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4.xml" ContentType="application/vnd.openxmlformats-officedocument.spreadsheetml.comments+xml"/>
  <Override PartName="/xl/comments25.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autoCompressPictures="0"/>
  <bookViews>
    <workbookView xWindow="0" yWindow="0" windowWidth="20490" windowHeight="8115" tabRatio="783"/>
  </bookViews>
  <sheets>
    <sheet name="Intro" sheetId="42" r:id="rId1"/>
    <sheet name="Licence" sheetId="63" r:id="rId2"/>
    <sheet name="Nav" sheetId="57" r:id="rId3"/>
    <sheet name="Classeur" sheetId="60" r:id="rId4"/>
    <sheet name="T1" sheetId="10" r:id="rId5"/>
    <sheet name="T2" sheetId="11" r:id="rId6"/>
    <sheet name="T3" sheetId="56" r:id="rId7"/>
    <sheet name="Classif" sheetId="9" r:id="rId8"/>
    <sheet name="Expo" sheetId="14" r:id="rId9"/>
    <sheet name="01 Org" sheetId="28" r:id="rId10"/>
    <sheet name="02 Sit" sheetId="29" r:id="rId11"/>
    <sheet name="03 Loc" sheetId="30" r:id="rId12"/>
    <sheet name="04 Wan" sheetId="31" r:id="rId13"/>
    <sheet name="05 Lan" sheetId="32" r:id="rId14"/>
    <sheet name="06 Exr" sheetId="33" r:id="rId15"/>
    <sheet name="07 Sys" sheetId="34" r:id="rId16"/>
    <sheet name="08 Exs" sheetId="35" r:id="rId17"/>
    <sheet name="09 App" sheetId="36" r:id="rId18"/>
    <sheet name="10 Dev" sheetId="37" r:id="rId19"/>
    <sheet name="11 Mic" sheetId="38" r:id="rId20"/>
    <sheet name="12 Ext" sheetId="48" r:id="rId21"/>
    <sheet name="13 Man" sheetId="39" r:id="rId22"/>
    <sheet name="14 Msi" sheetId="41" r:id="rId23"/>
    <sheet name="Services" sheetId="21" r:id="rId24"/>
    <sheet name="Thèmes" sheetId="50" r:id="rId25"/>
    <sheet name="ISO 27002" sheetId="51" r:id="rId26"/>
    <sheet name="Scénarios" sheetId="55" r:id="rId27"/>
    <sheet name="Risk%actif" sheetId="24" r:id="rId28"/>
    <sheet name="Risk%event" sheetId="25" r:id="rId29"/>
    <sheet name="Plans_action" sheetId="19" r:id="rId30"/>
    <sheet name="Obj_PA" sheetId="53" r:id="rId31"/>
    <sheet name="Obj_Projets" sheetId="54" r:id="rId32"/>
    <sheet name="Vulnérabilités types" sheetId="13" r:id="rId33"/>
    <sheet name="Gravité" sheetId="22" r:id="rId34"/>
    <sheet name="Grilles_IP" sheetId="23" r:id="rId35"/>
    <sheet name="Param" sheetId="61" state="hidden" r:id="rId36"/>
    <sheet name="Codes" sheetId="18" state="hidden" r:id="rId37"/>
  </sheets>
  <externalReferences>
    <externalReference r:id="rId38"/>
  </externalReferences>
  <definedNames>
    <definedName name="_xlnm._FilterDatabase" localSheetId="10" hidden="1">'02 Sit'!$G$3:$K$176</definedName>
    <definedName name="_xlnm._FilterDatabase" localSheetId="12" hidden="1">'04 Wan'!$G$3:$J$139</definedName>
    <definedName name="_xlnm._FilterDatabase" localSheetId="7" hidden="1">Classif!$F$2:$F$37</definedName>
    <definedName name="_xlnm._FilterDatabase" localSheetId="8" hidden="1">Expo!$E$3:$H$45</definedName>
    <definedName name="_xlnm._FilterDatabase" localSheetId="30" hidden="1">Obj_PA!$A$1:$BC$388</definedName>
    <definedName name="_xlnm._FilterDatabase" localSheetId="31" hidden="1">Obj_Projets!$A$1:$I$388</definedName>
    <definedName name="_xlnm._FilterDatabase" localSheetId="29" hidden="1">Plans_action!$I$5:$I$11</definedName>
    <definedName name="_xlnm._FilterDatabase" localSheetId="26" hidden="1">Scénarios!$J$1:$N$975</definedName>
    <definedName name="_xlnm._FilterDatabase" localSheetId="23" hidden="1">Services!$A$1:$K$388</definedName>
    <definedName name="_xlnm._FilterDatabase" localSheetId="4" hidden="1">'T1'!$C$6:$C$25</definedName>
    <definedName name="_xlnm._FilterDatabase" localSheetId="5" hidden="1">'T2'!$C$6:$C$25</definedName>
    <definedName name="_xlnm._FilterDatabase" localSheetId="6" hidden="1">'T3'!$C$6:$C$25</definedName>
    <definedName name="_xlnm._FilterDatabase" localSheetId="32" hidden="1">'Vulnérabilités types'!$G$4:$G$9</definedName>
    <definedName name="base_g" localSheetId="1">Gravité!$D$6:$G$9</definedName>
    <definedName name="base_g">Gravité!$D$6:$G$9</definedName>
    <definedName name="base_i" localSheetId="1">Grilles_IP!$D$7:$AB$43</definedName>
    <definedName name="base_i">Grilles_IP!$D$7:$AB$43</definedName>
    <definedName name="base_p" localSheetId="1">Grilles_IP!$D$54:$AB$79</definedName>
    <definedName name="base_p">Grilles_IP!$D$54:$AB$79</definedName>
    <definedName name="code_acces">Codes!$D$98:$E$110</definedName>
    <definedName name="code_acteur" localSheetId="1">Codes!$A$38:$B$52</definedName>
    <definedName name="code_acteur">Codes!$A$38:$B$52</definedName>
    <definedName name="code_actif">Codes!$A$5:$B$33</definedName>
    <definedName name="code_event">Codes!$D$18:$E$60</definedName>
    <definedName name="code_famille_scénario">Codes!$A$57:$B$174</definedName>
    <definedName name="Code_lieu" localSheetId="1">Codes!$D$5:$E$12</definedName>
    <definedName name="Code_lieu">Codes!$D$5:$E$12</definedName>
    <definedName name="code_process" localSheetId="1">Codes!$D$65:$E$87</definedName>
    <definedName name="code_process">Codes!$D$65:$E$87</definedName>
    <definedName name="code_temps" localSheetId="1">Codes!$D$91:$E$93</definedName>
    <definedName name="code_temps">Codes!$D$91:$E$93</definedName>
    <definedName name="dateanal">'[1]Risk%actif'!$U$16</definedName>
    <definedName name="ES01A01">Services!$I$7</definedName>
    <definedName name="ES01A02">Services!$I$8</definedName>
    <definedName name="ES01A03">Services!$I$9</definedName>
    <definedName name="ES01A04">Services!$I$10</definedName>
    <definedName name="ES01A05">Services!$I$11</definedName>
    <definedName name="ES01B01">Services!$I$13</definedName>
    <definedName name="ES01B02">Services!$I$14</definedName>
    <definedName name="ES01B03">Services!$I$15</definedName>
    <definedName name="ES01B04">Services!$I$16</definedName>
    <definedName name="ES01B05">Services!$I$17</definedName>
    <definedName name="ES01C01">Services!$I$19</definedName>
    <definedName name="ES01C02">Services!$I$20</definedName>
    <definedName name="ES01C03">Services!$I$21</definedName>
    <definedName name="ES01C04">Services!$I$22</definedName>
    <definedName name="ES01C05">Services!$I$23</definedName>
    <definedName name="ES01C06">Services!$I$24</definedName>
    <definedName name="ES01D01">Services!$I$26</definedName>
    <definedName name="ES01D02">Services!$I$27</definedName>
    <definedName name="ES01D03">Services!$I$28</definedName>
    <definedName name="ES01D04">Services!$I$29</definedName>
    <definedName name="ES01D05">Services!$I$30</definedName>
    <definedName name="ES01E01">Services!$I$32</definedName>
    <definedName name="ES01E02">Services!$I$33</definedName>
    <definedName name="ES01E03">Services!$I$34</definedName>
    <definedName name="ES02A01">Services!$I$37</definedName>
    <definedName name="ES02A02">Services!$I$38</definedName>
    <definedName name="ES02A03">Services!$I$39</definedName>
    <definedName name="ES02A04">Services!$I$40</definedName>
    <definedName name="ES02A05">Services!$I$41</definedName>
    <definedName name="ES02B01">Services!$I$43</definedName>
    <definedName name="ES02C01">Services!$I$45</definedName>
    <definedName name="ES02C02">Services!$I$46</definedName>
    <definedName name="ES02C03">Services!$I$47</definedName>
    <definedName name="ES02C04">Services!$I$48</definedName>
    <definedName name="ES02C05">Services!$I$49</definedName>
    <definedName name="ES02C06">Services!$I$50</definedName>
    <definedName name="ES02D01">Services!$I$52</definedName>
    <definedName name="ES02D02">Services!$I$53</definedName>
    <definedName name="ES02D03">Services!$I$54</definedName>
    <definedName name="ES02D04">Services!$I$55</definedName>
    <definedName name="ES02D05">Services!$I$56</definedName>
    <definedName name="ES02D06">Services!$I$57</definedName>
    <definedName name="ES02D07">Services!$I$58</definedName>
    <definedName name="ES03A01">Services!$I$61</definedName>
    <definedName name="ES03A02">Services!$I$62</definedName>
    <definedName name="ES03A03">Services!$I$63</definedName>
    <definedName name="ES03A04">Services!$I$64</definedName>
    <definedName name="ES03A05">Services!$I$65</definedName>
    <definedName name="ES03A06">Services!$I$66</definedName>
    <definedName name="ES03B01">Services!$I$68</definedName>
    <definedName name="ES03B02">Services!$I$69</definedName>
    <definedName name="ES03B03">Services!$I$70</definedName>
    <definedName name="ES03B04">Services!$I$71</definedName>
    <definedName name="ES03B05">Services!$I$72</definedName>
    <definedName name="ES03B06">Services!$I$73</definedName>
    <definedName name="ES03B07">Services!$I$74</definedName>
    <definedName name="ES03B08">Services!$I$75</definedName>
    <definedName name="ES03C01">Services!$I$77</definedName>
    <definedName name="ES03C02">Services!$I$78</definedName>
    <definedName name="ES03C03">Services!$I$79</definedName>
    <definedName name="ES03D01">Services!$I$81</definedName>
    <definedName name="ES03D02">Services!$I$82</definedName>
    <definedName name="ES03D03">Services!$I$83</definedName>
    <definedName name="ES04A01">Services!$I$86</definedName>
    <definedName name="ES04A02">Services!$I$87</definedName>
    <definedName name="ES04A03">Services!$I$88</definedName>
    <definedName name="ES04A04">Services!$I$89</definedName>
    <definedName name="ES04A05">Services!$I$90</definedName>
    <definedName name="ES04A06">Services!$I$91</definedName>
    <definedName name="ES04B01">Services!$I$93</definedName>
    <definedName name="ES04B02">Services!$I$94</definedName>
    <definedName name="ES04B03">Services!$I$95</definedName>
    <definedName name="ES04C01">Services!$I$97</definedName>
    <definedName name="ES04C02">Services!$I$98</definedName>
    <definedName name="ES04D01">Services!$I$100</definedName>
    <definedName name="ES04D02">Services!$I$101</definedName>
    <definedName name="ES04D03">Services!$I$102</definedName>
    <definedName name="ES05A01">Services!$I$105</definedName>
    <definedName name="ES05A02">Services!$I$106</definedName>
    <definedName name="ES05A03">Services!$I$107</definedName>
    <definedName name="ES05A04">Services!$I$108</definedName>
    <definedName name="ES05A05">Services!$I$109</definedName>
    <definedName name="ES05A06">Services!$I$110</definedName>
    <definedName name="ES05A07">Services!$I$111</definedName>
    <definedName name="ES05B01">Services!$I$113</definedName>
    <definedName name="ES05B02">Services!$I$114</definedName>
    <definedName name="ES05B03">Services!$I$115</definedName>
    <definedName name="ES05B04">Services!$I$116</definedName>
    <definedName name="ES05B05">Services!$I$117</definedName>
    <definedName name="ES05B06">Services!$I$118</definedName>
    <definedName name="ES05B07">Services!$I$119</definedName>
    <definedName name="ES05B08">Services!$I$120</definedName>
    <definedName name="ES05B09">Services!$I$121</definedName>
    <definedName name="ES05C01">Services!$I$123</definedName>
    <definedName name="ES05C02">Services!$I$124</definedName>
    <definedName name="ES05C03">Services!$I$125</definedName>
    <definedName name="ES05C04">Services!$I$126</definedName>
    <definedName name="ES05D01">Services!$I$128</definedName>
    <definedName name="ES05D02">Services!$I$129</definedName>
    <definedName name="ES05D03">Services!$I$130</definedName>
    <definedName name="ES06A01">Services!$I$133</definedName>
    <definedName name="ES06A02">Services!$I$134</definedName>
    <definedName name="ES06A03">Services!$I$135</definedName>
    <definedName name="ES06A04">Services!$I$136</definedName>
    <definedName name="ES06A05">Services!$I$137</definedName>
    <definedName name="ES06A06">Services!$I$138</definedName>
    <definedName name="ES06A07">Services!$I$139</definedName>
    <definedName name="ES06A08">Services!$I$140</definedName>
    <definedName name="ES06B01">Services!$I$142</definedName>
    <definedName name="ES06B02">Services!$I$143</definedName>
    <definedName name="ES06C01">Services!$I$145</definedName>
    <definedName name="ES06C02">Services!$I$146</definedName>
    <definedName name="ES06C03">Services!$I$147</definedName>
    <definedName name="ES06C04">Services!$I$148</definedName>
    <definedName name="ES06D01">Services!$I$150</definedName>
    <definedName name="ES06D02">Services!$I$151</definedName>
    <definedName name="ES07A01">Services!$I$154</definedName>
    <definedName name="ES07A02">Services!$I$155</definedName>
    <definedName name="ES07A03">Services!$I$156</definedName>
    <definedName name="ES07A04">Services!$I$157</definedName>
    <definedName name="ES07A05">Services!$I$158</definedName>
    <definedName name="ES07B01">Services!$I$160</definedName>
    <definedName name="ES07C01">Services!$I$162</definedName>
    <definedName name="ES07C02">Services!$I$163</definedName>
    <definedName name="ES07D01">Services!$I$165</definedName>
    <definedName name="ES07D02">Services!$I$166</definedName>
    <definedName name="ES08A01">Services!$I$169</definedName>
    <definedName name="ES08A02">Services!$I$170</definedName>
    <definedName name="ES08A03">Services!$I$171</definedName>
    <definedName name="ES08A04">Services!$I$172</definedName>
    <definedName name="ES08A05">Services!$I$173</definedName>
    <definedName name="ES08A06">Services!$I$174</definedName>
    <definedName name="ES08A07">Services!$I$175</definedName>
    <definedName name="ES08A08">Services!$I$176</definedName>
    <definedName name="ES08A09">Services!$I$177</definedName>
    <definedName name="ES08B01">Services!$I$179</definedName>
    <definedName name="ES08B02">Services!$I$180</definedName>
    <definedName name="ES08B03">Services!$I$181</definedName>
    <definedName name="ES08C01">Services!$I$183</definedName>
    <definedName name="ES08C02">Services!$I$184</definedName>
    <definedName name="ES08C03">Services!$I$185</definedName>
    <definedName name="ES08C04">Services!$I$186</definedName>
    <definedName name="ES08C05">Services!$I$187</definedName>
    <definedName name="ES08C06">Services!$I$188</definedName>
    <definedName name="ES08C07">Services!$I$189</definedName>
    <definedName name="ES08D01">Services!$I$191</definedName>
    <definedName name="ES08D02">Services!$I$192</definedName>
    <definedName name="ES08D03">Services!$I$193</definedName>
    <definedName name="ES08D04">Services!$I$194</definedName>
    <definedName name="ES08D05">Services!$I$195</definedName>
    <definedName name="ES08D06">Services!$I$196</definedName>
    <definedName name="ES08D07">Services!$I$197</definedName>
    <definedName name="ES08D08">Services!$I$198</definedName>
    <definedName name="ES08D09">Services!$I$199</definedName>
    <definedName name="ES08D10">Services!$I$200</definedName>
    <definedName name="ES08E01">Services!$I$202</definedName>
    <definedName name="ES08E02">Services!$I$203</definedName>
    <definedName name="ES08E03">Services!$I$204</definedName>
    <definedName name="ES08F01">Services!$I$206</definedName>
    <definedName name="ES08F02">Services!$I$207</definedName>
    <definedName name="ES08F03">Services!$I$208</definedName>
    <definedName name="ES08G01">Services!$I$210</definedName>
    <definedName name="ES08G02">Services!$I$211</definedName>
    <definedName name="ES08H01">Services!$I$213</definedName>
    <definedName name="ES08H02">Services!$I$214</definedName>
    <definedName name="ES08H03">Services!$I$215</definedName>
    <definedName name="ES09A01">Services!$I$218</definedName>
    <definedName name="ES09A02">Services!$I$219</definedName>
    <definedName name="ES09A03">Services!$I$220</definedName>
    <definedName name="ES09A04">Services!$I$221</definedName>
    <definedName name="ES09A05">Services!$I$222</definedName>
    <definedName name="ES09B01">Services!$I$224</definedName>
    <definedName name="ES09B02">Services!$I$225</definedName>
    <definedName name="ES09B03">Services!$I$226</definedName>
    <definedName name="ES09B04">Services!$I$227</definedName>
    <definedName name="ES09B05">Services!$I$228</definedName>
    <definedName name="ES09C01">Services!$I$230</definedName>
    <definedName name="ES09C02">Services!$I$231</definedName>
    <definedName name="ES09C03">Services!$I$232</definedName>
    <definedName name="ES09D01">Services!$I$234</definedName>
    <definedName name="ES09D02">Services!$I$235</definedName>
    <definedName name="ES09E01">Services!$I$237</definedName>
    <definedName name="ES09E02">Services!$I$238</definedName>
    <definedName name="ES09E03">Services!$I$239</definedName>
    <definedName name="ES09F01">Services!$I$241</definedName>
    <definedName name="ES09F02">Services!$I$242</definedName>
    <definedName name="ES09F03">Services!$I$243</definedName>
    <definedName name="ES09G01">Services!$I$245</definedName>
    <definedName name="ES09H01">Services!$I$247</definedName>
    <definedName name="ES09H02">Services!$I$248</definedName>
    <definedName name="ES09H03">Services!$I$249</definedName>
    <definedName name="ES10A01">Services!$I$252</definedName>
    <definedName name="ES10A02">Services!$I$253</definedName>
    <definedName name="ES10A03">Services!$I$254</definedName>
    <definedName name="ES10A04">Services!$I$255</definedName>
    <definedName name="ES10A05">Services!$I$256</definedName>
    <definedName name="ES10B01">Services!$I$258</definedName>
    <definedName name="ES10B02">Services!$I$259</definedName>
    <definedName name="ES10B03">Services!$I$260</definedName>
    <definedName name="ES10B04">Services!$I$261</definedName>
    <definedName name="ES10B05">Services!$I$262</definedName>
    <definedName name="ES10B06">Services!$I$263</definedName>
    <definedName name="ES10C00">Services!$I$264</definedName>
    <definedName name="ES11A01">Services!$I$267</definedName>
    <definedName name="ES11A02">Services!$I$268</definedName>
    <definedName name="ES11A03">Services!$I$269</definedName>
    <definedName name="ES11A04">Services!$I$270</definedName>
    <definedName name="ES11A05">Services!$I$271</definedName>
    <definedName name="ES11B01">Services!$I$273</definedName>
    <definedName name="ES11B02">Services!$I$274</definedName>
    <definedName name="ES11B03">Services!$I$275</definedName>
    <definedName name="ES11C01">Services!$I$277</definedName>
    <definedName name="ES11C02">Services!$I$278</definedName>
    <definedName name="ES11C03">Services!$I$279</definedName>
    <definedName name="ES11C04">Services!$I$280</definedName>
    <definedName name="ES11C05">Services!$I$281</definedName>
    <definedName name="ES11C06">Services!$I$282</definedName>
    <definedName name="ES11D01">Services!$I$284</definedName>
    <definedName name="ES11D02">Services!$I$285</definedName>
    <definedName name="ES11D03">Services!$I$286</definedName>
    <definedName name="ES11D04">Services!$I$287</definedName>
    <definedName name="ES11D05">Services!$I$288</definedName>
    <definedName name="ES11D06">Services!$I$289</definedName>
    <definedName name="ES11D07">Services!$I$290</definedName>
    <definedName name="ES11D08">Services!$I$291</definedName>
    <definedName name="ES11E01">Services!$I$293</definedName>
    <definedName name="ES11E02">Services!$I$294</definedName>
    <definedName name="ES11E03">Services!$I$295</definedName>
    <definedName name="ES12A01">Services!$I$298</definedName>
    <definedName name="ES12A02">Services!$I$299</definedName>
    <definedName name="ES12A03">Services!$I$300</definedName>
    <definedName name="ES12A04">Services!$I$301</definedName>
    <definedName name="ES12A05">Services!$I$302</definedName>
    <definedName name="ES12A06">Services!$I$303</definedName>
    <definedName name="ES12B01">Services!$I$305</definedName>
    <definedName name="ES12B02">Services!$I$306</definedName>
    <definedName name="ES12C01">Services!$I$308</definedName>
    <definedName name="ES12C02">Services!$I$309</definedName>
    <definedName name="ES12C03">Services!$I$310</definedName>
    <definedName name="ES12C04">Services!$I$311</definedName>
    <definedName name="ES12C05">Services!$I$312</definedName>
    <definedName name="ES12D01">Services!$I$314</definedName>
    <definedName name="ES12D02">Services!$I$315</definedName>
    <definedName name="ES12D03">Services!$I$316</definedName>
    <definedName name="ES12E01">Services!$I$318</definedName>
    <definedName name="ES12E02">Services!$I$319</definedName>
    <definedName name="ES12E03">Services!$I$320</definedName>
    <definedName name="ES13A01">Services!$I$323</definedName>
    <definedName name="ES13A02">Services!$I$324</definedName>
    <definedName name="ES13A03">Services!$I$325</definedName>
    <definedName name="ES13A04">Services!$I$326</definedName>
    <definedName name="ES13B01">Services!$I$328</definedName>
    <definedName name="ES13B02">Services!$I$329</definedName>
    <definedName name="ES13B03">Services!$I$330</definedName>
    <definedName name="ES13B04">Services!$I$331</definedName>
    <definedName name="ES13C01">Services!$I$333</definedName>
    <definedName name="ES13C02">Services!$I$334</definedName>
    <definedName name="ES13C03">Services!$I$335</definedName>
    <definedName name="ES13C04">Services!$I$336</definedName>
    <definedName name="ES13C05">Services!$I$337</definedName>
    <definedName name="ES13D01">Services!$I$339</definedName>
    <definedName name="ES13D02">Services!$I$340</definedName>
    <definedName name="ES13D03">Services!$I$341</definedName>
    <definedName name="ES13D04">Services!$I$342</definedName>
    <definedName name="ES13E01">Services!$I$344</definedName>
    <definedName name="ES13E02">Services!$I$345</definedName>
    <definedName name="ES13E03">Services!$I$346</definedName>
    <definedName name="ES13E04">Services!$I$347</definedName>
    <definedName name="ES13F01">Services!$I$349</definedName>
    <definedName name="ES13F02">Services!$I$350</definedName>
    <definedName name="ES13F03">Services!$I$351</definedName>
    <definedName name="ES13F04">Services!$I$352</definedName>
    <definedName name="ES13G01">Services!$I$354</definedName>
    <definedName name="ES13G02">Services!$I$355</definedName>
    <definedName name="ES13G03">Services!$I$356</definedName>
    <definedName name="ES14A01">Services!$I$359</definedName>
    <definedName name="ES14A02">Services!$I$360</definedName>
    <definedName name="ES14A03">Services!$I$361</definedName>
    <definedName name="ES14A04">Services!$I$362</definedName>
    <definedName name="ES14A05">Services!$I$363</definedName>
    <definedName name="ES14A06">Services!$I$364</definedName>
    <definedName name="ES14A07">Services!$I$365</definedName>
    <definedName name="ES14A08">Services!$I$366</definedName>
    <definedName name="ES14B01">Services!$I$368</definedName>
    <definedName name="ES14B02">Services!$I$369</definedName>
    <definedName name="ES14B03">Services!$I$370</definedName>
    <definedName name="ES14B04">Services!$I$371</definedName>
    <definedName name="ES14B05">Services!$I$372</definedName>
    <definedName name="ES14C01">Services!$I$374</definedName>
    <definedName name="ES14C02">Services!$I$375</definedName>
    <definedName name="ES14C03">Services!$I$376</definedName>
    <definedName name="ES14D01">Services!$I$378</definedName>
    <definedName name="ES14D02">Services!$I$379</definedName>
    <definedName name="ES14D03">Services!$I$380</definedName>
    <definedName name="ES14D04">Services!$I$381</definedName>
    <definedName name="ES14E01">Services!$I$383</definedName>
    <definedName name="ES14E02">Services!$I$384</definedName>
    <definedName name="ES14E03">Services!$I$385</definedName>
    <definedName name="ES14E04">Services!$I$386</definedName>
    <definedName name="ES14E05">Services!$I$387</definedName>
    <definedName name="ES14E06">Services!$I$388</definedName>
    <definedName name="ES1E01">[1]Services!$H$30</definedName>
    <definedName name="ES1E02">[1]Services!$H$31</definedName>
    <definedName name="ES1E03">[1]Services!$H$32</definedName>
    <definedName name="ES2A01">[1]Services!$H$41</definedName>
    <definedName name="ES2A02">[1]Services!$H$42</definedName>
    <definedName name="ES2A03">[1]Services!$H$43</definedName>
    <definedName name="ES2B01">[1]Services!$H$46</definedName>
    <definedName name="ES2B02">[1]Services!$H$47</definedName>
    <definedName name="ES2B03">[1]Services!$H$48</definedName>
    <definedName name="ES2C02">[1]Services!$H$53</definedName>
    <definedName name="ES2C04">[1]Services!$H$55</definedName>
    <definedName name="ES2D01">[1]Services!$H$58</definedName>
    <definedName name="ES2D02">[1]Services!$H$59</definedName>
    <definedName name="ES2D03">[1]Services!$H$60</definedName>
    <definedName name="ES2D04">[1]Services!$H$61</definedName>
    <definedName name="ES2E01">[1]Services!$H$63</definedName>
    <definedName name="ES2E02">[1]Services!$H$64</definedName>
    <definedName name="ES2E04">[1]Services!$H$66</definedName>
    <definedName name="ES3A02">[1]Services!$H$70</definedName>
    <definedName name="ES3A04">[1]Services!$H$72</definedName>
    <definedName name="ES3A06">[1]Services!$H$74</definedName>
    <definedName name="ES3A07">[1]Services!$H$75</definedName>
    <definedName name="ES3A08">[1]Services!$H$76</definedName>
    <definedName name="ES3A09">[1]Services!$H$77</definedName>
    <definedName name="ES3B01">[1]Services!$H$79</definedName>
    <definedName name="ES3C01">[1]Services!$H$81</definedName>
    <definedName name="ES4A02">[1]Services!$H$85</definedName>
    <definedName name="ES4A03">[1]Services!$H$86</definedName>
    <definedName name="ES4A04">[1]Services!$H$87</definedName>
    <definedName name="ES4A05">[1]Services!$H$88</definedName>
    <definedName name="ES4A06">[1]Services!$H$89</definedName>
    <definedName name="ES4A09">[1]Services!$H$92</definedName>
    <definedName name="ES4A10">[1]Services!$H$93</definedName>
    <definedName name="ES4A11">[1]Services!$H$94</definedName>
    <definedName name="ES4A14">[1]Services!$H$97</definedName>
    <definedName name="ES4B01">[1]Services!$H$99</definedName>
    <definedName name="ES4B02">[1]Services!$H$100</definedName>
    <definedName name="ES4C01">[1]Services!$H$102</definedName>
    <definedName name="ES4C02">[1]Services!$H$103</definedName>
    <definedName name="ES4C03">[1]Services!$H$104</definedName>
    <definedName name="ES4C04">[1]Services!$H$105</definedName>
    <definedName name="ES4C05">[1]Services!$H$106</definedName>
    <definedName name="ES4C06">[1]Services!$H$107</definedName>
    <definedName name="ES4E01">[1]Services!$H$112</definedName>
    <definedName name="ES4E02">[1]Services!$H$113</definedName>
    <definedName name="ES4E03">[1]Services!$H$114</definedName>
    <definedName name="ES4E04">[1]Services!$H$115</definedName>
    <definedName name="ES4F01">[1]Services!$H$118</definedName>
    <definedName name="ES4F02">[1]Services!$H$119</definedName>
    <definedName name="ES4F03">[1]Services!$H$120</definedName>
    <definedName name="ES5A01">[1]Services!$H$123</definedName>
    <definedName name="ES5A02">[1]Services!$H$124</definedName>
    <definedName name="ES5A03">[1]Services!$H$125</definedName>
    <definedName name="ES5A04">[1]Services!$H$126</definedName>
    <definedName name="ES5B01">[1]Services!$H$128</definedName>
    <definedName name="ES5B02">[1]Services!$H$129</definedName>
    <definedName name="ES5C01">[1]Services!$H$131</definedName>
    <definedName name="ES5C02">[1]Services!$H$132</definedName>
    <definedName name="ES5D01">[1]Services!$H$134</definedName>
    <definedName name="ES5D02">[1]Services!$H$135</definedName>
    <definedName name="ES5E01">[1]Services!$H$138</definedName>
    <definedName name="ES5E02">[1]Services!$H$139</definedName>
    <definedName name="ES5E03">[1]Services!$H$140</definedName>
    <definedName name="ES5F01">[1]Services!$H$142</definedName>
    <definedName name="ES5F02">[1]Services!$H$143</definedName>
    <definedName name="ES5F03">[1]Services!$H$144</definedName>
    <definedName name="ES5G01">[1]Services!$H$146</definedName>
    <definedName name="ES5G02">[1]Services!$H$147</definedName>
    <definedName name="ES6A01">[1]Services!$H$150</definedName>
    <definedName name="ES6A02">[1]Services!$H$151</definedName>
    <definedName name="ES6B01">[1]Services!$H$153</definedName>
    <definedName name="ES6B02">[1]Services!$H$154</definedName>
    <definedName name="ES6B03">[1]Services!$H$155</definedName>
    <definedName name="ES6B04">[1]Services!$H$156</definedName>
    <definedName name="ES6B05">[1]Services!$H$157</definedName>
    <definedName name="ES6B06">[1]Services!$H$158</definedName>
    <definedName name="ES6C02">[1]Services!$H$161</definedName>
    <definedName name="ES7B04">[1]Services!$H$171</definedName>
    <definedName name="ES7B08">[1]Services!$H$175</definedName>
    <definedName name="ES7B09">[1]Services!$H$176</definedName>
    <definedName name="ES8A01">[1]Services!$H$179</definedName>
    <definedName name="ES8C01">[1]Services!$H$189</definedName>
    <definedName name="ES8C02">[1]Services!$H$190</definedName>
    <definedName name="ES8C03">[1]Services!$H$191</definedName>
    <definedName name="IndG" localSheetId="1">Param!$B$8</definedName>
    <definedName name="IndG">Param!$B$8</definedName>
    <definedName name="S01A01">Services!$K$7</definedName>
    <definedName name="S01A02">Services!$K$8</definedName>
    <definedName name="S01A03">Services!$K$9</definedName>
    <definedName name="S01A04">Services!$K$10</definedName>
    <definedName name="S01A05">Services!$K$11</definedName>
    <definedName name="S01B01">Services!$K$13</definedName>
    <definedName name="S01B02">Services!$K$14</definedName>
    <definedName name="S01B03">Services!$K$15</definedName>
    <definedName name="S01B04">Services!$K$16</definedName>
    <definedName name="S01B05">Services!$K$17</definedName>
    <definedName name="S01C01">Services!$K$19</definedName>
    <definedName name="S01C02">Services!$K$20</definedName>
    <definedName name="S01C03">Services!$K$21</definedName>
    <definedName name="S01C04">Services!$K$22</definedName>
    <definedName name="S01C05">Services!$K$23</definedName>
    <definedName name="S01C06">Services!$K$24</definedName>
    <definedName name="S01D01">Services!$K$26</definedName>
    <definedName name="S01D02">Services!$K$27</definedName>
    <definedName name="S01D03">Services!$K$28</definedName>
    <definedName name="S01D04">Services!$K$29</definedName>
    <definedName name="S01D05">Services!$K$30</definedName>
    <definedName name="S01E01">Services!$K$32</definedName>
    <definedName name="S01E02">Services!$K$33</definedName>
    <definedName name="S01E03">Services!$K$34</definedName>
    <definedName name="S02A01">Services!$K$37</definedName>
    <definedName name="S02A02">Services!$K$38</definedName>
    <definedName name="S02A03">Services!$K$39</definedName>
    <definedName name="S02A04">Services!$K$40</definedName>
    <definedName name="S02A05">Services!$K$41</definedName>
    <definedName name="S02B01">Services!$K$43</definedName>
    <definedName name="S02C01">Services!$K$45</definedName>
    <definedName name="S02C02">Services!$K$46</definedName>
    <definedName name="S02C03">Services!$K$47</definedName>
    <definedName name="S02C04">Services!$K$48</definedName>
    <definedName name="S02C05">Services!$K$49</definedName>
    <definedName name="S02C06">Services!$K$50</definedName>
    <definedName name="S02D01">Services!$K$52</definedName>
    <definedName name="S02D02">Services!$K$53</definedName>
    <definedName name="S02D03">Services!$K$54</definedName>
    <definedName name="S02D04">Services!$K$55</definedName>
    <definedName name="S02D05">Services!$K$56</definedName>
    <definedName name="S02D06">Services!$K$57</definedName>
    <definedName name="S02D07">Services!$K$58</definedName>
    <definedName name="S03A01">Services!$K$61</definedName>
    <definedName name="S03A02">Services!$K$62</definedName>
    <definedName name="S03A03">Services!$K$63</definedName>
    <definedName name="S03A04">Services!$K$64</definedName>
    <definedName name="S03A05">Services!$K$65</definedName>
    <definedName name="S03A06">Services!$K$66</definedName>
    <definedName name="S03B01">Services!$K$68</definedName>
    <definedName name="S03B02">Services!$K$69</definedName>
    <definedName name="S03B03">Services!$K$70</definedName>
    <definedName name="S03B04">Services!$K$71</definedName>
    <definedName name="S03B05">Services!$K$72</definedName>
    <definedName name="S03B06">Services!$K$73</definedName>
    <definedName name="S03B07">Services!$K$74</definedName>
    <definedName name="S03B08">Services!$K$75</definedName>
    <definedName name="S03C01">Services!$K$77</definedName>
    <definedName name="S03C02">Services!$K$78</definedName>
    <definedName name="S03C03">Services!$K$79</definedName>
    <definedName name="S03D01">Services!$K$81</definedName>
    <definedName name="S03D02">Services!$K$82</definedName>
    <definedName name="S03D03">Services!$K$83</definedName>
    <definedName name="S04A01">Services!$K$86</definedName>
    <definedName name="S04A02">Services!$K$87</definedName>
    <definedName name="S04A03">Services!$K$88</definedName>
    <definedName name="S04A04">Services!$K$89</definedName>
    <definedName name="S04A05">Services!$K$90</definedName>
    <definedName name="S04A06">Services!$K$91</definedName>
    <definedName name="S04B01">Services!$K$93</definedName>
    <definedName name="S04B02">Services!$K$94</definedName>
    <definedName name="S04B03">Services!$K$95</definedName>
    <definedName name="S04C01">Services!$K$97</definedName>
    <definedName name="S04C02">Services!$K$98</definedName>
    <definedName name="S04D01">Services!$K$100</definedName>
    <definedName name="S04D02">Services!$K$101</definedName>
    <definedName name="S04D03">Services!$K$102</definedName>
    <definedName name="S05A01">Services!$K$105</definedName>
    <definedName name="S05A02">Services!$K$106</definedName>
    <definedName name="S05A03">Services!$K$107</definedName>
    <definedName name="S05A04">Services!$K$108</definedName>
    <definedName name="S05A05">Services!$K$109</definedName>
    <definedName name="S05A06">Services!$K$110</definedName>
    <definedName name="S05A07">Services!$K$111</definedName>
    <definedName name="S05B01">Services!$K$113</definedName>
    <definedName name="S05B02">Services!$K$114</definedName>
    <definedName name="S05B03">Services!$K$115</definedName>
    <definedName name="S05B04">Services!$K$116</definedName>
    <definedName name="S05B05">Services!$K$117</definedName>
    <definedName name="S05B06">Services!$K$118</definedName>
    <definedName name="S05B07">Services!$K$119</definedName>
    <definedName name="S05B08">Services!$K$120</definedName>
    <definedName name="S05B09">Services!$K$121</definedName>
    <definedName name="S05C01">Services!$K$123</definedName>
    <definedName name="S05C02">Services!$K$124</definedName>
    <definedName name="S05C03">Services!$K$125</definedName>
    <definedName name="S05C04">Services!$K$126</definedName>
    <definedName name="S05D01">Services!$K$128</definedName>
    <definedName name="S05D02">Services!$K$129</definedName>
    <definedName name="S05D03">Services!$K$130</definedName>
    <definedName name="S06A01">Services!$K$133</definedName>
    <definedName name="S06A02">Services!$K$134</definedName>
    <definedName name="S06A03">Services!$K$135</definedName>
    <definedName name="S06A04">Services!$K$136</definedName>
    <definedName name="S06A05">Services!$K$137</definedName>
    <definedName name="S06A06">Services!$K$138</definedName>
    <definedName name="S06A07">Services!$K$139</definedName>
    <definedName name="S06A08">Services!$K$140</definedName>
    <definedName name="S06B01">Services!$K$142</definedName>
    <definedName name="S06B02">Services!$K$143</definedName>
    <definedName name="S06C01">Services!$K$145</definedName>
    <definedName name="S06C02">Services!$K$146</definedName>
    <definedName name="S06C03">Services!$K$147</definedName>
    <definedName name="S06C04">Services!$K$148</definedName>
    <definedName name="S06D01">Services!$K$150</definedName>
    <definedName name="S06D02">Services!$K$151</definedName>
    <definedName name="S07A01">Services!$K$154</definedName>
    <definedName name="S07A02">Services!$K$155</definedName>
    <definedName name="S07A03">Services!$K$156</definedName>
    <definedName name="S07A04">Services!$K$157</definedName>
    <definedName name="S07A05">Services!$K$158</definedName>
    <definedName name="S07B01">Services!$K$160</definedName>
    <definedName name="S07C01">Services!$K$162</definedName>
    <definedName name="S07C02">Services!$K$163</definedName>
    <definedName name="S07D01">Services!$K$165</definedName>
    <definedName name="S07D02">Services!$K$166</definedName>
    <definedName name="S08A01">Services!$K$169</definedName>
    <definedName name="S08A02">Services!$K$170</definedName>
    <definedName name="S08A03">Services!$K$171</definedName>
    <definedName name="S08A04">Services!$K$172</definedName>
    <definedName name="S08A05">Services!$K$173</definedName>
    <definedName name="S08A06">Services!$K$174</definedName>
    <definedName name="S08A07">Services!$K$175</definedName>
    <definedName name="S08A08">Services!$K$176</definedName>
    <definedName name="S08A09">Services!$K$177</definedName>
    <definedName name="S08B01">Services!$K$179</definedName>
    <definedName name="S08B02">Services!$K$180</definedName>
    <definedName name="S08B03">Services!$K$181</definedName>
    <definedName name="S08C01">Services!$K$183</definedName>
    <definedName name="S08C02">Services!$K$184</definedName>
    <definedName name="S08C03">Services!$K$185</definedName>
    <definedName name="S08C04">Services!$K$186</definedName>
    <definedName name="S08C05">Services!$K$187</definedName>
    <definedName name="S08C06">Services!$K$188</definedName>
    <definedName name="S08C07">Services!$K$189</definedName>
    <definedName name="S08D01">Services!$K$191</definedName>
    <definedName name="S08D02">Services!$K$192</definedName>
    <definedName name="S08D03">Services!$K$193</definedName>
    <definedName name="S08D04">Services!$K$194</definedName>
    <definedName name="S08D05">Services!$K$195</definedName>
    <definedName name="S08D06">Services!$K$196</definedName>
    <definedName name="S08D07">Services!$K$197</definedName>
    <definedName name="S08D08">Services!$K$198</definedName>
    <definedName name="S08D09">Services!$K$199</definedName>
    <definedName name="S08D10">Services!$K$200</definedName>
    <definedName name="S08E01">Services!$K$202</definedName>
    <definedName name="S08E02">Services!$K$203</definedName>
    <definedName name="S08E03">Services!$K$204</definedName>
    <definedName name="S08F01">Services!$K$206</definedName>
    <definedName name="S08F02">Services!$K$207</definedName>
    <definedName name="S08F03">Services!$K$208</definedName>
    <definedName name="S08G01">Services!$K$210</definedName>
    <definedName name="S08G02">Services!$K$211</definedName>
    <definedName name="S08H01">Services!$K$213</definedName>
    <definedName name="S08H02">Services!$K$214</definedName>
    <definedName name="S08H03">Services!$K$215</definedName>
    <definedName name="S09A01">Services!$K$218</definedName>
    <definedName name="S09A02">Services!$K$219</definedName>
    <definedName name="S09A03">Services!$K$220</definedName>
    <definedName name="S09A04">Services!$K$221</definedName>
    <definedName name="S09A05">Services!$K$222</definedName>
    <definedName name="S09B01">Services!$K$224</definedName>
    <definedName name="S09B02">Services!$K$225</definedName>
    <definedName name="S09B03">Services!$K$226</definedName>
    <definedName name="S09B04">Services!$K$227</definedName>
    <definedName name="S09B05">Services!$K$228</definedName>
    <definedName name="S09C01">Services!$K$230</definedName>
    <definedName name="S09C02">Services!$K$231</definedName>
    <definedName name="S09C03">Services!$K$232</definedName>
    <definedName name="S09D01">Services!$K$234</definedName>
    <definedName name="S09D02">Services!$K$235</definedName>
    <definedName name="S09E01">Services!$K$237</definedName>
    <definedName name="S09E02">Services!$K$238</definedName>
    <definedName name="S09E03">Services!$K$239</definedName>
    <definedName name="S09F01">Services!$K$241</definedName>
    <definedName name="S09F02">Services!$K$242</definedName>
    <definedName name="S09F03">Services!$K$243</definedName>
    <definedName name="S09G01">Services!$K$245</definedName>
    <definedName name="S09H01">Services!$K$247</definedName>
    <definedName name="S09H02">Services!$K$248</definedName>
    <definedName name="S09H03">Services!$K$249</definedName>
    <definedName name="S10A01">Services!$K$252</definedName>
    <definedName name="S10A02">Services!$K$253</definedName>
    <definedName name="S10A03">Services!$K$254</definedName>
    <definedName name="S10A04">Services!$K$255</definedName>
    <definedName name="S10A05">Services!$K$256</definedName>
    <definedName name="S10B01">Services!$K$258</definedName>
    <definedName name="S10B02">Services!$K$259</definedName>
    <definedName name="S10B03">Services!$K$260</definedName>
    <definedName name="S10B04">Services!$K$261</definedName>
    <definedName name="S10B05">Services!$K$262</definedName>
    <definedName name="S10B06">Services!$K$263</definedName>
    <definedName name="S10C00">Services!$K$264</definedName>
    <definedName name="S11A01">Services!$K$267</definedName>
    <definedName name="S11A02">Services!$K$268</definedName>
    <definedName name="S11A03">Services!$K$269</definedName>
    <definedName name="S11A04">Services!$K$270</definedName>
    <definedName name="S11A05">Services!$K$271</definedName>
    <definedName name="S11B01">Services!$K$273</definedName>
    <definedName name="S11B02">Services!$K$274</definedName>
    <definedName name="S11B03">Services!$K$275</definedName>
    <definedName name="S11C01">Services!$K$277</definedName>
    <definedName name="S11C02">Services!$K$278</definedName>
    <definedName name="S11C03">Services!$K$279</definedName>
    <definedName name="S11C04">Services!$K$280</definedName>
    <definedName name="S11C05">Services!$K$281</definedName>
    <definedName name="S11C06">Services!$K$282</definedName>
    <definedName name="S11D01">Services!$K$284</definedName>
    <definedName name="S11D02">Services!$K$285</definedName>
    <definedName name="S11D03">Services!$K$286</definedName>
    <definedName name="S11D04">Services!$K$287</definedName>
    <definedName name="S11D05">Services!$K$288</definedName>
    <definedName name="S11D06">Services!$K$289</definedName>
    <definedName name="S11D07">Services!$K$290</definedName>
    <definedName name="S11D08">Services!$K$291</definedName>
    <definedName name="S11E01">Services!$K$293</definedName>
    <definedName name="S11E02">Services!$K$294</definedName>
    <definedName name="S11E03">Services!$K$295</definedName>
    <definedName name="S12A01">Services!$K$298</definedName>
    <definedName name="S12A02">Services!$K$299</definedName>
    <definedName name="S12A03">Services!$K$300</definedName>
    <definedName name="S12A04">Services!$K$301</definedName>
    <definedName name="S12A05">Services!$K$302</definedName>
    <definedName name="S12A06">Services!$K$303</definedName>
    <definedName name="S12B01">Services!$K$305</definedName>
    <definedName name="S12B02">Services!$K$306</definedName>
    <definedName name="S12C01">Services!$K$308</definedName>
    <definedName name="S12C02">Services!$K$309</definedName>
    <definedName name="S12C03">Services!$K$310</definedName>
    <definedName name="S12C04">Services!$K$311</definedName>
    <definedName name="S12C05">Services!$K$312</definedName>
    <definedName name="S12D01">Services!$K$314</definedName>
    <definedName name="S12D02">Services!$K$315</definedName>
    <definedName name="S12D03">Services!$K$316</definedName>
    <definedName name="S12E01">Services!$K$318</definedName>
    <definedName name="S12E02">Services!$K$319</definedName>
    <definedName name="S12E03">Services!$K$320</definedName>
    <definedName name="S13A01">Services!$K$323</definedName>
    <definedName name="S13A02">Services!$K$324</definedName>
    <definedName name="S13A03">Services!$K$325</definedName>
    <definedName name="S13A04">Services!$K$326</definedName>
    <definedName name="S13B01">Services!$K$328</definedName>
    <definedName name="S13B02">Services!$K$329</definedName>
    <definedName name="S13B03">Services!$K$330</definedName>
    <definedName name="S13B04">Services!$K$331</definedName>
    <definedName name="S13C01">Services!$K$333</definedName>
    <definedName name="S13C02">Services!$K$334</definedName>
    <definedName name="S13C03">Services!$K$335</definedName>
    <definedName name="S13C04">Services!$K$336</definedName>
    <definedName name="S13C05">Services!$K$337</definedName>
    <definedName name="S13D01">Services!$K$339</definedName>
    <definedName name="S13D02">Services!$K$340</definedName>
    <definedName name="S13D03">Services!$K$341</definedName>
    <definedName name="S13D04">Services!$K$342</definedName>
    <definedName name="S13E01">Services!$K$344</definedName>
    <definedName name="S13E02">Services!$K$345</definedName>
    <definedName name="S13E03">Services!$K$346</definedName>
    <definedName name="S13E04">Services!$K$347</definedName>
    <definedName name="S13F01">Services!$K$349</definedName>
    <definedName name="S13F02">Services!$K$350</definedName>
    <definedName name="S13F03">Services!$K$351</definedName>
    <definedName name="S13F04">Services!$K$352</definedName>
    <definedName name="S13G01">Services!$K$354</definedName>
    <definedName name="S13G02">Services!$K$355</definedName>
    <definedName name="S13G03">Services!$K$356</definedName>
    <definedName name="S14A01">Services!$K$359</definedName>
    <definedName name="S14A02">Services!$K$360</definedName>
    <definedName name="S14A03">Services!$K$361</definedName>
    <definedName name="S14A04">Services!$K$362</definedName>
    <definedName name="S14A05">Services!$K$363</definedName>
    <definedName name="S14A06">Services!$K$364</definedName>
    <definedName name="S14A07">Services!$K$365</definedName>
    <definedName name="S14A08">Services!$K$366</definedName>
    <definedName name="S14B01">Services!$K$368</definedName>
    <definedName name="S14B02">Services!$K$369</definedName>
    <definedName name="S14B03">Services!$K$370</definedName>
    <definedName name="S14B04">Services!$K$371</definedName>
    <definedName name="S14B05">Services!$K$372</definedName>
    <definedName name="S14C01">Services!$K$374</definedName>
    <definedName name="S14C02">Services!$K$375</definedName>
    <definedName name="S14C03">Services!$K$376</definedName>
    <definedName name="S14D01">Services!$K$378</definedName>
    <definedName name="S14D02">Services!$K$379</definedName>
    <definedName name="S14D03">Services!$K$380</definedName>
    <definedName name="S14D04">Services!$K$381</definedName>
    <definedName name="S14E01">Services!$K$383</definedName>
    <definedName name="S14E02">Services!$K$384</definedName>
    <definedName name="S14E03">Services!$K$385</definedName>
    <definedName name="S14E04">Services!$K$386</definedName>
    <definedName name="S14E05">Services!$K$387</definedName>
    <definedName name="S14E06">Services!$K$388</definedName>
    <definedName name="S1E01">[1]Services!$J$30</definedName>
    <definedName name="S1E02">[1]Services!$J$31</definedName>
    <definedName name="S1E03">[1]Services!$J$32</definedName>
    <definedName name="S2A01">[1]Services!$J$41</definedName>
    <definedName name="S2A02">[1]Services!$J$42</definedName>
    <definedName name="S2A03">[1]Services!$J$43</definedName>
    <definedName name="S2B01">[1]Services!$J$46</definedName>
    <definedName name="S2B02">[1]Services!$J$47</definedName>
    <definedName name="S2B03">[1]Services!$J$48</definedName>
    <definedName name="S2C02">[1]Services!$J$53</definedName>
    <definedName name="S2C04">[1]Services!$J$55</definedName>
    <definedName name="S2D01">[1]Services!$J$58</definedName>
    <definedName name="S2D02">[1]Services!$J$59</definedName>
    <definedName name="S2D03">[1]Services!$J$60</definedName>
    <definedName name="S2D04">[1]Services!$J$61</definedName>
    <definedName name="S2E01">[1]Services!$J$63</definedName>
    <definedName name="S2E02">[1]Services!$J$64</definedName>
    <definedName name="S2E04">[1]Services!$J$66</definedName>
    <definedName name="S3A02">[1]Services!$J$70</definedName>
    <definedName name="S3A04">[1]Services!$J$72</definedName>
    <definedName name="S3A05">[1]Services!$J$73</definedName>
    <definedName name="S3A06">[1]Services!$J$74</definedName>
    <definedName name="S3A07">[1]Services!$J$75</definedName>
    <definedName name="S3A08">[1]Services!$J$76</definedName>
    <definedName name="S3A09">[1]Services!$J$77</definedName>
    <definedName name="S3B01">[1]Services!$J$79</definedName>
    <definedName name="S3C01">[1]Services!$J$81</definedName>
    <definedName name="S4A02">[1]Services!$J$85</definedName>
    <definedName name="S4A03">[1]Services!$J$86</definedName>
    <definedName name="S4A04">[1]Services!$J$87</definedName>
    <definedName name="S4A05">[1]Services!$J$88</definedName>
    <definedName name="S4A06">[1]Services!$J$89</definedName>
    <definedName name="S4A09">[1]Services!$J$92</definedName>
    <definedName name="S4A10">[1]Services!$J$93</definedName>
    <definedName name="S4A11">[1]Services!$J$94</definedName>
    <definedName name="S4A14">[1]Services!$J$97</definedName>
    <definedName name="S4B01">[1]Services!$J$99</definedName>
    <definedName name="S4B02">[1]Services!$J$100</definedName>
    <definedName name="S4C01">[1]Services!$J$102</definedName>
    <definedName name="S4C02">[1]Services!$J$103</definedName>
    <definedName name="S4C03">[1]Services!$J$104</definedName>
    <definedName name="S4C04">[1]Services!$J$105</definedName>
    <definedName name="S4C05">[1]Services!$J$106</definedName>
    <definedName name="S4C06">[1]Services!$J$107</definedName>
    <definedName name="S4D01">[1]Services!$J$109</definedName>
    <definedName name="S4E01">[1]Services!$J$112</definedName>
    <definedName name="S4E02">[1]Services!$J$113</definedName>
    <definedName name="S4E03">[1]Services!$J$114</definedName>
    <definedName name="S4E04">[1]Services!$J$115</definedName>
    <definedName name="S4F01">[1]Services!$J$118</definedName>
    <definedName name="S4F02">[1]Services!$J$119</definedName>
    <definedName name="S4F03">[1]Services!$J$120</definedName>
    <definedName name="S5A01">[1]Services!$J$123</definedName>
    <definedName name="S5A02">[1]Services!$J$124</definedName>
    <definedName name="S5A03">[1]Services!$J$125</definedName>
    <definedName name="S5A04">[1]Services!$J$126</definedName>
    <definedName name="S5B01">[1]Services!$J$128</definedName>
    <definedName name="S5B02">[1]Services!$J$129</definedName>
    <definedName name="S5C01">[1]Services!$J$131</definedName>
    <definedName name="S5C02">[1]Services!$J$132</definedName>
    <definedName name="S5D01">[1]Services!$J$134</definedName>
    <definedName name="S5D02">[1]Services!$J$135</definedName>
    <definedName name="S5E01">[1]Services!$J$138</definedName>
    <definedName name="S5E02">[1]Services!$J$139</definedName>
    <definedName name="S5E03">[1]Services!$J$140</definedName>
    <definedName name="S5F01">[1]Services!$J$142</definedName>
    <definedName name="S5F02">[1]Services!$J$143</definedName>
    <definedName name="S5F03">[1]Services!$J$144</definedName>
    <definedName name="S5G01">[1]Services!$J$146</definedName>
    <definedName name="S5G02">[1]Services!$J$147</definedName>
    <definedName name="S6A01">[1]Services!$J$150</definedName>
    <definedName name="S6A02">[1]Services!$J$151</definedName>
    <definedName name="S6B01">[1]Services!$J$153</definedName>
    <definedName name="S6B02">[1]Services!$J$154</definedName>
    <definedName name="S6B03">[1]Services!$J$155</definedName>
    <definedName name="S6B04">[1]Services!$J$156</definedName>
    <definedName name="S6B05">[1]Services!$J$157</definedName>
    <definedName name="S6C02">[1]Services!$J$161</definedName>
    <definedName name="S7B04">[1]Services!$J$171</definedName>
    <definedName name="S7B07">[1]Services!$J$174</definedName>
    <definedName name="S7B08">[1]Services!$J$175</definedName>
    <definedName name="S7B09">[1]Services!$J$176</definedName>
    <definedName name="S8A01">[1]Services!$J$179</definedName>
    <definedName name="S8C01">[1]Services!$J$189</definedName>
    <definedName name="S8C02">[1]Services!$J$190</definedName>
    <definedName name="S8C03">[1]Services!$J$191</definedName>
    <definedName name="select_men">Expo!$D$3:$H$45</definedName>
    <definedName name="select_vul_data">'Vulnérabilités types'!$F$22:$G$34</definedName>
    <definedName name="select_vul_proc">'Vulnérabilités types'!$F$36:$G$36</definedName>
    <definedName name="select_vul_serv">'Vulnérabilités types'!$F$4:$G$20</definedName>
    <definedName name="Tab_actions" localSheetId="1">Plans_action!$I$1:$AM$331</definedName>
    <definedName name="Tab_actions">Plans_action!$I$1:$AM$331</definedName>
    <definedName name="Tab_classif_conf">Classif!$A$31:$F$36</definedName>
    <definedName name="Tab_classif_data">Classif!$A$4:$F$14</definedName>
    <definedName name="Tab_classif_servG">Classif!$A$18:$F$19</definedName>
    <definedName name="Tab_classif_servIR" localSheetId="1">Classif!$A$21:$F$27</definedName>
    <definedName name="Tab_classif_servIR">Classif!$A$21:$F$27</definedName>
    <definedName name="Tab_event" localSheetId="1">Expo!$D$3:$G$45</definedName>
    <definedName name="Tab_event">Expo!$D$3:$G$45</definedName>
    <definedName name="Tmax" localSheetId="1">Param!$B$3</definedName>
    <definedName name="Tmax">Param!$B$3</definedName>
    <definedName name="Tmin" localSheetId="1">Param!$B$4</definedName>
    <definedName name="Tmin">Param!$B$4</definedName>
    <definedName name="Z_15005374_3D8B_4857_9354_7BE7BE01F665_.wvu.Cols" localSheetId="20" hidden="1">'12 Ext'!#REF!</definedName>
    <definedName name="Z_15005374_3D8B_4857_9354_7BE7BE01F665_.wvu.PrintTitles" localSheetId="20" hidden="1">'12 Ext'!$1:$2</definedName>
    <definedName name="Z_26968244_1A49_430F_AD71_8F0775F9BB68_.wvu.FilterData" localSheetId="10" hidden="1">'02 Sit'!$G$3:$K$176</definedName>
    <definedName name="Z_26968244_1A49_430F_AD71_8F0775F9BB68_.wvu.PrintTitles" localSheetId="10" hidden="1">'02 Sit'!$1:$2</definedName>
    <definedName name="Z_26968244_1A49_430F_AD71_8F0775F9BB68_.wvu.PrintTitles" localSheetId="11" hidden="1">'03 Loc'!$1:$2</definedName>
    <definedName name="_xlnm.Print_Area" localSheetId="30">Obj_PA!$A:$BD</definedName>
    <definedName name="_xlnm.Print_Area" localSheetId="31">Obj_Projets!$A:$P</definedName>
    <definedName name="_xlnm.Print_Area" localSheetId="29">Plans_action!$A:$R</definedName>
    <definedName name="_xlnm.Print_Area" localSheetId="23">Services!$A:$K</definedName>
    <definedName name="_xlnm.Print_Area" localSheetId="24">Thèmes!$A:$C</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B25" i="56" l="1"/>
  <c r="B24" i="56"/>
  <c r="B23" i="56"/>
  <c r="B22" i="56"/>
  <c r="B25" i="11"/>
  <c r="B24" i="11"/>
  <c r="B23" i="11"/>
  <c r="B22" i="11"/>
  <c r="AZ388" i="54" l="1"/>
  <c r="AZ387" i="54"/>
  <c r="AZ386" i="54"/>
  <c r="AZ385" i="54"/>
  <c r="AZ384" i="54"/>
  <c r="AZ383" i="54"/>
  <c r="AZ382" i="54"/>
  <c r="AZ381" i="54"/>
  <c r="AZ380" i="54"/>
  <c r="AZ379" i="54"/>
  <c r="AZ378" i="54"/>
  <c r="AZ377" i="54"/>
  <c r="AZ376" i="54"/>
  <c r="AZ375" i="54"/>
  <c r="AZ374" i="54"/>
  <c r="AZ373" i="54"/>
  <c r="AZ372" i="54"/>
  <c r="AZ371" i="54"/>
  <c r="AZ370" i="54"/>
  <c r="AZ369" i="54"/>
  <c r="AZ368" i="54"/>
  <c r="AZ367" i="54"/>
  <c r="AZ366" i="54"/>
  <c r="AZ365" i="54"/>
  <c r="AZ364" i="54"/>
  <c r="AZ363" i="54"/>
  <c r="AZ362" i="54"/>
  <c r="AZ361" i="54"/>
  <c r="AZ360" i="54"/>
  <c r="AZ359" i="54"/>
  <c r="AZ358" i="54"/>
  <c r="AZ357" i="54"/>
  <c r="AZ356" i="54"/>
  <c r="AZ355" i="54"/>
  <c r="AZ354" i="54"/>
  <c r="AZ353" i="54"/>
  <c r="AZ348" i="54"/>
  <c r="AZ343" i="54"/>
  <c r="AZ338" i="54"/>
  <c r="AZ332" i="54"/>
  <c r="AZ327" i="54"/>
  <c r="AZ322" i="54"/>
  <c r="AZ321" i="54"/>
  <c r="AZ317" i="54"/>
  <c r="AZ316" i="54"/>
  <c r="AZ315" i="54"/>
  <c r="AZ314" i="54"/>
  <c r="AZ313" i="54"/>
  <c r="AZ309" i="54"/>
  <c r="AZ307" i="54"/>
  <c r="AZ304" i="54"/>
  <c r="AZ303" i="54"/>
  <c r="AZ302" i="54"/>
  <c r="AZ301" i="54"/>
  <c r="AZ298" i="54"/>
  <c r="AZ297" i="54"/>
  <c r="AZ296" i="54"/>
  <c r="AZ292" i="54"/>
  <c r="AZ285" i="54"/>
  <c r="AZ284" i="54"/>
  <c r="AZ283" i="54"/>
  <c r="AZ282" i="54"/>
  <c r="AZ276" i="54"/>
  <c r="AZ275" i="54"/>
  <c r="AZ272" i="54"/>
  <c r="AZ271" i="54"/>
  <c r="AZ270" i="54"/>
  <c r="AZ268" i="54"/>
  <c r="AZ266" i="54"/>
  <c r="AZ265" i="54"/>
  <c r="AZ264" i="54"/>
  <c r="AZ260" i="54"/>
  <c r="AZ257" i="54"/>
  <c r="AZ256" i="54"/>
  <c r="AZ254" i="54"/>
  <c r="AZ253" i="54"/>
  <c r="AZ252" i="54"/>
  <c r="AZ251" i="54"/>
  <c r="AZ250" i="54"/>
  <c r="AZ249" i="54"/>
  <c r="AZ248" i="54"/>
  <c r="AZ247" i="54"/>
  <c r="AZ246" i="54"/>
  <c r="AZ245" i="54"/>
  <c r="AZ244" i="54"/>
  <c r="AZ240" i="54"/>
  <c r="AZ236" i="54"/>
  <c r="AZ233" i="54"/>
  <c r="AZ229" i="54"/>
  <c r="AZ223" i="54"/>
  <c r="AZ217" i="54"/>
  <c r="AZ216" i="54"/>
  <c r="AZ212" i="54"/>
  <c r="AZ211" i="54"/>
  <c r="AZ210" i="54"/>
  <c r="AZ209" i="54"/>
  <c r="AZ205" i="54"/>
  <c r="AZ201" i="54"/>
  <c r="AZ190" i="54"/>
  <c r="AZ183" i="54"/>
  <c r="AZ182" i="54"/>
  <c r="AZ178" i="54"/>
  <c r="AZ177" i="54"/>
  <c r="AZ176" i="54"/>
  <c r="AZ170" i="54"/>
  <c r="AZ169" i="54"/>
  <c r="AZ168" i="54"/>
  <c r="AZ167" i="54"/>
  <c r="AZ166" i="54"/>
  <c r="AZ164" i="54"/>
  <c r="AZ161" i="54"/>
  <c r="AZ159" i="54"/>
  <c r="AZ153" i="54"/>
  <c r="AZ152" i="54"/>
  <c r="AZ151" i="54"/>
  <c r="AZ150" i="54"/>
  <c r="AZ149" i="54"/>
  <c r="AZ148" i="54"/>
  <c r="AZ144" i="54"/>
  <c r="AZ141" i="54"/>
  <c r="AZ140" i="54"/>
  <c r="AZ139" i="54"/>
  <c r="AZ138" i="54"/>
  <c r="AZ137" i="54"/>
  <c r="AZ132" i="54"/>
  <c r="AZ131" i="54"/>
  <c r="AZ127" i="54"/>
  <c r="AZ122" i="54"/>
  <c r="AZ112" i="54"/>
  <c r="AZ105" i="54"/>
  <c r="AZ104" i="54"/>
  <c r="AZ103" i="54"/>
  <c r="AZ99" i="54"/>
  <c r="AZ96" i="54"/>
  <c r="AZ93" i="54"/>
  <c r="AZ92" i="54"/>
  <c r="AZ85" i="54"/>
  <c r="AZ84" i="54"/>
  <c r="AZ80" i="54"/>
  <c r="AZ76" i="54"/>
  <c r="AZ75" i="54"/>
  <c r="AZ67" i="54"/>
  <c r="AZ60" i="54"/>
  <c r="AZ59" i="54"/>
  <c r="AZ51" i="54"/>
  <c r="AZ44" i="54"/>
  <c r="AZ43" i="54"/>
  <c r="AZ42" i="54"/>
  <c r="AZ36" i="54"/>
  <c r="AZ35" i="54"/>
  <c r="AZ31" i="54"/>
  <c r="AZ30" i="54"/>
  <c r="AZ29" i="54"/>
  <c r="AZ28" i="54"/>
  <c r="AZ27" i="54"/>
  <c r="AZ26" i="54"/>
  <c r="AZ25" i="54"/>
  <c r="AZ24" i="54"/>
  <c r="AZ23" i="54"/>
  <c r="AZ22" i="54"/>
  <c r="AZ21" i="54"/>
  <c r="AZ19" i="54"/>
  <c r="AZ18" i="54"/>
  <c r="AZ17" i="54"/>
  <c r="AZ16" i="54"/>
  <c r="AZ15" i="54"/>
  <c r="AZ14" i="54"/>
  <c r="AZ13" i="54"/>
  <c r="AZ12" i="54"/>
  <c r="AZ11" i="54"/>
  <c r="AZ10" i="54"/>
  <c r="AZ9" i="54"/>
  <c r="AZ8" i="54"/>
  <c r="AZ7" i="54"/>
  <c r="AZ6" i="54"/>
  <c r="T1" i="24"/>
  <c r="K2" i="25"/>
  <c r="U20" i="24" l="1"/>
  <c r="AY388" i="54" l="1"/>
  <c r="AY387" i="54"/>
  <c r="AY386" i="54"/>
  <c r="AY385" i="54"/>
  <c r="AY384" i="54"/>
  <c r="AY383" i="54"/>
  <c r="AY382" i="54"/>
  <c r="AY381" i="54"/>
  <c r="AY380" i="54"/>
  <c r="AY379" i="54"/>
  <c r="AY378" i="54"/>
  <c r="AY377" i="54"/>
  <c r="AY376" i="54"/>
  <c r="AY375" i="54"/>
  <c r="AY374" i="54"/>
  <c r="AY373" i="54"/>
  <c r="AY372" i="54"/>
  <c r="AY371" i="54"/>
  <c r="AY370" i="54"/>
  <c r="AY369" i="54"/>
  <c r="AY368" i="54"/>
  <c r="AY367" i="54"/>
  <c r="AY366" i="54"/>
  <c r="AY365" i="54"/>
  <c r="AY364" i="54"/>
  <c r="AY363" i="54"/>
  <c r="AY362" i="54"/>
  <c r="AY361" i="54"/>
  <c r="AY360" i="54"/>
  <c r="AY359" i="54"/>
  <c r="AY358" i="54"/>
  <c r="AY357" i="54"/>
  <c r="AY356" i="54"/>
  <c r="AY355" i="54"/>
  <c r="AY354" i="54"/>
  <c r="AY353" i="54"/>
  <c r="AY352" i="54"/>
  <c r="AY351" i="54"/>
  <c r="AY350" i="54"/>
  <c r="AY349" i="54"/>
  <c r="AY348" i="54"/>
  <c r="AY347" i="54"/>
  <c r="AY346" i="54"/>
  <c r="AY345" i="54"/>
  <c r="AY344" i="54"/>
  <c r="AY343" i="54"/>
  <c r="AY342" i="54"/>
  <c r="AY341" i="54"/>
  <c r="AY340" i="54"/>
  <c r="AY339" i="54"/>
  <c r="AY338" i="54"/>
  <c r="AY337" i="54"/>
  <c r="AY336" i="54"/>
  <c r="AY335" i="54"/>
  <c r="AY334" i="54"/>
  <c r="AY333" i="54"/>
  <c r="AY332" i="54"/>
  <c r="AY331" i="54"/>
  <c r="AY330" i="54"/>
  <c r="AY329" i="54"/>
  <c r="AY328" i="54"/>
  <c r="AY327" i="54"/>
  <c r="AY326" i="54"/>
  <c r="AY325" i="54"/>
  <c r="AY324" i="54"/>
  <c r="AY323" i="54"/>
  <c r="AY322" i="54"/>
  <c r="AY321" i="54"/>
  <c r="AY320" i="54"/>
  <c r="AY319" i="54"/>
  <c r="AY318" i="54"/>
  <c r="AY317" i="54"/>
  <c r="AY316" i="54"/>
  <c r="AY315" i="54"/>
  <c r="AY314" i="54"/>
  <c r="AY313" i="54"/>
  <c r="AY312" i="54"/>
  <c r="AY311" i="54"/>
  <c r="AY310" i="54"/>
  <c r="AY309" i="54"/>
  <c r="AY308" i="54"/>
  <c r="AY307" i="54"/>
  <c r="AY306" i="54"/>
  <c r="AY305" i="54"/>
  <c r="AY304" i="54"/>
  <c r="AY303" i="54"/>
  <c r="AY302" i="54"/>
  <c r="AY301" i="54"/>
  <c r="AY300" i="54"/>
  <c r="AY299" i="54"/>
  <c r="AY298" i="54"/>
  <c r="AY297" i="54"/>
  <c r="AY296" i="54"/>
  <c r="AY295" i="54"/>
  <c r="AY294" i="54"/>
  <c r="AY293" i="54"/>
  <c r="AY292" i="54"/>
  <c r="AY291" i="54"/>
  <c r="AY290" i="54"/>
  <c r="AY289" i="54"/>
  <c r="AY288" i="54"/>
  <c r="AY287" i="54"/>
  <c r="AY286" i="54"/>
  <c r="AY285" i="54"/>
  <c r="AY284" i="54"/>
  <c r="AY283" i="54"/>
  <c r="AY282" i="54"/>
  <c r="AY281" i="54"/>
  <c r="AY280" i="54"/>
  <c r="AY279" i="54"/>
  <c r="AY278" i="54"/>
  <c r="AY277" i="54"/>
  <c r="AY276" i="54"/>
  <c r="AY275" i="54"/>
  <c r="AY274" i="54"/>
  <c r="AY273" i="54"/>
  <c r="AY272" i="54"/>
  <c r="AY271" i="54"/>
  <c r="AY270" i="54"/>
  <c r="AY269" i="54"/>
  <c r="AY268" i="54"/>
  <c r="AY267" i="54"/>
  <c r="AY266" i="54"/>
  <c r="AY265" i="54"/>
  <c r="AY264" i="54"/>
  <c r="AY263" i="54"/>
  <c r="AY262" i="54"/>
  <c r="AY261" i="54"/>
  <c r="AY260" i="54"/>
  <c r="AY259" i="54"/>
  <c r="AY258" i="54"/>
  <c r="AY257" i="54"/>
  <c r="AY256" i="54"/>
  <c r="AY255" i="54"/>
  <c r="AY254" i="54"/>
  <c r="AY253" i="54"/>
  <c r="AY252" i="54"/>
  <c r="AY251" i="54"/>
  <c r="AY250" i="54"/>
  <c r="AY249" i="54"/>
  <c r="AY248" i="54"/>
  <c r="AY247" i="54"/>
  <c r="AY246" i="54"/>
  <c r="AY245" i="54"/>
  <c r="AY244" i="54"/>
  <c r="AY243" i="54"/>
  <c r="AY242" i="54"/>
  <c r="AY241" i="54"/>
  <c r="AY240" i="54"/>
  <c r="AY239" i="54"/>
  <c r="AY238" i="54"/>
  <c r="AY237" i="54"/>
  <c r="AY236" i="54"/>
  <c r="AY235" i="54"/>
  <c r="AY234" i="54"/>
  <c r="AY233" i="54"/>
  <c r="AY232" i="54"/>
  <c r="AY231" i="54"/>
  <c r="AY230" i="54"/>
  <c r="AY229" i="54"/>
  <c r="AY228" i="54"/>
  <c r="AY227" i="54"/>
  <c r="AY226" i="54"/>
  <c r="AY225" i="54"/>
  <c r="AY224" i="54"/>
  <c r="AY223" i="54"/>
  <c r="AY222" i="54"/>
  <c r="AY221" i="54"/>
  <c r="AY220" i="54"/>
  <c r="AY219" i="54"/>
  <c r="AY218" i="54"/>
  <c r="AY217" i="54"/>
  <c r="AY216" i="54"/>
  <c r="AY215" i="54"/>
  <c r="AY214" i="54"/>
  <c r="AY213" i="54"/>
  <c r="AY212" i="54"/>
  <c r="AY211" i="54"/>
  <c r="AY210" i="54"/>
  <c r="AY209" i="54"/>
  <c r="AY208" i="54"/>
  <c r="AY207" i="54"/>
  <c r="AY206" i="54"/>
  <c r="AY205" i="54"/>
  <c r="AY204" i="54"/>
  <c r="AY203" i="54"/>
  <c r="AY202" i="54"/>
  <c r="AY201" i="54"/>
  <c r="AY200" i="54"/>
  <c r="AY199" i="54"/>
  <c r="AY198" i="54"/>
  <c r="AY197" i="54"/>
  <c r="AY196" i="54"/>
  <c r="AY195" i="54"/>
  <c r="AY194" i="54"/>
  <c r="AY193" i="54"/>
  <c r="AY192" i="54"/>
  <c r="AY191" i="54"/>
  <c r="AY190" i="54"/>
  <c r="AY189" i="54"/>
  <c r="AY188" i="54"/>
  <c r="AY187" i="54"/>
  <c r="AY186" i="54"/>
  <c r="AY185" i="54"/>
  <c r="AY184" i="54"/>
  <c r="AY183" i="54"/>
  <c r="AY182" i="54"/>
  <c r="AY181" i="54"/>
  <c r="AY180" i="54"/>
  <c r="AY179" i="54"/>
  <c r="AY178" i="54"/>
  <c r="AY177" i="54"/>
  <c r="AY176" i="54"/>
  <c r="AY175" i="54"/>
  <c r="AY174" i="54"/>
  <c r="AY173" i="54"/>
  <c r="AY172" i="54"/>
  <c r="AY171" i="54"/>
  <c r="AY170" i="54"/>
  <c r="AY169" i="54"/>
  <c r="AY168" i="54"/>
  <c r="AY167" i="54"/>
  <c r="AY166" i="54"/>
  <c r="AY165" i="54"/>
  <c r="AY164" i="54"/>
  <c r="AY163" i="54"/>
  <c r="AY162" i="54"/>
  <c r="AY161" i="54"/>
  <c r="AY160" i="54"/>
  <c r="AY159" i="54"/>
  <c r="AY158" i="54"/>
  <c r="AY157" i="54"/>
  <c r="AY156" i="54"/>
  <c r="AY155" i="54"/>
  <c r="AY154" i="54"/>
  <c r="AY153" i="54"/>
  <c r="AY152" i="54"/>
  <c r="AY151" i="54"/>
  <c r="AY150" i="54"/>
  <c r="AY149" i="54"/>
  <c r="AY148" i="54"/>
  <c r="AY147" i="54"/>
  <c r="AY146" i="54"/>
  <c r="AY145" i="54"/>
  <c r="AY144" i="54"/>
  <c r="AY143" i="54"/>
  <c r="AY142" i="54"/>
  <c r="AY141" i="54"/>
  <c r="AY140" i="54"/>
  <c r="AY139" i="54"/>
  <c r="AY138" i="54"/>
  <c r="AY137" i="54"/>
  <c r="AY136" i="54"/>
  <c r="AY135" i="54"/>
  <c r="AY134" i="54"/>
  <c r="AY133" i="54"/>
  <c r="AY132" i="54"/>
  <c r="AY131" i="54"/>
  <c r="AY130" i="54"/>
  <c r="AY129" i="54"/>
  <c r="AY128" i="54"/>
  <c r="AY127" i="54"/>
  <c r="AY126" i="54"/>
  <c r="AY125" i="54"/>
  <c r="AY124" i="54"/>
  <c r="AY123" i="54"/>
  <c r="AY122" i="54"/>
  <c r="AY121" i="54"/>
  <c r="AY120" i="54"/>
  <c r="AY119" i="54"/>
  <c r="AY118" i="54"/>
  <c r="AY117" i="54"/>
  <c r="AY116" i="54"/>
  <c r="AY115" i="54"/>
  <c r="AY114" i="54"/>
  <c r="AY113" i="54"/>
  <c r="AY112" i="54"/>
  <c r="AY111" i="54"/>
  <c r="AY110" i="54"/>
  <c r="AY109" i="54"/>
  <c r="AY108" i="54"/>
  <c r="AY107" i="54"/>
  <c r="AY106" i="54"/>
  <c r="AY105" i="54"/>
  <c r="AY104" i="54"/>
  <c r="AY103" i="54"/>
  <c r="AY102" i="54"/>
  <c r="AY101" i="54"/>
  <c r="AY100" i="54"/>
  <c r="AY99" i="54"/>
  <c r="AY98" i="54"/>
  <c r="AY97" i="54"/>
  <c r="AY96" i="54"/>
  <c r="AY95" i="54"/>
  <c r="AY94" i="54"/>
  <c r="AY93" i="54"/>
  <c r="AY92" i="54"/>
  <c r="AY91" i="54"/>
  <c r="AY90" i="54"/>
  <c r="AY89" i="54"/>
  <c r="AY88" i="54"/>
  <c r="AY87" i="54"/>
  <c r="AY86" i="54"/>
  <c r="AY85" i="54"/>
  <c r="AY84" i="54"/>
  <c r="AY83" i="54"/>
  <c r="AY82" i="54"/>
  <c r="AY81" i="54"/>
  <c r="AY80" i="54"/>
  <c r="AY79" i="54"/>
  <c r="AY78" i="54"/>
  <c r="AY77" i="54"/>
  <c r="AY76" i="54"/>
  <c r="AY75" i="54"/>
  <c r="AY74" i="54"/>
  <c r="AY73" i="54"/>
  <c r="AY72" i="54"/>
  <c r="AY71" i="54"/>
  <c r="AY70" i="54"/>
  <c r="AY69" i="54"/>
  <c r="AY68" i="54"/>
  <c r="AY67" i="54"/>
  <c r="AY66" i="54"/>
  <c r="AY65" i="54"/>
  <c r="AY64" i="54"/>
  <c r="AY63" i="54"/>
  <c r="AY62" i="54"/>
  <c r="AY61" i="54"/>
  <c r="AY60" i="54"/>
  <c r="AY59" i="54"/>
  <c r="AY58" i="54"/>
  <c r="AY57" i="54"/>
  <c r="AY56" i="54"/>
  <c r="AY55" i="54"/>
  <c r="AY54" i="54"/>
  <c r="AY53" i="54"/>
  <c r="AY52" i="54"/>
  <c r="AY51" i="54"/>
  <c r="AY50" i="54"/>
  <c r="AY49" i="54"/>
  <c r="AY48" i="54"/>
  <c r="AY47" i="54"/>
  <c r="AY46" i="54"/>
  <c r="AY45" i="54"/>
  <c r="AY44" i="54"/>
  <c r="AY43" i="54"/>
  <c r="AY42" i="54"/>
  <c r="AY41" i="54"/>
  <c r="AY40" i="54"/>
  <c r="AY39" i="54"/>
  <c r="AY38" i="54"/>
  <c r="AY37" i="54"/>
  <c r="AY36" i="54"/>
  <c r="AY35" i="54"/>
  <c r="AY34" i="54"/>
  <c r="AY33" i="54"/>
  <c r="AY32" i="54"/>
  <c r="AY31" i="54"/>
  <c r="AY30" i="54"/>
  <c r="AY29" i="54"/>
  <c r="AY28" i="54"/>
  <c r="AY27" i="54"/>
  <c r="AY26" i="54"/>
  <c r="AY25" i="54"/>
  <c r="AY24" i="54"/>
  <c r="AY23" i="54"/>
  <c r="AY22" i="54"/>
  <c r="AY21" i="54"/>
  <c r="AY20" i="54"/>
  <c r="AY19" i="54"/>
  <c r="AY18" i="54"/>
  <c r="AY17" i="54"/>
  <c r="AY16" i="54"/>
  <c r="AY15" i="54"/>
  <c r="AY14" i="54"/>
  <c r="AY13" i="54"/>
  <c r="AY12" i="54"/>
  <c r="AY11" i="54"/>
  <c r="AY10" i="54"/>
  <c r="AY9" i="54"/>
  <c r="AY8" i="54"/>
  <c r="AY7" i="54"/>
  <c r="AY6" i="54"/>
  <c r="P852" i="55"/>
  <c r="P853" i="55" s="1"/>
  <c r="D1" i="41"/>
  <c r="D1" i="39"/>
  <c r="D1" i="36"/>
  <c r="D1" i="32"/>
  <c r="E207" i="21"/>
  <c r="F207" i="21"/>
  <c r="G207" i="21"/>
  <c r="H207" i="21"/>
  <c r="E13" i="21"/>
  <c r="F13" i="21"/>
  <c r="G13" i="21"/>
  <c r="H13" i="21"/>
  <c r="E14" i="21"/>
  <c r="F14" i="21"/>
  <c r="G14" i="21"/>
  <c r="H14" i="21"/>
  <c r="E15" i="21"/>
  <c r="F15" i="21"/>
  <c r="G15" i="21"/>
  <c r="H15" i="21"/>
  <c r="E16" i="21"/>
  <c r="F16" i="21"/>
  <c r="G16" i="21"/>
  <c r="H16" i="21"/>
  <c r="E17" i="21"/>
  <c r="F17" i="21"/>
  <c r="G17" i="21"/>
  <c r="H17" i="21"/>
  <c r="E19" i="21"/>
  <c r="F19" i="21"/>
  <c r="G19" i="21"/>
  <c r="H19" i="21"/>
  <c r="E20" i="21"/>
  <c r="F20" i="21"/>
  <c r="G20" i="21"/>
  <c r="I20" i="21" s="1"/>
  <c r="H20" i="21"/>
  <c r="E21" i="21"/>
  <c r="F21" i="21"/>
  <c r="G21" i="21"/>
  <c r="H21" i="21"/>
  <c r="E22" i="21"/>
  <c r="F22" i="21"/>
  <c r="G22" i="21"/>
  <c r="I22" i="21" s="1"/>
  <c r="H22" i="21"/>
  <c r="E23" i="21"/>
  <c r="F23" i="21"/>
  <c r="G23" i="21"/>
  <c r="H23" i="21"/>
  <c r="E24" i="21"/>
  <c r="F24" i="21"/>
  <c r="G24" i="21"/>
  <c r="H24" i="21"/>
  <c r="E315" i="21"/>
  <c r="F315" i="21"/>
  <c r="G315" i="21"/>
  <c r="H315" i="21"/>
  <c r="AQ290" i="55"/>
  <c r="AR290" i="55"/>
  <c r="AS290" i="55"/>
  <c r="AO6" i="10"/>
  <c r="AO7" i="10"/>
  <c r="AO8" i="10"/>
  <c r="AO9" i="10"/>
  <c r="AO10" i="10"/>
  <c r="AO11" i="10"/>
  <c r="AO12" i="10"/>
  <c r="AO13" i="10"/>
  <c r="AO14" i="10"/>
  <c r="AO15" i="10"/>
  <c r="AO16" i="10"/>
  <c r="AO17" i="10"/>
  <c r="AO18" i="10"/>
  <c r="AO19" i="10"/>
  <c r="AO20" i="10"/>
  <c r="AO22" i="10"/>
  <c r="AO23" i="10"/>
  <c r="AO24" i="10"/>
  <c r="AO25" i="10"/>
  <c r="G37" i="14"/>
  <c r="T290" i="55"/>
  <c r="AE290" i="55" s="1"/>
  <c r="AQ366" i="55"/>
  <c r="AR366" i="55"/>
  <c r="AS366" i="55"/>
  <c r="BA6" i="10"/>
  <c r="BA7" i="10"/>
  <c r="BA8" i="10"/>
  <c r="BA9" i="10"/>
  <c r="BA10" i="10"/>
  <c r="BA11" i="10"/>
  <c r="BA12" i="10"/>
  <c r="BA13" i="10"/>
  <c r="BA14" i="10"/>
  <c r="BA15" i="10"/>
  <c r="BA16" i="10"/>
  <c r="BA17" i="10"/>
  <c r="BA18" i="10"/>
  <c r="BA19" i="10"/>
  <c r="BA20" i="10"/>
  <c r="BA22" i="10"/>
  <c r="BA23" i="10"/>
  <c r="BA24" i="10"/>
  <c r="BA25" i="10"/>
  <c r="G18" i="14"/>
  <c r="T366" i="55"/>
  <c r="AE366" i="55" s="1"/>
  <c r="AQ601" i="55"/>
  <c r="AR601" i="55"/>
  <c r="AS601" i="55"/>
  <c r="C6" i="11"/>
  <c r="AD6" i="11" s="1"/>
  <c r="C7" i="11"/>
  <c r="AD7" i="11" s="1"/>
  <c r="C8" i="11"/>
  <c r="C9" i="11"/>
  <c r="AD9" i="11"/>
  <c r="C10" i="11"/>
  <c r="AD10" i="11" s="1"/>
  <c r="C11" i="11"/>
  <c r="AD11" i="11"/>
  <c r="C12" i="11"/>
  <c r="C13" i="11"/>
  <c r="AD13" i="11" s="1"/>
  <c r="C14" i="11"/>
  <c r="AD14" i="11" s="1"/>
  <c r="C15" i="11"/>
  <c r="AD15" i="11" s="1"/>
  <c r="C16" i="11"/>
  <c r="C17" i="11"/>
  <c r="AD17" i="11"/>
  <c r="C18" i="11"/>
  <c r="AD18" i="11" s="1"/>
  <c r="C19" i="11"/>
  <c r="AD19" i="11"/>
  <c r="C20" i="11"/>
  <c r="C22" i="11"/>
  <c r="AD22" i="11" s="1"/>
  <c r="C23" i="11"/>
  <c r="AD23" i="11" s="1"/>
  <c r="C24" i="11"/>
  <c r="AD24" i="11" s="1"/>
  <c r="C25" i="11"/>
  <c r="G13" i="14"/>
  <c r="T601" i="55"/>
  <c r="AE601" i="55" s="1"/>
  <c r="AQ734" i="55"/>
  <c r="AR734" i="55"/>
  <c r="AS734" i="55"/>
  <c r="AK6" i="11"/>
  <c r="AK9" i="11"/>
  <c r="AK10" i="11"/>
  <c r="AK11" i="11"/>
  <c r="AK14" i="11"/>
  <c r="AK15" i="11"/>
  <c r="AK17" i="11"/>
  <c r="AK19" i="11"/>
  <c r="AK23" i="11"/>
  <c r="G32" i="14"/>
  <c r="T734" i="55"/>
  <c r="E301" i="21"/>
  <c r="F301" i="21"/>
  <c r="G301" i="21"/>
  <c r="H301" i="21"/>
  <c r="D301" i="53"/>
  <c r="AQ800" i="55"/>
  <c r="AR800" i="55"/>
  <c r="AS800" i="55"/>
  <c r="AH6" i="11"/>
  <c r="AH7" i="11"/>
  <c r="AH9" i="11"/>
  <c r="AH11" i="11"/>
  <c r="AH13" i="11"/>
  <c r="AH14" i="11"/>
  <c r="AH17" i="11"/>
  <c r="AH18" i="11"/>
  <c r="AH19" i="11"/>
  <c r="AH23" i="11"/>
  <c r="AH24" i="11"/>
  <c r="T800" i="55"/>
  <c r="AE800" i="55" s="1"/>
  <c r="G3" i="14"/>
  <c r="T723" i="55"/>
  <c r="AE723" i="55" s="1"/>
  <c r="G4" i="14"/>
  <c r="T722" i="55" s="1"/>
  <c r="AE722" i="55" s="1"/>
  <c r="G15" i="14"/>
  <c r="T721" i="55" s="1"/>
  <c r="AE721" i="55" s="1"/>
  <c r="G8" i="14"/>
  <c r="G9" i="14"/>
  <c r="T655" i="55" s="1"/>
  <c r="AE655" i="55" s="1"/>
  <c r="G39" i="14"/>
  <c r="T718" i="55"/>
  <c r="AE718" i="55" s="1"/>
  <c r="G40" i="14"/>
  <c r="T714" i="55" s="1"/>
  <c r="AE714" i="55" s="1"/>
  <c r="G6" i="14"/>
  <c r="G14" i="14"/>
  <c r="T710" i="55"/>
  <c r="AE710" i="55" s="1"/>
  <c r="G20" i="14"/>
  <c r="T703" i="55" s="1"/>
  <c r="AE703" i="55" s="1"/>
  <c r="G22" i="14"/>
  <c r="T701" i="55" s="1"/>
  <c r="AE701" i="55" s="1"/>
  <c r="T697" i="55"/>
  <c r="AE697" i="55" s="1"/>
  <c r="G17" i="14"/>
  <c r="T690" i="55" s="1"/>
  <c r="AE690" i="55" s="1"/>
  <c r="G12" i="14"/>
  <c r="T625" i="55" s="1"/>
  <c r="AE625" i="55" s="1"/>
  <c r="T671" i="55"/>
  <c r="AE671" i="55" s="1"/>
  <c r="T670" i="55"/>
  <c r="AE670" i="55"/>
  <c r="T667" i="55"/>
  <c r="AE667" i="55" s="1"/>
  <c r="G28" i="14"/>
  <c r="T664" i="55"/>
  <c r="AE664" i="55"/>
  <c r="T658" i="55"/>
  <c r="AE658" i="55" s="1"/>
  <c r="T657" i="55"/>
  <c r="AE657" i="55" s="1"/>
  <c r="T656" i="55"/>
  <c r="AE656" i="55" s="1"/>
  <c r="T654" i="55"/>
  <c r="AE654" i="55" s="1"/>
  <c r="G5" i="14"/>
  <c r="T509" i="55" s="1"/>
  <c r="AE509" i="55" s="1"/>
  <c r="T649" i="55"/>
  <c r="AE649" i="55" s="1"/>
  <c r="T647" i="55"/>
  <c r="AE647" i="55" s="1"/>
  <c r="T638" i="55"/>
  <c r="AE638" i="55" s="1"/>
  <c r="T634" i="55"/>
  <c r="AE634" i="55" s="1"/>
  <c r="T626" i="55"/>
  <c r="AE626" i="55" s="1"/>
  <c r="G24" i="14"/>
  <c r="T608" i="55"/>
  <c r="AE608" i="55" s="1"/>
  <c r="T607" i="55"/>
  <c r="AE607" i="55" s="1"/>
  <c r="T604" i="55"/>
  <c r="AE604" i="55" s="1"/>
  <c r="T592" i="55"/>
  <c r="AE592" i="55"/>
  <c r="T591" i="55"/>
  <c r="AE591" i="55" s="1"/>
  <c r="T588" i="55"/>
  <c r="AE588" i="55" s="1"/>
  <c r="T585" i="55"/>
  <c r="AE585" i="55" s="1"/>
  <c r="T584" i="55"/>
  <c r="AE584" i="55" s="1"/>
  <c r="T583" i="55"/>
  <c r="AE583" i="55" s="1"/>
  <c r="T581" i="55"/>
  <c r="AE581" i="55" s="1"/>
  <c r="T578" i="55"/>
  <c r="AE578" i="55" s="1"/>
  <c r="T576" i="55"/>
  <c r="AE576" i="55" s="1"/>
  <c r="T572" i="55"/>
  <c r="AE572" i="55" s="1"/>
  <c r="T565" i="55"/>
  <c r="AE565" i="55" s="1"/>
  <c r="T563" i="55"/>
  <c r="AE563" i="55" s="1"/>
  <c r="T559" i="55"/>
  <c r="AE559" i="55" s="1"/>
  <c r="T552" i="55"/>
  <c r="AE552" i="55" s="1"/>
  <c r="T533" i="55"/>
  <c r="AE533" i="55" s="1"/>
  <c r="T532" i="55"/>
  <c r="AE532" i="55" s="1"/>
  <c r="T529" i="55"/>
  <c r="AE529" i="55" s="1"/>
  <c r="T526" i="55"/>
  <c r="AE526" i="55" s="1"/>
  <c r="T521" i="55"/>
  <c r="AE521" i="55" s="1"/>
  <c r="T520" i="55"/>
  <c r="AE520" i="55" s="1"/>
  <c r="T519" i="55"/>
  <c r="AE519" i="55" s="1"/>
  <c r="T517" i="55"/>
  <c r="AE517" i="55" s="1"/>
  <c r="T514" i="55"/>
  <c r="AE514" i="55" s="1"/>
  <c r="T512" i="55"/>
  <c r="AE512" i="55" s="1"/>
  <c r="T508" i="55"/>
  <c r="AE508" i="55" s="1"/>
  <c r="T500" i="55"/>
  <c r="AE500" i="55" s="1"/>
  <c r="T498" i="55"/>
  <c r="AE498" i="55" s="1"/>
  <c r="T494" i="55"/>
  <c r="AE494" i="55" s="1"/>
  <c r="T487" i="55"/>
  <c r="AE487" i="55" s="1"/>
  <c r="T486" i="55"/>
  <c r="AE486" i="55" s="1"/>
  <c r="T468" i="55"/>
  <c r="AE468" i="55" s="1"/>
  <c r="T467" i="55"/>
  <c r="AE467" i="55" s="1"/>
  <c r="T464" i="55"/>
  <c r="AE464" i="55" s="1"/>
  <c r="T459" i="55"/>
  <c r="AE459" i="55" s="1"/>
  <c r="T458" i="55"/>
  <c r="AE458" i="55" s="1"/>
  <c r="T457" i="55"/>
  <c r="AE457" i="55" s="1"/>
  <c r="G29" i="14"/>
  <c r="T456" i="55" s="1"/>
  <c r="AE456" i="55" s="1"/>
  <c r="T454" i="55"/>
  <c r="AE454" i="55" s="1"/>
  <c r="T452" i="55"/>
  <c r="AE452" i="55" s="1"/>
  <c r="T449" i="55"/>
  <c r="AE449" i="55" s="1"/>
  <c r="T447" i="55"/>
  <c r="AE447" i="55" s="1"/>
  <c r="G30" i="14"/>
  <c r="T440" i="55" s="1"/>
  <c r="AE440" i="55" s="1"/>
  <c r="T437" i="55"/>
  <c r="AE437" i="55" s="1"/>
  <c r="T436" i="55"/>
  <c r="AE436" i="55" s="1"/>
  <c r="T431" i="55"/>
  <c r="AE431" i="55" s="1"/>
  <c r="T430" i="55"/>
  <c r="AE430" i="55" s="1"/>
  <c r="T429" i="55"/>
  <c r="AE429" i="55" s="1"/>
  <c r="T428" i="55"/>
  <c r="AE428" i="55" s="1"/>
  <c r="T426" i="55"/>
  <c r="AE426" i="55" s="1"/>
  <c r="T424" i="55"/>
  <c r="AE424" i="55" s="1"/>
  <c r="T421" i="55"/>
  <c r="AE421" i="55" s="1"/>
  <c r="T419" i="55"/>
  <c r="AE419" i="55" s="1"/>
  <c r="T412" i="55"/>
  <c r="AE412" i="55" s="1"/>
  <c r="T409" i="55"/>
  <c r="AE409" i="55" s="1"/>
  <c r="T408" i="55"/>
  <c r="AE408" i="55" s="1"/>
  <c r="T405" i="55"/>
  <c r="AE405" i="55" s="1"/>
  <c r="T404" i="55"/>
  <c r="AE404" i="55" s="1"/>
  <c r="T402" i="55"/>
  <c r="AE402" i="55" s="1"/>
  <c r="T398" i="55"/>
  <c r="AE398" i="55" s="1"/>
  <c r="T397" i="55"/>
  <c r="AE397" i="55" s="1"/>
  <c r="G7" i="14"/>
  <c r="T386" i="55" s="1"/>
  <c r="AE386" i="55" s="1"/>
  <c r="AE256" i="55"/>
  <c r="AE250" i="55"/>
  <c r="AE248" i="55"/>
  <c r="AE244" i="55"/>
  <c r="AE229" i="55"/>
  <c r="AE221" i="55"/>
  <c r="AE211" i="55"/>
  <c r="G38" i="14"/>
  <c r="T208" i="55" s="1"/>
  <c r="AE208" i="55" s="1"/>
  <c r="AE194" i="55"/>
  <c r="T190" i="55"/>
  <c r="AE190" i="55" s="1"/>
  <c r="T186" i="55"/>
  <c r="AE186" i="55" s="1"/>
  <c r="T183" i="55"/>
  <c r="AE183" i="55" s="1"/>
  <c r="T175" i="55"/>
  <c r="AE175" i="55" s="1"/>
  <c r="T174" i="55"/>
  <c r="AE174" i="55" s="1"/>
  <c r="T173" i="55"/>
  <c r="AE173" i="55" s="1"/>
  <c r="T172" i="55"/>
  <c r="AE172" i="55" s="1"/>
  <c r="T171" i="55"/>
  <c r="AE171" i="55" s="1"/>
  <c r="G41" i="14"/>
  <c r="T169" i="55" s="1"/>
  <c r="AE169" i="55" s="1"/>
  <c r="T168" i="55"/>
  <c r="AE168" i="55" s="1"/>
  <c r="T161" i="55"/>
  <c r="AE161" i="55" s="1"/>
  <c r="T155" i="55"/>
  <c r="AE155" i="55" s="1"/>
  <c r="T153" i="55"/>
  <c r="AE153" i="55" s="1"/>
  <c r="T152" i="55"/>
  <c r="AE152" i="55" s="1"/>
  <c r="T137" i="55"/>
  <c r="AE137" i="55" s="1"/>
  <c r="T134" i="55"/>
  <c r="AE134" i="55" s="1"/>
  <c r="T133" i="55"/>
  <c r="AE133" i="55" s="1"/>
  <c r="T129" i="55"/>
  <c r="AE129" i="55" s="1"/>
  <c r="T122" i="55"/>
  <c r="AE122" i="55" s="1"/>
  <c r="T121" i="55"/>
  <c r="AE121" i="55" s="1"/>
  <c r="T120" i="55"/>
  <c r="AE120" i="55" s="1"/>
  <c r="T117" i="55"/>
  <c r="AE117" i="55" s="1"/>
  <c r="T110" i="55"/>
  <c r="AE110" i="55" s="1"/>
  <c r="T95" i="55"/>
  <c r="AE95" i="55" s="1"/>
  <c r="T94" i="55"/>
  <c r="AE94" i="55" s="1"/>
  <c r="G21" i="14"/>
  <c r="T92" i="55" s="1"/>
  <c r="AE92" i="55" s="1"/>
  <c r="T91" i="55"/>
  <c r="AE91" i="55" s="1"/>
  <c r="T83" i="55"/>
  <c r="AE83" i="55" s="1"/>
  <c r="T82" i="55"/>
  <c r="AE82" i="55" s="1"/>
  <c r="T81" i="55"/>
  <c r="AE81" i="55" s="1"/>
  <c r="G11" i="14"/>
  <c r="T80" i="55" s="1"/>
  <c r="AE80" i="55" s="1"/>
  <c r="T74" i="55"/>
  <c r="AE74" i="55" s="1"/>
  <c r="T73" i="55"/>
  <c r="AE73" i="55" s="1"/>
  <c r="T72" i="55"/>
  <c r="AE72" i="55" s="1"/>
  <c r="T68" i="55"/>
  <c r="AE68" i="55" s="1"/>
  <c r="T64" i="55"/>
  <c r="AE64" i="55" s="1"/>
  <c r="T53" i="55"/>
  <c r="AE53" i="55" s="1"/>
  <c r="T52" i="55"/>
  <c r="AE52" i="55" s="1"/>
  <c r="T51" i="55"/>
  <c r="AE51" i="55" s="1"/>
  <c r="T50" i="55"/>
  <c r="AE50" i="55" s="1"/>
  <c r="T49" i="55"/>
  <c r="AE49" i="55" s="1"/>
  <c r="T48" i="55"/>
  <c r="AE48" i="55" s="1"/>
  <c r="T44" i="55"/>
  <c r="AE44" i="55" s="1"/>
  <c r="T42" i="55"/>
  <c r="AE42" i="55" s="1"/>
  <c r="T31" i="55"/>
  <c r="AE31" i="55" s="1"/>
  <c r="T30" i="55"/>
  <c r="AE30" i="55" s="1"/>
  <c r="T29" i="55"/>
  <c r="AE29" i="55" s="1"/>
  <c r="T11" i="55"/>
  <c r="AE11" i="55" s="1"/>
  <c r="T10" i="55"/>
  <c r="AE10" i="55" s="1"/>
  <c r="T7" i="55"/>
  <c r="AE7" i="55" s="1"/>
  <c r="C6" i="56"/>
  <c r="O6" i="56" s="1"/>
  <c r="C7" i="56"/>
  <c r="C8" i="56"/>
  <c r="O8" i="56" s="1"/>
  <c r="C9" i="56"/>
  <c r="C10" i="56"/>
  <c r="O10" i="56" s="1"/>
  <c r="C11" i="56"/>
  <c r="C12" i="56"/>
  <c r="O12" i="56" s="1"/>
  <c r="C13" i="56"/>
  <c r="K13" i="56" s="1"/>
  <c r="C14" i="56"/>
  <c r="O14" i="56" s="1"/>
  <c r="C15" i="56"/>
  <c r="C16" i="56"/>
  <c r="O16" i="56" s="1"/>
  <c r="C17" i="56"/>
  <c r="C18" i="56"/>
  <c r="O18" i="56" s="1"/>
  <c r="C19" i="56"/>
  <c r="C20" i="56"/>
  <c r="O20" i="56" s="1"/>
  <c r="C22" i="56"/>
  <c r="K22" i="56" s="1"/>
  <c r="C23" i="56"/>
  <c r="O23" i="56" s="1"/>
  <c r="C24" i="56"/>
  <c r="C25" i="56"/>
  <c r="O25" i="56" s="1"/>
  <c r="N6" i="56"/>
  <c r="N8" i="56"/>
  <c r="N10" i="56"/>
  <c r="N12" i="56"/>
  <c r="N14" i="56"/>
  <c r="N16" i="56"/>
  <c r="N18" i="56"/>
  <c r="N20" i="56"/>
  <c r="N23" i="56"/>
  <c r="N25" i="56"/>
  <c r="M7" i="56"/>
  <c r="M8" i="56"/>
  <c r="M11" i="56"/>
  <c r="M12" i="56"/>
  <c r="M15" i="56"/>
  <c r="M16" i="56"/>
  <c r="M19" i="56"/>
  <c r="M20" i="56"/>
  <c r="M24" i="56"/>
  <c r="M25" i="56"/>
  <c r="L6" i="56"/>
  <c r="L8" i="56"/>
  <c r="L10" i="56"/>
  <c r="L12" i="56"/>
  <c r="L14" i="56"/>
  <c r="L16" i="56"/>
  <c r="L18" i="56"/>
  <c r="L20" i="56"/>
  <c r="L23" i="56"/>
  <c r="L25" i="56"/>
  <c r="K6" i="56"/>
  <c r="K9" i="56"/>
  <c r="K10" i="56"/>
  <c r="K14" i="56"/>
  <c r="K17" i="56"/>
  <c r="K18" i="56"/>
  <c r="K23" i="56"/>
  <c r="J6" i="56"/>
  <c r="J8" i="56"/>
  <c r="J10" i="56"/>
  <c r="J12" i="56"/>
  <c r="J14" i="56"/>
  <c r="J16" i="56"/>
  <c r="J18" i="56"/>
  <c r="J20" i="56"/>
  <c r="J23" i="56"/>
  <c r="J25" i="56"/>
  <c r="AA6" i="11"/>
  <c r="AA7" i="11"/>
  <c r="AA8" i="11"/>
  <c r="AA9" i="11"/>
  <c r="AA10" i="11"/>
  <c r="AA11" i="11"/>
  <c r="AA12" i="11"/>
  <c r="AA13" i="11"/>
  <c r="AA14" i="11"/>
  <c r="AA15" i="11"/>
  <c r="AA16" i="11"/>
  <c r="AA17" i="11"/>
  <c r="AA18" i="11"/>
  <c r="AA19" i="11"/>
  <c r="AA20" i="11"/>
  <c r="AA22" i="11"/>
  <c r="AA23" i="11"/>
  <c r="AA24" i="11"/>
  <c r="AA25" i="11"/>
  <c r="AF6" i="11"/>
  <c r="AF7" i="11"/>
  <c r="AF8" i="11"/>
  <c r="AF9" i="11"/>
  <c r="AF10" i="11"/>
  <c r="AF11" i="11"/>
  <c r="AF12" i="11"/>
  <c r="AF13" i="11"/>
  <c r="AF14" i="11"/>
  <c r="AF15" i="11"/>
  <c r="AF16" i="11"/>
  <c r="AF17" i="11"/>
  <c r="AF18" i="11"/>
  <c r="AF19" i="11"/>
  <c r="AF20" i="11"/>
  <c r="AF23" i="11"/>
  <c r="AF24" i="11"/>
  <c r="AF25" i="11"/>
  <c r="AC6" i="11"/>
  <c r="AC7" i="11"/>
  <c r="AC8" i="11"/>
  <c r="AC9" i="11"/>
  <c r="AC10" i="11"/>
  <c r="AC11" i="11"/>
  <c r="AC12" i="11"/>
  <c r="AC13" i="11"/>
  <c r="AC14" i="11"/>
  <c r="AC15" i="11"/>
  <c r="AC16" i="11"/>
  <c r="AC17" i="11"/>
  <c r="AC18" i="11"/>
  <c r="AC19" i="11"/>
  <c r="AC20" i="11"/>
  <c r="AC23" i="11"/>
  <c r="AC24" i="11"/>
  <c r="AC25" i="11"/>
  <c r="Z6" i="11"/>
  <c r="Z7" i="11"/>
  <c r="Z8" i="11"/>
  <c r="Z9" i="11"/>
  <c r="Z10" i="11"/>
  <c r="Z11" i="11"/>
  <c r="Z12" i="11"/>
  <c r="Z13" i="11"/>
  <c r="Z14" i="11"/>
  <c r="Z15" i="11"/>
  <c r="Z16" i="11"/>
  <c r="Z17" i="11"/>
  <c r="Z18" i="11"/>
  <c r="Z19" i="11"/>
  <c r="Z20" i="11"/>
  <c r="Z23" i="11"/>
  <c r="Z24" i="11"/>
  <c r="Z25" i="11"/>
  <c r="X6" i="11"/>
  <c r="X7" i="11"/>
  <c r="X8" i="11"/>
  <c r="X9" i="11"/>
  <c r="X10" i="11"/>
  <c r="X11" i="11"/>
  <c r="X12" i="11"/>
  <c r="X13" i="11"/>
  <c r="X14" i="11"/>
  <c r="X15" i="11"/>
  <c r="X16" i="11"/>
  <c r="X17" i="11"/>
  <c r="X18" i="11"/>
  <c r="X19" i="11"/>
  <c r="X20" i="11"/>
  <c r="X22" i="11"/>
  <c r="X23" i="11"/>
  <c r="X24" i="11"/>
  <c r="X25" i="11"/>
  <c r="V6" i="11"/>
  <c r="V7" i="11"/>
  <c r="V8" i="11"/>
  <c r="V9" i="11"/>
  <c r="V10" i="11"/>
  <c r="V11" i="11"/>
  <c r="V12" i="11"/>
  <c r="V13" i="11"/>
  <c r="V14" i="11"/>
  <c r="V15" i="11"/>
  <c r="V16" i="11"/>
  <c r="V17" i="11"/>
  <c r="V18" i="11"/>
  <c r="V19" i="11"/>
  <c r="V20" i="11"/>
  <c r="V23" i="11"/>
  <c r="V24" i="11"/>
  <c r="V25" i="11"/>
  <c r="AG6" i="11"/>
  <c r="AG7" i="11"/>
  <c r="AG8" i="11"/>
  <c r="AG9" i="11"/>
  <c r="AG10" i="11"/>
  <c r="AG11" i="11"/>
  <c r="AG12" i="11"/>
  <c r="AG13" i="11"/>
  <c r="AG14" i="11"/>
  <c r="AG15" i="11"/>
  <c r="AG16" i="11"/>
  <c r="AG17" i="11"/>
  <c r="AG18" i="11"/>
  <c r="AG19" i="11"/>
  <c r="AG20" i="11"/>
  <c r="AG23" i="11"/>
  <c r="AG24" i="11"/>
  <c r="AG25" i="11"/>
  <c r="AE6" i="11"/>
  <c r="AE7" i="11"/>
  <c r="AE8" i="11"/>
  <c r="AE9" i="11"/>
  <c r="AE10" i="11"/>
  <c r="AE11" i="11"/>
  <c r="AE12" i="11"/>
  <c r="AE13" i="11"/>
  <c r="AE14" i="11"/>
  <c r="AE15" i="11"/>
  <c r="AE16" i="11"/>
  <c r="AE17" i="11"/>
  <c r="AE18" i="11"/>
  <c r="AE19" i="11"/>
  <c r="AE20" i="11"/>
  <c r="AE23" i="11"/>
  <c r="AE24" i="11"/>
  <c r="AE25" i="11"/>
  <c r="AB6" i="11"/>
  <c r="AB7" i="11"/>
  <c r="AB8" i="11"/>
  <c r="AB9" i="11"/>
  <c r="AB10" i="11"/>
  <c r="AB11" i="11"/>
  <c r="AB12" i="11"/>
  <c r="AB13" i="11"/>
  <c r="AB14" i="11"/>
  <c r="AB15" i="11"/>
  <c r="AB16" i="11"/>
  <c r="AB17" i="11"/>
  <c r="AB18" i="11"/>
  <c r="AB19" i="11"/>
  <c r="AB20" i="11"/>
  <c r="AB22" i="11"/>
  <c r="AB23" i="11"/>
  <c r="AB24" i="11"/>
  <c r="AB25" i="11"/>
  <c r="Y6" i="11"/>
  <c r="Y7" i="11"/>
  <c r="Y8" i="11"/>
  <c r="Y9" i="11"/>
  <c r="Y10" i="11"/>
  <c r="Y11" i="11"/>
  <c r="Y12" i="11"/>
  <c r="Y13" i="11"/>
  <c r="Y14" i="11"/>
  <c r="Y15" i="11"/>
  <c r="Y16" i="11"/>
  <c r="Y17" i="11"/>
  <c r="Y18" i="11"/>
  <c r="Y19" i="11"/>
  <c r="Y20" i="11"/>
  <c r="Y23" i="11"/>
  <c r="Y24" i="11"/>
  <c r="Y25" i="11"/>
  <c r="W6" i="11"/>
  <c r="W7" i="11"/>
  <c r="W8" i="11"/>
  <c r="W9" i="11"/>
  <c r="W10" i="11"/>
  <c r="W11" i="11"/>
  <c r="W12" i="11"/>
  <c r="W13" i="11"/>
  <c r="W14" i="11"/>
  <c r="W15" i="11"/>
  <c r="W16" i="11"/>
  <c r="W17" i="11"/>
  <c r="W18" i="11"/>
  <c r="W19" i="11"/>
  <c r="W20" i="11"/>
  <c r="W23" i="11"/>
  <c r="W24" i="11"/>
  <c r="W25" i="11"/>
  <c r="U6" i="11"/>
  <c r="U7" i="11"/>
  <c r="U8" i="11"/>
  <c r="U9" i="11"/>
  <c r="U10" i="11"/>
  <c r="U11" i="11"/>
  <c r="U12" i="11"/>
  <c r="U13" i="11"/>
  <c r="U14" i="11"/>
  <c r="U15" i="11"/>
  <c r="U16" i="11"/>
  <c r="U17" i="11"/>
  <c r="U18" i="11"/>
  <c r="U19" i="11"/>
  <c r="U20" i="11"/>
  <c r="U23" i="11"/>
  <c r="U24" i="11"/>
  <c r="U25" i="11"/>
  <c r="AJ6" i="11"/>
  <c r="AJ7" i="11"/>
  <c r="AJ8" i="11"/>
  <c r="AJ9" i="11"/>
  <c r="AJ10" i="11"/>
  <c r="AJ11" i="11"/>
  <c r="AJ12" i="11"/>
  <c r="AJ13" i="11"/>
  <c r="AJ14" i="11"/>
  <c r="AJ15" i="11"/>
  <c r="AJ16" i="11"/>
  <c r="AJ17" i="11"/>
  <c r="AJ18" i="11"/>
  <c r="AJ19" i="11"/>
  <c r="AJ20" i="11"/>
  <c r="AJ22" i="11"/>
  <c r="AJ23" i="11"/>
  <c r="AJ24" i="11"/>
  <c r="AJ25" i="11"/>
  <c r="AI6" i="11"/>
  <c r="AI7" i="11"/>
  <c r="AI8" i="11"/>
  <c r="AI9" i="11"/>
  <c r="AI10" i="11"/>
  <c r="AI11" i="11"/>
  <c r="AI12" i="11"/>
  <c r="AI13" i="11"/>
  <c r="AI14" i="11"/>
  <c r="AI15" i="11"/>
  <c r="AI16" i="11"/>
  <c r="AI17" i="11"/>
  <c r="AI18" i="11"/>
  <c r="AI19" i="11"/>
  <c r="AI20" i="11"/>
  <c r="AI23" i="11"/>
  <c r="AI24" i="11"/>
  <c r="AI25" i="11"/>
  <c r="BF6" i="10"/>
  <c r="BF7" i="10"/>
  <c r="BF8" i="10"/>
  <c r="BF9" i="10"/>
  <c r="BF10" i="10"/>
  <c r="BF11" i="10"/>
  <c r="BF12" i="10"/>
  <c r="BF13" i="10"/>
  <c r="BF14" i="10"/>
  <c r="BF15" i="10"/>
  <c r="BF16" i="10"/>
  <c r="BF17" i="10"/>
  <c r="BF18" i="10"/>
  <c r="BF19" i="10"/>
  <c r="BF20" i="10"/>
  <c r="BF22" i="10"/>
  <c r="BF23" i="10"/>
  <c r="BF24" i="10"/>
  <c r="BF25" i="10"/>
  <c r="BC6" i="10"/>
  <c r="BC7" i="10"/>
  <c r="BC8" i="10"/>
  <c r="BC9" i="10"/>
  <c r="BC10" i="10"/>
  <c r="BC11" i="10"/>
  <c r="BC12" i="10"/>
  <c r="BC13" i="10"/>
  <c r="BC14" i="10"/>
  <c r="BC15" i="10"/>
  <c r="BC16" i="10"/>
  <c r="BC17" i="10"/>
  <c r="BC18" i="10"/>
  <c r="BC19" i="10"/>
  <c r="BC20" i="10"/>
  <c r="BC22" i="10"/>
  <c r="BC23" i="10"/>
  <c r="BC24" i="10"/>
  <c r="BC25" i="10"/>
  <c r="AX6" i="10"/>
  <c r="AX7" i="10"/>
  <c r="AX8" i="10"/>
  <c r="AX9" i="10"/>
  <c r="AX10" i="10"/>
  <c r="AX11" i="10"/>
  <c r="AX12" i="10"/>
  <c r="AX13" i="10"/>
  <c r="AX14" i="10"/>
  <c r="AX15" i="10"/>
  <c r="AX16" i="10"/>
  <c r="AX17" i="10"/>
  <c r="AX18" i="10"/>
  <c r="AX19" i="10"/>
  <c r="AX20" i="10"/>
  <c r="AX22" i="10"/>
  <c r="AX23" i="10"/>
  <c r="AX24" i="10"/>
  <c r="AX25" i="10"/>
  <c r="AL6" i="10"/>
  <c r="AL7" i="10"/>
  <c r="AL8" i="10"/>
  <c r="AL9" i="10"/>
  <c r="AL10" i="10"/>
  <c r="AL11" i="10"/>
  <c r="AL12" i="10"/>
  <c r="AL13" i="10"/>
  <c r="AL14" i="10"/>
  <c r="AL15" i="10"/>
  <c r="AL16" i="10"/>
  <c r="AL17" i="10"/>
  <c r="AL18" i="10"/>
  <c r="AL19" i="10"/>
  <c r="AL20" i="10"/>
  <c r="AL22" i="10"/>
  <c r="AL23" i="10"/>
  <c r="AL24" i="10"/>
  <c r="AL25" i="10"/>
  <c r="AU6" i="10"/>
  <c r="AU7" i="10"/>
  <c r="AU8" i="10"/>
  <c r="AU9" i="10"/>
  <c r="AU10" i="10"/>
  <c r="AU11" i="10"/>
  <c r="AU12" i="10"/>
  <c r="AU13" i="10"/>
  <c r="AU14" i="10"/>
  <c r="AU15" i="10"/>
  <c r="AU16" i="10"/>
  <c r="AU17" i="10"/>
  <c r="AU18" i="10"/>
  <c r="AU19" i="10"/>
  <c r="AU20" i="10"/>
  <c r="AU22" i="10"/>
  <c r="AU23" i="10"/>
  <c r="AU24" i="10"/>
  <c r="AU25" i="10"/>
  <c r="R27" i="10"/>
  <c r="E8" i="9" s="1"/>
  <c r="AT6" i="10"/>
  <c r="AT7" i="10"/>
  <c r="AT8" i="10"/>
  <c r="AT9" i="10"/>
  <c r="AT10" i="10"/>
  <c r="AT11" i="10"/>
  <c r="AT12" i="10"/>
  <c r="AT13" i="10"/>
  <c r="AT14" i="10"/>
  <c r="AT15" i="10"/>
  <c r="AT16" i="10"/>
  <c r="AT17" i="10"/>
  <c r="AT18" i="10"/>
  <c r="AT19" i="10"/>
  <c r="AT20" i="10"/>
  <c r="AT22" i="10"/>
  <c r="AT23" i="10"/>
  <c r="AT24" i="10"/>
  <c r="AT25" i="10"/>
  <c r="AR6" i="10"/>
  <c r="AR7" i="10"/>
  <c r="AR8" i="10"/>
  <c r="AR9" i="10"/>
  <c r="AR10" i="10"/>
  <c r="AR11" i="10"/>
  <c r="AR12" i="10"/>
  <c r="AR13" i="10"/>
  <c r="AR14" i="10"/>
  <c r="AR15" i="10"/>
  <c r="AR16" i="10"/>
  <c r="AR17" i="10"/>
  <c r="AR18" i="10"/>
  <c r="AR19" i="10"/>
  <c r="AR20" i="10"/>
  <c r="AR22" i="10"/>
  <c r="AR23" i="10"/>
  <c r="AR24" i="10"/>
  <c r="AR25" i="10"/>
  <c r="AI6" i="10"/>
  <c r="AI7" i="10"/>
  <c r="AI8" i="10"/>
  <c r="AI9" i="10"/>
  <c r="AI10" i="10"/>
  <c r="AI11" i="10"/>
  <c r="AI12" i="10"/>
  <c r="AI13" i="10"/>
  <c r="AI14" i="10"/>
  <c r="AI15" i="10"/>
  <c r="AI16" i="10"/>
  <c r="AI17" i="10"/>
  <c r="AI18" i="10"/>
  <c r="AI19" i="10"/>
  <c r="AI20" i="10"/>
  <c r="AI22" i="10"/>
  <c r="AI23" i="10"/>
  <c r="AI24" i="10"/>
  <c r="AI25" i="10"/>
  <c r="BH6" i="10"/>
  <c r="BH7" i="10"/>
  <c r="BH8" i="10"/>
  <c r="BH9" i="10"/>
  <c r="BH10" i="10"/>
  <c r="BH11" i="10"/>
  <c r="BH12" i="10"/>
  <c r="BH13" i="10"/>
  <c r="BH14" i="10"/>
  <c r="BH15" i="10"/>
  <c r="BH16" i="10"/>
  <c r="BH17" i="10"/>
  <c r="BH18" i="10"/>
  <c r="BH19" i="10"/>
  <c r="BH20" i="10"/>
  <c r="BH22" i="10"/>
  <c r="BH23" i="10"/>
  <c r="BH24" i="10"/>
  <c r="BH25" i="10"/>
  <c r="BE6" i="10"/>
  <c r="BE7" i="10"/>
  <c r="BE8" i="10"/>
  <c r="BE9" i="10"/>
  <c r="BE10" i="10"/>
  <c r="BE11" i="10"/>
  <c r="BE12" i="10"/>
  <c r="BE13" i="10"/>
  <c r="BE14" i="10"/>
  <c r="BE15" i="10"/>
  <c r="BE16" i="10"/>
  <c r="BE17" i="10"/>
  <c r="BE18" i="10"/>
  <c r="BE19" i="10"/>
  <c r="BE20" i="10"/>
  <c r="BE22" i="10"/>
  <c r="BE23" i="10"/>
  <c r="BE24" i="10"/>
  <c r="BE25" i="10"/>
  <c r="AZ6" i="10"/>
  <c r="AZ7" i="10"/>
  <c r="AZ8" i="10"/>
  <c r="AZ9" i="10"/>
  <c r="AZ10" i="10"/>
  <c r="AZ11" i="10"/>
  <c r="AZ12" i="10"/>
  <c r="AZ13" i="10"/>
  <c r="AZ14" i="10"/>
  <c r="AZ15" i="10"/>
  <c r="AZ16" i="10"/>
  <c r="AZ17" i="10"/>
  <c r="AZ18" i="10"/>
  <c r="AZ19" i="10"/>
  <c r="AZ20" i="10"/>
  <c r="AZ22" i="10"/>
  <c r="AZ23" i="10"/>
  <c r="AZ24" i="10"/>
  <c r="AZ25" i="10"/>
  <c r="AW6" i="10"/>
  <c r="AW7" i="10"/>
  <c r="AW8" i="10"/>
  <c r="AW9" i="10"/>
  <c r="AW10" i="10"/>
  <c r="AW11" i="10"/>
  <c r="AW12" i="10"/>
  <c r="AW13" i="10"/>
  <c r="AW14" i="10"/>
  <c r="AW15" i="10"/>
  <c r="AW16" i="10"/>
  <c r="AW17" i="10"/>
  <c r="AW18" i="10"/>
  <c r="AW19" i="10"/>
  <c r="AW20" i="10"/>
  <c r="AW22" i="10"/>
  <c r="AW23" i="10"/>
  <c r="AW24" i="10"/>
  <c r="AW25" i="10"/>
  <c r="AK6" i="10"/>
  <c r="AK7" i="10"/>
  <c r="AK8" i="10"/>
  <c r="AK9" i="10"/>
  <c r="AK10" i="10"/>
  <c r="AK11" i="10"/>
  <c r="AK12" i="10"/>
  <c r="AK13" i="10"/>
  <c r="AK14" i="10"/>
  <c r="AK15" i="10"/>
  <c r="AK16" i="10"/>
  <c r="AK17" i="10"/>
  <c r="AK18" i="10"/>
  <c r="AK19" i="10"/>
  <c r="AK20" i="10"/>
  <c r="AK22" i="10"/>
  <c r="AK23" i="10"/>
  <c r="AK24" i="10"/>
  <c r="AK25" i="10"/>
  <c r="AQ6" i="10"/>
  <c r="AQ7" i="10"/>
  <c r="AQ8" i="10"/>
  <c r="AQ9" i="10"/>
  <c r="AQ10" i="10"/>
  <c r="AQ11" i="10"/>
  <c r="AQ12" i="10"/>
  <c r="AQ13" i="10"/>
  <c r="AQ14" i="10"/>
  <c r="AQ15" i="10"/>
  <c r="AQ16" i="10"/>
  <c r="AQ17" i="10"/>
  <c r="AQ18" i="10"/>
  <c r="AQ19" i="10"/>
  <c r="AQ20" i="10"/>
  <c r="AQ22" i="10"/>
  <c r="AQ23" i="10"/>
  <c r="AQ24" i="10"/>
  <c r="AQ25" i="10"/>
  <c r="AN6" i="10"/>
  <c r="AN7" i="10"/>
  <c r="AN8" i="10"/>
  <c r="AN9" i="10"/>
  <c r="AN10" i="10"/>
  <c r="AN11" i="10"/>
  <c r="AN12" i="10"/>
  <c r="AN13" i="10"/>
  <c r="AN14" i="10"/>
  <c r="AN15" i="10"/>
  <c r="AN16" i="10"/>
  <c r="AN17" i="10"/>
  <c r="AN18" i="10"/>
  <c r="AN19" i="10"/>
  <c r="AN20" i="10"/>
  <c r="AN22" i="10"/>
  <c r="AN23" i="10"/>
  <c r="AN24" i="10"/>
  <c r="AN25" i="10"/>
  <c r="AH6" i="10"/>
  <c r="AH7" i="10"/>
  <c r="AH8" i="10"/>
  <c r="AH9" i="10"/>
  <c r="AH10" i="10"/>
  <c r="AH11" i="10"/>
  <c r="AH12" i="10"/>
  <c r="AH13" i="10"/>
  <c r="AH14" i="10"/>
  <c r="AH15" i="10"/>
  <c r="AH16" i="10"/>
  <c r="AH17" i="10"/>
  <c r="AH18" i="10"/>
  <c r="AH19" i="10"/>
  <c r="AH20" i="10"/>
  <c r="AH22" i="10"/>
  <c r="AH23" i="10"/>
  <c r="AH24" i="10"/>
  <c r="AH25" i="10"/>
  <c r="BG6" i="10"/>
  <c r="BG7" i="10"/>
  <c r="BG8" i="10"/>
  <c r="BG9" i="10"/>
  <c r="BG10" i="10"/>
  <c r="BG11" i="10"/>
  <c r="BG12" i="10"/>
  <c r="BG13" i="10"/>
  <c r="BG14" i="10"/>
  <c r="BG15" i="10"/>
  <c r="BG16" i="10"/>
  <c r="BG17" i="10"/>
  <c r="BG18" i="10"/>
  <c r="BG19" i="10"/>
  <c r="BG20" i="10"/>
  <c r="BG22" i="10"/>
  <c r="BG23" i="10"/>
  <c r="BG24" i="10"/>
  <c r="BG25" i="10"/>
  <c r="BD6" i="10"/>
  <c r="BD7" i="10"/>
  <c r="BD8" i="10"/>
  <c r="BD9" i="10"/>
  <c r="BD10" i="10"/>
  <c r="BD11" i="10"/>
  <c r="BD12" i="10"/>
  <c r="BD13" i="10"/>
  <c r="BD14" i="10"/>
  <c r="BD15" i="10"/>
  <c r="BD16" i="10"/>
  <c r="BD17" i="10"/>
  <c r="BD18" i="10"/>
  <c r="BD19" i="10"/>
  <c r="BD20" i="10"/>
  <c r="BD22" i="10"/>
  <c r="BD23" i="10"/>
  <c r="BD24" i="10"/>
  <c r="BD25" i="10"/>
  <c r="BB6" i="10"/>
  <c r="BB7" i="10"/>
  <c r="BB8" i="10"/>
  <c r="BB9" i="10"/>
  <c r="BB10" i="10"/>
  <c r="BB11" i="10"/>
  <c r="BB12" i="10"/>
  <c r="BB13" i="10"/>
  <c r="BB14" i="10"/>
  <c r="BB15" i="10"/>
  <c r="BB16" i="10"/>
  <c r="BB17" i="10"/>
  <c r="BB18" i="10"/>
  <c r="BB19" i="10"/>
  <c r="BB20" i="10"/>
  <c r="BB22" i="10"/>
  <c r="BB23" i="10"/>
  <c r="BB24" i="10"/>
  <c r="BB25" i="10"/>
  <c r="AY6" i="10"/>
  <c r="AY7" i="10"/>
  <c r="AY8" i="10"/>
  <c r="AY9" i="10"/>
  <c r="AY10" i="10"/>
  <c r="AY11" i="10"/>
  <c r="AY12" i="10"/>
  <c r="AY13" i="10"/>
  <c r="AY14" i="10"/>
  <c r="AY15" i="10"/>
  <c r="AY16" i="10"/>
  <c r="AY17" i="10"/>
  <c r="AY18" i="10"/>
  <c r="AY19" i="10"/>
  <c r="AY20" i="10"/>
  <c r="AY22" i="10"/>
  <c r="AY23" i="10"/>
  <c r="AY24" i="10"/>
  <c r="AY25" i="10"/>
  <c r="AV6" i="10"/>
  <c r="AV7" i="10"/>
  <c r="AV8" i="10"/>
  <c r="AV9" i="10"/>
  <c r="AV10" i="10"/>
  <c r="AV11" i="10"/>
  <c r="AV12" i="10"/>
  <c r="AV13" i="10"/>
  <c r="AV14" i="10"/>
  <c r="AV15" i="10"/>
  <c r="AV16" i="10"/>
  <c r="AV17" i="10"/>
  <c r="AV18" i="10"/>
  <c r="AV19" i="10"/>
  <c r="AV20" i="10"/>
  <c r="AV22" i="10"/>
  <c r="AV23" i="10"/>
  <c r="AV24" i="10"/>
  <c r="AV25" i="10"/>
  <c r="AJ6" i="10"/>
  <c r="AJ7" i="10"/>
  <c r="AJ8" i="10"/>
  <c r="AJ9" i="10"/>
  <c r="AJ10" i="10"/>
  <c r="AJ11" i="10"/>
  <c r="AJ12" i="10"/>
  <c r="AJ13" i="10"/>
  <c r="AJ14" i="10"/>
  <c r="AJ15" i="10"/>
  <c r="AJ16" i="10"/>
  <c r="AJ17" i="10"/>
  <c r="AJ18" i="10"/>
  <c r="AJ19" i="10"/>
  <c r="AJ20" i="10"/>
  <c r="AJ22" i="10"/>
  <c r="AJ23" i="10"/>
  <c r="AJ24" i="10"/>
  <c r="AJ25" i="10"/>
  <c r="AS6" i="10"/>
  <c r="AS7" i="10"/>
  <c r="AS8" i="10"/>
  <c r="AS9" i="10"/>
  <c r="AS10" i="10"/>
  <c r="AS11" i="10"/>
  <c r="AS12" i="10"/>
  <c r="AS13" i="10"/>
  <c r="AS14" i="10"/>
  <c r="AS15" i="10"/>
  <c r="AS16" i="10"/>
  <c r="AS17" i="10"/>
  <c r="AS18" i="10"/>
  <c r="AS19" i="10"/>
  <c r="AS20" i="10"/>
  <c r="AS22" i="10"/>
  <c r="AS23" i="10"/>
  <c r="AS24" i="10"/>
  <c r="AS25" i="10"/>
  <c r="AP6" i="10"/>
  <c r="AP7" i="10"/>
  <c r="AP8" i="10"/>
  <c r="AP9" i="10"/>
  <c r="AP10" i="10"/>
  <c r="AP11" i="10"/>
  <c r="AP12" i="10"/>
  <c r="AP13" i="10"/>
  <c r="AP14" i="10"/>
  <c r="AP15" i="10"/>
  <c r="AP16" i="10"/>
  <c r="AP17" i="10"/>
  <c r="AP18" i="10"/>
  <c r="AP19" i="10"/>
  <c r="AP20" i="10"/>
  <c r="AP22" i="10"/>
  <c r="AP23" i="10"/>
  <c r="AP24" i="10"/>
  <c r="AP25" i="10"/>
  <c r="AM6" i="10"/>
  <c r="AM7" i="10"/>
  <c r="AM8" i="10"/>
  <c r="AM9" i="10"/>
  <c r="AM10" i="10"/>
  <c r="AM11" i="10"/>
  <c r="AM12" i="10"/>
  <c r="AM13" i="10"/>
  <c r="AM14" i="10"/>
  <c r="AM15" i="10"/>
  <c r="AM16" i="10"/>
  <c r="AM17" i="10"/>
  <c r="AM18" i="10"/>
  <c r="AM19" i="10"/>
  <c r="AM20" i="10"/>
  <c r="AM22" i="10"/>
  <c r="AM23" i="10"/>
  <c r="AM24" i="10"/>
  <c r="AM25" i="10"/>
  <c r="AG6" i="10"/>
  <c r="AG7" i="10"/>
  <c r="AG8" i="10"/>
  <c r="AG9" i="10"/>
  <c r="AG10" i="10"/>
  <c r="AG11" i="10"/>
  <c r="AG12" i="10"/>
  <c r="AG13" i="10"/>
  <c r="AG14" i="10"/>
  <c r="AG15" i="10"/>
  <c r="AG16" i="10"/>
  <c r="AG17" i="10"/>
  <c r="AG18" i="10"/>
  <c r="AG19" i="10"/>
  <c r="AG20" i="10"/>
  <c r="AG22" i="10"/>
  <c r="AG23" i="10"/>
  <c r="AG24" i="10"/>
  <c r="AG25" i="10"/>
  <c r="O230" i="55"/>
  <c r="E388" i="21"/>
  <c r="F388" i="21"/>
  <c r="G388" i="21"/>
  <c r="H388" i="21"/>
  <c r="D388" i="53"/>
  <c r="E387" i="21"/>
  <c r="F387" i="21"/>
  <c r="G387" i="21"/>
  <c r="H387" i="21"/>
  <c r="D387" i="53"/>
  <c r="E386" i="21"/>
  <c r="F386" i="21"/>
  <c r="I386" i="21" s="1"/>
  <c r="J386" i="21" s="1"/>
  <c r="G386" i="21"/>
  <c r="H386" i="21"/>
  <c r="D386" i="53"/>
  <c r="E385" i="21"/>
  <c r="F385" i="21"/>
  <c r="G385" i="21"/>
  <c r="H385" i="21"/>
  <c r="D385" i="53"/>
  <c r="E384" i="21"/>
  <c r="F384" i="21"/>
  <c r="G384" i="21"/>
  <c r="H384" i="21"/>
  <c r="D384" i="53"/>
  <c r="E383" i="21"/>
  <c r="F383" i="21"/>
  <c r="G383" i="21"/>
  <c r="I383" i="21" s="1"/>
  <c r="J383" i="21" s="1"/>
  <c r="H383" i="21"/>
  <c r="D383" i="53"/>
  <c r="E381" i="21"/>
  <c r="F381" i="21"/>
  <c r="G381" i="21"/>
  <c r="H381" i="21"/>
  <c r="D381" i="53"/>
  <c r="E380" i="21"/>
  <c r="F380" i="21"/>
  <c r="G380" i="21"/>
  <c r="H380" i="21"/>
  <c r="D380" i="53"/>
  <c r="E379" i="21"/>
  <c r="F379" i="21"/>
  <c r="G379" i="21"/>
  <c r="H379" i="21"/>
  <c r="D379" i="53"/>
  <c r="E378" i="21"/>
  <c r="F378" i="21"/>
  <c r="G378" i="21"/>
  <c r="H378" i="21"/>
  <c r="D378" i="53"/>
  <c r="E376" i="21"/>
  <c r="F376" i="21"/>
  <c r="G376" i="21"/>
  <c r="H376" i="21"/>
  <c r="D376" i="53"/>
  <c r="E375" i="21"/>
  <c r="F375" i="21"/>
  <c r="G375" i="21"/>
  <c r="H375" i="21"/>
  <c r="D375" i="53"/>
  <c r="E374" i="21"/>
  <c r="F374" i="21"/>
  <c r="G374" i="21"/>
  <c r="H374" i="21"/>
  <c r="D374" i="53"/>
  <c r="E372" i="21"/>
  <c r="F372" i="21"/>
  <c r="G372" i="21"/>
  <c r="H372" i="21"/>
  <c r="D372" i="53"/>
  <c r="E371" i="21"/>
  <c r="F371" i="21"/>
  <c r="G371" i="21"/>
  <c r="H371" i="21"/>
  <c r="D371" i="53"/>
  <c r="E370" i="21"/>
  <c r="F370" i="21"/>
  <c r="G370" i="21"/>
  <c r="H370" i="21"/>
  <c r="D370" i="53"/>
  <c r="E369" i="21"/>
  <c r="F369" i="21"/>
  <c r="G369" i="21"/>
  <c r="H369" i="21"/>
  <c r="D369" i="53"/>
  <c r="E368" i="21"/>
  <c r="F368" i="21"/>
  <c r="G368" i="21"/>
  <c r="I368" i="21" s="1"/>
  <c r="J368" i="21" s="1"/>
  <c r="K368" i="21" s="1"/>
  <c r="H368" i="21"/>
  <c r="D368" i="53"/>
  <c r="E366" i="21"/>
  <c r="F366" i="21"/>
  <c r="G366" i="21"/>
  <c r="H366" i="21"/>
  <c r="D366" i="53"/>
  <c r="E365" i="21"/>
  <c r="F365" i="21"/>
  <c r="G365" i="21"/>
  <c r="H365" i="21"/>
  <c r="D365" i="53"/>
  <c r="E364" i="21"/>
  <c r="F364" i="21"/>
  <c r="G364" i="21"/>
  <c r="H364" i="21"/>
  <c r="D364" i="53"/>
  <c r="E363" i="21"/>
  <c r="F363" i="21"/>
  <c r="I363" i="21" s="1"/>
  <c r="J363" i="21" s="1"/>
  <c r="G363" i="21"/>
  <c r="H363" i="21"/>
  <c r="D363" i="53"/>
  <c r="E362" i="21"/>
  <c r="F362" i="21"/>
  <c r="G362" i="21"/>
  <c r="H362" i="21"/>
  <c r="D362" i="53"/>
  <c r="E361" i="21"/>
  <c r="F361" i="21"/>
  <c r="G361" i="21"/>
  <c r="H361" i="21"/>
  <c r="D361" i="53"/>
  <c r="E360" i="21"/>
  <c r="F360" i="21"/>
  <c r="G360" i="21"/>
  <c r="H360" i="21"/>
  <c r="D360" i="53"/>
  <c r="E359" i="21"/>
  <c r="F359" i="21"/>
  <c r="G359" i="21"/>
  <c r="H359" i="21"/>
  <c r="D359" i="53"/>
  <c r="E356" i="21"/>
  <c r="F356" i="21"/>
  <c r="G356" i="21"/>
  <c r="H356" i="21"/>
  <c r="D356" i="53"/>
  <c r="E355" i="21"/>
  <c r="F355" i="21"/>
  <c r="G355" i="21"/>
  <c r="H355" i="21"/>
  <c r="D355" i="53"/>
  <c r="E354" i="21"/>
  <c r="F354" i="21"/>
  <c r="G354" i="21"/>
  <c r="H354" i="21"/>
  <c r="D354" i="53"/>
  <c r="E316" i="21"/>
  <c r="F316" i="21"/>
  <c r="I316" i="21" s="1"/>
  <c r="J316" i="21" s="1"/>
  <c r="G316" i="21"/>
  <c r="H316" i="21"/>
  <c r="D316" i="53"/>
  <c r="D315" i="53"/>
  <c r="E314" i="21"/>
  <c r="F314" i="21"/>
  <c r="G314" i="21"/>
  <c r="H314" i="21"/>
  <c r="D314" i="53"/>
  <c r="E309" i="21"/>
  <c r="F309" i="21"/>
  <c r="I309" i="21" s="1"/>
  <c r="J309" i="21" s="1"/>
  <c r="G309" i="21"/>
  <c r="H309" i="21"/>
  <c r="D309" i="53"/>
  <c r="E303" i="21"/>
  <c r="F303" i="21"/>
  <c r="G303" i="21"/>
  <c r="H303" i="21"/>
  <c r="D303" i="53"/>
  <c r="E302" i="21"/>
  <c r="F302" i="21"/>
  <c r="G302" i="21"/>
  <c r="H302" i="21"/>
  <c r="D302" i="53"/>
  <c r="E298" i="21"/>
  <c r="F298" i="21"/>
  <c r="G298" i="21"/>
  <c r="H298" i="21"/>
  <c r="D298" i="53"/>
  <c r="E285" i="21"/>
  <c r="L285" i="21" s="1"/>
  <c r="F285" i="21"/>
  <c r="G285" i="21"/>
  <c r="H285" i="21"/>
  <c r="D285" i="53"/>
  <c r="E284" i="21"/>
  <c r="F284" i="21"/>
  <c r="G284" i="21"/>
  <c r="H284" i="21"/>
  <c r="D284" i="53"/>
  <c r="E282" i="21"/>
  <c r="F282" i="21"/>
  <c r="G282" i="21"/>
  <c r="H282" i="21"/>
  <c r="D282" i="53"/>
  <c r="E275" i="21"/>
  <c r="F275" i="21"/>
  <c r="G275" i="21"/>
  <c r="H275" i="21"/>
  <c r="D275" i="53"/>
  <c r="E271" i="21"/>
  <c r="L271" i="21" s="1"/>
  <c r="F271" i="21"/>
  <c r="G271" i="21"/>
  <c r="H271" i="21"/>
  <c r="D271" i="53"/>
  <c r="E270" i="21"/>
  <c r="F270" i="21"/>
  <c r="G270" i="21"/>
  <c r="H270" i="21"/>
  <c r="D270" i="53"/>
  <c r="E268" i="21"/>
  <c r="F268" i="21"/>
  <c r="G268" i="21"/>
  <c r="H268" i="21"/>
  <c r="D268" i="53"/>
  <c r="E264" i="21"/>
  <c r="F264" i="21"/>
  <c r="G264" i="21"/>
  <c r="H264" i="21"/>
  <c r="D264" i="53"/>
  <c r="E260" i="21"/>
  <c r="L260" i="21" s="1"/>
  <c r="F260" i="21"/>
  <c r="G260" i="21"/>
  <c r="H260" i="21"/>
  <c r="D260" i="53"/>
  <c r="E256" i="21"/>
  <c r="F256" i="21"/>
  <c r="G256" i="21"/>
  <c r="H256" i="21"/>
  <c r="D256" i="53"/>
  <c r="E254" i="21"/>
  <c r="F254" i="21"/>
  <c r="G254" i="21"/>
  <c r="I254" i="21" s="1"/>
  <c r="H254" i="21"/>
  <c r="D254" i="53"/>
  <c r="E253" i="21"/>
  <c r="F253" i="21"/>
  <c r="I253" i="21" s="1"/>
  <c r="G253" i="21"/>
  <c r="H253" i="21"/>
  <c r="D253" i="53"/>
  <c r="E252" i="21"/>
  <c r="F252" i="21"/>
  <c r="G252" i="21"/>
  <c r="H252" i="21"/>
  <c r="I252" i="21"/>
  <c r="D252" i="53"/>
  <c r="E248" i="21"/>
  <c r="F248" i="21"/>
  <c r="G248" i="21"/>
  <c r="H248" i="21"/>
  <c r="D248" i="53"/>
  <c r="E249" i="21"/>
  <c r="F249" i="21"/>
  <c r="G249" i="21"/>
  <c r="H249" i="21"/>
  <c r="D249" i="53"/>
  <c r="F166" i="51"/>
  <c r="F165" i="51"/>
  <c r="F164" i="51"/>
  <c r="F162" i="51"/>
  <c r="F161" i="51"/>
  <c r="F160" i="51"/>
  <c r="F159" i="51"/>
  <c r="F158" i="51"/>
  <c r="F155" i="51"/>
  <c r="F153" i="51"/>
  <c r="F152" i="51"/>
  <c r="F151" i="51"/>
  <c r="F148" i="51"/>
  <c r="F147" i="51"/>
  <c r="F146" i="51"/>
  <c r="F145" i="51"/>
  <c r="F144" i="51"/>
  <c r="F143" i="51"/>
  <c r="F142" i="51"/>
  <c r="F139" i="51"/>
  <c r="F138" i="51"/>
  <c r="F136" i="51"/>
  <c r="F135" i="51"/>
  <c r="F134" i="51"/>
  <c r="F131" i="51"/>
  <c r="F129" i="51"/>
  <c r="F128" i="51"/>
  <c r="F127" i="51"/>
  <c r="F126" i="51"/>
  <c r="F125" i="51"/>
  <c r="F124" i="51"/>
  <c r="F123" i="51"/>
  <c r="F122" i="51"/>
  <c r="F121" i="51"/>
  <c r="F119" i="51"/>
  <c r="F118" i="51"/>
  <c r="F117" i="51"/>
  <c r="F114" i="51"/>
  <c r="F113" i="51"/>
  <c r="F112" i="51"/>
  <c r="F111" i="51"/>
  <c r="F109" i="51"/>
  <c r="F108" i="51"/>
  <c r="F107" i="51"/>
  <c r="F104" i="51"/>
  <c r="F102" i="51"/>
  <c r="F101" i="51"/>
  <c r="F99" i="51"/>
  <c r="F97" i="51"/>
  <c r="F96" i="51"/>
  <c r="F95" i="51"/>
  <c r="F94" i="51"/>
  <c r="F92" i="51"/>
  <c r="F90" i="51"/>
  <c r="F88" i="51"/>
  <c r="F87" i="51"/>
  <c r="F86" i="51"/>
  <c r="F85" i="51"/>
  <c r="F82" i="51"/>
  <c r="F81" i="51"/>
  <c r="F80" i="51"/>
  <c r="F79" i="51"/>
  <c r="F78" i="51"/>
  <c r="F77" i="51"/>
  <c r="F76" i="51"/>
  <c r="F75" i="51"/>
  <c r="F74" i="51"/>
  <c r="F72" i="51"/>
  <c r="F71" i="51"/>
  <c r="F70" i="51"/>
  <c r="F69" i="51"/>
  <c r="F68" i="51"/>
  <c r="F67" i="51"/>
  <c r="F64" i="51"/>
  <c r="F63" i="51"/>
  <c r="F60" i="51"/>
  <c r="F59" i="51"/>
  <c r="F58" i="51"/>
  <c r="F57" i="51"/>
  <c r="F56" i="51"/>
  <c r="F54" i="51"/>
  <c r="F52" i="51"/>
  <c r="F51" i="51"/>
  <c r="F50" i="51"/>
  <c r="F49" i="51"/>
  <c r="F48" i="51"/>
  <c r="F47" i="51"/>
  <c r="F45" i="51"/>
  <c r="F44" i="51"/>
  <c r="F41" i="51"/>
  <c r="F40" i="51"/>
  <c r="F39" i="51"/>
  <c r="F37" i="51"/>
  <c r="F36" i="51"/>
  <c r="F35" i="51"/>
  <c r="F33" i="51"/>
  <c r="F32" i="51"/>
  <c r="F31" i="51"/>
  <c r="F30" i="51"/>
  <c r="F27" i="51"/>
  <c r="F25" i="51"/>
  <c r="F24" i="51"/>
  <c r="F23" i="51"/>
  <c r="F21" i="51"/>
  <c r="F20" i="51"/>
  <c r="F17" i="51"/>
  <c r="F16" i="51"/>
  <c r="F14" i="51"/>
  <c r="F13" i="51"/>
  <c r="F12" i="51"/>
  <c r="F11" i="51"/>
  <c r="F10" i="51"/>
  <c r="F7" i="51"/>
  <c r="F6" i="51"/>
  <c r="H352" i="21"/>
  <c r="G352" i="21"/>
  <c r="F352" i="21"/>
  <c r="I352" i="21" s="1"/>
  <c r="K326" i="19" s="1"/>
  <c r="E352" i="21"/>
  <c r="H351" i="21"/>
  <c r="G351" i="21"/>
  <c r="F351" i="21"/>
  <c r="I351" i="21" s="1"/>
  <c r="Q327" i="19" s="1"/>
  <c r="E351" i="21"/>
  <c r="H350" i="21"/>
  <c r="G350" i="21"/>
  <c r="F350" i="21"/>
  <c r="I350" i="21" s="1"/>
  <c r="N327" i="19" s="1"/>
  <c r="E350" i="21"/>
  <c r="H349" i="21"/>
  <c r="G349" i="21"/>
  <c r="F349" i="21"/>
  <c r="I349" i="21" s="1"/>
  <c r="K327" i="19" s="1"/>
  <c r="E349" i="21"/>
  <c r="H347" i="21"/>
  <c r="G347" i="21"/>
  <c r="F347" i="21"/>
  <c r="I347" i="21" s="1"/>
  <c r="K321" i="19" s="1"/>
  <c r="E347" i="21"/>
  <c r="H346" i="21"/>
  <c r="G346" i="21"/>
  <c r="F346" i="21"/>
  <c r="I346" i="21" s="1"/>
  <c r="E346" i="21"/>
  <c r="H345" i="21"/>
  <c r="G345" i="21"/>
  <c r="F345" i="21"/>
  <c r="I345" i="21" s="1"/>
  <c r="N322" i="19" s="1"/>
  <c r="E345" i="21"/>
  <c r="H344" i="21"/>
  <c r="G344" i="21"/>
  <c r="F344" i="21"/>
  <c r="I344" i="21" s="1"/>
  <c r="K322" i="19" s="1"/>
  <c r="E344" i="21"/>
  <c r="H342" i="21"/>
  <c r="G342" i="21"/>
  <c r="F342" i="21"/>
  <c r="I342" i="21" s="1"/>
  <c r="N316" i="19" s="1"/>
  <c r="E342" i="21"/>
  <c r="H341" i="21"/>
  <c r="G341" i="21"/>
  <c r="F341" i="21"/>
  <c r="I341" i="21" s="1"/>
  <c r="T317" i="19" s="1"/>
  <c r="E341" i="21"/>
  <c r="H340" i="21"/>
  <c r="G340" i="21"/>
  <c r="F340" i="21"/>
  <c r="I340" i="21" s="1"/>
  <c r="Q317" i="19" s="1"/>
  <c r="E340" i="21"/>
  <c r="H339" i="21"/>
  <c r="G339" i="21"/>
  <c r="F339" i="21"/>
  <c r="I339" i="21" s="1"/>
  <c r="N317" i="19" s="1"/>
  <c r="E339" i="21"/>
  <c r="H337" i="21"/>
  <c r="G337" i="21"/>
  <c r="F337" i="21"/>
  <c r="I337" i="21" s="1"/>
  <c r="K311" i="19" s="1"/>
  <c r="E337" i="21"/>
  <c r="H336" i="21"/>
  <c r="G336" i="21"/>
  <c r="F336" i="21"/>
  <c r="I336" i="21" s="1"/>
  <c r="T312" i="19" s="1"/>
  <c r="E336" i="21"/>
  <c r="H335" i="21"/>
  <c r="G335" i="21"/>
  <c r="F335" i="21"/>
  <c r="I335" i="21" s="1"/>
  <c r="Q312" i="19" s="1"/>
  <c r="E335" i="21"/>
  <c r="H334" i="21"/>
  <c r="G334" i="21"/>
  <c r="F334" i="21"/>
  <c r="I334" i="21" s="1"/>
  <c r="N312" i="19" s="1"/>
  <c r="E334" i="21"/>
  <c r="H333" i="21"/>
  <c r="G333" i="21"/>
  <c r="F333" i="21"/>
  <c r="I333" i="21" s="1"/>
  <c r="K312" i="19" s="1"/>
  <c r="E333" i="21"/>
  <c r="H331" i="21"/>
  <c r="G331" i="21"/>
  <c r="F331" i="21"/>
  <c r="I331" i="21" s="1"/>
  <c r="K306" i="19" s="1"/>
  <c r="E331" i="21"/>
  <c r="H330" i="21"/>
  <c r="G330" i="21"/>
  <c r="F330" i="21"/>
  <c r="I330" i="21" s="1"/>
  <c r="Q307" i="19" s="1"/>
  <c r="E330" i="21"/>
  <c r="H329" i="21"/>
  <c r="G329" i="21"/>
  <c r="F329" i="21"/>
  <c r="I329" i="21" s="1"/>
  <c r="N307" i="19" s="1"/>
  <c r="E329" i="21"/>
  <c r="H328" i="21"/>
  <c r="G328" i="21"/>
  <c r="F328" i="21"/>
  <c r="I328" i="21" s="1"/>
  <c r="K307" i="19" s="1"/>
  <c r="E328" i="21"/>
  <c r="H326" i="21"/>
  <c r="G326" i="21"/>
  <c r="F326" i="21"/>
  <c r="I326" i="21" s="1"/>
  <c r="K301" i="19" s="1"/>
  <c r="E326" i="21"/>
  <c r="H325" i="21"/>
  <c r="G325" i="21"/>
  <c r="F325" i="21"/>
  <c r="I325" i="21" s="1"/>
  <c r="Q302" i="19" s="1"/>
  <c r="E325" i="21"/>
  <c r="H324" i="21"/>
  <c r="G324" i="21"/>
  <c r="F324" i="21"/>
  <c r="I324" i="21" s="1"/>
  <c r="N302" i="19" s="1"/>
  <c r="E324" i="21"/>
  <c r="H323" i="21"/>
  <c r="G323" i="21"/>
  <c r="F323" i="21"/>
  <c r="I323" i="21" s="1"/>
  <c r="K302" i="19" s="1"/>
  <c r="E323" i="21"/>
  <c r="H320" i="21"/>
  <c r="G320" i="21"/>
  <c r="F320" i="21"/>
  <c r="I320" i="21" s="1"/>
  <c r="E320" i="21"/>
  <c r="H319" i="21"/>
  <c r="G319" i="21"/>
  <c r="F319" i="21"/>
  <c r="I319" i="21" s="1"/>
  <c r="N193" i="19" s="1"/>
  <c r="E319" i="21"/>
  <c r="H318" i="21"/>
  <c r="G318" i="21"/>
  <c r="F318" i="21"/>
  <c r="I318" i="21" s="1"/>
  <c r="T259" i="19" s="1"/>
  <c r="E318" i="21"/>
  <c r="H312" i="21"/>
  <c r="G312" i="21"/>
  <c r="F312" i="21"/>
  <c r="I312" i="21" s="1"/>
  <c r="Z198" i="19" s="1"/>
  <c r="E312" i="21"/>
  <c r="H311" i="21"/>
  <c r="G311" i="21"/>
  <c r="F311" i="21"/>
  <c r="I311" i="21" s="1"/>
  <c r="W198" i="19" s="1"/>
  <c r="E311" i="21"/>
  <c r="H310" i="21"/>
  <c r="G310" i="21"/>
  <c r="F310" i="21"/>
  <c r="I310" i="21" s="1"/>
  <c r="T198" i="19" s="1"/>
  <c r="E310" i="21"/>
  <c r="H308" i="21"/>
  <c r="G308" i="21"/>
  <c r="F308" i="21"/>
  <c r="I308" i="21" s="1"/>
  <c r="Q198" i="19" s="1"/>
  <c r="E308" i="21"/>
  <c r="H306" i="21"/>
  <c r="G306" i="21"/>
  <c r="F306" i="21"/>
  <c r="I306" i="21" s="1"/>
  <c r="Q259" i="19" s="1"/>
  <c r="E306" i="21"/>
  <c r="H305" i="21"/>
  <c r="G305" i="21"/>
  <c r="F305" i="21"/>
  <c r="I305" i="21" s="1"/>
  <c r="N259" i="19" s="1"/>
  <c r="E305" i="21"/>
  <c r="H300" i="21"/>
  <c r="G300" i="21"/>
  <c r="F300" i="21"/>
  <c r="I300" i="21" s="1"/>
  <c r="K258" i="19" s="1"/>
  <c r="E300" i="21"/>
  <c r="H299" i="21"/>
  <c r="G299" i="21"/>
  <c r="F299" i="21"/>
  <c r="I299" i="21" s="1"/>
  <c r="E299" i="21"/>
  <c r="H295" i="21"/>
  <c r="G295" i="21"/>
  <c r="F295" i="21"/>
  <c r="I295" i="21" s="1"/>
  <c r="E295" i="21"/>
  <c r="H294" i="21"/>
  <c r="G294" i="21"/>
  <c r="F294" i="21"/>
  <c r="I294" i="21" s="1"/>
  <c r="N233" i="19" s="1"/>
  <c r="E294" i="21"/>
  <c r="H293" i="21"/>
  <c r="G293" i="21"/>
  <c r="F293" i="21"/>
  <c r="I293" i="21" s="1"/>
  <c r="N142" i="19" s="1"/>
  <c r="E293" i="21"/>
  <c r="H291" i="21"/>
  <c r="G291" i="21"/>
  <c r="F291" i="21"/>
  <c r="I291" i="21" s="1"/>
  <c r="E291" i="21"/>
  <c r="H290" i="21"/>
  <c r="G290" i="21"/>
  <c r="F290" i="21"/>
  <c r="I290" i="21" s="1"/>
  <c r="Q238" i="19" s="1"/>
  <c r="E290" i="21"/>
  <c r="H289" i="21"/>
  <c r="G289" i="21"/>
  <c r="F289" i="21"/>
  <c r="I289" i="21" s="1"/>
  <c r="E289" i="21"/>
  <c r="H288" i="21"/>
  <c r="G288" i="21"/>
  <c r="F288" i="21"/>
  <c r="E288" i="21"/>
  <c r="H287" i="21"/>
  <c r="G287" i="21"/>
  <c r="F287" i="21"/>
  <c r="I287" i="21" s="1"/>
  <c r="N19" i="19" s="1"/>
  <c r="E287" i="21"/>
  <c r="H286" i="21"/>
  <c r="G286" i="21"/>
  <c r="F286" i="21"/>
  <c r="I286" i="21" s="1"/>
  <c r="N238" i="19" s="1"/>
  <c r="E286" i="21"/>
  <c r="H281" i="21"/>
  <c r="G281" i="21"/>
  <c r="F281" i="21"/>
  <c r="I281" i="21" s="1"/>
  <c r="K41" i="19" s="1"/>
  <c r="E281" i="21"/>
  <c r="H280" i="21"/>
  <c r="G280" i="21"/>
  <c r="F280" i="21"/>
  <c r="I280" i="21" s="1"/>
  <c r="E280" i="21"/>
  <c r="H279" i="21"/>
  <c r="G279" i="21"/>
  <c r="F279" i="21"/>
  <c r="I279" i="21" s="1"/>
  <c r="E279" i="21"/>
  <c r="H278" i="21"/>
  <c r="G278" i="21"/>
  <c r="F278" i="21"/>
  <c r="I278" i="21" s="1"/>
  <c r="N141" i="19" s="1"/>
  <c r="E278" i="21"/>
  <c r="H277" i="21"/>
  <c r="G277" i="21"/>
  <c r="F277" i="21"/>
  <c r="I277" i="21" s="1"/>
  <c r="K141" i="19" s="1"/>
  <c r="E277" i="21"/>
  <c r="H274" i="21"/>
  <c r="G274" i="21"/>
  <c r="F274" i="21"/>
  <c r="I274" i="21" s="1"/>
  <c r="Q29" i="19" s="1"/>
  <c r="E274" i="21"/>
  <c r="H273" i="21"/>
  <c r="G273" i="21"/>
  <c r="F273" i="21"/>
  <c r="I273" i="21" s="1"/>
  <c r="N23" i="19" s="1"/>
  <c r="E273" i="21"/>
  <c r="H269" i="21"/>
  <c r="G269" i="21"/>
  <c r="F269" i="21"/>
  <c r="I269" i="21" s="1"/>
  <c r="K316" i="19" s="1"/>
  <c r="E269" i="21"/>
  <c r="H267" i="21"/>
  <c r="G267" i="21"/>
  <c r="F267" i="21"/>
  <c r="I267" i="21" s="1"/>
  <c r="K234" i="19" s="1"/>
  <c r="E267" i="21"/>
  <c r="H263" i="21"/>
  <c r="G263" i="21"/>
  <c r="F263" i="21"/>
  <c r="I263" i="21" s="1"/>
  <c r="E263" i="21"/>
  <c r="H262" i="21"/>
  <c r="G262" i="21"/>
  <c r="F262" i="21"/>
  <c r="I262" i="21" s="1"/>
  <c r="AC273" i="19" s="1"/>
  <c r="E262" i="21"/>
  <c r="H261" i="21"/>
  <c r="G261" i="21"/>
  <c r="F261" i="21"/>
  <c r="I261" i="21" s="1"/>
  <c r="T125" i="19" s="1"/>
  <c r="E261" i="21"/>
  <c r="H259" i="21"/>
  <c r="G259" i="21"/>
  <c r="F259" i="21"/>
  <c r="I259" i="21" s="1"/>
  <c r="K297" i="19" s="1"/>
  <c r="E259" i="21"/>
  <c r="H258" i="21"/>
  <c r="G258" i="21"/>
  <c r="F258" i="21"/>
  <c r="E258" i="21"/>
  <c r="H255" i="21"/>
  <c r="G255" i="21"/>
  <c r="F255" i="21"/>
  <c r="I255" i="21" s="1"/>
  <c r="H247" i="21"/>
  <c r="G247" i="21"/>
  <c r="F247" i="21"/>
  <c r="E247" i="21"/>
  <c r="H245" i="21"/>
  <c r="G245" i="21"/>
  <c r="F245" i="21"/>
  <c r="E245" i="21"/>
  <c r="L245" i="21" s="1"/>
  <c r="H243" i="21"/>
  <c r="G243" i="21"/>
  <c r="F243" i="21"/>
  <c r="E243" i="21"/>
  <c r="H242" i="21"/>
  <c r="G242" i="21"/>
  <c r="F242" i="21"/>
  <c r="E242" i="21"/>
  <c r="H241" i="21"/>
  <c r="G241" i="21"/>
  <c r="F241" i="21"/>
  <c r="E241" i="21"/>
  <c r="H239" i="21"/>
  <c r="G239" i="21"/>
  <c r="F239" i="21"/>
  <c r="E239" i="21"/>
  <c r="H238" i="21"/>
  <c r="G238" i="21"/>
  <c r="F238" i="21"/>
  <c r="E238" i="21"/>
  <c r="H237" i="21"/>
  <c r="G237" i="21"/>
  <c r="F237" i="21"/>
  <c r="E237" i="21"/>
  <c r="I237" i="21" s="1"/>
  <c r="AI247" i="19" s="1"/>
  <c r="H235" i="21"/>
  <c r="G235" i="21"/>
  <c r="F235" i="21"/>
  <c r="E235" i="21"/>
  <c r="H234" i="21"/>
  <c r="G234" i="21"/>
  <c r="F234" i="21"/>
  <c r="E234" i="21"/>
  <c r="H232" i="21"/>
  <c r="G232" i="21"/>
  <c r="F232" i="21"/>
  <c r="E232" i="21"/>
  <c r="H231" i="21"/>
  <c r="G231" i="21"/>
  <c r="F231" i="21"/>
  <c r="E231" i="21"/>
  <c r="H230" i="21"/>
  <c r="G230" i="21"/>
  <c r="F230" i="21"/>
  <c r="E230" i="21"/>
  <c r="L230" i="21" s="1"/>
  <c r="H228" i="21"/>
  <c r="G228" i="21"/>
  <c r="F228" i="21"/>
  <c r="E228" i="21"/>
  <c r="H227" i="21"/>
  <c r="G227" i="21"/>
  <c r="F227" i="21"/>
  <c r="E227" i="21"/>
  <c r="H226" i="21"/>
  <c r="G226" i="21"/>
  <c r="F226" i="21"/>
  <c r="E226" i="21"/>
  <c r="H225" i="21"/>
  <c r="G225" i="21"/>
  <c r="F225" i="21"/>
  <c r="E225" i="21"/>
  <c r="H224" i="21"/>
  <c r="G224" i="21"/>
  <c r="F224" i="21"/>
  <c r="E224" i="21"/>
  <c r="L224" i="21" s="1"/>
  <c r="H222" i="21"/>
  <c r="G222" i="21"/>
  <c r="F222" i="21"/>
  <c r="E222" i="21"/>
  <c r="H221" i="21"/>
  <c r="G221" i="21"/>
  <c r="F221" i="21"/>
  <c r="E221" i="21"/>
  <c r="H220" i="21"/>
  <c r="G220" i="21"/>
  <c r="F220" i="21"/>
  <c r="E220" i="21"/>
  <c r="H219" i="21"/>
  <c r="G219" i="21"/>
  <c r="F219" i="21"/>
  <c r="E219" i="21"/>
  <c r="H218" i="21"/>
  <c r="G218" i="21"/>
  <c r="F218" i="21"/>
  <c r="E218" i="21"/>
  <c r="H215" i="21"/>
  <c r="G215" i="21"/>
  <c r="F215" i="21"/>
  <c r="E215" i="21"/>
  <c r="I215" i="21" s="1"/>
  <c r="H214" i="21"/>
  <c r="G214" i="21"/>
  <c r="F214" i="21"/>
  <c r="E214" i="21"/>
  <c r="H213" i="21"/>
  <c r="G213" i="21"/>
  <c r="F213" i="21"/>
  <c r="E213" i="21"/>
  <c r="H211" i="21"/>
  <c r="G211" i="21"/>
  <c r="F211" i="21"/>
  <c r="E211" i="21"/>
  <c r="H210" i="21"/>
  <c r="G210" i="21"/>
  <c r="F210" i="21"/>
  <c r="E210" i="21"/>
  <c r="H208" i="21"/>
  <c r="G208" i="21"/>
  <c r="F208" i="21"/>
  <c r="E208" i="21"/>
  <c r="L208" i="21" s="1"/>
  <c r="H206" i="21"/>
  <c r="G206" i="21"/>
  <c r="F206" i="21"/>
  <c r="E206" i="21"/>
  <c r="H204" i="21"/>
  <c r="G204" i="21"/>
  <c r="F204" i="21"/>
  <c r="E204" i="21"/>
  <c r="H203" i="21"/>
  <c r="G203" i="21"/>
  <c r="F203" i="21"/>
  <c r="E203" i="21"/>
  <c r="H202" i="21"/>
  <c r="G202" i="21"/>
  <c r="F202" i="21"/>
  <c r="E202" i="21"/>
  <c r="L202" i="21" s="1"/>
  <c r="H200" i="21"/>
  <c r="G200" i="21"/>
  <c r="F200" i="21"/>
  <c r="E200" i="21"/>
  <c r="H199" i="21"/>
  <c r="G199" i="21"/>
  <c r="F199" i="21"/>
  <c r="E199" i="21"/>
  <c r="H198" i="21"/>
  <c r="G198" i="21"/>
  <c r="F198" i="21"/>
  <c r="E198" i="21"/>
  <c r="H197" i="21"/>
  <c r="G197" i="21"/>
  <c r="F197" i="21"/>
  <c r="E197" i="21"/>
  <c r="H196" i="21"/>
  <c r="G196" i="21"/>
  <c r="F196" i="21"/>
  <c r="E196" i="21"/>
  <c r="H195" i="21"/>
  <c r="G195" i="21"/>
  <c r="F195" i="21"/>
  <c r="E195" i="21"/>
  <c r="I195" i="21" s="1"/>
  <c r="K11" i="19" s="1"/>
  <c r="H194" i="21"/>
  <c r="G194" i="21"/>
  <c r="F194" i="21"/>
  <c r="E194" i="21"/>
  <c r="H193" i="21"/>
  <c r="G193" i="21"/>
  <c r="F193" i="21"/>
  <c r="E193" i="21"/>
  <c r="H192" i="21"/>
  <c r="G192" i="21"/>
  <c r="F192" i="21"/>
  <c r="E192" i="21"/>
  <c r="H191" i="21"/>
  <c r="G191" i="21"/>
  <c r="F191" i="21"/>
  <c r="E191" i="21"/>
  <c r="H189" i="21"/>
  <c r="G189" i="21"/>
  <c r="F189" i="21"/>
  <c r="E189" i="21"/>
  <c r="I189" i="21" s="1"/>
  <c r="W135" i="19" s="1"/>
  <c r="H188" i="21"/>
  <c r="G188" i="21"/>
  <c r="F188" i="21"/>
  <c r="E188" i="21"/>
  <c r="H187" i="21"/>
  <c r="G187" i="21"/>
  <c r="F187" i="21"/>
  <c r="E187" i="21"/>
  <c r="H186" i="21"/>
  <c r="G186" i="21"/>
  <c r="F186" i="21"/>
  <c r="E186" i="21"/>
  <c r="H185" i="21"/>
  <c r="G185" i="21"/>
  <c r="F185" i="21"/>
  <c r="E185" i="21"/>
  <c r="H184" i="21"/>
  <c r="G184" i="21"/>
  <c r="F184" i="21"/>
  <c r="E184" i="21"/>
  <c r="L184" i="21" s="1"/>
  <c r="H183" i="21"/>
  <c r="G183" i="21"/>
  <c r="F183" i="21"/>
  <c r="E183" i="21"/>
  <c r="H181" i="21"/>
  <c r="G181" i="21"/>
  <c r="F181" i="21"/>
  <c r="E181" i="21"/>
  <c r="H180" i="21"/>
  <c r="G180" i="21"/>
  <c r="F180" i="21"/>
  <c r="E180" i="21"/>
  <c r="H179" i="21"/>
  <c r="G179" i="21"/>
  <c r="F179" i="21"/>
  <c r="E179" i="21"/>
  <c r="H177" i="21"/>
  <c r="G177" i="21"/>
  <c r="F177" i="21"/>
  <c r="E177" i="21"/>
  <c r="H176" i="21"/>
  <c r="G176" i="21"/>
  <c r="F176" i="21"/>
  <c r="E176" i="21"/>
  <c r="I176" i="21" s="1"/>
  <c r="J176" i="21" s="1"/>
  <c r="K176" i="21" s="1"/>
  <c r="H175" i="21"/>
  <c r="G175" i="21"/>
  <c r="F175" i="21"/>
  <c r="E175" i="21"/>
  <c r="H174" i="21"/>
  <c r="G174" i="21"/>
  <c r="F174" i="21"/>
  <c r="E174" i="21"/>
  <c r="H173" i="21"/>
  <c r="G173" i="21"/>
  <c r="F173" i="21"/>
  <c r="E173" i="21"/>
  <c r="H172" i="21"/>
  <c r="G172" i="21"/>
  <c r="F172" i="21"/>
  <c r="E172" i="21"/>
  <c r="H171" i="21"/>
  <c r="G171" i="21"/>
  <c r="F171" i="21"/>
  <c r="E171" i="21"/>
  <c r="I171" i="21" s="1"/>
  <c r="N219" i="19" s="1"/>
  <c r="H170" i="21"/>
  <c r="G170" i="21"/>
  <c r="F170" i="21"/>
  <c r="E170" i="21"/>
  <c r="H169" i="21"/>
  <c r="G169" i="21"/>
  <c r="F169" i="21"/>
  <c r="E169" i="21"/>
  <c r="H166" i="21"/>
  <c r="G166" i="21"/>
  <c r="F166" i="21"/>
  <c r="E166" i="21"/>
  <c r="H165" i="21"/>
  <c r="G165" i="21"/>
  <c r="F165" i="21"/>
  <c r="E165" i="21"/>
  <c r="H163" i="21"/>
  <c r="G163" i="21"/>
  <c r="F163" i="21"/>
  <c r="E163" i="21"/>
  <c r="L163" i="21" s="1"/>
  <c r="H162" i="21"/>
  <c r="G162" i="21"/>
  <c r="F162" i="21"/>
  <c r="E162" i="21"/>
  <c r="H160" i="21"/>
  <c r="G160" i="21"/>
  <c r="F160" i="21"/>
  <c r="E160" i="21"/>
  <c r="H158" i="21"/>
  <c r="G158" i="21"/>
  <c r="F158" i="21"/>
  <c r="E158" i="21"/>
  <c r="H157" i="21"/>
  <c r="G157" i="21"/>
  <c r="F157" i="21"/>
  <c r="E157" i="21"/>
  <c r="H156" i="21"/>
  <c r="G156" i="21"/>
  <c r="F156" i="21"/>
  <c r="E156" i="21"/>
  <c r="L156" i="21" s="1"/>
  <c r="H155" i="21"/>
  <c r="G155" i="21"/>
  <c r="F155" i="21"/>
  <c r="E155" i="21"/>
  <c r="H154" i="21"/>
  <c r="G154" i="21"/>
  <c r="F154" i="21"/>
  <c r="E154" i="21"/>
  <c r="H151" i="21"/>
  <c r="G151" i="21"/>
  <c r="F151" i="21"/>
  <c r="E151" i="21"/>
  <c r="H150" i="21"/>
  <c r="G150" i="21"/>
  <c r="F150" i="21"/>
  <c r="E150" i="21"/>
  <c r="H148" i="21"/>
  <c r="G148" i="21"/>
  <c r="F148" i="21"/>
  <c r="E148" i="21"/>
  <c r="L148" i="21" s="1"/>
  <c r="H147" i="21"/>
  <c r="G147" i="21"/>
  <c r="F147" i="21"/>
  <c r="E147" i="21"/>
  <c r="H146" i="21"/>
  <c r="G146" i="21"/>
  <c r="F146" i="21"/>
  <c r="E146" i="21"/>
  <c r="H145" i="21"/>
  <c r="G145" i="21"/>
  <c r="F145" i="21"/>
  <c r="E145" i="21"/>
  <c r="H143" i="21"/>
  <c r="G143" i="21"/>
  <c r="F143" i="21"/>
  <c r="E143" i="21"/>
  <c r="H142" i="21"/>
  <c r="G142" i="21"/>
  <c r="F142" i="21"/>
  <c r="E142" i="21"/>
  <c r="H140" i="21"/>
  <c r="G140" i="21"/>
  <c r="F140" i="21"/>
  <c r="E140" i="21"/>
  <c r="I140" i="21" s="1"/>
  <c r="J140" i="21" s="1"/>
  <c r="K140" i="21" s="1"/>
  <c r="H139" i="21"/>
  <c r="G139" i="21"/>
  <c r="F139" i="21"/>
  <c r="E139" i="21"/>
  <c r="H138" i="21"/>
  <c r="G138" i="21"/>
  <c r="F138" i="21"/>
  <c r="E138" i="21"/>
  <c r="H137" i="21"/>
  <c r="G137" i="21"/>
  <c r="F137" i="21"/>
  <c r="E137" i="21"/>
  <c r="H136" i="21"/>
  <c r="G136" i="21"/>
  <c r="F136" i="21"/>
  <c r="E136" i="21"/>
  <c r="H135" i="21"/>
  <c r="G135" i="21"/>
  <c r="F135" i="21"/>
  <c r="E135" i="21"/>
  <c r="L135" i="21" s="1"/>
  <c r="H134" i="21"/>
  <c r="G134" i="21"/>
  <c r="F134" i="21"/>
  <c r="E134" i="21"/>
  <c r="H133" i="21"/>
  <c r="G133" i="21"/>
  <c r="F133" i="21"/>
  <c r="E133" i="21"/>
  <c r="H130" i="21"/>
  <c r="G130" i="21"/>
  <c r="F130" i="21"/>
  <c r="E130" i="21"/>
  <c r="H129" i="21"/>
  <c r="G129" i="21"/>
  <c r="F129" i="21"/>
  <c r="E129" i="21"/>
  <c r="H128" i="21"/>
  <c r="G128" i="21"/>
  <c r="F128" i="21"/>
  <c r="E128" i="21"/>
  <c r="I128" i="21" s="1"/>
  <c r="K210" i="19" s="1"/>
  <c r="H126" i="21"/>
  <c r="G126" i="21"/>
  <c r="F126" i="21"/>
  <c r="E126" i="21"/>
  <c r="H125" i="21"/>
  <c r="G125" i="21"/>
  <c r="F125" i="21"/>
  <c r="E125" i="21"/>
  <c r="H124" i="21"/>
  <c r="G124" i="21"/>
  <c r="F124" i="21"/>
  <c r="E124" i="21"/>
  <c r="H123" i="21"/>
  <c r="G123" i="21"/>
  <c r="F123" i="21"/>
  <c r="E123" i="21"/>
  <c r="H121" i="21"/>
  <c r="G121" i="21"/>
  <c r="F121" i="21"/>
  <c r="E121" i="21"/>
  <c r="I121" i="21" s="1"/>
  <c r="AC127" i="19" s="1"/>
  <c r="H120" i="21"/>
  <c r="G120" i="21"/>
  <c r="F120" i="21"/>
  <c r="E120" i="21"/>
  <c r="H119" i="21"/>
  <c r="G119" i="21"/>
  <c r="F119" i="21"/>
  <c r="E119" i="21"/>
  <c r="H118" i="21"/>
  <c r="G118" i="21"/>
  <c r="F118" i="21"/>
  <c r="E118" i="21"/>
  <c r="H117" i="21"/>
  <c r="G117" i="21"/>
  <c r="F117" i="21"/>
  <c r="E117" i="21"/>
  <c r="H116" i="21"/>
  <c r="G116" i="21"/>
  <c r="F116" i="21"/>
  <c r="E116" i="21"/>
  <c r="H115" i="21"/>
  <c r="G115" i="21"/>
  <c r="F115" i="21"/>
  <c r="E115" i="21"/>
  <c r="L115" i="21" s="1"/>
  <c r="H114" i="21"/>
  <c r="G114" i="21"/>
  <c r="F114" i="21"/>
  <c r="E114" i="21"/>
  <c r="H113" i="21"/>
  <c r="G113" i="21"/>
  <c r="F113" i="21"/>
  <c r="E113" i="21"/>
  <c r="H111" i="21"/>
  <c r="G111" i="21"/>
  <c r="F111" i="21"/>
  <c r="E111" i="21"/>
  <c r="H110" i="21"/>
  <c r="G110" i="21"/>
  <c r="F110" i="21"/>
  <c r="E110" i="21"/>
  <c r="H109" i="21"/>
  <c r="G109" i="21"/>
  <c r="F109" i="21"/>
  <c r="E109" i="21"/>
  <c r="I109" i="21" s="1"/>
  <c r="Z212" i="19" s="1"/>
  <c r="H108" i="21"/>
  <c r="G108" i="21"/>
  <c r="F108" i="21"/>
  <c r="E108" i="21"/>
  <c r="H107" i="21"/>
  <c r="G107" i="21"/>
  <c r="F107" i="21"/>
  <c r="E107" i="21"/>
  <c r="H106" i="21"/>
  <c r="G106" i="21"/>
  <c r="F106" i="21"/>
  <c r="E106" i="21"/>
  <c r="H105" i="21"/>
  <c r="G105" i="21"/>
  <c r="F105" i="21"/>
  <c r="E105" i="21"/>
  <c r="H102" i="21"/>
  <c r="G102" i="21"/>
  <c r="F102" i="21"/>
  <c r="E102" i="21"/>
  <c r="I102" i="21" s="1"/>
  <c r="AF204" i="19" s="1"/>
  <c r="H101" i="21"/>
  <c r="G101" i="21"/>
  <c r="F101" i="21"/>
  <c r="E101" i="21"/>
  <c r="H100" i="21"/>
  <c r="G100" i="21"/>
  <c r="F100" i="21"/>
  <c r="E100" i="21"/>
  <c r="H98" i="21"/>
  <c r="G98" i="21"/>
  <c r="F98" i="21"/>
  <c r="E98" i="21"/>
  <c r="H97" i="21"/>
  <c r="G97" i="21"/>
  <c r="F97" i="21"/>
  <c r="E97" i="21"/>
  <c r="H95" i="21"/>
  <c r="G95" i="21"/>
  <c r="F95" i="21"/>
  <c r="E95" i="21"/>
  <c r="I95" i="21" s="1"/>
  <c r="Q162" i="19" s="1"/>
  <c r="H94" i="21"/>
  <c r="G94" i="21"/>
  <c r="F94" i="21"/>
  <c r="E94" i="21"/>
  <c r="H93" i="21"/>
  <c r="G93" i="21"/>
  <c r="F93" i="21"/>
  <c r="E93" i="21"/>
  <c r="H91" i="21"/>
  <c r="G91" i="21"/>
  <c r="F91" i="21"/>
  <c r="E91" i="21"/>
  <c r="H90" i="21"/>
  <c r="G90" i="21"/>
  <c r="F90" i="21"/>
  <c r="E90" i="21"/>
  <c r="H89" i="21"/>
  <c r="G89" i="21"/>
  <c r="F89" i="21"/>
  <c r="E89" i="21"/>
  <c r="I89" i="21" s="1"/>
  <c r="H88" i="21"/>
  <c r="G88" i="21"/>
  <c r="F88" i="21"/>
  <c r="E88" i="21"/>
  <c r="H87" i="21"/>
  <c r="G87" i="21"/>
  <c r="F87" i="21"/>
  <c r="E87" i="21"/>
  <c r="H86" i="21"/>
  <c r="G86" i="21"/>
  <c r="F86" i="21"/>
  <c r="E86" i="21"/>
  <c r="H83" i="21"/>
  <c r="G83" i="21"/>
  <c r="F83" i="21"/>
  <c r="E83" i="21"/>
  <c r="H82" i="21"/>
  <c r="G82" i="21"/>
  <c r="F82" i="21"/>
  <c r="E82" i="21"/>
  <c r="I82" i="21" s="1"/>
  <c r="W245" i="19" s="1"/>
  <c r="H81" i="21"/>
  <c r="G81" i="21"/>
  <c r="F81" i="21"/>
  <c r="E81" i="21"/>
  <c r="H79" i="21"/>
  <c r="G79" i="21"/>
  <c r="F79" i="21"/>
  <c r="E79" i="21"/>
  <c r="H78" i="21"/>
  <c r="G78" i="21"/>
  <c r="F78" i="21"/>
  <c r="E78" i="21"/>
  <c r="H77" i="21"/>
  <c r="G77" i="21"/>
  <c r="F77" i="21"/>
  <c r="E77" i="21"/>
  <c r="I77" i="21" s="1"/>
  <c r="T227" i="19" s="1"/>
  <c r="H75" i="21"/>
  <c r="G75" i="21"/>
  <c r="F75" i="21"/>
  <c r="E75" i="21"/>
  <c r="H74" i="21"/>
  <c r="G74" i="21"/>
  <c r="F74" i="21"/>
  <c r="E74" i="21"/>
  <c r="H73" i="21"/>
  <c r="G73" i="21"/>
  <c r="F73" i="21"/>
  <c r="E73" i="21"/>
  <c r="H72" i="21"/>
  <c r="G72" i="21"/>
  <c r="F72" i="21"/>
  <c r="E72" i="21"/>
  <c r="I72" i="21" s="1"/>
  <c r="N290" i="19" s="1"/>
  <c r="H71" i="21"/>
  <c r="G71" i="21"/>
  <c r="F71" i="21"/>
  <c r="E71" i="21"/>
  <c r="H70" i="21"/>
  <c r="G70" i="21"/>
  <c r="F70" i="21"/>
  <c r="E70" i="21"/>
  <c r="H69" i="21"/>
  <c r="G69" i="21"/>
  <c r="F69" i="21"/>
  <c r="E69" i="21"/>
  <c r="L69" i="21" s="1"/>
  <c r="H68" i="21"/>
  <c r="G68" i="21"/>
  <c r="F68" i="21"/>
  <c r="E68" i="21"/>
  <c r="H66" i="21"/>
  <c r="G66" i="21"/>
  <c r="F66" i="21"/>
  <c r="E66" i="21"/>
  <c r="H65" i="21"/>
  <c r="G65" i="21"/>
  <c r="F65" i="21"/>
  <c r="E65" i="21"/>
  <c r="H64" i="21"/>
  <c r="G64" i="21"/>
  <c r="F64" i="21"/>
  <c r="E64" i="21"/>
  <c r="L64" i="21" s="1"/>
  <c r="H63" i="21"/>
  <c r="G63" i="21"/>
  <c r="F63" i="21"/>
  <c r="E63" i="21"/>
  <c r="H62" i="21"/>
  <c r="G62" i="21"/>
  <c r="F62" i="21"/>
  <c r="E62" i="21"/>
  <c r="H61" i="21"/>
  <c r="G61" i="21"/>
  <c r="F61" i="21"/>
  <c r="E61" i="21"/>
  <c r="H58" i="21"/>
  <c r="G58" i="21"/>
  <c r="F58" i="21"/>
  <c r="E58" i="21"/>
  <c r="H57" i="21"/>
  <c r="G57" i="21"/>
  <c r="F57" i="21"/>
  <c r="E57" i="21"/>
  <c r="H56" i="21"/>
  <c r="G56" i="21"/>
  <c r="F56" i="21"/>
  <c r="E56" i="21"/>
  <c r="H55" i="21"/>
  <c r="G55" i="21"/>
  <c r="F55" i="21"/>
  <c r="E55" i="21"/>
  <c r="H54" i="21"/>
  <c r="G54" i="21"/>
  <c r="F54" i="21"/>
  <c r="E54" i="21"/>
  <c r="H53" i="21"/>
  <c r="G53" i="21"/>
  <c r="F53" i="21"/>
  <c r="E53" i="21"/>
  <c r="H52" i="21"/>
  <c r="G52" i="21"/>
  <c r="F52" i="21"/>
  <c r="E52" i="21"/>
  <c r="H50" i="21"/>
  <c r="G50" i="21"/>
  <c r="F50" i="21"/>
  <c r="E50" i="21"/>
  <c r="H49" i="21"/>
  <c r="G49" i="21"/>
  <c r="F49" i="21"/>
  <c r="E49" i="21"/>
  <c r="H48" i="21"/>
  <c r="G48" i="21"/>
  <c r="F48" i="21"/>
  <c r="E48" i="21"/>
  <c r="H47" i="21"/>
  <c r="G47" i="21"/>
  <c r="F47" i="21"/>
  <c r="E47" i="21"/>
  <c r="H46" i="21"/>
  <c r="G46" i="21"/>
  <c r="F46" i="21"/>
  <c r="E46" i="21"/>
  <c r="H45" i="21"/>
  <c r="G45" i="21"/>
  <c r="F45" i="21"/>
  <c r="E45" i="21"/>
  <c r="H43" i="21"/>
  <c r="G43" i="21"/>
  <c r="F43" i="21"/>
  <c r="E43" i="21"/>
  <c r="H41" i="21"/>
  <c r="G41" i="21"/>
  <c r="F41" i="21"/>
  <c r="E41" i="21"/>
  <c r="H40" i="21"/>
  <c r="G40" i="21"/>
  <c r="F40" i="21"/>
  <c r="E40" i="21"/>
  <c r="H39" i="21"/>
  <c r="G39" i="21"/>
  <c r="F39" i="21"/>
  <c r="E39" i="21"/>
  <c r="I39" i="21" s="1"/>
  <c r="H38" i="21"/>
  <c r="G38" i="21"/>
  <c r="F38" i="21"/>
  <c r="E38" i="21"/>
  <c r="L38" i="21" s="1"/>
  <c r="H37" i="21"/>
  <c r="G37" i="21"/>
  <c r="F37" i="21"/>
  <c r="E37" i="21"/>
  <c r="H34" i="21"/>
  <c r="G34" i="21"/>
  <c r="F34" i="21"/>
  <c r="E34" i="21"/>
  <c r="H33" i="21"/>
  <c r="G33" i="21"/>
  <c r="F33" i="21"/>
  <c r="E33" i="21"/>
  <c r="H32" i="21"/>
  <c r="G32" i="21"/>
  <c r="F32" i="21"/>
  <c r="E32" i="21"/>
  <c r="L32" i="21" s="1"/>
  <c r="H30" i="21"/>
  <c r="G30" i="21"/>
  <c r="F30" i="21"/>
  <c r="E30" i="21"/>
  <c r="L30" i="21" s="1"/>
  <c r="H29" i="21"/>
  <c r="G29" i="21"/>
  <c r="F29" i="21"/>
  <c r="E29" i="21"/>
  <c r="I29" i="21" s="1"/>
  <c r="H28" i="21"/>
  <c r="G28" i="21"/>
  <c r="F28" i="21"/>
  <c r="E28" i="21"/>
  <c r="H27" i="21"/>
  <c r="G27" i="21"/>
  <c r="F27" i="21"/>
  <c r="E27" i="21"/>
  <c r="H26" i="21"/>
  <c r="G26" i="21"/>
  <c r="F26" i="21"/>
  <c r="E26" i="21"/>
  <c r="H11" i="21"/>
  <c r="G11" i="21"/>
  <c r="F11" i="21"/>
  <c r="E11" i="21"/>
  <c r="H10" i="21"/>
  <c r="G10" i="21"/>
  <c r="F10" i="21"/>
  <c r="E10" i="21"/>
  <c r="I10" i="21" s="1"/>
  <c r="H9" i="21"/>
  <c r="G9" i="21"/>
  <c r="F9" i="21"/>
  <c r="E9" i="21"/>
  <c r="H8" i="21"/>
  <c r="G8" i="21"/>
  <c r="F8" i="21"/>
  <c r="E8" i="21"/>
  <c r="L8" i="21" s="1"/>
  <c r="H7" i="21"/>
  <c r="G7" i="21"/>
  <c r="F7" i="21"/>
  <c r="E7" i="21"/>
  <c r="L7" i="21" s="1"/>
  <c r="B21" i="56"/>
  <c r="B20" i="56"/>
  <c r="B19" i="56"/>
  <c r="B18" i="56"/>
  <c r="B17" i="56"/>
  <c r="B16" i="56"/>
  <c r="B15" i="56"/>
  <c r="B14" i="56"/>
  <c r="B13" i="56"/>
  <c r="B12" i="56"/>
  <c r="B11" i="56"/>
  <c r="B10" i="56"/>
  <c r="B9" i="56"/>
  <c r="B8" i="56"/>
  <c r="B7" i="56"/>
  <c r="B6" i="56"/>
  <c r="E26" i="10"/>
  <c r="F26" i="10"/>
  <c r="G26" i="10"/>
  <c r="H26" i="10"/>
  <c r="I26" i="10"/>
  <c r="J26" i="10"/>
  <c r="K26" i="10"/>
  <c r="L26" i="10"/>
  <c r="M26" i="10"/>
  <c r="N26" i="10"/>
  <c r="O26" i="10"/>
  <c r="P26" i="10"/>
  <c r="Q26" i="10"/>
  <c r="R26" i="10"/>
  <c r="S26" i="10"/>
  <c r="T26" i="10"/>
  <c r="U26" i="10"/>
  <c r="V26" i="10"/>
  <c r="W26" i="10"/>
  <c r="X26" i="10"/>
  <c r="Y26" i="10"/>
  <c r="Z26" i="10"/>
  <c r="AA26" i="10"/>
  <c r="AB26" i="10"/>
  <c r="AC26" i="10"/>
  <c r="AD26" i="10"/>
  <c r="AE26" i="10"/>
  <c r="AF26" i="10"/>
  <c r="B7" i="11"/>
  <c r="B8" i="11"/>
  <c r="B9" i="11"/>
  <c r="B10" i="11"/>
  <c r="B11" i="11"/>
  <c r="B12" i="11"/>
  <c r="B13" i="11"/>
  <c r="B14" i="11"/>
  <c r="B15" i="11"/>
  <c r="B16" i="11"/>
  <c r="B17" i="11"/>
  <c r="B18" i="11"/>
  <c r="B19" i="11"/>
  <c r="B20" i="11"/>
  <c r="B21" i="11"/>
  <c r="B6" i="11"/>
  <c r="BC351" i="53"/>
  <c r="BC350" i="53"/>
  <c r="BC349" i="53"/>
  <c r="BC352" i="53"/>
  <c r="D352" i="53" s="1"/>
  <c r="AZ352" i="54" s="1"/>
  <c r="BB346" i="53"/>
  <c r="BB345" i="53"/>
  <c r="BB344" i="53"/>
  <c r="BB347" i="53"/>
  <c r="D347" i="53" s="1"/>
  <c r="AZ347" i="54" s="1"/>
  <c r="BA341" i="53"/>
  <c r="BA340" i="53"/>
  <c r="BA339" i="53"/>
  <c r="BA269" i="53"/>
  <c r="BA342" i="53"/>
  <c r="AZ336" i="53"/>
  <c r="AZ335" i="53"/>
  <c r="AZ334" i="53"/>
  <c r="D334" i="53" s="1"/>
  <c r="AZ334" i="54" s="1"/>
  <c r="AZ333" i="53"/>
  <c r="AZ337" i="53"/>
  <c r="AY330" i="53"/>
  <c r="AY329" i="53"/>
  <c r="D329" i="53" s="1"/>
  <c r="AZ329" i="54" s="1"/>
  <c r="AY328" i="53"/>
  <c r="AY331" i="53"/>
  <c r="AX325" i="53"/>
  <c r="AX324" i="53"/>
  <c r="D324" i="53" s="1"/>
  <c r="AZ324" i="54" s="1"/>
  <c r="AX323" i="53"/>
  <c r="AX326" i="53"/>
  <c r="AW219" i="53"/>
  <c r="AW218" i="53"/>
  <c r="AW157" i="53"/>
  <c r="AW156" i="53"/>
  <c r="AW155" i="53"/>
  <c r="AW154" i="53"/>
  <c r="AW259" i="53"/>
  <c r="AW186" i="53"/>
  <c r="AW185" i="53"/>
  <c r="AW73" i="53"/>
  <c r="AV228" i="53"/>
  <c r="AV227" i="53"/>
  <c r="AV207" i="53"/>
  <c r="AV206" i="53"/>
  <c r="AV158" i="53"/>
  <c r="AV157" i="53"/>
  <c r="AV156" i="53"/>
  <c r="AV155" i="53"/>
  <c r="AV154" i="53"/>
  <c r="AV70" i="53"/>
  <c r="AV69" i="53"/>
  <c r="AV68" i="53"/>
  <c r="AV262" i="53"/>
  <c r="AV258" i="53"/>
  <c r="AV222" i="53"/>
  <c r="AV184" i="53"/>
  <c r="AV181" i="53"/>
  <c r="AV180" i="53"/>
  <c r="AV179" i="53"/>
  <c r="AV172" i="53"/>
  <c r="AV171" i="53"/>
  <c r="AV208" i="53"/>
  <c r="AV163" i="53"/>
  <c r="AV73" i="53"/>
  <c r="AV72" i="53"/>
  <c r="AV71" i="53"/>
  <c r="AU207" i="53"/>
  <c r="AU206" i="53"/>
  <c r="AU179" i="53"/>
  <c r="AU157" i="53"/>
  <c r="AU156" i="53"/>
  <c r="AU155" i="53"/>
  <c r="AU154" i="53"/>
  <c r="AU208" i="53"/>
  <c r="AU172" i="53"/>
  <c r="AU163" i="53"/>
  <c r="AT207" i="53"/>
  <c r="AT206" i="53"/>
  <c r="AT179" i="53"/>
  <c r="AT157" i="53"/>
  <c r="AT156" i="53"/>
  <c r="AT155" i="53"/>
  <c r="AT154" i="53"/>
  <c r="AT208" i="53"/>
  <c r="AT172" i="53"/>
  <c r="AT163" i="53"/>
  <c r="AS228" i="53"/>
  <c r="AS227" i="53"/>
  <c r="AS207" i="53"/>
  <c r="AS206" i="53"/>
  <c r="AS158" i="53"/>
  <c r="AS157" i="53"/>
  <c r="AS156" i="53"/>
  <c r="AS155" i="53"/>
  <c r="AS154" i="53"/>
  <c r="AS70" i="53"/>
  <c r="AS69" i="53"/>
  <c r="AS68" i="53"/>
  <c r="AS262" i="53"/>
  <c r="AS258" i="53"/>
  <c r="AS222" i="53"/>
  <c r="AS184" i="53"/>
  <c r="AS181" i="53"/>
  <c r="AS180" i="53"/>
  <c r="AS179" i="53"/>
  <c r="AS172" i="53"/>
  <c r="AS171" i="53"/>
  <c r="AS208" i="53"/>
  <c r="AS163" i="53"/>
  <c r="AS73" i="53"/>
  <c r="AS72" i="53"/>
  <c r="AS71" i="53"/>
  <c r="AR146" i="53"/>
  <c r="AR145" i="53"/>
  <c r="AR142" i="53"/>
  <c r="AR134" i="53"/>
  <c r="AR147" i="53"/>
  <c r="AR135" i="53"/>
  <c r="AQ146" i="53"/>
  <c r="AQ145" i="53"/>
  <c r="AQ142" i="53"/>
  <c r="AQ134" i="53"/>
  <c r="AQ147" i="53"/>
  <c r="AQ135" i="53"/>
  <c r="AP319" i="53"/>
  <c r="AP318" i="53"/>
  <c r="AP306" i="53"/>
  <c r="AP305" i="53"/>
  <c r="D305" i="53" s="1"/>
  <c r="AZ305" i="54" s="1"/>
  <c r="AP299" i="53"/>
  <c r="AP320" i="53"/>
  <c r="AP300" i="53"/>
  <c r="AO238" i="53"/>
  <c r="AO237" i="53"/>
  <c r="AO196" i="53"/>
  <c r="AO194" i="53"/>
  <c r="AO165" i="53"/>
  <c r="AO66" i="53"/>
  <c r="AO62" i="53"/>
  <c r="AO33" i="53"/>
  <c r="AO32" i="53"/>
  <c r="AO255" i="53"/>
  <c r="AO239" i="53"/>
  <c r="AO200" i="53"/>
  <c r="AO198" i="53"/>
  <c r="AO193" i="53"/>
  <c r="AO192" i="53"/>
  <c r="AO191" i="53"/>
  <c r="AO20" i="53"/>
  <c r="AO204" i="53"/>
  <c r="AO203" i="53"/>
  <c r="AO202" i="53"/>
  <c r="AO187" i="53"/>
  <c r="AO83" i="53"/>
  <c r="AO82" i="53"/>
  <c r="AO79" i="53"/>
  <c r="AO78" i="53"/>
  <c r="AO71" i="53"/>
  <c r="AO40" i="53"/>
  <c r="AO263" i="53"/>
  <c r="AO262" i="53"/>
  <c r="AO171" i="53"/>
  <c r="AO81" i="53"/>
  <c r="AO77" i="53"/>
  <c r="AO65" i="53"/>
  <c r="AO64" i="53"/>
  <c r="AO61" i="53"/>
  <c r="AO185" i="53"/>
  <c r="AO73" i="53"/>
  <c r="AO70" i="53"/>
  <c r="AO69" i="53"/>
  <c r="AO68" i="53"/>
  <c r="AO41" i="53"/>
  <c r="AO39" i="53"/>
  <c r="AO38" i="53"/>
  <c r="AO37" i="53"/>
  <c r="AO221" i="53"/>
  <c r="AO220" i="53"/>
  <c r="AO219" i="53"/>
  <c r="AO218" i="53"/>
  <c r="AO207" i="53"/>
  <c r="AO206" i="53"/>
  <c r="AO157" i="53"/>
  <c r="AO156" i="53"/>
  <c r="AO155" i="53"/>
  <c r="AO154" i="53"/>
  <c r="AO208" i="53"/>
  <c r="AO163" i="53"/>
  <c r="AO162" i="53"/>
  <c r="AN238" i="53"/>
  <c r="AN237" i="53"/>
  <c r="AN196" i="53"/>
  <c r="AN194" i="53"/>
  <c r="AN165" i="53"/>
  <c r="AN66" i="53"/>
  <c r="AN63" i="53"/>
  <c r="AN62" i="53"/>
  <c r="AN33" i="53"/>
  <c r="AN32" i="53"/>
  <c r="AN255" i="53"/>
  <c r="AN239" i="53"/>
  <c r="AN200" i="53"/>
  <c r="AN198" i="53"/>
  <c r="AN193" i="53"/>
  <c r="AN192" i="53"/>
  <c r="AN191" i="53"/>
  <c r="AN20" i="53"/>
  <c r="AN204" i="53"/>
  <c r="AN203" i="53"/>
  <c r="AN202" i="53"/>
  <c r="AN187" i="53"/>
  <c r="AN83" i="53"/>
  <c r="AN82" i="53"/>
  <c r="AN79" i="53"/>
  <c r="AN78" i="53"/>
  <c r="AN71" i="53"/>
  <c r="AN40" i="53"/>
  <c r="AN263" i="53"/>
  <c r="AN262" i="53"/>
  <c r="AN171" i="53"/>
  <c r="AN81" i="53"/>
  <c r="AN77" i="53"/>
  <c r="AN65" i="53"/>
  <c r="AN64" i="53"/>
  <c r="AN61" i="53"/>
  <c r="AN185" i="53"/>
  <c r="AN73" i="53"/>
  <c r="AN70" i="53"/>
  <c r="AN69" i="53"/>
  <c r="AN68" i="53"/>
  <c r="AN41" i="53"/>
  <c r="AN39" i="53"/>
  <c r="AN38" i="53"/>
  <c r="AN37" i="53"/>
  <c r="AN221" i="53"/>
  <c r="AN220" i="53"/>
  <c r="AN219" i="53"/>
  <c r="AN218" i="53"/>
  <c r="AN207" i="53"/>
  <c r="AN206" i="53"/>
  <c r="AN157" i="53"/>
  <c r="AN156" i="53"/>
  <c r="AN155" i="53"/>
  <c r="AN154" i="53"/>
  <c r="AN208" i="53"/>
  <c r="AN163" i="53"/>
  <c r="AN162" i="53"/>
  <c r="AM290" i="53"/>
  <c r="AM286" i="53"/>
  <c r="D286" i="53" s="1"/>
  <c r="AZ286" i="54" s="1"/>
  <c r="AM34" i="53"/>
  <c r="AM83" i="53"/>
  <c r="AM82" i="53"/>
  <c r="AM79" i="53"/>
  <c r="AM78" i="53"/>
  <c r="AM71" i="53"/>
  <c r="AM81" i="53"/>
  <c r="AM77" i="53"/>
  <c r="AM65" i="53"/>
  <c r="AM62" i="53"/>
  <c r="AM73" i="53"/>
  <c r="AM70" i="53"/>
  <c r="AM69" i="53"/>
  <c r="AM68" i="53"/>
  <c r="AM289" i="53"/>
  <c r="AM267" i="53"/>
  <c r="D267" i="53" s="1"/>
  <c r="AZ267" i="54" s="1"/>
  <c r="AM295" i="53"/>
  <c r="AM294" i="53"/>
  <c r="AL238" i="53"/>
  <c r="AL237" i="53"/>
  <c r="AL196" i="53"/>
  <c r="AL194" i="53"/>
  <c r="AL165" i="53"/>
  <c r="AL66" i="53"/>
  <c r="AL62" i="53"/>
  <c r="AL33" i="53"/>
  <c r="AL32" i="53"/>
  <c r="AL255" i="53"/>
  <c r="AL239" i="53"/>
  <c r="AL200" i="53"/>
  <c r="AL198" i="53"/>
  <c r="AL193" i="53"/>
  <c r="AL192" i="53"/>
  <c r="AL191" i="53"/>
  <c r="AL20" i="53"/>
  <c r="AL204" i="53"/>
  <c r="AL203" i="53"/>
  <c r="AL202" i="53"/>
  <c r="AL187" i="53"/>
  <c r="AL83" i="53"/>
  <c r="AL82" i="53"/>
  <c r="AL79" i="53"/>
  <c r="AL78" i="53"/>
  <c r="AL71" i="53"/>
  <c r="AL40" i="53"/>
  <c r="AL263" i="53"/>
  <c r="AL262" i="53"/>
  <c r="AL171" i="53"/>
  <c r="AL81" i="53"/>
  <c r="AL77" i="53"/>
  <c r="AL65" i="53"/>
  <c r="AL64" i="53"/>
  <c r="AL61" i="53"/>
  <c r="AL185" i="53"/>
  <c r="AL73" i="53"/>
  <c r="AL70" i="53"/>
  <c r="AL69" i="53"/>
  <c r="AL68" i="53"/>
  <c r="AL41" i="53"/>
  <c r="AL39" i="53"/>
  <c r="AL38" i="53"/>
  <c r="AL37" i="53"/>
  <c r="AL221" i="53"/>
  <c r="AL220" i="53"/>
  <c r="AL219" i="53"/>
  <c r="AL218" i="53"/>
  <c r="AL207" i="53"/>
  <c r="AL206" i="53"/>
  <c r="AL157" i="53"/>
  <c r="AL156" i="53"/>
  <c r="AL155" i="53"/>
  <c r="AL154" i="53"/>
  <c r="AL208" i="53"/>
  <c r="AL163" i="53"/>
  <c r="AL162" i="53"/>
  <c r="AK238" i="53"/>
  <c r="AK237" i="53"/>
  <c r="AK196" i="53"/>
  <c r="AK194" i="53"/>
  <c r="AK165" i="53"/>
  <c r="AK66" i="53"/>
  <c r="AK63" i="53"/>
  <c r="AK62" i="53"/>
  <c r="AK33" i="53"/>
  <c r="AK32" i="53"/>
  <c r="AK255" i="53"/>
  <c r="AK239" i="53"/>
  <c r="AK200" i="53"/>
  <c r="AK198" i="53"/>
  <c r="AK193" i="53"/>
  <c r="AK192" i="53"/>
  <c r="AK191" i="53"/>
  <c r="AK20" i="53"/>
  <c r="AK204" i="53"/>
  <c r="AK203" i="53"/>
  <c r="AK202" i="53"/>
  <c r="AK187" i="53"/>
  <c r="AK83" i="53"/>
  <c r="AK82" i="53"/>
  <c r="AK79" i="53"/>
  <c r="AK78" i="53"/>
  <c r="AK71" i="53"/>
  <c r="AK40" i="53"/>
  <c r="AK263" i="53"/>
  <c r="AK262" i="53"/>
  <c r="AK171" i="53"/>
  <c r="AK81" i="53"/>
  <c r="AK77" i="53"/>
  <c r="AK65" i="53"/>
  <c r="AK64" i="53"/>
  <c r="AK61" i="53"/>
  <c r="AK185" i="53"/>
  <c r="AK73" i="53"/>
  <c r="AK70" i="53"/>
  <c r="AK69" i="53"/>
  <c r="AK68" i="53"/>
  <c r="AK41" i="53"/>
  <c r="AK39" i="53"/>
  <c r="AK38" i="53"/>
  <c r="AK37" i="53"/>
  <c r="AK221" i="53"/>
  <c r="AK220" i="53"/>
  <c r="AK219" i="53"/>
  <c r="AK218" i="53"/>
  <c r="AK207" i="53"/>
  <c r="AK206" i="53"/>
  <c r="AK157" i="53"/>
  <c r="AK156" i="53"/>
  <c r="AK155" i="53"/>
  <c r="AK154" i="53"/>
  <c r="AK208" i="53"/>
  <c r="AK163" i="53"/>
  <c r="AK162" i="53"/>
  <c r="AJ106" i="53"/>
  <c r="AJ66" i="53"/>
  <c r="AJ62" i="53"/>
  <c r="AJ111" i="53"/>
  <c r="AJ110" i="53"/>
  <c r="AJ109" i="53"/>
  <c r="AJ108" i="53"/>
  <c r="AJ107" i="53"/>
  <c r="AJ33" i="53"/>
  <c r="AJ32" i="53"/>
  <c r="AJ20" i="53"/>
  <c r="AJ130" i="53"/>
  <c r="AJ129" i="53"/>
  <c r="AJ83" i="53"/>
  <c r="AJ82" i="53"/>
  <c r="AJ79" i="53"/>
  <c r="AJ78" i="53"/>
  <c r="AJ71" i="53"/>
  <c r="AJ40" i="53"/>
  <c r="AJ146" i="53"/>
  <c r="AJ134" i="53"/>
  <c r="AJ128" i="53"/>
  <c r="AJ81" i="53"/>
  <c r="AJ77" i="53"/>
  <c r="AJ65" i="53"/>
  <c r="AJ64" i="53"/>
  <c r="AJ61" i="53"/>
  <c r="AJ73" i="53"/>
  <c r="AJ70" i="53"/>
  <c r="AJ69" i="53"/>
  <c r="AJ68" i="53"/>
  <c r="AJ41" i="53"/>
  <c r="AJ39" i="53"/>
  <c r="AJ38" i="53"/>
  <c r="AJ37" i="53"/>
  <c r="AJ147" i="53"/>
  <c r="AI91" i="53"/>
  <c r="AI90" i="53"/>
  <c r="AI89" i="53"/>
  <c r="AI88" i="53"/>
  <c r="AI87" i="53"/>
  <c r="AI86" i="53"/>
  <c r="AI66" i="53"/>
  <c r="AI62" i="53"/>
  <c r="AI33" i="53"/>
  <c r="AI20" i="53"/>
  <c r="AI102" i="53"/>
  <c r="D102" i="53" s="1"/>
  <c r="AZ102" i="54" s="1"/>
  <c r="AI101" i="53"/>
  <c r="AI83" i="53"/>
  <c r="AI82" i="53"/>
  <c r="AI79" i="53"/>
  <c r="AI78" i="53"/>
  <c r="AI71" i="53"/>
  <c r="AI40" i="53"/>
  <c r="AI146" i="53"/>
  <c r="AI134" i="53"/>
  <c r="AI100" i="53"/>
  <c r="AI81" i="53"/>
  <c r="AI77" i="53"/>
  <c r="AI65" i="53"/>
  <c r="AI64" i="53"/>
  <c r="AI61" i="53"/>
  <c r="AI73" i="53"/>
  <c r="AI70" i="53"/>
  <c r="AI69" i="53"/>
  <c r="AI68" i="53"/>
  <c r="AI41" i="53"/>
  <c r="AI39" i="53"/>
  <c r="AI38" i="53"/>
  <c r="AI37" i="53"/>
  <c r="AI147" i="53"/>
  <c r="AH312" i="53"/>
  <c r="AH311" i="53"/>
  <c r="AH310" i="53"/>
  <c r="AH308" i="53"/>
  <c r="D308" i="53" s="1"/>
  <c r="AZ308" i="54" s="1"/>
  <c r="AH66" i="53"/>
  <c r="AH62" i="53"/>
  <c r="AH83" i="53"/>
  <c r="AH82" i="53"/>
  <c r="AH79" i="53"/>
  <c r="AH78" i="53"/>
  <c r="AH71" i="53"/>
  <c r="AH40" i="53"/>
  <c r="AH299" i="53"/>
  <c r="AH81" i="53"/>
  <c r="AH77" i="53"/>
  <c r="AH65" i="53"/>
  <c r="AH64" i="53"/>
  <c r="AH61" i="53"/>
  <c r="AH73" i="53"/>
  <c r="AH70" i="53"/>
  <c r="AH69" i="53"/>
  <c r="AH68" i="53"/>
  <c r="AH41" i="53"/>
  <c r="AH39" i="53"/>
  <c r="AH38" i="53"/>
  <c r="AH37" i="53"/>
  <c r="AH320" i="53"/>
  <c r="AH319" i="53"/>
  <c r="AG34" i="53"/>
  <c r="AG83" i="53"/>
  <c r="AG82" i="53"/>
  <c r="AG79" i="53"/>
  <c r="AG78" i="53"/>
  <c r="AG81" i="53"/>
  <c r="AG77" i="53"/>
  <c r="AG62" i="53"/>
  <c r="AF231" i="53"/>
  <c r="AF215" i="53"/>
  <c r="AE58" i="53"/>
  <c r="AD56" i="53"/>
  <c r="AD55" i="53"/>
  <c r="AC281" i="53"/>
  <c r="AB232" i="53"/>
  <c r="AB146" i="53"/>
  <c r="AB145" i="53"/>
  <c r="AB136" i="53"/>
  <c r="AB134" i="53"/>
  <c r="AB119" i="53"/>
  <c r="AB118" i="53"/>
  <c r="AB117" i="53"/>
  <c r="AB116" i="53"/>
  <c r="AB115" i="53"/>
  <c r="AB114" i="53"/>
  <c r="AB113" i="53"/>
  <c r="AB95" i="53"/>
  <c r="AB94" i="53"/>
  <c r="D94" i="53" s="1"/>
  <c r="AZ94" i="54" s="1"/>
  <c r="AB74" i="53"/>
  <c r="AB207" i="53"/>
  <c r="AB206" i="53"/>
  <c r="AB157" i="53"/>
  <c r="AB156" i="53"/>
  <c r="AB155" i="53"/>
  <c r="AB154" i="53"/>
  <c r="AB230" i="53"/>
  <c r="AB125" i="53"/>
  <c r="AB123" i="53"/>
  <c r="AB221" i="53"/>
  <c r="AB220" i="53"/>
  <c r="AB219" i="53"/>
  <c r="AB218" i="53"/>
  <c r="AB208" i="53"/>
  <c r="AB147" i="53"/>
  <c r="AB133" i="53"/>
  <c r="AA175" i="53"/>
  <c r="AA73" i="53"/>
  <c r="Z50" i="53"/>
  <c r="Z47" i="53"/>
  <c r="Z46" i="53"/>
  <c r="Z45" i="53"/>
  <c r="Z54" i="53"/>
  <c r="D54" i="53" s="1"/>
  <c r="AZ54" i="54" s="1"/>
  <c r="Z53" i="53"/>
  <c r="Z49" i="53"/>
  <c r="Y50" i="53"/>
  <c r="Y48" i="53"/>
  <c r="D48" i="53" s="1"/>
  <c r="AZ48" i="54" s="1"/>
  <c r="Y47" i="53"/>
  <c r="Y46" i="53"/>
  <c r="Y45" i="53"/>
  <c r="Y293" i="53"/>
  <c r="D293" i="53" s="1"/>
  <c r="AZ293" i="54" s="1"/>
  <c r="Y273" i="53"/>
  <c r="Y278" i="53"/>
  <c r="Y277" i="53"/>
  <c r="Y295" i="53"/>
  <c r="Y294" i="53"/>
  <c r="Y49" i="53"/>
  <c r="X143" i="53"/>
  <c r="X121" i="53"/>
  <c r="X120" i="53"/>
  <c r="X119" i="53"/>
  <c r="X118" i="53"/>
  <c r="X117" i="53"/>
  <c r="X116" i="53"/>
  <c r="X115" i="53"/>
  <c r="X189" i="53"/>
  <c r="X186" i="53"/>
  <c r="X185" i="53"/>
  <c r="X71" i="53"/>
  <c r="X70" i="53"/>
  <c r="X207" i="53"/>
  <c r="X188" i="53"/>
  <c r="X157" i="53"/>
  <c r="X156" i="53"/>
  <c r="X155" i="53"/>
  <c r="X154" i="53"/>
  <c r="X277" i="53"/>
  <c r="X49" i="53"/>
  <c r="W189" i="53"/>
  <c r="W186" i="53"/>
  <c r="W185" i="53"/>
  <c r="W71" i="53"/>
  <c r="W70" i="53"/>
  <c r="W143" i="53"/>
  <c r="W121" i="53"/>
  <c r="W120" i="53"/>
  <c r="W119" i="53"/>
  <c r="W118" i="53"/>
  <c r="W117" i="53"/>
  <c r="W116" i="53"/>
  <c r="W115" i="53"/>
  <c r="W207" i="53"/>
  <c r="W188" i="53"/>
  <c r="W221" i="53"/>
  <c r="W220" i="53"/>
  <c r="W219" i="53"/>
  <c r="W218" i="53"/>
  <c r="W157" i="53"/>
  <c r="W156" i="53"/>
  <c r="W155" i="53"/>
  <c r="W154" i="53"/>
  <c r="W261" i="53"/>
  <c r="W174" i="53"/>
  <c r="W173" i="53"/>
  <c r="W160" i="53"/>
  <c r="D160" i="53" s="1"/>
  <c r="AZ160" i="54" s="1"/>
  <c r="W231" i="53"/>
  <c r="W162" i="53"/>
  <c r="W73" i="53"/>
  <c r="V227" i="53"/>
  <c r="V263" i="53"/>
  <c r="V193" i="53"/>
  <c r="V207" i="53"/>
  <c r="V206" i="53"/>
  <c r="V221" i="53"/>
  <c r="V220" i="53"/>
  <c r="V219" i="53"/>
  <c r="V218" i="53"/>
  <c r="V157" i="53"/>
  <c r="V156" i="53"/>
  <c r="V155" i="53"/>
  <c r="V154" i="53"/>
  <c r="V231" i="53"/>
  <c r="V224" i="53"/>
  <c r="V228" i="53"/>
  <c r="U214" i="53"/>
  <c r="U215" i="53"/>
  <c r="T56" i="53"/>
  <c r="S281" i="53"/>
  <c r="R243" i="53"/>
  <c r="R227" i="53"/>
  <c r="R221" i="53"/>
  <c r="R220" i="53"/>
  <c r="R219" i="53"/>
  <c r="R218" i="53"/>
  <c r="R157" i="53"/>
  <c r="R156" i="53"/>
  <c r="R155" i="53"/>
  <c r="R154" i="53"/>
  <c r="R126" i="53"/>
  <c r="D126" i="53" s="1"/>
  <c r="AZ126" i="54" s="1"/>
  <c r="R125" i="53"/>
  <c r="R124" i="53"/>
  <c r="R123" i="53"/>
  <c r="R98" i="53"/>
  <c r="D98" i="53" s="1"/>
  <c r="AZ98" i="54" s="1"/>
  <c r="R97" i="53"/>
  <c r="R231" i="53"/>
  <c r="R230" i="53"/>
  <c r="R242" i="53"/>
  <c r="R241" i="53"/>
  <c r="R225" i="53"/>
  <c r="D225" i="53" s="1"/>
  <c r="AZ225" i="54" s="1"/>
  <c r="R224" i="53"/>
  <c r="R226" i="53"/>
  <c r="Q278" i="53"/>
  <c r="Q280" i="53"/>
  <c r="Q279" i="53"/>
  <c r="Q277" i="53"/>
  <c r="P207" i="53"/>
  <c r="P206" i="53"/>
  <c r="P157" i="53"/>
  <c r="P156" i="53"/>
  <c r="P155" i="53"/>
  <c r="P154" i="53"/>
  <c r="P280" i="53"/>
  <c r="P279" i="53"/>
  <c r="P277" i="53"/>
  <c r="O227" i="53"/>
  <c r="O231" i="53"/>
  <c r="O224" i="53"/>
  <c r="O221" i="53"/>
  <c r="O220" i="53"/>
  <c r="O219" i="53"/>
  <c r="O218" i="53"/>
  <c r="O207" i="53"/>
  <c r="O206" i="53"/>
  <c r="O174" i="53"/>
  <c r="O157" i="53"/>
  <c r="O156" i="53"/>
  <c r="O155" i="53"/>
  <c r="O154" i="53"/>
  <c r="O263" i="53"/>
  <c r="O262" i="53"/>
  <c r="O193" i="53"/>
  <c r="N199" i="53"/>
  <c r="N195" i="53"/>
  <c r="M235" i="53"/>
  <c r="M214" i="53"/>
  <c r="M187" i="53"/>
  <c r="M215" i="53"/>
  <c r="M213" i="53"/>
  <c r="L58" i="53"/>
  <c r="L57" i="53"/>
  <c r="K56" i="53"/>
  <c r="D56" i="53" s="1"/>
  <c r="AZ56" i="54" s="1"/>
  <c r="K55" i="53"/>
  <c r="J281" i="53"/>
  <c r="J207" i="53"/>
  <c r="J171" i="53"/>
  <c r="J157" i="53"/>
  <c r="J156" i="53"/>
  <c r="J81" i="53"/>
  <c r="J77" i="53"/>
  <c r="J208" i="53"/>
  <c r="I243" i="53"/>
  <c r="D243" i="53" s="1"/>
  <c r="AZ243" i="54" s="1"/>
  <c r="I207" i="53"/>
  <c r="I171" i="53"/>
  <c r="I157" i="53"/>
  <c r="I156" i="53"/>
  <c r="I81" i="53"/>
  <c r="I77" i="53"/>
  <c r="I208" i="53"/>
  <c r="H274" i="53"/>
  <c r="H57" i="53"/>
  <c r="H52" i="53"/>
  <c r="D52" i="53" s="1"/>
  <c r="AZ52" i="54" s="1"/>
  <c r="H49" i="53"/>
  <c r="G291" i="53"/>
  <c r="G288" i="53"/>
  <c r="G81" i="53"/>
  <c r="G77" i="53"/>
  <c r="G64" i="53"/>
  <c r="G61" i="53"/>
  <c r="G53" i="53"/>
  <c r="G47" i="53"/>
  <c r="G289" i="53"/>
  <c r="G273" i="53"/>
  <c r="G197" i="53"/>
  <c r="G49" i="53"/>
  <c r="G208" i="53"/>
  <c r="G207" i="53"/>
  <c r="F291" i="53"/>
  <c r="F287" i="53"/>
  <c r="F199" i="53"/>
  <c r="F204" i="53"/>
  <c r="F289" i="53"/>
  <c r="F197" i="53"/>
  <c r="F81" i="53"/>
  <c r="F77" i="53"/>
  <c r="F71" i="53"/>
  <c r="F70" i="53"/>
  <c r="F64" i="53"/>
  <c r="F61" i="53"/>
  <c r="F171" i="53"/>
  <c r="F157" i="53"/>
  <c r="F156" i="53"/>
  <c r="F155" i="53"/>
  <c r="F73" i="53"/>
  <c r="F208" i="53"/>
  <c r="F207" i="53"/>
  <c r="E235" i="53"/>
  <c r="E199" i="53"/>
  <c r="E195" i="53"/>
  <c r="E204" i="53"/>
  <c r="E203" i="53"/>
  <c r="E234" i="53"/>
  <c r="D234" i="53" s="1"/>
  <c r="AZ234" i="54" s="1"/>
  <c r="E81" i="53"/>
  <c r="E77" i="53"/>
  <c r="E71" i="53"/>
  <c r="E70" i="53"/>
  <c r="E64" i="53"/>
  <c r="E61" i="53"/>
  <c r="E263" i="53"/>
  <c r="E262" i="53"/>
  <c r="E231" i="53"/>
  <c r="E193" i="53"/>
  <c r="E185" i="53"/>
  <c r="E174" i="53"/>
  <c r="E171" i="53"/>
  <c r="E221" i="53"/>
  <c r="E220" i="53"/>
  <c r="E219" i="53"/>
  <c r="E218" i="53"/>
  <c r="E207" i="53"/>
  <c r="E206" i="53"/>
  <c r="E157" i="53"/>
  <c r="E156" i="53"/>
  <c r="E155" i="53"/>
  <c r="E154" i="53"/>
  <c r="E73" i="53"/>
  <c r="E208" i="53"/>
  <c r="E163" i="53"/>
  <c r="E162" i="53"/>
  <c r="I332" i="19"/>
  <c r="O821" i="55"/>
  <c r="O820" i="55"/>
  <c r="O819" i="55"/>
  <c r="O818" i="55"/>
  <c r="O817" i="55"/>
  <c r="O816" i="55"/>
  <c r="O815" i="55"/>
  <c r="O814" i="55"/>
  <c r="O813" i="55"/>
  <c r="O812" i="55"/>
  <c r="O811" i="55"/>
  <c r="O810" i="55"/>
  <c r="O804" i="55"/>
  <c r="O803" i="55"/>
  <c r="O802" i="55"/>
  <c r="O801" i="55"/>
  <c r="O800" i="55"/>
  <c r="O799" i="55"/>
  <c r="O798" i="55"/>
  <c r="O797" i="55"/>
  <c r="O796" i="55"/>
  <c r="O795" i="55"/>
  <c r="O794" i="55"/>
  <c r="O793" i="55"/>
  <c r="O792" i="55"/>
  <c r="O791" i="55"/>
  <c r="O790" i="55"/>
  <c r="O789" i="55"/>
  <c r="O788" i="55"/>
  <c r="O787" i="55"/>
  <c r="O785" i="55"/>
  <c r="O784" i="55"/>
  <c r="O783" i="55"/>
  <c r="O782" i="55"/>
  <c r="O781" i="55"/>
  <c r="O780" i="55"/>
  <c r="O779" i="55"/>
  <c r="O778" i="55"/>
  <c r="O777" i="55"/>
  <c r="O775" i="55"/>
  <c r="O774" i="55"/>
  <c r="O773" i="55"/>
  <c r="O772" i="55"/>
  <c r="O771" i="55"/>
  <c r="O770" i="55"/>
  <c r="O769" i="55"/>
  <c r="O768" i="55"/>
  <c r="O767" i="55"/>
  <c r="O765" i="55"/>
  <c r="O764" i="55"/>
  <c r="O763" i="55"/>
  <c r="O762" i="55"/>
  <c r="O761" i="55"/>
  <c r="O760" i="55"/>
  <c r="O759" i="55"/>
  <c r="O758" i="55"/>
  <c r="O757" i="55"/>
  <c r="O756" i="55"/>
  <c r="O755" i="55"/>
  <c r="O754" i="55"/>
  <c r="O753" i="55"/>
  <c r="O752" i="55"/>
  <c r="O751" i="55"/>
  <c r="O750" i="55"/>
  <c r="O749" i="55"/>
  <c r="O748" i="55"/>
  <c r="O746" i="55"/>
  <c r="O745" i="55"/>
  <c r="O744" i="55"/>
  <c r="O743" i="55"/>
  <c r="O742" i="55"/>
  <c r="O740" i="55"/>
  <c r="O739" i="55"/>
  <c r="O738" i="55"/>
  <c r="O737" i="55"/>
  <c r="O736" i="55"/>
  <c r="O734" i="55"/>
  <c r="O733" i="55"/>
  <c r="O732" i="55"/>
  <c r="O731" i="55"/>
  <c r="O730" i="55"/>
  <c r="O729" i="55"/>
  <c r="O718" i="55"/>
  <c r="O717" i="55"/>
  <c r="O716" i="55"/>
  <c r="O715" i="55"/>
  <c r="O714" i="55"/>
  <c r="O713" i="55"/>
  <c r="O712" i="55"/>
  <c r="O696" i="55"/>
  <c r="O695" i="55"/>
  <c r="O694" i="55"/>
  <c r="O693" i="55"/>
  <c r="O692" i="55"/>
  <c r="O691" i="55"/>
  <c r="O684" i="55"/>
  <c r="O683" i="55"/>
  <c r="O682" i="55"/>
  <c r="O681" i="55"/>
  <c r="O677" i="55"/>
  <c r="O676" i="55"/>
  <c r="O675" i="55"/>
  <c r="O674" i="55"/>
  <c r="O673" i="55"/>
  <c r="O672" i="55"/>
  <c r="O671" i="55"/>
  <c r="O670" i="55"/>
  <c r="O669" i="55"/>
  <c r="O668" i="55"/>
  <c r="O667" i="55"/>
  <c r="O654" i="55"/>
  <c r="O653" i="55"/>
  <c r="O652" i="55"/>
  <c r="O651" i="55"/>
  <c r="O650" i="55"/>
  <c r="O633" i="55"/>
  <c r="O632" i="55"/>
  <c r="O631" i="55"/>
  <c r="O630" i="55"/>
  <c r="O629" i="55"/>
  <c r="O628" i="55"/>
  <c r="O621" i="55"/>
  <c r="O620" i="55"/>
  <c r="O619" i="55"/>
  <c r="O618" i="55"/>
  <c r="O614" i="55"/>
  <c r="O613" i="55"/>
  <c r="O612" i="55"/>
  <c r="O611" i="55"/>
  <c r="O610" i="55"/>
  <c r="O609" i="55"/>
  <c r="O608" i="55"/>
  <c r="O607" i="55"/>
  <c r="O606" i="55"/>
  <c r="O605" i="55"/>
  <c r="O604" i="55"/>
  <c r="O600" i="55"/>
  <c r="O599" i="55"/>
  <c r="O593" i="55"/>
  <c r="O592" i="55"/>
  <c r="O591" i="55"/>
  <c r="O580" i="55"/>
  <c r="O579" i="55"/>
  <c r="O578" i="55"/>
  <c r="O577" i="55"/>
  <c r="O576" i="55"/>
  <c r="O575" i="55"/>
  <c r="O574" i="55"/>
  <c r="O558" i="55"/>
  <c r="O557" i="55"/>
  <c r="O556" i="55"/>
  <c r="O555" i="55"/>
  <c r="O554" i="55"/>
  <c r="O553" i="55"/>
  <c r="O546" i="55"/>
  <c r="O545" i="55"/>
  <c r="O544" i="55"/>
  <c r="O543" i="55"/>
  <c r="O539" i="55"/>
  <c r="O538" i="55"/>
  <c r="O537" i="55"/>
  <c r="O536" i="55"/>
  <c r="O535" i="55"/>
  <c r="O534" i="55"/>
  <c r="O533" i="55"/>
  <c r="O532" i="55"/>
  <c r="O531" i="55"/>
  <c r="O530" i="55"/>
  <c r="O529" i="55"/>
  <c r="O516" i="55"/>
  <c r="O515" i="55"/>
  <c r="O514" i="55"/>
  <c r="O513" i="55"/>
  <c r="O512" i="55"/>
  <c r="O511" i="55"/>
  <c r="O510" i="55"/>
  <c r="O493" i="55"/>
  <c r="O492" i="55"/>
  <c r="O491" i="55"/>
  <c r="O490" i="55"/>
  <c r="O489" i="55"/>
  <c r="O488" i="55"/>
  <c r="O481" i="55"/>
  <c r="O480" i="55"/>
  <c r="O479" i="55"/>
  <c r="O478" i="55"/>
  <c r="O474" i="55"/>
  <c r="O473" i="55"/>
  <c r="O472" i="55"/>
  <c r="O471" i="55"/>
  <c r="O470" i="55"/>
  <c r="O469" i="55"/>
  <c r="O468" i="55"/>
  <c r="O467" i="55"/>
  <c r="O466" i="55"/>
  <c r="O465" i="55"/>
  <c r="O464" i="55"/>
  <c r="O456" i="55"/>
  <c r="O455" i="55"/>
  <c r="O454" i="55"/>
  <c r="O453" i="55"/>
  <c r="O452" i="55"/>
  <c r="O451" i="55"/>
  <c r="O450" i="55"/>
  <c r="O441" i="55"/>
  <c r="O440" i="55"/>
  <c r="O439" i="55"/>
  <c r="O438" i="55"/>
  <c r="O437" i="55"/>
  <c r="O436" i="55"/>
  <c r="O428" i="55"/>
  <c r="O427" i="55"/>
  <c r="O426" i="55"/>
  <c r="O425" i="55"/>
  <c r="O424" i="55"/>
  <c r="O423" i="55"/>
  <c r="O422" i="55"/>
  <c r="O413" i="55"/>
  <c r="O412" i="55"/>
  <c r="O411" i="55"/>
  <c r="O410" i="55"/>
  <c r="O409" i="55"/>
  <c r="O408" i="55"/>
  <c r="O404" i="55"/>
  <c r="O403" i="55"/>
  <c r="O402" i="55"/>
  <c r="O401" i="55"/>
  <c r="O400" i="55"/>
  <c r="O391" i="55"/>
  <c r="O390" i="55"/>
  <c r="O389" i="55"/>
  <c r="O381" i="55"/>
  <c r="O380" i="55"/>
  <c r="O379" i="55"/>
  <c r="O376" i="55"/>
  <c r="O375" i="55"/>
  <c r="O374" i="55"/>
  <c r="O364" i="55"/>
  <c r="O363" i="55"/>
  <c r="O362" i="55"/>
  <c r="O359" i="55"/>
  <c r="O358" i="55"/>
  <c r="O357" i="55"/>
  <c r="O356" i="55"/>
  <c r="O355" i="55"/>
  <c r="O354" i="55"/>
  <c r="O353" i="55"/>
  <c r="O352" i="55"/>
  <c r="O351" i="55"/>
  <c r="O350" i="55"/>
  <c r="O349" i="55"/>
  <c r="O348" i="55"/>
  <c r="O347" i="55"/>
  <c r="O346" i="55"/>
  <c r="O343" i="55"/>
  <c r="O342" i="55"/>
  <c r="O341" i="55"/>
  <c r="O340" i="55"/>
  <c r="O339" i="55"/>
  <c r="O338" i="55"/>
  <c r="O335" i="55"/>
  <c r="O334" i="55"/>
  <c r="O333" i="55"/>
  <c r="O332" i="55"/>
  <c r="O330" i="55"/>
  <c r="O329" i="55"/>
  <c r="O328" i="55"/>
  <c r="O327" i="55"/>
  <c r="O326" i="55"/>
  <c r="O322" i="55"/>
  <c r="O321" i="55"/>
  <c r="O320" i="55"/>
  <c r="O319" i="55"/>
  <c r="O317" i="55"/>
  <c r="O316" i="55"/>
  <c r="O315" i="55"/>
  <c r="O314" i="55"/>
  <c r="O312" i="55"/>
  <c r="O311" i="55"/>
  <c r="O310" i="55"/>
  <c r="O309" i="55"/>
  <c r="O305" i="55"/>
  <c r="O304" i="55"/>
  <c r="O303" i="55"/>
  <c r="O302" i="55"/>
  <c r="O301" i="55"/>
  <c r="O300" i="55"/>
  <c r="O299" i="55"/>
  <c r="O298" i="55"/>
  <c r="O297" i="55"/>
  <c r="O296" i="55"/>
  <c r="O295" i="55"/>
  <c r="O294" i="55"/>
  <c r="O293" i="55"/>
  <c r="O292" i="55"/>
  <c r="O291" i="55"/>
  <c r="O290" i="55"/>
  <c r="O286" i="55"/>
  <c r="O285" i="55"/>
  <c r="O284" i="55"/>
  <c r="O283" i="55"/>
  <c r="O282" i="55"/>
  <c r="O281" i="55"/>
  <c r="O280" i="55"/>
  <c r="O279" i="55"/>
  <c r="O278" i="55"/>
  <c r="O277" i="55"/>
  <c r="O276" i="55"/>
  <c r="O275" i="55"/>
  <c r="O274" i="55"/>
  <c r="O273" i="55"/>
  <c r="O272" i="55"/>
  <c r="O271" i="55"/>
  <c r="O265" i="55"/>
  <c r="O264" i="55"/>
  <c r="O263" i="55"/>
  <c r="O262" i="55"/>
  <c r="O261" i="55"/>
  <c r="O260" i="55"/>
  <c r="O259" i="55"/>
  <c r="O255" i="55"/>
  <c r="O254" i="55"/>
  <c r="O253" i="55"/>
  <c r="O252" i="55"/>
  <c r="O251" i="55"/>
  <c r="O246" i="55"/>
  <c r="O245" i="55"/>
  <c r="O241" i="55"/>
  <c r="O240" i="55"/>
  <c r="O239" i="55"/>
  <c r="O238" i="55"/>
  <c r="O237" i="55"/>
  <c r="O236" i="55"/>
  <c r="O235" i="55"/>
  <c r="O234" i="55"/>
  <c r="O233" i="55"/>
  <c r="O232" i="55"/>
  <c r="O231" i="55"/>
  <c r="O228" i="55"/>
  <c r="O227" i="55"/>
  <c r="O226" i="55"/>
  <c r="O225" i="55"/>
  <c r="O224" i="55"/>
  <c r="O223" i="55"/>
  <c r="O222" i="55"/>
  <c r="O220" i="55"/>
  <c r="O219" i="55"/>
  <c r="O218" i="55"/>
  <c r="O217" i="55"/>
  <c r="O216" i="55"/>
  <c r="O215" i="55"/>
  <c r="O214" i="55"/>
  <c r="O213" i="55"/>
  <c r="O212" i="55"/>
  <c r="O210" i="55"/>
  <c r="O209" i="55"/>
  <c r="O208" i="55"/>
  <c r="O207" i="55"/>
  <c r="O206" i="55"/>
  <c r="O205" i="55"/>
  <c r="O204" i="55"/>
  <c r="O203" i="55"/>
  <c r="O202" i="55"/>
  <c r="O201" i="55"/>
  <c r="O200" i="55"/>
  <c r="O199" i="55"/>
  <c r="O198" i="55"/>
  <c r="O189" i="55"/>
  <c r="O188" i="55"/>
  <c r="O187" i="55"/>
  <c r="O178" i="55"/>
  <c r="O177" i="55"/>
  <c r="O176" i="55"/>
  <c r="O175" i="55"/>
  <c r="O174" i="55"/>
  <c r="O173" i="55"/>
  <c r="O172" i="55"/>
  <c r="O171" i="55"/>
  <c r="O165" i="55"/>
  <c r="O164" i="55"/>
  <c r="O163" i="55"/>
  <c r="O162" i="55"/>
  <c r="O157" i="55"/>
  <c r="O156" i="55"/>
  <c r="O155" i="55"/>
  <c r="O154" i="55"/>
  <c r="O153" i="55"/>
  <c r="O152" i="55"/>
  <c r="O150" i="55"/>
  <c r="O148" i="55"/>
  <c r="O147" i="55"/>
  <c r="O146" i="55"/>
  <c r="O145" i="55"/>
  <c r="O139" i="55"/>
  <c r="O138" i="55"/>
  <c r="O136" i="55"/>
  <c r="O135" i="55"/>
  <c r="O124" i="55"/>
  <c r="O123" i="55"/>
  <c r="O114" i="55"/>
  <c r="O113" i="55"/>
  <c r="O106" i="55"/>
  <c r="O105" i="55"/>
  <c r="O104" i="55"/>
  <c r="O103" i="55"/>
  <c r="O90" i="55"/>
  <c r="O89" i="55"/>
  <c r="O88" i="55"/>
  <c r="O86" i="55"/>
  <c r="O85" i="55"/>
  <c r="O84" i="55"/>
  <c r="O79" i="55"/>
  <c r="O78" i="55"/>
  <c r="O77" i="55"/>
  <c r="O76" i="55"/>
  <c r="O75" i="55"/>
  <c r="O74" i="55"/>
  <c r="O73" i="55"/>
  <c r="O72" i="55"/>
  <c r="O63" i="55"/>
  <c r="O62" i="55"/>
  <c r="O61" i="55"/>
  <c r="O58" i="55"/>
  <c r="O57" i="55"/>
  <c r="O56" i="55"/>
  <c r="O55" i="55"/>
  <c r="O54" i="55"/>
  <c r="O53" i="55"/>
  <c r="O52" i="55"/>
  <c r="O51" i="55"/>
  <c r="O50" i="55"/>
  <c r="O49" i="55"/>
  <c r="O48" i="55"/>
  <c r="O37" i="55"/>
  <c r="O36" i="55"/>
  <c r="O35" i="55"/>
  <c r="O34" i="55"/>
  <c r="O33" i="55"/>
  <c r="O32" i="55"/>
  <c r="O25" i="55"/>
  <c r="O24" i="55"/>
  <c r="O23" i="55"/>
  <c r="O22" i="55"/>
  <c r="O18" i="55"/>
  <c r="O17" i="55"/>
  <c r="O16" i="55"/>
  <c r="O15" i="55"/>
  <c r="O14" i="55"/>
  <c r="O13" i="55"/>
  <c r="O12" i="55"/>
  <c r="O11" i="55"/>
  <c r="O10" i="55"/>
  <c r="O9" i="55"/>
  <c r="O8" i="55"/>
  <c r="O7" i="55"/>
  <c r="O851" i="55"/>
  <c r="O850" i="55"/>
  <c r="O849" i="55"/>
  <c r="O848" i="55"/>
  <c r="O846" i="55"/>
  <c r="O845" i="55"/>
  <c r="O844" i="55"/>
  <c r="O843" i="55"/>
  <c r="O841" i="55"/>
  <c r="O840" i="55"/>
  <c r="O839" i="55"/>
  <c r="O838" i="55"/>
  <c r="O836" i="55"/>
  <c r="O835" i="55"/>
  <c r="O834" i="55"/>
  <c r="O833" i="55"/>
  <c r="O831" i="55"/>
  <c r="O830" i="55"/>
  <c r="O829" i="55"/>
  <c r="O828" i="55"/>
  <c r="O826" i="55"/>
  <c r="O825" i="55"/>
  <c r="O824" i="55"/>
  <c r="O823" i="55"/>
  <c r="O809" i="55"/>
  <c r="O808" i="55"/>
  <c r="O807" i="55"/>
  <c r="O806" i="55"/>
  <c r="O727" i="55"/>
  <c r="O726" i="55"/>
  <c r="O725" i="55"/>
  <c r="O724" i="55"/>
  <c r="O723" i="55"/>
  <c r="O722" i="55"/>
  <c r="O721" i="55"/>
  <c r="O720" i="55"/>
  <c r="O719" i="55"/>
  <c r="O711" i="55"/>
  <c r="O710" i="55"/>
  <c r="O709" i="55"/>
  <c r="O708" i="55"/>
  <c r="O707" i="55"/>
  <c r="O706" i="55"/>
  <c r="O705" i="55"/>
  <c r="O704" i="55"/>
  <c r="O703" i="55"/>
  <c r="O702" i="55"/>
  <c r="O701" i="55"/>
  <c r="O700" i="55"/>
  <c r="O699" i="55"/>
  <c r="O698" i="55"/>
  <c r="O697" i="55"/>
  <c r="O690" i="55"/>
  <c r="O689" i="55"/>
  <c r="O688" i="55"/>
  <c r="O687" i="55"/>
  <c r="O686" i="55"/>
  <c r="O685" i="55"/>
  <c r="O680" i="55"/>
  <c r="O679" i="55"/>
  <c r="O678" i="55"/>
  <c r="O666" i="55"/>
  <c r="O664" i="55"/>
  <c r="O663" i="55"/>
  <c r="O662" i="55"/>
  <c r="O661" i="55"/>
  <c r="O660" i="55"/>
  <c r="O659" i="55"/>
  <c r="O658" i="55"/>
  <c r="O657" i="55"/>
  <c r="O656" i="55"/>
  <c r="O655" i="55"/>
  <c r="O649" i="55"/>
  <c r="O648" i="55"/>
  <c r="O647" i="55"/>
  <c r="O646" i="55"/>
  <c r="O645" i="55"/>
  <c r="O644" i="55"/>
  <c r="O643" i="55"/>
  <c r="O642" i="55"/>
  <c r="O641" i="55"/>
  <c r="O640" i="55"/>
  <c r="O639" i="55"/>
  <c r="O638" i="55"/>
  <c r="O637" i="55"/>
  <c r="O636" i="55"/>
  <c r="O635" i="55"/>
  <c r="O634" i="55"/>
  <c r="O627" i="55"/>
  <c r="O626" i="55"/>
  <c r="O625" i="55"/>
  <c r="O624" i="55"/>
  <c r="O623" i="55"/>
  <c r="O622" i="55"/>
  <c r="O617" i="55"/>
  <c r="O616" i="55"/>
  <c r="O615" i="55"/>
  <c r="O603" i="55"/>
  <c r="O601" i="55"/>
  <c r="O598" i="55"/>
  <c r="O597" i="55"/>
  <c r="O596" i="55"/>
  <c r="O595" i="55"/>
  <c r="O594" i="55"/>
  <c r="O590" i="55"/>
  <c r="O588" i="55"/>
  <c r="O587" i="55"/>
  <c r="O586" i="55"/>
  <c r="O585" i="55"/>
  <c r="O584" i="55"/>
  <c r="O583" i="55"/>
  <c r="O582" i="55"/>
  <c r="O581" i="55"/>
  <c r="O573" i="55"/>
  <c r="O572" i="55"/>
  <c r="O571" i="55"/>
  <c r="O570" i="55"/>
  <c r="O569" i="55"/>
  <c r="O568" i="55"/>
  <c r="O567" i="55"/>
  <c r="O566" i="55"/>
  <c r="O565" i="55"/>
  <c r="O564" i="55"/>
  <c r="O563" i="55"/>
  <c r="O562" i="55"/>
  <c r="O561" i="55"/>
  <c r="O560" i="55"/>
  <c r="O559" i="55"/>
  <c r="O552" i="55"/>
  <c r="O551" i="55"/>
  <c r="O550" i="55"/>
  <c r="O549" i="55"/>
  <c r="O548" i="55"/>
  <c r="O547" i="55"/>
  <c r="O542" i="55"/>
  <c r="O541" i="55"/>
  <c r="O540" i="55"/>
  <c r="O528" i="55"/>
  <c r="O526" i="55"/>
  <c r="O525" i="55"/>
  <c r="O524" i="55"/>
  <c r="O523" i="55"/>
  <c r="O522" i="55"/>
  <c r="O521" i="55"/>
  <c r="O520" i="55"/>
  <c r="O519" i="55"/>
  <c r="O518" i="55"/>
  <c r="O517" i="55"/>
  <c r="O509" i="55"/>
  <c r="O508" i="55"/>
  <c r="O507" i="55"/>
  <c r="O506" i="55"/>
  <c r="O505" i="55"/>
  <c r="O504" i="55"/>
  <c r="O503" i="55"/>
  <c r="O502" i="55"/>
  <c r="O501" i="55"/>
  <c r="O500" i="55"/>
  <c r="O499" i="55"/>
  <c r="O498" i="55"/>
  <c r="O497" i="55"/>
  <c r="O496" i="55"/>
  <c r="O495" i="55"/>
  <c r="O494" i="55"/>
  <c r="O487" i="55"/>
  <c r="O486" i="55"/>
  <c r="O485" i="55"/>
  <c r="O484" i="55"/>
  <c r="O483" i="55"/>
  <c r="O482" i="55"/>
  <c r="O477" i="55"/>
  <c r="O476" i="55"/>
  <c r="O475" i="55"/>
  <c r="O463" i="55"/>
  <c r="O461" i="55"/>
  <c r="O460" i="55"/>
  <c r="O459" i="55"/>
  <c r="O458" i="55"/>
  <c r="O457" i="55"/>
  <c r="O449" i="55"/>
  <c r="O448" i="55"/>
  <c r="O447" i="55"/>
  <c r="O446" i="55"/>
  <c r="O445" i="55"/>
  <c r="O444" i="55"/>
  <c r="O443" i="55"/>
  <c r="O442" i="55"/>
  <c r="O435" i="55"/>
  <c r="O433" i="55"/>
  <c r="O432" i="55"/>
  <c r="O431" i="55"/>
  <c r="O430" i="55"/>
  <c r="O429" i="55"/>
  <c r="O421" i="55"/>
  <c r="O420" i="55"/>
  <c r="O419" i="55"/>
  <c r="O418" i="55"/>
  <c r="O417" i="55"/>
  <c r="O416" i="55"/>
  <c r="O415" i="55"/>
  <c r="O414" i="55"/>
  <c r="O407" i="55"/>
  <c r="O405" i="55"/>
  <c r="O399" i="55"/>
  <c r="O398" i="55"/>
  <c r="O397" i="55"/>
  <c r="O396" i="55"/>
  <c r="O395" i="55"/>
  <c r="O394" i="55"/>
  <c r="O393" i="55"/>
  <c r="O392" i="55"/>
  <c r="O388" i="55"/>
  <c r="O331" i="55"/>
  <c r="O323" i="55"/>
  <c r="O318" i="55"/>
  <c r="O313" i="55"/>
  <c r="O308" i="55"/>
  <c r="O307" i="55"/>
  <c r="O289" i="55"/>
  <c r="O288" i="55"/>
  <c r="O270" i="55"/>
  <c r="O269" i="55"/>
  <c r="O268" i="55"/>
  <c r="O267" i="55"/>
  <c r="O258" i="55"/>
  <c r="O257" i="55"/>
  <c r="O197" i="55"/>
  <c r="O196" i="55"/>
  <c r="O195" i="55"/>
  <c r="O193" i="55"/>
  <c r="O192" i="55"/>
  <c r="O191" i="55"/>
  <c r="O190" i="55"/>
  <c r="O186" i="55"/>
  <c r="O185" i="55"/>
  <c r="O184" i="55"/>
  <c r="O183" i="55"/>
  <c r="O182" i="55"/>
  <c r="O181" i="55"/>
  <c r="O180" i="55"/>
  <c r="O179" i="55"/>
  <c r="O169" i="55"/>
  <c r="O168" i="55"/>
  <c r="O167" i="55"/>
  <c r="O166" i="55"/>
  <c r="O161" i="55"/>
  <c r="O160" i="55"/>
  <c r="O159" i="55"/>
  <c r="O158" i="55"/>
  <c r="O149" i="55"/>
  <c r="O144" i="55"/>
  <c r="O143" i="55"/>
  <c r="O142" i="55"/>
  <c r="O141" i="55"/>
  <c r="O122" i="55"/>
  <c r="O121" i="55"/>
  <c r="O120" i="55"/>
  <c r="O119" i="55"/>
  <c r="O118" i="55"/>
  <c r="O117" i="55"/>
  <c r="O116" i="55"/>
  <c r="O112" i="55"/>
  <c r="O111" i="55"/>
  <c r="O110" i="55"/>
  <c r="O109" i="55"/>
  <c r="O107" i="55"/>
  <c r="O102" i="55"/>
  <c r="O101" i="55"/>
  <c r="O100" i="55"/>
  <c r="O99" i="55"/>
  <c r="O98" i="55"/>
  <c r="O96" i="55"/>
  <c r="O95" i="55"/>
  <c r="O94" i="55"/>
  <c r="O93" i="55"/>
  <c r="O92" i="55"/>
  <c r="O91" i="55"/>
  <c r="O87" i="55"/>
  <c r="O83" i="55"/>
  <c r="O82" i="55"/>
  <c r="O81" i="55"/>
  <c r="O80" i="55"/>
  <c r="O71" i="55"/>
  <c r="O69" i="55"/>
  <c r="O68" i="55"/>
  <c r="O67" i="55"/>
  <c r="O66" i="55"/>
  <c r="O65" i="55"/>
  <c r="O64" i="55"/>
  <c r="O60" i="55"/>
  <c r="O59" i="55"/>
  <c r="O47" i="55"/>
  <c r="O45" i="55"/>
  <c r="O44" i="55"/>
  <c r="O43" i="55"/>
  <c r="O42" i="55"/>
  <c r="O41" i="55"/>
  <c r="O40" i="55"/>
  <c r="O39" i="55"/>
  <c r="O38" i="55"/>
  <c r="O31" i="55"/>
  <c r="O30" i="55"/>
  <c r="O29" i="55"/>
  <c r="O28" i="55"/>
  <c r="O27" i="55"/>
  <c r="O26" i="55"/>
  <c r="O21" i="55"/>
  <c r="O20" i="55"/>
  <c r="O19" i="55"/>
  <c r="O6" i="55"/>
  <c r="AC35" i="29"/>
  <c r="AB35" i="29"/>
  <c r="AA35" i="29"/>
  <c r="AH34" i="29"/>
  <c r="AG34" i="29"/>
  <c r="AF34" i="29"/>
  <c r="AE34" i="29"/>
  <c r="AD34" i="29"/>
  <c r="AC34" i="29"/>
  <c r="AB34" i="29"/>
  <c r="AA34" i="29"/>
  <c r="AH33" i="29"/>
  <c r="AG33" i="29"/>
  <c r="AF33" i="29"/>
  <c r="AE33" i="29"/>
  <c r="AD33" i="29"/>
  <c r="AC33" i="29"/>
  <c r="AB33" i="29"/>
  <c r="AA33" i="29"/>
  <c r="AH32" i="29"/>
  <c r="AG32" i="29"/>
  <c r="AF32" i="29"/>
  <c r="AE32" i="29"/>
  <c r="AD32" i="29"/>
  <c r="AC32" i="29"/>
  <c r="AB32" i="29"/>
  <c r="AA32" i="29"/>
  <c r="AH31" i="29"/>
  <c r="AG31" i="29"/>
  <c r="AF31" i="29"/>
  <c r="AE31" i="29"/>
  <c r="AD31" i="29"/>
  <c r="AC31" i="29"/>
  <c r="AB31" i="29"/>
  <c r="AA31" i="29"/>
  <c r="AH30" i="29"/>
  <c r="AG30" i="29"/>
  <c r="AF30" i="29"/>
  <c r="AE30" i="29"/>
  <c r="AD30" i="29"/>
  <c r="AC30" i="29"/>
  <c r="AB30" i="29"/>
  <c r="AA30" i="29"/>
  <c r="AH28" i="29"/>
  <c r="AG28" i="29"/>
  <c r="AF28" i="29"/>
  <c r="AE28" i="29"/>
  <c r="AD28" i="29"/>
  <c r="AC28" i="29"/>
  <c r="AB28" i="29"/>
  <c r="AA28" i="29"/>
  <c r="AH27" i="29"/>
  <c r="AG27" i="29"/>
  <c r="AF27" i="29"/>
  <c r="AE27" i="29"/>
  <c r="AD27" i="29"/>
  <c r="AC27" i="29"/>
  <c r="AB27" i="29"/>
  <c r="AA27" i="29"/>
  <c r="AH26" i="29"/>
  <c r="AG26" i="29"/>
  <c r="AF26" i="29"/>
  <c r="AE26" i="29"/>
  <c r="AD26" i="29"/>
  <c r="AC26" i="29"/>
  <c r="AB26" i="29"/>
  <c r="AA26" i="29"/>
  <c r="AH25" i="29"/>
  <c r="AG25" i="29"/>
  <c r="AF25" i="29"/>
  <c r="AE25" i="29"/>
  <c r="AD25" i="29"/>
  <c r="AC25" i="29"/>
  <c r="AB25" i="29"/>
  <c r="AA25" i="29"/>
  <c r="AH24" i="29"/>
  <c r="AG24" i="29"/>
  <c r="AF24" i="29"/>
  <c r="AE24" i="29"/>
  <c r="AD24" i="29"/>
  <c r="AC24" i="29"/>
  <c r="AB24" i="29"/>
  <c r="AA24" i="29"/>
  <c r="AH23" i="29"/>
  <c r="AG23" i="29"/>
  <c r="AF23" i="29"/>
  <c r="AE23" i="29"/>
  <c r="AD23" i="29"/>
  <c r="AC23" i="29"/>
  <c r="AB23" i="29"/>
  <c r="AA23" i="29"/>
  <c r="AH22" i="29"/>
  <c r="AG22" i="29"/>
  <c r="AF22" i="29"/>
  <c r="AE22" i="29"/>
  <c r="AD22" i="29"/>
  <c r="AC22" i="29"/>
  <c r="AB22" i="29"/>
  <c r="AA22" i="29"/>
  <c r="AH21" i="29"/>
  <c r="AG21" i="29"/>
  <c r="AF21" i="29"/>
  <c r="AE21" i="29"/>
  <c r="AD21" i="29"/>
  <c r="AC21" i="29"/>
  <c r="AB21" i="29"/>
  <c r="AA21" i="29"/>
  <c r="AH19" i="29"/>
  <c r="AG19" i="29"/>
  <c r="AF19" i="29"/>
  <c r="AE19" i="29"/>
  <c r="AD19" i="29"/>
  <c r="AC19" i="29"/>
  <c r="AB19" i="29"/>
  <c r="AA19" i="29"/>
  <c r="AH18" i="29"/>
  <c r="AG18" i="29"/>
  <c r="AF18" i="29"/>
  <c r="AE18" i="29"/>
  <c r="AD18" i="29"/>
  <c r="AC18" i="29"/>
  <c r="AB18" i="29"/>
  <c r="AA18" i="29"/>
  <c r="AH17" i="29"/>
  <c r="AG17" i="29"/>
  <c r="AF17" i="29"/>
  <c r="AE17" i="29"/>
  <c r="AD17" i="29"/>
  <c r="AC17" i="29"/>
  <c r="AB17" i="29"/>
  <c r="AA17" i="29"/>
  <c r="AH16" i="29"/>
  <c r="AG16" i="29"/>
  <c r="AF16" i="29"/>
  <c r="AE16" i="29"/>
  <c r="AD16" i="29"/>
  <c r="AC16" i="29"/>
  <c r="AB16" i="29"/>
  <c r="AA16" i="29"/>
  <c r="AH15" i="29"/>
  <c r="AG15" i="29"/>
  <c r="AF15" i="29"/>
  <c r="AE15" i="29"/>
  <c r="AD15" i="29"/>
  <c r="AC15" i="29"/>
  <c r="AB15" i="29"/>
  <c r="AA15" i="29"/>
  <c r="AH14" i="29"/>
  <c r="AG14" i="29"/>
  <c r="AF14" i="29"/>
  <c r="AE14" i="29"/>
  <c r="AD14" i="29"/>
  <c r="AC14" i="29"/>
  <c r="AB14" i="29"/>
  <c r="AA14" i="29"/>
  <c r="AH13" i="29"/>
  <c r="AG13" i="29"/>
  <c r="AF13" i="29"/>
  <c r="AE13" i="29"/>
  <c r="AD13" i="29"/>
  <c r="AC13" i="29"/>
  <c r="AB13" i="29"/>
  <c r="AA13" i="29"/>
  <c r="AH12" i="29"/>
  <c r="AG12" i="29"/>
  <c r="AF12" i="29"/>
  <c r="AE12" i="29"/>
  <c r="AD12" i="29"/>
  <c r="AC12" i="29"/>
  <c r="AB12" i="29"/>
  <c r="AA12" i="29"/>
  <c r="AH10" i="29"/>
  <c r="AG10" i="29"/>
  <c r="AF10" i="29"/>
  <c r="AE10" i="29"/>
  <c r="AD10" i="29"/>
  <c r="AC10" i="29"/>
  <c r="AB10" i="29"/>
  <c r="AA10" i="29"/>
  <c r="AH9" i="29"/>
  <c r="AG9" i="29"/>
  <c r="AF9" i="29"/>
  <c r="AE9" i="29"/>
  <c r="AD9" i="29"/>
  <c r="AC9" i="29"/>
  <c r="AB9" i="29"/>
  <c r="AA9" i="29"/>
  <c r="AH8" i="29"/>
  <c r="AG8" i="29"/>
  <c r="AF8" i="29"/>
  <c r="AE8" i="29"/>
  <c r="AD8" i="29"/>
  <c r="AC8" i="29"/>
  <c r="AB8" i="29"/>
  <c r="AA8" i="29"/>
  <c r="AH7" i="29"/>
  <c r="AG7" i="29"/>
  <c r="AF7" i="29"/>
  <c r="AE7" i="29"/>
  <c r="AD7" i="29"/>
  <c r="AC7" i="29"/>
  <c r="AB7" i="29"/>
  <c r="AA7" i="29"/>
  <c r="AH6" i="29"/>
  <c r="AG6" i="29"/>
  <c r="AF6" i="29"/>
  <c r="AE6" i="29"/>
  <c r="AD6" i="29"/>
  <c r="AC6" i="29"/>
  <c r="AB6" i="29"/>
  <c r="AA6" i="29"/>
  <c r="AH5" i="29"/>
  <c r="AG5" i="29"/>
  <c r="AF5" i="29"/>
  <c r="AE5" i="29"/>
  <c r="AD5" i="29"/>
  <c r="AC5" i="29"/>
  <c r="AB5" i="29"/>
  <c r="AA5" i="29"/>
  <c r="AH217" i="28"/>
  <c r="AG217" i="28"/>
  <c r="AF217" i="28"/>
  <c r="AE217" i="28"/>
  <c r="AD217" i="28"/>
  <c r="AC217" i="28"/>
  <c r="AB217" i="28"/>
  <c r="AA217" i="28"/>
  <c r="AH216" i="28"/>
  <c r="AG216" i="28"/>
  <c r="AF216" i="28"/>
  <c r="AE216" i="28"/>
  <c r="AD216" i="28"/>
  <c r="AC216" i="28"/>
  <c r="AB216" i="28"/>
  <c r="AA216" i="28"/>
  <c r="AH215" i="28"/>
  <c r="AG215" i="28"/>
  <c r="AF215" i="28"/>
  <c r="AE215" i="28"/>
  <c r="AD215" i="28"/>
  <c r="AC215" i="28"/>
  <c r="AB215" i="28"/>
  <c r="AA215" i="28"/>
  <c r="AH214" i="28"/>
  <c r="AG214" i="28"/>
  <c r="AF214" i="28"/>
  <c r="AE214" i="28"/>
  <c r="AD214" i="28"/>
  <c r="AC214" i="28"/>
  <c r="AB214" i="28"/>
  <c r="AA214" i="28"/>
  <c r="AH213" i="28"/>
  <c r="AG213" i="28"/>
  <c r="AF213" i="28"/>
  <c r="AE213" i="28"/>
  <c r="AD213" i="28"/>
  <c r="AC213" i="28"/>
  <c r="AB213" i="28"/>
  <c r="AA213" i="28"/>
  <c r="AH212" i="28"/>
  <c r="AG212" i="28"/>
  <c r="AF212" i="28"/>
  <c r="AE212" i="28"/>
  <c r="AD212" i="28"/>
  <c r="AC212" i="28"/>
  <c r="AB212" i="28"/>
  <c r="AA212" i="28"/>
  <c r="AH210" i="28"/>
  <c r="AG210" i="28"/>
  <c r="AF210" i="28"/>
  <c r="AE210" i="28"/>
  <c r="AD210" i="28"/>
  <c r="AC210" i="28"/>
  <c r="AB210" i="28"/>
  <c r="AA210" i="28"/>
  <c r="AH209" i="28"/>
  <c r="AG209" i="28"/>
  <c r="AF209" i="28"/>
  <c r="AE209" i="28"/>
  <c r="AD209" i="28"/>
  <c r="AC209" i="28"/>
  <c r="AB209" i="28"/>
  <c r="AA209" i="28"/>
  <c r="AH208" i="28"/>
  <c r="AG208" i="28"/>
  <c r="AF208" i="28"/>
  <c r="AE208" i="28"/>
  <c r="AD208" i="28"/>
  <c r="AC208" i="28"/>
  <c r="AB208" i="28"/>
  <c r="AA208" i="28"/>
  <c r="AH207" i="28"/>
  <c r="AG207" i="28"/>
  <c r="AF207" i="28"/>
  <c r="AE207" i="28"/>
  <c r="AD207" i="28"/>
  <c r="AC207" i="28"/>
  <c r="AB207" i="28"/>
  <c r="AA207" i="28"/>
  <c r="AH206" i="28"/>
  <c r="AG206" i="28"/>
  <c r="AF206" i="28"/>
  <c r="AE206" i="28"/>
  <c r="AD206" i="28"/>
  <c r="AC206" i="28"/>
  <c r="AB206" i="28"/>
  <c r="AA206" i="28"/>
  <c r="AH205" i="28"/>
  <c r="AG205" i="28"/>
  <c r="AF205" i="28"/>
  <c r="AE205" i="28"/>
  <c r="AD205" i="28"/>
  <c r="AC205" i="28"/>
  <c r="AB205" i="28"/>
  <c r="AA205" i="28"/>
  <c r="AH204" i="28"/>
  <c r="AG204" i="28"/>
  <c r="AF204" i="28"/>
  <c r="AE204" i="28"/>
  <c r="AD204" i="28"/>
  <c r="AC204" i="28"/>
  <c r="AB204" i="28"/>
  <c r="AA204" i="28"/>
  <c r="AH203" i="28"/>
  <c r="AG203" i="28"/>
  <c r="AF203" i="28"/>
  <c r="AE203" i="28"/>
  <c r="AD203" i="28"/>
  <c r="AC203" i="28"/>
  <c r="AB203" i="28"/>
  <c r="AA203" i="28"/>
  <c r="AH202" i="28"/>
  <c r="AG202" i="28"/>
  <c r="AF202" i="28"/>
  <c r="AE202" i="28"/>
  <c r="AD202" i="28"/>
  <c r="AC202" i="28"/>
  <c r="AB202" i="28"/>
  <c r="AA202" i="28"/>
  <c r="AH201" i="28"/>
  <c r="AG201" i="28"/>
  <c r="AF201" i="28"/>
  <c r="AE201" i="28"/>
  <c r="AD201" i="28"/>
  <c r="AC201" i="28"/>
  <c r="AB201" i="28"/>
  <c r="AA201" i="28"/>
  <c r="AH200" i="28"/>
  <c r="AG200" i="28"/>
  <c r="AF200" i="28"/>
  <c r="AE200" i="28"/>
  <c r="AD200" i="28"/>
  <c r="AC200" i="28"/>
  <c r="AB200" i="28"/>
  <c r="AA200" i="28"/>
  <c r="AH199" i="28"/>
  <c r="AG199" i="28"/>
  <c r="AF199" i="28"/>
  <c r="AE199" i="28"/>
  <c r="AD199" i="28"/>
  <c r="AC199" i="28"/>
  <c r="AB199" i="28"/>
  <c r="AA199" i="28"/>
  <c r="AH197" i="28"/>
  <c r="AG197" i="28"/>
  <c r="AF197" i="28"/>
  <c r="AE197" i="28"/>
  <c r="AD197" i="28"/>
  <c r="AC197" i="28"/>
  <c r="AB197" i="28"/>
  <c r="AA197" i="28"/>
  <c r="AH196" i="28"/>
  <c r="AG196" i="28"/>
  <c r="AF196" i="28"/>
  <c r="AE196" i="28"/>
  <c r="AD196" i="28"/>
  <c r="AC196" i="28"/>
  <c r="AB196" i="28"/>
  <c r="AA196" i="28"/>
  <c r="AH195" i="28"/>
  <c r="AG195" i="28"/>
  <c r="AF195" i="28"/>
  <c r="AE195" i="28"/>
  <c r="AD195" i="28"/>
  <c r="AC195" i="28"/>
  <c r="AB195" i="28"/>
  <c r="AA195" i="28"/>
  <c r="AH192" i="28"/>
  <c r="AG192" i="28"/>
  <c r="AF192" i="28"/>
  <c r="AE192" i="28"/>
  <c r="AD192" i="28"/>
  <c r="AC192" i="28"/>
  <c r="AB192" i="28"/>
  <c r="AA192" i="28"/>
  <c r="AH191" i="28"/>
  <c r="AG191" i="28"/>
  <c r="AF191" i="28"/>
  <c r="AE191" i="28"/>
  <c r="AD191" i="28"/>
  <c r="AC191" i="28"/>
  <c r="AB191" i="28"/>
  <c r="AA191" i="28"/>
  <c r="AH190" i="28"/>
  <c r="AG190" i="28"/>
  <c r="AF190" i="28"/>
  <c r="AE190" i="28"/>
  <c r="AD190" i="28"/>
  <c r="AC190" i="28"/>
  <c r="AB190" i="28"/>
  <c r="AA190" i="28"/>
  <c r="AH189" i="28"/>
  <c r="AG189" i="28"/>
  <c r="AF189" i="28"/>
  <c r="AE189" i="28"/>
  <c r="AD189" i="28"/>
  <c r="AC189" i="28"/>
  <c r="AB189" i="28"/>
  <c r="AA189" i="28"/>
  <c r="AH188" i="28"/>
  <c r="AG188" i="28"/>
  <c r="AF188" i="28"/>
  <c r="AE188" i="28"/>
  <c r="AD188" i="28"/>
  <c r="AC188" i="28"/>
  <c r="AB188" i="28"/>
  <c r="AA188" i="28"/>
  <c r="AH187" i="28"/>
  <c r="AG187" i="28"/>
  <c r="AF187" i="28"/>
  <c r="AE187" i="28"/>
  <c r="AD187" i="28"/>
  <c r="AC187" i="28"/>
  <c r="AB187" i="28"/>
  <c r="AA187" i="28"/>
  <c r="AH185" i="28"/>
  <c r="AG185" i="28"/>
  <c r="AF185" i="28"/>
  <c r="AE185" i="28"/>
  <c r="AD185" i="28"/>
  <c r="AC185" i="28"/>
  <c r="AB185" i="28"/>
  <c r="AA185" i="28"/>
  <c r="AH184" i="28"/>
  <c r="AG184" i="28"/>
  <c r="AF184" i="28"/>
  <c r="AE184" i="28"/>
  <c r="AD184" i="28"/>
  <c r="AC184" i="28"/>
  <c r="AB184" i="28"/>
  <c r="AA184" i="28"/>
  <c r="AH183" i="28"/>
  <c r="AG183" i="28"/>
  <c r="AF183" i="28"/>
  <c r="AE183" i="28"/>
  <c r="AD183" i="28"/>
  <c r="AC183" i="28"/>
  <c r="AB183" i="28"/>
  <c r="AA183" i="28"/>
  <c r="AH182" i="28"/>
  <c r="AG182" i="28"/>
  <c r="AF182" i="28"/>
  <c r="AE182" i="28"/>
  <c r="AD182" i="28"/>
  <c r="AC182" i="28"/>
  <c r="AB182" i="28"/>
  <c r="AA182" i="28"/>
  <c r="AH181" i="28"/>
  <c r="AG181" i="28"/>
  <c r="AF181" i="28"/>
  <c r="AE181" i="28"/>
  <c r="AD181" i="28"/>
  <c r="AC181" i="28"/>
  <c r="AB181" i="28"/>
  <c r="AA181" i="28"/>
  <c r="AH180" i="28"/>
  <c r="AG180" i="28"/>
  <c r="AF180" i="28"/>
  <c r="AE180" i="28"/>
  <c r="AD180" i="28"/>
  <c r="AC180" i="28"/>
  <c r="AB180" i="28"/>
  <c r="AA180" i="28"/>
  <c r="AH179" i="28"/>
  <c r="AG179" i="28"/>
  <c r="AF179" i="28"/>
  <c r="AE179" i="28"/>
  <c r="AD179" i="28"/>
  <c r="AC179" i="28"/>
  <c r="AB179" i="28"/>
  <c r="AA179" i="28"/>
  <c r="AH178" i="28"/>
  <c r="AG178" i="28"/>
  <c r="AF178" i="28"/>
  <c r="AE178" i="28"/>
  <c r="AD178" i="28"/>
  <c r="AC178" i="28"/>
  <c r="AB178" i="28"/>
  <c r="AA178" i="28"/>
  <c r="AH176" i="28"/>
  <c r="AG176" i="28"/>
  <c r="AF176" i="28"/>
  <c r="AE176" i="28"/>
  <c r="AD176" i="28"/>
  <c r="AC176" i="28"/>
  <c r="AB176" i="28"/>
  <c r="AA176" i="28"/>
  <c r="AH175" i="28"/>
  <c r="AG175" i="28"/>
  <c r="AF175" i="28"/>
  <c r="AE175" i="28"/>
  <c r="AD175" i="28"/>
  <c r="AC175" i="28"/>
  <c r="AB175" i="28"/>
  <c r="AA175" i="28"/>
  <c r="AH174" i="28"/>
  <c r="AG174" i="28"/>
  <c r="AF174" i="28"/>
  <c r="AE174" i="28"/>
  <c r="AD174" i="28"/>
  <c r="AC174" i="28"/>
  <c r="AB174" i="28"/>
  <c r="AA174" i="28"/>
  <c r="AH173" i="28"/>
  <c r="AG173" i="28"/>
  <c r="AF173" i="28"/>
  <c r="AE173" i="28"/>
  <c r="AD173" i="28"/>
  <c r="AC173" i="28"/>
  <c r="AB173" i="28"/>
  <c r="AA173" i="28"/>
  <c r="AH172" i="28"/>
  <c r="AG172" i="28"/>
  <c r="AF172" i="28"/>
  <c r="AE172" i="28"/>
  <c r="AD172" i="28"/>
  <c r="AC172" i="28"/>
  <c r="AB172" i="28"/>
  <c r="AA172" i="28"/>
  <c r="AH171" i="28"/>
  <c r="AG171" i="28"/>
  <c r="AF171" i="28"/>
  <c r="AE171" i="28"/>
  <c r="AD171" i="28"/>
  <c r="AC171" i="28"/>
  <c r="AB171" i="28"/>
  <c r="AA171" i="28"/>
  <c r="AH169" i="28"/>
  <c r="AG169" i="28"/>
  <c r="AF169" i="28"/>
  <c r="AE169" i="28"/>
  <c r="AD169" i="28"/>
  <c r="AC169" i="28"/>
  <c r="AB169" i="28"/>
  <c r="AA169" i="28"/>
  <c r="AH168" i="28"/>
  <c r="AG168" i="28"/>
  <c r="AF168" i="28"/>
  <c r="AE168" i="28"/>
  <c r="AD168" i="28"/>
  <c r="AC168" i="28"/>
  <c r="AB168" i="28"/>
  <c r="AA168" i="28"/>
  <c r="AH167" i="28"/>
  <c r="AG167" i="28"/>
  <c r="AF167" i="28"/>
  <c r="AE167" i="28"/>
  <c r="AD167" i="28"/>
  <c r="AC167" i="28"/>
  <c r="AB167" i="28"/>
  <c r="AA167" i="28"/>
  <c r="AH166" i="28"/>
  <c r="AG166" i="28"/>
  <c r="AF166" i="28"/>
  <c r="AE166" i="28"/>
  <c r="AD166" i="28"/>
  <c r="AC166" i="28"/>
  <c r="AB166" i="28"/>
  <c r="AA166" i="28"/>
  <c r="AH165" i="28"/>
  <c r="AG165" i="28"/>
  <c r="AF165" i="28"/>
  <c r="AE165" i="28"/>
  <c r="AD165" i="28"/>
  <c r="AC165" i="28"/>
  <c r="AB165" i="28"/>
  <c r="AA165" i="28"/>
  <c r="AH164" i="28"/>
  <c r="AG164" i="28"/>
  <c r="AF164" i="28"/>
  <c r="AE164" i="28"/>
  <c r="AD164" i="28"/>
  <c r="AC164" i="28"/>
  <c r="AB164" i="28"/>
  <c r="AA164" i="28"/>
  <c r="AH163" i="28"/>
  <c r="AG163" i="28"/>
  <c r="AF163" i="28"/>
  <c r="AE163" i="28"/>
  <c r="AD163" i="28"/>
  <c r="AC163" i="28"/>
  <c r="AB163" i="28"/>
  <c r="AA163" i="28"/>
  <c r="AH162" i="28"/>
  <c r="AG162" i="28"/>
  <c r="AF162" i="28"/>
  <c r="AE162" i="28"/>
  <c r="AD162" i="28"/>
  <c r="AC162" i="28"/>
  <c r="AB162" i="28"/>
  <c r="AA162" i="28"/>
  <c r="AH161" i="28"/>
  <c r="AG161" i="28"/>
  <c r="AF161" i="28"/>
  <c r="AE161" i="28"/>
  <c r="AD161" i="28"/>
  <c r="AC161" i="28"/>
  <c r="AB161" i="28"/>
  <c r="AA161" i="28"/>
  <c r="AH160" i="28"/>
  <c r="AG160" i="28"/>
  <c r="AF160" i="28"/>
  <c r="AE160" i="28"/>
  <c r="AD160" i="28"/>
  <c r="AC160" i="28"/>
  <c r="AB160" i="28"/>
  <c r="AA160" i="28"/>
  <c r="AH159" i="28"/>
  <c r="AG159" i="28"/>
  <c r="AF159" i="28"/>
  <c r="AE159" i="28"/>
  <c r="AD159" i="28"/>
  <c r="AC159" i="28"/>
  <c r="AB159" i="28"/>
  <c r="AA159" i="28"/>
  <c r="AH157" i="28"/>
  <c r="AG157" i="28"/>
  <c r="AF157" i="28"/>
  <c r="AE157" i="28"/>
  <c r="AD157" i="28"/>
  <c r="AC157" i="28"/>
  <c r="AB157" i="28"/>
  <c r="AA157" i="28"/>
  <c r="AH156" i="28"/>
  <c r="AG156" i="28"/>
  <c r="AF156" i="28"/>
  <c r="AE156" i="28"/>
  <c r="AD156" i="28"/>
  <c r="AC156" i="28"/>
  <c r="AB156" i="28"/>
  <c r="AA156" i="28"/>
  <c r="AH155" i="28"/>
  <c r="AG155" i="28"/>
  <c r="AF155" i="28"/>
  <c r="AE155" i="28"/>
  <c r="AD155" i="28"/>
  <c r="AC155" i="28"/>
  <c r="AB155" i="28"/>
  <c r="AA155" i="28"/>
  <c r="AH154" i="28"/>
  <c r="AG154" i="28"/>
  <c r="AF154" i="28"/>
  <c r="AE154" i="28"/>
  <c r="AD154" i="28"/>
  <c r="AC154" i="28"/>
  <c r="AB154" i="28"/>
  <c r="AA154" i="28"/>
  <c r="AH153" i="28"/>
  <c r="AG153" i="28"/>
  <c r="AF153" i="28"/>
  <c r="AE153" i="28"/>
  <c r="AD153" i="28"/>
  <c r="AC153" i="28"/>
  <c r="AB153" i="28"/>
  <c r="AA153" i="28"/>
  <c r="AH152" i="28"/>
  <c r="AG152" i="28"/>
  <c r="AF152" i="28"/>
  <c r="AE152" i="28"/>
  <c r="AD152" i="28"/>
  <c r="AC152" i="28"/>
  <c r="AB152" i="28"/>
  <c r="AA152" i="28"/>
  <c r="AH151" i="28"/>
  <c r="AG151" i="28"/>
  <c r="AF151" i="28"/>
  <c r="AE151" i="28"/>
  <c r="AD151" i="28"/>
  <c r="AC151" i="28"/>
  <c r="AB151" i="28"/>
  <c r="AA151" i="28"/>
  <c r="AH150" i="28"/>
  <c r="AG150" i="28"/>
  <c r="AF150" i="28"/>
  <c r="AE150" i="28"/>
  <c r="AD150" i="28"/>
  <c r="AC150" i="28"/>
  <c r="AB150" i="28"/>
  <c r="AA150" i="28"/>
  <c r="AH149" i="28"/>
  <c r="AG149" i="28"/>
  <c r="AF149" i="28"/>
  <c r="AE149" i="28"/>
  <c r="AD149" i="28"/>
  <c r="AC149" i="28"/>
  <c r="AB149" i="28"/>
  <c r="AA149" i="28"/>
  <c r="AH148" i="28"/>
  <c r="AG148" i="28"/>
  <c r="AF148" i="28"/>
  <c r="AE148" i="28"/>
  <c r="AD148" i="28"/>
  <c r="AC148" i="28"/>
  <c r="AB148" i="28"/>
  <c r="AA148" i="28"/>
  <c r="AH145" i="28"/>
  <c r="AG145" i="28"/>
  <c r="AF145" i="28"/>
  <c r="AE145" i="28"/>
  <c r="AD145" i="28"/>
  <c r="AC145" i="28"/>
  <c r="AB145" i="28"/>
  <c r="AA145" i="28"/>
  <c r="AH144" i="28"/>
  <c r="AG144" i="28"/>
  <c r="AF144" i="28"/>
  <c r="AE144" i="28"/>
  <c r="AD144" i="28"/>
  <c r="AC144" i="28"/>
  <c r="AB144" i="28"/>
  <c r="AA144" i="28"/>
  <c r="AH143" i="28"/>
  <c r="AG143" i="28"/>
  <c r="AF143" i="28"/>
  <c r="AE143" i="28"/>
  <c r="AD143" i="28"/>
  <c r="AC143" i="28"/>
  <c r="AB143" i="28"/>
  <c r="AA143" i="28"/>
  <c r="AH142" i="28"/>
  <c r="AG142" i="28"/>
  <c r="AF142" i="28"/>
  <c r="AE142" i="28"/>
  <c r="AD142" i="28"/>
  <c r="AC142" i="28"/>
  <c r="AB142" i="28"/>
  <c r="AA142" i="28"/>
  <c r="AH141" i="28"/>
  <c r="AG141" i="28"/>
  <c r="AF141" i="28"/>
  <c r="AE141" i="28"/>
  <c r="AD141" i="28"/>
  <c r="AC141" i="28"/>
  <c r="AB141" i="28"/>
  <c r="AA141" i="28"/>
  <c r="AH140" i="28"/>
  <c r="AG140" i="28"/>
  <c r="AF140" i="28"/>
  <c r="AE140" i="28"/>
  <c r="AD140" i="28"/>
  <c r="AC140" i="28"/>
  <c r="AB140" i="28"/>
  <c r="AA140" i="28"/>
  <c r="AH138" i="28"/>
  <c r="AG138" i="28"/>
  <c r="AF138" i="28"/>
  <c r="AE138" i="28"/>
  <c r="AD138" i="28"/>
  <c r="AC138" i="28"/>
  <c r="AB138" i="28"/>
  <c r="AA138" i="28"/>
  <c r="AH137" i="28"/>
  <c r="AG137" i="28"/>
  <c r="AF137" i="28"/>
  <c r="AE137" i="28"/>
  <c r="AD137" i="28"/>
  <c r="AC137" i="28"/>
  <c r="AB137" i="28"/>
  <c r="AA137" i="28"/>
  <c r="AH136" i="28"/>
  <c r="AG136" i="28"/>
  <c r="AF136" i="28"/>
  <c r="AE136" i="28"/>
  <c r="AD136" i="28"/>
  <c r="AC136" i="28"/>
  <c r="AB136" i="28"/>
  <c r="AA136" i="28"/>
  <c r="AH135" i="28"/>
  <c r="AG135" i="28"/>
  <c r="AF135" i="28"/>
  <c r="AE135" i="28"/>
  <c r="AD135" i="28"/>
  <c r="AC135" i="28"/>
  <c r="AB135" i="28"/>
  <c r="AA135" i="28"/>
  <c r="AH134" i="28"/>
  <c r="AG134" i="28"/>
  <c r="AF134" i="28"/>
  <c r="AE134" i="28"/>
  <c r="AD134" i="28"/>
  <c r="AC134" i="28"/>
  <c r="AB134" i="28"/>
  <c r="AA134" i="28"/>
  <c r="AH132" i="28"/>
  <c r="AG132" i="28"/>
  <c r="AF132" i="28"/>
  <c r="AE132" i="28"/>
  <c r="AD132" i="28"/>
  <c r="AC132" i="28"/>
  <c r="AB132" i="28"/>
  <c r="AA132" i="28"/>
  <c r="AH131" i="28"/>
  <c r="AG131" i="28"/>
  <c r="AF131" i="28"/>
  <c r="AE131" i="28"/>
  <c r="AD131" i="28"/>
  <c r="AC131" i="28"/>
  <c r="AB131" i="28"/>
  <c r="AA131" i="28"/>
  <c r="AH130" i="28"/>
  <c r="AG130" i="28"/>
  <c r="AF130" i="28"/>
  <c r="AE130" i="28"/>
  <c r="AD130" i="28"/>
  <c r="AC130" i="28"/>
  <c r="AB130" i="28"/>
  <c r="AA130" i="28"/>
  <c r="AH129" i="28"/>
  <c r="AG129" i="28"/>
  <c r="AF129" i="28"/>
  <c r="AE129" i="28"/>
  <c r="AD129" i="28"/>
  <c r="AC129" i="28"/>
  <c r="AB129" i="28"/>
  <c r="AA129" i="28"/>
  <c r="AH128" i="28"/>
  <c r="AG128" i="28"/>
  <c r="AF128" i="28"/>
  <c r="AE128" i="28"/>
  <c r="AD128" i="28"/>
  <c r="AC128" i="28"/>
  <c r="AB128" i="28"/>
  <c r="AA128" i="28"/>
  <c r="AH127" i="28"/>
  <c r="AG127" i="28"/>
  <c r="AF127" i="28"/>
  <c r="AE127" i="28"/>
  <c r="AD127" i="28"/>
  <c r="AC127" i="28"/>
  <c r="AB127" i="28"/>
  <c r="AA127" i="28"/>
  <c r="AH126" i="28"/>
  <c r="AG126" i="28"/>
  <c r="AF126" i="28"/>
  <c r="AE126" i="28"/>
  <c r="AD126" i="28"/>
  <c r="AC126" i="28"/>
  <c r="AB126" i="28"/>
  <c r="AA126" i="28"/>
  <c r="AH125" i="28"/>
  <c r="AG125" i="28"/>
  <c r="AF125" i="28"/>
  <c r="AE125" i="28"/>
  <c r="AD125" i="28"/>
  <c r="AC125" i="28"/>
  <c r="AB125" i="28"/>
  <c r="AA125" i="28"/>
  <c r="AH124" i="28"/>
  <c r="AG124" i="28"/>
  <c r="AF124" i="28"/>
  <c r="AE124" i="28"/>
  <c r="AD124" i="28"/>
  <c r="AC124" i="28"/>
  <c r="AB124" i="28"/>
  <c r="AA124" i="28"/>
  <c r="AH122" i="28"/>
  <c r="AG122" i="28"/>
  <c r="AF122" i="28"/>
  <c r="AE122" i="28"/>
  <c r="AD122" i="28"/>
  <c r="AC122" i="28"/>
  <c r="AB122" i="28"/>
  <c r="AA122" i="28"/>
  <c r="AH121" i="28"/>
  <c r="AG121" i="28"/>
  <c r="AF121" i="28"/>
  <c r="AE121" i="28"/>
  <c r="AD121" i="28"/>
  <c r="AC121" i="28"/>
  <c r="AB121" i="28"/>
  <c r="AA121" i="28"/>
  <c r="AH120" i="28"/>
  <c r="AG120" i="28"/>
  <c r="AF120" i="28"/>
  <c r="AE120" i="28"/>
  <c r="AD120" i="28"/>
  <c r="AC120" i="28"/>
  <c r="AB120" i="28"/>
  <c r="AA120" i="28"/>
  <c r="AH119" i="28"/>
  <c r="AG119" i="28"/>
  <c r="AF119" i="28"/>
  <c r="AE119" i="28"/>
  <c r="AD119" i="28"/>
  <c r="AC119" i="28"/>
  <c r="AB119" i="28"/>
  <c r="AA119" i="28"/>
  <c r="AH117" i="28"/>
  <c r="AG117" i="28"/>
  <c r="AF117" i="28"/>
  <c r="AE117" i="28"/>
  <c r="AD117" i="28"/>
  <c r="AC117" i="28"/>
  <c r="AB117" i="28"/>
  <c r="AA117" i="28"/>
  <c r="AH116" i="28"/>
  <c r="AG116" i="28"/>
  <c r="AF116" i="28"/>
  <c r="AE116" i="28"/>
  <c r="AD116" i="28"/>
  <c r="AC116" i="28"/>
  <c r="AB116" i="28"/>
  <c r="AA116" i="28"/>
  <c r="AH115" i="28"/>
  <c r="AG115" i="28"/>
  <c r="AF115" i="28"/>
  <c r="AE115" i="28"/>
  <c r="AD115" i="28"/>
  <c r="AC115" i="28"/>
  <c r="AB115" i="28"/>
  <c r="AA115" i="28"/>
  <c r="AH114" i="28"/>
  <c r="AG114" i="28"/>
  <c r="AF114" i="28"/>
  <c r="AE114" i="28"/>
  <c r="AD114" i="28"/>
  <c r="AC114" i="28"/>
  <c r="AB114" i="28"/>
  <c r="AA114" i="28"/>
  <c r="AH113" i="28"/>
  <c r="AG113" i="28"/>
  <c r="AF113" i="28"/>
  <c r="AE113" i="28"/>
  <c r="AD113" i="28"/>
  <c r="AC113" i="28"/>
  <c r="AB113" i="28"/>
  <c r="AA113" i="28"/>
  <c r="AH112" i="28"/>
  <c r="AG112" i="28"/>
  <c r="AF112" i="28"/>
  <c r="AE112" i="28"/>
  <c r="AD112" i="28"/>
  <c r="AC112" i="28"/>
  <c r="AB112" i="28"/>
  <c r="AA112" i="28"/>
  <c r="AH111" i="28"/>
  <c r="AG111" i="28"/>
  <c r="AF111" i="28"/>
  <c r="AE111" i="28"/>
  <c r="AD111" i="28"/>
  <c r="AC111" i="28"/>
  <c r="AB111" i="28"/>
  <c r="AA111" i="28"/>
  <c r="AH110" i="28"/>
  <c r="AG110" i="28"/>
  <c r="AF110" i="28"/>
  <c r="AE110" i="28"/>
  <c r="AD110" i="28"/>
  <c r="AC110" i="28"/>
  <c r="AB110" i="28"/>
  <c r="AA110" i="28"/>
  <c r="AH108" i="28"/>
  <c r="AG108" i="28"/>
  <c r="AF108" i="28"/>
  <c r="AE108" i="28"/>
  <c r="AD108" i="28"/>
  <c r="AC108" i="28"/>
  <c r="AB108" i="28"/>
  <c r="AA108" i="28"/>
  <c r="AH107" i="28"/>
  <c r="AG107" i="28"/>
  <c r="AF107" i="28"/>
  <c r="AE107" i="28"/>
  <c r="AD107" i="28"/>
  <c r="AC107" i="28"/>
  <c r="AB107" i="28"/>
  <c r="AA107" i="28"/>
  <c r="AH106" i="28"/>
  <c r="AG106" i="28"/>
  <c r="AF106" i="28"/>
  <c r="AE106" i="28"/>
  <c r="AD106" i="28"/>
  <c r="AC106" i="28"/>
  <c r="AB106" i="28"/>
  <c r="AA106" i="28"/>
  <c r="AH105" i="28"/>
  <c r="AG105" i="28"/>
  <c r="AF105" i="28"/>
  <c r="AE105" i="28"/>
  <c r="AD105" i="28"/>
  <c r="AC105" i="28"/>
  <c r="AB105" i="28"/>
  <c r="AA105" i="28"/>
  <c r="AH104" i="28"/>
  <c r="AG104" i="28"/>
  <c r="AF104" i="28"/>
  <c r="AE104" i="28"/>
  <c r="AD104" i="28"/>
  <c r="AC104" i="28"/>
  <c r="AB104" i="28"/>
  <c r="AA104" i="28"/>
  <c r="AH103" i="28"/>
  <c r="AG103" i="28"/>
  <c r="AF103" i="28"/>
  <c r="AE103" i="28"/>
  <c r="AD103" i="28"/>
  <c r="AC103" i="28"/>
  <c r="AB103" i="28"/>
  <c r="AA103" i="28"/>
  <c r="AH102" i="28"/>
  <c r="AG102" i="28"/>
  <c r="AF102" i="28"/>
  <c r="AE102" i="28"/>
  <c r="AD102" i="28"/>
  <c r="AC102" i="28"/>
  <c r="AB102" i="28"/>
  <c r="AA102" i="28"/>
  <c r="AH99" i="28"/>
  <c r="AG99" i="28"/>
  <c r="AF99" i="28"/>
  <c r="AE99" i="28"/>
  <c r="AD99" i="28"/>
  <c r="AC99" i="28"/>
  <c r="AB99" i="28"/>
  <c r="AA99" i="28"/>
  <c r="AH98" i="28"/>
  <c r="AG98" i="28"/>
  <c r="AF98" i="28"/>
  <c r="AE98" i="28"/>
  <c r="AD98" i="28"/>
  <c r="AC98" i="28"/>
  <c r="AB98" i="28"/>
  <c r="AA98" i="28"/>
  <c r="AH97" i="28"/>
  <c r="AG97" i="28"/>
  <c r="AF97" i="28"/>
  <c r="AE97" i="28"/>
  <c r="AD97" i="28"/>
  <c r="AC97" i="28"/>
  <c r="AB97" i="28"/>
  <c r="AA97" i="28"/>
  <c r="AH96" i="28"/>
  <c r="AG96" i="28"/>
  <c r="AF96" i="28"/>
  <c r="AE96" i="28"/>
  <c r="AD96" i="28"/>
  <c r="AC96" i="28"/>
  <c r="AB96" i="28"/>
  <c r="AA96" i="28"/>
  <c r="AH95" i="28"/>
  <c r="AG95" i="28"/>
  <c r="AF95" i="28"/>
  <c r="AE95" i="28"/>
  <c r="AD95" i="28"/>
  <c r="AC95" i="28"/>
  <c r="AB95" i="28"/>
  <c r="AA95" i="28"/>
  <c r="AH94" i="28"/>
  <c r="AG94" i="28"/>
  <c r="AF94" i="28"/>
  <c r="AE94" i="28"/>
  <c r="AD94" i="28"/>
  <c r="AC94" i="28"/>
  <c r="AB94" i="28"/>
  <c r="AA94" i="28"/>
  <c r="AH92" i="28"/>
  <c r="AG92" i="28"/>
  <c r="AF92" i="28"/>
  <c r="AE92" i="28"/>
  <c r="AD92" i="28"/>
  <c r="AC92" i="28"/>
  <c r="AB92" i="28"/>
  <c r="AA92" i="28"/>
  <c r="AH91" i="28"/>
  <c r="AG91" i="28"/>
  <c r="AF91" i="28"/>
  <c r="AE91" i="28"/>
  <c r="AD91" i="28"/>
  <c r="AC91" i="28"/>
  <c r="AB91" i="28"/>
  <c r="AA91" i="28"/>
  <c r="AH90" i="28"/>
  <c r="AG90" i="28"/>
  <c r="AF90" i="28"/>
  <c r="AE90" i="28"/>
  <c r="AD90" i="28"/>
  <c r="AC90" i="28"/>
  <c r="AB90" i="28"/>
  <c r="AA90" i="28"/>
  <c r="AH89" i="28"/>
  <c r="AG89" i="28"/>
  <c r="AF89" i="28"/>
  <c r="AE89" i="28"/>
  <c r="AD89" i="28"/>
  <c r="AC89" i="28"/>
  <c r="AB89" i="28"/>
  <c r="AA89" i="28"/>
  <c r="AH88" i="28"/>
  <c r="AG88" i="28"/>
  <c r="AF88" i="28"/>
  <c r="AE88" i="28"/>
  <c r="AD88" i="28"/>
  <c r="AC88" i="28"/>
  <c r="AB88" i="28"/>
  <c r="AA88" i="28"/>
  <c r="AH87" i="28"/>
  <c r="AG87" i="28"/>
  <c r="AF87" i="28"/>
  <c r="AE87" i="28"/>
  <c r="AD87" i="28"/>
  <c r="AC87" i="28"/>
  <c r="AB87" i="28"/>
  <c r="AA87" i="28"/>
  <c r="AH85" i="28"/>
  <c r="AG85" i="28"/>
  <c r="AF85" i="28"/>
  <c r="AE85" i="28"/>
  <c r="AD85" i="28"/>
  <c r="AC85" i="28"/>
  <c r="AB85" i="28"/>
  <c r="AA85" i="28"/>
  <c r="AH84" i="28"/>
  <c r="AG84" i="28"/>
  <c r="AF84" i="28"/>
  <c r="AE84" i="28"/>
  <c r="AD84" i="28"/>
  <c r="AC84" i="28"/>
  <c r="AB84" i="28"/>
  <c r="AA84" i="28"/>
  <c r="AH83" i="28"/>
  <c r="AG83" i="28"/>
  <c r="AF83" i="28"/>
  <c r="AE83" i="28"/>
  <c r="AD83" i="28"/>
  <c r="AC83" i="28"/>
  <c r="AB83" i="28"/>
  <c r="AA83" i="28"/>
  <c r="AH82" i="28"/>
  <c r="AG82" i="28"/>
  <c r="AF82" i="28"/>
  <c r="AE82" i="28"/>
  <c r="AD82" i="28"/>
  <c r="AC82" i="28"/>
  <c r="AB82" i="28"/>
  <c r="AA82" i="28"/>
  <c r="AH81" i="28"/>
  <c r="AG81" i="28"/>
  <c r="AF81" i="28"/>
  <c r="AE81" i="28"/>
  <c r="AD81" i="28"/>
  <c r="AC81" i="28"/>
  <c r="AB81" i="28"/>
  <c r="AA81" i="28"/>
  <c r="AH80" i="28"/>
  <c r="AG80" i="28"/>
  <c r="AF80" i="28"/>
  <c r="AE80" i="28"/>
  <c r="AD80" i="28"/>
  <c r="AC80" i="28"/>
  <c r="AB80" i="28"/>
  <c r="AA80" i="28"/>
  <c r="AH79" i="28"/>
  <c r="AG79" i="28"/>
  <c r="AF79" i="28"/>
  <c r="AE79" i="28"/>
  <c r="AD79" i="28"/>
  <c r="AC79" i="28"/>
  <c r="AB79" i="28"/>
  <c r="AA79" i="28"/>
  <c r="AH78" i="28"/>
  <c r="AG78" i="28"/>
  <c r="AF78" i="28"/>
  <c r="AE78" i="28"/>
  <c r="AD78" i="28"/>
  <c r="AC78" i="28"/>
  <c r="AB78" i="28"/>
  <c r="AA78" i="28"/>
  <c r="AH77" i="28"/>
  <c r="AG77" i="28"/>
  <c r="AF77" i="28"/>
  <c r="AE77" i="28"/>
  <c r="AD77" i="28"/>
  <c r="AC77" i="28"/>
  <c r="AB77" i="28"/>
  <c r="AA77" i="28"/>
  <c r="AH76" i="28"/>
  <c r="AG76" i="28"/>
  <c r="AF76" i="28"/>
  <c r="AE76" i="28"/>
  <c r="AD76" i="28"/>
  <c r="AC76" i="28"/>
  <c r="AB76" i="28"/>
  <c r="AA76" i="28"/>
  <c r="AH74" i="28"/>
  <c r="AG74" i="28"/>
  <c r="AF74" i="28"/>
  <c r="AE74" i="28"/>
  <c r="AD74" i="28"/>
  <c r="AC74" i="28"/>
  <c r="AB74" i="28"/>
  <c r="AA74" i="28"/>
  <c r="AH73" i="28"/>
  <c r="AG73" i="28"/>
  <c r="AF73" i="28"/>
  <c r="AE73" i="28"/>
  <c r="AD73" i="28"/>
  <c r="AC73" i="28"/>
  <c r="AB73" i="28"/>
  <c r="AA73" i="28"/>
  <c r="AH72" i="28"/>
  <c r="AG72" i="28"/>
  <c r="AF72" i="28"/>
  <c r="AE72" i="28"/>
  <c r="AD72" i="28"/>
  <c r="AC72" i="28"/>
  <c r="AB72" i="28"/>
  <c r="AA72" i="28"/>
  <c r="AH71" i="28"/>
  <c r="AG71" i="28"/>
  <c r="AF71" i="28"/>
  <c r="AE71" i="28"/>
  <c r="AD71" i="28"/>
  <c r="AC71" i="28"/>
  <c r="AB71" i="28"/>
  <c r="AA71" i="28"/>
  <c r="AH70" i="28"/>
  <c r="AG70" i="28"/>
  <c r="AF70" i="28"/>
  <c r="AE70" i="28"/>
  <c r="AD70" i="28"/>
  <c r="AC70" i="28"/>
  <c r="AB70" i="28"/>
  <c r="AA70" i="28"/>
  <c r="AH69" i="28"/>
  <c r="AG69" i="28"/>
  <c r="AF69" i="28"/>
  <c r="AE69" i="28"/>
  <c r="AD69" i="28"/>
  <c r="AC69" i="28"/>
  <c r="AB69" i="28"/>
  <c r="AA69" i="28"/>
  <c r="AH68" i="28"/>
  <c r="AG68" i="28"/>
  <c r="AF68" i="28"/>
  <c r="AE68" i="28"/>
  <c r="AD68" i="28"/>
  <c r="AC68" i="28"/>
  <c r="AB68" i="28"/>
  <c r="AA68" i="28"/>
  <c r="AH67" i="28"/>
  <c r="AG67" i="28"/>
  <c r="AF67" i="28"/>
  <c r="AE67" i="28"/>
  <c r="AD67" i="28"/>
  <c r="AC67" i="28"/>
  <c r="AB67" i="28"/>
  <c r="AA67" i="28"/>
  <c r="AH66" i="28"/>
  <c r="AG66" i="28"/>
  <c r="AF66" i="28"/>
  <c r="AE66" i="28"/>
  <c r="AD66" i="28"/>
  <c r="AC66" i="28"/>
  <c r="AB66" i="28"/>
  <c r="AA66" i="28"/>
  <c r="AH65" i="28"/>
  <c r="AG65" i="28"/>
  <c r="AF65" i="28"/>
  <c r="AE65" i="28"/>
  <c r="AD65" i="28"/>
  <c r="AC65" i="28"/>
  <c r="AB65" i="28"/>
  <c r="AA65" i="28"/>
  <c r="AH64" i="28"/>
  <c r="AG64" i="28"/>
  <c r="AF64" i="28"/>
  <c r="AE64" i="28"/>
  <c r="AD64" i="28"/>
  <c r="AC64" i="28"/>
  <c r="AB64" i="28"/>
  <c r="AA64" i="28"/>
  <c r="AH63" i="28"/>
  <c r="AG63" i="28"/>
  <c r="AF63" i="28"/>
  <c r="AE63" i="28"/>
  <c r="AD63" i="28"/>
  <c r="AC63" i="28"/>
  <c r="AB63" i="28"/>
  <c r="AA63" i="28"/>
  <c r="AH62" i="28"/>
  <c r="AG62" i="28"/>
  <c r="AF62" i="28"/>
  <c r="AE62" i="28"/>
  <c r="AD62" i="28"/>
  <c r="AC62" i="28"/>
  <c r="AB62" i="28"/>
  <c r="AA62" i="28"/>
  <c r="AH60" i="28"/>
  <c r="AG60" i="28"/>
  <c r="AF60" i="28"/>
  <c r="AE60" i="28"/>
  <c r="AD60" i="28"/>
  <c r="AC60" i="28"/>
  <c r="AB60" i="28"/>
  <c r="AA60" i="28"/>
  <c r="AH59" i="28"/>
  <c r="AG59" i="28"/>
  <c r="AF59" i="28"/>
  <c r="AE59" i="28"/>
  <c r="AD59" i="28"/>
  <c r="AC59" i="28"/>
  <c r="AB59" i="28"/>
  <c r="AA59" i="28"/>
  <c r="AH58" i="28"/>
  <c r="AG58" i="28"/>
  <c r="AF58" i="28"/>
  <c r="AE58" i="28"/>
  <c r="AD58" i="28"/>
  <c r="AC58" i="28"/>
  <c r="AB58" i="28"/>
  <c r="AA58" i="28"/>
  <c r="AH57" i="28"/>
  <c r="AG57" i="28"/>
  <c r="AF57" i="28"/>
  <c r="AE57" i="28"/>
  <c r="AD57" i="28"/>
  <c r="AC57" i="28"/>
  <c r="AB57" i="28"/>
  <c r="AA57" i="28"/>
  <c r="AH56" i="28"/>
  <c r="AG56" i="28"/>
  <c r="AF56" i="28"/>
  <c r="AE56" i="28"/>
  <c r="AD56" i="28"/>
  <c r="AC56" i="28"/>
  <c r="AB56" i="28"/>
  <c r="AA56" i="28"/>
  <c r="AH55" i="28"/>
  <c r="AG55" i="28"/>
  <c r="AF55" i="28"/>
  <c r="AE55" i="28"/>
  <c r="AD55" i="28"/>
  <c r="AC55" i="28"/>
  <c r="AB55" i="28"/>
  <c r="AA55" i="28"/>
  <c r="AH54" i="28"/>
  <c r="AG54" i="28"/>
  <c r="AF54" i="28"/>
  <c r="AE54" i="28"/>
  <c r="AD54" i="28"/>
  <c r="AC54" i="28"/>
  <c r="AB54" i="28"/>
  <c r="AA54" i="28"/>
  <c r="AH53" i="28"/>
  <c r="AG53" i="28"/>
  <c r="AF53" i="28"/>
  <c r="AE53" i="28"/>
  <c r="AD53" i="28"/>
  <c r="AC53" i="28"/>
  <c r="AB53" i="28"/>
  <c r="AA53" i="28"/>
  <c r="AH52" i="28"/>
  <c r="AG52" i="28"/>
  <c r="AF52" i="28"/>
  <c r="AE52" i="28"/>
  <c r="AD52" i="28"/>
  <c r="AC52" i="28"/>
  <c r="AB52" i="28"/>
  <c r="AA52" i="28"/>
  <c r="AH51" i="28"/>
  <c r="AG51" i="28"/>
  <c r="AF51" i="28"/>
  <c r="AE51" i="28"/>
  <c r="AD51" i="28"/>
  <c r="AC51" i="28"/>
  <c r="AB51" i="28"/>
  <c r="AA51" i="28"/>
  <c r="AH50" i="28"/>
  <c r="AG50" i="28"/>
  <c r="AF50" i="28"/>
  <c r="AE50" i="28"/>
  <c r="AD50" i="28"/>
  <c r="AC50" i="28"/>
  <c r="AB50" i="28"/>
  <c r="AA50" i="28"/>
  <c r="AH49" i="28"/>
  <c r="AG49" i="28"/>
  <c r="AF49" i="28"/>
  <c r="AE49" i="28"/>
  <c r="AD49" i="28"/>
  <c r="AC49" i="28"/>
  <c r="AB49" i="28"/>
  <c r="AA49" i="28"/>
  <c r="AH48" i="28"/>
  <c r="AG48" i="28"/>
  <c r="AF48" i="28"/>
  <c r="AE48" i="28"/>
  <c r="AD48" i="28"/>
  <c r="AC48" i="28"/>
  <c r="AB48" i="28"/>
  <c r="AA48" i="28"/>
  <c r="AH45" i="28"/>
  <c r="AG45" i="28"/>
  <c r="AF45" i="28"/>
  <c r="AE45" i="28"/>
  <c r="AD45" i="28"/>
  <c r="AC45" i="28"/>
  <c r="AB45" i="28"/>
  <c r="AA45" i="28"/>
  <c r="AH44" i="28"/>
  <c r="AG44" i="28"/>
  <c r="AF44" i="28"/>
  <c r="AE44" i="28"/>
  <c r="AD44" i="28"/>
  <c r="AC44" i="28"/>
  <c r="AB44" i="28"/>
  <c r="AA44" i="28"/>
  <c r="AH43" i="28"/>
  <c r="AG43" i="28"/>
  <c r="AF43" i="28"/>
  <c r="AE43" i="28"/>
  <c r="AD43" i="28"/>
  <c r="AC43" i="28"/>
  <c r="AB43" i="28"/>
  <c r="AA43" i="28"/>
  <c r="AH42" i="28"/>
  <c r="AG42" i="28"/>
  <c r="AF42" i="28"/>
  <c r="AE42" i="28"/>
  <c r="AD42" i="28"/>
  <c r="AC42" i="28"/>
  <c r="AB42" i="28"/>
  <c r="AA42" i="28"/>
  <c r="AH41" i="28"/>
  <c r="AG41" i="28"/>
  <c r="AF41" i="28"/>
  <c r="AE41" i="28"/>
  <c r="AD41" i="28"/>
  <c r="AC41" i="28"/>
  <c r="AB41" i="28"/>
  <c r="AA41" i="28"/>
  <c r="AH39" i="28"/>
  <c r="AG39" i="28"/>
  <c r="AF39" i="28"/>
  <c r="AE39" i="28"/>
  <c r="AD39" i="28"/>
  <c r="AC39" i="28"/>
  <c r="AB39" i="28"/>
  <c r="AA39" i="28"/>
  <c r="AH38" i="28"/>
  <c r="AG38" i="28"/>
  <c r="AF38" i="28"/>
  <c r="AE38" i="28"/>
  <c r="AD38" i="28"/>
  <c r="AC38" i="28"/>
  <c r="AB38" i="28"/>
  <c r="AA38" i="28"/>
  <c r="AH37" i="28"/>
  <c r="AG37" i="28"/>
  <c r="AF37" i="28"/>
  <c r="AE37" i="28"/>
  <c r="AD37" i="28"/>
  <c r="AC37" i="28"/>
  <c r="AB37" i="28"/>
  <c r="AA37" i="28"/>
  <c r="AH36" i="28"/>
  <c r="AG36" i="28"/>
  <c r="AF36" i="28"/>
  <c r="AE36" i="28"/>
  <c r="AD36" i="28"/>
  <c r="AC36" i="28"/>
  <c r="AB36" i="28"/>
  <c r="AA36" i="28"/>
  <c r="AH35" i="28"/>
  <c r="AG35" i="28"/>
  <c r="AF35" i="28"/>
  <c r="AE35" i="28"/>
  <c r="AD35" i="28"/>
  <c r="AC35" i="28"/>
  <c r="AB35" i="28"/>
  <c r="AA35" i="28"/>
  <c r="AH34" i="28"/>
  <c r="AG34" i="28"/>
  <c r="AF34" i="28"/>
  <c r="AE34" i="28"/>
  <c r="AD34" i="28"/>
  <c r="AC34" i="28"/>
  <c r="AB34" i="28"/>
  <c r="AA34" i="28"/>
  <c r="AH33" i="28"/>
  <c r="AG33" i="28"/>
  <c r="AF33" i="28"/>
  <c r="AE33" i="28"/>
  <c r="AD33" i="28"/>
  <c r="AC33" i="28"/>
  <c r="AB33" i="28"/>
  <c r="AA33" i="28"/>
  <c r="AH31" i="28"/>
  <c r="AG31" i="28"/>
  <c r="AF31" i="28"/>
  <c r="AE31" i="28"/>
  <c r="AD31" i="28"/>
  <c r="AC31" i="28"/>
  <c r="AB31" i="28"/>
  <c r="AA31" i="28"/>
  <c r="AH30" i="28"/>
  <c r="AG30" i="28"/>
  <c r="AF30" i="28"/>
  <c r="AE30" i="28"/>
  <c r="AD30" i="28"/>
  <c r="AC30" i="28"/>
  <c r="AB30" i="28"/>
  <c r="AA30" i="28"/>
  <c r="AH29" i="28"/>
  <c r="AG29" i="28"/>
  <c r="AF29" i="28"/>
  <c r="AE29" i="28"/>
  <c r="AD29" i="28"/>
  <c r="AC29" i="28"/>
  <c r="AB29" i="28"/>
  <c r="AA29" i="28"/>
  <c r="AH28" i="28"/>
  <c r="AG28" i="28"/>
  <c r="AF28" i="28"/>
  <c r="AE28" i="28"/>
  <c r="AD28" i="28"/>
  <c r="AC28" i="28"/>
  <c r="AB28" i="28"/>
  <c r="AA28" i="28"/>
  <c r="AH27" i="28"/>
  <c r="AG27" i="28"/>
  <c r="AF27" i="28"/>
  <c r="AE27" i="28"/>
  <c r="AD27" i="28"/>
  <c r="AC27" i="28"/>
  <c r="AB27" i="28"/>
  <c r="AA27" i="28"/>
  <c r="AH26" i="28"/>
  <c r="AG26" i="28"/>
  <c r="AF26" i="28"/>
  <c r="AE26" i="28"/>
  <c r="AD26" i="28"/>
  <c r="AC26" i="28"/>
  <c r="AB26" i="28"/>
  <c r="AA26" i="28"/>
  <c r="AH25" i="28"/>
  <c r="AG25" i="28"/>
  <c r="AF25" i="28"/>
  <c r="AE25" i="28"/>
  <c r="AD25" i="28"/>
  <c r="AC25" i="28"/>
  <c r="AB25" i="28"/>
  <c r="AA25" i="28"/>
  <c r="AH23" i="28"/>
  <c r="AG23" i="28"/>
  <c r="AF23" i="28"/>
  <c r="AE23" i="28"/>
  <c r="AD23" i="28"/>
  <c r="AC23" i="28"/>
  <c r="AB23" i="28"/>
  <c r="AA23" i="28"/>
  <c r="AH22" i="28"/>
  <c r="AG22" i="28"/>
  <c r="AF22" i="28"/>
  <c r="AE22" i="28"/>
  <c r="AD22" i="28"/>
  <c r="AC22" i="28"/>
  <c r="AB22" i="28"/>
  <c r="AA22" i="28"/>
  <c r="AH21" i="28"/>
  <c r="AG21" i="28"/>
  <c r="AF21" i="28"/>
  <c r="AE21" i="28"/>
  <c r="AD21" i="28"/>
  <c r="AC21" i="28"/>
  <c r="AB21" i="28"/>
  <c r="AA21" i="28"/>
  <c r="AH20" i="28"/>
  <c r="AG20" i="28"/>
  <c r="AF20" i="28"/>
  <c r="AE20" i="28"/>
  <c r="AD20" i="28"/>
  <c r="AC20" i="28"/>
  <c r="AB20" i="28"/>
  <c r="AA20" i="28"/>
  <c r="AH19" i="28"/>
  <c r="AG19" i="28"/>
  <c r="AF19" i="28"/>
  <c r="AE19" i="28"/>
  <c r="AD19" i="28"/>
  <c r="AC19" i="28"/>
  <c r="AB19" i="28"/>
  <c r="AA19" i="28"/>
  <c r="AH18" i="28"/>
  <c r="AG18" i="28"/>
  <c r="AF18" i="28"/>
  <c r="AE18" i="28"/>
  <c r="AD18" i="28"/>
  <c r="AC18" i="28"/>
  <c r="AB18" i="28"/>
  <c r="AA18" i="28"/>
  <c r="AH17" i="28"/>
  <c r="AG17" i="28"/>
  <c r="AF17" i="28"/>
  <c r="AE17" i="28"/>
  <c r="AD17" i="28"/>
  <c r="AC17" i="28"/>
  <c r="AB17" i="28"/>
  <c r="AA17" i="28"/>
  <c r="AH16" i="28"/>
  <c r="AG16" i="28"/>
  <c r="AF16" i="28"/>
  <c r="AE16" i="28"/>
  <c r="AD16" i="28"/>
  <c r="AC16" i="28"/>
  <c r="AB16" i="28"/>
  <c r="AA16" i="28"/>
  <c r="AH15" i="28"/>
  <c r="AG15" i="28"/>
  <c r="AF15" i="28"/>
  <c r="AE15" i="28"/>
  <c r="AD15" i="28"/>
  <c r="AC15" i="28"/>
  <c r="AB15" i="28"/>
  <c r="AA15" i="28"/>
  <c r="AH14" i="28"/>
  <c r="AG14" i="28"/>
  <c r="AF14" i="28"/>
  <c r="AE14" i="28"/>
  <c r="AD14" i="28"/>
  <c r="AC14" i="28"/>
  <c r="AB14" i="28"/>
  <c r="AA14" i="28"/>
  <c r="AH13" i="28"/>
  <c r="AG13" i="28"/>
  <c r="AF13" i="28"/>
  <c r="AE13" i="28"/>
  <c r="AD13" i="28"/>
  <c r="AC13" i="28"/>
  <c r="AB13" i="28"/>
  <c r="AA13" i="28"/>
  <c r="AH12" i="28"/>
  <c r="AG12" i="28"/>
  <c r="AF12" i="28"/>
  <c r="AE12" i="28"/>
  <c r="AD12" i="28"/>
  <c r="AC12" i="28"/>
  <c r="AB12" i="28"/>
  <c r="AA12" i="28"/>
  <c r="AH11" i="28"/>
  <c r="AG11" i="28"/>
  <c r="AF11" i="28"/>
  <c r="AE11" i="28"/>
  <c r="AD11" i="28"/>
  <c r="AC11" i="28"/>
  <c r="AB11" i="28"/>
  <c r="AA11" i="28"/>
  <c r="AH9" i="28"/>
  <c r="AG9" i="28"/>
  <c r="AF9" i="28"/>
  <c r="AE9" i="28"/>
  <c r="AD9" i="28"/>
  <c r="AC9" i="28"/>
  <c r="AB9" i="28"/>
  <c r="AA9" i="28"/>
  <c r="AH8" i="28"/>
  <c r="AG8" i="28"/>
  <c r="AF8" i="28"/>
  <c r="AE8" i="28"/>
  <c r="AD8" i="28"/>
  <c r="AC8" i="28"/>
  <c r="AB8" i="28"/>
  <c r="AA8" i="28"/>
  <c r="AH7" i="28"/>
  <c r="AG7" i="28"/>
  <c r="AF7" i="28"/>
  <c r="AE7" i="28"/>
  <c r="AD7" i="28"/>
  <c r="AC7" i="28"/>
  <c r="AB7" i="28"/>
  <c r="AA7" i="28"/>
  <c r="AH6" i="28"/>
  <c r="AG6" i="28"/>
  <c r="AF6" i="28"/>
  <c r="AE6" i="28"/>
  <c r="AD6" i="28"/>
  <c r="AC6" i="28"/>
  <c r="AB6" i="28"/>
  <c r="AA6" i="28"/>
  <c r="AH5" i="28"/>
  <c r="AG5" i="28"/>
  <c r="AF5" i="28"/>
  <c r="AE5" i="28"/>
  <c r="AD5" i="28"/>
  <c r="AC5" i="28"/>
  <c r="AB5" i="28"/>
  <c r="AA5" i="28"/>
  <c r="AH136" i="41"/>
  <c r="AG136" i="41"/>
  <c r="AF136" i="41"/>
  <c r="AE136" i="41"/>
  <c r="AD136" i="41"/>
  <c r="AC136" i="41"/>
  <c r="AB136" i="41"/>
  <c r="AA136" i="41"/>
  <c r="AH135" i="41"/>
  <c r="AG135" i="41"/>
  <c r="AF135" i="41"/>
  <c r="AE135" i="41"/>
  <c r="AD135" i="41"/>
  <c r="AC135" i="41"/>
  <c r="AB135" i="41"/>
  <c r="AA135" i="41"/>
  <c r="AH133" i="41"/>
  <c r="AG133" i="41"/>
  <c r="AF133" i="41"/>
  <c r="AE133" i="41"/>
  <c r="AD133" i="41"/>
  <c r="AC133" i="41"/>
  <c r="AB133" i="41"/>
  <c r="AA133" i="41"/>
  <c r="AH132" i="41"/>
  <c r="AG132" i="41"/>
  <c r="AF132" i="41"/>
  <c r="AE132" i="41"/>
  <c r="AD132" i="41"/>
  <c r="AC132" i="41"/>
  <c r="AB132" i="41"/>
  <c r="AA132" i="41"/>
  <c r="AH130" i="41"/>
  <c r="AG130" i="41"/>
  <c r="AF130" i="41"/>
  <c r="AE130" i="41"/>
  <c r="AD130" i="41"/>
  <c r="AC130" i="41"/>
  <c r="AB130" i="41"/>
  <c r="AA130" i="41"/>
  <c r="AH129" i="41"/>
  <c r="AG129" i="41"/>
  <c r="AF129" i="41"/>
  <c r="AE129" i="41"/>
  <c r="AD129" i="41"/>
  <c r="AC129" i="41"/>
  <c r="AB129" i="41"/>
  <c r="AA129" i="41"/>
  <c r="AH127" i="41"/>
  <c r="AG127" i="41"/>
  <c r="AF127" i="41"/>
  <c r="AE127" i="41"/>
  <c r="AD127" i="41"/>
  <c r="AC127" i="41"/>
  <c r="AB127" i="41"/>
  <c r="AA127" i="41"/>
  <c r="AH126" i="41"/>
  <c r="AG126" i="41"/>
  <c r="AF126" i="41"/>
  <c r="AE126" i="41"/>
  <c r="AD126" i="41"/>
  <c r="AC126" i="41"/>
  <c r="AB126" i="41"/>
  <c r="AA126" i="41"/>
  <c r="AH124" i="41"/>
  <c r="AG124" i="41"/>
  <c r="AF124" i="41"/>
  <c r="AE124" i="41"/>
  <c r="AD124" i="41"/>
  <c r="AC124" i="41"/>
  <c r="AB124" i="41"/>
  <c r="AA124" i="41"/>
  <c r="AH123" i="41"/>
  <c r="AG123" i="41"/>
  <c r="AF123" i="41"/>
  <c r="AE123" i="41"/>
  <c r="AD123" i="41"/>
  <c r="AC123" i="41"/>
  <c r="AB123" i="41"/>
  <c r="AA123" i="41"/>
  <c r="AH122" i="41"/>
  <c r="AG122" i="41"/>
  <c r="AF122" i="41"/>
  <c r="AE122" i="41"/>
  <c r="AD122" i="41"/>
  <c r="AC122" i="41"/>
  <c r="AB122" i="41"/>
  <c r="AA122" i="41"/>
  <c r="AH121" i="41"/>
  <c r="AG121" i="41"/>
  <c r="AF121" i="41"/>
  <c r="AE121" i="41"/>
  <c r="AD121" i="41"/>
  <c r="AC121" i="41"/>
  <c r="AB121" i="41"/>
  <c r="AA121" i="41"/>
  <c r="AH118" i="41"/>
  <c r="AG118" i="41"/>
  <c r="AF118" i="41"/>
  <c r="AE118" i="41"/>
  <c r="AD118" i="41"/>
  <c r="AC118" i="41"/>
  <c r="AB118" i="41"/>
  <c r="AA118" i="41"/>
  <c r="AH117" i="41"/>
  <c r="AG117" i="41"/>
  <c r="AF117" i="41"/>
  <c r="AE117" i="41"/>
  <c r="AD117" i="41"/>
  <c r="AC117" i="41"/>
  <c r="AB117" i="41"/>
  <c r="AA117" i="41"/>
  <c r="AH115" i="41"/>
  <c r="AG115" i="41"/>
  <c r="AF115" i="41"/>
  <c r="AE115" i="41"/>
  <c r="AD115" i="41"/>
  <c r="AC115" i="41"/>
  <c r="AB115" i="41"/>
  <c r="AA115" i="41"/>
  <c r="AH114" i="41"/>
  <c r="AG114" i="41"/>
  <c r="AF114" i="41"/>
  <c r="AE114" i="41"/>
  <c r="AD114" i="41"/>
  <c r="AC114" i="41"/>
  <c r="AB114" i="41"/>
  <c r="AA114" i="41"/>
  <c r="AH113" i="41"/>
  <c r="AG113" i="41"/>
  <c r="AF113" i="41"/>
  <c r="AE113" i="41"/>
  <c r="AD113" i="41"/>
  <c r="AC113" i="41"/>
  <c r="AB113" i="41"/>
  <c r="AA113" i="41"/>
  <c r="AH112" i="41"/>
  <c r="AG112" i="41"/>
  <c r="AF112" i="41"/>
  <c r="AE112" i="41"/>
  <c r="AD112" i="41"/>
  <c r="AC112" i="41"/>
  <c r="AB112" i="41"/>
  <c r="AA112" i="41"/>
  <c r="AH111" i="41"/>
  <c r="AG111" i="41"/>
  <c r="AF111" i="41"/>
  <c r="AE111" i="41"/>
  <c r="AD111" i="41"/>
  <c r="AC111" i="41"/>
  <c r="AB111" i="41"/>
  <c r="AA111" i="41"/>
  <c r="AH110" i="41"/>
  <c r="AG110" i="41"/>
  <c r="AF110" i="41"/>
  <c r="AE110" i="41"/>
  <c r="AD110" i="41"/>
  <c r="AC110" i="41"/>
  <c r="AB110" i="41"/>
  <c r="AA110" i="41"/>
  <c r="AH108" i="41"/>
  <c r="AG108" i="41"/>
  <c r="AF108" i="41"/>
  <c r="AE108" i="41"/>
  <c r="AD108" i="41"/>
  <c r="AC108" i="41"/>
  <c r="AB108" i="41"/>
  <c r="AA108" i="41"/>
  <c r="AH107" i="41"/>
  <c r="AG107" i="41"/>
  <c r="AF107" i="41"/>
  <c r="AE107" i="41"/>
  <c r="AD107" i="41"/>
  <c r="AC107" i="41"/>
  <c r="AB107" i="41"/>
  <c r="AA107" i="41"/>
  <c r="AH106" i="41"/>
  <c r="AG106" i="41"/>
  <c r="AF106" i="41"/>
  <c r="AE106" i="41"/>
  <c r="AD106" i="41"/>
  <c r="AC106" i="41"/>
  <c r="AB106" i="41"/>
  <c r="AA106" i="41"/>
  <c r="AH105" i="41"/>
  <c r="AG105" i="41"/>
  <c r="AF105" i="41"/>
  <c r="AE105" i="41"/>
  <c r="AD105" i="41"/>
  <c r="AC105" i="41"/>
  <c r="AB105" i="41"/>
  <c r="AA105" i="41"/>
  <c r="AH104" i="41"/>
  <c r="AG104" i="41"/>
  <c r="AF104" i="41"/>
  <c r="AE104" i="41"/>
  <c r="AD104" i="41"/>
  <c r="AC104" i="41"/>
  <c r="AB104" i="41"/>
  <c r="AA104" i="41"/>
  <c r="AH103" i="41"/>
  <c r="AG103" i="41"/>
  <c r="AF103" i="41"/>
  <c r="AE103" i="41"/>
  <c r="AD103" i="41"/>
  <c r="AC103" i="41"/>
  <c r="AB103" i="41"/>
  <c r="AA103" i="41"/>
  <c r="AH102" i="41"/>
  <c r="AG102" i="41"/>
  <c r="AF102" i="41"/>
  <c r="AE102" i="41"/>
  <c r="AD102" i="41"/>
  <c r="AC102" i="41"/>
  <c r="AB102" i="41"/>
  <c r="AA102" i="41"/>
  <c r="AH101" i="41"/>
  <c r="AG101" i="41"/>
  <c r="AF101" i="41"/>
  <c r="AE101" i="41"/>
  <c r="AD101" i="41"/>
  <c r="AC101" i="41"/>
  <c r="AB101" i="41"/>
  <c r="AA101" i="41"/>
  <c r="AH99" i="41"/>
  <c r="AG99" i="41"/>
  <c r="AF99" i="41"/>
  <c r="AE99" i="41"/>
  <c r="AD99" i="41"/>
  <c r="AC99" i="41"/>
  <c r="AB99" i="41"/>
  <c r="AA99" i="41"/>
  <c r="AH98" i="41"/>
  <c r="AG98" i="41"/>
  <c r="AF98" i="41"/>
  <c r="AE98" i="41"/>
  <c r="AD98" i="41"/>
  <c r="AC98" i="41"/>
  <c r="AB98" i="41"/>
  <c r="AA98" i="41"/>
  <c r="AH97" i="41"/>
  <c r="AG97" i="41"/>
  <c r="AF97" i="41"/>
  <c r="AE97" i="41"/>
  <c r="AD97" i="41"/>
  <c r="AC97" i="41"/>
  <c r="AB97" i="41"/>
  <c r="AA97" i="41"/>
  <c r="AH96" i="41"/>
  <c r="AG96" i="41"/>
  <c r="AF96" i="41"/>
  <c r="AE96" i="41"/>
  <c r="AD96" i="41"/>
  <c r="AC96" i="41"/>
  <c r="AB96" i="41"/>
  <c r="AA96" i="41"/>
  <c r="AH93" i="41"/>
  <c r="AG93" i="41"/>
  <c r="AF93" i="41"/>
  <c r="AE93" i="41"/>
  <c r="AD93" i="41"/>
  <c r="AC93" i="41"/>
  <c r="AB93" i="41"/>
  <c r="AA93" i="41"/>
  <c r="AH92" i="41"/>
  <c r="AG92" i="41"/>
  <c r="AF92" i="41"/>
  <c r="AE92" i="41"/>
  <c r="AD92" i="41"/>
  <c r="AC92" i="41"/>
  <c r="AB92" i="41"/>
  <c r="AA92" i="41"/>
  <c r="AH91" i="41"/>
  <c r="AG91" i="41"/>
  <c r="AF91" i="41"/>
  <c r="AE91" i="41"/>
  <c r="AD91" i="41"/>
  <c r="AC91" i="41"/>
  <c r="AB91" i="41"/>
  <c r="AA91" i="41"/>
  <c r="AH90" i="41"/>
  <c r="AG90" i="41"/>
  <c r="AF90" i="41"/>
  <c r="AE90" i="41"/>
  <c r="AD90" i="41"/>
  <c r="AC90" i="41"/>
  <c r="AB90" i="41"/>
  <c r="AA90" i="41"/>
  <c r="AH89" i="41"/>
  <c r="AG89" i="41"/>
  <c r="AF89" i="41"/>
  <c r="AE89" i="41"/>
  <c r="AD89" i="41"/>
  <c r="AC89" i="41"/>
  <c r="AB89" i="41"/>
  <c r="AA89" i="41"/>
  <c r="AH88" i="41"/>
  <c r="AG88" i="41"/>
  <c r="AF88" i="41"/>
  <c r="AE88" i="41"/>
  <c r="AD88" i="41"/>
  <c r="AC88" i="41"/>
  <c r="AB88" i="41"/>
  <c r="AA88" i="41"/>
  <c r="AH87" i="41"/>
  <c r="AG87" i="41"/>
  <c r="AF87" i="41"/>
  <c r="AE87" i="41"/>
  <c r="AD87" i="41"/>
  <c r="AC87" i="41"/>
  <c r="AB87" i="41"/>
  <c r="AA87" i="41"/>
  <c r="AH85" i="41"/>
  <c r="AG85" i="41"/>
  <c r="AF85" i="41"/>
  <c r="AE85" i="41"/>
  <c r="AD85" i="41"/>
  <c r="AC85" i="41"/>
  <c r="AB85" i="41"/>
  <c r="AA85" i="41"/>
  <c r="AH84" i="41"/>
  <c r="AG84" i="41"/>
  <c r="AF84" i="41"/>
  <c r="AE84" i="41"/>
  <c r="AD84" i="41"/>
  <c r="AC84" i="41"/>
  <c r="AB84" i="41"/>
  <c r="AA84" i="41"/>
  <c r="AH83" i="41"/>
  <c r="AG83" i="41"/>
  <c r="AF83" i="41"/>
  <c r="AE83" i="41"/>
  <c r="AD83" i="41"/>
  <c r="AC83" i="41"/>
  <c r="AB83" i="41"/>
  <c r="AA83" i="41"/>
  <c r="AH82" i="41"/>
  <c r="AG82" i="41"/>
  <c r="AF82" i="41"/>
  <c r="AE82" i="41"/>
  <c r="AD82" i="41"/>
  <c r="AC82" i="41"/>
  <c r="AB82" i="41"/>
  <c r="AA82" i="41"/>
  <c r="AH80" i="41"/>
  <c r="AG80" i="41"/>
  <c r="AF80" i="41"/>
  <c r="AE80" i="41"/>
  <c r="AD80" i="41"/>
  <c r="AC80" i="41"/>
  <c r="AB80" i="41"/>
  <c r="AA80" i="41"/>
  <c r="AH79" i="41"/>
  <c r="AG79" i="41"/>
  <c r="AF79" i="41"/>
  <c r="AE79" i="41"/>
  <c r="AD79" i="41"/>
  <c r="AC79" i="41"/>
  <c r="AB79" i="41"/>
  <c r="AA79" i="41"/>
  <c r="AH78" i="41"/>
  <c r="AG78" i="41"/>
  <c r="AF78" i="41"/>
  <c r="AE78" i="41"/>
  <c r="AD78" i="41"/>
  <c r="AC78" i="41"/>
  <c r="AB78" i="41"/>
  <c r="AA78" i="41"/>
  <c r="AH77" i="41"/>
  <c r="AG77" i="41"/>
  <c r="AF77" i="41"/>
  <c r="AE77" i="41"/>
  <c r="AD77" i="41"/>
  <c r="AC77" i="41"/>
  <c r="AB77" i="41"/>
  <c r="AA77" i="41"/>
  <c r="AH76" i="41"/>
  <c r="AG76" i="41"/>
  <c r="AF76" i="41"/>
  <c r="AE76" i="41"/>
  <c r="AD76" i="41"/>
  <c r="AC76" i="41"/>
  <c r="AB76" i="41"/>
  <c r="AA76" i="41"/>
  <c r="AH75" i="41"/>
  <c r="AG75" i="41"/>
  <c r="AF75" i="41"/>
  <c r="AE75" i="41"/>
  <c r="AD75" i="41"/>
  <c r="AC75" i="41"/>
  <c r="AB75" i="41"/>
  <c r="AA75" i="41"/>
  <c r="AH74" i="41"/>
  <c r="AG74" i="41"/>
  <c r="AF74" i="41"/>
  <c r="AE74" i="41"/>
  <c r="AD74" i="41"/>
  <c r="AC74" i="41"/>
  <c r="AB74" i="41"/>
  <c r="AA74" i="41"/>
  <c r="AH71" i="41"/>
  <c r="AG71" i="41"/>
  <c r="AF71" i="41"/>
  <c r="AE71" i="41"/>
  <c r="AD71" i="41"/>
  <c r="AC71" i="41"/>
  <c r="AB71" i="41"/>
  <c r="AA71" i="41"/>
  <c r="AH69" i="41"/>
  <c r="AG69" i="41"/>
  <c r="AF69" i="41"/>
  <c r="AE69" i="41"/>
  <c r="AD69" i="41"/>
  <c r="AC69" i="41"/>
  <c r="AB69" i="41"/>
  <c r="AA69" i="41"/>
  <c r="AH68" i="41"/>
  <c r="AG68" i="41"/>
  <c r="AF68" i="41"/>
  <c r="AE68" i="41"/>
  <c r="AD68" i="41"/>
  <c r="AC68" i="41"/>
  <c r="AB68" i="41"/>
  <c r="AA68" i="41"/>
  <c r="AH67" i="41"/>
  <c r="AG67" i="41"/>
  <c r="AF67" i="41"/>
  <c r="AE67" i="41"/>
  <c r="AD67" i="41"/>
  <c r="AC67" i="41"/>
  <c r="AB67" i="41"/>
  <c r="AA67" i="41"/>
  <c r="AH66" i="41"/>
  <c r="AG66" i="41"/>
  <c r="AF66" i="41"/>
  <c r="AE66" i="41"/>
  <c r="AD66" i="41"/>
  <c r="AC66" i="41"/>
  <c r="AB66" i="41"/>
  <c r="AA66" i="41"/>
  <c r="AH65" i="41"/>
  <c r="AG65" i="41"/>
  <c r="AF65" i="41"/>
  <c r="AE65" i="41"/>
  <c r="AD65" i="41"/>
  <c r="AC65" i="41"/>
  <c r="AB65" i="41"/>
  <c r="AA65" i="41"/>
  <c r="AH63" i="41"/>
  <c r="AG63" i="41"/>
  <c r="AF63" i="41"/>
  <c r="AE63" i="41"/>
  <c r="AD63" i="41"/>
  <c r="AC63" i="41"/>
  <c r="AB63" i="41"/>
  <c r="AA63" i="41"/>
  <c r="AH62" i="41"/>
  <c r="AG62" i="41"/>
  <c r="AF62" i="41"/>
  <c r="AE62" i="41"/>
  <c r="AD62" i="41"/>
  <c r="AC62" i="41"/>
  <c r="AB62" i="41"/>
  <c r="AA62" i="41"/>
  <c r="AH61" i="41"/>
  <c r="AG61" i="41"/>
  <c r="AF61" i="41"/>
  <c r="AE61" i="41"/>
  <c r="AD61" i="41"/>
  <c r="AC61" i="41"/>
  <c r="AB61" i="41"/>
  <c r="AA61" i="41"/>
  <c r="AH60" i="41"/>
  <c r="AG60" i="41"/>
  <c r="AF60" i="41"/>
  <c r="AE60" i="41"/>
  <c r="AD60" i="41"/>
  <c r="AC60" i="41"/>
  <c r="AB60" i="41"/>
  <c r="AA60" i="41"/>
  <c r="AH59" i="41"/>
  <c r="AG59" i="41"/>
  <c r="AF59" i="41"/>
  <c r="AE59" i="41"/>
  <c r="AD59" i="41"/>
  <c r="AC59" i="41"/>
  <c r="AB59" i="41"/>
  <c r="AA59" i="41"/>
  <c r="AH58" i="41"/>
  <c r="AG58" i="41"/>
  <c r="AF58" i="41"/>
  <c r="AE58" i="41"/>
  <c r="AD58" i="41"/>
  <c r="AC58" i="41"/>
  <c r="AB58" i="41"/>
  <c r="AA58" i="41"/>
  <c r="AH56" i="41"/>
  <c r="AG56" i="41"/>
  <c r="AF56" i="41"/>
  <c r="AE56" i="41"/>
  <c r="AD56" i="41"/>
  <c r="AC56" i="41"/>
  <c r="AB56" i="41"/>
  <c r="AA56" i="41"/>
  <c r="AH55" i="41"/>
  <c r="AG55" i="41"/>
  <c r="AF55" i="41"/>
  <c r="AE55" i="41"/>
  <c r="AD55" i="41"/>
  <c r="AC55" i="41"/>
  <c r="AB55" i="41"/>
  <c r="AA55" i="41"/>
  <c r="AH54" i="41"/>
  <c r="AG54" i="41"/>
  <c r="AF54" i="41"/>
  <c r="AE54" i="41"/>
  <c r="AD54" i="41"/>
  <c r="AC54" i="41"/>
  <c r="AB54" i="41"/>
  <c r="AA54" i="41"/>
  <c r="AH53" i="41"/>
  <c r="AG53" i="41"/>
  <c r="AF53" i="41"/>
  <c r="AE53" i="41"/>
  <c r="AD53" i="41"/>
  <c r="AC53" i="41"/>
  <c r="AB53" i="41"/>
  <c r="AA53" i="41"/>
  <c r="AH52" i="41"/>
  <c r="AG52" i="41"/>
  <c r="AF52" i="41"/>
  <c r="AE52" i="41"/>
  <c r="AD52" i="41"/>
  <c r="AC52" i="41"/>
  <c r="AB52" i="41"/>
  <c r="AA52" i="41"/>
  <c r="AH50" i="41"/>
  <c r="AG50" i="41"/>
  <c r="AF50" i="41"/>
  <c r="AE50" i="41"/>
  <c r="AD50" i="41"/>
  <c r="AC50" i="41"/>
  <c r="AB50" i="41"/>
  <c r="AA50" i="41"/>
  <c r="AH49" i="41"/>
  <c r="AG49" i="41"/>
  <c r="AF49" i="41"/>
  <c r="AE49" i="41"/>
  <c r="AD49" i="41"/>
  <c r="AC49" i="41"/>
  <c r="AB49" i="41"/>
  <c r="AA49" i="41"/>
  <c r="AH48" i="41"/>
  <c r="AG48" i="41"/>
  <c r="AF48" i="41"/>
  <c r="AE48" i="41"/>
  <c r="AD48" i="41"/>
  <c r="AC48" i="41"/>
  <c r="AB48" i="41"/>
  <c r="AA48" i="41"/>
  <c r="AH45" i="41"/>
  <c r="AG45" i="41"/>
  <c r="AF45" i="41"/>
  <c r="AE45" i="41"/>
  <c r="AD45" i="41"/>
  <c r="AC45" i="41"/>
  <c r="AB45" i="41"/>
  <c r="AA45" i="41"/>
  <c r="AH44" i="41"/>
  <c r="AG44" i="41"/>
  <c r="AF44" i="41"/>
  <c r="AE44" i="41"/>
  <c r="AD44" i="41"/>
  <c r="AC44" i="41"/>
  <c r="AB44" i="41"/>
  <c r="AA44" i="41"/>
  <c r="AH43" i="41"/>
  <c r="AG43" i="41"/>
  <c r="AF43" i="41"/>
  <c r="AE43" i="41"/>
  <c r="AD43" i="41"/>
  <c r="AC43" i="41"/>
  <c r="AB43" i="41"/>
  <c r="AA43" i="41"/>
  <c r="AH41" i="41"/>
  <c r="AG41" i="41"/>
  <c r="AF41" i="41"/>
  <c r="AE41" i="41"/>
  <c r="AD41" i="41"/>
  <c r="AC41" i="41"/>
  <c r="AB41" i="41"/>
  <c r="AA41" i="41"/>
  <c r="AH40" i="41"/>
  <c r="AG40" i="41"/>
  <c r="AF40" i="41"/>
  <c r="AE40" i="41"/>
  <c r="AD40" i="41"/>
  <c r="AC40" i="41"/>
  <c r="AB40" i="41"/>
  <c r="AA40" i="41"/>
  <c r="AH39" i="41"/>
  <c r="AG39" i="41"/>
  <c r="AF39" i="41"/>
  <c r="AE39" i="41"/>
  <c r="AD39" i="41"/>
  <c r="AC39" i="41"/>
  <c r="AB39" i="41"/>
  <c r="AA39" i="41"/>
  <c r="AH37" i="41"/>
  <c r="AG37" i="41"/>
  <c r="AF37" i="41"/>
  <c r="AE37" i="41"/>
  <c r="AD37" i="41"/>
  <c r="AC37" i="41"/>
  <c r="AB37" i="41"/>
  <c r="AA37" i="41"/>
  <c r="AH36" i="41"/>
  <c r="AG36" i="41"/>
  <c r="AF36" i="41"/>
  <c r="AE36" i="41"/>
  <c r="AD36" i="41"/>
  <c r="AC36" i="41"/>
  <c r="AB36" i="41"/>
  <c r="AA36" i="41"/>
  <c r="AH34" i="41"/>
  <c r="AG34" i="41"/>
  <c r="AF34" i="41"/>
  <c r="AE34" i="41"/>
  <c r="AD34" i="41"/>
  <c r="AC34" i="41"/>
  <c r="AB34" i="41"/>
  <c r="AA34" i="41"/>
  <c r="AH33" i="41"/>
  <c r="AG33" i="41"/>
  <c r="AF33" i="41"/>
  <c r="AE33" i="41"/>
  <c r="AD33" i="41"/>
  <c r="AC33" i="41"/>
  <c r="AB33" i="41"/>
  <c r="AA33" i="41"/>
  <c r="AH32" i="41"/>
  <c r="AG32" i="41"/>
  <c r="AF32" i="41"/>
  <c r="AE32" i="41"/>
  <c r="AD32" i="41"/>
  <c r="AC32" i="41"/>
  <c r="AB32" i="41"/>
  <c r="AA32" i="41"/>
  <c r="AH31" i="41"/>
  <c r="AG31" i="41"/>
  <c r="AF31" i="41"/>
  <c r="AE31" i="41"/>
  <c r="AD31" i="41"/>
  <c r="AC31" i="41"/>
  <c r="AB31" i="41"/>
  <c r="AA31" i="41"/>
  <c r="AH30" i="41"/>
  <c r="AG30" i="41"/>
  <c r="AF30" i="41"/>
  <c r="AE30" i="41"/>
  <c r="AD30" i="41"/>
  <c r="AC30" i="41"/>
  <c r="AB30" i="41"/>
  <c r="AA30" i="41"/>
  <c r="AH29" i="41"/>
  <c r="AG29" i="41"/>
  <c r="AF29" i="41"/>
  <c r="AE29" i="41"/>
  <c r="AD29" i="41"/>
  <c r="AC29" i="41"/>
  <c r="AB29" i="41"/>
  <c r="AA29" i="41"/>
  <c r="AH27" i="41"/>
  <c r="AG27" i="41"/>
  <c r="AF27" i="41"/>
  <c r="AE27" i="41"/>
  <c r="AD27" i="41"/>
  <c r="AC27" i="41"/>
  <c r="AB27" i="41"/>
  <c r="AA27" i="41"/>
  <c r="AH26" i="41"/>
  <c r="AG26" i="41"/>
  <c r="AF26" i="41"/>
  <c r="AE26" i="41"/>
  <c r="AD26" i="41"/>
  <c r="AC26" i="41"/>
  <c r="AB26" i="41"/>
  <c r="AA26" i="41"/>
  <c r="AH25" i="41"/>
  <c r="AG25" i="41"/>
  <c r="AF25" i="41"/>
  <c r="AE25" i="41"/>
  <c r="AD25" i="41"/>
  <c r="AC25" i="41"/>
  <c r="AB25" i="41"/>
  <c r="AA25" i="41"/>
  <c r="AH24" i="41"/>
  <c r="AG24" i="41"/>
  <c r="AF24" i="41"/>
  <c r="AE24" i="41"/>
  <c r="AD24" i="41"/>
  <c r="AC24" i="41"/>
  <c r="AB24" i="41"/>
  <c r="AA24" i="41"/>
  <c r="AH23" i="41"/>
  <c r="AG23" i="41"/>
  <c r="AF23" i="41"/>
  <c r="AE23" i="41"/>
  <c r="AD23" i="41"/>
  <c r="AC23" i="41"/>
  <c r="AB23" i="41"/>
  <c r="AA23" i="41"/>
  <c r="AH22" i="41"/>
  <c r="AG22" i="41"/>
  <c r="AF22" i="41"/>
  <c r="AE22" i="41"/>
  <c r="AD22" i="41"/>
  <c r="AC22" i="41"/>
  <c r="AB22" i="41"/>
  <c r="AA22" i="41"/>
  <c r="AH20" i="41"/>
  <c r="AG20" i="41"/>
  <c r="AF20" i="41"/>
  <c r="AE20" i="41"/>
  <c r="AD20" i="41"/>
  <c r="AC20" i="41"/>
  <c r="AB20" i="41"/>
  <c r="AA20" i="41"/>
  <c r="AH19" i="41"/>
  <c r="AG19" i="41"/>
  <c r="AF19" i="41"/>
  <c r="AE19" i="41"/>
  <c r="AD19" i="41"/>
  <c r="AC19" i="41"/>
  <c r="AB19" i="41"/>
  <c r="AA19" i="41"/>
  <c r="AH18" i="41"/>
  <c r="AG18" i="41"/>
  <c r="AF18" i="41"/>
  <c r="AE18" i="41"/>
  <c r="AD18" i="41"/>
  <c r="AC18" i="41"/>
  <c r="AB18" i="41"/>
  <c r="AA18" i="41"/>
  <c r="AH17" i="41"/>
  <c r="AG17" i="41"/>
  <c r="AF17" i="41"/>
  <c r="AE17" i="41"/>
  <c r="AD17" i="41"/>
  <c r="AC17" i="41"/>
  <c r="AB17" i="41"/>
  <c r="AA17" i="41"/>
  <c r="AH15" i="41"/>
  <c r="AG15" i="41"/>
  <c r="AF15" i="41"/>
  <c r="AE15" i="41"/>
  <c r="AD15" i="41"/>
  <c r="AC15" i="41"/>
  <c r="AB15" i="41"/>
  <c r="AA15" i="41"/>
  <c r="AH14" i="41"/>
  <c r="AG14" i="41"/>
  <c r="AF14" i="41"/>
  <c r="AE14" i="41"/>
  <c r="AD14" i="41"/>
  <c r="AC14" i="41"/>
  <c r="AB14" i="41"/>
  <c r="AA14" i="41"/>
  <c r="AH13" i="41"/>
  <c r="AG13" i="41"/>
  <c r="AF13" i="41"/>
  <c r="AE13" i="41"/>
  <c r="AD13" i="41"/>
  <c r="AC13" i="41"/>
  <c r="AB13" i="41"/>
  <c r="AA13" i="41"/>
  <c r="AH12" i="41"/>
  <c r="AG12" i="41"/>
  <c r="AF12" i="41"/>
  <c r="AE12" i="41"/>
  <c r="AD12" i="41"/>
  <c r="AC12" i="41"/>
  <c r="AB12" i="41"/>
  <c r="AA12" i="41"/>
  <c r="AH11" i="41"/>
  <c r="AG11" i="41"/>
  <c r="AF11" i="41"/>
  <c r="AE11" i="41"/>
  <c r="AD11" i="41"/>
  <c r="AC11" i="41"/>
  <c r="AB11" i="41"/>
  <c r="AA11" i="41"/>
  <c r="AH10" i="41"/>
  <c r="AG10" i="41"/>
  <c r="AF10" i="41"/>
  <c r="AE10" i="41"/>
  <c r="AD10" i="41"/>
  <c r="AC10" i="41"/>
  <c r="AB10" i="41"/>
  <c r="AA10" i="41"/>
  <c r="AH9" i="41"/>
  <c r="AG9" i="41"/>
  <c r="AF9" i="41"/>
  <c r="AE9" i="41"/>
  <c r="AD9" i="41"/>
  <c r="AC9" i="41"/>
  <c r="AB9" i="41"/>
  <c r="AA9" i="41"/>
  <c r="AH8" i="41"/>
  <c r="AG8" i="41"/>
  <c r="AF8" i="41"/>
  <c r="AE8" i="41"/>
  <c r="AD8" i="41"/>
  <c r="AC8" i="41"/>
  <c r="AB8" i="41"/>
  <c r="AA8" i="41"/>
  <c r="AH6" i="41"/>
  <c r="AG6" i="41"/>
  <c r="AF6" i="41"/>
  <c r="AE6" i="41"/>
  <c r="AD6" i="41"/>
  <c r="AC6" i="41"/>
  <c r="AB6" i="41"/>
  <c r="AA6" i="41"/>
  <c r="AH5" i="41"/>
  <c r="AG5" i="41"/>
  <c r="AF5" i="41"/>
  <c r="AE5" i="41"/>
  <c r="AD5" i="41"/>
  <c r="AC5" i="41"/>
  <c r="AB5" i="41"/>
  <c r="AA5" i="41"/>
  <c r="AH215" i="39"/>
  <c r="AG215" i="39"/>
  <c r="AF215" i="39"/>
  <c r="AE215" i="39"/>
  <c r="AD215" i="39"/>
  <c r="AC215" i="39"/>
  <c r="AB215" i="39"/>
  <c r="AA215" i="39"/>
  <c r="AH214" i="39"/>
  <c r="AG214" i="39"/>
  <c r="AF214" i="39"/>
  <c r="AE214" i="39"/>
  <c r="AD214" i="39"/>
  <c r="AC214" i="39"/>
  <c r="AB214" i="39"/>
  <c r="AA214" i="39"/>
  <c r="AH213" i="39"/>
  <c r="AG213" i="39"/>
  <c r="AF213" i="39"/>
  <c r="AE213" i="39"/>
  <c r="AD213" i="39"/>
  <c r="AC213" i="39"/>
  <c r="AB213" i="39"/>
  <c r="AA213" i="39"/>
  <c r="AH211" i="39"/>
  <c r="AG211" i="39"/>
  <c r="AF211" i="39"/>
  <c r="AE211" i="39"/>
  <c r="AD211" i="39"/>
  <c r="AC211" i="39"/>
  <c r="AB211" i="39"/>
  <c r="AA211" i="39"/>
  <c r="AH210" i="39"/>
  <c r="AG210" i="39"/>
  <c r="AF210" i="39"/>
  <c r="AE210" i="39"/>
  <c r="AD210" i="39"/>
  <c r="AC210" i="39"/>
  <c r="AB210" i="39"/>
  <c r="AA210" i="39"/>
  <c r="AH208" i="39"/>
  <c r="AG208" i="39"/>
  <c r="AF208" i="39"/>
  <c r="AE208" i="39"/>
  <c r="AD208" i="39"/>
  <c r="AC208" i="39"/>
  <c r="AB208" i="39"/>
  <c r="AA208" i="39"/>
  <c r="AH207" i="39"/>
  <c r="AG207" i="39"/>
  <c r="AF207" i="39"/>
  <c r="AE207" i="39"/>
  <c r="AD207" i="39"/>
  <c r="AC207" i="39"/>
  <c r="AB207" i="39"/>
  <c r="AA207" i="39"/>
  <c r="AH206" i="39"/>
  <c r="AG206" i="39"/>
  <c r="AF206" i="39"/>
  <c r="AE206" i="39"/>
  <c r="AD206" i="39"/>
  <c r="AC206" i="39"/>
  <c r="AB206" i="39"/>
  <c r="AA206" i="39"/>
  <c r="AH205" i="39"/>
  <c r="AG205" i="39"/>
  <c r="AF205" i="39"/>
  <c r="AE205" i="39"/>
  <c r="AD205" i="39"/>
  <c r="AC205" i="39"/>
  <c r="AB205" i="39"/>
  <c r="AA205" i="39"/>
  <c r="AH204" i="39"/>
  <c r="AG204" i="39"/>
  <c r="AF204" i="39"/>
  <c r="AE204" i="39"/>
  <c r="AD204" i="39"/>
  <c r="AC204" i="39"/>
  <c r="AB204" i="39"/>
  <c r="AA204" i="39"/>
  <c r="AH203" i="39"/>
  <c r="AG203" i="39"/>
  <c r="AF203" i="39"/>
  <c r="AE203" i="39"/>
  <c r="AD203" i="39"/>
  <c r="AC203" i="39"/>
  <c r="AB203" i="39"/>
  <c r="AA203" i="39"/>
  <c r="AH200" i="39"/>
  <c r="AG200" i="39"/>
  <c r="AF200" i="39"/>
  <c r="AE200" i="39"/>
  <c r="AD200" i="39"/>
  <c r="AC200" i="39"/>
  <c r="AB200" i="39"/>
  <c r="AA200" i="39"/>
  <c r="AH199" i="39"/>
  <c r="AG199" i="39"/>
  <c r="AF199" i="39"/>
  <c r="AE199" i="39"/>
  <c r="AD199" i="39"/>
  <c r="AC199" i="39"/>
  <c r="AB199" i="39"/>
  <c r="AA199" i="39"/>
  <c r="AH198" i="39"/>
  <c r="AG198" i="39"/>
  <c r="AF198" i="39"/>
  <c r="AE198" i="39"/>
  <c r="AD198" i="39"/>
  <c r="AC198" i="39"/>
  <c r="AB198" i="39"/>
  <c r="AA198" i="39"/>
  <c r="AH196" i="39"/>
  <c r="AG196" i="39"/>
  <c r="AF196" i="39"/>
  <c r="AE196" i="39"/>
  <c r="AD196" i="39"/>
  <c r="AC196" i="39"/>
  <c r="AB196" i="39"/>
  <c r="AA196" i="39"/>
  <c r="AH195" i="39"/>
  <c r="AG195" i="39"/>
  <c r="AF195" i="39"/>
  <c r="AE195" i="39"/>
  <c r="AD195" i="39"/>
  <c r="AC195" i="39"/>
  <c r="AB195" i="39"/>
  <c r="AA195" i="39"/>
  <c r="AH194" i="39"/>
  <c r="AG194" i="39"/>
  <c r="AF194" i="39"/>
  <c r="AE194" i="39"/>
  <c r="AD194" i="39"/>
  <c r="AC194" i="39"/>
  <c r="AB194" i="39"/>
  <c r="AA194" i="39"/>
  <c r="AH192" i="39"/>
  <c r="AG192" i="39"/>
  <c r="AF192" i="39"/>
  <c r="AE192" i="39"/>
  <c r="AD192" i="39"/>
  <c r="AC192" i="39"/>
  <c r="AB192" i="39"/>
  <c r="AA192" i="39"/>
  <c r="AH191" i="39"/>
  <c r="AG191" i="39"/>
  <c r="AF191" i="39"/>
  <c r="AE191" i="39"/>
  <c r="AD191" i="39"/>
  <c r="AC191" i="39"/>
  <c r="AB191" i="39"/>
  <c r="AA191" i="39"/>
  <c r="AH190" i="39"/>
  <c r="AG190" i="39"/>
  <c r="AF190" i="39"/>
  <c r="AE190" i="39"/>
  <c r="AD190" i="39"/>
  <c r="AC190" i="39"/>
  <c r="AB190" i="39"/>
  <c r="AA190" i="39"/>
  <c r="AH189" i="39"/>
  <c r="AG189" i="39"/>
  <c r="AF189" i="39"/>
  <c r="AE189" i="39"/>
  <c r="AD189" i="39"/>
  <c r="AC189" i="39"/>
  <c r="AB189" i="39"/>
  <c r="AA189" i="39"/>
  <c r="AH188" i="39"/>
  <c r="AG188" i="39"/>
  <c r="AF188" i="39"/>
  <c r="AE188" i="39"/>
  <c r="AD188" i="39"/>
  <c r="AC188" i="39"/>
  <c r="AB188" i="39"/>
  <c r="AA188" i="39"/>
  <c r="AH187" i="39"/>
  <c r="AG187" i="39"/>
  <c r="AF187" i="39"/>
  <c r="AE187" i="39"/>
  <c r="AD187" i="39"/>
  <c r="AC187" i="39"/>
  <c r="AB187" i="39"/>
  <c r="AA187" i="39"/>
  <c r="AH186" i="39"/>
  <c r="AG186" i="39"/>
  <c r="AF186" i="39"/>
  <c r="AE186" i="39"/>
  <c r="AD186" i="39"/>
  <c r="AC186" i="39"/>
  <c r="AB186" i="39"/>
  <c r="AA186" i="39"/>
  <c r="AH184" i="39"/>
  <c r="AG184" i="39"/>
  <c r="AF184" i="39"/>
  <c r="AE184" i="39"/>
  <c r="AD184" i="39"/>
  <c r="AC184" i="39"/>
  <c r="AB184" i="39"/>
  <c r="AA184" i="39"/>
  <c r="AH183" i="39"/>
  <c r="AG183" i="39"/>
  <c r="AF183" i="39"/>
  <c r="AE183" i="39"/>
  <c r="AD183" i="39"/>
  <c r="AC183" i="39"/>
  <c r="AB183" i="39"/>
  <c r="AA183" i="39"/>
  <c r="AH182" i="39"/>
  <c r="AG182" i="39"/>
  <c r="AF182" i="39"/>
  <c r="AE182" i="39"/>
  <c r="AD182" i="39"/>
  <c r="AC182" i="39"/>
  <c r="AB182" i="39"/>
  <c r="AA182" i="39"/>
  <c r="AH181" i="39"/>
  <c r="AG181" i="39"/>
  <c r="AF181" i="39"/>
  <c r="AE181" i="39"/>
  <c r="AD181" i="39"/>
  <c r="AC181" i="39"/>
  <c r="AB181" i="39"/>
  <c r="AA181" i="39"/>
  <c r="AH180" i="39"/>
  <c r="AG180" i="39"/>
  <c r="AF180" i="39"/>
  <c r="AE180" i="39"/>
  <c r="AD180" i="39"/>
  <c r="AC180" i="39"/>
  <c r="AB180" i="39"/>
  <c r="AA180" i="39"/>
  <c r="AH179" i="39"/>
  <c r="AG179" i="39"/>
  <c r="AF179" i="39"/>
  <c r="AE179" i="39"/>
  <c r="AD179" i="39"/>
  <c r="AC179" i="39"/>
  <c r="AB179" i="39"/>
  <c r="AA179" i="39"/>
  <c r="AH178" i="39"/>
  <c r="AG178" i="39"/>
  <c r="AF178" i="39"/>
  <c r="AE178" i="39"/>
  <c r="AD178" i="39"/>
  <c r="AC178" i="39"/>
  <c r="AB178" i="39"/>
  <c r="AA178" i="39"/>
  <c r="AH177" i="39"/>
  <c r="AG177" i="39"/>
  <c r="AF177" i="39"/>
  <c r="AE177" i="39"/>
  <c r="AD177" i="39"/>
  <c r="AC177" i="39"/>
  <c r="AB177" i="39"/>
  <c r="AA177" i="39"/>
  <c r="AH176" i="39"/>
  <c r="AG176" i="39"/>
  <c r="AF176" i="39"/>
  <c r="AE176" i="39"/>
  <c r="AD176" i="39"/>
  <c r="AC176" i="39"/>
  <c r="AB176" i="39"/>
  <c r="AA176" i="39"/>
  <c r="AH175" i="39"/>
  <c r="AG175" i="39"/>
  <c r="AF175" i="39"/>
  <c r="AE175" i="39"/>
  <c r="AD175" i="39"/>
  <c r="AC175" i="39"/>
  <c r="AB175" i="39"/>
  <c r="AA175" i="39"/>
  <c r="AH174" i="39"/>
  <c r="AG174" i="39"/>
  <c r="AF174" i="39"/>
  <c r="AE174" i="39"/>
  <c r="AD174" i="39"/>
  <c r="AC174" i="39"/>
  <c r="AB174" i="39"/>
  <c r="AA174" i="39"/>
  <c r="AH171" i="39"/>
  <c r="AG171" i="39"/>
  <c r="AF171" i="39"/>
  <c r="AE171" i="39"/>
  <c r="AD171" i="39"/>
  <c r="AC171" i="39"/>
  <c r="AB171" i="39"/>
  <c r="AA171" i="39"/>
  <c r="AH170" i="39"/>
  <c r="AG170" i="39"/>
  <c r="AF170" i="39"/>
  <c r="AE170" i="39"/>
  <c r="AD170" i="39"/>
  <c r="AC170" i="39"/>
  <c r="AB170" i="39"/>
  <c r="AA170" i="39"/>
  <c r="AH169" i="39"/>
  <c r="AG169" i="39"/>
  <c r="AF169" i="39"/>
  <c r="AE169" i="39"/>
  <c r="AD169" i="39"/>
  <c r="AC169" i="39"/>
  <c r="AB169" i="39"/>
  <c r="AA169" i="39"/>
  <c r="AH167" i="39"/>
  <c r="AG167" i="39"/>
  <c r="AF167" i="39"/>
  <c r="AE167" i="39"/>
  <c r="AD167" i="39"/>
  <c r="AC167" i="39"/>
  <c r="AB167" i="39"/>
  <c r="AA167" i="39"/>
  <c r="AH166" i="39"/>
  <c r="AG166" i="39"/>
  <c r="AF166" i="39"/>
  <c r="AE166" i="39"/>
  <c r="AD166" i="39"/>
  <c r="AC166" i="39"/>
  <c r="AB166" i="39"/>
  <c r="AA166" i="39"/>
  <c r="AH165" i="39"/>
  <c r="AG165" i="39"/>
  <c r="AF165" i="39"/>
  <c r="AE165" i="39"/>
  <c r="AD165" i="39"/>
  <c r="AC165" i="39"/>
  <c r="AB165" i="39"/>
  <c r="AA165" i="39"/>
  <c r="AH163" i="39"/>
  <c r="AG163" i="39"/>
  <c r="AF163" i="39"/>
  <c r="AE163" i="39"/>
  <c r="AD163" i="39"/>
  <c r="AC163" i="39"/>
  <c r="AB163" i="39"/>
  <c r="AA163" i="39"/>
  <c r="AH162" i="39"/>
  <c r="AG162" i="39"/>
  <c r="AF162" i="39"/>
  <c r="AE162" i="39"/>
  <c r="AD162" i="39"/>
  <c r="AC162" i="39"/>
  <c r="AB162" i="39"/>
  <c r="AA162" i="39"/>
  <c r="AH161" i="39"/>
  <c r="AG161" i="39"/>
  <c r="AF161" i="39"/>
  <c r="AE161" i="39"/>
  <c r="AD161" i="39"/>
  <c r="AC161" i="39"/>
  <c r="AB161" i="39"/>
  <c r="AA161" i="39"/>
  <c r="AH160" i="39"/>
  <c r="AG160" i="39"/>
  <c r="AF160" i="39"/>
  <c r="AE160" i="39"/>
  <c r="AD160" i="39"/>
  <c r="AC160" i="39"/>
  <c r="AB160" i="39"/>
  <c r="AA160" i="39"/>
  <c r="AH159" i="39"/>
  <c r="AG159" i="39"/>
  <c r="AF159" i="39"/>
  <c r="AE159" i="39"/>
  <c r="AD159" i="39"/>
  <c r="AC159" i="39"/>
  <c r="AB159" i="39"/>
  <c r="AA159" i="39"/>
  <c r="AH158" i="39"/>
  <c r="AG158" i="39"/>
  <c r="AF158" i="39"/>
  <c r="AE158" i="39"/>
  <c r="AD158" i="39"/>
  <c r="AC158" i="39"/>
  <c r="AB158" i="39"/>
  <c r="AA158" i="39"/>
  <c r="AH157" i="39"/>
  <c r="AG157" i="39"/>
  <c r="AF157" i="39"/>
  <c r="AE157" i="39"/>
  <c r="AD157" i="39"/>
  <c r="AC157" i="39"/>
  <c r="AB157" i="39"/>
  <c r="AA157" i="39"/>
  <c r="AH155" i="39"/>
  <c r="AG155" i="39"/>
  <c r="AF155" i="39"/>
  <c r="AE155" i="39"/>
  <c r="AD155" i="39"/>
  <c r="AC155" i="39"/>
  <c r="AB155" i="39"/>
  <c r="AA155" i="39"/>
  <c r="AH154" i="39"/>
  <c r="AG154" i="39"/>
  <c r="AF154" i="39"/>
  <c r="AE154" i="39"/>
  <c r="AD154" i="39"/>
  <c r="AC154" i="39"/>
  <c r="AB154" i="39"/>
  <c r="AA154" i="39"/>
  <c r="AH153" i="39"/>
  <c r="AG153" i="39"/>
  <c r="AF153" i="39"/>
  <c r="AE153" i="39"/>
  <c r="AD153" i="39"/>
  <c r="AC153" i="39"/>
  <c r="AB153" i="39"/>
  <c r="AA153" i="39"/>
  <c r="AH152" i="39"/>
  <c r="AG152" i="39"/>
  <c r="AF152" i="39"/>
  <c r="AE152" i="39"/>
  <c r="AD152" i="39"/>
  <c r="AC152" i="39"/>
  <c r="AB152" i="39"/>
  <c r="AA152" i="39"/>
  <c r="AH151" i="39"/>
  <c r="AG151" i="39"/>
  <c r="AF151" i="39"/>
  <c r="AE151" i="39"/>
  <c r="AD151" i="39"/>
  <c r="AC151" i="39"/>
  <c r="AB151" i="39"/>
  <c r="AA151" i="39"/>
  <c r="AH150" i="39"/>
  <c r="AG150" i="39"/>
  <c r="AF150" i="39"/>
  <c r="AE150" i="39"/>
  <c r="AD150" i="39"/>
  <c r="AC150" i="39"/>
  <c r="AB150" i="39"/>
  <c r="AA150" i="39"/>
  <c r="AH149" i="39"/>
  <c r="AG149" i="39"/>
  <c r="AF149" i="39"/>
  <c r="AE149" i="39"/>
  <c r="AD149" i="39"/>
  <c r="AC149" i="39"/>
  <c r="AB149" i="39"/>
  <c r="AA149" i="39"/>
  <c r="AH148" i="39"/>
  <c r="AG148" i="39"/>
  <c r="AF148" i="39"/>
  <c r="AE148" i="39"/>
  <c r="AD148" i="39"/>
  <c r="AC148" i="39"/>
  <c r="AB148" i="39"/>
  <c r="AA148" i="39"/>
  <c r="AH147" i="39"/>
  <c r="AG147" i="39"/>
  <c r="AF147" i="39"/>
  <c r="AE147" i="39"/>
  <c r="AD147" i="39"/>
  <c r="AC147" i="39"/>
  <c r="AB147" i="39"/>
  <c r="AA147" i="39"/>
  <c r="AH146" i="39"/>
  <c r="AG146" i="39"/>
  <c r="AF146" i="39"/>
  <c r="AE146" i="39"/>
  <c r="AD146" i="39"/>
  <c r="AC146" i="39"/>
  <c r="AB146" i="39"/>
  <c r="AA146" i="39"/>
  <c r="AH145" i="39"/>
  <c r="AG145" i="39"/>
  <c r="AF145" i="39"/>
  <c r="AE145" i="39"/>
  <c r="AD145" i="39"/>
  <c r="AC145" i="39"/>
  <c r="AB145" i="39"/>
  <c r="AA145" i="39"/>
  <c r="AH142" i="39"/>
  <c r="AG142" i="39"/>
  <c r="AF142" i="39"/>
  <c r="AE142" i="39"/>
  <c r="AD142" i="39"/>
  <c r="AC142" i="39"/>
  <c r="AB142" i="39"/>
  <c r="AA142" i="39"/>
  <c r="AH141" i="39"/>
  <c r="AG141" i="39"/>
  <c r="AF141" i="39"/>
  <c r="AE141" i="39"/>
  <c r="AD141" i="39"/>
  <c r="AC141" i="39"/>
  <c r="AB141" i="39"/>
  <c r="AA141" i="39"/>
  <c r="AH140" i="39"/>
  <c r="AG140" i="39"/>
  <c r="AF140" i="39"/>
  <c r="AE140" i="39"/>
  <c r="AD140" i="39"/>
  <c r="AC140" i="39"/>
  <c r="AB140" i="39"/>
  <c r="AA140" i="39"/>
  <c r="AH138" i="39"/>
  <c r="AG138" i="39"/>
  <c r="AF138" i="39"/>
  <c r="AE138" i="39"/>
  <c r="AD138" i="39"/>
  <c r="AC138" i="39"/>
  <c r="AB138" i="39"/>
  <c r="AA138" i="39"/>
  <c r="AH137" i="39"/>
  <c r="AG137" i="39"/>
  <c r="AF137" i="39"/>
  <c r="AE137" i="39"/>
  <c r="AD137" i="39"/>
  <c r="AC137" i="39"/>
  <c r="AB137" i="39"/>
  <c r="AA137" i="39"/>
  <c r="AH136" i="39"/>
  <c r="AG136" i="39"/>
  <c r="AF136" i="39"/>
  <c r="AE136" i="39"/>
  <c r="AD136" i="39"/>
  <c r="AC136" i="39"/>
  <c r="AB136" i="39"/>
  <c r="AA136" i="39"/>
  <c r="AH134" i="39"/>
  <c r="AG134" i="39"/>
  <c r="AF134" i="39"/>
  <c r="AE134" i="39"/>
  <c r="AD134" i="39"/>
  <c r="AC134" i="39"/>
  <c r="AB134" i="39"/>
  <c r="AA134" i="39"/>
  <c r="AH133" i="39"/>
  <c r="AG133" i="39"/>
  <c r="AF133" i="39"/>
  <c r="AE133" i="39"/>
  <c r="AD133" i="39"/>
  <c r="AC133" i="39"/>
  <c r="AB133" i="39"/>
  <c r="AA133" i="39"/>
  <c r="AH132" i="39"/>
  <c r="AG132" i="39"/>
  <c r="AF132" i="39"/>
  <c r="AE132" i="39"/>
  <c r="AD132" i="39"/>
  <c r="AC132" i="39"/>
  <c r="AB132" i="39"/>
  <c r="AA132" i="39"/>
  <c r="AH131" i="39"/>
  <c r="AG131" i="39"/>
  <c r="AF131" i="39"/>
  <c r="AE131" i="39"/>
  <c r="AD131" i="39"/>
  <c r="AC131" i="39"/>
  <c r="AB131" i="39"/>
  <c r="AA131" i="39"/>
  <c r="AH130" i="39"/>
  <c r="AG130" i="39"/>
  <c r="AF130" i="39"/>
  <c r="AE130" i="39"/>
  <c r="AD130" i="39"/>
  <c r="AC130" i="39"/>
  <c r="AB130" i="39"/>
  <c r="AA130" i="39"/>
  <c r="AH129" i="39"/>
  <c r="AG129" i="39"/>
  <c r="AF129" i="39"/>
  <c r="AE129" i="39"/>
  <c r="AD129" i="39"/>
  <c r="AC129" i="39"/>
  <c r="AB129" i="39"/>
  <c r="AA129" i="39"/>
  <c r="AH128" i="39"/>
  <c r="AG128" i="39"/>
  <c r="AF128" i="39"/>
  <c r="AE128" i="39"/>
  <c r="AD128" i="39"/>
  <c r="AC128" i="39"/>
  <c r="AB128" i="39"/>
  <c r="AA128" i="39"/>
  <c r="AH127" i="39"/>
  <c r="AG127" i="39"/>
  <c r="AF127" i="39"/>
  <c r="AE127" i="39"/>
  <c r="AD127" i="39"/>
  <c r="AC127" i="39"/>
  <c r="AB127" i="39"/>
  <c r="AA127" i="39"/>
  <c r="AH125" i="39"/>
  <c r="AG125" i="39"/>
  <c r="AF125" i="39"/>
  <c r="AE125" i="39"/>
  <c r="AD125" i="39"/>
  <c r="AC125" i="39"/>
  <c r="AB125" i="39"/>
  <c r="AA125" i="39"/>
  <c r="AH124" i="39"/>
  <c r="AG124" i="39"/>
  <c r="AF124" i="39"/>
  <c r="AE124" i="39"/>
  <c r="AD124" i="39"/>
  <c r="AC124" i="39"/>
  <c r="AB124" i="39"/>
  <c r="AA124" i="39"/>
  <c r="AH123" i="39"/>
  <c r="AG123" i="39"/>
  <c r="AF123" i="39"/>
  <c r="AE123" i="39"/>
  <c r="AD123" i="39"/>
  <c r="AC123" i="39"/>
  <c r="AB123" i="39"/>
  <c r="AA123" i="39"/>
  <c r="AH122" i="39"/>
  <c r="AG122" i="39"/>
  <c r="AF122" i="39"/>
  <c r="AE122" i="39"/>
  <c r="AD122" i="39"/>
  <c r="AC122" i="39"/>
  <c r="AB122" i="39"/>
  <c r="AA122" i="39"/>
  <c r="AH121" i="39"/>
  <c r="AG121" i="39"/>
  <c r="AF121" i="39"/>
  <c r="AE121" i="39"/>
  <c r="AD121" i="39"/>
  <c r="AC121" i="39"/>
  <c r="AB121" i="39"/>
  <c r="AA121" i="39"/>
  <c r="AH120" i="39"/>
  <c r="AG120" i="39"/>
  <c r="AF120" i="39"/>
  <c r="AE120" i="39"/>
  <c r="AD120" i="39"/>
  <c r="AC120" i="39"/>
  <c r="AB120" i="39"/>
  <c r="AA120" i="39"/>
  <c r="AH119" i="39"/>
  <c r="AG119" i="39"/>
  <c r="AF119" i="39"/>
  <c r="AE119" i="39"/>
  <c r="AD119" i="39"/>
  <c r="AC119" i="39"/>
  <c r="AB119" i="39"/>
  <c r="AA119" i="39"/>
  <c r="AH118" i="39"/>
  <c r="AG118" i="39"/>
  <c r="AF118" i="39"/>
  <c r="AE118" i="39"/>
  <c r="AD118" i="39"/>
  <c r="AC118" i="39"/>
  <c r="AB118" i="39"/>
  <c r="AA118" i="39"/>
  <c r="AH117" i="39"/>
  <c r="AG117" i="39"/>
  <c r="AF117" i="39"/>
  <c r="AE117" i="39"/>
  <c r="AD117" i="39"/>
  <c r="AC117" i="39"/>
  <c r="AB117" i="39"/>
  <c r="AA117" i="39"/>
  <c r="AH116" i="39"/>
  <c r="AG116" i="39"/>
  <c r="AF116" i="39"/>
  <c r="AE116" i="39"/>
  <c r="AD116" i="39"/>
  <c r="AC116" i="39"/>
  <c r="AB116" i="39"/>
  <c r="AA116" i="39"/>
  <c r="AH115" i="39"/>
  <c r="AG115" i="39"/>
  <c r="AF115" i="39"/>
  <c r="AE115" i="39"/>
  <c r="AD115" i="39"/>
  <c r="AC115" i="39"/>
  <c r="AB115" i="39"/>
  <c r="AA115" i="39"/>
  <c r="AH114" i="39"/>
  <c r="AG114" i="39"/>
  <c r="AF114" i="39"/>
  <c r="AE114" i="39"/>
  <c r="AD114" i="39"/>
  <c r="AC114" i="39"/>
  <c r="AB114" i="39"/>
  <c r="AA114" i="39"/>
  <c r="AH111" i="39"/>
  <c r="AG111" i="39"/>
  <c r="AF111" i="39"/>
  <c r="AE111" i="39"/>
  <c r="AD111" i="39"/>
  <c r="AC111" i="39"/>
  <c r="AB111" i="39"/>
  <c r="AA111" i="39"/>
  <c r="AH110" i="39"/>
  <c r="AG110" i="39"/>
  <c r="AF110" i="39"/>
  <c r="AE110" i="39"/>
  <c r="AD110" i="39"/>
  <c r="AC110" i="39"/>
  <c r="AB110" i="39"/>
  <c r="AA110" i="39"/>
  <c r="AH109" i="39"/>
  <c r="AG109" i="39"/>
  <c r="AF109" i="39"/>
  <c r="AE109" i="39"/>
  <c r="AD109" i="39"/>
  <c r="AC109" i="39"/>
  <c r="AB109" i="39"/>
  <c r="AA109" i="39"/>
  <c r="AH107" i="39"/>
  <c r="AG107" i="39"/>
  <c r="AF107" i="39"/>
  <c r="AE107" i="39"/>
  <c r="AD107" i="39"/>
  <c r="AC107" i="39"/>
  <c r="AB107" i="39"/>
  <c r="AA107" i="39"/>
  <c r="AH106" i="39"/>
  <c r="AG106" i="39"/>
  <c r="AF106" i="39"/>
  <c r="AE106" i="39"/>
  <c r="AD106" i="39"/>
  <c r="AC106" i="39"/>
  <c r="AB106" i="39"/>
  <c r="AA106" i="39"/>
  <c r="AH105" i="39"/>
  <c r="AG105" i="39"/>
  <c r="AF105" i="39"/>
  <c r="AE105" i="39"/>
  <c r="AD105" i="39"/>
  <c r="AC105" i="39"/>
  <c r="AB105" i="39"/>
  <c r="AA105" i="39"/>
  <c r="AH103" i="39"/>
  <c r="AG103" i="39"/>
  <c r="AF103" i="39"/>
  <c r="AE103" i="39"/>
  <c r="AD103" i="39"/>
  <c r="AC103" i="39"/>
  <c r="AB103" i="39"/>
  <c r="AA103" i="39"/>
  <c r="AH102" i="39"/>
  <c r="AG102" i="39"/>
  <c r="AF102" i="39"/>
  <c r="AE102" i="39"/>
  <c r="AD102" i="39"/>
  <c r="AC102" i="39"/>
  <c r="AB102" i="39"/>
  <c r="AA102" i="39"/>
  <c r="AH101" i="39"/>
  <c r="AG101" i="39"/>
  <c r="AF101" i="39"/>
  <c r="AE101" i="39"/>
  <c r="AD101" i="39"/>
  <c r="AC101" i="39"/>
  <c r="AB101" i="39"/>
  <c r="AA101" i="39"/>
  <c r="AH100" i="39"/>
  <c r="AG100" i="39"/>
  <c r="AF100" i="39"/>
  <c r="AE100" i="39"/>
  <c r="AD100" i="39"/>
  <c r="AC100" i="39"/>
  <c r="AB100" i="39"/>
  <c r="AA100" i="39"/>
  <c r="AH99" i="39"/>
  <c r="AG99" i="39"/>
  <c r="AF99" i="39"/>
  <c r="AE99" i="39"/>
  <c r="AD99" i="39"/>
  <c r="AC99" i="39"/>
  <c r="AB99" i="39"/>
  <c r="AA99" i="39"/>
  <c r="AH98" i="39"/>
  <c r="AG98" i="39"/>
  <c r="AF98" i="39"/>
  <c r="AE98" i="39"/>
  <c r="AD98" i="39"/>
  <c r="AC98" i="39"/>
  <c r="AB98" i="39"/>
  <c r="AA98" i="39"/>
  <c r="AH97" i="39"/>
  <c r="AG97" i="39"/>
  <c r="AF97" i="39"/>
  <c r="AE97" i="39"/>
  <c r="AD97" i="39"/>
  <c r="AC97" i="39"/>
  <c r="AB97" i="39"/>
  <c r="AA97" i="39"/>
  <c r="AH96" i="39"/>
  <c r="AG96" i="39"/>
  <c r="AF96" i="39"/>
  <c r="AE96" i="39"/>
  <c r="AD96" i="39"/>
  <c r="AC96" i="39"/>
  <c r="AB96" i="39"/>
  <c r="AA96" i="39"/>
  <c r="AH95" i="39"/>
  <c r="AG95" i="39"/>
  <c r="AF95" i="39"/>
  <c r="AE95" i="39"/>
  <c r="AD95" i="39"/>
  <c r="AC95" i="39"/>
  <c r="AB95" i="39"/>
  <c r="AA95" i="39"/>
  <c r="AH93" i="39"/>
  <c r="AG93" i="39"/>
  <c r="AF93" i="39"/>
  <c r="AE93" i="39"/>
  <c r="AD93" i="39"/>
  <c r="AC93" i="39"/>
  <c r="AB93" i="39"/>
  <c r="AA93" i="39"/>
  <c r="AH92" i="39"/>
  <c r="AG92" i="39"/>
  <c r="AF92" i="39"/>
  <c r="AE92" i="39"/>
  <c r="AD92" i="39"/>
  <c r="AC92" i="39"/>
  <c r="AB92" i="39"/>
  <c r="AA92" i="39"/>
  <c r="AH91" i="39"/>
  <c r="AG91" i="39"/>
  <c r="AF91" i="39"/>
  <c r="AE91" i="39"/>
  <c r="AD91" i="39"/>
  <c r="AC91" i="39"/>
  <c r="AB91" i="39"/>
  <c r="AA91" i="39"/>
  <c r="AH90" i="39"/>
  <c r="AG90" i="39"/>
  <c r="AF90" i="39"/>
  <c r="AE90" i="39"/>
  <c r="AD90" i="39"/>
  <c r="AC90" i="39"/>
  <c r="AB90" i="39"/>
  <c r="AA90" i="39"/>
  <c r="AH89" i="39"/>
  <c r="AG89" i="39"/>
  <c r="AF89" i="39"/>
  <c r="AE89" i="39"/>
  <c r="AD89" i="39"/>
  <c r="AC89" i="39"/>
  <c r="AB89" i="39"/>
  <c r="AA89" i="39"/>
  <c r="AH88" i="39"/>
  <c r="AG88" i="39"/>
  <c r="AF88" i="39"/>
  <c r="AE88" i="39"/>
  <c r="AD88" i="39"/>
  <c r="AC88" i="39"/>
  <c r="AB88" i="39"/>
  <c r="AA88" i="39"/>
  <c r="AH87" i="39"/>
  <c r="AG87" i="39"/>
  <c r="AF87" i="39"/>
  <c r="AE87" i="39"/>
  <c r="AD87" i="39"/>
  <c r="AC87" i="39"/>
  <c r="AB87" i="39"/>
  <c r="AA87" i="39"/>
  <c r="AH86" i="39"/>
  <c r="AG86" i="39"/>
  <c r="AF86" i="39"/>
  <c r="AE86" i="39"/>
  <c r="AD86" i="39"/>
  <c r="AC86" i="39"/>
  <c r="AB86" i="39"/>
  <c r="AA86" i="39"/>
  <c r="AH85" i="39"/>
  <c r="AG85" i="39"/>
  <c r="AF85" i="39"/>
  <c r="AE85" i="39"/>
  <c r="AD85" i="39"/>
  <c r="AC85" i="39"/>
  <c r="AB85" i="39"/>
  <c r="AA85" i="39"/>
  <c r="AH84" i="39"/>
  <c r="AG84" i="39"/>
  <c r="AF84" i="39"/>
  <c r="AE84" i="39"/>
  <c r="AD84" i="39"/>
  <c r="AC84" i="39"/>
  <c r="AB84" i="39"/>
  <c r="AA84" i="39"/>
  <c r="AH83" i="39"/>
  <c r="AG83" i="39"/>
  <c r="AF83" i="39"/>
  <c r="AE83" i="39"/>
  <c r="AD83" i="39"/>
  <c r="AC83" i="39"/>
  <c r="AB83" i="39"/>
  <c r="AA83" i="39"/>
  <c r="AH81" i="39"/>
  <c r="AG81" i="39"/>
  <c r="AF81" i="39"/>
  <c r="AE81" i="39"/>
  <c r="AD81" i="39"/>
  <c r="AC81" i="39"/>
  <c r="AB81" i="39"/>
  <c r="AA81" i="39"/>
  <c r="AH80" i="39"/>
  <c r="AG80" i="39"/>
  <c r="AF80" i="39"/>
  <c r="AE80" i="39"/>
  <c r="AD80" i="39"/>
  <c r="AC80" i="39"/>
  <c r="AB80" i="39"/>
  <c r="AA80" i="39"/>
  <c r="AH79" i="39"/>
  <c r="AG79" i="39"/>
  <c r="AF79" i="39"/>
  <c r="AE79" i="39"/>
  <c r="AD79" i="39"/>
  <c r="AC79" i="39"/>
  <c r="AB79" i="39"/>
  <c r="AA79" i="39"/>
  <c r="AH78" i="39"/>
  <c r="AG78" i="39"/>
  <c r="AF78" i="39"/>
  <c r="AE78" i="39"/>
  <c r="AD78" i="39"/>
  <c r="AC78" i="39"/>
  <c r="AB78" i="39"/>
  <c r="AA78" i="39"/>
  <c r="AH77" i="39"/>
  <c r="AG77" i="39"/>
  <c r="AF77" i="39"/>
  <c r="AE77" i="39"/>
  <c r="AD77" i="39"/>
  <c r="AC77" i="39"/>
  <c r="AB77" i="39"/>
  <c r="AA77" i="39"/>
  <c r="AH76" i="39"/>
  <c r="AG76" i="39"/>
  <c r="AF76" i="39"/>
  <c r="AE76" i="39"/>
  <c r="AD76" i="39"/>
  <c r="AC76" i="39"/>
  <c r="AB76" i="39"/>
  <c r="AA76" i="39"/>
  <c r="AH75" i="39"/>
  <c r="AG75" i="39"/>
  <c r="AF75" i="39"/>
  <c r="AE75" i="39"/>
  <c r="AD75" i="39"/>
  <c r="AC75" i="39"/>
  <c r="AB75" i="39"/>
  <c r="AA75" i="39"/>
  <c r="AH74" i="39"/>
  <c r="AG74" i="39"/>
  <c r="AF74" i="39"/>
  <c r="AE74" i="39"/>
  <c r="AD74" i="39"/>
  <c r="AC74" i="39"/>
  <c r="AB74" i="39"/>
  <c r="AA74" i="39"/>
  <c r="AH71" i="39"/>
  <c r="AG71" i="39"/>
  <c r="AF71" i="39"/>
  <c r="AE71" i="39"/>
  <c r="AD71" i="39"/>
  <c r="AC71" i="39"/>
  <c r="AB71" i="39"/>
  <c r="AA71" i="39"/>
  <c r="AH70" i="39"/>
  <c r="AG70" i="39"/>
  <c r="AF70" i="39"/>
  <c r="AE70" i="39"/>
  <c r="AD70" i="39"/>
  <c r="AC70" i="39"/>
  <c r="AB70" i="39"/>
  <c r="AA70" i="39"/>
  <c r="AH69" i="39"/>
  <c r="AG69" i="39"/>
  <c r="AF69" i="39"/>
  <c r="AE69" i="39"/>
  <c r="AD69" i="39"/>
  <c r="AC69" i="39"/>
  <c r="AB69" i="39"/>
  <c r="AA69" i="39"/>
  <c r="AH67" i="39"/>
  <c r="AG67" i="39"/>
  <c r="AF67" i="39"/>
  <c r="AE67" i="39"/>
  <c r="AD67" i="39"/>
  <c r="AC67" i="39"/>
  <c r="AB67" i="39"/>
  <c r="AA67" i="39"/>
  <c r="AH66" i="39"/>
  <c r="AG66" i="39"/>
  <c r="AF66" i="39"/>
  <c r="AE66" i="39"/>
  <c r="AD66" i="39"/>
  <c r="AC66" i="39"/>
  <c r="AB66" i="39"/>
  <c r="AA66" i="39"/>
  <c r="AH65" i="39"/>
  <c r="AG65" i="39"/>
  <c r="AF65" i="39"/>
  <c r="AE65" i="39"/>
  <c r="AD65" i="39"/>
  <c r="AC65" i="39"/>
  <c r="AB65" i="39"/>
  <c r="AA65" i="39"/>
  <c r="AH63" i="39"/>
  <c r="AG63" i="39"/>
  <c r="AF63" i="39"/>
  <c r="AE63" i="39"/>
  <c r="AD63" i="39"/>
  <c r="AC63" i="39"/>
  <c r="AB63" i="39"/>
  <c r="AA63" i="39"/>
  <c r="AH62" i="39"/>
  <c r="AG62" i="39"/>
  <c r="AF62" i="39"/>
  <c r="AE62" i="39"/>
  <c r="AD62" i="39"/>
  <c r="AC62" i="39"/>
  <c r="AB62" i="39"/>
  <c r="AA62" i="39"/>
  <c r="AH61" i="39"/>
  <c r="AG61" i="39"/>
  <c r="AF61" i="39"/>
  <c r="AE61" i="39"/>
  <c r="AD61" i="39"/>
  <c r="AC61" i="39"/>
  <c r="AB61" i="39"/>
  <c r="AA61" i="39"/>
  <c r="AH60" i="39"/>
  <c r="AG60" i="39"/>
  <c r="AF60" i="39"/>
  <c r="AE60" i="39"/>
  <c r="AD60" i="39"/>
  <c r="AC60" i="39"/>
  <c r="AB60" i="39"/>
  <c r="AA60" i="39"/>
  <c r="AH59" i="39"/>
  <c r="AG59" i="39"/>
  <c r="AF59" i="39"/>
  <c r="AE59" i="39"/>
  <c r="AD59" i="39"/>
  <c r="AC59" i="39"/>
  <c r="AB59" i="39"/>
  <c r="AA59" i="39"/>
  <c r="AH58" i="39"/>
  <c r="AG58" i="39"/>
  <c r="AF58" i="39"/>
  <c r="AE58" i="39"/>
  <c r="AD58" i="39"/>
  <c r="AC58" i="39"/>
  <c r="AB58" i="39"/>
  <c r="AA58" i="39"/>
  <c r="AH57" i="39"/>
  <c r="AG57" i="39"/>
  <c r="AF57" i="39"/>
  <c r="AE57" i="39"/>
  <c r="AD57" i="39"/>
  <c r="AC57" i="39"/>
  <c r="AB57" i="39"/>
  <c r="AA57" i="39"/>
  <c r="AH56" i="39"/>
  <c r="AG56" i="39"/>
  <c r="AF56" i="39"/>
  <c r="AE56" i="39"/>
  <c r="AD56" i="39"/>
  <c r="AC56" i="39"/>
  <c r="AB56" i="39"/>
  <c r="AA56" i="39"/>
  <c r="AH55" i="39"/>
  <c r="AG55" i="39"/>
  <c r="AF55" i="39"/>
  <c r="AE55" i="39"/>
  <c r="AD55" i="39"/>
  <c r="AC55" i="39"/>
  <c r="AB55" i="39"/>
  <c r="AA55" i="39"/>
  <c r="AH53" i="39"/>
  <c r="AG53" i="39"/>
  <c r="AF53" i="39"/>
  <c r="AE53" i="39"/>
  <c r="AD53" i="39"/>
  <c r="AC53" i="39"/>
  <c r="AB53" i="39"/>
  <c r="AA53" i="39"/>
  <c r="AH52" i="39"/>
  <c r="AG52" i="39"/>
  <c r="AF52" i="39"/>
  <c r="AE52" i="39"/>
  <c r="AD52" i="39"/>
  <c r="AC52" i="39"/>
  <c r="AB52" i="39"/>
  <c r="AA52" i="39"/>
  <c r="AH51" i="39"/>
  <c r="AG51" i="39"/>
  <c r="AF51" i="39"/>
  <c r="AE51" i="39"/>
  <c r="AD51" i="39"/>
  <c r="AC51" i="39"/>
  <c r="AB51" i="39"/>
  <c r="AA51" i="39"/>
  <c r="AH50" i="39"/>
  <c r="AG50" i="39"/>
  <c r="AF50" i="39"/>
  <c r="AE50" i="39"/>
  <c r="AD50" i="39"/>
  <c r="AC50" i="39"/>
  <c r="AB50" i="39"/>
  <c r="AA50" i="39"/>
  <c r="AH49" i="39"/>
  <c r="AG49" i="39"/>
  <c r="AF49" i="39"/>
  <c r="AE49" i="39"/>
  <c r="AD49" i="39"/>
  <c r="AC49" i="39"/>
  <c r="AB49" i="39"/>
  <c r="AA49" i="39"/>
  <c r="AH48" i="39"/>
  <c r="AG48" i="39"/>
  <c r="AF48" i="39"/>
  <c r="AE48" i="39"/>
  <c r="AD48" i="39"/>
  <c r="AC48" i="39"/>
  <c r="AB48" i="39"/>
  <c r="AA48" i="39"/>
  <c r="AH47" i="39"/>
  <c r="AG47" i="39"/>
  <c r="AF47" i="39"/>
  <c r="AE47" i="39"/>
  <c r="AD47" i="39"/>
  <c r="AC47" i="39"/>
  <c r="AB47" i="39"/>
  <c r="AA47" i="39"/>
  <c r="AH46" i="39"/>
  <c r="AG46" i="39"/>
  <c r="AF46" i="39"/>
  <c r="AE46" i="39"/>
  <c r="AD46" i="39"/>
  <c r="AC46" i="39"/>
  <c r="AB46" i="39"/>
  <c r="AA46" i="39"/>
  <c r="AH45" i="39"/>
  <c r="AG45" i="39"/>
  <c r="AF45" i="39"/>
  <c r="AE45" i="39"/>
  <c r="AD45" i="39"/>
  <c r="AC45" i="39"/>
  <c r="AB45" i="39"/>
  <c r="AA45" i="39"/>
  <c r="AH44" i="39"/>
  <c r="AG44" i="39"/>
  <c r="AF44" i="39"/>
  <c r="AE44" i="39"/>
  <c r="AD44" i="39"/>
  <c r="AC44" i="39"/>
  <c r="AB44" i="39"/>
  <c r="AA44" i="39"/>
  <c r="AH43" i="39"/>
  <c r="AG43" i="39"/>
  <c r="AF43" i="39"/>
  <c r="AE43" i="39"/>
  <c r="AD43" i="39"/>
  <c r="AC43" i="39"/>
  <c r="AB43" i="39"/>
  <c r="AA43" i="39"/>
  <c r="AH42" i="39"/>
  <c r="AG42" i="39"/>
  <c r="AF42" i="39"/>
  <c r="AE42" i="39"/>
  <c r="AD42" i="39"/>
  <c r="AC42" i="39"/>
  <c r="AB42" i="39"/>
  <c r="AA42" i="39"/>
  <c r="AH41" i="39"/>
  <c r="AG41" i="39"/>
  <c r="AF41" i="39"/>
  <c r="AE41" i="39"/>
  <c r="AD41" i="39"/>
  <c r="AC41" i="39"/>
  <c r="AB41" i="39"/>
  <c r="AA41" i="39"/>
  <c r="AH40" i="39"/>
  <c r="AG40" i="39"/>
  <c r="AF40" i="39"/>
  <c r="AE40" i="39"/>
  <c r="AD40" i="39"/>
  <c r="AC40" i="39"/>
  <c r="AB40" i="39"/>
  <c r="AA40" i="39"/>
  <c r="AH39" i="39"/>
  <c r="AG39" i="39"/>
  <c r="AF39" i="39"/>
  <c r="AE39" i="39"/>
  <c r="AD39" i="39"/>
  <c r="AC39" i="39"/>
  <c r="AB39" i="39"/>
  <c r="AA39" i="39"/>
  <c r="AH36" i="39"/>
  <c r="AG36" i="39"/>
  <c r="AF36" i="39"/>
  <c r="AE36" i="39"/>
  <c r="AD36" i="39"/>
  <c r="AC36" i="39"/>
  <c r="AB36" i="39"/>
  <c r="AA36" i="39"/>
  <c r="AH35" i="39"/>
  <c r="AG35" i="39"/>
  <c r="AF35" i="39"/>
  <c r="AE35" i="39"/>
  <c r="AD35" i="39"/>
  <c r="AC35" i="39"/>
  <c r="AB35" i="39"/>
  <c r="AA35" i="39"/>
  <c r="AH34" i="39"/>
  <c r="AG34" i="39"/>
  <c r="AF34" i="39"/>
  <c r="AE34" i="39"/>
  <c r="AD34" i="39"/>
  <c r="AC34" i="39"/>
  <c r="AB34" i="39"/>
  <c r="AA34" i="39"/>
  <c r="AH32" i="39"/>
  <c r="AG32" i="39"/>
  <c r="AF32" i="39"/>
  <c r="AE32" i="39"/>
  <c r="AD32" i="39"/>
  <c r="AC32" i="39"/>
  <c r="AB32" i="39"/>
  <c r="AA32" i="39"/>
  <c r="AH31" i="39"/>
  <c r="AG31" i="39"/>
  <c r="AF31" i="39"/>
  <c r="AE31" i="39"/>
  <c r="AD31" i="39"/>
  <c r="AC31" i="39"/>
  <c r="AB31" i="39"/>
  <c r="AA31" i="39"/>
  <c r="AH30" i="39"/>
  <c r="AG30" i="39"/>
  <c r="AF30" i="39"/>
  <c r="AE30" i="39"/>
  <c r="AD30" i="39"/>
  <c r="AC30" i="39"/>
  <c r="AB30" i="39"/>
  <c r="AA30" i="39"/>
  <c r="AH28" i="39"/>
  <c r="AG28" i="39"/>
  <c r="AF28" i="39"/>
  <c r="AE28" i="39"/>
  <c r="AD28" i="39"/>
  <c r="AC28" i="39"/>
  <c r="AB28" i="39"/>
  <c r="AA28" i="39"/>
  <c r="AH27" i="39"/>
  <c r="AG27" i="39"/>
  <c r="AF27" i="39"/>
  <c r="AE27" i="39"/>
  <c r="AD27" i="39"/>
  <c r="AC27" i="39"/>
  <c r="AB27" i="39"/>
  <c r="AA27" i="39"/>
  <c r="AH26" i="39"/>
  <c r="AG26" i="39"/>
  <c r="AF26" i="39"/>
  <c r="AE26" i="39"/>
  <c r="AD26" i="39"/>
  <c r="AC26" i="39"/>
  <c r="AB26" i="39"/>
  <c r="AA26" i="39"/>
  <c r="AH25" i="39"/>
  <c r="AG25" i="39"/>
  <c r="AF25" i="39"/>
  <c r="AE25" i="39"/>
  <c r="AD25" i="39"/>
  <c r="AC25" i="39"/>
  <c r="AB25" i="39"/>
  <c r="AA25" i="39"/>
  <c r="AH24" i="39"/>
  <c r="AG24" i="39"/>
  <c r="AF24" i="39"/>
  <c r="AE24" i="39"/>
  <c r="AD24" i="39"/>
  <c r="AC24" i="39"/>
  <c r="AB24" i="39"/>
  <c r="AA24" i="39"/>
  <c r="AH23" i="39"/>
  <c r="AG23" i="39"/>
  <c r="AF23" i="39"/>
  <c r="AE23" i="39"/>
  <c r="AD23" i="39"/>
  <c r="AC23" i="39"/>
  <c r="AB23" i="39"/>
  <c r="AA23" i="39"/>
  <c r="AH22" i="39"/>
  <c r="AG22" i="39"/>
  <c r="AF22" i="39"/>
  <c r="AE22" i="39"/>
  <c r="AD22" i="39"/>
  <c r="AC22" i="39"/>
  <c r="AB22" i="39"/>
  <c r="AA22" i="39"/>
  <c r="AH21" i="39"/>
  <c r="AG21" i="39"/>
  <c r="AF21" i="39"/>
  <c r="AE21" i="39"/>
  <c r="AD21" i="39"/>
  <c r="AC21" i="39"/>
  <c r="AB21" i="39"/>
  <c r="AA21" i="39"/>
  <c r="AH20" i="39"/>
  <c r="AG20" i="39"/>
  <c r="AF20" i="39"/>
  <c r="AE20" i="39"/>
  <c r="AD20" i="39"/>
  <c r="AC20" i="39"/>
  <c r="AB20" i="39"/>
  <c r="AA20" i="39"/>
  <c r="AH19" i="39"/>
  <c r="AG19" i="39"/>
  <c r="AF19" i="39"/>
  <c r="AE19" i="39"/>
  <c r="AD19" i="39"/>
  <c r="AC19" i="39"/>
  <c r="AB19" i="39"/>
  <c r="AA19" i="39"/>
  <c r="AH17" i="39"/>
  <c r="AG17" i="39"/>
  <c r="AF17" i="39"/>
  <c r="AE17" i="39"/>
  <c r="AD17" i="39"/>
  <c r="AC17" i="39"/>
  <c r="AB17" i="39"/>
  <c r="AA17" i="39"/>
  <c r="AH16" i="39"/>
  <c r="AG16" i="39"/>
  <c r="AF16" i="39"/>
  <c r="AE16" i="39"/>
  <c r="AD16" i="39"/>
  <c r="AC16" i="39"/>
  <c r="AB16" i="39"/>
  <c r="AA16" i="39"/>
  <c r="AH15" i="39"/>
  <c r="AG15" i="39"/>
  <c r="AF15" i="39"/>
  <c r="AE15" i="39"/>
  <c r="AD15" i="39"/>
  <c r="AC15" i="39"/>
  <c r="AB15" i="39"/>
  <c r="AA15" i="39"/>
  <c r="AH14" i="39"/>
  <c r="AG14" i="39"/>
  <c r="AF14" i="39"/>
  <c r="AE14" i="39"/>
  <c r="AD14" i="39"/>
  <c r="AC14" i="39"/>
  <c r="AB14" i="39"/>
  <c r="AA14" i="39"/>
  <c r="AH13" i="39"/>
  <c r="AG13" i="39"/>
  <c r="AF13" i="39"/>
  <c r="AE13" i="39"/>
  <c r="AD13" i="39"/>
  <c r="AC13" i="39"/>
  <c r="AB13" i="39"/>
  <c r="AA13" i="39"/>
  <c r="AH12" i="39"/>
  <c r="AG12" i="39"/>
  <c r="AF12" i="39"/>
  <c r="AE12" i="39"/>
  <c r="AD12" i="39"/>
  <c r="AC12" i="39"/>
  <c r="AB12" i="39"/>
  <c r="AA12" i="39"/>
  <c r="AH11" i="39"/>
  <c r="AG11" i="39"/>
  <c r="AF11" i="39"/>
  <c r="AE11" i="39"/>
  <c r="AD11" i="39"/>
  <c r="AC11" i="39"/>
  <c r="AB11" i="39"/>
  <c r="AA11" i="39"/>
  <c r="AH10" i="39"/>
  <c r="AG10" i="39"/>
  <c r="AF10" i="39"/>
  <c r="AE10" i="39"/>
  <c r="AD10" i="39"/>
  <c r="AC10" i="39"/>
  <c r="AB10" i="39"/>
  <c r="AA10" i="39"/>
  <c r="AH9" i="39"/>
  <c r="AG9" i="39"/>
  <c r="AF9" i="39"/>
  <c r="AE9" i="39"/>
  <c r="AD9" i="39"/>
  <c r="AC9" i="39"/>
  <c r="AB9" i="39"/>
  <c r="AA9" i="39"/>
  <c r="AH8" i="39"/>
  <c r="AG8" i="39"/>
  <c r="AF8" i="39"/>
  <c r="AE8" i="39"/>
  <c r="AD8" i="39"/>
  <c r="AC8" i="39"/>
  <c r="AB8" i="39"/>
  <c r="AA8" i="39"/>
  <c r="AH7" i="39"/>
  <c r="AG7" i="39"/>
  <c r="AF7" i="39"/>
  <c r="AE7" i="39"/>
  <c r="AD7" i="39"/>
  <c r="AC7" i="39"/>
  <c r="AB7" i="39"/>
  <c r="AA7" i="39"/>
  <c r="AH6" i="39"/>
  <c r="AG6" i="39"/>
  <c r="AF6" i="39"/>
  <c r="AE6" i="39"/>
  <c r="AD6" i="39"/>
  <c r="AC6" i="39"/>
  <c r="AB6" i="39"/>
  <c r="AA6" i="39"/>
  <c r="AH5" i="39"/>
  <c r="AG5" i="39"/>
  <c r="AF5" i="39"/>
  <c r="AE5" i="39"/>
  <c r="AD5" i="39"/>
  <c r="AC5" i="39"/>
  <c r="AB5" i="39"/>
  <c r="AA5" i="39"/>
  <c r="AH174" i="48"/>
  <c r="AG174" i="48"/>
  <c r="AF174" i="48"/>
  <c r="AE174" i="48"/>
  <c r="AD174" i="48"/>
  <c r="AC174" i="48"/>
  <c r="AB174" i="48"/>
  <c r="AA174" i="48"/>
  <c r="AH173" i="48"/>
  <c r="AG173" i="48"/>
  <c r="AF173" i="48"/>
  <c r="AE173" i="48"/>
  <c r="AD173" i="48"/>
  <c r="AC173" i="48"/>
  <c r="AB173" i="48"/>
  <c r="AA173" i="48"/>
  <c r="AH172" i="48"/>
  <c r="AG172" i="48"/>
  <c r="AF172" i="48"/>
  <c r="AE172" i="48"/>
  <c r="AD172" i="48"/>
  <c r="AC172" i="48"/>
  <c r="AB172" i="48"/>
  <c r="AA172" i="48"/>
  <c r="AH171" i="48"/>
  <c r="AG171" i="48"/>
  <c r="AF171" i="48"/>
  <c r="AE171" i="48"/>
  <c r="AD171" i="48"/>
  <c r="AC171" i="48"/>
  <c r="AB171" i="48"/>
  <c r="AA171" i="48"/>
  <c r="AH170" i="48"/>
  <c r="AG170" i="48"/>
  <c r="AF170" i="48"/>
  <c r="AE170" i="48"/>
  <c r="AD170" i="48"/>
  <c r="AC170" i="48"/>
  <c r="AB170" i="48"/>
  <c r="AA170" i="48"/>
  <c r="AH169" i="48"/>
  <c r="AG169" i="48"/>
  <c r="AF169" i="48"/>
  <c r="AE169" i="48"/>
  <c r="AD169" i="48"/>
  <c r="AC169" i="48"/>
  <c r="AB169" i="48"/>
  <c r="AA169" i="48"/>
  <c r="AH168" i="48"/>
  <c r="AG168" i="48"/>
  <c r="AF168" i="48"/>
  <c r="AE168" i="48"/>
  <c r="AD168" i="48"/>
  <c r="AC168" i="48"/>
  <c r="AB168" i="48"/>
  <c r="AA168" i="48"/>
  <c r="AH167" i="48"/>
  <c r="AG167" i="48"/>
  <c r="AF167" i="48"/>
  <c r="AE167" i="48"/>
  <c r="AD167" i="48"/>
  <c r="AC167" i="48"/>
  <c r="AB167" i="48"/>
  <c r="AA167" i="48"/>
  <c r="AH166" i="48"/>
  <c r="AG166" i="48"/>
  <c r="AF166" i="48"/>
  <c r="AE166" i="48"/>
  <c r="AD166" i="48"/>
  <c r="AC166" i="48"/>
  <c r="AB166" i="48"/>
  <c r="AA166" i="48"/>
  <c r="AH164" i="48"/>
  <c r="AG164" i="48"/>
  <c r="AF164" i="48"/>
  <c r="AE164" i="48"/>
  <c r="AD164" i="48"/>
  <c r="AC164" i="48"/>
  <c r="AB164" i="48"/>
  <c r="AA164" i="48"/>
  <c r="AH163" i="48"/>
  <c r="AG163" i="48"/>
  <c r="AF163" i="48"/>
  <c r="AE163" i="48"/>
  <c r="AD163" i="48"/>
  <c r="AC163" i="48"/>
  <c r="AB163" i="48"/>
  <c r="AA163" i="48"/>
  <c r="AH162" i="48"/>
  <c r="AG162" i="48"/>
  <c r="AF162" i="48"/>
  <c r="AE162" i="48"/>
  <c r="AD162" i="48"/>
  <c r="AC162" i="48"/>
  <c r="AB162" i="48"/>
  <c r="AA162" i="48"/>
  <c r="AH161" i="48"/>
  <c r="AG161" i="48"/>
  <c r="AF161" i="48"/>
  <c r="AE161" i="48"/>
  <c r="AD161" i="48"/>
  <c r="AC161" i="48"/>
  <c r="AB161" i="48"/>
  <c r="AA161" i="48"/>
  <c r="AH160" i="48"/>
  <c r="AG160" i="48"/>
  <c r="AF160" i="48"/>
  <c r="AE160" i="48"/>
  <c r="AD160" i="48"/>
  <c r="AC160" i="48"/>
  <c r="AB160" i="48"/>
  <c r="AA160" i="48"/>
  <c r="AH159" i="48"/>
  <c r="AG159" i="48"/>
  <c r="AF159" i="48"/>
  <c r="AE159" i="48"/>
  <c r="AD159" i="48"/>
  <c r="AC159" i="48"/>
  <c r="AB159" i="48"/>
  <c r="AA159" i="48"/>
  <c r="AH157" i="48"/>
  <c r="AG157" i="48"/>
  <c r="AF157" i="48"/>
  <c r="AE157" i="48"/>
  <c r="AD157" i="48"/>
  <c r="AC157" i="48"/>
  <c r="AB157" i="48"/>
  <c r="AA157" i="48"/>
  <c r="AH156" i="48"/>
  <c r="AG156" i="48"/>
  <c r="AF156" i="48"/>
  <c r="AE156" i="48"/>
  <c r="AD156" i="48"/>
  <c r="AC156" i="48"/>
  <c r="AB156" i="48"/>
  <c r="AA156" i="48"/>
  <c r="AH155" i="48"/>
  <c r="AG155" i="48"/>
  <c r="AF155" i="48"/>
  <c r="AE155" i="48"/>
  <c r="AD155" i="48"/>
  <c r="AC155" i="48"/>
  <c r="AB155" i="48"/>
  <c r="AA155" i="48"/>
  <c r="AH154" i="48"/>
  <c r="AG154" i="48"/>
  <c r="AF154" i="48"/>
  <c r="AE154" i="48"/>
  <c r="AD154" i="48"/>
  <c r="AC154" i="48"/>
  <c r="AB154" i="48"/>
  <c r="AA154" i="48"/>
  <c r="AH153" i="48"/>
  <c r="AG153" i="48"/>
  <c r="AF153" i="48"/>
  <c r="AE153" i="48"/>
  <c r="AD153" i="48"/>
  <c r="AC153" i="48"/>
  <c r="AB153" i="48"/>
  <c r="AA153" i="48"/>
  <c r="AH152" i="48"/>
  <c r="AG152" i="48"/>
  <c r="AF152" i="48"/>
  <c r="AE152" i="48"/>
  <c r="AD152" i="48"/>
  <c r="AC152" i="48"/>
  <c r="AB152" i="48"/>
  <c r="AA152" i="48"/>
  <c r="AH151" i="48"/>
  <c r="AG151" i="48"/>
  <c r="AF151" i="48"/>
  <c r="AE151" i="48"/>
  <c r="AD151" i="48"/>
  <c r="AC151" i="48"/>
  <c r="AB151" i="48"/>
  <c r="AA151" i="48"/>
  <c r="AH150" i="48"/>
  <c r="AG150" i="48"/>
  <c r="AF150" i="48"/>
  <c r="AE150" i="48"/>
  <c r="AD150" i="48"/>
  <c r="AC150" i="48"/>
  <c r="AB150" i="48"/>
  <c r="AA150" i="48"/>
  <c r="AH147" i="48"/>
  <c r="AG147" i="48"/>
  <c r="AF147" i="48"/>
  <c r="AE147" i="48"/>
  <c r="AD147" i="48"/>
  <c r="AC147" i="48"/>
  <c r="AB147" i="48"/>
  <c r="AA147" i="48"/>
  <c r="AH146" i="48"/>
  <c r="AG146" i="48"/>
  <c r="AF146" i="48"/>
  <c r="AE146" i="48"/>
  <c r="AD146" i="48"/>
  <c r="AC146" i="48"/>
  <c r="AB146" i="48"/>
  <c r="AA146" i="48"/>
  <c r="AH145" i="48"/>
  <c r="AG145" i="48"/>
  <c r="AF145" i="48"/>
  <c r="AE145" i="48"/>
  <c r="AD145" i="48"/>
  <c r="AC145" i="48"/>
  <c r="AB145" i="48"/>
  <c r="AA145" i="48"/>
  <c r="AH144" i="48"/>
  <c r="AG144" i="48"/>
  <c r="AF144" i="48"/>
  <c r="AE144" i="48"/>
  <c r="AD144" i="48"/>
  <c r="AC144" i="48"/>
  <c r="AB144" i="48"/>
  <c r="AA144" i="48"/>
  <c r="AH142" i="48"/>
  <c r="AG142" i="48"/>
  <c r="AF142" i="48"/>
  <c r="AE142" i="48"/>
  <c r="AD142" i="48"/>
  <c r="AC142" i="48"/>
  <c r="AB142" i="48"/>
  <c r="AA142" i="48"/>
  <c r="AH141" i="48"/>
  <c r="AG141" i="48"/>
  <c r="AF141" i="48"/>
  <c r="AE141" i="48"/>
  <c r="AD141" i="48"/>
  <c r="AC141" i="48"/>
  <c r="AB141" i="48"/>
  <c r="AA141" i="48"/>
  <c r="AH140" i="48"/>
  <c r="AG140" i="48"/>
  <c r="AF140" i="48"/>
  <c r="AE140" i="48"/>
  <c r="AD140" i="48"/>
  <c r="AC140" i="48"/>
  <c r="AB140" i="48"/>
  <c r="AA140" i="48"/>
  <c r="AH139" i="48"/>
  <c r="AG139" i="48"/>
  <c r="AF139" i="48"/>
  <c r="AE139" i="48"/>
  <c r="AD139" i="48"/>
  <c r="AC139" i="48"/>
  <c r="AB139" i="48"/>
  <c r="AA139" i="48"/>
  <c r="AH138" i="48"/>
  <c r="AG138" i="48"/>
  <c r="AF138" i="48"/>
  <c r="AE138" i="48"/>
  <c r="AD138" i="48"/>
  <c r="AC138" i="48"/>
  <c r="AB138" i="48"/>
  <c r="AA138" i="48"/>
  <c r="AH136" i="48"/>
  <c r="AG136" i="48"/>
  <c r="AF136" i="48"/>
  <c r="AE136" i="48"/>
  <c r="AD136" i="48"/>
  <c r="AC136" i="48"/>
  <c r="AB136" i="48"/>
  <c r="AA136" i="48"/>
  <c r="AH135" i="48"/>
  <c r="AG135" i="48"/>
  <c r="AF135" i="48"/>
  <c r="AE135" i="48"/>
  <c r="AD135" i="48"/>
  <c r="AC135" i="48"/>
  <c r="AB135" i="48"/>
  <c r="AA135" i="48"/>
  <c r="AH134" i="48"/>
  <c r="AG134" i="48"/>
  <c r="AF134" i="48"/>
  <c r="AE134" i="48"/>
  <c r="AD134" i="48"/>
  <c r="AC134" i="48"/>
  <c r="AB134" i="48"/>
  <c r="AA134" i="48"/>
  <c r="AH133" i="48"/>
  <c r="AG133" i="48"/>
  <c r="AF133" i="48"/>
  <c r="AE133" i="48"/>
  <c r="AD133" i="48"/>
  <c r="AC133" i="48"/>
  <c r="AB133" i="48"/>
  <c r="AA133" i="48"/>
  <c r="AH132" i="48"/>
  <c r="AG132" i="48"/>
  <c r="AF132" i="48"/>
  <c r="AE132" i="48"/>
  <c r="AD132" i="48"/>
  <c r="AC132" i="48"/>
  <c r="AB132" i="48"/>
  <c r="AA132" i="48"/>
  <c r="AH131" i="48"/>
  <c r="AG131" i="48"/>
  <c r="AF131" i="48"/>
  <c r="AE131" i="48"/>
  <c r="AD131" i="48"/>
  <c r="AC131" i="48"/>
  <c r="AB131" i="48"/>
  <c r="AA131" i="48"/>
  <c r="AH128" i="48"/>
  <c r="AG128" i="48"/>
  <c r="AF128" i="48"/>
  <c r="AE128" i="48"/>
  <c r="AD128" i="48"/>
  <c r="AC128" i="48"/>
  <c r="AB128" i="48"/>
  <c r="AA128" i="48"/>
  <c r="AH127" i="48"/>
  <c r="AG127" i="48"/>
  <c r="AF127" i="48"/>
  <c r="AE127" i="48"/>
  <c r="AD127" i="48"/>
  <c r="AC127" i="48"/>
  <c r="AB127" i="48"/>
  <c r="AA127" i="48"/>
  <c r="AH126" i="48"/>
  <c r="AG126" i="48"/>
  <c r="AF126" i="48"/>
  <c r="AE126" i="48"/>
  <c r="AD126" i="48"/>
  <c r="AC126" i="48"/>
  <c r="AB126" i="48"/>
  <c r="AA126" i="48"/>
  <c r="AH125" i="48"/>
  <c r="AG125" i="48"/>
  <c r="AF125" i="48"/>
  <c r="AE125" i="48"/>
  <c r="AD125" i="48"/>
  <c r="AC125" i="48"/>
  <c r="AB125" i="48"/>
  <c r="AA125" i="48"/>
  <c r="AH124" i="48"/>
  <c r="AG124" i="48"/>
  <c r="AF124" i="48"/>
  <c r="AE124" i="48"/>
  <c r="AD124" i="48"/>
  <c r="AC124" i="48"/>
  <c r="AB124" i="48"/>
  <c r="AA124" i="48"/>
  <c r="AH122" i="48"/>
  <c r="AG122" i="48"/>
  <c r="AF122" i="48"/>
  <c r="AE122" i="48"/>
  <c r="AD122" i="48"/>
  <c r="AC122" i="48"/>
  <c r="AB122" i="48"/>
  <c r="AA122" i="48"/>
  <c r="AH121" i="48"/>
  <c r="AG121" i="48"/>
  <c r="AF121" i="48"/>
  <c r="AE121" i="48"/>
  <c r="AD121" i="48"/>
  <c r="AC121" i="48"/>
  <c r="AB121" i="48"/>
  <c r="AA121" i="48"/>
  <c r="AH120" i="48"/>
  <c r="AG120" i="48"/>
  <c r="AF120" i="48"/>
  <c r="AE120" i="48"/>
  <c r="AD120" i="48"/>
  <c r="AC120" i="48"/>
  <c r="AB120" i="48"/>
  <c r="AA120" i="48"/>
  <c r="AH119" i="48"/>
  <c r="AG119" i="48"/>
  <c r="AF119" i="48"/>
  <c r="AE119" i="48"/>
  <c r="AD119" i="48"/>
  <c r="AC119" i="48"/>
  <c r="AB119" i="48"/>
  <c r="AA119" i="48"/>
  <c r="AH118" i="48"/>
  <c r="AG118" i="48"/>
  <c r="AF118" i="48"/>
  <c r="AE118" i="48"/>
  <c r="AD118" i="48"/>
  <c r="AC118" i="48"/>
  <c r="AB118" i="48"/>
  <c r="AA118" i="48"/>
  <c r="AH117" i="48"/>
  <c r="AG117" i="48"/>
  <c r="AF117" i="48"/>
  <c r="AE117" i="48"/>
  <c r="AD117" i="48"/>
  <c r="AC117" i="48"/>
  <c r="AB117" i="48"/>
  <c r="AA117" i="48"/>
  <c r="AH116" i="48"/>
  <c r="AG116" i="48"/>
  <c r="AF116" i="48"/>
  <c r="AE116" i="48"/>
  <c r="AD116" i="48"/>
  <c r="AC116" i="48"/>
  <c r="AB116" i="48"/>
  <c r="AA116" i="48"/>
  <c r="AH115" i="48"/>
  <c r="AG115" i="48"/>
  <c r="AF115" i="48"/>
  <c r="AE115" i="48"/>
  <c r="AD115" i="48"/>
  <c r="AC115" i="48"/>
  <c r="AB115" i="48"/>
  <c r="AA115" i="48"/>
  <c r="AH114" i="48"/>
  <c r="AG114" i="48"/>
  <c r="AF114" i="48"/>
  <c r="AE114" i="48"/>
  <c r="AD114" i="48"/>
  <c r="AC114" i="48"/>
  <c r="AB114" i="48"/>
  <c r="AA114" i="48"/>
  <c r="AH113" i="48"/>
  <c r="AG113" i="48"/>
  <c r="AF113" i="48"/>
  <c r="AE113" i="48"/>
  <c r="AD113" i="48"/>
  <c r="AC113" i="48"/>
  <c r="AB113" i="48"/>
  <c r="AA113" i="48"/>
  <c r="AH112" i="48"/>
  <c r="AG112" i="48"/>
  <c r="AF112" i="48"/>
  <c r="AE112" i="48"/>
  <c r="AD112" i="48"/>
  <c r="AC112" i="48"/>
  <c r="AB112" i="48"/>
  <c r="AA112" i="48"/>
  <c r="AH111" i="48"/>
  <c r="AG111" i="48"/>
  <c r="AF111" i="48"/>
  <c r="AE111" i="48"/>
  <c r="AD111" i="48"/>
  <c r="AC111" i="48"/>
  <c r="AB111" i="48"/>
  <c r="AA111" i="48"/>
  <c r="AH110" i="48"/>
  <c r="AG110" i="48"/>
  <c r="AF110" i="48"/>
  <c r="AE110" i="48"/>
  <c r="AD110" i="48"/>
  <c r="AC110" i="48"/>
  <c r="AB110" i="48"/>
  <c r="AA110" i="48"/>
  <c r="AH109" i="48"/>
  <c r="AG109" i="48"/>
  <c r="AF109" i="48"/>
  <c r="AE109" i="48"/>
  <c r="AD109" i="48"/>
  <c r="AC109" i="48"/>
  <c r="AB109" i="48"/>
  <c r="AA109" i="48"/>
  <c r="AH107" i="48"/>
  <c r="AG107" i="48"/>
  <c r="AF107" i="48"/>
  <c r="AE107" i="48"/>
  <c r="AD107" i="48"/>
  <c r="AC107" i="48"/>
  <c r="AB107" i="48"/>
  <c r="AA107" i="48"/>
  <c r="AH106" i="48"/>
  <c r="AG106" i="48"/>
  <c r="AF106" i="48"/>
  <c r="AE106" i="48"/>
  <c r="AD106" i="48"/>
  <c r="AC106" i="48"/>
  <c r="AB106" i="48"/>
  <c r="AA106" i="48"/>
  <c r="AH105" i="48"/>
  <c r="AG105" i="48"/>
  <c r="AF105" i="48"/>
  <c r="AE105" i="48"/>
  <c r="AD105" i="48"/>
  <c r="AC105" i="48"/>
  <c r="AB105" i="48"/>
  <c r="AA105" i="48"/>
  <c r="AH104" i="48"/>
  <c r="AG104" i="48"/>
  <c r="AF104" i="48"/>
  <c r="AE104" i="48"/>
  <c r="AD104" i="48"/>
  <c r="AC104" i="48"/>
  <c r="AB104" i="48"/>
  <c r="AA104" i="48"/>
  <c r="AH103" i="48"/>
  <c r="AG103" i="48"/>
  <c r="AF103" i="48"/>
  <c r="AE103" i="48"/>
  <c r="AD103" i="48"/>
  <c r="AC103" i="48"/>
  <c r="AB103" i="48"/>
  <c r="AA103" i="48"/>
  <c r="AH102" i="48"/>
  <c r="AG102" i="48"/>
  <c r="AF102" i="48"/>
  <c r="AE102" i="48"/>
  <c r="AD102" i="48"/>
  <c r="AC102" i="48"/>
  <c r="AB102" i="48"/>
  <c r="AA102" i="48"/>
  <c r="AH101" i="48"/>
  <c r="AG101" i="48"/>
  <c r="AF101" i="48"/>
  <c r="AE101" i="48"/>
  <c r="AD101" i="48"/>
  <c r="AC101" i="48"/>
  <c r="AB101" i="48"/>
  <c r="AA101" i="48"/>
  <c r="AH99" i="48"/>
  <c r="AG99" i="48"/>
  <c r="AF99" i="48"/>
  <c r="AE99" i="48"/>
  <c r="AD99" i="48"/>
  <c r="AC99" i="48"/>
  <c r="AB99" i="48"/>
  <c r="AA99" i="48"/>
  <c r="AH98" i="48"/>
  <c r="AG98" i="48"/>
  <c r="AF98" i="48"/>
  <c r="AE98" i="48"/>
  <c r="AD98" i="48"/>
  <c r="AC98" i="48"/>
  <c r="AB98" i="48"/>
  <c r="AA98" i="48"/>
  <c r="AH97" i="48"/>
  <c r="AG97" i="48"/>
  <c r="AF97" i="48"/>
  <c r="AE97" i="48"/>
  <c r="AD97" i="48"/>
  <c r="AC97" i="48"/>
  <c r="AB97" i="48"/>
  <c r="AA97" i="48"/>
  <c r="AH96" i="48"/>
  <c r="AG96" i="48"/>
  <c r="AF96" i="48"/>
  <c r="AE96" i="48"/>
  <c r="AD96" i="48"/>
  <c r="AC96" i="48"/>
  <c r="AB96" i="48"/>
  <c r="AA96" i="48"/>
  <c r="AH95" i="48"/>
  <c r="AG95" i="48"/>
  <c r="AF95" i="48"/>
  <c r="AE95" i="48"/>
  <c r="AD95" i="48"/>
  <c r="AC95" i="48"/>
  <c r="AB95" i="48"/>
  <c r="AA95" i="48"/>
  <c r="AH94" i="48"/>
  <c r="AG94" i="48"/>
  <c r="AF94" i="48"/>
  <c r="AE94" i="48"/>
  <c r="AD94" i="48"/>
  <c r="AC94" i="48"/>
  <c r="AB94" i="48"/>
  <c r="AA94" i="48"/>
  <c r="AH93" i="48"/>
  <c r="AG93" i="48"/>
  <c r="AF93" i="48"/>
  <c r="AE93" i="48"/>
  <c r="AD93" i="48"/>
  <c r="AC93" i="48"/>
  <c r="AB93" i="48"/>
  <c r="AA93" i="48"/>
  <c r="AH92" i="48"/>
  <c r="AG92" i="48"/>
  <c r="AF92" i="48"/>
  <c r="AE92" i="48"/>
  <c r="AD92" i="48"/>
  <c r="AC92" i="48"/>
  <c r="AB92" i="48"/>
  <c r="AA92" i="48"/>
  <c r="AH90" i="48"/>
  <c r="AG90" i="48"/>
  <c r="AF90" i="48"/>
  <c r="AE90" i="48"/>
  <c r="AD90" i="48"/>
  <c r="AC90" i="48"/>
  <c r="AB90" i="48"/>
  <c r="AA90" i="48"/>
  <c r="AH89" i="48"/>
  <c r="AG89" i="48"/>
  <c r="AF89" i="48"/>
  <c r="AE89" i="48"/>
  <c r="AD89" i="48"/>
  <c r="AC89" i="48"/>
  <c r="AB89" i="48"/>
  <c r="AA89" i="48"/>
  <c r="AH88" i="48"/>
  <c r="AG88" i="48"/>
  <c r="AF88" i="48"/>
  <c r="AE88" i="48"/>
  <c r="AD88" i="48"/>
  <c r="AC88" i="48"/>
  <c r="AB88" i="48"/>
  <c r="AA88" i="48"/>
  <c r="AH87" i="48"/>
  <c r="AG87" i="48"/>
  <c r="AF87" i="48"/>
  <c r="AE87" i="48"/>
  <c r="AD87" i="48"/>
  <c r="AC87" i="48"/>
  <c r="AB87" i="48"/>
  <c r="AA87" i="48"/>
  <c r="AH86" i="48"/>
  <c r="AG86" i="48"/>
  <c r="AF86" i="48"/>
  <c r="AE86" i="48"/>
  <c r="AD86" i="48"/>
  <c r="AC86" i="48"/>
  <c r="AB86" i="48"/>
  <c r="AA86" i="48"/>
  <c r="AH85" i="48"/>
  <c r="AG85" i="48"/>
  <c r="AF85" i="48"/>
  <c r="AE85" i="48"/>
  <c r="AD85" i="48"/>
  <c r="AC85" i="48"/>
  <c r="AB85" i="48"/>
  <c r="AA85" i="48"/>
  <c r="AH84" i="48"/>
  <c r="AG84" i="48"/>
  <c r="AF84" i="48"/>
  <c r="AE84" i="48"/>
  <c r="AD84" i="48"/>
  <c r="AC84" i="48"/>
  <c r="AB84" i="48"/>
  <c r="AA84" i="48"/>
  <c r="AH83" i="48"/>
  <c r="AG83" i="48"/>
  <c r="AF83" i="48"/>
  <c r="AE83" i="48"/>
  <c r="AD83" i="48"/>
  <c r="AC83" i="48"/>
  <c r="AB83" i="48"/>
  <c r="AA83" i="48"/>
  <c r="AH80" i="48"/>
  <c r="AG80" i="48"/>
  <c r="AF80" i="48"/>
  <c r="AE80" i="48"/>
  <c r="AD80" i="48"/>
  <c r="AC80" i="48"/>
  <c r="AB80" i="48"/>
  <c r="AA80" i="48"/>
  <c r="AH79" i="48"/>
  <c r="AG79" i="48"/>
  <c r="AF79" i="48"/>
  <c r="AE79" i="48"/>
  <c r="AD79" i="48"/>
  <c r="AC79" i="48"/>
  <c r="AB79" i="48"/>
  <c r="AA79" i="48"/>
  <c r="AH78" i="48"/>
  <c r="AG78" i="48"/>
  <c r="AF78" i="48"/>
  <c r="AE78" i="48"/>
  <c r="AD78" i="48"/>
  <c r="AC78" i="48"/>
  <c r="AB78" i="48"/>
  <c r="AA78" i="48"/>
  <c r="AH77" i="48"/>
  <c r="AG77" i="48"/>
  <c r="AF77" i="48"/>
  <c r="AE77" i="48"/>
  <c r="AD77" i="48"/>
  <c r="AC77" i="48"/>
  <c r="AB77" i="48"/>
  <c r="AA77" i="48"/>
  <c r="AH76" i="48"/>
  <c r="AG76" i="48"/>
  <c r="AF76" i="48"/>
  <c r="AE76" i="48"/>
  <c r="AD76" i="48"/>
  <c r="AC76" i="48"/>
  <c r="AB76" i="48"/>
  <c r="AA76" i="48"/>
  <c r="AH75" i="48"/>
  <c r="AG75" i="48"/>
  <c r="AF75" i="48"/>
  <c r="AE75" i="48"/>
  <c r="AD75" i="48"/>
  <c r="AC75" i="48"/>
  <c r="AB75" i="48"/>
  <c r="AA75" i="48"/>
  <c r="AH74" i="48"/>
  <c r="AG74" i="48"/>
  <c r="AF74" i="48"/>
  <c r="AE74" i="48"/>
  <c r="AD74" i="48"/>
  <c r="AC74" i="48"/>
  <c r="AB74" i="48"/>
  <c r="AA74" i="48"/>
  <c r="AH73" i="48"/>
  <c r="AG73" i="48"/>
  <c r="AF73" i="48"/>
  <c r="AE73" i="48"/>
  <c r="AD73" i="48"/>
  <c r="AC73" i="48"/>
  <c r="AB73" i="48"/>
  <c r="AA73" i="48"/>
  <c r="AH71" i="48"/>
  <c r="AG71" i="48"/>
  <c r="AF71" i="48"/>
  <c r="AE71" i="48"/>
  <c r="AD71" i="48"/>
  <c r="AC71" i="48"/>
  <c r="AB71" i="48"/>
  <c r="AA71" i="48"/>
  <c r="AH70" i="48"/>
  <c r="AG70" i="48"/>
  <c r="AF70" i="48"/>
  <c r="AE70" i="48"/>
  <c r="AD70" i="48"/>
  <c r="AC70" i="48"/>
  <c r="AB70" i="48"/>
  <c r="AA70" i="48"/>
  <c r="AH69" i="48"/>
  <c r="AG69" i="48"/>
  <c r="AF69" i="48"/>
  <c r="AE69" i="48"/>
  <c r="AD69" i="48"/>
  <c r="AC69" i="48"/>
  <c r="AB69" i="48"/>
  <c r="AA69" i="48"/>
  <c r="AH68" i="48"/>
  <c r="AG68" i="48"/>
  <c r="AF68" i="48"/>
  <c r="AE68" i="48"/>
  <c r="AD68" i="48"/>
  <c r="AC68" i="48"/>
  <c r="AB68" i="48"/>
  <c r="AA68" i="48"/>
  <c r="AH67" i="48"/>
  <c r="AG67" i="48"/>
  <c r="AF67" i="48"/>
  <c r="AE67" i="48"/>
  <c r="AD67" i="48"/>
  <c r="AC67" i="48"/>
  <c r="AB67" i="48"/>
  <c r="AA67" i="48"/>
  <c r="AH66" i="48"/>
  <c r="AG66" i="48"/>
  <c r="AF66" i="48"/>
  <c r="AE66" i="48"/>
  <c r="AD66" i="48"/>
  <c r="AC66" i="48"/>
  <c r="AB66" i="48"/>
  <c r="AA66" i="48"/>
  <c r="AH65" i="48"/>
  <c r="AG65" i="48"/>
  <c r="AF65" i="48"/>
  <c r="AE65" i="48"/>
  <c r="AD65" i="48"/>
  <c r="AC65" i="48"/>
  <c r="AB65" i="48"/>
  <c r="AA65" i="48"/>
  <c r="AH64" i="48"/>
  <c r="AG64" i="48"/>
  <c r="AF64" i="48"/>
  <c r="AE64" i="48"/>
  <c r="AD64" i="48"/>
  <c r="AC64" i="48"/>
  <c r="AB64" i="48"/>
  <c r="AA64" i="48"/>
  <c r="AH63" i="48"/>
  <c r="AG63" i="48"/>
  <c r="AF63" i="48"/>
  <c r="AE63" i="48"/>
  <c r="AD63" i="48"/>
  <c r="AC63" i="48"/>
  <c r="AB63" i="48"/>
  <c r="AA63" i="48"/>
  <c r="AH62" i="48"/>
  <c r="AG62" i="48"/>
  <c r="AF62" i="48"/>
  <c r="AE62" i="48"/>
  <c r="AD62" i="48"/>
  <c r="AC62" i="48"/>
  <c r="AB62" i="48"/>
  <c r="AA62" i="48"/>
  <c r="AH61" i="48"/>
  <c r="AG61" i="48"/>
  <c r="AF61" i="48"/>
  <c r="AE61" i="48"/>
  <c r="AD61" i="48"/>
  <c r="AC61" i="48"/>
  <c r="AB61" i="48"/>
  <c r="AA61" i="48"/>
  <c r="AH58" i="48"/>
  <c r="AG58" i="48"/>
  <c r="AF58" i="48"/>
  <c r="AE58" i="48"/>
  <c r="AD58" i="48"/>
  <c r="AC58" i="48"/>
  <c r="AB58" i="48"/>
  <c r="AA58" i="48"/>
  <c r="AH57" i="48"/>
  <c r="AG57" i="48"/>
  <c r="AF57" i="48"/>
  <c r="AE57" i="48"/>
  <c r="AD57" i="48"/>
  <c r="AC57" i="48"/>
  <c r="AB57" i="48"/>
  <c r="AA57" i="48"/>
  <c r="AH56" i="48"/>
  <c r="AG56" i="48"/>
  <c r="AF56" i="48"/>
  <c r="AE56" i="48"/>
  <c r="AD56" i="48"/>
  <c r="AC56" i="48"/>
  <c r="AB56" i="48"/>
  <c r="AA56" i="48"/>
  <c r="AH55" i="48"/>
  <c r="AG55" i="48"/>
  <c r="AF55" i="48"/>
  <c r="AE55" i="48"/>
  <c r="AD55" i="48"/>
  <c r="AC55" i="48"/>
  <c r="AB55" i="48"/>
  <c r="AA55" i="48"/>
  <c r="AH54" i="48"/>
  <c r="AG54" i="48"/>
  <c r="AF54" i="48"/>
  <c r="AE54" i="48"/>
  <c r="AD54" i="48"/>
  <c r="AC54" i="48"/>
  <c r="AB54" i="48"/>
  <c r="AA54" i="48"/>
  <c r="AH53" i="48"/>
  <c r="AG53" i="48"/>
  <c r="AF53" i="48"/>
  <c r="AE53" i="48"/>
  <c r="AD53" i="48"/>
  <c r="AC53" i="48"/>
  <c r="AB53" i="48"/>
  <c r="AA53" i="48"/>
  <c r="AH51" i="48"/>
  <c r="AG51" i="48"/>
  <c r="AF51" i="48"/>
  <c r="AE51" i="48"/>
  <c r="AD51" i="48"/>
  <c r="AC51" i="48"/>
  <c r="AB51" i="48"/>
  <c r="AA51" i="48"/>
  <c r="AH50" i="48"/>
  <c r="AG50" i="48"/>
  <c r="AF50" i="48"/>
  <c r="AE50" i="48"/>
  <c r="AD50" i="48"/>
  <c r="AC50" i="48"/>
  <c r="AB50" i="48"/>
  <c r="AA50" i="48"/>
  <c r="AH49" i="48"/>
  <c r="AG49" i="48"/>
  <c r="AF49" i="48"/>
  <c r="AE49" i="48"/>
  <c r="AD49" i="48"/>
  <c r="AC49" i="48"/>
  <c r="AB49" i="48"/>
  <c r="AA49" i="48"/>
  <c r="AH48" i="48"/>
  <c r="AG48" i="48"/>
  <c r="AF48" i="48"/>
  <c r="AE48" i="48"/>
  <c r="AD48" i="48"/>
  <c r="AC48" i="48"/>
  <c r="AB48" i="48"/>
  <c r="AA48" i="48"/>
  <c r="AH47" i="48"/>
  <c r="AG47" i="48"/>
  <c r="AF47" i="48"/>
  <c r="AE47" i="48"/>
  <c r="AD47" i="48"/>
  <c r="AC47" i="48"/>
  <c r="AB47" i="48"/>
  <c r="AA47" i="48"/>
  <c r="AH46" i="48"/>
  <c r="AG46" i="48"/>
  <c r="AF46" i="48"/>
  <c r="AE46" i="48"/>
  <c r="AD46" i="48"/>
  <c r="AC46" i="48"/>
  <c r="AB46" i="48"/>
  <c r="AA46" i="48"/>
  <c r="AH44" i="48"/>
  <c r="AG44" i="48"/>
  <c r="AF44" i="48"/>
  <c r="AE44" i="48"/>
  <c r="AD44" i="48"/>
  <c r="AC44" i="48"/>
  <c r="AB44" i="48"/>
  <c r="AA44" i="48"/>
  <c r="AH43" i="48"/>
  <c r="AG43" i="48"/>
  <c r="AF43" i="48"/>
  <c r="AE43" i="48"/>
  <c r="AD43" i="48"/>
  <c r="AC43" i="48"/>
  <c r="AB43" i="48"/>
  <c r="AA43" i="48"/>
  <c r="AH42" i="48"/>
  <c r="AG42" i="48"/>
  <c r="AF42" i="48"/>
  <c r="AE42" i="48"/>
  <c r="AD42" i="48"/>
  <c r="AC42" i="48"/>
  <c r="AB42" i="48"/>
  <c r="AA42" i="48"/>
  <c r="AH41" i="48"/>
  <c r="AG41" i="48"/>
  <c r="AF41" i="48"/>
  <c r="AE41" i="48"/>
  <c r="AD41" i="48"/>
  <c r="AC41" i="48"/>
  <c r="AB41" i="48"/>
  <c r="AA41" i="48"/>
  <c r="AH40" i="48"/>
  <c r="AG40" i="48"/>
  <c r="AF40" i="48"/>
  <c r="AE40" i="48"/>
  <c r="AD40" i="48"/>
  <c r="AC40" i="48"/>
  <c r="AB40" i="48"/>
  <c r="AA40" i="48"/>
  <c r="AH39" i="48"/>
  <c r="AG39" i="48"/>
  <c r="AF39" i="48"/>
  <c r="AE39" i="48"/>
  <c r="AD39" i="48"/>
  <c r="AC39" i="48"/>
  <c r="AB39" i="48"/>
  <c r="AA39" i="48"/>
  <c r="AH37" i="48"/>
  <c r="AG37" i="48"/>
  <c r="AF37" i="48"/>
  <c r="AE37" i="48"/>
  <c r="AD37" i="48"/>
  <c r="AC37" i="48"/>
  <c r="AB37" i="48"/>
  <c r="AA37" i="48"/>
  <c r="AH36" i="48"/>
  <c r="AG36" i="48"/>
  <c r="AF36" i="48"/>
  <c r="AE36" i="48"/>
  <c r="AD36" i="48"/>
  <c r="AC36" i="48"/>
  <c r="AB36" i="48"/>
  <c r="AA36" i="48"/>
  <c r="AH35" i="48"/>
  <c r="AG35" i="48"/>
  <c r="AF35" i="48"/>
  <c r="AE35" i="48"/>
  <c r="AD35" i="48"/>
  <c r="AC35" i="48"/>
  <c r="AB35" i="48"/>
  <c r="AA35" i="48"/>
  <c r="AH34" i="48"/>
  <c r="AG34" i="48"/>
  <c r="AF34" i="48"/>
  <c r="AE34" i="48"/>
  <c r="AD34" i="48"/>
  <c r="AC34" i="48"/>
  <c r="AB34" i="48"/>
  <c r="AA34" i="48"/>
  <c r="AH33" i="48"/>
  <c r="AG33" i="48"/>
  <c r="AF33" i="48"/>
  <c r="AE33" i="48"/>
  <c r="AD33" i="48"/>
  <c r="AC33" i="48"/>
  <c r="AB33" i="48"/>
  <c r="AA33" i="48"/>
  <c r="AH32" i="48"/>
  <c r="AG32" i="48"/>
  <c r="AF32" i="48"/>
  <c r="AE32" i="48"/>
  <c r="AD32" i="48"/>
  <c r="AC32" i="48"/>
  <c r="AB32" i="48"/>
  <c r="AA32" i="48"/>
  <c r="AH30" i="48"/>
  <c r="AG30" i="48"/>
  <c r="AF30" i="48"/>
  <c r="AE30" i="48"/>
  <c r="AD30" i="48"/>
  <c r="AC30" i="48"/>
  <c r="AB30" i="48"/>
  <c r="AA30" i="48"/>
  <c r="AH29" i="48"/>
  <c r="AG29" i="48"/>
  <c r="AF29" i="48"/>
  <c r="AE29" i="48"/>
  <c r="AD29" i="48"/>
  <c r="AC29" i="48"/>
  <c r="AB29" i="48"/>
  <c r="AA29" i="48"/>
  <c r="AH28" i="48"/>
  <c r="AG28" i="48"/>
  <c r="AF28" i="48"/>
  <c r="AE28" i="48"/>
  <c r="AD28" i="48"/>
  <c r="AC28" i="48"/>
  <c r="AB28" i="48"/>
  <c r="AA28" i="48"/>
  <c r="AH27" i="48"/>
  <c r="AG27" i="48"/>
  <c r="AF27" i="48"/>
  <c r="AE27" i="48"/>
  <c r="AD27" i="48"/>
  <c r="AC27" i="48"/>
  <c r="AB27" i="48"/>
  <c r="AA27" i="48"/>
  <c r="AH26" i="48"/>
  <c r="AG26" i="48"/>
  <c r="AF26" i="48"/>
  <c r="AE26" i="48"/>
  <c r="AD26" i="48"/>
  <c r="AC26" i="48"/>
  <c r="AB26" i="48"/>
  <c r="AA26" i="48"/>
  <c r="AH25" i="48"/>
  <c r="AG25" i="48"/>
  <c r="AF25" i="48"/>
  <c r="AE25" i="48"/>
  <c r="AD25" i="48"/>
  <c r="AC25" i="48"/>
  <c r="AB25" i="48"/>
  <c r="AA25" i="48"/>
  <c r="AH24" i="48"/>
  <c r="AG24" i="48"/>
  <c r="AF24" i="48"/>
  <c r="AE24" i="48"/>
  <c r="AD24" i="48"/>
  <c r="AC24" i="48"/>
  <c r="AB24" i="48"/>
  <c r="AA24" i="48"/>
  <c r="AH23" i="48"/>
  <c r="AG23" i="48"/>
  <c r="AF23" i="48"/>
  <c r="AE23" i="48"/>
  <c r="AD23" i="48"/>
  <c r="AC23" i="48"/>
  <c r="AB23" i="48"/>
  <c r="AA23" i="48"/>
  <c r="AH22" i="48"/>
  <c r="AG22" i="48"/>
  <c r="AF22" i="48"/>
  <c r="AE22" i="48"/>
  <c r="AD22" i="48"/>
  <c r="AC22" i="48"/>
  <c r="AB22" i="48"/>
  <c r="AA22" i="48"/>
  <c r="AH21" i="48"/>
  <c r="AG21" i="48"/>
  <c r="AF21" i="48"/>
  <c r="AE21" i="48"/>
  <c r="AD21" i="48"/>
  <c r="AC21" i="48"/>
  <c r="AB21" i="48"/>
  <c r="AA21" i="48"/>
  <c r="AH20" i="48"/>
  <c r="AG20" i="48"/>
  <c r="AF20" i="48"/>
  <c r="AE20" i="48"/>
  <c r="AD20" i="48"/>
  <c r="AC20" i="48"/>
  <c r="AB20" i="48"/>
  <c r="AA20" i="48"/>
  <c r="AH19" i="48"/>
  <c r="AG19" i="48"/>
  <c r="AF19" i="48"/>
  <c r="AE19" i="48"/>
  <c r="AD19" i="48"/>
  <c r="AC19" i="48"/>
  <c r="AB19" i="48"/>
  <c r="AA19" i="48"/>
  <c r="AH18" i="48"/>
  <c r="AG18" i="48"/>
  <c r="AF18" i="48"/>
  <c r="AE18" i="48"/>
  <c r="AD18" i="48"/>
  <c r="AC18" i="48"/>
  <c r="AB18" i="48"/>
  <c r="AA18" i="48"/>
  <c r="AH17" i="48"/>
  <c r="AG17" i="48"/>
  <c r="AF17" i="48"/>
  <c r="AE17" i="48"/>
  <c r="AD17" i="48"/>
  <c r="AC17" i="48"/>
  <c r="AB17" i="48"/>
  <c r="AA17" i="48"/>
  <c r="AH16" i="48"/>
  <c r="AG16" i="48"/>
  <c r="AF16" i="48"/>
  <c r="AE16" i="48"/>
  <c r="AD16" i="48"/>
  <c r="AC16" i="48"/>
  <c r="AB16" i="48"/>
  <c r="AA16" i="48"/>
  <c r="AH15" i="48"/>
  <c r="AG15" i="48"/>
  <c r="AF15" i="48"/>
  <c r="AE15" i="48"/>
  <c r="AD15" i="48"/>
  <c r="AC15" i="48"/>
  <c r="AB15" i="48"/>
  <c r="AA15" i="48"/>
  <c r="AH13" i="48"/>
  <c r="AG13" i="48"/>
  <c r="AF13" i="48"/>
  <c r="AE13" i="48"/>
  <c r="AD13" i="48"/>
  <c r="AC13" i="48"/>
  <c r="AB13" i="48"/>
  <c r="AA13" i="48"/>
  <c r="AH12" i="48"/>
  <c r="AG12" i="48"/>
  <c r="AF12" i="48"/>
  <c r="AE12" i="48"/>
  <c r="AD12" i="48"/>
  <c r="AC12" i="48"/>
  <c r="AB12" i="48"/>
  <c r="AA12" i="48"/>
  <c r="AH11" i="48"/>
  <c r="AG11" i="48"/>
  <c r="AF11" i="48"/>
  <c r="AE11" i="48"/>
  <c r="AD11" i="48"/>
  <c r="AC11" i="48"/>
  <c r="AB11" i="48"/>
  <c r="AA11" i="48"/>
  <c r="AH10" i="48"/>
  <c r="AG10" i="48"/>
  <c r="AF10" i="48"/>
  <c r="AE10" i="48"/>
  <c r="AD10" i="48"/>
  <c r="AC10" i="48"/>
  <c r="AB10" i="48"/>
  <c r="AA10" i="48"/>
  <c r="AH9" i="48"/>
  <c r="AG9" i="48"/>
  <c r="AF9" i="48"/>
  <c r="AE9" i="48"/>
  <c r="AD9" i="48"/>
  <c r="AC9" i="48"/>
  <c r="AB9" i="48"/>
  <c r="AA9" i="48"/>
  <c r="AH8" i="48"/>
  <c r="AG8" i="48"/>
  <c r="AF8" i="48"/>
  <c r="AE8" i="48"/>
  <c r="AD8" i="48"/>
  <c r="AC8" i="48"/>
  <c r="AB8" i="48"/>
  <c r="AA8" i="48"/>
  <c r="AH7" i="48"/>
  <c r="AG7" i="48"/>
  <c r="AF7" i="48"/>
  <c r="AE7" i="48"/>
  <c r="AD7" i="48"/>
  <c r="AC7" i="48"/>
  <c r="AB7" i="48"/>
  <c r="AA7" i="48"/>
  <c r="AH6" i="48"/>
  <c r="AG6" i="48"/>
  <c r="AF6" i="48"/>
  <c r="AE6" i="48"/>
  <c r="AD6" i="48"/>
  <c r="AC6" i="48"/>
  <c r="AB6" i="48"/>
  <c r="AA6" i="48"/>
  <c r="AH5" i="48"/>
  <c r="AG5" i="48"/>
  <c r="AF5" i="48"/>
  <c r="AE5" i="48"/>
  <c r="AD5" i="48"/>
  <c r="AC5" i="48"/>
  <c r="AB5" i="48"/>
  <c r="AA5" i="48"/>
  <c r="AH196" i="38"/>
  <c r="AG196" i="38"/>
  <c r="AF196" i="38"/>
  <c r="AE196" i="38"/>
  <c r="AD196" i="38"/>
  <c r="AC196" i="38"/>
  <c r="AB196" i="38"/>
  <c r="AA196" i="38"/>
  <c r="AH195" i="38"/>
  <c r="AG195" i="38"/>
  <c r="AF195" i="38"/>
  <c r="AE195" i="38"/>
  <c r="AD195" i="38"/>
  <c r="AC195" i="38"/>
  <c r="AB195" i="38"/>
  <c r="AA195" i="38"/>
  <c r="AH194" i="38"/>
  <c r="AG194" i="38"/>
  <c r="AF194" i="38"/>
  <c r="AE194" i="38"/>
  <c r="AD194" i="38"/>
  <c r="AC194" i="38"/>
  <c r="AB194" i="38"/>
  <c r="AA194" i="38"/>
  <c r="AH193" i="38"/>
  <c r="AG193" i="38"/>
  <c r="AF193" i="38"/>
  <c r="AE193" i="38"/>
  <c r="AD193" i="38"/>
  <c r="AC193" i="38"/>
  <c r="AB193" i="38"/>
  <c r="AA193" i="38"/>
  <c r="AH192" i="38"/>
  <c r="AG192" i="38"/>
  <c r="AF192" i="38"/>
  <c r="AE192" i="38"/>
  <c r="AD192" i="38"/>
  <c r="AC192" i="38"/>
  <c r="AB192" i="38"/>
  <c r="AA192" i="38"/>
  <c r="AH191" i="38"/>
  <c r="AG191" i="38"/>
  <c r="AF191" i="38"/>
  <c r="AE191" i="38"/>
  <c r="AD191" i="38"/>
  <c r="AC191" i="38"/>
  <c r="AB191" i="38"/>
  <c r="AA191" i="38"/>
  <c r="AH190" i="38"/>
  <c r="AG190" i="38"/>
  <c r="AF190" i="38"/>
  <c r="AE190" i="38"/>
  <c r="AD190" i="38"/>
  <c r="AC190" i="38"/>
  <c r="AB190" i="38"/>
  <c r="AA190" i="38"/>
  <c r="AH189" i="38"/>
  <c r="AG189" i="38"/>
  <c r="AF189" i="38"/>
  <c r="AE189" i="38"/>
  <c r="AD189" i="38"/>
  <c r="AC189" i="38"/>
  <c r="AB189" i="38"/>
  <c r="AA189" i="38"/>
  <c r="AH188" i="38"/>
  <c r="AG188" i="38"/>
  <c r="AF188" i="38"/>
  <c r="AE188" i="38"/>
  <c r="AD188" i="38"/>
  <c r="AC188" i="38"/>
  <c r="AB188" i="38"/>
  <c r="AA188" i="38"/>
  <c r="AH186" i="38"/>
  <c r="AG186" i="38"/>
  <c r="AF186" i="38"/>
  <c r="AE186" i="38"/>
  <c r="AD186" i="38"/>
  <c r="AC186" i="38"/>
  <c r="AB186" i="38"/>
  <c r="AA186" i="38"/>
  <c r="AH185" i="38"/>
  <c r="AG185" i="38"/>
  <c r="AF185" i="38"/>
  <c r="AE185" i="38"/>
  <c r="AD185" i="38"/>
  <c r="AC185" i="38"/>
  <c r="AB185" i="38"/>
  <c r="AA185" i="38"/>
  <c r="AH184" i="38"/>
  <c r="AG184" i="38"/>
  <c r="AF184" i="38"/>
  <c r="AE184" i="38"/>
  <c r="AD184" i="38"/>
  <c r="AC184" i="38"/>
  <c r="AB184" i="38"/>
  <c r="AA184" i="38"/>
  <c r="AH183" i="38"/>
  <c r="AG183" i="38"/>
  <c r="AF183" i="38"/>
  <c r="AE183" i="38"/>
  <c r="AD183" i="38"/>
  <c r="AC183" i="38"/>
  <c r="AB183" i="38"/>
  <c r="AA183" i="38"/>
  <c r="AH182" i="38"/>
  <c r="AG182" i="38"/>
  <c r="AF182" i="38"/>
  <c r="AE182" i="38"/>
  <c r="AD182" i="38"/>
  <c r="AC182" i="38"/>
  <c r="AB182" i="38"/>
  <c r="AA182" i="38"/>
  <c r="AH181" i="38"/>
  <c r="AG181" i="38"/>
  <c r="AF181" i="38"/>
  <c r="AE181" i="38"/>
  <c r="AD181" i="38"/>
  <c r="AC181" i="38"/>
  <c r="AB181" i="38"/>
  <c r="AA181" i="38"/>
  <c r="AH180" i="38"/>
  <c r="AG180" i="38"/>
  <c r="AF180" i="38"/>
  <c r="AE180" i="38"/>
  <c r="AD180" i="38"/>
  <c r="AC180" i="38"/>
  <c r="AB180" i="38"/>
  <c r="AA180" i="38"/>
  <c r="AH178" i="38"/>
  <c r="AG178" i="38"/>
  <c r="AF178" i="38"/>
  <c r="AE178" i="38"/>
  <c r="AD178" i="38"/>
  <c r="AC178" i="38"/>
  <c r="AB178" i="38"/>
  <c r="AA178" i="38"/>
  <c r="AH177" i="38"/>
  <c r="AG177" i="38"/>
  <c r="AF177" i="38"/>
  <c r="AE177" i="38"/>
  <c r="AD177" i="38"/>
  <c r="AC177" i="38"/>
  <c r="AB177" i="38"/>
  <c r="AA177" i="38"/>
  <c r="AH176" i="38"/>
  <c r="AG176" i="38"/>
  <c r="AF176" i="38"/>
  <c r="AE176" i="38"/>
  <c r="AD176" i="38"/>
  <c r="AC176" i="38"/>
  <c r="AB176" i="38"/>
  <c r="AA176" i="38"/>
  <c r="AH175" i="38"/>
  <c r="AG175" i="38"/>
  <c r="AF175" i="38"/>
  <c r="AE175" i="38"/>
  <c r="AD175" i="38"/>
  <c r="AC175" i="38"/>
  <c r="AB175" i="38"/>
  <c r="AA175" i="38"/>
  <c r="AH174" i="38"/>
  <c r="AG174" i="38"/>
  <c r="AF174" i="38"/>
  <c r="AE174" i="38"/>
  <c r="AD174" i="38"/>
  <c r="AC174" i="38"/>
  <c r="AB174" i="38"/>
  <c r="AA174" i="38"/>
  <c r="AH173" i="38"/>
  <c r="AG173" i="38"/>
  <c r="AF173" i="38"/>
  <c r="AE173" i="38"/>
  <c r="AD173" i="38"/>
  <c r="AC173" i="38"/>
  <c r="AB173" i="38"/>
  <c r="AA173" i="38"/>
  <c r="AH172" i="38"/>
  <c r="AG172" i="38"/>
  <c r="AF172" i="38"/>
  <c r="AE172" i="38"/>
  <c r="AD172" i="38"/>
  <c r="AC172" i="38"/>
  <c r="AB172" i="38"/>
  <c r="AA172" i="38"/>
  <c r="AH169" i="38"/>
  <c r="AG169" i="38"/>
  <c r="AF169" i="38"/>
  <c r="AE169" i="38"/>
  <c r="AD169" i="38"/>
  <c r="AC169" i="38"/>
  <c r="AB169" i="38"/>
  <c r="AA169" i="38"/>
  <c r="AH168" i="38"/>
  <c r="AG168" i="38"/>
  <c r="AF168" i="38"/>
  <c r="AE168" i="38"/>
  <c r="AD168" i="38"/>
  <c r="AC168" i="38"/>
  <c r="AB168" i="38"/>
  <c r="AA168" i="38"/>
  <c r="AH167" i="38"/>
  <c r="AG167" i="38"/>
  <c r="AF167" i="38"/>
  <c r="AE167" i="38"/>
  <c r="AD167" i="38"/>
  <c r="AC167" i="38"/>
  <c r="AB167" i="38"/>
  <c r="AA167" i="38"/>
  <c r="AH166" i="38"/>
  <c r="AG166" i="38"/>
  <c r="AF166" i="38"/>
  <c r="AE166" i="38"/>
  <c r="AD166" i="38"/>
  <c r="AC166" i="38"/>
  <c r="AB166" i="38"/>
  <c r="AA166" i="38"/>
  <c r="AH165" i="38"/>
  <c r="AG165" i="38"/>
  <c r="AF165" i="38"/>
  <c r="AE165" i="38"/>
  <c r="AD165" i="38"/>
  <c r="AC165" i="38"/>
  <c r="AB165" i="38"/>
  <c r="AA165" i="38"/>
  <c r="AH163" i="38"/>
  <c r="AG163" i="38"/>
  <c r="AF163" i="38"/>
  <c r="AE163" i="38"/>
  <c r="AD163" i="38"/>
  <c r="AC163" i="38"/>
  <c r="AB163" i="38"/>
  <c r="AA163" i="38"/>
  <c r="AH162" i="38"/>
  <c r="AG162" i="38"/>
  <c r="AF162" i="38"/>
  <c r="AE162" i="38"/>
  <c r="AD162" i="38"/>
  <c r="AC162" i="38"/>
  <c r="AB162" i="38"/>
  <c r="AA162" i="38"/>
  <c r="AH161" i="38"/>
  <c r="AG161" i="38"/>
  <c r="AF161" i="38"/>
  <c r="AE161" i="38"/>
  <c r="AD161" i="38"/>
  <c r="AC161" i="38"/>
  <c r="AB161" i="38"/>
  <c r="AA161" i="38"/>
  <c r="AH160" i="38"/>
  <c r="AG160" i="38"/>
  <c r="AF160" i="38"/>
  <c r="AE160" i="38"/>
  <c r="AD160" i="38"/>
  <c r="AC160" i="38"/>
  <c r="AB160" i="38"/>
  <c r="AA160" i="38"/>
  <c r="AH159" i="38"/>
  <c r="AG159" i="38"/>
  <c r="AF159" i="38"/>
  <c r="AE159" i="38"/>
  <c r="AD159" i="38"/>
  <c r="AC159" i="38"/>
  <c r="AB159" i="38"/>
  <c r="AA159" i="38"/>
  <c r="AH158" i="38"/>
  <c r="AG158" i="38"/>
  <c r="AF158" i="38"/>
  <c r="AE158" i="38"/>
  <c r="AD158" i="38"/>
  <c r="AC158" i="38"/>
  <c r="AB158" i="38"/>
  <c r="AA158" i="38"/>
  <c r="AH157" i="38"/>
  <c r="AG157" i="38"/>
  <c r="AF157" i="38"/>
  <c r="AE157" i="38"/>
  <c r="AD157" i="38"/>
  <c r="AC157" i="38"/>
  <c r="AB157" i="38"/>
  <c r="AA157" i="38"/>
  <c r="AH156" i="38"/>
  <c r="AG156" i="38"/>
  <c r="AF156" i="38"/>
  <c r="AE156" i="38"/>
  <c r="AD156" i="38"/>
  <c r="AC156" i="38"/>
  <c r="AB156" i="38"/>
  <c r="AA156" i="38"/>
  <c r="AH155" i="38"/>
  <c r="AG155" i="38"/>
  <c r="AF155" i="38"/>
  <c r="AE155" i="38"/>
  <c r="AD155" i="38"/>
  <c r="AC155" i="38"/>
  <c r="AB155" i="38"/>
  <c r="AA155" i="38"/>
  <c r="AH154" i="38"/>
  <c r="AG154" i="38"/>
  <c r="AF154" i="38"/>
  <c r="AE154" i="38"/>
  <c r="AD154" i="38"/>
  <c r="AC154" i="38"/>
  <c r="AB154" i="38"/>
  <c r="AA154" i="38"/>
  <c r="AH153" i="38"/>
  <c r="AG153" i="38"/>
  <c r="AF153" i="38"/>
  <c r="AE153" i="38"/>
  <c r="AD153" i="38"/>
  <c r="AC153" i="38"/>
  <c r="AB153" i="38"/>
  <c r="AA153" i="38"/>
  <c r="AH151" i="38"/>
  <c r="AG151" i="38"/>
  <c r="AF151" i="38"/>
  <c r="AE151" i="38"/>
  <c r="AD151" i="38"/>
  <c r="AC151" i="38"/>
  <c r="AB151" i="38"/>
  <c r="AA151" i="38"/>
  <c r="AH150" i="38"/>
  <c r="AG150" i="38"/>
  <c r="AF150" i="38"/>
  <c r="AE150" i="38"/>
  <c r="AD150" i="38"/>
  <c r="AC150" i="38"/>
  <c r="AB150" i="38"/>
  <c r="AA150" i="38"/>
  <c r="AH149" i="38"/>
  <c r="AG149" i="38"/>
  <c r="AF149" i="38"/>
  <c r="AE149" i="38"/>
  <c r="AD149" i="38"/>
  <c r="AC149" i="38"/>
  <c r="AB149" i="38"/>
  <c r="AA149" i="38"/>
  <c r="AH148" i="38"/>
  <c r="AG148" i="38"/>
  <c r="AF148" i="38"/>
  <c r="AE148" i="38"/>
  <c r="AD148" i="38"/>
  <c r="AC148" i="38"/>
  <c r="AB148" i="38"/>
  <c r="AA148" i="38"/>
  <c r="AH147" i="38"/>
  <c r="AG147" i="38"/>
  <c r="AF147" i="38"/>
  <c r="AE147" i="38"/>
  <c r="AD147" i="38"/>
  <c r="AC147" i="38"/>
  <c r="AB147" i="38"/>
  <c r="AA147" i="38"/>
  <c r="AH146" i="38"/>
  <c r="AG146" i="38"/>
  <c r="AF146" i="38"/>
  <c r="AE146" i="38"/>
  <c r="AD146" i="38"/>
  <c r="AC146" i="38"/>
  <c r="AB146" i="38"/>
  <c r="AA146" i="38"/>
  <c r="AH145" i="38"/>
  <c r="AG145" i="38"/>
  <c r="AF145" i="38"/>
  <c r="AE145" i="38"/>
  <c r="AD145" i="38"/>
  <c r="AC145" i="38"/>
  <c r="AB145" i="38"/>
  <c r="AA145" i="38"/>
  <c r="AH144" i="38"/>
  <c r="AG144" i="38"/>
  <c r="AF144" i="38"/>
  <c r="AE144" i="38"/>
  <c r="AD144" i="38"/>
  <c r="AC144" i="38"/>
  <c r="AB144" i="38"/>
  <c r="AA144" i="38"/>
  <c r="AH142" i="38"/>
  <c r="AG142" i="38"/>
  <c r="AF142" i="38"/>
  <c r="AE142" i="38"/>
  <c r="AD142" i="38"/>
  <c r="AC142" i="38"/>
  <c r="AB142" i="38"/>
  <c r="AA142" i="38"/>
  <c r="AH141" i="38"/>
  <c r="AG141" i="38"/>
  <c r="AF141" i="38"/>
  <c r="AE141" i="38"/>
  <c r="AD141" i="38"/>
  <c r="AC141" i="38"/>
  <c r="AB141" i="38"/>
  <c r="AA141" i="38"/>
  <c r="AH140" i="38"/>
  <c r="AG140" i="38"/>
  <c r="AF140" i="38"/>
  <c r="AE140" i="38"/>
  <c r="AD140" i="38"/>
  <c r="AC140" i="38"/>
  <c r="AB140" i="38"/>
  <c r="AA140" i="38"/>
  <c r="AH139" i="38"/>
  <c r="AG139" i="38"/>
  <c r="AF139" i="38"/>
  <c r="AE139" i="38"/>
  <c r="AD139" i="38"/>
  <c r="AC139" i="38"/>
  <c r="AB139" i="38"/>
  <c r="AA139" i="38"/>
  <c r="AH138" i="38"/>
  <c r="AG138" i="38"/>
  <c r="AF138" i="38"/>
  <c r="AE138" i="38"/>
  <c r="AD138" i="38"/>
  <c r="AC138" i="38"/>
  <c r="AB138" i="38"/>
  <c r="AA138" i="38"/>
  <c r="AH137" i="38"/>
  <c r="AG137" i="38"/>
  <c r="AF137" i="38"/>
  <c r="AE137" i="38"/>
  <c r="AD137" i="38"/>
  <c r="AC137" i="38"/>
  <c r="AB137" i="38"/>
  <c r="AA137" i="38"/>
  <c r="AH135" i="38"/>
  <c r="AG135" i="38"/>
  <c r="AF135" i="38"/>
  <c r="AE135" i="38"/>
  <c r="AD135" i="38"/>
  <c r="AC135" i="38"/>
  <c r="AB135" i="38"/>
  <c r="AA135" i="38"/>
  <c r="AH134" i="38"/>
  <c r="AG134" i="38"/>
  <c r="AF134" i="38"/>
  <c r="AE134" i="38"/>
  <c r="AD134" i="38"/>
  <c r="AC134" i="38"/>
  <c r="AB134" i="38"/>
  <c r="AA134" i="38"/>
  <c r="AH133" i="38"/>
  <c r="AG133" i="38"/>
  <c r="AF133" i="38"/>
  <c r="AE133" i="38"/>
  <c r="AD133" i="38"/>
  <c r="AC133" i="38"/>
  <c r="AB133" i="38"/>
  <c r="AA133" i="38"/>
  <c r="AH132" i="38"/>
  <c r="AG132" i="38"/>
  <c r="AF132" i="38"/>
  <c r="AE132" i="38"/>
  <c r="AD132" i="38"/>
  <c r="AC132" i="38"/>
  <c r="AB132" i="38"/>
  <c r="AA132" i="38"/>
  <c r="AH131" i="38"/>
  <c r="AG131" i="38"/>
  <c r="AF131" i="38"/>
  <c r="AE131" i="38"/>
  <c r="AD131" i="38"/>
  <c r="AC131" i="38"/>
  <c r="AB131" i="38"/>
  <c r="AA131" i="38"/>
  <c r="AH129" i="38"/>
  <c r="AG129" i="38"/>
  <c r="AF129" i="38"/>
  <c r="AE129" i="38"/>
  <c r="AD129" i="38"/>
  <c r="AC129" i="38"/>
  <c r="AB129" i="38"/>
  <c r="AA129" i="38"/>
  <c r="AH128" i="38"/>
  <c r="AG128" i="38"/>
  <c r="AF128" i="38"/>
  <c r="AE128" i="38"/>
  <c r="AD128" i="38"/>
  <c r="AC128" i="38"/>
  <c r="AB128" i="38"/>
  <c r="AA128" i="38"/>
  <c r="AH127" i="38"/>
  <c r="AG127" i="38"/>
  <c r="AF127" i="38"/>
  <c r="AE127" i="38"/>
  <c r="AD127" i="38"/>
  <c r="AC127" i="38"/>
  <c r="AB127" i="38"/>
  <c r="AA127" i="38"/>
  <c r="AH126" i="38"/>
  <c r="AG126" i="38"/>
  <c r="AF126" i="38"/>
  <c r="AE126" i="38"/>
  <c r="AD126" i="38"/>
  <c r="AC126" i="38"/>
  <c r="AB126" i="38"/>
  <c r="AA126" i="38"/>
  <c r="AH125" i="38"/>
  <c r="AG125" i="38"/>
  <c r="AF125" i="38"/>
  <c r="AE125" i="38"/>
  <c r="AD125" i="38"/>
  <c r="AC125" i="38"/>
  <c r="AB125" i="38"/>
  <c r="AA125" i="38"/>
  <c r="AH123" i="38"/>
  <c r="AG123" i="38"/>
  <c r="AF123" i="38"/>
  <c r="AE123" i="38"/>
  <c r="AD123" i="38"/>
  <c r="AC123" i="38"/>
  <c r="AB123" i="38"/>
  <c r="AA123" i="38"/>
  <c r="AH122" i="38"/>
  <c r="AG122" i="38"/>
  <c r="AF122" i="38"/>
  <c r="AE122" i="38"/>
  <c r="AD122" i="38"/>
  <c r="AC122" i="38"/>
  <c r="AB122" i="38"/>
  <c r="AA122" i="38"/>
  <c r="AH121" i="38"/>
  <c r="AG121" i="38"/>
  <c r="AF121" i="38"/>
  <c r="AE121" i="38"/>
  <c r="AD121" i="38"/>
  <c r="AC121" i="38"/>
  <c r="AB121" i="38"/>
  <c r="AA121" i="38"/>
  <c r="AH120" i="38"/>
  <c r="AG120" i="38"/>
  <c r="AF120" i="38"/>
  <c r="AE120" i="38"/>
  <c r="AD120" i="38"/>
  <c r="AC120" i="38"/>
  <c r="AB120" i="38"/>
  <c r="AA120" i="38"/>
  <c r="AH118" i="38"/>
  <c r="AG118" i="38"/>
  <c r="AF118" i="38"/>
  <c r="AE118" i="38"/>
  <c r="AD118" i="38"/>
  <c r="AC118" i="38"/>
  <c r="AB118" i="38"/>
  <c r="AA118" i="38"/>
  <c r="AH117" i="38"/>
  <c r="AG117" i="38"/>
  <c r="AF117" i="38"/>
  <c r="AE117" i="38"/>
  <c r="AD117" i="38"/>
  <c r="AC117" i="38"/>
  <c r="AB117" i="38"/>
  <c r="AA117" i="38"/>
  <c r="AH116" i="38"/>
  <c r="AG116" i="38"/>
  <c r="AF116" i="38"/>
  <c r="AE116" i="38"/>
  <c r="AD116" i="38"/>
  <c r="AC116" i="38"/>
  <c r="AB116" i="38"/>
  <c r="AA116" i="38"/>
  <c r="AH115" i="38"/>
  <c r="AG115" i="38"/>
  <c r="AF115" i="38"/>
  <c r="AE115" i="38"/>
  <c r="AD115" i="38"/>
  <c r="AC115" i="38"/>
  <c r="AB115" i="38"/>
  <c r="AA115" i="38"/>
  <c r="AH114" i="38"/>
  <c r="AG114" i="38"/>
  <c r="AF114" i="38"/>
  <c r="AE114" i="38"/>
  <c r="AD114" i="38"/>
  <c r="AC114" i="38"/>
  <c r="AB114" i="38"/>
  <c r="AA114" i="38"/>
  <c r="AH111" i="38"/>
  <c r="AG111" i="38"/>
  <c r="AF111" i="38"/>
  <c r="AE111" i="38"/>
  <c r="AD111" i="38"/>
  <c r="AC111" i="38"/>
  <c r="AB111" i="38"/>
  <c r="AA111" i="38"/>
  <c r="AH110" i="38"/>
  <c r="AG110" i="38"/>
  <c r="AF110" i="38"/>
  <c r="AE110" i="38"/>
  <c r="AD110" i="38"/>
  <c r="AC110" i="38"/>
  <c r="AB110" i="38"/>
  <c r="AA110" i="38"/>
  <c r="AH109" i="38"/>
  <c r="AG109" i="38"/>
  <c r="AF109" i="38"/>
  <c r="AE109" i="38"/>
  <c r="AD109" i="38"/>
  <c r="AC109" i="38"/>
  <c r="AB109" i="38"/>
  <c r="AA109" i="38"/>
  <c r="AH108" i="38"/>
  <c r="AG108" i="38"/>
  <c r="AF108" i="38"/>
  <c r="AE108" i="38"/>
  <c r="AD108" i="38"/>
  <c r="AC108" i="38"/>
  <c r="AB108" i="38"/>
  <c r="AA108" i="38"/>
  <c r="AH107" i="38"/>
  <c r="AG107" i="38"/>
  <c r="AF107" i="38"/>
  <c r="AE107" i="38"/>
  <c r="AD107" i="38"/>
  <c r="AC107" i="38"/>
  <c r="AB107" i="38"/>
  <c r="AA107" i="38"/>
  <c r="AH106" i="38"/>
  <c r="AG106" i="38"/>
  <c r="AF106" i="38"/>
  <c r="AE106" i="38"/>
  <c r="AD106" i="38"/>
  <c r="AC106" i="38"/>
  <c r="AB106" i="38"/>
  <c r="AA106" i="38"/>
  <c r="AH104" i="38"/>
  <c r="AG104" i="38"/>
  <c r="AF104" i="38"/>
  <c r="AE104" i="38"/>
  <c r="AD104" i="38"/>
  <c r="AC104" i="38"/>
  <c r="AB104" i="38"/>
  <c r="AA104" i="38"/>
  <c r="AH103" i="38"/>
  <c r="AG103" i="38"/>
  <c r="AF103" i="38"/>
  <c r="AE103" i="38"/>
  <c r="AD103" i="38"/>
  <c r="AC103" i="38"/>
  <c r="AB103" i="38"/>
  <c r="AA103" i="38"/>
  <c r="AH102" i="38"/>
  <c r="AG102" i="38"/>
  <c r="AF102" i="38"/>
  <c r="AE102" i="38"/>
  <c r="AD102" i="38"/>
  <c r="AC102" i="38"/>
  <c r="AB102" i="38"/>
  <c r="AA102" i="38"/>
  <c r="AH101" i="38"/>
  <c r="AG101" i="38"/>
  <c r="AF101" i="38"/>
  <c r="AE101" i="38"/>
  <c r="AD101" i="38"/>
  <c r="AC101" i="38"/>
  <c r="AB101" i="38"/>
  <c r="AA101" i="38"/>
  <c r="AH100" i="38"/>
  <c r="AG100" i="38"/>
  <c r="AF100" i="38"/>
  <c r="AE100" i="38"/>
  <c r="AD100" i="38"/>
  <c r="AC100" i="38"/>
  <c r="AB100" i="38"/>
  <c r="AA100" i="38"/>
  <c r="AH99" i="38"/>
  <c r="AG99" i="38"/>
  <c r="AF99" i="38"/>
  <c r="AE99" i="38"/>
  <c r="AD99" i="38"/>
  <c r="AC99" i="38"/>
  <c r="AB99" i="38"/>
  <c r="AA99" i="38"/>
  <c r="AH98" i="38"/>
  <c r="AG98" i="38"/>
  <c r="AF98" i="38"/>
  <c r="AE98" i="38"/>
  <c r="AD98" i="38"/>
  <c r="AC98" i="38"/>
  <c r="AB98" i="38"/>
  <c r="AA98" i="38"/>
  <c r="AH97" i="38"/>
  <c r="AG97" i="38"/>
  <c r="AF97" i="38"/>
  <c r="AE97" i="38"/>
  <c r="AD97" i="38"/>
  <c r="AC97" i="38"/>
  <c r="AB97" i="38"/>
  <c r="AA97" i="38"/>
  <c r="AH95" i="38"/>
  <c r="AG95" i="38"/>
  <c r="AF95" i="38"/>
  <c r="AE95" i="38"/>
  <c r="AD95" i="38"/>
  <c r="AC95" i="38"/>
  <c r="AB95" i="38"/>
  <c r="AA95" i="38"/>
  <c r="AH94" i="38"/>
  <c r="AG94" i="38"/>
  <c r="AF94" i="38"/>
  <c r="AE94" i="38"/>
  <c r="AD94" i="38"/>
  <c r="AC94" i="38"/>
  <c r="AB94" i="38"/>
  <c r="AA94" i="38"/>
  <c r="AH93" i="38"/>
  <c r="AG93" i="38"/>
  <c r="AF93" i="38"/>
  <c r="AE93" i="38"/>
  <c r="AD93" i="38"/>
  <c r="AC93" i="38"/>
  <c r="AB93" i="38"/>
  <c r="AA93" i="38"/>
  <c r="AH92" i="38"/>
  <c r="AG92" i="38"/>
  <c r="AF92" i="38"/>
  <c r="AE92" i="38"/>
  <c r="AD92" i="38"/>
  <c r="AC92" i="38"/>
  <c r="AB92" i="38"/>
  <c r="AA92" i="38"/>
  <c r="AH91" i="38"/>
  <c r="AG91" i="38"/>
  <c r="AF91" i="38"/>
  <c r="AE91" i="38"/>
  <c r="AD91" i="38"/>
  <c r="AC91" i="38"/>
  <c r="AB91" i="38"/>
  <c r="AA91" i="38"/>
  <c r="AH90" i="38"/>
  <c r="AG90" i="38"/>
  <c r="AF90" i="38"/>
  <c r="AE90" i="38"/>
  <c r="AD90" i="38"/>
  <c r="AC90" i="38"/>
  <c r="AB90" i="38"/>
  <c r="AA90" i="38"/>
  <c r="AH88" i="38"/>
  <c r="AG88" i="38"/>
  <c r="AF88" i="38"/>
  <c r="AE88" i="38"/>
  <c r="AD88" i="38"/>
  <c r="AC88" i="38"/>
  <c r="AB88" i="38"/>
  <c r="AA88" i="38"/>
  <c r="AH87" i="38"/>
  <c r="AG87" i="38"/>
  <c r="AF87" i="38"/>
  <c r="AE87" i="38"/>
  <c r="AD87" i="38"/>
  <c r="AC87" i="38"/>
  <c r="AB87" i="38"/>
  <c r="AA87" i="38"/>
  <c r="AH86" i="38"/>
  <c r="AG86" i="38"/>
  <c r="AF86" i="38"/>
  <c r="AE86" i="38"/>
  <c r="AD86" i="38"/>
  <c r="AC86" i="38"/>
  <c r="AB86" i="38"/>
  <c r="AA86" i="38"/>
  <c r="AH85" i="38"/>
  <c r="AG85" i="38"/>
  <c r="AF85" i="38"/>
  <c r="AE85" i="38"/>
  <c r="AD85" i="38"/>
  <c r="AC85" i="38"/>
  <c r="AB85" i="38"/>
  <c r="AA85" i="38"/>
  <c r="AH84" i="38"/>
  <c r="AG84" i="38"/>
  <c r="AF84" i="38"/>
  <c r="AE84" i="38"/>
  <c r="AD84" i="38"/>
  <c r="AC84" i="38"/>
  <c r="AB84" i="38"/>
  <c r="AA84" i="38"/>
  <c r="AH82" i="38"/>
  <c r="AG82" i="38"/>
  <c r="AF82" i="38"/>
  <c r="AE82" i="38"/>
  <c r="AD82" i="38"/>
  <c r="AC82" i="38"/>
  <c r="AB82" i="38"/>
  <c r="AA82" i="38"/>
  <c r="AH81" i="38"/>
  <c r="AG81" i="38"/>
  <c r="AF81" i="38"/>
  <c r="AE81" i="38"/>
  <c r="AD81" i="38"/>
  <c r="AC81" i="38"/>
  <c r="AB81" i="38"/>
  <c r="AA81" i="38"/>
  <c r="AH80" i="38"/>
  <c r="AG80" i="38"/>
  <c r="AF80" i="38"/>
  <c r="AE80" i="38"/>
  <c r="AD80" i="38"/>
  <c r="AC80" i="38"/>
  <c r="AB80" i="38"/>
  <c r="AA80" i="38"/>
  <c r="AH78" i="38"/>
  <c r="AG78" i="38"/>
  <c r="AF78" i="38"/>
  <c r="AE78" i="38"/>
  <c r="AD78" i="38"/>
  <c r="AC78" i="38"/>
  <c r="AB78" i="38"/>
  <c r="AA78" i="38"/>
  <c r="AH77" i="38"/>
  <c r="AG77" i="38"/>
  <c r="AF77" i="38"/>
  <c r="AE77" i="38"/>
  <c r="AD77" i="38"/>
  <c r="AC77" i="38"/>
  <c r="AB77" i="38"/>
  <c r="AA77" i="38"/>
  <c r="AH76" i="38"/>
  <c r="AG76" i="38"/>
  <c r="AF76" i="38"/>
  <c r="AE76" i="38"/>
  <c r="AD76" i="38"/>
  <c r="AC76" i="38"/>
  <c r="AB76" i="38"/>
  <c r="AA76" i="38"/>
  <c r="AH75" i="38"/>
  <c r="AG75" i="38"/>
  <c r="AF75" i="38"/>
  <c r="AE75" i="38"/>
  <c r="AD75" i="38"/>
  <c r="AC75" i="38"/>
  <c r="AB75" i="38"/>
  <c r="AA75" i="38"/>
  <c r="AH74" i="38"/>
  <c r="AG74" i="38"/>
  <c r="AF74" i="38"/>
  <c r="AE74" i="38"/>
  <c r="AD74" i="38"/>
  <c r="AC74" i="38"/>
  <c r="AB74" i="38"/>
  <c r="AA74" i="38"/>
  <c r="AH73" i="38"/>
  <c r="AG73" i="38"/>
  <c r="AF73" i="38"/>
  <c r="AE73" i="38"/>
  <c r="AD73" i="38"/>
  <c r="AC73" i="38"/>
  <c r="AB73" i="38"/>
  <c r="AA73" i="38"/>
  <c r="AH72" i="38"/>
  <c r="AG72" i="38"/>
  <c r="AF72" i="38"/>
  <c r="AE72" i="38"/>
  <c r="AD72" i="38"/>
  <c r="AC72" i="38"/>
  <c r="AB72" i="38"/>
  <c r="AA72" i="38"/>
  <c r="AH71" i="38"/>
  <c r="AG71" i="38"/>
  <c r="AF71" i="38"/>
  <c r="AE71" i="38"/>
  <c r="AD71" i="38"/>
  <c r="AC71" i="38"/>
  <c r="AB71" i="38"/>
  <c r="AA71" i="38"/>
  <c r="AH68" i="38"/>
  <c r="AG68" i="38"/>
  <c r="AF68" i="38"/>
  <c r="AE68" i="38"/>
  <c r="AD68" i="38"/>
  <c r="AC68" i="38"/>
  <c r="AB68" i="38"/>
  <c r="AA68" i="38"/>
  <c r="AH67" i="38"/>
  <c r="AG67" i="38"/>
  <c r="AF67" i="38"/>
  <c r="AE67" i="38"/>
  <c r="AD67" i="38"/>
  <c r="AC67" i="38"/>
  <c r="AB67" i="38"/>
  <c r="AA67" i="38"/>
  <c r="AH66" i="38"/>
  <c r="AG66" i="38"/>
  <c r="AF66" i="38"/>
  <c r="AE66" i="38"/>
  <c r="AD66" i="38"/>
  <c r="AC66" i="38"/>
  <c r="AB66" i="38"/>
  <c r="AA66" i="38"/>
  <c r="AH65" i="38"/>
  <c r="AG65" i="38"/>
  <c r="AF65" i="38"/>
  <c r="AE65" i="38"/>
  <c r="AD65" i="38"/>
  <c r="AC65" i="38"/>
  <c r="AB65" i="38"/>
  <c r="AA65" i="38"/>
  <c r="AH64" i="38"/>
  <c r="AG64" i="38"/>
  <c r="AF64" i="38"/>
  <c r="AE64" i="38"/>
  <c r="AD64" i="38"/>
  <c r="AC64" i="38"/>
  <c r="AB64" i="38"/>
  <c r="AA64" i="38"/>
  <c r="AH63" i="38"/>
  <c r="AG63" i="38"/>
  <c r="AF63" i="38"/>
  <c r="AE63" i="38"/>
  <c r="AD63" i="38"/>
  <c r="AC63" i="38"/>
  <c r="AB63" i="38"/>
  <c r="AA63" i="38"/>
  <c r="AH62" i="38"/>
  <c r="AG62" i="38"/>
  <c r="AF62" i="38"/>
  <c r="AE62" i="38"/>
  <c r="AD62" i="38"/>
  <c r="AC62" i="38"/>
  <c r="AB62" i="38"/>
  <c r="AA62" i="38"/>
  <c r="AH60" i="38"/>
  <c r="AG60" i="38"/>
  <c r="AF60" i="38"/>
  <c r="AE60" i="38"/>
  <c r="AD60" i="38"/>
  <c r="AC60" i="38"/>
  <c r="AB60" i="38"/>
  <c r="AA60" i="38"/>
  <c r="AH59" i="38"/>
  <c r="AG59" i="38"/>
  <c r="AF59" i="38"/>
  <c r="AE59" i="38"/>
  <c r="AD59" i="38"/>
  <c r="AC59" i="38"/>
  <c r="AB59" i="38"/>
  <c r="AA59" i="38"/>
  <c r="AH58" i="38"/>
  <c r="AG58" i="38"/>
  <c r="AF58" i="38"/>
  <c r="AE58" i="38"/>
  <c r="AD58" i="38"/>
  <c r="AC58" i="38"/>
  <c r="AB58" i="38"/>
  <c r="AA58" i="38"/>
  <c r="AH57" i="38"/>
  <c r="AG57" i="38"/>
  <c r="AF57" i="38"/>
  <c r="AE57" i="38"/>
  <c r="AD57" i="38"/>
  <c r="AC57" i="38"/>
  <c r="AB57" i="38"/>
  <c r="AA57" i="38"/>
  <c r="AH56" i="38"/>
  <c r="AG56" i="38"/>
  <c r="AF56" i="38"/>
  <c r="AE56" i="38"/>
  <c r="AD56" i="38"/>
  <c r="AC56" i="38"/>
  <c r="AB56" i="38"/>
  <c r="AA56" i="38"/>
  <c r="AH55" i="38"/>
  <c r="AG55" i="38"/>
  <c r="AF55" i="38"/>
  <c r="AE55" i="38"/>
  <c r="AD55" i="38"/>
  <c r="AC55" i="38"/>
  <c r="AB55" i="38"/>
  <c r="AA55" i="38"/>
  <c r="AH53" i="38"/>
  <c r="AG53" i="38"/>
  <c r="AF53" i="38"/>
  <c r="AE53" i="38"/>
  <c r="AD53" i="38"/>
  <c r="AC53" i="38"/>
  <c r="AB53" i="38"/>
  <c r="AA53" i="38"/>
  <c r="AH52" i="38"/>
  <c r="AG52" i="38"/>
  <c r="AF52" i="38"/>
  <c r="AE52" i="38"/>
  <c r="AD52" i="38"/>
  <c r="AC52" i="38"/>
  <c r="AB52" i="38"/>
  <c r="AA52" i="38"/>
  <c r="AH51" i="38"/>
  <c r="AG51" i="38"/>
  <c r="AF51" i="38"/>
  <c r="AE51" i="38"/>
  <c r="AD51" i="38"/>
  <c r="AC51" i="38"/>
  <c r="AB51" i="38"/>
  <c r="AA51" i="38"/>
  <c r="AH50" i="38"/>
  <c r="AG50" i="38"/>
  <c r="AF50" i="38"/>
  <c r="AE50" i="38"/>
  <c r="AD50" i="38"/>
  <c r="AC50" i="38"/>
  <c r="AB50" i="38"/>
  <c r="AA50" i="38"/>
  <c r="AH49" i="38"/>
  <c r="AG49" i="38"/>
  <c r="AF49" i="38"/>
  <c r="AE49" i="38"/>
  <c r="AD49" i="38"/>
  <c r="AC49" i="38"/>
  <c r="AB49" i="38"/>
  <c r="AA49" i="38"/>
  <c r="AH48" i="38"/>
  <c r="AG48" i="38"/>
  <c r="AF48" i="38"/>
  <c r="AE48" i="38"/>
  <c r="AD48" i="38"/>
  <c r="AC48" i="38"/>
  <c r="AB48" i="38"/>
  <c r="AA48" i="38"/>
  <c r="AH47" i="38"/>
  <c r="AG47" i="38"/>
  <c r="AF47" i="38"/>
  <c r="AE47" i="38"/>
  <c r="AD47" i="38"/>
  <c r="AC47" i="38"/>
  <c r="AB47" i="38"/>
  <c r="AA47" i="38"/>
  <c r="AH46" i="38"/>
  <c r="AG46" i="38"/>
  <c r="AF46" i="38"/>
  <c r="AE46" i="38"/>
  <c r="AD46" i="38"/>
  <c r="AC46" i="38"/>
  <c r="AB46" i="38"/>
  <c r="AA46" i="38"/>
  <c r="AH45" i="38"/>
  <c r="AG45" i="38"/>
  <c r="AF45" i="38"/>
  <c r="AE45" i="38"/>
  <c r="AD45" i="38"/>
  <c r="AC45" i="38"/>
  <c r="AB45" i="38"/>
  <c r="AA45" i="38"/>
  <c r="AH44" i="38"/>
  <c r="AG44" i="38"/>
  <c r="AF44" i="38"/>
  <c r="AE44" i="38"/>
  <c r="AD44" i="38"/>
  <c r="AC44" i="38"/>
  <c r="AB44" i="38"/>
  <c r="AA44" i="38"/>
  <c r="AH41" i="38"/>
  <c r="AG41" i="38"/>
  <c r="AF41" i="38"/>
  <c r="AE41" i="38"/>
  <c r="AD41" i="38"/>
  <c r="AC41" i="38"/>
  <c r="AB41" i="38"/>
  <c r="AA41" i="38"/>
  <c r="AH40" i="38"/>
  <c r="AG40" i="38"/>
  <c r="AF40" i="38"/>
  <c r="AE40" i="38"/>
  <c r="AD40" i="38"/>
  <c r="AC40" i="38"/>
  <c r="AB40" i="38"/>
  <c r="AA40" i="38"/>
  <c r="AH39" i="38"/>
  <c r="AG39" i="38"/>
  <c r="AF39" i="38"/>
  <c r="AE39" i="38"/>
  <c r="AD39" i="38"/>
  <c r="AC39" i="38"/>
  <c r="AB39" i="38"/>
  <c r="AA39" i="38"/>
  <c r="AH38" i="38"/>
  <c r="AG38" i="38"/>
  <c r="AF38" i="38"/>
  <c r="AE38" i="38"/>
  <c r="AD38" i="38"/>
  <c r="AC38" i="38"/>
  <c r="AB38" i="38"/>
  <c r="AA38" i="38"/>
  <c r="AH37" i="38"/>
  <c r="AG37" i="38"/>
  <c r="AF37" i="38"/>
  <c r="AE37" i="38"/>
  <c r="AD37" i="38"/>
  <c r="AC37" i="38"/>
  <c r="AB37" i="38"/>
  <c r="AA37" i="38"/>
  <c r="AH36" i="38"/>
  <c r="AG36" i="38"/>
  <c r="AF36" i="38"/>
  <c r="AE36" i="38"/>
  <c r="AD36" i="38"/>
  <c r="AC36" i="38"/>
  <c r="AB36" i="38"/>
  <c r="AA36" i="38"/>
  <c r="AH34" i="38"/>
  <c r="AG34" i="38"/>
  <c r="AF34" i="38"/>
  <c r="AE34" i="38"/>
  <c r="AD34" i="38"/>
  <c r="AC34" i="38"/>
  <c r="AB34" i="38"/>
  <c r="AA34" i="38"/>
  <c r="AH33" i="38"/>
  <c r="AG33" i="38"/>
  <c r="AF33" i="38"/>
  <c r="AE33" i="38"/>
  <c r="AD33" i="38"/>
  <c r="AC33" i="38"/>
  <c r="AB33" i="38"/>
  <c r="AA33" i="38"/>
  <c r="AH32" i="38"/>
  <c r="AG32" i="38"/>
  <c r="AF32" i="38"/>
  <c r="AE32" i="38"/>
  <c r="AD32" i="38"/>
  <c r="AC32" i="38"/>
  <c r="AB32" i="38"/>
  <c r="AA32" i="38"/>
  <c r="AH31" i="38"/>
  <c r="AG31" i="38"/>
  <c r="AF31" i="38"/>
  <c r="AE31" i="38"/>
  <c r="AD31" i="38"/>
  <c r="AC31" i="38"/>
  <c r="AB31" i="38"/>
  <c r="AA31" i="38"/>
  <c r="AH30" i="38"/>
  <c r="AG30" i="38"/>
  <c r="AF30" i="38"/>
  <c r="AE30" i="38"/>
  <c r="AD30" i="38"/>
  <c r="AC30" i="38"/>
  <c r="AB30" i="38"/>
  <c r="AA30" i="38"/>
  <c r="AH29" i="38"/>
  <c r="AG29" i="38"/>
  <c r="AF29" i="38"/>
  <c r="AE29" i="38"/>
  <c r="AD29" i="38"/>
  <c r="AC29" i="38"/>
  <c r="AB29" i="38"/>
  <c r="AA29" i="38"/>
  <c r="AH27" i="38"/>
  <c r="AG27" i="38"/>
  <c r="AF27" i="38"/>
  <c r="AE27" i="38"/>
  <c r="AD27" i="38"/>
  <c r="AC27" i="38"/>
  <c r="AB27" i="38"/>
  <c r="AA27" i="38"/>
  <c r="AH26" i="38"/>
  <c r="AG26" i="38"/>
  <c r="AF26" i="38"/>
  <c r="AE26" i="38"/>
  <c r="AD26" i="38"/>
  <c r="AC26" i="38"/>
  <c r="AB26" i="38"/>
  <c r="AA26" i="38"/>
  <c r="AH25" i="38"/>
  <c r="AG25" i="38"/>
  <c r="AF25" i="38"/>
  <c r="AE25" i="38"/>
  <c r="AD25" i="38"/>
  <c r="AC25" i="38"/>
  <c r="AB25" i="38"/>
  <c r="AA25" i="38"/>
  <c r="AH24" i="38"/>
  <c r="AG24" i="38"/>
  <c r="AF24" i="38"/>
  <c r="AE24" i="38"/>
  <c r="AD24" i="38"/>
  <c r="AC24" i="38"/>
  <c r="AB24" i="38"/>
  <c r="AA24" i="38"/>
  <c r="AH23" i="38"/>
  <c r="AG23" i="38"/>
  <c r="AF23" i="38"/>
  <c r="AE23" i="38"/>
  <c r="AD23" i="38"/>
  <c r="AC23" i="38"/>
  <c r="AB23" i="38"/>
  <c r="AA23" i="38"/>
  <c r="AH21" i="38"/>
  <c r="AG21" i="38"/>
  <c r="AF21" i="38"/>
  <c r="AE21" i="38"/>
  <c r="AD21" i="38"/>
  <c r="AC21" i="38"/>
  <c r="AB21" i="38"/>
  <c r="AA21" i="38"/>
  <c r="AH20" i="38"/>
  <c r="AG20" i="38"/>
  <c r="AF20" i="38"/>
  <c r="AE20" i="38"/>
  <c r="AD20" i="38"/>
  <c r="AC20" i="38"/>
  <c r="AB20" i="38"/>
  <c r="AA20" i="38"/>
  <c r="AH19" i="38"/>
  <c r="AG19" i="38"/>
  <c r="AF19" i="38"/>
  <c r="AE19" i="38"/>
  <c r="AD19" i="38"/>
  <c r="AC19" i="38"/>
  <c r="AB19" i="38"/>
  <c r="AA19" i="38"/>
  <c r="AH18" i="38"/>
  <c r="AG18" i="38"/>
  <c r="AF18" i="38"/>
  <c r="AE18" i="38"/>
  <c r="AD18" i="38"/>
  <c r="AC18" i="38"/>
  <c r="AB18" i="38"/>
  <c r="AA18" i="38"/>
  <c r="AH17" i="38"/>
  <c r="AG17" i="38"/>
  <c r="AF17" i="38"/>
  <c r="AE17" i="38"/>
  <c r="AD17" i="38"/>
  <c r="AC17" i="38"/>
  <c r="AB17" i="38"/>
  <c r="AA17" i="38"/>
  <c r="AH16" i="38"/>
  <c r="AG16" i="38"/>
  <c r="AF16" i="38"/>
  <c r="AE16" i="38"/>
  <c r="AD16" i="38"/>
  <c r="AC16" i="38"/>
  <c r="AB16" i="38"/>
  <c r="AA16" i="38"/>
  <c r="AH15" i="38"/>
  <c r="AG15" i="38"/>
  <c r="AF15" i="38"/>
  <c r="AE15" i="38"/>
  <c r="AD15" i="38"/>
  <c r="AC15" i="38"/>
  <c r="AB15" i="38"/>
  <c r="AA15" i="38"/>
  <c r="AH14" i="38"/>
  <c r="AG14" i="38"/>
  <c r="AF14" i="38"/>
  <c r="AE14" i="38"/>
  <c r="AD14" i="38"/>
  <c r="AC14" i="38"/>
  <c r="AB14" i="38"/>
  <c r="AA14" i="38"/>
  <c r="AH13" i="38"/>
  <c r="AG13" i="38"/>
  <c r="AF13" i="38"/>
  <c r="AE13" i="38"/>
  <c r="AD13" i="38"/>
  <c r="AC13" i="38"/>
  <c r="AB13" i="38"/>
  <c r="AA13" i="38"/>
  <c r="AH11" i="38"/>
  <c r="AG11" i="38"/>
  <c r="AF11" i="38"/>
  <c r="AE11" i="38"/>
  <c r="AD11" i="38"/>
  <c r="AC11" i="38"/>
  <c r="AB11" i="38"/>
  <c r="AA11" i="38"/>
  <c r="AH10" i="38"/>
  <c r="AG10" i="38"/>
  <c r="AF10" i="38"/>
  <c r="AE10" i="38"/>
  <c r="AD10" i="38"/>
  <c r="AC10" i="38"/>
  <c r="AB10" i="38"/>
  <c r="AA10" i="38"/>
  <c r="AH9" i="38"/>
  <c r="AG9" i="38"/>
  <c r="AF9" i="38"/>
  <c r="AE9" i="38"/>
  <c r="AD9" i="38"/>
  <c r="AC9" i="38"/>
  <c r="AB9" i="38"/>
  <c r="AA9" i="38"/>
  <c r="AH8" i="38"/>
  <c r="AG8" i="38"/>
  <c r="AF8" i="38"/>
  <c r="AE8" i="38"/>
  <c r="AD8" i="38"/>
  <c r="AC8" i="38"/>
  <c r="AB8" i="38"/>
  <c r="AA8" i="38"/>
  <c r="AH7" i="38"/>
  <c r="AG7" i="38"/>
  <c r="AF7" i="38"/>
  <c r="AE7" i="38"/>
  <c r="AD7" i="38"/>
  <c r="AC7" i="38"/>
  <c r="AB7" i="38"/>
  <c r="AA7" i="38"/>
  <c r="AH6" i="38"/>
  <c r="AG6" i="38"/>
  <c r="AF6" i="38"/>
  <c r="AE6" i="38"/>
  <c r="AD6" i="38"/>
  <c r="AC6" i="38"/>
  <c r="AB6" i="38"/>
  <c r="AA6" i="38"/>
  <c r="AH5" i="38"/>
  <c r="AG5" i="38"/>
  <c r="AF5" i="38"/>
  <c r="AE5" i="38"/>
  <c r="AD5" i="38"/>
  <c r="AC5" i="38"/>
  <c r="AB5" i="38"/>
  <c r="AA5" i="38"/>
  <c r="AH101" i="37"/>
  <c r="AG101" i="37"/>
  <c r="AF101" i="37"/>
  <c r="AE101" i="37"/>
  <c r="AD101" i="37"/>
  <c r="AC101" i="37"/>
  <c r="AB101" i="37"/>
  <c r="AA101" i="37"/>
  <c r="AH100" i="37"/>
  <c r="AG100" i="37"/>
  <c r="AF100" i="37"/>
  <c r="AE100" i="37"/>
  <c r="AD100" i="37"/>
  <c r="AC100" i="37"/>
  <c r="AB100" i="37"/>
  <c r="AA100" i="37"/>
  <c r="AH99" i="37"/>
  <c r="AG99" i="37"/>
  <c r="AF99" i="37"/>
  <c r="AE99" i="37"/>
  <c r="AD99" i="37"/>
  <c r="AC99" i="37"/>
  <c r="AB99" i="37"/>
  <c r="AA99" i="37"/>
  <c r="AH98" i="37"/>
  <c r="AG98" i="37"/>
  <c r="AF98" i="37"/>
  <c r="AE98" i="37"/>
  <c r="AD98" i="37"/>
  <c r="AC98" i="37"/>
  <c r="AB98" i="37"/>
  <c r="AA98" i="37"/>
  <c r="AH97" i="37"/>
  <c r="AG97" i="37"/>
  <c r="AF97" i="37"/>
  <c r="AE97" i="37"/>
  <c r="AD97" i="37"/>
  <c r="AC97" i="37"/>
  <c r="AB97" i="37"/>
  <c r="AA97" i="37"/>
  <c r="AH96" i="37"/>
  <c r="AG96" i="37"/>
  <c r="AF96" i="37"/>
  <c r="AE96" i="37"/>
  <c r="AD96" i="37"/>
  <c r="AC96" i="37"/>
  <c r="AB96" i="37"/>
  <c r="AA96" i="37"/>
  <c r="AH94" i="37"/>
  <c r="AG94" i="37"/>
  <c r="AF94" i="37"/>
  <c r="AE94" i="37"/>
  <c r="AD94" i="37"/>
  <c r="AC94" i="37"/>
  <c r="AB94" i="37"/>
  <c r="AA94" i="37"/>
  <c r="AH93" i="37"/>
  <c r="AG93" i="37"/>
  <c r="AF93" i="37"/>
  <c r="AE93" i="37"/>
  <c r="AD93" i="37"/>
  <c r="AC93" i="37"/>
  <c r="AB93" i="37"/>
  <c r="AA93" i="37"/>
  <c r="AH92" i="37"/>
  <c r="AG92" i="37"/>
  <c r="AF92" i="37"/>
  <c r="AE92" i="37"/>
  <c r="AD92" i="37"/>
  <c r="AC92" i="37"/>
  <c r="AB92" i="37"/>
  <c r="AA92" i="37"/>
  <c r="AH91" i="37"/>
  <c r="AG91" i="37"/>
  <c r="AF91" i="37"/>
  <c r="AE91" i="37"/>
  <c r="AD91" i="37"/>
  <c r="AC91" i="37"/>
  <c r="AB91" i="37"/>
  <c r="AA91" i="37"/>
  <c r="AH90" i="37"/>
  <c r="AG90" i="37"/>
  <c r="AF90" i="37"/>
  <c r="AE90" i="37"/>
  <c r="AD90" i="37"/>
  <c r="AC90" i="37"/>
  <c r="AB90" i="37"/>
  <c r="AA90" i="37"/>
  <c r="AH88" i="37"/>
  <c r="AG88" i="37"/>
  <c r="AF88" i="37"/>
  <c r="AE88" i="37"/>
  <c r="AD88" i="37"/>
  <c r="AC88" i="37"/>
  <c r="AB88" i="37"/>
  <c r="AA88" i="37"/>
  <c r="AH87" i="37"/>
  <c r="AG87" i="37"/>
  <c r="AF87" i="37"/>
  <c r="AE87" i="37"/>
  <c r="AD87" i="37"/>
  <c r="AC87" i="37"/>
  <c r="AB87" i="37"/>
  <c r="AA87" i="37"/>
  <c r="AH86" i="37"/>
  <c r="AG86" i="37"/>
  <c r="AF86" i="37"/>
  <c r="AE86" i="37"/>
  <c r="AD86" i="37"/>
  <c r="AC86" i="37"/>
  <c r="AB86" i="37"/>
  <c r="AA86" i="37"/>
  <c r="AH85" i="37"/>
  <c r="AG85" i="37"/>
  <c r="AF85" i="37"/>
  <c r="AE85" i="37"/>
  <c r="AD85" i="37"/>
  <c r="AC85" i="37"/>
  <c r="AB85" i="37"/>
  <c r="AA85" i="37"/>
  <c r="AH84" i="37"/>
  <c r="AG84" i="37"/>
  <c r="AF84" i="37"/>
  <c r="AE84" i="37"/>
  <c r="AD84" i="37"/>
  <c r="AC84" i="37"/>
  <c r="AB84" i="37"/>
  <c r="AA84" i="37"/>
  <c r="AH83" i="37"/>
  <c r="AG83" i="37"/>
  <c r="AF83" i="37"/>
  <c r="AE83" i="37"/>
  <c r="AD83" i="37"/>
  <c r="AC83" i="37"/>
  <c r="AB83" i="37"/>
  <c r="AA83" i="37"/>
  <c r="AH82" i="37"/>
  <c r="AG82" i="37"/>
  <c r="AF82" i="37"/>
  <c r="AE82" i="37"/>
  <c r="AD82" i="37"/>
  <c r="AC82" i="37"/>
  <c r="AB82" i="37"/>
  <c r="AA82" i="37"/>
  <c r="AH81" i="37"/>
  <c r="AG81" i="37"/>
  <c r="AF81" i="37"/>
  <c r="AE81" i="37"/>
  <c r="AD81" i="37"/>
  <c r="AC81" i="37"/>
  <c r="AB81" i="37"/>
  <c r="AA81" i="37"/>
  <c r="AH80" i="37"/>
  <c r="AG80" i="37"/>
  <c r="AF80" i="37"/>
  <c r="AE80" i="37"/>
  <c r="AD80" i="37"/>
  <c r="AC80" i="37"/>
  <c r="AB80" i="37"/>
  <c r="AA80" i="37"/>
  <c r="AH79" i="37"/>
  <c r="AG79" i="37"/>
  <c r="AF79" i="37"/>
  <c r="AE79" i="37"/>
  <c r="AD79" i="37"/>
  <c r="AC79" i="37"/>
  <c r="AB79" i="37"/>
  <c r="AA79" i="37"/>
  <c r="AH78" i="37"/>
  <c r="AG78" i="37"/>
  <c r="AF78" i="37"/>
  <c r="AE78" i="37"/>
  <c r="AD78" i="37"/>
  <c r="AC78" i="37"/>
  <c r="AB78" i="37"/>
  <c r="AA78" i="37"/>
  <c r="AH77" i="37"/>
  <c r="AG77" i="37"/>
  <c r="AF77" i="37"/>
  <c r="AE77" i="37"/>
  <c r="AD77" i="37"/>
  <c r="AC77" i="37"/>
  <c r="AB77" i="37"/>
  <c r="AA77" i="37"/>
  <c r="AH76" i="37"/>
  <c r="AG76" i="37"/>
  <c r="AF76" i="37"/>
  <c r="AE76" i="37"/>
  <c r="AD76" i="37"/>
  <c r="AC76" i="37"/>
  <c r="AB76" i="37"/>
  <c r="AA76" i="37"/>
  <c r="AH75" i="37"/>
  <c r="AG75" i="37"/>
  <c r="AF75" i="37"/>
  <c r="AE75" i="37"/>
  <c r="AD75" i="37"/>
  <c r="AC75" i="37"/>
  <c r="AB75" i="37"/>
  <c r="AA75" i="37"/>
  <c r="AH73" i="37"/>
  <c r="AG73" i="37"/>
  <c r="AF73" i="37"/>
  <c r="AE73" i="37"/>
  <c r="AD73" i="37"/>
  <c r="AC73" i="37"/>
  <c r="AB73" i="37"/>
  <c r="AA73" i="37"/>
  <c r="AH72" i="37"/>
  <c r="AG72" i="37"/>
  <c r="AF72" i="37"/>
  <c r="AE72" i="37"/>
  <c r="AD72" i="37"/>
  <c r="AC72" i="37"/>
  <c r="AB72" i="37"/>
  <c r="AA72" i="37"/>
  <c r="AH71" i="37"/>
  <c r="AG71" i="37"/>
  <c r="AF71" i="37"/>
  <c r="AE71" i="37"/>
  <c r="AD71" i="37"/>
  <c r="AC71" i="37"/>
  <c r="AB71" i="37"/>
  <c r="AA71" i="37"/>
  <c r="AH70" i="37"/>
  <c r="AG70" i="37"/>
  <c r="AF70" i="37"/>
  <c r="AE70" i="37"/>
  <c r="AD70" i="37"/>
  <c r="AC70" i="37"/>
  <c r="AB70" i="37"/>
  <c r="AA70" i="37"/>
  <c r="AH69" i="37"/>
  <c r="AG69" i="37"/>
  <c r="AF69" i="37"/>
  <c r="AE69" i="37"/>
  <c r="AD69" i="37"/>
  <c r="AC69" i="37"/>
  <c r="AB69" i="37"/>
  <c r="AA69" i="37"/>
  <c r="AH67" i="37"/>
  <c r="AG67" i="37"/>
  <c r="AF67" i="37"/>
  <c r="AE67" i="37"/>
  <c r="AD67" i="37"/>
  <c r="AC67" i="37"/>
  <c r="AB67" i="37"/>
  <c r="AA67" i="37"/>
  <c r="AH66" i="37"/>
  <c r="AG66" i="37"/>
  <c r="AF66" i="37"/>
  <c r="AE66" i="37"/>
  <c r="AD66" i="37"/>
  <c r="AC66" i="37"/>
  <c r="AB66" i="37"/>
  <c r="AA66" i="37"/>
  <c r="AH65" i="37"/>
  <c r="AG65" i="37"/>
  <c r="AF65" i="37"/>
  <c r="AE65" i="37"/>
  <c r="AD65" i="37"/>
  <c r="AC65" i="37"/>
  <c r="AB65" i="37"/>
  <c r="AA65" i="37"/>
  <c r="AH64" i="37"/>
  <c r="AG64" i="37"/>
  <c r="AF64" i="37"/>
  <c r="AE64" i="37"/>
  <c r="AD64" i="37"/>
  <c r="AC64" i="37"/>
  <c r="AB64" i="37"/>
  <c r="AA64" i="37"/>
  <c r="AH62" i="37"/>
  <c r="AG62" i="37"/>
  <c r="AF62" i="37"/>
  <c r="AE62" i="37"/>
  <c r="AD62" i="37"/>
  <c r="AC62" i="37"/>
  <c r="AB62" i="37"/>
  <c r="AA62" i="37"/>
  <c r="AH61" i="37"/>
  <c r="AG61" i="37"/>
  <c r="AF61" i="37"/>
  <c r="AE61" i="37"/>
  <c r="AD61" i="37"/>
  <c r="AC61" i="37"/>
  <c r="AB61" i="37"/>
  <c r="AA61" i="37"/>
  <c r="AH60" i="37"/>
  <c r="AG60" i="37"/>
  <c r="AF60" i="37"/>
  <c r="AE60" i="37"/>
  <c r="AD60" i="37"/>
  <c r="AC60" i="37"/>
  <c r="AB60" i="37"/>
  <c r="AA60" i="37"/>
  <c r="AH59" i="37"/>
  <c r="AG59" i="37"/>
  <c r="AF59" i="37"/>
  <c r="AE59" i="37"/>
  <c r="AD59" i="37"/>
  <c r="AC59" i="37"/>
  <c r="AB59" i="37"/>
  <c r="AA59" i="37"/>
  <c r="AH58" i="37"/>
  <c r="AG58" i="37"/>
  <c r="AF58" i="37"/>
  <c r="AE58" i="37"/>
  <c r="AD58" i="37"/>
  <c r="AC58" i="37"/>
  <c r="AB58" i="37"/>
  <c r="AA58" i="37"/>
  <c r="AH57" i="37"/>
  <c r="AG57" i="37"/>
  <c r="AF57" i="37"/>
  <c r="AE57" i="37"/>
  <c r="AD57" i="37"/>
  <c r="AC57" i="37"/>
  <c r="AB57" i="37"/>
  <c r="AA57" i="37"/>
  <c r="AH56" i="37"/>
  <c r="AG56" i="37"/>
  <c r="AF56" i="37"/>
  <c r="AE56" i="37"/>
  <c r="AD56" i="37"/>
  <c r="AC56" i="37"/>
  <c r="AB56" i="37"/>
  <c r="AA56" i="37"/>
  <c r="AH55" i="37"/>
  <c r="AG55" i="37"/>
  <c r="AF55" i="37"/>
  <c r="AE55" i="37"/>
  <c r="AD55" i="37"/>
  <c r="AC55" i="37"/>
  <c r="AB55" i="37"/>
  <c r="AA55" i="37"/>
  <c r="AH53" i="37"/>
  <c r="AG53" i="37"/>
  <c r="AF53" i="37"/>
  <c r="AE53" i="37"/>
  <c r="AD53" i="37"/>
  <c r="AC53" i="37"/>
  <c r="AB53" i="37"/>
  <c r="AA53" i="37"/>
  <c r="AH52" i="37"/>
  <c r="AG52" i="37"/>
  <c r="AF52" i="37"/>
  <c r="AE52" i="37"/>
  <c r="AD52" i="37"/>
  <c r="AC52" i="37"/>
  <c r="AB52" i="37"/>
  <c r="AA52" i="37"/>
  <c r="AH51" i="37"/>
  <c r="AG51" i="37"/>
  <c r="AF51" i="37"/>
  <c r="AE51" i="37"/>
  <c r="AD51" i="37"/>
  <c r="AC51" i="37"/>
  <c r="AB51" i="37"/>
  <c r="AA51" i="37"/>
  <c r="AH50" i="37"/>
  <c r="AG50" i="37"/>
  <c r="AF50" i="37"/>
  <c r="AE50" i="37"/>
  <c r="AD50" i="37"/>
  <c r="AC50" i="37"/>
  <c r="AB50" i="37"/>
  <c r="AA50" i="37"/>
  <c r="AH49" i="37"/>
  <c r="AG49" i="37"/>
  <c r="AF49" i="37"/>
  <c r="AE49" i="37"/>
  <c r="AD49" i="37"/>
  <c r="AC49" i="37"/>
  <c r="AB49" i="37"/>
  <c r="AA49" i="37"/>
  <c r="AH48" i="37"/>
  <c r="AG48" i="37"/>
  <c r="AF48" i="37"/>
  <c r="AE48" i="37"/>
  <c r="AD48" i="37"/>
  <c r="AC48" i="37"/>
  <c r="AB48" i="37"/>
  <c r="AA48" i="37"/>
  <c r="AH47" i="37"/>
  <c r="AG47" i="37"/>
  <c r="AF47" i="37"/>
  <c r="AE47" i="37"/>
  <c r="AD47" i="37"/>
  <c r="AC47" i="37"/>
  <c r="AB47" i="37"/>
  <c r="AA47" i="37"/>
  <c r="AH46" i="37"/>
  <c r="AG46" i="37"/>
  <c r="AF46" i="37"/>
  <c r="AE46" i="37"/>
  <c r="AD46" i="37"/>
  <c r="AC46" i="37"/>
  <c r="AB46" i="37"/>
  <c r="AA46" i="37"/>
  <c r="AH45" i="37"/>
  <c r="AG45" i="37"/>
  <c r="AF45" i="37"/>
  <c r="AE45" i="37"/>
  <c r="AD45" i="37"/>
  <c r="AC45" i="37"/>
  <c r="AB45" i="37"/>
  <c r="AA45" i="37"/>
  <c r="AH44" i="37"/>
  <c r="AG44" i="37"/>
  <c r="AF44" i="37"/>
  <c r="AE44" i="37"/>
  <c r="AD44" i="37"/>
  <c r="AC44" i="37"/>
  <c r="AB44" i="37"/>
  <c r="AA44" i="37"/>
  <c r="AH43" i="37"/>
  <c r="AG43" i="37"/>
  <c r="AF43" i="37"/>
  <c r="AE43" i="37"/>
  <c r="AD43" i="37"/>
  <c r="AC43" i="37"/>
  <c r="AB43" i="37"/>
  <c r="AA43" i="37"/>
  <c r="AH42" i="37"/>
  <c r="AG42" i="37"/>
  <c r="AF42" i="37"/>
  <c r="AE42" i="37"/>
  <c r="AD42" i="37"/>
  <c r="AC42" i="37"/>
  <c r="AB42" i="37"/>
  <c r="AA42" i="37"/>
  <c r="AH41" i="37"/>
  <c r="AG41" i="37"/>
  <c r="AF41" i="37"/>
  <c r="AE41" i="37"/>
  <c r="AD41" i="37"/>
  <c r="AC41" i="37"/>
  <c r="AB41" i="37"/>
  <c r="AA41" i="37"/>
  <c r="AH40" i="37"/>
  <c r="AG40" i="37"/>
  <c r="AF40" i="37"/>
  <c r="AE40" i="37"/>
  <c r="AD40" i="37"/>
  <c r="AC40" i="37"/>
  <c r="AB40" i="37"/>
  <c r="AA40" i="37"/>
  <c r="AH37" i="37"/>
  <c r="AG37" i="37"/>
  <c r="AF37" i="37"/>
  <c r="AE37" i="37"/>
  <c r="AD37" i="37"/>
  <c r="AC37" i="37"/>
  <c r="AB37" i="37"/>
  <c r="AA37" i="37"/>
  <c r="AH36" i="37"/>
  <c r="AG36" i="37"/>
  <c r="AF36" i="37"/>
  <c r="AE36" i="37"/>
  <c r="AD36" i="37"/>
  <c r="AC36" i="37"/>
  <c r="AB36" i="37"/>
  <c r="AA36" i="37"/>
  <c r="AH35" i="37"/>
  <c r="AG35" i="37"/>
  <c r="AF35" i="37"/>
  <c r="AE35" i="37"/>
  <c r="AD35" i="37"/>
  <c r="AC35" i="37"/>
  <c r="AB35" i="37"/>
  <c r="AA35" i="37"/>
  <c r="AH34" i="37"/>
  <c r="AG34" i="37"/>
  <c r="AF34" i="37"/>
  <c r="AE34" i="37"/>
  <c r="AD34" i="37"/>
  <c r="AC34" i="37"/>
  <c r="AB34" i="37"/>
  <c r="AA34" i="37"/>
  <c r="AH32" i="37"/>
  <c r="AG32" i="37"/>
  <c r="AF32" i="37"/>
  <c r="AE32" i="37"/>
  <c r="AD32" i="37"/>
  <c r="AC32" i="37"/>
  <c r="AB32" i="37"/>
  <c r="AA32" i="37"/>
  <c r="E255" i="21"/>
  <c r="AH31" i="37"/>
  <c r="AG31" i="37"/>
  <c r="AF31" i="37"/>
  <c r="AE31" i="37"/>
  <c r="AD31" i="37"/>
  <c r="AC31" i="37"/>
  <c r="AB31" i="37"/>
  <c r="AA31" i="37"/>
  <c r="AH30" i="37"/>
  <c r="AG30" i="37"/>
  <c r="AF30" i="37"/>
  <c r="AE30" i="37"/>
  <c r="AD30" i="37"/>
  <c r="AC30" i="37"/>
  <c r="AB30" i="37"/>
  <c r="AA30" i="37"/>
  <c r="AH29" i="37"/>
  <c r="AG29" i="37"/>
  <c r="AF29" i="37"/>
  <c r="AE29" i="37"/>
  <c r="AD29" i="37"/>
  <c r="AC29" i="37"/>
  <c r="AB29" i="37"/>
  <c r="AA29" i="37"/>
  <c r="AH28" i="37"/>
  <c r="AG28" i="37"/>
  <c r="AF28" i="37"/>
  <c r="AE28" i="37"/>
  <c r="AD28" i="37"/>
  <c r="AC28" i="37"/>
  <c r="AB28" i="37"/>
  <c r="AA28" i="37"/>
  <c r="AH26" i="37"/>
  <c r="AG26" i="37"/>
  <c r="AF26" i="37"/>
  <c r="AE26" i="37"/>
  <c r="AD26" i="37"/>
  <c r="AC26" i="37"/>
  <c r="AB26" i="37"/>
  <c r="AA26" i="37"/>
  <c r="AH25" i="37"/>
  <c r="AG25" i="37"/>
  <c r="AF25" i="37"/>
  <c r="AE25" i="37"/>
  <c r="AD25" i="37"/>
  <c r="AC25" i="37"/>
  <c r="AB25" i="37"/>
  <c r="AA25" i="37"/>
  <c r="AH24" i="37"/>
  <c r="AG24" i="37"/>
  <c r="AF24" i="37"/>
  <c r="AE24" i="37"/>
  <c r="AD24" i="37"/>
  <c r="AC24" i="37"/>
  <c r="AB24" i="37"/>
  <c r="AA24" i="37"/>
  <c r="AH23" i="37"/>
  <c r="AG23" i="37"/>
  <c r="AF23" i="37"/>
  <c r="AE23" i="37"/>
  <c r="AD23" i="37"/>
  <c r="AC23" i="37"/>
  <c r="AB23" i="37"/>
  <c r="AA23" i="37"/>
  <c r="AH22" i="37"/>
  <c r="AG22" i="37"/>
  <c r="AF22" i="37"/>
  <c r="AE22" i="37"/>
  <c r="AD22" i="37"/>
  <c r="AC22" i="37"/>
  <c r="AB22" i="37"/>
  <c r="AA22" i="37"/>
  <c r="AH20" i="37"/>
  <c r="AG20" i="37"/>
  <c r="AF20" i="37"/>
  <c r="AE20" i="37"/>
  <c r="AD20" i="37"/>
  <c r="AC20" i="37"/>
  <c r="AB20" i="37"/>
  <c r="AA20" i="37"/>
  <c r="AH19" i="37"/>
  <c r="AG19" i="37"/>
  <c r="AF19" i="37"/>
  <c r="AE19" i="37"/>
  <c r="AD19" i="37"/>
  <c r="AC19" i="37"/>
  <c r="AB19" i="37"/>
  <c r="AA19" i="37"/>
  <c r="AH18" i="37"/>
  <c r="AG18" i="37"/>
  <c r="AF18" i="37"/>
  <c r="AE18" i="37"/>
  <c r="AD18" i="37"/>
  <c r="AC18" i="37"/>
  <c r="AB18" i="37"/>
  <c r="AA18" i="37"/>
  <c r="AH17" i="37"/>
  <c r="AG17" i="37"/>
  <c r="AF17" i="37"/>
  <c r="AE17" i="37"/>
  <c r="AD17" i="37"/>
  <c r="AC17" i="37"/>
  <c r="AB17" i="37"/>
  <c r="AA17" i="37"/>
  <c r="AH16" i="37"/>
  <c r="AG16" i="37"/>
  <c r="AF16" i="37"/>
  <c r="AE16" i="37"/>
  <c r="AD16" i="37"/>
  <c r="AC16" i="37"/>
  <c r="AB16" i="37"/>
  <c r="AA16" i="37"/>
  <c r="AH15" i="37"/>
  <c r="AG15" i="37"/>
  <c r="AF15" i="37"/>
  <c r="AE15" i="37"/>
  <c r="AD15" i="37"/>
  <c r="AC15" i="37"/>
  <c r="AB15" i="37"/>
  <c r="AA15" i="37"/>
  <c r="AH14" i="37"/>
  <c r="AG14" i="37"/>
  <c r="AF14" i="37"/>
  <c r="AE14" i="37"/>
  <c r="AD14" i="37"/>
  <c r="AC14" i="37"/>
  <c r="AB14" i="37"/>
  <c r="AA14" i="37"/>
  <c r="AH12" i="37"/>
  <c r="AG12" i="37"/>
  <c r="AF12" i="37"/>
  <c r="AE12" i="37"/>
  <c r="AD12" i="37"/>
  <c r="AC12" i="37"/>
  <c r="AB12" i="37"/>
  <c r="AA12" i="37"/>
  <c r="AH11" i="37"/>
  <c r="AG11" i="37"/>
  <c r="AF11" i="37"/>
  <c r="AE11" i="37"/>
  <c r="AD11" i="37"/>
  <c r="AC11" i="37"/>
  <c r="AB11" i="37"/>
  <c r="AA11" i="37"/>
  <c r="AH10" i="37"/>
  <c r="AG10" i="37"/>
  <c r="AF10" i="37"/>
  <c r="AE10" i="37"/>
  <c r="AD10" i="37"/>
  <c r="AC10" i="37"/>
  <c r="AB10" i="37"/>
  <c r="AA10" i="37"/>
  <c r="AH9" i="37"/>
  <c r="AG9" i="37"/>
  <c r="AF9" i="37"/>
  <c r="AE9" i="37"/>
  <c r="AD9" i="37"/>
  <c r="AC9" i="37"/>
  <c r="AB9" i="37"/>
  <c r="AA9" i="37"/>
  <c r="AH8" i="37"/>
  <c r="AG8" i="37"/>
  <c r="AF8" i="37"/>
  <c r="AE8" i="37"/>
  <c r="AD8" i="37"/>
  <c r="AC8" i="37"/>
  <c r="AB8" i="37"/>
  <c r="AA8" i="37"/>
  <c r="AH7" i="37"/>
  <c r="AG7" i="37"/>
  <c r="AF7" i="37"/>
  <c r="AE7" i="37"/>
  <c r="AD7" i="37"/>
  <c r="AC7" i="37"/>
  <c r="AB7" i="37"/>
  <c r="AA7" i="37"/>
  <c r="AH6" i="37"/>
  <c r="AG6" i="37"/>
  <c r="AF6" i="37"/>
  <c r="AE6" i="37"/>
  <c r="AD6" i="37"/>
  <c r="AC6" i="37"/>
  <c r="AB6" i="37"/>
  <c r="AA6" i="37"/>
  <c r="AH213" i="36"/>
  <c r="AG213" i="36"/>
  <c r="AF213" i="36"/>
  <c r="AE213" i="36"/>
  <c r="AD213" i="36"/>
  <c r="AC213" i="36"/>
  <c r="AB213" i="36"/>
  <c r="AA213" i="36"/>
  <c r="AH212" i="36"/>
  <c r="AG212" i="36"/>
  <c r="AF212" i="36"/>
  <c r="AE212" i="36"/>
  <c r="AD212" i="36"/>
  <c r="AC212" i="36"/>
  <c r="AB212" i="36"/>
  <c r="AA212" i="36"/>
  <c r="AH211" i="36"/>
  <c r="AG211" i="36"/>
  <c r="AF211" i="36"/>
  <c r="AE211" i="36"/>
  <c r="AD211" i="36"/>
  <c r="AC211" i="36"/>
  <c r="AB211" i="36"/>
  <c r="AA211" i="36"/>
  <c r="AH210" i="36"/>
  <c r="AG210" i="36"/>
  <c r="AF210" i="36"/>
  <c r="AE210" i="36"/>
  <c r="AD210" i="36"/>
  <c r="AC210" i="36"/>
  <c r="AB210" i="36"/>
  <c r="AA210" i="36"/>
  <c r="AH209" i="36"/>
  <c r="AG209" i="36"/>
  <c r="AF209" i="36"/>
  <c r="AE209" i="36"/>
  <c r="AD209" i="36"/>
  <c r="AC209" i="36"/>
  <c r="AB209" i="36"/>
  <c r="AA209" i="36"/>
  <c r="AH207" i="36"/>
  <c r="AG207" i="36"/>
  <c r="AF207" i="36"/>
  <c r="AE207" i="36"/>
  <c r="AD207" i="36"/>
  <c r="AC207" i="36"/>
  <c r="AB207" i="36"/>
  <c r="AA207" i="36"/>
  <c r="AH206" i="36"/>
  <c r="AG206" i="36"/>
  <c r="AF206" i="36"/>
  <c r="AE206" i="36"/>
  <c r="AD206" i="36"/>
  <c r="AC206" i="36"/>
  <c r="AB206" i="36"/>
  <c r="AA206" i="36"/>
  <c r="AH205" i="36"/>
  <c r="AG205" i="36"/>
  <c r="AF205" i="36"/>
  <c r="AE205" i="36"/>
  <c r="AD205" i="36"/>
  <c r="AC205" i="36"/>
  <c r="AB205" i="36"/>
  <c r="AA205" i="36"/>
  <c r="AH204" i="36"/>
  <c r="AG204" i="36"/>
  <c r="AF204" i="36"/>
  <c r="AE204" i="36"/>
  <c r="AD204" i="36"/>
  <c r="AC204" i="36"/>
  <c r="AB204" i="36"/>
  <c r="AA204" i="36"/>
  <c r="AH203" i="36"/>
  <c r="AG203" i="36"/>
  <c r="AF203" i="36"/>
  <c r="AE203" i="36"/>
  <c r="AD203" i="36"/>
  <c r="AC203" i="36"/>
  <c r="AB203" i="36"/>
  <c r="AA203" i="36"/>
  <c r="AH202" i="36"/>
  <c r="AG202" i="36"/>
  <c r="AF202" i="36"/>
  <c r="AE202" i="36"/>
  <c r="AD202" i="36"/>
  <c r="AC202" i="36"/>
  <c r="AB202" i="36"/>
  <c r="AA202" i="36"/>
  <c r="AH200" i="36"/>
  <c r="AG200" i="36"/>
  <c r="AF200" i="36"/>
  <c r="AE200" i="36"/>
  <c r="AD200" i="36"/>
  <c r="AC200" i="36"/>
  <c r="AB200" i="36"/>
  <c r="AA200" i="36"/>
  <c r="AH199" i="36"/>
  <c r="AG199" i="36"/>
  <c r="AF199" i="36"/>
  <c r="AE199" i="36"/>
  <c r="AD199" i="36"/>
  <c r="AC199" i="36"/>
  <c r="AB199" i="36"/>
  <c r="AA199" i="36"/>
  <c r="AH198" i="36"/>
  <c r="AG198" i="36"/>
  <c r="AF198" i="36"/>
  <c r="AE198" i="36"/>
  <c r="AD198" i="36"/>
  <c r="AC198" i="36"/>
  <c r="AB198" i="36"/>
  <c r="AA198" i="36"/>
  <c r="AH197" i="36"/>
  <c r="AG197" i="36"/>
  <c r="AF197" i="36"/>
  <c r="AE197" i="36"/>
  <c r="AD197" i="36"/>
  <c r="AC197" i="36"/>
  <c r="AB197" i="36"/>
  <c r="AA197" i="36"/>
  <c r="AH196" i="36"/>
  <c r="AG196" i="36"/>
  <c r="AF196" i="36"/>
  <c r="AE196" i="36"/>
  <c r="AD196" i="36"/>
  <c r="AC196" i="36"/>
  <c r="AB196" i="36"/>
  <c r="AA196" i="36"/>
  <c r="AH195" i="36"/>
  <c r="AG195" i="36"/>
  <c r="AF195" i="36"/>
  <c r="AE195" i="36"/>
  <c r="AD195" i="36"/>
  <c r="AC195" i="36"/>
  <c r="AB195" i="36"/>
  <c r="AA195" i="36"/>
  <c r="AH194" i="36"/>
  <c r="AG194" i="36"/>
  <c r="AF194" i="36"/>
  <c r="AE194" i="36"/>
  <c r="AD194" i="36"/>
  <c r="AC194" i="36"/>
  <c r="AB194" i="36"/>
  <c r="AA194" i="36"/>
  <c r="AH193" i="36"/>
  <c r="AG193" i="36"/>
  <c r="AF193" i="36"/>
  <c r="AE193" i="36"/>
  <c r="AD193" i="36"/>
  <c r="AC193" i="36"/>
  <c r="AB193" i="36"/>
  <c r="AA193" i="36"/>
  <c r="AH192" i="36"/>
  <c r="AG192" i="36"/>
  <c r="AF192" i="36"/>
  <c r="AE192" i="36"/>
  <c r="AD192" i="36"/>
  <c r="AC192" i="36"/>
  <c r="AB192" i="36"/>
  <c r="AA192" i="36"/>
  <c r="AH191" i="36"/>
  <c r="AG191" i="36"/>
  <c r="AF191" i="36"/>
  <c r="AE191" i="36"/>
  <c r="AD191" i="36"/>
  <c r="AC191" i="36"/>
  <c r="AB191" i="36"/>
  <c r="AA191" i="36"/>
  <c r="AH190" i="36"/>
  <c r="AG190" i="36"/>
  <c r="AF190" i="36"/>
  <c r="AE190" i="36"/>
  <c r="AD190" i="36"/>
  <c r="AC190" i="36"/>
  <c r="AB190" i="36"/>
  <c r="AA190" i="36"/>
  <c r="AH187" i="36"/>
  <c r="AG187" i="36"/>
  <c r="AF187" i="36"/>
  <c r="AE187" i="36"/>
  <c r="AD187" i="36"/>
  <c r="AC187" i="36"/>
  <c r="AB187" i="36"/>
  <c r="AA187" i="36"/>
  <c r="AH186" i="36"/>
  <c r="AG186" i="36"/>
  <c r="AF186" i="36"/>
  <c r="AE186" i="36"/>
  <c r="AD186" i="36"/>
  <c r="AC186" i="36"/>
  <c r="AB186" i="36"/>
  <c r="AA186" i="36"/>
  <c r="AH185" i="36"/>
  <c r="AG185" i="36"/>
  <c r="AF185" i="36"/>
  <c r="AE185" i="36"/>
  <c r="AD185" i="36"/>
  <c r="AC185" i="36"/>
  <c r="AB185" i="36"/>
  <c r="AA185" i="36"/>
  <c r="AH184" i="36"/>
  <c r="AG184" i="36"/>
  <c r="AF184" i="36"/>
  <c r="AE184" i="36"/>
  <c r="AD184" i="36"/>
  <c r="AC184" i="36"/>
  <c r="AB184" i="36"/>
  <c r="AA184" i="36"/>
  <c r="AH183" i="36"/>
  <c r="AG183" i="36"/>
  <c r="AF183" i="36"/>
  <c r="AE183" i="36"/>
  <c r="AD183" i="36"/>
  <c r="AC183" i="36"/>
  <c r="AB183" i="36"/>
  <c r="AA183" i="36"/>
  <c r="AH182" i="36"/>
  <c r="AG182" i="36"/>
  <c r="AF182" i="36"/>
  <c r="AE182" i="36"/>
  <c r="AD182" i="36"/>
  <c r="AC182" i="36"/>
  <c r="AB182" i="36"/>
  <c r="AA182" i="36"/>
  <c r="AH181" i="36"/>
  <c r="AG181" i="36"/>
  <c r="AF181" i="36"/>
  <c r="AE181" i="36"/>
  <c r="AD181" i="36"/>
  <c r="AC181" i="36"/>
  <c r="AB181" i="36"/>
  <c r="AA181" i="36"/>
  <c r="AH180" i="36"/>
  <c r="AG180" i="36"/>
  <c r="AF180" i="36"/>
  <c r="AE180" i="36"/>
  <c r="AD180" i="36"/>
  <c r="AC180" i="36"/>
  <c r="AB180" i="36"/>
  <c r="AA180" i="36"/>
  <c r="AH179" i="36"/>
  <c r="AG179" i="36"/>
  <c r="AF179" i="36"/>
  <c r="AE179" i="36"/>
  <c r="AD179" i="36"/>
  <c r="AC179" i="36"/>
  <c r="AB179" i="36"/>
  <c r="AA179" i="36"/>
  <c r="AH178" i="36"/>
  <c r="AG178" i="36"/>
  <c r="AF178" i="36"/>
  <c r="AE178" i="36"/>
  <c r="AD178" i="36"/>
  <c r="AC178" i="36"/>
  <c r="AB178" i="36"/>
  <c r="AA178" i="36"/>
  <c r="AH177" i="36"/>
  <c r="AG177" i="36"/>
  <c r="AF177" i="36"/>
  <c r="AE177" i="36"/>
  <c r="AD177" i="36"/>
  <c r="AC177" i="36"/>
  <c r="AB177" i="36"/>
  <c r="AA177" i="36"/>
  <c r="AH174" i="36"/>
  <c r="AG174" i="36"/>
  <c r="AF174" i="36"/>
  <c r="AE174" i="36"/>
  <c r="AD174" i="36"/>
  <c r="AC174" i="36"/>
  <c r="AB174" i="36"/>
  <c r="AA174" i="36"/>
  <c r="AH173" i="36"/>
  <c r="AG173" i="36"/>
  <c r="AF173" i="36"/>
  <c r="AE173" i="36"/>
  <c r="AD173" i="36"/>
  <c r="AC173" i="36"/>
  <c r="AB173" i="36"/>
  <c r="AA173" i="36"/>
  <c r="AH172" i="36"/>
  <c r="AG172" i="36"/>
  <c r="AF172" i="36"/>
  <c r="AE172" i="36"/>
  <c r="AD172" i="36"/>
  <c r="AC172" i="36"/>
  <c r="AB172" i="36"/>
  <c r="AA172" i="36"/>
  <c r="AH171" i="36"/>
  <c r="AG171" i="36"/>
  <c r="AF171" i="36"/>
  <c r="AE171" i="36"/>
  <c r="AD171" i="36"/>
  <c r="AC171" i="36"/>
  <c r="AB171" i="36"/>
  <c r="AA171" i="36"/>
  <c r="AH170" i="36"/>
  <c r="AG170" i="36"/>
  <c r="AF170" i="36"/>
  <c r="AE170" i="36"/>
  <c r="AD170" i="36"/>
  <c r="AC170" i="36"/>
  <c r="AB170" i="36"/>
  <c r="AA170" i="36"/>
  <c r="AH169" i="36"/>
  <c r="AG169" i="36"/>
  <c r="AF169" i="36"/>
  <c r="AE169" i="36"/>
  <c r="AD169" i="36"/>
  <c r="AC169" i="36"/>
  <c r="AB169" i="36"/>
  <c r="AA169" i="36"/>
  <c r="AH167" i="36"/>
  <c r="AG167" i="36"/>
  <c r="AF167" i="36"/>
  <c r="AE167" i="36"/>
  <c r="AD167" i="36"/>
  <c r="AC167" i="36"/>
  <c r="AB167" i="36"/>
  <c r="AA167" i="36"/>
  <c r="AH166" i="36"/>
  <c r="AG166" i="36"/>
  <c r="AF166" i="36"/>
  <c r="AE166" i="36"/>
  <c r="AD166" i="36"/>
  <c r="AC166" i="36"/>
  <c r="AB166" i="36"/>
  <c r="AA166" i="36"/>
  <c r="AH165" i="36"/>
  <c r="AG165" i="36"/>
  <c r="AF165" i="36"/>
  <c r="AE165" i="36"/>
  <c r="AD165" i="36"/>
  <c r="AC165" i="36"/>
  <c r="AB165" i="36"/>
  <c r="AA165" i="36"/>
  <c r="AH164" i="36"/>
  <c r="AG164" i="36"/>
  <c r="AF164" i="36"/>
  <c r="AE164" i="36"/>
  <c r="AD164" i="36"/>
  <c r="AC164" i="36"/>
  <c r="AB164" i="36"/>
  <c r="AA164" i="36"/>
  <c r="AH163" i="36"/>
  <c r="AG163" i="36"/>
  <c r="AF163" i="36"/>
  <c r="AE163" i="36"/>
  <c r="AD163" i="36"/>
  <c r="AC163" i="36"/>
  <c r="AB163" i="36"/>
  <c r="AA163" i="36"/>
  <c r="AH162" i="36"/>
  <c r="AG162" i="36"/>
  <c r="AF162" i="36"/>
  <c r="AE162" i="36"/>
  <c r="AD162" i="36"/>
  <c r="AC162" i="36"/>
  <c r="AB162" i="36"/>
  <c r="AA162" i="36"/>
  <c r="AH161" i="36"/>
  <c r="AG161" i="36"/>
  <c r="AF161" i="36"/>
  <c r="AE161" i="36"/>
  <c r="AD161" i="36"/>
  <c r="AC161" i="36"/>
  <c r="AB161" i="36"/>
  <c r="AA161" i="36"/>
  <c r="AH159" i="36"/>
  <c r="AG159" i="36"/>
  <c r="AF159" i="36"/>
  <c r="AE159" i="36"/>
  <c r="AD159" i="36"/>
  <c r="AC159" i="36"/>
  <c r="AB159" i="36"/>
  <c r="AA159" i="36"/>
  <c r="AH158" i="36"/>
  <c r="AG158" i="36"/>
  <c r="AF158" i="36"/>
  <c r="AE158" i="36"/>
  <c r="AD158" i="36"/>
  <c r="AC158" i="36"/>
  <c r="AB158" i="36"/>
  <c r="AA158" i="36"/>
  <c r="AH157" i="36"/>
  <c r="AG157" i="36"/>
  <c r="AF157" i="36"/>
  <c r="AE157" i="36"/>
  <c r="AD157" i="36"/>
  <c r="AC157" i="36"/>
  <c r="AB157" i="36"/>
  <c r="AA157" i="36"/>
  <c r="AH156" i="36"/>
  <c r="AG156" i="36"/>
  <c r="AF156" i="36"/>
  <c r="AE156" i="36"/>
  <c r="AD156" i="36"/>
  <c r="AC156" i="36"/>
  <c r="AB156" i="36"/>
  <c r="AA156" i="36"/>
  <c r="AH155" i="36"/>
  <c r="AG155" i="36"/>
  <c r="AF155" i="36"/>
  <c r="AE155" i="36"/>
  <c r="AD155" i="36"/>
  <c r="AC155" i="36"/>
  <c r="AB155" i="36"/>
  <c r="AA155" i="36"/>
  <c r="AH154" i="36"/>
  <c r="AG154" i="36"/>
  <c r="AF154" i="36"/>
  <c r="AE154" i="36"/>
  <c r="AD154" i="36"/>
  <c r="AC154" i="36"/>
  <c r="AB154" i="36"/>
  <c r="AA154" i="36"/>
  <c r="AH153" i="36"/>
  <c r="AG153" i="36"/>
  <c r="AF153" i="36"/>
  <c r="AE153" i="36"/>
  <c r="AD153" i="36"/>
  <c r="AC153" i="36"/>
  <c r="AB153" i="36"/>
  <c r="AA153" i="36"/>
  <c r="AH152" i="36"/>
  <c r="AG152" i="36"/>
  <c r="AF152" i="36"/>
  <c r="AE152" i="36"/>
  <c r="AD152" i="36"/>
  <c r="AC152" i="36"/>
  <c r="AB152" i="36"/>
  <c r="AA152" i="36"/>
  <c r="AH149" i="36"/>
  <c r="AG149" i="36"/>
  <c r="AF149" i="36"/>
  <c r="AE149" i="36"/>
  <c r="AD149" i="36"/>
  <c r="AC149" i="36"/>
  <c r="AB149" i="36"/>
  <c r="AA149" i="36"/>
  <c r="AH148" i="36"/>
  <c r="AG148" i="36"/>
  <c r="AF148" i="36"/>
  <c r="AE148" i="36"/>
  <c r="AD148" i="36"/>
  <c r="AC148" i="36"/>
  <c r="AB148" i="36"/>
  <c r="AA148" i="36"/>
  <c r="AH147" i="36"/>
  <c r="AG147" i="36"/>
  <c r="AF147" i="36"/>
  <c r="AE147" i="36"/>
  <c r="AD147" i="36"/>
  <c r="AC147" i="36"/>
  <c r="AB147" i="36"/>
  <c r="AA147" i="36"/>
  <c r="AH146" i="36"/>
  <c r="AG146" i="36"/>
  <c r="AF146" i="36"/>
  <c r="AE146" i="36"/>
  <c r="AD146" i="36"/>
  <c r="AC146" i="36"/>
  <c r="AB146" i="36"/>
  <c r="AA146" i="36"/>
  <c r="AH145" i="36"/>
  <c r="AG145" i="36"/>
  <c r="AF145" i="36"/>
  <c r="AE145" i="36"/>
  <c r="AD145" i="36"/>
  <c r="AC145" i="36"/>
  <c r="AB145" i="36"/>
  <c r="AA145" i="36"/>
  <c r="AH143" i="36"/>
  <c r="AG143" i="36"/>
  <c r="AF143" i="36"/>
  <c r="AE143" i="36"/>
  <c r="AD143" i="36"/>
  <c r="AC143" i="36"/>
  <c r="AB143" i="36"/>
  <c r="AA143" i="36"/>
  <c r="AH142" i="36"/>
  <c r="AG142" i="36"/>
  <c r="AF142" i="36"/>
  <c r="AE142" i="36"/>
  <c r="AD142" i="36"/>
  <c r="AC142" i="36"/>
  <c r="AB142" i="36"/>
  <c r="AA142" i="36"/>
  <c r="AH141" i="36"/>
  <c r="AG141" i="36"/>
  <c r="AF141" i="36"/>
  <c r="AE141" i="36"/>
  <c r="AD141" i="36"/>
  <c r="AC141" i="36"/>
  <c r="AB141" i="36"/>
  <c r="AA141" i="36"/>
  <c r="AH140" i="36"/>
  <c r="AG140" i="36"/>
  <c r="AF140" i="36"/>
  <c r="AE140" i="36"/>
  <c r="AD140" i="36"/>
  <c r="AC140" i="36"/>
  <c r="AB140" i="36"/>
  <c r="AA140" i="36"/>
  <c r="AH139" i="36"/>
  <c r="AG139" i="36"/>
  <c r="AF139" i="36"/>
  <c r="AE139" i="36"/>
  <c r="AD139" i="36"/>
  <c r="AC139" i="36"/>
  <c r="AB139" i="36"/>
  <c r="AA139" i="36"/>
  <c r="AH138" i="36"/>
  <c r="AG138" i="36"/>
  <c r="AF138" i="36"/>
  <c r="AE138" i="36"/>
  <c r="AD138" i="36"/>
  <c r="AC138" i="36"/>
  <c r="AB138" i="36"/>
  <c r="AA138" i="36"/>
  <c r="AH137" i="36"/>
  <c r="AG137" i="36"/>
  <c r="AF137" i="36"/>
  <c r="AE137" i="36"/>
  <c r="AD137" i="36"/>
  <c r="AC137" i="36"/>
  <c r="AB137" i="36"/>
  <c r="AA137" i="36"/>
  <c r="AH136" i="36"/>
  <c r="AG136" i="36"/>
  <c r="AF136" i="36"/>
  <c r="AE136" i="36"/>
  <c r="AD136" i="36"/>
  <c r="AC136" i="36"/>
  <c r="AB136" i="36"/>
  <c r="AA136" i="36"/>
  <c r="AH135" i="36"/>
  <c r="AG135" i="36"/>
  <c r="AF135" i="36"/>
  <c r="AE135" i="36"/>
  <c r="AD135" i="36"/>
  <c r="AC135" i="36"/>
  <c r="AB135" i="36"/>
  <c r="AA135" i="36"/>
  <c r="AH134" i="36"/>
  <c r="AG134" i="36"/>
  <c r="AF134" i="36"/>
  <c r="AE134" i="36"/>
  <c r="AD134" i="36"/>
  <c r="AC134" i="36"/>
  <c r="AB134" i="36"/>
  <c r="AA134" i="36"/>
  <c r="AH132" i="36"/>
  <c r="AG132" i="36"/>
  <c r="AF132" i="36"/>
  <c r="AE132" i="36"/>
  <c r="AD132" i="36"/>
  <c r="AC132" i="36"/>
  <c r="AB132" i="36"/>
  <c r="AA132" i="36"/>
  <c r="AH131" i="36"/>
  <c r="AG131" i="36"/>
  <c r="AF131" i="36"/>
  <c r="AE131" i="36"/>
  <c r="AD131" i="36"/>
  <c r="AC131" i="36"/>
  <c r="AB131" i="36"/>
  <c r="AA131" i="36"/>
  <c r="AH130" i="36"/>
  <c r="AG130" i="36"/>
  <c r="AF130" i="36"/>
  <c r="AE130" i="36"/>
  <c r="AD130" i="36"/>
  <c r="AC130" i="36"/>
  <c r="AB130" i="36"/>
  <c r="AA130" i="36"/>
  <c r="AH129" i="36"/>
  <c r="AG129" i="36"/>
  <c r="AF129" i="36"/>
  <c r="AE129" i="36"/>
  <c r="AD129" i="36"/>
  <c r="AC129" i="36"/>
  <c r="AB129" i="36"/>
  <c r="AA129" i="36"/>
  <c r="AH128" i="36"/>
  <c r="AG128" i="36"/>
  <c r="AF128" i="36"/>
  <c r="AE128" i="36"/>
  <c r="AD128" i="36"/>
  <c r="AC128" i="36"/>
  <c r="AB128" i="36"/>
  <c r="AA128" i="36"/>
  <c r="AH125" i="36"/>
  <c r="AG125" i="36"/>
  <c r="AF125" i="36"/>
  <c r="AE125" i="36"/>
  <c r="AD125" i="36"/>
  <c r="AC125" i="36"/>
  <c r="AB125" i="36"/>
  <c r="AA125" i="36"/>
  <c r="AH124" i="36"/>
  <c r="AG124" i="36"/>
  <c r="AF124" i="36"/>
  <c r="AE124" i="36"/>
  <c r="AD124" i="36"/>
  <c r="AC124" i="36"/>
  <c r="AB124" i="36"/>
  <c r="AA124" i="36"/>
  <c r="AH123" i="36"/>
  <c r="AG123" i="36"/>
  <c r="AF123" i="36"/>
  <c r="AE123" i="36"/>
  <c r="AD123" i="36"/>
  <c r="AC123" i="36"/>
  <c r="AB123" i="36"/>
  <c r="AA123" i="36"/>
  <c r="AH122" i="36"/>
  <c r="AG122" i="36"/>
  <c r="AF122" i="36"/>
  <c r="AE122" i="36"/>
  <c r="AD122" i="36"/>
  <c r="AC122" i="36"/>
  <c r="AB122" i="36"/>
  <c r="AA122" i="36"/>
  <c r="AH121" i="36"/>
  <c r="AG121" i="36"/>
  <c r="AF121" i="36"/>
  <c r="AE121" i="36"/>
  <c r="AD121" i="36"/>
  <c r="AC121" i="36"/>
  <c r="AB121" i="36"/>
  <c r="AA121" i="36"/>
  <c r="AH119" i="36"/>
  <c r="AG119" i="36"/>
  <c r="AF119" i="36"/>
  <c r="AE119" i="36"/>
  <c r="AD119" i="36"/>
  <c r="AC119" i="36"/>
  <c r="AB119" i="36"/>
  <c r="AA119" i="36"/>
  <c r="AH118" i="36"/>
  <c r="AG118" i="36"/>
  <c r="AF118" i="36"/>
  <c r="AE118" i="36"/>
  <c r="AD118" i="36"/>
  <c r="AC118" i="36"/>
  <c r="AB118" i="36"/>
  <c r="AA118" i="36"/>
  <c r="AH117" i="36"/>
  <c r="AG117" i="36"/>
  <c r="AF117" i="36"/>
  <c r="AE117" i="36"/>
  <c r="AD117" i="36"/>
  <c r="AC117" i="36"/>
  <c r="AB117" i="36"/>
  <c r="AA117" i="36"/>
  <c r="AH116" i="36"/>
  <c r="AG116" i="36"/>
  <c r="AF116" i="36"/>
  <c r="AE116" i="36"/>
  <c r="AD116" i="36"/>
  <c r="AC116" i="36"/>
  <c r="AB116" i="36"/>
  <c r="AA116" i="36"/>
  <c r="AH113" i="36"/>
  <c r="AG113" i="36"/>
  <c r="AF113" i="36"/>
  <c r="AE113" i="36"/>
  <c r="AD113" i="36"/>
  <c r="AC113" i="36"/>
  <c r="AB113" i="36"/>
  <c r="AA113" i="36"/>
  <c r="AH112" i="36"/>
  <c r="AG112" i="36"/>
  <c r="AF112" i="36"/>
  <c r="AE112" i="36"/>
  <c r="AD112" i="36"/>
  <c r="AC112" i="36"/>
  <c r="AB112" i="36"/>
  <c r="AA112" i="36"/>
  <c r="AH110" i="36"/>
  <c r="AG110" i="36"/>
  <c r="AF110" i="36"/>
  <c r="AE110" i="36"/>
  <c r="AD110" i="36"/>
  <c r="AC110" i="36"/>
  <c r="AB110" i="36"/>
  <c r="AA110" i="36"/>
  <c r="AH109" i="36"/>
  <c r="AG109" i="36"/>
  <c r="AF109" i="36"/>
  <c r="AE109" i="36"/>
  <c r="AD109" i="36"/>
  <c r="AC109" i="36"/>
  <c r="AB109" i="36"/>
  <c r="AA109" i="36"/>
  <c r="AH108" i="36"/>
  <c r="AG108" i="36"/>
  <c r="AF108" i="36"/>
  <c r="AE108" i="36"/>
  <c r="AD108" i="36"/>
  <c r="AC108" i="36"/>
  <c r="AB108" i="36"/>
  <c r="AA108" i="36"/>
  <c r="AH107" i="36"/>
  <c r="AG107" i="36"/>
  <c r="AF107" i="36"/>
  <c r="AE107" i="36"/>
  <c r="AD107" i="36"/>
  <c r="AC107" i="36"/>
  <c r="AB107" i="36"/>
  <c r="AA107" i="36"/>
  <c r="AH106" i="36"/>
  <c r="AG106" i="36"/>
  <c r="AF106" i="36"/>
  <c r="AE106" i="36"/>
  <c r="AD106" i="36"/>
  <c r="AC106" i="36"/>
  <c r="AB106" i="36"/>
  <c r="AA106" i="36"/>
  <c r="AH105" i="36"/>
  <c r="AG105" i="36"/>
  <c r="AF105" i="36"/>
  <c r="AE105" i="36"/>
  <c r="AD105" i="36"/>
  <c r="AC105" i="36"/>
  <c r="AB105" i="36"/>
  <c r="AA105" i="36"/>
  <c r="AH104" i="36"/>
  <c r="AG104" i="36"/>
  <c r="AF104" i="36"/>
  <c r="AE104" i="36"/>
  <c r="AD104" i="36"/>
  <c r="AC104" i="36"/>
  <c r="AB104" i="36"/>
  <c r="AA104" i="36"/>
  <c r="AH103" i="36"/>
  <c r="AG103" i="36"/>
  <c r="AF103" i="36"/>
  <c r="AE103" i="36"/>
  <c r="AD103" i="36"/>
  <c r="AC103" i="36"/>
  <c r="AB103" i="36"/>
  <c r="AA103" i="36"/>
  <c r="AH101" i="36"/>
  <c r="AG101" i="36"/>
  <c r="AF101" i="36"/>
  <c r="AE101" i="36"/>
  <c r="AD101" i="36"/>
  <c r="AC101" i="36"/>
  <c r="AB101" i="36"/>
  <c r="AA101" i="36"/>
  <c r="AH100" i="36"/>
  <c r="AG100" i="36"/>
  <c r="AF100" i="36"/>
  <c r="AE100" i="36"/>
  <c r="AD100" i="36"/>
  <c r="AC100" i="36"/>
  <c r="AB100" i="36"/>
  <c r="AA100" i="36"/>
  <c r="AH99" i="36"/>
  <c r="AG99" i="36"/>
  <c r="AF99" i="36"/>
  <c r="AE99" i="36"/>
  <c r="AD99" i="36"/>
  <c r="AC99" i="36"/>
  <c r="AB99" i="36"/>
  <c r="AA99" i="36"/>
  <c r="AH98" i="36"/>
  <c r="AG98" i="36"/>
  <c r="AF98" i="36"/>
  <c r="AE98" i="36"/>
  <c r="AD98" i="36"/>
  <c r="AC98" i="36"/>
  <c r="AB98" i="36"/>
  <c r="AA98" i="36"/>
  <c r="AH97" i="36"/>
  <c r="AG97" i="36"/>
  <c r="AF97" i="36"/>
  <c r="AE97" i="36"/>
  <c r="AD97" i="36"/>
  <c r="AC97" i="36"/>
  <c r="AB97" i="36"/>
  <c r="AA97" i="36"/>
  <c r="AH96" i="36"/>
  <c r="AG96" i="36"/>
  <c r="AF96" i="36"/>
  <c r="AE96" i="36"/>
  <c r="AD96" i="36"/>
  <c r="AC96" i="36"/>
  <c r="AB96" i="36"/>
  <c r="AA96" i="36"/>
  <c r="AH93" i="36"/>
  <c r="AG93" i="36"/>
  <c r="AF93" i="36"/>
  <c r="AE93" i="36"/>
  <c r="AD93" i="36"/>
  <c r="AC93" i="36"/>
  <c r="AB93" i="36"/>
  <c r="AA93" i="36"/>
  <c r="AH92" i="36"/>
  <c r="AG92" i="36"/>
  <c r="AF92" i="36"/>
  <c r="AE92" i="36"/>
  <c r="AD92" i="36"/>
  <c r="AC92" i="36"/>
  <c r="AB92" i="36"/>
  <c r="AA92" i="36"/>
  <c r="AH91" i="36"/>
  <c r="AG91" i="36"/>
  <c r="AF91" i="36"/>
  <c r="AE91" i="36"/>
  <c r="AD91" i="36"/>
  <c r="AC91" i="36"/>
  <c r="AB91" i="36"/>
  <c r="AA91" i="36"/>
  <c r="AH90" i="36"/>
  <c r="AG90" i="36"/>
  <c r="AF90" i="36"/>
  <c r="AE90" i="36"/>
  <c r="AD90" i="36"/>
  <c r="AC90" i="36"/>
  <c r="AB90" i="36"/>
  <c r="AA90" i="36"/>
  <c r="AH89" i="36"/>
  <c r="AG89" i="36"/>
  <c r="AF89" i="36"/>
  <c r="AE89" i="36"/>
  <c r="AD89" i="36"/>
  <c r="AC89" i="36"/>
  <c r="AB89" i="36"/>
  <c r="AA89" i="36"/>
  <c r="AH87" i="36"/>
  <c r="AG87" i="36"/>
  <c r="AF87" i="36"/>
  <c r="AE87" i="36"/>
  <c r="AD87" i="36"/>
  <c r="AC87" i="36"/>
  <c r="AB87" i="36"/>
  <c r="AA87" i="36"/>
  <c r="AH86" i="36"/>
  <c r="AG86" i="36"/>
  <c r="AF86" i="36"/>
  <c r="AE86" i="36"/>
  <c r="AD86" i="36"/>
  <c r="AC86" i="36"/>
  <c r="AB86" i="36"/>
  <c r="AA86" i="36"/>
  <c r="AH85" i="36"/>
  <c r="AG85" i="36"/>
  <c r="AF85" i="36"/>
  <c r="AE85" i="36"/>
  <c r="AD85" i="36"/>
  <c r="AC85" i="36"/>
  <c r="AB85" i="36"/>
  <c r="AA85" i="36"/>
  <c r="AH84" i="36"/>
  <c r="AG84" i="36"/>
  <c r="AF84" i="36"/>
  <c r="AE84" i="36"/>
  <c r="AD84" i="36"/>
  <c r="AC84" i="36"/>
  <c r="AB84" i="36"/>
  <c r="AA84" i="36"/>
  <c r="AH83" i="36"/>
  <c r="AG83" i="36"/>
  <c r="AF83" i="36"/>
  <c r="AE83" i="36"/>
  <c r="AD83" i="36"/>
  <c r="AC83" i="36"/>
  <c r="AB83" i="36"/>
  <c r="AA83" i="36"/>
  <c r="AH81" i="36"/>
  <c r="AG81" i="36"/>
  <c r="AF81" i="36"/>
  <c r="AE81" i="36"/>
  <c r="AD81" i="36"/>
  <c r="AC81" i="36"/>
  <c r="AB81" i="36"/>
  <c r="AA81" i="36"/>
  <c r="AH80" i="36"/>
  <c r="AG80" i="36"/>
  <c r="AF80" i="36"/>
  <c r="AE80" i="36"/>
  <c r="AD80" i="36"/>
  <c r="AC80" i="36"/>
  <c r="AB80" i="36"/>
  <c r="AA80" i="36"/>
  <c r="AH79" i="36"/>
  <c r="AG79" i="36"/>
  <c r="AF79" i="36"/>
  <c r="AE79" i="36"/>
  <c r="AD79" i="36"/>
  <c r="AC79" i="36"/>
  <c r="AB79" i="36"/>
  <c r="AA79" i="36"/>
  <c r="AH78" i="36"/>
  <c r="AG78" i="36"/>
  <c r="AF78" i="36"/>
  <c r="AE78" i="36"/>
  <c r="AD78" i="36"/>
  <c r="AC78" i="36"/>
  <c r="AB78" i="36"/>
  <c r="AA78" i="36"/>
  <c r="AH77" i="36"/>
  <c r="AG77" i="36"/>
  <c r="AF77" i="36"/>
  <c r="AE77" i="36"/>
  <c r="AD77" i="36"/>
  <c r="AC77" i="36"/>
  <c r="AB77" i="36"/>
  <c r="AA77" i="36"/>
  <c r="AH76" i="36"/>
  <c r="AG76" i="36"/>
  <c r="AF76" i="36"/>
  <c r="AE76" i="36"/>
  <c r="AD76" i="36"/>
  <c r="AC76" i="36"/>
  <c r="AB76" i="36"/>
  <c r="AA76" i="36"/>
  <c r="AH75" i="36"/>
  <c r="AG75" i="36"/>
  <c r="AF75" i="36"/>
  <c r="AE75" i="36"/>
  <c r="AD75" i="36"/>
  <c r="AC75" i="36"/>
  <c r="AB75" i="36"/>
  <c r="AA75" i="36"/>
  <c r="AH74" i="36"/>
  <c r="AG74" i="36"/>
  <c r="AF74" i="36"/>
  <c r="AE74" i="36"/>
  <c r="AD74" i="36"/>
  <c r="AC74" i="36"/>
  <c r="AB74" i="36"/>
  <c r="AA74" i="36"/>
  <c r="AH73" i="36"/>
  <c r="AG73" i="36"/>
  <c r="AF73" i="36"/>
  <c r="AE73" i="36"/>
  <c r="AD73" i="36"/>
  <c r="AC73" i="36"/>
  <c r="AB73" i="36"/>
  <c r="AA73" i="36"/>
  <c r="AH71" i="36"/>
  <c r="AG71" i="36"/>
  <c r="AF71" i="36"/>
  <c r="AE71" i="36"/>
  <c r="AD71" i="36"/>
  <c r="AC71" i="36"/>
  <c r="AB71" i="36"/>
  <c r="AA71" i="36"/>
  <c r="AH70" i="36"/>
  <c r="AG70" i="36"/>
  <c r="AF70" i="36"/>
  <c r="AE70" i="36"/>
  <c r="AD70" i="36"/>
  <c r="AC70" i="36"/>
  <c r="AB70" i="36"/>
  <c r="AA70" i="36"/>
  <c r="AH69" i="36"/>
  <c r="AG69" i="36"/>
  <c r="AF69" i="36"/>
  <c r="AE69" i="36"/>
  <c r="AD69" i="36"/>
  <c r="AC69" i="36"/>
  <c r="AB69" i="36"/>
  <c r="AA69" i="36"/>
  <c r="AH68" i="36"/>
  <c r="AG68" i="36"/>
  <c r="AF68" i="36"/>
  <c r="AE68" i="36"/>
  <c r="AD68" i="36"/>
  <c r="AC68" i="36"/>
  <c r="AB68" i="36"/>
  <c r="AA68" i="36"/>
  <c r="AH67" i="36"/>
  <c r="AG67" i="36"/>
  <c r="AF67" i="36"/>
  <c r="AE67" i="36"/>
  <c r="AD67" i="36"/>
  <c r="AC67" i="36"/>
  <c r="AB67" i="36"/>
  <c r="AA67" i="36"/>
  <c r="AH66" i="36"/>
  <c r="AG66" i="36"/>
  <c r="AF66" i="36"/>
  <c r="AE66" i="36"/>
  <c r="AD66" i="36"/>
  <c r="AC66" i="36"/>
  <c r="AB66" i="36"/>
  <c r="AA66" i="36"/>
  <c r="AH65" i="36"/>
  <c r="AG65" i="36"/>
  <c r="AF65" i="36"/>
  <c r="AE65" i="36"/>
  <c r="AD65" i="36"/>
  <c r="AC65" i="36"/>
  <c r="AB65" i="36"/>
  <c r="AA65" i="36"/>
  <c r="AH64" i="36"/>
  <c r="AG64" i="36"/>
  <c r="AF64" i="36"/>
  <c r="AE64" i="36"/>
  <c r="AD64" i="36"/>
  <c r="AC64" i="36"/>
  <c r="AB64" i="36"/>
  <c r="AA64" i="36"/>
  <c r="AH62" i="36"/>
  <c r="AG62" i="36"/>
  <c r="AF62" i="36"/>
  <c r="AE62" i="36"/>
  <c r="AD62" i="36"/>
  <c r="AC62" i="36"/>
  <c r="AB62" i="36"/>
  <c r="AA62" i="36"/>
  <c r="AH61" i="36"/>
  <c r="AG61" i="36"/>
  <c r="AF61" i="36"/>
  <c r="AE61" i="36"/>
  <c r="AD61" i="36"/>
  <c r="AC61" i="36"/>
  <c r="AB61" i="36"/>
  <c r="AA61" i="36"/>
  <c r="AH60" i="36"/>
  <c r="AG60" i="36"/>
  <c r="AF60" i="36"/>
  <c r="AE60" i="36"/>
  <c r="AD60" i="36"/>
  <c r="AC60" i="36"/>
  <c r="AB60" i="36"/>
  <c r="AA60" i="36"/>
  <c r="AH59" i="36"/>
  <c r="AG59" i="36"/>
  <c r="AF59" i="36"/>
  <c r="AE59" i="36"/>
  <c r="AD59" i="36"/>
  <c r="AC59" i="36"/>
  <c r="AB59" i="36"/>
  <c r="AA59" i="36"/>
  <c r="AH58" i="36"/>
  <c r="AG58" i="36"/>
  <c r="AF58" i="36"/>
  <c r="AE58" i="36"/>
  <c r="AD58" i="36"/>
  <c r="AC58" i="36"/>
  <c r="AB58" i="36"/>
  <c r="AA58" i="36"/>
  <c r="AH57" i="36"/>
  <c r="AG57" i="36"/>
  <c r="AF57" i="36"/>
  <c r="AE57" i="36"/>
  <c r="AD57" i="36"/>
  <c r="AC57" i="36"/>
  <c r="AB57" i="36"/>
  <c r="AA57" i="36"/>
  <c r="AH56" i="36"/>
  <c r="AG56" i="36"/>
  <c r="AF56" i="36"/>
  <c r="AE56" i="36"/>
  <c r="AD56" i="36"/>
  <c r="AC56" i="36"/>
  <c r="AB56" i="36"/>
  <c r="AA56" i="36"/>
  <c r="AH55" i="36"/>
  <c r="AG55" i="36"/>
  <c r="AF55" i="36"/>
  <c r="AE55" i="36"/>
  <c r="AD55" i="36"/>
  <c r="AC55" i="36"/>
  <c r="AB55" i="36"/>
  <c r="AA55" i="36"/>
  <c r="AH52" i="36"/>
  <c r="AG52" i="36"/>
  <c r="AF52" i="36"/>
  <c r="AE52" i="36"/>
  <c r="AD52" i="36"/>
  <c r="AC52" i="36"/>
  <c r="AB52" i="36"/>
  <c r="AA52" i="36"/>
  <c r="AH51" i="36"/>
  <c r="AG51" i="36"/>
  <c r="AF51" i="36"/>
  <c r="AE51" i="36"/>
  <c r="AD51" i="36"/>
  <c r="AC51" i="36"/>
  <c r="AB51" i="36"/>
  <c r="AA51" i="36"/>
  <c r="AH50" i="36"/>
  <c r="AG50" i="36"/>
  <c r="AF50" i="36"/>
  <c r="AE50" i="36"/>
  <c r="AD50" i="36"/>
  <c r="AC50" i="36"/>
  <c r="AB50" i="36"/>
  <c r="AA50" i="36"/>
  <c r="AH49" i="36"/>
  <c r="AG49" i="36"/>
  <c r="AF49" i="36"/>
  <c r="AE49" i="36"/>
  <c r="AD49" i="36"/>
  <c r="AC49" i="36"/>
  <c r="AB49" i="36"/>
  <c r="AA49" i="36"/>
  <c r="AH48" i="36"/>
  <c r="AG48" i="36"/>
  <c r="AF48" i="36"/>
  <c r="AE48" i="36"/>
  <c r="AD48" i="36"/>
  <c r="AC48" i="36"/>
  <c r="AB48" i="36"/>
  <c r="AA48" i="36"/>
  <c r="AH47" i="36"/>
  <c r="AG47" i="36"/>
  <c r="AF47" i="36"/>
  <c r="AE47" i="36"/>
  <c r="AD47" i="36"/>
  <c r="AC47" i="36"/>
  <c r="AB47" i="36"/>
  <c r="AA47" i="36"/>
  <c r="AH46" i="36"/>
  <c r="AG46" i="36"/>
  <c r="AF46" i="36"/>
  <c r="AE46" i="36"/>
  <c r="AD46" i="36"/>
  <c r="AC46" i="36"/>
  <c r="AB46" i="36"/>
  <c r="AA46" i="36"/>
  <c r="AH45" i="36"/>
  <c r="AG45" i="36"/>
  <c r="AF45" i="36"/>
  <c r="AE45" i="36"/>
  <c r="AD45" i="36"/>
  <c r="AC45" i="36"/>
  <c r="AB45" i="36"/>
  <c r="AA45" i="36"/>
  <c r="AH43" i="36"/>
  <c r="AG43" i="36"/>
  <c r="AF43" i="36"/>
  <c r="AE43" i="36"/>
  <c r="AD43" i="36"/>
  <c r="AC43" i="36"/>
  <c r="AB43" i="36"/>
  <c r="AA43" i="36"/>
  <c r="AH42" i="36"/>
  <c r="AG42" i="36"/>
  <c r="AF42" i="36"/>
  <c r="AE42" i="36"/>
  <c r="AD42" i="36"/>
  <c r="AC42" i="36"/>
  <c r="AB42" i="36"/>
  <c r="AA42" i="36"/>
  <c r="AH41" i="36"/>
  <c r="AG41" i="36"/>
  <c r="AF41" i="36"/>
  <c r="AE41" i="36"/>
  <c r="AD41" i="36"/>
  <c r="AC41" i="36"/>
  <c r="AB41" i="36"/>
  <c r="AA41" i="36"/>
  <c r="AH40" i="36"/>
  <c r="AG40" i="36"/>
  <c r="AF40" i="36"/>
  <c r="AE40" i="36"/>
  <c r="AD40" i="36"/>
  <c r="AC40" i="36"/>
  <c r="AB40" i="36"/>
  <c r="AA40" i="36"/>
  <c r="AH39" i="36"/>
  <c r="AG39" i="36"/>
  <c r="AF39" i="36"/>
  <c r="AE39" i="36"/>
  <c r="AD39" i="36"/>
  <c r="AC39" i="36"/>
  <c r="AB39" i="36"/>
  <c r="AA39" i="36"/>
  <c r="AH38" i="36"/>
  <c r="AG38" i="36"/>
  <c r="AF38" i="36"/>
  <c r="AE38" i="36"/>
  <c r="AD38" i="36"/>
  <c r="AC38" i="36"/>
  <c r="AB38" i="36"/>
  <c r="AA38" i="36"/>
  <c r="AH37" i="36"/>
  <c r="AG37" i="36"/>
  <c r="AF37" i="36"/>
  <c r="AE37" i="36"/>
  <c r="AD37" i="36"/>
  <c r="AC37" i="36"/>
  <c r="AB37" i="36"/>
  <c r="AA37" i="36"/>
  <c r="AH36" i="36"/>
  <c r="AG36" i="36"/>
  <c r="AF36" i="36"/>
  <c r="AE36" i="36"/>
  <c r="AD36" i="36"/>
  <c r="AC36" i="36"/>
  <c r="AB36" i="36"/>
  <c r="AA36" i="36"/>
  <c r="AH35" i="36"/>
  <c r="AG35" i="36"/>
  <c r="AF35" i="36"/>
  <c r="AE35" i="36"/>
  <c r="AD35" i="36"/>
  <c r="AC35" i="36"/>
  <c r="AB35" i="36"/>
  <c r="AA35" i="36"/>
  <c r="AH34" i="36"/>
  <c r="AG34" i="36"/>
  <c r="AF34" i="36"/>
  <c r="AE34" i="36"/>
  <c r="AD34" i="36"/>
  <c r="AC34" i="36"/>
  <c r="AB34" i="36"/>
  <c r="AA34" i="36"/>
  <c r="AH32" i="36"/>
  <c r="AG32" i="36"/>
  <c r="AF32" i="36"/>
  <c r="AE32" i="36"/>
  <c r="AD32" i="36"/>
  <c r="AC32" i="36"/>
  <c r="AB32" i="36"/>
  <c r="AA32" i="36"/>
  <c r="AH31" i="36"/>
  <c r="AG31" i="36"/>
  <c r="AF31" i="36"/>
  <c r="AE31" i="36"/>
  <c r="AD31" i="36"/>
  <c r="AC31" i="36"/>
  <c r="AB31" i="36"/>
  <c r="AA31" i="36"/>
  <c r="AH30" i="36"/>
  <c r="AG30" i="36"/>
  <c r="AF30" i="36"/>
  <c r="AE30" i="36"/>
  <c r="AD30" i="36"/>
  <c r="AC30" i="36"/>
  <c r="AB30" i="36"/>
  <c r="AA30" i="36"/>
  <c r="AH29" i="36"/>
  <c r="AG29" i="36"/>
  <c r="AF29" i="36"/>
  <c r="AE29" i="36"/>
  <c r="AD29" i="36"/>
  <c r="AC29" i="36"/>
  <c r="AB29" i="36"/>
  <c r="AA29" i="36"/>
  <c r="AH28" i="36"/>
  <c r="AG28" i="36"/>
  <c r="AF28" i="36"/>
  <c r="AE28" i="36"/>
  <c r="AD28" i="36"/>
  <c r="AC28" i="36"/>
  <c r="AB28" i="36"/>
  <c r="AA28" i="36"/>
  <c r="AH27" i="36"/>
  <c r="AG27" i="36"/>
  <c r="AF27" i="36"/>
  <c r="AE27" i="36"/>
  <c r="AD27" i="36"/>
  <c r="AC27" i="36"/>
  <c r="AB27" i="36"/>
  <c r="AA27" i="36"/>
  <c r="AH26" i="36"/>
  <c r="AG26" i="36"/>
  <c r="AF26" i="36"/>
  <c r="AE26" i="36"/>
  <c r="AD26" i="36"/>
  <c r="AC26" i="36"/>
  <c r="AB26" i="36"/>
  <c r="AA26" i="36"/>
  <c r="AH25" i="36"/>
  <c r="AG25" i="36"/>
  <c r="AF25" i="36"/>
  <c r="AE25" i="36"/>
  <c r="AD25" i="36"/>
  <c r="AC25" i="36"/>
  <c r="AB25" i="36"/>
  <c r="AA25" i="36"/>
  <c r="AH24" i="36"/>
  <c r="AG24" i="36"/>
  <c r="AF24" i="36"/>
  <c r="AE24" i="36"/>
  <c r="AD24" i="36"/>
  <c r="AC24" i="36"/>
  <c r="AB24" i="36"/>
  <c r="AA24" i="36"/>
  <c r="AH23" i="36"/>
  <c r="AG23" i="36"/>
  <c r="AF23" i="36"/>
  <c r="AE23" i="36"/>
  <c r="AD23" i="36"/>
  <c r="AC23" i="36"/>
  <c r="AB23" i="36"/>
  <c r="AA23" i="36"/>
  <c r="AH21" i="36"/>
  <c r="AG21" i="36"/>
  <c r="AF21" i="36"/>
  <c r="AE21" i="36"/>
  <c r="AD21" i="36"/>
  <c r="AC21" i="36"/>
  <c r="AB21" i="36"/>
  <c r="AA21" i="36"/>
  <c r="AH20" i="36"/>
  <c r="AG20" i="36"/>
  <c r="AF20" i="36"/>
  <c r="AE20" i="36"/>
  <c r="AD20" i="36"/>
  <c r="AC20" i="36"/>
  <c r="AB20" i="36"/>
  <c r="AA20" i="36"/>
  <c r="AH19" i="36"/>
  <c r="AG19" i="36"/>
  <c r="AF19" i="36"/>
  <c r="AE19" i="36"/>
  <c r="AD19" i="36"/>
  <c r="AC19" i="36"/>
  <c r="AB19" i="36"/>
  <c r="AA19" i="36"/>
  <c r="AH18" i="36"/>
  <c r="AG18" i="36"/>
  <c r="AF18" i="36"/>
  <c r="AE18" i="36"/>
  <c r="AD18" i="36"/>
  <c r="AC18" i="36"/>
  <c r="AB18" i="36"/>
  <c r="AA18" i="36"/>
  <c r="AH17" i="36"/>
  <c r="AG17" i="36"/>
  <c r="AF17" i="36"/>
  <c r="AE17" i="36"/>
  <c r="AD17" i="36"/>
  <c r="AC17" i="36"/>
  <c r="AB17" i="36"/>
  <c r="AA17" i="36"/>
  <c r="AH16" i="36"/>
  <c r="AG16" i="36"/>
  <c r="AF16" i="36"/>
  <c r="AE16" i="36"/>
  <c r="AD16" i="36"/>
  <c r="AC16" i="36"/>
  <c r="AB16" i="36"/>
  <c r="AA16" i="36"/>
  <c r="AH15" i="36"/>
  <c r="AG15" i="36"/>
  <c r="AF15" i="36"/>
  <c r="AE15" i="36"/>
  <c r="AD15" i="36"/>
  <c r="AC15" i="36"/>
  <c r="AB15" i="36"/>
  <c r="AA15" i="36"/>
  <c r="AH14" i="36"/>
  <c r="AG14" i="36"/>
  <c r="AF14" i="36"/>
  <c r="AE14" i="36"/>
  <c r="AD14" i="36"/>
  <c r="AC14" i="36"/>
  <c r="AB14" i="36"/>
  <c r="AA14" i="36"/>
  <c r="AH12" i="36"/>
  <c r="AG12" i="36"/>
  <c r="AF12" i="36"/>
  <c r="AE12" i="36"/>
  <c r="AD12" i="36"/>
  <c r="AC12" i="36"/>
  <c r="AB12" i="36"/>
  <c r="AA12" i="36"/>
  <c r="AH11" i="36"/>
  <c r="AG11" i="36"/>
  <c r="AF11" i="36"/>
  <c r="AE11" i="36"/>
  <c r="AD11" i="36"/>
  <c r="AC11" i="36"/>
  <c r="AB11" i="36"/>
  <c r="AA11" i="36"/>
  <c r="AH10" i="36"/>
  <c r="AG10" i="36"/>
  <c r="AF10" i="36"/>
  <c r="AE10" i="36"/>
  <c r="AD10" i="36"/>
  <c r="AC10" i="36"/>
  <c r="AB10" i="36"/>
  <c r="AA10" i="36"/>
  <c r="AH9" i="36"/>
  <c r="AG9" i="36"/>
  <c r="AF9" i="36"/>
  <c r="AE9" i="36"/>
  <c r="AD9" i="36"/>
  <c r="AC9" i="36"/>
  <c r="AB9" i="36"/>
  <c r="AA9" i="36"/>
  <c r="AH8" i="36"/>
  <c r="AG8" i="36"/>
  <c r="AF8" i="36"/>
  <c r="AE8" i="36"/>
  <c r="AD8" i="36"/>
  <c r="AC8" i="36"/>
  <c r="AB8" i="36"/>
  <c r="AA8" i="36"/>
  <c r="AH7" i="36"/>
  <c r="AG7" i="36"/>
  <c r="AF7" i="36"/>
  <c r="AE7" i="36"/>
  <c r="AD7" i="36"/>
  <c r="AC7" i="36"/>
  <c r="AB7" i="36"/>
  <c r="AA7" i="36"/>
  <c r="AH6" i="36"/>
  <c r="AG6" i="36"/>
  <c r="AF6" i="36"/>
  <c r="AE6" i="36"/>
  <c r="AD6" i="36"/>
  <c r="AC6" i="36"/>
  <c r="AB6" i="36"/>
  <c r="AA6" i="36"/>
  <c r="AH5" i="36"/>
  <c r="AG5" i="36"/>
  <c r="AF5" i="36"/>
  <c r="AE5" i="36"/>
  <c r="AD5" i="36"/>
  <c r="AC5" i="36"/>
  <c r="AB5" i="36"/>
  <c r="AA5" i="36"/>
  <c r="AH378" i="35"/>
  <c r="AG378" i="35"/>
  <c r="AF378" i="35"/>
  <c r="AE378" i="35"/>
  <c r="AD378" i="35"/>
  <c r="AC378" i="35"/>
  <c r="AB378" i="35"/>
  <c r="AA378" i="35"/>
  <c r="AH377" i="35"/>
  <c r="AG377" i="35"/>
  <c r="AF377" i="35"/>
  <c r="AE377" i="35"/>
  <c r="AD377" i="35"/>
  <c r="AC377" i="35"/>
  <c r="AB377" i="35"/>
  <c r="AA377" i="35"/>
  <c r="AH376" i="35"/>
  <c r="AG376" i="35"/>
  <c r="AF376" i="35"/>
  <c r="AE376" i="35"/>
  <c r="AD376" i="35"/>
  <c r="AC376" i="35"/>
  <c r="AB376" i="35"/>
  <c r="AA376" i="35"/>
  <c r="AH375" i="35"/>
  <c r="AG375" i="35"/>
  <c r="AF375" i="35"/>
  <c r="AE375" i="35"/>
  <c r="AD375" i="35"/>
  <c r="AC375" i="35"/>
  <c r="AB375" i="35"/>
  <c r="AA375" i="35"/>
  <c r="AH374" i="35"/>
  <c r="AG374" i="35"/>
  <c r="AF374" i="35"/>
  <c r="AE374" i="35"/>
  <c r="AD374" i="35"/>
  <c r="AC374" i="35"/>
  <c r="AB374" i="35"/>
  <c r="AA374" i="35"/>
  <c r="AH373" i="35"/>
  <c r="AG373" i="35"/>
  <c r="AF373" i="35"/>
  <c r="AE373" i="35"/>
  <c r="AD373" i="35"/>
  <c r="AC373" i="35"/>
  <c r="AB373" i="35"/>
  <c r="AA373" i="35"/>
  <c r="AH372" i="35"/>
  <c r="AG372" i="35"/>
  <c r="AF372" i="35"/>
  <c r="AE372" i="35"/>
  <c r="AD372" i="35"/>
  <c r="AC372" i="35"/>
  <c r="AB372" i="35"/>
  <c r="AA372" i="35"/>
  <c r="AH371" i="35"/>
  <c r="AG371" i="35"/>
  <c r="AF371" i="35"/>
  <c r="AE371" i="35"/>
  <c r="AD371" i="35"/>
  <c r="AC371" i="35"/>
  <c r="AB371" i="35"/>
  <c r="AA371" i="35"/>
  <c r="AH370" i="35"/>
  <c r="AG370" i="35"/>
  <c r="AF370" i="35"/>
  <c r="AE370" i="35"/>
  <c r="AD370" i="35"/>
  <c r="AC370" i="35"/>
  <c r="AB370" i="35"/>
  <c r="AA370" i="35"/>
  <c r="AH368" i="35"/>
  <c r="AG368" i="35"/>
  <c r="AF368" i="35"/>
  <c r="AE368" i="35"/>
  <c r="AD368" i="35"/>
  <c r="AC368" i="35"/>
  <c r="AB368" i="35"/>
  <c r="AA368" i="35"/>
  <c r="AH367" i="35"/>
  <c r="AG367" i="35"/>
  <c r="AF367" i="35"/>
  <c r="AE367" i="35"/>
  <c r="AD367" i="35"/>
  <c r="AC367" i="35"/>
  <c r="AB367" i="35"/>
  <c r="AA367" i="35"/>
  <c r="AH366" i="35"/>
  <c r="AG366" i="35"/>
  <c r="AF366" i="35"/>
  <c r="AE366" i="35"/>
  <c r="AD366" i="35"/>
  <c r="AC366" i="35"/>
  <c r="AB366" i="35"/>
  <c r="AA366" i="35"/>
  <c r="AH365" i="35"/>
  <c r="AG365" i="35"/>
  <c r="AF365" i="35"/>
  <c r="AE365" i="35"/>
  <c r="AD365" i="35"/>
  <c r="AC365" i="35"/>
  <c r="AB365" i="35"/>
  <c r="AA365" i="35"/>
  <c r="AH364" i="35"/>
  <c r="AG364" i="35"/>
  <c r="AF364" i="35"/>
  <c r="AE364" i="35"/>
  <c r="AD364" i="35"/>
  <c r="AC364" i="35"/>
  <c r="AB364" i="35"/>
  <c r="AA364" i="35"/>
  <c r="AH363" i="35"/>
  <c r="AG363" i="35"/>
  <c r="AF363" i="35"/>
  <c r="AE363" i="35"/>
  <c r="AD363" i="35"/>
  <c r="AC363" i="35"/>
  <c r="AB363" i="35"/>
  <c r="AA363" i="35"/>
  <c r="AH362" i="35"/>
  <c r="AG362" i="35"/>
  <c r="AF362" i="35"/>
  <c r="AE362" i="35"/>
  <c r="AD362" i="35"/>
  <c r="AC362" i="35"/>
  <c r="AB362" i="35"/>
  <c r="AA362" i="35"/>
  <c r="AH361" i="35"/>
  <c r="AG361" i="35"/>
  <c r="AF361" i="35"/>
  <c r="AE361" i="35"/>
  <c r="AD361" i="35"/>
  <c r="AC361" i="35"/>
  <c r="AB361" i="35"/>
  <c r="AA361" i="35"/>
  <c r="AH360" i="35"/>
  <c r="AG360" i="35"/>
  <c r="AF360" i="35"/>
  <c r="AE360" i="35"/>
  <c r="AD360" i="35"/>
  <c r="AC360" i="35"/>
  <c r="AB360" i="35"/>
  <c r="AA360" i="35"/>
  <c r="AH359" i="35"/>
  <c r="AG359" i="35"/>
  <c r="AF359" i="35"/>
  <c r="AE359" i="35"/>
  <c r="AD359" i="35"/>
  <c r="AC359" i="35"/>
  <c r="AB359" i="35"/>
  <c r="AA359" i="35"/>
  <c r="AH357" i="35"/>
  <c r="AG357" i="35"/>
  <c r="AF357" i="35"/>
  <c r="AE357" i="35"/>
  <c r="AD357" i="35"/>
  <c r="AC357" i="35"/>
  <c r="AB357" i="35"/>
  <c r="AA357" i="35"/>
  <c r="AH356" i="35"/>
  <c r="AG356" i="35"/>
  <c r="AF356" i="35"/>
  <c r="AE356" i="35"/>
  <c r="AD356" i="35"/>
  <c r="AC356" i="35"/>
  <c r="AB356" i="35"/>
  <c r="AA356" i="35"/>
  <c r="AH355" i="35"/>
  <c r="AG355" i="35"/>
  <c r="AF355" i="35"/>
  <c r="AE355" i="35"/>
  <c r="AD355" i="35"/>
  <c r="AC355" i="35"/>
  <c r="AB355" i="35"/>
  <c r="AA355" i="35"/>
  <c r="AH354" i="35"/>
  <c r="AG354" i="35"/>
  <c r="AF354" i="35"/>
  <c r="AE354" i="35"/>
  <c r="AD354" i="35"/>
  <c r="AC354" i="35"/>
  <c r="AB354" i="35"/>
  <c r="AA354" i="35"/>
  <c r="AH353" i="35"/>
  <c r="AG353" i="35"/>
  <c r="AF353" i="35"/>
  <c r="AE353" i="35"/>
  <c r="AD353" i="35"/>
  <c r="AC353" i="35"/>
  <c r="AB353" i="35"/>
  <c r="AA353" i="35"/>
  <c r="AH352" i="35"/>
  <c r="AG352" i="35"/>
  <c r="AF352" i="35"/>
  <c r="AE352" i="35"/>
  <c r="AD352" i="35"/>
  <c r="AC352" i="35"/>
  <c r="AB352" i="35"/>
  <c r="AA352" i="35"/>
  <c r="AH351" i="35"/>
  <c r="AG351" i="35"/>
  <c r="AF351" i="35"/>
  <c r="AE351" i="35"/>
  <c r="AD351" i="35"/>
  <c r="AC351" i="35"/>
  <c r="AB351" i="35"/>
  <c r="AA351" i="35"/>
  <c r="AH350" i="35"/>
  <c r="AG350" i="35"/>
  <c r="AF350" i="35"/>
  <c r="AE350" i="35"/>
  <c r="AD350" i="35"/>
  <c r="AC350" i="35"/>
  <c r="AB350" i="35"/>
  <c r="AA350" i="35"/>
  <c r="AH349" i="35"/>
  <c r="AG349" i="35"/>
  <c r="AF349" i="35"/>
  <c r="AE349" i="35"/>
  <c r="AD349" i="35"/>
  <c r="AC349" i="35"/>
  <c r="AB349" i="35"/>
  <c r="AA349" i="35"/>
  <c r="AH348" i="35"/>
  <c r="AG348" i="35"/>
  <c r="AF348" i="35"/>
  <c r="AE348" i="35"/>
  <c r="AD348" i="35"/>
  <c r="AC348" i="35"/>
  <c r="AB348" i="35"/>
  <c r="AA348" i="35"/>
  <c r="AH347" i="35"/>
  <c r="AG347" i="35"/>
  <c r="AF347" i="35"/>
  <c r="AE347" i="35"/>
  <c r="AD347" i="35"/>
  <c r="AC347" i="35"/>
  <c r="AB347" i="35"/>
  <c r="AA347" i="35"/>
  <c r="AH344" i="35"/>
  <c r="AG344" i="35"/>
  <c r="AF344" i="35"/>
  <c r="AE344" i="35"/>
  <c r="AD344" i="35"/>
  <c r="AC344" i="35"/>
  <c r="AB344" i="35"/>
  <c r="AA344" i="35"/>
  <c r="AH343" i="35"/>
  <c r="AG343" i="35"/>
  <c r="AF343" i="35"/>
  <c r="AE343" i="35"/>
  <c r="AD343" i="35"/>
  <c r="AC343" i="35"/>
  <c r="AB343" i="35"/>
  <c r="AA343" i="35"/>
  <c r="AH342" i="35"/>
  <c r="AG342" i="35"/>
  <c r="AF342" i="35"/>
  <c r="AE342" i="35"/>
  <c r="AD342" i="35"/>
  <c r="AC342" i="35"/>
  <c r="AB342" i="35"/>
  <c r="AA342" i="35"/>
  <c r="AH340" i="35"/>
  <c r="AG340" i="35"/>
  <c r="AF340" i="35"/>
  <c r="AE340" i="35"/>
  <c r="AD340" i="35"/>
  <c r="AC340" i="35"/>
  <c r="AB340" i="35"/>
  <c r="AA340" i="35"/>
  <c r="AH339" i="35"/>
  <c r="AG339" i="35"/>
  <c r="AF339" i="35"/>
  <c r="AE339" i="35"/>
  <c r="AD339" i="35"/>
  <c r="AC339" i="35"/>
  <c r="AB339" i="35"/>
  <c r="AA339" i="35"/>
  <c r="AH338" i="35"/>
  <c r="AG338" i="35"/>
  <c r="AF338" i="35"/>
  <c r="AE338" i="35"/>
  <c r="AD338" i="35"/>
  <c r="AC338" i="35"/>
  <c r="AB338" i="35"/>
  <c r="AA338" i="35"/>
  <c r="AH337" i="35"/>
  <c r="AG337" i="35"/>
  <c r="AF337" i="35"/>
  <c r="AE337" i="35"/>
  <c r="AD337" i="35"/>
  <c r="AC337" i="35"/>
  <c r="AB337" i="35"/>
  <c r="AA337" i="35"/>
  <c r="AH334" i="35"/>
  <c r="AG334" i="35"/>
  <c r="AF334" i="35"/>
  <c r="AE334" i="35"/>
  <c r="AD334" i="35"/>
  <c r="AC334" i="35"/>
  <c r="AB334" i="35"/>
  <c r="AA334" i="35"/>
  <c r="AH333" i="35"/>
  <c r="AG333" i="35"/>
  <c r="AF333" i="35"/>
  <c r="AE333" i="35"/>
  <c r="AD333" i="35"/>
  <c r="AC333" i="35"/>
  <c r="AB333" i="35"/>
  <c r="AA333" i="35"/>
  <c r="AH332" i="35"/>
  <c r="AG332" i="35"/>
  <c r="AF332" i="35"/>
  <c r="AE332" i="35"/>
  <c r="AD332" i="35"/>
  <c r="AC332" i="35"/>
  <c r="AB332" i="35"/>
  <c r="AA332" i="35"/>
  <c r="AH331" i="35"/>
  <c r="AG331" i="35"/>
  <c r="AF331" i="35"/>
  <c r="AE331" i="35"/>
  <c r="AD331" i="35"/>
  <c r="AC331" i="35"/>
  <c r="AB331" i="35"/>
  <c r="AA331" i="35"/>
  <c r="AH330" i="35"/>
  <c r="AG330" i="35"/>
  <c r="AF330" i="35"/>
  <c r="AE330" i="35"/>
  <c r="AD330" i="35"/>
  <c r="AC330" i="35"/>
  <c r="AB330" i="35"/>
  <c r="AA330" i="35"/>
  <c r="AH329" i="35"/>
  <c r="AG329" i="35"/>
  <c r="AF329" i="35"/>
  <c r="AE329" i="35"/>
  <c r="AD329" i="35"/>
  <c r="AC329" i="35"/>
  <c r="AB329" i="35"/>
  <c r="AA329" i="35"/>
  <c r="AH328" i="35"/>
  <c r="AG328" i="35"/>
  <c r="AF328" i="35"/>
  <c r="AE328" i="35"/>
  <c r="AD328" i="35"/>
  <c r="AC328" i="35"/>
  <c r="AB328" i="35"/>
  <c r="AA328" i="35"/>
  <c r="AH327" i="35"/>
  <c r="AG327" i="35"/>
  <c r="AF327" i="35"/>
  <c r="AE327" i="35"/>
  <c r="AD327" i="35"/>
  <c r="AC327" i="35"/>
  <c r="AB327" i="35"/>
  <c r="AA327" i="35"/>
  <c r="AH326" i="35"/>
  <c r="AG326" i="35"/>
  <c r="AF326" i="35"/>
  <c r="AE326" i="35"/>
  <c r="AD326" i="35"/>
  <c r="AC326" i="35"/>
  <c r="AB326" i="35"/>
  <c r="AA326" i="35"/>
  <c r="AH324" i="35"/>
  <c r="AG324" i="35"/>
  <c r="AF324" i="35"/>
  <c r="AE324" i="35"/>
  <c r="AD324" i="35"/>
  <c r="AC324" i="35"/>
  <c r="AB324" i="35"/>
  <c r="AA324" i="35"/>
  <c r="AH323" i="35"/>
  <c r="AG323" i="35"/>
  <c r="AF323" i="35"/>
  <c r="AE323" i="35"/>
  <c r="AD323" i="35"/>
  <c r="AC323" i="35"/>
  <c r="AB323" i="35"/>
  <c r="AA323" i="35"/>
  <c r="AH322" i="35"/>
  <c r="AG322" i="35"/>
  <c r="AF322" i="35"/>
  <c r="AE322" i="35"/>
  <c r="AD322" i="35"/>
  <c r="AC322" i="35"/>
  <c r="AB322" i="35"/>
  <c r="AA322" i="35"/>
  <c r="AH321" i="35"/>
  <c r="AG321" i="35"/>
  <c r="AF321" i="35"/>
  <c r="AE321" i="35"/>
  <c r="AD321" i="35"/>
  <c r="AC321" i="35"/>
  <c r="AB321" i="35"/>
  <c r="AA321" i="35"/>
  <c r="AH320" i="35"/>
  <c r="AG320" i="35"/>
  <c r="AF320" i="35"/>
  <c r="AE320" i="35"/>
  <c r="AD320" i="35"/>
  <c r="AC320" i="35"/>
  <c r="AB320" i="35"/>
  <c r="AA320" i="35"/>
  <c r="AH319" i="35"/>
  <c r="AG319" i="35"/>
  <c r="AF319" i="35"/>
  <c r="AE319" i="35"/>
  <c r="AD319" i="35"/>
  <c r="AC319" i="35"/>
  <c r="AB319" i="35"/>
  <c r="AA319" i="35"/>
  <c r="AH318" i="35"/>
  <c r="AG318" i="35"/>
  <c r="AF318" i="35"/>
  <c r="AE318" i="35"/>
  <c r="AD318" i="35"/>
  <c r="AC318" i="35"/>
  <c r="AB318" i="35"/>
  <c r="AA318" i="35"/>
  <c r="AH316" i="35"/>
  <c r="AG316" i="35"/>
  <c r="AF316" i="35"/>
  <c r="AE316" i="35"/>
  <c r="AD316" i="35"/>
  <c r="AC316" i="35"/>
  <c r="AB316" i="35"/>
  <c r="AA316" i="35"/>
  <c r="AH315" i="35"/>
  <c r="AG315" i="35"/>
  <c r="AF315" i="35"/>
  <c r="AE315" i="35"/>
  <c r="AD315" i="35"/>
  <c r="AC315" i="35"/>
  <c r="AB315" i="35"/>
  <c r="AA315" i="35"/>
  <c r="AH314" i="35"/>
  <c r="AG314" i="35"/>
  <c r="AF314" i="35"/>
  <c r="AE314" i="35"/>
  <c r="AD314" i="35"/>
  <c r="AC314" i="35"/>
  <c r="AB314" i="35"/>
  <c r="AA314" i="35"/>
  <c r="AH313" i="35"/>
  <c r="AG313" i="35"/>
  <c r="AF313" i="35"/>
  <c r="AE313" i="35"/>
  <c r="AD313" i="35"/>
  <c r="AC313" i="35"/>
  <c r="AB313" i="35"/>
  <c r="AA313" i="35"/>
  <c r="AH312" i="35"/>
  <c r="AG312" i="35"/>
  <c r="AF312" i="35"/>
  <c r="AE312" i="35"/>
  <c r="AD312" i="35"/>
  <c r="AC312" i="35"/>
  <c r="AB312" i="35"/>
  <c r="AA312" i="35"/>
  <c r="AH311" i="35"/>
  <c r="AG311" i="35"/>
  <c r="AF311" i="35"/>
  <c r="AE311" i="35"/>
  <c r="AD311" i="35"/>
  <c r="AC311" i="35"/>
  <c r="AB311" i="35"/>
  <c r="AA311" i="35"/>
  <c r="AH310" i="35"/>
  <c r="AG310" i="35"/>
  <c r="AF310" i="35"/>
  <c r="AE310" i="35"/>
  <c r="AD310" i="35"/>
  <c r="AC310" i="35"/>
  <c r="AB310" i="35"/>
  <c r="AA310" i="35"/>
  <c r="AH307" i="35"/>
  <c r="AG307" i="35"/>
  <c r="AF307" i="35"/>
  <c r="AE307" i="35"/>
  <c r="AD307" i="35"/>
  <c r="AC307" i="35"/>
  <c r="AB307" i="35"/>
  <c r="AA307" i="35"/>
  <c r="AH306" i="35"/>
  <c r="AG306" i="35"/>
  <c r="AF306" i="35"/>
  <c r="AE306" i="35"/>
  <c r="AD306" i="35"/>
  <c r="AC306" i="35"/>
  <c r="AB306" i="35"/>
  <c r="AA306" i="35"/>
  <c r="AH305" i="35"/>
  <c r="AG305" i="35"/>
  <c r="AF305" i="35"/>
  <c r="AE305" i="35"/>
  <c r="AD305" i="35"/>
  <c r="AC305" i="35"/>
  <c r="AB305" i="35"/>
  <c r="AA305" i="35"/>
  <c r="AH304" i="35"/>
  <c r="AG304" i="35"/>
  <c r="AF304" i="35"/>
  <c r="AE304" i="35"/>
  <c r="AD304" i="35"/>
  <c r="AC304" i="35"/>
  <c r="AB304" i="35"/>
  <c r="AA304" i="35"/>
  <c r="AH303" i="35"/>
  <c r="AG303" i="35"/>
  <c r="AF303" i="35"/>
  <c r="AE303" i="35"/>
  <c r="AD303" i="35"/>
  <c r="AC303" i="35"/>
  <c r="AB303" i="35"/>
  <c r="AA303" i="35"/>
  <c r="AH302" i="35"/>
  <c r="AG302" i="35"/>
  <c r="AF302" i="35"/>
  <c r="AE302" i="35"/>
  <c r="AD302" i="35"/>
  <c r="AC302" i="35"/>
  <c r="AB302" i="35"/>
  <c r="AA302" i="35"/>
  <c r="AH301" i="35"/>
  <c r="AG301" i="35"/>
  <c r="AF301" i="35"/>
  <c r="AE301" i="35"/>
  <c r="AD301" i="35"/>
  <c r="AC301" i="35"/>
  <c r="AB301" i="35"/>
  <c r="AA301" i="35"/>
  <c r="AH300" i="35"/>
  <c r="AG300" i="35"/>
  <c r="AF300" i="35"/>
  <c r="AE300" i="35"/>
  <c r="AD300" i="35"/>
  <c r="AC300" i="35"/>
  <c r="AB300" i="35"/>
  <c r="AA300" i="35"/>
  <c r="AH298" i="35"/>
  <c r="AG298" i="35"/>
  <c r="AF298" i="35"/>
  <c r="AE298" i="35"/>
  <c r="AD298" i="35"/>
  <c r="AC298" i="35"/>
  <c r="AB298" i="35"/>
  <c r="AA298" i="35"/>
  <c r="AH297" i="35"/>
  <c r="AG297" i="35"/>
  <c r="AF297" i="35"/>
  <c r="AE297" i="35"/>
  <c r="AD297" i="35"/>
  <c r="AC297" i="35"/>
  <c r="AB297" i="35"/>
  <c r="AA297" i="35"/>
  <c r="AH296" i="35"/>
  <c r="AG296" i="35"/>
  <c r="AF296" i="35"/>
  <c r="AE296" i="35"/>
  <c r="AD296" i="35"/>
  <c r="AC296" i="35"/>
  <c r="AB296" i="35"/>
  <c r="AA296" i="35"/>
  <c r="AH295" i="35"/>
  <c r="AG295" i="35"/>
  <c r="AF295" i="35"/>
  <c r="AE295" i="35"/>
  <c r="AD295" i="35"/>
  <c r="AC295" i="35"/>
  <c r="AB295" i="35"/>
  <c r="AA295" i="35"/>
  <c r="AH294" i="35"/>
  <c r="AG294" i="35"/>
  <c r="AF294" i="35"/>
  <c r="AE294" i="35"/>
  <c r="AD294" i="35"/>
  <c r="AC294" i="35"/>
  <c r="AB294" i="35"/>
  <c r="AA294" i="35"/>
  <c r="AH293" i="35"/>
  <c r="AG293" i="35"/>
  <c r="AF293" i="35"/>
  <c r="AE293" i="35"/>
  <c r="AD293" i="35"/>
  <c r="AC293" i="35"/>
  <c r="AB293" i="35"/>
  <c r="AA293" i="35"/>
  <c r="AH292" i="35"/>
  <c r="AG292" i="35"/>
  <c r="AF292" i="35"/>
  <c r="AE292" i="35"/>
  <c r="AD292" i="35"/>
  <c r="AC292" i="35"/>
  <c r="AB292" i="35"/>
  <c r="AA292" i="35"/>
  <c r="AH291" i="35"/>
  <c r="AG291" i="35"/>
  <c r="AF291" i="35"/>
  <c r="AE291" i="35"/>
  <c r="AD291" i="35"/>
  <c r="AC291" i="35"/>
  <c r="AB291" i="35"/>
  <c r="AA291" i="35"/>
  <c r="AH290" i="35"/>
  <c r="AG290" i="35"/>
  <c r="AF290" i="35"/>
  <c r="AE290" i="35"/>
  <c r="AD290" i="35"/>
  <c r="AC290" i="35"/>
  <c r="AB290" i="35"/>
  <c r="AA290" i="35"/>
  <c r="AH288" i="35"/>
  <c r="AG288" i="35"/>
  <c r="AF288" i="35"/>
  <c r="AE288" i="35"/>
  <c r="AD288" i="35"/>
  <c r="AC288" i="35"/>
  <c r="AB288" i="35"/>
  <c r="AA288" i="35"/>
  <c r="AH287" i="35"/>
  <c r="AG287" i="35"/>
  <c r="AF287" i="35"/>
  <c r="AE287" i="35"/>
  <c r="AD287" i="35"/>
  <c r="AC287" i="35"/>
  <c r="AB287" i="35"/>
  <c r="AA287" i="35"/>
  <c r="AH286" i="35"/>
  <c r="AG286" i="35"/>
  <c r="AF286" i="35"/>
  <c r="AE286" i="35"/>
  <c r="AD286" i="35"/>
  <c r="AC286" i="35"/>
  <c r="AB286" i="35"/>
  <c r="AA286" i="35"/>
  <c r="AH285" i="35"/>
  <c r="AG285" i="35"/>
  <c r="AF285" i="35"/>
  <c r="AE285" i="35"/>
  <c r="AD285" i="35"/>
  <c r="AC285" i="35"/>
  <c r="AB285" i="35"/>
  <c r="AA285" i="35"/>
  <c r="AH284" i="35"/>
  <c r="AG284" i="35"/>
  <c r="AF284" i="35"/>
  <c r="AE284" i="35"/>
  <c r="AD284" i="35"/>
  <c r="AC284" i="35"/>
  <c r="AB284" i="35"/>
  <c r="AA284" i="35"/>
  <c r="AH283" i="35"/>
  <c r="AG283" i="35"/>
  <c r="AF283" i="35"/>
  <c r="AE283" i="35"/>
  <c r="AD283" i="35"/>
  <c r="AC283" i="35"/>
  <c r="AB283" i="35"/>
  <c r="AA283" i="35"/>
  <c r="AH282" i="35"/>
  <c r="AG282" i="35"/>
  <c r="AF282" i="35"/>
  <c r="AE282" i="35"/>
  <c r="AD282" i="35"/>
  <c r="AC282" i="35"/>
  <c r="AB282" i="35"/>
  <c r="AA282" i="35"/>
  <c r="AH281" i="35"/>
  <c r="AG281" i="35"/>
  <c r="AF281" i="35"/>
  <c r="AE281" i="35"/>
  <c r="AD281" i="35"/>
  <c r="AC281" i="35"/>
  <c r="AB281" i="35"/>
  <c r="AA281" i="35"/>
  <c r="AH280" i="35"/>
  <c r="AG280" i="35"/>
  <c r="AF280" i="35"/>
  <c r="AE280" i="35"/>
  <c r="AD280" i="35"/>
  <c r="AC280" i="35"/>
  <c r="AB280" i="35"/>
  <c r="AA280" i="35"/>
  <c r="AH277" i="35"/>
  <c r="AG277" i="35"/>
  <c r="AF277" i="35"/>
  <c r="AE277" i="35"/>
  <c r="AD277" i="35"/>
  <c r="AC277" i="35"/>
  <c r="AB277" i="35"/>
  <c r="AA277" i="35"/>
  <c r="AH276" i="35"/>
  <c r="AG276" i="35"/>
  <c r="AF276" i="35"/>
  <c r="AE276" i="35"/>
  <c r="AD276" i="35"/>
  <c r="AC276" i="35"/>
  <c r="AB276" i="35"/>
  <c r="AA276" i="35"/>
  <c r="AH275" i="35"/>
  <c r="AG275" i="35"/>
  <c r="AF275" i="35"/>
  <c r="AE275" i="35"/>
  <c r="AD275" i="35"/>
  <c r="AC275" i="35"/>
  <c r="AB275" i="35"/>
  <c r="AA275" i="35"/>
  <c r="AH274" i="35"/>
  <c r="AG274" i="35"/>
  <c r="AF274" i="35"/>
  <c r="AE274" i="35"/>
  <c r="AD274" i="35"/>
  <c r="AC274" i="35"/>
  <c r="AB274" i="35"/>
  <c r="AA274" i="35"/>
  <c r="AH273" i="35"/>
  <c r="AG273" i="35"/>
  <c r="AF273" i="35"/>
  <c r="AE273" i="35"/>
  <c r="AD273" i="35"/>
  <c r="AC273" i="35"/>
  <c r="AB273" i="35"/>
  <c r="AA273" i="35"/>
  <c r="AH272" i="35"/>
  <c r="AG272" i="35"/>
  <c r="AF272" i="35"/>
  <c r="AE272" i="35"/>
  <c r="AD272" i="35"/>
  <c r="AC272" i="35"/>
  <c r="AB272" i="35"/>
  <c r="AA272" i="35"/>
  <c r="AH271" i="35"/>
  <c r="AG271" i="35"/>
  <c r="AF271" i="35"/>
  <c r="AE271" i="35"/>
  <c r="AD271" i="35"/>
  <c r="AC271" i="35"/>
  <c r="AB271" i="35"/>
  <c r="AA271" i="35"/>
  <c r="AH269" i="35"/>
  <c r="AG269" i="35"/>
  <c r="AF269" i="35"/>
  <c r="AE269" i="35"/>
  <c r="AD269" i="35"/>
  <c r="AC269" i="35"/>
  <c r="AB269" i="35"/>
  <c r="AA269" i="35"/>
  <c r="AH268" i="35"/>
  <c r="AG268" i="35"/>
  <c r="AF268" i="35"/>
  <c r="AE268" i="35"/>
  <c r="AD268" i="35"/>
  <c r="AC268" i="35"/>
  <c r="AB268" i="35"/>
  <c r="AA268" i="35"/>
  <c r="AH267" i="35"/>
  <c r="AG267" i="35"/>
  <c r="AF267" i="35"/>
  <c r="AE267" i="35"/>
  <c r="AD267" i="35"/>
  <c r="AC267" i="35"/>
  <c r="AB267" i="35"/>
  <c r="AA267" i="35"/>
  <c r="AH265" i="35"/>
  <c r="AG265" i="35"/>
  <c r="AF265" i="35"/>
  <c r="AE265" i="35"/>
  <c r="AD265" i="35"/>
  <c r="AC265" i="35"/>
  <c r="AB265" i="35"/>
  <c r="AA265" i="35"/>
  <c r="AH264" i="35"/>
  <c r="AG264" i="35"/>
  <c r="AF264" i="35"/>
  <c r="AE264" i="35"/>
  <c r="AD264" i="35"/>
  <c r="AC264" i="35"/>
  <c r="AB264" i="35"/>
  <c r="AA264" i="35"/>
  <c r="AH263" i="35"/>
  <c r="AG263" i="35"/>
  <c r="AF263" i="35"/>
  <c r="AE263" i="35"/>
  <c r="AD263" i="35"/>
  <c r="AC263" i="35"/>
  <c r="AB263" i="35"/>
  <c r="AA263" i="35"/>
  <c r="AH262" i="35"/>
  <c r="AG262" i="35"/>
  <c r="AF262" i="35"/>
  <c r="AE262" i="35"/>
  <c r="AD262" i="35"/>
  <c r="AC262" i="35"/>
  <c r="AB262" i="35"/>
  <c r="AA262" i="35"/>
  <c r="AH261" i="35"/>
  <c r="AG261" i="35"/>
  <c r="AF261" i="35"/>
  <c r="AE261" i="35"/>
  <c r="AD261" i="35"/>
  <c r="AC261" i="35"/>
  <c r="AB261" i="35"/>
  <c r="AA261" i="35"/>
  <c r="AH259" i="35"/>
  <c r="AG259" i="35"/>
  <c r="AF259" i="35"/>
  <c r="AE259" i="35"/>
  <c r="AD259" i="35"/>
  <c r="AC259" i="35"/>
  <c r="AB259" i="35"/>
  <c r="AA259" i="35"/>
  <c r="AH258" i="35"/>
  <c r="AG258" i="35"/>
  <c r="AF258" i="35"/>
  <c r="AE258" i="35"/>
  <c r="AD258" i="35"/>
  <c r="AC258" i="35"/>
  <c r="AB258" i="35"/>
  <c r="AA258" i="35"/>
  <c r="AH257" i="35"/>
  <c r="AG257" i="35"/>
  <c r="AF257" i="35"/>
  <c r="AE257" i="35"/>
  <c r="AD257" i="35"/>
  <c r="AC257" i="35"/>
  <c r="AB257" i="35"/>
  <c r="AA257" i="35"/>
  <c r="AH256" i="35"/>
  <c r="AG256" i="35"/>
  <c r="AF256" i="35"/>
  <c r="AE256" i="35"/>
  <c r="AD256" i="35"/>
  <c r="AC256" i="35"/>
  <c r="AB256" i="35"/>
  <c r="AA256" i="35"/>
  <c r="AH255" i="35"/>
  <c r="AG255" i="35"/>
  <c r="AF255" i="35"/>
  <c r="AE255" i="35"/>
  <c r="AD255" i="35"/>
  <c r="AC255" i="35"/>
  <c r="AB255" i="35"/>
  <c r="AA255" i="35"/>
  <c r="AH254" i="35"/>
  <c r="AG254" i="35"/>
  <c r="AF254" i="35"/>
  <c r="AE254" i="35"/>
  <c r="AD254" i="35"/>
  <c r="AC254" i="35"/>
  <c r="AB254" i="35"/>
  <c r="AA254" i="35"/>
  <c r="AH253" i="35"/>
  <c r="AG253" i="35"/>
  <c r="AF253" i="35"/>
  <c r="AE253" i="35"/>
  <c r="AD253" i="35"/>
  <c r="AC253" i="35"/>
  <c r="AB253" i="35"/>
  <c r="AA253" i="35"/>
  <c r="AH251" i="35"/>
  <c r="AG251" i="35"/>
  <c r="AF251" i="35"/>
  <c r="AE251" i="35"/>
  <c r="AD251" i="35"/>
  <c r="AC251" i="35"/>
  <c r="AB251" i="35"/>
  <c r="AA251" i="35"/>
  <c r="AH250" i="35"/>
  <c r="AG250" i="35"/>
  <c r="AF250" i="35"/>
  <c r="AE250" i="35"/>
  <c r="AD250" i="35"/>
  <c r="AC250" i="35"/>
  <c r="AB250" i="35"/>
  <c r="AA250" i="35"/>
  <c r="AH249" i="35"/>
  <c r="AG249" i="35"/>
  <c r="AF249" i="35"/>
  <c r="AE249" i="35"/>
  <c r="AD249" i="35"/>
  <c r="AC249" i="35"/>
  <c r="AB249" i="35"/>
  <c r="AA249" i="35"/>
  <c r="AH248" i="35"/>
  <c r="AG248" i="35"/>
  <c r="AF248" i="35"/>
  <c r="AE248" i="35"/>
  <c r="AD248" i="35"/>
  <c r="AC248" i="35"/>
  <c r="AB248" i="35"/>
  <c r="AA248" i="35"/>
  <c r="AH247" i="35"/>
  <c r="AG247" i="35"/>
  <c r="AF247" i="35"/>
  <c r="AE247" i="35"/>
  <c r="AD247" i="35"/>
  <c r="AC247" i="35"/>
  <c r="AB247" i="35"/>
  <c r="AA247" i="35"/>
  <c r="AH246" i="35"/>
  <c r="AG246" i="35"/>
  <c r="AF246" i="35"/>
  <c r="AE246" i="35"/>
  <c r="AD246" i="35"/>
  <c r="AC246" i="35"/>
  <c r="AB246" i="35"/>
  <c r="AA246" i="35"/>
  <c r="AH245" i="35"/>
  <c r="AG245" i="35"/>
  <c r="AF245" i="35"/>
  <c r="AE245" i="35"/>
  <c r="AD245" i="35"/>
  <c r="AC245" i="35"/>
  <c r="AB245" i="35"/>
  <c r="AA245" i="35"/>
  <c r="AH244" i="35"/>
  <c r="AG244" i="35"/>
  <c r="AF244" i="35"/>
  <c r="AE244" i="35"/>
  <c r="AD244" i="35"/>
  <c r="AC244" i="35"/>
  <c r="AB244" i="35"/>
  <c r="AA244" i="35"/>
  <c r="AH243" i="35"/>
  <c r="AG243" i="35"/>
  <c r="AF243" i="35"/>
  <c r="AE243" i="35"/>
  <c r="AD243" i="35"/>
  <c r="AC243" i="35"/>
  <c r="AB243" i="35"/>
  <c r="AA243" i="35"/>
  <c r="AH242" i="35"/>
  <c r="AG242" i="35"/>
  <c r="AF242" i="35"/>
  <c r="AE242" i="35"/>
  <c r="AD242" i="35"/>
  <c r="AC242" i="35"/>
  <c r="AB242" i="35"/>
  <c r="AA242" i="35"/>
  <c r="AH241" i="35"/>
  <c r="AG241" i="35"/>
  <c r="AF241" i="35"/>
  <c r="AE241" i="35"/>
  <c r="AD241" i="35"/>
  <c r="AC241" i="35"/>
  <c r="AB241" i="35"/>
  <c r="AA241" i="35"/>
  <c r="AH240" i="35"/>
  <c r="AG240" i="35"/>
  <c r="AF240" i="35"/>
  <c r="AE240" i="35"/>
  <c r="AD240" i="35"/>
  <c r="AC240" i="35"/>
  <c r="AB240" i="35"/>
  <c r="AA240" i="35"/>
  <c r="AH239" i="35"/>
  <c r="AG239" i="35"/>
  <c r="AF239" i="35"/>
  <c r="AE239" i="35"/>
  <c r="AD239" i="35"/>
  <c r="AC239" i="35"/>
  <c r="AB239" i="35"/>
  <c r="AA239" i="35"/>
  <c r="AH238" i="35"/>
  <c r="AG238" i="35"/>
  <c r="AF238" i="35"/>
  <c r="AE238" i="35"/>
  <c r="AD238" i="35"/>
  <c r="AC238" i="35"/>
  <c r="AB238" i="35"/>
  <c r="AA238" i="35"/>
  <c r="AH236" i="35"/>
  <c r="AG236" i="35"/>
  <c r="AF236" i="35"/>
  <c r="AE236" i="35"/>
  <c r="AD236" i="35"/>
  <c r="AC236" i="35"/>
  <c r="AB236" i="35"/>
  <c r="AA236" i="35"/>
  <c r="AH235" i="35"/>
  <c r="AG235" i="35"/>
  <c r="AF235" i="35"/>
  <c r="AE235" i="35"/>
  <c r="AD235" i="35"/>
  <c r="AC235" i="35"/>
  <c r="AB235" i="35"/>
  <c r="AA235" i="35"/>
  <c r="AH234" i="35"/>
  <c r="AG234" i="35"/>
  <c r="AF234" i="35"/>
  <c r="AE234" i="35"/>
  <c r="AD234" i="35"/>
  <c r="AC234" i="35"/>
  <c r="AB234" i="35"/>
  <c r="AA234" i="35"/>
  <c r="AH233" i="35"/>
  <c r="AG233" i="35"/>
  <c r="AF233" i="35"/>
  <c r="AE233" i="35"/>
  <c r="AD233" i="35"/>
  <c r="AC233" i="35"/>
  <c r="AB233" i="35"/>
  <c r="AA233" i="35"/>
  <c r="AH232" i="35"/>
  <c r="AG232" i="35"/>
  <c r="AF232" i="35"/>
  <c r="AE232" i="35"/>
  <c r="AD232" i="35"/>
  <c r="AC232" i="35"/>
  <c r="AB232" i="35"/>
  <c r="AA232" i="35"/>
  <c r="AH231" i="35"/>
  <c r="AG231" i="35"/>
  <c r="AF231" i="35"/>
  <c r="AE231" i="35"/>
  <c r="AD231" i="35"/>
  <c r="AC231" i="35"/>
  <c r="AB231" i="35"/>
  <c r="AA231" i="35"/>
  <c r="AH230" i="35"/>
  <c r="AG230" i="35"/>
  <c r="AF230" i="35"/>
  <c r="AE230" i="35"/>
  <c r="AD230" i="35"/>
  <c r="AC230" i="35"/>
  <c r="AB230" i="35"/>
  <c r="AA230" i="35"/>
  <c r="AH229" i="35"/>
  <c r="AG229" i="35"/>
  <c r="AF229" i="35"/>
  <c r="AE229" i="35"/>
  <c r="AD229" i="35"/>
  <c r="AC229" i="35"/>
  <c r="AB229" i="35"/>
  <c r="AA229" i="35"/>
  <c r="AH228" i="35"/>
  <c r="AG228" i="35"/>
  <c r="AF228" i="35"/>
  <c r="AE228" i="35"/>
  <c r="AD228" i="35"/>
  <c r="AC228" i="35"/>
  <c r="AB228" i="35"/>
  <c r="AA228" i="35"/>
  <c r="AH227" i="35"/>
  <c r="AG227" i="35"/>
  <c r="AF227" i="35"/>
  <c r="AE227" i="35"/>
  <c r="AD227" i="35"/>
  <c r="AC227" i="35"/>
  <c r="AB227" i="35"/>
  <c r="AA227" i="35"/>
  <c r="AH226" i="35"/>
  <c r="AG226" i="35"/>
  <c r="AF226" i="35"/>
  <c r="AE226" i="35"/>
  <c r="AD226" i="35"/>
  <c r="AC226" i="35"/>
  <c r="AB226" i="35"/>
  <c r="AA226" i="35"/>
  <c r="AH225" i="35"/>
  <c r="AG225" i="35"/>
  <c r="AF225" i="35"/>
  <c r="AE225" i="35"/>
  <c r="AD225" i="35"/>
  <c r="AC225" i="35"/>
  <c r="AB225" i="35"/>
  <c r="AA225" i="35"/>
  <c r="AH224" i="35"/>
  <c r="AG224" i="35"/>
  <c r="AF224" i="35"/>
  <c r="AE224" i="35"/>
  <c r="AD224" i="35"/>
  <c r="AC224" i="35"/>
  <c r="AB224" i="35"/>
  <c r="AA224" i="35"/>
  <c r="AH223" i="35"/>
  <c r="AG223" i="35"/>
  <c r="AF223" i="35"/>
  <c r="AE223" i="35"/>
  <c r="AD223" i="35"/>
  <c r="AC223" i="35"/>
  <c r="AB223" i="35"/>
  <c r="AA223" i="35"/>
  <c r="AH221" i="35"/>
  <c r="AG221" i="35"/>
  <c r="AF221" i="35"/>
  <c r="AE221" i="35"/>
  <c r="AD221" i="35"/>
  <c r="AC221" i="35"/>
  <c r="AB221" i="35"/>
  <c r="AA221" i="35"/>
  <c r="AH220" i="35"/>
  <c r="AG220" i="35"/>
  <c r="AF220" i="35"/>
  <c r="AE220" i="35"/>
  <c r="AD220" i="35"/>
  <c r="AC220" i="35"/>
  <c r="AB220" i="35"/>
  <c r="AA220" i="35"/>
  <c r="AH219" i="35"/>
  <c r="AG219" i="35"/>
  <c r="AF219" i="35"/>
  <c r="AE219" i="35"/>
  <c r="AD219" i="35"/>
  <c r="AC219" i="35"/>
  <c r="AB219" i="35"/>
  <c r="AA219" i="35"/>
  <c r="AH218" i="35"/>
  <c r="AG218" i="35"/>
  <c r="AF218" i="35"/>
  <c r="AE218" i="35"/>
  <c r="AD218" i="35"/>
  <c r="AC218" i="35"/>
  <c r="AB218" i="35"/>
  <c r="AA218" i="35"/>
  <c r="AH217" i="35"/>
  <c r="AG217" i="35"/>
  <c r="AF217" i="35"/>
  <c r="AE217" i="35"/>
  <c r="AD217" i="35"/>
  <c r="AC217" i="35"/>
  <c r="AB217" i="35"/>
  <c r="AA217" i="35"/>
  <c r="AH216" i="35"/>
  <c r="AG216" i="35"/>
  <c r="AF216" i="35"/>
  <c r="AE216" i="35"/>
  <c r="AD216" i="35"/>
  <c r="AC216" i="35"/>
  <c r="AB216" i="35"/>
  <c r="AA216" i="35"/>
  <c r="AH215" i="35"/>
  <c r="AG215" i="35"/>
  <c r="AF215" i="35"/>
  <c r="AE215" i="35"/>
  <c r="AD215" i="35"/>
  <c r="AC215" i="35"/>
  <c r="AB215" i="35"/>
  <c r="AA215" i="35"/>
  <c r="AH214" i="35"/>
  <c r="AG214" i="35"/>
  <c r="AF214" i="35"/>
  <c r="AE214" i="35"/>
  <c r="AD214" i="35"/>
  <c r="AC214" i="35"/>
  <c r="AB214" i="35"/>
  <c r="AA214" i="35"/>
  <c r="AH212" i="35"/>
  <c r="AG212" i="35"/>
  <c r="AF212" i="35"/>
  <c r="AE212" i="35"/>
  <c r="AD212" i="35"/>
  <c r="AC212" i="35"/>
  <c r="AB212" i="35"/>
  <c r="AA212" i="35"/>
  <c r="AH211" i="35"/>
  <c r="AG211" i="35"/>
  <c r="AF211" i="35"/>
  <c r="AE211" i="35"/>
  <c r="AD211" i="35"/>
  <c r="AC211" i="35"/>
  <c r="AB211" i="35"/>
  <c r="AA211" i="35"/>
  <c r="AH210" i="35"/>
  <c r="AG210" i="35"/>
  <c r="AF210" i="35"/>
  <c r="AE210" i="35"/>
  <c r="AD210" i="35"/>
  <c r="AC210" i="35"/>
  <c r="AB210" i="35"/>
  <c r="AA210" i="35"/>
  <c r="AH209" i="35"/>
  <c r="AG209" i="35"/>
  <c r="AF209" i="35"/>
  <c r="AE209" i="35"/>
  <c r="AD209" i="35"/>
  <c r="AC209" i="35"/>
  <c r="AB209" i="35"/>
  <c r="AA209" i="35"/>
  <c r="AH208" i="35"/>
  <c r="AG208" i="35"/>
  <c r="AF208" i="35"/>
  <c r="AE208" i="35"/>
  <c r="AD208" i="35"/>
  <c r="AC208" i="35"/>
  <c r="AB208" i="35"/>
  <c r="AA208" i="35"/>
  <c r="AH207" i="35"/>
  <c r="AG207" i="35"/>
  <c r="AF207" i="35"/>
  <c r="AE207" i="35"/>
  <c r="AD207" i="35"/>
  <c r="AC207" i="35"/>
  <c r="AB207" i="35"/>
  <c r="AA207" i="35"/>
  <c r="AH206" i="35"/>
  <c r="AG206" i="35"/>
  <c r="AF206" i="35"/>
  <c r="AE206" i="35"/>
  <c r="AD206" i="35"/>
  <c r="AC206" i="35"/>
  <c r="AB206" i="35"/>
  <c r="AA206" i="35"/>
  <c r="AH205" i="35"/>
  <c r="AG205" i="35"/>
  <c r="AF205" i="35"/>
  <c r="AE205" i="35"/>
  <c r="AD205" i="35"/>
  <c r="AC205" i="35"/>
  <c r="AB205" i="35"/>
  <c r="AA205" i="35"/>
  <c r="AH204" i="35"/>
  <c r="AG204" i="35"/>
  <c r="AF204" i="35"/>
  <c r="AE204" i="35"/>
  <c r="AD204" i="35"/>
  <c r="AC204" i="35"/>
  <c r="AB204" i="35"/>
  <c r="AA204" i="35"/>
  <c r="AH203" i="35"/>
  <c r="AG203" i="35"/>
  <c r="AF203" i="35"/>
  <c r="AE203" i="35"/>
  <c r="AD203" i="35"/>
  <c r="AC203" i="35"/>
  <c r="AB203" i="35"/>
  <c r="AA203" i="35"/>
  <c r="AH201" i="35"/>
  <c r="AG201" i="35"/>
  <c r="AF201" i="35"/>
  <c r="AE201" i="35"/>
  <c r="AD201" i="35"/>
  <c r="AC201" i="35"/>
  <c r="AB201" i="35"/>
  <c r="AA201" i="35"/>
  <c r="AH200" i="35"/>
  <c r="AG200" i="35"/>
  <c r="AF200" i="35"/>
  <c r="AE200" i="35"/>
  <c r="AD200" i="35"/>
  <c r="AC200" i="35"/>
  <c r="AB200" i="35"/>
  <c r="AA200" i="35"/>
  <c r="AH199" i="35"/>
  <c r="AG199" i="35"/>
  <c r="AF199" i="35"/>
  <c r="AE199" i="35"/>
  <c r="AD199" i="35"/>
  <c r="AC199" i="35"/>
  <c r="AB199" i="35"/>
  <c r="AA199" i="35"/>
  <c r="AH198" i="35"/>
  <c r="AG198" i="35"/>
  <c r="AF198" i="35"/>
  <c r="AE198" i="35"/>
  <c r="AD198" i="35"/>
  <c r="AC198" i="35"/>
  <c r="AB198" i="35"/>
  <c r="AA198" i="35"/>
  <c r="AH197" i="35"/>
  <c r="AG197" i="35"/>
  <c r="AF197" i="35"/>
  <c r="AE197" i="35"/>
  <c r="AD197" i="35"/>
  <c r="AC197" i="35"/>
  <c r="AB197" i="35"/>
  <c r="AA197" i="35"/>
  <c r="AH196" i="35"/>
  <c r="AG196" i="35"/>
  <c r="AF196" i="35"/>
  <c r="AE196" i="35"/>
  <c r="AD196" i="35"/>
  <c r="AC196" i="35"/>
  <c r="AB196" i="35"/>
  <c r="AA196" i="35"/>
  <c r="AH195" i="35"/>
  <c r="AG195" i="35"/>
  <c r="AF195" i="35"/>
  <c r="AE195" i="35"/>
  <c r="AD195" i="35"/>
  <c r="AC195" i="35"/>
  <c r="AB195" i="35"/>
  <c r="AA195" i="35"/>
  <c r="AH194" i="35"/>
  <c r="AG194" i="35"/>
  <c r="AF194" i="35"/>
  <c r="AE194" i="35"/>
  <c r="AD194" i="35"/>
  <c r="AC194" i="35"/>
  <c r="AB194" i="35"/>
  <c r="AA194" i="35"/>
  <c r="AH193" i="35"/>
  <c r="AG193" i="35"/>
  <c r="AF193" i="35"/>
  <c r="AE193" i="35"/>
  <c r="AD193" i="35"/>
  <c r="AC193" i="35"/>
  <c r="AB193" i="35"/>
  <c r="AA193" i="35"/>
  <c r="AH191" i="35"/>
  <c r="AG191" i="35"/>
  <c r="AF191" i="35"/>
  <c r="AE191" i="35"/>
  <c r="AD191" i="35"/>
  <c r="AC191" i="35"/>
  <c r="AB191" i="35"/>
  <c r="AA191" i="35"/>
  <c r="AH190" i="35"/>
  <c r="AG190" i="35"/>
  <c r="AF190" i="35"/>
  <c r="AE190" i="35"/>
  <c r="AD190" i="35"/>
  <c r="AC190" i="35"/>
  <c r="AB190" i="35"/>
  <c r="AA190" i="35"/>
  <c r="AH189" i="35"/>
  <c r="AG189" i="35"/>
  <c r="AF189" i="35"/>
  <c r="AE189" i="35"/>
  <c r="AD189" i="35"/>
  <c r="AC189" i="35"/>
  <c r="AB189" i="35"/>
  <c r="AA189" i="35"/>
  <c r="AH188" i="35"/>
  <c r="AG188" i="35"/>
  <c r="AF188" i="35"/>
  <c r="AE188" i="35"/>
  <c r="AD188" i="35"/>
  <c r="AC188" i="35"/>
  <c r="AB188" i="35"/>
  <c r="AA188" i="35"/>
  <c r="AH187" i="35"/>
  <c r="AG187" i="35"/>
  <c r="AF187" i="35"/>
  <c r="AE187" i="35"/>
  <c r="AD187" i="35"/>
  <c r="AC187" i="35"/>
  <c r="AB187" i="35"/>
  <c r="AA187" i="35"/>
  <c r="AH186" i="35"/>
  <c r="AG186" i="35"/>
  <c r="AF186" i="35"/>
  <c r="AE186" i="35"/>
  <c r="AD186" i="35"/>
  <c r="AC186" i="35"/>
  <c r="AB186" i="35"/>
  <c r="AA186" i="35"/>
  <c r="AH185" i="35"/>
  <c r="AG185" i="35"/>
  <c r="AF185" i="35"/>
  <c r="AE185" i="35"/>
  <c r="AD185" i="35"/>
  <c r="AC185" i="35"/>
  <c r="AB185" i="35"/>
  <c r="AA185" i="35"/>
  <c r="AH184" i="35"/>
  <c r="AG184" i="35"/>
  <c r="AF184" i="35"/>
  <c r="AE184" i="35"/>
  <c r="AD184" i="35"/>
  <c r="AC184" i="35"/>
  <c r="AB184" i="35"/>
  <c r="AA184" i="35"/>
  <c r="AH181" i="35"/>
  <c r="AG181" i="35"/>
  <c r="AF181" i="35"/>
  <c r="AE181" i="35"/>
  <c r="AD181" i="35"/>
  <c r="AC181" i="35"/>
  <c r="AB181" i="35"/>
  <c r="AA181" i="35"/>
  <c r="AH180" i="35"/>
  <c r="AG180" i="35"/>
  <c r="AF180" i="35"/>
  <c r="AE180" i="35"/>
  <c r="AD180" i="35"/>
  <c r="AC180" i="35"/>
  <c r="AB180" i="35"/>
  <c r="AA180" i="35"/>
  <c r="AH179" i="35"/>
  <c r="AG179" i="35"/>
  <c r="AF179" i="35"/>
  <c r="AE179" i="35"/>
  <c r="AD179" i="35"/>
  <c r="AC179" i="35"/>
  <c r="AB179" i="35"/>
  <c r="AA179" i="35"/>
  <c r="AH178" i="35"/>
  <c r="AG178" i="35"/>
  <c r="AF178" i="35"/>
  <c r="AE178" i="35"/>
  <c r="AD178" i="35"/>
  <c r="AC178" i="35"/>
  <c r="AB178" i="35"/>
  <c r="AA178" i="35"/>
  <c r="AH177" i="35"/>
  <c r="AG177" i="35"/>
  <c r="AF177" i="35"/>
  <c r="AE177" i="35"/>
  <c r="AD177" i="35"/>
  <c r="AC177" i="35"/>
  <c r="AB177" i="35"/>
  <c r="AA177" i="35"/>
  <c r="AH175" i="35"/>
  <c r="AG175" i="35"/>
  <c r="AF175" i="35"/>
  <c r="AE175" i="35"/>
  <c r="AD175" i="35"/>
  <c r="AC175" i="35"/>
  <c r="AB175" i="35"/>
  <c r="AA175" i="35"/>
  <c r="AH174" i="35"/>
  <c r="AG174" i="35"/>
  <c r="AF174" i="35"/>
  <c r="AE174" i="35"/>
  <c r="AD174" i="35"/>
  <c r="AC174" i="35"/>
  <c r="AB174" i="35"/>
  <c r="AA174" i="35"/>
  <c r="AH173" i="35"/>
  <c r="AG173" i="35"/>
  <c r="AF173" i="35"/>
  <c r="AE173" i="35"/>
  <c r="AD173" i="35"/>
  <c r="AC173" i="35"/>
  <c r="AB173" i="35"/>
  <c r="AA173" i="35"/>
  <c r="AH172" i="35"/>
  <c r="AG172" i="35"/>
  <c r="AF172" i="35"/>
  <c r="AE172" i="35"/>
  <c r="AD172" i="35"/>
  <c r="AC172" i="35"/>
  <c r="AB172" i="35"/>
  <c r="AA172" i="35"/>
  <c r="AH171" i="35"/>
  <c r="AG171" i="35"/>
  <c r="AF171" i="35"/>
  <c r="AE171" i="35"/>
  <c r="AD171" i="35"/>
  <c r="AC171" i="35"/>
  <c r="AB171" i="35"/>
  <c r="AA171" i="35"/>
  <c r="AH170" i="35"/>
  <c r="AG170" i="35"/>
  <c r="AF170" i="35"/>
  <c r="AE170" i="35"/>
  <c r="AD170" i="35"/>
  <c r="AC170" i="35"/>
  <c r="AB170" i="35"/>
  <c r="AA170" i="35"/>
  <c r="AH169" i="35"/>
  <c r="AG169" i="35"/>
  <c r="AF169" i="35"/>
  <c r="AE169" i="35"/>
  <c r="AD169" i="35"/>
  <c r="AC169" i="35"/>
  <c r="AB169" i="35"/>
  <c r="AA169" i="35"/>
  <c r="AH168" i="35"/>
  <c r="AG168" i="35"/>
  <c r="AF168" i="35"/>
  <c r="AE168" i="35"/>
  <c r="AD168" i="35"/>
  <c r="AC168" i="35"/>
  <c r="AB168" i="35"/>
  <c r="AA168" i="35"/>
  <c r="AH167" i="35"/>
  <c r="AG167" i="35"/>
  <c r="AF167" i="35"/>
  <c r="AE167" i="35"/>
  <c r="AD167" i="35"/>
  <c r="AC167" i="35"/>
  <c r="AB167" i="35"/>
  <c r="AA167" i="35"/>
  <c r="AH166" i="35"/>
  <c r="AG166" i="35"/>
  <c r="AF166" i="35"/>
  <c r="AE166" i="35"/>
  <c r="AD166" i="35"/>
  <c r="AC166" i="35"/>
  <c r="AB166" i="35"/>
  <c r="AA166" i="35"/>
  <c r="AH164" i="35"/>
  <c r="AG164" i="35"/>
  <c r="AF164" i="35"/>
  <c r="AE164" i="35"/>
  <c r="AD164" i="35"/>
  <c r="AC164" i="35"/>
  <c r="AB164" i="35"/>
  <c r="AA164" i="35"/>
  <c r="AH163" i="35"/>
  <c r="AG163" i="35"/>
  <c r="AF163" i="35"/>
  <c r="AE163" i="35"/>
  <c r="AD163" i="35"/>
  <c r="AC163" i="35"/>
  <c r="AB163" i="35"/>
  <c r="AA163" i="35"/>
  <c r="AH162" i="35"/>
  <c r="AG162" i="35"/>
  <c r="AF162" i="35"/>
  <c r="AE162" i="35"/>
  <c r="AD162" i="35"/>
  <c r="AC162" i="35"/>
  <c r="AB162" i="35"/>
  <c r="AA162" i="35"/>
  <c r="AH161" i="35"/>
  <c r="AG161" i="35"/>
  <c r="AF161" i="35"/>
  <c r="AE161" i="35"/>
  <c r="AD161" i="35"/>
  <c r="AC161" i="35"/>
  <c r="AB161" i="35"/>
  <c r="AA161" i="35"/>
  <c r="AH160" i="35"/>
  <c r="AG160" i="35"/>
  <c r="AF160" i="35"/>
  <c r="AE160" i="35"/>
  <c r="AD160" i="35"/>
  <c r="AC160" i="35"/>
  <c r="AB160" i="35"/>
  <c r="AA160" i="35"/>
  <c r="AH159" i="35"/>
  <c r="AG159" i="35"/>
  <c r="AF159" i="35"/>
  <c r="AE159" i="35"/>
  <c r="AD159" i="35"/>
  <c r="AC159" i="35"/>
  <c r="AB159" i="35"/>
  <c r="AA159" i="35"/>
  <c r="AH158" i="35"/>
  <c r="AG158" i="35"/>
  <c r="AF158" i="35"/>
  <c r="AE158" i="35"/>
  <c r="AD158" i="35"/>
  <c r="AC158" i="35"/>
  <c r="AB158" i="35"/>
  <c r="AA158" i="35"/>
  <c r="AH156" i="35"/>
  <c r="AG156" i="35"/>
  <c r="AF156" i="35"/>
  <c r="AE156" i="35"/>
  <c r="AD156" i="35"/>
  <c r="AC156" i="35"/>
  <c r="AB156" i="35"/>
  <c r="AA156" i="35"/>
  <c r="AH155" i="35"/>
  <c r="AG155" i="35"/>
  <c r="AF155" i="35"/>
  <c r="AE155" i="35"/>
  <c r="AD155" i="35"/>
  <c r="AC155" i="35"/>
  <c r="AB155" i="35"/>
  <c r="AA155" i="35"/>
  <c r="AH154" i="35"/>
  <c r="AG154" i="35"/>
  <c r="AF154" i="35"/>
  <c r="AE154" i="35"/>
  <c r="AD154" i="35"/>
  <c r="AC154" i="35"/>
  <c r="AB154" i="35"/>
  <c r="AA154" i="35"/>
  <c r="AH153" i="35"/>
  <c r="AG153" i="35"/>
  <c r="AF153" i="35"/>
  <c r="AE153" i="35"/>
  <c r="AD153" i="35"/>
  <c r="AC153" i="35"/>
  <c r="AB153" i="35"/>
  <c r="AA153" i="35"/>
  <c r="AH152" i="35"/>
  <c r="AG152" i="35"/>
  <c r="AF152" i="35"/>
  <c r="AE152" i="35"/>
  <c r="AD152" i="35"/>
  <c r="AC152" i="35"/>
  <c r="AB152" i="35"/>
  <c r="AA152" i="35"/>
  <c r="AH151" i="35"/>
  <c r="AG151" i="35"/>
  <c r="AF151" i="35"/>
  <c r="AE151" i="35"/>
  <c r="AD151" i="35"/>
  <c r="AC151" i="35"/>
  <c r="AB151" i="35"/>
  <c r="AA151" i="35"/>
  <c r="AH150" i="35"/>
  <c r="AG150" i="35"/>
  <c r="AF150" i="35"/>
  <c r="AE150" i="35"/>
  <c r="AD150" i="35"/>
  <c r="AC150" i="35"/>
  <c r="AB150" i="35"/>
  <c r="AA150" i="35"/>
  <c r="AH148" i="35"/>
  <c r="AG148" i="35"/>
  <c r="AF148" i="35"/>
  <c r="AE148" i="35"/>
  <c r="AD148" i="35"/>
  <c r="AC148" i="35"/>
  <c r="AB148" i="35"/>
  <c r="AA148" i="35"/>
  <c r="AH147" i="35"/>
  <c r="AG147" i="35"/>
  <c r="AF147" i="35"/>
  <c r="AE147" i="35"/>
  <c r="AD147" i="35"/>
  <c r="AC147" i="35"/>
  <c r="AB147" i="35"/>
  <c r="AA147" i="35"/>
  <c r="AH146" i="35"/>
  <c r="AG146" i="35"/>
  <c r="AF146" i="35"/>
  <c r="AE146" i="35"/>
  <c r="AD146" i="35"/>
  <c r="AC146" i="35"/>
  <c r="AB146" i="35"/>
  <c r="AA146" i="35"/>
  <c r="AH145" i="35"/>
  <c r="AG145" i="35"/>
  <c r="AF145" i="35"/>
  <c r="AE145" i="35"/>
  <c r="AD145" i="35"/>
  <c r="AC145" i="35"/>
  <c r="AB145" i="35"/>
  <c r="AA145" i="35"/>
  <c r="AH144" i="35"/>
  <c r="AG144" i="35"/>
  <c r="AF144" i="35"/>
  <c r="AE144" i="35"/>
  <c r="AD144" i="35"/>
  <c r="AC144" i="35"/>
  <c r="AB144" i="35"/>
  <c r="AA144" i="35"/>
  <c r="AH143" i="35"/>
  <c r="AG143" i="35"/>
  <c r="AF143" i="35"/>
  <c r="AE143" i="35"/>
  <c r="AD143" i="35"/>
  <c r="AC143" i="35"/>
  <c r="AB143" i="35"/>
  <c r="AA143" i="35"/>
  <c r="AH142" i="35"/>
  <c r="AG142" i="35"/>
  <c r="AF142" i="35"/>
  <c r="AE142" i="35"/>
  <c r="AD142" i="35"/>
  <c r="AC142" i="35"/>
  <c r="AB142" i="35"/>
  <c r="AA142" i="35"/>
  <c r="AH141" i="35"/>
  <c r="AG141" i="35"/>
  <c r="AF141" i="35"/>
  <c r="AE141" i="35"/>
  <c r="AD141" i="35"/>
  <c r="AC141" i="35"/>
  <c r="AB141" i="35"/>
  <c r="AA141" i="35"/>
  <c r="AH140" i="35"/>
  <c r="AG140" i="35"/>
  <c r="AF140" i="35"/>
  <c r="AE140" i="35"/>
  <c r="AD140" i="35"/>
  <c r="AC140" i="35"/>
  <c r="AB140" i="35"/>
  <c r="AA140" i="35"/>
  <c r="AH139" i="35"/>
  <c r="AG139" i="35"/>
  <c r="AF139" i="35"/>
  <c r="AE139" i="35"/>
  <c r="AD139" i="35"/>
  <c r="AC139" i="35"/>
  <c r="AB139" i="35"/>
  <c r="AA139" i="35"/>
  <c r="AH138" i="35"/>
  <c r="AG138" i="35"/>
  <c r="AF138" i="35"/>
  <c r="AE138" i="35"/>
  <c r="AD138" i="35"/>
  <c r="AC138" i="35"/>
  <c r="AB138" i="35"/>
  <c r="AA138" i="35"/>
  <c r="AH137" i="35"/>
  <c r="AG137" i="35"/>
  <c r="AF137" i="35"/>
  <c r="AE137" i="35"/>
  <c r="AD137" i="35"/>
  <c r="AC137" i="35"/>
  <c r="AB137" i="35"/>
  <c r="AA137" i="35"/>
  <c r="AH136" i="35"/>
  <c r="AG136" i="35"/>
  <c r="AF136" i="35"/>
  <c r="AE136" i="35"/>
  <c r="AD136" i="35"/>
  <c r="AC136" i="35"/>
  <c r="AB136" i="35"/>
  <c r="AA136" i="35"/>
  <c r="AH134" i="35"/>
  <c r="AG134" i="35"/>
  <c r="AF134" i="35"/>
  <c r="AE134" i="35"/>
  <c r="AD134" i="35"/>
  <c r="AC134" i="35"/>
  <c r="AB134" i="35"/>
  <c r="AA134" i="35"/>
  <c r="AH133" i="35"/>
  <c r="AG133" i="35"/>
  <c r="AF133" i="35"/>
  <c r="AE133" i="35"/>
  <c r="AD133" i="35"/>
  <c r="AC133" i="35"/>
  <c r="AB133" i="35"/>
  <c r="AA133" i="35"/>
  <c r="AH132" i="35"/>
  <c r="AG132" i="35"/>
  <c r="AF132" i="35"/>
  <c r="AE132" i="35"/>
  <c r="AD132" i="35"/>
  <c r="AC132" i="35"/>
  <c r="AB132" i="35"/>
  <c r="AA132" i="35"/>
  <c r="AH130" i="35"/>
  <c r="AG130" i="35"/>
  <c r="AF130" i="35"/>
  <c r="AE130" i="35"/>
  <c r="AD130" i="35"/>
  <c r="AC130" i="35"/>
  <c r="AB130" i="35"/>
  <c r="AA130" i="35"/>
  <c r="AH129" i="35"/>
  <c r="AG129" i="35"/>
  <c r="AF129" i="35"/>
  <c r="AE129" i="35"/>
  <c r="AD129" i="35"/>
  <c r="AC129" i="35"/>
  <c r="AB129" i="35"/>
  <c r="AA129" i="35"/>
  <c r="AH128" i="35"/>
  <c r="AG128" i="35"/>
  <c r="AF128" i="35"/>
  <c r="AE128" i="35"/>
  <c r="AD128" i="35"/>
  <c r="AC128" i="35"/>
  <c r="AB128" i="35"/>
  <c r="AA128" i="35"/>
  <c r="AH127" i="35"/>
  <c r="AG127" i="35"/>
  <c r="AF127" i="35"/>
  <c r="AE127" i="35"/>
  <c r="AD127" i="35"/>
  <c r="AC127" i="35"/>
  <c r="AB127" i="35"/>
  <c r="AA127" i="35"/>
  <c r="AH126" i="35"/>
  <c r="AG126" i="35"/>
  <c r="AF126" i="35"/>
  <c r="AE126" i="35"/>
  <c r="AD126" i="35"/>
  <c r="AC126" i="35"/>
  <c r="AB126" i="35"/>
  <c r="AA126" i="35"/>
  <c r="AH125" i="35"/>
  <c r="AG125" i="35"/>
  <c r="AF125" i="35"/>
  <c r="AE125" i="35"/>
  <c r="AD125" i="35"/>
  <c r="AC125" i="35"/>
  <c r="AB125" i="35"/>
  <c r="AA125" i="35"/>
  <c r="AH124" i="35"/>
  <c r="AG124" i="35"/>
  <c r="AF124" i="35"/>
  <c r="AE124" i="35"/>
  <c r="AD124" i="35"/>
  <c r="AC124" i="35"/>
  <c r="AB124" i="35"/>
  <c r="AA124" i="35"/>
  <c r="AH123" i="35"/>
  <c r="AG123" i="35"/>
  <c r="AF123" i="35"/>
  <c r="AE123" i="35"/>
  <c r="AD123" i="35"/>
  <c r="AC123" i="35"/>
  <c r="AB123" i="35"/>
  <c r="AA123" i="35"/>
  <c r="AH122" i="35"/>
  <c r="AG122" i="35"/>
  <c r="AF122" i="35"/>
  <c r="AE122" i="35"/>
  <c r="AD122" i="35"/>
  <c r="AC122" i="35"/>
  <c r="AB122" i="35"/>
  <c r="AA122" i="35"/>
  <c r="AH119" i="35"/>
  <c r="AG119" i="35"/>
  <c r="AF119" i="35"/>
  <c r="AE119" i="35"/>
  <c r="AD119" i="35"/>
  <c r="AC119" i="35"/>
  <c r="AB119" i="35"/>
  <c r="AA119" i="35"/>
  <c r="AH118" i="35"/>
  <c r="AG118" i="35"/>
  <c r="AF118" i="35"/>
  <c r="AE118" i="35"/>
  <c r="AD118" i="35"/>
  <c r="AC118" i="35"/>
  <c r="AB118" i="35"/>
  <c r="AA118" i="35"/>
  <c r="AH117" i="35"/>
  <c r="AG117" i="35"/>
  <c r="AF117" i="35"/>
  <c r="AE117" i="35"/>
  <c r="AD117" i="35"/>
  <c r="AC117" i="35"/>
  <c r="AB117" i="35"/>
  <c r="AA117" i="35"/>
  <c r="AH116" i="35"/>
  <c r="AG116" i="35"/>
  <c r="AF116" i="35"/>
  <c r="AE116" i="35"/>
  <c r="AD116" i="35"/>
  <c r="AC116" i="35"/>
  <c r="AB116" i="35"/>
  <c r="AA116" i="35"/>
  <c r="AH115" i="35"/>
  <c r="AG115" i="35"/>
  <c r="AF115" i="35"/>
  <c r="AE115" i="35"/>
  <c r="AD115" i="35"/>
  <c r="AC115" i="35"/>
  <c r="AB115" i="35"/>
  <c r="AA115" i="35"/>
  <c r="AH114" i="35"/>
  <c r="AG114" i="35"/>
  <c r="AF114" i="35"/>
  <c r="AE114" i="35"/>
  <c r="AD114" i="35"/>
  <c r="AC114" i="35"/>
  <c r="AB114" i="35"/>
  <c r="AA114" i="35"/>
  <c r="AH113" i="35"/>
  <c r="AG113" i="35"/>
  <c r="AF113" i="35"/>
  <c r="AE113" i="35"/>
  <c r="AD113" i="35"/>
  <c r="AC113" i="35"/>
  <c r="AB113" i="35"/>
  <c r="AA113" i="35"/>
  <c r="AH112" i="35"/>
  <c r="AG112" i="35"/>
  <c r="AF112" i="35"/>
  <c r="AE112" i="35"/>
  <c r="AD112" i="35"/>
  <c r="AC112" i="35"/>
  <c r="AB112" i="35"/>
  <c r="AA112" i="35"/>
  <c r="AH110" i="35"/>
  <c r="AG110" i="35"/>
  <c r="AF110" i="35"/>
  <c r="AE110" i="35"/>
  <c r="AD110" i="35"/>
  <c r="AC110" i="35"/>
  <c r="AB110" i="35"/>
  <c r="AA110" i="35"/>
  <c r="AH109" i="35"/>
  <c r="AG109" i="35"/>
  <c r="AF109" i="35"/>
  <c r="AE109" i="35"/>
  <c r="AD109" i="35"/>
  <c r="AC109" i="35"/>
  <c r="AB109" i="35"/>
  <c r="AA109" i="35"/>
  <c r="AH108" i="35"/>
  <c r="AG108" i="35"/>
  <c r="AF108" i="35"/>
  <c r="AE108" i="35"/>
  <c r="AD108" i="35"/>
  <c r="AC108" i="35"/>
  <c r="AB108" i="35"/>
  <c r="AA108" i="35"/>
  <c r="AH107" i="35"/>
  <c r="AG107" i="35"/>
  <c r="AF107" i="35"/>
  <c r="AE107" i="35"/>
  <c r="AD107" i="35"/>
  <c r="AC107" i="35"/>
  <c r="AB107" i="35"/>
  <c r="AA107" i="35"/>
  <c r="AH106" i="35"/>
  <c r="AG106" i="35"/>
  <c r="AF106" i="35"/>
  <c r="AE106" i="35"/>
  <c r="AD106" i="35"/>
  <c r="AC106" i="35"/>
  <c r="AB106" i="35"/>
  <c r="AA106" i="35"/>
  <c r="AH105" i="35"/>
  <c r="AG105" i="35"/>
  <c r="AF105" i="35"/>
  <c r="AE105" i="35"/>
  <c r="AD105" i="35"/>
  <c r="AC105" i="35"/>
  <c r="AB105" i="35"/>
  <c r="AA105" i="35"/>
  <c r="AH104" i="35"/>
  <c r="AG104" i="35"/>
  <c r="AF104" i="35"/>
  <c r="AE104" i="35"/>
  <c r="AD104" i="35"/>
  <c r="AC104" i="35"/>
  <c r="AB104" i="35"/>
  <c r="AA104" i="35"/>
  <c r="AH103" i="35"/>
  <c r="AG103" i="35"/>
  <c r="AF103" i="35"/>
  <c r="AE103" i="35"/>
  <c r="AD103" i="35"/>
  <c r="AC103" i="35"/>
  <c r="AB103" i="35"/>
  <c r="AA103" i="35"/>
  <c r="AH101" i="35"/>
  <c r="AG101" i="35"/>
  <c r="AF101" i="35"/>
  <c r="AE101" i="35"/>
  <c r="AD101" i="35"/>
  <c r="AC101" i="35"/>
  <c r="AB101" i="35"/>
  <c r="AA101" i="35"/>
  <c r="AH100" i="35"/>
  <c r="AG100" i="35"/>
  <c r="AF100" i="35"/>
  <c r="AE100" i="35"/>
  <c r="AD100" i="35"/>
  <c r="AC100" i="35"/>
  <c r="AB100" i="35"/>
  <c r="AA100" i="35"/>
  <c r="AH99" i="35"/>
  <c r="AG99" i="35"/>
  <c r="AF99" i="35"/>
  <c r="AE99" i="35"/>
  <c r="AD99" i="35"/>
  <c r="AC99" i="35"/>
  <c r="AB99" i="35"/>
  <c r="AA99" i="35"/>
  <c r="AH98" i="35"/>
  <c r="AG98" i="35"/>
  <c r="AF98" i="35"/>
  <c r="AE98" i="35"/>
  <c r="AD98" i="35"/>
  <c r="AC98" i="35"/>
  <c r="AB98" i="35"/>
  <c r="AA98" i="35"/>
  <c r="AH97" i="35"/>
  <c r="AG97" i="35"/>
  <c r="AF97" i="35"/>
  <c r="AE97" i="35"/>
  <c r="AD97" i="35"/>
  <c r="AC97" i="35"/>
  <c r="AB97" i="35"/>
  <c r="AA97" i="35"/>
  <c r="AH96" i="35"/>
  <c r="AG96" i="35"/>
  <c r="AF96" i="35"/>
  <c r="AE96" i="35"/>
  <c r="AD96" i="35"/>
  <c r="AC96" i="35"/>
  <c r="AB96" i="35"/>
  <c r="AA96" i="35"/>
  <c r="AH95" i="35"/>
  <c r="AG95" i="35"/>
  <c r="AF95" i="35"/>
  <c r="AE95" i="35"/>
  <c r="AD95" i="35"/>
  <c r="AC95" i="35"/>
  <c r="AB95" i="35"/>
  <c r="AA95" i="35"/>
  <c r="AH94" i="35"/>
  <c r="AG94" i="35"/>
  <c r="AF94" i="35"/>
  <c r="AE94" i="35"/>
  <c r="AD94" i="35"/>
  <c r="AC94" i="35"/>
  <c r="AB94" i="35"/>
  <c r="AA94" i="35"/>
  <c r="AH93" i="35"/>
  <c r="AG93" i="35"/>
  <c r="AF93" i="35"/>
  <c r="AE93" i="35"/>
  <c r="AD93" i="35"/>
  <c r="AC93" i="35"/>
  <c r="AB93" i="35"/>
  <c r="AA93" i="35"/>
  <c r="AH90" i="35"/>
  <c r="AG90" i="35"/>
  <c r="AF90" i="35"/>
  <c r="AE90" i="35"/>
  <c r="AD90" i="35"/>
  <c r="AC90" i="35"/>
  <c r="AB90" i="35"/>
  <c r="AA90" i="35"/>
  <c r="AH89" i="35"/>
  <c r="AG89" i="35"/>
  <c r="AF89" i="35"/>
  <c r="AE89" i="35"/>
  <c r="AD89" i="35"/>
  <c r="AC89" i="35"/>
  <c r="AB89" i="35"/>
  <c r="AA89" i="35"/>
  <c r="AH88" i="35"/>
  <c r="AG88" i="35"/>
  <c r="AF88" i="35"/>
  <c r="AE88" i="35"/>
  <c r="AD88" i="35"/>
  <c r="AC88" i="35"/>
  <c r="AB88" i="35"/>
  <c r="AA88" i="35"/>
  <c r="AH87" i="35"/>
  <c r="AG87" i="35"/>
  <c r="AF87" i="35"/>
  <c r="AE87" i="35"/>
  <c r="AD87" i="35"/>
  <c r="AC87" i="35"/>
  <c r="AB87" i="35"/>
  <c r="AA87" i="35"/>
  <c r="AH86" i="35"/>
  <c r="AG86" i="35"/>
  <c r="AF86" i="35"/>
  <c r="AE86" i="35"/>
  <c r="AD86" i="35"/>
  <c r="AC86" i="35"/>
  <c r="AB86" i="35"/>
  <c r="AA86" i="35"/>
  <c r="AH85" i="35"/>
  <c r="AG85" i="35"/>
  <c r="AF85" i="35"/>
  <c r="AE85" i="35"/>
  <c r="AD85" i="35"/>
  <c r="AC85" i="35"/>
  <c r="AB85" i="35"/>
  <c r="AA85" i="35"/>
  <c r="AH83" i="35"/>
  <c r="AG83" i="35"/>
  <c r="AF83" i="35"/>
  <c r="AE83" i="35"/>
  <c r="AD83" i="35"/>
  <c r="AC83" i="35"/>
  <c r="AB83" i="35"/>
  <c r="AA83" i="35"/>
  <c r="AH82" i="35"/>
  <c r="AG82" i="35"/>
  <c r="AF82" i="35"/>
  <c r="AE82" i="35"/>
  <c r="AD82" i="35"/>
  <c r="AC82" i="35"/>
  <c r="AB82" i="35"/>
  <c r="AA82" i="35"/>
  <c r="AH81" i="35"/>
  <c r="AG81" i="35"/>
  <c r="AF81" i="35"/>
  <c r="AE81" i="35"/>
  <c r="AD81" i="35"/>
  <c r="AC81" i="35"/>
  <c r="AB81" i="35"/>
  <c r="AA81" i="35"/>
  <c r="AH80" i="35"/>
  <c r="AG80" i="35"/>
  <c r="AF80" i="35"/>
  <c r="AE80" i="35"/>
  <c r="AD80" i="35"/>
  <c r="AC80" i="35"/>
  <c r="AB80" i="35"/>
  <c r="AA80" i="35"/>
  <c r="AH79" i="35"/>
  <c r="AG79" i="35"/>
  <c r="AF79" i="35"/>
  <c r="AE79" i="35"/>
  <c r="AD79" i="35"/>
  <c r="AC79" i="35"/>
  <c r="AB79" i="35"/>
  <c r="AA79" i="35"/>
  <c r="AH78" i="35"/>
  <c r="AG78" i="35"/>
  <c r="AF78" i="35"/>
  <c r="AE78" i="35"/>
  <c r="AD78" i="35"/>
  <c r="AC78" i="35"/>
  <c r="AB78" i="35"/>
  <c r="AA78" i="35"/>
  <c r="AH76" i="35"/>
  <c r="AG76" i="35"/>
  <c r="AF76" i="35"/>
  <c r="AE76" i="35"/>
  <c r="AD76" i="35"/>
  <c r="AC76" i="35"/>
  <c r="AB76" i="35"/>
  <c r="AA76" i="35"/>
  <c r="AH75" i="35"/>
  <c r="AG75" i="35"/>
  <c r="AF75" i="35"/>
  <c r="AE75" i="35"/>
  <c r="AD75" i="35"/>
  <c r="AC75" i="35"/>
  <c r="AB75" i="35"/>
  <c r="AA75" i="35"/>
  <c r="AH74" i="35"/>
  <c r="AG74" i="35"/>
  <c r="AF74" i="35"/>
  <c r="AE74" i="35"/>
  <c r="AD74" i="35"/>
  <c r="AC74" i="35"/>
  <c r="AB74" i="35"/>
  <c r="AA74" i="35"/>
  <c r="AH73" i="35"/>
  <c r="AG73" i="35"/>
  <c r="AF73" i="35"/>
  <c r="AE73" i="35"/>
  <c r="AD73" i="35"/>
  <c r="AC73" i="35"/>
  <c r="AB73" i="35"/>
  <c r="AA73" i="35"/>
  <c r="AH72" i="35"/>
  <c r="AG72" i="35"/>
  <c r="AF72" i="35"/>
  <c r="AE72" i="35"/>
  <c r="AD72" i="35"/>
  <c r="AC72" i="35"/>
  <c r="AB72" i="35"/>
  <c r="AA72" i="35"/>
  <c r="AH71" i="35"/>
  <c r="AG71" i="35"/>
  <c r="AF71" i="35"/>
  <c r="AE71" i="35"/>
  <c r="AD71" i="35"/>
  <c r="AC71" i="35"/>
  <c r="AB71" i="35"/>
  <c r="AA71" i="35"/>
  <c r="AH70" i="35"/>
  <c r="AG70" i="35"/>
  <c r="AF70" i="35"/>
  <c r="AE70" i="35"/>
  <c r="AD70" i="35"/>
  <c r="AC70" i="35"/>
  <c r="AB70" i="35"/>
  <c r="AA70" i="35"/>
  <c r="AH69" i="35"/>
  <c r="AG69" i="35"/>
  <c r="AF69" i="35"/>
  <c r="AE69" i="35"/>
  <c r="AD69" i="35"/>
  <c r="AC69" i="35"/>
  <c r="AB69" i="35"/>
  <c r="AA69" i="35"/>
  <c r="AH68" i="35"/>
  <c r="AG68" i="35"/>
  <c r="AF68" i="35"/>
  <c r="AE68" i="35"/>
  <c r="AD68" i="35"/>
  <c r="AC68" i="35"/>
  <c r="AB68" i="35"/>
  <c r="AA68" i="35"/>
  <c r="AH67" i="35"/>
  <c r="AG67" i="35"/>
  <c r="AF67" i="35"/>
  <c r="AE67" i="35"/>
  <c r="AD67" i="35"/>
  <c r="AC67" i="35"/>
  <c r="AB67" i="35"/>
  <c r="AA67" i="35"/>
  <c r="AH65" i="35"/>
  <c r="AG65" i="35"/>
  <c r="AF65" i="35"/>
  <c r="AE65" i="35"/>
  <c r="AD65" i="35"/>
  <c r="AC65" i="35"/>
  <c r="AB65" i="35"/>
  <c r="AA65" i="35"/>
  <c r="AH64" i="35"/>
  <c r="AG64" i="35"/>
  <c r="AF64" i="35"/>
  <c r="AE64" i="35"/>
  <c r="AD64" i="35"/>
  <c r="AC64" i="35"/>
  <c r="AB64" i="35"/>
  <c r="AA64" i="35"/>
  <c r="AH63" i="35"/>
  <c r="AG63" i="35"/>
  <c r="AF63" i="35"/>
  <c r="AE63" i="35"/>
  <c r="AD63" i="35"/>
  <c r="AC63" i="35"/>
  <c r="AB63" i="35"/>
  <c r="AA63" i="35"/>
  <c r="AH62" i="35"/>
  <c r="AG62" i="35"/>
  <c r="AF62" i="35"/>
  <c r="AE62" i="35"/>
  <c r="AD62" i="35"/>
  <c r="AC62" i="35"/>
  <c r="AB62" i="35"/>
  <c r="AA62" i="35"/>
  <c r="AH61" i="35"/>
  <c r="AG61" i="35"/>
  <c r="AF61" i="35"/>
  <c r="AE61" i="35"/>
  <c r="AD61" i="35"/>
  <c r="AC61" i="35"/>
  <c r="AB61" i="35"/>
  <c r="AA61" i="35"/>
  <c r="AH60" i="35"/>
  <c r="AG60" i="35"/>
  <c r="AF60" i="35"/>
  <c r="AE60" i="35"/>
  <c r="AD60" i="35"/>
  <c r="AC60" i="35"/>
  <c r="AB60" i="35"/>
  <c r="AA60" i="35"/>
  <c r="AH59" i="35"/>
  <c r="AG59" i="35"/>
  <c r="AF59" i="35"/>
  <c r="AE59" i="35"/>
  <c r="AD59" i="35"/>
  <c r="AC59" i="35"/>
  <c r="AB59" i="35"/>
  <c r="AA59" i="35"/>
  <c r="AH58" i="35"/>
  <c r="AG58" i="35"/>
  <c r="AF58" i="35"/>
  <c r="AE58" i="35"/>
  <c r="AD58" i="35"/>
  <c r="AC58" i="35"/>
  <c r="AB58" i="35"/>
  <c r="AA58" i="35"/>
  <c r="AH57" i="35"/>
  <c r="AG57" i="35"/>
  <c r="AF57" i="35"/>
  <c r="AE57" i="35"/>
  <c r="AD57" i="35"/>
  <c r="AC57" i="35"/>
  <c r="AB57" i="35"/>
  <c r="AA57" i="35"/>
  <c r="AH56" i="35"/>
  <c r="AG56" i="35"/>
  <c r="AF56" i="35"/>
  <c r="AE56" i="35"/>
  <c r="AD56" i="35"/>
  <c r="AC56" i="35"/>
  <c r="AB56" i="35"/>
  <c r="AA56" i="35"/>
  <c r="AH54" i="35"/>
  <c r="AG54" i="35"/>
  <c r="AF54" i="35"/>
  <c r="AE54" i="35"/>
  <c r="AD54" i="35"/>
  <c r="AC54" i="35"/>
  <c r="AB54" i="35"/>
  <c r="AA54" i="35"/>
  <c r="AH53" i="35"/>
  <c r="AG53" i="35"/>
  <c r="AF53" i="35"/>
  <c r="AE53" i="35"/>
  <c r="AD53" i="35"/>
  <c r="AC53" i="35"/>
  <c r="AB53" i="35"/>
  <c r="AA53" i="35"/>
  <c r="AH52" i="35"/>
  <c r="AG52" i="35"/>
  <c r="AF52" i="35"/>
  <c r="AE52" i="35"/>
  <c r="AD52" i="35"/>
  <c r="AC52" i="35"/>
  <c r="AB52" i="35"/>
  <c r="AA52" i="35"/>
  <c r="AH51" i="35"/>
  <c r="AG51" i="35"/>
  <c r="AF51" i="35"/>
  <c r="AE51" i="35"/>
  <c r="AD51" i="35"/>
  <c r="AC51" i="35"/>
  <c r="AB51" i="35"/>
  <c r="AA51" i="35"/>
  <c r="AH50" i="35"/>
  <c r="AG50" i="35"/>
  <c r="AF50" i="35"/>
  <c r="AE50" i="35"/>
  <c r="AD50" i="35"/>
  <c r="AC50" i="35"/>
  <c r="AB50" i="35"/>
  <c r="AA50" i="35"/>
  <c r="AH48" i="35"/>
  <c r="AG48" i="35"/>
  <c r="AF48" i="35"/>
  <c r="AE48" i="35"/>
  <c r="AD48" i="35"/>
  <c r="AC48" i="35"/>
  <c r="AB48" i="35"/>
  <c r="AA48" i="35"/>
  <c r="AH47" i="35"/>
  <c r="AG47" i="35"/>
  <c r="AF47" i="35"/>
  <c r="AE47" i="35"/>
  <c r="AD47" i="35"/>
  <c r="AC47" i="35"/>
  <c r="AB47" i="35"/>
  <c r="AA47" i="35"/>
  <c r="AH46" i="35"/>
  <c r="AG46" i="35"/>
  <c r="AF46" i="35"/>
  <c r="AE46" i="35"/>
  <c r="AD46" i="35"/>
  <c r="AC46" i="35"/>
  <c r="AB46" i="35"/>
  <c r="AA46" i="35"/>
  <c r="AH45" i="35"/>
  <c r="AG45" i="35"/>
  <c r="AF45" i="35"/>
  <c r="AE45" i="35"/>
  <c r="AD45" i="35"/>
  <c r="AC45" i="35"/>
  <c r="AB45" i="35"/>
  <c r="AA45" i="35"/>
  <c r="AH44" i="35"/>
  <c r="AG44" i="35"/>
  <c r="AF44" i="35"/>
  <c r="AE44" i="35"/>
  <c r="AD44" i="35"/>
  <c r="AC44" i="35"/>
  <c r="AB44" i="35"/>
  <c r="AA44" i="35"/>
  <c r="AH43" i="35"/>
  <c r="AG43" i="35"/>
  <c r="AF43" i="35"/>
  <c r="AE43" i="35"/>
  <c r="AD43" i="35"/>
  <c r="AC43" i="35"/>
  <c r="AB43" i="35"/>
  <c r="AA43" i="35"/>
  <c r="AH41" i="35"/>
  <c r="AG41" i="35"/>
  <c r="AF41" i="35"/>
  <c r="AE41" i="35"/>
  <c r="AD41" i="35"/>
  <c r="AC41" i="35"/>
  <c r="AB41" i="35"/>
  <c r="AA41" i="35"/>
  <c r="AH40" i="35"/>
  <c r="AG40" i="35"/>
  <c r="AF40" i="35"/>
  <c r="AE40" i="35"/>
  <c r="AD40" i="35"/>
  <c r="AC40" i="35"/>
  <c r="AB40" i="35"/>
  <c r="AA40" i="35"/>
  <c r="AH39" i="35"/>
  <c r="AG39" i="35"/>
  <c r="AF39" i="35"/>
  <c r="AE39" i="35"/>
  <c r="AD39" i="35"/>
  <c r="AC39" i="35"/>
  <c r="AB39" i="35"/>
  <c r="AA39" i="35"/>
  <c r="AH38" i="35"/>
  <c r="AG38" i="35"/>
  <c r="AF38" i="35"/>
  <c r="AE38" i="35"/>
  <c r="AD38" i="35"/>
  <c r="AC38" i="35"/>
  <c r="AB38" i="35"/>
  <c r="AA38" i="35"/>
  <c r="AH37" i="35"/>
  <c r="AG37" i="35"/>
  <c r="AF37" i="35"/>
  <c r="AE37" i="35"/>
  <c r="AD37" i="35"/>
  <c r="AC37" i="35"/>
  <c r="AB37" i="35"/>
  <c r="AA37" i="35"/>
  <c r="AH36" i="35"/>
  <c r="AG36" i="35"/>
  <c r="AF36" i="35"/>
  <c r="AE36" i="35"/>
  <c r="AD36" i="35"/>
  <c r="AC36" i="35"/>
  <c r="AB36" i="35"/>
  <c r="AA36" i="35"/>
  <c r="AH35" i="35"/>
  <c r="AG35" i="35"/>
  <c r="AF35" i="35"/>
  <c r="AE35" i="35"/>
  <c r="AD35" i="35"/>
  <c r="AC35" i="35"/>
  <c r="AB35" i="35"/>
  <c r="AA35" i="35"/>
  <c r="AH34" i="35"/>
  <c r="AG34" i="35"/>
  <c r="AF34" i="35"/>
  <c r="AE34" i="35"/>
  <c r="AD34" i="35"/>
  <c r="AC34" i="35"/>
  <c r="AB34" i="35"/>
  <c r="AA34" i="35"/>
  <c r="AH33" i="35"/>
  <c r="AG33" i="35"/>
  <c r="AF33" i="35"/>
  <c r="AE33" i="35"/>
  <c r="AD33" i="35"/>
  <c r="AC33" i="35"/>
  <c r="AB33" i="35"/>
  <c r="AA33" i="35"/>
  <c r="AH32" i="35"/>
  <c r="AG32" i="35"/>
  <c r="AF32" i="35"/>
  <c r="AE32" i="35"/>
  <c r="AD32" i="35"/>
  <c r="AC32" i="35"/>
  <c r="AB32" i="35"/>
  <c r="AA32" i="35"/>
  <c r="AH31" i="35"/>
  <c r="AG31" i="35"/>
  <c r="AF31" i="35"/>
  <c r="AE31" i="35"/>
  <c r="AD31" i="35"/>
  <c r="AC31" i="35"/>
  <c r="AB31" i="35"/>
  <c r="AA31" i="35"/>
  <c r="AH30" i="35"/>
  <c r="AG30" i="35"/>
  <c r="AF30" i="35"/>
  <c r="AE30" i="35"/>
  <c r="AD30" i="35"/>
  <c r="AC30" i="35"/>
  <c r="AB30" i="35"/>
  <c r="AA30" i="35"/>
  <c r="AH29" i="35"/>
  <c r="AG29" i="35"/>
  <c r="AF29" i="35"/>
  <c r="AE29" i="35"/>
  <c r="AD29" i="35"/>
  <c r="AC29" i="35"/>
  <c r="AB29" i="35"/>
  <c r="AA29" i="35"/>
  <c r="AH28" i="35"/>
  <c r="AG28" i="35"/>
  <c r="AF28" i="35"/>
  <c r="AE28" i="35"/>
  <c r="AD28" i="35"/>
  <c r="AC28" i="35"/>
  <c r="AB28" i="35"/>
  <c r="AA28" i="35"/>
  <c r="AH27" i="35"/>
  <c r="AG27" i="35"/>
  <c r="AF27" i="35"/>
  <c r="AE27" i="35"/>
  <c r="AD27" i="35"/>
  <c r="AC27" i="35"/>
  <c r="AB27" i="35"/>
  <c r="AA27" i="35"/>
  <c r="AH26" i="35"/>
  <c r="AG26" i="35"/>
  <c r="AF26" i="35"/>
  <c r="AE26" i="35"/>
  <c r="AD26" i="35"/>
  <c r="AC26" i="35"/>
  <c r="AB26" i="35"/>
  <c r="AA26" i="35"/>
  <c r="AH24" i="35"/>
  <c r="AG24" i="35"/>
  <c r="AF24" i="35"/>
  <c r="AE24" i="35"/>
  <c r="AD24" i="35"/>
  <c r="AC24" i="35"/>
  <c r="AB24" i="35"/>
  <c r="AA24" i="35"/>
  <c r="AH23" i="35"/>
  <c r="AG23" i="35"/>
  <c r="AF23" i="35"/>
  <c r="AE23" i="35"/>
  <c r="AD23" i="35"/>
  <c r="AC23" i="35"/>
  <c r="AB23" i="35"/>
  <c r="AA23" i="35"/>
  <c r="AH22" i="35"/>
  <c r="AG22" i="35"/>
  <c r="AF22" i="35"/>
  <c r="AE22" i="35"/>
  <c r="AD22" i="35"/>
  <c r="AC22" i="35"/>
  <c r="AB22" i="35"/>
  <c r="AA22" i="35"/>
  <c r="AH21" i="35"/>
  <c r="AG21" i="35"/>
  <c r="AF21" i="35"/>
  <c r="AE21" i="35"/>
  <c r="AD21" i="35"/>
  <c r="AC21" i="35"/>
  <c r="AB21" i="35"/>
  <c r="AA21" i="35"/>
  <c r="AH20" i="35"/>
  <c r="AG20" i="35"/>
  <c r="AF20" i="35"/>
  <c r="AE20" i="35"/>
  <c r="AD20" i="35"/>
  <c r="AC20" i="35"/>
  <c r="AB20" i="35"/>
  <c r="AA20" i="35"/>
  <c r="AH19" i="35"/>
  <c r="AG19" i="35"/>
  <c r="AF19" i="35"/>
  <c r="AE19" i="35"/>
  <c r="AD19" i="35"/>
  <c r="AC19" i="35"/>
  <c r="AB19" i="35"/>
  <c r="AA19" i="35"/>
  <c r="AH18" i="35"/>
  <c r="AG18" i="35"/>
  <c r="AF18" i="35"/>
  <c r="AE18" i="35"/>
  <c r="AD18" i="35"/>
  <c r="AC18" i="35"/>
  <c r="AB18" i="35"/>
  <c r="AA18" i="35"/>
  <c r="AH17" i="35"/>
  <c r="AG17" i="35"/>
  <c r="AF17" i="35"/>
  <c r="AE17" i="35"/>
  <c r="AD17" i="35"/>
  <c r="AC17" i="35"/>
  <c r="AB17" i="35"/>
  <c r="AA17" i="35"/>
  <c r="AH15" i="35"/>
  <c r="AG15" i="35"/>
  <c r="AF15" i="35"/>
  <c r="AE15" i="35"/>
  <c r="AD15" i="35"/>
  <c r="AC15" i="35"/>
  <c r="AB15" i="35"/>
  <c r="AA15" i="35"/>
  <c r="AH14" i="35"/>
  <c r="AG14" i="35"/>
  <c r="AF14" i="35"/>
  <c r="AE14" i="35"/>
  <c r="AD14" i="35"/>
  <c r="AC14" i="35"/>
  <c r="AB14" i="35"/>
  <c r="AA14" i="35"/>
  <c r="AH13" i="35"/>
  <c r="AG13" i="35"/>
  <c r="AF13" i="35"/>
  <c r="AE13" i="35"/>
  <c r="AD13" i="35"/>
  <c r="AC13" i="35"/>
  <c r="AB13" i="35"/>
  <c r="AA13" i="35"/>
  <c r="AH12" i="35"/>
  <c r="AG12" i="35"/>
  <c r="AF12" i="35"/>
  <c r="AE12" i="35"/>
  <c r="AD12" i="35"/>
  <c r="AC12" i="35"/>
  <c r="AB12" i="35"/>
  <c r="AA12" i="35"/>
  <c r="AH11" i="35"/>
  <c r="AG11" i="35"/>
  <c r="AF11" i="35"/>
  <c r="AE11" i="35"/>
  <c r="AD11" i="35"/>
  <c r="AC11" i="35"/>
  <c r="AB11" i="35"/>
  <c r="AA11" i="35"/>
  <c r="AH10" i="35"/>
  <c r="AG10" i="35"/>
  <c r="AF10" i="35"/>
  <c r="AE10" i="35"/>
  <c r="AD10" i="35"/>
  <c r="AC10" i="35"/>
  <c r="AB10" i="35"/>
  <c r="AA10" i="35"/>
  <c r="AH9" i="35"/>
  <c r="AG9" i="35"/>
  <c r="AF9" i="35"/>
  <c r="AE9" i="35"/>
  <c r="AD9" i="35"/>
  <c r="AC9" i="35"/>
  <c r="AB9" i="35"/>
  <c r="AA9" i="35"/>
  <c r="AH8" i="35"/>
  <c r="AG8" i="35"/>
  <c r="AF8" i="35"/>
  <c r="AE8" i="35"/>
  <c r="AD8" i="35"/>
  <c r="AC8" i="35"/>
  <c r="AB8" i="35"/>
  <c r="AA8" i="35"/>
  <c r="AH7" i="35"/>
  <c r="AG7" i="35"/>
  <c r="AF7" i="35"/>
  <c r="AE7" i="35"/>
  <c r="AD7" i="35"/>
  <c r="AC7" i="35"/>
  <c r="AB7" i="35"/>
  <c r="AA7" i="35"/>
  <c r="AH6" i="35"/>
  <c r="AG6" i="35"/>
  <c r="AF6" i="35"/>
  <c r="AE6" i="35"/>
  <c r="AD6" i="35"/>
  <c r="AC6" i="35"/>
  <c r="AB6" i="35"/>
  <c r="AA6" i="35"/>
  <c r="AH5" i="35"/>
  <c r="AG5" i="35"/>
  <c r="AF5" i="35"/>
  <c r="AE5" i="35"/>
  <c r="AD5" i="35"/>
  <c r="AC5" i="35"/>
  <c r="AB5" i="35"/>
  <c r="AA5" i="35"/>
  <c r="AH98" i="34"/>
  <c r="AG98" i="34"/>
  <c r="AF98" i="34"/>
  <c r="AE98" i="34"/>
  <c r="AD98" i="34"/>
  <c r="AC98" i="34"/>
  <c r="AB98" i="34"/>
  <c r="AA98" i="34"/>
  <c r="AH97" i="34"/>
  <c r="AG97" i="34"/>
  <c r="AF97" i="34"/>
  <c r="AE97" i="34"/>
  <c r="AD97" i="34"/>
  <c r="AC97" i="34"/>
  <c r="AB97" i="34"/>
  <c r="AA97" i="34"/>
  <c r="AH96" i="34"/>
  <c r="AG96" i="34"/>
  <c r="AF96" i="34"/>
  <c r="AE96" i="34"/>
  <c r="AD96" i="34"/>
  <c r="AC96" i="34"/>
  <c r="AB96" i="34"/>
  <c r="AA96" i="34"/>
  <c r="AH94" i="34"/>
  <c r="AG94" i="34"/>
  <c r="AF94" i="34"/>
  <c r="AE94" i="34"/>
  <c r="AD94" i="34"/>
  <c r="AC94" i="34"/>
  <c r="AB94" i="34"/>
  <c r="AA94" i="34"/>
  <c r="AH93" i="34"/>
  <c r="AG93" i="34"/>
  <c r="AF93" i="34"/>
  <c r="AE93" i="34"/>
  <c r="AD93" i="34"/>
  <c r="AC93" i="34"/>
  <c r="AB93" i="34"/>
  <c r="AA93" i="34"/>
  <c r="AH92" i="34"/>
  <c r="AG92" i="34"/>
  <c r="AF92" i="34"/>
  <c r="AE92" i="34"/>
  <c r="AD92" i="34"/>
  <c r="AC92" i="34"/>
  <c r="AB92" i="34"/>
  <c r="AA92" i="34"/>
  <c r="AH91" i="34"/>
  <c r="AG91" i="34"/>
  <c r="AF91" i="34"/>
  <c r="AE91" i="34"/>
  <c r="AD91" i="34"/>
  <c r="AC91" i="34"/>
  <c r="AB91" i="34"/>
  <c r="AA91" i="34"/>
  <c r="AH90" i="34"/>
  <c r="AG90" i="34"/>
  <c r="AF90" i="34"/>
  <c r="AE90" i="34"/>
  <c r="AD90" i="34"/>
  <c r="AC90" i="34"/>
  <c r="AB90" i="34"/>
  <c r="AA90" i="34"/>
  <c r="AH89" i="34"/>
  <c r="AG89" i="34"/>
  <c r="AF89" i="34"/>
  <c r="AE89" i="34"/>
  <c r="AD89" i="34"/>
  <c r="AC89" i="34"/>
  <c r="AB89" i="34"/>
  <c r="AA89" i="34"/>
  <c r="AH88" i="34"/>
  <c r="AG88" i="34"/>
  <c r="AF88" i="34"/>
  <c r="AE88" i="34"/>
  <c r="AD88" i="34"/>
  <c r="AC88" i="34"/>
  <c r="AB88" i="34"/>
  <c r="AA88" i="34"/>
  <c r="AH85" i="34"/>
  <c r="AG85" i="34"/>
  <c r="AF85" i="34"/>
  <c r="AE85" i="34"/>
  <c r="AD85" i="34"/>
  <c r="AC85" i="34"/>
  <c r="AB85" i="34"/>
  <c r="AA85" i="34"/>
  <c r="AH84" i="34"/>
  <c r="AG84" i="34"/>
  <c r="AF84" i="34"/>
  <c r="AE84" i="34"/>
  <c r="AD84" i="34"/>
  <c r="AC84" i="34"/>
  <c r="AB84" i="34"/>
  <c r="AA84" i="34"/>
  <c r="AH83" i="34"/>
  <c r="AG83" i="34"/>
  <c r="AF83" i="34"/>
  <c r="AE83" i="34"/>
  <c r="AD83" i="34"/>
  <c r="AC83" i="34"/>
  <c r="AB83" i="34"/>
  <c r="AA83" i="34"/>
  <c r="AH82" i="34"/>
  <c r="AG82" i="34"/>
  <c r="AF82" i="34"/>
  <c r="AE82" i="34"/>
  <c r="AD82" i="34"/>
  <c r="AC82" i="34"/>
  <c r="AB82" i="34"/>
  <c r="AA82" i="34"/>
  <c r="AH81" i="34"/>
  <c r="AG81" i="34"/>
  <c r="AF81" i="34"/>
  <c r="AE81" i="34"/>
  <c r="AD81" i="34"/>
  <c r="AC81" i="34"/>
  <c r="AB81" i="34"/>
  <c r="AA81" i="34"/>
  <c r="AH80" i="34"/>
  <c r="AG80" i="34"/>
  <c r="AF80" i="34"/>
  <c r="AE80" i="34"/>
  <c r="AD80" i="34"/>
  <c r="AC80" i="34"/>
  <c r="AB80" i="34"/>
  <c r="AA80" i="34"/>
  <c r="AH79" i="34"/>
  <c r="AG79" i="34"/>
  <c r="AF79" i="34"/>
  <c r="AE79" i="34"/>
  <c r="AD79" i="34"/>
  <c r="AC79" i="34"/>
  <c r="AB79" i="34"/>
  <c r="AA79" i="34"/>
  <c r="AH78" i="34"/>
  <c r="AG78" i="34"/>
  <c r="AF78" i="34"/>
  <c r="AE78" i="34"/>
  <c r="AD78" i="34"/>
  <c r="AC78" i="34"/>
  <c r="AB78" i="34"/>
  <c r="AA78" i="34"/>
  <c r="AH77" i="34"/>
  <c r="AG77" i="34"/>
  <c r="AF77" i="34"/>
  <c r="AE77" i="34"/>
  <c r="AD77" i="34"/>
  <c r="AC77" i="34"/>
  <c r="AB77" i="34"/>
  <c r="AA77" i="34"/>
  <c r="AH75" i="34"/>
  <c r="AG75" i="34"/>
  <c r="AF75" i="34"/>
  <c r="AE75" i="34"/>
  <c r="AD75" i="34"/>
  <c r="AC75" i="34"/>
  <c r="AB75" i="34"/>
  <c r="AA75" i="34"/>
  <c r="AH74" i="34"/>
  <c r="AG74" i="34"/>
  <c r="AF74" i="34"/>
  <c r="AE74" i="34"/>
  <c r="AD74" i="34"/>
  <c r="AC74" i="34"/>
  <c r="AB74" i="34"/>
  <c r="AA74" i="34"/>
  <c r="AH73" i="34"/>
  <c r="AG73" i="34"/>
  <c r="AF73" i="34"/>
  <c r="AE73" i="34"/>
  <c r="AD73" i="34"/>
  <c r="AC73" i="34"/>
  <c r="AB73" i="34"/>
  <c r="AA73" i="34"/>
  <c r="AH72" i="34"/>
  <c r="AG72" i="34"/>
  <c r="AF72" i="34"/>
  <c r="AE72" i="34"/>
  <c r="AD72" i="34"/>
  <c r="AC72" i="34"/>
  <c r="AB72" i="34"/>
  <c r="AA72" i="34"/>
  <c r="AH71" i="34"/>
  <c r="AG71" i="34"/>
  <c r="AF71" i="34"/>
  <c r="AE71" i="34"/>
  <c r="AD71" i="34"/>
  <c r="AC71" i="34"/>
  <c r="AB71" i="34"/>
  <c r="AA71" i="34"/>
  <c r="AH70" i="34"/>
  <c r="AG70" i="34"/>
  <c r="AF70" i="34"/>
  <c r="AE70" i="34"/>
  <c r="AD70" i="34"/>
  <c r="AC70" i="34"/>
  <c r="AB70" i="34"/>
  <c r="AA70" i="34"/>
  <c r="AH69" i="34"/>
  <c r="AG69" i="34"/>
  <c r="AF69" i="34"/>
  <c r="AE69" i="34"/>
  <c r="AD69" i="34"/>
  <c r="AC69" i="34"/>
  <c r="AB69" i="34"/>
  <c r="AA69" i="34"/>
  <c r="AH68" i="34"/>
  <c r="AG68" i="34"/>
  <c r="AF68" i="34"/>
  <c r="AE68" i="34"/>
  <c r="AD68" i="34"/>
  <c r="AC68" i="34"/>
  <c r="AB68" i="34"/>
  <c r="AA68" i="34"/>
  <c r="AH67" i="34"/>
  <c r="AG67" i="34"/>
  <c r="AF67" i="34"/>
  <c r="AE67" i="34"/>
  <c r="AD67" i="34"/>
  <c r="AC67" i="34"/>
  <c r="AB67" i="34"/>
  <c r="AA67" i="34"/>
  <c r="AH64" i="34"/>
  <c r="AG64" i="34"/>
  <c r="AF64" i="34"/>
  <c r="AE64" i="34"/>
  <c r="AD64" i="34"/>
  <c r="AC64" i="34"/>
  <c r="AB64" i="34"/>
  <c r="AA64" i="34"/>
  <c r="AH63" i="34"/>
  <c r="AG63" i="34"/>
  <c r="AF63" i="34"/>
  <c r="AE63" i="34"/>
  <c r="AD63" i="34"/>
  <c r="AC63" i="34"/>
  <c r="AB63" i="34"/>
  <c r="AA63" i="34"/>
  <c r="AH62" i="34"/>
  <c r="AG62" i="34"/>
  <c r="AF62" i="34"/>
  <c r="AE62" i="34"/>
  <c r="AD62" i="34"/>
  <c r="AC62" i="34"/>
  <c r="AB62" i="34"/>
  <c r="AA62" i="34"/>
  <c r="AH61" i="34"/>
  <c r="AG61" i="34"/>
  <c r="AF61" i="34"/>
  <c r="AE61" i="34"/>
  <c r="AD61" i="34"/>
  <c r="AC61" i="34"/>
  <c r="AB61" i="34"/>
  <c r="AA61" i="34"/>
  <c r="AH60" i="34"/>
  <c r="AG60" i="34"/>
  <c r="AF60" i="34"/>
  <c r="AE60" i="34"/>
  <c r="AD60" i="34"/>
  <c r="AC60" i="34"/>
  <c r="AB60" i="34"/>
  <c r="AA60" i="34"/>
  <c r="AH59" i="34"/>
  <c r="AG59" i="34"/>
  <c r="AF59" i="34"/>
  <c r="AE59" i="34"/>
  <c r="AD59" i="34"/>
  <c r="AC59" i="34"/>
  <c r="AB59" i="34"/>
  <c r="AA59" i="34"/>
  <c r="AH58" i="34"/>
  <c r="AG58" i="34"/>
  <c r="AF58" i="34"/>
  <c r="AE58" i="34"/>
  <c r="AD58" i="34"/>
  <c r="AC58" i="34"/>
  <c r="AB58" i="34"/>
  <c r="AA58" i="34"/>
  <c r="AH57" i="34"/>
  <c r="AG57" i="34"/>
  <c r="AF57" i="34"/>
  <c r="AE57" i="34"/>
  <c r="AD57" i="34"/>
  <c r="AC57" i="34"/>
  <c r="AB57" i="34"/>
  <c r="AA57" i="34"/>
  <c r="AH56" i="34"/>
  <c r="AG56" i="34"/>
  <c r="AF56" i="34"/>
  <c r="AE56" i="34"/>
  <c r="AD56" i="34"/>
  <c r="AC56" i="34"/>
  <c r="AB56" i="34"/>
  <c r="AA56" i="34"/>
  <c r="AH53" i="34"/>
  <c r="AG53" i="34"/>
  <c r="AF53" i="34"/>
  <c r="AE53" i="34"/>
  <c r="AD53" i="34"/>
  <c r="AC53" i="34"/>
  <c r="AB53" i="34"/>
  <c r="AA53" i="34"/>
  <c r="AH52" i="34"/>
  <c r="AG52" i="34"/>
  <c r="AF52" i="34"/>
  <c r="AE52" i="34"/>
  <c r="AD52" i="34"/>
  <c r="AC52" i="34"/>
  <c r="AB52" i="34"/>
  <c r="AA52" i="34"/>
  <c r="AH51" i="34"/>
  <c r="AG51" i="34"/>
  <c r="AF51" i="34"/>
  <c r="AE51" i="34"/>
  <c r="AD51" i="34"/>
  <c r="AC51" i="34"/>
  <c r="AB51" i="34"/>
  <c r="AA51" i="34"/>
  <c r="AH50" i="34"/>
  <c r="AG50" i="34"/>
  <c r="AF50" i="34"/>
  <c r="AE50" i="34"/>
  <c r="AD50" i="34"/>
  <c r="AC50" i="34"/>
  <c r="AB50" i="34"/>
  <c r="AA50" i="34"/>
  <c r="AH49" i="34"/>
  <c r="AG49" i="34"/>
  <c r="AF49" i="34"/>
  <c r="AE49" i="34"/>
  <c r="AD49" i="34"/>
  <c r="AC49" i="34"/>
  <c r="AB49" i="34"/>
  <c r="AA49" i="34"/>
  <c r="AH48" i="34"/>
  <c r="AG48" i="34"/>
  <c r="AF48" i="34"/>
  <c r="AE48" i="34"/>
  <c r="AD48" i="34"/>
  <c r="AC48" i="34"/>
  <c r="AB48" i="34"/>
  <c r="AA48" i="34"/>
  <c r="AH47" i="34"/>
  <c r="AG47" i="34"/>
  <c r="AF47" i="34"/>
  <c r="AE47" i="34"/>
  <c r="AD47" i="34"/>
  <c r="AC47" i="34"/>
  <c r="AB47" i="34"/>
  <c r="AA47" i="34"/>
  <c r="AH46" i="34"/>
  <c r="AG46" i="34"/>
  <c r="AF46" i="34"/>
  <c r="AE46" i="34"/>
  <c r="AD46" i="34"/>
  <c r="AC46" i="34"/>
  <c r="AB46" i="34"/>
  <c r="AA46" i="34"/>
  <c r="AH44" i="34"/>
  <c r="AG44" i="34"/>
  <c r="AF44" i="34"/>
  <c r="AE44" i="34"/>
  <c r="AD44" i="34"/>
  <c r="AC44" i="34"/>
  <c r="AB44" i="34"/>
  <c r="AA44" i="34"/>
  <c r="AH43" i="34"/>
  <c r="AG43" i="34"/>
  <c r="AF43" i="34"/>
  <c r="AE43" i="34"/>
  <c r="AD43" i="34"/>
  <c r="AC43" i="34"/>
  <c r="AB43" i="34"/>
  <c r="AA43" i="34"/>
  <c r="AH42" i="34"/>
  <c r="AG42" i="34"/>
  <c r="AF42" i="34"/>
  <c r="AE42" i="34"/>
  <c r="AD42" i="34"/>
  <c r="AC42" i="34"/>
  <c r="AB42" i="34"/>
  <c r="AA42" i="34"/>
  <c r="AH41" i="34"/>
  <c r="AG41" i="34"/>
  <c r="AF41" i="34"/>
  <c r="AE41" i="34"/>
  <c r="AD41" i="34"/>
  <c r="AC41" i="34"/>
  <c r="AB41" i="34"/>
  <c r="AA41" i="34"/>
  <c r="AH40" i="34"/>
  <c r="AG40" i="34"/>
  <c r="AF40" i="34"/>
  <c r="AE40" i="34"/>
  <c r="AD40" i="34"/>
  <c r="AC40" i="34"/>
  <c r="AB40" i="34"/>
  <c r="AA40" i="34"/>
  <c r="AH39" i="34"/>
  <c r="AG39" i="34"/>
  <c r="AF39" i="34"/>
  <c r="AE39" i="34"/>
  <c r="AD39" i="34"/>
  <c r="AC39" i="34"/>
  <c r="AB39" i="34"/>
  <c r="AA39" i="34"/>
  <c r="AH38" i="34"/>
  <c r="AG38" i="34"/>
  <c r="AF38" i="34"/>
  <c r="AE38" i="34"/>
  <c r="AD38" i="34"/>
  <c r="AC38" i="34"/>
  <c r="AB38" i="34"/>
  <c r="AA38" i="34"/>
  <c r="AH37" i="34"/>
  <c r="AG37" i="34"/>
  <c r="AF37" i="34"/>
  <c r="AE37" i="34"/>
  <c r="AD37" i="34"/>
  <c r="AC37" i="34"/>
  <c r="AB37" i="34"/>
  <c r="AA37" i="34"/>
  <c r="AH36" i="34"/>
  <c r="AG36" i="34"/>
  <c r="AF36" i="34"/>
  <c r="AE36" i="34"/>
  <c r="AD36" i="34"/>
  <c r="AC36" i="34"/>
  <c r="AB36" i="34"/>
  <c r="AA36" i="34"/>
  <c r="AH35" i="34"/>
  <c r="AG35" i="34"/>
  <c r="AF35" i="34"/>
  <c r="AE35" i="34"/>
  <c r="AD35" i="34"/>
  <c r="AC35" i="34"/>
  <c r="AB35" i="34"/>
  <c r="AA35" i="34"/>
  <c r="AH33" i="34"/>
  <c r="AG33" i="34"/>
  <c r="AF33" i="34"/>
  <c r="AE33" i="34"/>
  <c r="AD33" i="34"/>
  <c r="AC33" i="34"/>
  <c r="AB33" i="34"/>
  <c r="AA33" i="34"/>
  <c r="AH32" i="34"/>
  <c r="AG32" i="34"/>
  <c r="AF32" i="34"/>
  <c r="AE32" i="34"/>
  <c r="AD32" i="34"/>
  <c r="AC32" i="34"/>
  <c r="AB32" i="34"/>
  <c r="AA32" i="34"/>
  <c r="AH31" i="34"/>
  <c r="AG31" i="34"/>
  <c r="AF31" i="34"/>
  <c r="AE31" i="34"/>
  <c r="AD31" i="34"/>
  <c r="AC31" i="34"/>
  <c r="AB31" i="34"/>
  <c r="AA31" i="34"/>
  <c r="AH30" i="34"/>
  <c r="AG30" i="34"/>
  <c r="AF30" i="34"/>
  <c r="AE30" i="34"/>
  <c r="AD30" i="34"/>
  <c r="AC30" i="34"/>
  <c r="AB30" i="34"/>
  <c r="AA30" i="34"/>
  <c r="AH29" i="34"/>
  <c r="AG29" i="34"/>
  <c r="AF29" i="34"/>
  <c r="AE29" i="34"/>
  <c r="AD29" i="34"/>
  <c r="AC29" i="34"/>
  <c r="AB29" i="34"/>
  <c r="AA29" i="34"/>
  <c r="AH28" i="34"/>
  <c r="AG28" i="34"/>
  <c r="AF28" i="34"/>
  <c r="AE28" i="34"/>
  <c r="AD28" i="34"/>
  <c r="AC28" i="34"/>
  <c r="AB28" i="34"/>
  <c r="AA28" i="34"/>
  <c r="AH27" i="34"/>
  <c r="AG27" i="34"/>
  <c r="AF27" i="34"/>
  <c r="AE27" i="34"/>
  <c r="AD27" i="34"/>
  <c r="AC27" i="34"/>
  <c r="AB27" i="34"/>
  <c r="AA27" i="34"/>
  <c r="AH26" i="34"/>
  <c r="AG26" i="34"/>
  <c r="AF26" i="34"/>
  <c r="AE26" i="34"/>
  <c r="AD26" i="34"/>
  <c r="AC26" i="34"/>
  <c r="AB26" i="34"/>
  <c r="AA26" i="34"/>
  <c r="AH25" i="34"/>
  <c r="AG25" i="34"/>
  <c r="AF25" i="34"/>
  <c r="AE25" i="34"/>
  <c r="AD25" i="34"/>
  <c r="AC25" i="34"/>
  <c r="AB25" i="34"/>
  <c r="AA25" i="34"/>
  <c r="AH24" i="34"/>
  <c r="AG24" i="34"/>
  <c r="AF24" i="34"/>
  <c r="AE24" i="34"/>
  <c r="AD24" i="34"/>
  <c r="AC24" i="34"/>
  <c r="AB24" i="34"/>
  <c r="AA24" i="34"/>
  <c r="AH23" i="34"/>
  <c r="AG23" i="34"/>
  <c r="AF23" i="34"/>
  <c r="AE23" i="34"/>
  <c r="AD23" i="34"/>
  <c r="AC23" i="34"/>
  <c r="AB23" i="34"/>
  <c r="AA23" i="34"/>
  <c r="AH21" i="34"/>
  <c r="AG21" i="34"/>
  <c r="AF21" i="34"/>
  <c r="AE21" i="34"/>
  <c r="AD21" i="34"/>
  <c r="AC21" i="34"/>
  <c r="AB21" i="34"/>
  <c r="AA21" i="34"/>
  <c r="AH20" i="34"/>
  <c r="AG20" i="34"/>
  <c r="AF20" i="34"/>
  <c r="AE20" i="34"/>
  <c r="AD20" i="34"/>
  <c r="AC20" i="34"/>
  <c r="AB20" i="34"/>
  <c r="AA20" i="34"/>
  <c r="AH19" i="34"/>
  <c r="AG19" i="34"/>
  <c r="AF19" i="34"/>
  <c r="AE19" i="34"/>
  <c r="AD19" i="34"/>
  <c r="AC19" i="34"/>
  <c r="AB19" i="34"/>
  <c r="AA19" i="34"/>
  <c r="AH18" i="34"/>
  <c r="AG18" i="34"/>
  <c r="AF18" i="34"/>
  <c r="AE18" i="34"/>
  <c r="AD18" i="34"/>
  <c r="AC18" i="34"/>
  <c r="AB18" i="34"/>
  <c r="AA18" i="34"/>
  <c r="AH17" i="34"/>
  <c r="AG17" i="34"/>
  <c r="AF17" i="34"/>
  <c r="AE17" i="34"/>
  <c r="AD17" i="34"/>
  <c r="AC17" i="34"/>
  <c r="AB17" i="34"/>
  <c r="AA17" i="34"/>
  <c r="AH16" i="34"/>
  <c r="AG16" i="34"/>
  <c r="AF16" i="34"/>
  <c r="AE16" i="34"/>
  <c r="AD16" i="34"/>
  <c r="AC16" i="34"/>
  <c r="AB16" i="34"/>
  <c r="AA16" i="34"/>
  <c r="AH15" i="34"/>
  <c r="AG15" i="34"/>
  <c r="AF15" i="34"/>
  <c r="AE15" i="34"/>
  <c r="AD15" i="34"/>
  <c r="AC15" i="34"/>
  <c r="AB15" i="34"/>
  <c r="AA15" i="34"/>
  <c r="AH14" i="34"/>
  <c r="AG14" i="34"/>
  <c r="AF14" i="34"/>
  <c r="AE14" i="34"/>
  <c r="AD14" i="34"/>
  <c r="AC14" i="34"/>
  <c r="AB14" i="34"/>
  <c r="AA14" i="34"/>
  <c r="AH12" i="34"/>
  <c r="AG12" i="34"/>
  <c r="AF12" i="34"/>
  <c r="AE12" i="34"/>
  <c r="AD12" i="34"/>
  <c r="AC12" i="34"/>
  <c r="AB12" i="34"/>
  <c r="AA12" i="34"/>
  <c r="AH11" i="34"/>
  <c r="AG11" i="34"/>
  <c r="AF11" i="34"/>
  <c r="AE11" i="34"/>
  <c r="AD11" i="34"/>
  <c r="AC11" i="34"/>
  <c r="AB11" i="34"/>
  <c r="AA11" i="34"/>
  <c r="AH10" i="34"/>
  <c r="AG10" i="34"/>
  <c r="AF10" i="34"/>
  <c r="AE10" i="34"/>
  <c r="AD10" i="34"/>
  <c r="AC10" i="34"/>
  <c r="AB10" i="34"/>
  <c r="AA10" i="34"/>
  <c r="AH9" i="34"/>
  <c r="AG9" i="34"/>
  <c r="AF9" i="34"/>
  <c r="AE9" i="34"/>
  <c r="AD9" i="34"/>
  <c r="AC9" i="34"/>
  <c r="AB9" i="34"/>
  <c r="AA9" i="34"/>
  <c r="AH8" i="34"/>
  <c r="AG8" i="34"/>
  <c r="AF8" i="34"/>
  <c r="AE8" i="34"/>
  <c r="AD8" i="34"/>
  <c r="AC8" i="34"/>
  <c r="AB8" i="34"/>
  <c r="AA8" i="34"/>
  <c r="AH7" i="34"/>
  <c r="AG7" i="34"/>
  <c r="AF7" i="34"/>
  <c r="AE7" i="34"/>
  <c r="AD7" i="34"/>
  <c r="AC7" i="34"/>
  <c r="AB7" i="34"/>
  <c r="AA7" i="34"/>
  <c r="AH6" i="34"/>
  <c r="AG6" i="34"/>
  <c r="AF6" i="34"/>
  <c r="AE6" i="34"/>
  <c r="AD6" i="34"/>
  <c r="AC6" i="34"/>
  <c r="AB6" i="34"/>
  <c r="AA6" i="34"/>
  <c r="AH5" i="34"/>
  <c r="AG5" i="34"/>
  <c r="AF5" i="34"/>
  <c r="AE5" i="34"/>
  <c r="AD5" i="34"/>
  <c r="AC5" i="34"/>
  <c r="AB5" i="34"/>
  <c r="AA5" i="34"/>
  <c r="AH139" i="33"/>
  <c r="AG139" i="33"/>
  <c r="AF139" i="33"/>
  <c r="AE139" i="33"/>
  <c r="AD139" i="33"/>
  <c r="AC139" i="33"/>
  <c r="AB139" i="33"/>
  <c r="AA139" i="33"/>
  <c r="AH138" i="33"/>
  <c r="AG138" i="33"/>
  <c r="AF138" i="33"/>
  <c r="AE138" i="33"/>
  <c r="AD138" i="33"/>
  <c r="AC138" i="33"/>
  <c r="AB138" i="33"/>
  <c r="AA138" i="33"/>
  <c r="AH137" i="33"/>
  <c r="AG137" i="33"/>
  <c r="AF137" i="33"/>
  <c r="AE137" i="33"/>
  <c r="AD137" i="33"/>
  <c r="AC137" i="33"/>
  <c r="AB137" i="33"/>
  <c r="AA137" i="33"/>
  <c r="AH135" i="33"/>
  <c r="AG135" i="33"/>
  <c r="AF135" i="33"/>
  <c r="AE135" i="33"/>
  <c r="AD135" i="33"/>
  <c r="AC135" i="33"/>
  <c r="AB135" i="33"/>
  <c r="AA135" i="33"/>
  <c r="AH134" i="33"/>
  <c r="AG134" i="33"/>
  <c r="AF134" i="33"/>
  <c r="AE134" i="33"/>
  <c r="AD134" i="33"/>
  <c r="AC134" i="33"/>
  <c r="AB134" i="33"/>
  <c r="AA134" i="33"/>
  <c r="AH133" i="33"/>
  <c r="AG133" i="33"/>
  <c r="AF133" i="33"/>
  <c r="AE133" i="33"/>
  <c r="AD133" i="33"/>
  <c r="AC133" i="33"/>
  <c r="AB133" i="33"/>
  <c r="AA133" i="33"/>
  <c r="AH132" i="33"/>
  <c r="AG132" i="33"/>
  <c r="AF132" i="33"/>
  <c r="AE132" i="33"/>
  <c r="AD132" i="33"/>
  <c r="AC132" i="33"/>
  <c r="AB132" i="33"/>
  <c r="AA132" i="33"/>
  <c r="AH131" i="33"/>
  <c r="AG131" i="33"/>
  <c r="AF131" i="33"/>
  <c r="AE131" i="33"/>
  <c r="AD131" i="33"/>
  <c r="AC131" i="33"/>
  <c r="AB131" i="33"/>
  <c r="AA131" i="33"/>
  <c r="AH128" i="33"/>
  <c r="AG128" i="33"/>
  <c r="AF128" i="33"/>
  <c r="AE128" i="33"/>
  <c r="AD128" i="33"/>
  <c r="AC128" i="33"/>
  <c r="AB128" i="33"/>
  <c r="AA128" i="33"/>
  <c r="AH127" i="33"/>
  <c r="AG127" i="33"/>
  <c r="AF127" i="33"/>
  <c r="AE127" i="33"/>
  <c r="AD127" i="33"/>
  <c r="AC127" i="33"/>
  <c r="AB127" i="33"/>
  <c r="AA127" i="33"/>
  <c r="AH126" i="33"/>
  <c r="AG126" i="33"/>
  <c r="AF126" i="33"/>
  <c r="AE126" i="33"/>
  <c r="AD126" i="33"/>
  <c r="AC126" i="33"/>
  <c r="AB126" i="33"/>
  <c r="AA126" i="33"/>
  <c r="AH125" i="33"/>
  <c r="AG125" i="33"/>
  <c r="AF125" i="33"/>
  <c r="AE125" i="33"/>
  <c r="AD125" i="33"/>
  <c r="AC125" i="33"/>
  <c r="AB125" i="33"/>
  <c r="AA125" i="33"/>
  <c r="AH124" i="33"/>
  <c r="AG124" i="33"/>
  <c r="AF124" i="33"/>
  <c r="AE124" i="33"/>
  <c r="AD124" i="33"/>
  <c r="AC124" i="33"/>
  <c r="AB124" i="33"/>
  <c r="AA124" i="33"/>
  <c r="AH123" i="33"/>
  <c r="AG123" i="33"/>
  <c r="AF123" i="33"/>
  <c r="AE123" i="33"/>
  <c r="AD123" i="33"/>
  <c r="AC123" i="33"/>
  <c r="AB123" i="33"/>
  <c r="AA123" i="33"/>
  <c r="AH121" i="33"/>
  <c r="AG121" i="33"/>
  <c r="AF121" i="33"/>
  <c r="AE121" i="33"/>
  <c r="AD121" i="33"/>
  <c r="AC121" i="33"/>
  <c r="AB121" i="33"/>
  <c r="AA121" i="33"/>
  <c r="AH120" i="33"/>
  <c r="AG120" i="33"/>
  <c r="AF120" i="33"/>
  <c r="AE120" i="33"/>
  <c r="AD120" i="33"/>
  <c r="AC120" i="33"/>
  <c r="AB120" i="33"/>
  <c r="AA120" i="33"/>
  <c r="AH119" i="33"/>
  <c r="AG119" i="33"/>
  <c r="AF119" i="33"/>
  <c r="AE119" i="33"/>
  <c r="AD119" i="33"/>
  <c r="AC119" i="33"/>
  <c r="AB119" i="33"/>
  <c r="AA119" i="33"/>
  <c r="AH118" i="33"/>
  <c r="AG118" i="33"/>
  <c r="AF118" i="33"/>
  <c r="AE118" i="33"/>
  <c r="AD118" i="33"/>
  <c r="AC118" i="33"/>
  <c r="AB118" i="33"/>
  <c r="AA118" i="33"/>
  <c r="AH117" i="33"/>
  <c r="AG117" i="33"/>
  <c r="AF117" i="33"/>
  <c r="AE117" i="33"/>
  <c r="AD117" i="33"/>
  <c r="AC117" i="33"/>
  <c r="AB117" i="33"/>
  <c r="AA117" i="33"/>
  <c r="AH116" i="33"/>
  <c r="AG116" i="33"/>
  <c r="AF116" i="33"/>
  <c r="AE116" i="33"/>
  <c r="AD116" i="33"/>
  <c r="AC116" i="33"/>
  <c r="AB116" i="33"/>
  <c r="AA116" i="33"/>
  <c r="AH115" i="33"/>
  <c r="AG115" i="33"/>
  <c r="AF115" i="33"/>
  <c r="AE115" i="33"/>
  <c r="AD115" i="33"/>
  <c r="AC115" i="33"/>
  <c r="AB115" i="33"/>
  <c r="AA115" i="33"/>
  <c r="AH114" i="33"/>
  <c r="AG114" i="33"/>
  <c r="AF114" i="33"/>
  <c r="AE114" i="33"/>
  <c r="AD114" i="33"/>
  <c r="AC114" i="33"/>
  <c r="AB114" i="33"/>
  <c r="AA114" i="33"/>
  <c r="AH113" i="33"/>
  <c r="AG113" i="33"/>
  <c r="AF113" i="33"/>
  <c r="AE113" i="33"/>
  <c r="AD113" i="33"/>
  <c r="AC113" i="33"/>
  <c r="AB113" i="33"/>
  <c r="AA113" i="33"/>
  <c r="AH111" i="33"/>
  <c r="AG111" i="33"/>
  <c r="AF111" i="33"/>
  <c r="AE111" i="33"/>
  <c r="AD111" i="33"/>
  <c r="AC111" i="33"/>
  <c r="AB111" i="33"/>
  <c r="AA111" i="33"/>
  <c r="AH110" i="33"/>
  <c r="AG110" i="33"/>
  <c r="AF110" i="33"/>
  <c r="AE110" i="33"/>
  <c r="AD110" i="33"/>
  <c r="AC110" i="33"/>
  <c r="AB110" i="33"/>
  <c r="AA110" i="33"/>
  <c r="AH109" i="33"/>
  <c r="AG109" i="33"/>
  <c r="AF109" i="33"/>
  <c r="AE109" i="33"/>
  <c r="AD109" i="33"/>
  <c r="AC109" i="33"/>
  <c r="AB109" i="33"/>
  <c r="AA109" i="33"/>
  <c r="AH108" i="33"/>
  <c r="AG108" i="33"/>
  <c r="AF108" i="33"/>
  <c r="AE108" i="33"/>
  <c r="AD108" i="33"/>
  <c r="AC108" i="33"/>
  <c r="AB108" i="33"/>
  <c r="AA108" i="33"/>
  <c r="AH107" i="33"/>
  <c r="AG107" i="33"/>
  <c r="AF107" i="33"/>
  <c r="AE107" i="33"/>
  <c r="AD107" i="33"/>
  <c r="AC107" i="33"/>
  <c r="AB107" i="33"/>
  <c r="AA107" i="33"/>
  <c r="AH106" i="33"/>
  <c r="AG106" i="33"/>
  <c r="AF106" i="33"/>
  <c r="AE106" i="33"/>
  <c r="AD106" i="33"/>
  <c r="AC106" i="33"/>
  <c r="AB106" i="33"/>
  <c r="AA106" i="33"/>
  <c r="AH105" i="33"/>
  <c r="AG105" i="33"/>
  <c r="AF105" i="33"/>
  <c r="AE105" i="33"/>
  <c r="AD105" i="33"/>
  <c r="AC105" i="33"/>
  <c r="AB105" i="33"/>
  <c r="AA105" i="33"/>
  <c r="AH104" i="33"/>
  <c r="AG104" i="33"/>
  <c r="AF104" i="33"/>
  <c r="AE104" i="33"/>
  <c r="AD104" i="33"/>
  <c r="AC104" i="33"/>
  <c r="AB104" i="33"/>
  <c r="AA104" i="33"/>
  <c r="AH102" i="33"/>
  <c r="AG102" i="33"/>
  <c r="AF102" i="33"/>
  <c r="AE102" i="33"/>
  <c r="AD102" i="33"/>
  <c r="AC102" i="33"/>
  <c r="AB102" i="33"/>
  <c r="AA102" i="33"/>
  <c r="AH101" i="33"/>
  <c r="AG101" i="33"/>
  <c r="AF101" i="33"/>
  <c r="AE101" i="33"/>
  <c r="AD101" i="33"/>
  <c r="AC101" i="33"/>
  <c r="AB101" i="33"/>
  <c r="AA101" i="33"/>
  <c r="AH100" i="33"/>
  <c r="AG100" i="33"/>
  <c r="AF100" i="33"/>
  <c r="AE100" i="33"/>
  <c r="AD100" i="33"/>
  <c r="AC100" i="33"/>
  <c r="AB100" i="33"/>
  <c r="AA100" i="33"/>
  <c r="AH99" i="33"/>
  <c r="AG99" i="33"/>
  <c r="AF99" i="33"/>
  <c r="AE99" i="33"/>
  <c r="AD99" i="33"/>
  <c r="AC99" i="33"/>
  <c r="AB99" i="33"/>
  <c r="AA99" i="33"/>
  <c r="AH98" i="33"/>
  <c r="AG98" i="33"/>
  <c r="AF98" i="33"/>
  <c r="AE98" i="33"/>
  <c r="AD98" i="33"/>
  <c r="AC98" i="33"/>
  <c r="AB98" i="33"/>
  <c r="AA98" i="33"/>
  <c r="AH97" i="33"/>
  <c r="AG97" i="33"/>
  <c r="AF97" i="33"/>
  <c r="AE97" i="33"/>
  <c r="AD97" i="33"/>
  <c r="AC97" i="33"/>
  <c r="AB97" i="33"/>
  <c r="AA97" i="33"/>
  <c r="AH96" i="33"/>
  <c r="AG96" i="33"/>
  <c r="AF96" i="33"/>
  <c r="AE96" i="33"/>
  <c r="AD96" i="33"/>
  <c r="AC96" i="33"/>
  <c r="AB96" i="33"/>
  <c r="AA96" i="33"/>
  <c r="AH95" i="33"/>
  <c r="AG95" i="33"/>
  <c r="AF95" i="33"/>
  <c r="AE95" i="33"/>
  <c r="AD95" i="33"/>
  <c r="AC95" i="33"/>
  <c r="AB95" i="33"/>
  <c r="AA95" i="33"/>
  <c r="AH94" i="33"/>
  <c r="AG94" i="33"/>
  <c r="AF94" i="33"/>
  <c r="AE94" i="33"/>
  <c r="AD94" i="33"/>
  <c r="AC94" i="33"/>
  <c r="AB94" i="33"/>
  <c r="AA94" i="33"/>
  <c r="AH91" i="33"/>
  <c r="AG91" i="33"/>
  <c r="AF91" i="33"/>
  <c r="AE91" i="33"/>
  <c r="AD91" i="33"/>
  <c r="AC91" i="33"/>
  <c r="AB91" i="33"/>
  <c r="AA91" i="33"/>
  <c r="AH90" i="33"/>
  <c r="AG90" i="33"/>
  <c r="AF90" i="33"/>
  <c r="AE90" i="33"/>
  <c r="AD90" i="33"/>
  <c r="AC90" i="33"/>
  <c r="AB90" i="33"/>
  <c r="AA90" i="33"/>
  <c r="AH89" i="33"/>
  <c r="AG89" i="33"/>
  <c r="AF89" i="33"/>
  <c r="AE89" i="33"/>
  <c r="AD89" i="33"/>
  <c r="AC89" i="33"/>
  <c r="AB89" i="33"/>
  <c r="AA89" i="33"/>
  <c r="AH88" i="33"/>
  <c r="AG88" i="33"/>
  <c r="AF88" i="33"/>
  <c r="AE88" i="33"/>
  <c r="AD88" i="33"/>
  <c r="AC88" i="33"/>
  <c r="AB88" i="33"/>
  <c r="AA88" i="33"/>
  <c r="AH87" i="33"/>
  <c r="AG87" i="33"/>
  <c r="AF87" i="33"/>
  <c r="AE87" i="33"/>
  <c r="AD87" i="33"/>
  <c r="AC87" i="33"/>
  <c r="AB87" i="33"/>
  <c r="AA87" i="33"/>
  <c r="AH86" i="33"/>
  <c r="AG86" i="33"/>
  <c r="AF86" i="33"/>
  <c r="AE86" i="33"/>
  <c r="AD86" i="33"/>
  <c r="AC86" i="33"/>
  <c r="AB86" i="33"/>
  <c r="AA86" i="33"/>
  <c r="AH85" i="33"/>
  <c r="AG85" i="33"/>
  <c r="AF85" i="33"/>
  <c r="AE85" i="33"/>
  <c r="AD85" i="33"/>
  <c r="AC85" i="33"/>
  <c r="AB85" i="33"/>
  <c r="AA85" i="33"/>
  <c r="AH84" i="33"/>
  <c r="AG84" i="33"/>
  <c r="AF84" i="33"/>
  <c r="AE84" i="33"/>
  <c r="AD84" i="33"/>
  <c r="AC84" i="33"/>
  <c r="AB84" i="33"/>
  <c r="AA84" i="33"/>
  <c r="AH83" i="33"/>
  <c r="AG83" i="33"/>
  <c r="AF83" i="33"/>
  <c r="AE83" i="33"/>
  <c r="AD83" i="33"/>
  <c r="AC83" i="33"/>
  <c r="AB83" i="33"/>
  <c r="AA83" i="33"/>
  <c r="AH81" i="33"/>
  <c r="AG81" i="33"/>
  <c r="AF81" i="33"/>
  <c r="AE81" i="33"/>
  <c r="AD81" i="33"/>
  <c r="AC81" i="33"/>
  <c r="AB81" i="33"/>
  <c r="AA81" i="33"/>
  <c r="AH80" i="33"/>
  <c r="AG80" i="33"/>
  <c r="AF80" i="33"/>
  <c r="AE80" i="33"/>
  <c r="AD80" i="33"/>
  <c r="AC80" i="33"/>
  <c r="AB80" i="33"/>
  <c r="AA80" i="33"/>
  <c r="AH79" i="33"/>
  <c r="AG79" i="33"/>
  <c r="AF79" i="33"/>
  <c r="AE79" i="33"/>
  <c r="AD79" i="33"/>
  <c r="AC79" i="33"/>
  <c r="AB79" i="33"/>
  <c r="AA79" i="33"/>
  <c r="AH78" i="33"/>
  <c r="AG78" i="33"/>
  <c r="AF78" i="33"/>
  <c r="AE78" i="33"/>
  <c r="AD78" i="33"/>
  <c r="AC78" i="33"/>
  <c r="AB78" i="33"/>
  <c r="AA78" i="33"/>
  <c r="AH77" i="33"/>
  <c r="AG77" i="33"/>
  <c r="AF77" i="33"/>
  <c r="AE77" i="33"/>
  <c r="AD77" i="33"/>
  <c r="AC77" i="33"/>
  <c r="AB77" i="33"/>
  <c r="AA77" i="33"/>
  <c r="AH76" i="33"/>
  <c r="AG76" i="33"/>
  <c r="AF76" i="33"/>
  <c r="AE76" i="33"/>
  <c r="AD76" i="33"/>
  <c r="AC76" i="33"/>
  <c r="AB76" i="33"/>
  <c r="AA76" i="33"/>
  <c r="AH75" i="33"/>
  <c r="AG75" i="33"/>
  <c r="AF75" i="33"/>
  <c r="AE75" i="33"/>
  <c r="AD75" i="33"/>
  <c r="AC75" i="33"/>
  <c r="AB75" i="33"/>
  <c r="AA75" i="33"/>
  <c r="AH74" i="33"/>
  <c r="AG74" i="33"/>
  <c r="AF74" i="33"/>
  <c r="AE74" i="33"/>
  <c r="AD74" i="33"/>
  <c r="AC74" i="33"/>
  <c r="AB74" i="33"/>
  <c r="AA74" i="33"/>
  <c r="AH73" i="33"/>
  <c r="AG73" i="33"/>
  <c r="AF73" i="33"/>
  <c r="AE73" i="33"/>
  <c r="AD73" i="33"/>
  <c r="AC73" i="33"/>
  <c r="AB73" i="33"/>
  <c r="AA73" i="33"/>
  <c r="AH70" i="33"/>
  <c r="AG70" i="33"/>
  <c r="AF70" i="33"/>
  <c r="AE70" i="33"/>
  <c r="AD70" i="33"/>
  <c r="AC70" i="33"/>
  <c r="AB70" i="33"/>
  <c r="AA70" i="33"/>
  <c r="AH69" i="33"/>
  <c r="AG69" i="33"/>
  <c r="AF69" i="33"/>
  <c r="AE69" i="33"/>
  <c r="AD69" i="33"/>
  <c r="AC69" i="33"/>
  <c r="AB69" i="33"/>
  <c r="AA69" i="33"/>
  <c r="AH68" i="33"/>
  <c r="AG68" i="33"/>
  <c r="AF68" i="33"/>
  <c r="AE68" i="33"/>
  <c r="AD68" i="33"/>
  <c r="AC68" i="33"/>
  <c r="AB68" i="33"/>
  <c r="AA68" i="33"/>
  <c r="AH66" i="33"/>
  <c r="AG66" i="33"/>
  <c r="AF66" i="33"/>
  <c r="AE66" i="33"/>
  <c r="AD66" i="33"/>
  <c r="AC66" i="33"/>
  <c r="AB66" i="33"/>
  <c r="AA66" i="33"/>
  <c r="AH65" i="33"/>
  <c r="AG65" i="33"/>
  <c r="AF65" i="33"/>
  <c r="AE65" i="33"/>
  <c r="AD65" i="33"/>
  <c r="AC65" i="33"/>
  <c r="AB65" i="33"/>
  <c r="AA65" i="33"/>
  <c r="AH64" i="33"/>
  <c r="AG64" i="33"/>
  <c r="AF64" i="33"/>
  <c r="AE64" i="33"/>
  <c r="AD64" i="33"/>
  <c r="AC64" i="33"/>
  <c r="AB64" i="33"/>
  <c r="AA64" i="33"/>
  <c r="AH63" i="33"/>
  <c r="AG63" i="33"/>
  <c r="AF63" i="33"/>
  <c r="AE63" i="33"/>
  <c r="AD63" i="33"/>
  <c r="AC63" i="33"/>
  <c r="AB63" i="33"/>
  <c r="AA63" i="33"/>
  <c r="AH62" i="33"/>
  <c r="AG62" i="33"/>
  <c r="AF62" i="33"/>
  <c r="AE62" i="33"/>
  <c r="AD62" i="33"/>
  <c r="AC62" i="33"/>
  <c r="AB62" i="33"/>
  <c r="AA62" i="33"/>
  <c r="AH60" i="33"/>
  <c r="AG60" i="33"/>
  <c r="AF60" i="33"/>
  <c r="AE60" i="33"/>
  <c r="AD60" i="33"/>
  <c r="AC60" i="33"/>
  <c r="AB60" i="33"/>
  <c r="AA60" i="33"/>
  <c r="AH59" i="33"/>
  <c r="AG59" i="33"/>
  <c r="AF59" i="33"/>
  <c r="AE59" i="33"/>
  <c r="AD59" i="33"/>
  <c r="AC59" i="33"/>
  <c r="AB59" i="33"/>
  <c r="AA59" i="33"/>
  <c r="AH58" i="33"/>
  <c r="AG58" i="33"/>
  <c r="AF58" i="33"/>
  <c r="AE58" i="33"/>
  <c r="AD58" i="33"/>
  <c r="AC58" i="33"/>
  <c r="AB58" i="33"/>
  <c r="AA58" i="33"/>
  <c r="AH57" i="33"/>
  <c r="AG57" i="33"/>
  <c r="AF57" i="33"/>
  <c r="AE57" i="33"/>
  <c r="AD57" i="33"/>
  <c r="AC57" i="33"/>
  <c r="AB57" i="33"/>
  <c r="AA57" i="33"/>
  <c r="AH56" i="33"/>
  <c r="AG56" i="33"/>
  <c r="AF56" i="33"/>
  <c r="AE56" i="33"/>
  <c r="AD56" i="33"/>
  <c r="AC56" i="33"/>
  <c r="AB56" i="33"/>
  <c r="AA56" i="33"/>
  <c r="AH55" i="33"/>
  <c r="AG55" i="33"/>
  <c r="AF55" i="33"/>
  <c r="AE55" i="33"/>
  <c r="AD55" i="33"/>
  <c r="AC55" i="33"/>
  <c r="AB55" i="33"/>
  <c r="AA55" i="33"/>
  <c r="AH53" i="33"/>
  <c r="AG53" i="33"/>
  <c r="AF53" i="33"/>
  <c r="AE53" i="33"/>
  <c r="AD53" i="33"/>
  <c r="AC53" i="33"/>
  <c r="AB53" i="33"/>
  <c r="AA53" i="33"/>
  <c r="AH52" i="33"/>
  <c r="AG52" i="33"/>
  <c r="AF52" i="33"/>
  <c r="AE52" i="33"/>
  <c r="AD52" i="33"/>
  <c r="AC52" i="33"/>
  <c r="AB52" i="33"/>
  <c r="AA52" i="33"/>
  <c r="AH51" i="33"/>
  <c r="AG51" i="33"/>
  <c r="AF51" i="33"/>
  <c r="AE51" i="33"/>
  <c r="AD51" i="33"/>
  <c r="AC51" i="33"/>
  <c r="AB51" i="33"/>
  <c r="AA51" i="33"/>
  <c r="AH50" i="33"/>
  <c r="AG50" i="33"/>
  <c r="AF50" i="33"/>
  <c r="AE50" i="33"/>
  <c r="AD50" i="33"/>
  <c r="AC50" i="33"/>
  <c r="AB50" i="33"/>
  <c r="AA50" i="33"/>
  <c r="AH49" i="33"/>
  <c r="AG49" i="33"/>
  <c r="AF49" i="33"/>
  <c r="AE49" i="33"/>
  <c r="AD49" i="33"/>
  <c r="AC49" i="33"/>
  <c r="AB49" i="33"/>
  <c r="AA49" i="33"/>
  <c r="AH48" i="33"/>
  <c r="AG48" i="33"/>
  <c r="AF48" i="33"/>
  <c r="AE48" i="33"/>
  <c r="AD48" i="33"/>
  <c r="AC48" i="33"/>
  <c r="AB48" i="33"/>
  <c r="AA48" i="33"/>
  <c r="AH46" i="33"/>
  <c r="AG46" i="33"/>
  <c r="AF46" i="33"/>
  <c r="AE46" i="33"/>
  <c r="AD46" i="33"/>
  <c r="AC46" i="33"/>
  <c r="AB46" i="33"/>
  <c r="AA46" i="33"/>
  <c r="AH45" i="33"/>
  <c r="AG45" i="33"/>
  <c r="AF45" i="33"/>
  <c r="AE45" i="33"/>
  <c r="AD45" i="33"/>
  <c r="AC45" i="33"/>
  <c r="AB45" i="33"/>
  <c r="AA45" i="33"/>
  <c r="AH44" i="33"/>
  <c r="AG44" i="33"/>
  <c r="AF44" i="33"/>
  <c r="AE44" i="33"/>
  <c r="AD44" i="33"/>
  <c r="AC44" i="33"/>
  <c r="AB44" i="33"/>
  <c r="AA44" i="33"/>
  <c r="AH43" i="33"/>
  <c r="AG43" i="33"/>
  <c r="AF43" i="33"/>
  <c r="AE43" i="33"/>
  <c r="AD43" i="33"/>
  <c r="AC43" i="33"/>
  <c r="AB43" i="33"/>
  <c r="AA43" i="33"/>
  <c r="AH42" i="33"/>
  <c r="AG42" i="33"/>
  <c r="AF42" i="33"/>
  <c r="AE42" i="33"/>
  <c r="AD42" i="33"/>
  <c r="AC42" i="33"/>
  <c r="AB42" i="33"/>
  <c r="AA42" i="33"/>
  <c r="AH41" i="33"/>
  <c r="AG41" i="33"/>
  <c r="AF41" i="33"/>
  <c r="AE41" i="33"/>
  <c r="AD41" i="33"/>
  <c r="AC41" i="33"/>
  <c r="AB41" i="33"/>
  <c r="AA41" i="33"/>
  <c r="AH40" i="33"/>
  <c r="AG40" i="33"/>
  <c r="AF40" i="33"/>
  <c r="AE40" i="33"/>
  <c r="AD40" i="33"/>
  <c r="AC40" i="33"/>
  <c r="AB40" i="33"/>
  <c r="AA40" i="33"/>
  <c r="AH38" i="33"/>
  <c r="AG38" i="33"/>
  <c r="AF38" i="33"/>
  <c r="AE38" i="33"/>
  <c r="AD38" i="33"/>
  <c r="AC38" i="33"/>
  <c r="AB38" i="33"/>
  <c r="AA38" i="33"/>
  <c r="AH37" i="33"/>
  <c r="AG37" i="33"/>
  <c r="AF37" i="33"/>
  <c r="AE37" i="33"/>
  <c r="AD37" i="33"/>
  <c r="AC37" i="33"/>
  <c r="AB37" i="33"/>
  <c r="AA37" i="33"/>
  <c r="AH36" i="33"/>
  <c r="AG36" i="33"/>
  <c r="AF36" i="33"/>
  <c r="AE36" i="33"/>
  <c r="AD36" i="33"/>
  <c r="AC36" i="33"/>
  <c r="AB36" i="33"/>
  <c r="AA36" i="33"/>
  <c r="AH35" i="33"/>
  <c r="AG35" i="33"/>
  <c r="AF35" i="33"/>
  <c r="AE35" i="33"/>
  <c r="AD35" i="33"/>
  <c r="AC35" i="33"/>
  <c r="AB35" i="33"/>
  <c r="AA35" i="33"/>
  <c r="AH34" i="33"/>
  <c r="AG34" i="33"/>
  <c r="AF34" i="33"/>
  <c r="AE34" i="33"/>
  <c r="AD34" i="33"/>
  <c r="AC34" i="33"/>
  <c r="AB34" i="33"/>
  <c r="AA34" i="33"/>
  <c r="AH33" i="33"/>
  <c r="AG33" i="33"/>
  <c r="AF33" i="33"/>
  <c r="AE33" i="33"/>
  <c r="AD33" i="33"/>
  <c r="AC33" i="33"/>
  <c r="AB33" i="33"/>
  <c r="AA33" i="33"/>
  <c r="AH31" i="33"/>
  <c r="AG31" i="33"/>
  <c r="AF31" i="33"/>
  <c r="AE31" i="33"/>
  <c r="AD31" i="33"/>
  <c r="AC31" i="33"/>
  <c r="AB31" i="33"/>
  <c r="AA31" i="33"/>
  <c r="AH30" i="33"/>
  <c r="AG30" i="33"/>
  <c r="AF30" i="33"/>
  <c r="AE30" i="33"/>
  <c r="AD30" i="33"/>
  <c r="AC30" i="33"/>
  <c r="AB30" i="33"/>
  <c r="AA30" i="33"/>
  <c r="AH29" i="33"/>
  <c r="AG29" i="33"/>
  <c r="AF29" i="33"/>
  <c r="AE29" i="33"/>
  <c r="AD29" i="33"/>
  <c r="AC29" i="33"/>
  <c r="AB29" i="33"/>
  <c r="AA29" i="33"/>
  <c r="AH28" i="33"/>
  <c r="AG28" i="33"/>
  <c r="AF28" i="33"/>
  <c r="AE28" i="33"/>
  <c r="AD28" i="33"/>
  <c r="AC28" i="33"/>
  <c r="AB28" i="33"/>
  <c r="AA28" i="33"/>
  <c r="AH27" i="33"/>
  <c r="AG27" i="33"/>
  <c r="AF27" i="33"/>
  <c r="AE27" i="33"/>
  <c r="AD27" i="33"/>
  <c r="AC27" i="33"/>
  <c r="AB27" i="33"/>
  <c r="AA27" i="33"/>
  <c r="AH26" i="33"/>
  <c r="AG26" i="33"/>
  <c r="AF26" i="33"/>
  <c r="AE26" i="33"/>
  <c r="AD26" i="33"/>
  <c r="AC26" i="33"/>
  <c r="AB26" i="33"/>
  <c r="AA26" i="33"/>
  <c r="AH25" i="33"/>
  <c r="AG25" i="33"/>
  <c r="AF25" i="33"/>
  <c r="AE25" i="33"/>
  <c r="AD25" i="33"/>
  <c r="AC25" i="33"/>
  <c r="AB25" i="33"/>
  <c r="AA25" i="33"/>
  <c r="AH24" i="33"/>
  <c r="AG24" i="33"/>
  <c r="AF24" i="33"/>
  <c r="AE24" i="33"/>
  <c r="AD24" i="33"/>
  <c r="AC24" i="33"/>
  <c r="AB24" i="33"/>
  <c r="AA24" i="33"/>
  <c r="AH23" i="33"/>
  <c r="AG23" i="33"/>
  <c r="AF23" i="33"/>
  <c r="AE23" i="33"/>
  <c r="AD23" i="33"/>
  <c r="AC23" i="33"/>
  <c r="AB23" i="33"/>
  <c r="AA23" i="33"/>
  <c r="AH22" i="33"/>
  <c r="AG22" i="33"/>
  <c r="AF22" i="33"/>
  <c r="AE22" i="33"/>
  <c r="AD22" i="33"/>
  <c r="AC22" i="33"/>
  <c r="AB22" i="33"/>
  <c r="AA22" i="33"/>
  <c r="AH21" i="33"/>
  <c r="AG21" i="33"/>
  <c r="AF21" i="33"/>
  <c r="AE21" i="33"/>
  <c r="AD21" i="33"/>
  <c r="AC21" i="33"/>
  <c r="AB21" i="33"/>
  <c r="AA21" i="33"/>
  <c r="AH20" i="33"/>
  <c r="AG20" i="33"/>
  <c r="AF20" i="33"/>
  <c r="AE20" i="33"/>
  <c r="AD20" i="33"/>
  <c r="AC20" i="33"/>
  <c r="AB20" i="33"/>
  <c r="AA20" i="33"/>
  <c r="AH19" i="33"/>
  <c r="AG19" i="33"/>
  <c r="AF19" i="33"/>
  <c r="AE19" i="33"/>
  <c r="AD19" i="33"/>
  <c r="AC19" i="33"/>
  <c r="AB19" i="33"/>
  <c r="AA19" i="33"/>
  <c r="AH18" i="33"/>
  <c r="AG18" i="33"/>
  <c r="AF18" i="33"/>
  <c r="AE18" i="33"/>
  <c r="AD18" i="33"/>
  <c r="AC18" i="33"/>
  <c r="AB18" i="33"/>
  <c r="AA18" i="33"/>
  <c r="AH17" i="33"/>
  <c r="AG17" i="33"/>
  <c r="AF17" i="33"/>
  <c r="AE17" i="33"/>
  <c r="AD17" i="33"/>
  <c r="AC17" i="33"/>
  <c r="AB17" i="33"/>
  <c r="AA17" i="33"/>
  <c r="AH15" i="33"/>
  <c r="AG15" i="33"/>
  <c r="AF15" i="33"/>
  <c r="AE15" i="33"/>
  <c r="AD15" i="33"/>
  <c r="AC15" i="33"/>
  <c r="AB15" i="33"/>
  <c r="AA15" i="33"/>
  <c r="AH14" i="33"/>
  <c r="AG14" i="33"/>
  <c r="AF14" i="33"/>
  <c r="AE14" i="33"/>
  <c r="AD14" i="33"/>
  <c r="AC14" i="33"/>
  <c r="AB14" i="33"/>
  <c r="AA14" i="33"/>
  <c r="AH13" i="33"/>
  <c r="AG13" i="33"/>
  <c r="AF13" i="33"/>
  <c r="AE13" i="33"/>
  <c r="AD13" i="33"/>
  <c r="AC13" i="33"/>
  <c r="AB13" i="33"/>
  <c r="AA13" i="33"/>
  <c r="AH12" i="33"/>
  <c r="AG12" i="33"/>
  <c r="AF12" i="33"/>
  <c r="AE12" i="33"/>
  <c r="AD12" i="33"/>
  <c r="AC12" i="33"/>
  <c r="AB12" i="33"/>
  <c r="AA12" i="33"/>
  <c r="AH11" i="33"/>
  <c r="AG11" i="33"/>
  <c r="AF11" i="33"/>
  <c r="AE11" i="33"/>
  <c r="AD11" i="33"/>
  <c r="AC11" i="33"/>
  <c r="AB11" i="33"/>
  <c r="AA11" i="33"/>
  <c r="AH10" i="33"/>
  <c r="AG10" i="33"/>
  <c r="AF10" i="33"/>
  <c r="AE10" i="33"/>
  <c r="AD10" i="33"/>
  <c r="AC10" i="33"/>
  <c r="AB10" i="33"/>
  <c r="AA10" i="33"/>
  <c r="AH9" i="33"/>
  <c r="AG9" i="33"/>
  <c r="AF9" i="33"/>
  <c r="AE9" i="33"/>
  <c r="AD9" i="33"/>
  <c r="AC9" i="33"/>
  <c r="AB9" i="33"/>
  <c r="AA9" i="33"/>
  <c r="AH8" i="33"/>
  <c r="AG8" i="33"/>
  <c r="AF8" i="33"/>
  <c r="AE8" i="33"/>
  <c r="AD8" i="33"/>
  <c r="AC8" i="33"/>
  <c r="AB8" i="33"/>
  <c r="AA8" i="33"/>
  <c r="AH7" i="33"/>
  <c r="AG7" i="33"/>
  <c r="AF7" i="33"/>
  <c r="AE7" i="33"/>
  <c r="AD7" i="33"/>
  <c r="AC7" i="33"/>
  <c r="AB7" i="33"/>
  <c r="AA7" i="33"/>
  <c r="AH6" i="33"/>
  <c r="AG6" i="33"/>
  <c r="AF6" i="33"/>
  <c r="AE6" i="33"/>
  <c r="AD6" i="33"/>
  <c r="AC6" i="33"/>
  <c r="AB6" i="33"/>
  <c r="AA6" i="33"/>
  <c r="AH5" i="33"/>
  <c r="AG5" i="33"/>
  <c r="AF5" i="33"/>
  <c r="AE5" i="33"/>
  <c r="AD5" i="33"/>
  <c r="AC5" i="33"/>
  <c r="AB5" i="33"/>
  <c r="AA5" i="33"/>
  <c r="AH219" i="32"/>
  <c r="AG219" i="32"/>
  <c r="AF219" i="32"/>
  <c r="AE219" i="32"/>
  <c r="AD219" i="32"/>
  <c r="AC219" i="32"/>
  <c r="AB219" i="32"/>
  <c r="AA219" i="32"/>
  <c r="AH218" i="32"/>
  <c r="AG218" i="32"/>
  <c r="AF218" i="32"/>
  <c r="AE218" i="32"/>
  <c r="AD218" i="32"/>
  <c r="AC218" i="32"/>
  <c r="AB218" i="32"/>
  <c r="AA218" i="32"/>
  <c r="AH217" i="32"/>
  <c r="AG217" i="32"/>
  <c r="AF217" i="32"/>
  <c r="AE217" i="32"/>
  <c r="AD217" i="32"/>
  <c r="AC217" i="32"/>
  <c r="AB217" i="32"/>
  <c r="AA217" i="32"/>
  <c r="AH216" i="32"/>
  <c r="AG216" i="32"/>
  <c r="AF216" i="32"/>
  <c r="AE216" i="32"/>
  <c r="AD216" i="32"/>
  <c r="AC216" i="32"/>
  <c r="AB216" i="32"/>
  <c r="AA216" i="32"/>
  <c r="AH215" i="32"/>
  <c r="AG215" i="32"/>
  <c r="AF215" i="32"/>
  <c r="AE215" i="32"/>
  <c r="AD215" i="32"/>
  <c r="AC215" i="32"/>
  <c r="AB215" i="32"/>
  <c r="AA215" i="32"/>
  <c r="AH214" i="32"/>
  <c r="AG214" i="32"/>
  <c r="AF214" i="32"/>
  <c r="AE214" i="32"/>
  <c r="AD214" i="32"/>
  <c r="AC214" i="32"/>
  <c r="AB214" i="32"/>
  <c r="AA214" i="32"/>
  <c r="AH213" i="32"/>
  <c r="AG213" i="32"/>
  <c r="AF213" i="32"/>
  <c r="AE213" i="32"/>
  <c r="AD213" i="32"/>
  <c r="AC213" i="32"/>
  <c r="AB213" i="32"/>
  <c r="AA213" i="32"/>
  <c r="AH212" i="32"/>
  <c r="AG212" i="32"/>
  <c r="AF212" i="32"/>
  <c r="AE212" i="32"/>
  <c r="AD212" i="32"/>
  <c r="AC212" i="32"/>
  <c r="AB212" i="32"/>
  <c r="AA212" i="32"/>
  <c r="AH210" i="32"/>
  <c r="AG210" i="32"/>
  <c r="AF210" i="32"/>
  <c r="AE210" i="32"/>
  <c r="AD210" i="32"/>
  <c r="AC210" i="32"/>
  <c r="AB210" i="32"/>
  <c r="AA210" i="32"/>
  <c r="AH209" i="32"/>
  <c r="AG209" i="32"/>
  <c r="AF209" i="32"/>
  <c r="AE209" i="32"/>
  <c r="AD209" i="32"/>
  <c r="AC209" i="32"/>
  <c r="AB209" i="32"/>
  <c r="AA209" i="32"/>
  <c r="AH208" i="32"/>
  <c r="AG208" i="32"/>
  <c r="AF208" i="32"/>
  <c r="AE208" i="32"/>
  <c r="AD208" i="32"/>
  <c r="AC208" i="32"/>
  <c r="AB208" i="32"/>
  <c r="AA208" i="32"/>
  <c r="AH207" i="32"/>
  <c r="AG207" i="32"/>
  <c r="AF207" i="32"/>
  <c r="AE207" i="32"/>
  <c r="AD207" i="32"/>
  <c r="AC207" i="32"/>
  <c r="AB207" i="32"/>
  <c r="AA207" i="32"/>
  <c r="AH206" i="32"/>
  <c r="AG206" i="32"/>
  <c r="AF206" i="32"/>
  <c r="AE206" i="32"/>
  <c r="AD206" i="32"/>
  <c r="AC206" i="32"/>
  <c r="AB206" i="32"/>
  <c r="AA206" i="32"/>
  <c r="AH205" i="32"/>
  <c r="AG205" i="32"/>
  <c r="AF205" i="32"/>
  <c r="AE205" i="32"/>
  <c r="AD205" i="32"/>
  <c r="AC205" i="32"/>
  <c r="AB205" i="32"/>
  <c r="AA205" i="32"/>
  <c r="AH204" i="32"/>
  <c r="AG204" i="32"/>
  <c r="AF204" i="32"/>
  <c r="AE204" i="32"/>
  <c r="AD204" i="32"/>
  <c r="AC204" i="32"/>
  <c r="AB204" i="32"/>
  <c r="AA204" i="32"/>
  <c r="AH203" i="32"/>
  <c r="AG203" i="32"/>
  <c r="AF203" i="32"/>
  <c r="AE203" i="32"/>
  <c r="AD203" i="32"/>
  <c r="AC203" i="32"/>
  <c r="AB203" i="32"/>
  <c r="AA203" i="32"/>
  <c r="AH202" i="32"/>
  <c r="AG202" i="32"/>
  <c r="AF202" i="32"/>
  <c r="AE202" i="32"/>
  <c r="AD202" i="32"/>
  <c r="AC202" i="32"/>
  <c r="AB202" i="32"/>
  <c r="AA202" i="32"/>
  <c r="AH201" i="32"/>
  <c r="AG201" i="32"/>
  <c r="AF201" i="32"/>
  <c r="AE201" i="32"/>
  <c r="AD201" i="32"/>
  <c r="AC201" i="32"/>
  <c r="AB201" i="32"/>
  <c r="AA201" i="32"/>
  <c r="AH199" i="32"/>
  <c r="AG199" i="32"/>
  <c r="AF199" i="32"/>
  <c r="AE199" i="32"/>
  <c r="AD199" i="32"/>
  <c r="AC199" i="32"/>
  <c r="AB199" i="32"/>
  <c r="AA199" i="32"/>
  <c r="AH198" i="32"/>
  <c r="AG198" i="32"/>
  <c r="AF198" i="32"/>
  <c r="AE198" i="32"/>
  <c r="AD198" i="32"/>
  <c r="AC198" i="32"/>
  <c r="AB198" i="32"/>
  <c r="AA198" i="32"/>
  <c r="AH197" i="32"/>
  <c r="AG197" i="32"/>
  <c r="AF197" i="32"/>
  <c r="AE197" i="32"/>
  <c r="AD197" i="32"/>
  <c r="AC197" i="32"/>
  <c r="AB197" i="32"/>
  <c r="AA197" i="32"/>
  <c r="AH196" i="32"/>
  <c r="AG196" i="32"/>
  <c r="AF196" i="32"/>
  <c r="AE196" i="32"/>
  <c r="AD196" i="32"/>
  <c r="AC196" i="32"/>
  <c r="AB196" i="32"/>
  <c r="AA196" i="32"/>
  <c r="AH195" i="32"/>
  <c r="AG195" i="32"/>
  <c r="AF195" i="32"/>
  <c r="AE195" i="32"/>
  <c r="AD195" i="32"/>
  <c r="AC195" i="32"/>
  <c r="AB195" i="32"/>
  <c r="AA195" i="32"/>
  <c r="AH194" i="32"/>
  <c r="AG194" i="32"/>
  <c r="AF194" i="32"/>
  <c r="AE194" i="32"/>
  <c r="AD194" i="32"/>
  <c r="AC194" i="32"/>
  <c r="AB194" i="32"/>
  <c r="AA194" i="32"/>
  <c r="AH193" i="32"/>
  <c r="AG193" i="32"/>
  <c r="AF193" i="32"/>
  <c r="AE193" i="32"/>
  <c r="AD193" i="32"/>
  <c r="AC193" i="32"/>
  <c r="AB193" i="32"/>
  <c r="AA193" i="32"/>
  <c r="AH192" i="32"/>
  <c r="AG192" i="32"/>
  <c r="AF192" i="32"/>
  <c r="AE192" i="32"/>
  <c r="AD192" i="32"/>
  <c r="AC192" i="32"/>
  <c r="AB192" i="32"/>
  <c r="AA192" i="32"/>
  <c r="AH191" i="32"/>
  <c r="AG191" i="32"/>
  <c r="AF191" i="32"/>
  <c r="AE191" i="32"/>
  <c r="AD191" i="32"/>
  <c r="AC191" i="32"/>
  <c r="AB191" i="32"/>
  <c r="AA191" i="32"/>
  <c r="AH190" i="32"/>
  <c r="AG190" i="32"/>
  <c r="AF190" i="32"/>
  <c r="AE190" i="32"/>
  <c r="AD190" i="32"/>
  <c r="AC190" i="32"/>
  <c r="AB190" i="32"/>
  <c r="AA190" i="32"/>
  <c r="AH187" i="32"/>
  <c r="AG187" i="32"/>
  <c r="AF187" i="32"/>
  <c r="AE187" i="32"/>
  <c r="AD187" i="32"/>
  <c r="AC187" i="32"/>
  <c r="AB187" i="32"/>
  <c r="AA187" i="32"/>
  <c r="AH186" i="32"/>
  <c r="AG186" i="32"/>
  <c r="AF186" i="32"/>
  <c r="AE186" i="32"/>
  <c r="AD186" i="32"/>
  <c r="AC186" i="32"/>
  <c r="AB186" i="32"/>
  <c r="AA186" i="32"/>
  <c r="AH185" i="32"/>
  <c r="AG185" i="32"/>
  <c r="AF185" i="32"/>
  <c r="AE185" i="32"/>
  <c r="AD185" i="32"/>
  <c r="AC185" i="32"/>
  <c r="AB185" i="32"/>
  <c r="AA185" i="32"/>
  <c r="AH184" i="32"/>
  <c r="AG184" i="32"/>
  <c r="AF184" i="32"/>
  <c r="AE184" i="32"/>
  <c r="AD184" i="32"/>
  <c r="AC184" i="32"/>
  <c r="AB184" i="32"/>
  <c r="AA184" i="32"/>
  <c r="AH183" i="32"/>
  <c r="AG183" i="32"/>
  <c r="AF183" i="32"/>
  <c r="AE183" i="32"/>
  <c r="AD183" i="32"/>
  <c r="AC183" i="32"/>
  <c r="AB183" i="32"/>
  <c r="AA183" i="32"/>
  <c r="AH181" i="32"/>
  <c r="AG181" i="32"/>
  <c r="AF181" i="32"/>
  <c r="AE181" i="32"/>
  <c r="AD181" i="32"/>
  <c r="AC181" i="32"/>
  <c r="AB181" i="32"/>
  <c r="AA181" i="32"/>
  <c r="AH180" i="32"/>
  <c r="AG180" i="32"/>
  <c r="AF180" i="32"/>
  <c r="AE180" i="32"/>
  <c r="AD180" i="32"/>
  <c r="AC180" i="32"/>
  <c r="AB180" i="32"/>
  <c r="AA180" i="32"/>
  <c r="AH179" i="32"/>
  <c r="AG179" i="32"/>
  <c r="AF179" i="32"/>
  <c r="AE179" i="32"/>
  <c r="AD179" i="32"/>
  <c r="AC179" i="32"/>
  <c r="AB179" i="32"/>
  <c r="AA179" i="32"/>
  <c r="AH178" i="32"/>
  <c r="AG178" i="32"/>
  <c r="AF178" i="32"/>
  <c r="AE178" i="32"/>
  <c r="AD178" i="32"/>
  <c r="AC178" i="32"/>
  <c r="AB178" i="32"/>
  <c r="AA178" i="32"/>
  <c r="AH177" i="32"/>
  <c r="AG177" i="32"/>
  <c r="AF177" i="32"/>
  <c r="AE177" i="32"/>
  <c r="AD177" i="32"/>
  <c r="AC177" i="32"/>
  <c r="AB177" i="32"/>
  <c r="AA177" i="32"/>
  <c r="AH175" i="32"/>
  <c r="AG175" i="32"/>
  <c r="AF175" i="32"/>
  <c r="AE175" i="32"/>
  <c r="AD175" i="32"/>
  <c r="AC175" i="32"/>
  <c r="AB175" i="32"/>
  <c r="AA175" i="32"/>
  <c r="AH174" i="32"/>
  <c r="AG174" i="32"/>
  <c r="AF174" i="32"/>
  <c r="AE174" i="32"/>
  <c r="AD174" i="32"/>
  <c r="AC174" i="32"/>
  <c r="AB174" i="32"/>
  <c r="AA174" i="32"/>
  <c r="AH173" i="32"/>
  <c r="AG173" i="32"/>
  <c r="AF173" i="32"/>
  <c r="AE173" i="32"/>
  <c r="AD173" i="32"/>
  <c r="AC173" i="32"/>
  <c r="AB173" i="32"/>
  <c r="AA173" i="32"/>
  <c r="AH172" i="32"/>
  <c r="AG172" i="32"/>
  <c r="AF172" i="32"/>
  <c r="AE172" i="32"/>
  <c r="AD172" i="32"/>
  <c r="AC172" i="32"/>
  <c r="AB172" i="32"/>
  <c r="AA172" i="32"/>
  <c r="AH171" i="32"/>
  <c r="AG171" i="32"/>
  <c r="AF171" i="32"/>
  <c r="AE171" i="32"/>
  <c r="AD171" i="32"/>
  <c r="AC171" i="32"/>
  <c r="AB171" i="32"/>
  <c r="AA171" i="32"/>
  <c r="AH170" i="32"/>
  <c r="AG170" i="32"/>
  <c r="AF170" i="32"/>
  <c r="AE170" i="32"/>
  <c r="AD170" i="32"/>
  <c r="AC170" i="32"/>
  <c r="AB170" i="32"/>
  <c r="AA170" i="32"/>
  <c r="AH169" i="32"/>
  <c r="AG169" i="32"/>
  <c r="AF169" i="32"/>
  <c r="AE169" i="32"/>
  <c r="AD169" i="32"/>
  <c r="AC169" i="32"/>
  <c r="AB169" i="32"/>
  <c r="AA169" i="32"/>
  <c r="AH167" i="32"/>
  <c r="AG167" i="32"/>
  <c r="AF167" i="32"/>
  <c r="AE167" i="32"/>
  <c r="AD167" i="32"/>
  <c r="AC167" i="32"/>
  <c r="AB167" i="32"/>
  <c r="AA167" i="32"/>
  <c r="AH166" i="32"/>
  <c r="AG166" i="32"/>
  <c r="AF166" i="32"/>
  <c r="AE166" i="32"/>
  <c r="AD166" i="32"/>
  <c r="AC166" i="32"/>
  <c r="AB166" i="32"/>
  <c r="AA166" i="32"/>
  <c r="AH165" i="32"/>
  <c r="AG165" i="32"/>
  <c r="AF165" i="32"/>
  <c r="AE165" i="32"/>
  <c r="AD165" i="32"/>
  <c r="AC165" i="32"/>
  <c r="AB165" i="32"/>
  <c r="AA165" i="32"/>
  <c r="AH164" i="32"/>
  <c r="AG164" i="32"/>
  <c r="AF164" i="32"/>
  <c r="AE164" i="32"/>
  <c r="AD164" i="32"/>
  <c r="AC164" i="32"/>
  <c r="AB164" i="32"/>
  <c r="AA164" i="32"/>
  <c r="AH163" i="32"/>
  <c r="AG163" i="32"/>
  <c r="AF163" i="32"/>
  <c r="AE163" i="32"/>
  <c r="AD163" i="32"/>
  <c r="AC163" i="32"/>
  <c r="AB163" i="32"/>
  <c r="AA163" i="32"/>
  <c r="AH162" i="32"/>
  <c r="AG162" i="32"/>
  <c r="AF162" i="32"/>
  <c r="AE162" i="32"/>
  <c r="AD162" i="32"/>
  <c r="AC162" i="32"/>
  <c r="AB162" i="32"/>
  <c r="AA162" i="32"/>
  <c r="AH161" i="32"/>
  <c r="AG161" i="32"/>
  <c r="AF161" i="32"/>
  <c r="AE161" i="32"/>
  <c r="AD161" i="32"/>
  <c r="AC161" i="32"/>
  <c r="AB161" i="32"/>
  <c r="AA161" i="32"/>
  <c r="AH158" i="32"/>
  <c r="AG158" i="32"/>
  <c r="AF158" i="32"/>
  <c r="AE158" i="32"/>
  <c r="AD158" i="32"/>
  <c r="AC158" i="32"/>
  <c r="AB158" i="32"/>
  <c r="AA158" i="32"/>
  <c r="AH157" i="32"/>
  <c r="AG157" i="32"/>
  <c r="AF157" i="32"/>
  <c r="AE157" i="32"/>
  <c r="AD157" i="32"/>
  <c r="AC157" i="32"/>
  <c r="AB157" i="32"/>
  <c r="AA157" i="32"/>
  <c r="AH156" i="32"/>
  <c r="AG156" i="32"/>
  <c r="AF156" i="32"/>
  <c r="AE156" i="32"/>
  <c r="AD156" i="32"/>
  <c r="AC156" i="32"/>
  <c r="AB156" i="32"/>
  <c r="AA156" i="32"/>
  <c r="AH155" i="32"/>
  <c r="AG155" i="32"/>
  <c r="AF155" i="32"/>
  <c r="AE155" i="32"/>
  <c r="AD155" i="32"/>
  <c r="AC155" i="32"/>
  <c r="AB155" i="32"/>
  <c r="AA155" i="32"/>
  <c r="AH154" i="32"/>
  <c r="AG154" i="32"/>
  <c r="AF154" i="32"/>
  <c r="AE154" i="32"/>
  <c r="AD154" i="32"/>
  <c r="AC154" i="32"/>
  <c r="AB154" i="32"/>
  <c r="AA154" i="32"/>
  <c r="AH153" i="32"/>
  <c r="AG153" i="32"/>
  <c r="AF153" i="32"/>
  <c r="AE153" i="32"/>
  <c r="AD153" i="32"/>
  <c r="AC153" i="32"/>
  <c r="AB153" i="32"/>
  <c r="AA153" i="32"/>
  <c r="AH152" i="32"/>
  <c r="AG152" i="32"/>
  <c r="AF152" i="32"/>
  <c r="AE152" i="32"/>
  <c r="AD152" i="32"/>
  <c r="AC152" i="32"/>
  <c r="AB152" i="32"/>
  <c r="AA152" i="32"/>
  <c r="AH151" i="32"/>
  <c r="AG151" i="32"/>
  <c r="AF151" i="32"/>
  <c r="AE151" i="32"/>
  <c r="AD151" i="32"/>
  <c r="AC151" i="32"/>
  <c r="AB151" i="32"/>
  <c r="AA151" i="32"/>
  <c r="AH149" i="32"/>
  <c r="AG149" i="32"/>
  <c r="AF149" i="32"/>
  <c r="AE149" i="32"/>
  <c r="AD149" i="32"/>
  <c r="AC149" i="32"/>
  <c r="AB149" i="32"/>
  <c r="AA149" i="32"/>
  <c r="AH148" i="32"/>
  <c r="AG148" i="32"/>
  <c r="AF148" i="32"/>
  <c r="AE148" i="32"/>
  <c r="AD148" i="32"/>
  <c r="AC148" i="32"/>
  <c r="AB148" i="32"/>
  <c r="AA148" i="32"/>
  <c r="AH147" i="32"/>
  <c r="AG147" i="32"/>
  <c r="AF147" i="32"/>
  <c r="AE147" i="32"/>
  <c r="AD147" i="32"/>
  <c r="AC147" i="32"/>
  <c r="AB147" i="32"/>
  <c r="AA147" i="32"/>
  <c r="AH146" i="32"/>
  <c r="AG146" i="32"/>
  <c r="AF146" i="32"/>
  <c r="AE146" i="32"/>
  <c r="AD146" i="32"/>
  <c r="AC146" i="32"/>
  <c r="AB146" i="32"/>
  <c r="AA146" i="32"/>
  <c r="AH145" i="32"/>
  <c r="AG145" i="32"/>
  <c r="AF145" i="32"/>
  <c r="AE145" i="32"/>
  <c r="AD145" i="32"/>
  <c r="AC145" i="32"/>
  <c r="AB145" i="32"/>
  <c r="AA145" i="32"/>
  <c r="AH144" i="32"/>
  <c r="AG144" i="32"/>
  <c r="AF144" i="32"/>
  <c r="AE144" i="32"/>
  <c r="AD144" i="32"/>
  <c r="AC144" i="32"/>
  <c r="AB144" i="32"/>
  <c r="AA144" i="32"/>
  <c r="AH143" i="32"/>
  <c r="AG143" i="32"/>
  <c r="AF143" i="32"/>
  <c r="AE143" i="32"/>
  <c r="AD143" i="32"/>
  <c r="AC143" i="32"/>
  <c r="AB143" i="32"/>
  <c r="AA143" i="32"/>
  <c r="AH142" i="32"/>
  <c r="AG142" i="32"/>
  <c r="AF142" i="32"/>
  <c r="AE142" i="32"/>
  <c r="AD142" i="32"/>
  <c r="AC142" i="32"/>
  <c r="AB142" i="32"/>
  <c r="AA142" i="32"/>
  <c r="AH140" i="32"/>
  <c r="AG140" i="32"/>
  <c r="AF140" i="32"/>
  <c r="AE140" i="32"/>
  <c r="AD140" i="32"/>
  <c r="AC140" i="32"/>
  <c r="AB140" i="32"/>
  <c r="AA140" i="32"/>
  <c r="AH139" i="32"/>
  <c r="AG139" i="32"/>
  <c r="AF139" i="32"/>
  <c r="AE139" i="32"/>
  <c r="AD139" i="32"/>
  <c r="AC139" i="32"/>
  <c r="AB139" i="32"/>
  <c r="AA139" i="32"/>
  <c r="AH138" i="32"/>
  <c r="AG138" i="32"/>
  <c r="AF138" i="32"/>
  <c r="AE138" i="32"/>
  <c r="AD138" i="32"/>
  <c r="AC138" i="32"/>
  <c r="AB138" i="32"/>
  <c r="AA138" i="32"/>
  <c r="AH137" i="32"/>
  <c r="AG137" i="32"/>
  <c r="AF137" i="32"/>
  <c r="AE137" i="32"/>
  <c r="AD137" i="32"/>
  <c r="AC137" i="32"/>
  <c r="AB137" i="32"/>
  <c r="AA137" i="32"/>
  <c r="AH136" i="32"/>
  <c r="AG136" i="32"/>
  <c r="AF136" i="32"/>
  <c r="AE136" i="32"/>
  <c r="AD136" i="32"/>
  <c r="AC136" i="32"/>
  <c r="AB136" i="32"/>
  <c r="AA136" i="32"/>
  <c r="AH135" i="32"/>
  <c r="AG135" i="32"/>
  <c r="AF135" i="32"/>
  <c r="AE135" i="32"/>
  <c r="AD135" i="32"/>
  <c r="AC135" i="32"/>
  <c r="AB135" i="32"/>
  <c r="AA135" i="32"/>
  <c r="AH134" i="32"/>
  <c r="AG134" i="32"/>
  <c r="AF134" i="32"/>
  <c r="AE134" i="32"/>
  <c r="AD134" i="32"/>
  <c r="AC134" i="32"/>
  <c r="AB134" i="32"/>
  <c r="AA134" i="32"/>
  <c r="AH133" i="32"/>
  <c r="AG133" i="32"/>
  <c r="AF133" i="32"/>
  <c r="AE133" i="32"/>
  <c r="AD133" i="32"/>
  <c r="AC133" i="32"/>
  <c r="AB133" i="32"/>
  <c r="AA133" i="32"/>
  <c r="AH132" i="32"/>
  <c r="AG132" i="32"/>
  <c r="AF132" i="32"/>
  <c r="AE132" i="32"/>
  <c r="AD132" i="32"/>
  <c r="AC132" i="32"/>
  <c r="AB132" i="32"/>
  <c r="AA132" i="32"/>
  <c r="AH131" i="32"/>
  <c r="AG131" i="32"/>
  <c r="AF131" i="32"/>
  <c r="AE131" i="32"/>
  <c r="AD131" i="32"/>
  <c r="AC131" i="32"/>
  <c r="AB131" i="32"/>
  <c r="AA131" i="32"/>
  <c r="AH129" i="32"/>
  <c r="AG129" i="32"/>
  <c r="AF129" i="32"/>
  <c r="AE129" i="32"/>
  <c r="AD129" i="32"/>
  <c r="AC129" i="32"/>
  <c r="AB129" i="32"/>
  <c r="AA129" i="32"/>
  <c r="AH128" i="32"/>
  <c r="AG128" i="32"/>
  <c r="AF128" i="32"/>
  <c r="AE128" i="32"/>
  <c r="AD128" i="32"/>
  <c r="AC128" i="32"/>
  <c r="AB128" i="32"/>
  <c r="AA128" i="32"/>
  <c r="AH127" i="32"/>
  <c r="AG127" i="32"/>
  <c r="AF127" i="32"/>
  <c r="AE127" i="32"/>
  <c r="AD127" i="32"/>
  <c r="AC127" i="32"/>
  <c r="AB127" i="32"/>
  <c r="AA127" i="32"/>
  <c r="AH126" i="32"/>
  <c r="AG126" i="32"/>
  <c r="AF126" i="32"/>
  <c r="AE126" i="32"/>
  <c r="AD126" i="32"/>
  <c r="AC126" i="32"/>
  <c r="AB126" i="32"/>
  <c r="AA126" i="32"/>
  <c r="AH125" i="32"/>
  <c r="AG125" i="32"/>
  <c r="AF125" i="32"/>
  <c r="AE125" i="32"/>
  <c r="AD125" i="32"/>
  <c r="AC125" i="32"/>
  <c r="AB125" i="32"/>
  <c r="AA125" i="32"/>
  <c r="AH124" i="32"/>
  <c r="AG124" i="32"/>
  <c r="AF124" i="32"/>
  <c r="AE124" i="32"/>
  <c r="AD124" i="32"/>
  <c r="AC124" i="32"/>
  <c r="AB124" i="32"/>
  <c r="AA124" i="32"/>
  <c r="AH123" i="32"/>
  <c r="AG123" i="32"/>
  <c r="AF123" i="32"/>
  <c r="AE123" i="32"/>
  <c r="AD123" i="32"/>
  <c r="AC123" i="32"/>
  <c r="AB123" i="32"/>
  <c r="AA123" i="32"/>
  <c r="AH122" i="32"/>
  <c r="AG122" i="32"/>
  <c r="AF122" i="32"/>
  <c r="AE122" i="32"/>
  <c r="AD122" i="32"/>
  <c r="AC122" i="32"/>
  <c r="AB122" i="32"/>
  <c r="AA122" i="32"/>
  <c r="AH121" i="32"/>
  <c r="AG121" i="32"/>
  <c r="AF121" i="32"/>
  <c r="AE121" i="32"/>
  <c r="AD121" i="32"/>
  <c r="AC121" i="32"/>
  <c r="AB121" i="32"/>
  <c r="AA121" i="32"/>
  <c r="AH120" i="32"/>
  <c r="AG120" i="32"/>
  <c r="AF120" i="32"/>
  <c r="AE120" i="32"/>
  <c r="AD120" i="32"/>
  <c r="AC120" i="32"/>
  <c r="AB120" i="32"/>
  <c r="AA120" i="32"/>
  <c r="AH119" i="32"/>
  <c r="AG119" i="32"/>
  <c r="AF119" i="32"/>
  <c r="AE119" i="32"/>
  <c r="AD119" i="32"/>
  <c r="AC119" i="32"/>
  <c r="AB119" i="32"/>
  <c r="AA119" i="32"/>
  <c r="AH117" i="32"/>
  <c r="AG117" i="32"/>
  <c r="AF117" i="32"/>
  <c r="AE117" i="32"/>
  <c r="AD117" i="32"/>
  <c r="AC117" i="32"/>
  <c r="AB117" i="32"/>
  <c r="AA117" i="32"/>
  <c r="AH116" i="32"/>
  <c r="AG116" i="32"/>
  <c r="AF116" i="32"/>
  <c r="AE116" i="32"/>
  <c r="AD116" i="32"/>
  <c r="AC116" i="32"/>
  <c r="AB116" i="32"/>
  <c r="AA116" i="32"/>
  <c r="AH115" i="32"/>
  <c r="AG115" i="32"/>
  <c r="AF115" i="32"/>
  <c r="AE115" i="32"/>
  <c r="AD115" i="32"/>
  <c r="AC115" i="32"/>
  <c r="AB115" i="32"/>
  <c r="AA115" i="32"/>
  <c r="AH114" i="32"/>
  <c r="AG114" i="32"/>
  <c r="AF114" i="32"/>
  <c r="AE114" i="32"/>
  <c r="AD114" i="32"/>
  <c r="AC114" i="32"/>
  <c r="AB114" i="32"/>
  <c r="AA114" i="32"/>
  <c r="AH113" i="32"/>
  <c r="AG113" i="32"/>
  <c r="AF113" i="32"/>
  <c r="AE113" i="32"/>
  <c r="AD113" i="32"/>
  <c r="AC113" i="32"/>
  <c r="AB113" i="32"/>
  <c r="AA113" i="32"/>
  <c r="AH112" i="32"/>
  <c r="AG112" i="32"/>
  <c r="AF112" i="32"/>
  <c r="AE112" i="32"/>
  <c r="AD112" i="32"/>
  <c r="AC112" i="32"/>
  <c r="AB112" i="32"/>
  <c r="AA112" i="32"/>
  <c r="AH111" i="32"/>
  <c r="AG111" i="32"/>
  <c r="AF111" i="32"/>
  <c r="AE111" i="32"/>
  <c r="AD111" i="32"/>
  <c r="AC111" i="32"/>
  <c r="AB111" i="32"/>
  <c r="AA111" i="32"/>
  <c r="AH110" i="32"/>
  <c r="AG110" i="32"/>
  <c r="AF110" i="32"/>
  <c r="AE110" i="32"/>
  <c r="AD110" i="32"/>
  <c r="AC110" i="32"/>
  <c r="AB110" i="32"/>
  <c r="AA110" i="32"/>
  <c r="AH109" i="32"/>
  <c r="AG109" i="32"/>
  <c r="AF109" i="32"/>
  <c r="AE109" i="32"/>
  <c r="AD109" i="32"/>
  <c r="AC109" i="32"/>
  <c r="AB109" i="32"/>
  <c r="AA109" i="32"/>
  <c r="AH108" i="32"/>
  <c r="AG108" i="32"/>
  <c r="AF108" i="32"/>
  <c r="AE108" i="32"/>
  <c r="AD108" i="32"/>
  <c r="AC108" i="32"/>
  <c r="AB108" i="32"/>
  <c r="AA108" i="32"/>
  <c r="AH106" i="32"/>
  <c r="AG106" i="32"/>
  <c r="AF106" i="32"/>
  <c r="AE106" i="32"/>
  <c r="AD106" i="32"/>
  <c r="AC106" i="32"/>
  <c r="AB106" i="32"/>
  <c r="AA106" i="32"/>
  <c r="AH105" i="32"/>
  <c r="AG105" i="32"/>
  <c r="AF105" i="32"/>
  <c r="AE105" i="32"/>
  <c r="AD105" i="32"/>
  <c r="AC105" i="32"/>
  <c r="AB105" i="32"/>
  <c r="AA105" i="32"/>
  <c r="AH104" i="32"/>
  <c r="AG104" i="32"/>
  <c r="AF104" i="32"/>
  <c r="AE104" i="32"/>
  <c r="AD104" i="32"/>
  <c r="AC104" i="32"/>
  <c r="AB104" i="32"/>
  <c r="AA104" i="32"/>
  <c r="AH103" i="32"/>
  <c r="AG103" i="32"/>
  <c r="AF103" i="32"/>
  <c r="AE103" i="32"/>
  <c r="AD103" i="32"/>
  <c r="AC103" i="32"/>
  <c r="AB103" i="32"/>
  <c r="AA103" i="32"/>
  <c r="AH101" i="32"/>
  <c r="AG101" i="32"/>
  <c r="AF101" i="32"/>
  <c r="AE101" i="32"/>
  <c r="AD101" i="32"/>
  <c r="AC101" i="32"/>
  <c r="AB101" i="32"/>
  <c r="AA101" i="32"/>
  <c r="AH100" i="32"/>
  <c r="AG100" i="32"/>
  <c r="AF100" i="32"/>
  <c r="AE100" i="32"/>
  <c r="AD100" i="32"/>
  <c r="AC100" i="32"/>
  <c r="AB100" i="32"/>
  <c r="AA100" i="32"/>
  <c r="AH99" i="32"/>
  <c r="AG99" i="32"/>
  <c r="AF99" i="32"/>
  <c r="AE99" i="32"/>
  <c r="AD99" i="32"/>
  <c r="AC99" i="32"/>
  <c r="AB99" i="32"/>
  <c r="AA99" i="32"/>
  <c r="AH98" i="32"/>
  <c r="AG98" i="32"/>
  <c r="AF98" i="32"/>
  <c r="AE98" i="32"/>
  <c r="AD98" i="32"/>
  <c r="AC98" i="32"/>
  <c r="AB98" i="32"/>
  <c r="AA98" i="32"/>
  <c r="AH97" i="32"/>
  <c r="AG97" i="32"/>
  <c r="AF97" i="32"/>
  <c r="AE97" i="32"/>
  <c r="AD97" i="32"/>
  <c r="AC97" i="32"/>
  <c r="AB97" i="32"/>
  <c r="AA97" i="32"/>
  <c r="AH96" i="32"/>
  <c r="AG96" i="32"/>
  <c r="AF96" i="32"/>
  <c r="AE96" i="32"/>
  <c r="AD96" i="32"/>
  <c r="AC96" i="32"/>
  <c r="AB96" i="32"/>
  <c r="AA96" i="32"/>
  <c r="AH95" i="32"/>
  <c r="AG95" i="32"/>
  <c r="AF95" i="32"/>
  <c r="AE95" i="32"/>
  <c r="AD95" i="32"/>
  <c r="AC95" i="32"/>
  <c r="AB95" i="32"/>
  <c r="AA95" i="32"/>
  <c r="AH94" i="32"/>
  <c r="AG94" i="32"/>
  <c r="AF94" i="32"/>
  <c r="AE94" i="32"/>
  <c r="AD94" i="32"/>
  <c r="AC94" i="32"/>
  <c r="AB94" i="32"/>
  <c r="AA94" i="32"/>
  <c r="AH93" i="32"/>
  <c r="AG93" i="32"/>
  <c r="AF93" i="32"/>
  <c r="AE93" i="32"/>
  <c r="AD93" i="32"/>
  <c r="AC93" i="32"/>
  <c r="AB93" i="32"/>
  <c r="AA93" i="32"/>
  <c r="AH92" i="32"/>
  <c r="AG92" i="32"/>
  <c r="AF92" i="32"/>
  <c r="AE92" i="32"/>
  <c r="AD92" i="32"/>
  <c r="AC92" i="32"/>
  <c r="AB92" i="32"/>
  <c r="AA92" i="32"/>
  <c r="AH90" i="32"/>
  <c r="AG90" i="32"/>
  <c r="AF90" i="32"/>
  <c r="AE90" i="32"/>
  <c r="AD90" i="32"/>
  <c r="AC90" i="32"/>
  <c r="AB90" i="32"/>
  <c r="AA90" i="32"/>
  <c r="AH89" i="32"/>
  <c r="AG89" i="32"/>
  <c r="AF89" i="32"/>
  <c r="AE89" i="32"/>
  <c r="AD89" i="32"/>
  <c r="AC89" i="32"/>
  <c r="AB89" i="32"/>
  <c r="AA89" i="32"/>
  <c r="AH88" i="32"/>
  <c r="AG88" i="32"/>
  <c r="AF88" i="32"/>
  <c r="AE88" i="32"/>
  <c r="AD88" i="32"/>
  <c r="AC88" i="32"/>
  <c r="AB88" i="32"/>
  <c r="AA88" i="32"/>
  <c r="AH87" i="32"/>
  <c r="AG87" i="32"/>
  <c r="AF87" i="32"/>
  <c r="AE87" i="32"/>
  <c r="AD87" i="32"/>
  <c r="AC87" i="32"/>
  <c r="AB87" i="32"/>
  <c r="AA87" i="32"/>
  <c r="AH86" i="32"/>
  <c r="AG86" i="32"/>
  <c r="AF86" i="32"/>
  <c r="AE86" i="32"/>
  <c r="AD86" i="32"/>
  <c r="AC86" i="32"/>
  <c r="AB86" i="32"/>
  <c r="AA86" i="32"/>
  <c r="AH85" i="32"/>
  <c r="AG85" i="32"/>
  <c r="AF85" i="32"/>
  <c r="AE85" i="32"/>
  <c r="AD85" i="32"/>
  <c r="AC85" i="32"/>
  <c r="AB85" i="32"/>
  <c r="AA85" i="32"/>
  <c r="AH84" i="32"/>
  <c r="AG84" i="32"/>
  <c r="AF84" i="32"/>
  <c r="AE84" i="32"/>
  <c r="AD84" i="32"/>
  <c r="AC84" i="32"/>
  <c r="AB84" i="32"/>
  <c r="AA84" i="32"/>
  <c r="AH82" i="32"/>
  <c r="AG82" i="32"/>
  <c r="AF82" i="32"/>
  <c r="AE82" i="32"/>
  <c r="AD82" i="32"/>
  <c r="AC82" i="32"/>
  <c r="AB82" i="32"/>
  <c r="AA82" i="32"/>
  <c r="AH81" i="32"/>
  <c r="AG81" i="32"/>
  <c r="AF81" i="32"/>
  <c r="AE81" i="32"/>
  <c r="AD81" i="32"/>
  <c r="AC81" i="32"/>
  <c r="AB81" i="32"/>
  <c r="AA81" i="32"/>
  <c r="AH80" i="32"/>
  <c r="AG80" i="32"/>
  <c r="AF80" i="32"/>
  <c r="AE80" i="32"/>
  <c r="AD80" i="32"/>
  <c r="AC80" i="32"/>
  <c r="AB80" i="32"/>
  <c r="AA80" i="32"/>
  <c r="AH79" i="32"/>
  <c r="AG79" i="32"/>
  <c r="AF79" i="32"/>
  <c r="AE79" i="32"/>
  <c r="AD79" i="32"/>
  <c r="AC79" i="32"/>
  <c r="AB79" i="32"/>
  <c r="AA79" i="32"/>
  <c r="AH78" i="32"/>
  <c r="AG78" i="32"/>
  <c r="AF78" i="32"/>
  <c r="AE78" i="32"/>
  <c r="AD78" i="32"/>
  <c r="AC78" i="32"/>
  <c r="AB78" i="32"/>
  <c r="AA78" i="32"/>
  <c r="AH77" i="32"/>
  <c r="AG77" i="32"/>
  <c r="AF77" i="32"/>
  <c r="AE77" i="32"/>
  <c r="AD77" i="32"/>
  <c r="AC77" i="32"/>
  <c r="AB77" i="32"/>
  <c r="AA77" i="32"/>
  <c r="AH76" i="32"/>
  <c r="AG76" i="32"/>
  <c r="AF76" i="32"/>
  <c r="AE76" i="32"/>
  <c r="AD76" i="32"/>
  <c r="AC76" i="32"/>
  <c r="AB76" i="32"/>
  <c r="AA76" i="32"/>
  <c r="AH75" i="32"/>
  <c r="AG75" i="32"/>
  <c r="AF75" i="32"/>
  <c r="AE75" i="32"/>
  <c r="AD75" i="32"/>
  <c r="AC75" i="32"/>
  <c r="AB75" i="32"/>
  <c r="AA75" i="32"/>
  <c r="AH72" i="32"/>
  <c r="AG72" i="32"/>
  <c r="AF72" i="32"/>
  <c r="AE72" i="32"/>
  <c r="AD72" i="32"/>
  <c r="AC72" i="32"/>
  <c r="AB72" i="32"/>
  <c r="AA72" i="32"/>
  <c r="AH71" i="32"/>
  <c r="AG71" i="32"/>
  <c r="AF71" i="32"/>
  <c r="AE71" i="32"/>
  <c r="AD71" i="32"/>
  <c r="AC71" i="32"/>
  <c r="AB71" i="32"/>
  <c r="AA71" i="32"/>
  <c r="AH70" i="32"/>
  <c r="AG70" i="32"/>
  <c r="AF70" i="32"/>
  <c r="AE70" i="32"/>
  <c r="AD70" i="32"/>
  <c r="AC70" i="32"/>
  <c r="AB70" i="32"/>
  <c r="AA70" i="32"/>
  <c r="AH69" i="32"/>
  <c r="AG69" i="32"/>
  <c r="AF69" i="32"/>
  <c r="AE69" i="32"/>
  <c r="AD69" i="32"/>
  <c r="AC69" i="32"/>
  <c r="AB69" i="32"/>
  <c r="AA69" i="32"/>
  <c r="AH68" i="32"/>
  <c r="AG68" i="32"/>
  <c r="AF68" i="32"/>
  <c r="AE68" i="32"/>
  <c r="AD68" i="32"/>
  <c r="AC68" i="32"/>
  <c r="AB68" i="32"/>
  <c r="AA68" i="32"/>
  <c r="AH66" i="32"/>
  <c r="AG66" i="32"/>
  <c r="AF66" i="32"/>
  <c r="AE66" i="32"/>
  <c r="AD66" i="32"/>
  <c r="AC66" i="32"/>
  <c r="AB66" i="32"/>
  <c r="AA66" i="32"/>
  <c r="AH65" i="32"/>
  <c r="AG65" i="32"/>
  <c r="AF65" i="32"/>
  <c r="AE65" i="32"/>
  <c r="AD65" i="32"/>
  <c r="AC65" i="32"/>
  <c r="AB65" i="32"/>
  <c r="AA65" i="32"/>
  <c r="AH64" i="32"/>
  <c r="AG64" i="32"/>
  <c r="AF64" i="32"/>
  <c r="AE64" i="32"/>
  <c r="AD64" i="32"/>
  <c r="AC64" i="32"/>
  <c r="AB64" i="32"/>
  <c r="AA64" i="32"/>
  <c r="AH63" i="32"/>
  <c r="AG63" i="32"/>
  <c r="AF63" i="32"/>
  <c r="AE63" i="32"/>
  <c r="AD63" i="32"/>
  <c r="AC63" i="32"/>
  <c r="AB63" i="32"/>
  <c r="AA63" i="32"/>
  <c r="AH62" i="32"/>
  <c r="AG62" i="32"/>
  <c r="AF62" i="32"/>
  <c r="AE62" i="32"/>
  <c r="AD62" i="32"/>
  <c r="AC62" i="32"/>
  <c r="AB62" i="32"/>
  <c r="AA62" i="32"/>
  <c r="AH61" i="32"/>
  <c r="AG61" i="32"/>
  <c r="AF61" i="32"/>
  <c r="AE61" i="32"/>
  <c r="AD61" i="32"/>
  <c r="AC61" i="32"/>
  <c r="AB61" i="32"/>
  <c r="AA61" i="32"/>
  <c r="AH60" i="32"/>
  <c r="AG60" i="32"/>
  <c r="AF60" i="32"/>
  <c r="AE60" i="32"/>
  <c r="AD60" i="32"/>
  <c r="AC60" i="32"/>
  <c r="AB60" i="32"/>
  <c r="AA60" i="32"/>
  <c r="AH59" i="32"/>
  <c r="AG59" i="32"/>
  <c r="AF59" i="32"/>
  <c r="AE59" i="32"/>
  <c r="AD59" i="32"/>
  <c r="AC59" i="32"/>
  <c r="AB59" i="32"/>
  <c r="AA59" i="32"/>
  <c r="AH58" i="32"/>
  <c r="AG58" i="32"/>
  <c r="AF58" i="32"/>
  <c r="AE58" i="32"/>
  <c r="AD58" i="32"/>
  <c r="AC58" i="32"/>
  <c r="AB58" i="32"/>
  <c r="AA58" i="32"/>
  <c r="AH57" i="32"/>
  <c r="AG57" i="32"/>
  <c r="AF57" i="32"/>
  <c r="AE57" i="32"/>
  <c r="AD57" i="32"/>
  <c r="AC57" i="32"/>
  <c r="AB57" i="32"/>
  <c r="AA57" i="32"/>
  <c r="AH55" i="32"/>
  <c r="AG55" i="32"/>
  <c r="AF55" i="32"/>
  <c r="AE55" i="32"/>
  <c r="AD55" i="32"/>
  <c r="AC55" i="32"/>
  <c r="AB55" i="32"/>
  <c r="AA55" i="32"/>
  <c r="AH54" i="32"/>
  <c r="AG54" i="32"/>
  <c r="AF54" i="32"/>
  <c r="AE54" i="32"/>
  <c r="AD54" i="32"/>
  <c r="AC54" i="32"/>
  <c r="AB54" i="32"/>
  <c r="AA54" i="32"/>
  <c r="AH53" i="32"/>
  <c r="AG53" i="32"/>
  <c r="AF53" i="32"/>
  <c r="AE53" i="32"/>
  <c r="AD53" i="32"/>
  <c r="AC53" i="32"/>
  <c r="AB53" i="32"/>
  <c r="AA53" i="32"/>
  <c r="AH52" i="32"/>
  <c r="AG52" i="32"/>
  <c r="AF52" i="32"/>
  <c r="AE52" i="32"/>
  <c r="AD52" i="32"/>
  <c r="AC52" i="32"/>
  <c r="AB52" i="32"/>
  <c r="AA52" i="32"/>
  <c r="AH51" i="32"/>
  <c r="AG51" i="32"/>
  <c r="AF51" i="32"/>
  <c r="AE51" i="32"/>
  <c r="AD51" i="32"/>
  <c r="AC51" i="32"/>
  <c r="AB51" i="32"/>
  <c r="AA51" i="32"/>
  <c r="AH50" i="32"/>
  <c r="AG50" i="32"/>
  <c r="AF50" i="32"/>
  <c r="AE50" i="32"/>
  <c r="AD50" i="32"/>
  <c r="AC50" i="32"/>
  <c r="AB50" i="32"/>
  <c r="AA50" i="32"/>
  <c r="AH49" i="32"/>
  <c r="AG49" i="32"/>
  <c r="AF49" i="32"/>
  <c r="AE49" i="32"/>
  <c r="AD49" i="32"/>
  <c r="AC49" i="32"/>
  <c r="AB49" i="32"/>
  <c r="AA49" i="32"/>
  <c r="AH48" i="32"/>
  <c r="AG48" i="32"/>
  <c r="AF48" i="32"/>
  <c r="AE48" i="32"/>
  <c r="AD48" i="32"/>
  <c r="AC48" i="32"/>
  <c r="AB48" i="32"/>
  <c r="AA48" i="32"/>
  <c r="AH46" i="32"/>
  <c r="AG46" i="32"/>
  <c r="AF46" i="32"/>
  <c r="AE46" i="32"/>
  <c r="AD46" i="32"/>
  <c r="AC46" i="32"/>
  <c r="AB46" i="32"/>
  <c r="AA46" i="32"/>
  <c r="AH45" i="32"/>
  <c r="AG45" i="32"/>
  <c r="AF45" i="32"/>
  <c r="AE45" i="32"/>
  <c r="AD45" i="32"/>
  <c r="AC45" i="32"/>
  <c r="AB45" i="32"/>
  <c r="AA45" i="32"/>
  <c r="AH44" i="32"/>
  <c r="AG44" i="32"/>
  <c r="AF44" i="32"/>
  <c r="AE44" i="32"/>
  <c r="AD44" i="32"/>
  <c r="AC44" i="32"/>
  <c r="AB44" i="32"/>
  <c r="AA44" i="32"/>
  <c r="AH43" i="32"/>
  <c r="AG43" i="32"/>
  <c r="AF43" i="32"/>
  <c r="AE43" i="32"/>
  <c r="AD43" i="32"/>
  <c r="AC43" i="32"/>
  <c r="AB43" i="32"/>
  <c r="AA43" i="32"/>
  <c r="AH42" i="32"/>
  <c r="AG42" i="32"/>
  <c r="AF42" i="32"/>
  <c r="AE42" i="32"/>
  <c r="AD42" i="32"/>
  <c r="AC42" i="32"/>
  <c r="AB42" i="32"/>
  <c r="AA42" i="32"/>
  <c r="AH41" i="32"/>
  <c r="AG41" i="32"/>
  <c r="AF41" i="32"/>
  <c r="AE41" i="32"/>
  <c r="AD41" i="32"/>
  <c r="AC41" i="32"/>
  <c r="AB41" i="32"/>
  <c r="AA41" i="32"/>
  <c r="AH40" i="32"/>
  <c r="AG40" i="32"/>
  <c r="AF40" i="32"/>
  <c r="AE40" i="32"/>
  <c r="AD40" i="32"/>
  <c r="AC40" i="32"/>
  <c r="AB40" i="32"/>
  <c r="AA40" i="32"/>
  <c r="AH38" i="32"/>
  <c r="AG38" i="32"/>
  <c r="AF38" i="32"/>
  <c r="AE38" i="32"/>
  <c r="AD38" i="32"/>
  <c r="AC38" i="32"/>
  <c r="AB38" i="32"/>
  <c r="AA38" i="32"/>
  <c r="AH37" i="32"/>
  <c r="AG37" i="32"/>
  <c r="AF37" i="32"/>
  <c r="AE37" i="32"/>
  <c r="AD37" i="32"/>
  <c r="AC37" i="32"/>
  <c r="AB37" i="32"/>
  <c r="AA37" i="32"/>
  <c r="AH36" i="32"/>
  <c r="AG36" i="32"/>
  <c r="AF36" i="32"/>
  <c r="AE36" i="32"/>
  <c r="AD36" i="32"/>
  <c r="AC36" i="32"/>
  <c r="AB36" i="32"/>
  <c r="AA36" i="32"/>
  <c r="AH35" i="32"/>
  <c r="AG35" i="32"/>
  <c r="AF35" i="32"/>
  <c r="AE35" i="32"/>
  <c r="AD35" i="32"/>
  <c r="AC35" i="32"/>
  <c r="AB35" i="32"/>
  <c r="AA35" i="32"/>
  <c r="AH34" i="32"/>
  <c r="AG34" i="32"/>
  <c r="AF34" i="32"/>
  <c r="AE34" i="32"/>
  <c r="AD34" i="32"/>
  <c r="AC34" i="32"/>
  <c r="AB34" i="32"/>
  <c r="AA34" i="32"/>
  <c r="AH33" i="32"/>
  <c r="AG33" i="32"/>
  <c r="AF33" i="32"/>
  <c r="AE33" i="32"/>
  <c r="AD33" i="32"/>
  <c r="AC33" i="32"/>
  <c r="AB33" i="32"/>
  <c r="AA33" i="32"/>
  <c r="AH32" i="32"/>
  <c r="AG32" i="32"/>
  <c r="AF32" i="32"/>
  <c r="AE32" i="32"/>
  <c r="AD32" i="32"/>
  <c r="AC32" i="32"/>
  <c r="AB32" i="32"/>
  <c r="AA32" i="32"/>
  <c r="AH31" i="32"/>
  <c r="AG31" i="32"/>
  <c r="AF31" i="32"/>
  <c r="AE31" i="32"/>
  <c r="AD31" i="32"/>
  <c r="AC31" i="32"/>
  <c r="AB31" i="32"/>
  <c r="AA31" i="32"/>
  <c r="AH29" i="32"/>
  <c r="AG29" i="32"/>
  <c r="AF29" i="32"/>
  <c r="AE29" i="32"/>
  <c r="AD29" i="32"/>
  <c r="AC29" i="32"/>
  <c r="AB29" i="32"/>
  <c r="AA29" i="32"/>
  <c r="AH28" i="32"/>
  <c r="AG28" i="32"/>
  <c r="AF28" i="32"/>
  <c r="AE28" i="32"/>
  <c r="AD28" i="32"/>
  <c r="AC28" i="32"/>
  <c r="AB28" i="32"/>
  <c r="AA28" i="32"/>
  <c r="AH27" i="32"/>
  <c r="AG27" i="32"/>
  <c r="AF27" i="32"/>
  <c r="AE27" i="32"/>
  <c r="AD27" i="32"/>
  <c r="AC27" i="32"/>
  <c r="AB27" i="32"/>
  <c r="AA27" i="32"/>
  <c r="AH26" i="32"/>
  <c r="AG26" i="32"/>
  <c r="AF26" i="32"/>
  <c r="AE26" i="32"/>
  <c r="AD26" i="32"/>
  <c r="AC26" i="32"/>
  <c r="AB26" i="32"/>
  <c r="AA26" i="32"/>
  <c r="AH25" i="32"/>
  <c r="AG25" i="32"/>
  <c r="AF25" i="32"/>
  <c r="AE25" i="32"/>
  <c r="AD25" i="32"/>
  <c r="AC25" i="32"/>
  <c r="AB25" i="32"/>
  <c r="AA25" i="32"/>
  <c r="AH24" i="32"/>
  <c r="AG24" i="32"/>
  <c r="AF24" i="32"/>
  <c r="AE24" i="32"/>
  <c r="AD24" i="32"/>
  <c r="AC24" i="32"/>
  <c r="AB24" i="32"/>
  <c r="AA24" i="32"/>
  <c r="AH23" i="32"/>
  <c r="AG23" i="32"/>
  <c r="AF23" i="32"/>
  <c r="AE23" i="32"/>
  <c r="AD23" i="32"/>
  <c r="AC23" i="32"/>
  <c r="AB23" i="32"/>
  <c r="AA23" i="32"/>
  <c r="AH22" i="32"/>
  <c r="AG22" i="32"/>
  <c r="AF22" i="32"/>
  <c r="AE22" i="32"/>
  <c r="AD22" i="32"/>
  <c r="AC22" i="32"/>
  <c r="AB22" i="32"/>
  <c r="AA22" i="32"/>
  <c r="AH21" i="32"/>
  <c r="AG21" i="32"/>
  <c r="AF21" i="32"/>
  <c r="AE21" i="32"/>
  <c r="AD21" i="32"/>
  <c r="AC21" i="32"/>
  <c r="AB21" i="32"/>
  <c r="AA21" i="32"/>
  <c r="AH20" i="32"/>
  <c r="AG20" i="32"/>
  <c r="AF20" i="32"/>
  <c r="AE20" i="32"/>
  <c r="AD20" i="32"/>
  <c r="AC20" i="32"/>
  <c r="AB20" i="32"/>
  <c r="AA20" i="32"/>
  <c r="AH19" i="32"/>
  <c r="AG19" i="32"/>
  <c r="AF19" i="32"/>
  <c r="AE19" i="32"/>
  <c r="AD19" i="32"/>
  <c r="AC19" i="32"/>
  <c r="AB19" i="32"/>
  <c r="AA19" i="32"/>
  <c r="AH18" i="32"/>
  <c r="AG18" i="32"/>
  <c r="AF18" i="32"/>
  <c r="AE18" i="32"/>
  <c r="AD18" i="32"/>
  <c r="AC18" i="32"/>
  <c r="AB18" i="32"/>
  <c r="AA18" i="32"/>
  <c r="AH16" i="32"/>
  <c r="AG16" i="32"/>
  <c r="AF16" i="32"/>
  <c r="AE16" i="32"/>
  <c r="AD16" i="32"/>
  <c r="AC16" i="32"/>
  <c r="AB16" i="32"/>
  <c r="AA16" i="32"/>
  <c r="AH15" i="32"/>
  <c r="AG15" i="32"/>
  <c r="AF15" i="32"/>
  <c r="AE15" i="32"/>
  <c r="AD15" i="32"/>
  <c r="AC15" i="32"/>
  <c r="AB15" i="32"/>
  <c r="AA15" i="32"/>
  <c r="AH14" i="32"/>
  <c r="AG14" i="32"/>
  <c r="AF14" i="32"/>
  <c r="AE14" i="32"/>
  <c r="AD14" i="32"/>
  <c r="AC14" i="32"/>
  <c r="AB14" i="32"/>
  <c r="AA14" i="32"/>
  <c r="AH13" i="32"/>
  <c r="AG13" i="32"/>
  <c r="AF13" i="32"/>
  <c r="AE13" i="32"/>
  <c r="AD13" i="32"/>
  <c r="AC13" i="32"/>
  <c r="AB13" i="32"/>
  <c r="AA13" i="32"/>
  <c r="AH12" i="32"/>
  <c r="AG12" i="32"/>
  <c r="AF12" i="32"/>
  <c r="AE12" i="32"/>
  <c r="AD12" i="32"/>
  <c r="AC12" i="32"/>
  <c r="AB12" i="32"/>
  <c r="AA12" i="32"/>
  <c r="AH11" i="32"/>
  <c r="AG11" i="32"/>
  <c r="AF11" i="32"/>
  <c r="AE11" i="32"/>
  <c r="AD11" i="32"/>
  <c r="AC11" i="32"/>
  <c r="AB11" i="32"/>
  <c r="AA11" i="32"/>
  <c r="AH10" i="32"/>
  <c r="AG10" i="32"/>
  <c r="AF10" i="32"/>
  <c r="AE10" i="32"/>
  <c r="AD10" i="32"/>
  <c r="AC10" i="32"/>
  <c r="AB10" i="32"/>
  <c r="AA10" i="32"/>
  <c r="AH9" i="32"/>
  <c r="AG9" i="32"/>
  <c r="AF9" i="32"/>
  <c r="AE9" i="32"/>
  <c r="AD9" i="32"/>
  <c r="AC9" i="32"/>
  <c r="AB9" i="32"/>
  <c r="AA9" i="32"/>
  <c r="AH8" i="32"/>
  <c r="AG8" i="32"/>
  <c r="AF8" i="32"/>
  <c r="AE8" i="32"/>
  <c r="AD8" i="32"/>
  <c r="AC8" i="32"/>
  <c r="AB8" i="32"/>
  <c r="AA8" i="32"/>
  <c r="AH7" i="32"/>
  <c r="AG7" i="32"/>
  <c r="AF7" i="32"/>
  <c r="AE7" i="32"/>
  <c r="AD7" i="32"/>
  <c r="AC7" i="32"/>
  <c r="AB7" i="32"/>
  <c r="AA7" i="32"/>
  <c r="AH6" i="32"/>
  <c r="AG6" i="32"/>
  <c r="AF6" i="32"/>
  <c r="AE6" i="32"/>
  <c r="AD6" i="32"/>
  <c r="AC6" i="32"/>
  <c r="AB6" i="32"/>
  <c r="AA6" i="32"/>
  <c r="AH5" i="32"/>
  <c r="AG5" i="32"/>
  <c r="AF5" i="32"/>
  <c r="AE5" i="32"/>
  <c r="AD5" i="32"/>
  <c r="AC5" i="32"/>
  <c r="AB5" i="32"/>
  <c r="AA5" i="32"/>
  <c r="AH139" i="31"/>
  <c r="AG139" i="31"/>
  <c r="AF139" i="31"/>
  <c r="AE139" i="31"/>
  <c r="AD139" i="31"/>
  <c r="AC139" i="31"/>
  <c r="AB139" i="31"/>
  <c r="AA139" i="31"/>
  <c r="AH138" i="31"/>
  <c r="AG138" i="31"/>
  <c r="AF138" i="31"/>
  <c r="AE138" i="31"/>
  <c r="AD138" i="31"/>
  <c r="AC138" i="31"/>
  <c r="AB138" i="31"/>
  <c r="AA138" i="31"/>
  <c r="AH137" i="31"/>
  <c r="AG137" i="31"/>
  <c r="AF137" i="31"/>
  <c r="AE137" i="31"/>
  <c r="AD137" i="31"/>
  <c r="AC137" i="31"/>
  <c r="AB137" i="31"/>
  <c r="AA137" i="31"/>
  <c r="AH136" i="31"/>
  <c r="AG136" i="31"/>
  <c r="AF136" i="31"/>
  <c r="AE136" i="31"/>
  <c r="AD136" i="31"/>
  <c r="AC136" i="31"/>
  <c r="AB136" i="31"/>
  <c r="AA136" i="31"/>
  <c r="AH135" i="31"/>
  <c r="AG135" i="31"/>
  <c r="AF135" i="31"/>
  <c r="AE135" i="31"/>
  <c r="AD135" i="31"/>
  <c r="AC135" i="31"/>
  <c r="AB135" i="31"/>
  <c r="AA135" i="31"/>
  <c r="AH134" i="31"/>
  <c r="AG134" i="31"/>
  <c r="AF134" i="31"/>
  <c r="AE134" i="31"/>
  <c r="AD134" i="31"/>
  <c r="AC134" i="31"/>
  <c r="AB134" i="31"/>
  <c r="AA134" i="31"/>
  <c r="AH133" i="31"/>
  <c r="AG133" i="31"/>
  <c r="AF133" i="31"/>
  <c r="AE133" i="31"/>
  <c r="AD133" i="31"/>
  <c r="AC133" i="31"/>
  <c r="AB133" i="31"/>
  <c r="AA133" i="31"/>
  <c r="AH132" i="31"/>
  <c r="AG132" i="31"/>
  <c r="AF132" i="31"/>
  <c r="AE132" i="31"/>
  <c r="AD132" i="31"/>
  <c r="AC132" i="31"/>
  <c r="AB132" i="31"/>
  <c r="AA132" i="31"/>
  <c r="AH130" i="31"/>
  <c r="AG130" i="31"/>
  <c r="AF130" i="31"/>
  <c r="AE130" i="31"/>
  <c r="AD130" i="31"/>
  <c r="AC130" i="31"/>
  <c r="AB130" i="31"/>
  <c r="AA130" i="31"/>
  <c r="AH129" i="31"/>
  <c r="AG129" i="31"/>
  <c r="AF129" i="31"/>
  <c r="AE129" i="31"/>
  <c r="AD129" i="31"/>
  <c r="AC129" i="31"/>
  <c r="AB129" i="31"/>
  <c r="AA129" i="31"/>
  <c r="AH128" i="31"/>
  <c r="AG128" i="31"/>
  <c r="AF128" i="31"/>
  <c r="AE128" i="31"/>
  <c r="AD128" i="31"/>
  <c r="AC128" i="31"/>
  <c r="AB128" i="31"/>
  <c r="AA128" i="31"/>
  <c r="AH127" i="31"/>
  <c r="AG127" i="31"/>
  <c r="AF127" i="31"/>
  <c r="AE127" i="31"/>
  <c r="AD127" i="31"/>
  <c r="AC127" i="31"/>
  <c r="AB127" i="31"/>
  <c r="AA127" i="31"/>
  <c r="AH126" i="31"/>
  <c r="AG126" i="31"/>
  <c r="AF126" i="31"/>
  <c r="AE126" i="31"/>
  <c r="AD126" i="31"/>
  <c r="AC126" i="31"/>
  <c r="AB126" i="31"/>
  <c r="AA126" i="31"/>
  <c r="AH125" i="31"/>
  <c r="AG125" i="31"/>
  <c r="AF125" i="31"/>
  <c r="AE125" i="31"/>
  <c r="AD125" i="31"/>
  <c r="AC125" i="31"/>
  <c r="AB125" i="31"/>
  <c r="AA125" i="31"/>
  <c r="AH124" i="31"/>
  <c r="AG124" i="31"/>
  <c r="AF124" i="31"/>
  <c r="AE124" i="31"/>
  <c r="AD124" i="31"/>
  <c r="AC124" i="31"/>
  <c r="AB124" i="31"/>
  <c r="AA124" i="31"/>
  <c r="AH123" i="31"/>
  <c r="AG123" i="31"/>
  <c r="AF123" i="31"/>
  <c r="AE123" i="31"/>
  <c r="AD123" i="31"/>
  <c r="AC123" i="31"/>
  <c r="AB123" i="31"/>
  <c r="AA123" i="31"/>
  <c r="AH122" i="31"/>
  <c r="AG122" i="31"/>
  <c r="AF122" i="31"/>
  <c r="AE122" i="31"/>
  <c r="AD122" i="31"/>
  <c r="AC122" i="31"/>
  <c r="AB122" i="31"/>
  <c r="AA122" i="31"/>
  <c r="AH121" i="31"/>
  <c r="AG121" i="31"/>
  <c r="AF121" i="31"/>
  <c r="AE121" i="31"/>
  <c r="AD121" i="31"/>
  <c r="AC121" i="31"/>
  <c r="AB121" i="31"/>
  <c r="AA121" i="31"/>
  <c r="AH119" i="31"/>
  <c r="AG119" i="31"/>
  <c r="AF119" i="31"/>
  <c r="AE119" i="31"/>
  <c r="AD119" i="31"/>
  <c r="AC119" i="31"/>
  <c r="AB119" i="31"/>
  <c r="AA119" i="31"/>
  <c r="AH118" i="31"/>
  <c r="AG118" i="31"/>
  <c r="AF118" i="31"/>
  <c r="AE118" i="31"/>
  <c r="AD118" i="31"/>
  <c r="AC118" i="31"/>
  <c r="AB118" i="31"/>
  <c r="AA118" i="31"/>
  <c r="AH117" i="31"/>
  <c r="AG117" i="31"/>
  <c r="AF117" i="31"/>
  <c r="AE117" i="31"/>
  <c r="AD117" i="31"/>
  <c r="AC117" i="31"/>
  <c r="AB117" i="31"/>
  <c r="AA117" i="31"/>
  <c r="AH116" i="31"/>
  <c r="AG116" i="31"/>
  <c r="AF116" i="31"/>
  <c r="AE116" i="31"/>
  <c r="AD116" i="31"/>
  <c r="AC116" i="31"/>
  <c r="AB116" i="31"/>
  <c r="AA116" i="31"/>
  <c r="AH115" i="31"/>
  <c r="AG115" i="31"/>
  <c r="AF115" i="31"/>
  <c r="AE115" i="31"/>
  <c r="AD115" i="31"/>
  <c r="AC115" i="31"/>
  <c r="AB115" i="31"/>
  <c r="AA115" i="31"/>
  <c r="AH114" i="31"/>
  <c r="AG114" i="31"/>
  <c r="AF114" i="31"/>
  <c r="AE114" i="31"/>
  <c r="AD114" i="31"/>
  <c r="AC114" i="31"/>
  <c r="AB114" i="31"/>
  <c r="AA114" i="31"/>
  <c r="AH113" i="31"/>
  <c r="AG113" i="31"/>
  <c r="AF113" i="31"/>
  <c r="AE113" i="31"/>
  <c r="AD113" i="31"/>
  <c r="AC113" i="31"/>
  <c r="AB113" i="31"/>
  <c r="AA113" i="31"/>
  <c r="AH112" i="31"/>
  <c r="AG112" i="31"/>
  <c r="AF112" i="31"/>
  <c r="AE112" i="31"/>
  <c r="AD112" i="31"/>
  <c r="AC112" i="31"/>
  <c r="AB112" i="31"/>
  <c r="AA112" i="31"/>
  <c r="AH111" i="31"/>
  <c r="AG111" i="31"/>
  <c r="AF111" i="31"/>
  <c r="AE111" i="31"/>
  <c r="AD111" i="31"/>
  <c r="AC111" i="31"/>
  <c r="AB111" i="31"/>
  <c r="AA111" i="31"/>
  <c r="AH110" i="31"/>
  <c r="AG110" i="31"/>
  <c r="AF110" i="31"/>
  <c r="AE110" i="31"/>
  <c r="AD110" i="31"/>
  <c r="AC110" i="31"/>
  <c r="AB110" i="31"/>
  <c r="AA110" i="31"/>
  <c r="AH107" i="31"/>
  <c r="AG107" i="31"/>
  <c r="AF107" i="31"/>
  <c r="AE107" i="31"/>
  <c r="AD107" i="31"/>
  <c r="AC107" i="31"/>
  <c r="AB107" i="31"/>
  <c r="AA107" i="31"/>
  <c r="AH106" i="31"/>
  <c r="AG106" i="31"/>
  <c r="AF106" i="31"/>
  <c r="AE106" i="31"/>
  <c r="AD106" i="31"/>
  <c r="AC106" i="31"/>
  <c r="AB106" i="31"/>
  <c r="AA106" i="31"/>
  <c r="AH105" i="31"/>
  <c r="AG105" i="31"/>
  <c r="AF105" i="31"/>
  <c r="AE105" i="31"/>
  <c r="AD105" i="31"/>
  <c r="AC105" i="31"/>
  <c r="AB105" i="31"/>
  <c r="AA105" i="31"/>
  <c r="AH104" i="31"/>
  <c r="AG104" i="31"/>
  <c r="AF104" i="31"/>
  <c r="AE104" i="31"/>
  <c r="AD104" i="31"/>
  <c r="AC104" i="31"/>
  <c r="AB104" i="31"/>
  <c r="AA104" i="31"/>
  <c r="AH103" i="31"/>
  <c r="AG103" i="31"/>
  <c r="AF103" i="31"/>
  <c r="AE103" i="31"/>
  <c r="AD103" i="31"/>
  <c r="AC103" i="31"/>
  <c r="AB103" i="31"/>
  <c r="AA103" i="31"/>
  <c r="AH102" i="31"/>
  <c r="AG102" i="31"/>
  <c r="AF102" i="31"/>
  <c r="AE102" i="31"/>
  <c r="AD102" i="31"/>
  <c r="AC102" i="31"/>
  <c r="AB102" i="31"/>
  <c r="AA102" i="31"/>
  <c r="AH101" i="31"/>
  <c r="AG101" i="31"/>
  <c r="AF101" i="31"/>
  <c r="AE101" i="31"/>
  <c r="AD101" i="31"/>
  <c r="AC101" i="31"/>
  <c r="AB101" i="31"/>
  <c r="AA101" i="31"/>
  <c r="AH99" i="31"/>
  <c r="AG99" i="31"/>
  <c r="AF99" i="31"/>
  <c r="AE99" i="31"/>
  <c r="AD99" i="31"/>
  <c r="AC99" i="31"/>
  <c r="AB99" i="31"/>
  <c r="AA99" i="31"/>
  <c r="AH98" i="31"/>
  <c r="AG98" i="31"/>
  <c r="AF98" i="31"/>
  <c r="AE98" i="31"/>
  <c r="AD98" i="31"/>
  <c r="AC98" i="31"/>
  <c r="AB98" i="31"/>
  <c r="AA98" i="31"/>
  <c r="AH97" i="31"/>
  <c r="AG97" i="31"/>
  <c r="AF97" i="31"/>
  <c r="AE97" i="31"/>
  <c r="AD97" i="31"/>
  <c r="AC97" i="31"/>
  <c r="AB97" i="31"/>
  <c r="AA97" i="31"/>
  <c r="AH96" i="31"/>
  <c r="AG96" i="31"/>
  <c r="AF96" i="31"/>
  <c r="AE96" i="31"/>
  <c r="AD96" i="31"/>
  <c r="AC96" i="31"/>
  <c r="AB96" i="31"/>
  <c r="AA96" i="31"/>
  <c r="AH95" i="31"/>
  <c r="AG95" i="31"/>
  <c r="AF95" i="31"/>
  <c r="AE95" i="31"/>
  <c r="AD95" i="31"/>
  <c r="AC95" i="31"/>
  <c r="AB95" i="31"/>
  <c r="AA95" i="31"/>
  <c r="AH94" i="31"/>
  <c r="AG94" i="31"/>
  <c r="AF94" i="31"/>
  <c r="AE94" i="31"/>
  <c r="AD94" i="31"/>
  <c r="AC94" i="31"/>
  <c r="AB94" i="31"/>
  <c r="AA94" i="31"/>
  <c r="AH93" i="31"/>
  <c r="AG93" i="31"/>
  <c r="AF93" i="31"/>
  <c r="AE93" i="31"/>
  <c r="AD93" i="31"/>
  <c r="AC93" i="31"/>
  <c r="AB93" i="31"/>
  <c r="AA93" i="31"/>
  <c r="AH90" i="31"/>
  <c r="AG90" i="31"/>
  <c r="AF90" i="31"/>
  <c r="AE90" i="31"/>
  <c r="AD90" i="31"/>
  <c r="AC90" i="31"/>
  <c r="AB90" i="31"/>
  <c r="AA90" i="31"/>
  <c r="AH89" i="31"/>
  <c r="AG89" i="31"/>
  <c r="AF89" i="31"/>
  <c r="AE89" i="31"/>
  <c r="AD89" i="31"/>
  <c r="AC89" i="31"/>
  <c r="AB89" i="31"/>
  <c r="AA89" i="31"/>
  <c r="AH88" i="31"/>
  <c r="AG88" i="31"/>
  <c r="AF88" i="31"/>
  <c r="AE88" i="31"/>
  <c r="AD88" i="31"/>
  <c r="AC88" i="31"/>
  <c r="AB88" i="31"/>
  <c r="AA88" i="31"/>
  <c r="AH87" i="31"/>
  <c r="AG87" i="31"/>
  <c r="AF87" i="31"/>
  <c r="AE87" i="31"/>
  <c r="AD87" i="31"/>
  <c r="AC87" i="31"/>
  <c r="AB87" i="31"/>
  <c r="AA87" i="31"/>
  <c r="AH86" i="31"/>
  <c r="AG86" i="31"/>
  <c r="AF86" i="31"/>
  <c r="AE86" i="31"/>
  <c r="AD86" i="31"/>
  <c r="AC86" i="31"/>
  <c r="AB86" i="31"/>
  <c r="AA86" i="31"/>
  <c r="AH85" i="31"/>
  <c r="AG85" i="31"/>
  <c r="AF85" i="31"/>
  <c r="AE85" i="31"/>
  <c r="AD85" i="31"/>
  <c r="AC85" i="31"/>
  <c r="AB85" i="31"/>
  <c r="AA85" i="31"/>
  <c r="AH84" i="31"/>
  <c r="AG84" i="31"/>
  <c r="AF84" i="31"/>
  <c r="AE84" i="31"/>
  <c r="AD84" i="31"/>
  <c r="AC84" i="31"/>
  <c r="AB84" i="31"/>
  <c r="AA84" i="31"/>
  <c r="AH82" i="31"/>
  <c r="AG82" i="31"/>
  <c r="AF82" i="31"/>
  <c r="AE82" i="31"/>
  <c r="AD82" i="31"/>
  <c r="AC82" i="31"/>
  <c r="AB82" i="31"/>
  <c r="AA82" i="31"/>
  <c r="AH81" i="31"/>
  <c r="AG81" i="31"/>
  <c r="AF81" i="31"/>
  <c r="AE81" i="31"/>
  <c r="AD81" i="31"/>
  <c r="AC81" i="31"/>
  <c r="AB81" i="31"/>
  <c r="AA81" i="31"/>
  <c r="AH80" i="31"/>
  <c r="AG80" i="31"/>
  <c r="AF80" i="31"/>
  <c r="AE80" i="31"/>
  <c r="AD80" i="31"/>
  <c r="AC80" i="31"/>
  <c r="AB80" i="31"/>
  <c r="AA80" i="31"/>
  <c r="AH79" i="31"/>
  <c r="AG79" i="31"/>
  <c r="AF79" i="31"/>
  <c r="AE79" i="31"/>
  <c r="AD79" i="31"/>
  <c r="AC79" i="31"/>
  <c r="AB79" i="31"/>
  <c r="AA79" i="31"/>
  <c r="AH78" i="31"/>
  <c r="AG78" i="31"/>
  <c r="AF78" i="31"/>
  <c r="AE78" i="31"/>
  <c r="AD78" i="31"/>
  <c r="AC78" i="31"/>
  <c r="AB78" i="31"/>
  <c r="AA78" i="31"/>
  <c r="AH77" i="31"/>
  <c r="AG77" i="31"/>
  <c r="AF77" i="31"/>
  <c r="AE77" i="31"/>
  <c r="AD77" i="31"/>
  <c r="AC77" i="31"/>
  <c r="AB77" i="31"/>
  <c r="AA77" i="31"/>
  <c r="AH76" i="31"/>
  <c r="AG76" i="31"/>
  <c r="AF76" i="31"/>
  <c r="AE76" i="31"/>
  <c r="AD76" i="31"/>
  <c r="AC76" i="31"/>
  <c r="AB76" i="31"/>
  <c r="AA76" i="31"/>
  <c r="AH74" i="31"/>
  <c r="AG74" i="31"/>
  <c r="AF74" i="31"/>
  <c r="AE74" i="31"/>
  <c r="AD74" i="31"/>
  <c r="AC74" i="31"/>
  <c r="AB74" i="31"/>
  <c r="AA74" i="31"/>
  <c r="AH73" i="31"/>
  <c r="AG73" i="31"/>
  <c r="AF73" i="31"/>
  <c r="AE73" i="31"/>
  <c r="AD73" i="31"/>
  <c r="AC73" i="31"/>
  <c r="AB73" i="31"/>
  <c r="AA73" i="31"/>
  <c r="AH72" i="31"/>
  <c r="AG72" i="31"/>
  <c r="AF72" i="31"/>
  <c r="AE72" i="31"/>
  <c r="AD72" i="31"/>
  <c r="AC72" i="31"/>
  <c r="AB72" i="31"/>
  <c r="AA72" i="31"/>
  <c r="AH71" i="31"/>
  <c r="AG71" i="31"/>
  <c r="AF71" i="31"/>
  <c r="AE71" i="31"/>
  <c r="AD71" i="31"/>
  <c r="AC71" i="31"/>
  <c r="AB71" i="31"/>
  <c r="AA71" i="31"/>
  <c r="AH70" i="31"/>
  <c r="AG70" i="31"/>
  <c r="AF70" i="31"/>
  <c r="AE70" i="31"/>
  <c r="AD70" i="31"/>
  <c r="AC70" i="31"/>
  <c r="AB70" i="31"/>
  <c r="AA70" i="31"/>
  <c r="AH69" i="31"/>
  <c r="AG69" i="31"/>
  <c r="AF69" i="31"/>
  <c r="AE69" i="31"/>
  <c r="AD69" i="31"/>
  <c r="AC69" i="31"/>
  <c r="AB69" i="31"/>
  <c r="AA69" i="31"/>
  <c r="AH68" i="31"/>
  <c r="AG68" i="31"/>
  <c r="AF68" i="31"/>
  <c r="AE68" i="31"/>
  <c r="AD68" i="31"/>
  <c r="AC68" i="31"/>
  <c r="AB68" i="31"/>
  <c r="AA68" i="31"/>
  <c r="AH67" i="31"/>
  <c r="AG67" i="31"/>
  <c r="AF67" i="31"/>
  <c r="AE67" i="31"/>
  <c r="AD67" i="31"/>
  <c r="AC67" i="31"/>
  <c r="AB67" i="31"/>
  <c r="AA67" i="31"/>
  <c r="AH66" i="31"/>
  <c r="AG66" i="31"/>
  <c r="AF66" i="31"/>
  <c r="AE66" i="31"/>
  <c r="AD66" i="31"/>
  <c r="AC66" i="31"/>
  <c r="AB66" i="31"/>
  <c r="AA66" i="31"/>
  <c r="AH65" i="31"/>
  <c r="AG65" i="31"/>
  <c r="AF65" i="31"/>
  <c r="AE65" i="31"/>
  <c r="AD65" i="31"/>
  <c r="AC65" i="31"/>
  <c r="AB65" i="31"/>
  <c r="AA65" i="31"/>
  <c r="AH64" i="31"/>
  <c r="AG64" i="31"/>
  <c r="AF64" i="31"/>
  <c r="AE64" i="31"/>
  <c r="AD64" i="31"/>
  <c r="AC64" i="31"/>
  <c r="AB64" i="31"/>
  <c r="AA64" i="31"/>
  <c r="AH63" i="31"/>
  <c r="AG63" i="31"/>
  <c r="AF63" i="31"/>
  <c r="AE63" i="31"/>
  <c r="AD63" i="31"/>
  <c r="AC63" i="31"/>
  <c r="AB63" i="31"/>
  <c r="AA63" i="31"/>
  <c r="AH62" i="31"/>
  <c r="AG62" i="31"/>
  <c r="AF62" i="31"/>
  <c r="AE62" i="31"/>
  <c r="AD62" i="31"/>
  <c r="AC62" i="31"/>
  <c r="AB62" i="31"/>
  <c r="AA62" i="31"/>
  <c r="AH61" i="31"/>
  <c r="AG61" i="31"/>
  <c r="AF61" i="31"/>
  <c r="AE61" i="31"/>
  <c r="AD61" i="31"/>
  <c r="AC61" i="31"/>
  <c r="AB61" i="31"/>
  <c r="AA61" i="31"/>
  <c r="AH58" i="31"/>
  <c r="AG58" i="31"/>
  <c r="AF58" i="31"/>
  <c r="AE58" i="31"/>
  <c r="AD58" i="31"/>
  <c r="AC58" i="31"/>
  <c r="AB58" i="31"/>
  <c r="AA58" i="31"/>
  <c r="AH57" i="31"/>
  <c r="AG57" i="31"/>
  <c r="AF57" i="31"/>
  <c r="AE57" i="31"/>
  <c r="AD57" i="31"/>
  <c r="AC57" i="31"/>
  <c r="AB57" i="31"/>
  <c r="AA57" i="31"/>
  <c r="AH56" i="31"/>
  <c r="AG56" i="31"/>
  <c r="AF56" i="31"/>
  <c r="AE56" i="31"/>
  <c r="AD56" i="31"/>
  <c r="AC56" i="31"/>
  <c r="AB56" i="31"/>
  <c r="AA56" i="31"/>
  <c r="AH55" i="31"/>
  <c r="AG55" i="31"/>
  <c r="AF55" i="31"/>
  <c r="AE55" i="31"/>
  <c r="AD55" i="31"/>
  <c r="AC55" i="31"/>
  <c r="AB55" i="31"/>
  <c r="AA55" i="31"/>
  <c r="AH54" i="31"/>
  <c r="AG54" i="31"/>
  <c r="AF54" i="31"/>
  <c r="AE54" i="31"/>
  <c r="AD54" i="31"/>
  <c r="AC54" i="31"/>
  <c r="AB54" i="31"/>
  <c r="AA54" i="31"/>
  <c r="AH52" i="31"/>
  <c r="AG52" i="31"/>
  <c r="AF52" i="31"/>
  <c r="AE52" i="31"/>
  <c r="AD52" i="31"/>
  <c r="AC52" i="31"/>
  <c r="AB52" i="31"/>
  <c r="AA52" i="31"/>
  <c r="AH51" i="31"/>
  <c r="AG51" i="31"/>
  <c r="AF51" i="31"/>
  <c r="AE51" i="31"/>
  <c r="AD51" i="31"/>
  <c r="AC51" i="31"/>
  <c r="AB51" i="31"/>
  <c r="AA51" i="31"/>
  <c r="AH50" i="31"/>
  <c r="AG50" i="31"/>
  <c r="AF50" i="31"/>
  <c r="AE50" i="31"/>
  <c r="AD50" i="31"/>
  <c r="AC50" i="31"/>
  <c r="AB50" i="31"/>
  <c r="AA50" i="31"/>
  <c r="AH49" i="31"/>
  <c r="AG49" i="31"/>
  <c r="AF49" i="31"/>
  <c r="AE49" i="31"/>
  <c r="AD49" i="31"/>
  <c r="AC49" i="31"/>
  <c r="AB49" i="31"/>
  <c r="AA49" i="31"/>
  <c r="AH48" i="31"/>
  <c r="AG48" i="31"/>
  <c r="AF48" i="31"/>
  <c r="AE48" i="31"/>
  <c r="AD48" i="31"/>
  <c r="AC48" i="31"/>
  <c r="AB48" i="31"/>
  <c r="AA48" i="31"/>
  <c r="AH47" i="31"/>
  <c r="AG47" i="31"/>
  <c r="AF47" i="31"/>
  <c r="AE47" i="31"/>
  <c r="AD47" i="31"/>
  <c r="AC47" i="31"/>
  <c r="AB47" i="31"/>
  <c r="AA47" i="31"/>
  <c r="AH46" i="31"/>
  <c r="AG46" i="31"/>
  <c r="AF46" i="31"/>
  <c r="AE46" i="31"/>
  <c r="AD46" i="31"/>
  <c r="AC46" i="31"/>
  <c r="AB46" i="31"/>
  <c r="AA46" i="31"/>
  <c r="AH45" i="31"/>
  <c r="AG45" i="31"/>
  <c r="AF45" i="31"/>
  <c r="AE45" i="31"/>
  <c r="AD45" i="31"/>
  <c r="AC45" i="31"/>
  <c r="AB45" i="31"/>
  <c r="AA45" i="31"/>
  <c r="AH44" i="31"/>
  <c r="AG44" i="31"/>
  <c r="AF44" i="31"/>
  <c r="AE44" i="31"/>
  <c r="AD44" i="31"/>
  <c r="AC44" i="31"/>
  <c r="AB44" i="31"/>
  <c r="AA44" i="31"/>
  <c r="AH43" i="31"/>
  <c r="AG43" i="31"/>
  <c r="AF43" i="31"/>
  <c r="AE43" i="31"/>
  <c r="AD43" i="31"/>
  <c r="AC43" i="31"/>
  <c r="AB43" i="31"/>
  <c r="AA43" i="31"/>
  <c r="AH41" i="31"/>
  <c r="AG41" i="31"/>
  <c r="AF41" i="31"/>
  <c r="AE41" i="31"/>
  <c r="AD41" i="31"/>
  <c r="AC41" i="31"/>
  <c r="AB41" i="31"/>
  <c r="AA41" i="31"/>
  <c r="AH40" i="31"/>
  <c r="AG40" i="31"/>
  <c r="AF40" i="31"/>
  <c r="AE40" i="31"/>
  <c r="AD40" i="31"/>
  <c r="AC40" i="31"/>
  <c r="AB40" i="31"/>
  <c r="AA40" i="31"/>
  <c r="AH39" i="31"/>
  <c r="AG39" i="31"/>
  <c r="AF39" i="31"/>
  <c r="AE39" i="31"/>
  <c r="AD39" i="31"/>
  <c r="AC39" i="31"/>
  <c r="AB39" i="31"/>
  <c r="AA39" i="31"/>
  <c r="AH38" i="31"/>
  <c r="AG38" i="31"/>
  <c r="AF38" i="31"/>
  <c r="AE38" i="31"/>
  <c r="AD38" i="31"/>
  <c r="AC38" i="31"/>
  <c r="AB38" i="31"/>
  <c r="AA38" i="31"/>
  <c r="AH37" i="31"/>
  <c r="AG37" i="31"/>
  <c r="AF37" i="31"/>
  <c r="AE37" i="31"/>
  <c r="AD37" i="31"/>
  <c r="AC37" i="31"/>
  <c r="AB37" i="31"/>
  <c r="AA37" i="31"/>
  <c r="AH36" i="31"/>
  <c r="AG36" i="31"/>
  <c r="AF36" i="31"/>
  <c r="AE36" i="31"/>
  <c r="AD36" i="31"/>
  <c r="AC36" i="31"/>
  <c r="AB36" i="31"/>
  <c r="AA36" i="31"/>
  <c r="AH35" i="31"/>
  <c r="AG35" i="31"/>
  <c r="AF35" i="31"/>
  <c r="AE35" i="31"/>
  <c r="AD35" i="31"/>
  <c r="AC35" i="31"/>
  <c r="AB35" i="31"/>
  <c r="AA35" i="31"/>
  <c r="AH34" i="31"/>
  <c r="AG34" i="31"/>
  <c r="AF34" i="31"/>
  <c r="AE34" i="31"/>
  <c r="AD34" i="31"/>
  <c r="AC34" i="31"/>
  <c r="AB34" i="31"/>
  <c r="AA34" i="31"/>
  <c r="AH32" i="31"/>
  <c r="AG32" i="31"/>
  <c r="AF32" i="31"/>
  <c r="AE32" i="31"/>
  <c r="AD32" i="31"/>
  <c r="AC32" i="31"/>
  <c r="AB32" i="31"/>
  <c r="AA32" i="31"/>
  <c r="AH31" i="31"/>
  <c r="AG31" i="31"/>
  <c r="AF31" i="31"/>
  <c r="AE31" i="31"/>
  <c r="AD31" i="31"/>
  <c r="AC31" i="31"/>
  <c r="AB31" i="31"/>
  <c r="AA31" i="31"/>
  <c r="AH30" i="31"/>
  <c r="AG30" i="31"/>
  <c r="AF30" i="31"/>
  <c r="AE30" i="31"/>
  <c r="AD30" i="31"/>
  <c r="AC30" i="31"/>
  <c r="AB30" i="31"/>
  <c r="AA30" i="31"/>
  <c r="AH29" i="31"/>
  <c r="AG29" i="31"/>
  <c r="AF29" i="31"/>
  <c r="AE29" i="31"/>
  <c r="AD29" i="31"/>
  <c r="AC29" i="31"/>
  <c r="AB29" i="31"/>
  <c r="AA29" i="31"/>
  <c r="AH28" i="31"/>
  <c r="AG28" i="31"/>
  <c r="AF28" i="31"/>
  <c r="AE28" i="31"/>
  <c r="AD28" i="31"/>
  <c r="AC28" i="31"/>
  <c r="AB28" i="31"/>
  <c r="AA28" i="31"/>
  <c r="AH27" i="31"/>
  <c r="AG27" i="31"/>
  <c r="AF27" i="31"/>
  <c r="AE27" i="31"/>
  <c r="AD27" i="31"/>
  <c r="AC27" i="31"/>
  <c r="AB27" i="31"/>
  <c r="AA27" i="31"/>
  <c r="AH26" i="31"/>
  <c r="AG26" i="31"/>
  <c r="AF26" i="31"/>
  <c r="AE26" i="31"/>
  <c r="AD26" i="31"/>
  <c r="AC26" i="31"/>
  <c r="AB26" i="31"/>
  <c r="AA26" i="31"/>
  <c r="AH24" i="31"/>
  <c r="AG24" i="31"/>
  <c r="AF24" i="31"/>
  <c r="AE24" i="31"/>
  <c r="AD24" i="31"/>
  <c r="AC24" i="31"/>
  <c r="AB24" i="31"/>
  <c r="AA24" i="31"/>
  <c r="AH23" i="31"/>
  <c r="AG23" i="31"/>
  <c r="AF23" i="31"/>
  <c r="AE23" i="31"/>
  <c r="AD23" i="31"/>
  <c r="AC23" i="31"/>
  <c r="AB23" i="31"/>
  <c r="AA23" i="31"/>
  <c r="AH22" i="31"/>
  <c r="AG22" i="31"/>
  <c r="AF22" i="31"/>
  <c r="AE22" i="31"/>
  <c r="AD22" i="31"/>
  <c r="AC22" i="31"/>
  <c r="AB22" i="31"/>
  <c r="AA22" i="31"/>
  <c r="AH21" i="31"/>
  <c r="AG21" i="31"/>
  <c r="AF21" i="31"/>
  <c r="AE21" i="31"/>
  <c r="AD21" i="31"/>
  <c r="AC21" i="31"/>
  <c r="AB21" i="31"/>
  <c r="AA21" i="31"/>
  <c r="AH20" i="31"/>
  <c r="AG20" i="31"/>
  <c r="AF20" i="31"/>
  <c r="AE20" i="31"/>
  <c r="AD20" i="31"/>
  <c r="AC20" i="31"/>
  <c r="AB20" i="31"/>
  <c r="AA20" i="31"/>
  <c r="AH19" i="31"/>
  <c r="AG19" i="31"/>
  <c r="AF19" i="31"/>
  <c r="AE19" i="31"/>
  <c r="AD19" i="31"/>
  <c r="AC19" i="31"/>
  <c r="AB19" i="31"/>
  <c r="AA19" i="31"/>
  <c r="AH18" i="31"/>
  <c r="AG18" i="31"/>
  <c r="AF18" i="31"/>
  <c r="AE18" i="31"/>
  <c r="AD18" i="31"/>
  <c r="AC18" i="31"/>
  <c r="AB18" i="31"/>
  <c r="AA18" i="31"/>
  <c r="AH17" i="31"/>
  <c r="AG17" i="31"/>
  <c r="AF17" i="31"/>
  <c r="AE17" i="31"/>
  <c r="AD17" i="31"/>
  <c r="AC17" i="31"/>
  <c r="AB17" i="31"/>
  <c r="AA17" i="31"/>
  <c r="AH15" i="31"/>
  <c r="AG15" i="31"/>
  <c r="AF15" i="31"/>
  <c r="AE15" i="31"/>
  <c r="AD15" i="31"/>
  <c r="AC15" i="31"/>
  <c r="AB15" i="31"/>
  <c r="AA15" i="31"/>
  <c r="AH14" i="31"/>
  <c r="AG14" i="31"/>
  <c r="AF14" i="31"/>
  <c r="AE14" i="31"/>
  <c r="AD14" i="31"/>
  <c r="AC14" i="31"/>
  <c r="AB14" i="31"/>
  <c r="AA14" i="31"/>
  <c r="AH13" i="31"/>
  <c r="AG13" i="31"/>
  <c r="AF13" i="31"/>
  <c r="AE13" i="31"/>
  <c r="AD13" i="31"/>
  <c r="AC13" i="31"/>
  <c r="AB13" i="31"/>
  <c r="AA13" i="31"/>
  <c r="AH12" i="31"/>
  <c r="AG12" i="31"/>
  <c r="AF12" i="31"/>
  <c r="AE12" i="31"/>
  <c r="AD12" i="31"/>
  <c r="AC12" i="31"/>
  <c r="AB12" i="31"/>
  <c r="AA12" i="31"/>
  <c r="AH11" i="31"/>
  <c r="AG11" i="31"/>
  <c r="AF11" i="31"/>
  <c r="AE11" i="31"/>
  <c r="AD11" i="31"/>
  <c r="AC11" i="31"/>
  <c r="AB11" i="31"/>
  <c r="AA11" i="31"/>
  <c r="AH10" i="31"/>
  <c r="AG10" i="31"/>
  <c r="AF10" i="31"/>
  <c r="AE10" i="31"/>
  <c r="AD10" i="31"/>
  <c r="AC10" i="31"/>
  <c r="AB10" i="31"/>
  <c r="AA10" i="31"/>
  <c r="AH9" i="31"/>
  <c r="AG9" i="31"/>
  <c r="AF9" i="31"/>
  <c r="AE9" i="31"/>
  <c r="AD9" i="31"/>
  <c r="AC9" i="31"/>
  <c r="AB9" i="31"/>
  <c r="AA9" i="31"/>
  <c r="AH8" i="31"/>
  <c r="AG8" i="31"/>
  <c r="AF8" i="31"/>
  <c r="AE8" i="31"/>
  <c r="AD8" i="31"/>
  <c r="AC8" i="31"/>
  <c r="AB8" i="31"/>
  <c r="AA8" i="31"/>
  <c r="AH7" i="31"/>
  <c r="AG7" i="31"/>
  <c r="AF7" i="31"/>
  <c r="AE7" i="31"/>
  <c r="AD7" i="31"/>
  <c r="AC7" i="31"/>
  <c r="AB7" i="31"/>
  <c r="AA7" i="31"/>
  <c r="AH6" i="31"/>
  <c r="AG6" i="31"/>
  <c r="AF6" i="31"/>
  <c r="AE6" i="31"/>
  <c r="AD6" i="31"/>
  <c r="AC6" i="31"/>
  <c r="AB6" i="31"/>
  <c r="AA6" i="31"/>
  <c r="AH5" i="31"/>
  <c r="AG5" i="31"/>
  <c r="AF5" i="31"/>
  <c r="AE5" i="31"/>
  <c r="AD5" i="31"/>
  <c r="AC5" i="31"/>
  <c r="AB5" i="31"/>
  <c r="AA5" i="31"/>
  <c r="AH155" i="30"/>
  <c r="AG155" i="30"/>
  <c r="AF155" i="30"/>
  <c r="AE155" i="30"/>
  <c r="AD155" i="30"/>
  <c r="AC155" i="30"/>
  <c r="AB155" i="30"/>
  <c r="AA155" i="30"/>
  <c r="AH154" i="30"/>
  <c r="AG154" i="30"/>
  <c r="AF154" i="30"/>
  <c r="AE154" i="30"/>
  <c r="AD154" i="30"/>
  <c r="AC154" i="30"/>
  <c r="AB154" i="30"/>
  <c r="AA154" i="30"/>
  <c r="AH153" i="30"/>
  <c r="AG153" i="30"/>
  <c r="AF153" i="30"/>
  <c r="AE153" i="30"/>
  <c r="AD153" i="30"/>
  <c r="AC153" i="30"/>
  <c r="AB153" i="30"/>
  <c r="AA153" i="30"/>
  <c r="AH152" i="30"/>
  <c r="AG152" i="30"/>
  <c r="AF152" i="30"/>
  <c r="AE152" i="30"/>
  <c r="AD152" i="30"/>
  <c r="AC152" i="30"/>
  <c r="AB152" i="30"/>
  <c r="AA152" i="30"/>
  <c r="AH151" i="30"/>
  <c r="AG151" i="30"/>
  <c r="AF151" i="30"/>
  <c r="AE151" i="30"/>
  <c r="AD151" i="30"/>
  <c r="AC151" i="30"/>
  <c r="AB151" i="30"/>
  <c r="AA151" i="30"/>
  <c r="AH150" i="30"/>
  <c r="AG150" i="30"/>
  <c r="AF150" i="30"/>
  <c r="AE150" i="30"/>
  <c r="AD150" i="30"/>
  <c r="AC150" i="30"/>
  <c r="AB150" i="30"/>
  <c r="AA150" i="30"/>
  <c r="AH149" i="30"/>
  <c r="AG149" i="30"/>
  <c r="AF149" i="30"/>
  <c r="AE149" i="30"/>
  <c r="AD149" i="30"/>
  <c r="AC149" i="30"/>
  <c r="AB149" i="30"/>
  <c r="AA149" i="30"/>
  <c r="AH148" i="30"/>
  <c r="AG148" i="30"/>
  <c r="AF148" i="30"/>
  <c r="AE148" i="30"/>
  <c r="AD148" i="30"/>
  <c r="AC148" i="30"/>
  <c r="AB148" i="30"/>
  <c r="AA148" i="30"/>
  <c r="AH147" i="30"/>
  <c r="AG147" i="30"/>
  <c r="AF147" i="30"/>
  <c r="AE147" i="30"/>
  <c r="AD147" i="30"/>
  <c r="AC147" i="30"/>
  <c r="AB147" i="30"/>
  <c r="AA147" i="30"/>
  <c r="AH146" i="30"/>
  <c r="AG146" i="30"/>
  <c r="AF146" i="30"/>
  <c r="AE146" i="30"/>
  <c r="AD146" i="30"/>
  <c r="AC146" i="30"/>
  <c r="AB146" i="30"/>
  <c r="AA146" i="30"/>
  <c r="AH145" i="30"/>
  <c r="AG145" i="30"/>
  <c r="AF145" i="30"/>
  <c r="AE145" i="30"/>
  <c r="AD145" i="30"/>
  <c r="AC145" i="30"/>
  <c r="AB145" i="30"/>
  <c r="AA145" i="30"/>
  <c r="AH143" i="30"/>
  <c r="AG143" i="30"/>
  <c r="AF143" i="30"/>
  <c r="AE143" i="30"/>
  <c r="AD143" i="30"/>
  <c r="AC143" i="30"/>
  <c r="AB143" i="30"/>
  <c r="AA143" i="30"/>
  <c r="AH142" i="30"/>
  <c r="AG142" i="30"/>
  <c r="AF142" i="30"/>
  <c r="AE142" i="30"/>
  <c r="AD142" i="30"/>
  <c r="AC142" i="30"/>
  <c r="AB142" i="30"/>
  <c r="AA142" i="30"/>
  <c r="AH141" i="30"/>
  <c r="AG141" i="30"/>
  <c r="AF141" i="30"/>
  <c r="AE141" i="30"/>
  <c r="AD141" i="30"/>
  <c r="AC141" i="30"/>
  <c r="AB141" i="30"/>
  <c r="AA141" i="30"/>
  <c r="AH140" i="30"/>
  <c r="AG140" i="30"/>
  <c r="AF140" i="30"/>
  <c r="AE140" i="30"/>
  <c r="AD140" i="30"/>
  <c r="AC140" i="30"/>
  <c r="AB140" i="30"/>
  <c r="AA140" i="30"/>
  <c r="AH139" i="30"/>
  <c r="AG139" i="30"/>
  <c r="AF139" i="30"/>
  <c r="AE139" i="30"/>
  <c r="AD139" i="30"/>
  <c r="AC139" i="30"/>
  <c r="AB139" i="30"/>
  <c r="AA139" i="30"/>
  <c r="AH138" i="30"/>
  <c r="AG138" i="30"/>
  <c r="AF138" i="30"/>
  <c r="AE138" i="30"/>
  <c r="AD138" i="30"/>
  <c r="AC138" i="30"/>
  <c r="AB138" i="30"/>
  <c r="AA138" i="30"/>
  <c r="AH136" i="30"/>
  <c r="AG136" i="30"/>
  <c r="AF136" i="30"/>
  <c r="AE136" i="30"/>
  <c r="AD136" i="30"/>
  <c r="AC136" i="30"/>
  <c r="AB136" i="30"/>
  <c r="AA136" i="30"/>
  <c r="AH135" i="30"/>
  <c r="AG135" i="30"/>
  <c r="AF135" i="30"/>
  <c r="AE135" i="30"/>
  <c r="AD135" i="30"/>
  <c r="AC135" i="30"/>
  <c r="AB135" i="30"/>
  <c r="AA135" i="30"/>
  <c r="AH134" i="30"/>
  <c r="AG134" i="30"/>
  <c r="AF134" i="30"/>
  <c r="AE134" i="30"/>
  <c r="AD134" i="30"/>
  <c r="AC134" i="30"/>
  <c r="AB134" i="30"/>
  <c r="AA134" i="30"/>
  <c r="AH133" i="30"/>
  <c r="AG133" i="30"/>
  <c r="AF133" i="30"/>
  <c r="AE133" i="30"/>
  <c r="AD133" i="30"/>
  <c r="AC133" i="30"/>
  <c r="AB133" i="30"/>
  <c r="AA133" i="30"/>
  <c r="AH132" i="30"/>
  <c r="AG132" i="30"/>
  <c r="AF132" i="30"/>
  <c r="AE132" i="30"/>
  <c r="AD132" i="30"/>
  <c r="AC132" i="30"/>
  <c r="AB132" i="30"/>
  <c r="AA132" i="30"/>
  <c r="AH129" i="30"/>
  <c r="AG129" i="30"/>
  <c r="AF129" i="30"/>
  <c r="AE129" i="30"/>
  <c r="AD129" i="30"/>
  <c r="AC129" i="30"/>
  <c r="AB129" i="30"/>
  <c r="AA129" i="30"/>
  <c r="AH128" i="30"/>
  <c r="AG128" i="30"/>
  <c r="AF128" i="30"/>
  <c r="AE128" i="30"/>
  <c r="AD128" i="30"/>
  <c r="AC128" i="30"/>
  <c r="AB128" i="30"/>
  <c r="AA128" i="30"/>
  <c r="AH127" i="30"/>
  <c r="AG127" i="30"/>
  <c r="AF127" i="30"/>
  <c r="AE127" i="30"/>
  <c r="AD127" i="30"/>
  <c r="AC127" i="30"/>
  <c r="AB127" i="30"/>
  <c r="AA127" i="30"/>
  <c r="AH126" i="30"/>
  <c r="AG126" i="30"/>
  <c r="AF126" i="30"/>
  <c r="AE126" i="30"/>
  <c r="AD126" i="30"/>
  <c r="AC126" i="30"/>
  <c r="AB126" i="30"/>
  <c r="AA126" i="30"/>
  <c r="AH124" i="30"/>
  <c r="AG124" i="30"/>
  <c r="AF124" i="30"/>
  <c r="AE124" i="30"/>
  <c r="AD124" i="30"/>
  <c r="AC124" i="30"/>
  <c r="AB124" i="30"/>
  <c r="AA124" i="30"/>
  <c r="AH123" i="30"/>
  <c r="AG123" i="30"/>
  <c r="AF123" i="30"/>
  <c r="AE123" i="30"/>
  <c r="AD123" i="30"/>
  <c r="AC123" i="30"/>
  <c r="AB123" i="30"/>
  <c r="AA123" i="30"/>
  <c r="AH122" i="30"/>
  <c r="AG122" i="30"/>
  <c r="AF122" i="30"/>
  <c r="AE122" i="30"/>
  <c r="AD122" i="30"/>
  <c r="AC122" i="30"/>
  <c r="AB122" i="30"/>
  <c r="AA122" i="30"/>
  <c r="AH121" i="30"/>
  <c r="AG121" i="30"/>
  <c r="AF121" i="30"/>
  <c r="AE121" i="30"/>
  <c r="AD121" i="30"/>
  <c r="AC121" i="30"/>
  <c r="AB121" i="30"/>
  <c r="AA121" i="30"/>
  <c r="AH120" i="30"/>
  <c r="AG120" i="30"/>
  <c r="AF120" i="30"/>
  <c r="AE120" i="30"/>
  <c r="AD120" i="30"/>
  <c r="AC120" i="30"/>
  <c r="AB120" i="30"/>
  <c r="AA120" i="30"/>
  <c r="AH119" i="30"/>
  <c r="AG119" i="30"/>
  <c r="AF119" i="30"/>
  <c r="AE119" i="30"/>
  <c r="AD119" i="30"/>
  <c r="AC119" i="30"/>
  <c r="AB119" i="30"/>
  <c r="AA119" i="30"/>
  <c r="AH118" i="30"/>
  <c r="AG118" i="30"/>
  <c r="AF118" i="30"/>
  <c r="AE118" i="30"/>
  <c r="AD118" i="30"/>
  <c r="AC118" i="30"/>
  <c r="AB118" i="30"/>
  <c r="AA118" i="30"/>
  <c r="AH117" i="30"/>
  <c r="AG117" i="30"/>
  <c r="AF117" i="30"/>
  <c r="AE117" i="30"/>
  <c r="AD117" i="30"/>
  <c r="AC117" i="30"/>
  <c r="AB117" i="30"/>
  <c r="AA117" i="30"/>
  <c r="AH116" i="30"/>
  <c r="AG116" i="30"/>
  <c r="AF116" i="30"/>
  <c r="AE116" i="30"/>
  <c r="AD116" i="30"/>
  <c r="AC116" i="30"/>
  <c r="AB116" i="30"/>
  <c r="AA116" i="30"/>
  <c r="AH114" i="30"/>
  <c r="AG114" i="30"/>
  <c r="AF114" i="30"/>
  <c r="AE114" i="30"/>
  <c r="AD114" i="30"/>
  <c r="AC114" i="30"/>
  <c r="AB114" i="30"/>
  <c r="AA114" i="30"/>
  <c r="AH113" i="30"/>
  <c r="AG113" i="30"/>
  <c r="AF113" i="30"/>
  <c r="AE113" i="30"/>
  <c r="AD113" i="30"/>
  <c r="AC113" i="30"/>
  <c r="AB113" i="30"/>
  <c r="AA113" i="30"/>
  <c r="AH112" i="30"/>
  <c r="AG112" i="30"/>
  <c r="AF112" i="30"/>
  <c r="AE112" i="30"/>
  <c r="AD112" i="30"/>
  <c r="AC112" i="30"/>
  <c r="AB112" i="30"/>
  <c r="AA112" i="30"/>
  <c r="AH111" i="30"/>
  <c r="AG111" i="30"/>
  <c r="AF111" i="30"/>
  <c r="AE111" i="30"/>
  <c r="AD111" i="30"/>
  <c r="AC111" i="30"/>
  <c r="AB111" i="30"/>
  <c r="AA111" i="30"/>
  <c r="AH108" i="30"/>
  <c r="AG108" i="30"/>
  <c r="AF108" i="30"/>
  <c r="AE108" i="30"/>
  <c r="AD108" i="30"/>
  <c r="AC108" i="30"/>
  <c r="AB108" i="30"/>
  <c r="AA108" i="30"/>
  <c r="AH107" i="30"/>
  <c r="AG107" i="30"/>
  <c r="AF107" i="30"/>
  <c r="AE107" i="30"/>
  <c r="AD107" i="30"/>
  <c r="AC107" i="30"/>
  <c r="AB107" i="30"/>
  <c r="AA107" i="30"/>
  <c r="AH106" i="30"/>
  <c r="AG106" i="30"/>
  <c r="AF106" i="30"/>
  <c r="AE106" i="30"/>
  <c r="AD106" i="30"/>
  <c r="AC106" i="30"/>
  <c r="AB106" i="30"/>
  <c r="AA106" i="30"/>
  <c r="AH104" i="30"/>
  <c r="AG104" i="30"/>
  <c r="AF104" i="30"/>
  <c r="AE104" i="30"/>
  <c r="AD104" i="30"/>
  <c r="AC104" i="30"/>
  <c r="AB104" i="30"/>
  <c r="AA104" i="30"/>
  <c r="AH103" i="30"/>
  <c r="AG103" i="30"/>
  <c r="AF103" i="30"/>
  <c r="AE103" i="30"/>
  <c r="AD103" i="30"/>
  <c r="AC103" i="30"/>
  <c r="AB103" i="30"/>
  <c r="AA103" i="30"/>
  <c r="AH102" i="30"/>
  <c r="AG102" i="30"/>
  <c r="AF102" i="30"/>
  <c r="AE102" i="30"/>
  <c r="AD102" i="30"/>
  <c r="AC102" i="30"/>
  <c r="AB102" i="30"/>
  <c r="AA102" i="30"/>
  <c r="AH101" i="30"/>
  <c r="AG101" i="30"/>
  <c r="AF101" i="30"/>
  <c r="AE101" i="30"/>
  <c r="AD101" i="30"/>
  <c r="AC101" i="30"/>
  <c r="AB101" i="30"/>
  <c r="AA101" i="30"/>
  <c r="AH100" i="30"/>
  <c r="AG100" i="30"/>
  <c r="AF100" i="30"/>
  <c r="AE100" i="30"/>
  <c r="AD100" i="30"/>
  <c r="AC100" i="30"/>
  <c r="AB100" i="30"/>
  <c r="AA100" i="30"/>
  <c r="AH98" i="30"/>
  <c r="AG98" i="30"/>
  <c r="AF98" i="30"/>
  <c r="AE98" i="30"/>
  <c r="AD98" i="30"/>
  <c r="AC98" i="30"/>
  <c r="AB98" i="30"/>
  <c r="AA98" i="30"/>
  <c r="AH97" i="30"/>
  <c r="AG97" i="30"/>
  <c r="AF97" i="30"/>
  <c r="AE97" i="30"/>
  <c r="AD97" i="30"/>
  <c r="AC97" i="30"/>
  <c r="AB97" i="30"/>
  <c r="AA97" i="30"/>
  <c r="AH96" i="30"/>
  <c r="AG96" i="30"/>
  <c r="AF96" i="30"/>
  <c r="AE96" i="30"/>
  <c r="AD96" i="30"/>
  <c r="AC96" i="30"/>
  <c r="AB96" i="30"/>
  <c r="AA96" i="30"/>
  <c r="AH95" i="30"/>
  <c r="AG95" i="30"/>
  <c r="AF95" i="30"/>
  <c r="AE95" i="30"/>
  <c r="AD95" i="30"/>
  <c r="AC95" i="30"/>
  <c r="AB95" i="30"/>
  <c r="AA95" i="30"/>
  <c r="AH94" i="30"/>
  <c r="AG94" i="30"/>
  <c r="AF94" i="30"/>
  <c r="AE94" i="30"/>
  <c r="AD94" i="30"/>
  <c r="AC94" i="30"/>
  <c r="AB94" i="30"/>
  <c r="AA94" i="30"/>
  <c r="AH93" i="30"/>
  <c r="AG93" i="30"/>
  <c r="AF93" i="30"/>
  <c r="AE93" i="30"/>
  <c r="AD93" i="30"/>
  <c r="AC93" i="30"/>
  <c r="AB93" i="30"/>
  <c r="AA93" i="30"/>
  <c r="AH92" i="30"/>
  <c r="AG92" i="30"/>
  <c r="AF92" i="30"/>
  <c r="AE92" i="30"/>
  <c r="AD92" i="30"/>
  <c r="AC92" i="30"/>
  <c r="AB92" i="30"/>
  <c r="AA92" i="30"/>
  <c r="AH91" i="30"/>
  <c r="AG91" i="30"/>
  <c r="AF91" i="30"/>
  <c r="AE91" i="30"/>
  <c r="AD91" i="30"/>
  <c r="AC91" i="30"/>
  <c r="AB91" i="30"/>
  <c r="AA91" i="30"/>
  <c r="AH89" i="30"/>
  <c r="AG89" i="30"/>
  <c r="AF89" i="30"/>
  <c r="AE89" i="30"/>
  <c r="AD89" i="30"/>
  <c r="AC89" i="30"/>
  <c r="AB89" i="30"/>
  <c r="AA89" i="30"/>
  <c r="AH88" i="30"/>
  <c r="AG88" i="30"/>
  <c r="AF88" i="30"/>
  <c r="AE88" i="30"/>
  <c r="AD88" i="30"/>
  <c r="AC88" i="30"/>
  <c r="AB88" i="30"/>
  <c r="AA88" i="30"/>
  <c r="AH87" i="30"/>
  <c r="AG87" i="30"/>
  <c r="AF87" i="30"/>
  <c r="AE87" i="30"/>
  <c r="AD87" i="30"/>
  <c r="AC87" i="30"/>
  <c r="AB87" i="30"/>
  <c r="AA87" i="30"/>
  <c r="AH86" i="30"/>
  <c r="AG86" i="30"/>
  <c r="AF86" i="30"/>
  <c r="AE86" i="30"/>
  <c r="AD86" i="30"/>
  <c r="AC86" i="30"/>
  <c r="AB86" i="30"/>
  <c r="AA86" i="30"/>
  <c r="AH85" i="30"/>
  <c r="AG85" i="30"/>
  <c r="AF85" i="30"/>
  <c r="AE85" i="30"/>
  <c r="AD85" i="30"/>
  <c r="AC85" i="30"/>
  <c r="AB85" i="30"/>
  <c r="AA85" i="30"/>
  <c r="AH84" i="30"/>
  <c r="AG84" i="30"/>
  <c r="AF84" i="30"/>
  <c r="AE84" i="30"/>
  <c r="AD84" i="30"/>
  <c r="AC84" i="30"/>
  <c r="AB84" i="30"/>
  <c r="AA84" i="30"/>
  <c r="AH83" i="30"/>
  <c r="AG83" i="30"/>
  <c r="AF83" i="30"/>
  <c r="AE83" i="30"/>
  <c r="AD83" i="30"/>
  <c r="AC83" i="30"/>
  <c r="AB83" i="30"/>
  <c r="AA83" i="30"/>
  <c r="AH82" i="30"/>
  <c r="AG82" i="30"/>
  <c r="AF82" i="30"/>
  <c r="AE82" i="30"/>
  <c r="AD82" i="30"/>
  <c r="AC82" i="30"/>
  <c r="AB82" i="30"/>
  <c r="AA82" i="30"/>
  <c r="AH80" i="30"/>
  <c r="AG80" i="30"/>
  <c r="AF80" i="30"/>
  <c r="AE80" i="30"/>
  <c r="AD80" i="30"/>
  <c r="AC80" i="30"/>
  <c r="AB80" i="30"/>
  <c r="AA80" i="30"/>
  <c r="AH79" i="30"/>
  <c r="AG79" i="30"/>
  <c r="AF79" i="30"/>
  <c r="AE79" i="30"/>
  <c r="AD79" i="30"/>
  <c r="AC79" i="30"/>
  <c r="AB79" i="30"/>
  <c r="AA79" i="30"/>
  <c r="AH78" i="30"/>
  <c r="AG78" i="30"/>
  <c r="AF78" i="30"/>
  <c r="AE78" i="30"/>
  <c r="AD78" i="30"/>
  <c r="AC78" i="30"/>
  <c r="AB78" i="30"/>
  <c r="AA78" i="30"/>
  <c r="AH77" i="30"/>
  <c r="AG77" i="30"/>
  <c r="AF77" i="30"/>
  <c r="AE77" i="30"/>
  <c r="AD77" i="30"/>
  <c r="AC77" i="30"/>
  <c r="AB77" i="30"/>
  <c r="AA77" i="30"/>
  <c r="AH76" i="30"/>
  <c r="AG76" i="30"/>
  <c r="AF76" i="30"/>
  <c r="AE76" i="30"/>
  <c r="AD76" i="30"/>
  <c r="AC76" i="30"/>
  <c r="AB76" i="30"/>
  <c r="AA76" i="30"/>
  <c r="AH75" i="30"/>
  <c r="AG75" i="30"/>
  <c r="AF75" i="30"/>
  <c r="AE75" i="30"/>
  <c r="AD75" i="30"/>
  <c r="AC75" i="30"/>
  <c r="AB75" i="30"/>
  <c r="AA75" i="30"/>
  <c r="AH74" i="30"/>
  <c r="AG74" i="30"/>
  <c r="AF74" i="30"/>
  <c r="AE74" i="30"/>
  <c r="AD74" i="30"/>
  <c r="AC74" i="30"/>
  <c r="AB74" i="30"/>
  <c r="AA74" i="30"/>
  <c r="AH73" i="30"/>
  <c r="AG73" i="30"/>
  <c r="AF73" i="30"/>
  <c r="AE73" i="30"/>
  <c r="AD73" i="30"/>
  <c r="AC73" i="30"/>
  <c r="AB73" i="30"/>
  <c r="AA73" i="30"/>
  <c r="AH72" i="30"/>
  <c r="AG72" i="30"/>
  <c r="AF72" i="30"/>
  <c r="AE72" i="30"/>
  <c r="AD72" i="30"/>
  <c r="AC72" i="30"/>
  <c r="AB72" i="30"/>
  <c r="AA72" i="30"/>
  <c r="AH71" i="30"/>
  <c r="AG71" i="30"/>
  <c r="AF71" i="30"/>
  <c r="AE71" i="30"/>
  <c r="AD71" i="30"/>
  <c r="AC71" i="30"/>
  <c r="AB71" i="30"/>
  <c r="AA71" i="30"/>
  <c r="AH69" i="30"/>
  <c r="AG69" i="30"/>
  <c r="AF69" i="30"/>
  <c r="AE69" i="30"/>
  <c r="AD69" i="30"/>
  <c r="AC69" i="30"/>
  <c r="AB69" i="30"/>
  <c r="AA69" i="30"/>
  <c r="AH68" i="30"/>
  <c r="AG68" i="30"/>
  <c r="AF68" i="30"/>
  <c r="AE68" i="30"/>
  <c r="AD68" i="30"/>
  <c r="AC68" i="30"/>
  <c r="AB68" i="30"/>
  <c r="AA68" i="30"/>
  <c r="AH67" i="30"/>
  <c r="AG67" i="30"/>
  <c r="AF67" i="30"/>
  <c r="AE67" i="30"/>
  <c r="AD67" i="30"/>
  <c r="AC67" i="30"/>
  <c r="AB67" i="30"/>
  <c r="AA67" i="30"/>
  <c r="AH66" i="30"/>
  <c r="AG66" i="30"/>
  <c r="AF66" i="30"/>
  <c r="AE66" i="30"/>
  <c r="AD66" i="30"/>
  <c r="AC66" i="30"/>
  <c r="AB66" i="30"/>
  <c r="AA66" i="30"/>
  <c r="AH65" i="30"/>
  <c r="AG65" i="30"/>
  <c r="AF65" i="30"/>
  <c r="AE65" i="30"/>
  <c r="AD65" i="30"/>
  <c r="AC65" i="30"/>
  <c r="AB65" i="30"/>
  <c r="AA65" i="30"/>
  <c r="AH64" i="30"/>
  <c r="AG64" i="30"/>
  <c r="AF64" i="30"/>
  <c r="AE64" i="30"/>
  <c r="AD64" i="30"/>
  <c r="AC64" i="30"/>
  <c r="AB64" i="30"/>
  <c r="AA64" i="30"/>
  <c r="AH63" i="30"/>
  <c r="AG63" i="30"/>
  <c r="AF63" i="30"/>
  <c r="AE63" i="30"/>
  <c r="AD63" i="30"/>
  <c r="AC63" i="30"/>
  <c r="AB63" i="30"/>
  <c r="AA63" i="30"/>
  <c r="AH61" i="30"/>
  <c r="AG61" i="30"/>
  <c r="AF61" i="30"/>
  <c r="AE61" i="30"/>
  <c r="AD61" i="30"/>
  <c r="AC61" i="30"/>
  <c r="AB61" i="30"/>
  <c r="AA61" i="30"/>
  <c r="AH60" i="30"/>
  <c r="AG60" i="30"/>
  <c r="AF60" i="30"/>
  <c r="AE60" i="30"/>
  <c r="AD60" i="30"/>
  <c r="AC60" i="30"/>
  <c r="AB60" i="30"/>
  <c r="AA60" i="30"/>
  <c r="AH59" i="30"/>
  <c r="AG59" i="30"/>
  <c r="AF59" i="30"/>
  <c r="AE59" i="30"/>
  <c r="AD59" i="30"/>
  <c r="AC59" i="30"/>
  <c r="AB59" i="30"/>
  <c r="AA59" i="30"/>
  <c r="AH58" i="30"/>
  <c r="AG58" i="30"/>
  <c r="AF58" i="30"/>
  <c r="AE58" i="30"/>
  <c r="AD58" i="30"/>
  <c r="AC58" i="30"/>
  <c r="AB58" i="30"/>
  <c r="AA58" i="30"/>
  <c r="AH57" i="30"/>
  <c r="AG57" i="30"/>
  <c r="AF57" i="30"/>
  <c r="AE57" i="30"/>
  <c r="AD57" i="30"/>
  <c r="AC57" i="30"/>
  <c r="AB57" i="30"/>
  <c r="AA57" i="30"/>
  <c r="AH56" i="30"/>
  <c r="AG56" i="30"/>
  <c r="AF56" i="30"/>
  <c r="AE56" i="30"/>
  <c r="AD56" i="30"/>
  <c r="AC56" i="30"/>
  <c r="AB56" i="30"/>
  <c r="AA56" i="30"/>
  <c r="AH55" i="30"/>
  <c r="AG55" i="30"/>
  <c r="AF55" i="30"/>
  <c r="AE55" i="30"/>
  <c r="AD55" i="30"/>
  <c r="AC55" i="30"/>
  <c r="AB55" i="30"/>
  <c r="AA55" i="30"/>
  <c r="AH54" i="30"/>
  <c r="AG54" i="30"/>
  <c r="AF54" i="30"/>
  <c r="AE54" i="30"/>
  <c r="AD54" i="30"/>
  <c r="AC54" i="30"/>
  <c r="AB54" i="30"/>
  <c r="AA54" i="30"/>
  <c r="AH53" i="30"/>
  <c r="AG53" i="30"/>
  <c r="AF53" i="30"/>
  <c r="AE53" i="30"/>
  <c r="AD53" i="30"/>
  <c r="AC53" i="30"/>
  <c r="AB53" i="30"/>
  <c r="AA53" i="30"/>
  <c r="AH52" i="30"/>
  <c r="AG52" i="30"/>
  <c r="AF52" i="30"/>
  <c r="AE52" i="30"/>
  <c r="AD52" i="30"/>
  <c r="AC52" i="30"/>
  <c r="AB52" i="30"/>
  <c r="AA52" i="30"/>
  <c r="AH50" i="30"/>
  <c r="AG50" i="30"/>
  <c r="AF50" i="30"/>
  <c r="AE50" i="30"/>
  <c r="AD50" i="30"/>
  <c r="AC50" i="30"/>
  <c r="AB50" i="30"/>
  <c r="AA50" i="30"/>
  <c r="AH49" i="30"/>
  <c r="AG49" i="30"/>
  <c r="AF49" i="30"/>
  <c r="AE49" i="30"/>
  <c r="AD49" i="30"/>
  <c r="AC49" i="30"/>
  <c r="AB49" i="30"/>
  <c r="AA49" i="30"/>
  <c r="AH48" i="30"/>
  <c r="AG48" i="30"/>
  <c r="AF48" i="30"/>
  <c r="AE48" i="30"/>
  <c r="AD48" i="30"/>
  <c r="AC48" i="30"/>
  <c r="AB48" i="30"/>
  <c r="AA48" i="30"/>
  <c r="AH47" i="30"/>
  <c r="AG47" i="30"/>
  <c r="AF47" i="30"/>
  <c r="AE47" i="30"/>
  <c r="AD47" i="30"/>
  <c r="AC47" i="30"/>
  <c r="AB47" i="30"/>
  <c r="AA47" i="30"/>
  <c r="AH46" i="30"/>
  <c r="AG46" i="30"/>
  <c r="AF46" i="30"/>
  <c r="AE46" i="30"/>
  <c r="AD46" i="30"/>
  <c r="AC46" i="30"/>
  <c r="AB46" i="30"/>
  <c r="AA46" i="30"/>
  <c r="AH45" i="30"/>
  <c r="AG45" i="30"/>
  <c r="AF45" i="30"/>
  <c r="AE45" i="30"/>
  <c r="AD45" i="30"/>
  <c r="AC45" i="30"/>
  <c r="AB45" i="30"/>
  <c r="AA45" i="30"/>
  <c r="AH44" i="30"/>
  <c r="AG44" i="30"/>
  <c r="AF44" i="30"/>
  <c r="AE44" i="30"/>
  <c r="AD44" i="30"/>
  <c r="AC44" i="30"/>
  <c r="AB44" i="30"/>
  <c r="AA44" i="30"/>
  <c r="AH41" i="30"/>
  <c r="AG41" i="30"/>
  <c r="AF41" i="30"/>
  <c r="AE41" i="30"/>
  <c r="AD41" i="30"/>
  <c r="AC41" i="30"/>
  <c r="AB41" i="30"/>
  <c r="AA41" i="30"/>
  <c r="AH40" i="30"/>
  <c r="AG40" i="30"/>
  <c r="AF40" i="30"/>
  <c r="AE40" i="30"/>
  <c r="AD40" i="30"/>
  <c r="AC40" i="30"/>
  <c r="AB40" i="30"/>
  <c r="AA40" i="30"/>
  <c r="AH39" i="30"/>
  <c r="AG39" i="30"/>
  <c r="AF39" i="30"/>
  <c r="AE39" i="30"/>
  <c r="AD39" i="30"/>
  <c r="AC39" i="30"/>
  <c r="AB39" i="30"/>
  <c r="AA39" i="30"/>
  <c r="AH38" i="30"/>
  <c r="AG38" i="30"/>
  <c r="AF38" i="30"/>
  <c r="AE38" i="30"/>
  <c r="AD38" i="30"/>
  <c r="AC38" i="30"/>
  <c r="AB38" i="30"/>
  <c r="AA38" i="30"/>
  <c r="AH37" i="30"/>
  <c r="AG37" i="30"/>
  <c r="AF37" i="30"/>
  <c r="AE37" i="30"/>
  <c r="AD37" i="30"/>
  <c r="AC37" i="30"/>
  <c r="AB37" i="30"/>
  <c r="AA37" i="30"/>
  <c r="AH35" i="30"/>
  <c r="AG35" i="30"/>
  <c r="AF35" i="30"/>
  <c r="AE35" i="30"/>
  <c r="AD35" i="30"/>
  <c r="AC35" i="30"/>
  <c r="AB35" i="30"/>
  <c r="AA35" i="30"/>
  <c r="AH34" i="30"/>
  <c r="AG34" i="30"/>
  <c r="AF34" i="30"/>
  <c r="AE34" i="30"/>
  <c r="AD34" i="30"/>
  <c r="AC34" i="30"/>
  <c r="AB34" i="30"/>
  <c r="AA34" i="30"/>
  <c r="AH33" i="30"/>
  <c r="AG33" i="30"/>
  <c r="AF33" i="30"/>
  <c r="AE33" i="30"/>
  <c r="AD33" i="30"/>
  <c r="AC33" i="30"/>
  <c r="AB33" i="30"/>
  <c r="AA33" i="30"/>
  <c r="AH31" i="30"/>
  <c r="AG31" i="30"/>
  <c r="AF31" i="30"/>
  <c r="AE31" i="30"/>
  <c r="AD31" i="30"/>
  <c r="AC31" i="30"/>
  <c r="AB31" i="30"/>
  <c r="AA31" i="30"/>
  <c r="AH30" i="30"/>
  <c r="AG30" i="30"/>
  <c r="AF30" i="30"/>
  <c r="AE30" i="30"/>
  <c r="AD30" i="30"/>
  <c r="AC30" i="30"/>
  <c r="AB30" i="30"/>
  <c r="AA30" i="30"/>
  <c r="AH29" i="30"/>
  <c r="AG29" i="30"/>
  <c r="AF29" i="30"/>
  <c r="AE29" i="30"/>
  <c r="AD29" i="30"/>
  <c r="AC29" i="30"/>
  <c r="AB29" i="30"/>
  <c r="AA29" i="30"/>
  <c r="AH28" i="30"/>
  <c r="AG28" i="30"/>
  <c r="AF28" i="30"/>
  <c r="AE28" i="30"/>
  <c r="AD28" i="30"/>
  <c r="AC28" i="30"/>
  <c r="AB28" i="30"/>
  <c r="AA28" i="30"/>
  <c r="AH27" i="30"/>
  <c r="AG27" i="30"/>
  <c r="AF27" i="30"/>
  <c r="AE27" i="30"/>
  <c r="AD27" i="30"/>
  <c r="AC27" i="30"/>
  <c r="AB27" i="30"/>
  <c r="AA27" i="30"/>
  <c r="AH26" i="30"/>
  <c r="AG26" i="30"/>
  <c r="AF26" i="30"/>
  <c r="AE26" i="30"/>
  <c r="AD26" i="30"/>
  <c r="AC26" i="30"/>
  <c r="AB26" i="30"/>
  <c r="AA26" i="30"/>
  <c r="AH24" i="30"/>
  <c r="AG24" i="30"/>
  <c r="AF24" i="30"/>
  <c r="AE24" i="30"/>
  <c r="AD24" i="30"/>
  <c r="AC24" i="30"/>
  <c r="AB24" i="30"/>
  <c r="AA24" i="30"/>
  <c r="AH23" i="30"/>
  <c r="AG23" i="30"/>
  <c r="AF23" i="30"/>
  <c r="AE23" i="30"/>
  <c r="AD23" i="30"/>
  <c r="AC23" i="30"/>
  <c r="AB23" i="30"/>
  <c r="AA23" i="30"/>
  <c r="AH22" i="30"/>
  <c r="AG22" i="30"/>
  <c r="AF22" i="30"/>
  <c r="AE22" i="30"/>
  <c r="AD22" i="30"/>
  <c r="AC22" i="30"/>
  <c r="AB22" i="30"/>
  <c r="AA22" i="30"/>
  <c r="AH21" i="30"/>
  <c r="AG21" i="30"/>
  <c r="AF21" i="30"/>
  <c r="AE21" i="30"/>
  <c r="AD21" i="30"/>
  <c r="AC21" i="30"/>
  <c r="AB21" i="30"/>
  <c r="AA21" i="30"/>
  <c r="AH20" i="30"/>
  <c r="AG20" i="30"/>
  <c r="AF20" i="30"/>
  <c r="AE20" i="30"/>
  <c r="AD20" i="30"/>
  <c r="AC20" i="30"/>
  <c r="AB20" i="30"/>
  <c r="AA20" i="30"/>
  <c r="AH19" i="30"/>
  <c r="AG19" i="30"/>
  <c r="AF19" i="30"/>
  <c r="AE19" i="30"/>
  <c r="AD19" i="30"/>
  <c r="AC19" i="30"/>
  <c r="AB19" i="30"/>
  <c r="AA19" i="30"/>
  <c r="AH18" i="30"/>
  <c r="AG18" i="30"/>
  <c r="AF18" i="30"/>
  <c r="AE18" i="30"/>
  <c r="AD18" i="30"/>
  <c r="AC18" i="30"/>
  <c r="AB18" i="30"/>
  <c r="AA18" i="30"/>
  <c r="AH16" i="30"/>
  <c r="AG16" i="30"/>
  <c r="AF16" i="30"/>
  <c r="AE16" i="30"/>
  <c r="AD16" i="30"/>
  <c r="AC16" i="30"/>
  <c r="AB16" i="30"/>
  <c r="AA16" i="30"/>
  <c r="AH15" i="30"/>
  <c r="AG15" i="30"/>
  <c r="AF15" i="30"/>
  <c r="AE15" i="30"/>
  <c r="AD15" i="30"/>
  <c r="AC15" i="30"/>
  <c r="AB15" i="30"/>
  <c r="AA15" i="30"/>
  <c r="AH14" i="30"/>
  <c r="AG14" i="30"/>
  <c r="AF14" i="30"/>
  <c r="AE14" i="30"/>
  <c r="AD14" i="30"/>
  <c r="AC14" i="30"/>
  <c r="AB14" i="30"/>
  <c r="AA14" i="30"/>
  <c r="AH13" i="30"/>
  <c r="AG13" i="30"/>
  <c r="AF13" i="30"/>
  <c r="AE13" i="30"/>
  <c r="AD13" i="30"/>
  <c r="AC13" i="30"/>
  <c r="AB13" i="30"/>
  <c r="AA13" i="30"/>
  <c r="AH12" i="30"/>
  <c r="AG12" i="30"/>
  <c r="AF12" i="30"/>
  <c r="AE12" i="30"/>
  <c r="AD12" i="30"/>
  <c r="AC12" i="30"/>
  <c r="AB12" i="30"/>
  <c r="AA12" i="30"/>
  <c r="AH10" i="30"/>
  <c r="AG10" i="30"/>
  <c r="AF10" i="30"/>
  <c r="AE10" i="30"/>
  <c r="AD10" i="30"/>
  <c r="AC10" i="30"/>
  <c r="AB10" i="30"/>
  <c r="AA10" i="30"/>
  <c r="AH9" i="30"/>
  <c r="AG9" i="30"/>
  <c r="AF9" i="30"/>
  <c r="AE9" i="30"/>
  <c r="AD9" i="30"/>
  <c r="AC9" i="30"/>
  <c r="AB9" i="30"/>
  <c r="AA9" i="30"/>
  <c r="AH8" i="30"/>
  <c r="AG8" i="30"/>
  <c r="AF8" i="30"/>
  <c r="AE8" i="30"/>
  <c r="AD8" i="30"/>
  <c r="AC8" i="30"/>
  <c r="AB8" i="30"/>
  <c r="AA8" i="30"/>
  <c r="AH7" i="30"/>
  <c r="AG7" i="30"/>
  <c r="AF7" i="30"/>
  <c r="AE7" i="30"/>
  <c r="AD7" i="30"/>
  <c r="AC7" i="30"/>
  <c r="AB7" i="30"/>
  <c r="AA7" i="30"/>
  <c r="AH6" i="30"/>
  <c r="AG6" i="30"/>
  <c r="AF6" i="30"/>
  <c r="AE6" i="30"/>
  <c r="AD6" i="30"/>
  <c r="AC6" i="30"/>
  <c r="AB6" i="30"/>
  <c r="AA6" i="30"/>
  <c r="AH5" i="30"/>
  <c r="AG5" i="30"/>
  <c r="AF5" i="30"/>
  <c r="AE5" i="30"/>
  <c r="AD5" i="30"/>
  <c r="AC5" i="30"/>
  <c r="AB5" i="30"/>
  <c r="AA5" i="30"/>
  <c r="F156" i="51"/>
  <c r="F149" i="51"/>
  <c r="F140" i="51"/>
  <c r="F132" i="51"/>
  <c r="F115" i="51"/>
  <c r="F105" i="51"/>
  <c r="F83" i="51"/>
  <c r="F65" i="51"/>
  <c r="F42" i="51"/>
  <c r="F28" i="51"/>
  <c r="F18" i="51"/>
  <c r="F8" i="51"/>
  <c r="F4" i="51"/>
  <c r="K205" i="19"/>
  <c r="K230" i="19"/>
  <c r="K221" i="19"/>
  <c r="C248" i="54"/>
  <c r="B248" i="54"/>
  <c r="C99" i="54"/>
  <c r="B99" i="54"/>
  <c r="D247" i="53"/>
  <c r="C249" i="53"/>
  <c r="B249" i="53"/>
  <c r="C248" i="53"/>
  <c r="B248" i="53"/>
  <c r="B99" i="53"/>
  <c r="C99" i="53"/>
  <c r="G45" i="14"/>
  <c r="G44" i="14"/>
  <c r="G43" i="14"/>
  <c r="G42" i="14"/>
  <c r="G36" i="14"/>
  <c r="G35" i="14"/>
  <c r="G34" i="14"/>
  <c r="G33" i="14"/>
  <c r="G31" i="14"/>
  <c r="G27" i="14"/>
  <c r="T71" i="55" s="1"/>
  <c r="G26" i="14"/>
  <c r="G25" i="14"/>
  <c r="G23" i="14"/>
  <c r="G19" i="14"/>
  <c r="G16" i="14"/>
  <c r="G10" i="14"/>
  <c r="O134" i="55"/>
  <c r="O133" i="55"/>
  <c r="O132" i="55"/>
  <c r="O131" i="55"/>
  <c r="O130" i="55"/>
  <c r="O129" i="55"/>
  <c r="O128" i="55"/>
  <c r="O127" i="55"/>
  <c r="O126" i="55"/>
  <c r="T6" i="55"/>
  <c r="AQ6" i="55"/>
  <c r="AT6" i="55" s="1"/>
  <c r="AR6" i="55"/>
  <c r="AS6" i="55"/>
  <c r="AQ7" i="55"/>
  <c r="AR7" i="55"/>
  <c r="AS7" i="55"/>
  <c r="T8" i="55"/>
  <c r="AQ8" i="55"/>
  <c r="AR8" i="55"/>
  <c r="AT8" i="55" s="1"/>
  <c r="AS8" i="55"/>
  <c r="T9" i="55"/>
  <c r="AQ9" i="55"/>
  <c r="AR9" i="55"/>
  <c r="AS9" i="55"/>
  <c r="AQ10" i="55"/>
  <c r="AR10" i="55"/>
  <c r="AS10" i="55"/>
  <c r="AQ11" i="55"/>
  <c r="AR11" i="55"/>
  <c r="AS11" i="55"/>
  <c r="T12" i="55"/>
  <c r="AQ12" i="55"/>
  <c r="AR12" i="55"/>
  <c r="AS12" i="55"/>
  <c r="T13" i="55"/>
  <c r="AQ13" i="55"/>
  <c r="AR13" i="55"/>
  <c r="AS13" i="55"/>
  <c r="T14" i="55"/>
  <c r="AQ14" i="55"/>
  <c r="AR14" i="55"/>
  <c r="AS14" i="55"/>
  <c r="T15" i="55"/>
  <c r="AQ15" i="55"/>
  <c r="AR15" i="55"/>
  <c r="AS15" i="55"/>
  <c r="T16" i="55"/>
  <c r="AQ16" i="55"/>
  <c r="AR16" i="55"/>
  <c r="AS16" i="55"/>
  <c r="T17" i="55"/>
  <c r="AQ17" i="55"/>
  <c r="AR17" i="55"/>
  <c r="AS17" i="55"/>
  <c r="T18" i="55"/>
  <c r="AQ18" i="55"/>
  <c r="AR18" i="55"/>
  <c r="AS18" i="55"/>
  <c r="T19" i="55"/>
  <c r="AQ19" i="55"/>
  <c r="AR19" i="55"/>
  <c r="AS19" i="55"/>
  <c r="T20" i="55"/>
  <c r="AQ20" i="55"/>
  <c r="AR20" i="55"/>
  <c r="AS20" i="55"/>
  <c r="T21" i="55"/>
  <c r="AQ21" i="55"/>
  <c r="AR21" i="55"/>
  <c r="AS21" i="55"/>
  <c r="T22" i="55"/>
  <c r="AQ22" i="55"/>
  <c r="AR22" i="55"/>
  <c r="AS22" i="55"/>
  <c r="T23" i="55"/>
  <c r="AQ23" i="55"/>
  <c r="AR23" i="55"/>
  <c r="AS23" i="55"/>
  <c r="T24" i="55"/>
  <c r="AQ24" i="55"/>
  <c r="AR24" i="55"/>
  <c r="AS24" i="55"/>
  <c r="T25" i="55"/>
  <c r="AQ25" i="55"/>
  <c r="AR25" i="55"/>
  <c r="AS25" i="55"/>
  <c r="T26" i="55"/>
  <c r="AQ26" i="55"/>
  <c r="AR26" i="55"/>
  <c r="AS26" i="55"/>
  <c r="AQ27" i="55"/>
  <c r="AR27" i="55"/>
  <c r="AS27" i="55"/>
  <c r="T28" i="55"/>
  <c r="AQ28" i="55"/>
  <c r="AT28" i="55" s="1"/>
  <c r="AR28" i="55"/>
  <c r="AS28" i="55"/>
  <c r="AQ29" i="55"/>
  <c r="AR29" i="55"/>
  <c r="AS29" i="55"/>
  <c r="AQ30" i="55"/>
  <c r="AR30" i="55"/>
  <c r="AS30" i="55"/>
  <c r="AQ31" i="55"/>
  <c r="AR31" i="55"/>
  <c r="AS31" i="55"/>
  <c r="T32" i="55"/>
  <c r="AQ32" i="55"/>
  <c r="AR32" i="55"/>
  <c r="AS32" i="55"/>
  <c r="T33" i="55"/>
  <c r="AQ33" i="55"/>
  <c r="AR33" i="55"/>
  <c r="AS33" i="55"/>
  <c r="T34" i="55"/>
  <c r="AQ34" i="55"/>
  <c r="AR34" i="55"/>
  <c r="AS34" i="55"/>
  <c r="T35" i="55"/>
  <c r="AQ35" i="55"/>
  <c r="AR35" i="55"/>
  <c r="AS35" i="55"/>
  <c r="T36" i="55"/>
  <c r="AQ36" i="55"/>
  <c r="AR36" i="55"/>
  <c r="AS36" i="55"/>
  <c r="T37" i="55"/>
  <c r="AQ37" i="55"/>
  <c r="AR37" i="55"/>
  <c r="AS37" i="55"/>
  <c r="T38" i="55"/>
  <c r="AQ38" i="55"/>
  <c r="AR38" i="55"/>
  <c r="AS38" i="55"/>
  <c r="T39" i="55"/>
  <c r="AQ39" i="55"/>
  <c r="AR39" i="55"/>
  <c r="AS39" i="55"/>
  <c r="T40" i="55"/>
  <c r="AQ40" i="55"/>
  <c r="AR40" i="55"/>
  <c r="AS40" i="55"/>
  <c r="T41" i="55"/>
  <c r="AQ41" i="55"/>
  <c r="AR41" i="55"/>
  <c r="AS41" i="55"/>
  <c r="AQ42" i="55"/>
  <c r="AT42" i="55" s="1"/>
  <c r="AR42" i="55"/>
  <c r="AS42" i="55"/>
  <c r="T43" i="55"/>
  <c r="AQ43" i="55"/>
  <c r="AT43" i="55" s="1"/>
  <c r="AR43" i="55"/>
  <c r="AS43" i="55"/>
  <c r="AQ44" i="55"/>
  <c r="AR44" i="55"/>
  <c r="AT44" i="55" s="1"/>
  <c r="AS44" i="55"/>
  <c r="AQ45" i="55"/>
  <c r="AR45" i="55"/>
  <c r="AS45" i="55"/>
  <c r="AV46" i="55"/>
  <c r="AM46" i="55"/>
  <c r="AN46" i="55"/>
  <c r="AO46" i="55"/>
  <c r="AP46" i="55"/>
  <c r="AU46" i="55"/>
  <c r="T47" i="55"/>
  <c r="AQ47" i="55"/>
  <c r="AR47" i="55"/>
  <c r="AS47" i="55"/>
  <c r="AQ48" i="55"/>
  <c r="AR48" i="55"/>
  <c r="AS48" i="55"/>
  <c r="AQ49" i="55"/>
  <c r="AR49" i="55"/>
  <c r="AS49" i="55"/>
  <c r="AQ50" i="55"/>
  <c r="AR50" i="55"/>
  <c r="AS50" i="55"/>
  <c r="AQ51" i="55"/>
  <c r="AT51" i="55" s="1"/>
  <c r="AR51" i="55"/>
  <c r="AS51" i="55"/>
  <c r="AQ52" i="55"/>
  <c r="AR52" i="55"/>
  <c r="AS52" i="55"/>
  <c r="AQ53" i="55"/>
  <c r="AR53" i="55"/>
  <c r="AS53" i="55"/>
  <c r="T54" i="55"/>
  <c r="AQ54" i="55"/>
  <c r="AR54" i="55"/>
  <c r="AS54" i="55"/>
  <c r="T55" i="55"/>
  <c r="AQ55" i="55"/>
  <c r="AR55" i="55"/>
  <c r="AS55" i="55"/>
  <c r="T56" i="55"/>
  <c r="AQ56" i="55"/>
  <c r="AR56" i="55"/>
  <c r="AS56" i="55"/>
  <c r="AQ57" i="55"/>
  <c r="AR57" i="55"/>
  <c r="AS57" i="55"/>
  <c r="T58" i="55"/>
  <c r="AQ58" i="55"/>
  <c r="AR58" i="55"/>
  <c r="AS58" i="55"/>
  <c r="T59" i="55"/>
  <c r="AQ59" i="55"/>
  <c r="AR59" i="55"/>
  <c r="AS59" i="55"/>
  <c r="AQ60" i="55"/>
  <c r="AR60" i="55"/>
  <c r="AS60" i="55"/>
  <c r="T61" i="55"/>
  <c r="AQ61" i="55"/>
  <c r="AT61" i="55" s="1"/>
  <c r="AR61" i="55"/>
  <c r="AS61" i="55"/>
  <c r="T62" i="55"/>
  <c r="AQ62" i="55"/>
  <c r="AT62" i="55" s="1"/>
  <c r="AR62" i="55"/>
  <c r="AS62" i="55"/>
  <c r="T63" i="55"/>
  <c r="AQ63" i="55"/>
  <c r="AT63" i="55" s="1"/>
  <c r="AR63" i="55"/>
  <c r="AS63" i="55"/>
  <c r="AQ64" i="55"/>
  <c r="AR64" i="55"/>
  <c r="AS64" i="55"/>
  <c r="T65" i="55"/>
  <c r="AQ65" i="55"/>
  <c r="AR65" i="55"/>
  <c r="AS65" i="55"/>
  <c r="T66" i="55"/>
  <c r="AQ66" i="55"/>
  <c r="AR66" i="55"/>
  <c r="AT66" i="55" s="1"/>
  <c r="AS66" i="55"/>
  <c r="T67" i="55"/>
  <c r="AQ67" i="55"/>
  <c r="AR67" i="55"/>
  <c r="AT67" i="55" s="1"/>
  <c r="AS67" i="55"/>
  <c r="AQ68" i="55"/>
  <c r="AR68" i="55"/>
  <c r="AS68" i="55"/>
  <c r="AQ69" i="55"/>
  <c r="AR69" i="55"/>
  <c r="AS69" i="55"/>
  <c r="AM70" i="55"/>
  <c r="AN70" i="55"/>
  <c r="AO70" i="55"/>
  <c r="AP70" i="55"/>
  <c r="AU70" i="55"/>
  <c r="AV70" i="55"/>
  <c r="AQ71" i="55"/>
  <c r="AR71" i="55"/>
  <c r="AS71" i="55"/>
  <c r="AQ72" i="55"/>
  <c r="AR72" i="55"/>
  <c r="AS72" i="55"/>
  <c r="AQ73" i="55"/>
  <c r="AT73" i="55" s="1"/>
  <c r="AR73" i="55"/>
  <c r="AS73" i="55"/>
  <c r="AQ74" i="55"/>
  <c r="AR74" i="55"/>
  <c r="AT74" i="55" s="1"/>
  <c r="AS74" i="55"/>
  <c r="T75" i="55"/>
  <c r="AQ75" i="55"/>
  <c r="AR75" i="55"/>
  <c r="AS75" i="55"/>
  <c r="T76" i="55"/>
  <c r="AQ76" i="55"/>
  <c r="AR76" i="55"/>
  <c r="AS76" i="55"/>
  <c r="T77" i="55"/>
  <c r="AQ77" i="55"/>
  <c r="AR77" i="55"/>
  <c r="AS77" i="55"/>
  <c r="T78" i="55"/>
  <c r="AQ78" i="55"/>
  <c r="AR78" i="55"/>
  <c r="AS78" i="55"/>
  <c r="AQ79" i="55"/>
  <c r="AR79" i="55"/>
  <c r="AS79" i="55"/>
  <c r="AQ80" i="55"/>
  <c r="AR80" i="55"/>
  <c r="AS80" i="55"/>
  <c r="AQ81" i="55"/>
  <c r="AT81" i="55" s="1"/>
  <c r="AR81" i="55"/>
  <c r="AS81" i="55"/>
  <c r="AQ82" i="55"/>
  <c r="AR82" i="55"/>
  <c r="AS82" i="55"/>
  <c r="AQ83" i="55"/>
  <c r="AR83" i="55"/>
  <c r="AS83" i="55"/>
  <c r="T84" i="55"/>
  <c r="AQ84" i="55"/>
  <c r="AR84" i="55"/>
  <c r="AS84" i="55"/>
  <c r="T85" i="55"/>
  <c r="AQ85" i="55"/>
  <c r="AR85" i="55"/>
  <c r="AS85" i="55"/>
  <c r="T86" i="55"/>
  <c r="AQ86" i="55"/>
  <c r="AR86" i="55"/>
  <c r="AS86" i="55"/>
  <c r="AQ87" i="55"/>
  <c r="AR87" i="55"/>
  <c r="AS87" i="55"/>
  <c r="T88" i="55"/>
  <c r="AQ88" i="55"/>
  <c r="AR88" i="55"/>
  <c r="AS88" i="55"/>
  <c r="T89" i="55"/>
  <c r="AQ89" i="55"/>
  <c r="AR89" i="55"/>
  <c r="AS89" i="55"/>
  <c r="T90" i="55"/>
  <c r="AQ90" i="55"/>
  <c r="AR90" i="55"/>
  <c r="AS90" i="55"/>
  <c r="AQ91" i="55"/>
  <c r="AT91" i="55" s="1"/>
  <c r="AR91" i="55"/>
  <c r="AS91" i="55"/>
  <c r="AQ92" i="55"/>
  <c r="AR92" i="55"/>
  <c r="AS92" i="55"/>
  <c r="T93" i="55"/>
  <c r="AQ93" i="55"/>
  <c r="AR93" i="55"/>
  <c r="AS93" i="55"/>
  <c r="AQ94" i="55"/>
  <c r="AR94" i="55"/>
  <c r="AS94" i="55"/>
  <c r="AQ95" i="55"/>
  <c r="AR95" i="55"/>
  <c r="AS95" i="55"/>
  <c r="AQ96" i="55"/>
  <c r="AT96" i="55" s="1"/>
  <c r="AR96" i="55"/>
  <c r="AS96" i="55"/>
  <c r="AV97" i="55"/>
  <c r="AM97" i="55"/>
  <c r="AN97" i="55"/>
  <c r="AO97" i="55"/>
  <c r="AP97" i="55"/>
  <c r="AU97" i="55"/>
  <c r="T98" i="55"/>
  <c r="AQ98" i="55"/>
  <c r="AR98" i="55"/>
  <c r="AS98" i="55"/>
  <c r="T99" i="55"/>
  <c r="AQ99" i="55"/>
  <c r="AR99" i="55"/>
  <c r="AS99" i="55"/>
  <c r="T100" i="55"/>
  <c r="AQ100" i="55"/>
  <c r="AR100" i="55"/>
  <c r="AS100" i="55"/>
  <c r="T101" i="55"/>
  <c r="AQ101" i="55"/>
  <c r="AR101" i="55"/>
  <c r="AS101" i="55"/>
  <c r="T102" i="55"/>
  <c r="AQ102" i="55"/>
  <c r="AR102" i="55"/>
  <c r="AS102" i="55"/>
  <c r="T103" i="55"/>
  <c r="AQ103" i="55"/>
  <c r="AR103" i="55"/>
  <c r="AS103" i="55"/>
  <c r="T104" i="55"/>
  <c r="AQ104" i="55"/>
  <c r="AR104" i="55"/>
  <c r="AS104" i="55"/>
  <c r="T105" i="55"/>
  <c r="AQ105" i="55"/>
  <c r="AR105" i="55"/>
  <c r="AS105" i="55"/>
  <c r="T106" i="55"/>
  <c r="AQ106" i="55"/>
  <c r="AR106" i="55"/>
  <c r="AS106" i="55"/>
  <c r="T107" i="55"/>
  <c r="AQ107" i="55"/>
  <c r="AR107" i="55"/>
  <c r="AS107" i="55"/>
  <c r="AV108" i="55"/>
  <c r="AM108" i="55"/>
  <c r="AN108" i="55"/>
  <c r="AO108" i="55"/>
  <c r="AP108" i="55"/>
  <c r="AU108" i="55"/>
  <c r="T109" i="55"/>
  <c r="AQ109" i="55"/>
  <c r="AT109" i="55" s="1"/>
  <c r="AR109" i="55"/>
  <c r="AS109" i="55"/>
  <c r="AQ110" i="55"/>
  <c r="AR110" i="55"/>
  <c r="AT110" i="55" s="1"/>
  <c r="AS110" i="55"/>
  <c r="T111" i="55"/>
  <c r="AQ111" i="55"/>
  <c r="AR111" i="55"/>
  <c r="AT111" i="55" s="1"/>
  <c r="AS111" i="55"/>
  <c r="T112" i="55"/>
  <c r="AQ112" i="55"/>
  <c r="AR112" i="55"/>
  <c r="AS112" i="55"/>
  <c r="T113" i="55"/>
  <c r="AQ113" i="55"/>
  <c r="AR113" i="55"/>
  <c r="AS113" i="55"/>
  <c r="T114" i="55"/>
  <c r="AQ114" i="55"/>
  <c r="AR114" i="55"/>
  <c r="AS114" i="55"/>
  <c r="AV115" i="55"/>
  <c r="AM115" i="55"/>
  <c r="AN115" i="55"/>
  <c r="AO115" i="55"/>
  <c r="AP115" i="55"/>
  <c r="AU115" i="55"/>
  <c r="T116" i="55"/>
  <c r="AQ116" i="55"/>
  <c r="AR116" i="55"/>
  <c r="AS116" i="55"/>
  <c r="AQ117" i="55"/>
  <c r="AT117" i="55" s="1"/>
  <c r="AR117" i="55"/>
  <c r="AS117" i="55"/>
  <c r="T118" i="55"/>
  <c r="AQ118" i="55"/>
  <c r="AT118" i="55" s="1"/>
  <c r="AR118" i="55"/>
  <c r="AS118" i="55"/>
  <c r="T119" i="55"/>
  <c r="AQ119" i="55"/>
  <c r="AT119" i="55" s="1"/>
  <c r="AR119" i="55"/>
  <c r="AS119" i="55"/>
  <c r="AQ120" i="55"/>
  <c r="AR120" i="55"/>
  <c r="AS120" i="55"/>
  <c r="AQ121" i="55"/>
  <c r="AR121" i="55"/>
  <c r="AS121" i="55"/>
  <c r="AQ122" i="55"/>
  <c r="AR122" i="55"/>
  <c r="AS122" i="55"/>
  <c r="T123" i="55"/>
  <c r="AQ123" i="55"/>
  <c r="AR123" i="55"/>
  <c r="AS123" i="55"/>
  <c r="T124" i="55"/>
  <c r="AQ124" i="55"/>
  <c r="AR124" i="55"/>
  <c r="AS124" i="55"/>
  <c r="AV125" i="55"/>
  <c r="AM125" i="55"/>
  <c r="AN125" i="55"/>
  <c r="AO125" i="55"/>
  <c r="AP125" i="55"/>
  <c r="AU125" i="55"/>
  <c r="T126" i="55"/>
  <c r="AQ126" i="55"/>
  <c r="AR126" i="55"/>
  <c r="AS126" i="55"/>
  <c r="T127" i="55"/>
  <c r="AQ127" i="55"/>
  <c r="AR127" i="55"/>
  <c r="AT127" i="55" s="1"/>
  <c r="AS127" i="55"/>
  <c r="T128" i="55"/>
  <c r="AQ128" i="55"/>
  <c r="AR128" i="55"/>
  <c r="AS128" i="55"/>
  <c r="AQ129" i="55"/>
  <c r="AR129" i="55"/>
  <c r="AS129" i="55"/>
  <c r="T130" i="55"/>
  <c r="AQ130" i="55"/>
  <c r="AR130" i="55"/>
  <c r="AS130" i="55"/>
  <c r="T131" i="55"/>
  <c r="AQ131" i="55"/>
  <c r="AR131" i="55"/>
  <c r="AS131" i="55"/>
  <c r="T132" i="55"/>
  <c r="AQ132" i="55"/>
  <c r="AR132" i="55"/>
  <c r="AS132" i="55"/>
  <c r="AQ133" i="55"/>
  <c r="AR133" i="55"/>
  <c r="AS133" i="55"/>
  <c r="AQ134" i="55"/>
  <c r="AT134" i="55" s="1"/>
  <c r="AR134" i="55"/>
  <c r="AS134" i="55"/>
  <c r="T135" i="55"/>
  <c r="AQ135" i="55"/>
  <c r="AT135" i="55" s="1"/>
  <c r="AR135" i="55"/>
  <c r="AS135" i="55"/>
  <c r="T136" i="55"/>
  <c r="AQ136" i="55"/>
  <c r="AT136" i="55" s="1"/>
  <c r="AR136" i="55"/>
  <c r="AS136" i="55"/>
  <c r="AQ137" i="55"/>
  <c r="AR137" i="55"/>
  <c r="AS137" i="55"/>
  <c r="T138" i="55"/>
  <c r="AQ138" i="55"/>
  <c r="AR138" i="55"/>
  <c r="AT138" i="55" s="1"/>
  <c r="AS138" i="55"/>
  <c r="T139" i="55"/>
  <c r="AQ139" i="55"/>
  <c r="AR139" i="55"/>
  <c r="AT139" i="55" s="1"/>
  <c r="AS139" i="55"/>
  <c r="AV140" i="55"/>
  <c r="AM140" i="55"/>
  <c r="AN140" i="55"/>
  <c r="AO140" i="55"/>
  <c r="AP140" i="55"/>
  <c r="AU140" i="55"/>
  <c r="T141" i="55"/>
  <c r="AQ141" i="55"/>
  <c r="AR141" i="55"/>
  <c r="AS141" i="55"/>
  <c r="T142" i="55"/>
  <c r="AQ142" i="55"/>
  <c r="AR142" i="55"/>
  <c r="AS142" i="55"/>
  <c r="T143" i="55"/>
  <c r="AQ143" i="55"/>
  <c r="AR143" i="55"/>
  <c r="AS143" i="55"/>
  <c r="T144" i="55"/>
  <c r="AQ144" i="55"/>
  <c r="AR144" i="55"/>
  <c r="AS144" i="55"/>
  <c r="T145" i="55"/>
  <c r="AQ145" i="55"/>
  <c r="AR145" i="55"/>
  <c r="AS145" i="55"/>
  <c r="T146" i="55"/>
  <c r="AQ146" i="55"/>
  <c r="AR146" i="55"/>
  <c r="AS146" i="55"/>
  <c r="T147" i="55"/>
  <c r="AQ147" i="55"/>
  <c r="AR147" i="55"/>
  <c r="AS147" i="55"/>
  <c r="T148" i="55"/>
  <c r="AQ148" i="55"/>
  <c r="AR148" i="55"/>
  <c r="AS148" i="55"/>
  <c r="T149" i="55"/>
  <c r="AQ149" i="55"/>
  <c r="AR149" i="55"/>
  <c r="AS149" i="55"/>
  <c r="T150" i="55"/>
  <c r="AQ150" i="55"/>
  <c r="AR150" i="55"/>
  <c r="AS150" i="55"/>
  <c r="AV151" i="55"/>
  <c r="AM151" i="55"/>
  <c r="AN151" i="55"/>
  <c r="AO151" i="55"/>
  <c r="AP151" i="55"/>
  <c r="AU151" i="55"/>
  <c r="AQ152" i="55"/>
  <c r="AR152" i="55"/>
  <c r="AS152" i="55"/>
  <c r="AQ153" i="55"/>
  <c r="AR153" i="55"/>
  <c r="AS153" i="55"/>
  <c r="T154" i="55"/>
  <c r="AQ154" i="55"/>
  <c r="AR154" i="55"/>
  <c r="AS154" i="55"/>
  <c r="AQ155" i="55"/>
  <c r="AT155" i="55" s="1"/>
  <c r="AR155" i="55"/>
  <c r="AS155" i="55"/>
  <c r="T156" i="55"/>
  <c r="AQ156" i="55"/>
  <c r="AT156" i="55" s="1"/>
  <c r="AR156" i="55"/>
  <c r="AS156" i="55"/>
  <c r="T157" i="55"/>
  <c r="AQ157" i="55"/>
  <c r="AT157" i="55" s="1"/>
  <c r="AR157" i="55"/>
  <c r="AS157" i="55"/>
  <c r="T158" i="55"/>
  <c r="AQ158" i="55"/>
  <c r="AT158" i="55" s="1"/>
  <c r="AR158" i="55"/>
  <c r="AS158" i="55"/>
  <c r="T159" i="55"/>
  <c r="AQ159" i="55"/>
  <c r="AT159" i="55" s="1"/>
  <c r="AR159" i="55"/>
  <c r="AS159" i="55"/>
  <c r="T160" i="55"/>
  <c r="AQ160" i="55"/>
  <c r="AT160" i="55" s="1"/>
  <c r="AR160" i="55"/>
  <c r="AS160" i="55"/>
  <c r="AQ161" i="55"/>
  <c r="AR161" i="55"/>
  <c r="AS161" i="55"/>
  <c r="T162" i="55"/>
  <c r="AQ162" i="55"/>
  <c r="AR162" i="55"/>
  <c r="AT162" i="55" s="1"/>
  <c r="AS162" i="55"/>
  <c r="T163" i="55"/>
  <c r="AQ163" i="55"/>
  <c r="AR163" i="55"/>
  <c r="AS163" i="55"/>
  <c r="T164" i="55"/>
  <c r="AQ164" i="55"/>
  <c r="AR164" i="55"/>
  <c r="AS164" i="55"/>
  <c r="T165" i="55"/>
  <c r="AQ165" i="55"/>
  <c r="AR165" i="55"/>
  <c r="AT165" i="55" s="1"/>
  <c r="AS165" i="55"/>
  <c r="T166" i="55"/>
  <c r="AQ166" i="55"/>
  <c r="AR166" i="55"/>
  <c r="AS166" i="55"/>
  <c r="T167" i="55"/>
  <c r="AQ167" i="55"/>
  <c r="AR167" i="55"/>
  <c r="AS167" i="55"/>
  <c r="AQ168" i="55"/>
  <c r="AR168" i="55"/>
  <c r="AS168" i="55"/>
  <c r="AQ169" i="55"/>
  <c r="AR169" i="55"/>
  <c r="AS169" i="55"/>
  <c r="AV170" i="55"/>
  <c r="AO170" i="55"/>
  <c r="AU170" i="55"/>
  <c r="AQ171" i="55"/>
  <c r="AR171" i="55"/>
  <c r="AS171" i="55"/>
  <c r="AQ172" i="55"/>
  <c r="AR172" i="55"/>
  <c r="AS172" i="55"/>
  <c r="AQ173" i="55"/>
  <c r="AR173" i="55"/>
  <c r="AS173" i="55"/>
  <c r="AQ174" i="55"/>
  <c r="AT174" i="55" s="1"/>
  <c r="AR174" i="55"/>
  <c r="AS174" i="55"/>
  <c r="AQ175" i="55"/>
  <c r="AR175" i="55"/>
  <c r="AS175" i="55"/>
  <c r="T176" i="55"/>
  <c r="AQ176" i="55"/>
  <c r="AR176" i="55"/>
  <c r="AS176" i="55"/>
  <c r="T177" i="55"/>
  <c r="AQ177" i="55"/>
  <c r="AR177" i="55"/>
  <c r="AS177" i="55"/>
  <c r="T178" i="55"/>
  <c r="AQ178" i="55"/>
  <c r="AR178" i="55"/>
  <c r="AS178" i="55"/>
  <c r="T179" i="55"/>
  <c r="AQ179" i="55"/>
  <c r="AR179" i="55"/>
  <c r="AS179" i="55"/>
  <c r="T180" i="55"/>
  <c r="AQ180" i="55"/>
  <c r="AR180" i="55"/>
  <c r="AS180" i="55"/>
  <c r="T181" i="55"/>
  <c r="AQ181" i="55"/>
  <c r="AR181" i="55"/>
  <c r="AS181" i="55"/>
  <c r="T182" i="55"/>
  <c r="AQ182" i="55"/>
  <c r="AR182" i="55"/>
  <c r="AS182" i="55"/>
  <c r="AQ183" i="55"/>
  <c r="AR183" i="55"/>
  <c r="AS183" i="55"/>
  <c r="T184" i="55"/>
  <c r="AQ184" i="55"/>
  <c r="AR184" i="55"/>
  <c r="AS184" i="55"/>
  <c r="AQ185" i="55"/>
  <c r="AR185" i="55"/>
  <c r="AS185" i="55"/>
  <c r="AQ186" i="55"/>
  <c r="AT186" i="55" s="1"/>
  <c r="AR186" i="55"/>
  <c r="AS186" i="55"/>
  <c r="T187" i="55"/>
  <c r="AQ187" i="55"/>
  <c r="AT187" i="55" s="1"/>
  <c r="AR187" i="55"/>
  <c r="AS187" i="55"/>
  <c r="T188" i="55"/>
  <c r="AQ188" i="55"/>
  <c r="AT188" i="55" s="1"/>
  <c r="AR188" i="55"/>
  <c r="AS188" i="55"/>
  <c r="T189" i="55"/>
  <c r="AQ189" i="55"/>
  <c r="AT189" i="55" s="1"/>
  <c r="AR189" i="55"/>
  <c r="AS189" i="55"/>
  <c r="AQ190" i="55"/>
  <c r="AR190" i="55"/>
  <c r="AS190" i="55"/>
  <c r="T191" i="55"/>
  <c r="AQ191" i="55"/>
  <c r="AR191" i="55"/>
  <c r="AS191" i="55"/>
  <c r="T192" i="55"/>
  <c r="AQ192" i="55"/>
  <c r="AR192" i="55"/>
  <c r="AS192" i="55"/>
  <c r="T193" i="55"/>
  <c r="AQ193" i="55"/>
  <c r="AR193" i="55"/>
  <c r="AS193" i="55"/>
  <c r="AV194" i="55"/>
  <c r="AN194" i="55"/>
  <c r="AU194" i="55"/>
  <c r="T195" i="55"/>
  <c r="AQ195" i="55"/>
  <c r="AR195" i="55"/>
  <c r="AS195" i="55"/>
  <c r="T196" i="55"/>
  <c r="AQ196" i="55"/>
  <c r="AR196" i="55"/>
  <c r="AS196" i="55"/>
  <c r="T197" i="55"/>
  <c r="AQ197" i="55"/>
  <c r="AR197" i="55"/>
  <c r="AS197" i="55"/>
  <c r="T198" i="55"/>
  <c r="AQ198" i="55"/>
  <c r="AR198" i="55"/>
  <c r="AS198" i="55"/>
  <c r="T199" i="55"/>
  <c r="AQ199" i="55"/>
  <c r="AR199" i="55"/>
  <c r="AS199" i="55"/>
  <c r="T200" i="55"/>
  <c r="AQ200" i="55"/>
  <c r="AR200" i="55"/>
  <c r="AS200" i="55"/>
  <c r="T201" i="55"/>
  <c r="AQ201" i="55"/>
  <c r="AR201" i="55"/>
  <c r="AS201" i="55"/>
  <c r="T202" i="55"/>
  <c r="AQ202" i="55"/>
  <c r="AR202" i="55"/>
  <c r="AS202" i="55"/>
  <c r="T203" i="55"/>
  <c r="AQ203" i="55"/>
  <c r="AR203" i="55"/>
  <c r="AS203" i="55"/>
  <c r="T204" i="55"/>
  <c r="AQ204" i="55"/>
  <c r="AR204" i="55"/>
  <c r="AS204" i="55"/>
  <c r="T205" i="55"/>
  <c r="AQ205" i="55"/>
  <c r="AR205" i="55"/>
  <c r="AS205" i="55"/>
  <c r="T206" i="55"/>
  <c r="AQ206" i="55"/>
  <c r="AR206" i="55"/>
  <c r="AS206" i="55"/>
  <c r="T207" i="55"/>
  <c r="AQ207" i="55"/>
  <c r="AR207" i="55"/>
  <c r="AS207" i="55"/>
  <c r="AQ208" i="55"/>
  <c r="AR208" i="55"/>
  <c r="AS208" i="55"/>
  <c r="T209" i="55"/>
  <c r="AQ209" i="55"/>
  <c r="AR209" i="55"/>
  <c r="AS209" i="55"/>
  <c r="T210" i="55"/>
  <c r="AQ210" i="55"/>
  <c r="AR210" i="55"/>
  <c r="AS210" i="55"/>
  <c r="AV211" i="55"/>
  <c r="AM211" i="55"/>
  <c r="AN211" i="55"/>
  <c r="AO211" i="55"/>
  <c r="AP211" i="55"/>
  <c r="AU211" i="55"/>
  <c r="T212" i="55"/>
  <c r="AQ212" i="55"/>
  <c r="AR212" i="55"/>
  <c r="AS212" i="55"/>
  <c r="T213" i="55"/>
  <c r="AQ213" i="55"/>
  <c r="AR213" i="55"/>
  <c r="AS213" i="55"/>
  <c r="T214" i="55"/>
  <c r="AQ214" i="55"/>
  <c r="AR214" i="55"/>
  <c r="AS214" i="55"/>
  <c r="T215" i="55"/>
  <c r="AQ215" i="55"/>
  <c r="AR215" i="55"/>
  <c r="AT215" i="55" s="1"/>
  <c r="AS215" i="55"/>
  <c r="T216" i="55"/>
  <c r="AQ216" i="55"/>
  <c r="AR216" i="55"/>
  <c r="AS216" i="55"/>
  <c r="T217" i="55"/>
  <c r="AQ217" i="55"/>
  <c r="AR217" i="55"/>
  <c r="AS217" i="55"/>
  <c r="T218" i="55"/>
  <c r="AQ218" i="55"/>
  <c r="AR218" i="55"/>
  <c r="AS218" i="55"/>
  <c r="T219" i="55"/>
  <c r="AQ219" i="55"/>
  <c r="AR219" i="55"/>
  <c r="AT219" i="55" s="1"/>
  <c r="AS219" i="55"/>
  <c r="T220" i="55"/>
  <c r="AQ220" i="55"/>
  <c r="AR220" i="55"/>
  <c r="AS220" i="55"/>
  <c r="AV221" i="55"/>
  <c r="AM221" i="55"/>
  <c r="AN221" i="55"/>
  <c r="AO221" i="55"/>
  <c r="AP221" i="55"/>
  <c r="AU221" i="55"/>
  <c r="T222" i="55"/>
  <c r="AQ222" i="55"/>
  <c r="AR222" i="55"/>
  <c r="AS222" i="55"/>
  <c r="T223" i="55"/>
  <c r="AQ223" i="55"/>
  <c r="AR223" i="55"/>
  <c r="AS223" i="55"/>
  <c r="T224" i="55"/>
  <c r="AQ224" i="55"/>
  <c r="AR224" i="55"/>
  <c r="AS224" i="55"/>
  <c r="T225" i="55"/>
  <c r="AQ225" i="55"/>
  <c r="AR225" i="55"/>
  <c r="AS225" i="55"/>
  <c r="T226" i="55"/>
  <c r="AQ226" i="55"/>
  <c r="AR226" i="55"/>
  <c r="AS226" i="55"/>
  <c r="T227" i="55"/>
  <c r="AQ227" i="55"/>
  <c r="AR227" i="55"/>
  <c r="AS227" i="55"/>
  <c r="T228" i="55"/>
  <c r="AQ228" i="55"/>
  <c r="AR228" i="55"/>
  <c r="AS228" i="55"/>
  <c r="AV229" i="55"/>
  <c r="AM229" i="55"/>
  <c r="AN229" i="55"/>
  <c r="AO229" i="55"/>
  <c r="AP229" i="55"/>
  <c r="AU229" i="55"/>
  <c r="T230" i="55"/>
  <c r="AQ230" i="55"/>
  <c r="AR230" i="55"/>
  <c r="AS230" i="55"/>
  <c r="T231" i="55"/>
  <c r="AQ231" i="55"/>
  <c r="AR231" i="55"/>
  <c r="AS231" i="55"/>
  <c r="T232" i="55"/>
  <c r="AQ232" i="55"/>
  <c r="AR232" i="55"/>
  <c r="AS232" i="55"/>
  <c r="T233" i="55"/>
  <c r="AQ233" i="55"/>
  <c r="AR233" i="55"/>
  <c r="AS233" i="55"/>
  <c r="T234" i="55"/>
  <c r="AQ234" i="55"/>
  <c r="AR234" i="55"/>
  <c r="AS234" i="55"/>
  <c r="T235" i="55"/>
  <c r="AQ235" i="55"/>
  <c r="AR235" i="55"/>
  <c r="AS235" i="55"/>
  <c r="T236" i="55"/>
  <c r="AQ236" i="55"/>
  <c r="AR236" i="55"/>
  <c r="AS236" i="55"/>
  <c r="T237" i="55"/>
  <c r="AQ237" i="55"/>
  <c r="AR237" i="55"/>
  <c r="AS237" i="55"/>
  <c r="T238" i="55"/>
  <c r="AQ238" i="55"/>
  <c r="AR238" i="55"/>
  <c r="AS238" i="55"/>
  <c r="T239" i="55"/>
  <c r="AQ239" i="55"/>
  <c r="AR239" i="55"/>
  <c r="AS239" i="55"/>
  <c r="T240" i="55"/>
  <c r="AQ240" i="55"/>
  <c r="AR240" i="55"/>
  <c r="AS240" i="55"/>
  <c r="T241" i="55"/>
  <c r="AQ241" i="55"/>
  <c r="AR241" i="55"/>
  <c r="AS241" i="55"/>
  <c r="T242" i="55"/>
  <c r="AQ242" i="55"/>
  <c r="AR242" i="55"/>
  <c r="AS242" i="55"/>
  <c r="T243" i="55"/>
  <c r="AQ243" i="55"/>
  <c r="AR243" i="55"/>
  <c r="AS243" i="55"/>
  <c r="AV244" i="55"/>
  <c r="AM244" i="55"/>
  <c r="AN244" i="55"/>
  <c r="AO244" i="55"/>
  <c r="AP244" i="55"/>
  <c r="AU244" i="55"/>
  <c r="T245" i="55"/>
  <c r="AQ245" i="55"/>
  <c r="AR245" i="55"/>
  <c r="AS245" i="55"/>
  <c r="T246" i="55"/>
  <c r="AQ246" i="55"/>
  <c r="AR246" i="55"/>
  <c r="AS246" i="55"/>
  <c r="T247" i="55"/>
  <c r="AQ247" i="55"/>
  <c r="AR247" i="55"/>
  <c r="AS247" i="55"/>
  <c r="AV248" i="55"/>
  <c r="AM248" i="55"/>
  <c r="AN248" i="55"/>
  <c r="AO248" i="55"/>
  <c r="AP248" i="55"/>
  <c r="AU248" i="55"/>
  <c r="T249" i="55"/>
  <c r="AQ249" i="55"/>
  <c r="AR249" i="55"/>
  <c r="AS249" i="55"/>
  <c r="AV250" i="55"/>
  <c r="AM250" i="55"/>
  <c r="AN250" i="55"/>
  <c r="AO250" i="55"/>
  <c r="AP250" i="55"/>
  <c r="AU250" i="55"/>
  <c r="T251" i="55"/>
  <c r="AQ251" i="55"/>
  <c r="AR251" i="55"/>
  <c r="AS251" i="55"/>
  <c r="T252" i="55"/>
  <c r="AQ252" i="55"/>
  <c r="AR252" i="55"/>
  <c r="AS252" i="55"/>
  <c r="T253" i="55"/>
  <c r="AQ253" i="55"/>
  <c r="AR253" i="55"/>
  <c r="AS253" i="55"/>
  <c r="T254" i="55"/>
  <c r="AQ254" i="55"/>
  <c r="AR254" i="55"/>
  <c r="AS254" i="55"/>
  <c r="T255" i="55"/>
  <c r="AQ255" i="55"/>
  <c r="AR255" i="55"/>
  <c r="AS255" i="55"/>
  <c r="AV256" i="55"/>
  <c r="AM256" i="55"/>
  <c r="AN256" i="55"/>
  <c r="AO256" i="55"/>
  <c r="AP256" i="55"/>
  <c r="AU256" i="55"/>
  <c r="T257" i="55"/>
  <c r="AQ257" i="55"/>
  <c r="AR257" i="55"/>
  <c r="AS257" i="55"/>
  <c r="T258" i="55"/>
  <c r="AQ258" i="55"/>
  <c r="AR258" i="55"/>
  <c r="AS258" i="55"/>
  <c r="T259" i="55"/>
  <c r="AQ259" i="55"/>
  <c r="AR259" i="55"/>
  <c r="AS259" i="55"/>
  <c r="T260" i="55"/>
  <c r="AQ260" i="55"/>
  <c r="AR260" i="55"/>
  <c r="AS260" i="55"/>
  <c r="T261" i="55"/>
  <c r="AQ261" i="55"/>
  <c r="AR261" i="55"/>
  <c r="AS261" i="55"/>
  <c r="T262" i="55"/>
  <c r="AQ262" i="55"/>
  <c r="AR262" i="55"/>
  <c r="AS262" i="55"/>
  <c r="T263" i="55"/>
  <c r="AQ263" i="55"/>
  <c r="AR263" i="55"/>
  <c r="AS263" i="55"/>
  <c r="T264" i="55"/>
  <c r="AQ264" i="55"/>
  <c r="AR264" i="55"/>
  <c r="AS264" i="55"/>
  <c r="T265" i="55"/>
  <c r="AQ265" i="55"/>
  <c r="AR265" i="55"/>
  <c r="AS265" i="55"/>
  <c r="AV266" i="55"/>
  <c r="AM266" i="55"/>
  <c r="AN266" i="55"/>
  <c r="AO266" i="55"/>
  <c r="AP266" i="55"/>
  <c r="AU266" i="55"/>
  <c r="T267" i="55"/>
  <c r="AQ267" i="55"/>
  <c r="AR267" i="55"/>
  <c r="AS267" i="55"/>
  <c r="T268" i="55"/>
  <c r="AQ268" i="55"/>
  <c r="AR268" i="55"/>
  <c r="AS268" i="55"/>
  <c r="T269" i="55"/>
  <c r="AQ269" i="55"/>
  <c r="AR269" i="55"/>
  <c r="AS269" i="55"/>
  <c r="T270" i="55"/>
  <c r="AQ270" i="55"/>
  <c r="AR270" i="55"/>
  <c r="AS270" i="55"/>
  <c r="T271" i="55"/>
  <c r="AQ271" i="55"/>
  <c r="AR271" i="55"/>
  <c r="AS271" i="55"/>
  <c r="T272" i="55"/>
  <c r="AQ272" i="55"/>
  <c r="AR272" i="55"/>
  <c r="AS272" i="55"/>
  <c r="T273" i="55"/>
  <c r="AQ273" i="55"/>
  <c r="AR273" i="55"/>
  <c r="AS273" i="55"/>
  <c r="T274" i="55"/>
  <c r="AQ274" i="55"/>
  <c r="AR274" i="55"/>
  <c r="AS274" i="55"/>
  <c r="T275" i="55"/>
  <c r="AQ275" i="55"/>
  <c r="AR275" i="55"/>
  <c r="AS275" i="55"/>
  <c r="T276" i="55"/>
  <c r="AQ276" i="55"/>
  <c r="AR276" i="55"/>
  <c r="AS276" i="55"/>
  <c r="T277" i="55"/>
  <c r="AQ277" i="55"/>
  <c r="AR277" i="55"/>
  <c r="AS277" i="55"/>
  <c r="T278" i="55"/>
  <c r="AQ278" i="55"/>
  <c r="AR278" i="55"/>
  <c r="AS278" i="55"/>
  <c r="T279" i="55"/>
  <c r="AQ279" i="55"/>
  <c r="AR279" i="55"/>
  <c r="AS279" i="55"/>
  <c r="T280" i="55"/>
  <c r="AQ280" i="55"/>
  <c r="AR280" i="55"/>
  <c r="AS280" i="55"/>
  <c r="T281" i="55"/>
  <c r="AQ281" i="55"/>
  <c r="AR281" i="55"/>
  <c r="AS281" i="55"/>
  <c r="T282" i="55"/>
  <c r="AQ282" i="55"/>
  <c r="AR282" i="55"/>
  <c r="AS282" i="55"/>
  <c r="T283" i="55"/>
  <c r="AQ283" i="55"/>
  <c r="AR283" i="55"/>
  <c r="AS283" i="55"/>
  <c r="T284" i="55"/>
  <c r="AQ284" i="55"/>
  <c r="AR284" i="55"/>
  <c r="AS284" i="55"/>
  <c r="T285" i="55"/>
  <c r="AQ285" i="55"/>
  <c r="AR285" i="55"/>
  <c r="AS285" i="55"/>
  <c r="T286" i="55"/>
  <c r="AQ286" i="55"/>
  <c r="AR286" i="55"/>
  <c r="AS286" i="55"/>
  <c r="AV287" i="55"/>
  <c r="AM287" i="55"/>
  <c r="AN287" i="55"/>
  <c r="AO287" i="55"/>
  <c r="AP287" i="55"/>
  <c r="AU287" i="55"/>
  <c r="T288" i="55"/>
  <c r="AQ288" i="55"/>
  <c r="AR288" i="55"/>
  <c r="AS288" i="55"/>
  <c r="T289" i="55"/>
  <c r="AQ289" i="55"/>
  <c r="AR289" i="55"/>
  <c r="AS289" i="55"/>
  <c r="T291" i="55"/>
  <c r="AQ291" i="55"/>
  <c r="AR291" i="55"/>
  <c r="AS291" i="55"/>
  <c r="T292" i="55"/>
  <c r="AQ292" i="55"/>
  <c r="AR292" i="55"/>
  <c r="AS292" i="55"/>
  <c r="T293" i="55"/>
  <c r="AQ293" i="55"/>
  <c r="AR293" i="55"/>
  <c r="AS293" i="55"/>
  <c r="T294" i="55"/>
  <c r="AQ294" i="55"/>
  <c r="AR294" i="55"/>
  <c r="AS294" i="55"/>
  <c r="T295" i="55"/>
  <c r="AQ295" i="55"/>
  <c r="AR295" i="55"/>
  <c r="AS295" i="55"/>
  <c r="T296" i="55"/>
  <c r="AQ296" i="55"/>
  <c r="AR296" i="55"/>
  <c r="AS296" i="55"/>
  <c r="T297" i="55"/>
  <c r="AQ297" i="55"/>
  <c r="AR297" i="55"/>
  <c r="AS297" i="55"/>
  <c r="T298" i="55"/>
  <c r="AQ298" i="55"/>
  <c r="AR298" i="55"/>
  <c r="AS298" i="55"/>
  <c r="T299" i="55"/>
  <c r="AQ299" i="55"/>
  <c r="AR299" i="55"/>
  <c r="AS299" i="55"/>
  <c r="T300" i="55"/>
  <c r="AQ300" i="55"/>
  <c r="AR300" i="55"/>
  <c r="AS300" i="55"/>
  <c r="T301" i="55"/>
  <c r="AQ301" i="55"/>
  <c r="AR301" i="55"/>
  <c r="AS301" i="55"/>
  <c r="T302" i="55"/>
  <c r="AQ302" i="55"/>
  <c r="AR302" i="55"/>
  <c r="AS302" i="55"/>
  <c r="T303" i="55"/>
  <c r="AQ303" i="55"/>
  <c r="AR303" i="55"/>
  <c r="AS303" i="55"/>
  <c r="T304" i="55"/>
  <c r="AQ304" i="55"/>
  <c r="AR304" i="55"/>
  <c r="AS304" i="55"/>
  <c r="T305" i="55"/>
  <c r="AQ305" i="55"/>
  <c r="AR305" i="55"/>
  <c r="AS305" i="55"/>
  <c r="AV306" i="55"/>
  <c r="AM306" i="55"/>
  <c r="AN306" i="55"/>
  <c r="AO306" i="55"/>
  <c r="AP306" i="55"/>
  <c r="AU306" i="55"/>
  <c r="T307" i="55"/>
  <c r="AQ307" i="55"/>
  <c r="AR307" i="55"/>
  <c r="AS307" i="55"/>
  <c r="T308" i="55"/>
  <c r="AQ308" i="55"/>
  <c r="AR308" i="55"/>
  <c r="AS308" i="55"/>
  <c r="T309" i="55"/>
  <c r="AQ309" i="55"/>
  <c r="AR309" i="55"/>
  <c r="AS309" i="55"/>
  <c r="T310" i="55"/>
  <c r="AQ310" i="55"/>
  <c r="AR310" i="55"/>
  <c r="AS310" i="55"/>
  <c r="T311" i="55"/>
  <c r="AQ311" i="55"/>
  <c r="AR311" i="55"/>
  <c r="AS311" i="55"/>
  <c r="T312" i="55"/>
  <c r="AQ312" i="55"/>
  <c r="AR312" i="55"/>
  <c r="AS312" i="55"/>
  <c r="T313" i="55"/>
  <c r="AQ313" i="55"/>
  <c r="AR313" i="55"/>
  <c r="AS313" i="55"/>
  <c r="T314" i="55"/>
  <c r="AQ314" i="55"/>
  <c r="AR314" i="55"/>
  <c r="AS314" i="55"/>
  <c r="T315" i="55"/>
  <c r="AQ315" i="55"/>
  <c r="AR315" i="55"/>
  <c r="AS315" i="55"/>
  <c r="T316" i="55"/>
  <c r="AQ316" i="55"/>
  <c r="AR316" i="55"/>
  <c r="AS316" i="55"/>
  <c r="T317" i="55"/>
  <c r="AQ317" i="55"/>
  <c r="AR317" i="55"/>
  <c r="AS317" i="55"/>
  <c r="T318" i="55"/>
  <c r="AQ318" i="55"/>
  <c r="AR318" i="55"/>
  <c r="AS318" i="55"/>
  <c r="T319" i="55"/>
  <c r="AQ319" i="55"/>
  <c r="AR319" i="55"/>
  <c r="AS319" i="55"/>
  <c r="T320" i="55"/>
  <c r="AQ320" i="55"/>
  <c r="AR320" i="55"/>
  <c r="AS320" i="55"/>
  <c r="T321" i="55"/>
  <c r="AQ321" i="55"/>
  <c r="AR321" i="55"/>
  <c r="AS321" i="55"/>
  <c r="T322" i="55"/>
  <c r="AQ322" i="55"/>
  <c r="AR322" i="55"/>
  <c r="AS322" i="55"/>
  <c r="T323" i="55"/>
  <c r="AQ323" i="55"/>
  <c r="AR323" i="55"/>
  <c r="AS323" i="55"/>
  <c r="AV324" i="55"/>
  <c r="AM324" i="55"/>
  <c r="AN324" i="55"/>
  <c r="AO324" i="55"/>
  <c r="AP324" i="55"/>
  <c r="AU324" i="55"/>
  <c r="T325" i="55"/>
  <c r="AQ325" i="55"/>
  <c r="AR325" i="55"/>
  <c r="AS325" i="55"/>
  <c r="T326" i="55"/>
  <c r="AQ326" i="55"/>
  <c r="AR326" i="55"/>
  <c r="AS326" i="55"/>
  <c r="T327" i="55"/>
  <c r="AQ327" i="55"/>
  <c r="AR327" i="55"/>
  <c r="AS327" i="55"/>
  <c r="T328" i="55"/>
  <c r="AQ328" i="55"/>
  <c r="AR328" i="55"/>
  <c r="AS328" i="55"/>
  <c r="T329" i="55"/>
  <c r="AQ329" i="55"/>
  <c r="AR329" i="55"/>
  <c r="AS329" i="55"/>
  <c r="T330" i="55"/>
  <c r="AQ330" i="55"/>
  <c r="AR330" i="55"/>
  <c r="AS330" i="55"/>
  <c r="T331" i="55"/>
  <c r="AQ331" i="55"/>
  <c r="AR331" i="55"/>
  <c r="AS331" i="55"/>
  <c r="T332" i="55"/>
  <c r="AQ332" i="55"/>
  <c r="AR332" i="55"/>
  <c r="AS332" i="55"/>
  <c r="T333" i="55"/>
  <c r="AQ333" i="55"/>
  <c r="AR333" i="55"/>
  <c r="AS333" i="55"/>
  <c r="T334" i="55"/>
  <c r="AQ334" i="55"/>
  <c r="AR334" i="55"/>
  <c r="AS334" i="55"/>
  <c r="T335" i="55"/>
  <c r="AQ335" i="55"/>
  <c r="AR335" i="55"/>
  <c r="AS335" i="55"/>
  <c r="T336" i="55"/>
  <c r="AQ336" i="55"/>
  <c r="AR336" i="55"/>
  <c r="AS336" i="55"/>
  <c r="AV337" i="55"/>
  <c r="AM337" i="55"/>
  <c r="AN337" i="55"/>
  <c r="AO337" i="55"/>
  <c r="AP337" i="55"/>
  <c r="AU337" i="55"/>
  <c r="T338" i="55"/>
  <c r="AQ338" i="55"/>
  <c r="AR338" i="55"/>
  <c r="AS338" i="55"/>
  <c r="T339" i="55"/>
  <c r="AQ339" i="55"/>
  <c r="AR339" i="55"/>
  <c r="AS339" i="55"/>
  <c r="T340" i="55"/>
  <c r="AQ340" i="55"/>
  <c r="AR340" i="55"/>
  <c r="AS340" i="55"/>
  <c r="T341" i="55"/>
  <c r="AQ341" i="55"/>
  <c r="AR341" i="55"/>
  <c r="AS341" i="55"/>
  <c r="T342" i="55"/>
  <c r="AQ342" i="55"/>
  <c r="AR342" i="55"/>
  <c r="AS342" i="55"/>
  <c r="T343" i="55"/>
  <c r="AQ343" i="55"/>
  <c r="AR343" i="55"/>
  <c r="AS343" i="55"/>
  <c r="T344" i="55"/>
  <c r="AQ344" i="55"/>
  <c r="AR344" i="55"/>
  <c r="AS344" i="55"/>
  <c r="AV345" i="55"/>
  <c r="AM345" i="55"/>
  <c r="AN345" i="55"/>
  <c r="AO345" i="55"/>
  <c r="AP345" i="55"/>
  <c r="AU345" i="55"/>
  <c r="T346" i="55"/>
  <c r="AQ346" i="55"/>
  <c r="AR346" i="55"/>
  <c r="AS346" i="55"/>
  <c r="T347" i="55"/>
  <c r="AQ347" i="55"/>
  <c r="AR347" i="55"/>
  <c r="AS347" i="55"/>
  <c r="T348" i="55"/>
  <c r="AQ348" i="55"/>
  <c r="AR348" i="55"/>
  <c r="AS348" i="55"/>
  <c r="T349" i="55"/>
  <c r="AQ349" i="55"/>
  <c r="AR349" i="55"/>
  <c r="AS349" i="55"/>
  <c r="T350" i="55"/>
  <c r="AQ350" i="55"/>
  <c r="AR350" i="55"/>
  <c r="AS350" i="55"/>
  <c r="T351" i="55"/>
  <c r="AQ351" i="55"/>
  <c r="AR351" i="55"/>
  <c r="AS351" i="55"/>
  <c r="T352" i="55"/>
  <c r="AQ352" i="55"/>
  <c r="AR352" i="55"/>
  <c r="AS352" i="55"/>
  <c r="T353" i="55"/>
  <c r="AQ353" i="55"/>
  <c r="AR353" i="55"/>
  <c r="AS353" i="55"/>
  <c r="T354" i="55"/>
  <c r="AQ354" i="55"/>
  <c r="AR354" i="55"/>
  <c r="AS354" i="55"/>
  <c r="T355" i="55"/>
  <c r="AQ355" i="55"/>
  <c r="AR355" i="55"/>
  <c r="AS355" i="55"/>
  <c r="T356" i="55"/>
  <c r="AQ356" i="55"/>
  <c r="AR356" i="55"/>
  <c r="AS356" i="55"/>
  <c r="T357" i="55"/>
  <c r="AQ357" i="55"/>
  <c r="AR357" i="55"/>
  <c r="AS357" i="55"/>
  <c r="T358" i="55"/>
  <c r="AQ358" i="55"/>
  <c r="AR358" i="55"/>
  <c r="AS358" i="55"/>
  <c r="T359" i="55"/>
  <c r="AQ359" i="55"/>
  <c r="AR359" i="55"/>
  <c r="AS359" i="55"/>
  <c r="AV360" i="55"/>
  <c r="AU360" i="55"/>
  <c r="T361" i="55"/>
  <c r="AQ361" i="55"/>
  <c r="AT361" i="55" s="1"/>
  <c r="AR361" i="55"/>
  <c r="AS361" i="55"/>
  <c r="T362" i="55"/>
  <c r="AQ362" i="55"/>
  <c r="AT362" i="55" s="1"/>
  <c r="AR362" i="55"/>
  <c r="AS362" i="55"/>
  <c r="T363" i="55"/>
  <c r="AQ363" i="55"/>
  <c r="AT363" i="55" s="1"/>
  <c r="AR363" i="55"/>
  <c r="AS363" i="55"/>
  <c r="T364" i="55"/>
  <c r="AQ364" i="55"/>
  <c r="AT364" i="55" s="1"/>
  <c r="AR364" i="55"/>
  <c r="AS364" i="55"/>
  <c r="AV365" i="55"/>
  <c r="AM365" i="55"/>
  <c r="AN365" i="55"/>
  <c r="AO365" i="55"/>
  <c r="AP365" i="55"/>
  <c r="AU365" i="55"/>
  <c r="T367" i="55"/>
  <c r="AQ367" i="55"/>
  <c r="AR367" i="55"/>
  <c r="AS367" i="55"/>
  <c r="T368" i="55"/>
  <c r="AQ368" i="55"/>
  <c r="AR368" i="55"/>
  <c r="AS368" i="55"/>
  <c r="T369" i="55"/>
  <c r="AQ369" i="55"/>
  <c r="AR369" i="55"/>
  <c r="AS369" i="55"/>
  <c r="T370" i="55"/>
  <c r="AQ370" i="55"/>
  <c r="AR370" i="55"/>
  <c r="AS370" i="55"/>
  <c r="T371" i="55"/>
  <c r="AQ371" i="55"/>
  <c r="AR371" i="55"/>
  <c r="AS371" i="55"/>
  <c r="T372" i="55"/>
  <c r="AQ372" i="55"/>
  <c r="AR372" i="55"/>
  <c r="AS372" i="55"/>
  <c r="AV373" i="55"/>
  <c r="AM373" i="55"/>
  <c r="AN373" i="55"/>
  <c r="AO373" i="55"/>
  <c r="AP373" i="55"/>
  <c r="AU373" i="55"/>
  <c r="T374" i="55"/>
  <c r="AQ374" i="55"/>
  <c r="AT374" i="55" s="1"/>
  <c r="AR374" i="55"/>
  <c r="AS374" i="55"/>
  <c r="T375" i="55"/>
  <c r="AQ375" i="55"/>
  <c r="AT375" i="55" s="1"/>
  <c r="AR375" i="55"/>
  <c r="AS375" i="55"/>
  <c r="T376" i="55"/>
  <c r="AQ376" i="55"/>
  <c r="AT376" i="55" s="1"/>
  <c r="AR376" i="55"/>
  <c r="AS376" i="55"/>
  <c r="T377" i="55"/>
  <c r="AQ377" i="55"/>
  <c r="AT377" i="55" s="1"/>
  <c r="AR377" i="55"/>
  <c r="AS377" i="55"/>
  <c r="AV378" i="55"/>
  <c r="AM378" i="55"/>
  <c r="AN378" i="55"/>
  <c r="AO378" i="55"/>
  <c r="AP378" i="55"/>
  <c r="AU378" i="55"/>
  <c r="T379" i="55"/>
  <c r="AQ379" i="55"/>
  <c r="AR379" i="55"/>
  <c r="AS379" i="55"/>
  <c r="T380" i="55"/>
  <c r="AQ380" i="55"/>
  <c r="AR380" i="55"/>
  <c r="AS380" i="55"/>
  <c r="T381" i="55"/>
  <c r="AQ381" i="55"/>
  <c r="AR381" i="55"/>
  <c r="AS381" i="55"/>
  <c r="AV382" i="55"/>
  <c r="AU382" i="55"/>
  <c r="T383" i="55"/>
  <c r="AQ383" i="55"/>
  <c r="AT383" i="55" s="1"/>
  <c r="AR383" i="55"/>
  <c r="AS383" i="55"/>
  <c r="T384" i="55"/>
  <c r="AQ384" i="55"/>
  <c r="AT384" i="55" s="1"/>
  <c r="AR384" i="55"/>
  <c r="AS384" i="55"/>
  <c r="T385" i="55"/>
  <c r="AQ385" i="55"/>
  <c r="AT385" i="55" s="1"/>
  <c r="AR385" i="55"/>
  <c r="AS385" i="55"/>
  <c r="AQ386" i="55"/>
  <c r="AT386" i="55" s="1"/>
  <c r="AR386" i="55"/>
  <c r="AS386" i="55"/>
  <c r="AV387" i="55"/>
  <c r="AU387" i="55"/>
  <c r="T388" i="55"/>
  <c r="AQ388" i="55"/>
  <c r="AR388" i="55"/>
  <c r="AS388" i="55"/>
  <c r="T389" i="55"/>
  <c r="AQ389" i="55"/>
  <c r="AR389" i="55"/>
  <c r="AS389" i="55"/>
  <c r="AT389" i="55" s="1"/>
  <c r="T390" i="55"/>
  <c r="AQ390" i="55"/>
  <c r="AR390" i="55"/>
  <c r="AS390" i="55"/>
  <c r="AT390" i="55" s="1"/>
  <c r="T391" i="55"/>
  <c r="AQ391" i="55"/>
  <c r="AR391" i="55"/>
  <c r="AS391" i="55"/>
  <c r="T392" i="55"/>
  <c r="AQ392" i="55"/>
  <c r="AR392" i="55"/>
  <c r="AS392" i="55"/>
  <c r="T393" i="55"/>
  <c r="AQ393" i="55"/>
  <c r="AR393" i="55"/>
  <c r="AS393" i="55"/>
  <c r="AT393" i="55" s="1"/>
  <c r="T394" i="55"/>
  <c r="AQ394" i="55"/>
  <c r="AR394" i="55"/>
  <c r="AS394" i="55"/>
  <c r="AT394" i="55" s="1"/>
  <c r="T395" i="55"/>
  <c r="AQ395" i="55"/>
  <c r="AR395" i="55"/>
  <c r="AS395" i="55"/>
  <c r="T396" i="55"/>
  <c r="AQ396" i="55"/>
  <c r="AR396" i="55"/>
  <c r="AS396" i="55"/>
  <c r="AQ397" i="55"/>
  <c r="AR397" i="55"/>
  <c r="AS397" i="55"/>
  <c r="AQ398" i="55"/>
  <c r="AT398" i="55" s="1"/>
  <c r="AR398" i="55"/>
  <c r="AS398" i="55"/>
  <c r="AQ399" i="55"/>
  <c r="AR399" i="55"/>
  <c r="AS399" i="55"/>
  <c r="T400" i="55"/>
  <c r="AQ400" i="55"/>
  <c r="AR400" i="55"/>
  <c r="AT400" i="55" s="1"/>
  <c r="AS400" i="55"/>
  <c r="T401" i="55"/>
  <c r="AQ401" i="55"/>
  <c r="AR401" i="55"/>
  <c r="AS401" i="55"/>
  <c r="AQ402" i="55"/>
  <c r="AR402" i="55"/>
  <c r="AS402" i="55"/>
  <c r="T403" i="55"/>
  <c r="AQ403" i="55"/>
  <c r="AR403" i="55"/>
  <c r="AS403" i="55"/>
  <c r="AT403" i="55" s="1"/>
  <c r="AQ404" i="55"/>
  <c r="AR404" i="55"/>
  <c r="AS404" i="55"/>
  <c r="AQ405" i="55"/>
  <c r="AT405" i="55" s="1"/>
  <c r="AR405" i="55"/>
  <c r="AS405" i="55"/>
  <c r="AV406" i="55"/>
  <c r="AM406" i="55"/>
  <c r="AN406" i="55"/>
  <c r="AO406" i="55"/>
  <c r="AP406" i="55"/>
  <c r="AU406" i="55"/>
  <c r="T407" i="55"/>
  <c r="AQ407" i="55"/>
  <c r="AR407" i="55"/>
  <c r="AS407" i="55"/>
  <c r="AQ408" i="55"/>
  <c r="AT408" i="55" s="1"/>
  <c r="AR408" i="55"/>
  <c r="AS408" i="55"/>
  <c r="AQ409" i="55"/>
  <c r="AT409" i="55" s="1"/>
  <c r="AR409" i="55"/>
  <c r="AS409" i="55"/>
  <c r="T410" i="55"/>
  <c r="AQ410" i="55"/>
  <c r="AT410" i="55" s="1"/>
  <c r="AR410" i="55"/>
  <c r="AS410" i="55"/>
  <c r="T411" i="55"/>
  <c r="AQ411" i="55"/>
  <c r="AT411" i="55" s="1"/>
  <c r="AR411" i="55"/>
  <c r="AS411" i="55"/>
  <c r="AQ412" i="55"/>
  <c r="AR412" i="55"/>
  <c r="AS412" i="55"/>
  <c r="T413" i="55"/>
  <c r="AQ413" i="55"/>
  <c r="AR413" i="55"/>
  <c r="AT413" i="55" s="1"/>
  <c r="AS413" i="55"/>
  <c r="T414" i="55"/>
  <c r="AQ414" i="55"/>
  <c r="AR414" i="55"/>
  <c r="AS414" i="55"/>
  <c r="T415" i="55"/>
  <c r="AQ415" i="55"/>
  <c r="AR415" i="55"/>
  <c r="AS415" i="55"/>
  <c r="T416" i="55"/>
  <c r="AQ416" i="55"/>
  <c r="AR416" i="55"/>
  <c r="AS416" i="55"/>
  <c r="T417" i="55"/>
  <c r="AQ417" i="55"/>
  <c r="AR417" i="55"/>
  <c r="AS417" i="55"/>
  <c r="T418" i="55"/>
  <c r="AQ418" i="55"/>
  <c r="AR418" i="55"/>
  <c r="AS418" i="55"/>
  <c r="AQ419" i="55"/>
  <c r="AR419" i="55"/>
  <c r="AS419" i="55"/>
  <c r="AQ420" i="55"/>
  <c r="AT420" i="55" s="1"/>
  <c r="AR420" i="55"/>
  <c r="AS420" i="55"/>
  <c r="AQ421" i="55"/>
  <c r="AT421" i="55" s="1"/>
  <c r="AR421" i="55"/>
  <c r="AS421" i="55"/>
  <c r="T422" i="55"/>
  <c r="AQ422" i="55"/>
  <c r="AR422" i="55"/>
  <c r="AS422" i="55"/>
  <c r="T423" i="55"/>
  <c r="AQ423" i="55"/>
  <c r="AR423" i="55"/>
  <c r="AS423" i="55"/>
  <c r="AQ424" i="55"/>
  <c r="AR424" i="55"/>
  <c r="AS424" i="55"/>
  <c r="T425" i="55"/>
  <c r="AQ425" i="55"/>
  <c r="AR425" i="55"/>
  <c r="AS425" i="55"/>
  <c r="AQ426" i="55"/>
  <c r="AR426" i="55"/>
  <c r="AS426" i="55"/>
  <c r="T427" i="55"/>
  <c r="AQ427" i="55"/>
  <c r="AR427" i="55"/>
  <c r="AS427" i="55"/>
  <c r="AT427" i="55" s="1"/>
  <c r="AQ428" i="55"/>
  <c r="AT428" i="55" s="1"/>
  <c r="AR428" i="55"/>
  <c r="AS428" i="55"/>
  <c r="AQ429" i="55"/>
  <c r="AT429" i="55" s="1"/>
  <c r="AR429" i="55"/>
  <c r="AS429" i="55"/>
  <c r="AQ430" i="55"/>
  <c r="AR430" i="55"/>
  <c r="AS430" i="55"/>
  <c r="AQ431" i="55"/>
  <c r="AR431" i="55"/>
  <c r="AS431" i="55"/>
  <c r="AT431" i="55" s="1"/>
  <c r="AQ432" i="55"/>
  <c r="AT432" i="55" s="1"/>
  <c r="AR432" i="55"/>
  <c r="AS432" i="55"/>
  <c r="T433" i="55"/>
  <c r="AQ433" i="55"/>
  <c r="AT433" i="55" s="1"/>
  <c r="AR433" i="55"/>
  <c r="AS433" i="55"/>
  <c r="AV434" i="55"/>
  <c r="AM434" i="55"/>
  <c r="AN434" i="55"/>
  <c r="AO434" i="55"/>
  <c r="AP434" i="55"/>
  <c r="AU434" i="55"/>
  <c r="T435" i="55"/>
  <c r="AQ435" i="55"/>
  <c r="AR435" i="55"/>
  <c r="AS435" i="55"/>
  <c r="AQ436" i="55"/>
  <c r="AR436" i="55"/>
  <c r="AS436" i="55"/>
  <c r="AT436" i="55" s="1"/>
  <c r="AQ437" i="55"/>
  <c r="AR437" i="55"/>
  <c r="AS437" i="55"/>
  <c r="T438" i="55"/>
  <c r="AQ438" i="55"/>
  <c r="AT438" i="55" s="1"/>
  <c r="AR438" i="55"/>
  <c r="AS438" i="55"/>
  <c r="T439" i="55"/>
  <c r="AQ439" i="55"/>
  <c r="AR439" i="55"/>
  <c r="AS439" i="55"/>
  <c r="AQ440" i="55"/>
  <c r="AT440" i="55" s="1"/>
  <c r="AR440" i="55"/>
  <c r="AS440" i="55"/>
  <c r="T441" i="55"/>
  <c r="AQ441" i="55"/>
  <c r="AT441" i="55" s="1"/>
  <c r="AR441" i="55"/>
  <c r="AS441" i="55"/>
  <c r="T442" i="55"/>
  <c r="AQ442" i="55"/>
  <c r="AR442" i="55"/>
  <c r="AS442" i="55"/>
  <c r="T443" i="55"/>
  <c r="AQ443" i="55"/>
  <c r="AT443" i="55" s="1"/>
  <c r="AR443" i="55"/>
  <c r="AS443" i="55"/>
  <c r="T444" i="55"/>
  <c r="AQ444" i="55"/>
  <c r="AT444" i="55" s="1"/>
  <c r="AR444" i="55"/>
  <c r="AS444" i="55"/>
  <c r="T445" i="55"/>
  <c r="AQ445" i="55"/>
  <c r="AT445" i="55" s="1"/>
  <c r="AR445" i="55"/>
  <c r="AS445" i="55"/>
  <c r="T446" i="55"/>
  <c r="AQ446" i="55"/>
  <c r="AT446" i="55" s="1"/>
  <c r="AR446" i="55"/>
  <c r="AS446" i="55"/>
  <c r="AQ447" i="55"/>
  <c r="AR447" i="55"/>
  <c r="AS447" i="55"/>
  <c r="AQ448" i="55"/>
  <c r="AR448" i="55"/>
  <c r="AS448" i="55"/>
  <c r="AT448" i="55" s="1"/>
  <c r="AQ449" i="55"/>
  <c r="AT449" i="55" s="1"/>
  <c r="AR449" i="55"/>
  <c r="AS449" i="55"/>
  <c r="T450" i="55"/>
  <c r="AQ450" i="55"/>
  <c r="AT450" i="55" s="1"/>
  <c r="AR450" i="55"/>
  <c r="AS450" i="55"/>
  <c r="T451" i="55"/>
  <c r="AQ451" i="55"/>
  <c r="AR451" i="55"/>
  <c r="AS451" i="55"/>
  <c r="AQ452" i="55"/>
  <c r="AT452" i="55" s="1"/>
  <c r="AR452" i="55"/>
  <c r="AS452" i="55"/>
  <c r="T453" i="55"/>
  <c r="AQ453" i="55"/>
  <c r="AT453" i="55" s="1"/>
  <c r="AR453" i="55"/>
  <c r="AS453" i="55"/>
  <c r="AQ454" i="55"/>
  <c r="AR454" i="55"/>
  <c r="AS454" i="55"/>
  <c r="T455" i="55"/>
  <c r="AQ455" i="55"/>
  <c r="AR455" i="55"/>
  <c r="AS455" i="55"/>
  <c r="AQ456" i="55"/>
  <c r="AR456" i="55"/>
  <c r="AS456" i="55"/>
  <c r="AQ457" i="55"/>
  <c r="AR457" i="55"/>
  <c r="AS457" i="55"/>
  <c r="AQ458" i="55"/>
  <c r="AT458" i="55" s="1"/>
  <c r="AR458" i="55"/>
  <c r="AS458" i="55"/>
  <c r="AQ459" i="55"/>
  <c r="AR459" i="55"/>
  <c r="AS459" i="55"/>
  <c r="AQ460" i="55"/>
  <c r="AR460" i="55"/>
  <c r="AS460" i="55"/>
  <c r="T461" i="55"/>
  <c r="AQ461" i="55"/>
  <c r="AR461" i="55"/>
  <c r="AS461" i="55"/>
  <c r="AT461" i="55" s="1"/>
  <c r="AV462" i="55"/>
  <c r="AM462" i="55"/>
  <c r="AN462" i="55"/>
  <c r="AO462" i="55"/>
  <c r="AP462" i="55"/>
  <c r="AU462" i="55"/>
  <c r="T463" i="55"/>
  <c r="AQ463" i="55"/>
  <c r="AT463" i="55" s="1"/>
  <c r="AR463" i="55"/>
  <c r="AS463" i="55"/>
  <c r="AQ464" i="55"/>
  <c r="AR464" i="55"/>
  <c r="AS464" i="55"/>
  <c r="T465" i="55"/>
  <c r="AQ465" i="55"/>
  <c r="AR465" i="55"/>
  <c r="AS465" i="55"/>
  <c r="T466" i="55"/>
  <c r="AQ466" i="55"/>
  <c r="AR466" i="55"/>
  <c r="AS466" i="55"/>
  <c r="AQ467" i="55"/>
  <c r="AR467" i="55"/>
  <c r="AS467" i="55"/>
  <c r="AT467" i="55" s="1"/>
  <c r="AQ468" i="55"/>
  <c r="AR468" i="55"/>
  <c r="AS468" i="55"/>
  <c r="T469" i="55"/>
  <c r="AQ469" i="55"/>
  <c r="AR469" i="55"/>
  <c r="AS469" i="55"/>
  <c r="T470" i="55"/>
  <c r="AQ470" i="55"/>
  <c r="AR470" i="55"/>
  <c r="AS470" i="55"/>
  <c r="T471" i="55"/>
  <c r="AQ471" i="55"/>
  <c r="AR471" i="55"/>
  <c r="AS471" i="55"/>
  <c r="T472" i="55"/>
  <c r="AQ472" i="55"/>
  <c r="AR472" i="55"/>
  <c r="AS472" i="55"/>
  <c r="T473" i="55"/>
  <c r="AQ473" i="55"/>
  <c r="AR473" i="55"/>
  <c r="AS473" i="55"/>
  <c r="T474" i="55"/>
  <c r="AQ474" i="55"/>
  <c r="AR474" i="55"/>
  <c r="AS474" i="55"/>
  <c r="T475" i="55"/>
  <c r="AQ475" i="55"/>
  <c r="AR475" i="55"/>
  <c r="AS475" i="55"/>
  <c r="T476" i="55"/>
  <c r="AQ476" i="55"/>
  <c r="AR476" i="55"/>
  <c r="AS476" i="55"/>
  <c r="AQ477" i="55"/>
  <c r="AT477" i="55" s="1"/>
  <c r="AR477" i="55"/>
  <c r="AS477" i="55"/>
  <c r="T478" i="55"/>
  <c r="AQ478" i="55"/>
  <c r="AT478" i="55" s="1"/>
  <c r="AR478" i="55"/>
  <c r="AS478" i="55"/>
  <c r="T479" i="55"/>
  <c r="AQ479" i="55"/>
  <c r="AT479" i="55" s="1"/>
  <c r="AR479" i="55"/>
  <c r="AS479" i="55"/>
  <c r="T480" i="55"/>
  <c r="AQ480" i="55"/>
  <c r="AT480" i="55" s="1"/>
  <c r="AR480" i="55"/>
  <c r="AS480" i="55"/>
  <c r="T481" i="55"/>
  <c r="AQ481" i="55"/>
  <c r="AT481" i="55" s="1"/>
  <c r="AR481" i="55"/>
  <c r="AS481" i="55"/>
  <c r="T482" i="55"/>
  <c r="AQ482" i="55"/>
  <c r="AT482" i="55" s="1"/>
  <c r="AR482" i="55"/>
  <c r="AS482" i="55"/>
  <c r="AQ483" i="55"/>
  <c r="AR483" i="55"/>
  <c r="AS483" i="55"/>
  <c r="T484" i="55"/>
  <c r="AQ484" i="55"/>
  <c r="AR484" i="55"/>
  <c r="AS484" i="55"/>
  <c r="AQ485" i="55"/>
  <c r="AR485" i="55"/>
  <c r="AS485" i="55"/>
  <c r="AT485" i="55" s="1"/>
  <c r="AQ486" i="55"/>
  <c r="AR486" i="55"/>
  <c r="AS486" i="55"/>
  <c r="AQ487" i="55"/>
  <c r="AT487" i="55" s="1"/>
  <c r="AR487" i="55"/>
  <c r="AS487" i="55"/>
  <c r="T488" i="55"/>
  <c r="AQ488" i="55"/>
  <c r="AT488" i="55" s="1"/>
  <c r="AR488" i="55"/>
  <c r="AS488" i="55"/>
  <c r="T489" i="55"/>
  <c r="AQ489" i="55"/>
  <c r="AT489" i="55" s="1"/>
  <c r="AR489" i="55"/>
  <c r="AS489" i="55"/>
  <c r="T490" i="55"/>
  <c r="AQ490" i="55"/>
  <c r="AR490" i="55"/>
  <c r="AS490" i="55"/>
  <c r="T491" i="55"/>
  <c r="AQ491" i="55"/>
  <c r="AT491" i="55" s="1"/>
  <c r="AR491" i="55"/>
  <c r="AS491" i="55"/>
  <c r="T492" i="55"/>
  <c r="AQ492" i="55"/>
  <c r="AT492" i="55" s="1"/>
  <c r="AR492" i="55"/>
  <c r="AS492" i="55"/>
  <c r="T493" i="55"/>
  <c r="AQ493" i="55"/>
  <c r="AT493" i="55" s="1"/>
  <c r="AR493" i="55"/>
  <c r="AS493" i="55"/>
  <c r="AQ494" i="55"/>
  <c r="AR494" i="55"/>
  <c r="AS494" i="55"/>
  <c r="T495" i="55"/>
  <c r="AQ495" i="55"/>
  <c r="AR495" i="55"/>
  <c r="AS495" i="55"/>
  <c r="T496" i="55"/>
  <c r="AQ496" i="55"/>
  <c r="AR496" i="55"/>
  <c r="AT496" i="55" s="1"/>
  <c r="AS496" i="55"/>
  <c r="T497" i="55"/>
  <c r="AQ497" i="55"/>
  <c r="AR497" i="55"/>
  <c r="AS497" i="55"/>
  <c r="AQ498" i="55"/>
  <c r="AR498" i="55"/>
  <c r="AS498" i="55"/>
  <c r="AT498" i="55" s="1"/>
  <c r="T499" i="55"/>
  <c r="AQ499" i="55"/>
  <c r="AR499" i="55"/>
  <c r="AS499" i="55"/>
  <c r="AT499" i="55" s="1"/>
  <c r="AQ500" i="55"/>
  <c r="AR500" i="55"/>
  <c r="AS500" i="55"/>
  <c r="T501" i="55"/>
  <c r="AQ501" i="55"/>
  <c r="AT501" i="55" s="1"/>
  <c r="AR501" i="55"/>
  <c r="AS501" i="55"/>
  <c r="T502" i="55"/>
  <c r="AQ502" i="55"/>
  <c r="AR502" i="55"/>
  <c r="AS502" i="55"/>
  <c r="T503" i="55"/>
  <c r="AQ503" i="55"/>
  <c r="AR503" i="55"/>
  <c r="AS503" i="55"/>
  <c r="T504" i="55"/>
  <c r="AQ504" i="55"/>
  <c r="AR504" i="55"/>
  <c r="AS504" i="55"/>
  <c r="T505" i="55"/>
  <c r="AQ505" i="55"/>
  <c r="AR505" i="55"/>
  <c r="AS505" i="55"/>
  <c r="T506" i="55"/>
  <c r="AQ506" i="55"/>
  <c r="AR506" i="55"/>
  <c r="AS506" i="55"/>
  <c r="AQ507" i="55"/>
  <c r="AT507" i="55" s="1"/>
  <c r="AR507" i="55"/>
  <c r="AS507" i="55"/>
  <c r="AQ508" i="55"/>
  <c r="AR508" i="55"/>
  <c r="AS508" i="55"/>
  <c r="AQ509" i="55"/>
  <c r="AR509" i="55"/>
  <c r="AS509" i="55"/>
  <c r="T510" i="55"/>
  <c r="AQ510" i="55"/>
  <c r="AR510" i="55"/>
  <c r="AS510" i="55"/>
  <c r="AT510" i="55" s="1"/>
  <c r="T511" i="55"/>
  <c r="AQ511" i="55"/>
  <c r="AR511" i="55"/>
  <c r="AS511" i="55"/>
  <c r="AQ512" i="55"/>
  <c r="AR512" i="55"/>
  <c r="AS512" i="55"/>
  <c r="T513" i="55"/>
  <c r="AQ513" i="55"/>
  <c r="AR513" i="55"/>
  <c r="AS513" i="55"/>
  <c r="AQ514" i="55"/>
  <c r="AT514" i="55" s="1"/>
  <c r="AR514" i="55"/>
  <c r="AS514" i="55"/>
  <c r="T515" i="55"/>
  <c r="AQ515" i="55"/>
  <c r="AT515" i="55" s="1"/>
  <c r="AR515" i="55"/>
  <c r="AS515" i="55"/>
  <c r="T516" i="55"/>
  <c r="AQ516" i="55"/>
  <c r="AR516" i="55"/>
  <c r="AS516" i="55"/>
  <c r="AQ517" i="55"/>
  <c r="AR517" i="55"/>
  <c r="AS517" i="55"/>
  <c r="AQ518" i="55"/>
  <c r="AR518" i="55"/>
  <c r="AS518" i="55"/>
  <c r="AQ519" i="55"/>
  <c r="AR519" i="55"/>
  <c r="AS519" i="55"/>
  <c r="AQ520" i="55"/>
  <c r="AT520" i="55" s="1"/>
  <c r="AR520" i="55"/>
  <c r="AS520" i="55"/>
  <c r="AQ521" i="55"/>
  <c r="AR521" i="55"/>
  <c r="AS521" i="55"/>
  <c r="T522" i="55"/>
  <c r="AQ522" i="55"/>
  <c r="AR522" i="55"/>
  <c r="AS522" i="55"/>
  <c r="T523" i="55"/>
  <c r="AQ523" i="55"/>
  <c r="AR523" i="55"/>
  <c r="AS523" i="55"/>
  <c r="T524" i="55"/>
  <c r="AQ524" i="55"/>
  <c r="AR524" i="55"/>
  <c r="AS524" i="55"/>
  <c r="T525" i="55"/>
  <c r="AQ525" i="55"/>
  <c r="AR525" i="55"/>
  <c r="AS525" i="55"/>
  <c r="AQ526" i="55"/>
  <c r="AR526" i="55"/>
  <c r="AS526" i="55"/>
  <c r="AV527" i="55"/>
  <c r="AM527" i="55"/>
  <c r="AN527" i="55"/>
  <c r="AO527" i="55"/>
  <c r="AP527" i="55"/>
  <c r="AU527" i="55"/>
  <c r="T528" i="55"/>
  <c r="AQ528" i="55"/>
  <c r="AT528" i="55" s="1"/>
  <c r="AR528" i="55"/>
  <c r="AS528" i="55"/>
  <c r="AQ529" i="55"/>
  <c r="AR529" i="55"/>
  <c r="AS529" i="55"/>
  <c r="T530" i="55"/>
  <c r="AQ530" i="55"/>
  <c r="AR530" i="55"/>
  <c r="AS530" i="55"/>
  <c r="T531" i="55"/>
  <c r="AQ531" i="55"/>
  <c r="AR531" i="55"/>
  <c r="AS531" i="55"/>
  <c r="AQ532" i="55"/>
  <c r="AR532" i="55"/>
  <c r="AS532" i="55"/>
  <c r="AQ533" i="55"/>
  <c r="AR533" i="55"/>
  <c r="AS533" i="55"/>
  <c r="T534" i="55"/>
  <c r="AQ534" i="55"/>
  <c r="AR534" i="55"/>
  <c r="AS534" i="55"/>
  <c r="T535" i="55"/>
  <c r="AQ535" i="55"/>
  <c r="AR535" i="55"/>
  <c r="AS535" i="55"/>
  <c r="T536" i="55"/>
  <c r="AQ536" i="55"/>
  <c r="AR536" i="55"/>
  <c r="AS536" i="55"/>
  <c r="T537" i="55"/>
  <c r="AQ537" i="55"/>
  <c r="AR537" i="55"/>
  <c r="AS537" i="55"/>
  <c r="T538" i="55"/>
  <c r="AQ538" i="55"/>
  <c r="AR538" i="55"/>
  <c r="AS538" i="55"/>
  <c r="T539" i="55"/>
  <c r="AQ539" i="55"/>
  <c r="AR539" i="55"/>
  <c r="AS539" i="55"/>
  <c r="T540" i="55"/>
  <c r="AQ540" i="55"/>
  <c r="AR540" i="55"/>
  <c r="AS540" i="55"/>
  <c r="T541" i="55"/>
  <c r="AQ541" i="55"/>
  <c r="AR541" i="55"/>
  <c r="AS541" i="55"/>
  <c r="T542" i="55"/>
  <c r="AQ542" i="55"/>
  <c r="AR542" i="55"/>
  <c r="AS542" i="55"/>
  <c r="T543" i="55"/>
  <c r="AQ543" i="55"/>
  <c r="AR543" i="55"/>
  <c r="AS543" i="55"/>
  <c r="T544" i="55"/>
  <c r="AQ544" i="55"/>
  <c r="AR544" i="55"/>
  <c r="AS544" i="55"/>
  <c r="T545" i="55"/>
  <c r="AQ545" i="55"/>
  <c r="AR545" i="55"/>
  <c r="AS545" i="55"/>
  <c r="T546" i="55"/>
  <c r="AQ546" i="55"/>
  <c r="AR546" i="55"/>
  <c r="AS546" i="55"/>
  <c r="T547" i="55"/>
  <c r="AQ547" i="55"/>
  <c r="AR547" i="55"/>
  <c r="AS547" i="55"/>
  <c r="AQ548" i="55"/>
  <c r="AT548" i="55" s="1"/>
  <c r="AR548" i="55"/>
  <c r="AS548" i="55"/>
  <c r="T549" i="55"/>
  <c r="AQ549" i="55"/>
  <c r="AT549" i="55" s="1"/>
  <c r="AR549" i="55"/>
  <c r="AS549" i="55"/>
  <c r="AQ550" i="55"/>
  <c r="AR550" i="55"/>
  <c r="AS550" i="55"/>
  <c r="AQ551" i="55"/>
  <c r="AR551" i="55"/>
  <c r="AS551" i="55"/>
  <c r="AQ552" i="55"/>
  <c r="AR552" i="55"/>
  <c r="AS552" i="55"/>
  <c r="T553" i="55"/>
  <c r="AQ553" i="55"/>
  <c r="AR553" i="55"/>
  <c r="AS553" i="55"/>
  <c r="T554" i="55"/>
  <c r="AQ554" i="55"/>
  <c r="AR554" i="55"/>
  <c r="AS554" i="55"/>
  <c r="T555" i="55"/>
  <c r="AQ555" i="55"/>
  <c r="AR555" i="55"/>
  <c r="AS555" i="55"/>
  <c r="T556" i="55"/>
  <c r="AQ556" i="55"/>
  <c r="AR556" i="55"/>
  <c r="AS556" i="55"/>
  <c r="T557" i="55"/>
  <c r="AQ557" i="55"/>
  <c r="AR557" i="55"/>
  <c r="AS557" i="55"/>
  <c r="T558" i="55"/>
  <c r="AQ558" i="55"/>
  <c r="AT558" i="55" s="1"/>
  <c r="AR558" i="55"/>
  <c r="AS558" i="55"/>
  <c r="AQ559" i="55"/>
  <c r="AT559" i="55" s="1"/>
  <c r="AR559" i="55"/>
  <c r="AS559" i="55"/>
  <c r="T560" i="55"/>
  <c r="AQ560" i="55"/>
  <c r="AT560" i="55" s="1"/>
  <c r="AR560" i="55"/>
  <c r="AS560" i="55"/>
  <c r="T561" i="55"/>
  <c r="AQ561" i="55"/>
  <c r="AT561" i="55" s="1"/>
  <c r="AR561" i="55"/>
  <c r="AS561" i="55"/>
  <c r="T562" i="55"/>
  <c r="AQ562" i="55"/>
  <c r="AT562" i="55" s="1"/>
  <c r="AR562" i="55"/>
  <c r="AS562" i="55"/>
  <c r="AQ563" i="55"/>
  <c r="AR563" i="55"/>
  <c r="AS563" i="55"/>
  <c r="T564" i="55"/>
  <c r="AQ564" i="55"/>
  <c r="AR564" i="55"/>
  <c r="AS564" i="55"/>
  <c r="AQ565" i="55"/>
  <c r="AR565" i="55"/>
  <c r="AS565" i="55"/>
  <c r="T566" i="55"/>
  <c r="AQ566" i="55"/>
  <c r="AT566" i="55" s="1"/>
  <c r="AR566" i="55"/>
  <c r="AS566" i="55"/>
  <c r="T567" i="55"/>
  <c r="AQ567" i="55"/>
  <c r="AR567" i="55"/>
  <c r="AS567" i="55"/>
  <c r="T568" i="55"/>
  <c r="AQ568" i="55"/>
  <c r="AT568" i="55" s="1"/>
  <c r="AR568" i="55"/>
  <c r="AS568" i="55"/>
  <c r="T569" i="55"/>
  <c r="AQ569" i="55"/>
  <c r="AR569" i="55"/>
  <c r="AS569" i="55"/>
  <c r="T570" i="55"/>
  <c r="AQ570" i="55"/>
  <c r="AR570" i="55"/>
  <c r="AS570" i="55"/>
  <c r="AT570" i="55" s="1"/>
  <c r="T571" i="55"/>
  <c r="AQ571" i="55"/>
  <c r="AT571" i="55" s="1"/>
  <c r="AR571" i="55"/>
  <c r="AS571" i="55"/>
  <c r="AQ572" i="55"/>
  <c r="AR572" i="55"/>
  <c r="AS572" i="55"/>
  <c r="AQ573" i="55"/>
  <c r="AT573" i="55" s="1"/>
  <c r="AR573" i="55"/>
  <c r="AS573" i="55"/>
  <c r="T574" i="55"/>
  <c r="AQ574" i="55"/>
  <c r="AT574" i="55" s="1"/>
  <c r="AR574" i="55"/>
  <c r="AS574" i="55"/>
  <c r="T575" i="55"/>
  <c r="AQ575" i="55"/>
  <c r="AT575" i="55" s="1"/>
  <c r="AR575" i="55"/>
  <c r="AS575" i="55"/>
  <c r="AQ576" i="55"/>
  <c r="AR576" i="55"/>
  <c r="AS576" i="55"/>
  <c r="T577" i="55"/>
  <c r="AQ577" i="55"/>
  <c r="AR577" i="55"/>
  <c r="AS577" i="55"/>
  <c r="AQ578" i="55"/>
  <c r="AR578" i="55"/>
  <c r="AS578" i="55"/>
  <c r="T579" i="55"/>
  <c r="AQ579" i="55"/>
  <c r="AR579" i="55"/>
  <c r="AS579" i="55"/>
  <c r="T580" i="55"/>
  <c r="AQ580" i="55"/>
  <c r="AR580" i="55"/>
  <c r="AS580" i="55"/>
  <c r="AQ581" i="55"/>
  <c r="AR581" i="55"/>
  <c r="AS581" i="55"/>
  <c r="AQ582" i="55"/>
  <c r="AT582" i="55" s="1"/>
  <c r="AR582" i="55"/>
  <c r="AS582" i="55"/>
  <c r="AQ583" i="55"/>
  <c r="AR583" i="55"/>
  <c r="AS583" i="55"/>
  <c r="AQ584" i="55"/>
  <c r="AT584" i="55" s="1"/>
  <c r="AR584" i="55"/>
  <c r="AS584" i="55"/>
  <c r="AQ585" i="55"/>
  <c r="AR585" i="55"/>
  <c r="AS585" i="55"/>
  <c r="T586" i="55"/>
  <c r="AQ586" i="55"/>
  <c r="AR586" i="55"/>
  <c r="AS586" i="55"/>
  <c r="T587" i="55"/>
  <c r="AQ587" i="55"/>
  <c r="AR587" i="55"/>
  <c r="AS587" i="55"/>
  <c r="AQ588" i="55"/>
  <c r="AT588" i="55" s="1"/>
  <c r="AR588" i="55"/>
  <c r="AS588" i="55"/>
  <c r="AV589" i="55"/>
  <c r="AM589" i="55"/>
  <c r="AN589" i="55"/>
  <c r="AO589" i="55"/>
  <c r="AP589" i="55"/>
  <c r="AU589" i="55"/>
  <c r="T590" i="55"/>
  <c r="AQ590" i="55"/>
  <c r="AT590" i="55" s="1"/>
  <c r="AR590" i="55"/>
  <c r="AS590" i="55"/>
  <c r="AQ591" i="55"/>
  <c r="AR591" i="55"/>
  <c r="AS591" i="55"/>
  <c r="AQ592" i="55"/>
  <c r="AT592" i="55" s="1"/>
  <c r="AR592" i="55"/>
  <c r="AS592" i="55"/>
  <c r="T593" i="55"/>
  <c r="AQ593" i="55"/>
  <c r="AT593" i="55" s="1"/>
  <c r="AR593" i="55"/>
  <c r="AS593" i="55"/>
  <c r="T594" i="55"/>
  <c r="AQ594" i="55"/>
  <c r="AT594" i="55" s="1"/>
  <c r="AR594" i="55"/>
  <c r="AS594" i="55"/>
  <c r="T595" i="55"/>
  <c r="AQ595" i="55"/>
  <c r="AT595" i="55" s="1"/>
  <c r="AR595" i="55"/>
  <c r="AS595" i="55"/>
  <c r="T596" i="55"/>
  <c r="AQ596" i="55"/>
  <c r="AT596" i="55" s="1"/>
  <c r="AR596" i="55"/>
  <c r="AS596" i="55"/>
  <c r="T597" i="55"/>
  <c r="AQ597" i="55"/>
  <c r="AT597" i="55" s="1"/>
  <c r="AR597" i="55"/>
  <c r="AS597" i="55"/>
  <c r="T598" i="55"/>
  <c r="AQ598" i="55"/>
  <c r="AT598" i="55" s="1"/>
  <c r="AR598" i="55"/>
  <c r="AS598" i="55"/>
  <c r="T599" i="55"/>
  <c r="AQ599" i="55"/>
  <c r="AT599" i="55" s="1"/>
  <c r="AR599" i="55"/>
  <c r="AS599" i="55"/>
  <c r="T600" i="55"/>
  <c r="AQ600" i="55"/>
  <c r="AT600" i="55" s="1"/>
  <c r="AR600" i="55"/>
  <c r="AS600" i="55"/>
  <c r="AV602" i="55"/>
  <c r="AM602" i="55"/>
  <c r="AN602" i="55"/>
  <c r="AO602" i="55"/>
  <c r="AP602" i="55"/>
  <c r="AU602" i="55"/>
  <c r="T603" i="55"/>
  <c r="AQ603" i="55"/>
  <c r="AR603" i="55"/>
  <c r="AS603" i="55"/>
  <c r="AQ604" i="55"/>
  <c r="AR604" i="55"/>
  <c r="AS604" i="55"/>
  <c r="T605" i="55"/>
  <c r="AQ605" i="55"/>
  <c r="AR605" i="55"/>
  <c r="AS605" i="55"/>
  <c r="T606" i="55"/>
  <c r="AQ606" i="55"/>
  <c r="AR606" i="55"/>
  <c r="AS606" i="55"/>
  <c r="AQ607" i="55"/>
  <c r="AT607" i="55" s="1"/>
  <c r="AR607" i="55"/>
  <c r="AS607" i="55"/>
  <c r="AQ608" i="55"/>
  <c r="AR608" i="55"/>
  <c r="AS608" i="55"/>
  <c r="T609" i="55"/>
  <c r="AQ609" i="55"/>
  <c r="AR609" i="55"/>
  <c r="AS609" i="55"/>
  <c r="T610" i="55"/>
  <c r="AQ610" i="55"/>
  <c r="AR610" i="55"/>
  <c r="AS610" i="55"/>
  <c r="T611" i="55"/>
  <c r="AQ611" i="55"/>
  <c r="AR611" i="55"/>
  <c r="AS611" i="55"/>
  <c r="T612" i="55"/>
  <c r="AQ612" i="55"/>
  <c r="AR612" i="55"/>
  <c r="AS612" i="55"/>
  <c r="T613" i="55"/>
  <c r="AQ613" i="55"/>
  <c r="AR613" i="55"/>
  <c r="AS613" i="55"/>
  <c r="T614" i="55"/>
  <c r="AQ614" i="55"/>
  <c r="AR614" i="55"/>
  <c r="AS614" i="55"/>
  <c r="T615" i="55"/>
  <c r="AQ615" i="55"/>
  <c r="AR615" i="55"/>
  <c r="AS615" i="55"/>
  <c r="T616" i="55"/>
  <c r="AQ616" i="55"/>
  <c r="AR616" i="55"/>
  <c r="AS616" i="55"/>
  <c r="AQ617" i="55"/>
  <c r="AR617" i="55"/>
  <c r="AS617" i="55"/>
  <c r="T618" i="55"/>
  <c r="AQ618" i="55"/>
  <c r="AR618" i="55"/>
  <c r="AS618" i="55"/>
  <c r="AT618" i="55" s="1"/>
  <c r="T619" i="55"/>
  <c r="AQ619" i="55"/>
  <c r="AR619" i="55"/>
  <c r="AS619" i="55"/>
  <c r="T620" i="55"/>
  <c r="AQ620" i="55"/>
  <c r="AR620" i="55"/>
  <c r="AS620" i="55"/>
  <c r="T621" i="55"/>
  <c r="AQ621" i="55"/>
  <c r="AR621" i="55"/>
  <c r="AS621" i="55"/>
  <c r="T622" i="55"/>
  <c r="AQ622" i="55"/>
  <c r="AR622" i="55"/>
  <c r="AS622" i="55"/>
  <c r="AQ623" i="55"/>
  <c r="AR623" i="55"/>
  <c r="AS623" i="55"/>
  <c r="T624" i="55"/>
  <c r="AQ624" i="55"/>
  <c r="AR624" i="55"/>
  <c r="AS624" i="55"/>
  <c r="AQ625" i="55"/>
  <c r="AR625" i="55"/>
  <c r="AS625" i="55"/>
  <c r="AQ626" i="55"/>
  <c r="AR626" i="55"/>
  <c r="AS626" i="55"/>
  <c r="AQ627" i="55"/>
  <c r="AT627" i="55" s="1"/>
  <c r="AR627" i="55"/>
  <c r="AS627" i="55"/>
  <c r="T628" i="55"/>
  <c r="AQ628" i="55"/>
  <c r="AT628" i="55" s="1"/>
  <c r="AR628" i="55"/>
  <c r="AS628" i="55"/>
  <c r="T629" i="55"/>
  <c r="AQ629" i="55"/>
  <c r="AT629" i="55" s="1"/>
  <c r="AR629" i="55"/>
  <c r="AS629" i="55"/>
  <c r="T630" i="55"/>
  <c r="AQ630" i="55"/>
  <c r="AT630" i="55" s="1"/>
  <c r="AR630" i="55"/>
  <c r="AS630" i="55"/>
  <c r="T631" i="55"/>
  <c r="AQ631" i="55"/>
  <c r="AR631" i="55"/>
  <c r="AS631" i="55"/>
  <c r="T632" i="55"/>
  <c r="AQ632" i="55"/>
  <c r="AT632" i="55" s="1"/>
  <c r="AR632" i="55"/>
  <c r="AS632" i="55"/>
  <c r="T633" i="55"/>
  <c r="AQ633" i="55"/>
  <c r="AT633" i="55" s="1"/>
  <c r="AR633" i="55"/>
  <c r="AS633" i="55"/>
  <c r="AQ634" i="55"/>
  <c r="AR634" i="55"/>
  <c r="AS634" i="55"/>
  <c r="T635" i="55"/>
  <c r="AQ635" i="55"/>
  <c r="AR635" i="55"/>
  <c r="AS635" i="55"/>
  <c r="T636" i="55"/>
  <c r="AQ636" i="55"/>
  <c r="AR636" i="55"/>
  <c r="AS636" i="55"/>
  <c r="T637" i="55"/>
  <c r="AQ637" i="55"/>
  <c r="AR637" i="55"/>
  <c r="AS637" i="55"/>
  <c r="AQ638" i="55"/>
  <c r="AR638" i="55"/>
  <c r="AS638" i="55"/>
  <c r="T639" i="55"/>
  <c r="AQ639" i="55"/>
  <c r="AR639" i="55"/>
  <c r="AS639" i="55"/>
  <c r="AQ640" i="55"/>
  <c r="AR640" i="55"/>
  <c r="AS640" i="55"/>
  <c r="T641" i="55"/>
  <c r="AQ641" i="55"/>
  <c r="AR641" i="55"/>
  <c r="AS641" i="55"/>
  <c r="T642" i="55"/>
  <c r="AQ642" i="55"/>
  <c r="AR642" i="55"/>
  <c r="AS642" i="55"/>
  <c r="T643" i="55"/>
  <c r="AQ643" i="55"/>
  <c r="AR643" i="55"/>
  <c r="AS643" i="55"/>
  <c r="T644" i="55"/>
  <c r="AQ644" i="55"/>
  <c r="AR644" i="55"/>
  <c r="AS644" i="55"/>
  <c r="T645" i="55"/>
  <c r="AQ645" i="55"/>
  <c r="AR645" i="55"/>
  <c r="AS645" i="55"/>
  <c r="T646" i="55"/>
  <c r="AQ646" i="55"/>
  <c r="AR646" i="55"/>
  <c r="AS646" i="55"/>
  <c r="AQ647" i="55"/>
  <c r="AT647" i="55" s="1"/>
  <c r="AR647" i="55"/>
  <c r="AS647" i="55"/>
  <c r="AQ648" i="55"/>
  <c r="AR648" i="55"/>
  <c r="AS648" i="55"/>
  <c r="AQ649" i="55"/>
  <c r="AR649" i="55"/>
  <c r="AS649" i="55"/>
  <c r="T650" i="55"/>
  <c r="AQ650" i="55"/>
  <c r="AR650" i="55"/>
  <c r="AS650" i="55"/>
  <c r="T651" i="55"/>
  <c r="AQ651" i="55"/>
  <c r="AR651" i="55"/>
  <c r="AS651" i="55"/>
  <c r="AQ652" i="55"/>
  <c r="AR652" i="55"/>
  <c r="AS652" i="55"/>
  <c r="T653" i="55"/>
  <c r="AQ653" i="55"/>
  <c r="AR653" i="55"/>
  <c r="AS653" i="55"/>
  <c r="AQ654" i="55"/>
  <c r="AT654" i="55" s="1"/>
  <c r="AR654" i="55"/>
  <c r="AS654" i="55"/>
  <c r="AQ655" i="55"/>
  <c r="AR655" i="55"/>
  <c r="AS655" i="55"/>
  <c r="AQ656" i="55"/>
  <c r="AR656" i="55"/>
  <c r="AS656" i="55"/>
  <c r="AQ657" i="55"/>
  <c r="AR657" i="55"/>
  <c r="AS657" i="55"/>
  <c r="AQ658" i="55"/>
  <c r="AR658" i="55"/>
  <c r="AS658" i="55"/>
  <c r="AQ659" i="55"/>
  <c r="AR659" i="55"/>
  <c r="AS659" i="55"/>
  <c r="T660" i="55"/>
  <c r="AQ660" i="55"/>
  <c r="AR660" i="55"/>
  <c r="AS660" i="55"/>
  <c r="T661" i="55"/>
  <c r="AQ661" i="55"/>
  <c r="AR661" i="55"/>
  <c r="AS661" i="55"/>
  <c r="T662" i="55"/>
  <c r="AQ662" i="55"/>
  <c r="AR662" i="55"/>
  <c r="AS662" i="55"/>
  <c r="T663" i="55"/>
  <c r="AQ663" i="55"/>
  <c r="AR663" i="55"/>
  <c r="AS663" i="55"/>
  <c r="AQ664" i="55"/>
  <c r="AR664" i="55"/>
  <c r="AS664" i="55"/>
  <c r="AV665" i="55"/>
  <c r="AM665" i="55"/>
  <c r="AN665" i="55"/>
  <c r="AO665" i="55"/>
  <c r="AP665" i="55"/>
  <c r="AU665" i="55"/>
  <c r="T666" i="55"/>
  <c r="AQ666" i="55"/>
  <c r="AT666" i="55" s="1"/>
  <c r="AR666" i="55"/>
  <c r="AS666" i="55"/>
  <c r="AQ667" i="55"/>
  <c r="AR667" i="55"/>
  <c r="AS667" i="55"/>
  <c r="T668" i="55"/>
  <c r="AQ668" i="55"/>
  <c r="AR668" i="55"/>
  <c r="AS668" i="55"/>
  <c r="T669" i="55"/>
  <c r="AQ669" i="55"/>
  <c r="AR669" i="55"/>
  <c r="AS669" i="55"/>
  <c r="AQ670" i="55"/>
  <c r="AR670" i="55"/>
  <c r="AS670" i="55"/>
  <c r="AQ671" i="55"/>
  <c r="AR671" i="55"/>
  <c r="AS671" i="55"/>
  <c r="T672" i="55"/>
  <c r="AQ672" i="55"/>
  <c r="AR672" i="55"/>
  <c r="AS672" i="55"/>
  <c r="T673" i="55"/>
  <c r="AQ673" i="55"/>
  <c r="AR673" i="55"/>
  <c r="AS673" i="55"/>
  <c r="T674" i="55"/>
  <c r="AQ674" i="55"/>
  <c r="AR674" i="55"/>
  <c r="AS674" i="55"/>
  <c r="T675" i="55"/>
  <c r="AQ675" i="55"/>
  <c r="AR675" i="55"/>
  <c r="AS675" i="55"/>
  <c r="T676" i="55"/>
  <c r="AQ676" i="55"/>
  <c r="AR676" i="55"/>
  <c r="AS676" i="55"/>
  <c r="T677" i="55"/>
  <c r="AQ677" i="55"/>
  <c r="AR677" i="55"/>
  <c r="AS677" i="55"/>
  <c r="T678" i="55"/>
  <c r="AQ678" i="55"/>
  <c r="AR678" i="55"/>
  <c r="AS678" i="55"/>
  <c r="T679" i="55"/>
  <c r="AQ679" i="55"/>
  <c r="AR679" i="55"/>
  <c r="AS679" i="55"/>
  <c r="T680" i="55"/>
  <c r="AQ680" i="55"/>
  <c r="AR680" i="55"/>
  <c r="AS680" i="55"/>
  <c r="T681" i="55"/>
  <c r="AQ681" i="55"/>
  <c r="AR681" i="55"/>
  <c r="AS681" i="55"/>
  <c r="T682" i="55"/>
  <c r="AQ682" i="55"/>
  <c r="AR682" i="55"/>
  <c r="AS682" i="55"/>
  <c r="T683" i="55"/>
  <c r="AQ683" i="55"/>
  <c r="AR683" i="55"/>
  <c r="AS683" i="55"/>
  <c r="T684" i="55"/>
  <c r="AQ684" i="55"/>
  <c r="AR684" i="55"/>
  <c r="AS684" i="55"/>
  <c r="T685" i="55"/>
  <c r="AQ685" i="55"/>
  <c r="AR685" i="55"/>
  <c r="AS685" i="55"/>
  <c r="AQ686" i="55"/>
  <c r="AT686" i="55" s="1"/>
  <c r="AR686" i="55"/>
  <c r="AS686" i="55"/>
  <c r="T687" i="55"/>
  <c r="AQ687" i="55"/>
  <c r="AT687" i="55" s="1"/>
  <c r="AR687" i="55"/>
  <c r="AS687" i="55"/>
  <c r="AQ688" i="55"/>
  <c r="AR688" i="55"/>
  <c r="AS688" i="55"/>
  <c r="AQ689" i="55"/>
  <c r="AR689" i="55"/>
  <c r="AS689" i="55"/>
  <c r="AQ690" i="55"/>
  <c r="AR690" i="55"/>
  <c r="AS690" i="55"/>
  <c r="T691" i="55"/>
  <c r="AQ691" i="55"/>
  <c r="AR691" i="55"/>
  <c r="AS691" i="55"/>
  <c r="T692" i="55"/>
  <c r="AQ692" i="55"/>
  <c r="AR692" i="55"/>
  <c r="AS692" i="55"/>
  <c r="T693" i="55"/>
  <c r="AQ693" i="55"/>
  <c r="AR693" i="55"/>
  <c r="AS693" i="55"/>
  <c r="T694" i="55"/>
  <c r="AQ694" i="55"/>
  <c r="AR694" i="55"/>
  <c r="AS694" i="55"/>
  <c r="T695" i="55"/>
  <c r="AQ695" i="55"/>
  <c r="AR695" i="55"/>
  <c r="AS695" i="55"/>
  <c r="T696" i="55"/>
  <c r="AQ696" i="55"/>
  <c r="AR696" i="55"/>
  <c r="AS696" i="55"/>
  <c r="AQ697" i="55"/>
  <c r="AT697" i="55" s="1"/>
  <c r="AR697" i="55"/>
  <c r="AS697" i="55"/>
  <c r="T698" i="55"/>
  <c r="AQ698" i="55"/>
  <c r="AT698" i="55" s="1"/>
  <c r="AR698" i="55"/>
  <c r="AS698" i="55"/>
  <c r="T699" i="55"/>
  <c r="AQ699" i="55"/>
  <c r="AT699" i="55" s="1"/>
  <c r="AR699" i="55"/>
  <c r="AS699" i="55"/>
  <c r="T700" i="55"/>
  <c r="AQ700" i="55"/>
  <c r="AT700" i="55" s="1"/>
  <c r="AR700" i="55"/>
  <c r="AS700" i="55"/>
  <c r="AQ701" i="55"/>
  <c r="AR701" i="55"/>
  <c r="AS701" i="55"/>
  <c r="T702" i="55"/>
  <c r="AQ702" i="55"/>
  <c r="AR702" i="55"/>
  <c r="AS702" i="55"/>
  <c r="AQ703" i="55"/>
  <c r="AR703" i="55"/>
  <c r="AS703" i="55"/>
  <c r="T704" i="55"/>
  <c r="AQ704" i="55"/>
  <c r="AR704" i="55"/>
  <c r="AS704" i="55"/>
  <c r="T705" i="55"/>
  <c r="AQ705" i="55"/>
  <c r="AR705" i="55"/>
  <c r="AS705" i="55"/>
  <c r="T706" i="55"/>
  <c r="AQ706" i="55"/>
  <c r="AR706" i="55"/>
  <c r="AS706" i="55"/>
  <c r="T707" i="55"/>
  <c r="AQ707" i="55"/>
  <c r="AR707" i="55"/>
  <c r="AS707" i="55"/>
  <c r="T708" i="55"/>
  <c r="AQ708" i="55"/>
  <c r="AR708" i="55"/>
  <c r="AS708" i="55"/>
  <c r="T709" i="55"/>
  <c r="AQ709" i="55"/>
  <c r="AR709" i="55"/>
  <c r="AS709" i="55"/>
  <c r="AQ710" i="55"/>
  <c r="AR710" i="55"/>
  <c r="AS710" i="55"/>
  <c r="AQ711" i="55"/>
  <c r="AT711" i="55" s="1"/>
  <c r="AR711" i="55"/>
  <c r="AS711" i="55"/>
  <c r="T712" i="55"/>
  <c r="AQ712" i="55"/>
  <c r="AT712" i="55" s="1"/>
  <c r="AR712" i="55"/>
  <c r="AS712" i="55"/>
  <c r="T713" i="55"/>
  <c r="AQ713" i="55"/>
  <c r="AT713" i="55" s="1"/>
  <c r="AR713" i="55"/>
  <c r="AS713" i="55"/>
  <c r="AQ714" i="55"/>
  <c r="AR714" i="55"/>
  <c r="AS714" i="55"/>
  <c r="T715" i="55"/>
  <c r="AQ715" i="55"/>
  <c r="AR715" i="55"/>
  <c r="AS715" i="55"/>
  <c r="T716" i="55"/>
  <c r="AQ716" i="55"/>
  <c r="AR716" i="55"/>
  <c r="AS716" i="55"/>
  <c r="T717" i="55"/>
  <c r="AQ717" i="55"/>
  <c r="AR717" i="55"/>
  <c r="AS717" i="55"/>
  <c r="AQ718" i="55"/>
  <c r="AR718" i="55"/>
  <c r="AS718" i="55"/>
  <c r="AQ719" i="55"/>
  <c r="AR719" i="55"/>
  <c r="AS719" i="55"/>
  <c r="AQ720" i="55"/>
  <c r="AT720" i="55" s="1"/>
  <c r="AR720" i="55"/>
  <c r="AS720" i="55"/>
  <c r="AQ721" i="55"/>
  <c r="AR721" i="55"/>
  <c r="AS721" i="55"/>
  <c r="AQ722" i="55"/>
  <c r="AR722" i="55"/>
  <c r="AS722" i="55"/>
  <c r="AQ723" i="55"/>
  <c r="AR723" i="55"/>
  <c r="AS723" i="55"/>
  <c r="T724" i="55"/>
  <c r="AQ724" i="55"/>
  <c r="AR724" i="55"/>
  <c r="AS724" i="55"/>
  <c r="T725" i="55"/>
  <c r="AQ725" i="55"/>
  <c r="AR725" i="55"/>
  <c r="AS725" i="55"/>
  <c r="T726" i="55"/>
  <c r="AQ726" i="55"/>
  <c r="AR726" i="55"/>
  <c r="AS726" i="55"/>
  <c r="T727" i="55"/>
  <c r="AQ727" i="55"/>
  <c r="AR727" i="55"/>
  <c r="AS727" i="55"/>
  <c r="AV728" i="55"/>
  <c r="AM728" i="55"/>
  <c r="AN728" i="55"/>
  <c r="AO728" i="55"/>
  <c r="AP728" i="55"/>
  <c r="AU728" i="55"/>
  <c r="T729" i="55"/>
  <c r="AQ729" i="55"/>
  <c r="AR729" i="55"/>
  <c r="AS729" i="55"/>
  <c r="T730" i="55"/>
  <c r="AQ730" i="55"/>
  <c r="AR730" i="55"/>
  <c r="AS730" i="55"/>
  <c r="T731" i="55"/>
  <c r="AQ731" i="55"/>
  <c r="AR731" i="55"/>
  <c r="AS731" i="55"/>
  <c r="T732" i="55"/>
  <c r="AQ732" i="55"/>
  <c r="AR732" i="55"/>
  <c r="AS732" i="55"/>
  <c r="T733" i="55"/>
  <c r="AQ733" i="55"/>
  <c r="AR733" i="55"/>
  <c r="AS733" i="55"/>
  <c r="AV735" i="55"/>
  <c r="AM735" i="55"/>
  <c r="AN735" i="55"/>
  <c r="AO735" i="55"/>
  <c r="AP735" i="55"/>
  <c r="AU735" i="55"/>
  <c r="T736" i="55"/>
  <c r="AQ736" i="55"/>
  <c r="AR736" i="55"/>
  <c r="AS736" i="55"/>
  <c r="T737" i="55"/>
  <c r="AQ737" i="55"/>
  <c r="AR737" i="55"/>
  <c r="AS737" i="55"/>
  <c r="T738" i="55"/>
  <c r="AQ738" i="55"/>
  <c r="AR738" i="55"/>
  <c r="AS738" i="55"/>
  <c r="T739" i="55"/>
  <c r="AQ739" i="55"/>
  <c r="AR739" i="55"/>
  <c r="AS739" i="55"/>
  <c r="T740" i="55"/>
  <c r="AQ740" i="55"/>
  <c r="AR740" i="55"/>
  <c r="AS740" i="55"/>
  <c r="AV741" i="55"/>
  <c r="AM741" i="55"/>
  <c r="AN741" i="55"/>
  <c r="AO741" i="55"/>
  <c r="AP741" i="55"/>
  <c r="AU741" i="55"/>
  <c r="T742" i="55"/>
  <c r="AQ742" i="55"/>
  <c r="AR742" i="55"/>
  <c r="AS742" i="55"/>
  <c r="T743" i="55"/>
  <c r="AQ743" i="55"/>
  <c r="AR743" i="55"/>
  <c r="AS743" i="55"/>
  <c r="T744" i="55"/>
  <c r="AQ744" i="55"/>
  <c r="AR744" i="55"/>
  <c r="AS744" i="55"/>
  <c r="T745" i="55"/>
  <c r="AQ745" i="55"/>
  <c r="AR745" i="55"/>
  <c r="AS745" i="55"/>
  <c r="T746" i="55"/>
  <c r="AQ746" i="55"/>
  <c r="AR746" i="55"/>
  <c r="AS746" i="55"/>
  <c r="AV747" i="55"/>
  <c r="AM747" i="55"/>
  <c r="AN747" i="55"/>
  <c r="AO747" i="55"/>
  <c r="AP747" i="55"/>
  <c r="AU747" i="55"/>
  <c r="T748" i="55"/>
  <c r="AQ748" i="55"/>
  <c r="AR748" i="55"/>
  <c r="AS748" i="55"/>
  <c r="T749" i="55"/>
  <c r="AQ749" i="55"/>
  <c r="AR749" i="55"/>
  <c r="AS749" i="55"/>
  <c r="T750" i="55"/>
  <c r="AQ750" i="55"/>
  <c r="AR750" i="55"/>
  <c r="AS750" i="55"/>
  <c r="T751" i="55"/>
  <c r="AQ751" i="55"/>
  <c r="AR751" i="55"/>
  <c r="AS751" i="55"/>
  <c r="T752" i="55"/>
  <c r="AQ752" i="55"/>
  <c r="AR752" i="55"/>
  <c r="AS752" i="55"/>
  <c r="T753" i="55"/>
  <c r="AQ753" i="55"/>
  <c r="AR753" i="55"/>
  <c r="AS753" i="55"/>
  <c r="T754" i="55"/>
  <c r="AQ754" i="55"/>
  <c r="AR754" i="55"/>
  <c r="AS754" i="55"/>
  <c r="T755" i="55"/>
  <c r="AQ755" i="55"/>
  <c r="AR755" i="55"/>
  <c r="AS755" i="55"/>
  <c r="T756" i="55"/>
  <c r="AQ756" i="55"/>
  <c r="AR756" i="55"/>
  <c r="AS756" i="55"/>
  <c r="T757" i="55"/>
  <c r="AQ757" i="55"/>
  <c r="AR757" i="55"/>
  <c r="AS757" i="55"/>
  <c r="T758" i="55"/>
  <c r="AQ758" i="55"/>
  <c r="AR758" i="55"/>
  <c r="AS758" i="55"/>
  <c r="T759" i="55"/>
  <c r="AQ759" i="55"/>
  <c r="AR759" i="55"/>
  <c r="AS759" i="55"/>
  <c r="T760" i="55"/>
  <c r="AQ760" i="55"/>
  <c r="AR760" i="55"/>
  <c r="AS760" i="55"/>
  <c r="T761" i="55"/>
  <c r="AQ761" i="55"/>
  <c r="AR761" i="55"/>
  <c r="AS761" i="55"/>
  <c r="T762" i="55"/>
  <c r="AQ762" i="55"/>
  <c r="AR762" i="55"/>
  <c r="AS762" i="55"/>
  <c r="T763" i="55"/>
  <c r="AQ763" i="55"/>
  <c r="AR763" i="55"/>
  <c r="AS763" i="55"/>
  <c r="T764" i="55"/>
  <c r="AQ764" i="55"/>
  <c r="AR764" i="55"/>
  <c r="AS764" i="55"/>
  <c r="T765" i="55"/>
  <c r="AQ765" i="55"/>
  <c r="AR765" i="55"/>
  <c r="AS765" i="55"/>
  <c r="AV766" i="55"/>
  <c r="AM766" i="55"/>
  <c r="AN766" i="55"/>
  <c r="AO766" i="55"/>
  <c r="AP766" i="55"/>
  <c r="AU766" i="55"/>
  <c r="T767" i="55"/>
  <c r="AQ767" i="55"/>
  <c r="AR767" i="55"/>
  <c r="AS767" i="55"/>
  <c r="T768" i="55"/>
  <c r="AQ768" i="55"/>
  <c r="AR768" i="55"/>
  <c r="AS768" i="55"/>
  <c r="T769" i="55"/>
  <c r="AQ769" i="55"/>
  <c r="AR769" i="55"/>
  <c r="AS769" i="55"/>
  <c r="T770" i="55"/>
  <c r="AQ770" i="55"/>
  <c r="AR770" i="55"/>
  <c r="AS770" i="55"/>
  <c r="T771" i="55"/>
  <c r="AQ771" i="55"/>
  <c r="AR771" i="55"/>
  <c r="AS771" i="55"/>
  <c r="T772" i="55"/>
  <c r="AQ772" i="55"/>
  <c r="AR772" i="55"/>
  <c r="AS772" i="55"/>
  <c r="T773" i="55"/>
  <c r="AQ773" i="55"/>
  <c r="AR773" i="55"/>
  <c r="AS773" i="55"/>
  <c r="T774" i="55"/>
  <c r="AQ774" i="55"/>
  <c r="AR774" i="55"/>
  <c r="AS774" i="55"/>
  <c r="T775" i="55"/>
  <c r="AQ775" i="55"/>
  <c r="AR775" i="55"/>
  <c r="AS775" i="55"/>
  <c r="AV776" i="55"/>
  <c r="AM776" i="55"/>
  <c r="AN776" i="55"/>
  <c r="AO776" i="55"/>
  <c r="AP776" i="55"/>
  <c r="AU776" i="55"/>
  <c r="T777" i="55"/>
  <c r="AQ777" i="55"/>
  <c r="AR777" i="55"/>
  <c r="AS777" i="55"/>
  <c r="T778" i="55"/>
  <c r="AQ778" i="55"/>
  <c r="AR778" i="55"/>
  <c r="AS778" i="55"/>
  <c r="T779" i="55"/>
  <c r="AQ779" i="55"/>
  <c r="AR779" i="55"/>
  <c r="AS779" i="55"/>
  <c r="T780" i="55"/>
  <c r="AQ780" i="55"/>
  <c r="AR780" i="55"/>
  <c r="AS780" i="55"/>
  <c r="T781" i="55"/>
  <c r="AQ781" i="55"/>
  <c r="AR781" i="55"/>
  <c r="AS781" i="55"/>
  <c r="T782" i="55"/>
  <c r="AQ782" i="55"/>
  <c r="AR782" i="55"/>
  <c r="AS782" i="55"/>
  <c r="T783" i="55"/>
  <c r="AQ783" i="55"/>
  <c r="AR783" i="55"/>
  <c r="AS783" i="55"/>
  <c r="T784" i="55"/>
  <c r="AQ784" i="55"/>
  <c r="AR784" i="55"/>
  <c r="AS784" i="55"/>
  <c r="T785" i="55"/>
  <c r="AQ785" i="55"/>
  <c r="AR785" i="55"/>
  <c r="AS785" i="55"/>
  <c r="AV786" i="55"/>
  <c r="AM786" i="55"/>
  <c r="AN786" i="55"/>
  <c r="AO786" i="55"/>
  <c r="AP786" i="55"/>
  <c r="AU786" i="55"/>
  <c r="T787" i="55"/>
  <c r="AQ787" i="55"/>
  <c r="AR787" i="55"/>
  <c r="AS787" i="55"/>
  <c r="T788" i="55"/>
  <c r="AQ788" i="55"/>
  <c r="AR788" i="55"/>
  <c r="AS788" i="55"/>
  <c r="T789" i="55"/>
  <c r="AQ789" i="55"/>
  <c r="AR789" i="55"/>
  <c r="AS789" i="55"/>
  <c r="T790" i="55"/>
  <c r="AQ790" i="55"/>
  <c r="AR790" i="55"/>
  <c r="AS790" i="55"/>
  <c r="T791" i="55"/>
  <c r="AQ791" i="55"/>
  <c r="AR791" i="55"/>
  <c r="AS791" i="55"/>
  <c r="T792" i="55"/>
  <c r="AQ792" i="55"/>
  <c r="AR792" i="55"/>
  <c r="AS792" i="55"/>
  <c r="T793" i="55"/>
  <c r="AQ793" i="55"/>
  <c r="AR793" i="55"/>
  <c r="AS793" i="55"/>
  <c r="T794" i="55"/>
  <c r="AQ794" i="55"/>
  <c r="AR794" i="55"/>
  <c r="AS794" i="55"/>
  <c r="T795" i="55"/>
  <c r="AQ795" i="55"/>
  <c r="AR795" i="55"/>
  <c r="AS795" i="55"/>
  <c r="T796" i="55"/>
  <c r="AQ796" i="55"/>
  <c r="AR796" i="55"/>
  <c r="AS796" i="55"/>
  <c r="T797" i="55"/>
  <c r="AQ797" i="55"/>
  <c r="AR797" i="55"/>
  <c r="AS797" i="55"/>
  <c r="T798" i="55"/>
  <c r="AQ798" i="55"/>
  <c r="AR798" i="55"/>
  <c r="AS798" i="55"/>
  <c r="T799" i="55"/>
  <c r="AQ799" i="55"/>
  <c r="AR799" i="55"/>
  <c r="AS799" i="55"/>
  <c r="T801" i="55"/>
  <c r="AQ801" i="55"/>
  <c r="AR801" i="55"/>
  <c r="AS801" i="55"/>
  <c r="T802" i="55"/>
  <c r="AQ802" i="55"/>
  <c r="AR802" i="55"/>
  <c r="AS802" i="55"/>
  <c r="T803" i="55"/>
  <c r="AQ803" i="55"/>
  <c r="AR803" i="55"/>
  <c r="AS803" i="55"/>
  <c r="T804" i="55"/>
  <c r="AQ804" i="55"/>
  <c r="AR804" i="55"/>
  <c r="AS804" i="55"/>
  <c r="AV805" i="55"/>
  <c r="AM805" i="55"/>
  <c r="AN805" i="55"/>
  <c r="AO805" i="55"/>
  <c r="AP805" i="55"/>
  <c r="AU805" i="55"/>
  <c r="T806" i="55"/>
  <c r="AQ806" i="55"/>
  <c r="AR806" i="55"/>
  <c r="AS806" i="55"/>
  <c r="T807" i="55"/>
  <c r="AQ807" i="55"/>
  <c r="AR807" i="55"/>
  <c r="AS807" i="55"/>
  <c r="T808" i="55"/>
  <c r="AQ808" i="55"/>
  <c r="AR808" i="55"/>
  <c r="AS808" i="55"/>
  <c r="T809" i="55"/>
  <c r="AQ809" i="55"/>
  <c r="AR809" i="55"/>
  <c r="AS809" i="55"/>
  <c r="T810" i="55"/>
  <c r="AQ810" i="55"/>
  <c r="AR810" i="55"/>
  <c r="AS810" i="55"/>
  <c r="T811" i="55"/>
  <c r="AQ811" i="55"/>
  <c r="AR811" i="55"/>
  <c r="AS811" i="55"/>
  <c r="T812" i="55"/>
  <c r="AQ812" i="55"/>
  <c r="AR812" i="55"/>
  <c r="AS812" i="55"/>
  <c r="T813" i="55"/>
  <c r="AQ813" i="55"/>
  <c r="AR813" i="55"/>
  <c r="AS813" i="55"/>
  <c r="T814" i="55"/>
  <c r="AQ814" i="55"/>
  <c r="AR814" i="55"/>
  <c r="AS814" i="55"/>
  <c r="T815" i="55"/>
  <c r="AQ815" i="55"/>
  <c r="AR815" i="55"/>
  <c r="AS815" i="55"/>
  <c r="T816" i="55"/>
  <c r="AQ816" i="55"/>
  <c r="AR816" i="55"/>
  <c r="AS816" i="55"/>
  <c r="T817" i="55"/>
  <c r="AQ817" i="55"/>
  <c r="AR817" i="55"/>
  <c r="AS817" i="55"/>
  <c r="T818" i="55"/>
  <c r="AQ818" i="55"/>
  <c r="AR818" i="55"/>
  <c r="AS818" i="55"/>
  <c r="T819" i="55"/>
  <c r="AQ819" i="55"/>
  <c r="AR819" i="55"/>
  <c r="AS819" i="55"/>
  <c r="T820" i="55"/>
  <c r="AQ820" i="55"/>
  <c r="AR820" i="55"/>
  <c r="AS820" i="55"/>
  <c r="T821" i="55"/>
  <c r="AQ821" i="55"/>
  <c r="AR821" i="55"/>
  <c r="AS821" i="55"/>
  <c r="AV822" i="55"/>
  <c r="AM822" i="55"/>
  <c r="AN822" i="55"/>
  <c r="AO822" i="55"/>
  <c r="AP822" i="55"/>
  <c r="AU822" i="55"/>
  <c r="T823" i="55"/>
  <c r="AQ823" i="55"/>
  <c r="AR823" i="55"/>
  <c r="AS823" i="55"/>
  <c r="T824" i="55"/>
  <c r="AQ824" i="55"/>
  <c r="AR824" i="55"/>
  <c r="AS824" i="55"/>
  <c r="T825" i="55"/>
  <c r="AQ825" i="55"/>
  <c r="AR825" i="55"/>
  <c r="AS825" i="55"/>
  <c r="T826" i="55"/>
  <c r="AQ826" i="55"/>
  <c r="AR826" i="55"/>
  <c r="AS826" i="55"/>
  <c r="AV827" i="55"/>
  <c r="AM827" i="55"/>
  <c r="AN827" i="55"/>
  <c r="AO827" i="55"/>
  <c r="AP827" i="55"/>
  <c r="AU827" i="55"/>
  <c r="T828" i="55"/>
  <c r="AQ828" i="55"/>
  <c r="AR828" i="55"/>
  <c r="AS828" i="55"/>
  <c r="T829" i="55"/>
  <c r="AQ829" i="55"/>
  <c r="AR829" i="55"/>
  <c r="AS829" i="55"/>
  <c r="T830" i="55"/>
  <c r="AQ830" i="55"/>
  <c r="AR830" i="55"/>
  <c r="AS830" i="55"/>
  <c r="T831" i="55"/>
  <c r="AQ831" i="55"/>
  <c r="AR831" i="55"/>
  <c r="AS831" i="55"/>
  <c r="AV832" i="55"/>
  <c r="AM832" i="55"/>
  <c r="AN832" i="55"/>
  <c r="AO832" i="55"/>
  <c r="AP832" i="55"/>
  <c r="AU832" i="55"/>
  <c r="T833" i="55"/>
  <c r="AQ833" i="55"/>
  <c r="AR833" i="55"/>
  <c r="AS833" i="55"/>
  <c r="T834" i="55"/>
  <c r="AQ834" i="55"/>
  <c r="AR834" i="55"/>
  <c r="AS834" i="55"/>
  <c r="T835" i="55"/>
  <c r="AQ835" i="55"/>
  <c r="AR835" i="55"/>
  <c r="AS835" i="55"/>
  <c r="T836" i="55"/>
  <c r="AQ836" i="55"/>
  <c r="AR836" i="55"/>
  <c r="AS836" i="55"/>
  <c r="AV837" i="55"/>
  <c r="AM837" i="55"/>
  <c r="AN837" i="55"/>
  <c r="AO837" i="55"/>
  <c r="AP837" i="55"/>
  <c r="AU837" i="55"/>
  <c r="T838" i="55"/>
  <c r="AQ838" i="55"/>
  <c r="AR838" i="55"/>
  <c r="AS838" i="55"/>
  <c r="T839" i="55"/>
  <c r="AQ839" i="55"/>
  <c r="AR839" i="55"/>
  <c r="AS839" i="55"/>
  <c r="T840" i="55"/>
  <c r="AQ840" i="55"/>
  <c r="AR840" i="55"/>
  <c r="AS840" i="55"/>
  <c r="T841" i="55"/>
  <c r="AQ841" i="55"/>
  <c r="AR841" i="55"/>
  <c r="AS841" i="55"/>
  <c r="AV842" i="55"/>
  <c r="AM842" i="55"/>
  <c r="AN842" i="55"/>
  <c r="AO842" i="55"/>
  <c r="AP842" i="55"/>
  <c r="AU842" i="55"/>
  <c r="T843" i="55"/>
  <c r="AQ843" i="55"/>
  <c r="AR843" i="55"/>
  <c r="AS843" i="55"/>
  <c r="T844" i="55"/>
  <c r="AQ844" i="55"/>
  <c r="AR844" i="55"/>
  <c r="AS844" i="55"/>
  <c r="T845" i="55"/>
  <c r="AQ845" i="55"/>
  <c r="AR845" i="55"/>
  <c r="AS845" i="55"/>
  <c r="T846" i="55"/>
  <c r="AQ846" i="55"/>
  <c r="AR846" i="55"/>
  <c r="AS846" i="55"/>
  <c r="AV847" i="55"/>
  <c r="AM847" i="55"/>
  <c r="AN847" i="55"/>
  <c r="AO847" i="55"/>
  <c r="AP847" i="55"/>
  <c r="AU847" i="55"/>
  <c r="T848" i="55"/>
  <c r="AQ848" i="55"/>
  <c r="AR848" i="55"/>
  <c r="AS848" i="55"/>
  <c r="T849" i="55"/>
  <c r="AQ849" i="55"/>
  <c r="AR849" i="55"/>
  <c r="AS849" i="55"/>
  <c r="T850" i="55"/>
  <c r="AQ850" i="55"/>
  <c r="AR850" i="55"/>
  <c r="AS850" i="55"/>
  <c r="T851" i="55"/>
  <c r="AQ851" i="55"/>
  <c r="AR851" i="55"/>
  <c r="AS851" i="55"/>
  <c r="AT10" i="55"/>
  <c r="AP194" i="55"/>
  <c r="AT580" i="55"/>
  <c r="AT175" i="55"/>
  <c r="AM194" i="55"/>
  <c r="AT617" i="55"/>
  <c r="AT526" i="55"/>
  <c r="AT516" i="55"/>
  <c r="AT133" i="55"/>
  <c r="AT128" i="55"/>
  <c r="AT47" i="55"/>
  <c r="AO194" i="55"/>
  <c r="AT402" i="55"/>
  <c r="AT621" i="55"/>
  <c r="AT396" i="55"/>
  <c r="AP170" i="55"/>
  <c r="AT82" i="55"/>
  <c r="AT41" i="55"/>
  <c r="AT565" i="55"/>
  <c r="AT213" i="55"/>
  <c r="AT178" i="55"/>
  <c r="AN170" i="55"/>
  <c r="AT52" i="55"/>
  <c r="AT48" i="55"/>
  <c r="AT395" i="55"/>
  <c r="AT392" i="55"/>
  <c r="AM170" i="55"/>
  <c r="AT27" i="55"/>
  <c r="AT16" i="55"/>
  <c r="AT460" i="55"/>
  <c r="AT114" i="55"/>
  <c r="AT75" i="55"/>
  <c r="AT214" i="55"/>
  <c r="AT442" i="55"/>
  <c r="AT193" i="55"/>
  <c r="AT137" i="55"/>
  <c r="AT518" i="55"/>
  <c r="AT456" i="55"/>
  <c r="AT422" i="55"/>
  <c r="AT388" i="55"/>
  <c r="AT218" i="55"/>
  <c r="AT176" i="55"/>
  <c r="AT126" i="55"/>
  <c r="AT64" i="55"/>
  <c r="AT7" i="55"/>
  <c r="AT163" i="55"/>
  <c r="AT622" i="55"/>
  <c r="AT551" i="55"/>
  <c r="AT509" i="55"/>
  <c r="AT658" i="55"/>
  <c r="AT631" i="55"/>
  <c r="AT569" i="55"/>
  <c r="AT494" i="55"/>
  <c r="AT490" i="55"/>
  <c r="AT419" i="55"/>
  <c r="AT407" i="55"/>
  <c r="AT404" i="55"/>
  <c r="AT426" i="55"/>
  <c r="AT423" i="55"/>
  <c r="AT217" i="55"/>
  <c r="AT391" i="55"/>
  <c r="AT76" i="55"/>
  <c r="AT112" i="55"/>
  <c r="AT77" i="55"/>
  <c r="AT60" i="55"/>
  <c r="AT9" i="55"/>
  <c r="AT619" i="55"/>
  <c r="AT579" i="55"/>
  <c r="AT511" i="55"/>
  <c r="AT401" i="55"/>
  <c r="AT417" i="55"/>
  <c r="AT182" i="55"/>
  <c r="AT164" i="55"/>
  <c r="AT181" i="55"/>
  <c r="AT92" i="55"/>
  <c r="AT65" i="55"/>
  <c r="AT29" i="55"/>
  <c r="BI14" i="10"/>
  <c r="BI15" i="10"/>
  <c r="A15" i="11"/>
  <c r="A15" i="56"/>
  <c r="A14" i="11"/>
  <c r="A14" i="56"/>
  <c r="A13" i="56"/>
  <c r="A12" i="56"/>
  <c r="A11" i="56"/>
  <c r="A10" i="56"/>
  <c r="A9" i="56"/>
  <c r="A8" i="56"/>
  <c r="A7" i="56"/>
  <c r="J6" i="54"/>
  <c r="I6" i="54"/>
  <c r="J5" i="54"/>
  <c r="I5" i="54"/>
  <c r="D382" i="53"/>
  <c r="D377" i="53"/>
  <c r="D373" i="53"/>
  <c r="D367" i="53"/>
  <c r="D358" i="53"/>
  <c r="D357" i="53"/>
  <c r="D353" i="53"/>
  <c r="D348" i="53"/>
  <c r="D343" i="53"/>
  <c r="D338" i="53"/>
  <c r="D332" i="53"/>
  <c r="D327" i="53"/>
  <c r="D322" i="53"/>
  <c r="D321" i="53"/>
  <c r="D317" i="53"/>
  <c r="D313" i="53"/>
  <c r="D307" i="53"/>
  <c r="D304" i="53"/>
  <c r="D297" i="53"/>
  <c r="D296" i="53"/>
  <c r="D292" i="53"/>
  <c r="D283" i="53"/>
  <c r="D276" i="53"/>
  <c r="D272" i="53"/>
  <c r="D266" i="53"/>
  <c r="D265" i="53"/>
  <c r="D257" i="53"/>
  <c r="D251" i="53"/>
  <c r="D250" i="53"/>
  <c r="D246" i="53"/>
  <c r="D245" i="53"/>
  <c r="D244" i="53"/>
  <c r="D240" i="53"/>
  <c r="D236" i="53"/>
  <c r="D233" i="53"/>
  <c r="D229" i="53"/>
  <c r="D223" i="53"/>
  <c r="D217" i="53"/>
  <c r="D216" i="53"/>
  <c r="D212" i="53"/>
  <c r="D211" i="53"/>
  <c r="D210" i="53"/>
  <c r="D209" i="53"/>
  <c r="D205" i="53"/>
  <c r="D201" i="53"/>
  <c r="D190" i="53"/>
  <c r="D183" i="53"/>
  <c r="D182" i="53"/>
  <c r="D178" i="53"/>
  <c r="D177" i="53"/>
  <c r="D176" i="53"/>
  <c r="D170" i="53"/>
  <c r="D169" i="53"/>
  <c r="D168" i="53"/>
  <c r="D167" i="53"/>
  <c r="D166" i="53"/>
  <c r="D164" i="53"/>
  <c r="D161" i="53"/>
  <c r="D159" i="53"/>
  <c r="D153" i="53"/>
  <c r="D152" i="53"/>
  <c r="D151" i="53"/>
  <c r="D150" i="53"/>
  <c r="D149" i="53"/>
  <c r="D148" i="53"/>
  <c r="D144" i="53"/>
  <c r="D141" i="53"/>
  <c r="D140" i="53"/>
  <c r="D139" i="53"/>
  <c r="D138" i="53"/>
  <c r="D137" i="53"/>
  <c r="D132" i="53"/>
  <c r="D131" i="53"/>
  <c r="D127" i="53"/>
  <c r="D122" i="53"/>
  <c r="D112" i="53"/>
  <c r="D105" i="53"/>
  <c r="D104" i="53"/>
  <c r="D103" i="53"/>
  <c r="D99" i="53"/>
  <c r="D96" i="53"/>
  <c r="D93" i="53"/>
  <c r="D92" i="53"/>
  <c r="D85" i="53"/>
  <c r="D84" i="53"/>
  <c r="D80" i="53"/>
  <c r="D76" i="53"/>
  <c r="D75" i="53"/>
  <c r="D67" i="53"/>
  <c r="D60" i="53"/>
  <c r="D59" i="53"/>
  <c r="D51" i="53"/>
  <c r="D44" i="53"/>
  <c r="D43" i="53"/>
  <c r="D42" i="53"/>
  <c r="D36" i="53"/>
  <c r="D35" i="53"/>
  <c r="D31" i="53"/>
  <c r="D30" i="53"/>
  <c r="D29" i="53"/>
  <c r="D28" i="53"/>
  <c r="D27" i="53"/>
  <c r="D26" i="53"/>
  <c r="D25" i="53"/>
  <c r="D24" i="53"/>
  <c r="D23" i="53"/>
  <c r="D22" i="53"/>
  <c r="D21" i="53"/>
  <c r="D19" i="53"/>
  <c r="D18" i="53"/>
  <c r="D17" i="53"/>
  <c r="D16" i="53"/>
  <c r="D15" i="53"/>
  <c r="D14" i="53"/>
  <c r="D13" i="53"/>
  <c r="D12" i="53"/>
  <c r="D11" i="53"/>
  <c r="D10" i="53"/>
  <c r="D9" i="53"/>
  <c r="D8" i="53"/>
  <c r="D7" i="53"/>
  <c r="D6" i="53"/>
  <c r="I7" i="54"/>
  <c r="I8" i="54"/>
  <c r="I9" i="54"/>
  <c r="I10" i="54"/>
  <c r="I11" i="54"/>
  <c r="I12" i="54"/>
  <c r="I13" i="54"/>
  <c r="I14" i="54"/>
  <c r="I15" i="54"/>
  <c r="I16" i="54"/>
  <c r="I17" i="54"/>
  <c r="I18" i="54"/>
  <c r="I19" i="54"/>
  <c r="I21" i="54"/>
  <c r="I22" i="54"/>
  <c r="I23" i="54"/>
  <c r="I24" i="54"/>
  <c r="I25" i="54"/>
  <c r="I26" i="54"/>
  <c r="I27" i="54"/>
  <c r="I28" i="54"/>
  <c r="I29" i="54"/>
  <c r="I30" i="54"/>
  <c r="I31" i="54"/>
  <c r="I35" i="54"/>
  <c r="I36" i="54"/>
  <c r="I42" i="54"/>
  <c r="I43" i="54"/>
  <c r="I44" i="54"/>
  <c r="I51" i="54"/>
  <c r="I59" i="54"/>
  <c r="I60" i="54"/>
  <c r="I67" i="54"/>
  <c r="I75" i="54"/>
  <c r="I76" i="54"/>
  <c r="I80" i="54"/>
  <c r="I84" i="54"/>
  <c r="I85" i="54"/>
  <c r="I92" i="54"/>
  <c r="I93" i="54"/>
  <c r="I96" i="54"/>
  <c r="I99" i="54"/>
  <c r="I103" i="54"/>
  <c r="I104" i="54"/>
  <c r="I105" i="54"/>
  <c r="I112" i="54"/>
  <c r="I122" i="54"/>
  <c r="I127" i="54"/>
  <c r="I131" i="54"/>
  <c r="I132" i="54"/>
  <c r="I137" i="54"/>
  <c r="I138" i="54"/>
  <c r="I139" i="54"/>
  <c r="I140" i="54"/>
  <c r="I141" i="54"/>
  <c r="I144" i="54"/>
  <c r="I148" i="54"/>
  <c r="I149" i="54"/>
  <c r="I150" i="54"/>
  <c r="I151" i="54"/>
  <c r="I152" i="54"/>
  <c r="I153" i="54"/>
  <c r="I159" i="54"/>
  <c r="I161" i="54"/>
  <c r="I164" i="54"/>
  <c r="I166" i="54"/>
  <c r="I167" i="54"/>
  <c r="I168" i="54"/>
  <c r="I169" i="54"/>
  <c r="I170" i="54"/>
  <c r="I176" i="54"/>
  <c r="I177" i="54"/>
  <c r="I178" i="54"/>
  <c r="I182" i="54"/>
  <c r="I183" i="54"/>
  <c r="I190" i="54"/>
  <c r="I201" i="54"/>
  <c r="I205" i="54"/>
  <c r="I209" i="54"/>
  <c r="I210" i="54"/>
  <c r="I211" i="54"/>
  <c r="I212" i="54"/>
  <c r="I216" i="54"/>
  <c r="I217" i="54"/>
  <c r="I223" i="54"/>
  <c r="I229" i="54"/>
  <c r="I233" i="54"/>
  <c r="I236" i="54"/>
  <c r="I240" i="54"/>
  <c r="I244" i="54"/>
  <c r="I245" i="54"/>
  <c r="I246" i="54"/>
  <c r="I247" i="54"/>
  <c r="I249" i="54"/>
  <c r="I250" i="54"/>
  <c r="I251" i="54"/>
  <c r="I252" i="54"/>
  <c r="I253" i="54"/>
  <c r="I254" i="54"/>
  <c r="I256" i="54"/>
  <c r="I257" i="54"/>
  <c r="I260" i="54"/>
  <c r="I265" i="54"/>
  <c r="I266" i="54"/>
  <c r="I268" i="54"/>
  <c r="I269" i="54"/>
  <c r="I270" i="54"/>
  <c r="I271" i="54"/>
  <c r="I272" i="54"/>
  <c r="I275" i="54"/>
  <c r="I276" i="54"/>
  <c r="I282" i="54"/>
  <c r="I283" i="54"/>
  <c r="I284" i="54"/>
  <c r="I285" i="54"/>
  <c r="I292" i="54"/>
  <c r="I296" i="54"/>
  <c r="I297" i="54"/>
  <c r="I298" i="54"/>
  <c r="I301" i="54"/>
  <c r="I302" i="54"/>
  <c r="I303" i="54"/>
  <c r="I304" i="54"/>
  <c r="I307" i="54"/>
  <c r="I309" i="54"/>
  <c r="I313" i="54"/>
  <c r="I314" i="54"/>
  <c r="I315" i="54"/>
  <c r="I316" i="54"/>
  <c r="I317" i="54"/>
  <c r="I321" i="54"/>
  <c r="I322" i="54"/>
  <c r="I327" i="54"/>
  <c r="I332" i="54"/>
  <c r="I338" i="54"/>
  <c r="I343" i="54"/>
  <c r="I348" i="54"/>
  <c r="I353" i="54"/>
  <c r="I354" i="54"/>
  <c r="I355" i="54"/>
  <c r="I356" i="54"/>
  <c r="I357" i="54"/>
  <c r="I358" i="54"/>
  <c r="I359" i="54"/>
  <c r="I360" i="54"/>
  <c r="I361" i="54"/>
  <c r="I362" i="54"/>
  <c r="I363" i="54"/>
  <c r="I364" i="54"/>
  <c r="I365" i="54"/>
  <c r="I366" i="54"/>
  <c r="I367" i="54"/>
  <c r="I368" i="54"/>
  <c r="I369" i="54"/>
  <c r="I370" i="54"/>
  <c r="I371" i="54"/>
  <c r="I372" i="54"/>
  <c r="I373" i="54"/>
  <c r="I374" i="54"/>
  <c r="I375" i="54"/>
  <c r="I376" i="54"/>
  <c r="I377" i="54"/>
  <c r="I378" i="54"/>
  <c r="I379" i="54"/>
  <c r="I380" i="54"/>
  <c r="I381" i="54"/>
  <c r="I382" i="54"/>
  <c r="I383" i="54"/>
  <c r="I384" i="54"/>
  <c r="I385" i="54"/>
  <c r="I386" i="54"/>
  <c r="I387" i="54"/>
  <c r="I388" i="54"/>
  <c r="C388" i="53"/>
  <c r="B388" i="53"/>
  <c r="C387" i="53"/>
  <c r="B387" i="53"/>
  <c r="C386" i="53"/>
  <c r="B386" i="53"/>
  <c r="C385" i="53"/>
  <c r="B385" i="53"/>
  <c r="C384" i="53"/>
  <c r="B384" i="53"/>
  <c r="C383" i="53"/>
  <c r="B383" i="53"/>
  <c r="C382" i="53"/>
  <c r="B382" i="53"/>
  <c r="C381" i="53"/>
  <c r="B381" i="53"/>
  <c r="C380" i="53"/>
  <c r="B380" i="53"/>
  <c r="C379" i="53"/>
  <c r="B379" i="53"/>
  <c r="C378" i="53"/>
  <c r="B378" i="53"/>
  <c r="C377" i="53"/>
  <c r="B377" i="53"/>
  <c r="C376" i="53"/>
  <c r="B376" i="53"/>
  <c r="C375" i="53"/>
  <c r="B375" i="53"/>
  <c r="C374" i="53"/>
  <c r="B374" i="53"/>
  <c r="C373" i="53"/>
  <c r="B373" i="53"/>
  <c r="C372" i="53"/>
  <c r="B372" i="53"/>
  <c r="C371" i="53"/>
  <c r="B371" i="53"/>
  <c r="C370" i="53"/>
  <c r="B370" i="53"/>
  <c r="C369" i="53"/>
  <c r="B369" i="53"/>
  <c r="C368" i="53"/>
  <c r="B368" i="53"/>
  <c r="C367" i="53"/>
  <c r="B367" i="53"/>
  <c r="C366" i="53"/>
  <c r="B366" i="53"/>
  <c r="C365" i="53"/>
  <c r="B365" i="53"/>
  <c r="C364" i="53"/>
  <c r="B364" i="53"/>
  <c r="C363" i="53"/>
  <c r="B363" i="53"/>
  <c r="C362" i="53"/>
  <c r="B362" i="53"/>
  <c r="C361" i="53"/>
  <c r="B361" i="53"/>
  <c r="C360" i="53"/>
  <c r="B360" i="53"/>
  <c r="C359" i="53"/>
  <c r="B359" i="53"/>
  <c r="C358" i="53"/>
  <c r="B358" i="53"/>
  <c r="B357" i="53"/>
  <c r="C356" i="53"/>
  <c r="B356" i="53"/>
  <c r="C355" i="53"/>
  <c r="B355" i="53"/>
  <c r="C354" i="53"/>
  <c r="B354" i="53"/>
  <c r="C353" i="53"/>
  <c r="B353" i="53"/>
  <c r="C352" i="53"/>
  <c r="B352" i="53"/>
  <c r="C351" i="53"/>
  <c r="B351" i="53"/>
  <c r="C350" i="53"/>
  <c r="B350" i="53"/>
  <c r="C349" i="53"/>
  <c r="B349" i="53"/>
  <c r="C348" i="53"/>
  <c r="B348" i="53"/>
  <c r="C347" i="53"/>
  <c r="B347" i="53"/>
  <c r="C346" i="53"/>
  <c r="B346" i="53"/>
  <c r="C345" i="53"/>
  <c r="B345" i="53"/>
  <c r="C344" i="53"/>
  <c r="B344" i="53"/>
  <c r="C343" i="53"/>
  <c r="B343" i="53"/>
  <c r="C342" i="53"/>
  <c r="B342" i="53"/>
  <c r="C341" i="53"/>
  <c r="B341" i="53"/>
  <c r="C340" i="53"/>
  <c r="B340" i="53"/>
  <c r="C339" i="53"/>
  <c r="B339" i="53"/>
  <c r="C338" i="53"/>
  <c r="B338" i="53"/>
  <c r="C337" i="53"/>
  <c r="B337" i="53"/>
  <c r="C336" i="53"/>
  <c r="B336" i="53"/>
  <c r="C335" i="53"/>
  <c r="B335" i="53"/>
  <c r="C334" i="53"/>
  <c r="B334" i="53"/>
  <c r="C333" i="53"/>
  <c r="B333" i="53"/>
  <c r="C332" i="53"/>
  <c r="B332" i="53"/>
  <c r="C331" i="53"/>
  <c r="B331" i="53"/>
  <c r="C330" i="53"/>
  <c r="B330" i="53"/>
  <c r="C329" i="53"/>
  <c r="B329" i="53"/>
  <c r="C328" i="53"/>
  <c r="B328" i="53"/>
  <c r="C327" i="53"/>
  <c r="B327" i="53"/>
  <c r="C326" i="53"/>
  <c r="B326" i="53"/>
  <c r="C325" i="53"/>
  <c r="B325" i="53"/>
  <c r="C324" i="53"/>
  <c r="B324" i="53"/>
  <c r="C323" i="53"/>
  <c r="B323" i="53"/>
  <c r="C322" i="53"/>
  <c r="B322" i="53"/>
  <c r="B321" i="53"/>
  <c r="C320" i="53"/>
  <c r="B320" i="53"/>
  <c r="C319" i="53"/>
  <c r="B319" i="53"/>
  <c r="C318" i="53"/>
  <c r="B318" i="53"/>
  <c r="C317" i="53"/>
  <c r="B317" i="53"/>
  <c r="C316" i="53"/>
  <c r="B316" i="53"/>
  <c r="C315" i="53"/>
  <c r="B315" i="53"/>
  <c r="C314" i="53"/>
  <c r="B314" i="53"/>
  <c r="C313" i="53"/>
  <c r="B313" i="53"/>
  <c r="C312" i="53"/>
  <c r="B312" i="53"/>
  <c r="C311" i="53"/>
  <c r="B311" i="53"/>
  <c r="C310" i="53"/>
  <c r="B310" i="53"/>
  <c r="C309" i="53"/>
  <c r="B309" i="53"/>
  <c r="C308" i="53"/>
  <c r="B308" i="53"/>
  <c r="C307" i="53"/>
  <c r="B307" i="53"/>
  <c r="C306" i="53"/>
  <c r="B306" i="53"/>
  <c r="C305" i="53"/>
  <c r="B305" i="53"/>
  <c r="C304" i="53"/>
  <c r="B304" i="53"/>
  <c r="C303" i="53"/>
  <c r="B303" i="53"/>
  <c r="C302" i="53"/>
  <c r="B302" i="53"/>
  <c r="C301" i="53"/>
  <c r="B301" i="53"/>
  <c r="C300" i="53"/>
  <c r="B300" i="53"/>
  <c r="C299" i="53"/>
  <c r="B299" i="53"/>
  <c r="C298" i="53"/>
  <c r="B298" i="53"/>
  <c r="C297" i="53"/>
  <c r="B297" i="53"/>
  <c r="B296" i="53"/>
  <c r="C295" i="53"/>
  <c r="B295" i="53"/>
  <c r="C294" i="53"/>
  <c r="B294" i="53"/>
  <c r="C293" i="53"/>
  <c r="B293" i="53"/>
  <c r="C292" i="53"/>
  <c r="B292" i="53"/>
  <c r="C291" i="53"/>
  <c r="B291" i="53"/>
  <c r="C290" i="53"/>
  <c r="B290" i="53"/>
  <c r="C289" i="53"/>
  <c r="B289" i="53"/>
  <c r="C288" i="53"/>
  <c r="B288" i="53"/>
  <c r="C287" i="53"/>
  <c r="B287" i="53"/>
  <c r="C286" i="53"/>
  <c r="B286" i="53"/>
  <c r="C285" i="53"/>
  <c r="B285" i="53"/>
  <c r="C284" i="53"/>
  <c r="B284" i="53"/>
  <c r="C283" i="53"/>
  <c r="B283" i="53"/>
  <c r="C282" i="53"/>
  <c r="B282" i="53"/>
  <c r="C281" i="53"/>
  <c r="B281" i="53"/>
  <c r="C280" i="53"/>
  <c r="B280" i="53"/>
  <c r="C279" i="53"/>
  <c r="B279" i="53"/>
  <c r="C278" i="53"/>
  <c r="B278" i="53"/>
  <c r="C277" i="53"/>
  <c r="B277" i="53"/>
  <c r="C276" i="53"/>
  <c r="B276" i="53"/>
  <c r="C275" i="53"/>
  <c r="B275" i="53"/>
  <c r="C274" i="53"/>
  <c r="B274" i="53"/>
  <c r="C273" i="53"/>
  <c r="B273" i="53"/>
  <c r="C272" i="53"/>
  <c r="B272" i="53"/>
  <c r="C271" i="53"/>
  <c r="B271" i="53"/>
  <c r="C270" i="53"/>
  <c r="B270" i="53"/>
  <c r="C269" i="53"/>
  <c r="B269" i="53"/>
  <c r="C268" i="53"/>
  <c r="B268" i="53"/>
  <c r="C267" i="53"/>
  <c r="B267" i="53"/>
  <c r="C266" i="53"/>
  <c r="B266" i="53"/>
  <c r="B265" i="53"/>
  <c r="C264" i="53"/>
  <c r="B264" i="53"/>
  <c r="C263" i="53"/>
  <c r="B263" i="53"/>
  <c r="C262" i="53"/>
  <c r="B262" i="53"/>
  <c r="C261" i="53"/>
  <c r="B261" i="53"/>
  <c r="C260" i="53"/>
  <c r="B260" i="53"/>
  <c r="C259" i="53"/>
  <c r="B259" i="53"/>
  <c r="C258" i="53"/>
  <c r="B258" i="53"/>
  <c r="C257" i="53"/>
  <c r="B257" i="53"/>
  <c r="C256" i="53"/>
  <c r="B256" i="53"/>
  <c r="C255" i="53"/>
  <c r="B255" i="53"/>
  <c r="C254" i="53"/>
  <c r="B254" i="53"/>
  <c r="C253" i="53"/>
  <c r="B253" i="53"/>
  <c r="C252" i="53"/>
  <c r="B252" i="53"/>
  <c r="C251" i="53"/>
  <c r="B251" i="53"/>
  <c r="B250" i="53"/>
  <c r="C247" i="53"/>
  <c r="B247" i="53"/>
  <c r="C246" i="53"/>
  <c r="B246" i="53"/>
  <c r="C245" i="53"/>
  <c r="B245" i="53"/>
  <c r="C244" i="53"/>
  <c r="B244" i="53"/>
  <c r="C243" i="53"/>
  <c r="B243" i="53"/>
  <c r="C242" i="53"/>
  <c r="B242" i="53"/>
  <c r="C241" i="53"/>
  <c r="B241" i="53"/>
  <c r="C240" i="53"/>
  <c r="B240" i="53"/>
  <c r="C239" i="53"/>
  <c r="B239" i="53"/>
  <c r="C238" i="53"/>
  <c r="B238" i="53"/>
  <c r="C237" i="53"/>
  <c r="B237" i="53"/>
  <c r="C236" i="53"/>
  <c r="B236" i="53"/>
  <c r="C235" i="53"/>
  <c r="B235" i="53"/>
  <c r="C234" i="53"/>
  <c r="B234" i="53"/>
  <c r="C233" i="53"/>
  <c r="B233" i="53"/>
  <c r="C232" i="53"/>
  <c r="B232" i="53"/>
  <c r="C231" i="53"/>
  <c r="B231" i="53"/>
  <c r="C230" i="53"/>
  <c r="B230" i="53"/>
  <c r="C229" i="53"/>
  <c r="B229" i="53"/>
  <c r="C228" i="53"/>
  <c r="B228" i="53"/>
  <c r="C227" i="53"/>
  <c r="B227" i="53"/>
  <c r="C226" i="53"/>
  <c r="B226" i="53"/>
  <c r="C225" i="53"/>
  <c r="B225" i="53"/>
  <c r="C224" i="53"/>
  <c r="B224" i="53"/>
  <c r="C223" i="53"/>
  <c r="B223" i="53"/>
  <c r="C222" i="53"/>
  <c r="B222" i="53"/>
  <c r="C221" i="53"/>
  <c r="B221" i="53"/>
  <c r="C220" i="53"/>
  <c r="B220" i="53"/>
  <c r="C219" i="53"/>
  <c r="B219" i="53"/>
  <c r="C218" i="53"/>
  <c r="B218" i="53"/>
  <c r="C217" i="53"/>
  <c r="B217" i="53"/>
  <c r="B216" i="53"/>
  <c r="C215" i="53"/>
  <c r="B215" i="53"/>
  <c r="C214" i="53"/>
  <c r="B214" i="53"/>
  <c r="C213" i="53"/>
  <c r="B213" i="53"/>
  <c r="C212" i="53"/>
  <c r="B212" i="53"/>
  <c r="C211" i="53"/>
  <c r="B211" i="53"/>
  <c r="C210" i="53"/>
  <c r="B210" i="53"/>
  <c r="C209" i="53"/>
  <c r="B209" i="53"/>
  <c r="C208" i="53"/>
  <c r="B208" i="53"/>
  <c r="C207" i="53"/>
  <c r="B207" i="53"/>
  <c r="C206" i="53"/>
  <c r="B206" i="53"/>
  <c r="C205" i="53"/>
  <c r="B205" i="53"/>
  <c r="C204" i="53"/>
  <c r="B204" i="53"/>
  <c r="C203" i="53"/>
  <c r="B203" i="53"/>
  <c r="C202" i="53"/>
  <c r="B202" i="53"/>
  <c r="C201" i="53"/>
  <c r="B201" i="53"/>
  <c r="C200" i="53"/>
  <c r="B200" i="53"/>
  <c r="C199" i="53"/>
  <c r="B199" i="53"/>
  <c r="C198" i="53"/>
  <c r="B198" i="53"/>
  <c r="C197" i="53"/>
  <c r="B197" i="53"/>
  <c r="C196" i="53"/>
  <c r="B196" i="53"/>
  <c r="C195" i="53"/>
  <c r="B195" i="53"/>
  <c r="C194" i="53"/>
  <c r="B194" i="53"/>
  <c r="C193" i="53"/>
  <c r="B193" i="53"/>
  <c r="C192" i="53"/>
  <c r="B192" i="53"/>
  <c r="C191" i="53"/>
  <c r="B191" i="53"/>
  <c r="C190" i="53"/>
  <c r="B190" i="53"/>
  <c r="C189" i="53"/>
  <c r="B189" i="53"/>
  <c r="C188" i="53"/>
  <c r="B188" i="53"/>
  <c r="C187" i="53"/>
  <c r="B187" i="53"/>
  <c r="C186" i="53"/>
  <c r="B186" i="53"/>
  <c r="C185" i="53"/>
  <c r="B185" i="53"/>
  <c r="C184" i="53"/>
  <c r="B184" i="53"/>
  <c r="C183" i="53"/>
  <c r="B183" i="53"/>
  <c r="C182" i="53"/>
  <c r="B182" i="53"/>
  <c r="C181" i="53"/>
  <c r="B181" i="53"/>
  <c r="C180" i="53"/>
  <c r="B180" i="53"/>
  <c r="C179" i="53"/>
  <c r="B179" i="53"/>
  <c r="C178" i="53"/>
  <c r="B178" i="53"/>
  <c r="C177" i="53"/>
  <c r="B177" i="53"/>
  <c r="C176" i="53"/>
  <c r="B176" i="53"/>
  <c r="C175" i="53"/>
  <c r="B175" i="53"/>
  <c r="C174" i="53"/>
  <c r="B174" i="53"/>
  <c r="C173" i="53"/>
  <c r="B173" i="53"/>
  <c r="C172" i="53"/>
  <c r="B172" i="53"/>
  <c r="C171" i="53"/>
  <c r="B171" i="53"/>
  <c r="C170" i="53"/>
  <c r="B170" i="53"/>
  <c r="C169" i="53"/>
  <c r="B169" i="53"/>
  <c r="C168" i="53"/>
  <c r="B168" i="53"/>
  <c r="B167" i="53"/>
  <c r="C166" i="53"/>
  <c r="B166" i="53"/>
  <c r="C165" i="53"/>
  <c r="B165" i="53"/>
  <c r="C164" i="53"/>
  <c r="B164" i="53"/>
  <c r="C163" i="53"/>
  <c r="B163" i="53"/>
  <c r="C162" i="53"/>
  <c r="B162" i="53"/>
  <c r="C161" i="53"/>
  <c r="B161" i="53"/>
  <c r="C160" i="53"/>
  <c r="B160" i="53"/>
  <c r="C159" i="53"/>
  <c r="B159" i="53"/>
  <c r="C158" i="53"/>
  <c r="B158" i="53"/>
  <c r="C157" i="53"/>
  <c r="B157" i="53"/>
  <c r="C156" i="53"/>
  <c r="B156" i="53"/>
  <c r="C155" i="53"/>
  <c r="B155" i="53"/>
  <c r="C154" i="53"/>
  <c r="B154" i="53"/>
  <c r="C153" i="53"/>
  <c r="B153" i="53"/>
  <c r="B152" i="53"/>
  <c r="C151" i="53"/>
  <c r="B151" i="53"/>
  <c r="C150" i="53"/>
  <c r="B150" i="53"/>
  <c r="C149" i="53"/>
  <c r="B149" i="53"/>
  <c r="C148" i="53"/>
  <c r="B148" i="53"/>
  <c r="C147" i="53"/>
  <c r="B147" i="53"/>
  <c r="C146" i="53"/>
  <c r="B146" i="53"/>
  <c r="C145" i="53"/>
  <c r="B145" i="53"/>
  <c r="C144" i="53"/>
  <c r="B144" i="53"/>
  <c r="C143" i="53"/>
  <c r="B143" i="53"/>
  <c r="C142" i="53"/>
  <c r="B142" i="53"/>
  <c r="C141" i="53"/>
  <c r="B141" i="53"/>
  <c r="C140" i="53"/>
  <c r="B140" i="53"/>
  <c r="C139" i="53"/>
  <c r="B139" i="53"/>
  <c r="C138" i="53"/>
  <c r="B138" i="53"/>
  <c r="C137" i="53"/>
  <c r="B137" i="53"/>
  <c r="C136" i="53"/>
  <c r="B136" i="53"/>
  <c r="C135" i="53"/>
  <c r="B135" i="53"/>
  <c r="C134" i="53"/>
  <c r="B134" i="53"/>
  <c r="C133" i="53"/>
  <c r="B133" i="53"/>
  <c r="C132" i="53"/>
  <c r="B132" i="53"/>
  <c r="B131" i="53"/>
  <c r="C130" i="53"/>
  <c r="B130" i="53"/>
  <c r="C129" i="53"/>
  <c r="B129" i="53"/>
  <c r="C128" i="53"/>
  <c r="B128" i="53"/>
  <c r="C127" i="53"/>
  <c r="B127" i="53"/>
  <c r="C126" i="53"/>
  <c r="B126" i="53"/>
  <c r="C125" i="53"/>
  <c r="B125" i="53"/>
  <c r="C124" i="53"/>
  <c r="B124" i="53"/>
  <c r="C123" i="53"/>
  <c r="B123" i="53"/>
  <c r="C122" i="53"/>
  <c r="B122" i="53"/>
  <c r="C121" i="53"/>
  <c r="B121" i="53"/>
  <c r="C120" i="53"/>
  <c r="B120" i="53"/>
  <c r="C119" i="53"/>
  <c r="B119" i="53"/>
  <c r="C118" i="53"/>
  <c r="B118" i="53"/>
  <c r="C117" i="53"/>
  <c r="B117" i="53"/>
  <c r="C116" i="53"/>
  <c r="B116" i="53"/>
  <c r="C115" i="53"/>
  <c r="B115" i="53"/>
  <c r="C114" i="53"/>
  <c r="B114" i="53"/>
  <c r="C113" i="53"/>
  <c r="B113" i="53"/>
  <c r="C112" i="53"/>
  <c r="B112" i="53"/>
  <c r="C111" i="53"/>
  <c r="B111" i="53"/>
  <c r="C110" i="53"/>
  <c r="B110" i="53"/>
  <c r="C109" i="53"/>
  <c r="B109" i="53"/>
  <c r="C108" i="53"/>
  <c r="B108" i="53"/>
  <c r="C107" i="53"/>
  <c r="B107" i="53"/>
  <c r="C106" i="53"/>
  <c r="B106" i="53"/>
  <c r="C105" i="53"/>
  <c r="B105" i="53"/>
  <c r="C104" i="53"/>
  <c r="B104" i="53"/>
  <c r="B103" i="53"/>
  <c r="C102" i="53"/>
  <c r="B102" i="53"/>
  <c r="C101" i="53"/>
  <c r="B101" i="53"/>
  <c r="C100" i="53"/>
  <c r="B100" i="53"/>
  <c r="C98" i="53"/>
  <c r="B98" i="53"/>
  <c r="C97" i="53"/>
  <c r="B97" i="53"/>
  <c r="C96" i="53"/>
  <c r="B96" i="53"/>
  <c r="C95" i="53"/>
  <c r="B95" i="53"/>
  <c r="C94" i="53"/>
  <c r="B94" i="53"/>
  <c r="C93" i="53"/>
  <c r="B93" i="53"/>
  <c r="C92" i="53"/>
  <c r="B92" i="53"/>
  <c r="C91" i="53"/>
  <c r="B91" i="53"/>
  <c r="C90" i="53"/>
  <c r="B90" i="53"/>
  <c r="C89" i="53"/>
  <c r="B89" i="53"/>
  <c r="C88" i="53"/>
  <c r="B88" i="53"/>
  <c r="C87" i="53"/>
  <c r="B87" i="53"/>
  <c r="C86" i="53"/>
  <c r="B86" i="53"/>
  <c r="C85" i="53"/>
  <c r="B85" i="53"/>
  <c r="B84" i="53"/>
  <c r="C83" i="53"/>
  <c r="B83" i="53"/>
  <c r="C82" i="53"/>
  <c r="B82" i="53"/>
  <c r="C81" i="53"/>
  <c r="B81" i="53"/>
  <c r="C80" i="53"/>
  <c r="B80" i="53"/>
  <c r="C79" i="53"/>
  <c r="B79" i="53"/>
  <c r="C78" i="53"/>
  <c r="B78" i="53"/>
  <c r="C77" i="53"/>
  <c r="B77" i="53"/>
  <c r="C76" i="53"/>
  <c r="B76" i="53"/>
  <c r="C75" i="53"/>
  <c r="B75" i="53"/>
  <c r="C74" i="53"/>
  <c r="B74" i="53"/>
  <c r="C73" i="53"/>
  <c r="B73" i="53"/>
  <c r="C72" i="53"/>
  <c r="B72" i="53"/>
  <c r="C71" i="53"/>
  <c r="B71" i="53"/>
  <c r="C70" i="53"/>
  <c r="B70" i="53"/>
  <c r="C69" i="53"/>
  <c r="B69" i="53"/>
  <c r="C68" i="53"/>
  <c r="B68" i="53"/>
  <c r="C67" i="53"/>
  <c r="B67" i="53"/>
  <c r="C66" i="53"/>
  <c r="B66" i="53"/>
  <c r="C65" i="53"/>
  <c r="B65" i="53"/>
  <c r="C64" i="53"/>
  <c r="B64" i="53"/>
  <c r="C63" i="53"/>
  <c r="B63" i="53"/>
  <c r="C62" i="53"/>
  <c r="B62" i="53"/>
  <c r="C61" i="53"/>
  <c r="B61" i="53"/>
  <c r="C60" i="53"/>
  <c r="B60" i="53"/>
  <c r="B59" i="53"/>
  <c r="C58" i="53"/>
  <c r="B58" i="53"/>
  <c r="C57" i="53"/>
  <c r="B57" i="53"/>
  <c r="C56" i="53"/>
  <c r="B56" i="53"/>
  <c r="C55" i="53"/>
  <c r="B55" i="53"/>
  <c r="C54" i="53"/>
  <c r="B54" i="53"/>
  <c r="C53" i="53"/>
  <c r="B53" i="53"/>
  <c r="C52" i="53"/>
  <c r="B52" i="53"/>
  <c r="C51" i="53"/>
  <c r="B51" i="53"/>
  <c r="C50" i="53"/>
  <c r="B50" i="53"/>
  <c r="C49" i="53"/>
  <c r="B49" i="53"/>
  <c r="C48" i="53"/>
  <c r="B48" i="53"/>
  <c r="C47" i="53"/>
  <c r="B47" i="53"/>
  <c r="C46" i="53"/>
  <c r="B46" i="53"/>
  <c r="C45" i="53"/>
  <c r="B45" i="53"/>
  <c r="C44" i="53"/>
  <c r="B44" i="53"/>
  <c r="C43" i="53"/>
  <c r="B43" i="53"/>
  <c r="C42" i="53"/>
  <c r="B42" i="53"/>
  <c r="C41" i="53"/>
  <c r="B41" i="53"/>
  <c r="C40" i="53"/>
  <c r="B40" i="53"/>
  <c r="C39" i="53"/>
  <c r="B39" i="53"/>
  <c r="C38" i="53"/>
  <c r="B38" i="53"/>
  <c r="C37" i="53"/>
  <c r="B37" i="53"/>
  <c r="C36" i="53"/>
  <c r="B36" i="53"/>
  <c r="B35" i="53"/>
  <c r="C34" i="53"/>
  <c r="B34" i="53"/>
  <c r="C33" i="53"/>
  <c r="B33" i="53"/>
  <c r="C32" i="53"/>
  <c r="B32" i="53"/>
  <c r="C31" i="53"/>
  <c r="B31" i="53"/>
  <c r="C30" i="53"/>
  <c r="B30" i="53"/>
  <c r="C29" i="53"/>
  <c r="B29" i="53"/>
  <c r="C28" i="53"/>
  <c r="B28" i="53"/>
  <c r="C27" i="53"/>
  <c r="B27" i="53"/>
  <c r="C26" i="53"/>
  <c r="B26" i="53"/>
  <c r="C25" i="53"/>
  <c r="B25" i="53"/>
  <c r="C24" i="53"/>
  <c r="B24" i="53"/>
  <c r="C23" i="53"/>
  <c r="B23" i="53"/>
  <c r="C22" i="53"/>
  <c r="B22" i="53"/>
  <c r="C21" i="53"/>
  <c r="B21" i="53"/>
  <c r="C20" i="53"/>
  <c r="B20" i="53"/>
  <c r="C19" i="53"/>
  <c r="B19" i="53"/>
  <c r="C18" i="53"/>
  <c r="B18" i="53"/>
  <c r="C17" i="53"/>
  <c r="B17" i="53"/>
  <c r="C16" i="53"/>
  <c r="B16" i="53"/>
  <c r="C15" i="53"/>
  <c r="B15" i="53"/>
  <c r="C14" i="53"/>
  <c r="B14" i="53"/>
  <c r="C13" i="53"/>
  <c r="B13" i="53"/>
  <c r="C12" i="53"/>
  <c r="B12" i="53"/>
  <c r="C11" i="53"/>
  <c r="B11" i="53"/>
  <c r="C10" i="53"/>
  <c r="B10" i="53"/>
  <c r="C9" i="53"/>
  <c r="B9" i="53"/>
  <c r="C8" i="53"/>
  <c r="B8" i="53"/>
  <c r="C7" i="53"/>
  <c r="B7" i="53"/>
  <c r="C6" i="53"/>
  <c r="B6" i="53"/>
  <c r="B5" i="53"/>
  <c r="C388" i="54"/>
  <c r="B388" i="54"/>
  <c r="C387" i="54"/>
  <c r="B387" i="54"/>
  <c r="C386" i="54"/>
  <c r="B386" i="54"/>
  <c r="C385" i="54"/>
  <c r="B385" i="54"/>
  <c r="C384" i="54"/>
  <c r="B384" i="54"/>
  <c r="C383" i="54"/>
  <c r="B383" i="54"/>
  <c r="C382" i="54"/>
  <c r="B382" i="54"/>
  <c r="C381" i="54"/>
  <c r="B381" i="54"/>
  <c r="C380" i="54"/>
  <c r="B380" i="54"/>
  <c r="C379" i="54"/>
  <c r="B379" i="54"/>
  <c r="C378" i="54"/>
  <c r="B378" i="54"/>
  <c r="C377" i="54"/>
  <c r="B377" i="54"/>
  <c r="C376" i="54"/>
  <c r="B376" i="54"/>
  <c r="C375" i="54"/>
  <c r="B375" i="54"/>
  <c r="C374" i="54"/>
  <c r="B374" i="54"/>
  <c r="C373" i="54"/>
  <c r="B373" i="54"/>
  <c r="C372" i="54"/>
  <c r="B372" i="54"/>
  <c r="C371" i="54"/>
  <c r="B371" i="54"/>
  <c r="C370" i="54"/>
  <c r="B370" i="54"/>
  <c r="C369" i="54"/>
  <c r="B369" i="54"/>
  <c r="C368" i="54"/>
  <c r="B368" i="54"/>
  <c r="C367" i="54"/>
  <c r="B367" i="54"/>
  <c r="C366" i="54"/>
  <c r="B366" i="54"/>
  <c r="C365" i="54"/>
  <c r="B365" i="54"/>
  <c r="C364" i="54"/>
  <c r="B364" i="54"/>
  <c r="C363" i="54"/>
  <c r="B363" i="54"/>
  <c r="C362" i="54"/>
  <c r="B362" i="54"/>
  <c r="C361" i="54"/>
  <c r="B361" i="54"/>
  <c r="C360" i="54"/>
  <c r="B360" i="54"/>
  <c r="C359" i="54"/>
  <c r="B359" i="54"/>
  <c r="C358" i="54"/>
  <c r="B358" i="54"/>
  <c r="B357" i="54"/>
  <c r="C356" i="54"/>
  <c r="B356" i="54"/>
  <c r="C355" i="54"/>
  <c r="B355" i="54"/>
  <c r="C354" i="54"/>
  <c r="B354" i="54"/>
  <c r="C353" i="54"/>
  <c r="B353" i="54"/>
  <c r="C352" i="54"/>
  <c r="B352" i="54"/>
  <c r="C351" i="54"/>
  <c r="B351" i="54"/>
  <c r="C350" i="54"/>
  <c r="B350" i="54"/>
  <c r="C349" i="54"/>
  <c r="B349" i="54"/>
  <c r="C348" i="54"/>
  <c r="B348" i="54"/>
  <c r="C347" i="54"/>
  <c r="B347" i="54"/>
  <c r="C346" i="54"/>
  <c r="B346" i="54"/>
  <c r="C345" i="54"/>
  <c r="B345" i="54"/>
  <c r="C344" i="54"/>
  <c r="B344" i="54"/>
  <c r="C343" i="54"/>
  <c r="B343" i="54"/>
  <c r="C342" i="54"/>
  <c r="B342" i="54"/>
  <c r="C341" i="54"/>
  <c r="B341" i="54"/>
  <c r="C340" i="54"/>
  <c r="B340" i="54"/>
  <c r="C339" i="54"/>
  <c r="B339" i="54"/>
  <c r="C338" i="54"/>
  <c r="B338" i="54"/>
  <c r="C337" i="54"/>
  <c r="B337" i="54"/>
  <c r="C336" i="54"/>
  <c r="B336" i="54"/>
  <c r="C335" i="54"/>
  <c r="B335" i="54"/>
  <c r="C334" i="54"/>
  <c r="B334" i="54"/>
  <c r="C333" i="54"/>
  <c r="B333" i="54"/>
  <c r="C332" i="54"/>
  <c r="B332" i="54"/>
  <c r="C331" i="54"/>
  <c r="B331" i="54"/>
  <c r="C330" i="54"/>
  <c r="B330" i="54"/>
  <c r="C329" i="54"/>
  <c r="B329" i="54"/>
  <c r="C328" i="54"/>
  <c r="B328" i="54"/>
  <c r="C327" i="54"/>
  <c r="B327" i="54"/>
  <c r="C326" i="54"/>
  <c r="B326" i="54"/>
  <c r="C325" i="54"/>
  <c r="B325" i="54"/>
  <c r="C324" i="54"/>
  <c r="B324" i="54"/>
  <c r="C323" i="54"/>
  <c r="B323" i="54"/>
  <c r="C322" i="54"/>
  <c r="B322" i="54"/>
  <c r="B321" i="54"/>
  <c r="C320" i="54"/>
  <c r="B320" i="54"/>
  <c r="C319" i="54"/>
  <c r="B319" i="54"/>
  <c r="C318" i="54"/>
  <c r="B318" i="54"/>
  <c r="C317" i="54"/>
  <c r="B317" i="54"/>
  <c r="C316" i="54"/>
  <c r="B316" i="54"/>
  <c r="C315" i="54"/>
  <c r="B315" i="54"/>
  <c r="C314" i="54"/>
  <c r="B314" i="54"/>
  <c r="C313" i="54"/>
  <c r="B313" i="54"/>
  <c r="C312" i="54"/>
  <c r="B312" i="54"/>
  <c r="C311" i="54"/>
  <c r="B311" i="54"/>
  <c r="C310" i="54"/>
  <c r="B310" i="54"/>
  <c r="C309" i="54"/>
  <c r="B309" i="54"/>
  <c r="C308" i="54"/>
  <c r="B308" i="54"/>
  <c r="C307" i="54"/>
  <c r="B307" i="54"/>
  <c r="C306" i="54"/>
  <c r="B306" i="54"/>
  <c r="C305" i="54"/>
  <c r="B305" i="54"/>
  <c r="C304" i="54"/>
  <c r="B304" i="54"/>
  <c r="C303" i="54"/>
  <c r="B303" i="54"/>
  <c r="C302" i="54"/>
  <c r="B302" i="54"/>
  <c r="C301" i="54"/>
  <c r="B301" i="54"/>
  <c r="C300" i="54"/>
  <c r="B300" i="54"/>
  <c r="C299" i="54"/>
  <c r="B299" i="54"/>
  <c r="C298" i="54"/>
  <c r="B298" i="54"/>
  <c r="C297" i="54"/>
  <c r="B297" i="54"/>
  <c r="B296" i="54"/>
  <c r="C295" i="54"/>
  <c r="B295" i="54"/>
  <c r="C294" i="54"/>
  <c r="B294" i="54"/>
  <c r="C293" i="54"/>
  <c r="B293" i="54"/>
  <c r="C292" i="54"/>
  <c r="B292" i="54"/>
  <c r="C291" i="54"/>
  <c r="B291" i="54"/>
  <c r="C290" i="54"/>
  <c r="B290" i="54"/>
  <c r="C289" i="54"/>
  <c r="B289" i="54"/>
  <c r="C288" i="54"/>
  <c r="B288" i="54"/>
  <c r="C287" i="54"/>
  <c r="B287" i="54"/>
  <c r="C286" i="54"/>
  <c r="B286" i="54"/>
  <c r="C285" i="54"/>
  <c r="B285" i="54"/>
  <c r="C284" i="54"/>
  <c r="B284" i="54"/>
  <c r="C283" i="54"/>
  <c r="B283" i="54"/>
  <c r="C282" i="54"/>
  <c r="B282" i="54"/>
  <c r="C281" i="54"/>
  <c r="B281" i="54"/>
  <c r="C280" i="54"/>
  <c r="B280" i="54"/>
  <c r="C279" i="54"/>
  <c r="B279" i="54"/>
  <c r="C278" i="54"/>
  <c r="B278" i="54"/>
  <c r="C277" i="54"/>
  <c r="B277" i="54"/>
  <c r="C276" i="54"/>
  <c r="B276" i="54"/>
  <c r="C275" i="54"/>
  <c r="B275" i="54"/>
  <c r="C274" i="54"/>
  <c r="B274" i="54"/>
  <c r="C273" i="54"/>
  <c r="B273" i="54"/>
  <c r="C272" i="54"/>
  <c r="B272" i="54"/>
  <c r="C271" i="54"/>
  <c r="B271" i="54"/>
  <c r="C270" i="54"/>
  <c r="B270" i="54"/>
  <c r="C269" i="54"/>
  <c r="B269" i="54"/>
  <c r="C268" i="54"/>
  <c r="B268" i="54"/>
  <c r="C267" i="54"/>
  <c r="B267" i="54"/>
  <c r="C266" i="54"/>
  <c r="B266" i="54"/>
  <c r="B265" i="54"/>
  <c r="C264" i="54"/>
  <c r="B264" i="54"/>
  <c r="C263" i="54"/>
  <c r="B263" i="54"/>
  <c r="C262" i="54"/>
  <c r="B262" i="54"/>
  <c r="C261" i="54"/>
  <c r="B261" i="54"/>
  <c r="C260" i="54"/>
  <c r="B260" i="54"/>
  <c r="C259" i="54"/>
  <c r="B259" i="54"/>
  <c r="C258" i="54"/>
  <c r="B258" i="54"/>
  <c r="C257" i="54"/>
  <c r="B257" i="54"/>
  <c r="C256" i="54"/>
  <c r="B256" i="54"/>
  <c r="C255" i="54"/>
  <c r="B255" i="54"/>
  <c r="C254" i="54"/>
  <c r="B254" i="54"/>
  <c r="C253" i="54"/>
  <c r="B253" i="54"/>
  <c r="C252" i="54"/>
  <c r="B252" i="54"/>
  <c r="C251" i="54"/>
  <c r="B251" i="54"/>
  <c r="B250" i="54"/>
  <c r="C249" i="54"/>
  <c r="B249" i="54"/>
  <c r="C247" i="54"/>
  <c r="B247" i="54"/>
  <c r="C246" i="54"/>
  <c r="B246" i="54"/>
  <c r="C245" i="54"/>
  <c r="B245" i="54"/>
  <c r="C244" i="54"/>
  <c r="B244" i="54"/>
  <c r="C243" i="54"/>
  <c r="B243" i="54"/>
  <c r="C242" i="54"/>
  <c r="B242" i="54"/>
  <c r="C241" i="54"/>
  <c r="B241" i="54"/>
  <c r="C240" i="54"/>
  <c r="B240" i="54"/>
  <c r="C239" i="54"/>
  <c r="B239" i="54"/>
  <c r="C238" i="54"/>
  <c r="B238" i="54"/>
  <c r="C237" i="54"/>
  <c r="B237" i="54"/>
  <c r="C236" i="54"/>
  <c r="B236" i="54"/>
  <c r="C235" i="54"/>
  <c r="B235" i="54"/>
  <c r="C234" i="54"/>
  <c r="B234" i="54"/>
  <c r="C233" i="54"/>
  <c r="B233" i="54"/>
  <c r="C232" i="54"/>
  <c r="B232" i="54"/>
  <c r="C231" i="54"/>
  <c r="B231" i="54"/>
  <c r="C230" i="54"/>
  <c r="B230" i="54"/>
  <c r="C229" i="54"/>
  <c r="B229" i="54"/>
  <c r="C228" i="54"/>
  <c r="B228" i="54"/>
  <c r="C227" i="54"/>
  <c r="B227" i="54"/>
  <c r="C226" i="54"/>
  <c r="B226" i="54"/>
  <c r="C225" i="54"/>
  <c r="B225" i="54"/>
  <c r="C224" i="54"/>
  <c r="B224" i="54"/>
  <c r="C223" i="54"/>
  <c r="B223" i="54"/>
  <c r="C222" i="54"/>
  <c r="B222" i="54"/>
  <c r="C221" i="54"/>
  <c r="B221" i="54"/>
  <c r="C220" i="54"/>
  <c r="B220" i="54"/>
  <c r="C219" i="54"/>
  <c r="B219" i="54"/>
  <c r="C218" i="54"/>
  <c r="B218" i="54"/>
  <c r="C217" i="54"/>
  <c r="B217" i="54"/>
  <c r="B216" i="54"/>
  <c r="C215" i="54"/>
  <c r="B215" i="54"/>
  <c r="C214" i="54"/>
  <c r="B214" i="54"/>
  <c r="C213" i="54"/>
  <c r="B213" i="54"/>
  <c r="C212" i="54"/>
  <c r="B212" i="54"/>
  <c r="C211" i="54"/>
  <c r="B211" i="54"/>
  <c r="C210" i="54"/>
  <c r="B210" i="54"/>
  <c r="C209" i="54"/>
  <c r="B209" i="54"/>
  <c r="C208" i="54"/>
  <c r="B208" i="54"/>
  <c r="C207" i="54"/>
  <c r="B207" i="54"/>
  <c r="C206" i="54"/>
  <c r="B206" i="54"/>
  <c r="C205" i="54"/>
  <c r="B205" i="54"/>
  <c r="C204" i="54"/>
  <c r="B204" i="54"/>
  <c r="C203" i="54"/>
  <c r="B203" i="54"/>
  <c r="C202" i="54"/>
  <c r="B202" i="54"/>
  <c r="C201" i="54"/>
  <c r="B201" i="54"/>
  <c r="C200" i="54"/>
  <c r="B200" i="54"/>
  <c r="C199" i="54"/>
  <c r="B199" i="54"/>
  <c r="C198" i="54"/>
  <c r="B198" i="54"/>
  <c r="C197" i="54"/>
  <c r="B197" i="54"/>
  <c r="C196" i="54"/>
  <c r="B196" i="54"/>
  <c r="C195" i="54"/>
  <c r="B195" i="54"/>
  <c r="C194" i="54"/>
  <c r="B194" i="54"/>
  <c r="C193" i="54"/>
  <c r="B193" i="54"/>
  <c r="C192" i="54"/>
  <c r="B192" i="54"/>
  <c r="C191" i="54"/>
  <c r="B191" i="54"/>
  <c r="C190" i="54"/>
  <c r="B190" i="54"/>
  <c r="C189" i="54"/>
  <c r="B189" i="54"/>
  <c r="C188" i="54"/>
  <c r="B188" i="54"/>
  <c r="C187" i="54"/>
  <c r="B187" i="54"/>
  <c r="C186" i="54"/>
  <c r="B186" i="54"/>
  <c r="C185" i="54"/>
  <c r="B185" i="54"/>
  <c r="C184" i="54"/>
  <c r="B184" i="54"/>
  <c r="C183" i="54"/>
  <c r="B183" i="54"/>
  <c r="C182" i="54"/>
  <c r="B182" i="54"/>
  <c r="C181" i="54"/>
  <c r="B181" i="54"/>
  <c r="C180" i="54"/>
  <c r="B180" i="54"/>
  <c r="C179" i="54"/>
  <c r="B179" i="54"/>
  <c r="C178" i="54"/>
  <c r="B178" i="54"/>
  <c r="C177" i="54"/>
  <c r="B177" i="54"/>
  <c r="C176" i="54"/>
  <c r="B176" i="54"/>
  <c r="C175" i="54"/>
  <c r="B175" i="54"/>
  <c r="C174" i="54"/>
  <c r="B174" i="54"/>
  <c r="C173" i="54"/>
  <c r="B173" i="54"/>
  <c r="C172" i="54"/>
  <c r="B172" i="54"/>
  <c r="C171" i="54"/>
  <c r="B171" i="54"/>
  <c r="C170" i="54"/>
  <c r="B170" i="54"/>
  <c r="C169" i="54"/>
  <c r="B169" i="54"/>
  <c r="C168" i="54"/>
  <c r="B168" i="54"/>
  <c r="B167" i="54"/>
  <c r="C166" i="54"/>
  <c r="B166" i="54"/>
  <c r="C165" i="54"/>
  <c r="B165" i="54"/>
  <c r="C164" i="54"/>
  <c r="B164" i="54"/>
  <c r="C163" i="54"/>
  <c r="B163" i="54"/>
  <c r="C162" i="54"/>
  <c r="B162" i="54"/>
  <c r="C161" i="54"/>
  <c r="B161" i="54"/>
  <c r="C160" i="54"/>
  <c r="B160" i="54"/>
  <c r="C159" i="54"/>
  <c r="B159" i="54"/>
  <c r="C158" i="54"/>
  <c r="B158" i="54"/>
  <c r="C157" i="54"/>
  <c r="B157" i="54"/>
  <c r="C156" i="54"/>
  <c r="B156" i="54"/>
  <c r="C155" i="54"/>
  <c r="B155" i="54"/>
  <c r="C154" i="54"/>
  <c r="B154" i="54"/>
  <c r="C153" i="54"/>
  <c r="B153" i="54"/>
  <c r="B152" i="54"/>
  <c r="C151" i="54"/>
  <c r="B151" i="54"/>
  <c r="C150" i="54"/>
  <c r="B150" i="54"/>
  <c r="C149" i="54"/>
  <c r="B149" i="54"/>
  <c r="C148" i="54"/>
  <c r="B148" i="54"/>
  <c r="C147" i="54"/>
  <c r="B147" i="54"/>
  <c r="C146" i="54"/>
  <c r="B146" i="54"/>
  <c r="C145" i="54"/>
  <c r="B145" i="54"/>
  <c r="C144" i="54"/>
  <c r="B144" i="54"/>
  <c r="C143" i="54"/>
  <c r="B143" i="54"/>
  <c r="C142" i="54"/>
  <c r="B142" i="54"/>
  <c r="C141" i="54"/>
  <c r="B141" i="54"/>
  <c r="C140" i="54"/>
  <c r="B140" i="54"/>
  <c r="C139" i="54"/>
  <c r="B139" i="54"/>
  <c r="C138" i="54"/>
  <c r="B138" i="54"/>
  <c r="C137" i="54"/>
  <c r="B137" i="54"/>
  <c r="C136" i="54"/>
  <c r="B136" i="54"/>
  <c r="C135" i="54"/>
  <c r="B135" i="54"/>
  <c r="C134" i="54"/>
  <c r="B134" i="54"/>
  <c r="C133" i="54"/>
  <c r="B133" i="54"/>
  <c r="C132" i="54"/>
  <c r="B132" i="54"/>
  <c r="B131" i="54"/>
  <c r="C130" i="54"/>
  <c r="B130" i="54"/>
  <c r="C129" i="54"/>
  <c r="B129" i="54"/>
  <c r="C128" i="54"/>
  <c r="B128" i="54"/>
  <c r="C127" i="54"/>
  <c r="B127" i="54"/>
  <c r="C126" i="54"/>
  <c r="B126" i="54"/>
  <c r="C125" i="54"/>
  <c r="B125" i="54"/>
  <c r="C124" i="54"/>
  <c r="B124" i="54"/>
  <c r="C123" i="54"/>
  <c r="B123" i="54"/>
  <c r="C122" i="54"/>
  <c r="B122" i="54"/>
  <c r="C121" i="54"/>
  <c r="B121" i="54"/>
  <c r="C120" i="54"/>
  <c r="B120" i="54"/>
  <c r="C119" i="54"/>
  <c r="B119" i="54"/>
  <c r="C118" i="54"/>
  <c r="B118" i="54"/>
  <c r="C117" i="54"/>
  <c r="B117" i="54"/>
  <c r="C116" i="54"/>
  <c r="B116" i="54"/>
  <c r="C115" i="54"/>
  <c r="B115" i="54"/>
  <c r="C114" i="54"/>
  <c r="B114" i="54"/>
  <c r="C113" i="54"/>
  <c r="B113" i="54"/>
  <c r="C112" i="54"/>
  <c r="B112" i="54"/>
  <c r="C111" i="54"/>
  <c r="B111" i="54"/>
  <c r="C110" i="54"/>
  <c r="B110" i="54"/>
  <c r="C109" i="54"/>
  <c r="B109" i="54"/>
  <c r="C108" i="54"/>
  <c r="B108" i="54"/>
  <c r="C107" i="54"/>
  <c r="B107" i="54"/>
  <c r="C106" i="54"/>
  <c r="B106" i="54"/>
  <c r="C105" i="54"/>
  <c r="B105" i="54"/>
  <c r="C104" i="54"/>
  <c r="B104" i="54"/>
  <c r="B103" i="54"/>
  <c r="C102" i="54"/>
  <c r="B102" i="54"/>
  <c r="C101" i="54"/>
  <c r="B101" i="54"/>
  <c r="C100" i="54"/>
  <c r="B100" i="54"/>
  <c r="C98" i="54"/>
  <c r="B98" i="54"/>
  <c r="C97" i="54"/>
  <c r="B97" i="54"/>
  <c r="C96" i="54"/>
  <c r="B96" i="54"/>
  <c r="C95" i="54"/>
  <c r="B95" i="54"/>
  <c r="C94" i="54"/>
  <c r="B94" i="54"/>
  <c r="C93" i="54"/>
  <c r="B93" i="54"/>
  <c r="C92" i="54"/>
  <c r="B92" i="54"/>
  <c r="C91" i="54"/>
  <c r="B91" i="54"/>
  <c r="C90" i="54"/>
  <c r="B90" i="54"/>
  <c r="C89" i="54"/>
  <c r="B89" i="54"/>
  <c r="C88" i="54"/>
  <c r="B88" i="54"/>
  <c r="C87" i="54"/>
  <c r="B87" i="54"/>
  <c r="C86" i="54"/>
  <c r="B86" i="54"/>
  <c r="C85" i="54"/>
  <c r="B85" i="54"/>
  <c r="B84" i="54"/>
  <c r="C83" i="54"/>
  <c r="B83" i="54"/>
  <c r="C82" i="54"/>
  <c r="B82" i="54"/>
  <c r="C81" i="54"/>
  <c r="B81" i="54"/>
  <c r="C80" i="54"/>
  <c r="B80" i="54"/>
  <c r="C79" i="54"/>
  <c r="B79" i="54"/>
  <c r="C78" i="54"/>
  <c r="B78" i="54"/>
  <c r="C77" i="54"/>
  <c r="B77" i="54"/>
  <c r="C76" i="54"/>
  <c r="B76" i="54"/>
  <c r="C75" i="54"/>
  <c r="B75" i="54"/>
  <c r="C74" i="54"/>
  <c r="B74" i="54"/>
  <c r="C73" i="54"/>
  <c r="B73" i="54"/>
  <c r="C72" i="54"/>
  <c r="B72" i="54"/>
  <c r="C71" i="54"/>
  <c r="B71" i="54"/>
  <c r="C70" i="54"/>
  <c r="B70" i="54"/>
  <c r="C69" i="54"/>
  <c r="B69" i="54"/>
  <c r="C68" i="54"/>
  <c r="B68" i="54"/>
  <c r="C67" i="54"/>
  <c r="B67" i="54"/>
  <c r="C66" i="54"/>
  <c r="B66" i="54"/>
  <c r="C65" i="54"/>
  <c r="B65" i="54"/>
  <c r="C64" i="54"/>
  <c r="B64" i="54"/>
  <c r="C63" i="54"/>
  <c r="B63" i="54"/>
  <c r="C62" i="54"/>
  <c r="B62" i="54"/>
  <c r="C61" i="54"/>
  <c r="B61" i="54"/>
  <c r="C60" i="54"/>
  <c r="B60" i="54"/>
  <c r="B59" i="54"/>
  <c r="C58" i="54"/>
  <c r="B58" i="54"/>
  <c r="C57" i="54"/>
  <c r="B57" i="54"/>
  <c r="C56" i="54"/>
  <c r="B56" i="54"/>
  <c r="C55" i="54"/>
  <c r="B55" i="54"/>
  <c r="C54" i="54"/>
  <c r="B54" i="54"/>
  <c r="C53" i="54"/>
  <c r="B53" i="54"/>
  <c r="C52" i="54"/>
  <c r="B52" i="54"/>
  <c r="C51" i="54"/>
  <c r="B51" i="54"/>
  <c r="C50" i="54"/>
  <c r="B50" i="54"/>
  <c r="C49" i="54"/>
  <c r="B49" i="54"/>
  <c r="C48" i="54"/>
  <c r="B48" i="54"/>
  <c r="C47" i="54"/>
  <c r="B47" i="54"/>
  <c r="C46" i="54"/>
  <c r="B46" i="54"/>
  <c r="C45" i="54"/>
  <c r="B45" i="54"/>
  <c r="C44" i="54"/>
  <c r="B44" i="54"/>
  <c r="C43" i="54"/>
  <c r="B43" i="54"/>
  <c r="C42" i="54"/>
  <c r="B42" i="54"/>
  <c r="C41" i="54"/>
  <c r="B41" i="54"/>
  <c r="C40" i="54"/>
  <c r="B40" i="54"/>
  <c r="C39" i="54"/>
  <c r="B39" i="54"/>
  <c r="C38" i="54"/>
  <c r="B38" i="54"/>
  <c r="C37" i="54"/>
  <c r="B37" i="54"/>
  <c r="C36" i="54"/>
  <c r="B36" i="54"/>
  <c r="B35" i="54"/>
  <c r="C34" i="54"/>
  <c r="B34" i="54"/>
  <c r="C33" i="54"/>
  <c r="B33" i="54"/>
  <c r="C32" i="54"/>
  <c r="B32" i="54"/>
  <c r="C31" i="54"/>
  <c r="B31" i="54"/>
  <c r="C30" i="54"/>
  <c r="B30" i="54"/>
  <c r="C29" i="54"/>
  <c r="B29" i="54"/>
  <c r="C28" i="54"/>
  <c r="B28" i="54"/>
  <c r="C27" i="54"/>
  <c r="B27" i="54"/>
  <c r="C26" i="54"/>
  <c r="B26" i="54"/>
  <c r="C25" i="54"/>
  <c r="B25" i="54"/>
  <c r="C24" i="54"/>
  <c r="B24" i="54"/>
  <c r="C23" i="54"/>
  <c r="B23" i="54"/>
  <c r="C22" i="54"/>
  <c r="B22" i="54"/>
  <c r="C21" i="54"/>
  <c r="B21" i="54"/>
  <c r="C20" i="54"/>
  <c r="B20" i="54"/>
  <c r="C19" i="54"/>
  <c r="B19" i="54"/>
  <c r="C18" i="54"/>
  <c r="B18" i="54"/>
  <c r="C17" i="54"/>
  <c r="B17" i="54"/>
  <c r="C16" i="54"/>
  <c r="B16" i="54"/>
  <c r="C15" i="54"/>
  <c r="B15" i="54"/>
  <c r="C14" i="54"/>
  <c r="B14" i="54"/>
  <c r="C13" i="54"/>
  <c r="B13" i="54"/>
  <c r="C12" i="54"/>
  <c r="B12" i="54"/>
  <c r="C11" i="54"/>
  <c r="B11" i="54"/>
  <c r="C10" i="54"/>
  <c r="B10" i="54"/>
  <c r="C9" i="54"/>
  <c r="B9" i="54"/>
  <c r="C8" i="54"/>
  <c r="B8" i="54"/>
  <c r="C7" i="54"/>
  <c r="B7" i="54"/>
  <c r="C6" i="54"/>
  <c r="B6" i="54"/>
  <c r="B5" i="54"/>
  <c r="A25" i="56"/>
  <c r="A24" i="56"/>
  <c r="A23" i="56"/>
  <c r="A22" i="56"/>
  <c r="A21" i="56"/>
  <c r="A20" i="56"/>
  <c r="A19" i="56"/>
  <c r="A18" i="56"/>
  <c r="A17" i="56"/>
  <c r="A16" i="56"/>
  <c r="A6" i="56"/>
  <c r="A25" i="11"/>
  <c r="A24" i="11"/>
  <c r="A23" i="11"/>
  <c r="A22" i="11"/>
  <c r="A20" i="11"/>
  <c r="A19" i="11"/>
  <c r="A18" i="11"/>
  <c r="A17" i="11"/>
  <c r="A16" i="11"/>
  <c r="A13" i="11"/>
  <c r="A12" i="11"/>
  <c r="A11" i="11"/>
  <c r="A10" i="11"/>
  <c r="A9" i="11"/>
  <c r="A8" i="11"/>
  <c r="A7" i="11"/>
  <c r="F121" i="37"/>
  <c r="A121" i="37"/>
  <c r="F120" i="37"/>
  <c r="A120" i="37"/>
  <c r="F119" i="37"/>
  <c r="A119" i="37"/>
  <c r="F118" i="37"/>
  <c r="A118" i="37"/>
  <c r="E116" i="37"/>
  <c r="A116" i="37"/>
  <c r="E115" i="37"/>
  <c r="A115" i="37"/>
  <c r="E114" i="37"/>
  <c r="A114" i="37"/>
  <c r="E113" i="37"/>
  <c r="A113" i="37"/>
  <c r="D111" i="37"/>
  <c r="A111" i="37"/>
  <c r="D110" i="37"/>
  <c r="A110" i="37"/>
  <c r="D109" i="37"/>
  <c r="A109" i="37"/>
  <c r="D108" i="37"/>
  <c r="A108" i="37"/>
  <c r="C106" i="37"/>
  <c r="A106" i="37"/>
  <c r="C105" i="37"/>
  <c r="A105" i="37"/>
  <c r="C104" i="37"/>
  <c r="A104" i="37"/>
  <c r="C103" i="37"/>
  <c r="A103" i="37"/>
  <c r="F233" i="36"/>
  <c r="A233" i="36"/>
  <c r="F232" i="36"/>
  <c r="A232" i="36"/>
  <c r="F231" i="36"/>
  <c r="A231" i="36"/>
  <c r="F230" i="36"/>
  <c r="A230" i="36"/>
  <c r="E228" i="36"/>
  <c r="A228" i="36"/>
  <c r="E227" i="36"/>
  <c r="A227" i="36"/>
  <c r="E226" i="36"/>
  <c r="A226" i="36"/>
  <c r="E225" i="36"/>
  <c r="A225" i="36"/>
  <c r="D223" i="36"/>
  <c r="A223" i="36"/>
  <c r="D222" i="36"/>
  <c r="A222" i="36"/>
  <c r="D221" i="36"/>
  <c r="A221" i="36"/>
  <c r="D220" i="36"/>
  <c r="A220" i="36"/>
  <c r="C218" i="36"/>
  <c r="A218" i="36"/>
  <c r="C217" i="36"/>
  <c r="A217" i="36"/>
  <c r="C216" i="36"/>
  <c r="A216" i="36"/>
  <c r="C215" i="36"/>
  <c r="A215" i="36"/>
  <c r="F398" i="35"/>
  <c r="F397" i="35"/>
  <c r="F396" i="35"/>
  <c r="F395" i="35"/>
  <c r="E393" i="35"/>
  <c r="E392" i="35"/>
  <c r="E391" i="35"/>
  <c r="E390" i="35"/>
  <c r="D388" i="35"/>
  <c r="D387" i="35"/>
  <c r="D386" i="35"/>
  <c r="D385" i="35"/>
  <c r="C383" i="35"/>
  <c r="C382" i="35"/>
  <c r="C381" i="35"/>
  <c r="C380" i="35"/>
  <c r="F118" i="34"/>
  <c r="F117" i="34"/>
  <c r="F116" i="34"/>
  <c r="F115" i="34"/>
  <c r="E113" i="34"/>
  <c r="E112" i="34"/>
  <c r="E111" i="34"/>
  <c r="E110" i="34"/>
  <c r="D108" i="34"/>
  <c r="D107" i="34"/>
  <c r="D106" i="34"/>
  <c r="D105" i="34"/>
  <c r="C103" i="34"/>
  <c r="C102" i="34"/>
  <c r="C101" i="34"/>
  <c r="C100" i="34"/>
  <c r="F239" i="32"/>
  <c r="A239" i="32"/>
  <c r="F238" i="32"/>
  <c r="A238" i="32"/>
  <c r="F237" i="32"/>
  <c r="A237" i="32"/>
  <c r="F236" i="32"/>
  <c r="A236" i="32"/>
  <c r="E234" i="32"/>
  <c r="A234" i="32"/>
  <c r="E233" i="32"/>
  <c r="A233" i="32"/>
  <c r="E232" i="32"/>
  <c r="A232" i="32"/>
  <c r="E231" i="32"/>
  <c r="A231" i="32"/>
  <c r="D229" i="32"/>
  <c r="A229" i="32"/>
  <c r="D228" i="32"/>
  <c r="A228" i="32"/>
  <c r="D227" i="32"/>
  <c r="A227" i="32"/>
  <c r="D226" i="32"/>
  <c r="A226" i="32"/>
  <c r="C224" i="32"/>
  <c r="A224" i="32"/>
  <c r="C223" i="32"/>
  <c r="A223" i="32"/>
  <c r="C222" i="32"/>
  <c r="A222" i="32"/>
  <c r="C221" i="32"/>
  <c r="A221" i="32"/>
  <c r="F159" i="31"/>
  <c r="A159" i="31"/>
  <c r="F158" i="31"/>
  <c r="A158" i="31"/>
  <c r="F157" i="31"/>
  <c r="A157" i="31"/>
  <c r="F156" i="31"/>
  <c r="A156" i="31"/>
  <c r="E154" i="31"/>
  <c r="A154" i="31"/>
  <c r="E153" i="31"/>
  <c r="A153" i="31"/>
  <c r="E152" i="31"/>
  <c r="A152" i="31"/>
  <c r="E151" i="31"/>
  <c r="A151" i="31"/>
  <c r="D149" i="31"/>
  <c r="A149" i="31"/>
  <c r="D148" i="31"/>
  <c r="A148" i="31"/>
  <c r="D147" i="31"/>
  <c r="A147" i="31"/>
  <c r="D146" i="31"/>
  <c r="A146" i="31"/>
  <c r="C144" i="31"/>
  <c r="A144" i="31"/>
  <c r="C143" i="31"/>
  <c r="A143" i="31"/>
  <c r="C142" i="31"/>
  <c r="A142" i="31"/>
  <c r="C141" i="31"/>
  <c r="A141" i="31"/>
  <c r="F175" i="30"/>
  <c r="A175" i="30"/>
  <c r="F174" i="30"/>
  <c r="A174" i="30"/>
  <c r="F173" i="30"/>
  <c r="A173" i="30"/>
  <c r="F172" i="30"/>
  <c r="A172" i="30"/>
  <c r="E170" i="30"/>
  <c r="A170" i="30"/>
  <c r="E169" i="30"/>
  <c r="A169" i="30"/>
  <c r="E168" i="30"/>
  <c r="A168" i="30"/>
  <c r="E167" i="30"/>
  <c r="A167" i="30"/>
  <c r="D165" i="30"/>
  <c r="A165" i="30"/>
  <c r="D164" i="30"/>
  <c r="A164" i="30"/>
  <c r="D163" i="30"/>
  <c r="A163" i="30"/>
  <c r="D162" i="30"/>
  <c r="A162" i="30"/>
  <c r="C160" i="30"/>
  <c r="A160" i="30"/>
  <c r="C159" i="30"/>
  <c r="A159" i="30"/>
  <c r="C158" i="30"/>
  <c r="A158" i="30"/>
  <c r="C157" i="30"/>
  <c r="A157" i="30"/>
  <c r="F195" i="29"/>
  <c r="A195" i="29"/>
  <c r="F194" i="29"/>
  <c r="A194" i="29"/>
  <c r="F193" i="29"/>
  <c r="A193" i="29"/>
  <c r="F192" i="29"/>
  <c r="A192" i="29"/>
  <c r="E190" i="29"/>
  <c r="A190" i="29"/>
  <c r="E189" i="29"/>
  <c r="A189" i="29"/>
  <c r="E188" i="29"/>
  <c r="A188" i="29"/>
  <c r="E187" i="29"/>
  <c r="A187" i="29"/>
  <c r="D185" i="29"/>
  <c r="A185" i="29"/>
  <c r="D184" i="29"/>
  <c r="A184" i="29"/>
  <c r="D183" i="29"/>
  <c r="A183" i="29"/>
  <c r="D182" i="29"/>
  <c r="A182" i="29"/>
  <c r="C180" i="29"/>
  <c r="A180" i="29"/>
  <c r="C179" i="29"/>
  <c r="A179" i="29"/>
  <c r="C178" i="29"/>
  <c r="A178" i="29"/>
  <c r="C177" i="29"/>
  <c r="A177" i="29"/>
  <c r="L376" i="21"/>
  <c r="L375" i="21"/>
  <c r="L388" i="21"/>
  <c r="L387" i="21"/>
  <c r="L386" i="21"/>
  <c r="L385" i="21"/>
  <c r="L384" i="21"/>
  <c r="L383" i="21"/>
  <c r="L381" i="21"/>
  <c r="L380" i="21"/>
  <c r="L379" i="21"/>
  <c r="L378" i="21"/>
  <c r="L374" i="21"/>
  <c r="L372" i="21"/>
  <c r="L371" i="21"/>
  <c r="L370" i="21"/>
  <c r="L369" i="21"/>
  <c r="L368" i="21"/>
  <c r="L366" i="21"/>
  <c r="L365" i="21"/>
  <c r="L364" i="21"/>
  <c r="L363" i="21"/>
  <c r="L362" i="21"/>
  <c r="L361" i="21"/>
  <c r="L360" i="21"/>
  <c r="L359" i="21"/>
  <c r="L14" i="21"/>
  <c r="L16" i="21"/>
  <c r="L17" i="21"/>
  <c r="L19" i="21"/>
  <c r="L20" i="21"/>
  <c r="L21" i="21"/>
  <c r="L22" i="21"/>
  <c r="L23" i="21"/>
  <c r="L24" i="21"/>
  <c r="L356" i="21"/>
  <c r="L355" i="21"/>
  <c r="L354" i="21"/>
  <c r="L352" i="21"/>
  <c r="L349" i="21"/>
  <c r="L347" i="21"/>
  <c r="L346" i="21"/>
  <c r="L345" i="21"/>
  <c r="L344" i="21"/>
  <c r="L342" i="21"/>
  <c r="L341" i="21"/>
  <c r="L340" i="21"/>
  <c r="L339" i="21"/>
  <c r="L337" i="21"/>
  <c r="L336" i="21"/>
  <c r="L335" i="21"/>
  <c r="L334" i="21"/>
  <c r="L333" i="21"/>
  <c r="L331" i="21"/>
  <c r="L330" i="21"/>
  <c r="L329" i="21"/>
  <c r="L328" i="21"/>
  <c r="L324" i="21"/>
  <c r="L314" i="21"/>
  <c r="L318" i="21"/>
  <c r="L316" i="21"/>
  <c r="L315" i="21"/>
  <c r="L312" i="21"/>
  <c r="L311" i="21"/>
  <c r="L310" i="21"/>
  <c r="L308" i="21"/>
  <c r="L306" i="21"/>
  <c r="L305" i="21"/>
  <c r="L303" i="21"/>
  <c r="L302" i="21"/>
  <c r="L301" i="21"/>
  <c r="L300" i="21"/>
  <c r="L299" i="21"/>
  <c r="L298" i="21"/>
  <c r="L319" i="21"/>
  <c r="L320" i="21"/>
  <c r="L309" i="21"/>
  <c r="L295" i="21"/>
  <c r="L294" i="21"/>
  <c r="L293" i="21"/>
  <c r="L291" i="21"/>
  <c r="L290" i="21"/>
  <c r="L289" i="21"/>
  <c r="L288" i="21"/>
  <c r="I288" i="21"/>
  <c r="K26" i="19" s="1"/>
  <c r="L287" i="21"/>
  <c r="L286" i="21"/>
  <c r="L284" i="21"/>
  <c r="L282" i="21"/>
  <c r="L281" i="21"/>
  <c r="L280" i="21"/>
  <c r="L279" i="21"/>
  <c r="L278" i="21"/>
  <c r="L277" i="21"/>
  <c r="L275" i="21"/>
  <c r="L274" i="21"/>
  <c r="L273" i="21"/>
  <c r="L270" i="21"/>
  <c r="L269" i="21"/>
  <c r="L268" i="21"/>
  <c r="L267" i="21"/>
  <c r="L263" i="21"/>
  <c r="L262" i="21"/>
  <c r="L261" i="21"/>
  <c r="L259" i="21"/>
  <c r="L258" i="21"/>
  <c r="I258" i="21"/>
  <c r="Z273" i="19" s="1"/>
  <c r="L256" i="21"/>
  <c r="L254" i="21"/>
  <c r="L253" i="21"/>
  <c r="L252" i="21"/>
  <c r="L248" i="21"/>
  <c r="L249" i="21"/>
  <c r="L237" i="21"/>
  <c r="I208" i="21"/>
  <c r="N33" i="19" s="1"/>
  <c r="L207" i="21"/>
  <c r="L189" i="21"/>
  <c r="I163" i="21"/>
  <c r="T273" i="19" s="1"/>
  <c r="I135" i="21"/>
  <c r="K268" i="19" s="1"/>
  <c r="L109" i="21"/>
  <c r="L82" i="21"/>
  <c r="I64" i="21"/>
  <c r="Q195" i="19" s="1"/>
  <c r="L58" i="21"/>
  <c r="I58" i="21"/>
  <c r="L57" i="21"/>
  <c r="I57" i="21"/>
  <c r="L56" i="21"/>
  <c r="I56" i="21"/>
  <c r="L55" i="21"/>
  <c r="I55" i="21"/>
  <c r="L54" i="21"/>
  <c r="I54" i="21"/>
  <c r="N148" i="19" s="1"/>
  <c r="L53" i="21"/>
  <c r="I53" i="21"/>
  <c r="L52" i="21"/>
  <c r="I52" i="21"/>
  <c r="L50" i="21"/>
  <c r="I50" i="21"/>
  <c r="L49" i="21"/>
  <c r="I49" i="21"/>
  <c r="L48" i="21"/>
  <c r="I48" i="21"/>
  <c r="L47" i="21"/>
  <c r="I47" i="21"/>
  <c r="L46" i="21"/>
  <c r="I46" i="21"/>
  <c r="L45" i="21"/>
  <c r="I45" i="21"/>
  <c r="L43" i="21"/>
  <c r="I43" i="21"/>
  <c r="L41" i="21"/>
  <c r="I41" i="21"/>
  <c r="I38" i="21"/>
  <c r="N194" i="19" s="1"/>
  <c r="L325" i="21"/>
  <c r="L350" i="21"/>
  <c r="L326" i="21"/>
  <c r="L351" i="21"/>
  <c r="L323" i="21"/>
  <c r="L255" i="21"/>
  <c r="N258" i="19"/>
  <c r="K99" i="19"/>
  <c r="K317" i="19"/>
  <c r="W244" i="19"/>
  <c r="T228" i="19"/>
  <c r="K53" i="19"/>
  <c r="T285" i="19"/>
  <c r="W39" i="19"/>
  <c r="Q249" i="19"/>
  <c r="W24" i="19"/>
  <c r="W9" i="19"/>
  <c r="T24" i="19"/>
  <c r="N48" i="19"/>
  <c r="K179" i="19"/>
  <c r="K178" i="19"/>
  <c r="N49" i="19"/>
  <c r="K49" i="19"/>
  <c r="N29" i="19"/>
  <c r="K48" i="19"/>
  <c r="K104" i="19"/>
  <c r="N46" i="19"/>
  <c r="N174" i="19"/>
  <c r="K174" i="19"/>
  <c r="K46" i="19"/>
  <c r="N24" i="19"/>
  <c r="K148" i="19"/>
  <c r="T149" i="19"/>
  <c r="W143" i="19"/>
  <c r="Q132" i="19"/>
  <c r="K28" i="19"/>
  <c r="K147" i="19"/>
  <c r="N140" i="19"/>
  <c r="K22" i="19"/>
  <c r="T143" i="19"/>
  <c r="K140" i="19"/>
  <c r="K24" i="19"/>
  <c r="Q149" i="19"/>
  <c r="Q143" i="19"/>
  <c r="N143" i="19"/>
  <c r="N149" i="19"/>
  <c r="K149" i="19"/>
  <c r="K143" i="19"/>
  <c r="T201" i="19"/>
  <c r="T242" i="19"/>
  <c r="T217" i="19"/>
  <c r="T251" i="19"/>
  <c r="T226" i="19"/>
  <c r="T208" i="19"/>
  <c r="T194" i="19"/>
  <c r="N217" i="19"/>
  <c r="K386" i="21"/>
  <c r="K383" i="21"/>
  <c r="K363" i="21"/>
  <c r="K316" i="21"/>
  <c r="J43" i="21"/>
  <c r="K43" i="21" s="1"/>
  <c r="D351" i="53"/>
  <c r="AZ351" i="54" s="1"/>
  <c r="D350" i="53"/>
  <c r="AZ350" i="54" s="1"/>
  <c r="D349" i="53"/>
  <c r="AZ349" i="54" s="1"/>
  <c r="D346" i="53"/>
  <c r="AZ346" i="54" s="1"/>
  <c r="D345" i="53"/>
  <c r="AZ345" i="54" s="1"/>
  <c r="D344" i="53"/>
  <c r="AZ344" i="54" s="1"/>
  <c r="D342" i="53"/>
  <c r="AZ342" i="54" s="1"/>
  <c r="D341" i="53"/>
  <c r="AZ341" i="54" s="1"/>
  <c r="D340" i="53"/>
  <c r="AZ340" i="54" s="1"/>
  <c r="D339" i="53"/>
  <c r="AZ339" i="54" s="1"/>
  <c r="D337" i="53"/>
  <c r="AZ337" i="54" s="1"/>
  <c r="D336" i="53"/>
  <c r="AZ336" i="54" s="1"/>
  <c r="D335" i="53"/>
  <c r="AZ335" i="54" s="1"/>
  <c r="D333" i="53"/>
  <c r="AZ333" i="54" s="1"/>
  <c r="D331" i="53"/>
  <c r="AZ331" i="54" s="1"/>
  <c r="D330" i="53"/>
  <c r="AZ330" i="54" s="1"/>
  <c r="D328" i="53"/>
  <c r="AZ328" i="54" s="1"/>
  <c r="D326" i="53"/>
  <c r="AZ326" i="54" s="1"/>
  <c r="D325" i="53"/>
  <c r="AZ325" i="54" s="1"/>
  <c r="D323" i="53"/>
  <c r="AZ323" i="54" s="1"/>
  <c r="D318" i="53"/>
  <c r="AZ318" i="54" s="1"/>
  <c r="D312" i="53"/>
  <c r="AZ312" i="54" s="1"/>
  <c r="D311" i="53"/>
  <c r="AZ311" i="54" s="1"/>
  <c r="D310" i="53"/>
  <c r="AZ310" i="54" s="1"/>
  <c r="D306" i="53"/>
  <c r="AZ306" i="54" s="1"/>
  <c r="D300" i="53"/>
  <c r="AZ300" i="54" s="1"/>
  <c r="D290" i="53"/>
  <c r="AZ290" i="54" s="1"/>
  <c r="D288" i="53"/>
  <c r="AZ288" i="54" s="1"/>
  <c r="D287" i="53"/>
  <c r="AZ287" i="54" s="1"/>
  <c r="D274" i="53"/>
  <c r="AZ274" i="54" s="1"/>
  <c r="D269" i="53"/>
  <c r="AZ269" i="54" s="1"/>
  <c r="D261" i="53"/>
  <c r="AZ261" i="54" s="1"/>
  <c r="D259" i="53"/>
  <c r="AZ259" i="54" s="1"/>
  <c r="D242" i="53"/>
  <c r="AZ242" i="54" s="1"/>
  <c r="D241" i="53"/>
  <c r="AZ241" i="54" s="1"/>
  <c r="D232" i="53"/>
  <c r="AZ232" i="54" s="1"/>
  <c r="D226" i="53"/>
  <c r="AZ226" i="54" s="1"/>
  <c r="D213" i="53"/>
  <c r="AZ213" i="54" s="1"/>
  <c r="D175" i="53"/>
  <c r="AZ175" i="54" s="1"/>
  <c r="D173" i="53"/>
  <c r="AZ173" i="54" s="1"/>
  <c r="D136" i="53"/>
  <c r="AZ136" i="54" s="1"/>
  <c r="D133" i="53"/>
  <c r="AZ133" i="54" s="1"/>
  <c r="D130" i="53"/>
  <c r="AZ130" i="54" s="1"/>
  <c r="D129" i="53"/>
  <c r="AZ129" i="54" s="1"/>
  <c r="D128" i="53"/>
  <c r="AZ128" i="54" s="1"/>
  <c r="D124" i="53"/>
  <c r="AZ124" i="54" s="1"/>
  <c r="D114" i="53"/>
  <c r="AZ114" i="54" s="1"/>
  <c r="D113" i="53"/>
  <c r="AZ113" i="54" s="1"/>
  <c r="D111" i="53"/>
  <c r="AZ111" i="54" s="1"/>
  <c r="D110" i="53"/>
  <c r="AZ110" i="54" s="1"/>
  <c r="D109" i="53"/>
  <c r="AZ109" i="54" s="1"/>
  <c r="D108" i="53"/>
  <c r="AZ108" i="54" s="1"/>
  <c r="D107" i="53"/>
  <c r="AZ107" i="54" s="1"/>
  <c r="D106" i="53"/>
  <c r="AZ106" i="54" s="1"/>
  <c r="D101" i="53"/>
  <c r="AZ101" i="54" s="1"/>
  <c r="D100" i="53"/>
  <c r="AZ100" i="54" s="1"/>
  <c r="D97" i="53"/>
  <c r="AZ97" i="54" s="1"/>
  <c r="D95" i="53"/>
  <c r="AZ95" i="54" s="1"/>
  <c r="D91" i="53"/>
  <c r="AZ91" i="54" s="1"/>
  <c r="D90" i="53"/>
  <c r="AZ90" i="54" s="1"/>
  <c r="D89" i="53"/>
  <c r="AZ89" i="54" s="1"/>
  <c r="D88" i="53"/>
  <c r="AZ88" i="54" s="1"/>
  <c r="D87" i="53"/>
  <c r="AZ87" i="54" s="1"/>
  <c r="D86" i="53"/>
  <c r="AZ86" i="54" s="1"/>
  <c r="D74" i="53"/>
  <c r="AZ74" i="54" s="1"/>
  <c r="CX264" i="54"/>
  <c r="CW264" i="54"/>
  <c r="CV264" i="54"/>
  <c r="CU264" i="54"/>
  <c r="CT264" i="54"/>
  <c r="CS264" i="54"/>
  <c r="CR264" i="54"/>
  <c r="CQ264" i="54"/>
  <c r="CP264" i="54"/>
  <c r="CO264" i="54"/>
  <c r="CN264" i="54"/>
  <c r="CM264" i="54"/>
  <c r="CL264" i="54"/>
  <c r="CK264" i="54"/>
  <c r="CJ264" i="54"/>
  <c r="CI264" i="54"/>
  <c r="CH264" i="54"/>
  <c r="CG264" i="54"/>
  <c r="CF264" i="54"/>
  <c r="CE264" i="54"/>
  <c r="CD264" i="54"/>
  <c r="CC264" i="54"/>
  <c r="CB264" i="54"/>
  <c r="CA264" i="54"/>
  <c r="BZ264" i="54"/>
  <c r="BY264" i="54"/>
  <c r="BX264" i="54"/>
  <c r="BW264" i="54"/>
  <c r="BV264" i="54"/>
  <c r="BU264" i="54"/>
  <c r="BT264" i="54"/>
  <c r="BS264" i="54"/>
  <c r="BR264" i="54"/>
  <c r="BQ264" i="54"/>
  <c r="BP264" i="54"/>
  <c r="BO264" i="54"/>
  <c r="BN264" i="54"/>
  <c r="BL264" i="54"/>
  <c r="BK264" i="54"/>
  <c r="CX249" i="54"/>
  <c r="CW249" i="54"/>
  <c r="CV249" i="54"/>
  <c r="CU249" i="54"/>
  <c r="CT249" i="54"/>
  <c r="CS249" i="54"/>
  <c r="CR249" i="54"/>
  <c r="CQ249" i="54"/>
  <c r="CP249" i="54"/>
  <c r="CO249" i="54"/>
  <c r="CN249" i="54"/>
  <c r="CM249" i="54"/>
  <c r="CL249" i="54"/>
  <c r="CK249" i="54"/>
  <c r="CJ249" i="54"/>
  <c r="CI249" i="54"/>
  <c r="CH249" i="54"/>
  <c r="CG249" i="54"/>
  <c r="CF249" i="54"/>
  <c r="CE249" i="54"/>
  <c r="CD249" i="54"/>
  <c r="CC249" i="54"/>
  <c r="CB249" i="54"/>
  <c r="CA249" i="54"/>
  <c r="BZ249" i="54"/>
  <c r="BY249" i="54"/>
  <c r="BX249" i="54"/>
  <c r="BW249" i="54"/>
  <c r="BV249" i="54"/>
  <c r="BU249" i="54"/>
  <c r="BT249" i="54"/>
  <c r="BS249" i="54"/>
  <c r="BR249" i="54"/>
  <c r="BQ249" i="54"/>
  <c r="BP249" i="54"/>
  <c r="BO249" i="54"/>
  <c r="BN249" i="54"/>
  <c r="BL249" i="54"/>
  <c r="BK249" i="54"/>
  <c r="K309" i="21"/>
  <c r="D181" i="53"/>
  <c r="AZ181" i="54" s="1"/>
  <c r="D188" i="53"/>
  <c r="AZ188" i="54" s="1"/>
  <c r="D214" i="53"/>
  <c r="AZ214" i="54" s="1"/>
  <c r="D235" i="53"/>
  <c r="AZ235" i="54" s="1"/>
  <c r="D279" i="53"/>
  <c r="AZ279" i="54" s="1"/>
  <c r="D34" i="53"/>
  <c r="AZ34" i="54" s="1"/>
  <c r="D55" i="53"/>
  <c r="AZ55" i="54" s="1"/>
  <c r="D63" i="53"/>
  <c r="AZ63" i="54" s="1"/>
  <c r="D125" i="53"/>
  <c r="AZ125" i="54" s="1"/>
  <c r="D189" i="53"/>
  <c r="AZ189" i="54" s="1"/>
  <c r="D278" i="53"/>
  <c r="AZ278" i="54" s="1"/>
  <c r="D280" i="53"/>
  <c r="AZ280" i="54" s="1"/>
  <c r="D66" i="53"/>
  <c r="AZ66" i="54" s="1"/>
  <c r="D163" i="53"/>
  <c r="AZ163" i="54" s="1"/>
  <c r="D179" i="53"/>
  <c r="AZ179" i="54" s="1"/>
  <c r="D202" i="53"/>
  <c r="AZ202" i="54" s="1"/>
  <c r="D237" i="53"/>
  <c r="AZ237" i="54" s="1"/>
  <c r="D262" i="53"/>
  <c r="AZ262" i="54" s="1"/>
  <c r="D32" i="53"/>
  <c r="AZ32" i="54" s="1"/>
  <c r="D45" i="53"/>
  <c r="AZ45" i="54" s="1"/>
  <c r="D47" i="53"/>
  <c r="AZ47" i="54" s="1"/>
  <c r="D49" i="53"/>
  <c r="AZ49" i="54" s="1"/>
  <c r="D57" i="53"/>
  <c r="AZ57" i="54" s="1"/>
  <c r="D69" i="53"/>
  <c r="AZ69" i="54" s="1"/>
  <c r="D116" i="53"/>
  <c r="AZ116" i="54" s="1"/>
  <c r="D120" i="53"/>
  <c r="AZ120" i="54" s="1"/>
  <c r="D123" i="53"/>
  <c r="AZ123" i="54" s="1"/>
  <c r="D143" i="53"/>
  <c r="AZ143" i="54" s="1"/>
  <c r="D165" i="53"/>
  <c r="AZ165" i="54" s="1"/>
  <c r="D195" i="53"/>
  <c r="AZ195" i="54" s="1"/>
  <c r="D222" i="53"/>
  <c r="AZ222" i="54" s="1"/>
  <c r="D228" i="53"/>
  <c r="AZ228" i="54" s="1"/>
  <c r="D273" i="53"/>
  <c r="AZ273" i="54" s="1"/>
  <c r="D319" i="53"/>
  <c r="AZ319" i="54" s="1"/>
  <c r="D115" i="53"/>
  <c r="AZ115" i="54" s="1"/>
  <c r="D185" i="53"/>
  <c r="AZ185" i="54" s="1"/>
  <c r="D193" i="53"/>
  <c r="AZ193" i="54" s="1"/>
  <c r="D231" i="53"/>
  <c r="AZ231" i="54" s="1"/>
  <c r="D20" i="53"/>
  <c r="AZ20" i="54" s="1"/>
  <c r="D46" i="53"/>
  <c r="AZ46" i="54" s="1"/>
  <c r="D58" i="53"/>
  <c r="AZ58" i="54" s="1"/>
  <c r="D62" i="53"/>
  <c r="AZ62" i="54" s="1"/>
  <c r="D72" i="53"/>
  <c r="AZ72" i="54" s="1"/>
  <c r="D78" i="53"/>
  <c r="AZ78" i="54" s="1"/>
  <c r="D118" i="53"/>
  <c r="AZ118" i="54" s="1"/>
  <c r="D134" i="53"/>
  <c r="AZ134" i="54" s="1"/>
  <c r="D142" i="53"/>
  <c r="AZ142" i="54" s="1"/>
  <c r="D156" i="53"/>
  <c r="AZ156" i="54" s="1"/>
  <c r="D158" i="53"/>
  <c r="AZ158" i="54" s="1"/>
  <c r="D196" i="53"/>
  <c r="AZ196" i="54" s="1"/>
  <c r="D221" i="53"/>
  <c r="AZ221" i="54" s="1"/>
  <c r="D294" i="53"/>
  <c r="AZ294" i="54" s="1"/>
  <c r="D299" i="53"/>
  <c r="AZ299" i="54" s="1"/>
  <c r="D320" i="53"/>
  <c r="AZ320" i="54" s="1"/>
  <c r="F235" i="39"/>
  <c r="A235" i="39"/>
  <c r="F234" i="39"/>
  <c r="A234" i="39"/>
  <c r="F233" i="39"/>
  <c r="A233" i="39"/>
  <c r="F232" i="39"/>
  <c r="A232" i="39"/>
  <c r="E230" i="39"/>
  <c r="A230" i="39"/>
  <c r="E229" i="39"/>
  <c r="A229" i="39"/>
  <c r="E228" i="39"/>
  <c r="A228" i="39"/>
  <c r="E227" i="39"/>
  <c r="A227" i="39"/>
  <c r="D225" i="39"/>
  <c r="A225" i="39"/>
  <c r="D224" i="39"/>
  <c r="A224" i="39"/>
  <c r="D223" i="39"/>
  <c r="A223" i="39"/>
  <c r="D222" i="39"/>
  <c r="A222" i="39"/>
  <c r="C220" i="39"/>
  <c r="A220" i="39"/>
  <c r="C219" i="39"/>
  <c r="A219" i="39"/>
  <c r="C218" i="39"/>
  <c r="A218" i="39"/>
  <c r="C217" i="39"/>
  <c r="A217" i="39"/>
  <c r="F194" i="48"/>
  <c r="A194" i="48"/>
  <c r="F193" i="48"/>
  <c r="A193" i="48"/>
  <c r="F192" i="48"/>
  <c r="A192" i="48"/>
  <c r="F191" i="48"/>
  <c r="A191" i="48"/>
  <c r="E189" i="48"/>
  <c r="A189" i="48"/>
  <c r="E188" i="48"/>
  <c r="A188" i="48"/>
  <c r="E187" i="48"/>
  <c r="A187" i="48"/>
  <c r="E186" i="48"/>
  <c r="A186" i="48"/>
  <c r="D184" i="48"/>
  <c r="A184" i="48"/>
  <c r="D183" i="48"/>
  <c r="A183" i="48"/>
  <c r="D182" i="48"/>
  <c r="A182" i="48"/>
  <c r="D181" i="48"/>
  <c r="A181" i="48"/>
  <c r="C179" i="48"/>
  <c r="A179" i="48"/>
  <c r="C178" i="48"/>
  <c r="A178" i="48"/>
  <c r="C177" i="48"/>
  <c r="A177" i="48"/>
  <c r="C176" i="48"/>
  <c r="A176" i="48"/>
  <c r="F216" i="38"/>
  <c r="A216" i="38"/>
  <c r="F215" i="38"/>
  <c r="A215" i="38"/>
  <c r="F214" i="38"/>
  <c r="A214" i="38"/>
  <c r="F213" i="38"/>
  <c r="A213" i="38"/>
  <c r="E211" i="38"/>
  <c r="A211" i="38"/>
  <c r="E210" i="38"/>
  <c r="A210" i="38"/>
  <c r="E209" i="38"/>
  <c r="A209" i="38"/>
  <c r="E208" i="38"/>
  <c r="A208" i="38"/>
  <c r="D206" i="38"/>
  <c r="A206" i="38"/>
  <c r="D205" i="38"/>
  <c r="A205" i="38"/>
  <c r="D204" i="38"/>
  <c r="A204" i="38"/>
  <c r="D203" i="38"/>
  <c r="A203" i="38"/>
  <c r="C201" i="38"/>
  <c r="A201" i="38"/>
  <c r="C200" i="38"/>
  <c r="A200" i="38"/>
  <c r="C199" i="38"/>
  <c r="A199" i="38"/>
  <c r="C198" i="38"/>
  <c r="A198" i="38"/>
  <c r="A398" i="35"/>
  <c r="A397" i="35"/>
  <c r="A396" i="35"/>
  <c r="A395" i="35"/>
  <c r="A393" i="35"/>
  <c r="A392" i="35"/>
  <c r="A391" i="35"/>
  <c r="A390" i="35"/>
  <c r="A388" i="35"/>
  <c r="A387" i="35"/>
  <c r="A386" i="35"/>
  <c r="A385" i="35"/>
  <c r="A383" i="35"/>
  <c r="A382" i="35"/>
  <c r="A381" i="35"/>
  <c r="A380" i="35"/>
  <c r="A118" i="34"/>
  <c r="A117" i="34"/>
  <c r="A116" i="34"/>
  <c r="A115" i="34"/>
  <c r="A113" i="34"/>
  <c r="A112" i="34"/>
  <c r="A111" i="34"/>
  <c r="A110" i="34"/>
  <c r="A108" i="34"/>
  <c r="A107" i="34"/>
  <c r="A106" i="34"/>
  <c r="A105" i="34"/>
  <c r="A103" i="34"/>
  <c r="A102" i="34"/>
  <c r="A101" i="34"/>
  <c r="A100" i="34"/>
  <c r="F159" i="33"/>
  <c r="A159" i="33"/>
  <c r="F158" i="33"/>
  <c r="A158" i="33"/>
  <c r="F157" i="33"/>
  <c r="A157" i="33"/>
  <c r="F156" i="33"/>
  <c r="A156" i="33"/>
  <c r="E154" i="33"/>
  <c r="A154" i="33"/>
  <c r="E153" i="33"/>
  <c r="A153" i="33"/>
  <c r="E152" i="33"/>
  <c r="A152" i="33"/>
  <c r="E151" i="33"/>
  <c r="A151" i="33"/>
  <c r="D149" i="33"/>
  <c r="A149" i="33"/>
  <c r="D148" i="33"/>
  <c r="A148" i="33"/>
  <c r="D147" i="33"/>
  <c r="A147" i="33"/>
  <c r="D146" i="33"/>
  <c r="A146" i="33"/>
  <c r="C144" i="33"/>
  <c r="A144" i="33"/>
  <c r="C143" i="33"/>
  <c r="A143" i="33"/>
  <c r="C142" i="33"/>
  <c r="A142" i="33"/>
  <c r="C141" i="33"/>
  <c r="A141" i="33"/>
  <c r="A237" i="28"/>
  <c r="F237" i="28"/>
  <c r="F236" i="28"/>
  <c r="A236" i="28"/>
  <c r="F235" i="28"/>
  <c r="A235" i="28"/>
  <c r="F234" i="28"/>
  <c r="A234" i="28"/>
  <c r="E232" i="28"/>
  <c r="A232" i="28"/>
  <c r="E231" i="28"/>
  <c r="A231" i="28"/>
  <c r="E230" i="28"/>
  <c r="A230" i="28"/>
  <c r="E229" i="28"/>
  <c r="A229" i="28"/>
  <c r="D227" i="28"/>
  <c r="A227" i="28"/>
  <c r="D226" i="28"/>
  <c r="A226" i="28"/>
  <c r="D225" i="28"/>
  <c r="A225" i="28"/>
  <c r="D224" i="28"/>
  <c r="A224" i="28"/>
  <c r="C222" i="28"/>
  <c r="A222" i="28"/>
  <c r="C221" i="28"/>
  <c r="A221" i="28"/>
  <c r="C220" i="28"/>
  <c r="A220" i="28"/>
  <c r="C219" i="28"/>
  <c r="A219" i="28"/>
  <c r="J55" i="21"/>
  <c r="K55" i="21" s="1"/>
  <c r="J46" i="21"/>
  <c r="K46" i="21" s="1"/>
  <c r="L264" i="21"/>
  <c r="A21" i="11"/>
  <c r="BI25" i="10"/>
  <c r="BI24" i="10"/>
  <c r="BI23" i="10"/>
  <c r="BI22" i="10"/>
  <c r="BI20" i="10"/>
  <c r="BI19" i="10"/>
  <c r="BI18" i="10"/>
  <c r="BI17" i="10"/>
  <c r="BI16" i="10"/>
  <c r="BI13" i="10"/>
  <c r="BI12" i="10"/>
  <c r="BI11" i="10"/>
  <c r="BI10" i="10"/>
  <c r="BI9" i="10"/>
  <c r="BI8" i="10"/>
  <c r="BI7" i="10"/>
  <c r="BI6" i="10"/>
  <c r="D26" i="10"/>
  <c r="A6" i="11"/>
  <c r="D26" i="11"/>
  <c r="E26" i="11"/>
  <c r="F26" i="11"/>
  <c r="G26" i="11"/>
  <c r="H26" i="11"/>
  <c r="I26" i="11"/>
  <c r="J26" i="11"/>
  <c r="K26" i="11"/>
  <c r="L26" i="11"/>
  <c r="M26" i="11"/>
  <c r="N26" i="11"/>
  <c r="O26" i="11"/>
  <c r="P26" i="11"/>
  <c r="Q26" i="11"/>
  <c r="R26" i="11"/>
  <c r="S26" i="11"/>
  <c r="T26" i="11"/>
  <c r="D26" i="56"/>
  <c r="E26" i="56"/>
  <c r="F26" i="56"/>
  <c r="G26" i="56"/>
  <c r="H26" i="56"/>
  <c r="I26" i="56"/>
  <c r="D1" i="28"/>
  <c r="K1" i="28"/>
  <c r="D1" i="29"/>
  <c r="K1" i="29"/>
  <c r="D1" i="30"/>
  <c r="K1" i="30"/>
  <c r="D1" i="31"/>
  <c r="K1" i="31"/>
  <c r="K1" i="32"/>
  <c r="D1" i="33"/>
  <c r="K1" i="33"/>
  <c r="D1" i="34"/>
  <c r="K1" i="34"/>
  <c r="D1" i="35"/>
  <c r="K1" i="35"/>
  <c r="K1" i="36"/>
  <c r="D1" i="37"/>
  <c r="K1" i="37"/>
  <c r="D1" i="38"/>
  <c r="K1" i="38"/>
  <c r="D1" i="48"/>
  <c r="K1" i="48"/>
  <c r="K1" i="39"/>
  <c r="BK7" i="54"/>
  <c r="BL7" i="54"/>
  <c r="BN7" i="54"/>
  <c r="BO7" i="54"/>
  <c r="BP7" i="54"/>
  <c r="BQ7" i="54"/>
  <c r="BR7" i="54"/>
  <c r="BS7" i="54"/>
  <c r="BT7" i="54"/>
  <c r="BU7" i="54"/>
  <c r="BV7" i="54"/>
  <c r="BW7" i="54"/>
  <c r="BX7" i="54"/>
  <c r="BY7" i="54"/>
  <c r="BZ7" i="54"/>
  <c r="CA7" i="54"/>
  <c r="CB7" i="54"/>
  <c r="CC7" i="54"/>
  <c r="CD7" i="54"/>
  <c r="CE7" i="54"/>
  <c r="CF7" i="54"/>
  <c r="CG7" i="54"/>
  <c r="CH7" i="54"/>
  <c r="CI7" i="54"/>
  <c r="CJ7" i="54"/>
  <c r="CK7" i="54"/>
  <c r="CL7" i="54"/>
  <c r="CM7" i="54"/>
  <c r="CN7" i="54"/>
  <c r="CO7" i="54"/>
  <c r="CP7" i="54"/>
  <c r="CQ7" i="54"/>
  <c r="CR7" i="54"/>
  <c r="CS7" i="54"/>
  <c r="CT7" i="54"/>
  <c r="CU7" i="54"/>
  <c r="CV7" i="54"/>
  <c r="CW7" i="54"/>
  <c r="CX7" i="54"/>
  <c r="BK8" i="54"/>
  <c r="BL8" i="54"/>
  <c r="BN8" i="54"/>
  <c r="BO8" i="54"/>
  <c r="BP8" i="54"/>
  <c r="BQ8" i="54"/>
  <c r="BR8" i="54"/>
  <c r="BS8" i="54"/>
  <c r="BT8" i="54"/>
  <c r="BU8" i="54"/>
  <c r="BV8" i="54"/>
  <c r="BW8" i="54"/>
  <c r="BX8" i="54"/>
  <c r="BY8" i="54"/>
  <c r="BZ8" i="54"/>
  <c r="CA8" i="54"/>
  <c r="CB8" i="54"/>
  <c r="CC8" i="54"/>
  <c r="CD8" i="54"/>
  <c r="CE8" i="54"/>
  <c r="CF8" i="54"/>
  <c r="CG8" i="54"/>
  <c r="CH8" i="54"/>
  <c r="CI8" i="54"/>
  <c r="CJ8" i="54"/>
  <c r="CK8" i="54"/>
  <c r="CL8" i="54"/>
  <c r="CM8" i="54"/>
  <c r="CN8" i="54"/>
  <c r="CO8" i="54"/>
  <c r="CP8" i="54"/>
  <c r="CQ8" i="54"/>
  <c r="CR8" i="54"/>
  <c r="CS8" i="54"/>
  <c r="CT8" i="54"/>
  <c r="CU8" i="54"/>
  <c r="CV8" i="54"/>
  <c r="CW8" i="54"/>
  <c r="CX8" i="54"/>
  <c r="BK9" i="54"/>
  <c r="BL9" i="54"/>
  <c r="BN9" i="54"/>
  <c r="BO9" i="54"/>
  <c r="BP9" i="54"/>
  <c r="BQ9" i="54"/>
  <c r="BR9" i="54"/>
  <c r="BS9" i="54"/>
  <c r="BT9" i="54"/>
  <c r="BU9" i="54"/>
  <c r="BV9" i="54"/>
  <c r="BW9" i="54"/>
  <c r="BX9" i="54"/>
  <c r="BY9" i="54"/>
  <c r="BZ9" i="54"/>
  <c r="CA9" i="54"/>
  <c r="CB9" i="54"/>
  <c r="CC9" i="54"/>
  <c r="CD9" i="54"/>
  <c r="CE9" i="54"/>
  <c r="CF9" i="54"/>
  <c r="CG9" i="54"/>
  <c r="CH9" i="54"/>
  <c r="CI9" i="54"/>
  <c r="CJ9" i="54"/>
  <c r="CK9" i="54"/>
  <c r="CL9" i="54"/>
  <c r="CM9" i="54"/>
  <c r="CN9" i="54"/>
  <c r="CO9" i="54"/>
  <c r="CP9" i="54"/>
  <c r="CQ9" i="54"/>
  <c r="CR9" i="54"/>
  <c r="CS9" i="54"/>
  <c r="CT9" i="54"/>
  <c r="CU9" i="54"/>
  <c r="CV9" i="54"/>
  <c r="CW9" i="54"/>
  <c r="CX9" i="54"/>
  <c r="BK10" i="54"/>
  <c r="BL10" i="54"/>
  <c r="BN10" i="54"/>
  <c r="BO10" i="54"/>
  <c r="BP10" i="54"/>
  <c r="BQ10" i="54"/>
  <c r="BR10" i="54"/>
  <c r="BS10" i="54"/>
  <c r="BT10" i="54"/>
  <c r="BU10" i="54"/>
  <c r="BV10" i="54"/>
  <c r="BW10" i="54"/>
  <c r="BX10" i="54"/>
  <c r="BY10" i="54"/>
  <c r="BZ10" i="54"/>
  <c r="CA10" i="54"/>
  <c r="CB10" i="54"/>
  <c r="CC10" i="54"/>
  <c r="CD10" i="54"/>
  <c r="CE10" i="54"/>
  <c r="CF10" i="54"/>
  <c r="CG10" i="54"/>
  <c r="CH10" i="54"/>
  <c r="CI10" i="54"/>
  <c r="CJ10" i="54"/>
  <c r="CK10" i="54"/>
  <c r="CL10" i="54"/>
  <c r="CM10" i="54"/>
  <c r="CN10" i="54"/>
  <c r="CO10" i="54"/>
  <c r="CP10" i="54"/>
  <c r="CQ10" i="54"/>
  <c r="CR10" i="54"/>
  <c r="CS10" i="54"/>
  <c r="CT10" i="54"/>
  <c r="CU10" i="54"/>
  <c r="CV10" i="54"/>
  <c r="CW10" i="54"/>
  <c r="CX10" i="54"/>
  <c r="BK11" i="54"/>
  <c r="BL11" i="54"/>
  <c r="BN11" i="54"/>
  <c r="BO11" i="54"/>
  <c r="BP11" i="54"/>
  <c r="BQ11" i="54"/>
  <c r="BR11" i="54"/>
  <c r="BS11" i="54"/>
  <c r="BT11" i="54"/>
  <c r="BU11" i="54"/>
  <c r="BV11" i="54"/>
  <c r="BW11" i="54"/>
  <c r="BX11" i="54"/>
  <c r="BY11" i="54"/>
  <c r="BZ11" i="54"/>
  <c r="CA11" i="54"/>
  <c r="CB11" i="54"/>
  <c r="CC11" i="54"/>
  <c r="CD11" i="54"/>
  <c r="CE11" i="54"/>
  <c r="CF11" i="54"/>
  <c r="CG11" i="54"/>
  <c r="CH11" i="54"/>
  <c r="CI11" i="54"/>
  <c r="CJ11" i="54"/>
  <c r="CK11" i="54"/>
  <c r="CL11" i="54"/>
  <c r="CM11" i="54"/>
  <c r="CN11" i="54"/>
  <c r="CO11" i="54"/>
  <c r="CP11" i="54"/>
  <c r="CQ11" i="54"/>
  <c r="CR11" i="54"/>
  <c r="CS11" i="54"/>
  <c r="CT11" i="54"/>
  <c r="CU11" i="54"/>
  <c r="CV11" i="54"/>
  <c r="CW11" i="54"/>
  <c r="CX11" i="54"/>
  <c r="BK12" i="54"/>
  <c r="BL12" i="54"/>
  <c r="BN12" i="54"/>
  <c r="BO12" i="54"/>
  <c r="BP12" i="54"/>
  <c r="BQ12" i="54"/>
  <c r="BR12" i="54"/>
  <c r="BS12" i="54"/>
  <c r="BT12" i="54"/>
  <c r="BU12" i="54"/>
  <c r="BV12" i="54"/>
  <c r="BW12" i="54"/>
  <c r="BX12" i="54"/>
  <c r="BY12" i="54"/>
  <c r="BZ12" i="54"/>
  <c r="CA12" i="54"/>
  <c r="CB12" i="54"/>
  <c r="CC12" i="54"/>
  <c r="CD12" i="54"/>
  <c r="CE12" i="54"/>
  <c r="CF12" i="54"/>
  <c r="CG12" i="54"/>
  <c r="CH12" i="54"/>
  <c r="CI12" i="54"/>
  <c r="CJ12" i="54"/>
  <c r="CK12" i="54"/>
  <c r="CL12" i="54"/>
  <c r="CM12" i="54"/>
  <c r="CN12" i="54"/>
  <c r="CO12" i="54"/>
  <c r="CP12" i="54"/>
  <c r="CQ12" i="54"/>
  <c r="CR12" i="54"/>
  <c r="CS12" i="54"/>
  <c r="CT12" i="54"/>
  <c r="CU12" i="54"/>
  <c r="CV12" i="54"/>
  <c r="CW12" i="54"/>
  <c r="CX12" i="54"/>
  <c r="BK13" i="54"/>
  <c r="BL13" i="54"/>
  <c r="BN13" i="54"/>
  <c r="BO13" i="54"/>
  <c r="BP13" i="54"/>
  <c r="BQ13" i="54"/>
  <c r="BR13" i="54"/>
  <c r="BS13" i="54"/>
  <c r="BT13" i="54"/>
  <c r="BU13" i="54"/>
  <c r="BV13" i="54"/>
  <c r="BW13" i="54"/>
  <c r="BX13" i="54"/>
  <c r="BY13" i="54"/>
  <c r="BZ13" i="54"/>
  <c r="CA13" i="54"/>
  <c r="CB13" i="54"/>
  <c r="CC13" i="54"/>
  <c r="CD13" i="54"/>
  <c r="CE13" i="54"/>
  <c r="CF13" i="54"/>
  <c r="CG13" i="54"/>
  <c r="CH13" i="54"/>
  <c r="CI13" i="54"/>
  <c r="CJ13" i="54"/>
  <c r="CK13" i="54"/>
  <c r="CL13" i="54"/>
  <c r="CM13" i="54"/>
  <c r="CN13" i="54"/>
  <c r="CO13" i="54"/>
  <c r="CP13" i="54"/>
  <c r="CQ13" i="54"/>
  <c r="CR13" i="54"/>
  <c r="CS13" i="54"/>
  <c r="CT13" i="54"/>
  <c r="CU13" i="54"/>
  <c r="CV13" i="54"/>
  <c r="CW13" i="54"/>
  <c r="CX13" i="54"/>
  <c r="BK14" i="54"/>
  <c r="BL14" i="54"/>
  <c r="BN14" i="54"/>
  <c r="BO14" i="54"/>
  <c r="BP14" i="54"/>
  <c r="BQ14" i="54"/>
  <c r="BR14" i="54"/>
  <c r="BS14" i="54"/>
  <c r="BT14" i="54"/>
  <c r="BU14" i="54"/>
  <c r="BV14" i="54"/>
  <c r="BW14" i="54"/>
  <c r="BX14" i="54"/>
  <c r="BY14" i="54"/>
  <c r="BZ14" i="54"/>
  <c r="CA14" i="54"/>
  <c r="CB14" i="54"/>
  <c r="CC14" i="54"/>
  <c r="CD14" i="54"/>
  <c r="CE14" i="54"/>
  <c r="CF14" i="54"/>
  <c r="CG14" i="54"/>
  <c r="CH14" i="54"/>
  <c r="CI14" i="54"/>
  <c r="CJ14" i="54"/>
  <c r="CK14" i="54"/>
  <c r="CL14" i="54"/>
  <c r="CM14" i="54"/>
  <c r="CN14" i="54"/>
  <c r="CO14" i="54"/>
  <c r="CP14" i="54"/>
  <c r="CQ14" i="54"/>
  <c r="CR14" i="54"/>
  <c r="CS14" i="54"/>
  <c r="CT14" i="54"/>
  <c r="CU14" i="54"/>
  <c r="CV14" i="54"/>
  <c r="CW14" i="54"/>
  <c r="CX14" i="54"/>
  <c r="BK15" i="54"/>
  <c r="BL15" i="54"/>
  <c r="BN15" i="54"/>
  <c r="BO15" i="54"/>
  <c r="BP15" i="54"/>
  <c r="BQ15" i="54"/>
  <c r="BR15" i="54"/>
  <c r="BS15" i="54"/>
  <c r="BT15" i="54"/>
  <c r="BU15" i="54"/>
  <c r="BV15" i="54"/>
  <c r="BW15" i="54"/>
  <c r="BX15" i="54"/>
  <c r="BY15" i="54"/>
  <c r="BZ15" i="54"/>
  <c r="CA15" i="54"/>
  <c r="CB15" i="54"/>
  <c r="CC15" i="54"/>
  <c r="CD15" i="54"/>
  <c r="CE15" i="54"/>
  <c r="CF15" i="54"/>
  <c r="CG15" i="54"/>
  <c r="CH15" i="54"/>
  <c r="CI15" i="54"/>
  <c r="CJ15" i="54"/>
  <c r="CK15" i="54"/>
  <c r="CL15" i="54"/>
  <c r="CM15" i="54"/>
  <c r="CN15" i="54"/>
  <c r="CO15" i="54"/>
  <c r="CP15" i="54"/>
  <c r="CQ15" i="54"/>
  <c r="CR15" i="54"/>
  <c r="CS15" i="54"/>
  <c r="CT15" i="54"/>
  <c r="CU15" i="54"/>
  <c r="CV15" i="54"/>
  <c r="CW15" i="54"/>
  <c r="CX15" i="54"/>
  <c r="BK16" i="54"/>
  <c r="BL16" i="54"/>
  <c r="BN16" i="54"/>
  <c r="BO16" i="54"/>
  <c r="BP16" i="54"/>
  <c r="BQ16" i="54"/>
  <c r="BR16" i="54"/>
  <c r="BS16" i="54"/>
  <c r="BT16" i="54"/>
  <c r="BU16" i="54"/>
  <c r="BV16" i="54"/>
  <c r="BW16" i="54"/>
  <c r="BX16" i="54"/>
  <c r="BY16" i="54"/>
  <c r="BZ16" i="54"/>
  <c r="CA16" i="54"/>
  <c r="CB16" i="54"/>
  <c r="CC16" i="54"/>
  <c r="CD16" i="54"/>
  <c r="CE16" i="54"/>
  <c r="CF16" i="54"/>
  <c r="CG16" i="54"/>
  <c r="CH16" i="54"/>
  <c r="CI16" i="54"/>
  <c r="CJ16" i="54"/>
  <c r="CK16" i="54"/>
  <c r="CL16" i="54"/>
  <c r="CM16" i="54"/>
  <c r="CN16" i="54"/>
  <c r="CO16" i="54"/>
  <c r="CP16" i="54"/>
  <c r="CQ16" i="54"/>
  <c r="CR16" i="54"/>
  <c r="CS16" i="54"/>
  <c r="CT16" i="54"/>
  <c r="CU16" i="54"/>
  <c r="CV16" i="54"/>
  <c r="CW16" i="54"/>
  <c r="CX16" i="54"/>
  <c r="BK17" i="54"/>
  <c r="BL17" i="54"/>
  <c r="BN17" i="54"/>
  <c r="BO17" i="54"/>
  <c r="BP17" i="54"/>
  <c r="BQ17" i="54"/>
  <c r="BR17" i="54"/>
  <c r="BS17" i="54"/>
  <c r="BT17" i="54"/>
  <c r="BU17" i="54"/>
  <c r="BV17" i="54"/>
  <c r="BW17" i="54"/>
  <c r="BX17" i="54"/>
  <c r="BY17" i="54"/>
  <c r="BZ17" i="54"/>
  <c r="CA17" i="54"/>
  <c r="CB17" i="54"/>
  <c r="CC17" i="54"/>
  <c r="CD17" i="54"/>
  <c r="CE17" i="54"/>
  <c r="CF17" i="54"/>
  <c r="CG17" i="54"/>
  <c r="CH17" i="54"/>
  <c r="CI17" i="54"/>
  <c r="CJ17" i="54"/>
  <c r="CK17" i="54"/>
  <c r="CL17" i="54"/>
  <c r="CM17" i="54"/>
  <c r="CN17" i="54"/>
  <c r="CO17" i="54"/>
  <c r="CP17" i="54"/>
  <c r="CQ17" i="54"/>
  <c r="CR17" i="54"/>
  <c r="CS17" i="54"/>
  <c r="CT17" i="54"/>
  <c r="CU17" i="54"/>
  <c r="CV17" i="54"/>
  <c r="CW17" i="54"/>
  <c r="CX17" i="54"/>
  <c r="BK18" i="54"/>
  <c r="BL18" i="54"/>
  <c r="BN18" i="54"/>
  <c r="BO18" i="54"/>
  <c r="BP18" i="54"/>
  <c r="BQ18" i="54"/>
  <c r="BR18" i="54"/>
  <c r="BS18" i="54"/>
  <c r="BT18" i="54"/>
  <c r="BU18" i="54"/>
  <c r="BV18" i="54"/>
  <c r="BW18" i="54"/>
  <c r="BX18" i="54"/>
  <c r="BY18" i="54"/>
  <c r="BZ18" i="54"/>
  <c r="CA18" i="54"/>
  <c r="CB18" i="54"/>
  <c r="CC18" i="54"/>
  <c r="CD18" i="54"/>
  <c r="CE18" i="54"/>
  <c r="CF18" i="54"/>
  <c r="CG18" i="54"/>
  <c r="CH18" i="54"/>
  <c r="CI18" i="54"/>
  <c r="CJ18" i="54"/>
  <c r="CK18" i="54"/>
  <c r="CL18" i="54"/>
  <c r="CM18" i="54"/>
  <c r="CN18" i="54"/>
  <c r="CO18" i="54"/>
  <c r="CP18" i="54"/>
  <c r="CQ18" i="54"/>
  <c r="CR18" i="54"/>
  <c r="CS18" i="54"/>
  <c r="CT18" i="54"/>
  <c r="CU18" i="54"/>
  <c r="CV18" i="54"/>
  <c r="CW18" i="54"/>
  <c r="CX18" i="54"/>
  <c r="BK19" i="54"/>
  <c r="BL19" i="54"/>
  <c r="BN19" i="54"/>
  <c r="BO19" i="54"/>
  <c r="BP19" i="54"/>
  <c r="BQ19" i="54"/>
  <c r="BR19" i="54"/>
  <c r="BS19" i="54"/>
  <c r="BT19" i="54"/>
  <c r="BU19" i="54"/>
  <c r="BV19" i="54"/>
  <c r="BW19" i="54"/>
  <c r="BX19" i="54"/>
  <c r="BY19" i="54"/>
  <c r="BZ19" i="54"/>
  <c r="CA19" i="54"/>
  <c r="CB19" i="54"/>
  <c r="CC19" i="54"/>
  <c r="CD19" i="54"/>
  <c r="CE19" i="54"/>
  <c r="CF19" i="54"/>
  <c r="CG19" i="54"/>
  <c r="CH19" i="54"/>
  <c r="CI19" i="54"/>
  <c r="CJ19" i="54"/>
  <c r="CK19" i="54"/>
  <c r="CL19" i="54"/>
  <c r="CM19" i="54"/>
  <c r="CN19" i="54"/>
  <c r="CO19" i="54"/>
  <c r="CP19" i="54"/>
  <c r="CQ19" i="54"/>
  <c r="CR19" i="54"/>
  <c r="CS19" i="54"/>
  <c r="CT19" i="54"/>
  <c r="CU19" i="54"/>
  <c r="CV19" i="54"/>
  <c r="CW19" i="54"/>
  <c r="CX19" i="54"/>
  <c r="BK20" i="54"/>
  <c r="BL20" i="54"/>
  <c r="BN20" i="54"/>
  <c r="BO20" i="54"/>
  <c r="BP20" i="54"/>
  <c r="BQ20" i="54"/>
  <c r="BR20" i="54"/>
  <c r="BS20" i="54"/>
  <c r="BT20" i="54"/>
  <c r="BU20" i="54"/>
  <c r="BV20" i="54"/>
  <c r="BW20" i="54"/>
  <c r="BX20" i="54"/>
  <c r="BY20" i="54"/>
  <c r="BZ20" i="54"/>
  <c r="CA20" i="54"/>
  <c r="CB20" i="54"/>
  <c r="CC20" i="54"/>
  <c r="CD20" i="54"/>
  <c r="CE20" i="54"/>
  <c r="CF20" i="54"/>
  <c r="CG20" i="54"/>
  <c r="CH20" i="54"/>
  <c r="CI20" i="54"/>
  <c r="CJ20" i="54"/>
  <c r="CK20" i="54"/>
  <c r="CL20" i="54"/>
  <c r="CM20" i="54"/>
  <c r="CN20" i="54"/>
  <c r="CO20" i="54"/>
  <c r="CP20" i="54"/>
  <c r="CQ20" i="54"/>
  <c r="CR20" i="54"/>
  <c r="CS20" i="54"/>
  <c r="CT20" i="54"/>
  <c r="CU20" i="54"/>
  <c r="CV20" i="54"/>
  <c r="CW20" i="54"/>
  <c r="CX20" i="54"/>
  <c r="BK21" i="54"/>
  <c r="BL21" i="54"/>
  <c r="BN21" i="54"/>
  <c r="BO21" i="54"/>
  <c r="BP21" i="54"/>
  <c r="BQ21" i="54"/>
  <c r="BR21" i="54"/>
  <c r="BS21" i="54"/>
  <c r="BT21" i="54"/>
  <c r="BU21" i="54"/>
  <c r="BV21" i="54"/>
  <c r="BW21" i="54"/>
  <c r="BX21" i="54"/>
  <c r="BY21" i="54"/>
  <c r="BZ21" i="54"/>
  <c r="CA21" i="54"/>
  <c r="CB21" i="54"/>
  <c r="CC21" i="54"/>
  <c r="CD21" i="54"/>
  <c r="CE21" i="54"/>
  <c r="CF21" i="54"/>
  <c r="CG21" i="54"/>
  <c r="CH21" i="54"/>
  <c r="CI21" i="54"/>
  <c r="CJ21" i="54"/>
  <c r="CK21" i="54"/>
  <c r="CL21" i="54"/>
  <c r="CM21" i="54"/>
  <c r="CN21" i="54"/>
  <c r="CO21" i="54"/>
  <c r="CP21" i="54"/>
  <c r="CQ21" i="54"/>
  <c r="CR21" i="54"/>
  <c r="CS21" i="54"/>
  <c r="CT21" i="54"/>
  <c r="CU21" i="54"/>
  <c r="CV21" i="54"/>
  <c r="CW21" i="54"/>
  <c r="CX21" i="54"/>
  <c r="BK22" i="54"/>
  <c r="BL22" i="54"/>
  <c r="BN22" i="54"/>
  <c r="BO22" i="54"/>
  <c r="BP22" i="54"/>
  <c r="BQ22" i="54"/>
  <c r="BR22" i="54"/>
  <c r="BS22" i="54"/>
  <c r="BT22" i="54"/>
  <c r="BU22" i="54"/>
  <c r="BV22" i="54"/>
  <c r="BW22" i="54"/>
  <c r="BX22" i="54"/>
  <c r="BY22" i="54"/>
  <c r="BZ22" i="54"/>
  <c r="CA22" i="54"/>
  <c r="CB22" i="54"/>
  <c r="CC22" i="54"/>
  <c r="CD22" i="54"/>
  <c r="CE22" i="54"/>
  <c r="CF22" i="54"/>
  <c r="CG22" i="54"/>
  <c r="CH22" i="54"/>
  <c r="CI22" i="54"/>
  <c r="CJ22" i="54"/>
  <c r="CK22" i="54"/>
  <c r="CL22" i="54"/>
  <c r="CM22" i="54"/>
  <c r="CN22" i="54"/>
  <c r="CO22" i="54"/>
  <c r="CP22" i="54"/>
  <c r="CQ22" i="54"/>
  <c r="CR22" i="54"/>
  <c r="CS22" i="54"/>
  <c r="CT22" i="54"/>
  <c r="CU22" i="54"/>
  <c r="CV22" i="54"/>
  <c r="CW22" i="54"/>
  <c r="CX22" i="54"/>
  <c r="BK23" i="54"/>
  <c r="BL23" i="54"/>
  <c r="BN23" i="54"/>
  <c r="BO23" i="54"/>
  <c r="BP23" i="54"/>
  <c r="BQ23" i="54"/>
  <c r="BR23" i="54"/>
  <c r="BS23" i="54"/>
  <c r="BT23" i="54"/>
  <c r="BU23" i="54"/>
  <c r="BV23" i="54"/>
  <c r="BW23" i="54"/>
  <c r="BX23" i="54"/>
  <c r="BY23" i="54"/>
  <c r="BZ23" i="54"/>
  <c r="CA23" i="54"/>
  <c r="CB23" i="54"/>
  <c r="CC23" i="54"/>
  <c r="CD23" i="54"/>
  <c r="CE23" i="54"/>
  <c r="CF23" i="54"/>
  <c r="CG23" i="54"/>
  <c r="CH23" i="54"/>
  <c r="CI23" i="54"/>
  <c r="CJ23" i="54"/>
  <c r="CK23" i="54"/>
  <c r="CL23" i="54"/>
  <c r="CM23" i="54"/>
  <c r="CN23" i="54"/>
  <c r="CO23" i="54"/>
  <c r="CP23" i="54"/>
  <c r="CQ23" i="54"/>
  <c r="CR23" i="54"/>
  <c r="CS23" i="54"/>
  <c r="CT23" i="54"/>
  <c r="CU23" i="54"/>
  <c r="CV23" i="54"/>
  <c r="CW23" i="54"/>
  <c r="CX23" i="54"/>
  <c r="BK24" i="54"/>
  <c r="BL24" i="54"/>
  <c r="BN24" i="54"/>
  <c r="BO24" i="54"/>
  <c r="BP24" i="54"/>
  <c r="BQ24" i="54"/>
  <c r="BR24" i="54"/>
  <c r="BS24" i="54"/>
  <c r="BT24" i="54"/>
  <c r="BU24" i="54"/>
  <c r="BV24" i="54"/>
  <c r="BW24" i="54"/>
  <c r="BX24" i="54"/>
  <c r="BY24" i="54"/>
  <c r="BZ24" i="54"/>
  <c r="CA24" i="54"/>
  <c r="CB24" i="54"/>
  <c r="CC24" i="54"/>
  <c r="CD24" i="54"/>
  <c r="CE24" i="54"/>
  <c r="CF24" i="54"/>
  <c r="CG24" i="54"/>
  <c r="CH24" i="54"/>
  <c r="CI24" i="54"/>
  <c r="CJ24" i="54"/>
  <c r="CK24" i="54"/>
  <c r="CL24" i="54"/>
  <c r="CM24" i="54"/>
  <c r="CN24" i="54"/>
  <c r="CO24" i="54"/>
  <c r="CP24" i="54"/>
  <c r="CQ24" i="54"/>
  <c r="CR24" i="54"/>
  <c r="CS24" i="54"/>
  <c r="CT24" i="54"/>
  <c r="CU24" i="54"/>
  <c r="CV24" i="54"/>
  <c r="CW24" i="54"/>
  <c r="CX24" i="54"/>
  <c r="BK25" i="54"/>
  <c r="BL25" i="54"/>
  <c r="BN25" i="54"/>
  <c r="BO25" i="54"/>
  <c r="BP25" i="54"/>
  <c r="BQ25" i="54"/>
  <c r="BR25" i="54"/>
  <c r="BS25" i="54"/>
  <c r="BT25" i="54"/>
  <c r="BU25" i="54"/>
  <c r="BV25" i="54"/>
  <c r="BW25" i="54"/>
  <c r="BX25" i="54"/>
  <c r="BY25" i="54"/>
  <c r="BZ25" i="54"/>
  <c r="CA25" i="54"/>
  <c r="CB25" i="54"/>
  <c r="CC25" i="54"/>
  <c r="CD25" i="54"/>
  <c r="CE25" i="54"/>
  <c r="CF25" i="54"/>
  <c r="CG25" i="54"/>
  <c r="CH25" i="54"/>
  <c r="CI25" i="54"/>
  <c r="CJ25" i="54"/>
  <c r="CK25" i="54"/>
  <c r="CL25" i="54"/>
  <c r="CM25" i="54"/>
  <c r="CN25" i="54"/>
  <c r="CO25" i="54"/>
  <c r="CP25" i="54"/>
  <c r="CQ25" i="54"/>
  <c r="CR25" i="54"/>
  <c r="CS25" i="54"/>
  <c r="CT25" i="54"/>
  <c r="CU25" i="54"/>
  <c r="CV25" i="54"/>
  <c r="CW25" i="54"/>
  <c r="CX25" i="54"/>
  <c r="BK26" i="54"/>
  <c r="BL26" i="54"/>
  <c r="BN26" i="54"/>
  <c r="BO26" i="54"/>
  <c r="BP26" i="54"/>
  <c r="BQ26" i="54"/>
  <c r="BR26" i="54"/>
  <c r="BS26" i="54"/>
  <c r="BT26" i="54"/>
  <c r="BU26" i="54"/>
  <c r="BV26" i="54"/>
  <c r="BW26" i="54"/>
  <c r="BX26" i="54"/>
  <c r="BY26" i="54"/>
  <c r="BZ26" i="54"/>
  <c r="CA26" i="54"/>
  <c r="CB26" i="54"/>
  <c r="CC26" i="54"/>
  <c r="CD26" i="54"/>
  <c r="CE26" i="54"/>
  <c r="CF26" i="54"/>
  <c r="CG26" i="54"/>
  <c r="CH26" i="54"/>
  <c r="CI26" i="54"/>
  <c r="CJ26" i="54"/>
  <c r="CK26" i="54"/>
  <c r="CL26" i="54"/>
  <c r="CM26" i="54"/>
  <c r="CN26" i="54"/>
  <c r="CO26" i="54"/>
  <c r="CP26" i="54"/>
  <c r="CQ26" i="54"/>
  <c r="CR26" i="54"/>
  <c r="CS26" i="54"/>
  <c r="CT26" i="54"/>
  <c r="CU26" i="54"/>
  <c r="CV26" i="54"/>
  <c r="CW26" i="54"/>
  <c r="CX26" i="54"/>
  <c r="BK27" i="54"/>
  <c r="BL27" i="54"/>
  <c r="BN27" i="54"/>
  <c r="BO27" i="54"/>
  <c r="BP27" i="54"/>
  <c r="BQ27" i="54"/>
  <c r="BR27" i="54"/>
  <c r="BS27" i="54"/>
  <c r="BT27" i="54"/>
  <c r="BU27" i="54"/>
  <c r="BV27" i="54"/>
  <c r="BW27" i="54"/>
  <c r="BX27" i="54"/>
  <c r="BY27" i="54"/>
  <c r="BZ27" i="54"/>
  <c r="CA27" i="54"/>
  <c r="CB27" i="54"/>
  <c r="CC27" i="54"/>
  <c r="CD27" i="54"/>
  <c r="CE27" i="54"/>
  <c r="CF27" i="54"/>
  <c r="CG27" i="54"/>
  <c r="CH27" i="54"/>
  <c r="CI27" i="54"/>
  <c r="CJ27" i="54"/>
  <c r="CK27" i="54"/>
  <c r="CL27" i="54"/>
  <c r="CM27" i="54"/>
  <c r="CN27" i="54"/>
  <c r="CO27" i="54"/>
  <c r="CP27" i="54"/>
  <c r="CQ27" i="54"/>
  <c r="CR27" i="54"/>
  <c r="CS27" i="54"/>
  <c r="CT27" i="54"/>
  <c r="CU27" i="54"/>
  <c r="CV27" i="54"/>
  <c r="CW27" i="54"/>
  <c r="CX27" i="54"/>
  <c r="BK28" i="54"/>
  <c r="BL28" i="54"/>
  <c r="BN28" i="54"/>
  <c r="BO28" i="54"/>
  <c r="BP28" i="54"/>
  <c r="BQ28" i="54"/>
  <c r="BR28" i="54"/>
  <c r="BS28" i="54"/>
  <c r="BT28" i="54"/>
  <c r="BU28" i="54"/>
  <c r="BV28" i="54"/>
  <c r="BW28" i="54"/>
  <c r="BX28" i="54"/>
  <c r="BY28" i="54"/>
  <c r="BZ28" i="54"/>
  <c r="CA28" i="54"/>
  <c r="CB28" i="54"/>
  <c r="CC28" i="54"/>
  <c r="CD28" i="54"/>
  <c r="CE28" i="54"/>
  <c r="CF28" i="54"/>
  <c r="CG28" i="54"/>
  <c r="CH28" i="54"/>
  <c r="CI28" i="54"/>
  <c r="CJ28" i="54"/>
  <c r="CK28" i="54"/>
  <c r="CL28" i="54"/>
  <c r="CM28" i="54"/>
  <c r="CN28" i="54"/>
  <c r="CO28" i="54"/>
  <c r="CP28" i="54"/>
  <c r="CQ28" i="54"/>
  <c r="CR28" i="54"/>
  <c r="CS28" i="54"/>
  <c r="CT28" i="54"/>
  <c r="CU28" i="54"/>
  <c r="CV28" i="54"/>
  <c r="CW28" i="54"/>
  <c r="CX28" i="54"/>
  <c r="BK29" i="54"/>
  <c r="BL29" i="54"/>
  <c r="BN29" i="54"/>
  <c r="BO29" i="54"/>
  <c r="BP29" i="54"/>
  <c r="BQ29" i="54"/>
  <c r="BR29" i="54"/>
  <c r="BS29" i="54"/>
  <c r="BT29" i="54"/>
  <c r="BU29" i="54"/>
  <c r="BV29" i="54"/>
  <c r="BW29" i="54"/>
  <c r="BX29" i="54"/>
  <c r="BY29" i="54"/>
  <c r="BZ29" i="54"/>
  <c r="CA29" i="54"/>
  <c r="CB29" i="54"/>
  <c r="CC29" i="54"/>
  <c r="CD29" i="54"/>
  <c r="CE29" i="54"/>
  <c r="CF29" i="54"/>
  <c r="CG29" i="54"/>
  <c r="CH29" i="54"/>
  <c r="CI29" i="54"/>
  <c r="CJ29" i="54"/>
  <c r="CK29" i="54"/>
  <c r="CL29" i="54"/>
  <c r="CM29" i="54"/>
  <c r="CN29" i="54"/>
  <c r="CO29" i="54"/>
  <c r="CP29" i="54"/>
  <c r="CQ29" i="54"/>
  <c r="CR29" i="54"/>
  <c r="CS29" i="54"/>
  <c r="CT29" i="54"/>
  <c r="CU29" i="54"/>
  <c r="CV29" i="54"/>
  <c r="CW29" i="54"/>
  <c r="CX29" i="54"/>
  <c r="BK30" i="54"/>
  <c r="BL30" i="54"/>
  <c r="BN30" i="54"/>
  <c r="BO30" i="54"/>
  <c r="BP30" i="54"/>
  <c r="BQ30" i="54"/>
  <c r="BR30" i="54"/>
  <c r="BS30" i="54"/>
  <c r="BT30" i="54"/>
  <c r="BU30" i="54"/>
  <c r="BV30" i="54"/>
  <c r="BW30" i="54"/>
  <c r="BX30" i="54"/>
  <c r="BY30" i="54"/>
  <c r="BZ30" i="54"/>
  <c r="CA30" i="54"/>
  <c r="CB30" i="54"/>
  <c r="CC30" i="54"/>
  <c r="CD30" i="54"/>
  <c r="CE30" i="54"/>
  <c r="CF30" i="54"/>
  <c r="CG30" i="54"/>
  <c r="CH30" i="54"/>
  <c r="CI30" i="54"/>
  <c r="CJ30" i="54"/>
  <c r="CK30" i="54"/>
  <c r="CL30" i="54"/>
  <c r="CM30" i="54"/>
  <c r="CN30" i="54"/>
  <c r="CO30" i="54"/>
  <c r="CP30" i="54"/>
  <c r="CQ30" i="54"/>
  <c r="CR30" i="54"/>
  <c r="CS30" i="54"/>
  <c r="CT30" i="54"/>
  <c r="CU30" i="54"/>
  <c r="CV30" i="54"/>
  <c r="CW30" i="54"/>
  <c r="CX30" i="54"/>
  <c r="BK31" i="54"/>
  <c r="BL31" i="54"/>
  <c r="BN31" i="54"/>
  <c r="BO31" i="54"/>
  <c r="BP31" i="54"/>
  <c r="BQ31" i="54"/>
  <c r="BR31" i="54"/>
  <c r="BS31" i="54"/>
  <c r="BT31" i="54"/>
  <c r="BU31" i="54"/>
  <c r="BV31" i="54"/>
  <c r="BW31" i="54"/>
  <c r="BX31" i="54"/>
  <c r="BY31" i="54"/>
  <c r="BZ31" i="54"/>
  <c r="CA31" i="54"/>
  <c r="CB31" i="54"/>
  <c r="CC31" i="54"/>
  <c r="CD31" i="54"/>
  <c r="CE31" i="54"/>
  <c r="CF31" i="54"/>
  <c r="CG31" i="54"/>
  <c r="CH31" i="54"/>
  <c r="CI31" i="54"/>
  <c r="CJ31" i="54"/>
  <c r="CK31" i="54"/>
  <c r="CL31" i="54"/>
  <c r="CM31" i="54"/>
  <c r="CN31" i="54"/>
  <c r="CO31" i="54"/>
  <c r="CP31" i="54"/>
  <c r="CQ31" i="54"/>
  <c r="CR31" i="54"/>
  <c r="CS31" i="54"/>
  <c r="CT31" i="54"/>
  <c r="CU31" i="54"/>
  <c r="CV31" i="54"/>
  <c r="CW31" i="54"/>
  <c r="CX31" i="54"/>
  <c r="BK32" i="54"/>
  <c r="BL32" i="54"/>
  <c r="BN32" i="54"/>
  <c r="BO32" i="54"/>
  <c r="BP32" i="54"/>
  <c r="BQ32" i="54"/>
  <c r="BR32" i="54"/>
  <c r="BS32" i="54"/>
  <c r="BT32" i="54"/>
  <c r="BU32" i="54"/>
  <c r="BV32" i="54"/>
  <c r="BW32" i="54"/>
  <c r="BX32" i="54"/>
  <c r="BY32" i="54"/>
  <c r="BZ32" i="54"/>
  <c r="CA32" i="54"/>
  <c r="CB32" i="54"/>
  <c r="CC32" i="54"/>
  <c r="CD32" i="54"/>
  <c r="CE32" i="54"/>
  <c r="CF32" i="54"/>
  <c r="CG32" i="54"/>
  <c r="CH32" i="54"/>
  <c r="CI32" i="54"/>
  <c r="CJ32" i="54"/>
  <c r="CK32" i="54"/>
  <c r="CL32" i="54"/>
  <c r="CM32" i="54"/>
  <c r="CN32" i="54"/>
  <c r="CO32" i="54"/>
  <c r="CP32" i="54"/>
  <c r="CQ32" i="54"/>
  <c r="CR32" i="54"/>
  <c r="CS32" i="54"/>
  <c r="CT32" i="54"/>
  <c r="CU32" i="54"/>
  <c r="CV32" i="54"/>
  <c r="CW32" i="54"/>
  <c r="CX32" i="54"/>
  <c r="BK33" i="54"/>
  <c r="BL33" i="54"/>
  <c r="BN33" i="54"/>
  <c r="BO33" i="54"/>
  <c r="BP33" i="54"/>
  <c r="BQ33" i="54"/>
  <c r="BR33" i="54"/>
  <c r="BS33" i="54"/>
  <c r="BT33" i="54"/>
  <c r="BU33" i="54"/>
  <c r="BV33" i="54"/>
  <c r="BW33" i="54"/>
  <c r="BX33" i="54"/>
  <c r="BY33" i="54"/>
  <c r="BZ33" i="54"/>
  <c r="CA33" i="54"/>
  <c r="CB33" i="54"/>
  <c r="CC33" i="54"/>
  <c r="CD33" i="54"/>
  <c r="CE33" i="54"/>
  <c r="CF33" i="54"/>
  <c r="CG33" i="54"/>
  <c r="CH33" i="54"/>
  <c r="CI33" i="54"/>
  <c r="CJ33" i="54"/>
  <c r="CK33" i="54"/>
  <c r="CL33" i="54"/>
  <c r="CM33" i="54"/>
  <c r="CN33" i="54"/>
  <c r="CO33" i="54"/>
  <c r="CP33" i="54"/>
  <c r="CQ33" i="54"/>
  <c r="CR33" i="54"/>
  <c r="CS33" i="54"/>
  <c r="CT33" i="54"/>
  <c r="CU33" i="54"/>
  <c r="CV33" i="54"/>
  <c r="CW33" i="54"/>
  <c r="CX33" i="54"/>
  <c r="BK34" i="54"/>
  <c r="BL34" i="54"/>
  <c r="BN34" i="54"/>
  <c r="BO34" i="54"/>
  <c r="BP34" i="54"/>
  <c r="BQ34" i="54"/>
  <c r="BR34" i="54"/>
  <c r="BS34" i="54"/>
  <c r="BT34" i="54"/>
  <c r="BU34" i="54"/>
  <c r="BV34" i="54"/>
  <c r="BW34" i="54"/>
  <c r="BX34" i="54"/>
  <c r="BY34" i="54"/>
  <c r="BZ34" i="54"/>
  <c r="CA34" i="54"/>
  <c r="CB34" i="54"/>
  <c r="CC34" i="54"/>
  <c r="CD34" i="54"/>
  <c r="CE34" i="54"/>
  <c r="CF34" i="54"/>
  <c r="CG34" i="54"/>
  <c r="CH34" i="54"/>
  <c r="CI34" i="54"/>
  <c r="CJ34" i="54"/>
  <c r="CK34" i="54"/>
  <c r="CL34" i="54"/>
  <c r="CM34" i="54"/>
  <c r="CN34" i="54"/>
  <c r="CO34" i="54"/>
  <c r="CP34" i="54"/>
  <c r="CQ34" i="54"/>
  <c r="CR34" i="54"/>
  <c r="CS34" i="54"/>
  <c r="CT34" i="54"/>
  <c r="CU34" i="54"/>
  <c r="CV34" i="54"/>
  <c r="CW34" i="54"/>
  <c r="CX34" i="54"/>
  <c r="BK37" i="54"/>
  <c r="BL37" i="54"/>
  <c r="BN37" i="54"/>
  <c r="BO37" i="54"/>
  <c r="BP37" i="54"/>
  <c r="BQ37" i="54"/>
  <c r="BR37" i="54"/>
  <c r="BS37" i="54"/>
  <c r="BT37" i="54"/>
  <c r="BU37" i="54"/>
  <c r="BV37" i="54"/>
  <c r="BW37" i="54"/>
  <c r="BX37" i="54"/>
  <c r="BY37" i="54"/>
  <c r="BZ37" i="54"/>
  <c r="CA37" i="54"/>
  <c r="CB37" i="54"/>
  <c r="CC37" i="54"/>
  <c r="CD37" i="54"/>
  <c r="CE37" i="54"/>
  <c r="CF37" i="54"/>
  <c r="CG37" i="54"/>
  <c r="CH37" i="54"/>
  <c r="CI37" i="54"/>
  <c r="CJ37" i="54"/>
  <c r="CK37" i="54"/>
  <c r="CL37" i="54"/>
  <c r="CM37" i="54"/>
  <c r="CN37" i="54"/>
  <c r="CO37" i="54"/>
  <c r="CP37" i="54"/>
  <c r="CQ37" i="54"/>
  <c r="CR37" i="54"/>
  <c r="CS37" i="54"/>
  <c r="CT37" i="54"/>
  <c r="CU37" i="54"/>
  <c r="CV37" i="54"/>
  <c r="CW37" i="54"/>
  <c r="CX37" i="54"/>
  <c r="BK38" i="54"/>
  <c r="BL38" i="54"/>
  <c r="BN38" i="54"/>
  <c r="BO38" i="54"/>
  <c r="BP38" i="54"/>
  <c r="BQ38" i="54"/>
  <c r="BR38" i="54"/>
  <c r="BS38" i="54"/>
  <c r="BT38" i="54"/>
  <c r="BU38" i="54"/>
  <c r="BV38" i="54"/>
  <c r="BW38" i="54"/>
  <c r="BX38" i="54"/>
  <c r="BY38" i="54"/>
  <c r="BZ38" i="54"/>
  <c r="CA38" i="54"/>
  <c r="CB38" i="54"/>
  <c r="CC38" i="54"/>
  <c r="CD38" i="54"/>
  <c r="CE38" i="54"/>
  <c r="CF38" i="54"/>
  <c r="CG38" i="54"/>
  <c r="CH38" i="54"/>
  <c r="CI38" i="54"/>
  <c r="CJ38" i="54"/>
  <c r="CK38" i="54"/>
  <c r="CL38" i="54"/>
  <c r="CM38" i="54"/>
  <c r="CN38" i="54"/>
  <c r="CO38" i="54"/>
  <c r="CP38" i="54"/>
  <c r="CQ38" i="54"/>
  <c r="CR38" i="54"/>
  <c r="CS38" i="54"/>
  <c r="CT38" i="54"/>
  <c r="CU38" i="54"/>
  <c r="CV38" i="54"/>
  <c r="CW38" i="54"/>
  <c r="CX38" i="54"/>
  <c r="BK39" i="54"/>
  <c r="BL39" i="54"/>
  <c r="BN39" i="54"/>
  <c r="BO39" i="54"/>
  <c r="BP39" i="54"/>
  <c r="BQ39" i="54"/>
  <c r="BR39" i="54"/>
  <c r="BS39" i="54"/>
  <c r="BT39" i="54"/>
  <c r="BU39" i="54"/>
  <c r="BV39" i="54"/>
  <c r="BW39" i="54"/>
  <c r="BX39" i="54"/>
  <c r="BY39" i="54"/>
  <c r="BZ39" i="54"/>
  <c r="CA39" i="54"/>
  <c r="CB39" i="54"/>
  <c r="CC39" i="54"/>
  <c r="CD39" i="54"/>
  <c r="CE39" i="54"/>
  <c r="CF39" i="54"/>
  <c r="CG39" i="54"/>
  <c r="CH39" i="54"/>
  <c r="CI39" i="54"/>
  <c r="CJ39" i="54"/>
  <c r="CK39" i="54"/>
  <c r="CL39" i="54"/>
  <c r="CM39" i="54"/>
  <c r="CN39" i="54"/>
  <c r="CO39" i="54"/>
  <c r="CP39" i="54"/>
  <c r="CQ39" i="54"/>
  <c r="CR39" i="54"/>
  <c r="CS39" i="54"/>
  <c r="CT39" i="54"/>
  <c r="CU39" i="54"/>
  <c r="CV39" i="54"/>
  <c r="CW39" i="54"/>
  <c r="CX39" i="54"/>
  <c r="BK40" i="54"/>
  <c r="BL40" i="54"/>
  <c r="BN40" i="54"/>
  <c r="BO40" i="54"/>
  <c r="BP40" i="54"/>
  <c r="BQ40" i="54"/>
  <c r="BR40" i="54"/>
  <c r="BS40" i="54"/>
  <c r="BT40" i="54"/>
  <c r="BU40" i="54"/>
  <c r="BV40" i="54"/>
  <c r="BW40" i="54"/>
  <c r="BX40" i="54"/>
  <c r="BY40" i="54"/>
  <c r="BZ40" i="54"/>
  <c r="CA40" i="54"/>
  <c r="CB40" i="54"/>
  <c r="CC40" i="54"/>
  <c r="CD40" i="54"/>
  <c r="CE40" i="54"/>
  <c r="CF40" i="54"/>
  <c r="CG40" i="54"/>
  <c r="CH40" i="54"/>
  <c r="CI40" i="54"/>
  <c r="CJ40" i="54"/>
  <c r="CK40" i="54"/>
  <c r="CL40" i="54"/>
  <c r="CM40" i="54"/>
  <c r="CN40" i="54"/>
  <c r="CO40" i="54"/>
  <c r="CP40" i="54"/>
  <c r="CQ40" i="54"/>
  <c r="CR40" i="54"/>
  <c r="CS40" i="54"/>
  <c r="CT40" i="54"/>
  <c r="CU40" i="54"/>
  <c r="CV40" i="54"/>
  <c r="CW40" i="54"/>
  <c r="CX40" i="54"/>
  <c r="BK41" i="54"/>
  <c r="BL41" i="54"/>
  <c r="BN41" i="54"/>
  <c r="BO41" i="54"/>
  <c r="BP41" i="54"/>
  <c r="BQ41" i="54"/>
  <c r="BR41" i="54"/>
  <c r="BS41" i="54"/>
  <c r="BT41" i="54"/>
  <c r="BU41" i="54"/>
  <c r="BV41" i="54"/>
  <c r="BW41" i="54"/>
  <c r="BX41" i="54"/>
  <c r="BY41" i="54"/>
  <c r="BZ41" i="54"/>
  <c r="CA41" i="54"/>
  <c r="CB41" i="54"/>
  <c r="CC41" i="54"/>
  <c r="CD41" i="54"/>
  <c r="CE41" i="54"/>
  <c r="CF41" i="54"/>
  <c r="CG41" i="54"/>
  <c r="CH41" i="54"/>
  <c r="CI41" i="54"/>
  <c r="CJ41" i="54"/>
  <c r="CK41" i="54"/>
  <c r="CL41" i="54"/>
  <c r="CM41" i="54"/>
  <c r="CN41" i="54"/>
  <c r="CO41" i="54"/>
  <c r="CP41" i="54"/>
  <c r="CQ41" i="54"/>
  <c r="CR41" i="54"/>
  <c r="CS41" i="54"/>
  <c r="CT41" i="54"/>
  <c r="CU41" i="54"/>
  <c r="CV41" i="54"/>
  <c r="CW41" i="54"/>
  <c r="CX41" i="54"/>
  <c r="BK42" i="54"/>
  <c r="BL42" i="54"/>
  <c r="BN42" i="54"/>
  <c r="BO42" i="54"/>
  <c r="BP42" i="54"/>
  <c r="BQ42" i="54"/>
  <c r="BR42" i="54"/>
  <c r="BS42" i="54"/>
  <c r="BT42" i="54"/>
  <c r="BU42" i="54"/>
  <c r="BV42" i="54"/>
  <c r="BW42" i="54"/>
  <c r="BX42" i="54"/>
  <c r="BY42" i="54"/>
  <c r="BZ42" i="54"/>
  <c r="CA42" i="54"/>
  <c r="CB42" i="54"/>
  <c r="CC42" i="54"/>
  <c r="CD42" i="54"/>
  <c r="CE42" i="54"/>
  <c r="CF42" i="54"/>
  <c r="CG42" i="54"/>
  <c r="CH42" i="54"/>
  <c r="CI42" i="54"/>
  <c r="CJ42" i="54"/>
  <c r="CK42" i="54"/>
  <c r="CL42" i="54"/>
  <c r="CM42" i="54"/>
  <c r="CN42" i="54"/>
  <c r="CO42" i="54"/>
  <c r="CP42" i="54"/>
  <c r="CQ42" i="54"/>
  <c r="CR42" i="54"/>
  <c r="CS42" i="54"/>
  <c r="CT42" i="54"/>
  <c r="CU42" i="54"/>
  <c r="CV42" i="54"/>
  <c r="CW42" i="54"/>
  <c r="CX42" i="54"/>
  <c r="BK43" i="54"/>
  <c r="BL43" i="54"/>
  <c r="BN43" i="54"/>
  <c r="BO43" i="54"/>
  <c r="BP43" i="54"/>
  <c r="BQ43" i="54"/>
  <c r="BR43" i="54"/>
  <c r="BS43" i="54"/>
  <c r="BT43" i="54"/>
  <c r="BU43" i="54"/>
  <c r="BV43" i="54"/>
  <c r="BW43" i="54"/>
  <c r="BX43" i="54"/>
  <c r="BY43" i="54"/>
  <c r="BZ43" i="54"/>
  <c r="CA43" i="54"/>
  <c r="CB43" i="54"/>
  <c r="CC43" i="54"/>
  <c r="CD43" i="54"/>
  <c r="CE43" i="54"/>
  <c r="CF43" i="54"/>
  <c r="CG43" i="54"/>
  <c r="CH43" i="54"/>
  <c r="CI43" i="54"/>
  <c r="CJ43" i="54"/>
  <c r="CK43" i="54"/>
  <c r="CL43" i="54"/>
  <c r="CM43" i="54"/>
  <c r="CN43" i="54"/>
  <c r="CO43" i="54"/>
  <c r="CP43" i="54"/>
  <c r="CQ43" i="54"/>
  <c r="CR43" i="54"/>
  <c r="CS43" i="54"/>
  <c r="CT43" i="54"/>
  <c r="CU43" i="54"/>
  <c r="CV43" i="54"/>
  <c r="CW43" i="54"/>
  <c r="CX43" i="54"/>
  <c r="BK44" i="54"/>
  <c r="BL44" i="54"/>
  <c r="BN44" i="54"/>
  <c r="BO44" i="54"/>
  <c r="BP44" i="54"/>
  <c r="BQ44" i="54"/>
  <c r="BR44" i="54"/>
  <c r="BS44" i="54"/>
  <c r="BT44" i="54"/>
  <c r="BU44" i="54"/>
  <c r="BV44" i="54"/>
  <c r="BW44" i="54"/>
  <c r="BX44" i="54"/>
  <c r="BY44" i="54"/>
  <c r="BZ44" i="54"/>
  <c r="CA44" i="54"/>
  <c r="CB44" i="54"/>
  <c r="CC44" i="54"/>
  <c r="CD44" i="54"/>
  <c r="CE44" i="54"/>
  <c r="CF44" i="54"/>
  <c r="CG44" i="54"/>
  <c r="CH44" i="54"/>
  <c r="CI44" i="54"/>
  <c r="CJ44" i="54"/>
  <c r="CK44" i="54"/>
  <c r="CL44" i="54"/>
  <c r="CM44" i="54"/>
  <c r="CN44" i="54"/>
  <c r="CO44" i="54"/>
  <c r="CP44" i="54"/>
  <c r="CQ44" i="54"/>
  <c r="CR44" i="54"/>
  <c r="CS44" i="54"/>
  <c r="CT44" i="54"/>
  <c r="CU44" i="54"/>
  <c r="CV44" i="54"/>
  <c r="CW44" i="54"/>
  <c r="CX44" i="54"/>
  <c r="BK45" i="54"/>
  <c r="BL45" i="54"/>
  <c r="BN45" i="54"/>
  <c r="BO45" i="54"/>
  <c r="BP45" i="54"/>
  <c r="BQ45" i="54"/>
  <c r="BR45" i="54"/>
  <c r="BS45" i="54"/>
  <c r="BT45" i="54"/>
  <c r="BU45" i="54"/>
  <c r="BV45" i="54"/>
  <c r="BW45" i="54"/>
  <c r="BX45" i="54"/>
  <c r="BY45" i="54"/>
  <c r="BZ45" i="54"/>
  <c r="CA45" i="54"/>
  <c r="CB45" i="54"/>
  <c r="CC45" i="54"/>
  <c r="CD45" i="54"/>
  <c r="CE45" i="54"/>
  <c r="CF45" i="54"/>
  <c r="CG45" i="54"/>
  <c r="CH45" i="54"/>
  <c r="CI45" i="54"/>
  <c r="CJ45" i="54"/>
  <c r="CK45" i="54"/>
  <c r="CL45" i="54"/>
  <c r="CM45" i="54"/>
  <c r="CN45" i="54"/>
  <c r="CO45" i="54"/>
  <c r="CP45" i="54"/>
  <c r="CQ45" i="54"/>
  <c r="CR45" i="54"/>
  <c r="CS45" i="54"/>
  <c r="CT45" i="54"/>
  <c r="CU45" i="54"/>
  <c r="CV45" i="54"/>
  <c r="CW45" i="54"/>
  <c r="CX45" i="54"/>
  <c r="BK46" i="54"/>
  <c r="BL46" i="54"/>
  <c r="BN46" i="54"/>
  <c r="BO46" i="54"/>
  <c r="BP46" i="54"/>
  <c r="BQ46" i="54"/>
  <c r="BR46" i="54"/>
  <c r="BS46" i="54"/>
  <c r="BT46" i="54"/>
  <c r="BU46" i="54"/>
  <c r="BV46" i="54"/>
  <c r="BW46" i="54"/>
  <c r="BX46" i="54"/>
  <c r="BY46" i="54"/>
  <c r="BZ46" i="54"/>
  <c r="CA46" i="54"/>
  <c r="CB46" i="54"/>
  <c r="CC46" i="54"/>
  <c r="CD46" i="54"/>
  <c r="CE46" i="54"/>
  <c r="CF46" i="54"/>
  <c r="CG46" i="54"/>
  <c r="CH46" i="54"/>
  <c r="CI46" i="54"/>
  <c r="CJ46" i="54"/>
  <c r="CK46" i="54"/>
  <c r="CL46" i="54"/>
  <c r="CM46" i="54"/>
  <c r="CN46" i="54"/>
  <c r="CO46" i="54"/>
  <c r="CP46" i="54"/>
  <c r="CQ46" i="54"/>
  <c r="CR46" i="54"/>
  <c r="CS46" i="54"/>
  <c r="CT46" i="54"/>
  <c r="CU46" i="54"/>
  <c r="CV46" i="54"/>
  <c r="CW46" i="54"/>
  <c r="CX46" i="54"/>
  <c r="BK47" i="54"/>
  <c r="BL47" i="54"/>
  <c r="BN47" i="54"/>
  <c r="BO47" i="54"/>
  <c r="BP47" i="54"/>
  <c r="BQ47" i="54"/>
  <c r="BR47" i="54"/>
  <c r="BS47" i="54"/>
  <c r="BT47" i="54"/>
  <c r="BU47" i="54"/>
  <c r="BV47" i="54"/>
  <c r="BW47" i="54"/>
  <c r="BX47" i="54"/>
  <c r="BY47" i="54"/>
  <c r="BZ47" i="54"/>
  <c r="CA47" i="54"/>
  <c r="CB47" i="54"/>
  <c r="CC47" i="54"/>
  <c r="CD47" i="54"/>
  <c r="CE47" i="54"/>
  <c r="CF47" i="54"/>
  <c r="CG47" i="54"/>
  <c r="CH47" i="54"/>
  <c r="CI47" i="54"/>
  <c r="CJ47" i="54"/>
  <c r="CK47" i="54"/>
  <c r="CL47" i="54"/>
  <c r="CM47" i="54"/>
  <c r="CN47" i="54"/>
  <c r="CO47" i="54"/>
  <c r="CP47" i="54"/>
  <c r="CQ47" i="54"/>
  <c r="CR47" i="54"/>
  <c r="CS47" i="54"/>
  <c r="CT47" i="54"/>
  <c r="CU47" i="54"/>
  <c r="CV47" i="54"/>
  <c r="CW47" i="54"/>
  <c r="CX47" i="54"/>
  <c r="BK48" i="54"/>
  <c r="BL48" i="54"/>
  <c r="BN48" i="54"/>
  <c r="BO48" i="54"/>
  <c r="BP48" i="54"/>
  <c r="BQ48" i="54"/>
  <c r="BR48" i="54"/>
  <c r="BS48" i="54"/>
  <c r="BT48" i="54"/>
  <c r="BU48" i="54"/>
  <c r="BV48" i="54"/>
  <c r="BW48" i="54"/>
  <c r="BX48" i="54"/>
  <c r="BY48" i="54"/>
  <c r="BZ48" i="54"/>
  <c r="CA48" i="54"/>
  <c r="CB48" i="54"/>
  <c r="CC48" i="54"/>
  <c r="CD48" i="54"/>
  <c r="CE48" i="54"/>
  <c r="CF48" i="54"/>
  <c r="CG48" i="54"/>
  <c r="CH48" i="54"/>
  <c r="CI48" i="54"/>
  <c r="CJ48" i="54"/>
  <c r="CK48" i="54"/>
  <c r="CL48" i="54"/>
  <c r="CM48" i="54"/>
  <c r="CN48" i="54"/>
  <c r="CO48" i="54"/>
  <c r="CP48" i="54"/>
  <c r="CQ48" i="54"/>
  <c r="CR48" i="54"/>
  <c r="CS48" i="54"/>
  <c r="CT48" i="54"/>
  <c r="CU48" i="54"/>
  <c r="CV48" i="54"/>
  <c r="CW48" i="54"/>
  <c r="CX48" i="54"/>
  <c r="BK49" i="54"/>
  <c r="BL49" i="54"/>
  <c r="BN49" i="54"/>
  <c r="BO49" i="54"/>
  <c r="BP49" i="54"/>
  <c r="BQ49" i="54"/>
  <c r="BR49" i="54"/>
  <c r="BS49" i="54"/>
  <c r="BT49" i="54"/>
  <c r="BU49" i="54"/>
  <c r="BV49" i="54"/>
  <c r="BW49" i="54"/>
  <c r="BX49" i="54"/>
  <c r="BY49" i="54"/>
  <c r="BZ49" i="54"/>
  <c r="CA49" i="54"/>
  <c r="CB49" i="54"/>
  <c r="CC49" i="54"/>
  <c r="CD49" i="54"/>
  <c r="CE49" i="54"/>
  <c r="CF49" i="54"/>
  <c r="CG49" i="54"/>
  <c r="CH49" i="54"/>
  <c r="CI49" i="54"/>
  <c r="CJ49" i="54"/>
  <c r="CK49" i="54"/>
  <c r="CL49" i="54"/>
  <c r="CM49" i="54"/>
  <c r="CN49" i="54"/>
  <c r="CO49" i="54"/>
  <c r="CP49" i="54"/>
  <c r="CQ49" i="54"/>
  <c r="CR49" i="54"/>
  <c r="CS49" i="54"/>
  <c r="CT49" i="54"/>
  <c r="CU49" i="54"/>
  <c r="CV49" i="54"/>
  <c r="CW49" i="54"/>
  <c r="CX49" i="54"/>
  <c r="CF49" i="21"/>
  <c r="CG49" i="21"/>
  <c r="BK50" i="54"/>
  <c r="BL50" i="54"/>
  <c r="BN50" i="54"/>
  <c r="BO50" i="54"/>
  <c r="BP50" i="54"/>
  <c r="BQ50" i="54"/>
  <c r="BR50" i="54"/>
  <c r="BS50" i="54"/>
  <c r="BT50" i="54"/>
  <c r="BU50" i="54"/>
  <c r="BV50" i="54"/>
  <c r="BW50" i="54"/>
  <c r="BX50" i="54"/>
  <c r="BY50" i="54"/>
  <c r="BZ50" i="54"/>
  <c r="CA50" i="54"/>
  <c r="CB50" i="54"/>
  <c r="CC50" i="54"/>
  <c r="CD50" i="54"/>
  <c r="CE50" i="54"/>
  <c r="CF50" i="54"/>
  <c r="CG50" i="54"/>
  <c r="CH50" i="54"/>
  <c r="CI50" i="54"/>
  <c r="CJ50" i="54"/>
  <c r="CK50" i="54"/>
  <c r="CL50" i="54"/>
  <c r="CM50" i="54"/>
  <c r="CN50" i="54"/>
  <c r="CO50" i="54"/>
  <c r="CP50" i="54"/>
  <c r="CQ50" i="54"/>
  <c r="CR50" i="54"/>
  <c r="CS50" i="54"/>
  <c r="CT50" i="54"/>
  <c r="CU50" i="54"/>
  <c r="CV50" i="54"/>
  <c r="CW50" i="54"/>
  <c r="CX50" i="54"/>
  <c r="BK51" i="54"/>
  <c r="BL51" i="54"/>
  <c r="BN51" i="54"/>
  <c r="BO51" i="54"/>
  <c r="BP51" i="54"/>
  <c r="BQ51" i="54"/>
  <c r="BR51" i="54"/>
  <c r="BS51" i="54"/>
  <c r="BT51" i="54"/>
  <c r="BU51" i="54"/>
  <c r="BV51" i="54"/>
  <c r="BW51" i="54"/>
  <c r="BX51" i="54"/>
  <c r="BY51" i="54"/>
  <c r="BZ51" i="54"/>
  <c r="CA51" i="54"/>
  <c r="CB51" i="54"/>
  <c r="CC51" i="54"/>
  <c r="CD51" i="54"/>
  <c r="CE51" i="54"/>
  <c r="CF51" i="54"/>
  <c r="CG51" i="54"/>
  <c r="CH51" i="54"/>
  <c r="CI51" i="54"/>
  <c r="CJ51" i="54"/>
  <c r="CK51" i="54"/>
  <c r="CL51" i="54"/>
  <c r="CM51" i="54"/>
  <c r="CN51" i="54"/>
  <c r="CO51" i="54"/>
  <c r="CP51" i="54"/>
  <c r="CQ51" i="54"/>
  <c r="CR51" i="54"/>
  <c r="CS51" i="54"/>
  <c r="CT51" i="54"/>
  <c r="CU51" i="54"/>
  <c r="CV51" i="54"/>
  <c r="CW51" i="54"/>
  <c r="CX51" i="54"/>
  <c r="BK52" i="54"/>
  <c r="BL52" i="54"/>
  <c r="BN52" i="54"/>
  <c r="BO52" i="54"/>
  <c r="BP52" i="54"/>
  <c r="BQ52" i="54"/>
  <c r="BR52" i="54"/>
  <c r="BS52" i="54"/>
  <c r="BT52" i="54"/>
  <c r="BU52" i="54"/>
  <c r="BV52" i="54"/>
  <c r="BW52" i="54"/>
  <c r="BX52" i="54"/>
  <c r="BY52" i="54"/>
  <c r="BZ52" i="54"/>
  <c r="CA52" i="54"/>
  <c r="CB52" i="54"/>
  <c r="CC52" i="54"/>
  <c r="CD52" i="54"/>
  <c r="CE52" i="54"/>
  <c r="CF52" i="54"/>
  <c r="CG52" i="54"/>
  <c r="CH52" i="54"/>
  <c r="CI52" i="54"/>
  <c r="CJ52" i="54"/>
  <c r="CK52" i="54"/>
  <c r="CL52" i="54"/>
  <c r="CM52" i="54"/>
  <c r="CN52" i="54"/>
  <c r="CO52" i="54"/>
  <c r="CP52" i="54"/>
  <c r="CQ52" i="54"/>
  <c r="CR52" i="54"/>
  <c r="CS52" i="54"/>
  <c r="CT52" i="54"/>
  <c r="CU52" i="54"/>
  <c r="CV52" i="54"/>
  <c r="CW52" i="54"/>
  <c r="CX52" i="54"/>
  <c r="CG52" i="21"/>
  <c r="BK53" i="54"/>
  <c r="BL53" i="54"/>
  <c r="BN53" i="54"/>
  <c r="BO53" i="54"/>
  <c r="BP53" i="54"/>
  <c r="BQ53" i="54"/>
  <c r="BR53" i="54"/>
  <c r="BS53" i="54"/>
  <c r="BT53" i="54"/>
  <c r="BU53" i="54"/>
  <c r="BV53" i="54"/>
  <c r="BW53" i="54"/>
  <c r="BX53" i="54"/>
  <c r="BY53" i="54"/>
  <c r="BZ53" i="54"/>
  <c r="CA53" i="54"/>
  <c r="CB53" i="54"/>
  <c r="CC53" i="54"/>
  <c r="CD53" i="54"/>
  <c r="CE53" i="54"/>
  <c r="CF53" i="54"/>
  <c r="CG53" i="54"/>
  <c r="CH53" i="54"/>
  <c r="CI53" i="54"/>
  <c r="CJ53" i="54"/>
  <c r="CK53" i="54"/>
  <c r="CL53" i="54"/>
  <c r="CM53" i="54"/>
  <c r="CN53" i="54"/>
  <c r="CO53" i="54"/>
  <c r="CP53" i="54"/>
  <c r="CQ53" i="54"/>
  <c r="CR53" i="54"/>
  <c r="CS53" i="54"/>
  <c r="CT53" i="54"/>
  <c r="CU53" i="54"/>
  <c r="CV53" i="54"/>
  <c r="CW53" i="54"/>
  <c r="CX53" i="54"/>
  <c r="CF53" i="21"/>
  <c r="CG53" i="21"/>
  <c r="BK54" i="54"/>
  <c r="BL54" i="54"/>
  <c r="BN54" i="54"/>
  <c r="BO54" i="54"/>
  <c r="BP54" i="54"/>
  <c r="BQ54" i="54"/>
  <c r="BR54" i="54"/>
  <c r="BS54" i="54"/>
  <c r="BT54" i="54"/>
  <c r="BU54" i="54"/>
  <c r="BV54" i="54"/>
  <c r="BW54" i="54"/>
  <c r="BX54" i="54"/>
  <c r="BY54" i="54"/>
  <c r="BZ54" i="54"/>
  <c r="CA54" i="54"/>
  <c r="CB54" i="54"/>
  <c r="CC54" i="54"/>
  <c r="CD54" i="54"/>
  <c r="CE54" i="54"/>
  <c r="CF54" i="54"/>
  <c r="CG54" i="54"/>
  <c r="CH54" i="54"/>
  <c r="CI54" i="54"/>
  <c r="CJ54" i="54"/>
  <c r="CK54" i="54"/>
  <c r="CL54" i="54"/>
  <c r="CM54" i="54"/>
  <c r="CN54" i="54"/>
  <c r="CO54" i="54"/>
  <c r="CP54" i="54"/>
  <c r="CQ54" i="54"/>
  <c r="CR54" i="54"/>
  <c r="CS54" i="54"/>
  <c r="CT54" i="54"/>
  <c r="CU54" i="54"/>
  <c r="CV54" i="54"/>
  <c r="CW54" i="54"/>
  <c r="CX54" i="54"/>
  <c r="BK55" i="54"/>
  <c r="BL55" i="54"/>
  <c r="BN55" i="54"/>
  <c r="BO55" i="54"/>
  <c r="BP55" i="54"/>
  <c r="BQ55" i="54"/>
  <c r="BR55" i="54"/>
  <c r="BS55" i="54"/>
  <c r="BT55" i="54"/>
  <c r="BU55" i="54"/>
  <c r="BV55" i="54"/>
  <c r="BW55" i="54"/>
  <c r="BX55" i="54"/>
  <c r="BY55" i="54"/>
  <c r="BZ55" i="54"/>
  <c r="CA55" i="54"/>
  <c r="CB55" i="54"/>
  <c r="CC55" i="54"/>
  <c r="CD55" i="54"/>
  <c r="CE55" i="54"/>
  <c r="CF55" i="54"/>
  <c r="CG55" i="54"/>
  <c r="CH55" i="54"/>
  <c r="CI55" i="54"/>
  <c r="CJ55" i="54"/>
  <c r="CK55" i="54"/>
  <c r="CL55" i="54"/>
  <c r="CM55" i="54"/>
  <c r="CN55" i="54"/>
  <c r="CO55" i="54"/>
  <c r="CP55" i="54"/>
  <c r="CQ55" i="54"/>
  <c r="CR55" i="54"/>
  <c r="CS55" i="54"/>
  <c r="CT55" i="54"/>
  <c r="CU55" i="54"/>
  <c r="CV55" i="54"/>
  <c r="CW55" i="54"/>
  <c r="CX55" i="54"/>
  <c r="CI55" i="21"/>
  <c r="BK56" i="54"/>
  <c r="BL56" i="54"/>
  <c r="BN56" i="54"/>
  <c r="BO56" i="54"/>
  <c r="BP56" i="54"/>
  <c r="BQ56" i="54"/>
  <c r="BR56" i="54"/>
  <c r="BS56" i="54"/>
  <c r="BT56" i="54"/>
  <c r="BU56" i="54"/>
  <c r="BV56" i="54"/>
  <c r="BW56" i="54"/>
  <c r="BX56" i="54"/>
  <c r="BY56" i="54"/>
  <c r="BZ56" i="54"/>
  <c r="CA56" i="54"/>
  <c r="CB56" i="54"/>
  <c r="CC56" i="54"/>
  <c r="CD56" i="54"/>
  <c r="CE56" i="54"/>
  <c r="CF56" i="54"/>
  <c r="CG56" i="54"/>
  <c r="CH56" i="54"/>
  <c r="CI56" i="54"/>
  <c r="CJ56" i="54"/>
  <c r="CK56" i="54"/>
  <c r="CL56" i="54"/>
  <c r="CM56" i="54"/>
  <c r="CN56" i="54"/>
  <c r="CO56" i="54"/>
  <c r="CP56" i="54"/>
  <c r="CQ56" i="54"/>
  <c r="CR56" i="54"/>
  <c r="CS56" i="54"/>
  <c r="CT56" i="54"/>
  <c r="CU56" i="54"/>
  <c r="CV56" i="54"/>
  <c r="CW56" i="54"/>
  <c r="CX56" i="54"/>
  <c r="CI56" i="21"/>
  <c r="BK57" i="54"/>
  <c r="BL57" i="54"/>
  <c r="BN57" i="54"/>
  <c r="BO57" i="54"/>
  <c r="BP57" i="54"/>
  <c r="BQ57" i="54"/>
  <c r="BR57" i="54"/>
  <c r="BS57" i="54"/>
  <c r="BT57" i="54"/>
  <c r="BU57" i="54"/>
  <c r="BV57" i="54"/>
  <c r="BW57" i="54"/>
  <c r="BX57" i="54"/>
  <c r="BY57" i="54"/>
  <c r="BZ57" i="54"/>
  <c r="CA57" i="54"/>
  <c r="CB57" i="54"/>
  <c r="CC57" i="54"/>
  <c r="CD57" i="54"/>
  <c r="CE57" i="54"/>
  <c r="CF57" i="54"/>
  <c r="CG57" i="54"/>
  <c r="CH57" i="54"/>
  <c r="CI57" i="54"/>
  <c r="CJ57" i="54"/>
  <c r="CK57" i="54"/>
  <c r="CL57" i="54"/>
  <c r="CM57" i="54"/>
  <c r="CN57" i="54"/>
  <c r="CO57" i="54"/>
  <c r="CP57" i="54"/>
  <c r="CQ57" i="54"/>
  <c r="CR57" i="54"/>
  <c r="CS57" i="54"/>
  <c r="CT57" i="54"/>
  <c r="CU57" i="54"/>
  <c r="CV57" i="54"/>
  <c r="CW57" i="54"/>
  <c r="CX57" i="54"/>
  <c r="BK58" i="54"/>
  <c r="BL58" i="54"/>
  <c r="BN58" i="54"/>
  <c r="BO58" i="54"/>
  <c r="BP58" i="54"/>
  <c r="BQ58" i="54"/>
  <c r="BR58" i="54"/>
  <c r="BS58" i="54"/>
  <c r="BT58" i="54"/>
  <c r="BU58" i="54"/>
  <c r="BV58" i="54"/>
  <c r="BW58" i="54"/>
  <c r="BX58" i="54"/>
  <c r="BY58" i="54"/>
  <c r="BZ58" i="54"/>
  <c r="CA58" i="54"/>
  <c r="CB58" i="54"/>
  <c r="CC58" i="54"/>
  <c r="CD58" i="54"/>
  <c r="CE58" i="54"/>
  <c r="CF58" i="54"/>
  <c r="CG58" i="54"/>
  <c r="CH58" i="54"/>
  <c r="CI58" i="54"/>
  <c r="CJ58" i="54"/>
  <c r="CK58" i="54"/>
  <c r="CL58" i="54"/>
  <c r="CM58" i="54"/>
  <c r="CN58" i="54"/>
  <c r="CO58" i="54"/>
  <c r="CP58" i="54"/>
  <c r="CQ58" i="54"/>
  <c r="CR58" i="54"/>
  <c r="CS58" i="54"/>
  <c r="CT58" i="54"/>
  <c r="CU58" i="54"/>
  <c r="CV58" i="54"/>
  <c r="CW58" i="54"/>
  <c r="CX58" i="54"/>
  <c r="CG58" i="21"/>
  <c r="BK61" i="54"/>
  <c r="BL61" i="54"/>
  <c r="BN61" i="54"/>
  <c r="BO61" i="54"/>
  <c r="BP61" i="54"/>
  <c r="BQ61" i="54"/>
  <c r="BR61" i="54"/>
  <c r="BS61" i="54"/>
  <c r="BT61" i="54"/>
  <c r="BU61" i="54"/>
  <c r="BV61" i="54"/>
  <c r="BW61" i="54"/>
  <c r="BX61" i="54"/>
  <c r="BY61" i="54"/>
  <c r="BZ61" i="54"/>
  <c r="CA61" i="54"/>
  <c r="CB61" i="54"/>
  <c r="CC61" i="54"/>
  <c r="CD61" i="54"/>
  <c r="CE61" i="54"/>
  <c r="CF61" i="54"/>
  <c r="CG61" i="54"/>
  <c r="CH61" i="54"/>
  <c r="CI61" i="54"/>
  <c r="CJ61" i="54"/>
  <c r="CK61" i="54"/>
  <c r="CL61" i="54"/>
  <c r="CM61" i="54"/>
  <c r="CN61" i="54"/>
  <c r="CO61" i="54"/>
  <c r="CP61" i="54"/>
  <c r="CQ61" i="54"/>
  <c r="CR61" i="54"/>
  <c r="CS61" i="54"/>
  <c r="CT61" i="54"/>
  <c r="CU61" i="54"/>
  <c r="CV61" i="54"/>
  <c r="CW61" i="54"/>
  <c r="CX61" i="54"/>
  <c r="CG61" i="21"/>
  <c r="BK62" i="54"/>
  <c r="BL62" i="54"/>
  <c r="BN62" i="54"/>
  <c r="BO62" i="54"/>
  <c r="BP62" i="54"/>
  <c r="BQ62" i="54"/>
  <c r="BR62" i="54"/>
  <c r="BS62" i="54"/>
  <c r="BT62" i="54"/>
  <c r="BU62" i="54"/>
  <c r="BV62" i="54"/>
  <c r="BW62" i="54"/>
  <c r="BX62" i="54"/>
  <c r="BY62" i="54"/>
  <c r="BZ62" i="54"/>
  <c r="CA62" i="54"/>
  <c r="CB62" i="54"/>
  <c r="CC62" i="54"/>
  <c r="CD62" i="54"/>
  <c r="CE62" i="54"/>
  <c r="CF62" i="54"/>
  <c r="CG62" i="54"/>
  <c r="CH62" i="54"/>
  <c r="CI62" i="54"/>
  <c r="CJ62" i="54"/>
  <c r="CK62" i="54"/>
  <c r="CL62" i="54"/>
  <c r="CM62" i="54"/>
  <c r="CN62" i="54"/>
  <c r="CO62" i="54"/>
  <c r="CP62" i="54"/>
  <c r="CQ62" i="54"/>
  <c r="CR62" i="54"/>
  <c r="CS62" i="54"/>
  <c r="CT62" i="54"/>
  <c r="CU62" i="54"/>
  <c r="CV62" i="54"/>
  <c r="CW62" i="54"/>
  <c r="CX62" i="54"/>
  <c r="BK63" i="54"/>
  <c r="BL63" i="54"/>
  <c r="BN63" i="54"/>
  <c r="BO63" i="54"/>
  <c r="BP63" i="54"/>
  <c r="BQ63" i="54"/>
  <c r="BR63" i="54"/>
  <c r="BS63" i="54"/>
  <c r="BT63" i="54"/>
  <c r="BU63" i="54"/>
  <c r="BV63" i="54"/>
  <c r="BW63" i="54"/>
  <c r="BX63" i="54"/>
  <c r="BY63" i="54"/>
  <c r="BZ63" i="54"/>
  <c r="CA63" i="54"/>
  <c r="CB63" i="54"/>
  <c r="CC63" i="54"/>
  <c r="CD63" i="54"/>
  <c r="CE63" i="54"/>
  <c r="CF63" i="54"/>
  <c r="CG63" i="54"/>
  <c r="CH63" i="54"/>
  <c r="CI63" i="54"/>
  <c r="CJ63" i="54"/>
  <c r="CK63" i="54"/>
  <c r="CL63" i="54"/>
  <c r="CM63" i="54"/>
  <c r="CN63" i="54"/>
  <c r="CO63" i="54"/>
  <c r="CP63" i="54"/>
  <c r="CQ63" i="54"/>
  <c r="CR63" i="54"/>
  <c r="CS63" i="54"/>
  <c r="CT63" i="54"/>
  <c r="CU63" i="54"/>
  <c r="CV63" i="54"/>
  <c r="CW63" i="54"/>
  <c r="CX63" i="54"/>
  <c r="BK64" i="54"/>
  <c r="BL64" i="54"/>
  <c r="BN64" i="54"/>
  <c r="BO64" i="54"/>
  <c r="BP64" i="54"/>
  <c r="BQ64" i="54"/>
  <c r="BR64" i="54"/>
  <c r="BS64" i="54"/>
  <c r="BT64" i="54"/>
  <c r="BU64" i="54"/>
  <c r="BV64" i="54"/>
  <c r="BW64" i="54"/>
  <c r="BX64" i="54"/>
  <c r="BY64" i="54"/>
  <c r="BZ64" i="54"/>
  <c r="CA64" i="54"/>
  <c r="CB64" i="54"/>
  <c r="CC64" i="54"/>
  <c r="CD64" i="54"/>
  <c r="CE64" i="54"/>
  <c r="CF64" i="54"/>
  <c r="CG64" i="54"/>
  <c r="CH64" i="54"/>
  <c r="CI64" i="54"/>
  <c r="CJ64" i="54"/>
  <c r="CK64" i="54"/>
  <c r="CL64" i="54"/>
  <c r="CM64" i="54"/>
  <c r="CN64" i="54"/>
  <c r="CO64" i="54"/>
  <c r="CP64" i="54"/>
  <c r="CQ64" i="54"/>
  <c r="CR64" i="54"/>
  <c r="CS64" i="54"/>
  <c r="CT64" i="54"/>
  <c r="CU64" i="54"/>
  <c r="CV64" i="54"/>
  <c r="CW64" i="54"/>
  <c r="CX64" i="54"/>
  <c r="CG64" i="21"/>
  <c r="BK65" i="54"/>
  <c r="BL65" i="54"/>
  <c r="BN65" i="54"/>
  <c r="BO65" i="54"/>
  <c r="BP65" i="54"/>
  <c r="BQ65" i="54"/>
  <c r="BR65" i="54"/>
  <c r="BS65" i="54"/>
  <c r="BT65" i="54"/>
  <c r="BU65" i="54"/>
  <c r="BV65" i="54"/>
  <c r="BW65" i="54"/>
  <c r="BX65" i="54"/>
  <c r="BY65" i="54"/>
  <c r="BZ65" i="54"/>
  <c r="CA65" i="54"/>
  <c r="CB65" i="54"/>
  <c r="CC65" i="54"/>
  <c r="CD65" i="54"/>
  <c r="CE65" i="54"/>
  <c r="CF65" i="54"/>
  <c r="CG65" i="54"/>
  <c r="CH65" i="54"/>
  <c r="CI65" i="54"/>
  <c r="CJ65" i="54"/>
  <c r="CK65" i="54"/>
  <c r="CL65" i="54"/>
  <c r="CM65" i="54"/>
  <c r="CN65" i="54"/>
  <c r="CO65" i="54"/>
  <c r="CP65" i="54"/>
  <c r="CQ65" i="54"/>
  <c r="CR65" i="54"/>
  <c r="CS65" i="54"/>
  <c r="CT65" i="54"/>
  <c r="CU65" i="54"/>
  <c r="CV65" i="54"/>
  <c r="CW65" i="54"/>
  <c r="CX65" i="54"/>
  <c r="BK66" i="54"/>
  <c r="BL66" i="54"/>
  <c r="BN66" i="54"/>
  <c r="BO66" i="54"/>
  <c r="BP66" i="54"/>
  <c r="BQ66" i="54"/>
  <c r="BR66" i="54"/>
  <c r="BS66" i="54"/>
  <c r="BT66" i="54"/>
  <c r="BU66" i="54"/>
  <c r="BV66" i="54"/>
  <c r="BW66" i="54"/>
  <c r="BX66" i="54"/>
  <c r="BY66" i="54"/>
  <c r="BZ66" i="54"/>
  <c r="CA66" i="54"/>
  <c r="CB66" i="54"/>
  <c r="CC66" i="54"/>
  <c r="CD66" i="54"/>
  <c r="CE66" i="54"/>
  <c r="CF66" i="54"/>
  <c r="CG66" i="54"/>
  <c r="CH66" i="54"/>
  <c r="CI66" i="54"/>
  <c r="CJ66" i="54"/>
  <c r="CK66" i="54"/>
  <c r="CL66" i="54"/>
  <c r="CM66" i="54"/>
  <c r="CN66" i="54"/>
  <c r="CO66" i="54"/>
  <c r="CP66" i="54"/>
  <c r="CQ66" i="54"/>
  <c r="CR66" i="54"/>
  <c r="CS66" i="54"/>
  <c r="CT66" i="54"/>
  <c r="CU66" i="54"/>
  <c r="CV66" i="54"/>
  <c r="CW66" i="54"/>
  <c r="CX66" i="54"/>
  <c r="BK67" i="54"/>
  <c r="BL67" i="54"/>
  <c r="BN67" i="54"/>
  <c r="BO67" i="54"/>
  <c r="BP67" i="54"/>
  <c r="BQ67" i="54"/>
  <c r="BR67" i="54"/>
  <c r="BS67" i="54"/>
  <c r="BT67" i="54"/>
  <c r="BU67" i="54"/>
  <c r="BV67" i="54"/>
  <c r="BW67" i="54"/>
  <c r="BX67" i="54"/>
  <c r="BY67" i="54"/>
  <c r="BZ67" i="54"/>
  <c r="CA67" i="54"/>
  <c r="CB67" i="54"/>
  <c r="CC67" i="54"/>
  <c r="CD67" i="54"/>
  <c r="CE67" i="54"/>
  <c r="CF67" i="54"/>
  <c r="CG67" i="54"/>
  <c r="CH67" i="54"/>
  <c r="CI67" i="54"/>
  <c r="CJ67" i="54"/>
  <c r="CK67" i="54"/>
  <c r="CL67" i="54"/>
  <c r="CM67" i="54"/>
  <c r="CN67" i="54"/>
  <c r="CO67" i="54"/>
  <c r="CP67" i="54"/>
  <c r="CQ67" i="54"/>
  <c r="CR67" i="54"/>
  <c r="CS67" i="54"/>
  <c r="CT67" i="54"/>
  <c r="CU67" i="54"/>
  <c r="CV67" i="54"/>
  <c r="CW67" i="54"/>
  <c r="CX67" i="54"/>
  <c r="BK68" i="54"/>
  <c r="BL68" i="54"/>
  <c r="BN68" i="54"/>
  <c r="BO68" i="54"/>
  <c r="BP68" i="54"/>
  <c r="BQ68" i="54"/>
  <c r="BR68" i="54"/>
  <c r="BS68" i="54"/>
  <c r="BT68" i="54"/>
  <c r="BU68" i="54"/>
  <c r="BV68" i="54"/>
  <c r="BW68" i="54"/>
  <c r="BX68" i="54"/>
  <c r="BY68" i="54"/>
  <c r="BZ68" i="54"/>
  <c r="CA68" i="54"/>
  <c r="CB68" i="54"/>
  <c r="CC68" i="54"/>
  <c r="CD68" i="54"/>
  <c r="CE68" i="54"/>
  <c r="CF68" i="54"/>
  <c r="CG68" i="54"/>
  <c r="CH68" i="54"/>
  <c r="CI68" i="54"/>
  <c r="CJ68" i="54"/>
  <c r="CK68" i="54"/>
  <c r="CL68" i="54"/>
  <c r="CM68" i="54"/>
  <c r="CN68" i="54"/>
  <c r="CO68" i="54"/>
  <c r="CP68" i="54"/>
  <c r="CQ68" i="54"/>
  <c r="CR68" i="54"/>
  <c r="CS68" i="54"/>
  <c r="CT68" i="54"/>
  <c r="CU68" i="54"/>
  <c r="CV68" i="54"/>
  <c r="CW68" i="54"/>
  <c r="CX68" i="54"/>
  <c r="BK69" i="54"/>
  <c r="BL69" i="54"/>
  <c r="BN69" i="54"/>
  <c r="BO69" i="54"/>
  <c r="BP69" i="54"/>
  <c r="BQ69" i="54"/>
  <c r="BR69" i="54"/>
  <c r="BS69" i="54"/>
  <c r="BT69" i="54"/>
  <c r="BU69" i="54"/>
  <c r="BV69" i="54"/>
  <c r="BW69" i="54"/>
  <c r="BX69" i="54"/>
  <c r="BY69" i="54"/>
  <c r="BZ69" i="54"/>
  <c r="CA69" i="54"/>
  <c r="CB69" i="54"/>
  <c r="CC69" i="54"/>
  <c r="CD69" i="54"/>
  <c r="CE69" i="54"/>
  <c r="CF69" i="54"/>
  <c r="CG69" i="54"/>
  <c r="CH69" i="54"/>
  <c r="CI69" i="54"/>
  <c r="CJ69" i="54"/>
  <c r="CK69" i="54"/>
  <c r="CL69" i="54"/>
  <c r="CM69" i="54"/>
  <c r="CN69" i="54"/>
  <c r="CO69" i="54"/>
  <c r="CP69" i="54"/>
  <c r="CQ69" i="54"/>
  <c r="CR69" i="54"/>
  <c r="CS69" i="54"/>
  <c r="CT69" i="54"/>
  <c r="CU69" i="54"/>
  <c r="CV69" i="54"/>
  <c r="CW69" i="54"/>
  <c r="CX69" i="54"/>
  <c r="BK70" i="54"/>
  <c r="BL70" i="54"/>
  <c r="BN70" i="54"/>
  <c r="BO70" i="54"/>
  <c r="BP70" i="54"/>
  <c r="BQ70" i="54"/>
  <c r="BR70" i="54"/>
  <c r="BS70" i="54"/>
  <c r="BT70" i="54"/>
  <c r="BU70" i="54"/>
  <c r="BV70" i="54"/>
  <c r="BW70" i="54"/>
  <c r="BX70" i="54"/>
  <c r="BY70" i="54"/>
  <c r="BZ70" i="54"/>
  <c r="CA70" i="54"/>
  <c r="CB70" i="54"/>
  <c r="CC70" i="54"/>
  <c r="CD70" i="54"/>
  <c r="CE70" i="54"/>
  <c r="CF70" i="54"/>
  <c r="CG70" i="54"/>
  <c r="CH70" i="54"/>
  <c r="CI70" i="54"/>
  <c r="CJ70" i="54"/>
  <c r="CK70" i="54"/>
  <c r="CL70" i="54"/>
  <c r="CM70" i="54"/>
  <c r="CN70" i="54"/>
  <c r="CO70" i="54"/>
  <c r="CP70" i="54"/>
  <c r="CQ70" i="54"/>
  <c r="CR70" i="54"/>
  <c r="CS70" i="54"/>
  <c r="CT70" i="54"/>
  <c r="CU70" i="54"/>
  <c r="CV70" i="54"/>
  <c r="CW70" i="54"/>
  <c r="CX70" i="54"/>
  <c r="CF70" i="21"/>
  <c r="BK71" i="54"/>
  <c r="BL71" i="54"/>
  <c r="BN71" i="54"/>
  <c r="BO71" i="54"/>
  <c r="BP71" i="54"/>
  <c r="BQ71" i="54"/>
  <c r="BR71" i="54"/>
  <c r="BS71" i="54"/>
  <c r="BT71" i="54"/>
  <c r="BU71" i="54"/>
  <c r="BV71" i="54"/>
  <c r="BW71" i="54"/>
  <c r="BX71" i="54"/>
  <c r="BY71" i="54"/>
  <c r="BZ71" i="54"/>
  <c r="CA71" i="54"/>
  <c r="CB71" i="54"/>
  <c r="CC71" i="54"/>
  <c r="CD71" i="54"/>
  <c r="CE71" i="54"/>
  <c r="CF71" i="54"/>
  <c r="CG71" i="54"/>
  <c r="CH71" i="54"/>
  <c r="CI71" i="54"/>
  <c r="CJ71" i="54"/>
  <c r="CK71" i="54"/>
  <c r="CL71" i="54"/>
  <c r="CM71" i="54"/>
  <c r="CN71" i="54"/>
  <c r="CO71" i="54"/>
  <c r="CP71" i="54"/>
  <c r="CQ71" i="54"/>
  <c r="CR71" i="54"/>
  <c r="CS71" i="54"/>
  <c r="CT71" i="54"/>
  <c r="CU71" i="54"/>
  <c r="CV71" i="54"/>
  <c r="CW71" i="54"/>
  <c r="CX71" i="54"/>
  <c r="CF71" i="21"/>
  <c r="BK72" i="54"/>
  <c r="BL72" i="54"/>
  <c r="BN72" i="54"/>
  <c r="BO72" i="54"/>
  <c r="BP72" i="54"/>
  <c r="BQ72" i="54"/>
  <c r="BR72" i="54"/>
  <c r="BS72" i="54"/>
  <c r="BT72" i="54"/>
  <c r="BU72" i="54"/>
  <c r="BV72" i="54"/>
  <c r="BW72" i="54"/>
  <c r="BX72" i="54"/>
  <c r="BY72" i="54"/>
  <c r="BZ72" i="54"/>
  <c r="CA72" i="54"/>
  <c r="CB72" i="54"/>
  <c r="CC72" i="54"/>
  <c r="CD72" i="54"/>
  <c r="CE72" i="54"/>
  <c r="CF72" i="54"/>
  <c r="CG72" i="54"/>
  <c r="CH72" i="54"/>
  <c r="CI72" i="54"/>
  <c r="CJ72" i="54"/>
  <c r="CK72" i="54"/>
  <c r="CL72" i="54"/>
  <c r="CM72" i="54"/>
  <c r="CN72" i="54"/>
  <c r="CO72" i="54"/>
  <c r="CP72" i="54"/>
  <c r="CQ72" i="54"/>
  <c r="CR72" i="54"/>
  <c r="CS72" i="54"/>
  <c r="CT72" i="54"/>
  <c r="CU72" i="54"/>
  <c r="CV72" i="54"/>
  <c r="CW72" i="54"/>
  <c r="CX72" i="54"/>
  <c r="BK73" i="54"/>
  <c r="BL73" i="54"/>
  <c r="BN73" i="54"/>
  <c r="BO73" i="54"/>
  <c r="BP73" i="54"/>
  <c r="BQ73" i="54"/>
  <c r="BR73" i="54"/>
  <c r="BS73" i="54"/>
  <c r="BT73" i="54"/>
  <c r="BU73" i="54"/>
  <c r="BV73" i="54"/>
  <c r="BW73" i="54"/>
  <c r="BX73" i="54"/>
  <c r="BY73" i="54"/>
  <c r="BZ73" i="54"/>
  <c r="CA73" i="54"/>
  <c r="CB73" i="54"/>
  <c r="CC73" i="54"/>
  <c r="CD73" i="54"/>
  <c r="CE73" i="54"/>
  <c r="CF73" i="54"/>
  <c r="CG73" i="54"/>
  <c r="CH73" i="54"/>
  <c r="CI73" i="54"/>
  <c r="CJ73" i="54"/>
  <c r="CK73" i="54"/>
  <c r="CL73" i="54"/>
  <c r="CM73" i="54"/>
  <c r="CN73" i="54"/>
  <c r="CO73" i="54"/>
  <c r="CP73" i="54"/>
  <c r="CQ73" i="54"/>
  <c r="CR73" i="54"/>
  <c r="CS73" i="54"/>
  <c r="CT73" i="54"/>
  <c r="CU73" i="54"/>
  <c r="CV73" i="54"/>
  <c r="CW73" i="54"/>
  <c r="CX73" i="54"/>
  <c r="CG73" i="21"/>
  <c r="BK74" i="54"/>
  <c r="BL74" i="54"/>
  <c r="BN74" i="54"/>
  <c r="BO74" i="54"/>
  <c r="BP74" i="54"/>
  <c r="BQ74" i="54"/>
  <c r="BR74" i="54"/>
  <c r="BS74" i="54"/>
  <c r="BT74" i="54"/>
  <c r="BU74" i="54"/>
  <c r="BV74" i="54"/>
  <c r="BW74" i="54"/>
  <c r="BX74" i="54"/>
  <c r="BY74" i="54"/>
  <c r="BZ74" i="54"/>
  <c r="CA74" i="54"/>
  <c r="CB74" i="54"/>
  <c r="CC74" i="54"/>
  <c r="CD74" i="54"/>
  <c r="CE74" i="54"/>
  <c r="CF74" i="54"/>
  <c r="CG74" i="54"/>
  <c r="CH74" i="54"/>
  <c r="CI74" i="54"/>
  <c r="CJ74" i="54"/>
  <c r="CK74" i="54"/>
  <c r="CL74" i="54"/>
  <c r="CM74" i="54"/>
  <c r="CN74" i="54"/>
  <c r="CO74" i="54"/>
  <c r="CP74" i="54"/>
  <c r="CQ74" i="54"/>
  <c r="CR74" i="54"/>
  <c r="CS74" i="54"/>
  <c r="CT74" i="54"/>
  <c r="CU74" i="54"/>
  <c r="CV74" i="54"/>
  <c r="CW74" i="54"/>
  <c r="CX74" i="54"/>
  <c r="BK75" i="54"/>
  <c r="BL75" i="54"/>
  <c r="BN75" i="54"/>
  <c r="BO75" i="54"/>
  <c r="BP75" i="54"/>
  <c r="BQ75" i="54"/>
  <c r="BR75" i="54"/>
  <c r="BS75" i="54"/>
  <c r="BT75" i="54"/>
  <c r="BU75" i="54"/>
  <c r="BV75" i="54"/>
  <c r="BW75" i="54"/>
  <c r="BX75" i="54"/>
  <c r="BY75" i="54"/>
  <c r="BZ75" i="54"/>
  <c r="CA75" i="54"/>
  <c r="CB75" i="54"/>
  <c r="CC75" i="54"/>
  <c r="CD75" i="54"/>
  <c r="CE75" i="54"/>
  <c r="CF75" i="54"/>
  <c r="CG75" i="54"/>
  <c r="CH75" i="54"/>
  <c r="CI75" i="54"/>
  <c r="CJ75" i="54"/>
  <c r="CK75" i="54"/>
  <c r="CL75" i="54"/>
  <c r="CM75" i="54"/>
  <c r="CN75" i="54"/>
  <c r="CO75" i="54"/>
  <c r="CP75" i="54"/>
  <c r="CQ75" i="54"/>
  <c r="CR75" i="54"/>
  <c r="CS75" i="54"/>
  <c r="CT75" i="54"/>
  <c r="CU75" i="54"/>
  <c r="CV75" i="54"/>
  <c r="CW75" i="54"/>
  <c r="CX75" i="54"/>
  <c r="BK76" i="54"/>
  <c r="BL76" i="54"/>
  <c r="BN76" i="54"/>
  <c r="BO76" i="54"/>
  <c r="BP76" i="54"/>
  <c r="BQ76" i="54"/>
  <c r="BR76" i="54"/>
  <c r="BS76" i="54"/>
  <c r="BT76" i="54"/>
  <c r="BU76" i="54"/>
  <c r="BV76" i="54"/>
  <c r="BW76" i="54"/>
  <c r="BX76" i="54"/>
  <c r="BY76" i="54"/>
  <c r="BZ76" i="54"/>
  <c r="CA76" i="54"/>
  <c r="CB76" i="54"/>
  <c r="CC76" i="54"/>
  <c r="CD76" i="54"/>
  <c r="CE76" i="54"/>
  <c r="CF76" i="54"/>
  <c r="CG76" i="54"/>
  <c r="CH76" i="54"/>
  <c r="CI76" i="54"/>
  <c r="CJ76" i="54"/>
  <c r="CK76" i="54"/>
  <c r="CL76" i="54"/>
  <c r="CM76" i="54"/>
  <c r="CN76" i="54"/>
  <c r="CO76" i="54"/>
  <c r="CP76" i="54"/>
  <c r="CQ76" i="54"/>
  <c r="CR76" i="54"/>
  <c r="CS76" i="54"/>
  <c r="CT76" i="54"/>
  <c r="CU76" i="54"/>
  <c r="CV76" i="54"/>
  <c r="CW76" i="54"/>
  <c r="CX76" i="54"/>
  <c r="BK77" i="54"/>
  <c r="BL77" i="54"/>
  <c r="BN77" i="54"/>
  <c r="BO77" i="54"/>
  <c r="BP77" i="54"/>
  <c r="BQ77" i="54"/>
  <c r="BR77" i="54"/>
  <c r="BS77" i="54"/>
  <c r="BT77" i="54"/>
  <c r="BU77" i="54"/>
  <c r="BV77" i="54"/>
  <c r="BW77" i="54"/>
  <c r="BX77" i="54"/>
  <c r="BY77" i="54"/>
  <c r="BZ77" i="54"/>
  <c r="CA77" i="54"/>
  <c r="CB77" i="54"/>
  <c r="CC77" i="54"/>
  <c r="CD77" i="54"/>
  <c r="CE77" i="54"/>
  <c r="CF77" i="54"/>
  <c r="CG77" i="54"/>
  <c r="CH77" i="54"/>
  <c r="CI77" i="54"/>
  <c r="CJ77" i="54"/>
  <c r="CK77" i="54"/>
  <c r="CL77" i="54"/>
  <c r="CM77" i="54"/>
  <c r="CN77" i="54"/>
  <c r="CO77" i="54"/>
  <c r="CP77" i="54"/>
  <c r="CQ77" i="54"/>
  <c r="CR77" i="54"/>
  <c r="CS77" i="54"/>
  <c r="CT77" i="54"/>
  <c r="CU77" i="54"/>
  <c r="CV77" i="54"/>
  <c r="CW77" i="54"/>
  <c r="CX77" i="54"/>
  <c r="CG77" i="21"/>
  <c r="BK78" i="54"/>
  <c r="BL78" i="54"/>
  <c r="BN78" i="54"/>
  <c r="BO78" i="54"/>
  <c r="BP78" i="54"/>
  <c r="BQ78" i="54"/>
  <c r="BR78" i="54"/>
  <c r="BS78" i="54"/>
  <c r="BT78" i="54"/>
  <c r="BU78" i="54"/>
  <c r="BV78" i="54"/>
  <c r="BW78" i="54"/>
  <c r="BX78" i="54"/>
  <c r="BY78" i="54"/>
  <c r="BZ78" i="54"/>
  <c r="CA78" i="54"/>
  <c r="CB78" i="54"/>
  <c r="CC78" i="54"/>
  <c r="CD78" i="54"/>
  <c r="CE78" i="54"/>
  <c r="CF78" i="54"/>
  <c r="CG78" i="54"/>
  <c r="CH78" i="54"/>
  <c r="CI78" i="54"/>
  <c r="CJ78" i="54"/>
  <c r="CK78" i="54"/>
  <c r="CL78" i="54"/>
  <c r="CM78" i="54"/>
  <c r="CN78" i="54"/>
  <c r="CO78" i="54"/>
  <c r="CP78" i="54"/>
  <c r="CQ78" i="54"/>
  <c r="CR78" i="54"/>
  <c r="CS78" i="54"/>
  <c r="CT78" i="54"/>
  <c r="CU78" i="54"/>
  <c r="CV78" i="54"/>
  <c r="CW78" i="54"/>
  <c r="CX78" i="54"/>
  <c r="BK79" i="54"/>
  <c r="BL79" i="54"/>
  <c r="BN79" i="54"/>
  <c r="BO79" i="54"/>
  <c r="BP79" i="54"/>
  <c r="BQ79" i="54"/>
  <c r="BR79" i="54"/>
  <c r="BS79" i="54"/>
  <c r="BT79" i="54"/>
  <c r="BU79" i="54"/>
  <c r="BV79" i="54"/>
  <c r="BW79" i="54"/>
  <c r="BX79" i="54"/>
  <c r="BY79" i="54"/>
  <c r="BZ79" i="54"/>
  <c r="CA79" i="54"/>
  <c r="CB79" i="54"/>
  <c r="CC79" i="54"/>
  <c r="CD79" i="54"/>
  <c r="CE79" i="54"/>
  <c r="CF79" i="54"/>
  <c r="CG79" i="54"/>
  <c r="CH79" i="54"/>
  <c r="CI79" i="54"/>
  <c r="CJ79" i="54"/>
  <c r="CK79" i="54"/>
  <c r="CL79" i="54"/>
  <c r="CM79" i="54"/>
  <c r="CN79" i="54"/>
  <c r="CO79" i="54"/>
  <c r="CP79" i="54"/>
  <c r="CQ79" i="54"/>
  <c r="CR79" i="54"/>
  <c r="CS79" i="54"/>
  <c r="CT79" i="54"/>
  <c r="CU79" i="54"/>
  <c r="CV79" i="54"/>
  <c r="CW79" i="54"/>
  <c r="CX79" i="54"/>
  <c r="BK80" i="54"/>
  <c r="BL80" i="54"/>
  <c r="BN80" i="54"/>
  <c r="BO80" i="54"/>
  <c r="BP80" i="54"/>
  <c r="BQ80" i="54"/>
  <c r="BR80" i="54"/>
  <c r="BS80" i="54"/>
  <c r="BT80" i="54"/>
  <c r="BU80" i="54"/>
  <c r="BV80" i="54"/>
  <c r="BW80" i="54"/>
  <c r="BX80" i="54"/>
  <c r="BY80" i="54"/>
  <c r="BZ80" i="54"/>
  <c r="CA80" i="54"/>
  <c r="CB80" i="54"/>
  <c r="CC80" i="54"/>
  <c r="CD80" i="54"/>
  <c r="CE80" i="54"/>
  <c r="CF80" i="54"/>
  <c r="CG80" i="54"/>
  <c r="CH80" i="54"/>
  <c r="CI80" i="54"/>
  <c r="CJ80" i="54"/>
  <c r="CK80" i="54"/>
  <c r="CL80" i="54"/>
  <c r="CM80" i="54"/>
  <c r="CN80" i="54"/>
  <c r="CO80" i="54"/>
  <c r="CP80" i="54"/>
  <c r="CQ80" i="54"/>
  <c r="CR80" i="54"/>
  <c r="CS80" i="54"/>
  <c r="CT80" i="54"/>
  <c r="CU80" i="54"/>
  <c r="CV80" i="54"/>
  <c r="CW80" i="54"/>
  <c r="CX80" i="54"/>
  <c r="BK81" i="54"/>
  <c r="BL81" i="54"/>
  <c r="BN81" i="54"/>
  <c r="BO81" i="54"/>
  <c r="BP81" i="54"/>
  <c r="BQ81" i="54"/>
  <c r="BR81" i="54"/>
  <c r="BS81" i="54"/>
  <c r="BT81" i="54"/>
  <c r="BU81" i="54"/>
  <c r="BV81" i="54"/>
  <c r="BW81" i="54"/>
  <c r="BX81" i="54"/>
  <c r="BY81" i="54"/>
  <c r="BZ81" i="54"/>
  <c r="CA81" i="54"/>
  <c r="CB81" i="54"/>
  <c r="CC81" i="54"/>
  <c r="CD81" i="54"/>
  <c r="CE81" i="54"/>
  <c r="CF81" i="54"/>
  <c r="CG81" i="54"/>
  <c r="CH81" i="54"/>
  <c r="CI81" i="54"/>
  <c r="CJ81" i="54"/>
  <c r="CK81" i="54"/>
  <c r="CL81" i="54"/>
  <c r="CM81" i="54"/>
  <c r="CN81" i="54"/>
  <c r="CO81" i="54"/>
  <c r="CP81" i="54"/>
  <c r="CQ81" i="54"/>
  <c r="CR81" i="54"/>
  <c r="CS81" i="54"/>
  <c r="CT81" i="54"/>
  <c r="CU81" i="54"/>
  <c r="CV81" i="54"/>
  <c r="CW81" i="54"/>
  <c r="CX81" i="54"/>
  <c r="CG81" i="21"/>
  <c r="BK82" i="54"/>
  <c r="BL82" i="54"/>
  <c r="BN82" i="54"/>
  <c r="BO82" i="54"/>
  <c r="BP82" i="54"/>
  <c r="BQ82" i="54"/>
  <c r="BR82" i="54"/>
  <c r="BS82" i="54"/>
  <c r="BT82" i="54"/>
  <c r="BU82" i="54"/>
  <c r="BV82" i="54"/>
  <c r="BW82" i="54"/>
  <c r="BX82" i="54"/>
  <c r="BY82" i="54"/>
  <c r="BZ82" i="54"/>
  <c r="CA82" i="54"/>
  <c r="CB82" i="54"/>
  <c r="CC82" i="54"/>
  <c r="CD82" i="54"/>
  <c r="CE82" i="54"/>
  <c r="CF82" i="54"/>
  <c r="CG82" i="54"/>
  <c r="CH82" i="54"/>
  <c r="CI82" i="54"/>
  <c r="CJ82" i="54"/>
  <c r="CK82" i="54"/>
  <c r="CL82" i="54"/>
  <c r="CM82" i="54"/>
  <c r="CN82" i="54"/>
  <c r="CO82" i="54"/>
  <c r="CP82" i="54"/>
  <c r="CQ82" i="54"/>
  <c r="CR82" i="54"/>
  <c r="CS82" i="54"/>
  <c r="CT82" i="54"/>
  <c r="CU82" i="54"/>
  <c r="CV82" i="54"/>
  <c r="CW82" i="54"/>
  <c r="CX82" i="54"/>
  <c r="BK83" i="54"/>
  <c r="BL83" i="54"/>
  <c r="BN83" i="54"/>
  <c r="BO83" i="54"/>
  <c r="BP83" i="54"/>
  <c r="BQ83" i="54"/>
  <c r="BR83" i="54"/>
  <c r="BS83" i="54"/>
  <c r="BT83" i="54"/>
  <c r="BU83" i="54"/>
  <c r="BV83" i="54"/>
  <c r="BW83" i="54"/>
  <c r="BX83" i="54"/>
  <c r="BY83" i="54"/>
  <c r="BZ83" i="54"/>
  <c r="CA83" i="54"/>
  <c r="CB83" i="54"/>
  <c r="CC83" i="54"/>
  <c r="CD83" i="54"/>
  <c r="CE83" i="54"/>
  <c r="CF83" i="54"/>
  <c r="CG83" i="54"/>
  <c r="CH83" i="54"/>
  <c r="CI83" i="54"/>
  <c r="CJ83" i="54"/>
  <c r="CK83" i="54"/>
  <c r="CL83" i="54"/>
  <c r="CM83" i="54"/>
  <c r="CN83" i="54"/>
  <c r="CO83" i="54"/>
  <c r="CP83" i="54"/>
  <c r="CQ83" i="54"/>
  <c r="CR83" i="54"/>
  <c r="CS83" i="54"/>
  <c r="CT83" i="54"/>
  <c r="CU83" i="54"/>
  <c r="CV83" i="54"/>
  <c r="CW83" i="54"/>
  <c r="CX83" i="54"/>
  <c r="BK86" i="54"/>
  <c r="BL86" i="54"/>
  <c r="BN86" i="54"/>
  <c r="BO86" i="54"/>
  <c r="BP86" i="54"/>
  <c r="BQ86" i="54"/>
  <c r="BR86" i="54"/>
  <c r="BS86" i="54"/>
  <c r="BT86" i="54"/>
  <c r="BU86" i="54"/>
  <c r="BV86" i="54"/>
  <c r="BW86" i="54"/>
  <c r="BX86" i="54"/>
  <c r="BY86" i="54"/>
  <c r="BZ86" i="54"/>
  <c r="CA86" i="54"/>
  <c r="CB86" i="54"/>
  <c r="CC86" i="54"/>
  <c r="CD86" i="54"/>
  <c r="CE86" i="54"/>
  <c r="CF86" i="54"/>
  <c r="CG86" i="54"/>
  <c r="CH86" i="54"/>
  <c r="CI86" i="54"/>
  <c r="CJ86" i="54"/>
  <c r="CK86" i="54"/>
  <c r="CL86" i="54"/>
  <c r="CM86" i="54"/>
  <c r="CN86" i="54"/>
  <c r="CO86" i="54"/>
  <c r="CP86" i="54"/>
  <c r="CQ86" i="54"/>
  <c r="CR86" i="54"/>
  <c r="CS86" i="54"/>
  <c r="CT86" i="54"/>
  <c r="CU86" i="54"/>
  <c r="CV86" i="54"/>
  <c r="CW86" i="54"/>
  <c r="CX86" i="54"/>
  <c r="BK87" i="54"/>
  <c r="BL87" i="54"/>
  <c r="BN87" i="54"/>
  <c r="BO87" i="54"/>
  <c r="BP87" i="54"/>
  <c r="BQ87" i="54"/>
  <c r="BR87" i="54"/>
  <c r="BS87" i="54"/>
  <c r="BT87" i="54"/>
  <c r="BU87" i="54"/>
  <c r="BV87" i="54"/>
  <c r="BW87" i="54"/>
  <c r="BX87" i="54"/>
  <c r="BY87" i="54"/>
  <c r="BZ87" i="54"/>
  <c r="CA87" i="54"/>
  <c r="CB87" i="54"/>
  <c r="CC87" i="54"/>
  <c r="CD87" i="54"/>
  <c r="CE87" i="54"/>
  <c r="CF87" i="54"/>
  <c r="CG87" i="54"/>
  <c r="CH87" i="54"/>
  <c r="CI87" i="54"/>
  <c r="CJ87" i="54"/>
  <c r="CK87" i="54"/>
  <c r="CL87" i="54"/>
  <c r="CM87" i="54"/>
  <c r="CN87" i="54"/>
  <c r="CO87" i="54"/>
  <c r="CP87" i="54"/>
  <c r="CQ87" i="54"/>
  <c r="CR87" i="54"/>
  <c r="CS87" i="54"/>
  <c r="CT87" i="54"/>
  <c r="CU87" i="54"/>
  <c r="CV87" i="54"/>
  <c r="CW87" i="54"/>
  <c r="CX87" i="54"/>
  <c r="BK88" i="54"/>
  <c r="BL88" i="54"/>
  <c r="BN88" i="54"/>
  <c r="BO88" i="54"/>
  <c r="BP88" i="54"/>
  <c r="BQ88" i="54"/>
  <c r="BR88" i="54"/>
  <c r="BS88" i="54"/>
  <c r="BT88" i="54"/>
  <c r="BU88" i="54"/>
  <c r="BV88" i="54"/>
  <c r="BW88" i="54"/>
  <c r="BX88" i="54"/>
  <c r="BY88" i="54"/>
  <c r="BZ88" i="54"/>
  <c r="CA88" i="54"/>
  <c r="CB88" i="54"/>
  <c r="CC88" i="54"/>
  <c r="CD88" i="54"/>
  <c r="CE88" i="54"/>
  <c r="CF88" i="54"/>
  <c r="CG88" i="54"/>
  <c r="CH88" i="54"/>
  <c r="CI88" i="54"/>
  <c r="CJ88" i="54"/>
  <c r="CK88" i="54"/>
  <c r="CL88" i="54"/>
  <c r="CM88" i="54"/>
  <c r="CN88" i="54"/>
  <c r="CO88" i="54"/>
  <c r="CP88" i="54"/>
  <c r="CQ88" i="54"/>
  <c r="CR88" i="54"/>
  <c r="CS88" i="54"/>
  <c r="CT88" i="54"/>
  <c r="CU88" i="54"/>
  <c r="CV88" i="54"/>
  <c r="CW88" i="54"/>
  <c r="CX88" i="54"/>
  <c r="BK89" i="54"/>
  <c r="BL89" i="54"/>
  <c r="BN89" i="54"/>
  <c r="BO89" i="54"/>
  <c r="BP89" i="54"/>
  <c r="BQ89" i="54"/>
  <c r="BR89" i="54"/>
  <c r="BS89" i="54"/>
  <c r="BT89" i="54"/>
  <c r="BU89" i="54"/>
  <c r="BV89" i="54"/>
  <c r="BW89" i="54"/>
  <c r="BX89" i="54"/>
  <c r="BY89" i="54"/>
  <c r="BZ89" i="54"/>
  <c r="CA89" i="54"/>
  <c r="CB89" i="54"/>
  <c r="CC89" i="54"/>
  <c r="CD89" i="54"/>
  <c r="CE89" i="54"/>
  <c r="CF89" i="54"/>
  <c r="CG89" i="54"/>
  <c r="CH89" i="54"/>
  <c r="CI89" i="54"/>
  <c r="CJ89" i="54"/>
  <c r="CK89" i="54"/>
  <c r="CL89" i="54"/>
  <c r="CM89" i="54"/>
  <c r="CN89" i="54"/>
  <c r="CO89" i="54"/>
  <c r="CP89" i="54"/>
  <c r="CQ89" i="54"/>
  <c r="CR89" i="54"/>
  <c r="CS89" i="54"/>
  <c r="CT89" i="54"/>
  <c r="CU89" i="54"/>
  <c r="CV89" i="54"/>
  <c r="CW89" i="54"/>
  <c r="CX89" i="54"/>
  <c r="BK90" i="54"/>
  <c r="BL90" i="54"/>
  <c r="BN90" i="54"/>
  <c r="BO90" i="54"/>
  <c r="BP90" i="54"/>
  <c r="BQ90" i="54"/>
  <c r="BR90" i="54"/>
  <c r="BS90" i="54"/>
  <c r="BT90" i="54"/>
  <c r="BU90" i="54"/>
  <c r="BV90" i="54"/>
  <c r="BW90" i="54"/>
  <c r="BX90" i="54"/>
  <c r="BY90" i="54"/>
  <c r="BZ90" i="54"/>
  <c r="CA90" i="54"/>
  <c r="CB90" i="54"/>
  <c r="CC90" i="54"/>
  <c r="CD90" i="54"/>
  <c r="CE90" i="54"/>
  <c r="CF90" i="54"/>
  <c r="CG90" i="54"/>
  <c r="CH90" i="54"/>
  <c r="CI90" i="54"/>
  <c r="CJ90" i="54"/>
  <c r="CK90" i="54"/>
  <c r="CL90" i="54"/>
  <c r="CM90" i="54"/>
  <c r="CN90" i="54"/>
  <c r="CO90" i="54"/>
  <c r="CP90" i="54"/>
  <c r="CQ90" i="54"/>
  <c r="CR90" i="54"/>
  <c r="CS90" i="54"/>
  <c r="CT90" i="54"/>
  <c r="CU90" i="54"/>
  <c r="CV90" i="54"/>
  <c r="CW90" i="54"/>
  <c r="CX90" i="54"/>
  <c r="BK91" i="54"/>
  <c r="BL91" i="54"/>
  <c r="BN91" i="54"/>
  <c r="BO91" i="54"/>
  <c r="BP91" i="54"/>
  <c r="BQ91" i="54"/>
  <c r="BR91" i="54"/>
  <c r="BS91" i="54"/>
  <c r="BT91" i="54"/>
  <c r="BU91" i="54"/>
  <c r="BV91" i="54"/>
  <c r="BW91" i="54"/>
  <c r="BX91" i="54"/>
  <c r="BY91" i="54"/>
  <c r="BZ91" i="54"/>
  <c r="CA91" i="54"/>
  <c r="CB91" i="54"/>
  <c r="CC91" i="54"/>
  <c r="CD91" i="54"/>
  <c r="CE91" i="54"/>
  <c r="CF91" i="54"/>
  <c r="CG91" i="54"/>
  <c r="CH91" i="54"/>
  <c r="CI91" i="54"/>
  <c r="CJ91" i="54"/>
  <c r="CK91" i="54"/>
  <c r="CL91" i="54"/>
  <c r="CM91" i="54"/>
  <c r="CN91" i="54"/>
  <c r="CO91" i="54"/>
  <c r="CP91" i="54"/>
  <c r="CQ91" i="54"/>
  <c r="CR91" i="54"/>
  <c r="CS91" i="54"/>
  <c r="CT91" i="54"/>
  <c r="CU91" i="54"/>
  <c r="CV91" i="54"/>
  <c r="CW91" i="54"/>
  <c r="CX91" i="54"/>
  <c r="BK92" i="54"/>
  <c r="BL92" i="54"/>
  <c r="BN92" i="54"/>
  <c r="BO92" i="54"/>
  <c r="BP92" i="54"/>
  <c r="BQ92" i="54"/>
  <c r="BR92" i="54"/>
  <c r="BS92" i="54"/>
  <c r="BT92" i="54"/>
  <c r="BU92" i="54"/>
  <c r="BV92" i="54"/>
  <c r="BW92" i="54"/>
  <c r="BX92" i="54"/>
  <c r="BY92" i="54"/>
  <c r="BZ92" i="54"/>
  <c r="CA92" i="54"/>
  <c r="CB92" i="54"/>
  <c r="CC92" i="54"/>
  <c r="CD92" i="54"/>
  <c r="CE92" i="54"/>
  <c r="CF92" i="54"/>
  <c r="CG92" i="54"/>
  <c r="CH92" i="54"/>
  <c r="CI92" i="54"/>
  <c r="CJ92" i="54"/>
  <c r="CK92" i="54"/>
  <c r="CL92" i="54"/>
  <c r="CM92" i="54"/>
  <c r="CN92" i="54"/>
  <c r="CO92" i="54"/>
  <c r="CP92" i="54"/>
  <c r="CQ92" i="54"/>
  <c r="CR92" i="54"/>
  <c r="CS92" i="54"/>
  <c r="CT92" i="54"/>
  <c r="CU92" i="54"/>
  <c r="CV92" i="54"/>
  <c r="CW92" i="54"/>
  <c r="CX92" i="54"/>
  <c r="BK93" i="54"/>
  <c r="BL93" i="54"/>
  <c r="BN93" i="54"/>
  <c r="BO93" i="54"/>
  <c r="BP93" i="54"/>
  <c r="BQ93" i="54"/>
  <c r="BR93" i="54"/>
  <c r="BS93" i="54"/>
  <c r="BT93" i="54"/>
  <c r="BU93" i="54"/>
  <c r="BV93" i="54"/>
  <c r="BW93" i="54"/>
  <c r="BX93" i="54"/>
  <c r="BY93" i="54"/>
  <c r="BZ93" i="54"/>
  <c r="CA93" i="54"/>
  <c r="CB93" i="54"/>
  <c r="CC93" i="54"/>
  <c r="CD93" i="54"/>
  <c r="CE93" i="54"/>
  <c r="CF93" i="54"/>
  <c r="CG93" i="54"/>
  <c r="CH93" i="54"/>
  <c r="CI93" i="54"/>
  <c r="CJ93" i="54"/>
  <c r="CK93" i="54"/>
  <c r="CL93" i="54"/>
  <c r="CM93" i="54"/>
  <c r="CN93" i="54"/>
  <c r="CO93" i="54"/>
  <c r="CP93" i="54"/>
  <c r="CQ93" i="54"/>
  <c r="CR93" i="54"/>
  <c r="CS93" i="54"/>
  <c r="CT93" i="54"/>
  <c r="CU93" i="54"/>
  <c r="CV93" i="54"/>
  <c r="CW93" i="54"/>
  <c r="CX93" i="54"/>
  <c r="BK94" i="54"/>
  <c r="BL94" i="54"/>
  <c r="BN94" i="54"/>
  <c r="BO94" i="54"/>
  <c r="BP94" i="54"/>
  <c r="BQ94" i="54"/>
  <c r="BR94" i="54"/>
  <c r="BS94" i="54"/>
  <c r="BT94" i="54"/>
  <c r="BU94" i="54"/>
  <c r="BV94" i="54"/>
  <c r="BW94" i="54"/>
  <c r="BX94" i="54"/>
  <c r="BY94" i="54"/>
  <c r="BZ94" i="54"/>
  <c r="CA94" i="54"/>
  <c r="CB94" i="54"/>
  <c r="CC94" i="54"/>
  <c r="CD94" i="54"/>
  <c r="CE94" i="54"/>
  <c r="CF94" i="54"/>
  <c r="CG94" i="54"/>
  <c r="CH94" i="54"/>
  <c r="CI94" i="54"/>
  <c r="CJ94" i="54"/>
  <c r="CK94" i="54"/>
  <c r="CL94" i="54"/>
  <c r="CM94" i="54"/>
  <c r="CN94" i="54"/>
  <c r="CO94" i="54"/>
  <c r="CP94" i="54"/>
  <c r="CQ94" i="54"/>
  <c r="CR94" i="54"/>
  <c r="CS94" i="54"/>
  <c r="CT94" i="54"/>
  <c r="CU94" i="54"/>
  <c r="CV94" i="54"/>
  <c r="CW94" i="54"/>
  <c r="CX94" i="54"/>
  <c r="BK95" i="54"/>
  <c r="BL95" i="54"/>
  <c r="BN95" i="54"/>
  <c r="BO95" i="54"/>
  <c r="BP95" i="54"/>
  <c r="BQ95" i="54"/>
  <c r="BR95" i="54"/>
  <c r="BS95" i="54"/>
  <c r="BT95" i="54"/>
  <c r="BU95" i="54"/>
  <c r="BV95" i="54"/>
  <c r="BW95" i="54"/>
  <c r="BX95" i="54"/>
  <c r="BY95" i="54"/>
  <c r="BZ95" i="54"/>
  <c r="CA95" i="54"/>
  <c r="CB95" i="54"/>
  <c r="CC95" i="54"/>
  <c r="CD95" i="54"/>
  <c r="CE95" i="54"/>
  <c r="CF95" i="54"/>
  <c r="CG95" i="54"/>
  <c r="CH95" i="54"/>
  <c r="CI95" i="54"/>
  <c r="CJ95" i="54"/>
  <c r="CK95" i="54"/>
  <c r="CL95" i="54"/>
  <c r="CM95" i="54"/>
  <c r="CN95" i="54"/>
  <c r="CO95" i="54"/>
  <c r="CP95" i="54"/>
  <c r="CQ95" i="54"/>
  <c r="CR95" i="54"/>
  <c r="CS95" i="54"/>
  <c r="CT95" i="54"/>
  <c r="CU95" i="54"/>
  <c r="CV95" i="54"/>
  <c r="CW95" i="54"/>
  <c r="CX95" i="54"/>
  <c r="BK96" i="54"/>
  <c r="BL96" i="54"/>
  <c r="BN96" i="54"/>
  <c r="BO96" i="54"/>
  <c r="BP96" i="54"/>
  <c r="BQ96" i="54"/>
  <c r="BR96" i="54"/>
  <c r="BS96" i="54"/>
  <c r="BT96" i="54"/>
  <c r="BU96" i="54"/>
  <c r="BV96" i="54"/>
  <c r="BW96" i="54"/>
  <c r="BX96" i="54"/>
  <c r="BY96" i="54"/>
  <c r="BZ96" i="54"/>
  <c r="CA96" i="54"/>
  <c r="CB96" i="54"/>
  <c r="CC96" i="54"/>
  <c r="CD96" i="54"/>
  <c r="CE96" i="54"/>
  <c r="CF96" i="54"/>
  <c r="CG96" i="54"/>
  <c r="CH96" i="54"/>
  <c r="CI96" i="54"/>
  <c r="CJ96" i="54"/>
  <c r="CK96" i="54"/>
  <c r="CL96" i="54"/>
  <c r="CM96" i="54"/>
  <c r="CN96" i="54"/>
  <c r="CO96" i="54"/>
  <c r="CP96" i="54"/>
  <c r="CQ96" i="54"/>
  <c r="CR96" i="54"/>
  <c r="CS96" i="54"/>
  <c r="CT96" i="54"/>
  <c r="CU96" i="54"/>
  <c r="CV96" i="54"/>
  <c r="CW96" i="54"/>
  <c r="CX96" i="54"/>
  <c r="BK97" i="54"/>
  <c r="BL97" i="54"/>
  <c r="BN97" i="54"/>
  <c r="BO97" i="54"/>
  <c r="BP97" i="54"/>
  <c r="BQ97" i="54"/>
  <c r="BR97" i="54"/>
  <c r="BS97" i="54"/>
  <c r="BT97" i="54"/>
  <c r="BU97" i="54"/>
  <c r="BV97" i="54"/>
  <c r="BW97" i="54"/>
  <c r="BX97" i="54"/>
  <c r="BY97" i="54"/>
  <c r="BZ97" i="54"/>
  <c r="CA97" i="54"/>
  <c r="CB97" i="54"/>
  <c r="CC97" i="54"/>
  <c r="CD97" i="54"/>
  <c r="CE97" i="54"/>
  <c r="CF97" i="54"/>
  <c r="CG97" i="54"/>
  <c r="CH97" i="54"/>
  <c r="CI97" i="54"/>
  <c r="CJ97" i="54"/>
  <c r="CK97" i="54"/>
  <c r="CL97" i="54"/>
  <c r="CM97" i="54"/>
  <c r="CN97" i="54"/>
  <c r="CO97" i="54"/>
  <c r="CP97" i="54"/>
  <c r="CQ97" i="54"/>
  <c r="CR97" i="54"/>
  <c r="CS97" i="54"/>
  <c r="CT97" i="54"/>
  <c r="CU97" i="54"/>
  <c r="CV97" i="54"/>
  <c r="CW97" i="54"/>
  <c r="CX97" i="54"/>
  <c r="BK98" i="54"/>
  <c r="BL98" i="54"/>
  <c r="BN98" i="54"/>
  <c r="BO98" i="54"/>
  <c r="BP98" i="54"/>
  <c r="BQ98" i="54"/>
  <c r="BR98" i="54"/>
  <c r="BS98" i="54"/>
  <c r="BT98" i="54"/>
  <c r="BU98" i="54"/>
  <c r="BV98" i="54"/>
  <c r="BW98" i="54"/>
  <c r="BX98" i="54"/>
  <c r="BY98" i="54"/>
  <c r="BZ98" i="54"/>
  <c r="CA98" i="54"/>
  <c r="CB98" i="54"/>
  <c r="CC98" i="54"/>
  <c r="CD98" i="54"/>
  <c r="CE98" i="54"/>
  <c r="CF98" i="54"/>
  <c r="CG98" i="54"/>
  <c r="CH98" i="54"/>
  <c r="CI98" i="54"/>
  <c r="CJ98" i="54"/>
  <c r="CK98" i="54"/>
  <c r="CL98" i="54"/>
  <c r="CM98" i="54"/>
  <c r="CN98" i="54"/>
  <c r="CO98" i="54"/>
  <c r="CP98" i="54"/>
  <c r="CQ98" i="54"/>
  <c r="CR98" i="54"/>
  <c r="CS98" i="54"/>
  <c r="CT98" i="54"/>
  <c r="CU98" i="54"/>
  <c r="CV98" i="54"/>
  <c r="CW98" i="54"/>
  <c r="CX98" i="54"/>
  <c r="BK99" i="54"/>
  <c r="BL99" i="54"/>
  <c r="BN99" i="54"/>
  <c r="BO99" i="54"/>
  <c r="BP99" i="54"/>
  <c r="BQ99" i="54"/>
  <c r="BR99" i="54"/>
  <c r="BS99" i="54"/>
  <c r="BT99" i="54"/>
  <c r="BU99" i="54"/>
  <c r="BV99" i="54"/>
  <c r="BW99" i="54"/>
  <c r="BX99" i="54"/>
  <c r="BY99" i="54"/>
  <c r="BZ99" i="54"/>
  <c r="CA99" i="54"/>
  <c r="CB99" i="54"/>
  <c r="CC99" i="54"/>
  <c r="CD99" i="54"/>
  <c r="CE99" i="54"/>
  <c r="CF99" i="54"/>
  <c r="CG99" i="54"/>
  <c r="CH99" i="54"/>
  <c r="CI99" i="54"/>
  <c r="CJ99" i="54"/>
  <c r="CK99" i="54"/>
  <c r="CL99" i="54"/>
  <c r="CM99" i="54"/>
  <c r="CN99" i="54"/>
  <c r="CO99" i="54"/>
  <c r="CP99" i="54"/>
  <c r="CQ99" i="54"/>
  <c r="CR99" i="54"/>
  <c r="CS99" i="54"/>
  <c r="CT99" i="54"/>
  <c r="CU99" i="54"/>
  <c r="CV99" i="54"/>
  <c r="CW99" i="54"/>
  <c r="CX99" i="54"/>
  <c r="BK100" i="54"/>
  <c r="BL100" i="54"/>
  <c r="BN100" i="54"/>
  <c r="BO100" i="54"/>
  <c r="BP100" i="54"/>
  <c r="BQ100" i="54"/>
  <c r="BR100" i="54"/>
  <c r="BS100" i="54"/>
  <c r="BT100" i="54"/>
  <c r="BU100" i="54"/>
  <c r="BV100" i="54"/>
  <c r="BW100" i="54"/>
  <c r="BX100" i="54"/>
  <c r="BY100" i="54"/>
  <c r="BZ100" i="54"/>
  <c r="CA100" i="54"/>
  <c r="CB100" i="54"/>
  <c r="CC100" i="54"/>
  <c r="CD100" i="54"/>
  <c r="CE100" i="54"/>
  <c r="CF100" i="54"/>
  <c r="CG100" i="54"/>
  <c r="CH100" i="54"/>
  <c r="CI100" i="54"/>
  <c r="CJ100" i="54"/>
  <c r="CK100" i="54"/>
  <c r="CL100" i="54"/>
  <c r="CM100" i="54"/>
  <c r="CN100" i="54"/>
  <c r="CO100" i="54"/>
  <c r="CP100" i="54"/>
  <c r="CQ100" i="54"/>
  <c r="CR100" i="54"/>
  <c r="CS100" i="54"/>
  <c r="CT100" i="54"/>
  <c r="CU100" i="54"/>
  <c r="CV100" i="54"/>
  <c r="CW100" i="54"/>
  <c r="CX100" i="54"/>
  <c r="BK101" i="54"/>
  <c r="BL101" i="54"/>
  <c r="BN101" i="54"/>
  <c r="BO101" i="54"/>
  <c r="BP101" i="54"/>
  <c r="BQ101" i="54"/>
  <c r="BR101" i="54"/>
  <c r="BS101" i="54"/>
  <c r="BT101" i="54"/>
  <c r="BU101" i="54"/>
  <c r="BV101" i="54"/>
  <c r="BW101" i="54"/>
  <c r="BX101" i="54"/>
  <c r="BY101" i="54"/>
  <c r="BZ101" i="54"/>
  <c r="CA101" i="54"/>
  <c r="CB101" i="54"/>
  <c r="CC101" i="54"/>
  <c r="CD101" i="54"/>
  <c r="CE101" i="54"/>
  <c r="CF101" i="54"/>
  <c r="CG101" i="54"/>
  <c r="CH101" i="54"/>
  <c r="CI101" i="54"/>
  <c r="CJ101" i="54"/>
  <c r="CK101" i="54"/>
  <c r="CL101" i="54"/>
  <c r="CM101" i="54"/>
  <c r="CN101" i="54"/>
  <c r="CO101" i="54"/>
  <c r="CP101" i="54"/>
  <c r="CQ101" i="54"/>
  <c r="CR101" i="54"/>
  <c r="CS101" i="54"/>
  <c r="CT101" i="54"/>
  <c r="CU101" i="54"/>
  <c r="CV101" i="54"/>
  <c r="CW101" i="54"/>
  <c r="CX101" i="54"/>
  <c r="BK102" i="54"/>
  <c r="BL102" i="54"/>
  <c r="BN102" i="54"/>
  <c r="BO102" i="54"/>
  <c r="BP102" i="54"/>
  <c r="BQ102" i="54"/>
  <c r="BR102" i="54"/>
  <c r="BS102" i="54"/>
  <c r="BT102" i="54"/>
  <c r="BU102" i="54"/>
  <c r="BV102" i="54"/>
  <c r="BW102" i="54"/>
  <c r="BX102" i="54"/>
  <c r="BY102" i="54"/>
  <c r="BZ102" i="54"/>
  <c r="CA102" i="54"/>
  <c r="CB102" i="54"/>
  <c r="CC102" i="54"/>
  <c r="CD102" i="54"/>
  <c r="CE102" i="54"/>
  <c r="CF102" i="54"/>
  <c r="CG102" i="54"/>
  <c r="CH102" i="54"/>
  <c r="CI102" i="54"/>
  <c r="CJ102" i="54"/>
  <c r="CK102" i="54"/>
  <c r="CL102" i="54"/>
  <c r="CM102" i="54"/>
  <c r="CN102" i="54"/>
  <c r="CO102" i="54"/>
  <c r="CP102" i="54"/>
  <c r="CQ102" i="54"/>
  <c r="CR102" i="54"/>
  <c r="CS102" i="54"/>
  <c r="CT102" i="54"/>
  <c r="CU102" i="54"/>
  <c r="CV102" i="54"/>
  <c r="CW102" i="54"/>
  <c r="CX102" i="54"/>
  <c r="BK105" i="54"/>
  <c r="BL105" i="54"/>
  <c r="BN105" i="54"/>
  <c r="BO105" i="54"/>
  <c r="BP105" i="54"/>
  <c r="BQ105" i="54"/>
  <c r="BR105" i="54"/>
  <c r="BS105" i="54"/>
  <c r="BT105" i="54"/>
  <c r="BU105" i="54"/>
  <c r="BV105" i="54"/>
  <c r="BW105" i="54"/>
  <c r="BX105" i="54"/>
  <c r="BY105" i="54"/>
  <c r="BZ105" i="54"/>
  <c r="CA105" i="54"/>
  <c r="CB105" i="54"/>
  <c r="CC105" i="54"/>
  <c r="CD105" i="54"/>
  <c r="CE105" i="54"/>
  <c r="CF105" i="54"/>
  <c r="CG105" i="54"/>
  <c r="CH105" i="54"/>
  <c r="CI105" i="54"/>
  <c r="CJ105" i="54"/>
  <c r="CK105" i="54"/>
  <c r="CL105" i="54"/>
  <c r="CM105" i="54"/>
  <c r="CN105" i="54"/>
  <c r="CO105" i="54"/>
  <c r="CP105" i="54"/>
  <c r="CQ105" i="54"/>
  <c r="CR105" i="54"/>
  <c r="CS105" i="54"/>
  <c r="CT105" i="54"/>
  <c r="CU105" i="54"/>
  <c r="CV105" i="54"/>
  <c r="CW105" i="54"/>
  <c r="CX105" i="54"/>
  <c r="BK106" i="54"/>
  <c r="BL106" i="54"/>
  <c r="BN106" i="54"/>
  <c r="BO106" i="54"/>
  <c r="BP106" i="54"/>
  <c r="BQ106" i="54"/>
  <c r="BR106" i="54"/>
  <c r="BS106" i="54"/>
  <c r="BT106" i="54"/>
  <c r="BU106" i="54"/>
  <c r="BV106" i="54"/>
  <c r="BW106" i="54"/>
  <c r="BX106" i="54"/>
  <c r="BY106" i="54"/>
  <c r="BZ106" i="54"/>
  <c r="CA106" i="54"/>
  <c r="CB106" i="54"/>
  <c r="CC106" i="54"/>
  <c r="CD106" i="54"/>
  <c r="CE106" i="54"/>
  <c r="CF106" i="54"/>
  <c r="CG106" i="54"/>
  <c r="CH106" i="54"/>
  <c r="CI106" i="54"/>
  <c r="CJ106" i="54"/>
  <c r="CK106" i="54"/>
  <c r="CL106" i="54"/>
  <c r="CM106" i="54"/>
  <c r="CN106" i="54"/>
  <c r="CO106" i="54"/>
  <c r="CP106" i="54"/>
  <c r="CQ106" i="54"/>
  <c r="CR106" i="54"/>
  <c r="CS106" i="54"/>
  <c r="CT106" i="54"/>
  <c r="CU106" i="54"/>
  <c r="CV106" i="54"/>
  <c r="CW106" i="54"/>
  <c r="CX106" i="54"/>
  <c r="BK107" i="54"/>
  <c r="BL107" i="54"/>
  <c r="BN107" i="54"/>
  <c r="BO107" i="54"/>
  <c r="BP107" i="54"/>
  <c r="BQ107" i="54"/>
  <c r="BR107" i="54"/>
  <c r="BS107" i="54"/>
  <c r="BT107" i="54"/>
  <c r="BU107" i="54"/>
  <c r="BV107" i="54"/>
  <c r="BW107" i="54"/>
  <c r="BX107" i="54"/>
  <c r="BY107" i="54"/>
  <c r="BZ107" i="54"/>
  <c r="CA107" i="54"/>
  <c r="CB107" i="54"/>
  <c r="CC107" i="54"/>
  <c r="CD107" i="54"/>
  <c r="CE107" i="54"/>
  <c r="CF107" i="54"/>
  <c r="CG107" i="54"/>
  <c r="CH107" i="54"/>
  <c r="CI107" i="54"/>
  <c r="CJ107" i="54"/>
  <c r="CK107" i="54"/>
  <c r="CL107" i="54"/>
  <c r="CM107" i="54"/>
  <c r="CN107" i="54"/>
  <c r="CO107" i="54"/>
  <c r="CP107" i="54"/>
  <c r="CQ107" i="54"/>
  <c r="CR107" i="54"/>
  <c r="CS107" i="54"/>
  <c r="CT107" i="54"/>
  <c r="CU107" i="54"/>
  <c r="CV107" i="54"/>
  <c r="CW107" i="54"/>
  <c r="CX107" i="54"/>
  <c r="BK108" i="54"/>
  <c r="BL108" i="54"/>
  <c r="BN108" i="54"/>
  <c r="BO108" i="54"/>
  <c r="BP108" i="54"/>
  <c r="BQ108" i="54"/>
  <c r="BR108" i="54"/>
  <c r="BS108" i="54"/>
  <c r="BT108" i="54"/>
  <c r="BU108" i="54"/>
  <c r="BV108" i="54"/>
  <c r="BW108" i="54"/>
  <c r="BX108" i="54"/>
  <c r="BY108" i="54"/>
  <c r="BZ108" i="54"/>
  <c r="CA108" i="54"/>
  <c r="CB108" i="54"/>
  <c r="CC108" i="54"/>
  <c r="CD108" i="54"/>
  <c r="CE108" i="54"/>
  <c r="CF108" i="54"/>
  <c r="CG108" i="54"/>
  <c r="CH108" i="54"/>
  <c r="CI108" i="54"/>
  <c r="CJ108" i="54"/>
  <c r="CK108" i="54"/>
  <c r="CL108" i="54"/>
  <c r="CM108" i="54"/>
  <c r="CN108" i="54"/>
  <c r="CO108" i="54"/>
  <c r="CP108" i="54"/>
  <c r="CQ108" i="54"/>
  <c r="CR108" i="54"/>
  <c r="CS108" i="54"/>
  <c r="CT108" i="54"/>
  <c r="CU108" i="54"/>
  <c r="CV108" i="54"/>
  <c r="CW108" i="54"/>
  <c r="CX108" i="54"/>
  <c r="BK109" i="54"/>
  <c r="BL109" i="54"/>
  <c r="BN109" i="54"/>
  <c r="BO109" i="54"/>
  <c r="BP109" i="54"/>
  <c r="BQ109" i="54"/>
  <c r="BR109" i="54"/>
  <c r="BS109" i="54"/>
  <c r="BT109" i="54"/>
  <c r="BU109" i="54"/>
  <c r="BV109" i="54"/>
  <c r="BW109" i="54"/>
  <c r="BX109" i="54"/>
  <c r="BY109" i="54"/>
  <c r="BZ109" i="54"/>
  <c r="CA109" i="54"/>
  <c r="CB109" i="54"/>
  <c r="CC109" i="54"/>
  <c r="CD109" i="54"/>
  <c r="CE109" i="54"/>
  <c r="CF109" i="54"/>
  <c r="CG109" i="54"/>
  <c r="CH109" i="54"/>
  <c r="CI109" i="54"/>
  <c r="CJ109" i="54"/>
  <c r="CK109" i="54"/>
  <c r="CL109" i="54"/>
  <c r="CM109" i="54"/>
  <c r="CN109" i="54"/>
  <c r="CO109" i="54"/>
  <c r="CP109" i="54"/>
  <c r="CQ109" i="54"/>
  <c r="CR109" i="54"/>
  <c r="CS109" i="54"/>
  <c r="CT109" i="54"/>
  <c r="CU109" i="54"/>
  <c r="CV109" i="54"/>
  <c r="CW109" i="54"/>
  <c r="CX109" i="54"/>
  <c r="BK110" i="54"/>
  <c r="BL110" i="54"/>
  <c r="BN110" i="54"/>
  <c r="BO110" i="54"/>
  <c r="BP110" i="54"/>
  <c r="BQ110" i="54"/>
  <c r="BR110" i="54"/>
  <c r="BS110" i="54"/>
  <c r="BT110" i="54"/>
  <c r="BU110" i="54"/>
  <c r="BV110" i="54"/>
  <c r="BW110" i="54"/>
  <c r="BX110" i="54"/>
  <c r="BY110" i="54"/>
  <c r="BZ110" i="54"/>
  <c r="CA110" i="54"/>
  <c r="CB110" i="54"/>
  <c r="CC110" i="54"/>
  <c r="CD110" i="54"/>
  <c r="CE110" i="54"/>
  <c r="CF110" i="54"/>
  <c r="CG110" i="54"/>
  <c r="CH110" i="54"/>
  <c r="CI110" i="54"/>
  <c r="CJ110" i="54"/>
  <c r="CK110" i="54"/>
  <c r="CL110" i="54"/>
  <c r="CM110" i="54"/>
  <c r="CN110" i="54"/>
  <c r="CO110" i="54"/>
  <c r="CP110" i="54"/>
  <c r="CQ110" i="54"/>
  <c r="CR110" i="54"/>
  <c r="CS110" i="54"/>
  <c r="CT110" i="54"/>
  <c r="CU110" i="54"/>
  <c r="CV110" i="54"/>
  <c r="CW110" i="54"/>
  <c r="CX110" i="54"/>
  <c r="BK111" i="54"/>
  <c r="BL111" i="54"/>
  <c r="BN111" i="54"/>
  <c r="BO111" i="54"/>
  <c r="BP111" i="54"/>
  <c r="BQ111" i="54"/>
  <c r="BR111" i="54"/>
  <c r="BS111" i="54"/>
  <c r="BT111" i="54"/>
  <c r="BU111" i="54"/>
  <c r="BV111" i="54"/>
  <c r="BW111" i="54"/>
  <c r="BX111" i="54"/>
  <c r="BY111" i="54"/>
  <c r="BZ111" i="54"/>
  <c r="CA111" i="54"/>
  <c r="CB111" i="54"/>
  <c r="CC111" i="54"/>
  <c r="CD111" i="54"/>
  <c r="CE111" i="54"/>
  <c r="CF111" i="54"/>
  <c r="CG111" i="54"/>
  <c r="CH111" i="54"/>
  <c r="CI111" i="54"/>
  <c r="CJ111" i="54"/>
  <c r="CK111" i="54"/>
  <c r="CL111" i="54"/>
  <c r="CM111" i="54"/>
  <c r="CN111" i="54"/>
  <c r="CO111" i="54"/>
  <c r="CP111" i="54"/>
  <c r="CQ111" i="54"/>
  <c r="CR111" i="54"/>
  <c r="CS111" i="54"/>
  <c r="CT111" i="54"/>
  <c r="CU111" i="54"/>
  <c r="CV111" i="54"/>
  <c r="CW111" i="54"/>
  <c r="CX111" i="54"/>
  <c r="BK112" i="54"/>
  <c r="BL112" i="54"/>
  <c r="BN112" i="54"/>
  <c r="BO112" i="54"/>
  <c r="BP112" i="54"/>
  <c r="BQ112" i="54"/>
  <c r="BR112" i="54"/>
  <c r="BS112" i="54"/>
  <c r="BT112" i="54"/>
  <c r="BU112" i="54"/>
  <c r="BV112" i="54"/>
  <c r="BW112" i="54"/>
  <c r="BX112" i="54"/>
  <c r="BY112" i="54"/>
  <c r="BZ112" i="54"/>
  <c r="CA112" i="54"/>
  <c r="CB112" i="54"/>
  <c r="CC112" i="54"/>
  <c r="CD112" i="54"/>
  <c r="CE112" i="54"/>
  <c r="CF112" i="54"/>
  <c r="CG112" i="54"/>
  <c r="CH112" i="54"/>
  <c r="CI112" i="54"/>
  <c r="CJ112" i="54"/>
  <c r="CK112" i="54"/>
  <c r="CL112" i="54"/>
  <c r="CM112" i="54"/>
  <c r="CN112" i="54"/>
  <c r="CO112" i="54"/>
  <c r="CP112" i="54"/>
  <c r="CQ112" i="54"/>
  <c r="CR112" i="54"/>
  <c r="CS112" i="54"/>
  <c r="CT112" i="54"/>
  <c r="CU112" i="54"/>
  <c r="CV112" i="54"/>
  <c r="CW112" i="54"/>
  <c r="CX112" i="54"/>
  <c r="BK113" i="54"/>
  <c r="BL113" i="54"/>
  <c r="BN113" i="54"/>
  <c r="BO113" i="54"/>
  <c r="BP113" i="54"/>
  <c r="BQ113" i="54"/>
  <c r="BR113" i="54"/>
  <c r="BS113" i="54"/>
  <c r="BT113" i="54"/>
  <c r="BU113" i="54"/>
  <c r="BV113" i="54"/>
  <c r="BW113" i="54"/>
  <c r="BX113" i="54"/>
  <c r="BY113" i="54"/>
  <c r="BZ113" i="54"/>
  <c r="CA113" i="54"/>
  <c r="CB113" i="54"/>
  <c r="CC113" i="54"/>
  <c r="CD113" i="54"/>
  <c r="CE113" i="54"/>
  <c r="CF113" i="54"/>
  <c r="CG113" i="54"/>
  <c r="CH113" i="54"/>
  <c r="CI113" i="54"/>
  <c r="CJ113" i="54"/>
  <c r="CK113" i="54"/>
  <c r="CL113" i="54"/>
  <c r="CM113" i="54"/>
  <c r="CN113" i="54"/>
  <c r="CO113" i="54"/>
  <c r="CP113" i="54"/>
  <c r="CQ113" i="54"/>
  <c r="CR113" i="54"/>
  <c r="CS113" i="54"/>
  <c r="CT113" i="54"/>
  <c r="CU113" i="54"/>
  <c r="CV113" i="54"/>
  <c r="CW113" i="54"/>
  <c r="CX113" i="54"/>
  <c r="BK114" i="54"/>
  <c r="BL114" i="54"/>
  <c r="BN114" i="54"/>
  <c r="BO114" i="54"/>
  <c r="BP114" i="54"/>
  <c r="BQ114" i="54"/>
  <c r="BR114" i="54"/>
  <c r="BS114" i="54"/>
  <c r="BT114" i="54"/>
  <c r="BU114" i="54"/>
  <c r="BV114" i="54"/>
  <c r="BW114" i="54"/>
  <c r="BX114" i="54"/>
  <c r="BY114" i="54"/>
  <c r="BZ114" i="54"/>
  <c r="CA114" i="54"/>
  <c r="CB114" i="54"/>
  <c r="CC114" i="54"/>
  <c r="CD114" i="54"/>
  <c r="CE114" i="54"/>
  <c r="CF114" i="54"/>
  <c r="CG114" i="54"/>
  <c r="CH114" i="54"/>
  <c r="CI114" i="54"/>
  <c r="CJ114" i="54"/>
  <c r="CK114" i="54"/>
  <c r="CL114" i="54"/>
  <c r="CM114" i="54"/>
  <c r="CN114" i="54"/>
  <c r="CO114" i="54"/>
  <c r="CP114" i="54"/>
  <c r="CQ114" i="54"/>
  <c r="CR114" i="54"/>
  <c r="CS114" i="54"/>
  <c r="CT114" i="54"/>
  <c r="CU114" i="54"/>
  <c r="CV114" i="54"/>
  <c r="CW114" i="54"/>
  <c r="CX114" i="54"/>
  <c r="BK115" i="54"/>
  <c r="BL115" i="54"/>
  <c r="BN115" i="54"/>
  <c r="BO115" i="54"/>
  <c r="BP115" i="54"/>
  <c r="BQ115" i="54"/>
  <c r="BR115" i="54"/>
  <c r="BS115" i="54"/>
  <c r="BT115" i="54"/>
  <c r="BU115" i="54"/>
  <c r="BV115" i="54"/>
  <c r="BW115" i="54"/>
  <c r="BX115" i="54"/>
  <c r="BY115" i="54"/>
  <c r="BZ115" i="54"/>
  <c r="CA115" i="54"/>
  <c r="CB115" i="54"/>
  <c r="CC115" i="54"/>
  <c r="CD115" i="54"/>
  <c r="CE115" i="54"/>
  <c r="CF115" i="54"/>
  <c r="CG115" i="54"/>
  <c r="CH115" i="54"/>
  <c r="CI115" i="54"/>
  <c r="CJ115" i="54"/>
  <c r="CK115" i="54"/>
  <c r="CL115" i="54"/>
  <c r="CM115" i="54"/>
  <c r="CN115" i="54"/>
  <c r="CO115" i="54"/>
  <c r="CP115" i="54"/>
  <c r="CQ115" i="54"/>
  <c r="CR115" i="54"/>
  <c r="CS115" i="54"/>
  <c r="CT115" i="54"/>
  <c r="CU115" i="54"/>
  <c r="CV115" i="54"/>
  <c r="CW115" i="54"/>
  <c r="CX115" i="54"/>
  <c r="BK116" i="54"/>
  <c r="BL116" i="54"/>
  <c r="BN116" i="54"/>
  <c r="BO116" i="54"/>
  <c r="BP116" i="54"/>
  <c r="BQ116" i="54"/>
  <c r="BR116" i="54"/>
  <c r="BS116" i="54"/>
  <c r="BT116" i="54"/>
  <c r="BU116" i="54"/>
  <c r="BV116" i="54"/>
  <c r="BW116" i="54"/>
  <c r="BX116" i="54"/>
  <c r="BY116" i="54"/>
  <c r="BZ116" i="54"/>
  <c r="CA116" i="54"/>
  <c r="CB116" i="54"/>
  <c r="CC116" i="54"/>
  <c r="CD116" i="54"/>
  <c r="CE116" i="54"/>
  <c r="CF116" i="54"/>
  <c r="CG116" i="54"/>
  <c r="CH116" i="54"/>
  <c r="CI116" i="54"/>
  <c r="CJ116" i="54"/>
  <c r="CK116" i="54"/>
  <c r="CL116" i="54"/>
  <c r="CM116" i="54"/>
  <c r="CN116" i="54"/>
  <c r="CO116" i="54"/>
  <c r="CP116" i="54"/>
  <c r="CQ116" i="54"/>
  <c r="CR116" i="54"/>
  <c r="CS116" i="54"/>
  <c r="CT116" i="54"/>
  <c r="CU116" i="54"/>
  <c r="CV116" i="54"/>
  <c r="CW116" i="54"/>
  <c r="CX116" i="54"/>
  <c r="BK117" i="54"/>
  <c r="BL117" i="54"/>
  <c r="BN117" i="54"/>
  <c r="BO117" i="54"/>
  <c r="BP117" i="54"/>
  <c r="BQ117" i="54"/>
  <c r="BR117" i="54"/>
  <c r="BS117" i="54"/>
  <c r="BT117" i="54"/>
  <c r="BU117" i="54"/>
  <c r="BV117" i="54"/>
  <c r="BW117" i="54"/>
  <c r="BX117" i="54"/>
  <c r="BY117" i="54"/>
  <c r="BZ117" i="54"/>
  <c r="CA117" i="54"/>
  <c r="CB117" i="54"/>
  <c r="CC117" i="54"/>
  <c r="CD117" i="54"/>
  <c r="CE117" i="54"/>
  <c r="CF117" i="54"/>
  <c r="CG117" i="54"/>
  <c r="CH117" i="54"/>
  <c r="CI117" i="54"/>
  <c r="CJ117" i="54"/>
  <c r="CK117" i="54"/>
  <c r="CL117" i="54"/>
  <c r="CM117" i="54"/>
  <c r="CN117" i="54"/>
  <c r="CO117" i="54"/>
  <c r="CP117" i="54"/>
  <c r="CQ117" i="54"/>
  <c r="CR117" i="54"/>
  <c r="CS117" i="54"/>
  <c r="CT117" i="54"/>
  <c r="CU117" i="54"/>
  <c r="CV117" i="54"/>
  <c r="CW117" i="54"/>
  <c r="CX117" i="54"/>
  <c r="BK118" i="54"/>
  <c r="BL118" i="54"/>
  <c r="BN118" i="54"/>
  <c r="BO118" i="54"/>
  <c r="BP118" i="54"/>
  <c r="BQ118" i="54"/>
  <c r="BR118" i="54"/>
  <c r="BS118" i="54"/>
  <c r="BT118" i="54"/>
  <c r="BU118" i="54"/>
  <c r="BV118" i="54"/>
  <c r="BW118" i="54"/>
  <c r="BX118" i="54"/>
  <c r="BY118" i="54"/>
  <c r="BZ118" i="54"/>
  <c r="CA118" i="54"/>
  <c r="CB118" i="54"/>
  <c r="CC118" i="54"/>
  <c r="CD118" i="54"/>
  <c r="CE118" i="54"/>
  <c r="CF118" i="54"/>
  <c r="CG118" i="54"/>
  <c r="CH118" i="54"/>
  <c r="CI118" i="54"/>
  <c r="CJ118" i="54"/>
  <c r="CK118" i="54"/>
  <c r="CL118" i="54"/>
  <c r="CM118" i="54"/>
  <c r="CN118" i="54"/>
  <c r="CO118" i="54"/>
  <c r="CP118" i="54"/>
  <c r="CQ118" i="54"/>
  <c r="CR118" i="54"/>
  <c r="CS118" i="54"/>
  <c r="CT118" i="54"/>
  <c r="CU118" i="54"/>
  <c r="CV118" i="54"/>
  <c r="CW118" i="54"/>
  <c r="CX118" i="54"/>
  <c r="BK119" i="54"/>
  <c r="BL119" i="54"/>
  <c r="BN119" i="54"/>
  <c r="BO119" i="54"/>
  <c r="BP119" i="54"/>
  <c r="BQ119" i="54"/>
  <c r="BR119" i="54"/>
  <c r="BS119" i="54"/>
  <c r="BT119" i="54"/>
  <c r="BU119" i="54"/>
  <c r="BV119" i="54"/>
  <c r="BW119" i="54"/>
  <c r="BX119" i="54"/>
  <c r="BY119" i="54"/>
  <c r="BZ119" i="54"/>
  <c r="CA119" i="54"/>
  <c r="CB119" i="54"/>
  <c r="CC119" i="54"/>
  <c r="CD119" i="54"/>
  <c r="CE119" i="54"/>
  <c r="CF119" i="54"/>
  <c r="CG119" i="54"/>
  <c r="CH119" i="54"/>
  <c r="CI119" i="54"/>
  <c r="CJ119" i="54"/>
  <c r="CK119" i="54"/>
  <c r="CL119" i="54"/>
  <c r="CM119" i="54"/>
  <c r="CN119" i="54"/>
  <c r="CO119" i="54"/>
  <c r="CP119" i="54"/>
  <c r="CQ119" i="54"/>
  <c r="CR119" i="54"/>
  <c r="CS119" i="54"/>
  <c r="CT119" i="54"/>
  <c r="CU119" i="54"/>
  <c r="CV119" i="54"/>
  <c r="CW119" i="54"/>
  <c r="CX119" i="54"/>
  <c r="BK120" i="54"/>
  <c r="BL120" i="54"/>
  <c r="BN120" i="54"/>
  <c r="BO120" i="54"/>
  <c r="BP120" i="54"/>
  <c r="BQ120" i="54"/>
  <c r="BR120" i="54"/>
  <c r="BS120" i="54"/>
  <c r="BT120" i="54"/>
  <c r="BU120" i="54"/>
  <c r="BV120" i="54"/>
  <c r="BW120" i="54"/>
  <c r="BX120" i="54"/>
  <c r="BY120" i="54"/>
  <c r="BZ120" i="54"/>
  <c r="CA120" i="54"/>
  <c r="CB120" i="54"/>
  <c r="CC120" i="54"/>
  <c r="CD120" i="54"/>
  <c r="CE120" i="54"/>
  <c r="CF120" i="54"/>
  <c r="CG120" i="54"/>
  <c r="CH120" i="54"/>
  <c r="CI120" i="54"/>
  <c r="CJ120" i="54"/>
  <c r="CK120" i="54"/>
  <c r="CL120" i="54"/>
  <c r="CM120" i="54"/>
  <c r="CN120" i="54"/>
  <c r="CO120" i="54"/>
  <c r="CP120" i="54"/>
  <c r="CQ120" i="54"/>
  <c r="CR120" i="54"/>
  <c r="CS120" i="54"/>
  <c r="CT120" i="54"/>
  <c r="CU120" i="54"/>
  <c r="CV120" i="54"/>
  <c r="CW120" i="54"/>
  <c r="CX120" i="54"/>
  <c r="BK121" i="54"/>
  <c r="BL121" i="54"/>
  <c r="BN121" i="54"/>
  <c r="BO121" i="54"/>
  <c r="BP121" i="54"/>
  <c r="BQ121" i="54"/>
  <c r="BR121" i="54"/>
  <c r="BS121" i="54"/>
  <c r="BT121" i="54"/>
  <c r="BU121" i="54"/>
  <c r="BV121" i="54"/>
  <c r="BW121" i="54"/>
  <c r="BX121" i="54"/>
  <c r="BY121" i="54"/>
  <c r="BZ121" i="54"/>
  <c r="CA121" i="54"/>
  <c r="CB121" i="54"/>
  <c r="CC121" i="54"/>
  <c r="CD121" i="54"/>
  <c r="CE121" i="54"/>
  <c r="CF121" i="54"/>
  <c r="CG121" i="54"/>
  <c r="CH121" i="54"/>
  <c r="CI121" i="54"/>
  <c r="CJ121" i="54"/>
  <c r="CK121" i="54"/>
  <c r="CL121" i="54"/>
  <c r="CM121" i="54"/>
  <c r="CN121" i="54"/>
  <c r="CO121" i="54"/>
  <c r="CP121" i="54"/>
  <c r="CQ121" i="54"/>
  <c r="CR121" i="54"/>
  <c r="CS121" i="54"/>
  <c r="CT121" i="54"/>
  <c r="CU121" i="54"/>
  <c r="CV121" i="54"/>
  <c r="CW121" i="54"/>
  <c r="CX121" i="54"/>
  <c r="BK122" i="54"/>
  <c r="BL122" i="54"/>
  <c r="BN122" i="54"/>
  <c r="BO122" i="54"/>
  <c r="BP122" i="54"/>
  <c r="BQ122" i="54"/>
  <c r="BR122" i="54"/>
  <c r="BS122" i="54"/>
  <c r="BT122" i="54"/>
  <c r="BU122" i="54"/>
  <c r="BV122" i="54"/>
  <c r="BW122" i="54"/>
  <c r="BX122" i="54"/>
  <c r="BY122" i="54"/>
  <c r="BZ122" i="54"/>
  <c r="CA122" i="54"/>
  <c r="CB122" i="54"/>
  <c r="CC122" i="54"/>
  <c r="CD122" i="54"/>
  <c r="CE122" i="54"/>
  <c r="CF122" i="54"/>
  <c r="CG122" i="54"/>
  <c r="CH122" i="54"/>
  <c r="CI122" i="54"/>
  <c r="CJ122" i="54"/>
  <c r="CK122" i="54"/>
  <c r="CL122" i="54"/>
  <c r="CM122" i="54"/>
  <c r="CN122" i="54"/>
  <c r="CO122" i="54"/>
  <c r="CP122" i="54"/>
  <c r="CQ122" i="54"/>
  <c r="CR122" i="54"/>
  <c r="CS122" i="54"/>
  <c r="CT122" i="54"/>
  <c r="CU122" i="54"/>
  <c r="CV122" i="54"/>
  <c r="CW122" i="54"/>
  <c r="CX122" i="54"/>
  <c r="BK123" i="54"/>
  <c r="BL123" i="54"/>
  <c r="BN123" i="54"/>
  <c r="BO123" i="54"/>
  <c r="BP123" i="54"/>
  <c r="BQ123" i="54"/>
  <c r="BR123" i="54"/>
  <c r="BS123" i="54"/>
  <c r="BT123" i="54"/>
  <c r="BU123" i="54"/>
  <c r="BV123" i="54"/>
  <c r="BW123" i="54"/>
  <c r="BX123" i="54"/>
  <c r="BY123" i="54"/>
  <c r="BZ123" i="54"/>
  <c r="CA123" i="54"/>
  <c r="CB123" i="54"/>
  <c r="CC123" i="54"/>
  <c r="CD123" i="54"/>
  <c r="CE123" i="54"/>
  <c r="CF123" i="54"/>
  <c r="CG123" i="54"/>
  <c r="CH123" i="54"/>
  <c r="CI123" i="54"/>
  <c r="CJ123" i="54"/>
  <c r="CK123" i="54"/>
  <c r="CL123" i="54"/>
  <c r="CM123" i="54"/>
  <c r="CN123" i="54"/>
  <c r="CO123" i="54"/>
  <c r="CP123" i="54"/>
  <c r="CQ123" i="54"/>
  <c r="CR123" i="54"/>
  <c r="CS123" i="54"/>
  <c r="CT123" i="54"/>
  <c r="CU123" i="54"/>
  <c r="CV123" i="54"/>
  <c r="CW123" i="54"/>
  <c r="CX123" i="54"/>
  <c r="BK124" i="54"/>
  <c r="BL124" i="54"/>
  <c r="BN124" i="54"/>
  <c r="BO124" i="54"/>
  <c r="BP124" i="54"/>
  <c r="BQ124" i="54"/>
  <c r="BR124" i="54"/>
  <c r="BS124" i="54"/>
  <c r="BT124" i="54"/>
  <c r="BU124" i="54"/>
  <c r="BV124" i="54"/>
  <c r="BW124" i="54"/>
  <c r="BX124" i="54"/>
  <c r="BY124" i="54"/>
  <c r="BZ124" i="54"/>
  <c r="CA124" i="54"/>
  <c r="CB124" i="54"/>
  <c r="CC124" i="54"/>
  <c r="CD124" i="54"/>
  <c r="CE124" i="54"/>
  <c r="CF124" i="54"/>
  <c r="CG124" i="54"/>
  <c r="CH124" i="54"/>
  <c r="CI124" i="54"/>
  <c r="CJ124" i="54"/>
  <c r="CK124" i="54"/>
  <c r="CL124" i="54"/>
  <c r="CM124" i="54"/>
  <c r="CN124" i="54"/>
  <c r="CO124" i="54"/>
  <c r="CP124" i="54"/>
  <c r="CQ124" i="54"/>
  <c r="CR124" i="54"/>
  <c r="CS124" i="54"/>
  <c r="CT124" i="54"/>
  <c r="CU124" i="54"/>
  <c r="CV124" i="54"/>
  <c r="CW124" i="54"/>
  <c r="CX124" i="54"/>
  <c r="BK125" i="54"/>
  <c r="BL125" i="54"/>
  <c r="BN125" i="54"/>
  <c r="BO125" i="54"/>
  <c r="BP125" i="54"/>
  <c r="BQ125" i="54"/>
  <c r="BR125" i="54"/>
  <c r="BS125" i="54"/>
  <c r="BT125" i="54"/>
  <c r="BU125" i="54"/>
  <c r="BV125" i="54"/>
  <c r="BW125" i="54"/>
  <c r="BX125" i="54"/>
  <c r="BY125" i="54"/>
  <c r="BZ125" i="54"/>
  <c r="CA125" i="54"/>
  <c r="CB125" i="54"/>
  <c r="CC125" i="54"/>
  <c r="CD125" i="54"/>
  <c r="CE125" i="54"/>
  <c r="CF125" i="54"/>
  <c r="CG125" i="54"/>
  <c r="CH125" i="54"/>
  <c r="CI125" i="54"/>
  <c r="CJ125" i="54"/>
  <c r="CK125" i="54"/>
  <c r="CL125" i="54"/>
  <c r="CM125" i="54"/>
  <c r="CN125" i="54"/>
  <c r="CO125" i="54"/>
  <c r="CP125" i="54"/>
  <c r="CQ125" i="54"/>
  <c r="CR125" i="54"/>
  <c r="CS125" i="54"/>
  <c r="CT125" i="54"/>
  <c r="CU125" i="54"/>
  <c r="CV125" i="54"/>
  <c r="CW125" i="54"/>
  <c r="CX125" i="54"/>
  <c r="BK126" i="54"/>
  <c r="BL126" i="54"/>
  <c r="BN126" i="54"/>
  <c r="BO126" i="54"/>
  <c r="BP126" i="54"/>
  <c r="BQ126" i="54"/>
  <c r="BR126" i="54"/>
  <c r="BS126" i="54"/>
  <c r="BT126" i="54"/>
  <c r="BU126" i="54"/>
  <c r="BV126" i="54"/>
  <c r="BW126" i="54"/>
  <c r="BX126" i="54"/>
  <c r="BY126" i="54"/>
  <c r="BZ126" i="54"/>
  <c r="CA126" i="54"/>
  <c r="CB126" i="54"/>
  <c r="CC126" i="54"/>
  <c r="CD126" i="54"/>
  <c r="CE126" i="54"/>
  <c r="CF126" i="54"/>
  <c r="CG126" i="54"/>
  <c r="CH126" i="54"/>
  <c r="CI126" i="54"/>
  <c r="CJ126" i="54"/>
  <c r="CK126" i="54"/>
  <c r="CL126" i="54"/>
  <c r="CM126" i="54"/>
  <c r="CN126" i="54"/>
  <c r="CO126" i="54"/>
  <c r="CP126" i="54"/>
  <c r="CQ126" i="54"/>
  <c r="CR126" i="54"/>
  <c r="CS126" i="54"/>
  <c r="CT126" i="54"/>
  <c r="CU126" i="54"/>
  <c r="CV126" i="54"/>
  <c r="CW126" i="54"/>
  <c r="CX126" i="54"/>
  <c r="BK127" i="54"/>
  <c r="BL127" i="54"/>
  <c r="BN127" i="54"/>
  <c r="BO127" i="54"/>
  <c r="BP127" i="54"/>
  <c r="BQ127" i="54"/>
  <c r="BR127" i="54"/>
  <c r="BS127" i="54"/>
  <c r="BT127" i="54"/>
  <c r="BU127" i="54"/>
  <c r="BV127" i="54"/>
  <c r="BW127" i="54"/>
  <c r="BX127" i="54"/>
  <c r="BY127" i="54"/>
  <c r="BZ127" i="54"/>
  <c r="CA127" i="54"/>
  <c r="CB127" i="54"/>
  <c r="CC127" i="54"/>
  <c r="CD127" i="54"/>
  <c r="CE127" i="54"/>
  <c r="CF127" i="54"/>
  <c r="CG127" i="54"/>
  <c r="CH127" i="54"/>
  <c r="CI127" i="54"/>
  <c r="CJ127" i="54"/>
  <c r="CK127" i="54"/>
  <c r="CL127" i="54"/>
  <c r="CM127" i="54"/>
  <c r="CN127" i="54"/>
  <c r="CO127" i="54"/>
  <c r="CP127" i="54"/>
  <c r="CQ127" i="54"/>
  <c r="CR127" i="54"/>
  <c r="CS127" i="54"/>
  <c r="CT127" i="54"/>
  <c r="CU127" i="54"/>
  <c r="CV127" i="54"/>
  <c r="CW127" i="54"/>
  <c r="CX127" i="54"/>
  <c r="BK128" i="54"/>
  <c r="BL128" i="54"/>
  <c r="BN128" i="54"/>
  <c r="BO128" i="54"/>
  <c r="BP128" i="54"/>
  <c r="BQ128" i="54"/>
  <c r="BR128" i="54"/>
  <c r="BS128" i="54"/>
  <c r="BT128" i="54"/>
  <c r="BU128" i="54"/>
  <c r="BV128" i="54"/>
  <c r="BW128" i="54"/>
  <c r="BX128" i="54"/>
  <c r="BY128" i="54"/>
  <c r="BZ128" i="54"/>
  <c r="CA128" i="54"/>
  <c r="CB128" i="54"/>
  <c r="CC128" i="54"/>
  <c r="CD128" i="54"/>
  <c r="CE128" i="54"/>
  <c r="CF128" i="54"/>
  <c r="CG128" i="54"/>
  <c r="CH128" i="54"/>
  <c r="CI128" i="54"/>
  <c r="CJ128" i="54"/>
  <c r="CK128" i="54"/>
  <c r="CL128" i="54"/>
  <c r="CM128" i="54"/>
  <c r="CN128" i="54"/>
  <c r="CO128" i="54"/>
  <c r="CP128" i="54"/>
  <c r="CQ128" i="54"/>
  <c r="CR128" i="54"/>
  <c r="CS128" i="54"/>
  <c r="CT128" i="54"/>
  <c r="CU128" i="54"/>
  <c r="CV128" i="54"/>
  <c r="CW128" i="54"/>
  <c r="CX128" i="54"/>
  <c r="BK129" i="54"/>
  <c r="BL129" i="54"/>
  <c r="BN129" i="54"/>
  <c r="BO129" i="54"/>
  <c r="BP129" i="54"/>
  <c r="BQ129" i="54"/>
  <c r="BR129" i="54"/>
  <c r="BS129" i="54"/>
  <c r="BT129" i="54"/>
  <c r="BU129" i="54"/>
  <c r="BV129" i="54"/>
  <c r="BW129" i="54"/>
  <c r="BX129" i="54"/>
  <c r="BY129" i="54"/>
  <c r="BZ129" i="54"/>
  <c r="CA129" i="54"/>
  <c r="CB129" i="54"/>
  <c r="CC129" i="54"/>
  <c r="CD129" i="54"/>
  <c r="CE129" i="54"/>
  <c r="CF129" i="54"/>
  <c r="CG129" i="54"/>
  <c r="CH129" i="54"/>
  <c r="CI129" i="54"/>
  <c r="CJ129" i="54"/>
  <c r="CK129" i="54"/>
  <c r="CL129" i="54"/>
  <c r="CM129" i="54"/>
  <c r="CN129" i="54"/>
  <c r="CO129" i="54"/>
  <c r="CP129" i="54"/>
  <c r="CQ129" i="54"/>
  <c r="CR129" i="54"/>
  <c r="CS129" i="54"/>
  <c r="CT129" i="54"/>
  <c r="CU129" i="54"/>
  <c r="CV129" i="54"/>
  <c r="CW129" i="54"/>
  <c r="CX129" i="54"/>
  <c r="BK130" i="54"/>
  <c r="BL130" i="54"/>
  <c r="BN130" i="54"/>
  <c r="BO130" i="54"/>
  <c r="BP130" i="54"/>
  <c r="BQ130" i="54"/>
  <c r="BR130" i="54"/>
  <c r="BS130" i="54"/>
  <c r="BT130" i="54"/>
  <c r="BU130" i="54"/>
  <c r="BV130" i="54"/>
  <c r="BW130" i="54"/>
  <c r="BX130" i="54"/>
  <c r="BY130" i="54"/>
  <c r="BZ130" i="54"/>
  <c r="CA130" i="54"/>
  <c r="CB130" i="54"/>
  <c r="CC130" i="54"/>
  <c r="CD130" i="54"/>
  <c r="CE130" i="54"/>
  <c r="CF130" i="54"/>
  <c r="CG130" i="54"/>
  <c r="CH130" i="54"/>
  <c r="CI130" i="54"/>
  <c r="CJ130" i="54"/>
  <c r="CK130" i="54"/>
  <c r="CL130" i="54"/>
  <c r="CM130" i="54"/>
  <c r="CN130" i="54"/>
  <c r="CO130" i="54"/>
  <c r="CP130" i="54"/>
  <c r="CQ130" i="54"/>
  <c r="CR130" i="54"/>
  <c r="CS130" i="54"/>
  <c r="CT130" i="54"/>
  <c r="CU130" i="54"/>
  <c r="CV130" i="54"/>
  <c r="CW130" i="54"/>
  <c r="CX130" i="54"/>
  <c r="BK133" i="54"/>
  <c r="BL133" i="54"/>
  <c r="BN133" i="54"/>
  <c r="BO133" i="54"/>
  <c r="BP133" i="54"/>
  <c r="BQ133" i="54"/>
  <c r="BR133" i="54"/>
  <c r="BS133" i="54"/>
  <c r="BT133" i="54"/>
  <c r="BU133" i="54"/>
  <c r="BV133" i="54"/>
  <c r="BW133" i="54"/>
  <c r="BX133" i="54"/>
  <c r="BY133" i="54"/>
  <c r="BZ133" i="54"/>
  <c r="CA133" i="54"/>
  <c r="CB133" i="54"/>
  <c r="CC133" i="54"/>
  <c r="CD133" i="54"/>
  <c r="CE133" i="54"/>
  <c r="CF133" i="54"/>
  <c r="CG133" i="54"/>
  <c r="CH133" i="54"/>
  <c r="CI133" i="54"/>
  <c r="CJ133" i="54"/>
  <c r="CK133" i="54"/>
  <c r="CL133" i="54"/>
  <c r="CM133" i="54"/>
  <c r="CN133" i="54"/>
  <c r="CO133" i="54"/>
  <c r="CP133" i="54"/>
  <c r="CQ133" i="54"/>
  <c r="CR133" i="54"/>
  <c r="CS133" i="54"/>
  <c r="CT133" i="54"/>
  <c r="CU133" i="54"/>
  <c r="CV133" i="54"/>
  <c r="CW133" i="54"/>
  <c r="CX133" i="54"/>
  <c r="BK134" i="54"/>
  <c r="BL134" i="54"/>
  <c r="BN134" i="54"/>
  <c r="BO134" i="54"/>
  <c r="BP134" i="54"/>
  <c r="BQ134" i="54"/>
  <c r="BR134" i="54"/>
  <c r="BS134" i="54"/>
  <c r="BT134" i="54"/>
  <c r="BU134" i="54"/>
  <c r="BV134" i="54"/>
  <c r="BW134" i="54"/>
  <c r="BX134" i="54"/>
  <c r="BY134" i="54"/>
  <c r="BZ134" i="54"/>
  <c r="CA134" i="54"/>
  <c r="CB134" i="54"/>
  <c r="CC134" i="54"/>
  <c r="CD134" i="54"/>
  <c r="CE134" i="54"/>
  <c r="CF134" i="54"/>
  <c r="CG134" i="54"/>
  <c r="CH134" i="54"/>
  <c r="CI134" i="54"/>
  <c r="CJ134" i="54"/>
  <c r="CK134" i="54"/>
  <c r="CL134" i="54"/>
  <c r="CM134" i="54"/>
  <c r="CN134" i="54"/>
  <c r="CO134" i="54"/>
  <c r="CP134" i="54"/>
  <c r="CQ134" i="54"/>
  <c r="CR134" i="54"/>
  <c r="CS134" i="54"/>
  <c r="CT134" i="54"/>
  <c r="CU134" i="54"/>
  <c r="CV134" i="54"/>
  <c r="CW134" i="54"/>
  <c r="CX134" i="54"/>
  <c r="BK135" i="54"/>
  <c r="BL135" i="54"/>
  <c r="BN135" i="54"/>
  <c r="BO135" i="54"/>
  <c r="BP135" i="54"/>
  <c r="BQ135" i="54"/>
  <c r="BR135" i="54"/>
  <c r="BS135" i="54"/>
  <c r="BT135" i="54"/>
  <c r="BU135" i="54"/>
  <c r="BV135" i="54"/>
  <c r="BW135" i="54"/>
  <c r="BX135" i="54"/>
  <c r="BY135" i="54"/>
  <c r="BZ135" i="54"/>
  <c r="CA135" i="54"/>
  <c r="CB135" i="54"/>
  <c r="CC135" i="54"/>
  <c r="CD135" i="54"/>
  <c r="CE135" i="54"/>
  <c r="CF135" i="54"/>
  <c r="CG135" i="54"/>
  <c r="CH135" i="54"/>
  <c r="CI135" i="54"/>
  <c r="CJ135" i="54"/>
  <c r="CK135" i="54"/>
  <c r="CL135" i="54"/>
  <c r="CM135" i="54"/>
  <c r="CN135" i="54"/>
  <c r="CO135" i="54"/>
  <c r="CP135" i="54"/>
  <c r="CQ135" i="54"/>
  <c r="CR135" i="54"/>
  <c r="CS135" i="54"/>
  <c r="CT135" i="54"/>
  <c r="CU135" i="54"/>
  <c r="CV135" i="54"/>
  <c r="CW135" i="54"/>
  <c r="CX135" i="54"/>
  <c r="BK136" i="54"/>
  <c r="BL136" i="54"/>
  <c r="BN136" i="54"/>
  <c r="BO136" i="54"/>
  <c r="BP136" i="54"/>
  <c r="BQ136" i="54"/>
  <c r="BR136" i="54"/>
  <c r="BS136" i="54"/>
  <c r="BT136" i="54"/>
  <c r="BU136" i="54"/>
  <c r="BV136" i="54"/>
  <c r="BW136" i="54"/>
  <c r="BX136" i="54"/>
  <c r="BY136" i="54"/>
  <c r="BZ136" i="54"/>
  <c r="CA136" i="54"/>
  <c r="CB136" i="54"/>
  <c r="CC136" i="54"/>
  <c r="CD136" i="54"/>
  <c r="CE136" i="54"/>
  <c r="CF136" i="54"/>
  <c r="CG136" i="54"/>
  <c r="CH136" i="54"/>
  <c r="CI136" i="54"/>
  <c r="CJ136" i="54"/>
  <c r="CK136" i="54"/>
  <c r="CL136" i="54"/>
  <c r="CM136" i="54"/>
  <c r="CN136" i="54"/>
  <c r="CO136" i="54"/>
  <c r="CP136" i="54"/>
  <c r="CQ136" i="54"/>
  <c r="CR136" i="54"/>
  <c r="CS136" i="54"/>
  <c r="CT136" i="54"/>
  <c r="CU136" i="54"/>
  <c r="CV136" i="54"/>
  <c r="CW136" i="54"/>
  <c r="CX136" i="54"/>
  <c r="BK137" i="54"/>
  <c r="BL137" i="54"/>
  <c r="BN137" i="54"/>
  <c r="BO137" i="54"/>
  <c r="BP137" i="54"/>
  <c r="BQ137" i="54"/>
  <c r="BR137" i="54"/>
  <c r="BS137" i="54"/>
  <c r="BT137" i="54"/>
  <c r="BU137" i="54"/>
  <c r="BV137" i="54"/>
  <c r="BW137" i="54"/>
  <c r="BX137" i="54"/>
  <c r="BY137" i="54"/>
  <c r="BZ137" i="54"/>
  <c r="CA137" i="54"/>
  <c r="CB137" i="54"/>
  <c r="CC137" i="54"/>
  <c r="CD137" i="54"/>
  <c r="CE137" i="54"/>
  <c r="CF137" i="54"/>
  <c r="CG137" i="54"/>
  <c r="CH137" i="54"/>
  <c r="CI137" i="54"/>
  <c r="CJ137" i="54"/>
  <c r="CK137" i="54"/>
  <c r="CL137" i="54"/>
  <c r="CM137" i="54"/>
  <c r="CN137" i="54"/>
  <c r="CO137" i="54"/>
  <c r="CP137" i="54"/>
  <c r="CQ137" i="54"/>
  <c r="CR137" i="54"/>
  <c r="CS137" i="54"/>
  <c r="CT137" i="54"/>
  <c r="CU137" i="54"/>
  <c r="CV137" i="54"/>
  <c r="CW137" i="54"/>
  <c r="CX137" i="54"/>
  <c r="BK138" i="54"/>
  <c r="BL138" i="54"/>
  <c r="BN138" i="54"/>
  <c r="BO138" i="54"/>
  <c r="BP138" i="54"/>
  <c r="BQ138" i="54"/>
  <c r="BR138" i="54"/>
  <c r="BS138" i="54"/>
  <c r="BT138" i="54"/>
  <c r="BU138" i="54"/>
  <c r="BV138" i="54"/>
  <c r="BW138" i="54"/>
  <c r="BX138" i="54"/>
  <c r="BY138" i="54"/>
  <c r="BZ138" i="54"/>
  <c r="CA138" i="54"/>
  <c r="CB138" i="54"/>
  <c r="CC138" i="54"/>
  <c r="CD138" i="54"/>
  <c r="CE138" i="54"/>
  <c r="CF138" i="54"/>
  <c r="CG138" i="54"/>
  <c r="CH138" i="54"/>
  <c r="CI138" i="54"/>
  <c r="CJ138" i="54"/>
  <c r="CK138" i="54"/>
  <c r="CL138" i="54"/>
  <c r="CM138" i="54"/>
  <c r="CN138" i="54"/>
  <c r="CO138" i="54"/>
  <c r="CP138" i="54"/>
  <c r="CQ138" i="54"/>
  <c r="CR138" i="54"/>
  <c r="CS138" i="54"/>
  <c r="CT138" i="54"/>
  <c r="CU138" i="54"/>
  <c r="CV138" i="54"/>
  <c r="CW138" i="54"/>
  <c r="CX138" i="54"/>
  <c r="BK139" i="54"/>
  <c r="BL139" i="54"/>
  <c r="BN139" i="54"/>
  <c r="BO139" i="54"/>
  <c r="BP139" i="54"/>
  <c r="BQ139" i="54"/>
  <c r="BR139" i="54"/>
  <c r="BS139" i="54"/>
  <c r="BT139" i="54"/>
  <c r="BU139" i="54"/>
  <c r="BV139" i="54"/>
  <c r="BW139" i="54"/>
  <c r="BX139" i="54"/>
  <c r="BY139" i="54"/>
  <c r="BZ139" i="54"/>
  <c r="CA139" i="54"/>
  <c r="CB139" i="54"/>
  <c r="CC139" i="54"/>
  <c r="CD139" i="54"/>
  <c r="CE139" i="54"/>
  <c r="CF139" i="54"/>
  <c r="CG139" i="54"/>
  <c r="CH139" i="54"/>
  <c r="CI139" i="54"/>
  <c r="CJ139" i="54"/>
  <c r="CK139" i="54"/>
  <c r="CL139" i="54"/>
  <c r="CM139" i="54"/>
  <c r="CN139" i="54"/>
  <c r="CO139" i="54"/>
  <c r="CP139" i="54"/>
  <c r="CQ139" i="54"/>
  <c r="CR139" i="54"/>
  <c r="CS139" i="54"/>
  <c r="CT139" i="54"/>
  <c r="CU139" i="54"/>
  <c r="CV139" i="54"/>
  <c r="CW139" i="54"/>
  <c r="CX139" i="54"/>
  <c r="BK140" i="54"/>
  <c r="BL140" i="54"/>
  <c r="BN140" i="54"/>
  <c r="BO140" i="54"/>
  <c r="BP140" i="54"/>
  <c r="BQ140" i="54"/>
  <c r="BR140" i="54"/>
  <c r="BS140" i="54"/>
  <c r="BT140" i="54"/>
  <c r="BU140" i="54"/>
  <c r="BV140" i="54"/>
  <c r="BW140" i="54"/>
  <c r="BX140" i="54"/>
  <c r="BY140" i="54"/>
  <c r="BZ140" i="54"/>
  <c r="CA140" i="54"/>
  <c r="CB140" i="54"/>
  <c r="CC140" i="54"/>
  <c r="CD140" i="54"/>
  <c r="CE140" i="54"/>
  <c r="CF140" i="54"/>
  <c r="CG140" i="54"/>
  <c r="CH140" i="54"/>
  <c r="CI140" i="54"/>
  <c r="CJ140" i="54"/>
  <c r="CK140" i="54"/>
  <c r="CL140" i="54"/>
  <c r="CM140" i="54"/>
  <c r="CN140" i="54"/>
  <c r="CO140" i="54"/>
  <c r="CP140" i="54"/>
  <c r="CQ140" i="54"/>
  <c r="CR140" i="54"/>
  <c r="CS140" i="54"/>
  <c r="CT140" i="54"/>
  <c r="CU140" i="54"/>
  <c r="CV140" i="54"/>
  <c r="CW140" i="54"/>
  <c r="CX140" i="54"/>
  <c r="BK141" i="54"/>
  <c r="BL141" i="54"/>
  <c r="BN141" i="54"/>
  <c r="BO141" i="54"/>
  <c r="BP141" i="54"/>
  <c r="BQ141" i="54"/>
  <c r="BR141" i="54"/>
  <c r="BS141" i="54"/>
  <c r="BT141" i="54"/>
  <c r="BU141" i="54"/>
  <c r="BV141" i="54"/>
  <c r="BW141" i="54"/>
  <c r="BX141" i="54"/>
  <c r="BY141" i="54"/>
  <c r="BZ141" i="54"/>
  <c r="CA141" i="54"/>
  <c r="CB141" i="54"/>
  <c r="CC141" i="54"/>
  <c r="CD141" i="54"/>
  <c r="CE141" i="54"/>
  <c r="CF141" i="54"/>
  <c r="CG141" i="54"/>
  <c r="CH141" i="54"/>
  <c r="CI141" i="54"/>
  <c r="CJ141" i="54"/>
  <c r="CK141" i="54"/>
  <c r="CL141" i="54"/>
  <c r="CM141" i="54"/>
  <c r="CN141" i="54"/>
  <c r="CO141" i="54"/>
  <c r="CP141" i="54"/>
  <c r="CQ141" i="54"/>
  <c r="CR141" i="54"/>
  <c r="CS141" i="54"/>
  <c r="CT141" i="54"/>
  <c r="CU141" i="54"/>
  <c r="CV141" i="54"/>
  <c r="CW141" i="54"/>
  <c r="CX141" i="54"/>
  <c r="BK142" i="54"/>
  <c r="BL142" i="54"/>
  <c r="BN142" i="54"/>
  <c r="BO142" i="54"/>
  <c r="BP142" i="54"/>
  <c r="BQ142" i="54"/>
  <c r="BR142" i="54"/>
  <c r="BS142" i="54"/>
  <c r="BT142" i="54"/>
  <c r="BU142" i="54"/>
  <c r="BV142" i="54"/>
  <c r="BW142" i="54"/>
  <c r="BX142" i="54"/>
  <c r="BY142" i="54"/>
  <c r="BZ142" i="54"/>
  <c r="CA142" i="54"/>
  <c r="CB142" i="54"/>
  <c r="CC142" i="54"/>
  <c r="CD142" i="54"/>
  <c r="CE142" i="54"/>
  <c r="CF142" i="54"/>
  <c r="CG142" i="54"/>
  <c r="CH142" i="54"/>
  <c r="CI142" i="54"/>
  <c r="CJ142" i="54"/>
  <c r="CK142" i="54"/>
  <c r="CL142" i="54"/>
  <c r="CM142" i="54"/>
  <c r="CN142" i="54"/>
  <c r="CO142" i="54"/>
  <c r="CP142" i="54"/>
  <c r="CQ142" i="54"/>
  <c r="CR142" i="54"/>
  <c r="CS142" i="54"/>
  <c r="CT142" i="54"/>
  <c r="CU142" i="54"/>
  <c r="CV142" i="54"/>
  <c r="CW142" i="54"/>
  <c r="CX142" i="54"/>
  <c r="BK143" i="54"/>
  <c r="BL143" i="54"/>
  <c r="BN143" i="54"/>
  <c r="BO143" i="54"/>
  <c r="BP143" i="54"/>
  <c r="BQ143" i="54"/>
  <c r="BR143" i="54"/>
  <c r="BS143" i="54"/>
  <c r="BT143" i="54"/>
  <c r="BU143" i="54"/>
  <c r="BV143" i="54"/>
  <c r="BW143" i="54"/>
  <c r="BX143" i="54"/>
  <c r="BY143" i="54"/>
  <c r="BZ143" i="54"/>
  <c r="CA143" i="54"/>
  <c r="CB143" i="54"/>
  <c r="CC143" i="54"/>
  <c r="CD143" i="54"/>
  <c r="CE143" i="54"/>
  <c r="CF143" i="54"/>
  <c r="CG143" i="54"/>
  <c r="CH143" i="54"/>
  <c r="CI143" i="54"/>
  <c r="CJ143" i="54"/>
  <c r="CK143" i="54"/>
  <c r="CL143" i="54"/>
  <c r="CM143" i="54"/>
  <c r="CN143" i="54"/>
  <c r="CO143" i="54"/>
  <c r="CP143" i="54"/>
  <c r="CQ143" i="54"/>
  <c r="CR143" i="54"/>
  <c r="CS143" i="54"/>
  <c r="CT143" i="54"/>
  <c r="CU143" i="54"/>
  <c r="CV143" i="54"/>
  <c r="CW143" i="54"/>
  <c r="CX143" i="54"/>
  <c r="BK144" i="54"/>
  <c r="BL144" i="54"/>
  <c r="BN144" i="54"/>
  <c r="BO144" i="54"/>
  <c r="BP144" i="54"/>
  <c r="BQ144" i="54"/>
  <c r="BR144" i="54"/>
  <c r="BS144" i="54"/>
  <c r="BT144" i="54"/>
  <c r="BU144" i="54"/>
  <c r="BV144" i="54"/>
  <c r="BW144" i="54"/>
  <c r="BX144" i="54"/>
  <c r="BY144" i="54"/>
  <c r="BZ144" i="54"/>
  <c r="CA144" i="54"/>
  <c r="CB144" i="54"/>
  <c r="CC144" i="54"/>
  <c r="CD144" i="54"/>
  <c r="CE144" i="54"/>
  <c r="CF144" i="54"/>
  <c r="CG144" i="54"/>
  <c r="CH144" i="54"/>
  <c r="CI144" i="54"/>
  <c r="CJ144" i="54"/>
  <c r="CK144" i="54"/>
  <c r="CL144" i="54"/>
  <c r="CM144" i="54"/>
  <c r="CN144" i="54"/>
  <c r="CO144" i="54"/>
  <c r="CP144" i="54"/>
  <c r="CQ144" i="54"/>
  <c r="CR144" i="54"/>
  <c r="CS144" i="54"/>
  <c r="CT144" i="54"/>
  <c r="CU144" i="54"/>
  <c r="CV144" i="54"/>
  <c r="CW144" i="54"/>
  <c r="CX144" i="54"/>
  <c r="BK145" i="54"/>
  <c r="BL145" i="54"/>
  <c r="BN145" i="54"/>
  <c r="BO145" i="54"/>
  <c r="BP145" i="54"/>
  <c r="BQ145" i="54"/>
  <c r="BR145" i="54"/>
  <c r="BS145" i="54"/>
  <c r="BT145" i="54"/>
  <c r="BU145" i="54"/>
  <c r="BV145" i="54"/>
  <c r="BW145" i="54"/>
  <c r="BX145" i="54"/>
  <c r="BY145" i="54"/>
  <c r="BZ145" i="54"/>
  <c r="CA145" i="54"/>
  <c r="CB145" i="54"/>
  <c r="CC145" i="54"/>
  <c r="CD145" i="54"/>
  <c r="CE145" i="54"/>
  <c r="CF145" i="54"/>
  <c r="CG145" i="54"/>
  <c r="CH145" i="54"/>
  <c r="CI145" i="54"/>
  <c r="CJ145" i="54"/>
  <c r="CK145" i="54"/>
  <c r="CL145" i="54"/>
  <c r="CM145" i="54"/>
  <c r="CN145" i="54"/>
  <c r="CO145" i="54"/>
  <c r="CP145" i="54"/>
  <c r="CQ145" i="54"/>
  <c r="CR145" i="54"/>
  <c r="CS145" i="54"/>
  <c r="CT145" i="54"/>
  <c r="CU145" i="54"/>
  <c r="CV145" i="54"/>
  <c r="CW145" i="54"/>
  <c r="CX145" i="54"/>
  <c r="BK146" i="54"/>
  <c r="BL146" i="54"/>
  <c r="BN146" i="54"/>
  <c r="BO146" i="54"/>
  <c r="BP146" i="54"/>
  <c r="BQ146" i="54"/>
  <c r="BR146" i="54"/>
  <c r="BS146" i="54"/>
  <c r="BT146" i="54"/>
  <c r="BU146" i="54"/>
  <c r="BV146" i="54"/>
  <c r="BW146" i="54"/>
  <c r="BX146" i="54"/>
  <c r="BY146" i="54"/>
  <c r="BZ146" i="54"/>
  <c r="CA146" i="54"/>
  <c r="CB146" i="54"/>
  <c r="CC146" i="54"/>
  <c r="CD146" i="54"/>
  <c r="CE146" i="54"/>
  <c r="CF146" i="54"/>
  <c r="CG146" i="54"/>
  <c r="CH146" i="54"/>
  <c r="CI146" i="54"/>
  <c r="CJ146" i="54"/>
  <c r="CK146" i="54"/>
  <c r="CL146" i="54"/>
  <c r="CM146" i="54"/>
  <c r="CN146" i="54"/>
  <c r="CO146" i="54"/>
  <c r="CP146" i="54"/>
  <c r="CQ146" i="54"/>
  <c r="CR146" i="54"/>
  <c r="CS146" i="54"/>
  <c r="CT146" i="54"/>
  <c r="CU146" i="54"/>
  <c r="CV146" i="54"/>
  <c r="CW146" i="54"/>
  <c r="CX146" i="54"/>
  <c r="BK147" i="54"/>
  <c r="BL147" i="54"/>
  <c r="BN147" i="54"/>
  <c r="BO147" i="54"/>
  <c r="BP147" i="54"/>
  <c r="BQ147" i="54"/>
  <c r="BR147" i="54"/>
  <c r="BS147" i="54"/>
  <c r="BT147" i="54"/>
  <c r="BU147" i="54"/>
  <c r="BV147" i="54"/>
  <c r="BW147" i="54"/>
  <c r="BX147" i="54"/>
  <c r="BY147" i="54"/>
  <c r="BZ147" i="54"/>
  <c r="CA147" i="54"/>
  <c r="CB147" i="54"/>
  <c r="CC147" i="54"/>
  <c r="CD147" i="54"/>
  <c r="CE147" i="54"/>
  <c r="CF147" i="54"/>
  <c r="CG147" i="54"/>
  <c r="CH147" i="54"/>
  <c r="CI147" i="54"/>
  <c r="CJ147" i="54"/>
  <c r="CK147" i="54"/>
  <c r="CL147" i="54"/>
  <c r="CM147" i="54"/>
  <c r="CN147" i="54"/>
  <c r="CO147" i="54"/>
  <c r="CP147" i="54"/>
  <c r="CQ147" i="54"/>
  <c r="CR147" i="54"/>
  <c r="CS147" i="54"/>
  <c r="CT147" i="54"/>
  <c r="CU147" i="54"/>
  <c r="CV147" i="54"/>
  <c r="CW147" i="54"/>
  <c r="CX147" i="54"/>
  <c r="BK148" i="54"/>
  <c r="BL148" i="54"/>
  <c r="BN148" i="54"/>
  <c r="BO148" i="54"/>
  <c r="BP148" i="54"/>
  <c r="BQ148" i="54"/>
  <c r="BR148" i="54"/>
  <c r="BS148" i="54"/>
  <c r="BT148" i="54"/>
  <c r="BU148" i="54"/>
  <c r="BV148" i="54"/>
  <c r="BW148" i="54"/>
  <c r="BX148" i="54"/>
  <c r="BY148" i="54"/>
  <c r="BZ148" i="54"/>
  <c r="CA148" i="54"/>
  <c r="CB148" i="54"/>
  <c r="CC148" i="54"/>
  <c r="CD148" i="54"/>
  <c r="CE148" i="54"/>
  <c r="CF148" i="54"/>
  <c r="CG148" i="54"/>
  <c r="CH148" i="54"/>
  <c r="CI148" i="54"/>
  <c r="CJ148" i="54"/>
  <c r="CK148" i="54"/>
  <c r="CL148" i="54"/>
  <c r="CM148" i="54"/>
  <c r="CN148" i="54"/>
  <c r="CO148" i="54"/>
  <c r="CP148" i="54"/>
  <c r="CQ148" i="54"/>
  <c r="CR148" i="54"/>
  <c r="CS148" i="54"/>
  <c r="CT148" i="54"/>
  <c r="CU148" i="54"/>
  <c r="CV148" i="54"/>
  <c r="CW148" i="54"/>
  <c r="CX148" i="54"/>
  <c r="BK149" i="54"/>
  <c r="BL149" i="54"/>
  <c r="BN149" i="54"/>
  <c r="BO149" i="54"/>
  <c r="BP149" i="54"/>
  <c r="BQ149" i="54"/>
  <c r="BR149" i="54"/>
  <c r="BS149" i="54"/>
  <c r="BT149" i="54"/>
  <c r="BU149" i="54"/>
  <c r="BV149" i="54"/>
  <c r="BW149" i="54"/>
  <c r="BX149" i="54"/>
  <c r="BY149" i="54"/>
  <c r="BZ149" i="54"/>
  <c r="CA149" i="54"/>
  <c r="CB149" i="54"/>
  <c r="CC149" i="54"/>
  <c r="CD149" i="54"/>
  <c r="CE149" i="54"/>
  <c r="CF149" i="54"/>
  <c r="CG149" i="54"/>
  <c r="CH149" i="54"/>
  <c r="CI149" i="54"/>
  <c r="CJ149" i="54"/>
  <c r="CK149" i="54"/>
  <c r="CL149" i="54"/>
  <c r="CM149" i="54"/>
  <c r="CN149" i="54"/>
  <c r="CO149" i="54"/>
  <c r="CP149" i="54"/>
  <c r="CQ149" i="54"/>
  <c r="CR149" i="54"/>
  <c r="CS149" i="54"/>
  <c r="CT149" i="54"/>
  <c r="CU149" i="54"/>
  <c r="CV149" i="54"/>
  <c r="CW149" i="54"/>
  <c r="CX149" i="54"/>
  <c r="BK150" i="54"/>
  <c r="BL150" i="54"/>
  <c r="BN150" i="54"/>
  <c r="BO150" i="54"/>
  <c r="BP150" i="54"/>
  <c r="BQ150" i="54"/>
  <c r="BR150" i="54"/>
  <c r="BS150" i="54"/>
  <c r="BT150" i="54"/>
  <c r="BU150" i="54"/>
  <c r="BV150" i="54"/>
  <c r="BW150" i="54"/>
  <c r="BX150" i="54"/>
  <c r="BY150" i="54"/>
  <c r="BZ150" i="54"/>
  <c r="CA150" i="54"/>
  <c r="CB150" i="54"/>
  <c r="CC150" i="54"/>
  <c r="CD150" i="54"/>
  <c r="CE150" i="54"/>
  <c r="CF150" i="54"/>
  <c r="CG150" i="54"/>
  <c r="CH150" i="54"/>
  <c r="CI150" i="54"/>
  <c r="CJ150" i="54"/>
  <c r="CK150" i="54"/>
  <c r="CL150" i="54"/>
  <c r="CM150" i="54"/>
  <c r="CN150" i="54"/>
  <c r="CO150" i="54"/>
  <c r="CP150" i="54"/>
  <c r="CQ150" i="54"/>
  <c r="CR150" i="54"/>
  <c r="CS150" i="54"/>
  <c r="CT150" i="54"/>
  <c r="CU150" i="54"/>
  <c r="CV150" i="54"/>
  <c r="CW150" i="54"/>
  <c r="CX150" i="54"/>
  <c r="BK151" i="54"/>
  <c r="BL151" i="54"/>
  <c r="BN151" i="54"/>
  <c r="BO151" i="54"/>
  <c r="BP151" i="54"/>
  <c r="BQ151" i="54"/>
  <c r="BR151" i="54"/>
  <c r="BS151" i="54"/>
  <c r="BT151" i="54"/>
  <c r="BU151" i="54"/>
  <c r="BV151" i="54"/>
  <c r="BW151" i="54"/>
  <c r="BX151" i="54"/>
  <c r="BY151" i="54"/>
  <c r="BZ151" i="54"/>
  <c r="CA151" i="54"/>
  <c r="CB151" i="54"/>
  <c r="CC151" i="54"/>
  <c r="CD151" i="54"/>
  <c r="CE151" i="54"/>
  <c r="CF151" i="54"/>
  <c r="CG151" i="54"/>
  <c r="CH151" i="54"/>
  <c r="CI151" i="54"/>
  <c r="CJ151" i="54"/>
  <c r="CK151" i="54"/>
  <c r="CL151" i="54"/>
  <c r="CM151" i="54"/>
  <c r="CN151" i="54"/>
  <c r="CO151" i="54"/>
  <c r="CP151" i="54"/>
  <c r="CQ151" i="54"/>
  <c r="CR151" i="54"/>
  <c r="CS151" i="54"/>
  <c r="CT151" i="54"/>
  <c r="CU151" i="54"/>
  <c r="CV151" i="54"/>
  <c r="CW151" i="54"/>
  <c r="CX151" i="54"/>
  <c r="BK154" i="54"/>
  <c r="BL154" i="54"/>
  <c r="BN154" i="54"/>
  <c r="BO154" i="54"/>
  <c r="BP154" i="54"/>
  <c r="BQ154" i="54"/>
  <c r="BR154" i="54"/>
  <c r="BS154" i="54"/>
  <c r="BT154" i="54"/>
  <c r="BU154" i="54"/>
  <c r="BV154" i="54"/>
  <c r="BW154" i="54"/>
  <c r="BX154" i="54"/>
  <c r="BY154" i="54"/>
  <c r="BZ154" i="54"/>
  <c r="CA154" i="54"/>
  <c r="CB154" i="54"/>
  <c r="CC154" i="54"/>
  <c r="CD154" i="54"/>
  <c r="CE154" i="54"/>
  <c r="CF154" i="54"/>
  <c r="CG154" i="54"/>
  <c r="CH154" i="54"/>
  <c r="CI154" i="54"/>
  <c r="CJ154" i="54"/>
  <c r="CK154" i="54"/>
  <c r="CL154" i="54"/>
  <c r="CM154" i="54"/>
  <c r="CN154" i="54"/>
  <c r="CO154" i="54"/>
  <c r="CP154" i="54"/>
  <c r="CQ154" i="54"/>
  <c r="CR154" i="54"/>
  <c r="CS154" i="54"/>
  <c r="CT154" i="54"/>
  <c r="CU154" i="54"/>
  <c r="CV154" i="54"/>
  <c r="CW154" i="54"/>
  <c r="CX154" i="54"/>
  <c r="BK155" i="54"/>
  <c r="BL155" i="54"/>
  <c r="BN155" i="54"/>
  <c r="BO155" i="54"/>
  <c r="BP155" i="54"/>
  <c r="BQ155" i="54"/>
  <c r="BR155" i="54"/>
  <c r="BS155" i="54"/>
  <c r="BT155" i="54"/>
  <c r="BU155" i="54"/>
  <c r="BV155" i="54"/>
  <c r="BW155" i="54"/>
  <c r="BX155" i="54"/>
  <c r="BY155" i="54"/>
  <c r="BZ155" i="54"/>
  <c r="CA155" i="54"/>
  <c r="CB155" i="54"/>
  <c r="CC155" i="54"/>
  <c r="CD155" i="54"/>
  <c r="CE155" i="54"/>
  <c r="CF155" i="54"/>
  <c r="CG155" i="54"/>
  <c r="CH155" i="54"/>
  <c r="CI155" i="54"/>
  <c r="CJ155" i="54"/>
  <c r="CK155" i="54"/>
  <c r="CL155" i="54"/>
  <c r="CM155" i="54"/>
  <c r="CN155" i="54"/>
  <c r="CO155" i="54"/>
  <c r="CP155" i="54"/>
  <c r="CQ155" i="54"/>
  <c r="CR155" i="54"/>
  <c r="CS155" i="54"/>
  <c r="CT155" i="54"/>
  <c r="CU155" i="54"/>
  <c r="CV155" i="54"/>
  <c r="CW155" i="54"/>
  <c r="CX155" i="54"/>
  <c r="CG155" i="21"/>
  <c r="BK156" i="54"/>
  <c r="BL156" i="54"/>
  <c r="BN156" i="54"/>
  <c r="BO156" i="54"/>
  <c r="BP156" i="54"/>
  <c r="BQ156" i="54"/>
  <c r="BR156" i="54"/>
  <c r="BS156" i="54"/>
  <c r="BT156" i="54"/>
  <c r="BU156" i="54"/>
  <c r="BV156" i="54"/>
  <c r="BW156" i="54"/>
  <c r="BX156" i="54"/>
  <c r="BY156" i="54"/>
  <c r="BZ156" i="54"/>
  <c r="CA156" i="54"/>
  <c r="CB156" i="54"/>
  <c r="CC156" i="54"/>
  <c r="CD156" i="54"/>
  <c r="CE156" i="54"/>
  <c r="CF156" i="54"/>
  <c r="CG156" i="54"/>
  <c r="CH156" i="54"/>
  <c r="CI156" i="54"/>
  <c r="CJ156" i="54"/>
  <c r="CK156" i="54"/>
  <c r="CL156" i="54"/>
  <c r="CM156" i="54"/>
  <c r="CN156" i="54"/>
  <c r="CO156" i="54"/>
  <c r="CP156" i="54"/>
  <c r="CQ156" i="54"/>
  <c r="CR156" i="54"/>
  <c r="CS156" i="54"/>
  <c r="CT156" i="54"/>
  <c r="CU156" i="54"/>
  <c r="CV156" i="54"/>
  <c r="CW156" i="54"/>
  <c r="CX156" i="54"/>
  <c r="CG156" i="21"/>
  <c r="BK157" i="54"/>
  <c r="BL157" i="54"/>
  <c r="BN157" i="54"/>
  <c r="BO157" i="54"/>
  <c r="BP157" i="54"/>
  <c r="BQ157" i="54"/>
  <c r="BR157" i="54"/>
  <c r="BS157" i="54"/>
  <c r="BT157" i="54"/>
  <c r="BU157" i="54"/>
  <c r="BV157" i="54"/>
  <c r="BW157" i="54"/>
  <c r="BX157" i="54"/>
  <c r="BY157" i="54"/>
  <c r="BZ157" i="54"/>
  <c r="CA157" i="54"/>
  <c r="CB157" i="54"/>
  <c r="CC157" i="54"/>
  <c r="CD157" i="54"/>
  <c r="CE157" i="54"/>
  <c r="CF157" i="54"/>
  <c r="CG157" i="54"/>
  <c r="CH157" i="54"/>
  <c r="CI157" i="54"/>
  <c r="CJ157" i="54"/>
  <c r="CK157" i="54"/>
  <c r="CL157" i="54"/>
  <c r="CM157" i="54"/>
  <c r="CN157" i="54"/>
  <c r="CO157" i="54"/>
  <c r="CP157" i="54"/>
  <c r="CQ157" i="54"/>
  <c r="CR157" i="54"/>
  <c r="CS157" i="54"/>
  <c r="CT157" i="54"/>
  <c r="CU157" i="54"/>
  <c r="CV157" i="54"/>
  <c r="CW157" i="54"/>
  <c r="CX157" i="54"/>
  <c r="CG157" i="21"/>
  <c r="BK158" i="54"/>
  <c r="BL158" i="54"/>
  <c r="BN158" i="54"/>
  <c r="BO158" i="54"/>
  <c r="BP158" i="54"/>
  <c r="BQ158" i="54"/>
  <c r="BR158" i="54"/>
  <c r="BS158" i="54"/>
  <c r="BT158" i="54"/>
  <c r="BU158" i="54"/>
  <c r="BV158" i="54"/>
  <c r="BW158" i="54"/>
  <c r="BX158" i="54"/>
  <c r="BY158" i="54"/>
  <c r="BZ158" i="54"/>
  <c r="CA158" i="54"/>
  <c r="CB158" i="54"/>
  <c r="CC158" i="54"/>
  <c r="CD158" i="54"/>
  <c r="CE158" i="54"/>
  <c r="CF158" i="54"/>
  <c r="CG158" i="54"/>
  <c r="CH158" i="54"/>
  <c r="CI158" i="54"/>
  <c r="CJ158" i="54"/>
  <c r="CK158" i="54"/>
  <c r="CL158" i="54"/>
  <c r="CM158" i="54"/>
  <c r="CN158" i="54"/>
  <c r="CO158" i="54"/>
  <c r="CP158" i="54"/>
  <c r="CQ158" i="54"/>
  <c r="CR158" i="54"/>
  <c r="CS158" i="54"/>
  <c r="CT158" i="54"/>
  <c r="CU158" i="54"/>
  <c r="CV158" i="54"/>
  <c r="CW158" i="54"/>
  <c r="CX158" i="54"/>
  <c r="CG158" i="21"/>
  <c r="BK159" i="54"/>
  <c r="BL159" i="54"/>
  <c r="BN159" i="54"/>
  <c r="BO159" i="54"/>
  <c r="BP159" i="54"/>
  <c r="BQ159" i="54"/>
  <c r="BR159" i="54"/>
  <c r="BS159" i="54"/>
  <c r="BT159" i="54"/>
  <c r="BU159" i="54"/>
  <c r="BV159" i="54"/>
  <c r="BW159" i="54"/>
  <c r="BX159" i="54"/>
  <c r="BY159" i="54"/>
  <c r="BZ159" i="54"/>
  <c r="CA159" i="54"/>
  <c r="CB159" i="54"/>
  <c r="CC159" i="54"/>
  <c r="CD159" i="54"/>
  <c r="CE159" i="54"/>
  <c r="CF159" i="54"/>
  <c r="CG159" i="54"/>
  <c r="CH159" i="54"/>
  <c r="CI159" i="54"/>
  <c r="CJ159" i="54"/>
  <c r="CK159" i="54"/>
  <c r="CL159" i="54"/>
  <c r="CM159" i="54"/>
  <c r="CN159" i="54"/>
  <c r="CO159" i="54"/>
  <c r="CP159" i="54"/>
  <c r="CQ159" i="54"/>
  <c r="CR159" i="54"/>
  <c r="CS159" i="54"/>
  <c r="CT159" i="54"/>
  <c r="CU159" i="54"/>
  <c r="CV159" i="54"/>
  <c r="CW159" i="54"/>
  <c r="CX159" i="54"/>
  <c r="BK160" i="54"/>
  <c r="BL160" i="54"/>
  <c r="BN160" i="54"/>
  <c r="BO160" i="54"/>
  <c r="BP160" i="54"/>
  <c r="BQ160" i="54"/>
  <c r="BR160" i="54"/>
  <c r="BS160" i="54"/>
  <c r="BT160" i="54"/>
  <c r="BU160" i="54"/>
  <c r="BV160" i="54"/>
  <c r="BW160" i="54"/>
  <c r="BX160" i="54"/>
  <c r="BY160" i="54"/>
  <c r="BZ160" i="54"/>
  <c r="CA160" i="54"/>
  <c r="CB160" i="54"/>
  <c r="CC160" i="54"/>
  <c r="CD160" i="54"/>
  <c r="CE160" i="54"/>
  <c r="CF160" i="54"/>
  <c r="CG160" i="54"/>
  <c r="CH160" i="54"/>
  <c r="CI160" i="54"/>
  <c r="CJ160" i="54"/>
  <c r="CK160" i="54"/>
  <c r="CL160" i="54"/>
  <c r="CM160" i="54"/>
  <c r="CN160" i="54"/>
  <c r="CO160" i="54"/>
  <c r="CP160" i="54"/>
  <c r="CQ160" i="54"/>
  <c r="CR160" i="54"/>
  <c r="CS160" i="54"/>
  <c r="CT160" i="54"/>
  <c r="CU160" i="54"/>
  <c r="CV160" i="54"/>
  <c r="CW160" i="54"/>
  <c r="CX160" i="54"/>
  <c r="BK161" i="54"/>
  <c r="BL161" i="54"/>
  <c r="BN161" i="54"/>
  <c r="BO161" i="54"/>
  <c r="BP161" i="54"/>
  <c r="BQ161" i="54"/>
  <c r="BR161" i="54"/>
  <c r="BS161" i="54"/>
  <c r="BT161" i="54"/>
  <c r="BU161" i="54"/>
  <c r="BV161" i="54"/>
  <c r="BW161" i="54"/>
  <c r="BX161" i="54"/>
  <c r="BY161" i="54"/>
  <c r="BZ161" i="54"/>
  <c r="CA161" i="54"/>
  <c r="CB161" i="54"/>
  <c r="CC161" i="54"/>
  <c r="CD161" i="54"/>
  <c r="CE161" i="54"/>
  <c r="CF161" i="54"/>
  <c r="CG161" i="54"/>
  <c r="CH161" i="54"/>
  <c r="CI161" i="54"/>
  <c r="CJ161" i="54"/>
  <c r="CK161" i="54"/>
  <c r="CL161" i="54"/>
  <c r="CM161" i="54"/>
  <c r="CN161" i="54"/>
  <c r="CO161" i="54"/>
  <c r="CP161" i="54"/>
  <c r="CQ161" i="54"/>
  <c r="CR161" i="54"/>
  <c r="CS161" i="54"/>
  <c r="CT161" i="54"/>
  <c r="CU161" i="54"/>
  <c r="CV161" i="54"/>
  <c r="CW161" i="54"/>
  <c r="CX161" i="54"/>
  <c r="BK162" i="54"/>
  <c r="BL162" i="54"/>
  <c r="BN162" i="54"/>
  <c r="BO162" i="54"/>
  <c r="BP162" i="54"/>
  <c r="BQ162" i="54"/>
  <c r="BR162" i="54"/>
  <c r="BS162" i="54"/>
  <c r="BT162" i="54"/>
  <c r="BU162" i="54"/>
  <c r="BV162" i="54"/>
  <c r="BW162" i="54"/>
  <c r="BX162" i="54"/>
  <c r="BY162" i="54"/>
  <c r="BZ162" i="54"/>
  <c r="CA162" i="54"/>
  <c r="CB162" i="54"/>
  <c r="CC162" i="54"/>
  <c r="CD162" i="54"/>
  <c r="CE162" i="54"/>
  <c r="CF162" i="54"/>
  <c r="CG162" i="54"/>
  <c r="CH162" i="54"/>
  <c r="CI162" i="54"/>
  <c r="CJ162" i="54"/>
  <c r="CK162" i="54"/>
  <c r="CL162" i="54"/>
  <c r="CM162" i="54"/>
  <c r="CN162" i="54"/>
  <c r="CO162" i="54"/>
  <c r="CP162" i="54"/>
  <c r="CQ162" i="54"/>
  <c r="CR162" i="54"/>
  <c r="CS162" i="54"/>
  <c r="CT162" i="54"/>
  <c r="CU162" i="54"/>
  <c r="CV162" i="54"/>
  <c r="CW162" i="54"/>
  <c r="CX162" i="54"/>
  <c r="CF162" i="21"/>
  <c r="BK163" i="54"/>
  <c r="BL163" i="54"/>
  <c r="BN163" i="54"/>
  <c r="BO163" i="54"/>
  <c r="BP163" i="54"/>
  <c r="BQ163" i="54"/>
  <c r="BR163" i="54"/>
  <c r="BS163" i="54"/>
  <c r="BT163" i="54"/>
  <c r="BU163" i="54"/>
  <c r="BV163" i="54"/>
  <c r="BW163" i="54"/>
  <c r="BX163" i="54"/>
  <c r="BY163" i="54"/>
  <c r="BZ163" i="54"/>
  <c r="CA163" i="54"/>
  <c r="CB163" i="54"/>
  <c r="CC163" i="54"/>
  <c r="CD163" i="54"/>
  <c r="CE163" i="54"/>
  <c r="CF163" i="54"/>
  <c r="CG163" i="54"/>
  <c r="CH163" i="54"/>
  <c r="CI163" i="54"/>
  <c r="CJ163" i="54"/>
  <c r="CK163" i="54"/>
  <c r="CL163" i="54"/>
  <c r="CM163" i="54"/>
  <c r="CN163" i="54"/>
  <c r="CO163" i="54"/>
  <c r="CP163" i="54"/>
  <c r="CQ163" i="54"/>
  <c r="CR163" i="54"/>
  <c r="CS163" i="54"/>
  <c r="CT163" i="54"/>
  <c r="CU163" i="54"/>
  <c r="CV163" i="54"/>
  <c r="CW163" i="54"/>
  <c r="CX163" i="54"/>
  <c r="CF163" i="21"/>
  <c r="BK164" i="54"/>
  <c r="BL164" i="54"/>
  <c r="BN164" i="54"/>
  <c r="BO164" i="54"/>
  <c r="BP164" i="54"/>
  <c r="BQ164" i="54"/>
  <c r="BR164" i="54"/>
  <c r="BS164" i="54"/>
  <c r="BT164" i="54"/>
  <c r="BU164" i="54"/>
  <c r="BV164" i="54"/>
  <c r="BW164" i="54"/>
  <c r="BX164" i="54"/>
  <c r="BY164" i="54"/>
  <c r="BZ164" i="54"/>
  <c r="CA164" i="54"/>
  <c r="CB164" i="54"/>
  <c r="CC164" i="54"/>
  <c r="CD164" i="54"/>
  <c r="CE164" i="54"/>
  <c r="CF164" i="54"/>
  <c r="CG164" i="54"/>
  <c r="CH164" i="54"/>
  <c r="CI164" i="54"/>
  <c r="CJ164" i="54"/>
  <c r="CK164" i="54"/>
  <c r="CL164" i="54"/>
  <c r="CM164" i="54"/>
  <c r="CN164" i="54"/>
  <c r="CO164" i="54"/>
  <c r="CP164" i="54"/>
  <c r="CQ164" i="54"/>
  <c r="CR164" i="54"/>
  <c r="CS164" i="54"/>
  <c r="CT164" i="54"/>
  <c r="CU164" i="54"/>
  <c r="CV164" i="54"/>
  <c r="CW164" i="54"/>
  <c r="CX164" i="54"/>
  <c r="BK165" i="54"/>
  <c r="BL165" i="54"/>
  <c r="BN165" i="54"/>
  <c r="BO165" i="54"/>
  <c r="BP165" i="54"/>
  <c r="BQ165" i="54"/>
  <c r="BR165" i="54"/>
  <c r="BS165" i="54"/>
  <c r="BT165" i="54"/>
  <c r="BU165" i="54"/>
  <c r="BV165" i="54"/>
  <c r="BW165" i="54"/>
  <c r="BX165" i="54"/>
  <c r="BY165" i="54"/>
  <c r="BZ165" i="54"/>
  <c r="CA165" i="54"/>
  <c r="CB165" i="54"/>
  <c r="CC165" i="54"/>
  <c r="CD165" i="54"/>
  <c r="CE165" i="54"/>
  <c r="CF165" i="54"/>
  <c r="CG165" i="54"/>
  <c r="CH165" i="54"/>
  <c r="CI165" i="54"/>
  <c r="CJ165" i="54"/>
  <c r="CK165" i="54"/>
  <c r="CL165" i="54"/>
  <c r="CM165" i="54"/>
  <c r="CN165" i="54"/>
  <c r="CO165" i="54"/>
  <c r="CP165" i="54"/>
  <c r="CQ165" i="54"/>
  <c r="CR165" i="54"/>
  <c r="CS165" i="54"/>
  <c r="CT165" i="54"/>
  <c r="CU165" i="54"/>
  <c r="CV165" i="54"/>
  <c r="CW165" i="54"/>
  <c r="CX165" i="54"/>
  <c r="BK166" i="54"/>
  <c r="BL166" i="54"/>
  <c r="BN166" i="54"/>
  <c r="BO166" i="54"/>
  <c r="BP166" i="54"/>
  <c r="BQ166" i="54"/>
  <c r="BR166" i="54"/>
  <c r="BS166" i="54"/>
  <c r="BT166" i="54"/>
  <c r="BU166" i="54"/>
  <c r="BV166" i="54"/>
  <c r="BW166" i="54"/>
  <c r="BX166" i="54"/>
  <c r="BY166" i="54"/>
  <c r="BZ166" i="54"/>
  <c r="CA166" i="54"/>
  <c r="CB166" i="54"/>
  <c r="CC166" i="54"/>
  <c r="CD166" i="54"/>
  <c r="CE166" i="54"/>
  <c r="CF166" i="54"/>
  <c r="CG166" i="54"/>
  <c r="CH166" i="54"/>
  <c r="CI166" i="54"/>
  <c r="CJ166" i="54"/>
  <c r="CK166" i="54"/>
  <c r="CL166" i="54"/>
  <c r="CM166" i="54"/>
  <c r="CN166" i="54"/>
  <c r="CO166" i="54"/>
  <c r="CP166" i="54"/>
  <c r="CQ166" i="54"/>
  <c r="CR166" i="54"/>
  <c r="CS166" i="54"/>
  <c r="CT166" i="54"/>
  <c r="CU166" i="54"/>
  <c r="CV166" i="54"/>
  <c r="CW166" i="54"/>
  <c r="CX166" i="54"/>
  <c r="BK169" i="54"/>
  <c r="BL169" i="54"/>
  <c r="BN169" i="54"/>
  <c r="BO169" i="54"/>
  <c r="BP169" i="54"/>
  <c r="BQ169" i="54"/>
  <c r="BR169" i="54"/>
  <c r="BS169" i="54"/>
  <c r="BT169" i="54"/>
  <c r="BU169" i="54"/>
  <c r="BV169" i="54"/>
  <c r="BW169" i="54"/>
  <c r="BX169" i="54"/>
  <c r="BY169" i="54"/>
  <c r="BZ169" i="54"/>
  <c r="CA169" i="54"/>
  <c r="CB169" i="54"/>
  <c r="CC169" i="54"/>
  <c r="CD169" i="54"/>
  <c r="CE169" i="54"/>
  <c r="CF169" i="54"/>
  <c r="CG169" i="54"/>
  <c r="CH169" i="54"/>
  <c r="CI169" i="54"/>
  <c r="CJ169" i="54"/>
  <c r="CK169" i="54"/>
  <c r="CL169" i="54"/>
  <c r="CM169" i="54"/>
  <c r="CN169" i="54"/>
  <c r="CO169" i="54"/>
  <c r="CP169" i="54"/>
  <c r="CQ169" i="54"/>
  <c r="CR169" i="54"/>
  <c r="CS169" i="54"/>
  <c r="CT169" i="54"/>
  <c r="CU169" i="54"/>
  <c r="CV169" i="54"/>
  <c r="CW169" i="54"/>
  <c r="CX169" i="54"/>
  <c r="BK170" i="54"/>
  <c r="BL170" i="54"/>
  <c r="BN170" i="54"/>
  <c r="BO170" i="54"/>
  <c r="BP170" i="54"/>
  <c r="BQ170" i="54"/>
  <c r="BR170" i="54"/>
  <c r="BS170" i="54"/>
  <c r="BT170" i="54"/>
  <c r="BU170" i="54"/>
  <c r="BV170" i="54"/>
  <c r="BW170" i="54"/>
  <c r="BX170" i="54"/>
  <c r="BY170" i="54"/>
  <c r="BZ170" i="54"/>
  <c r="CA170" i="54"/>
  <c r="CB170" i="54"/>
  <c r="CC170" i="54"/>
  <c r="CD170" i="54"/>
  <c r="CE170" i="54"/>
  <c r="CF170" i="54"/>
  <c r="CG170" i="54"/>
  <c r="CH170" i="54"/>
  <c r="CI170" i="54"/>
  <c r="CJ170" i="54"/>
  <c r="CK170" i="54"/>
  <c r="CL170" i="54"/>
  <c r="CM170" i="54"/>
  <c r="CN170" i="54"/>
  <c r="CO170" i="54"/>
  <c r="CP170" i="54"/>
  <c r="CQ170" i="54"/>
  <c r="CR170" i="54"/>
  <c r="CS170" i="54"/>
  <c r="CT170" i="54"/>
  <c r="CU170" i="54"/>
  <c r="CV170" i="54"/>
  <c r="CW170" i="54"/>
  <c r="CX170" i="54"/>
  <c r="CG170" i="21"/>
  <c r="BK171" i="54"/>
  <c r="BL171" i="54"/>
  <c r="BN171" i="54"/>
  <c r="BO171" i="54"/>
  <c r="BP171" i="54"/>
  <c r="BQ171" i="54"/>
  <c r="BR171" i="54"/>
  <c r="BS171" i="54"/>
  <c r="BT171" i="54"/>
  <c r="BU171" i="54"/>
  <c r="BV171" i="54"/>
  <c r="BW171" i="54"/>
  <c r="BX171" i="54"/>
  <c r="BY171" i="54"/>
  <c r="BZ171" i="54"/>
  <c r="CA171" i="54"/>
  <c r="CB171" i="54"/>
  <c r="CC171" i="54"/>
  <c r="CD171" i="54"/>
  <c r="CE171" i="54"/>
  <c r="CF171" i="54"/>
  <c r="CG171" i="54"/>
  <c r="CH171" i="54"/>
  <c r="CI171" i="54"/>
  <c r="CJ171" i="54"/>
  <c r="CK171" i="54"/>
  <c r="CL171" i="54"/>
  <c r="CM171" i="54"/>
  <c r="CN171" i="54"/>
  <c r="CO171" i="54"/>
  <c r="CP171" i="54"/>
  <c r="CQ171" i="54"/>
  <c r="CR171" i="54"/>
  <c r="CS171" i="54"/>
  <c r="CT171" i="54"/>
  <c r="CU171" i="54"/>
  <c r="CV171" i="54"/>
  <c r="CW171" i="54"/>
  <c r="CX171" i="54"/>
  <c r="CG171" i="21"/>
  <c r="BK172" i="54"/>
  <c r="BL172" i="54"/>
  <c r="BN172" i="54"/>
  <c r="BO172" i="54"/>
  <c r="BP172" i="54"/>
  <c r="BQ172" i="54"/>
  <c r="BR172" i="54"/>
  <c r="BS172" i="54"/>
  <c r="BT172" i="54"/>
  <c r="BU172" i="54"/>
  <c r="BV172" i="54"/>
  <c r="BW172" i="54"/>
  <c r="BX172" i="54"/>
  <c r="BY172" i="54"/>
  <c r="BZ172" i="54"/>
  <c r="CA172" i="54"/>
  <c r="CB172" i="54"/>
  <c r="CC172" i="54"/>
  <c r="CD172" i="54"/>
  <c r="CE172" i="54"/>
  <c r="CF172" i="54"/>
  <c r="CG172" i="54"/>
  <c r="CH172" i="54"/>
  <c r="CI172" i="54"/>
  <c r="CJ172" i="54"/>
  <c r="CK172" i="54"/>
  <c r="CL172" i="54"/>
  <c r="CM172" i="54"/>
  <c r="CN172" i="54"/>
  <c r="CO172" i="54"/>
  <c r="CP172" i="54"/>
  <c r="CQ172" i="54"/>
  <c r="CR172" i="54"/>
  <c r="CS172" i="54"/>
  <c r="CT172" i="54"/>
  <c r="CU172" i="54"/>
  <c r="CV172" i="54"/>
  <c r="CW172" i="54"/>
  <c r="CX172" i="54"/>
  <c r="BK173" i="54"/>
  <c r="BL173" i="54"/>
  <c r="BN173" i="54"/>
  <c r="BO173" i="54"/>
  <c r="BP173" i="54"/>
  <c r="BQ173" i="54"/>
  <c r="BR173" i="54"/>
  <c r="BS173" i="54"/>
  <c r="BT173" i="54"/>
  <c r="BU173" i="54"/>
  <c r="BV173" i="54"/>
  <c r="BW173" i="54"/>
  <c r="BX173" i="54"/>
  <c r="BY173" i="54"/>
  <c r="BZ173" i="54"/>
  <c r="CA173" i="54"/>
  <c r="CB173" i="54"/>
  <c r="CC173" i="54"/>
  <c r="CD173" i="54"/>
  <c r="CE173" i="54"/>
  <c r="CF173" i="54"/>
  <c r="CG173" i="54"/>
  <c r="CH173" i="54"/>
  <c r="CI173" i="54"/>
  <c r="CJ173" i="54"/>
  <c r="CK173" i="54"/>
  <c r="CL173" i="54"/>
  <c r="CM173" i="54"/>
  <c r="CN173" i="54"/>
  <c r="CO173" i="54"/>
  <c r="CP173" i="54"/>
  <c r="CQ173" i="54"/>
  <c r="CR173" i="54"/>
  <c r="CS173" i="54"/>
  <c r="CT173" i="54"/>
  <c r="CU173" i="54"/>
  <c r="CV173" i="54"/>
  <c r="CW173" i="54"/>
  <c r="CX173" i="54"/>
  <c r="CG173" i="21"/>
  <c r="BK174" i="54"/>
  <c r="BL174" i="54"/>
  <c r="BN174" i="54"/>
  <c r="BO174" i="54"/>
  <c r="BP174" i="54"/>
  <c r="BQ174" i="54"/>
  <c r="BR174" i="54"/>
  <c r="BS174" i="54"/>
  <c r="BT174" i="54"/>
  <c r="BU174" i="54"/>
  <c r="BV174" i="54"/>
  <c r="BW174" i="54"/>
  <c r="BX174" i="54"/>
  <c r="BY174" i="54"/>
  <c r="BZ174" i="54"/>
  <c r="CA174" i="54"/>
  <c r="CB174" i="54"/>
  <c r="CC174" i="54"/>
  <c r="CD174" i="54"/>
  <c r="CE174" i="54"/>
  <c r="CF174" i="54"/>
  <c r="CG174" i="54"/>
  <c r="CH174" i="54"/>
  <c r="CI174" i="54"/>
  <c r="CJ174" i="54"/>
  <c r="CK174" i="54"/>
  <c r="CL174" i="54"/>
  <c r="CM174" i="54"/>
  <c r="CN174" i="54"/>
  <c r="CO174" i="54"/>
  <c r="CP174" i="54"/>
  <c r="CQ174" i="54"/>
  <c r="CR174" i="54"/>
  <c r="CS174" i="54"/>
  <c r="CT174" i="54"/>
  <c r="CU174" i="54"/>
  <c r="CV174" i="54"/>
  <c r="CW174" i="54"/>
  <c r="CX174" i="54"/>
  <c r="BK175" i="54"/>
  <c r="BL175" i="54"/>
  <c r="BN175" i="54"/>
  <c r="BO175" i="54"/>
  <c r="BP175" i="54"/>
  <c r="BQ175" i="54"/>
  <c r="BR175" i="54"/>
  <c r="BS175" i="54"/>
  <c r="BT175" i="54"/>
  <c r="BU175" i="54"/>
  <c r="BV175" i="54"/>
  <c r="BW175" i="54"/>
  <c r="BX175" i="54"/>
  <c r="BY175" i="54"/>
  <c r="BZ175" i="54"/>
  <c r="CA175" i="54"/>
  <c r="CB175" i="54"/>
  <c r="CC175" i="54"/>
  <c r="CD175" i="54"/>
  <c r="CE175" i="54"/>
  <c r="CF175" i="54"/>
  <c r="CG175" i="54"/>
  <c r="CH175" i="54"/>
  <c r="CI175" i="54"/>
  <c r="CJ175" i="54"/>
  <c r="CK175" i="54"/>
  <c r="CL175" i="54"/>
  <c r="CM175" i="54"/>
  <c r="CN175" i="54"/>
  <c r="CO175" i="54"/>
  <c r="CP175" i="54"/>
  <c r="CQ175" i="54"/>
  <c r="CR175" i="54"/>
  <c r="CS175" i="54"/>
  <c r="CT175" i="54"/>
  <c r="CU175" i="54"/>
  <c r="CV175" i="54"/>
  <c r="CW175" i="54"/>
  <c r="CX175" i="54"/>
  <c r="BK176" i="54"/>
  <c r="BL176" i="54"/>
  <c r="BN176" i="54"/>
  <c r="BO176" i="54"/>
  <c r="BP176" i="54"/>
  <c r="BQ176" i="54"/>
  <c r="BR176" i="54"/>
  <c r="BS176" i="54"/>
  <c r="BT176" i="54"/>
  <c r="BU176" i="54"/>
  <c r="BV176" i="54"/>
  <c r="BW176" i="54"/>
  <c r="BX176" i="54"/>
  <c r="BY176" i="54"/>
  <c r="BZ176" i="54"/>
  <c r="CA176" i="54"/>
  <c r="CB176" i="54"/>
  <c r="CC176" i="54"/>
  <c r="CD176" i="54"/>
  <c r="CE176" i="54"/>
  <c r="CF176" i="54"/>
  <c r="CG176" i="54"/>
  <c r="CH176" i="54"/>
  <c r="CI176" i="54"/>
  <c r="CJ176" i="54"/>
  <c r="CK176" i="54"/>
  <c r="CL176" i="54"/>
  <c r="CM176" i="54"/>
  <c r="CN176" i="54"/>
  <c r="CO176" i="54"/>
  <c r="CP176" i="54"/>
  <c r="CQ176" i="54"/>
  <c r="CR176" i="54"/>
  <c r="CS176" i="54"/>
  <c r="CT176" i="54"/>
  <c r="CU176" i="54"/>
  <c r="CV176" i="54"/>
  <c r="CW176" i="54"/>
  <c r="CX176" i="54"/>
  <c r="BK177" i="54"/>
  <c r="BL177" i="54"/>
  <c r="BN177" i="54"/>
  <c r="BO177" i="54"/>
  <c r="BP177" i="54"/>
  <c r="BQ177" i="54"/>
  <c r="BR177" i="54"/>
  <c r="BS177" i="54"/>
  <c r="BT177" i="54"/>
  <c r="BU177" i="54"/>
  <c r="BV177" i="54"/>
  <c r="BW177" i="54"/>
  <c r="BX177" i="54"/>
  <c r="BY177" i="54"/>
  <c r="BZ177" i="54"/>
  <c r="CA177" i="54"/>
  <c r="CB177" i="54"/>
  <c r="CC177" i="54"/>
  <c r="CD177" i="54"/>
  <c r="CE177" i="54"/>
  <c r="CF177" i="54"/>
  <c r="CG177" i="54"/>
  <c r="CH177" i="54"/>
  <c r="CI177" i="54"/>
  <c r="CJ177" i="54"/>
  <c r="CK177" i="54"/>
  <c r="CL177" i="54"/>
  <c r="CM177" i="54"/>
  <c r="CN177" i="54"/>
  <c r="CO177" i="54"/>
  <c r="CP177" i="54"/>
  <c r="CQ177" i="54"/>
  <c r="CR177" i="54"/>
  <c r="CS177" i="54"/>
  <c r="CT177" i="54"/>
  <c r="CU177" i="54"/>
  <c r="CV177" i="54"/>
  <c r="CW177" i="54"/>
  <c r="CX177" i="54"/>
  <c r="BK178" i="54"/>
  <c r="BL178" i="54"/>
  <c r="BN178" i="54"/>
  <c r="BO178" i="54"/>
  <c r="BP178" i="54"/>
  <c r="BQ178" i="54"/>
  <c r="BR178" i="54"/>
  <c r="BS178" i="54"/>
  <c r="BT178" i="54"/>
  <c r="BU178" i="54"/>
  <c r="BV178" i="54"/>
  <c r="BW178" i="54"/>
  <c r="BX178" i="54"/>
  <c r="BY178" i="54"/>
  <c r="BZ178" i="54"/>
  <c r="CA178" i="54"/>
  <c r="CB178" i="54"/>
  <c r="CC178" i="54"/>
  <c r="CD178" i="54"/>
  <c r="CE178" i="54"/>
  <c r="CF178" i="54"/>
  <c r="CG178" i="54"/>
  <c r="CH178" i="54"/>
  <c r="CI178" i="54"/>
  <c r="CJ178" i="54"/>
  <c r="CK178" i="54"/>
  <c r="CL178" i="54"/>
  <c r="CM178" i="54"/>
  <c r="CN178" i="54"/>
  <c r="CO178" i="54"/>
  <c r="CP178" i="54"/>
  <c r="CQ178" i="54"/>
  <c r="CR178" i="54"/>
  <c r="CS178" i="54"/>
  <c r="CT178" i="54"/>
  <c r="CU178" i="54"/>
  <c r="CV178" i="54"/>
  <c r="CW178" i="54"/>
  <c r="CX178" i="54"/>
  <c r="BK179" i="54"/>
  <c r="BL179" i="54"/>
  <c r="BN179" i="54"/>
  <c r="BO179" i="54"/>
  <c r="BP179" i="54"/>
  <c r="BQ179" i="54"/>
  <c r="BR179" i="54"/>
  <c r="BS179" i="54"/>
  <c r="BT179" i="54"/>
  <c r="BU179" i="54"/>
  <c r="BV179" i="54"/>
  <c r="BW179" i="54"/>
  <c r="BX179" i="54"/>
  <c r="BY179" i="54"/>
  <c r="BZ179" i="54"/>
  <c r="CA179" i="54"/>
  <c r="CB179" i="54"/>
  <c r="CC179" i="54"/>
  <c r="CD179" i="54"/>
  <c r="CE179" i="54"/>
  <c r="CF179" i="54"/>
  <c r="CG179" i="54"/>
  <c r="CH179" i="54"/>
  <c r="CI179" i="54"/>
  <c r="CJ179" i="54"/>
  <c r="CK179" i="54"/>
  <c r="CL179" i="54"/>
  <c r="CM179" i="54"/>
  <c r="CN179" i="54"/>
  <c r="CO179" i="54"/>
  <c r="CP179" i="54"/>
  <c r="CQ179" i="54"/>
  <c r="CR179" i="54"/>
  <c r="CS179" i="54"/>
  <c r="CT179" i="54"/>
  <c r="CU179" i="54"/>
  <c r="CV179" i="54"/>
  <c r="CW179" i="54"/>
  <c r="CX179" i="54"/>
  <c r="BK180" i="54"/>
  <c r="BL180" i="54"/>
  <c r="BN180" i="54"/>
  <c r="BO180" i="54"/>
  <c r="BP180" i="54"/>
  <c r="BQ180" i="54"/>
  <c r="BR180" i="54"/>
  <c r="BS180" i="54"/>
  <c r="BT180" i="54"/>
  <c r="BU180" i="54"/>
  <c r="BV180" i="54"/>
  <c r="BW180" i="54"/>
  <c r="BX180" i="54"/>
  <c r="BY180" i="54"/>
  <c r="BZ180" i="54"/>
  <c r="CA180" i="54"/>
  <c r="CB180" i="54"/>
  <c r="CC180" i="54"/>
  <c r="CD180" i="54"/>
  <c r="CE180" i="54"/>
  <c r="CF180" i="54"/>
  <c r="CG180" i="54"/>
  <c r="CH180" i="54"/>
  <c r="CI180" i="54"/>
  <c r="CJ180" i="54"/>
  <c r="CK180" i="54"/>
  <c r="CL180" i="54"/>
  <c r="CM180" i="54"/>
  <c r="CN180" i="54"/>
  <c r="CO180" i="54"/>
  <c r="CP180" i="54"/>
  <c r="CQ180" i="54"/>
  <c r="CR180" i="54"/>
  <c r="CS180" i="54"/>
  <c r="CT180" i="54"/>
  <c r="CU180" i="54"/>
  <c r="CV180" i="54"/>
  <c r="CW180" i="54"/>
  <c r="CX180" i="54"/>
  <c r="BK181" i="54"/>
  <c r="BL181" i="54"/>
  <c r="BN181" i="54"/>
  <c r="BO181" i="54"/>
  <c r="BP181" i="54"/>
  <c r="BQ181" i="54"/>
  <c r="BR181" i="54"/>
  <c r="BS181" i="54"/>
  <c r="BT181" i="54"/>
  <c r="BU181" i="54"/>
  <c r="BV181" i="54"/>
  <c r="BW181" i="54"/>
  <c r="BX181" i="54"/>
  <c r="BY181" i="54"/>
  <c r="BZ181" i="54"/>
  <c r="CA181" i="54"/>
  <c r="CB181" i="54"/>
  <c r="CC181" i="54"/>
  <c r="CD181" i="54"/>
  <c r="CE181" i="54"/>
  <c r="CF181" i="54"/>
  <c r="CG181" i="54"/>
  <c r="CH181" i="54"/>
  <c r="CI181" i="54"/>
  <c r="CJ181" i="54"/>
  <c r="CK181" i="54"/>
  <c r="CL181" i="54"/>
  <c r="CM181" i="54"/>
  <c r="CN181" i="54"/>
  <c r="CO181" i="54"/>
  <c r="CP181" i="54"/>
  <c r="CQ181" i="54"/>
  <c r="CR181" i="54"/>
  <c r="CS181" i="54"/>
  <c r="CT181" i="54"/>
  <c r="CU181" i="54"/>
  <c r="CV181" i="54"/>
  <c r="CW181" i="54"/>
  <c r="CX181" i="54"/>
  <c r="BK182" i="54"/>
  <c r="BL182" i="54"/>
  <c r="BN182" i="54"/>
  <c r="BO182" i="54"/>
  <c r="BP182" i="54"/>
  <c r="BQ182" i="54"/>
  <c r="BR182" i="54"/>
  <c r="BS182" i="54"/>
  <c r="BT182" i="54"/>
  <c r="BU182" i="54"/>
  <c r="BV182" i="54"/>
  <c r="BW182" i="54"/>
  <c r="BX182" i="54"/>
  <c r="BY182" i="54"/>
  <c r="BZ182" i="54"/>
  <c r="CA182" i="54"/>
  <c r="CB182" i="54"/>
  <c r="CC182" i="54"/>
  <c r="CD182" i="54"/>
  <c r="CE182" i="54"/>
  <c r="CF182" i="54"/>
  <c r="CG182" i="54"/>
  <c r="CH182" i="54"/>
  <c r="CI182" i="54"/>
  <c r="CJ182" i="54"/>
  <c r="CK182" i="54"/>
  <c r="CL182" i="54"/>
  <c r="CM182" i="54"/>
  <c r="CN182" i="54"/>
  <c r="CO182" i="54"/>
  <c r="CP182" i="54"/>
  <c r="CQ182" i="54"/>
  <c r="CR182" i="54"/>
  <c r="CS182" i="54"/>
  <c r="CT182" i="54"/>
  <c r="CU182" i="54"/>
  <c r="CV182" i="54"/>
  <c r="CW182" i="54"/>
  <c r="CX182" i="54"/>
  <c r="BK183" i="54"/>
  <c r="BL183" i="54"/>
  <c r="BN183" i="54"/>
  <c r="BO183" i="54"/>
  <c r="BP183" i="54"/>
  <c r="BQ183" i="54"/>
  <c r="BR183" i="54"/>
  <c r="BS183" i="54"/>
  <c r="BT183" i="54"/>
  <c r="BU183" i="54"/>
  <c r="BV183" i="54"/>
  <c r="BW183" i="54"/>
  <c r="BX183" i="54"/>
  <c r="BY183" i="54"/>
  <c r="BZ183" i="54"/>
  <c r="CA183" i="54"/>
  <c r="CB183" i="54"/>
  <c r="CC183" i="54"/>
  <c r="CD183" i="54"/>
  <c r="CE183" i="54"/>
  <c r="CF183" i="54"/>
  <c r="CG183" i="54"/>
  <c r="CH183" i="54"/>
  <c r="CI183" i="54"/>
  <c r="CJ183" i="54"/>
  <c r="CK183" i="54"/>
  <c r="CL183" i="54"/>
  <c r="CM183" i="54"/>
  <c r="CN183" i="54"/>
  <c r="CO183" i="54"/>
  <c r="CP183" i="54"/>
  <c r="CQ183" i="54"/>
  <c r="CR183" i="54"/>
  <c r="CS183" i="54"/>
  <c r="CT183" i="54"/>
  <c r="CU183" i="54"/>
  <c r="CV183" i="54"/>
  <c r="CW183" i="54"/>
  <c r="CX183" i="54"/>
  <c r="CH183" i="21"/>
  <c r="BK184" i="54"/>
  <c r="BL184" i="54"/>
  <c r="BN184" i="54"/>
  <c r="BO184" i="54"/>
  <c r="BP184" i="54"/>
  <c r="BQ184" i="54"/>
  <c r="BR184" i="54"/>
  <c r="BS184" i="54"/>
  <c r="BT184" i="54"/>
  <c r="BU184" i="54"/>
  <c r="BV184" i="54"/>
  <c r="BW184" i="54"/>
  <c r="BX184" i="54"/>
  <c r="BY184" i="54"/>
  <c r="BZ184" i="54"/>
  <c r="CA184" i="54"/>
  <c r="CB184" i="54"/>
  <c r="CC184" i="54"/>
  <c r="CD184" i="54"/>
  <c r="CE184" i="54"/>
  <c r="CF184" i="54"/>
  <c r="CG184" i="54"/>
  <c r="CH184" i="54"/>
  <c r="CI184" i="54"/>
  <c r="CJ184" i="54"/>
  <c r="CK184" i="54"/>
  <c r="CL184" i="54"/>
  <c r="CM184" i="54"/>
  <c r="CN184" i="54"/>
  <c r="CO184" i="54"/>
  <c r="CP184" i="54"/>
  <c r="CQ184" i="54"/>
  <c r="CR184" i="54"/>
  <c r="CS184" i="54"/>
  <c r="CT184" i="54"/>
  <c r="CU184" i="54"/>
  <c r="CV184" i="54"/>
  <c r="CW184" i="54"/>
  <c r="CX184" i="54"/>
  <c r="BK185" i="54"/>
  <c r="BL185" i="54"/>
  <c r="BN185" i="54"/>
  <c r="BO185" i="54"/>
  <c r="BP185" i="54"/>
  <c r="BQ185" i="54"/>
  <c r="BR185" i="54"/>
  <c r="BS185" i="54"/>
  <c r="BT185" i="54"/>
  <c r="BU185" i="54"/>
  <c r="BV185" i="54"/>
  <c r="BW185" i="54"/>
  <c r="BX185" i="54"/>
  <c r="BY185" i="54"/>
  <c r="BZ185" i="54"/>
  <c r="CA185" i="54"/>
  <c r="CB185" i="54"/>
  <c r="CC185" i="54"/>
  <c r="CD185" i="54"/>
  <c r="CE185" i="54"/>
  <c r="CF185" i="54"/>
  <c r="CG185" i="54"/>
  <c r="CH185" i="54"/>
  <c r="CI185" i="54"/>
  <c r="CJ185" i="54"/>
  <c r="CK185" i="54"/>
  <c r="CL185" i="54"/>
  <c r="CM185" i="54"/>
  <c r="CN185" i="54"/>
  <c r="CO185" i="54"/>
  <c r="CP185" i="54"/>
  <c r="CQ185" i="54"/>
  <c r="CR185" i="54"/>
  <c r="CS185" i="54"/>
  <c r="CT185" i="54"/>
  <c r="CU185" i="54"/>
  <c r="CV185" i="54"/>
  <c r="CW185" i="54"/>
  <c r="CX185" i="54"/>
  <c r="CF185" i="21"/>
  <c r="CG185" i="21"/>
  <c r="BK186" i="54"/>
  <c r="BL186" i="54"/>
  <c r="BN186" i="54"/>
  <c r="BO186" i="54"/>
  <c r="BP186" i="54"/>
  <c r="BQ186" i="54"/>
  <c r="BR186" i="54"/>
  <c r="BS186" i="54"/>
  <c r="BT186" i="54"/>
  <c r="BU186" i="54"/>
  <c r="BV186" i="54"/>
  <c r="BW186" i="54"/>
  <c r="BX186" i="54"/>
  <c r="BY186" i="54"/>
  <c r="BZ186" i="54"/>
  <c r="CA186" i="54"/>
  <c r="CB186" i="54"/>
  <c r="CC186" i="54"/>
  <c r="CD186" i="54"/>
  <c r="CE186" i="54"/>
  <c r="CF186" i="54"/>
  <c r="CG186" i="54"/>
  <c r="CH186" i="54"/>
  <c r="CI186" i="54"/>
  <c r="CJ186" i="54"/>
  <c r="CK186" i="54"/>
  <c r="CL186" i="54"/>
  <c r="CM186" i="54"/>
  <c r="CN186" i="54"/>
  <c r="CO186" i="54"/>
  <c r="CP186" i="54"/>
  <c r="CQ186" i="54"/>
  <c r="CR186" i="54"/>
  <c r="CS186" i="54"/>
  <c r="CT186" i="54"/>
  <c r="CU186" i="54"/>
  <c r="CV186" i="54"/>
  <c r="CW186" i="54"/>
  <c r="CX186" i="54"/>
  <c r="BK187" i="54"/>
  <c r="BL187" i="54"/>
  <c r="BN187" i="54"/>
  <c r="BO187" i="54"/>
  <c r="BP187" i="54"/>
  <c r="BQ187" i="54"/>
  <c r="BR187" i="54"/>
  <c r="BS187" i="54"/>
  <c r="BT187" i="54"/>
  <c r="BU187" i="54"/>
  <c r="BV187" i="54"/>
  <c r="BW187" i="54"/>
  <c r="BX187" i="54"/>
  <c r="BY187" i="54"/>
  <c r="BZ187" i="54"/>
  <c r="CA187" i="54"/>
  <c r="CB187" i="54"/>
  <c r="CC187" i="54"/>
  <c r="CD187" i="54"/>
  <c r="CE187" i="54"/>
  <c r="CF187" i="54"/>
  <c r="CG187" i="54"/>
  <c r="CH187" i="54"/>
  <c r="CI187" i="54"/>
  <c r="CJ187" i="54"/>
  <c r="CK187" i="54"/>
  <c r="CL187" i="54"/>
  <c r="CM187" i="54"/>
  <c r="CN187" i="54"/>
  <c r="CO187" i="54"/>
  <c r="CP187" i="54"/>
  <c r="CQ187" i="54"/>
  <c r="CR187" i="54"/>
  <c r="CS187" i="54"/>
  <c r="CT187" i="54"/>
  <c r="CU187" i="54"/>
  <c r="CV187" i="54"/>
  <c r="CW187" i="54"/>
  <c r="CX187" i="54"/>
  <c r="CH187" i="21"/>
  <c r="BK188" i="54"/>
  <c r="BL188" i="54"/>
  <c r="BN188" i="54"/>
  <c r="BO188" i="54"/>
  <c r="BP188" i="54"/>
  <c r="BQ188" i="54"/>
  <c r="BR188" i="54"/>
  <c r="BS188" i="54"/>
  <c r="BT188" i="54"/>
  <c r="BU188" i="54"/>
  <c r="BV188" i="54"/>
  <c r="BW188" i="54"/>
  <c r="BX188" i="54"/>
  <c r="BY188" i="54"/>
  <c r="BZ188" i="54"/>
  <c r="CA188" i="54"/>
  <c r="CB188" i="54"/>
  <c r="CC188" i="54"/>
  <c r="CD188" i="54"/>
  <c r="CE188" i="54"/>
  <c r="CF188" i="54"/>
  <c r="CG188" i="54"/>
  <c r="CH188" i="54"/>
  <c r="CI188" i="54"/>
  <c r="CJ188" i="54"/>
  <c r="CK188" i="54"/>
  <c r="CL188" i="54"/>
  <c r="CM188" i="54"/>
  <c r="CN188" i="54"/>
  <c r="CO188" i="54"/>
  <c r="CP188" i="54"/>
  <c r="CQ188" i="54"/>
  <c r="CR188" i="54"/>
  <c r="CS188" i="54"/>
  <c r="CT188" i="54"/>
  <c r="CU188" i="54"/>
  <c r="CV188" i="54"/>
  <c r="CW188" i="54"/>
  <c r="CX188" i="54"/>
  <c r="BK189" i="54"/>
  <c r="BL189" i="54"/>
  <c r="BN189" i="54"/>
  <c r="BO189" i="54"/>
  <c r="BP189" i="54"/>
  <c r="BQ189" i="54"/>
  <c r="BR189" i="54"/>
  <c r="BS189" i="54"/>
  <c r="BT189" i="54"/>
  <c r="BU189" i="54"/>
  <c r="BV189" i="54"/>
  <c r="BW189" i="54"/>
  <c r="BX189" i="54"/>
  <c r="BY189" i="54"/>
  <c r="BZ189" i="54"/>
  <c r="CA189" i="54"/>
  <c r="CB189" i="54"/>
  <c r="CC189" i="54"/>
  <c r="CD189" i="54"/>
  <c r="CE189" i="54"/>
  <c r="CF189" i="54"/>
  <c r="CG189" i="54"/>
  <c r="CH189" i="54"/>
  <c r="CI189" i="54"/>
  <c r="CJ189" i="54"/>
  <c r="CK189" i="54"/>
  <c r="CL189" i="54"/>
  <c r="CM189" i="54"/>
  <c r="CN189" i="54"/>
  <c r="CO189" i="54"/>
  <c r="CP189" i="54"/>
  <c r="CQ189" i="54"/>
  <c r="CR189" i="54"/>
  <c r="CS189" i="54"/>
  <c r="CT189" i="54"/>
  <c r="CU189" i="54"/>
  <c r="CV189" i="54"/>
  <c r="CW189" i="54"/>
  <c r="CX189" i="54"/>
  <c r="BK190" i="54"/>
  <c r="BL190" i="54"/>
  <c r="BN190" i="54"/>
  <c r="BO190" i="54"/>
  <c r="BP190" i="54"/>
  <c r="BQ190" i="54"/>
  <c r="BR190" i="54"/>
  <c r="BS190" i="54"/>
  <c r="BT190" i="54"/>
  <c r="BU190" i="54"/>
  <c r="BV190" i="54"/>
  <c r="BW190" i="54"/>
  <c r="BX190" i="54"/>
  <c r="BY190" i="54"/>
  <c r="BZ190" i="54"/>
  <c r="CA190" i="54"/>
  <c r="CB190" i="54"/>
  <c r="CC190" i="54"/>
  <c r="CD190" i="54"/>
  <c r="CE190" i="54"/>
  <c r="CF190" i="54"/>
  <c r="CG190" i="54"/>
  <c r="CH190" i="54"/>
  <c r="CI190" i="54"/>
  <c r="CJ190" i="54"/>
  <c r="CK190" i="54"/>
  <c r="CL190" i="54"/>
  <c r="CM190" i="54"/>
  <c r="CN190" i="54"/>
  <c r="CO190" i="54"/>
  <c r="CP190" i="54"/>
  <c r="CQ190" i="54"/>
  <c r="CR190" i="54"/>
  <c r="CS190" i="54"/>
  <c r="CT190" i="54"/>
  <c r="CU190" i="54"/>
  <c r="CV190" i="54"/>
  <c r="CW190" i="54"/>
  <c r="CX190" i="54"/>
  <c r="BK191" i="54"/>
  <c r="BL191" i="54"/>
  <c r="BN191" i="54"/>
  <c r="BO191" i="54"/>
  <c r="BP191" i="54"/>
  <c r="BQ191" i="54"/>
  <c r="BR191" i="54"/>
  <c r="BS191" i="54"/>
  <c r="BT191" i="54"/>
  <c r="BU191" i="54"/>
  <c r="BV191" i="54"/>
  <c r="BW191" i="54"/>
  <c r="BX191" i="54"/>
  <c r="BY191" i="54"/>
  <c r="BZ191" i="54"/>
  <c r="CA191" i="54"/>
  <c r="CB191" i="54"/>
  <c r="CC191" i="54"/>
  <c r="CD191" i="54"/>
  <c r="CE191" i="54"/>
  <c r="CF191" i="54"/>
  <c r="CG191" i="54"/>
  <c r="CH191" i="54"/>
  <c r="CI191" i="54"/>
  <c r="CJ191" i="54"/>
  <c r="CK191" i="54"/>
  <c r="CL191" i="54"/>
  <c r="CM191" i="54"/>
  <c r="CN191" i="54"/>
  <c r="CO191" i="54"/>
  <c r="CP191" i="54"/>
  <c r="CQ191" i="54"/>
  <c r="CR191" i="54"/>
  <c r="CS191" i="54"/>
  <c r="CT191" i="54"/>
  <c r="CU191" i="54"/>
  <c r="CV191" i="54"/>
  <c r="CW191" i="54"/>
  <c r="CX191" i="54"/>
  <c r="BK192" i="54"/>
  <c r="BL192" i="54"/>
  <c r="BN192" i="54"/>
  <c r="BO192" i="54"/>
  <c r="BP192" i="54"/>
  <c r="BQ192" i="54"/>
  <c r="BR192" i="54"/>
  <c r="BS192" i="54"/>
  <c r="BT192" i="54"/>
  <c r="BU192" i="54"/>
  <c r="BV192" i="54"/>
  <c r="BW192" i="54"/>
  <c r="BX192" i="54"/>
  <c r="BY192" i="54"/>
  <c r="BZ192" i="54"/>
  <c r="CA192" i="54"/>
  <c r="CB192" i="54"/>
  <c r="CC192" i="54"/>
  <c r="CD192" i="54"/>
  <c r="CE192" i="54"/>
  <c r="CF192" i="54"/>
  <c r="CG192" i="54"/>
  <c r="CH192" i="54"/>
  <c r="CI192" i="54"/>
  <c r="CJ192" i="54"/>
  <c r="CK192" i="54"/>
  <c r="CL192" i="54"/>
  <c r="CM192" i="54"/>
  <c r="CN192" i="54"/>
  <c r="CO192" i="54"/>
  <c r="CP192" i="54"/>
  <c r="CQ192" i="54"/>
  <c r="CR192" i="54"/>
  <c r="CS192" i="54"/>
  <c r="CT192" i="54"/>
  <c r="CU192" i="54"/>
  <c r="CV192" i="54"/>
  <c r="CW192" i="54"/>
  <c r="CX192" i="54"/>
  <c r="BK193" i="54"/>
  <c r="BL193" i="54"/>
  <c r="BN193" i="54"/>
  <c r="BO193" i="54"/>
  <c r="BP193" i="54"/>
  <c r="BQ193" i="54"/>
  <c r="BR193" i="54"/>
  <c r="BS193" i="54"/>
  <c r="BT193" i="54"/>
  <c r="BU193" i="54"/>
  <c r="BV193" i="54"/>
  <c r="BW193" i="54"/>
  <c r="BX193" i="54"/>
  <c r="BY193" i="54"/>
  <c r="BZ193" i="54"/>
  <c r="CA193" i="54"/>
  <c r="CB193" i="54"/>
  <c r="CC193" i="54"/>
  <c r="CD193" i="54"/>
  <c r="CE193" i="54"/>
  <c r="CF193" i="54"/>
  <c r="CG193" i="54"/>
  <c r="CH193" i="54"/>
  <c r="CI193" i="54"/>
  <c r="CJ193" i="54"/>
  <c r="CK193" i="54"/>
  <c r="CL193" i="54"/>
  <c r="CM193" i="54"/>
  <c r="CN193" i="54"/>
  <c r="CO193" i="54"/>
  <c r="CP193" i="54"/>
  <c r="CQ193" i="54"/>
  <c r="CR193" i="54"/>
  <c r="CS193" i="54"/>
  <c r="CT193" i="54"/>
  <c r="CU193" i="54"/>
  <c r="CV193" i="54"/>
  <c r="CW193" i="54"/>
  <c r="CX193" i="54"/>
  <c r="CG193" i="21"/>
  <c r="CH193" i="21"/>
  <c r="BK194" i="54"/>
  <c r="BL194" i="54"/>
  <c r="BN194" i="54"/>
  <c r="BO194" i="54"/>
  <c r="BP194" i="54"/>
  <c r="BQ194" i="54"/>
  <c r="BR194" i="54"/>
  <c r="BS194" i="54"/>
  <c r="BT194" i="54"/>
  <c r="BU194" i="54"/>
  <c r="BV194" i="54"/>
  <c r="BW194" i="54"/>
  <c r="BX194" i="54"/>
  <c r="BY194" i="54"/>
  <c r="BZ194" i="54"/>
  <c r="CA194" i="54"/>
  <c r="CB194" i="54"/>
  <c r="CC194" i="54"/>
  <c r="CD194" i="54"/>
  <c r="CE194" i="54"/>
  <c r="CF194" i="54"/>
  <c r="CG194" i="54"/>
  <c r="CH194" i="54"/>
  <c r="CI194" i="54"/>
  <c r="CJ194" i="54"/>
  <c r="CK194" i="54"/>
  <c r="CL194" i="54"/>
  <c r="CM194" i="54"/>
  <c r="CN194" i="54"/>
  <c r="CO194" i="54"/>
  <c r="CP194" i="54"/>
  <c r="CQ194" i="54"/>
  <c r="CR194" i="54"/>
  <c r="CS194" i="54"/>
  <c r="CT194" i="54"/>
  <c r="CU194" i="54"/>
  <c r="CV194" i="54"/>
  <c r="CW194" i="54"/>
  <c r="CX194" i="54"/>
  <c r="BK195" i="54"/>
  <c r="BL195" i="54"/>
  <c r="BN195" i="54"/>
  <c r="BO195" i="54"/>
  <c r="BP195" i="54"/>
  <c r="BQ195" i="54"/>
  <c r="BR195" i="54"/>
  <c r="BS195" i="54"/>
  <c r="BT195" i="54"/>
  <c r="BU195" i="54"/>
  <c r="BV195" i="54"/>
  <c r="BW195" i="54"/>
  <c r="BX195" i="54"/>
  <c r="BY195" i="54"/>
  <c r="BZ195" i="54"/>
  <c r="CA195" i="54"/>
  <c r="CB195" i="54"/>
  <c r="CC195" i="54"/>
  <c r="CD195" i="54"/>
  <c r="CE195" i="54"/>
  <c r="CF195" i="54"/>
  <c r="CG195" i="54"/>
  <c r="CH195" i="54"/>
  <c r="CI195" i="54"/>
  <c r="CJ195" i="54"/>
  <c r="CK195" i="54"/>
  <c r="CL195" i="54"/>
  <c r="CM195" i="54"/>
  <c r="CN195" i="54"/>
  <c r="CO195" i="54"/>
  <c r="CP195" i="54"/>
  <c r="CQ195" i="54"/>
  <c r="CR195" i="54"/>
  <c r="CS195" i="54"/>
  <c r="CT195" i="54"/>
  <c r="CU195" i="54"/>
  <c r="CV195" i="54"/>
  <c r="CW195" i="54"/>
  <c r="CX195" i="54"/>
  <c r="CI195" i="21"/>
  <c r="BK196" i="54"/>
  <c r="BL196" i="54"/>
  <c r="BN196" i="54"/>
  <c r="BO196" i="54"/>
  <c r="BP196" i="54"/>
  <c r="BQ196" i="54"/>
  <c r="BR196" i="54"/>
  <c r="BS196" i="54"/>
  <c r="BT196" i="54"/>
  <c r="BU196" i="54"/>
  <c r="BV196" i="54"/>
  <c r="BW196" i="54"/>
  <c r="BX196" i="54"/>
  <c r="BY196" i="54"/>
  <c r="BZ196" i="54"/>
  <c r="CA196" i="54"/>
  <c r="CB196" i="54"/>
  <c r="CC196" i="54"/>
  <c r="CD196" i="54"/>
  <c r="CE196" i="54"/>
  <c r="CF196" i="54"/>
  <c r="CG196" i="54"/>
  <c r="CH196" i="54"/>
  <c r="CI196" i="54"/>
  <c r="CJ196" i="54"/>
  <c r="CK196" i="54"/>
  <c r="CL196" i="54"/>
  <c r="CM196" i="54"/>
  <c r="CN196" i="54"/>
  <c r="CO196" i="54"/>
  <c r="CP196" i="54"/>
  <c r="CQ196" i="54"/>
  <c r="CR196" i="54"/>
  <c r="CS196" i="54"/>
  <c r="CT196" i="54"/>
  <c r="CU196" i="54"/>
  <c r="CV196" i="54"/>
  <c r="CW196" i="54"/>
  <c r="CX196" i="54"/>
  <c r="BK197" i="54"/>
  <c r="BL197" i="54"/>
  <c r="BN197" i="54"/>
  <c r="BO197" i="54"/>
  <c r="BP197" i="54"/>
  <c r="BQ197" i="54"/>
  <c r="BR197" i="54"/>
  <c r="BS197" i="54"/>
  <c r="BT197" i="54"/>
  <c r="BU197" i="54"/>
  <c r="BV197" i="54"/>
  <c r="BW197" i="54"/>
  <c r="BX197" i="54"/>
  <c r="BY197" i="54"/>
  <c r="BZ197" i="54"/>
  <c r="CA197" i="54"/>
  <c r="CB197" i="54"/>
  <c r="CC197" i="54"/>
  <c r="CD197" i="54"/>
  <c r="CE197" i="54"/>
  <c r="CF197" i="54"/>
  <c r="CG197" i="54"/>
  <c r="CH197" i="54"/>
  <c r="CI197" i="54"/>
  <c r="CJ197" i="54"/>
  <c r="CK197" i="54"/>
  <c r="CL197" i="54"/>
  <c r="CM197" i="54"/>
  <c r="CN197" i="54"/>
  <c r="CO197" i="54"/>
  <c r="CP197" i="54"/>
  <c r="CQ197" i="54"/>
  <c r="CR197" i="54"/>
  <c r="CS197" i="54"/>
  <c r="CT197" i="54"/>
  <c r="CU197" i="54"/>
  <c r="CV197" i="54"/>
  <c r="CW197" i="54"/>
  <c r="CX197" i="54"/>
  <c r="CG197" i="21"/>
  <c r="BK198" i="54"/>
  <c r="BL198" i="54"/>
  <c r="BN198" i="54"/>
  <c r="BO198" i="54"/>
  <c r="BP198" i="54"/>
  <c r="BQ198" i="54"/>
  <c r="BR198" i="54"/>
  <c r="BS198" i="54"/>
  <c r="BT198" i="54"/>
  <c r="BU198" i="54"/>
  <c r="BV198" i="54"/>
  <c r="BW198" i="54"/>
  <c r="BX198" i="54"/>
  <c r="BY198" i="54"/>
  <c r="BZ198" i="54"/>
  <c r="CA198" i="54"/>
  <c r="CB198" i="54"/>
  <c r="CC198" i="54"/>
  <c r="CD198" i="54"/>
  <c r="CE198" i="54"/>
  <c r="CF198" i="54"/>
  <c r="CG198" i="54"/>
  <c r="CH198" i="54"/>
  <c r="CI198" i="54"/>
  <c r="CJ198" i="54"/>
  <c r="CK198" i="54"/>
  <c r="CL198" i="54"/>
  <c r="CM198" i="54"/>
  <c r="CN198" i="54"/>
  <c r="CO198" i="54"/>
  <c r="CP198" i="54"/>
  <c r="CQ198" i="54"/>
  <c r="CR198" i="54"/>
  <c r="CS198" i="54"/>
  <c r="CT198" i="54"/>
  <c r="CU198" i="54"/>
  <c r="CV198" i="54"/>
  <c r="CW198" i="54"/>
  <c r="CX198" i="54"/>
  <c r="BK199" i="54"/>
  <c r="BL199" i="54"/>
  <c r="BN199" i="54"/>
  <c r="BO199" i="54"/>
  <c r="BP199" i="54"/>
  <c r="BQ199" i="54"/>
  <c r="BR199" i="54"/>
  <c r="BS199" i="54"/>
  <c r="BT199" i="54"/>
  <c r="BU199" i="54"/>
  <c r="BV199" i="54"/>
  <c r="BW199" i="54"/>
  <c r="BX199" i="54"/>
  <c r="BY199" i="54"/>
  <c r="BZ199" i="54"/>
  <c r="CA199" i="54"/>
  <c r="CB199" i="54"/>
  <c r="CC199" i="54"/>
  <c r="CD199" i="54"/>
  <c r="CE199" i="54"/>
  <c r="CF199" i="54"/>
  <c r="CG199" i="54"/>
  <c r="CH199" i="54"/>
  <c r="CI199" i="54"/>
  <c r="CJ199" i="54"/>
  <c r="CK199" i="54"/>
  <c r="CL199" i="54"/>
  <c r="CM199" i="54"/>
  <c r="CN199" i="54"/>
  <c r="CO199" i="54"/>
  <c r="CP199" i="54"/>
  <c r="CQ199" i="54"/>
  <c r="CR199" i="54"/>
  <c r="CS199" i="54"/>
  <c r="CT199" i="54"/>
  <c r="CU199" i="54"/>
  <c r="CV199" i="54"/>
  <c r="CW199" i="54"/>
  <c r="CX199" i="54"/>
  <c r="BK200" i="54"/>
  <c r="BL200" i="54"/>
  <c r="BN200" i="54"/>
  <c r="BO200" i="54"/>
  <c r="BP200" i="54"/>
  <c r="BQ200" i="54"/>
  <c r="BR200" i="54"/>
  <c r="BS200" i="54"/>
  <c r="BT200" i="54"/>
  <c r="BU200" i="54"/>
  <c r="BV200" i="54"/>
  <c r="BW200" i="54"/>
  <c r="BX200" i="54"/>
  <c r="BY200" i="54"/>
  <c r="BZ200" i="54"/>
  <c r="CA200" i="54"/>
  <c r="CB200" i="54"/>
  <c r="CC200" i="54"/>
  <c r="CD200" i="54"/>
  <c r="CE200" i="54"/>
  <c r="CF200" i="54"/>
  <c r="CG200" i="54"/>
  <c r="CH200" i="54"/>
  <c r="CI200" i="54"/>
  <c r="CJ200" i="54"/>
  <c r="CK200" i="54"/>
  <c r="CL200" i="54"/>
  <c r="CM200" i="54"/>
  <c r="CN200" i="54"/>
  <c r="CO200" i="54"/>
  <c r="CP200" i="54"/>
  <c r="CQ200" i="54"/>
  <c r="CR200" i="54"/>
  <c r="CS200" i="54"/>
  <c r="CT200" i="54"/>
  <c r="CU200" i="54"/>
  <c r="CV200" i="54"/>
  <c r="CW200" i="54"/>
  <c r="CX200" i="54"/>
  <c r="BK201" i="54"/>
  <c r="BL201" i="54"/>
  <c r="BN201" i="54"/>
  <c r="BO201" i="54"/>
  <c r="BP201" i="54"/>
  <c r="BQ201" i="54"/>
  <c r="BR201" i="54"/>
  <c r="BS201" i="54"/>
  <c r="BT201" i="54"/>
  <c r="BU201" i="54"/>
  <c r="BV201" i="54"/>
  <c r="BW201" i="54"/>
  <c r="BX201" i="54"/>
  <c r="BY201" i="54"/>
  <c r="BZ201" i="54"/>
  <c r="CA201" i="54"/>
  <c r="CB201" i="54"/>
  <c r="CC201" i="54"/>
  <c r="CD201" i="54"/>
  <c r="CE201" i="54"/>
  <c r="CF201" i="54"/>
  <c r="CG201" i="54"/>
  <c r="CH201" i="54"/>
  <c r="CI201" i="54"/>
  <c r="CJ201" i="54"/>
  <c r="CK201" i="54"/>
  <c r="CL201" i="54"/>
  <c r="CM201" i="54"/>
  <c r="CN201" i="54"/>
  <c r="CO201" i="54"/>
  <c r="CP201" i="54"/>
  <c r="CQ201" i="54"/>
  <c r="CR201" i="54"/>
  <c r="CS201" i="54"/>
  <c r="CT201" i="54"/>
  <c r="CU201" i="54"/>
  <c r="CV201" i="54"/>
  <c r="CW201" i="54"/>
  <c r="CX201" i="54"/>
  <c r="BK202" i="54"/>
  <c r="BL202" i="54"/>
  <c r="BN202" i="54"/>
  <c r="BO202" i="54"/>
  <c r="BP202" i="54"/>
  <c r="BQ202" i="54"/>
  <c r="BR202" i="54"/>
  <c r="BS202" i="54"/>
  <c r="BT202" i="54"/>
  <c r="BU202" i="54"/>
  <c r="BV202" i="54"/>
  <c r="BW202" i="54"/>
  <c r="BX202" i="54"/>
  <c r="BY202" i="54"/>
  <c r="BZ202" i="54"/>
  <c r="CA202" i="54"/>
  <c r="CB202" i="54"/>
  <c r="CC202" i="54"/>
  <c r="CD202" i="54"/>
  <c r="CE202" i="54"/>
  <c r="CF202" i="54"/>
  <c r="CG202" i="54"/>
  <c r="CH202" i="54"/>
  <c r="CI202" i="54"/>
  <c r="CJ202" i="54"/>
  <c r="CK202" i="54"/>
  <c r="CL202" i="54"/>
  <c r="CM202" i="54"/>
  <c r="CN202" i="54"/>
  <c r="CO202" i="54"/>
  <c r="CP202" i="54"/>
  <c r="CQ202" i="54"/>
  <c r="CR202" i="54"/>
  <c r="CS202" i="54"/>
  <c r="CT202" i="54"/>
  <c r="CU202" i="54"/>
  <c r="CV202" i="54"/>
  <c r="CW202" i="54"/>
  <c r="CX202" i="54"/>
  <c r="BK203" i="54"/>
  <c r="BL203" i="54"/>
  <c r="BN203" i="54"/>
  <c r="BO203" i="54"/>
  <c r="BP203" i="54"/>
  <c r="BQ203" i="54"/>
  <c r="BR203" i="54"/>
  <c r="BS203" i="54"/>
  <c r="BT203" i="54"/>
  <c r="BU203" i="54"/>
  <c r="BV203" i="54"/>
  <c r="BW203" i="54"/>
  <c r="BX203" i="54"/>
  <c r="BY203" i="54"/>
  <c r="BZ203" i="54"/>
  <c r="CA203" i="54"/>
  <c r="CB203" i="54"/>
  <c r="CC203" i="54"/>
  <c r="CD203" i="54"/>
  <c r="CE203" i="54"/>
  <c r="CF203" i="54"/>
  <c r="CG203" i="54"/>
  <c r="CH203" i="54"/>
  <c r="CI203" i="54"/>
  <c r="CJ203" i="54"/>
  <c r="CK203" i="54"/>
  <c r="CL203" i="54"/>
  <c r="CM203" i="54"/>
  <c r="CN203" i="54"/>
  <c r="CO203" i="54"/>
  <c r="CP203" i="54"/>
  <c r="CQ203" i="54"/>
  <c r="CR203" i="54"/>
  <c r="CS203" i="54"/>
  <c r="CT203" i="54"/>
  <c r="CU203" i="54"/>
  <c r="CV203" i="54"/>
  <c r="CW203" i="54"/>
  <c r="CX203" i="54"/>
  <c r="CF203" i="21"/>
  <c r="BK204" i="54"/>
  <c r="BL204" i="54"/>
  <c r="BN204" i="54"/>
  <c r="BO204" i="54"/>
  <c r="BP204" i="54"/>
  <c r="BQ204" i="54"/>
  <c r="BR204" i="54"/>
  <c r="BS204" i="54"/>
  <c r="BT204" i="54"/>
  <c r="BU204" i="54"/>
  <c r="BV204" i="54"/>
  <c r="BW204" i="54"/>
  <c r="BX204" i="54"/>
  <c r="BY204" i="54"/>
  <c r="BZ204" i="54"/>
  <c r="CA204" i="54"/>
  <c r="CB204" i="54"/>
  <c r="CC204" i="54"/>
  <c r="CD204" i="54"/>
  <c r="CE204" i="54"/>
  <c r="CF204" i="54"/>
  <c r="CG204" i="54"/>
  <c r="CH204" i="54"/>
  <c r="CI204" i="54"/>
  <c r="CJ204" i="54"/>
  <c r="CK204" i="54"/>
  <c r="CL204" i="54"/>
  <c r="CM204" i="54"/>
  <c r="CN204" i="54"/>
  <c r="CO204" i="54"/>
  <c r="CP204" i="54"/>
  <c r="CQ204" i="54"/>
  <c r="CR204" i="54"/>
  <c r="CS204" i="54"/>
  <c r="CT204" i="54"/>
  <c r="CU204" i="54"/>
  <c r="CV204" i="54"/>
  <c r="CW204" i="54"/>
  <c r="CX204" i="54"/>
  <c r="BK205" i="54"/>
  <c r="BL205" i="54"/>
  <c r="BN205" i="54"/>
  <c r="BO205" i="54"/>
  <c r="BP205" i="54"/>
  <c r="BQ205" i="54"/>
  <c r="BR205" i="54"/>
  <c r="BS205" i="54"/>
  <c r="BT205" i="54"/>
  <c r="BU205" i="54"/>
  <c r="BV205" i="54"/>
  <c r="BW205" i="54"/>
  <c r="BX205" i="54"/>
  <c r="BY205" i="54"/>
  <c r="BZ205" i="54"/>
  <c r="CA205" i="54"/>
  <c r="CB205" i="54"/>
  <c r="CC205" i="54"/>
  <c r="CD205" i="54"/>
  <c r="CE205" i="54"/>
  <c r="CF205" i="54"/>
  <c r="CG205" i="54"/>
  <c r="CH205" i="54"/>
  <c r="CI205" i="54"/>
  <c r="CJ205" i="54"/>
  <c r="CK205" i="54"/>
  <c r="CL205" i="54"/>
  <c r="CM205" i="54"/>
  <c r="CN205" i="54"/>
  <c r="CO205" i="54"/>
  <c r="CP205" i="54"/>
  <c r="CQ205" i="54"/>
  <c r="CR205" i="54"/>
  <c r="CS205" i="54"/>
  <c r="CT205" i="54"/>
  <c r="CU205" i="54"/>
  <c r="CV205" i="54"/>
  <c r="CW205" i="54"/>
  <c r="CX205" i="54"/>
  <c r="BK206" i="54"/>
  <c r="BL206" i="54"/>
  <c r="BN206" i="54"/>
  <c r="BO206" i="54"/>
  <c r="BP206" i="54"/>
  <c r="BQ206" i="54"/>
  <c r="BR206" i="54"/>
  <c r="BS206" i="54"/>
  <c r="BT206" i="54"/>
  <c r="BU206" i="54"/>
  <c r="BV206" i="54"/>
  <c r="BW206" i="54"/>
  <c r="BX206" i="54"/>
  <c r="BY206" i="54"/>
  <c r="BZ206" i="54"/>
  <c r="CA206" i="54"/>
  <c r="CB206" i="54"/>
  <c r="CC206" i="54"/>
  <c r="CD206" i="54"/>
  <c r="CE206" i="54"/>
  <c r="CF206" i="54"/>
  <c r="CG206" i="54"/>
  <c r="CH206" i="54"/>
  <c r="CI206" i="54"/>
  <c r="CJ206" i="54"/>
  <c r="CK206" i="54"/>
  <c r="CL206" i="54"/>
  <c r="CM206" i="54"/>
  <c r="CN206" i="54"/>
  <c r="CO206" i="54"/>
  <c r="CP206" i="54"/>
  <c r="CQ206" i="54"/>
  <c r="CR206" i="54"/>
  <c r="CS206" i="54"/>
  <c r="CT206" i="54"/>
  <c r="CU206" i="54"/>
  <c r="CV206" i="54"/>
  <c r="CW206" i="54"/>
  <c r="CX206" i="54"/>
  <c r="BK207" i="54"/>
  <c r="BL207" i="54"/>
  <c r="BN207" i="54"/>
  <c r="BO207" i="54"/>
  <c r="BP207" i="54"/>
  <c r="BQ207" i="54"/>
  <c r="BR207" i="54"/>
  <c r="BS207" i="54"/>
  <c r="BT207" i="54"/>
  <c r="BU207" i="54"/>
  <c r="BV207" i="54"/>
  <c r="BW207" i="54"/>
  <c r="BX207" i="54"/>
  <c r="BY207" i="54"/>
  <c r="BZ207" i="54"/>
  <c r="CA207" i="54"/>
  <c r="CB207" i="54"/>
  <c r="CC207" i="54"/>
  <c r="CD207" i="54"/>
  <c r="CE207" i="54"/>
  <c r="CF207" i="54"/>
  <c r="CG207" i="54"/>
  <c r="CH207" i="54"/>
  <c r="CI207" i="54"/>
  <c r="CJ207" i="54"/>
  <c r="CK207" i="54"/>
  <c r="CL207" i="54"/>
  <c r="CM207" i="54"/>
  <c r="CN207" i="54"/>
  <c r="CO207" i="54"/>
  <c r="CP207" i="54"/>
  <c r="CQ207" i="54"/>
  <c r="CR207" i="54"/>
  <c r="CS207" i="54"/>
  <c r="CT207" i="54"/>
  <c r="CU207" i="54"/>
  <c r="CV207" i="54"/>
  <c r="CW207" i="54"/>
  <c r="CX207" i="54"/>
  <c r="CF207" i="21"/>
  <c r="CG207" i="21"/>
  <c r="BK208" i="54"/>
  <c r="BL208" i="54"/>
  <c r="BN208" i="54"/>
  <c r="BO208" i="54"/>
  <c r="BP208" i="54"/>
  <c r="BQ208" i="54"/>
  <c r="BR208" i="54"/>
  <c r="BS208" i="54"/>
  <c r="BT208" i="54"/>
  <c r="BU208" i="54"/>
  <c r="BV208" i="54"/>
  <c r="BW208" i="54"/>
  <c r="BX208" i="54"/>
  <c r="BY208" i="54"/>
  <c r="BZ208" i="54"/>
  <c r="CA208" i="54"/>
  <c r="CB208" i="54"/>
  <c r="CC208" i="54"/>
  <c r="CD208" i="54"/>
  <c r="CE208" i="54"/>
  <c r="CF208" i="54"/>
  <c r="CG208" i="54"/>
  <c r="CH208" i="54"/>
  <c r="CI208" i="54"/>
  <c r="CJ208" i="54"/>
  <c r="CK208" i="54"/>
  <c r="CL208" i="54"/>
  <c r="CM208" i="54"/>
  <c r="CN208" i="54"/>
  <c r="CO208" i="54"/>
  <c r="CP208" i="54"/>
  <c r="CQ208" i="54"/>
  <c r="CR208" i="54"/>
  <c r="CS208" i="54"/>
  <c r="CT208" i="54"/>
  <c r="CU208" i="54"/>
  <c r="CV208" i="54"/>
  <c r="CW208" i="54"/>
  <c r="CX208" i="54"/>
  <c r="CF208" i="21"/>
  <c r="CG208" i="21"/>
  <c r="BK209" i="54"/>
  <c r="BL209" i="54"/>
  <c r="BN209" i="54"/>
  <c r="BO209" i="54"/>
  <c r="BP209" i="54"/>
  <c r="BQ209" i="54"/>
  <c r="BR209" i="54"/>
  <c r="BS209" i="54"/>
  <c r="BT209" i="54"/>
  <c r="BU209" i="54"/>
  <c r="BV209" i="54"/>
  <c r="BW209" i="54"/>
  <c r="BX209" i="54"/>
  <c r="BY209" i="54"/>
  <c r="BZ209" i="54"/>
  <c r="CA209" i="54"/>
  <c r="CB209" i="54"/>
  <c r="CC209" i="54"/>
  <c r="CD209" i="54"/>
  <c r="CE209" i="54"/>
  <c r="CF209" i="54"/>
  <c r="CG209" i="54"/>
  <c r="CH209" i="54"/>
  <c r="CI209" i="54"/>
  <c r="CJ209" i="54"/>
  <c r="CK209" i="54"/>
  <c r="CL209" i="54"/>
  <c r="CM209" i="54"/>
  <c r="CN209" i="54"/>
  <c r="CO209" i="54"/>
  <c r="CP209" i="54"/>
  <c r="CQ209" i="54"/>
  <c r="CR209" i="54"/>
  <c r="CS209" i="54"/>
  <c r="CT209" i="54"/>
  <c r="CU209" i="54"/>
  <c r="CV209" i="54"/>
  <c r="CW209" i="54"/>
  <c r="CX209" i="54"/>
  <c r="BK210" i="54"/>
  <c r="BL210" i="54"/>
  <c r="BN210" i="54"/>
  <c r="BO210" i="54"/>
  <c r="BP210" i="54"/>
  <c r="BQ210" i="54"/>
  <c r="BR210" i="54"/>
  <c r="BS210" i="54"/>
  <c r="BT210" i="54"/>
  <c r="BU210" i="54"/>
  <c r="BV210" i="54"/>
  <c r="BW210" i="54"/>
  <c r="BX210" i="54"/>
  <c r="BY210" i="54"/>
  <c r="BZ210" i="54"/>
  <c r="CA210" i="54"/>
  <c r="CB210" i="54"/>
  <c r="CC210" i="54"/>
  <c r="CD210" i="54"/>
  <c r="CE210" i="54"/>
  <c r="CF210" i="54"/>
  <c r="CG210" i="54"/>
  <c r="CH210" i="54"/>
  <c r="CI210" i="54"/>
  <c r="CJ210" i="54"/>
  <c r="CK210" i="54"/>
  <c r="CL210" i="54"/>
  <c r="CM210" i="54"/>
  <c r="CN210" i="54"/>
  <c r="CO210" i="54"/>
  <c r="CP210" i="54"/>
  <c r="CQ210" i="54"/>
  <c r="CR210" i="54"/>
  <c r="CS210" i="54"/>
  <c r="CT210" i="54"/>
  <c r="CU210" i="54"/>
  <c r="CV210" i="54"/>
  <c r="CW210" i="54"/>
  <c r="CX210" i="54"/>
  <c r="BK211" i="54"/>
  <c r="BL211" i="54"/>
  <c r="BN211" i="54"/>
  <c r="BO211" i="54"/>
  <c r="BP211" i="54"/>
  <c r="BQ211" i="54"/>
  <c r="BR211" i="54"/>
  <c r="BS211" i="54"/>
  <c r="BT211" i="54"/>
  <c r="BU211" i="54"/>
  <c r="BV211" i="54"/>
  <c r="BW211" i="54"/>
  <c r="BX211" i="54"/>
  <c r="BY211" i="54"/>
  <c r="BZ211" i="54"/>
  <c r="CA211" i="54"/>
  <c r="CB211" i="54"/>
  <c r="CC211" i="54"/>
  <c r="CD211" i="54"/>
  <c r="CE211" i="54"/>
  <c r="CF211" i="54"/>
  <c r="CG211" i="54"/>
  <c r="CH211" i="54"/>
  <c r="CI211" i="54"/>
  <c r="CJ211" i="54"/>
  <c r="CK211" i="54"/>
  <c r="CL211" i="54"/>
  <c r="CM211" i="54"/>
  <c r="CN211" i="54"/>
  <c r="CO211" i="54"/>
  <c r="CP211" i="54"/>
  <c r="CQ211" i="54"/>
  <c r="CR211" i="54"/>
  <c r="CS211" i="54"/>
  <c r="CT211" i="54"/>
  <c r="CU211" i="54"/>
  <c r="CV211" i="54"/>
  <c r="CW211" i="54"/>
  <c r="CX211" i="54"/>
  <c r="BK212" i="54"/>
  <c r="BL212" i="54"/>
  <c r="BN212" i="54"/>
  <c r="BO212" i="54"/>
  <c r="BP212" i="54"/>
  <c r="BQ212" i="54"/>
  <c r="BR212" i="54"/>
  <c r="BS212" i="54"/>
  <c r="BT212" i="54"/>
  <c r="BU212" i="54"/>
  <c r="BV212" i="54"/>
  <c r="BW212" i="54"/>
  <c r="BX212" i="54"/>
  <c r="BY212" i="54"/>
  <c r="BZ212" i="54"/>
  <c r="CA212" i="54"/>
  <c r="CB212" i="54"/>
  <c r="CC212" i="54"/>
  <c r="CD212" i="54"/>
  <c r="CE212" i="54"/>
  <c r="CF212" i="54"/>
  <c r="CG212" i="54"/>
  <c r="CH212" i="54"/>
  <c r="CI212" i="54"/>
  <c r="CJ212" i="54"/>
  <c r="CK212" i="54"/>
  <c r="CL212" i="54"/>
  <c r="CM212" i="54"/>
  <c r="CN212" i="54"/>
  <c r="CO212" i="54"/>
  <c r="CP212" i="54"/>
  <c r="CQ212" i="54"/>
  <c r="CR212" i="54"/>
  <c r="CS212" i="54"/>
  <c r="CT212" i="54"/>
  <c r="CU212" i="54"/>
  <c r="CV212" i="54"/>
  <c r="CW212" i="54"/>
  <c r="CX212" i="54"/>
  <c r="BK213" i="54"/>
  <c r="BL213" i="54"/>
  <c r="BN213" i="54"/>
  <c r="BO213" i="54"/>
  <c r="BP213" i="54"/>
  <c r="BQ213" i="54"/>
  <c r="BR213" i="54"/>
  <c r="BS213" i="54"/>
  <c r="BT213" i="54"/>
  <c r="BU213" i="54"/>
  <c r="BV213" i="54"/>
  <c r="BW213" i="54"/>
  <c r="BX213" i="54"/>
  <c r="BY213" i="54"/>
  <c r="BZ213" i="54"/>
  <c r="CA213" i="54"/>
  <c r="CB213" i="54"/>
  <c r="CC213" i="54"/>
  <c r="CD213" i="54"/>
  <c r="CE213" i="54"/>
  <c r="CF213" i="54"/>
  <c r="CG213" i="54"/>
  <c r="CH213" i="54"/>
  <c r="CI213" i="54"/>
  <c r="CJ213" i="54"/>
  <c r="CK213" i="54"/>
  <c r="CL213" i="54"/>
  <c r="CM213" i="54"/>
  <c r="CN213" i="54"/>
  <c r="CO213" i="54"/>
  <c r="CP213" i="54"/>
  <c r="CQ213" i="54"/>
  <c r="CR213" i="54"/>
  <c r="CS213" i="54"/>
  <c r="CT213" i="54"/>
  <c r="CU213" i="54"/>
  <c r="CV213" i="54"/>
  <c r="CW213" i="54"/>
  <c r="CX213" i="54"/>
  <c r="CG213" i="21"/>
  <c r="BK214" i="54"/>
  <c r="BL214" i="54"/>
  <c r="BN214" i="54"/>
  <c r="BO214" i="54"/>
  <c r="BP214" i="54"/>
  <c r="BQ214" i="54"/>
  <c r="BR214" i="54"/>
  <c r="BS214" i="54"/>
  <c r="BT214" i="54"/>
  <c r="BU214" i="54"/>
  <c r="BV214" i="54"/>
  <c r="BW214" i="54"/>
  <c r="BX214" i="54"/>
  <c r="BY214" i="54"/>
  <c r="BZ214" i="54"/>
  <c r="CA214" i="54"/>
  <c r="CB214" i="54"/>
  <c r="CC214" i="54"/>
  <c r="CD214" i="54"/>
  <c r="CE214" i="54"/>
  <c r="CF214" i="54"/>
  <c r="CG214" i="54"/>
  <c r="CH214" i="54"/>
  <c r="CI214" i="54"/>
  <c r="CJ214" i="54"/>
  <c r="CK214" i="54"/>
  <c r="CL214" i="54"/>
  <c r="CM214" i="54"/>
  <c r="CN214" i="54"/>
  <c r="CO214" i="54"/>
  <c r="CP214" i="54"/>
  <c r="CQ214" i="54"/>
  <c r="CR214" i="54"/>
  <c r="CS214" i="54"/>
  <c r="CT214" i="54"/>
  <c r="CU214" i="54"/>
  <c r="CV214" i="54"/>
  <c r="CW214" i="54"/>
  <c r="CX214" i="54"/>
  <c r="CI214" i="21"/>
  <c r="BK215" i="54"/>
  <c r="BL215" i="54"/>
  <c r="BN215" i="54"/>
  <c r="BO215" i="54"/>
  <c r="BP215" i="54"/>
  <c r="BQ215" i="54"/>
  <c r="BR215" i="54"/>
  <c r="BS215" i="54"/>
  <c r="BT215" i="54"/>
  <c r="BU215" i="54"/>
  <c r="BV215" i="54"/>
  <c r="BW215" i="54"/>
  <c r="BX215" i="54"/>
  <c r="BY215" i="54"/>
  <c r="BZ215" i="54"/>
  <c r="CA215" i="54"/>
  <c r="CB215" i="54"/>
  <c r="CC215" i="54"/>
  <c r="CD215" i="54"/>
  <c r="CE215" i="54"/>
  <c r="CF215" i="54"/>
  <c r="CG215" i="54"/>
  <c r="CH215" i="54"/>
  <c r="CI215" i="54"/>
  <c r="CJ215" i="54"/>
  <c r="CK215" i="54"/>
  <c r="CL215" i="54"/>
  <c r="CM215" i="54"/>
  <c r="CN215" i="54"/>
  <c r="CO215" i="54"/>
  <c r="CP215" i="54"/>
  <c r="CQ215" i="54"/>
  <c r="CR215" i="54"/>
  <c r="CS215" i="54"/>
  <c r="CT215" i="54"/>
  <c r="CU215" i="54"/>
  <c r="CV215" i="54"/>
  <c r="CW215" i="54"/>
  <c r="CX215" i="54"/>
  <c r="CG215" i="21"/>
  <c r="BK218" i="54"/>
  <c r="BL218" i="54"/>
  <c r="BN218" i="54"/>
  <c r="BO218" i="54"/>
  <c r="BP218" i="54"/>
  <c r="BQ218" i="54"/>
  <c r="BR218" i="54"/>
  <c r="BS218" i="54"/>
  <c r="BT218" i="54"/>
  <c r="BU218" i="54"/>
  <c r="BV218" i="54"/>
  <c r="BW218" i="54"/>
  <c r="BX218" i="54"/>
  <c r="BY218" i="54"/>
  <c r="BZ218" i="54"/>
  <c r="CA218" i="54"/>
  <c r="CB218" i="54"/>
  <c r="CC218" i="54"/>
  <c r="CD218" i="54"/>
  <c r="CE218" i="54"/>
  <c r="CF218" i="54"/>
  <c r="CG218" i="54"/>
  <c r="CH218" i="54"/>
  <c r="CI218" i="54"/>
  <c r="CJ218" i="54"/>
  <c r="CK218" i="54"/>
  <c r="CL218" i="54"/>
  <c r="CM218" i="54"/>
  <c r="CN218" i="54"/>
  <c r="CO218" i="54"/>
  <c r="CP218" i="54"/>
  <c r="CQ218" i="54"/>
  <c r="CR218" i="54"/>
  <c r="CS218" i="54"/>
  <c r="CT218" i="54"/>
  <c r="CU218" i="54"/>
  <c r="CV218" i="54"/>
  <c r="CW218" i="54"/>
  <c r="CX218" i="54"/>
  <c r="BK219" i="54"/>
  <c r="BL219" i="54"/>
  <c r="BN219" i="54"/>
  <c r="BO219" i="54"/>
  <c r="BP219" i="54"/>
  <c r="BQ219" i="54"/>
  <c r="BR219" i="54"/>
  <c r="BS219" i="54"/>
  <c r="BT219" i="54"/>
  <c r="BU219" i="54"/>
  <c r="BV219" i="54"/>
  <c r="BW219" i="54"/>
  <c r="BX219" i="54"/>
  <c r="BY219" i="54"/>
  <c r="BZ219" i="54"/>
  <c r="CA219" i="54"/>
  <c r="CB219" i="54"/>
  <c r="CC219" i="54"/>
  <c r="CD219" i="54"/>
  <c r="CE219" i="54"/>
  <c r="CF219" i="54"/>
  <c r="CG219" i="54"/>
  <c r="CH219" i="54"/>
  <c r="CI219" i="54"/>
  <c r="CJ219" i="54"/>
  <c r="CK219" i="54"/>
  <c r="CL219" i="54"/>
  <c r="CM219" i="54"/>
  <c r="CN219" i="54"/>
  <c r="CO219" i="54"/>
  <c r="CP219" i="54"/>
  <c r="CQ219" i="54"/>
  <c r="CR219" i="54"/>
  <c r="CS219" i="54"/>
  <c r="CT219" i="54"/>
  <c r="CU219" i="54"/>
  <c r="CV219" i="54"/>
  <c r="CW219" i="54"/>
  <c r="CX219" i="54"/>
  <c r="BK220" i="54"/>
  <c r="BL220" i="54"/>
  <c r="BN220" i="54"/>
  <c r="BO220" i="54"/>
  <c r="BP220" i="54"/>
  <c r="BQ220" i="54"/>
  <c r="BR220" i="54"/>
  <c r="BS220" i="54"/>
  <c r="BT220" i="54"/>
  <c r="BU220" i="54"/>
  <c r="BV220" i="54"/>
  <c r="BW220" i="54"/>
  <c r="BX220" i="54"/>
  <c r="BY220" i="54"/>
  <c r="BZ220" i="54"/>
  <c r="CA220" i="54"/>
  <c r="CB220" i="54"/>
  <c r="CC220" i="54"/>
  <c r="CD220" i="54"/>
  <c r="CE220" i="54"/>
  <c r="CF220" i="54"/>
  <c r="CG220" i="54"/>
  <c r="CH220" i="54"/>
  <c r="CI220" i="54"/>
  <c r="CJ220" i="54"/>
  <c r="CK220" i="54"/>
  <c r="CL220" i="54"/>
  <c r="CM220" i="54"/>
  <c r="CN220" i="54"/>
  <c r="CO220" i="54"/>
  <c r="CP220" i="54"/>
  <c r="CQ220" i="54"/>
  <c r="CR220" i="54"/>
  <c r="CS220" i="54"/>
  <c r="CT220" i="54"/>
  <c r="CU220" i="54"/>
  <c r="CV220" i="54"/>
  <c r="CW220" i="54"/>
  <c r="CX220" i="54"/>
  <c r="CG220" i="21"/>
  <c r="BK221" i="54"/>
  <c r="BL221" i="54"/>
  <c r="BN221" i="54"/>
  <c r="BO221" i="54"/>
  <c r="BP221" i="54"/>
  <c r="BQ221" i="54"/>
  <c r="BR221" i="54"/>
  <c r="BS221" i="54"/>
  <c r="BT221" i="54"/>
  <c r="BU221" i="54"/>
  <c r="BV221" i="54"/>
  <c r="BW221" i="54"/>
  <c r="BX221" i="54"/>
  <c r="BY221" i="54"/>
  <c r="BZ221" i="54"/>
  <c r="CA221" i="54"/>
  <c r="CB221" i="54"/>
  <c r="CC221" i="54"/>
  <c r="CD221" i="54"/>
  <c r="CE221" i="54"/>
  <c r="CF221" i="54"/>
  <c r="CG221" i="54"/>
  <c r="CH221" i="54"/>
  <c r="CI221" i="54"/>
  <c r="CJ221" i="54"/>
  <c r="CK221" i="54"/>
  <c r="CL221" i="54"/>
  <c r="CM221" i="54"/>
  <c r="CN221" i="54"/>
  <c r="CO221" i="54"/>
  <c r="CP221" i="54"/>
  <c r="CQ221" i="54"/>
  <c r="CR221" i="54"/>
  <c r="CS221" i="54"/>
  <c r="CT221" i="54"/>
  <c r="CU221" i="54"/>
  <c r="CV221" i="54"/>
  <c r="CW221" i="54"/>
  <c r="CX221" i="54"/>
  <c r="CG221" i="21"/>
  <c r="BK222" i="54"/>
  <c r="BL222" i="54"/>
  <c r="BN222" i="54"/>
  <c r="BO222" i="54"/>
  <c r="BP222" i="54"/>
  <c r="BQ222" i="54"/>
  <c r="BR222" i="54"/>
  <c r="BS222" i="54"/>
  <c r="BT222" i="54"/>
  <c r="BU222" i="54"/>
  <c r="BV222" i="54"/>
  <c r="BW222" i="54"/>
  <c r="BX222" i="54"/>
  <c r="BY222" i="54"/>
  <c r="BZ222" i="54"/>
  <c r="CA222" i="54"/>
  <c r="CB222" i="54"/>
  <c r="CC222" i="54"/>
  <c r="CD222" i="54"/>
  <c r="CE222" i="54"/>
  <c r="CF222" i="54"/>
  <c r="CG222" i="54"/>
  <c r="CH222" i="54"/>
  <c r="CI222" i="54"/>
  <c r="CJ222" i="54"/>
  <c r="CK222" i="54"/>
  <c r="CL222" i="54"/>
  <c r="CM222" i="54"/>
  <c r="CN222" i="54"/>
  <c r="CO222" i="54"/>
  <c r="CP222" i="54"/>
  <c r="CQ222" i="54"/>
  <c r="CR222" i="54"/>
  <c r="CS222" i="54"/>
  <c r="CT222" i="54"/>
  <c r="CU222" i="54"/>
  <c r="CV222" i="54"/>
  <c r="CW222" i="54"/>
  <c r="CX222" i="54"/>
  <c r="CG222" i="21"/>
  <c r="BK223" i="54"/>
  <c r="BL223" i="54"/>
  <c r="BN223" i="54"/>
  <c r="BO223" i="54"/>
  <c r="BP223" i="54"/>
  <c r="BQ223" i="54"/>
  <c r="BR223" i="54"/>
  <c r="BS223" i="54"/>
  <c r="BT223" i="54"/>
  <c r="BU223" i="54"/>
  <c r="BV223" i="54"/>
  <c r="BW223" i="54"/>
  <c r="BX223" i="54"/>
  <c r="BY223" i="54"/>
  <c r="BZ223" i="54"/>
  <c r="CA223" i="54"/>
  <c r="CB223" i="54"/>
  <c r="CC223" i="54"/>
  <c r="CD223" i="54"/>
  <c r="CE223" i="54"/>
  <c r="CF223" i="54"/>
  <c r="CG223" i="54"/>
  <c r="CH223" i="54"/>
  <c r="CI223" i="54"/>
  <c r="CJ223" i="54"/>
  <c r="CK223" i="54"/>
  <c r="CL223" i="54"/>
  <c r="CM223" i="54"/>
  <c r="CN223" i="54"/>
  <c r="CO223" i="54"/>
  <c r="CP223" i="54"/>
  <c r="CQ223" i="54"/>
  <c r="CR223" i="54"/>
  <c r="CS223" i="54"/>
  <c r="CT223" i="54"/>
  <c r="CU223" i="54"/>
  <c r="CV223" i="54"/>
  <c r="CW223" i="54"/>
  <c r="CX223" i="54"/>
  <c r="BK224" i="54"/>
  <c r="BL224" i="54"/>
  <c r="BN224" i="54"/>
  <c r="BO224" i="54"/>
  <c r="BP224" i="54"/>
  <c r="BQ224" i="54"/>
  <c r="BR224" i="54"/>
  <c r="BS224" i="54"/>
  <c r="BT224" i="54"/>
  <c r="BU224" i="54"/>
  <c r="BV224" i="54"/>
  <c r="BW224" i="54"/>
  <c r="BX224" i="54"/>
  <c r="BY224" i="54"/>
  <c r="BZ224" i="54"/>
  <c r="CA224" i="54"/>
  <c r="CB224" i="54"/>
  <c r="CC224" i="54"/>
  <c r="CD224" i="54"/>
  <c r="CE224" i="54"/>
  <c r="CF224" i="54"/>
  <c r="CG224" i="54"/>
  <c r="CH224" i="54"/>
  <c r="CI224" i="54"/>
  <c r="CJ224" i="54"/>
  <c r="CK224" i="54"/>
  <c r="CL224" i="54"/>
  <c r="CM224" i="54"/>
  <c r="CN224" i="54"/>
  <c r="CO224" i="54"/>
  <c r="CP224" i="54"/>
  <c r="CQ224" i="54"/>
  <c r="CR224" i="54"/>
  <c r="CS224" i="54"/>
  <c r="CT224" i="54"/>
  <c r="CU224" i="54"/>
  <c r="CV224" i="54"/>
  <c r="CW224" i="54"/>
  <c r="CX224" i="54"/>
  <c r="BK225" i="54"/>
  <c r="BL225" i="54"/>
  <c r="BN225" i="54"/>
  <c r="BO225" i="54"/>
  <c r="BP225" i="54"/>
  <c r="BQ225" i="54"/>
  <c r="BR225" i="54"/>
  <c r="BS225" i="54"/>
  <c r="BT225" i="54"/>
  <c r="BU225" i="54"/>
  <c r="BV225" i="54"/>
  <c r="BW225" i="54"/>
  <c r="BX225" i="54"/>
  <c r="BY225" i="54"/>
  <c r="BZ225" i="54"/>
  <c r="CA225" i="54"/>
  <c r="CB225" i="54"/>
  <c r="CC225" i="54"/>
  <c r="CD225" i="54"/>
  <c r="CE225" i="54"/>
  <c r="CF225" i="54"/>
  <c r="CG225" i="54"/>
  <c r="CH225" i="54"/>
  <c r="CI225" i="54"/>
  <c r="CJ225" i="54"/>
  <c r="CK225" i="54"/>
  <c r="CL225" i="54"/>
  <c r="CM225" i="54"/>
  <c r="CN225" i="54"/>
  <c r="CO225" i="54"/>
  <c r="CP225" i="54"/>
  <c r="CQ225" i="54"/>
  <c r="CR225" i="54"/>
  <c r="CS225" i="54"/>
  <c r="CT225" i="54"/>
  <c r="CU225" i="54"/>
  <c r="CV225" i="54"/>
  <c r="CW225" i="54"/>
  <c r="CX225" i="54"/>
  <c r="BK226" i="54"/>
  <c r="BL226" i="54"/>
  <c r="BN226" i="54"/>
  <c r="BO226" i="54"/>
  <c r="BP226" i="54"/>
  <c r="BQ226" i="54"/>
  <c r="BR226" i="54"/>
  <c r="BS226" i="54"/>
  <c r="BT226" i="54"/>
  <c r="BU226" i="54"/>
  <c r="BV226" i="54"/>
  <c r="BW226" i="54"/>
  <c r="BX226" i="54"/>
  <c r="BY226" i="54"/>
  <c r="BZ226" i="54"/>
  <c r="CA226" i="54"/>
  <c r="CB226" i="54"/>
  <c r="CC226" i="54"/>
  <c r="CD226" i="54"/>
  <c r="CE226" i="54"/>
  <c r="CF226" i="54"/>
  <c r="CG226" i="54"/>
  <c r="CH226" i="54"/>
  <c r="CI226" i="54"/>
  <c r="CJ226" i="54"/>
  <c r="CK226" i="54"/>
  <c r="CL226" i="54"/>
  <c r="CM226" i="54"/>
  <c r="CN226" i="54"/>
  <c r="CO226" i="54"/>
  <c r="CP226" i="54"/>
  <c r="CQ226" i="54"/>
  <c r="CR226" i="54"/>
  <c r="CS226" i="54"/>
  <c r="CT226" i="54"/>
  <c r="CU226" i="54"/>
  <c r="CV226" i="54"/>
  <c r="CW226" i="54"/>
  <c r="CX226" i="54"/>
  <c r="BK227" i="54"/>
  <c r="BL227" i="54"/>
  <c r="BN227" i="54"/>
  <c r="BO227" i="54"/>
  <c r="BP227" i="54"/>
  <c r="BQ227" i="54"/>
  <c r="BR227" i="54"/>
  <c r="BS227" i="54"/>
  <c r="BT227" i="54"/>
  <c r="BU227" i="54"/>
  <c r="BV227" i="54"/>
  <c r="BW227" i="54"/>
  <c r="BX227" i="54"/>
  <c r="BY227" i="54"/>
  <c r="BZ227" i="54"/>
  <c r="CA227" i="54"/>
  <c r="CB227" i="54"/>
  <c r="CC227" i="54"/>
  <c r="CD227" i="54"/>
  <c r="CE227" i="54"/>
  <c r="CF227" i="54"/>
  <c r="CG227" i="54"/>
  <c r="CH227" i="54"/>
  <c r="CI227" i="54"/>
  <c r="CJ227" i="54"/>
  <c r="CK227" i="54"/>
  <c r="CL227" i="54"/>
  <c r="CM227" i="54"/>
  <c r="CN227" i="54"/>
  <c r="CO227" i="54"/>
  <c r="CP227" i="54"/>
  <c r="CQ227" i="54"/>
  <c r="CR227" i="54"/>
  <c r="CS227" i="54"/>
  <c r="CT227" i="54"/>
  <c r="CU227" i="54"/>
  <c r="CV227" i="54"/>
  <c r="CW227" i="54"/>
  <c r="CX227" i="54"/>
  <c r="CI227" i="21"/>
  <c r="BK228" i="54"/>
  <c r="BL228" i="54"/>
  <c r="BN228" i="54"/>
  <c r="BO228" i="54"/>
  <c r="BP228" i="54"/>
  <c r="BQ228" i="54"/>
  <c r="BR228" i="54"/>
  <c r="BS228" i="54"/>
  <c r="BT228" i="54"/>
  <c r="BU228" i="54"/>
  <c r="BV228" i="54"/>
  <c r="BW228" i="54"/>
  <c r="BX228" i="54"/>
  <c r="BY228" i="54"/>
  <c r="BZ228" i="54"/>
  <c r="CA228" i="54"/>
  <c r="CB228" i="54"/>
  <c r="CC228" i="54"/>
  <c r="CD228" i="54"/>
  <c r="CE228" i="54"/>
  <c r="CF228" i="54"/>
  <c r="CG228" i="54"/>
  <c r="CH228" i="54"/>
  <c r="CI228" i="54"/>
  <c r="CJ228" i="54"/>
  <c r="CK228" i="54"/>
  <c r="CL228" i="54"/>
  <c r="CM228" i="54"/>
  <c r="CN228" i="54"/>
  <c r="CO228" i="54"/>
  <c r="CP228" i="54"/>
  <c r="CQ228" i="54"/>
  <c r="CR228" i="54"/>
  <c r="CS228" i="54"/>
  <c r="CT228" i="54"/>
  <c r="CU228" i="54"/>
  <c r="CV228" i="54"/>
  <c r="CW228" i="54"/>
  <c r="CX228" i="54"/>
  <c r="CG228" i="21"/>
  <c r="BK229" i="54"/>
  <c r="BL229" i="54"/>
  <c r="BN229" i="54"/>
  <c r="BO229" i="54"/>
  <c r="BP229" i="54"/>
  <c r="BQ229" i="54"/>
  <c r="BR229" i="54"/>
  <c r="BS229" i="54"/>
  <c r="BT229" i="54"/>
  <c r="BU229" i="54"/>
  <c r="BV229" i="54"/>
  <c r="BW229" i="54"/>
  <c r="BX229" i="54"/>
  <c r="BY229" i="54"/>
  <c r="BZ229" i="54"/>
  <c r="CA229" i="54"/>
  <c r="CB229" i="54"/>
  <c r="CC229" i="54"/>
  <c r="CD229" i="54"/>
  <c r="CE229" i="54"/>
  <c r="CF229" i="54"/>
  <c r="CG229" i="54"/>
  <c r="CH229" i="54"/>
  <c r="CI229" i="54"/>
  <c r="CJ229" i="54"/>
  <c r="CK229" i="54"/>
  <c r="CL229" i="54"/>
  <c r="CM229" i="54"/>
  <c r="CN229" i="54"/>
  <c r="CO229" i="54"/>
  <c r="CP229" i="54"/>
  <c r="CQ229" i="54"/>
  <c r="CR229" i="54"/>
  <c r="CS229" i="54"/>
  <c r="CT229" i="54"/>
  <c r="CU229" i="54"/>
  <c r="CV229" i="54"/>
  <c r="CW229" i="54"/>
  <c r="CX229" i="54"/>
  <c r="BK230" i="54"/>
  <c r="BL230" i="54"/>
  <c r="BN230" i="54"/>
  <c r="BO230" i="54"/>
  <c r="BP230" i="54"/>
  <c r="BQ230" i="54"/>
  <c r="BR230" i="54"/>
  <c r="BS230" i="54"/>
  <c r="BT230" i="54"/>
  <c r="BU230" i="54"/>
  <c r="BV230" i="54"/>
  <c r="BW230" i="54"/>
  <c r="BX230" i="54"/>
  <c r="BY230" i="54"/>
  <c r="BZ230" i="54"/>
  <c r="CA230" i="54"/>
  <c r="CB230" i="54"/>
  <c r="CC230" i="54"/>
  <c r="CD230" i="54"/>
  <c r="CE230" i="54"/>
  <c r="CF230" i="54"/>
  <c r="CG230" i="54"/>
  <c r="CH230" i="54"/>
  <c r="CI230" i="54"/>
  <c r="CJ230" i="54"/>
  <c r="CK230" i="54"/>
  <c r="CL230" i="54"/>
  <c r="CM230" i="54"/>
  <c r="CN230" i="54"/>
  <c r="CO230" i="54"/>
  <c r="CP230" i="54"/>
  <c r="CQ230" i="54"/>
  <c r="CR230" i="54"/>
  <c r="CS230" i="54"/>
  <c r="CT230" i="54"/>
  <c r="CU230" i="54"/>
  <c r="CV230" i="54"/>
  <c r="CW230" i="54"/>
  <c r="CX230" i="54"/>
  <c r="BK231" i="54"/>
  <c r="BL231" i="54"/>
  <c r="BN231" i="54"/>
  <c r="BO231" i="54"/>
  <c r="BP231" i="54"/>
  <c r="BQ231" i="54"/>
  <c r="BR231" i="54"/>
  <c r="BS231" i="54"/>
  <c r="BT231" i="54"/>
  <c r="BU231" i="54"/>
  <c r="BV231" i="54"/>
  <c r="BW231" i="54"/>
  <c r="BX231" i="54"/>
  <c r="BY231" i="54"/>
  <c r="BZ231" i="54"/>
  <c r="CA231" i="54"/>
  <c r="CB231" i="54"/>
  <c r="CC231" i="54"/>
  <c r="CD231" i="54"/>
  <c r="CE231" i="54"/>
  <c r="CF231" i="54"/>
  <c r="CG231" i="54"/>
  <c r="CH231" i="54"/>
  <c r="CI231" i="54"/>
  <c r="CJ231" i="54"/>
  <c r="CK231" i="54"/>
  <c r="CL231" i="54"/>
  <c r="CM231" i="54"/>
  <c r="CN231" i="54"/>
  <c r="CO231" i="54"/>
  <c r="CP231" i="54"/>
  <c r="CQ231" i="54"/>
  <c r="CR231" i="54"/>
  <c r="CS231" i="54"/>
  <c r="CT231" i="54"/>
  <c r="CU231" i="54"/>
  <c r="CV231" i="54"/>
  <c r="CW231" i="54"/>
  <c r="CX231" i="54"/>
  <c r="BK232" i="54"/>
  <c r="BL232" i="54"/>
  <c r="BN232" i="54"/>
  <c r="BO232" i="54"/>
  <c r="BP232" i="54"/>
  <c r="BQ232" i="54"/>
  <c r="BR232" i="54"/>
  <c r="BS232" i="54"/>
  <c r="BT232" i="54"/>
  <c r="BU232" i="54"/>
  <c r="BV232" i="54"/>
  <c r="BW232" i="54"/>
  <c r="BX232" i="54"/>
  <c r="BY232" i="54"/>
  <c r="BZ232" i="54"/>
  <c r="CA232" i="54"/>
  <c r="CB232" i="54"/>
  <c r="CC232" i="54"/>
  <c r="CD232" i="54"/>
  <c r="CE232" i="54"/>
  <c r="CF232" i="54"/>
  <c r="CG232" i="54"/>
  <c r="CH232" i="54"/>
  <c r="CI232" i="54"/>
  <c r="CJ232" i="54"/>
  <c r="CK232" i="54"/>
  <c r="CL232" i="54"/>
  <c r="CM232" i="54"/>
  <c r="CN232" i="54"/>
  <c r="CO232" i="54"/>
  <c r="CP232" i="54"/>
  <c r="CQ232" i="54"/>
  <c r="CR232" i="54"/>
  <c r="CS232" i="54"/>
  <c r="CT232" i="54"/>
  <c r="CU232" i="54"/>
  <c r="CV232" i="54"/>
  <c r="CW232" i="54"/>
  <c r="CX232" i="54"/>
  <c r="BK233" i="54"/>
  <c r="BL233" i="54"/>
  <c r="BN233" i="54"/>
  <c r="BO233" i="54"/>
  <c r="BP233" i="54"/>
  <c r="BQ233" i="54"/>
  <c r="BR233" i="54"/>
  <c r="BS233" i="54"/>
  <c r="BT233" i="54"/>
  <c r="BU233" i="54"/>
  <c r="BV233" i="54"/>
  <c r="BW233" i="54"/>
  <c r="BX233" i="54"/>
  <c r="BY233" i="54"/>
  <c r="BZ233" i="54"/>
  <c r="CA233" i="54"/>
  <c r="CB233" i="54"/>
  <c r="CC233" i="54"/>
  <c r="CD233" i="54"/>
  <c r="CE233" i="54"/>
  <c r="CF233" i="54"/>
  <c r="CG233" i="54"/>
  <c r="CH233" i="54"/>
  <c r="CI233" i="54"/>
  <c r="CJ233" i="54"/>
  <c r="CK233" i="54"/>
  <c r="CL233" i="54"/>
  <c r="CM233" i="54"/>
  <c r="CN233" i="54"/>
  <c r="CO233" i="54"/>
  <c r="CP233" i="54"/>
  <c r="CQ233" i="54"/>
  <c r="CR233" i="54"/>
  <c r="CS233" i="54"/>
  <c r="CT233" i="54"/>
  <c r="CU233" i="54"/>
  <c r="CV233" i="54"/>
  <c r="CW233" i="54"/>
  <c r="CX233" i="54"/>
  <c r="BK234" i="54"/>
  <c r="BL234" i="54"/>
  <c r="BN234" i="54"/>
  <c r="BO234" i="54"/>
  <c r="BP234" i="54"/>
  <c r="BQ234" i="54"/>
  <c r="BR234" i="54"/>
  <c r="BS234" i="54"/>
  <c r="BT234" i="54"/>
  <c r="BU234" i="54"/>
  <c r="BV234" i="54"/>
  <c r="BW234" i="54"/>
  <c r="BX234" i="54"/>
  <c r="BY234" i="54"/>
  <c r="BZ234" i="54"/>
  <c r="CA234" i="54"/>
  <c r="CB234" i="54"/>
  <c r="CC234" i="54"/>
  <c r="CD234" i="54"/>
  <c r="CE234" i="54"/>
  <c r="CF234" i="54"/>
  <c r="CG234" i="54"/>
  <c r="CH234" i="54"/>
  <c r="CI234" i="54"/>
  <c r="CJ234" i="54"/>
  <c r="CK234" i="54"/>
  <c r="CL234" i="54"/>
  <c r="CM234" i="54"/>
  <c r="CN234" i="54"/>
  <c r="CO234" i="54"/>
  <c r="CP234" i="54"/>
  <c r="CQ234" i="54"/>
  <c r="CR234" i="54"/>
  <c r="CS234" i="54"/>
  <c r="CT234" i="54"/>
  <c r="CU234" i="54"/>
  <c r="CV234" i="54"/>
  <c r="CW234" i="54"/>
  <c r="CX234" i="54"/>
  <c r="BK235" i="54"/>
  <c r="BL235" i="54"/>
  <c r="BN235" i="54"/>
  <c r="BO235" i="54"/>
  <c r="BP235" i="54"/>
  <c r="BQ235" i="54"/>
  <c r="BR235" i="54"/>
  <c r="BS235" i="54"/>
  <c r="BT235" i="54"/>
  <c r="BU235" i="54"/>
  <c r="BV235" i="54"/>
  <c r="BW235" i="54"/>
  <c r="BX235" i="54"/>
  <c r="BY235" i="54"/>
  <c r="BZ235" i="54"/>
  <c r="CA235" i="54"/>
  <c r="CB235" i="54"/>
  <c r="CC235" i="54"/>
  <c r="CD235" i="54"/>
  <c r="CE235" i="54"/>
  <c r="CF235" i="54"/>
  <c r="CG235" i="54"/>
  <c r="CH235" i="54"/>
  <c r="CI235" i="54"/>
  <c r="CJ235" i="54"/>
  <c r="CK235" i="54"/>
  <c r="CL235" i="54"/>
  <c r="CM235" i="54"/>
  <c r="CN235" i="54"/>
  <c r="CO235" i="54"/>
  <c r="CP235" i="54"/>
  <c r="CQ235" i="54"/>
  <c r="CR235" i="54"/>
  <c r="CS235" i="54"/>
  <c r="CT235" i="54"/>
  <c r="CU235" i="54"/>
  <c r="CV235" i="54"/>
  <c r="CW235" i="54"/>
  <c r="CX235" i="54"/>
  <c r="CI235" i="21"/>
  <c r="BK236" i="54"/>
  <c r="BL236" i="54"/>
  <c r="BN236" i="54"/>
  <c r="BO236" i="54"/>
  <c r="BP236" i="54"/>
  <c r="BQ236" i="54"/>
  <c r="BR236" i="54"/>
  <c r="BS236" i="54"/>
  <c r="BT236" i="54"/>
  <c r="BU236" i="54"/>
  <c r="BV236" i="54"/>
  <c r="BW236" i="54"/>
  <c r="BX236" i="54"/>
  <c r="BY236" i="54"/>
  <c r="BZ236" i="54"/>
  <c r="CA236" i="54"/>
  <c r="CB236" i="54"/>
  <c r="CC236" i="54"/>
  <c r="CD236" i="54"/>
  <c r="CE236" i="54"/>
  <c r="CF236" i="54"/>
  <c r="CG236" i="54"/>
  <c r="CH236" i="54"/>
  <c r="CI236" i="54"/>
  <c r="CJ236" i="54"/>
  <c r="CK236" i="54"/>
  <c r="CL236" i="54"/>
  <c r="CM236" i="54"/>
  <c r="CN236" i="54"/>
  <c r="CO236" i="54"/>
  <c r="CP236" i="54"/>
  <c r="CQ236" i="54"/>
  <c r="CR236" i="54"/>
  <c r="CS236" i="54"/>
  <c r="CT236" i="54"/>
  <c r="CU236" i="54"/>
  <c r="CV236" i="54"/>
  <c r="CW236" i="54"/>
  <c r="CX236" i="54"/>
  <c r="BK237" i="54"/>
  <c r="BL237" i="54"/>
  <c r="BN237" i="54"/>
  <c r="BO237" i="54"/>
  <c r="BP237" i="54"/>
  <c r="BQ237" i="54"/>
  <c r="BR237" i="54"/>
  <c r="BS237" i="54"/>
  <c r="BT237" i="54"/>
  <c r="BU237" i="54"/>
  <c r="BV237" i="54"/>
  <c r="BW237" i="54"/>
  <c r="BX237" i="54"/>
  <c r="BY237" i="54"/>
  <c r="BZ237" i="54"/>
  <c r="CA237" i="54"/>
  <c r="CB237" i="54"/>
  <c r="CC237" i="54"/>
  <c r="CD237" i="54"/>
  <c r="CE237" i="54"/>
  <c r="CF237" i="54"/>
  <c r="CG237" i="54"/>
  <c r="CH237" i="54"/>
  <c r="CI237" i="54"/>
  <c r="CJ237" i="54"/>
  <c r="CK237" i="54"/>
  <c r="CL237" i="54"/>
  <c r="CM237" i="54"/>
  <c r="CN237" i="54"/>
  <c r="CO237" i="54"/>
  <c r="CP237" i="54"/>
  <c r="CQ237" i="54"/>
  <c r="CR237" i="54"/>
  <c r="CS237" i="54"/>
  <c r="CT237" i="54"/>
  <c r="CU237" i="54"/>
  <c r="CV237" i="54"/>
  <c r="CW237" i="54"/>
  <c r="CX237" i="54"/>
  <c r="BK238" i="54"/>
  <c r="BL238" i="54"/>
  <c r="BN238" i="54"/>
  <c r="BO238" i="54"/>
  <c r="BP238" i="54"/>
  <c r="BQ238" i="54"/>
  <c r="BR238" i="54"/>
  <c r="BS238" i="54"/>
  <c r="BT238" i="54"/>
  <c r="BU238" i="54"/>
  <c r="BV238" i="54"/>
  <c r="BW238" i="54"/>
  <c r="BX238" i="54"/>
  <c r="BY238" i="54"/>
  <c r="BZ238" i="54"/>
  <c r="CA238" i="54"/>
  <c r="CB238" i="54"/>
  <c r="CC238" i="54"/>
  <c r="CD238" i="54"/>
  <c r="CE238" i="54"/>
  <c r="CF238" i="54"/>
  <c r="CG238" i="54"/>
  <c r="CH238" i="54"/>
  <c r="CI238" i="54"/>
  <c r="CJ238" i="54"/>
  <c r="CK238" i="54"/>
  <c r="CL238" i="54"/>
  <c r="CM238" i="54"/>
  <c r="CN238" i="54"/>
  <c r="CO238" i="54"/>
  <c r="CP238" i="54"/>
  <c r="CQ238" i="54"/>
  <c r="CR238" i="54"/>
  <c r="CS238" i="54"/>
  <c r="CT238" i="54"/>
  <c r="CU238" i="54"/>
  <c r="CV238" i="54"/>
  <c r="CW238" i="54"/>
  <c r="CX238" i="54"/>
  <c r="BK239" i="54"/>
  <c r="BL239" i="54"/>
  <c r="BN239" i="54"/>
  <c r="BO239" i="54"/>
  <c r="BP239" i="54"/>
  <c r="BQ239" i="54"/>
  <c r="BR239" i="54"/>
  <c r="BS239" i="54"/>
  <c r="BT239" i="54"/>
  <c r="BU239" i="54"/>
  <c r="BV239" i="54"/>
  <c r="BW239" i="54"/>
  <c r="BX239" i="54"/>
  <c r="BY239" i="54"/>
  <c r="BZ239" i="54"/>
  <c r="CA239" i="54"/>
  <c r="CB239" i="54"/>
  <c r="CC239" i="54"/>
  <c r="CD239" i="54"/>
  <c r="CE239" i="54"/>
  <c r="CF239" i="54"/>
  <c r="CG239" i="54"/>
  <c r="CH239" i="54"/>
  <c r="CI239" i="54"/>
  <c r="CJ239" i="54"/>
  <c r="CK239" i="54"/>
  <c r="CL239" i="54"/>
  <c r="CM239" i="54"/>
  <c r="CN239" i="54"/>
  <c r="CO239" i="54"/>
  <c r="CP239" i="54"/>
  <c r="CQ239" i="54"/>
  <c r="CR239" i="54"/>
  <c r="CS239" i="54"/>
  <c r="CT239" i="54"/>
  <c r="CU239" i="54"/>
  <c r="CV239" i="54"/>
  <c r="CW239" i="54"/>
  <c r="CX239" i="54"/>
  <c r="BK240" i="54"/>
  <c r="BL240" i="54"/>
  <c r="BN240" i="54"/>
  <c r="BO240" i="54"/>
  <c r="BP240" i="54"/>
  <c r="BQ240" i="54"/>
  <c r="BR240" i="54"/>
  <c r="BS240" i="54"/>
  <c r="BT240" i="54"/>
  <c r="BU240" i="54"/>
  <c r="BV240" i="54"/>
  <c r="BW240" i="54"/>
  <c r="BX240" i="54"/>
  <c r="BY240" i="54"/>
  <c r="BZ240" i="54"/>
  <c r="CA240" i="54"/>
  <c r="CB240" i="54"/>
  <c r="CC240" i="54"/>
  <c r="CD240" i="54"/>
  <c r="CE240" i="54"/>
  <c r="CF240" i="54"/>
  <c r="CG240" i="54"/>
  <c r="CH240" i="54"/>
  <c r="CI240" i="54"/>
  <c r="CJ240" i="54"/>
  <c r="CK240" i="54"/>
  <c r="CL240" i="54"/>
  <c r="CM240" i="54"/>
  <c r="CN240" i="54"/>
  <c r="CO240" i="54"/>
  <c r="CP240" i="54"/>
  <c r="CQ240" i="54"/>
  <c r="CR240" i="54"/>
  <c r="CS240" i="54"/>
  <c r="CT240" i="54"/>
  <c r="CU240" i="54"/>
  <c r="CV240" i="54"/>
  <c r="CW240" i="54"/>
  <c r="CX240" i="54"/>
  <c r="BK241" i="54"/>
  <c r="BL241" i="54"/>
  <c r="BN241" i="54"/>
  <c r="BO241" i="54"/>
  <c r="BP241" i="54"/>
  <c r="BQ241" i="54"/>
  <c r="BR241" i="54"/>
  <c r="BS241" i="54"/>
  <c r="BT241" i="54"/>
  <c r="BU241" i="54"/>
  <c r="BV241" i="54"/>
  <c r="BW241" i="54"/>
  <c r="BX241" i="54"/>
  <c r="BY241" i="54"/>
  <c r="BZ241" i="54"/>
  <c r="CA241" i="54"/>
  <c r="CB241" i="54"/>
  <c r="CC241" i="54"/>
  <c r="CD241" i="54"/>
  <c r="CE241" i="54"/>
  <c r="CF241" i="54"/>
  <c r="CG241" i="54"/>
  <c r="CH241" i="54"/>
  <c r="CI241" i="54"/>
  <c r="CJ241" i="54"/>
  <c r="CK241" i="54"/>
  <c r="CL241" i="54"/>
  <c r="CM241" i="54"/>
  <c r="CN241" i="54"/>
  <c r="CO241" i="54"/>
  <c r="CP241" i="54"/>
  <c r="CQ241" i="54"/>
  <c r="CR241" i="54"/>
  <c r="CS241" i="54"/>
  <c r="CT241" i="54"/>
  <c r="CU241" i="54"/>
  <c r="CV241" i="54"/>
  <c r="CW241" i="54"/>
  <c r="CX241" i="54"/>
  <c r="BK242" i="54"/>
  <c r="BL242" i="54"/>
  <c r="BN242" i="54"/>
  <c r="BO242" i="54"/>
  <c r="BP242" i="54"/>
  <c r="BQ242" i="54"/>
  <c r="BR242" i="54"/>
  <c r="BS242" i="54"/>
  <c r="BT242" i="54"/>
  <c r="BU242" i="54"/>
  <c r="BV242" i="54"/>
  <c r="BW242" i="54"/>
  <c r="BX242" i="54"/>
  <c r="BY242" i="54"/>
  <c r="BZ242" i="54"/>
  <c r="CA242" i="54"/>
  <c r="CB242" i="54"/>
  <c r="CC242" i="54"/>
  <c r="CD242" i="54"/>
  <c r="CE242" i="54"/>
  <c r="CF242" i="54"/>
  <c r="CG242" i="54"/>
  <c r="CH242" i="54"/>
  <c r="CI242" i="54"/>
  <c r="CJ242" i="54"/>
  <c r="CK242" i="54"/>
  <c r="CL242" i="54"/>
  <c r="CM242" i="54"/>
  <c r="CN242" i="54"/>
  <c r="CO242" i="54"/>
  <c r="CP242" i="54"/>
  <c r="CQ242" i="54"/>
  <c r="CR242" i="54"/>
  <c r="CS242" i="54"/>
  <c r="CT242" i="54"/>
  <c r="CU242" i="54"/>
  <c r="CV242" i="54"/>
  <c r="CW242" i="54"/>
  <c r="CX242" i="54"/>
  <c r="BK243" i="54"/>
  <c r="BL243" i="54"/>
  <c r="BN243" i="54"/>
  <c r="BO243" i="54"/>
  <c r="BP243" i="54"/>
  <c r="BQ243" i="54"/>
  <c r="BR243" i="54"/>
  <c r="BS243" i="54"/>
  <c r="BT243" i="54"/>
  <c r="BU243" i="54"/>
  <c r="BV243" i="54"/>
  <c r="BW243" i="54"/>
  <c r="BX243" i="54"/>
  <c r="BY243" i="54"/>
  <c r="BZ243" i="54"/>
  <c r="CA243" i="54"/>
  <c r="CB243" i="54"/>
  <c r="CC243" i="54"/>
  <c r="CD243" i="54"/>
  <c r="CE243" i="54"/>
  <c r="CF243" i="54"/>
  <c r="CG243" i="54"/>
  <c r="CH243" i="54"/>
  <c r="CI243" i="54"/>
  <c r="CJ243" i="54"/>
  <c r="CK243" i="54"/>
  <c r="CL243" i="54"/>
  <c r="CM243" i="54"/>
  <c r="CN243" i="54"/>
  <c r="CO243" i="54"/>
  <c r="CP243" i="54"/>
  <c r="CQ243" i="54"/>
  <c r="CR243" i="54"/>
  <c r="CS243" i="54"/>
  <c r="CT243" i="54"/>
  <c r="CU243" i="54"/>
  <c r="CV243" i="54"/>
  <c r="CW243" i="54"/>
  <c r="CX243" i="54"/>
  <c r="CI243" i="21"/>
  <c r="BK244" i="54"/>
  <c r="BL244" i="54"/>
  <c r="BN244" i="54"/>
  <c r="BO244" i="54"/>
  <c r="BP244" i="54"/>
  <c r="BQ244" i="54"/>
  <c r="BR244" i="54"/>
  <c r="BS244" i="54"/>
  <c r="BT244" i="54"/>
  <c r="BU244" i="54"/>
  <c r="BV244" i="54"/>
  <c r="BW244" i="54"/>
  <c r="BX244" i="54"/>
  <c r="BY244" i="54"/>
  <c r="BZ244" i="54"/>
  <c r="CA244" i="54"/>
  <c r="CB244" i="54"/>
  <c r="CC244" i="54"/>
  <c r="CD244" i="54"/>
  <c r="CE244" i="54"/>
  <c r="CF244" i="54"/>
  <c r="CG244" i="54"/>
  <c r="CH244" i="54"/>
  <c r="CI244" i="54"/>
  <c r="CJ244" i="54"/>
  <c r="CK244" i="54"/>
  <c r="CL244" i="54"/>
  <c r="CM244" i="54"/>
  <c r="CN244" i="54"/>
  <c r="CO244" i="54"/>
  <c r="CP244" i="54"/>
  <c r="CQ244" i="54"/>
  <c r="CR244" i="54"/>
  <c r="CS244" i="54"/>
  <c r="CT244" i="54"/>
  <c r="CU244" i="54"/>
  <c r="CV244" i="54"/>
  <c r="CW244" i="54"/>
  <c r="CX244" i="54"/>
  <c r="BK245" i="54"/>
  <c r="BL245" i="54"/>
  <c r="BN245" i="54"/>
  <c r="BO245" i="54"/>
  <c r="BP245" i="54"/>
  <c r="BQ245" i="54"/>
  <c r="BR245" i="54"/>
  <c r="BS245" i="54"/>
  <c r="BT245" i="54"/>
  <c r="BU245" i="54"/>
  <c r="BV245" i="54"/>
  <c r="BW245" i="54"/>
  <c r="BX245" i="54"/>
  <c r="BY245" i="54"/>
  <c r="BZ245" i="54"/>
  <c r="CA245" i="54"/>
  <c r="CB245" i="54"/>
  <c r="CC245" i="54"/>
  <c r="CD245" i="54"/>
  <c r="CE245" i="54"/>
  <c r="CF245" i="54"/>
  <c r="CG245" i="54"/>
  <c r="CH245" i="54"/>
  <c r="CI245" i="54"/>
  <c r="CJ245" i="54"/>
  <c r="CK245" i="54"/>
  <c r="CL245" i="54"/>
  <c r="CM245" i="54"/>
  <c r="CN245" i="54"/>
  <c r="CO245" i="54"/>
  <c r="CP245" i="54"/>
  <c r="CQ245" i="54"/>
  <c r="CR245" i="54"/>
  <c r="CS245" i="54"/>
  <c r="CT245" i="54"/>
  <c r="CU245" i="54"/>
  <c r="CV245" i="54"/>
  <c r="CW245" i="54"/>
  <c r="CX245" i="54"/>
  <c r="BK246" i="54"/>
  <c r="BL246" i="54"/>
  <c r="BN246" i="54"/>
  <c r="BO246" i="54"/>
  <c r="BP246" i="54"/>
  <c r="BQ246" i="54"/>
  <c r="BR246" i="54"/>
  <c r="BS246" i="54"/>
  <c r="BT246" i="54"/>
  <c r="BU246" i="54"/>
  <c r="BV246" i="54"/>
  <c r="BW246" i="54"/>
  <c r="BX246" i="54"/>
  <c r="BY246" i="54"/>
  <c r="BZ246" i="54"/>
  <c r="CA246" i="54"/>
  <c r="CB246" i="54"/>
  <c r="CC246" i="54"/>
  <c r="CD246" i="54"/>
  <c r="CE246" i="54"/>
  <c r="CF246" i="54"/>
  <c r="CG246" i="54"/>
  <c r="CH246" i="54"/>
  <c r="CI246" i="54"/>
  <c r="CJ246" i="54"/>
  <c r="CK246" i="54"/>
  <c r="CL246" i="54"/>
  <c r="CM246" i="54"/>
  <c r="CN246" i="54"/>
  <c r="CO246" i="54"/>
  <c r="CP246" i="54"/>
  <c r="CQ246" i="54"/>
  <c r="CR246" i="54"/>
  <c r="CS246" i="54"/>
  <c r="CT246" i="54"/>
  <c r="CU246" i="54"/>
  <c r="CV246" i="54"/>
  <c r="CW246" i="54"/>
  <c r="CX246" i="54"/>
  <c r="BK247" i="54"/>
  <c r="BL247" i="54"/>
  <c r="BN247" i="54"/>
  <c r="BO247" i="54"/>
  <c r="BP247" i="54"/>
  <c r="BQ247" i="54"/>
  <c r="BR247" i="54"/>
  <c r="BS247" i="54"/>
  <c r="BT247" i="54"/>
  <c r="BU247" i="54"/>
  <c r="BV247" i="54"/>
  <c r="BW247" i="54"/>
  <c r="BX247" i="54"/>
  <c r="BY247" i="54"/>
  <c r="BZ247" i="54"/>
  <c r="CA247" i="54"/>
  <c r="CB247" i="54"/>
  <c r="CC247" i="54"/>
  <c r="CD247" i="54"/>
  <c r="CE247" i="54"/>
  <c r="CF247" i="54"/>
  <c r="CG247" i="54"/>
  <c r="CH247" i="54"/>
  <c r="CI247" i="54"/>
  <c r="CJ247" i="54"/>
  <c r="CK247" i="54"/>
  <c r="CL247" i="54"/>
  <c r="CM247" i="54"/>
  <c r="CN247" i="54"/>
  <c r="CO247" i="54"/>
  <c r="CP247" i="54"/>
  <c r="CQ247" i="54"/>
  <c r="CR247" i="54"/>
  <c r="CS247" i="54"/>
  <c r="CT247" i="54"/>
  <c r="CU247" i="54"/>
  <c r="CV247" i="54"/>
  <c r="CW247" i="54"/>
  <c r="CX247" i="54"/>
  <c r="BK252" i="54"/>
  <c r="BL252" i="54"/>
  <c r="BN252" i="54"/>
  <c r="BO252" i="54"/>
  <c r="BP252" i="54"/>
  <c r="BQ252" i="54"/>
  <c r="BR252" i="54"/>
  <c r="BS252" i="54"/>
  <c r="BT252" i="54"/>
  <c r="BU252" i="54"/>
  <c r="BV252" i="54"/>
  <c r="BW252" i="54"/>
  <c r="BX252" i="54"/>
  <c r="BY252" i="54"/>
  <c r="BZ252" i="54"/>
  <c r="CA252" i="54"/>
  <c r="CB252" i="54"/>
  <c r="CC252" i="54"/>
  <c r="CD252" i="54"/>
  <c r="CE252" i="54"/>
  <c r="CF252" i="54"/>
  <c r="CG252" i="54"/>
  <c r="CH252" i="54"/>
  <c r="CI252" i="54"/>
  <c r="CJ252" i="54"/>
  <c r="CK252" i="54"/>
  <c r="CL252" i="54"/>
  <c r="CM252" i="54"/>
  <c r="CN252" i="54"/>
  <c r="CO252" i="54"/>
  <c r="CP252" i="54"/>
  <c r="CQ252" i="54"/>
  <c r="CR252" i="54"/>
  <c r="CS252" i="54"/>
  <c r="CT252" i="54"/>
  <c r="CU252" i="54"/>
  <c r="CV252" i="54"/>
  <c r="CW252" i="54"/>
  <c r="CX252" i="54"/>
  <c r="BK253" i="54"/>
  <c r="BL253" i="54"/>
  <c r="BN253" i="54"/>
  <c r="BO253" i="54"/>
  <c r="BP253" i="54"/>
  <c r="BQ253" i="54"/>
  <c r="BR253" i="54"/>
  <c r="BS253" i="54"/>
  <c r="BT253" i="54"/>
  <c r="BU253" i="54"/>
  <c r="BV253" i="54"/>
  <c r="BW253" i="54"/>
  <c r="BX253" i="54"/>
  <c r="BY253" i="54"/>
  <c r="BZ253" i="54"/>
  <c r="CA253" i="54"/>
  <c r="CB253" i="54"/>
  <c r="CC253" i="54"/>
  <c r="CD253" i="54"/>
  <c r="CE253" i="54"/>
  <c r="CF253" i="54"/>
  <c r="CG253" i="54"/>
  <c r="CH253" i="54"/>
  <c r="CI253" i="54"/>
  <c r="CJ253" i="54"/>
  <c r="CK253" i="54"/>
  <c r="CL253" i="54"/>
  <c r="CM253" i="54"/>
  <c r="CN253" i="54"/>
  <c r="CO253" i="54"/>
  <c r="CP253" i="54"/>
  <c r="CQ253" i="54"/>
  <c r="CR253" i="54"/>
  <c r="CS253" i="54"/>
  <c r="CT253" i="54"/>
  <c r="CU253" i="54"/>
  <c r="CV253" i="54"/>
  <c r="CW253" i="54"/>
  <c r="CX253" i="54"/>
  <c r="BK254" i="54"/>
  <c r="BL254" i="54"/>
  <c r="BN254" i="54"/>
  <c r="BO254" i="54"/>
  <c r="BP254" i="54"/>
  <c r="BQ254" i="54"/>
  <c r="BR254" i="54"/>
  <c r="BS254" i="54"/>
  <c r="BT254" i="54"/>
  <c r="BU254" i="54"/>
  <c r="BV254" i="54"/>
  <c r="BW254" i="54"/>
  <c r="BX254" i="54"/>
  <c r="BY254" i="54"/>
  <c r="BZ254" i="54"/>
  <c r="CA254" i="54"/>
  <c r="CB254" i="54"/>
  <c r="CC254" i="54"/>
  <c r="CD254" i="54"/>
  <c r="CE254" i="54"/>
  <c r="CF254" i="54"/>
  <c r="CG254" i="54"/>
  <c r="CH254" i="54"/>
  <c r="CI254" i="54"/>
  <c r="CJ254" i="54"/>
  <c r="CK254" i="54"/>
  <c r="CL254" i="54"/>
  <c r="CM254" i="54"/>
  <c r="CN254" i="54"/>
  <c r="CO254" i="54"/>
  <c r="CP254" i="54"/>
  <c r="CQ254" i="54"/>
  <c r="CR254" i="54"/>
  <c r="CS254" i="54"/>
  <c r="CT254" i="54"/>
  <c r="CU254" i="54"/>
  <c r="CV254" i="54"/>
  <c r="CW254" i="54"/>
  <c r="CX254" i="54"/>
  <c r="BK255" i="54"/>
  <c r="BL255" i="54"/>
  <c r="BN255" i="54"/>
  <c r="BO255" i="54"/>
  <c r="BP255" i="54"/>
  <c r="BQ255" i="54"/>
  <c r="BR255" i="54"/>
  <c r="BS255" i="54"/>
  <c r="BT255" i="54"/>
  <c r="BU255" i="54"/>
  <c r="BV255" i="54"/>
  <c r="BW255" i="54"/>
  <c r="BX255" i="54"/>
  <c r="BY255" i="54"/>
  <c r="BZ255" i="54"/>
  <c r="CA255" i="54"/>
  <c r="CB255" i="54"/>
  <c r="CC255" i="54"/>
  <c r="CD255" i="54"/>
  <c r="CE255" i="54"/>
  <c r="CF255" i="54"/>
  <c r="CG255" i="54"/>
  <c r="CH255" i="54"/>
  <c r="CI255" i="54"/>
  <c r="CJ255" i="54"/>
  <c r="CK255" i="54"/>
  <c r="CL255" i="54"/>
  <c r="CM255" i="54"/>
  <c r="CN255" i="54"/>
  <c r="CO255" i="54"/>
  <c r="CP255" i="54"/>
  <c r="CQ255" i="54"/>
  <c r="CR255" i="54"/>
  <c r="CS255" i="54"/>
  <c r="CT255" i="54"/>
  <c r="CU255" i="54"/>
  <c r="CV255" i="54"/>
  <c r="CW255" i="54"/>
  <c r="CX255" i="54"/>
  <c r="BK256" i="54"/>
  <c r="BL256" i="54"/>
  <c r="BN256" i="54"/>
  <c r="BO256" i="54"/>
  <c r="BP256" i="54"/>
  <c r="BQ256" i="54"/>
  <c r="BR256" i="54"/>
  <c r="BS256" i="54"/>
  <c r="BT256" i="54"/>
  <c r="BU256" i="54"/>
  <c r="BV256" i="54"/>
  <c r="BW256" i="54"/>
  <c r="BX256" i="54"/>
  <c r="BY256" i="54"/>
  <c r="BZ256" i="54"/>
  <c r="CA256" i="54"/>
  <c r="CB256" i="54"/>
  <c r="CC256" i="54"/>
  <c r="CD256" i="54"/>
  <c r="CE256" i="54"/>
  <c r="CF256" i="54"/>
  <c r="CG256" i="54"/>
  <c r="CH256" i="54"/>
  <c r="CI256" i="54"/>
  <c r="CJ256" i="54"/>
  <c r="CK256" i="54"/>
  <c r="CL256" i="54"/>
  <c r="CM256" i="54"/>
  <c r="CN256" i="54"/>
  <c r="CO256" i="54"/>
  <c r="CP256" i="54"/>
  <c r="CQ256" i="54"/>
  <c r="CR256" i="54"/>
  <c r="CS256" i="54"/>
  <c r="CT256" i="54"/>
  <c r="CU256" i="54"/>
  <c r="CV256" i="54"/>
  <c r="CW256" i="54"/>
  <c r="CX256" i="54"/>
  <c r="BK257" i="54"/>
  <c r="BL257" i="54"/>
  <c r="BN257" i="54"/>
  <c r="BO257" i="54"/>
  <c r="BP257" i="54"/>
  <c r="BQ257" i="54"/>
  <c r="BR257" i="54"/>
  <c r="BS257" i="54"/>
  <c r="BT257" i="54"/>
  <c r="BU257" i="54"/>
  <c r="BV257" i="54"/>
  <c r="BW257" i="54"/>
  <c r="BX257" i="54"/>
  <c r="BY257" i="54"/>
  <c r="BZ257" i="54"/>
  <c r="CA257" i="54"/>
  <c r="CB257" i="54"/>
  <c r="CC257" i="54"/>
  <c r="CD257" i="54"/>
  <c r="CE257" i="54"/>
  <c r="CF257" i="54"/>
  <c r="CG257" i="54"/>
  <c r="CH257" i="54"/>
  <c r="CI257" i="54"/>
  <c r="CJ257" i="54"/>
  <c r="CK257" i="54"/>
  <c r="CL257" i="54"/>
  <c r="CM257" i="54"/>
  <c r="CN257" i="54"/>
  <c r="CO257" i="54"/>
  <c r="CP257" i="54"/>
  <c r="CQ257" i="54"/>
  <c r="CR257" i="54"/>
  <c r="CS257" i="54"/>
  <c r="CT257" i="54"/>
  <c r="CU257" i="54"/>
  <c r="CV257" i="54"/>
  <c r="CW257" i="54"/>
  <c r="CX257" i="54"/>
  <c r="BK258" i="54"/>
  <c r="BL258" i="54"/>
  <c r="BN258" i="54"/>
  <c r="BO258" i="54"/>
  <c r="BP258" i="54"/>
  <c r="BQ258" i="54"/>
  <c r="BR258" i="54"/>
  <c r="BS258" i="54"/>
  <c r="BT258" i="54"/>
  <c r="BU258" i="54"/>
  <c r="BV258" i="54"/>
  <c r="BW258" i="54"/>
  <c r="BX258" i="54"/>
  <c r="BY258" i="54"/>
  <c r="BZ258" i="54"/>
  <c r="CA258" i="54"/>
  <c r="CB258" i="54"/>
  <c r="CC258" i="54"/>
  <c r="CD258" i="54"/>
  <c r="CE258" i="54"/>
  <c r="CF258" i="54"/>
  <c r="CG258" i="54"/>
  <c r="CH258" i="54"/>
  <c r="CI258" i="54"/>
  <c r="CJ258" i="54"/>
  <c r="CK258" i="54"/>
  <c r="CL258" i="54"/>
  <c r="CM258" i="54"/>
  <c r="CN258" i="54"/>
  <c r="CO258" i="54"/>
  <c r="CP258" i="54"/>
  <c r="CQ258" i="54"/>
  <c r="CR258" i="54"/>
  <c r="CS258" i="54"/>
  <c r="CT258" i="54"/>
  <c r="CU258" i="54"/>
  <c r="CV258" i="54"/>
  <c r="CW258" i="54"/>
  <c r="CX258" i="54"/>
  <c r="BK259" i="54"/>
  <c r="BL259" i="54"/>
  <c r="BN259" i="54"/>
  <c r="BO259" i="54"/>
  <c r="BP259" i="54"/>
  <c r="BQ259" i="54"/>
  <c r="BR259" i="54"/>
  <c r="BS259" i="54"/>
  <c r="BT259" i="54"/>
  <c r="BU259" i="54"/>
  <c r="BV259" i="54"/>
  <c r="BW259" i="54"/>
  <c r="BX259" i="54"/>
  <c r="BY259" i="54"/>
  <c r="BZ259" i="54"/>
  <c r="CA259" i="54"/>
  <c r="CB259" i="54"/>
  <c r="CC259" i="54"/>
  <c r="CD259" i="54"/>
  <c r="CE259" i="54"/>
  <c r="CF259" i="54"/>
  <c r="CG259" i="54"/>
  <c r="CH259" i="54"/>
  <c r="CI259" i="54"/>
  <c r="CJ259" i="54"/>
  <c r="CK259" i="54"/>
  <c r="CL259" i="54"/>
  <c r="CM259" i="54"/>
  <c r="CN259" i="54"/>
  <c r="CO259" i="54"/>
  <c r="CP259" i="54"/>
  <c r="CQ259" i="54"/>
  <c r="CR259" i="54"/>
  <c r="CS259" i="54"/>
  <c r="CT259" i="54"/>
  <c r="CU259" i="54"/>
  <c r="CV259" i="54"/>
  <c r="CW259" i="54"/>
  <c r="CX259" i="54"/>
  <c r="BK260" i="54"/>
  <c r="BL260" i="54"/>
  <c r="BN260" i="54"/>
  <c r="BO260" i="54"/>
  <c r="BP260" i="54"/>
  <c r="BQ260" i="54"/>
  <c r="BR260" i="54"/>
  <c r="BS260" i="54"/>
  <c r="BT260" i="54"/>
  <c r="BU260" i="54"/>
  <c r="BV260" i="54"/>
  <c r="BW260" i="54"/>
  <c r="BX260" i="54"/>
  <c r="BY260" i="54"/>
  <c r="BZ260" i="54"/>
  <c r="CA260" i="54"/>
  <c r="CB260" i="54"/>
  <c r="CC260" i="54"/>
  <c r="CD260" i="54"/>
  <c r="CE260" i="54"/>
  <c r="CF260" i="54"/>
  <c r="CG260" i="54"/>
  <c r="CH260" i="54"/>
  <c r="CI260" i="54"/>
  <c r="CJ260" i="54"/>
  <c r="CK260" i="54"/>
  <c r="CL260" i="54"/>
  <c r="CM260" i="54"/>
  <c r="CN260" i="54"/>
  <c r="CO260" i="54"/>
  <c r="CP260" i="54"/>
  <c r="CQ260" i="54"/>
  <c r="CR260" i="54"/>
  <c r="CS260" i="54"/>
  <c r="CT260" i="54"/>
  <c r="CU260" i="54"/>
  <c r="CV260" i="54"/>
  <c r="CW260" i="54"/>
  <c r="CX260" i="54"/>
  <c r="BK261" i="54"/>
  <c r="BL261" i="54"/>
  <c r="BN261" i="54"/>
  <c r="BO261" i="54"/>
  <c r="BP261" i="54"/>
  <c r="BQ261" i="54"/>
  <c r="BR261" i="54"/>
  <c r="BS261" i="54"/>
  <c r="BT261" i="54"/>
  <c r="BU261" i="54"/>
  <c r="BV261" i="54"/>
  <c r="BW261" i="54"/>
  <c r="BX261" i="54"/>
  <c r="BY261" i="54"/>
  <c r="BZ261" i="54"/>
  <c r="CA261" i="54"/>
  <c r="CB261" i="54"/>
  <c r="CC261" i="54"/>
  <c r="CD261" i="54"/>
  <c r="CE261" i="54"/>
  <c r="CF261" i="54"/>
  <c r="CG261" i="54"/>
  <c r="CH261" i="54"/>
  <c r="CI261" i="54"/>
  <c r="CJ261" i="54"/>
  <c r="CK261" i="54"/>
  <c r="CL261" i="54"/>
  <c r="CM261" i="54"/>
  <c r="CN261" i="54"/>
  <c r="CO261" i="54"/>
  <c r="CP261" i="54"/>
  <c r="CQ261" i="54"/>
  <c r="CR261" i="54"/>
  <c r="CS261" i="54"/>
  <c r="CT261" i="54"/>
  <c r="CU261" i="54"/>
  <c r="CV261" i="54"/>
  <c r="CW261" i="54"/>
  <c r="CX261" i="54"/>
  <c r="BK262" i="54"/>
  <c r="BL262" i="54"/>
  <c r="BN262" i="54"/>
  <c r="BO262" i="54"/>
  <c r="BP262" i="54"/>
  <c r="BQ262" i="54"/>
  <c r="BR262" i="54"/>
  <c r="BS262" i="54"/>
  <c r="BT262" i="54"/>
  <c r="BU262" i="54"/>
  <c r="BV262" i="54"/>
  <c r="BW262" i="54"/>
  <c r="BX262" i="54"/>
  <c r="BY262" i="54"/>
  <c r="BZ262" i="54"/>
  <c r="CA262" i="54"/>
  <c r="CB262" i="54"/>
  <c r="CC262" i="54"/>
  <c r="CD262" i="54"/>
  <c r="CE262" i="54"/>
  <c r="CF262" i="54"/>
  <c r="CG262" i="54"/>
  <c r="CH262" i="54"/>
  <c r="CI262" i="54"/>
  <c r="CJ262" i="54"/>
  <c r="CK262" i="54"/>
  <c r="CL262" i="54"/>
  <c r="CM262" i="54"/>
  <c r="CN262" i="54"/>
  <c r="CO262" i="54"/>
  <c r="CP262" i="54"/>
  <c r="CQ262" i="54"/>
  <c r="CR262" i="54"/>
  <c r="CS262" i="54"/>
  <c r="CT262" i="54"/>
  <c r="CU262" i="54"/>
  <c r="CV262" i="54"/>
  <c r="CW262" i="54"/>
  <c r="CX262" i="54"/>
  <c r="CG262" i="21"/>
  <c r="CH262" i="21"/>
  <c r="BK263" i="54"/>
  <c r="BL263" i="54"/>
  <c r="BN263" i="54"/>
  <c r="BO263" i="54"/>
  <c r="BP263" i="54"/>
  <c r="BQ263" i="54"/>
  <c r="BR263" i="54"/>
  <c r="BS263" i="54"/>
  <c r="BT263" i="54"/>
  <c r="BU263" i="54"/>
  <c r="BV263" i="54"/>
  <c r="BW263" i="54"/>
  <c r="BX263" i="54"/>
  <c r="BY263" i="54"/>
  <c r="BZ263" i="54"/>
  <c r="CA263" i="54"/>
  <c r="CB263" i="54"/>
  <c r="CC263" i="54"/>
  <c r="CD263" i="54"/>
  <c r="CE263" i="54"/>
  <c r="CF263" i="54"/>
  <c r="CG263" i="54"/>
  <c r="CH263" i="54"/>
  <c r="CI263" i="54"/>
  <c r="CJ263" i="54"/>
  <c r="CK263" i="54"/>
  <c r="CL263" i="54"/>
  <c r="CM263" i="54"/>
  <c r="CN263" i="54"/>
  <c r="CO263" i="54"/>
  <c r="CP263" i="54"/>
  <c r="CQ263" i="54"/>
  <c r="CR263" i="54"/>
  <c r="CS263" i="54"/>
  <c r="CT263" i="54"/>
  <c r="CU263" i="54"/>
  <c r="CV263" i="54"/>
  <c r="CW263" i="54"/>
  <c r="CX263" i="54"/>
  <c r="CG263" i="21"/>
  <c r="CH263" i="21"/>
  <c r="BK267" i="54"/>
  <c r="BL267" i="54"/>
  <c r="BN267" i="54"/>
  <c r="BO267" i="54"/>
  <c r="BP267" i="54"/>
  <c r="BQ267" i="54"/>
  <c r="BR267" i="54"/>
  <c r="BS267" i="54"/>
  <c r="BT267" i="54"/>
  <c r="BU267" i="54"/>
  <c r="BV267" i="54"/>
  <c r="BW267" i="54"/>
  <c r="BX267" i="54"/>
  <c r="BY267" i="54"/>
  <c r="BZ267" i="54"/>
  <c r="CA267" i="54"/>
  <c r="CB267" i="54"/>
  <c r="CC267" i="54"/>
  <c r="CD267" i="54"/>
  <c r="CE267" i="54"/>
  <c r="CF267" i="54"/>
  <c r="CG267" i="54"/>
  <c r="CH267" i="54"/>
  <c r="CI267" i="54"/>
  <c r="CJ267" i="54"/>
  <c r="CK267" i="54"/>
  <c r="CL267" i="54"/>
  <c r="CM267" i="54"/>
  <c r="CN267" i="54"/>
  <c r="CO267" i="54"/>
  <c r="CP267" i="54"/>
  <c r="CQ267" i="54"/>
  <c r="CR267" i="54"/>
  <c r="CS267" i="54"/>
  <c r="CT267" i="54"/>
  <c r="CU267" i="54"/>
  <c r="CV267" i="54"/>
  <c r="CW267" i="54"/>
  <c r="CX267" i="54"/>
  <c r="BK268" i="54"/>
  <c r="BL268" i="54"/>
  <c r="BN268" i="54"/>
  <c r="BO268" i="54"/>
  <c r="BP268" i="54"/>
  <c r="BQ268" i="54"/>
  <c r="BR268" i="54"/>
  <c r="BS268" i="54"/>
  <c r="BT268" i="54"/>
  <c r="BU268" i="54"/>
  <c r="BV268" i="54"/>
  <c r="BW268" i="54"/>
  <c r="BX268" i="54"/>
  <c r="BY268" i="54"/>
  <c r="BZ268" i="54"/>
  <c r="CA268" i="54"/>
  <c r="CB268" i="54"/>
  <c r="CC268" i="54"/>
  <c r="CD268" i="54"/>
  <c r="CE268" i="54"/>
  <c r="CF268" i="54"/>
  <c r="CG268" i="54"/>
  <c r="CH268" i="54"/>
  <c r="CI268" i="54"/>
  <c r="CJ268" i="54"/>
  <c r="CK268" i="54"/>
  <c r="CL268" i="54"/>
  <c r="CM268" i="54"/>
  <c r="CN268" i="54"/>
  <c r="CO268" i="54"/>
  <c r="CP268" i="54"/>
  <c r="CQ268" i="54"/>
  <c r="CR268" i="54"/>
  <c r="CS268" i="54"/>
  <c r="CT268" i="54"/>
  <c r="CU268" i="54"/>
  <c r="CV268" i="54"/>
  <c r="CW268" i="54"/>
  <c r="CX268" i="54"/>
  <c r="BK269" i="54"/>
  <c r="BL269" i="54"/>
  <c r="BN269" i="54"/>
  <c r="BO269" i="54"/>
  <c r="BP269" i="54"/>
  <c r="BQ269" i="54"/>
  <c r="BR269" i="54"/>
  <c r="BS269" i="54"/>
  <c r="BT269" i="54"/>
  <c r="BU269" i="54"/>
  <c r="BV269" i="54"/>
  <c r="BW269" i="54"/>
  <c r="BX269" i="54"/>
  <c r="BY269" i="54"/>
  <c r="BZ269" i="54"/>
  <c r="CA269" i="54"/>
  <c r="CB269" i="54"/>
  <c r="CC269" i="54"/>
  <c r="CD269" i="54"/>
  <c r="CE269" i="54"/>
  <c r="CF269" i="54"/>
  <c r="CG269" i="54"/>
  <c r="CH269" i="54"/>
  <c r="CI269" i="54"/>
  <c r="CJ269" i="54"/>
  <c r="CK269" i="54"/>
  <c r="CL269" i="54"/>
  <c r="CM269" i="54"/>
  <c r="CN269" i="54"/>
  <c r="CO269" i="54"/>
  <c r="CP269" i="54"/>
  <c r="CQ269" i="54"/>
  <c r="CR269" i="54"/>
  <c r="CS269" i="54"/>
  <c r="CT269" i="54"/>
  <c r="CU269" i="54"/>
  <c r="CV269" i="54"/>
  <c r="CW269" i="54"/>
  <c r="CX269" i="54"/>
  <c r="BK270" i="54"/>
  <c r="BL270" i="54"/>
  <c r="BN270" i="54"/>
  <c r="BO270" i="54"/>
  <c r="BP270" i="54"/>
  <c r="BQ270" i="54"/>
  <c r="BR270" i="54"/>
  <c r="BS270" i="54"/>
  <c r="BT270" i="54"/>
  <c r="BU270" i="54"/>
  <c r="BV270" i="54"/>
  <c r="BW270" i="54"/>
  <c r="BX270" i="54"/>
  <c r="BY270" i="54"/>
  <c r="BZ270" i="54"/>
  <c r="CA270" i="54"/>
  <c r="CB270" i="54"/>
  <c r="CC270" i="54"/>
  <c r="CD270" i="54"/>
  <c r="CE270" i="54"/>
  <c r="CF270" i="54"/>
  <c r="CG270" i="54"/>
  <c r="CH270" i="54"/>
  <c r="CI270" i="54"/>
  <c r="CJ270" i="54"/>
  <c r="CK270" i="54"/>
  <c r="CL270" i="54"/>
  <c r="CM270" i="54"/>
  <c r="CN270" i="54"/>
  <c r="CO270" i="54"/>
  <c r="CP270" i="54"/>
  <c r="CQ270" i="54"/>
  <c r="CR270" i="54"/>
  <c r="CS270" i="54"/>
  <c r="CT270" i="54"/>
  <c r="CU270" i="54"/>
  <c r="CV270" i="54"/>
  <c r="CW270" i="54"/>
  <c r="CX270" i="54"/>
  <c r="BK271" i="54"/>
  <c r="BL271" i="54"/>
  <c r="BN271" i="54"/>
  <c r="BO271" i="54"/>
  <c r="BP271" i="54"/>
  <c r="BQ271" i="54"/>
  <c r="BR271" i="54"/>
  <c r="BS271" i="54"/>
  <c r="BT271" i="54"/>
  <c r="BU271" i="54"/>
  <c r="BV271" i="54"/>
  <c r="BW271" i="54"/>
  <c r="BX271" i="54"/>
  <c r="BY271" i="54"/>
  <c r="BZ271" i="54"/>
  <c r="CA271" i="54"/>
  <c r="CB271" i="54"/>
  <c r="CC271" i="54"/>
  <c r="CD271" i="54"/>
  <c r="CE271" i="54"/>
  <c r="CF271" i="54"/>
  <c r="CG271" i="54"/>
  <c r="CH271" i="54"/>
  <c r="CI271" i="54"/>
  <c r="CJ271" i="54"/>
  <c r="CK271" i="54"/>
  <c r="CL271" i="54"/>
  <c r="CM271" i="54"/>
  <c r="CN271" i="54"/>
  <c r="CO271" i="54"/>
  <c r="CP271" i="54"/>
  <c r="CQ271" i="54"/>
  <c r="CR271" i="54"/>
  <c r="CS271" i="54"/>
  <c r="CT271" i="54"/>
  <c r="CU271" i="54"/>
  <c r="CV271" i="54"/>
  <c r="CW271" i="54"/>
  <c r="CX271" i="54"/>
  <c r="BK272" i="54"/>
  <c r="BL272" i="54"/>
  <c r="BN272" i="54"/>
  <c r="BO272" i="54"/>
  <c r="BP272" i="54"/>
  <c r="BQ272" i="54"/>
  <c r="BR272" i="54"/>
  <c r="BS272" i="54"/>
  <c r="BT272" i="54"/>
  <c r="BU272" i="54"/>
  <c r="BV272" i="54"/>
  <c r="BW272" i="54"/>
  <c r="BX272" i="54"/>
  <c r="BY272" i="54"/>
  <c r="BZ272" i="54"/>
  <c r="CA272" i="54"/>
  <c r="CB272" i="54"/>
  <c r="CC272" i="54"/>
  <c r="CD272" i="54"/>
  <c r="CE272" i="54"/>
  <c r="CF272" i="54"/>
  <c r="CG272" i="54"/>
  <c r="CH272" i="54"/>
  <c r="CI272" i="54"/>
  <c r="CJ272" i="54"/>
  <c r="CK272" i="54"/>
  <c r="CL272" i="54"/>
  <c r="CM272" i="54"/>
  <c r="CN272" i="54"/>
  <c r="CO272" i="54"/>
  <c r="CP272" i="54"/>
  <c r="CQ272" i="54"/>
  <c r="CR272" i="54"/>
  <c r="CS272" i="54"/>
  <c r="CT272" i="54"/>
  <c r="CU272" i="54"/>
  <c r="CV272" i="54"/>
  <c r="CW272" i="54"/>
  <c r="CX272" i="54"/>
  <c r="BK273" i="54"/>
  <c r="BL273" i="54"/>
  <c r="BN273" i="54"/>
  <c r="BO273" i="54"/>
  <c r="BP273" i="54"/>
  <c r="BQ273" i="54"/>
  <c r="BR273" i="54"/>
  <c r="BS273" i="54"/>
  <c r="BT273" i="54"/>
  <c r="BU273" i="54"/>
  <c r="BV273" i="54"/>
  <c r="BW273" i="54"/>
  <c r="BX273" i="54"/>
  <c r="BY273" i="54"/>
  <c r="BZ273" i="54"/>
  <c r="CA273" i="54"/>
  <c r="CB273" i="54"/>
  <c r="CC273" i="54"/>
  <c r="CD273" i="54"/>
  <c r="CE273" i="54"/>
  <c r="CF273" i="54"/>
  <c r="CG273" i="54"/>
  <c r="CH273" i="54"/>
  <c r="CI273" i="54"/>
  <c r="CJ273" i="54"/>
  <c r="CK273" i="54"/>
  <c r="CL273" i="54"/>
  <c r="CM273" i="54"/>
  <c r="CN273" i="54"/>
  <c r="CO273" i="54"/>
  <c r="CP273" i="54"/>
  <c r="CQ273" i="54"/>
  <c r="CR273" i="54"/>
  <c r="CS273" i="54"/>
  <c r="CT273" i="54"/>
  <c r="CU273" i="54"/>
  <c r="CV273" i="54"/>
  <c r="CW273" i="54"/>
  <c r="CX273" i="54"/>
  <c r="BK274" i="54"/>
  <c r="BL274" i="54"/>
  <c r="BN274" i="54"/>
  <c r="BO274" i="54"/>
  <c r="BP274" i="54"/>
  <c r="BQ274" i="54"/>
  <c r="BR274" i="54"/>
  <c r="BS274" i="54"/>
  <c r="BT274" i="54"/>
  <c r="BU274" i="54"/>
  <c r="BV274" i="54"/>
  <c r="BW274" i="54"/>
  <c r="BX274" i="54"/>
  <c r="BY274" i="54"/>
  <c r="BZ274" i="54"/>
  <c r="CA274" i="54"/>
  <c r="CB274" i="54"/>
  <c r="CC274" i="54"/>
  <c r="CD274" i="54"/>
  <c r="CE274" i="54"/>
  <c r="CF274" i="54"/>
  <c r="CG274" i="54"/>
  <c r="CH274" i="54"/>
  <c r="CI274" i="54"/>
  <c r="CJ274" i="54"/>
  <c r="CK274" i="54"/>
  <c r="CL274" i="54"/>
  <c r="CM274" i="54"/>
  <c r="CN274" i="54"/>
  <c r="CO274" i="54"/>
  <c r="CP274" i="54"/>
  <c r="CQ274" i="54"/>
  <c r="CR274" i="54"/>
  <c r="CS274" i="54"/>
  <c r="CT274" i="54"/>
  <c r="CU274" i="54"/>
  <c r="CV274" i="54"/>
  <c r="CW274" i="54"/>
  <c r="CX274" i="54"/>
  <c r="BK275" i="54"/>
  <c r="BL275" i="54"/>
  <c r="BN275" i="54"/>
  <c r="BO275" i="54"/>
  <c r="BP275" i="54"/>
  <c r="BQ275" i="54"/>
  <c r="BR275" i="54"/>
  <c r="BS275" i="54"/>
  <c r="BT275" i="54"/>
  <c r="BU275" i="54"/>
  <c r="BV275" i="54"/>
  <c r="BW275" i="54"/>
  <c r="BX275" i="54"/>
  <c r="BY275" i="54"/>
  <c r="BZ275" i="54"/>
  <c r="CA275" i="54"/>
  <c r="CB275" i="54"/>
  <c r="CC275" i="54"/>
  <c r="CD275" i="54"/>
  <c r="CE275" i="54"/>
  <c r="CF275" i="54"/>
  <c r="CG275" i="54"/>
  <c r="CH275" i="54"/>
  <c r="CI275" i="54"/>
  <c r="CJ275" i="54"/>
  <c r="CK275" i="54"/>
  <c r="CL275" i="54"/>
  <c r="CM275" i="54"/>
  <c r="CN275" i="54"/>
  <c r="CO275" i="54"/>
  <c r="CP275" i="54"/>
  <c r="CQ275" i="54"/>
  <c r="CR275" i="54"/>
  <c r="CS275" i="54"/>
  <c r="CT275" i="54"/>
  <c r="CU275" i="54"/>
  <c r="CV275" i="54"/>
  <c r="CW275" i="54"/>
  <c r="CX275" i="54"/>
  <c r="CI275" i="21"/>
  <c r="BK276" i="54"/>
  <c r="BL276" i="54"/>
  <c r="BN276" i="54"/>
  <c r="BO276" i="54"/>
  <c r="BP276" i="54"/>
  <c r="BQ276" i="54"/>
  <c r="BR276" i="54"/>
  <c r="BS276" i="54"/>
  <c r="BT276" i="54"/>
  <c r="BU276" i="54"/>
  <c r="BV276" i="54"/>
  <c r="BW276" i="54"/>
  <c r="BX276" i="54"/>
  <c r="BY276" i="54"/>
  <c r="BZ276" i="54"/>
  <c r="CA276" i="54"/>
  <c r="CB276" i="54"/>
  <c r="CC276" i="54"/>
  <c r="CD276" i="54"/>
  <c r="CE276" i="54"/>
  <c r="CF276" i="54"/>
  <c r="CG276" i="54"/>
  <c r="CH276" i="54"/>
  <c r="CI276" i="54"/>
  <c r="CJ276" i="54"/>
  <c r="CK276" i="54"/>
  <c r="CL276" i="54"/>
  <c r="CM276" i="54"/>
  <c r="CN276" i="54"/>
  <c r="CO276" i="54"/>
  <c r="CP276" i="54"/>
  <c r="CQ276" i="54"/>
  <c r="CR276" i="54"/>
  <c r="CS276" i="54"/>
  <c r="CT276" i="54"/>
  <c r="CU276" i="54"/>
  <c r="CV276" i="54"/>
  <c r="CW276" i="54"/>
  <c r="CX276" i="54"/>
  <c r="BK277" i="54"/>
  <c r="BL277" i="54"/>
  <c r="BN277" i="54"/>
  <c r="BO277" i="54"/>
  <c r="BP277" i="54"/>
  <c r="BQ277" i="54"/>
  <c r="BR277" i="54"/>
  <c r="BS277" i="54"/>
  <c r="BT277" i="54"/>
  <c r="BU277" i="54"/>
  <c r="BV277" i="54"/>
  <c r="BW277" i="54"/>
  <c r="BX277" i="54"/>
  <c r="BY277" i="54"/>
  <c r="BZ277" i="54"/>
  <c r="CA277" i="54"/>
  <c r="CB277" i="54"/>
  <c r="CC277" i="54"/>
  <c r="CD277" i="54"/>
  <c r="CE277" i="54"/>
  <c r="CF277" i="54"/>
  <c r="CG277" i="54"/>
  <c r="CH277" i="54"/>
  <c r="CI277" i="54"/>
  <c r="CJ277" i="54"/>
  <c r="CK277" i="54"/>
  <c r="CL277" i="54"/>
  <c r="CM277" i="54"/>
  <c r="CN277" i="54"/>
  <c r="CO277" i="54"/>
  <c r="CP277" i="54"/>
  <c r="CQ277" i="54"/>
  <c r="CR277" i="54"/>
  <c r="CS277" i="54"/>
  <c r="CT277" i="54"/>
  <c r="CU277" i="54"/>
  <c r="CV277" i="54"/>
  <c r="CW277" i="54"/>
  <c r="CX277" i="54"/>
  <c r="BK278" i="54"/>
  <c r="BL278" i="54"/>
  <c r="BN278" i="54"/>
  <c r="BO278" i="54"/>
  <c r="BP278" i="54"/>
  <c r="BQ278" i="54"/>
  <c r="BR278" i="54"/>
  <c r="BS278" i="54"/>
  <c r="BT278" i="54"/>
  <c r="BU278" i="54"/>
  <c r="BV278" i="54"/>
  <c r="BW278" i="54"/>
  <c r="BX278" i="54"/>
  <c r="BY278" i="54"/>
  <c r="BZ278" i="54"/>
  <c r="CA278" i="54"/>
  <c r="CB278" i="54"/>
  <c r="CC278" i="54"/>
  <c r="CD278" i="54"/>
  <c r="CE278" i="54"/>
  <c r="CF278" i="54"/>
  <c r="CG278" i="54"/>
  <c r="CH278" i="54"/>
  <c r="CI278" i="54"/>
  <c r="CJ278" i="54"/>
  <c r="CK278" i="54"/>
  <c r="CL278" i="54"/>
  <c r="CM278" i="54"/>
  <c r="CN278" i="54"/>
  <c r="CO278" i="54"/>
  <c r="CP278" i="54"/>
  <c r="CQ278" i="54"/>
  <c r="CR278" i="54"/>
  <c r="CS278" i="54"/>
  <c r="CT278" i="54"/>
  <c r="CU278" i="54"/>
  <c r="CV278" i="54"/>
  <c r="CW278" i="54"/>
  <c r="CX278" i="54"/>
  <c r="BK279" i="54"/>
  <c r="BL279" i="54"/>
  <c r="BN279" i="54"/>
  <c r="BO279" i="54"/>
  <c r="BP279" i="54"/>
  <c r="BQ279" i="54"/>
  <c r="BR279" i="54"/>
  <c r="BS279" i="54"/>
  <c r="BT279" i="54"/>
  <c r="BU279" i="54"/>
  <c r="BV279" i="54"/>
  <c r="BW279" i="54"/>
  <c r="BX279" i="54"/>
  <c r="BY279" i="54"/>
  <c r="BZ279" i="54"/>
  <c r="CA279" i="54"/>
  <c r="CB279" i="54"/>
  <c r="CC279" i="54"/>
  <c r="CD279" i="54"/>
  <c r="CE279" i="54"/>
  <c r="CF279" i="54"/>
  <c r="CG279" i="54"/>
  <c r="CH279" i="54"/>
  <c r="CI279" i="54"/>
  <c r="CJ279" i="54"/>
  <c r="CK279" i="54"/>
  <c r="CL279" i="54"/>
  <c r="CM279" i="54"/>
  <c r="CN279" i="54"/>
  <c r="CO279" i="54"/>
  <c r="CP279" i="54"/>
  <c r="CQ279" i="54"/>
  <c r="CR279" i="54"/>
  <c r="CS279" i="54"/>
  <c r="CT279" i="54"/>
  <c r="CU279" i="54"/>
  <c r="CV279" i="54"/>
  <c r="CW279" i="54"/>
  <c r="CX279" i="54"/>
  <c r="BK280" i="54"/>
  <c r="BL280" i="54"/>
  <c r="BN280" i="54"/>
  <c r="BO280" i="54"/>
  <c r="BP280" i="54"/>
  <c r="BQ280" i="54"/>
  <c r="BR280" i="54"/>
  <c r="BS280" i="54"/>
  <c r="BT280" i="54"/>
  <c r="BU280" i="54"/>
  <c r="BV280" i="54"/>
  <c r="BW280" i="54"/>
  <c r="BX280" i="54"/>
  <c r="BY280" i="54"/>
  <c r="BZ280" i="54"/>
  <c r="CA280" i="54"/>
  <c r="CB280" i="54"/>
  <c r="CC280" i="54"/>
  <c r="CD280" i="54"/>
  <c r="CE280" i="54"/>
  <c r="CF280" i="54"/>
  <c r="CG280" i="54"/>
  <c r="CH280" i="54"/>
  <c r="CI280" i="54"/>
  <c r="CJ280" i="54"/>
  <c r="CK280" i="54"/>
  <c r="CL280" i="54"/>
  <c r="CM280" i="54"/>
  <c r="CN280" i="54"/>
  <c r="CO280" i="54"/>
  <c r="CP280" i="54"/>
  <c r="CQ280" i="54"/>
  <c r="CR280" i="54"/>
  <c r="CS280" i="54"/>
  <c r="CT280" i="54"/>
  <c r="CU280" i="54"/>
  <c r="CV280" i="54"/>
  <c r="CW280" i="54"/>
  <c r="CX280" i="54"/>
  <c r="BK281" i="54"/>
  <c r="BL281" i="54"/>
  <c r="BN281" i="54"/>
  <c r="BO281" i="54"/>
  <c r="BP281" i="54"/>
  <c r="BQ281" i="54"/>
  <c r="BR281" i="54"/>
  <c r="BS281" i="54"/>
  <c r="BT281" i="54"/>
  <c r="BU281" i="54"/>
  <c r="BV281" i="54"/>
  <c r="BW281" i="54"/>
  <c r="BX281" i="54"/>
  <c r="BY281" i="54"/>
  <c r="BZ281" i="54"/>
  <c r="CA281" i="54"/>
  <c r="CB281" i="54"/>
  <c r="CC281" i="54"/>
  <c r="CD281" i="54"/>
  <c r="CE281" i="54"/>
  <c r="CF281" i="54"/>
  <c r="CG281" i="54"/>
  <c r="CH281" i="54"/>
  <c r="CI281" i="54"/>
  <c r="CJ281" i="54"/>
  <c r="CK281" i="54"/>
  <c r="CL281" i="54"/>
  <c r="CM281" i="54"/>
  <c r="CN281" i="54"/>
  <c r="CO281" i="54"/>
  <c r="CP281" i="54"/>
  <c r="CQ281" i="54"/>
  <c r="CR281" i="54"/>
  <c r="CS281" i="54"/>
  <c r="CT281" i="54"/>
  <c r="CU281" i="54"/>
  <c r="CV281" i="54"/>
  <c r="CW281" i="54"/>
  <c r="CX281" i="54"/>
  <c r="CG281" i="21"/>
  <c r="BK282" i="54"/>
  <c r="BL282" i="54"/>
  <c r="BN282" i="54"/>
  <c r="BO282" i="54"/>
  <c r="BP282" i="54"/>
  <c r="BQ282" i="54"/>
  <c r="BR282" i="54"/>
  <c r="BS282" i="54"/>
  <c r="BT282" i="54"/>
  <c r="BU282" i="54"/>
  <c r="BV282" i="54"/>
  <c r="BW282" i="54"/>
  <c r="BX282" i="54"/>
  <c r="BY282" i="54"/>
  <c r="BZ282" i="54"/>
  <c r="CA282" i="54"/>
  <c r="CB282" i="54"/>
  <c r="CC282" i="54"/>
  <c r="CD282" i="54"/>
  <c r="CE282" i="54"/>
  <c r="CF282" i="54"/>
  <c r="CG282" i="54"/>
  <c r="CH282" i="54"/>
  <c r="CI282" i="54"/>
  <c r="CJ282" i="54"/>
  <c r="CK282" i="54"/>
  <c r="CL282" i="54"/>
  <c r="CM282" i="54"/>
  <c r="CN282" i="54"/>
  <c r="CO282" i="54"/>
  <c r="CP282" i="54"/>
  <c r="CQ282" i="54"/>
  <c r="CR282" i="54"/>
  <c r="CS282" i="54"/>
  <c r="CT282" i="54"/>
  <c r="CU282" i="54"/>
  <c r="CV282" i="54"/>
  <c r="CW282" i="54"/>
  <c r="CX282" i="54"/>
  <c r="CG282" i="21"/>
  <c r="BK283" i="54"/>
  <c r="BL283" i="54"/>
  <c r="BN283" i="54"/>
  <c r="BO283" i="54"/>
  <c r="BP283" i="54"/>
  <c r="BQ283" i="54"/>
  <c r="BR283" i="54"/>
  <c r="BS283" i="54"/>
  <c r="BT283" i="54"/>
  <c r="BU283" i="54"/>
  <c r="BV283" i="54"/>
  <c r="BW283" i="54"/>
  <c r="BX283" i="54"/>
  <c r="BY283" i="54"/>
  <c r="BZ283" i="54"/>
  <c r="CA283" i="54"/>
  <c r="CB283" i="54"/>
  <c r="CC283" i="54"/>
  <c r="CD283" i="54"/>
  <c r="CE283" i="54"/>
  <c r="CF283" i="54"/>
  <c r="CG283" i="54"/>
  <c r="CH283" i="54"/>
  <c r="CI283" i="54"/>
  <c r="CJ283" i="54"/>
  <c r="CK283" i="54"/>
  <c r="CL283" i="54"/>
  <c r="CM283" i="54"/>
  <c r="CN283" i="54"/>
  <c r="CO283" i="54"/>
  <c r="CP283" i="54"/>
  <c r="CQ283" i="54"/>
  <c r="CR283" i="54"/>
  <c r="CS283" i="54"/>
  <c r="CT283" i="54"/>
  <c r="CU283" i="54"/>
  <c r="CV283" i="54"/>
  <c r="CW283" i="54"/>
  <c r="CX283" i="54"/>
  <c r="BK284" i="54"/>
  <c r="BL284" i="54"/>
  <c r="BN284" i="54"/>
  <c r="BO284" i="54"/>
  <c r="BP284" i="54"/>
  <c r="BQ284" i="54"/>
  <c r="BR284" i="54"/>
  <c r="BS284" i="54"/>
  <c r="BT284" i="54"/>
  <c r="BU284" i="54"/>
  <c r="BV284" i="54"/>
  <c r="BW284" i="54"/>
  <c r="BX284" i="54"/>
  <c r="BY284" i="54"/>
  <c r="BZ284" i="54"/>
  <c r="CA284" i="54"/>
  <c r="CB284" i="54"/>
  <c r="CC284" i="54"/>
  <c r="CD284" i="54"/>
  <c r="CE284" i="54"/>
  <c r="CF284" i="54"/>
  <c r="CG284" i="54"/>
  <c r="CH284" i="54"/>
  <c r="CI284" i="54"/>
  <c r="CJ284" i="54"/>
  <c r="CK284" i="54"/>
  <c r="CL284" i="54"/>
  <c r="CM284" i="54"/>
  <c r="CN284" i="54"/>
  <c r="CO284" i="54"/>
  <c r="CP284" i="54"/>
  <c r="CQ284" i="54"/>
  <c r="CR284" i="54"/>
  <c r="CS284" i="54"/>
  <c r="CT284" i="54"/>
  <c r="CU284" i="54"/>
  <c r="CV284" i="54"/>
  <c r="CW284" i="54"/>
  <c r="CX284" i="54"/>
  <c r="BK285" i="54"/>
  <c r="BL285" i="54"/>
  <c r="BN285" i="54"/>
  <c r="BO285" i="54"/>
  <c r="BP285" i="54"/>
  <c r="BQ285" i="54"/>
  <c r="BR285" i="54"/>
  <c r="BS285" i="54"/>
  <c r="BT285" i="54"/>
  <c r="BU285" i="54"/>
  <c r="BV285" i="54"/>
  <c r="BW285" i="54"/>
  <c r="BX285" i="54"/>
  <c r="BY285" i="54"/>
  <c r="BZ285" i="54"/>
  <c r="CA285" i="54"/>
  <c r="CB285" i="54"/>
  <c r="CC285" i="54"/>
  <c r="CD285" i="54"/>
  <c r="CE285" i="54"/>
  <c r="CF285" i="54"/>
  <c r="CG285" i="54"/>
  <c r="CH285" i="54"/>
  <c r="CI285" i="54"/>
  <c r="CJ285" i="54"/>
  <c r="CK285" i="54"/>
  <c r="CL285" i="54"/>
  <c r="CM285" i="54"/>
  <c r="CN285" i="54"/>
  <c r="CO285" i="54"/>
  <c r="CP285" i="54"/>
  <c r="CQ285" i="54"/>
  <c r="CR285" i="54"/>
  <c r="CS285" i="54"/>
  <c r="CT285" i="54"/>
  <c r="CU285" i="54"/>
  <c r="CV285" i="54"/>
  <c r="CW285" i="54"/>
  <c r="CX285" i="54"/>
  <c r="BK286" i="54"/>
  <c r="BL286" i="54"/>
  <c r="BN286" i="54"/>
  <c r="BO286" i="54"/>
  <c r="BP286" i="54"/>
  <c r="BQ286" i="54"/>
  <c r="BR286" i="54"/>
  <c r="BS286" i="54"/>
  <c r="BT286" i="54"/>
  <c r="BU286" i="54"/>
  <c r="BV286" i="54"/>
  <c r="BW286" i="54"/>
  <c r="BX286" i="54"/>
  <c r="BY286" i="54"/>
  <c r="BZ286" i="54"/>
  <c r="CA286" i="54"/>
  <c r="CB286" i="54"/>
  <c r="CC286" i="54"/>
  <c r="CD286" i="54"/>
  <c r="CE286" i="54"/>
  <c r="CF286" i="54"/>
  <c r="CG286" i="54"/>
  <c r="CH286" i="54"/>
  <c r="CI286" i="54"/>
  <c r="CJ286" i="54"/>
  <c r="CK286" i="54"/>
  <c r="CL286" i="54"/>
  <c r="CM286" i="54"/>
  <c r="CN286" i="54"/>
  <c r="CO286" i="54"/>
  <c r="CP286" i="54"/>
  <c r="CQ286" i="54"/>
  <c r="CR286" i="54"/>
  <c r="CS286" i="54"/>
  <c r="CT286" i="54"/>
  <c r="CU286" i="54"/>
  <c r="CV286" i="54"/>
  <c r="CW286" i="54"/>
  <c r="CX286" i="54"/>
  <c r="BK287" i="54"/>
  <c r="BL287" i="54"/>
  <c r="BN287" i="54"/>
  <c r="BO287" i="54"/>
  <c r="BP287" i="54"/>
  <c r="BQ287" i="54"/>
  <c r="BR287" i="54"/>
  <c r="BS287" i="54"/>
  <c r="BT287" i="54"/>
  <c r="BU287" i="54"/>
  <c r="BV287" i="54"/>
  <c r="BW287" i="54"/>
  <c r="BX287" i="54"/>
  <c r="BY287" i="54"/>
  <c r="BZ287" i="54"/>
  <c r="CA287" i="54"/>
  <c r="CB287" i="54"/>
  <c r="CC287" i="54"/>
  <c r="CD287" i="54"/>
  <c r="CE287" i="54"/>
  <c r="CF287" i="54"/>
  <c r="CG287" i="54"/>
  <c r="CH287" i="54"/>
  <c r="CI287" i="54"/>
  <c r="CJ287" i="54"/>
  <c r="CK287" i="54"/>
  <c r="CL287" i="54"/>
  <c r="CM287" i="54"/>
  <c r="CN287" i="54"/>
  <c r="CO287" i="54"/>
  <c r="CP287" i="54"/>
  <c r="CQ287" i="54"/>
  <c r="CR287" i="54"/>
  <c r="CS287" i="54"/>
  <c r="CT287" i="54"/>
  <c r="CU287" i="54"/>
  <c r="CV287" i="54"/>
  <c r="CW287" i="54"/>
  <c r="CX287" i="54"/>
  <c r="CI287" i="21"/>
  <c r="BK288" i="54"/>
  <c r="BL288" i="54"/>
  <c r="BN288" i="54"/>
  <c r="BO288" i="54"/>
  <c r="BP288" i="54"/>
  <c r="BQ288" i="54"/>
  <c r="BR288" i="54"/>
  <c r="BS288" i="54"/>
  <c r="BT288" i="54"/>
  <c r="BU288" i="54"/>
  <c r="BV288" i="54"/>
  <c r="BW288" i="54"/>
  <c r="BX288" i="54"/>
  <c r="BY288" i="54"/>
  <c r="BZ288" i="54"/>
  <c r="CA288" i="54"/>
  <c r="CB288" i="54"/>
  <c r="CC288" i="54"/>
  <c r="CD288" i="54"/>
  <c r="CE288" i="54"/>
  <c r="CF288" i="54"/>
  <c r="CG288" i="54"/>
  <c r="CH288" i="54"/>
  <c r="CI288" i="54"/>
  <c r="CJ288" i="54"/>
  <c r="CK288" i="54"/>
  <c r="CL288" i="54"/>
  <c r="CM288" i="54"/>
  <c r="CN288" i="54"/>
  <c r="CO288" i="54"/>
  <c r="CP288" i="54"/>
  <c r="CQ288" i="54"/>
  <c r="CR288" i="54"/>
  <c r="CS288" i="54"/>
  <c r="CT288" i="54"/>
  <c r="CU288" i="54"/>
  <c r="CV288" i="54"/>
  <c r="CW288" i="54"/>
  <c r="CX288" i="54"/>
  <c r="CI288" i="21"/>
  <c r="BK289" i="54"/>
  <c r="BL289" i="54"/>
  <c r="BN289" i="54"/>
  <c r="BO289" i="54"/>
  <c r="BP289" i="54"/>
  <c r="BQ289" i="54"/>
  <c r="BR289" i="54"/>
  <c r="BS289" i="54"/>
  <c r="BT289" i="54"/>
  <c r="BU289" i="54"/>
  <c r="BV289" i="54"/>
  <c r="BW289" i="54"/>
  <c r="BX289" i="54"/>
  <c r="BY289" i="54"/>
  <c r="BZ289" i="54"/>
  <c r="CA289" i="54"/>
  <c r="CB289" i="54"/>
  <c r="CC289" i="54"/>
  <c r="CD289" i="54"/>
  <c r="CE289" i="54"/>
  <c r="CF289" i="54"/>
  <c r="CG289" i="54"/>
  <c r="CH289" i="54"/>
  <c r="CI289" i="54"/>
  <c r="CJ289" i="54"/>
  <c r="CK289" i="54"/>
  <c r="CL289" i="54"/>
  <c r="CM289" i="54"/>
  <c r="CN289" i="54"/>
  <c r="CO289" i="54"/>
  <c r="CP289" i="54"/>
  <c r="CQ289" i="54"/>
  <c r="CR289" i="54"/>
  <c r="CS289" i="54"/>
  <c r="CT289" i="54"/>
  <c r="CU289" i="54"/>
  <c r="CV289" i="54"/>
  <c r="CW289" i="54"/>
  <c r="CX289" i="54"/>
  <c r="CG289" i="21"/>
  <c r="BK290" i="54"/>
  <c r="BL290" i="54"/>
  <c r="BN290" i="54"/>
  <c r="BO290" i="54"/>
  <c r="BP290" i="54"/>
  <c r="BQ290" i="54"/>
  <c r="BR290" i="54"/>
  <c r="BS290" i="54"/>
  <c r="BT290" i="54"/>
  <c r="BU290" i="54"/>
  <c r="BV290" i="54"/>
  <c r="BW290" i="54"/>
  <c r="BX290" i="54"/>
  <c r="BY290" i="54"/>
  <c r="BZ290" i="54"/>
  <c r="CA290" i="54"/>
  <c r="CB290" i="54"/>
  <c r="CC290" i="54"/>
  <c r="CD290" i="54"/>
  <c r="CE290" i="54"/>
  <c r="CF290" i="54"/>
  <c r="CG290" i="54"/>
  <c r="CH290" i="54"/>
  <c r="CI290" i="54"/>
  <c r="CJ290" i="54"/>
  <c r="CK290" i="54"/>
  <c r="CL290" i="54"/>
  <c r="CM290" i="54"/>
  <c r="CN290" i="54"/>
  <c r="CO290" i="54"/>
  <c r="CP290" i="54"/>
  <c r="CQ290" i="54"/>
  <c r="CR290" i="54"/>
  <c r="CS290" i="54"/>
  <c r="CT290" i="54"/>
  <c r="CU290" i="54"/>
  <c r="CV290" i="54"/>
  <c r="CW290" i="54"/>
  <c r="CX290" i="54"/>
  <c r="CI290" i="21"/>
  <c r="BK291" i="54"/>
  <c r="BL291" i="54"/>
  <c r="BN291" i="54"/>
  <c r="BO291" i="54"/>
  <c r="BP291" i="54"/>
  <c r="BQ291" i="54"/>
  <c r="BR291" i="54"/>
  <c r="BS291" i="54"/>
  <c r="BT291" i="54"/>
  <c r="BU291" i="54"/>
  <c r="BV291" i="54"/>
  <c r="BW291" i="54"/>
  <c r="BX291" i="54"/>
  <c r="BY291" i="54"/>
  <c r="BZ291" i="54"/>
  <c r="CA291" i="54"/>
  <c r="CB291" i="54"/>
  <c r="CC291" i="54"/>
  <c r="CD291" i="54"/>
  <c r="CE291" i="54"/>
  <c r="CF291" i="54"/>
  <c r="CG291" i="54"/>
  <c r="CH291" i="54"/>
  <c r="CI291" i="54"/>
  <c r="CJ291" i="54"/>
  <c r="CK291" i="54"/>
  <c r="CL291" i="54"/>
  <c r="CM291" i="54"/>
  <c r="CN291" i="54"/>
  <c r="CO291" i="54"/>
  <c r="CP291" i="54"/>
  <c r="CQ291" i="54"/>
  <c r="CR291" i="54"/>
  <c r="CS291" i="54"/>
  <c r="CT291" i="54"/>
  <c r="CU291" i="54"/>
  <c r="CV291" i="54"/>
  <c r="CW291" i="54"/>
  <c r="CX291" i="54"/>
  <c r="CI291" i="21"/>
  <c r="BK292" i="54"/>
  <c r="BL292" i="54"/>
  <c r="BN292" i="54"/>
  <c r="BO292" i="54"/>
  <c r="BP292" i="54"/>
  <c r="BQ292" i="54"/>
  <c r="BR292" i="54"/>
  <c r="BS292" i="54"/>
  <c r="BT292" i="54"/>
  <c r="BU292" i="54"/>
  <c r="BV292" i="54"/>
  <c r="BW292" i="54"/>
  <c r="BX292" i="54"/>
  <c r="BY292" i="54"/>
  <c r="BZ292" i="54"/>
  <c r="CA292" i="54"/>
  <c r="CB292" i="54"/>
  <c r="CC292" i="54"/>
  <c r="CD292" i="54"/>
  <c r="CE292" i="54"/>
  <c r="CF292" i="54"/>
  <c r="CG292" i="54"/>
  <c r="CH292" i="54"/>
  <c r="CI292" i="54"/>
  <c r="CJ292" i="54"/>
  <c r="CK292" i="54"/>
  <c r="CL292" i="54"/>
  <c r="CM292" i="54"/>
  <c r="CN292" i="54"/>
  <c r="CO292" i="54"/>
  <c r="CP292" i="54"/>
  <c r="CQ292" i="54"/>
  <c r="CR292" i="54"/>
  <c r="CS292" i="54"/>
  <c r="CT292" i="54"/>
  <c r="CU292" i="54"/>
  <c r="CV292" i="54"/>
  <c r="CW292" i="54"/>
  <c r="CX292" i="54"/>
  <c r="BK293" i="54"/>
  <c r="BL293" i="54"/>
  <c r="BN293" i="54"/>
  <c r="BO293" i="54"/>
  <c r="BP293" i="54"/>
  <c r="BQ293" i="54"/>
  <c r="BR293" i="54"/>
  <c r="BS293" i="54"/>
  <c r="BT293" i="54"/>
  <c r="BU293" i="54"/>
  <c r="BV293" i="54"/>
  <c r="BW293" i="54"/>
  <c r="BX293" i="54"/>
  <c r="BY293" i="54"/>
  <c r="BZ293" i="54"/>
  <c r="CA293" i="54"/>
  <c r="CB293" i="54"/>
  <c r="CC293" i="54"/>
  <c r="CD293" i="54"/>
  <c r="CE293" i="54"/>
  <c r="CF293" i="54"/>
  <c r="CG293" i="54"/>
  <c r="CH293" i="54"/>
  <c r="CI293" i="54"/>
  <c r="CJ293" i="54"/>
  <c r="CK293" i="54"/>
  <c r="CL293" i="54"/>
  <c r="CM293" i="54"/>
  <c r="CN293" i="54"/>
  <c r="CO293" i="54"/>
  <c r="CP293" i="54"/>
  <c r="CQ293" i="54"/>
  <c r="CR293" i="54"/>
  <c r="CS293" i="54"/>
  <c r="CT293" i="54"/>
  <c r="CU293" i="54"/>
  <c r="CV293" i="54"/>
  <c r="CW293" i="54"/>
  <c r="CX293" i="54"/>
  <c r="BK294" i="54"/>
  <c r="BL294" i="54"/>
  <c r="BN294" i="54"/>
  <c r="BO294" i="54"/>
  <c r="BP294" i="54"/>
  <c r="BQ294" i="54"/>
  <c r="BR294" i="54"/>
  <c r="BS294" i="54"/>
  <c r="BT294" i="54"/>
  <c r="BU294" i="54"/>
  <c r="BV294" i="54"/>
  <c r="BW294" i="54"/>
  <c r="BX294" i="54"/>
  <c r="BY294" i="54"/>
  <c r="BZ294" i="54"/>
  <c r="CA294" i="54"/>
  <c r="CB294" i="54"/>
  <c r="CC294" i="54"/>
  <c r="CD294" i="54"/>
  <c r="CE294" i="54"/>
  <c r="CF294" i="54"/>
  <c r="CG294" i="54"/>
  <c r="CH294" i="54"/>
  <c r="CI294" i="54"/>
  <c r="CJ294" i="54"/>
  <c r="CK294" i="54"/>
  <c r="CL294" i="54"/>
  <c r="CM294" i="54"/>
  <c r="CN294" i="54"/>
  <c r="CO294" i="54"/>
  <c r="CP294" i="54"/>
  <c r="CQ294" i="54"/>
  <c r="CR294" i="54"/>
  <c r="CS294" i="54"/>
  <c r="CT294" i="54"/>
  <c r="CU294" i="54"/>
  <c r="CV294" i="54"/>
  <c r="CW294" i="54"/>
  <c r="CX294" i="54"/>
  <c r="BK295" i="54"/>
  <c r="BL295" i="54"/>
  <c r="BN295" i="54"/>
  <c r="BO295" i="54"/>
  <c r="BP295" i="54"/>
  <c r="BQ295" i="54"/>
  <c r="BR295" i="54"/>
  <c r="BS295" i="54"/>
  <c r="BT295" i="54"/>
  <c r="BU295" i="54"/>
  <c r="BV295" i="54"/>
  <c r="BW295" i="54"/>
  <c r="BX295" i="54"/>
  <c r="BY295" i="54"/>
  <c r="BZ295" i="54"/>
  <c r="CA295" i="54"/>
  <c r="CB295" i="54"/>
  <c r="CC295" i="54"/>
  <c r="CD295" i="54"/>
  <c r="CE295" i="54"/>
  <c r="CF295" i="54"/>
  <c r="CG295" i="54"/>
  <c r="CH295" i="54"/>
  <c r="CI295" i="54"/>
  <c r="CJ295" i="54"/>
  <c r="CK295" i="54"/>
  <c r="CL295" i="54"/>
  <c r="CM295" i="54"/>
  <c r="CN295" i="54"/>
  <c r="CO295" i="54"/>
  <c r="CP295" i="54"/>
  <c r="CQ295" i="54"/>
  <c r="CR295" i="54"/>
  <c r="CS295" i="54"/>
  <c r="CT295" i="54"/>
  <c r="CU295" i="54"/>
  <c r="CV295" i="54"/>
  <c r="CW295" i="54"/>
  <c r="CX295" i="54"/>
  <c r="BK298" i="54"/>
  <c r="BL298" i="54"/>
  <c r="BN298" i="54"/>
  <c r="BO298" i="54"/>
  <c r="BP298" i="54"/>
  <c r="BQ298" i="54"/>
  <c r="BR298" i="54"/>
  <c r="BS298" i="54"/>
  <c r="BT298" i="54"/>
  <c r="BU298" i="54"/>
  <c r="BV298" i="54"/>
  <c r="BW298" i="54"/>
  <c r="BX298" i="54"/>
  <c r="BY298" i="54"/>
  <c r="BZ298" i="54"/>
  <c r="CA298" i="54"/>
  <c r="CB298" i="54"/>
  <c r="CC298" i="54"/>
  <c r="CD298" i="54"/>
  <c r="CE298" i="54"/>
  <c r="CF298" i="54"/>
  <c r="CG298" i="54"/>
  <c r="CH298" i="54"/>
  <c r="CI298" i="54"/>
  <c r="CJ298" i="54"/>
  <c r="CK298" i="54"/>
  <c r="CL298" i="54"/>
  <c r="CM298" i="54"/>
  <c r="CN298" i="54"/>
  <c r="CO298" i="54"/>
  <c r="CP298" i="54"/>
  <c r="CQ298" i="54"/>
  <c r="CR298" i="54"/>
  <c r="CS298" i="54"/>
  <c r="CT298" i="54"/>
  <c r="CU298" i="54"/>
  <c r="CV298" i="54"/>
  <c r="CW298" i="54"/>
  <c r="CX298" i="54"/>
  <c r="BK299" i="54"/>
  <c r="BL299" i="54"/>
  <c r="BN299" i="54"/>
  <c r="BO299" i="54"/>
  <c r="BP299" i="54"/>
  <c r="BQ299" i="54"/>
  <c r="BR299" i="54"/>
  <c r="BS299" i="54"/>
  <c r="BT299" i="54"/>
  <c r="BU299" i="54"/>
  <c r="BV299" i="54"/>
  <c r="BW299" i="54"/>
  <c r="BX299" i="54"/>
  <c r="BY299" i="54"/>
  <c r="BZ299" i="54"/>
  <c r="CA299" i="54"/>
  <c r="CB299" i="54"/>
  <c r="CC299" i="54"/>
  <c r="CD299" i="54"/>
  <c r="CE299" i="54"/>
  <c r="CF299" i="54"/>
  <c r="CG299" i="54"/>
  <c r="CH299" i="54"/>
  <c r="CI299" i="54"/>
  <c r="CJ299" i="54"/>
  <c r="CK299" i="54"/>
  <c r="CL299" i="54"/>
  <c r="CM299" i="54"/>
  <c r="CN299" i="54"/>
  <c r="CO299" i="54"/>
  <c r="CP299" i="54"/>
  <c r="CQ299" i="54"/>
  <c r="CR299" i="54"/>
  <c r="CS299" i="54"/>
  <c r="CT299" i="54"/>
  <c r="CU299" i="54"/>
  <c r="CV299" i="54"/>
  <c r="CW299" i="54"/>
  <c r="CX299" i="54"/>
  <c r="BK300" i="54"/>
  <c r="BL300" i="54"/>
  <c r="BN300" i="54"/>
  <c r="BO300" i="54"/>
  <c r="BP300" i="54"/>
  <c r="BQ300" i="54"/>
  <c r="BR300" i="54"/>
  <c r="BS300" i="54"/>
  <c r="BT300" i="54"/>
  <c r="BU300" i="54"/>
  <c r="BV300" i="54"/>
  <c r="BW300" i="54"/>
  <c r="BX300" i="54"/>
  <c r="BY300" i="54"/>
  <c r="BZ300" i="54"/>
  <c r="CA300" i="54"/>
  <c r="CB300" i="54"/>
  <c r="CC300" i="54"/>
  <c r="CD300" i="54"/>
  <c r="CE300" i="54"/>
  <c r="CF300" i="54"/>
  <c r="CG300" i="54"/>
  <c r="CH300" i="54"/>
  <c r="CI300" i="54"/>
  <c r="CJ300" i="54"/>
  <c r="CK300" i="54"/>
  <c r="CL300" i="54"/>
  <c r="CM300" i="54"/>
  <c r="CN300" i="54"/>
  <c r="CO300" i="54"/>
  <c r="CP300" i="54"/>
  <c r="CQ300" i="54"/>
  <c r="CR300" i="54"/>
  <c r="CS300" i="54"/>
  <c r="CT300" i="54"/>
  <c r="CU300" i="54"/>
  <c r="CV300" i="54"/>
  <c r="CW300" i="54"/>
  <c r="CX300" i="54"/>
  <c r="BK301" i="54"/>
  <c r="BL301" i="54"/>
  <c r="BN301" i="54"/>
  <c r="BO301" i="54"/>
  <c r="BP301" i="54"/>
  <c r="BQ301" i="54"/>
  <c r="BR301" i="54"/>
  <c r="BS301" i="54"/>
  <c r="BT301" i="54"/>
  <c r="BU301" i="54"/>
  <c r="BV301" i="54"/>
  <c r="BW301" i="54"/>
  <c r="BX301" i="54"/>
  <c r="BY301" i="54"/>
  <c r="BZ301" i="54"/>
  <c r="CA301" i="54"/>
  <c r="CB301" i="54"/>
  <c r="CC301" i="54"/>
  <c r="CD301" i="54"/>
  <c r="CE301" i="54"/>
  <c r="CF301" i="54"/>
  <c r="CG301" i="54"/>
  <c r="CH301" i="54"/>
  <c r="CI301" i="54"/>
  <c r="CJ301" i="54"/>
  <c r="CK301" i="54"/>
  <c r="CL301" i="54"/>
  <c r="CM301" i="54"/>
  <c r="CN301" i="54"/>
  <c r="CO301" i="54"/>
  <c r="CP301" i="54"/>
  <c r="CQ301" i="54"/>
  <c r="CR301" i="54"/>
  <c r="CS301" i="54"/>
  <c r="CT301" i="54"/>
  <c r="CU301" i="54"/>
  <c r="CV301" i="54"/>
  <c r="CW301" i="54"/>
  <c r="CX301" i="54"/>
  <c r="BK302" i="54"/>
  <c r="BL302" i="54"/>
  <c r="BN302" i="54"/>
  <c r="BO302" i="54"/>
  <c r="BP302" i="54"/>
  <c r="BQ302" i="54"/>
  <c r="BR302" i="54"/>
  <c r="BS302" i="54"/>
  <c r="BT302" i="54"/>
  <c r="BU302" i="54"/>
  <c r="BV302" i="54"/>
  <c r="BW302" i="54"/>
  <c r="BX302" i="54"/>
  <c r="BY302" i="54"/>
  <c r="BZ302" i="54"/>
  <c r="CA302" i="54"/>
  <c r="CB302" i="54"/>
  <c r="CC302" i="54"/>
  <c r="CD302" i="54"/>
  <c r="CE302" i="54"/>
  <c r="CF302" i="54"/>
  <c r="CG302" i="54"/>
  <c r="CH302" i="54"/>
  <c r="CI302" i="54"/>
  <c r="CJ302" i="54"/>
  <c r="CK302" i="54"/>
  <c r="CL302" i="54"/>
  <c r="CM302" i="54"/>
  <c r="CN302" i="54"/>
  <c r="CO302" i="54"/>
  <c r="CP302" i="54"/>
  <c r="CQ302" i="54"/>
  <c r="CR302" i="54"/>
  <c r="CS302" i="54"/>
  <c r="CT302" i="54"/>
  <c r="CU302" i="54"/>
  <c r="CV302" i="54"/>
  <c r="CW302" i="54"/>
  <c r="CX302" i="54"/>
  <c r="BK303" i="54"/>
  <c r="BL303" i="54"/>
  <c r="BN303" i="54"/>
  <c r="BO303" i="54"/>
  <c r="BP303" i="54"/>
  <c r="BQ303" i="54"/>
  <c r="BR303" i="54"/>
  <c r="BS303" i="54"/>
  <c r="BT303" i="54"/>
  <c r="BU303" i="54"/>
  <c r="BV303" i="54"/>
  <c r="BW303" i="54"/>
  <c r="BX303" i="54"/>
  <c r="BY303" i="54"/>
  <c r="BZ303" i="54"/>
  <c r="CA303" i="54"/>
  <c r="CB303" i="54"/>
  <c r="CC303" i="54"/>
  <c r="CD303" i="54"/>
  <c r="CE303" i="54"/>
  <c r="CF303" i="54"/>
  <c r="CG303" i="54"/>
  <c r="CH303" i="54"/>
  <c r="CI303" i="54"/>
  <c r="CJ303" i="54"/>
  <c r="CK303" i="54"/>
  <c r="CL303" i="54"/>
  <c r="CM303" i="54"/>
  <c r="CN303" i="54"/>
  <c r="CO303" i="54"/>
  <c r="CP303" i="54"/>
  <c r="CQ303" i="54"/>
  <c r="CR303" i="54"/>
  <c r="CS303" i="54"/>
  <c r="CT303" i="54"/>
  <c r="CU303" i="54"/>
  <c r="CV303" i="54"/>
  <c r="CW303" i="54"/>
  <c r="CX303" i="54"/>
  <c r="BK304" i="54"/>
  <c r="BL304" i="54"/>
  <c r="BN304" i="54"/>
  <c r="BO304" i="54"/>
  <c r="BP304" i="54"/>
  <c r="BQ304" i="54"/>
  <c r="BR304" i="54"/>
  <c r="BS304" i="54"/>
  <c r="BT304" i="54"/>
  <c r="BU304" i="54"/>
  <c r="BV304" i="54"/>
  <c r="BW304" i="54"/>
  <c r="BX304" i="54"/>
  <c r="BY304" i="54"/>
  <c r="BZ304" i="54"/>
  <c r="CA304" i="54"/>
  <c r="CB304" i="54"/>
  <c r="CC304" i="54"/>
  <c r="CD304" i="54"/>
  <c r="CE304" i="54"/>
  <c r="CF304" i="54"/>
  <c r="CG304" i="54"/>
  <c r="CH304" i="54"/>
  <c r="CI304" i="54"/>
  <c r="CJ304" i="54"/>
  <c r="CK304" i="54"/>
  <c r="CL304" i="54"/>
  <c r="CM304" i="54"/>
  <c r="CN304" i="54"/>
  <c r="CO304" i="54"/>
  <c r="CP304" i="54"/>
  <c r="CQ304" i="54"/>
  <c r="CR304" i="54"/>
  <c r="CS304" i="54"/>
  <c r="CT304" i="54"/>
  <c r="CU304" i="54"/>
  <c r="CV304" i="54"/>
  <c r="CW304" i="54"/>
  <c r="CX304" i="54"/>
  <c r="BK305" i="54"/>
  <c r="BL305" i="54"/>
  <c r="BN305" i="54"/>
  <c r="BO305" i="54"/>
  <c r="BP305" i="54"/>
  <c r="BQ305" i="54"/>
  <c r="BR305" i="54"/>
  <c r="BS305" i="54"/>
  <c r="BT305" i="54"/>
  <c r="BU305" i="54"/>
  <c r="BV305" i="54"/>
  <c r="BW305" i="54"/>
  <c r="BX305" i="54"/>
  <c r="BY305" i="54"/>
  <c r="BZ305" i="54"/>
  <c r="CA305" i="54"/>
  <c r="CB305" i="54"/>
  <c r="CC305" i="54"/>
  <c r="CD305" i="54"/>
  <c r="CE305" i="54"/>
  <c r="CF305" i="54"/>
  <c r="CG305" i="54"/>
  <c r="CH305" i="54"/>
  <c r="CI305" i="54"/>
  <c r="CJ305" i="54"/>
  <c r="CK305" i="54"/>
  <c r="CL305" i="54"/>
  <c r="CM305" i="54"/>
  <c r="CN305" i="54"/>
  <c r="CO305" i="54"/>
  <c r="CP305" i="54"/>
  <c r="CQ305" i="54"/>
  <c r="CR305" i="54"/>
  <c r="CS305" i="54"/>
  <c r="CT305" i="54"/>
  <c r="CU305" i="54"/>
  <c r="CV305" i="54"/>
  <c r="CW305" i="54"/>
  <c r="CX305" i="54"/>
  <c r="BK306" i="54"/>
  <c r="BL306" i="54"/>
  <c r="BN306" i="54"/>
  <c r="BO306" i="54"/>
  <c r="BP306" i="54"/>
  <c r="BQ306" i="54"/>
  <c r="BR306" i="54"/>
  <c r="BS306" i="54"/>
  <c r="BT306" i="54"/>
  <c r="BU306" i="54"/>
  <c r="BV306" i="54"/>
  <c r="BW306" i="54"/>
  <c r="BX306" i="54"/>
  <c r="BY306" i="54"/>
  <c r="BZ306" i="54"/>
  <c r="CA306" i="54"/>
  <c r="CB306" i="54"/>
  <c r="CC306" i="54"/>
  <c r="CD306" i="54"/>
  <c r="CE306" i="54"/>
  <c r="CF306" i="54"/>
  <c r="CG306" i="54"/>
  <c r="CH306" i="54"/>
  <c r="CI306" i="54"/>
  <c r="CJ306" i="54"/>
  <c r="CK306" i="54"/>
  <c r="CL306" i="54"/>
  <c r="CM306" i="54"/>
  <c r="CN306" i="54"/>
  <c r="CO306" i="54"/>
  <c r="CP306" i="54"/>
  <c r="CQ306" i="54"/>
  <c r="CR306" i="54"/>
  <c r="CS306" i="54"/>
  <c r="CT306" i="54"/>
  <c r="CU306" i="54"/>
  <c r="CV306" i="54"/>
  <c r="CW306" i="54"/>
  <c r="CX306" i="54"/>
  <c r="BK307" i="54"/>
  <c r="BL307" i="54"/>
  <c r="BN307" i="54"/>
  <c r="BO307" i="54"/>
  <c r="BP307" i="54"/>
  <c r="BQ307" i="54"/>
  <c r="BR307" i="54"/>
  <c r="BS307" i="54"/>
  <c r="BT307" i="54"/>
  <c r="BU307" i="54"/>
  <c r="BV307" i="54"/>
  <c r="BW307" i="54"/>
  <c r="BX307" i="54"/>
  <c r="BY307" i="54"/>
  <c r="BZ307" i="54"/>
  <c r="CA307" i="54"/>
  <c r="CB307" i="54"/>
  <c r="CC307" i="54"/>
  <c r="CD307" i="54"/>
  <c r="CE307" i="54"/>
  <c r="CF307" i="54"/>
  <c r="CG307" i="54"/>
  <c r="CH307" i="54"/>
  <c r="CI307" i="54"/>
  <c r="CJ307" i="54"/>
  <c r="CK307" i="54"/>
  <c r="CL307" i="54"/>
  <c r="CM307" i="54"/>
  <c r="CN307" i="54"/>
  <c r="CO307" i="54"/>
  <c r="CP307" i="54"/>
  <c r="CQ307" i="54"/>
  <c r="CR307" i="54"/>
  <c r="CS307" i="54"/>
  <c r="CT307" i="54"/>
  <c r="CU307" i="54"/>
  <c r="CV307" i="54"/>
  <c r="CW307" i="54"/>
  <c r="CX307" i="54"/>
  <c r="BK308" i="54"/>
  <c r="BL308" i="54"/>
  <c r="BN308" i="54"/>
  <c r="BO308" i="54"/>
  <c r="BP308" i="54"/>
  <c r="BQ308" i="54"/>
  <c r="BR308" i="54"/>
  <c r="BS308" i="54"/>
  <c r="BT308" i="54"/>
  <c r="BU308" i="54"/>
  <c r="BV308" i="54"/>
  <c r="BW308" i="54"/>
  <c r="BX308" i="54"/>
  <c r="BY308" i="54"/>
  <c r="BZ308" i="54"/>
  <c r="CA308" i="54"/>
  <c r="CB308" i="54"/>
  <c r="CC308" i="54"/>
  <c r="CD308" i="54"/>
  <c r="CE308" i="54"/>
  <c r="CF308" i="54"/>
  <c r="CG308" i="54"/>
  <c r="CH308" i="54"/>
  <c r="CI308" i="54"/>
  <c r="CJ308" i="54"/>
  <c r="CK308" i="54"/>
  <c r="CL308" i="54"/>
  <c r="CM308" i="54"/>
  <c r="CN308" i="54"/>
  <c r="CO308" i="54"/>
  <c r="CP308" i="54"/>
  <c r="CQ308" i="54"/>
  <c r="CR308" i="54"/>
  <c r="CS308" i="54"/>
  <c r="CT308" i="54"/>
  <c r="CU308" i="54"/>
  <c r="CV308" i="54"/>
  <c r="CW308" i="54"/>
  <c r="CX308" i="54"/>
  <c r="BK309" i="54"/>
  <c r="BL309" i="54"/>
  <c r="BN309" i="54"/>
  <c r="BO309" i="54"/>
  <c r="BP309" i="54"/>
  <c r="BQ309" i="54"/>
  <c r="BR309" i="54"/>
  <c r="BS309" i="54"/>
  <c r="BT309" i="54"/>
  <c r="BU309" i="54"/>
  <c r="BV309" i="54"/>
  <c r="BW309" i="54"/>
  <c r="BX309" i="54"/>
  <c r="BY309" i="54"/>
  <c r="BZ309" i="54"/>
  <c r="CA309" i="54"/>
  <c r="CB309" i="54"/>
  <c r="CC309" i="54"/>
  <c r="CD309" i="54"/>
  <c r="CE309" i="54"/>
  <c r="CF309" i="54"/>
  <c r="CG309" i="54"/>
  <c r="CH309" i="54"/>
  <c r="CI309" i="54"/>
  <c r="CJ309" i="54"/>
  <c r="CK309" i="54"/>
  <c r="CL309" i="54"/>
  <c r="CM309" i="54"/>
  <c r="CN309" i="54"/>
  <c r="CO309" i="54"/>
  <c r="CP309" i="54"/>
  <c r="CQ309" i="54"/>
  <c r="CR309" i="54"/>
  <c r="CS309" i="54"/>
  <c r="CT309" i="54"/>
  <c r="CU309" i="54"/>
  <c r="CV309" i="54"/>
  <c r="CW309" i="54"/>
  <c r="CX309" i="54"/>
  <c r="BK310" i="54"/>
  <c r="BL310" i="54"/>
  <c r="BN310" i="54"/>
  <c r="BO310" i="54"/>
  <c r="BP310" i="54"/>
  <c r="BQ310" i="54"/>
  <c r="BR310" i="54"/>
  <c r="BS310" i="54"/>
  <c r="BT310" i="54"/>
  <c r="BU310" i="54"/>
  <c r="BV310" i="54"/>
  <c r="BW310" i="54"/>
  <c r="BX310" i="54"/>
  <c r="BY310" i="54"/>
  <c r="BZ310" i="54"/>
  <c r="CA310" i="54"/>
  <c r="CB310" i="54"/>
  <c r="CC310" i="54"/>
  <c r="CD310" i="54"/>
  <c r="CE310" i="54"/>
  <c r="CF310" i="54"/>
  <c r="CG310" i="54"/>
  <c r="CH310" i="54"/>
  <c r="CI310" i="54"/>
  <c r="CJ310" i="54"/>
  <c r="CK310" i="54"/>
  <c r="CL310" i="54"/>
  <c r="CM310" i="54"/>
  <c r="CN310" i="54"/>
  <c r="CO310" i="54"/>
  <c r="CP310" i="54"/>
  <c r="CQ310" i="54"/>
  <c r="CR310" i="54"/>
  <c r="CS310" i="54"/>
  <c r="CT310" i="54"/>
  <c r="CU310" i="54"/>
  <c r="CV310" i="54"/>
  <c r="CW310" i="54"/>
  <c r="CX310" i="54"/>
  <c r="BK311" i="54"/>
  <c r="BL311" i="54"/>
  <c r="BN311" i="54"/>
  <c r="BO311" i="54"/>
  <c r="BP311" i="54"/>
  <c r="BQ311" i="54"/>
  <c r="BR311" i="54"/>
  <c r="BS311" i="54"/>
  <c r="BT311" i="54"/>
  <c r="BU311" i="54"/>
  <c r="BV311" i="54"/>
  <c r="BW311" i="54"/>
  <c r="BX311" i="54"/>
  <c r="BY311" i="54"/>
  <c r="BZ311" i="54"/>
  <c r="CA311" i="54"/>
  <c r="CB311" i="54"/>
  <c r="CC311" i="54"/>
  <c r="CD311" i="54"/>
  <c r="CE311" i="54"/>
  <c r="CF311" i="54"/>
  <c r="CG311" i="54"/>
  <c r="CH311" i="54"/>
  <c r="CI311" i="54"/>
  <c r="CJ311" i="54"/>
  <c r="CK311" i="54"/>
  <c r="CL311" i="54"/>
  <c r="CM311" i="54"/>
  <c r="CN311" i="54"/>
  <c r="CO311" i="54"/>
  <c r="CP311" i="54"/>
  <c r="CQ311" i="54"/>
  <c r="CR311" i="54"/>
  <c r="CS311" i="54"/>
  <c r="CT311" i="54"/>
  <c r="CU311" i="54"/>
  <c r="CV311" i="54"/>
  <c r="CW311" i="54"/>
  <c r="CX311" i="54"/>
  <c r="BK312" i="54"/>
  <c r="BL312" i="54"/>
  <c r="BN312" i="54"/>
  <c r="BO312" i="54"/>
  <c r="BP312" i="54"/>
  <c r="BQ312" i="54"/>
  <c r="BR312" i="54"/>
  <c r="BS312" i="54"/>
  <c r="BT312" i="54"/>
  <c r="BU312" i="54"/>
  <c r="BV312" i="54"/>
  <c r="BW312" i="54"/>
  <c r="BX312" i="54"/>
  <c r="BY312" i="54"/>
  <c r="BZ312" i="54"/>
  <c r="CA312" i="54"/>
  <c r="CB312" i="54"/>
  <c r="CC312" i="54"/>
  <c r="CD312" i="54"/>
  <c r="CE312" i="54"/>
  <c r="CF312" i="54"/>
  <c r="CG312" i="54"/>
  <c r="CH312" i="54"/>
  <c r="CI312" i="54"/>
  <c r="CJ312" i="54"/>
  <c r="CK312" i="54"/>
  <c r="CL312" i="54"/>
  <c r="CM312" i="54"/>
  <c r="CN312" i="54"/>
  <c r="CO312" i="54"/>
  <c r="CP312" i="54"/>
  <c r="CQ312" i="54"/>
  <c r="CR312" i="54"/>
  <c r="CS312" i="54"/>
  <c r="CT312" i="54"/>
  <c r="CU312" i="54"/>
  <c r="CV312" i="54"/>
  <c r="CW312" i="54"/>
  <c r="CX312" i="54"/>
  <c r="BK313" i="54"/>
  <c r="BL313" i="54"/>
  <c r="BN313" i="54"/>
  <c r="BO313" i="54"/>
  <c r="BP313" i="54"/>
  <c r="BQ313" i="54"/>
  <c r="BR313" i="54"/>
  <c r="BS313" i="54"/>
  <c r="BT313" i="54"/>
  <c r="BU313" i="54"/>
  <c r="BV313" i="54"/>
  <c r="BW313" i="54"/>
  <c r="BX313" i="54"/>
  <c r="BY313" i="54"/>
  <c r="BZ313" i="54"/>
  <c r="CA313" i="54"/>
  <c r="CB313" i="54"/>
  <c r="CC313" i="54"/>
  <c r="CD313" i="54"/>
  <c r="CE313" i="54"/>
  <c r="CF313" i="54"/>
  <c r="CG313" i="54"/>
  <c r="CH313" i="54"/>
  <c r="CI313" i="54"/>
  <c r="CJ313" i="54"/>
  <c r="CK313" i="54"/>
  <c r="CL313" i="54"/>
  <c r="CM313" i="54"/>
  <c r="CN313" i="54"/>
  <c r="CO313" i="54"/>
  <c r="CP313" i="54"/>
  <c r="CQ313" i="54"/>
  <c r="CR313" i="54"/>
  <c r="CS313" i="54"/>
  <c r="CT313" i="54"/>
  <c r="CU313" i="54"/>
  <c r="CV313" i="54"/>
  <c r="CW313" i="54"/>
  <c r="CX313" i="54"/>
  <c r="BK314" i="54"/>
  <c r="BL314" i="54"/>
  <c r="BN314" i="54"/>
  <c r="BO314" i="54"/>
  <c r="BP314" i="54"/>
  <c r="BQ314" i="54"/>
  <c r="BR314" i="54"/>
  <c r="BS314" i="54"/>
  <c r="BT314" i="54"/>
  <c r="BU314" i="54"/>
  <c r="BV314" i="54"/>
  <c r="BW314" i="54"/>
  <c r="BX314" i="54"/>
  <c r="BY314" i="54"/>
  <c r="BZ314" i="54"/>
  <c r="CA314" i="54"/>
  <c r="CB314" i="54"/>
  <c r="CC314" i="54"/>
  <c r="CD314" i="54"/>
  <c r="CE314" i="54"/>
  <c r="CF314" i="54"/>
  <c r="CG314" i="54"/>
  <c r="CH314" i="54"/>
  <c r="CI314" i="54"/>
  <c r="CJ314" i="54"/>
  <c r="CK314" i="54"/>
  <c r="CL314" i="54"/>
  <c r="CM314" i="54"/>
  <c r="CN314" i="54"/>
  <c r="CO314" i="54"/>
  <c r="CP314" i="54"/>
  <c r="CQ314" i="54"/>
  <c r="CR314" i="54"/>
  <c r="CS314" i="54"/>
  <c r="CT314" i="54"/>
  <c r="CU314" i="54"/>
  <c r="CV314" i="54"/>
  <c r="CW314" i="54"/>
  <c r="CX314" i="54"/>
  <c r="BK315" i="54"/>
  <c r="BL315" i="54"/>
  <c r="BN315" i="54"/>
  <c r="BO315" i="54"/>
  <c r="BP315" i="54"/>
  <c r="BQ315" i="54"/>
  <c r="BR315" i="54"/>
  <c r="BS315" i="54"/>
  <c r="BT315" i="54"/>
  <c r="BU315" i="54"/>
  <c r="BV315" i="54"/>
  <c r="BW315" i="54"/>
  <c r="BX315" i="54"/>
  <c r="BY315" i="54"/>
  <c r="BZ315" i="54"/>
  <c r="CA315" i="54"/>
  <c r="CB315" i="54"/>
  <c r="CC315" i="54"/>
  <c r="CD315" i="54"/>
  <c r="CE315" i="54"/>
  <c r="CF315" i="54"/>
  <c r="CG315" i="54"/>
  <c r="CH315" i="54"/>
  <c r="CI315" i="54"/>
  <c r="CJ315" i="54"/>
  <c r="CK315" i="54"/>
  <c r="CL315" i="54"/>
  <c r="CM315" i="54"/>
  <c r="CN315" i="54"/>
  <c r="CO315" i="54"/>
  <c r="CP315" i="54"/>
  <c r="CQ315" i="54"/>
  <c r="CR315" i="54"/>
  <c r="CS315" i="54"/>
  <c r="CT315" i="54"/>
  <c r="CU315" i="54"/>
  <c r="CV315" i="54"/>
  <c r="CW315" i="54"/>
  <c r="CX315" i="54"/>
  <c r="BK316" i="54"/>
  <c r="BL316" i="54"/>
  <c r="BN316" i="54"/>
  <c r="BO316" i="54"/>
  <c r="BP316" i="54"/>
  <c r="BQ316" i="54"/>
  <c r="BR316" i="54"/>
  <c r="BS316" i="54"/>
  <c r="BT316" i="54"/>
  <c r="BU316" i="54"/>
  <c r="BV316" i="54"/>
  <c r="BW316" i="54"/>
  <c r="BX316" i="54"/>
  <c r="BY316" i="54"/>
  <c r="BZ316" i="54"/>
  <c r="CA316" i="54"/>
  <c r="CB316" i="54"/>
  <c r="CC316" i="54"/>
  <c r="CD316" i="54"/>
  <c r="CE316" i="54"/>
  <c r="CF316" i="54"/>
  <c r="CG316" i="54"/>
  <c r="CH316" i="54"/>
  <c r="CI316" i="54"/>
  <c r="CJ316" i="54"/>
  <c r="CK316" i="54"/>
  <c r="CL316" i="54"/>
  <c r="CM316" i="54"/>
  <c r="CN316" i="54"/>
  <c r="CO316" i="54"/>
  <c r="CP316" i="54"/>
  <c r="CQ316" i="54"/>
  <c r="CR316" i="54"/>
  <c r="CS316" i="54"/>
  <c r="CT316" i="54"/>
  <c r="CU316" i="54"/>
  <c r="CV316" i="54"/>
  <c r="CW316" i="54"/>
  <c r="CX316" i="54"/>
  <c r="BK317" i="54"/>
  <c r="BL317" i="54"/>
  <c r="BN317" i="54"/>
  <c r="BO317" i="54"/>
  <c r="BP317" i="54"/>
  <c r="BQ317" i="54"/>
  <c r="BR317" i="54"/>
  <c r="BS317" i="54"/>
  <c r="BT317" i="54"/>
  <c r="BU317" i="54"/>
  <c r="BV317" i="54"/>
  <c r="BW317" i="54"/>
  <c r="BX317" i="54"/>
  <c r="BY317" i="54"/>
  <c r="BZ317" i="54"/>
  <c r="CA317" i="54"/>
  <c r="CB317" i="54"/>
  <c r="CC317" i="54"/>
  <c r="CD317" i="54"/>
  <c r="CE317" i="54"/>
  <c r="CF317" i="54"/>
  <c r="CG317" i="54"/>
  <c r="CH317" i="54"/>
  <c r="CI317" i="54"/>
  <c r="CJ317" i="54"/>
  <c r="CK317" i="54"/>
  <c r="CL317" i="54"/>
  <c r="CM317" i="54"/>
  <c r="CN317" i="54"/>
  <c r="CO317" i="54"/>
  <c r="CP317" i="54"/>
  <c r="CQ317" i="54"/>
  <c r="CR317" i="54"/>
  <c r="CS317" i="54"/>
  <c r="CT317" i="54"/>
  <c r="CU317" i="54"/>
  <c r="CV317" i="54"/>
  <c r="CW317" i="54"/>
  <c r="CX317" i="54"/>
  <c r="BK318" i="54"/>
  <c r="BL318" i="54"/>
  <c r="BN318" i="54"/>
  <c r="BO318" i="54"/>
  <c r="BP318" i="54"/>
  <c r="BQ318" i="54"/>
  <c r="BR318" i="54"/>
  <c r="BS318" i="54"/>
  <c r="BT318" i="54"/>
  <c r="BU318" i="54"/>
  <c r="BV318" i="54"/>
  <c r="BW318" i="54"/>
  <c r="BX318" i="54"/>
  <c r="BY318" i="54"/>
  <c r="BZ318" i="54"/>
  <c r="CA318" i="54"/>
  <c r="CB318" i="54"/>
  <c r="CC318" i="54"/>
  <c r="CD318" i="54"/>
  <c r="CE318" i="54"/>
  <c r="CF318" i="54"/>
  <c r="CG318" i="54"/>
  <c r="CH318" i="54"/>
  <c r="CI318" i="54"/>
  <c r="CJ318" i="54"/>
  <c r="CK318" i="54"/>
  <c r="CL318" i="54"/>
  <c r="CM318" i="54"/>
  <c r="CN318" i="54"/>
  <c r="CO318" i="54"/>
  <c r="CP318" i="54"/>
  <c r="CQ318" i="54"/>
  <c r="CR318" i="54"/>
  <c r="CS318" i="54"/>
  <c r="CT318" i="54"/>
  <c r="CU318" i="54"/>
  <c r="CV318" i="54"/>
  <c r="CW318" i="54"/>
  <c r="CX318" i="54"/>
  <c r="BK319" i="54"/>
  <c r="BL319" i="54"/>
  <c r="BN319" i="54"/>
  <c r="BO319" i="54"/>
  <c r="BP319" i="54"/>
  <c r="BQ319" i="54"/>
  <c r="BR319" i="54"/>
  <c r="BS319" i="54"/>
  <c r="BT319" i="54"/>
  <c r="BU319" i="54"/>
  <c r="BV319" i="54"/>
  <c r="BW319" i="54"/>
  <c r="BX319" i="54"/>
  <c r="BY319" i="54"/>
  <c r="BZ319" i="54"/>
  <c r="CA319" i="54"/>
  <c r="CB319" i="54"/>
  <c r="CC319" i="54"/>
  <c r="CD319" i="54"/>
  <c r="CE319" i="54"/>
  <c r="CF319" i="54"/>
  <c r="CG319" i="54"/>
  <c r="CH319" i="54"/>
  <c r="CI319" i="54"/>
  <c r="CJ319" i="54"/>
  <c r="CK319" i="54"/>
  <c r="CL319" i="54"/>
  <c r="CM319" i="54"/>
  <c r="CN319" i="54"/>
  <c r="CO319" i="54"/>
  <c r="CP319" i="54"/>
  <c r="CQ319" i="54"/>
  <c r="CR319" i="54"/>
  <c r="CS319" i="54"/>
  <c r="CT319" i="54"/>
  <c r="CU319" i="54"/>
  <c r="CV319" i="54"/>
  <c r="CW319" i="54"/>
  <c r="CX319" i="54"/>
  <c r="BK320" i="54"/>
  <c r="BL320" i="54"/>
  <c r="BN320" i="54"/>
  <c r="BO320" i="54"/>
  <c r="BP320" i="54"/>
  <c r="BQ320" i="54"/>
  <c r="BR320" i="54"/>
  <c r="BS320" i="54"/>
  <c r="BT320" i="54"/>
  <c r="BU320" i="54"/>
  <c r="BV320" i="54"/>
  <c r="BW320" i="54"/>
  <c r="BX320" i="54"/>
  <c r="BY320" i="54"/>
  <c r="BZ320" i="54"/>
  <c r="CA320" i="54"/>
  <c r="CB320" i="54"/>
  <c r="CC320" i="54"/>
  <c r="CD320" i="54"/>
  <c r="CE320" i="54"/>
  <c r="CF320" i="54"/>
  <c r="CG320" i="54"/>
  <c r="CH320" i="54"/>
  <c r="CI320" i="54"/>
  <c r="CJ320" i="54"/>
  <c r="CK320" i="54"/>
  <c r="CL320" i="54"/>
  <c r="CM320" i="54"/>
  <c r="CN320" i="54"/>
  <c r="CO320" i="54"/>
  <c r="CP320" i="54"/>
  <c r="CQ320" i="54"/>
  <c r="CR320" i="54"/>
  <c r="CS320" i="54"/>
  <c r="CT320" i="54"/>
  <c r="CU320" i="54"/>
  <c r="CV320" i="54"/>
  <c r="CW320" i="54"/>
  <c r="CX320" i="54"/>
  <c r="BK323" i="54"/>
  <c r="BL323" i="54"/>
  <c r="BN323" i="54"/>
  <c r="BO323" i="54"/>
  <c r="BP323" i="54"/>
  <c r="BQ323" i="54"/>
  <c r="BR323" i="54"/>
  <c r="BS323" i="54"/>
  <c r="BT323" i="54"/>
  <c r="BU323" i="54"/>
  <c r="BV323" i="54"/>
  <c r="BW323" i="54"/>
  <c r="BX323" i="54"/>
  <c r="BY323" i="54"/>
  <c r="BZ323" i="54"/>
  <c r="CA323" i="54"/>
  <c r="CB323" i="54"/>
  <c r="CC323" i="54"/>
  <c r="CD323" i="54"/>
  <c r="CE323" i="54"/>
  <c r="CF323" i="54"/>
  <c r="CG323" i="54"/>
  <c r="CH323" i="54"/>
  <c r="CI323" i="54"/>
  <c r="CJ323" i="54"/>
  <c r="CK323" i="54"/>
  <c r="CL323" i="54"/>
  <c r="CM323" i="54"/>
  <c r="CN323" i="54"/>
  <c r="CO323" i="54"/>
  <c r="CP323" i="54"/>
  <c r="CQ323" i="54"/>
  <c r="CR323" i="54"/>
  <c r="CS323" i="54"/>
  <c r="CT323" i="54"/>
  <c r="CU323" i="54"/>
  <c r="CV323" i="54"/>
  <c r="CW323" i="54"/>
  <c r="CX323" i="54"/>
  <c r="BK324" i="54"/>
  <c r="BL324" i="54"/>
  <c r="BN324" i="54"/>
  <c r="BO324" i="54"/>
  <c r="BP324" i="54"/>
  <c r="BQ324" i="54"/>
  <c r="BR324" i="54"/>
  <c r="BS324" i="54"/>
  <c r="BT324" i="54"/>
  <c r="BU324" i="54"/>
  <c r="BV324" i="54"/>
  <c r="BW324" i="54"/>
  <c r="BX324" i="54"/>
  <c r="BY324" i="54"/>
  <c r="BZ324" i="54"/>
  <c r="CA324" i="54"/>
  <c r="CB324" i="54"/>
  <c r="CC324" i="54"/>
  <c r="CD324" i="54"/>
  <c r="CE324" i="54"/>
  <c r="CF324" i="54"/>
  <c r="CG324" i="54"/>
  <c r="CH324" i="54"/>
  <c r="CI324" i="54"/>
  <c r="CJ324" i="54"/>
  <c r="CK324" i="54"/>
  <c r="CL324" i="54"/>
  <c r="CM324" i="54"/>
  <c r="CN324" i="54"/>
  <c r="CO324" i="54"/>
  <c r="CP324" i="54"/>
  <c r="CQ324" i="54"/>
  <c r="CR324" i="54"/>
  <c r="CS324" i="54"/>
  <c r="CT324" i="54"/>
  <c r="CU324" i="54"/>
  <c r="CV324" i="54"/>
  <c r="CW324" i="54"/>
  <c r="CX324" i="54"/>
  <c r="BK325" i="54"/>
  <c r="BL325" i="54"/>
  <c r="BN325" i="54"/>
  <c r="BO325" i="54"/>
  <c r="BP325" i="54"/>
  <c r="BQ325" i="54"/>
  <c r="BR325" i="54"/>
  <c r="BS325" i="54"/>
  <c r="BT325" i="54"/>
  <c r="BU325" i="54"/>
  <c r="BV325" i="54"/>
  <c r="BW325" i="54"/>
  <c r="BX325" i="54"/>
  <c r="BY325" i="54"/>
  <c r="BZ325" i="54"/>
  <c r="CA325" i="54"/>
  <c r="CB325" i="54"/>
  <c r="CC325" i="54"/>
  <c r="CD325" i="54"/>
  <c r="CE325" i="54"/>
  <c r="CF325" i="54"/>
  <c r="CG325" i="54"/>
  <c r="CH325" i="54"/>
  <c r="CI325" i="54"/>
  <c r="CJ325" i="54"/>
  <c r="CK325" i="54"/>
  <c r="CL325" i="54"/>
  <c r="CM325" i="54"/>
  <c r="CN325" i="54"/>
  <c r="CO325" i="54"/>
  <c r="CP325" i="54"/>
  <c r="CQ325" i="54"/>
  <c r="CR325" i="54"/>
  <c r="CS325" i="54"/>
  <c r="CT325" i="54"/>
  <c r="CU325" i="54"/>
  <c r="CV325" i="54"/>
  <c r="CW325" i="54"/>
  <c r="CX325" i="54"/>
  <c r="BK326" i="54"/>
  <c r="BL326" i="54"/>
  <c r="BN326" i="54"/>
  <c r="BO326" i="54"/>
  <c r="BP326" i="54"/>
  <c r="BQ326" i="54"/>
  <c r="BR326" i="54"/>
  <c r="BS326" i="54"/>
  <c r="BT326" i="54"/>
  <c r="BU326" i="54"/>
  <c r="BV326" i="54"/>
  <c r="BW326" i="54"/>
  <c r="BX326" i="54"/>
  <c r="BY326" i="54"/>
  <c r="BZ326" i="54"/>
  <c r="CA326" i="54"/>
  <c r="CB326" i="54"/>
  <c r="CC326" i="54"/>
  <c r="CD326" i="54"/>
  <c r="CE326" i="54"/>
  <c r="CF326" i="54"/>
  <c r="CG326" i="54"/>
  <c r="CH326" i="54"/>
  <c r="CI326" i="54"/>
  <c r="CJ326" i="54"/>
  <c r="CK326" i="54"/>
  <c r="CL326" i="54"/>
  <c r="CM326" i="54"/>
  <c r="CN326" i="54"/>
  <c r="CO326" i="54"/>
  <c r="CP326" i="54"/>
  <c r="CQ326" i="54"/>
  <c r="CR326" i="54"/>
  <c r="CS326" i="54"/>
  <c r="CT326" i="54"/>
  <c r="CU326" i="54"/>
  <c r="CV326" i="54"/>
  <c r="CW326" i="54"/>
  <c r="CX326" i="54"/>
  <c r="BK327" i="54"/>
  <c r="BL327" i="54"/>
  <c r="BN327" i="54"/>
  <c r="BO327" i="54"/>
  <c r="BP327" i="54"/>
  <c r="BQ327" i="54"/>
  <c r="BR327" i="54"/>
  <c r="BS327" i="54"/>
  <c r="BT327" i="54"/>
  <c r="BU327" i="54"/>
  <c r="BV327" i="54"/>
  <c r="BW327" i="54"/>
  <c r="BX327" i="54"/>
  <c r="BY327" i="54"/>
  <c r="BZ327" i="54"/>
  <c r="CA327" i="54"/>
  <c r="CB327" i="54"/>
  <c r="CC327" i="54"/>
  <c r="CD327" i="54"/>
  <c r="CE327" i="54"/>
  <c r="CF327" i="54"/>
  <c r="CG327" i="54"/>
  <c r="CH327" i="54"/>
  <c r="CI327" i="54"/>
  <c r="CJ327" i="54"/>
  <c r="CK327" i="54"/>
  <c r="CL327" i="54"/>
  <c r="CM327" i="54"/>
  <c r="CN327" i="54"/>
  <c r="CO327" i="54"/>
  <c r="CP327" i="54"/>
  <c r="CQ327" i="54"/>
  <c r="CR327" i="54"/>
  <c r="CS327" i="54"/>
  <c r="CT327" i="54"/>
  <c r="CU327" i="54"/>
  <c r="CV327" i="54"/>
  <c r="CW327" i="54"/>
  <c r="CX327" i="54"/>
  <c r="BK328" i="54"/>
  <c r="BL328" i="54"/>
  <c r="BN328" i="54"/>
  <c r="BO328" i="54"/>
  <c r="BP328" i="54"/>
  <c r="BQ328" i="54"/>
  <c r="BR328" i="54"/>
  <c r="BS328" i="54"/>
  <c r="BT328" i="54"/>
  <c r="BU328" i="54"/>
  <c r="BV328" i="54"/>
  <c r="BW328" i="54"/>
  <c r="BX328" i="54"/>
  <c r="BY328" i="54"/>
  <c r="BZ328" i="54"/>
  <c r="CA328" i="54"/>
  <c r="CB328" i="54"/>
  <c r="CC328" i="54"/>
  <c r="CD328" i="54"/>
  <c r="CE328" i="54"/>
  <c r="CF328" i="54"/>
  <c r="CG328" i="54"/>
  <c r="CH328" i="54"/>
  <c r="CI328" i="54"/>
  <c r="CJ328" i="54"/>
  <c r="CK328" i="54"/>
  <c r="CL328" i="54"/>
  <c r="CM328" i="54"/>
  <c r="CN328" i="54"/>
  <c r="CO328" i="54"/>
  <c r="CP328" i="54"/>
  <c r="CQ328" i="54"/>
  <c r="CR328" i="54"/>
  <c r="CS328" i="54"/>
  <c r="CT328" i="54"/>
  <c r="CU328" i="54"/>
  <c r="CV328" i="54"/>
  <c r="CW328" i="54"/>
  <c r="CX328" i="54"/>
  <c r="BK329" i="54"/>
  <c r="BL329" i="54"/>
  <c r="BN329" i="54"/>
  <c r="BO329" i="54"/>
  <c r="BP329" i="54"/>
  <c r="BQ329" i="54"/>
  <c r="BR329" i="54"/>
  <c r="BS329" i="54"/>
  <c r="BT329" i="54"/>
  <c r="BU329" i="54"/>
  <c r="BV329" i="54"/>
  <c r="BW329" i="54"/>
  <c r="BX329" i="54"/>
  <c r="BY329" i="54"/>
  <c r="BZ329" i="54"/>
  <c r="CA329" i="54"/>
  <c r="CB329" i="54"/>
  <c r="CC329" i="54"/>
  <c r="CD329" i="54"/>
  <c r="CE329" i="54"/>
  <c r="CF329" i="54"/>
  <c r="CG329" i="54"/>
  <c r="CH329" i="54"/>
  <c r="CI329" i="54"/>
  <c r="CJ329" i="54"/>
  <c r="CK329" i="54"/>
  <c r="CL329" i="54"/>
  <c r="CM329" i="54"/>
  <c r="CN329" i="54"/>
  <c r="CO329" i="54"/>
  <c r="CP329" i="54"/>
  <c r="CQ329" i="54"/>
  <c r="CR329" i="54"/>
  <c r="CS329" i="54"/>
  <c r="CT329" i="54"/>
  <c r="CU329" i="54"/>
  <c r="CV329" i="54"/>
  <c r="CW329" i="54"/>
  <c r="CX329" i="54"/>
  <c r="BK330" i="54"/>
  <c r="BL330" i="54"/>
  <c r="BN330" i="54"/>
  <c r="BO330" i="54"/>
  <c r="BP330" i="54"/>
  <c r="BQ330" i="54"/>
  <c r="BR330" i="54"/>
  <c r="BS330" i="54"/>
  <c r="BT330" i="54"/>
  <c r="BU330" i="54"/>
  <c r="BV330" i="54"/>
  <c r="BW330" i="54"/>
  <c r="BX330" i="54"/>
  <c r="BY330" i="54"/>
  <c r="BZ330" i="54"/>
  <c r="CA330" i="54"/>
  <c r="CB330" i="54"/>
  <c r="CC330" i="54"/>
  <c r="CD330" i="54"/>
  <c r="CE330" i="54"/>
  <c r="CF330" i="54"/>
  <c r="CG330" i="54"/>
  <c r="CH330" i="54"/>
  <c r="CI330" i="54"/>
  <c r="CJ330" i="54"/>
  <c r="CK330" i="54"/>
  <c r="CL330" i="54"/>
  <c r="CM330" i="54"/>
  <c r="CN330" i="54"/>
  <c r="CO330" i="54"/>
  <c r="CP330" i="54"/>
  <c r="CQ330" i="54"/>
  <c r="CR330" i="54"/>
  <c r="CS330" i="54"/>
  <c r="CT330" i="54"/>
  <c r="CU330" i="54"/>
  <c r="CV330" i="54"/>
  <c r="CW330" i="54"/>
  <c r="CX330" i="54"/>
  <c r="BK331" i="54"/>
  <c r="BL331" i="54"/>
  <c r="BN331" i="54"/>
  <c r="BO331" i="54"/>
  <c r="BP331" i="54"/>
  <c r="BQ331" i="54"/>
  <c r="BR331" i="54"/>
  <c r="BS331" i="54"/>
  <c r="BT331" i="54"/>
  <c r="BU331" i="54"/>
  <c r="BV331" i="54"/>
  <c r="BW331" i="54"/>
  <c r="BX331" i="54"/>
  <c r="BY331" i="54"/>
  <c r="BZ331" i="54"/>
  <c r="CA331" i="54"/>
  <c r="CB331" i="54"/>
  <c r="CC331" i="54"/>
  <c r="CD331" i="54"/>
  <c r="CE331" i="54"/>
  <c r="CF331" i="54"/>
  <c r="CG331" i="54"/>
  <c r="CH331" i="54"/>
  <c r="CI331" i="54"/>
  <c r="CJ331" i="54"/>
  <c r="CK331" i="54"/>
  <c r="CL331" i="54"/>
  <c r="CM331" i="54"/>
  <c r="CN331" i="54"/>
  <c r="CO331" i="54"/>
  <c r="CP331" i="54"/>
  <c r="CQ331" i="54"/>
  <c r="CR331" i="54"/>
  <c r="CS331" i="54"/>
  <c r="CT331" i="54"/>
  <c r="CU331" i="54"/>
  <c r="CV331" i="54"/>
  <c r="CW331" i="54"/>
  <c r="CX331" i="54"/>
  <c r="BK332" i="54"/>
  <c r="BL332" i="54"/>
  <c r="BN332" i="54"/>
  <c r="BO332" i="54"/>
  <c r="BP332" i="54"/>
  <c r="BQ332" i="54"/>
  <c r="BR332" i="54"/>
  <c r="BS332" i="54"/>
  <c r="BT332" i="54"/>
  <c r="BU332" i="54"/>
  <c r="BV332" i="54"/>
  <c r="BW332" i="54"/>
  <c r="BX332" i="54"/>
  <c r="BY332" i="54"/>
  <c r="BZ332" i="54"/>
  <c r="CA332" i="54"/>
  <c r="CB332" i="54"/>
  <c r="CC332" i="54"/>
  <c r="CD332" i="54"/>
  <c r="CE332" i="54"/>
  <c r="CF332" i="54"/>
  <c r="CG332" i="54"/>
  <c r="CH332" i="54"/>
  <c r="CI332" i="54"/>
  <c r="CJ332" i="54"/>
  <c r="CK332" i="54"/>
  <c r="CL332" i="54"/>
  <c r="CM332" i="54"/>
  <c r="CN332" i="54"/>
  <c r="CO332" i="54"/>
  <c r="CP332" i="54"/>
  <c r="CQ332" i="54"/>
  <c r="CR332" i="54"/>
  <c r="CS332" i="54"/>
  <c r="CT332" i="54"/>
  <c r="CU332" i="54"/>
  <c r="CV332" i="54"/>
  <c r="CW332" i="54"/>
  <c r="CX332" i="54"/>
  <c r="BK333" i="54"/>
  <c r="BL333" i="54"/>
  <c r="BN333" i="54"/>
  <c r="BO333" i="54"/>
  <c r="BP333" i="54"/>
  <c r="BQ333" i="54"/>
  <c r="BR333" i="54"/>
  <c r="BS333" i="54"/>
  <c r="BT333" i="54"/>
  <c r="BU333" i="54"/>
  <c r="BV333" i="54"/>
  <c r="BW333" i="54"/>
  <c r="BX333" i="54"/>
  <c r="BY333" i="54"/>
  <c r="BZ333" i="54"/>
  <c r="CA333" i="54"/>
  <c r="CB333" i="54"/>
  <c r="CC333" i="54"/>
  <c r="CD333" i="54"/>
  <c r="CE333" i="54"/>
  <c r="CF333" i="54"/>
  <c r="CG333" i="54"/>
  <c r="CH333" i="54"/>
  <c r="CI333" i="54"/>
  <c r="CJ333" i="54"/>
  <c r="CK333" i="54"/>
  <c r="CL333" i="54"/>
  <c r="CM333" i="54"/>
  <c r="CN333" i="54"/>
  <c r="CO333" i="54"/>
  <c r="CP333" i="54"/>
  <c r="CQ333" i="54"/>
  <c r="CR333" i="54"/>
  <c r="CS333" i="54"/>
  <c r="CT333" i="54"/>
  <c r="CU333" i="54"/>
  <c r="CV333" i="54"/>
  <c r="CW333" i="54"/>
  <c r="CX333" i="54"/>
  <c r="BK334" i="54"/>
  <c r="BL334" i="54"/>
  <c r="BN334" i="54"/>
  <c r="BO334" i="54"/>
  <c r="BP334" i="54"/>
  <c r="BQ334" i="54"/>
  <c r="BR334" i="54"/>
  <c r="BS334" i="54"/>
  <c r="BT334" i="54"/>
  <c r="BU334" i="54"/>
  <c r="BV334" i="54"/>
  <c r="BW334" i="54"/>
  <c r="BX334" i="54"/>
  <c r="BY334" i="54"/>
  <c r="BZ334" i="54"/>
  <c r="CA334" i="54"/>
  <c r="CB334" i="54"/>
  <c r="CC334" i="54"/>
  <c r="CD334" i="54"/>
  <c r="CE334" i="54"/>
  <c r="CF334" i="54"/>
  <c r="CG334" i="54"/>
  <c r="CH334" i="54"/>
  <c r="CI334" i="54"/>
  <c r="CJ334" i="54"/>
  <c r="CK334" i="54"/>
  <c r="CL334" i="54"/>
  <c r="CM334" i="54"/>
  <c r="CN334" i="54"/>
  <c r="CO334" i="54"/>
  <c r="CP334" i="54"/>
  <c r="CQ334" i="54"/>
  <c r="CR334" i="54"/>
  <c r="CS334" i="54"/>
  <c r="CT334" i="54"/>
  <c r="CU334" i="54"/>
  <c r="CV334" i="54"/>
  <c r="CW334" i="54"/>
  <c r="CX334" i="54"/>
  <c r="BK335" i="54"/>
  <c r="BL335" i="54"/>
  <c r="BN335" i="54"/>
  <c r="BO335" i="54"/>
  <c r="BP335" i="54"/>
  <c r="BQ335" i="54"/>
  <c r="BR335" i="54"/>
  <c r="BS335" i="54"/>
  <c r="BT335" i="54"/>
  <c r="BU335" i="54"/>
  <c r="BV335" i="54"/>
  <c r="BW335" i="54"/>
  <c r="BX335" i="54"/>
  <c r="BY335" i="54"/>
  <c r="BZ335" i="54"/>
  <c r="CA335" i="54"/>
  <c r="CB335" i="54"/>
  <c r="CC335" i="54"/>
  <c r="CD335" i="54"/>
  <c r="CE335" i="54"/>
  <c r="CF335" i="54"/>
  <c r="CG335" i="54"/>
  <c r="CH335" i="54"/>
  <c r="CI335" i="54"/>
  <c r="CJ335" i="54"/>
  <c r="CK335" i="54"/>
  <c r="CL335" i="54"/>
  <c r="CM335" i="54"/>
  <c r="CN335" i="54"/>
  <c r="CO335" i="54"/>
  <c r="CP335" i="54"/>
  <c r="CQ335" i="54"/>
  <c r="CR335" i="54"/>
  <c r="CS335" i="54"/>
  <c r="CT335" i="54"/>
  <c r="CU335" i="54"/>
  <c r="CV335" i="54"/>
  <c r="CW335" i="54"/>
  <c r="CX335" i="54"/>
  <c r="BK336" i="54"/>
  <c r="BL336" i="54"/>
  <c r="BN336" i="54"/>
  <c r="BO336" i="54"/>
  <c r="BP336" i="54"/>
  <c r="BQ336" i="54"/>
  <c r="BR336" i="54"/>
  <c r="BS336" i="54"/>
  <c r="BT336" i="54"/>
  <c r="BU336" i="54"/>
  <c r="BV336" i="54"/>
  <c r="BW336" i="54"/>
  <c r="BX336" i="54"/>
  <c r="BY336" i="54"/>
  <c r="BZ336" i="54"/>
  <c r="CA336" i="54"/>
  <c r="CB336" i="54"/>
  <c r="CC336" i="54"/>
  <c r="CD336" i="54"/>
  <c r="CE336" i="54"/>
  <c r="CF336" i="54"/>
  <c r="CG336" i="54"/>
  <c r="CH336" i="54"/>
  <c r="CI336" i="54"/>
  <c r="CJ336" i="54"/>
  <c r="CK336" i="54"/>
  <c r="CL336" i="54"/>
  <c r="CM336" i="54"/>
  <c r="CN336" i="54"/>
  <c r="CO336" i="54"/>
  <c r="CP336" i="54"/>
  <c r="CQ336" i="54"/>
  <c r="CR336" i="54"/>
  <c r="CS336" i="54"/>
  <c r="CT336" i="54"/>
  <c r="CU336" i="54"/>
  <c r="CV336" i="54"/>
  <c r="CW336" i="54"/>
  <c r="CX336" i="54"/>
  <c r="BK337" i="54"/>
  <c r="BL337" i="54"/>
  <c r="BN337" i="54"/>
  <c r="BO337" i="54"/>
  <c r="BP337" i="54"/>
  <c r="BQ337" i="54"/>
  <c r="BR337" i="54"/>
  <c r="BS337" i="54"/>
  <c r="BT337" i="54"/>
  <c r="BU337" i="54"/>
  <c r="BV337" i="54"/>
  <c r="BW337" i="54"/>
  <c r="BX337" i="54"/>
  <c r="BY337" i="54"/>
  <c r="BZ337" i="54"/>
  <c r="CA337" i="54"/>
  <c r="CB337" i="54"/>
  <c r="CC337" i="54"/>
  <c r="CD337" i="54"/>
  <c r="CE337" i="54"/>
  <c r="CF337" i="54"/>
  <c r="CG337" i="54"/>
  <c r="CH337" i="54"/>
  <c r="CI337" i="54"/>
  <c r="CJ337" i="54"/>
  <c r="CK337" i="54"/>
  <c r="CL337" i="54"/>
  <c r="CM337" i="54"/>
  <c r="CN337" i="54"/>
  <c r="CO337" i="54"/>
  <c r="CP337" i="54"/>
  <c r="CQ337" i="54"/>
  <c r="CR337" i="54"/>
  <c r="CS337" i="54"/>
  <c r="CT337" i="54"/>
  <c r="CU337" i="54"/>
  <c r="CV337" i="54"/>
  <c r="CW337" i="54"/>
  <c r="CX337" i="54"/>
  <c r="BK338" i="54"/>
  <c r="BL338" i="54"/>
  <c r="BN338" i="54"/>
  <c r="BO338" i="54"/>
  <c r="BP338" i="54"/>
  <c r="BQ338" i="54"/>
  <c r="BR338" i="54"/>
  <c r="BS338" i="54"/>
  <c r="BT338" i="54"/>
  <c r="BU338" i="54"/>
  <c r="BV338" i="54"/>
  <c r="BW338" i="54"/>
  <c r="BX338" i="54"/>
  <c r="BY338" i="54"/>
  <c r="BZ338" i="54"/>
  <c r="CA338" i="54"/>
  <c r="CB338" i="54"/>
  <c r="CC338" i="54"/>
  <c r="CD338" i="54"/>
  <c r="CE338" i="54"/>
  <c r="CF338" i="54"/>
  <c r="CG338" i="54"/>
  <c r="CH338" i="54"/>
  <c r="CI338" i="54"/>
  <c r="CJ338" i="54"/>
  <c r="CK338" i="54"/>
  <c r="CL338" i="54"/>
  <c r="CM338" i="54"/>
  <c r="CN338" i="54"/>
  <c r="CO338" i="54"/>
  <c r="CP338" i="54"/>
  <c r="CQ338" i="54"/>
  <c r="CR338" i="54"/>
  <c r="CS338" i="54"/>
  <c r="CT338" i="54"/>
  <c r="CU338" i="54"/>
  <c r="CV338" i="54"/>
  <c r="CW338" i="54"/>
  <c r="CX338" i="54"/>
  <c r="BK339" i="54"/>
  <c r="BL339" i="54"/>
  <c r="BN339" i="54"/>
  <c r="BO339" i="54"/>
  <c r="BP339" i="54"/>
  <c r="BQ339" i="54"/>
  <c r="BR339" i="54"/>
  <c r="BS339" i="54"/>
  <c r="BT339" i="54"/>
  <c r="BU339" i="54"/>
  <c r="BV339" i="54"/>
  <c r="BW339" i="54"/>
  <c r="BX339" i="54"/>
  <c r="BY339" i="54"/>
  <c r="BZ339" i="54"/>
  <c r="CA339" i="54"/>
  <c r="CB339" i="54"/>
  <c r="CC339" i="54"/>
  <c r="CD339" i="54"/>
  <c r="CE339" i="54"/>
  <c r="CF339" i="54"/>
  <c r="CG339" i="54"/>
  <c r="CH339" i="54"/>
  <c r="CI339" i="54"/>
  <c r="CJ339" i="54"/>
  <c r="CK339" i="54"/>
  <c r="CL339" i="54"/>
  <c r="CM339" i="54"/>
  <c r="CN339" i="54"/>
  <c r="CO339" i="54"/>
  <c r="CP339" i="54"/>
  <c r="CQ339" i="54"/>
  <c r="CR339" i="54"/>
  <c r="CS339" i="54"/>
  <c r="CT339" i="54"/>
  <c r="CU339" i="54"/>
  <c r="CV339" i="54"/>
  <c r="CW339" i="54"/>
  <c r="CX339" i="54"/>
  <c r="BK340" i="54"/>
  <c r="BL340" i="54"/>
  <c r="BN340" i="54"/>
  <c r="BO340" i="54"/>
  <c r="BP340" i="54"/>
  <c r="BQ340" i="54"/>
  <c r="BR340" i="54"/>
  <c r="BS340" i="54"/>
  <c r="BT340" i="54"/>
  <c r="BU340" i="54"/>
  <c r="BV340" i="54"/>
  <c r="BW340" i="54"/>
  <c r="BX340" i="54"/>
  <c r="BY340" i="54"/>
  <c r="BZ340" i="54"/>
  <c r="CA340" i="54"/>
  <c r="CB340" i="54"/>
  <c r="CC340" i="54"/>
  <c r="CD340" i="54"/>
  <c r="CE340" i="54"/>
  <c r="CF340" i="54"/>
  <c r="CG340" i="54"/>
  <c r="CH340" i="54"/>
  <c r="CI340" i="54"/>
  <c r="CJ340" i="54"/>
  <c r="CK340" i="54"/>
  <c r="CL340" i="54"/>
  <c r="CM340" i="54"/>
  <c r="CN340" i="54"/>
  <c r="CO340" i="54"/>
  <c r="CP340" i="54"/>
  <c r="CQ340" i="54"/>
  <c r="CR340" i="54"/>
  <c r="CS340" i="54"/>
  <c r="CT340" i="54"/>
  <c r="CU340" i="54"/>
  <c r="CV340" i="54"/>
  <c r="CW340" i="54"/>
  <c r="CX340" i="54"/>
  <c r="BK341" i="54"/>
  <c r="BL341" i="54"/>
  <c r="BN341" i="54"/>
  <c r="BO341" i="54"/>
  <c r="BP341" i="54"/>
  <c r="BQ341" i="54"/>
  <c r="BR341" i="54"/>
  <c r="BS341" i="54"/>
  <c r="BT341" i="54"/>
  <c r="BU341" i="54"/>
  <c r="BV341" i="54"/>
  <c r="BW341" i="54"/>
  <c r="BX341" i="54"/>
  <c r="BY341" i="54"/>
  <c r="BZ341" i="54"/>
  <c r="CA341" i="54"/>
  <c r="CB341" i="54"/>
  <c r="CC341" i="54"/>
  <c r="CD341" i="54"/>
  <c r="CE341" i="54"/>
  <c r="CF341" i="54"/>
  <c r="CG341" i="54"/>
  <c r="CH341" i="54"/>
  <c r="CI341" i="54"/>
  <c r="CJ341" i="54"/>
  <c r="CK341" i="54"/>
  <c r="CL341" i="54"/>
  <c r="CM341" i="54"/>
  <c r="CN341" i="54"/>
  <c r="CO341" i="54"/>
  <c r="CP341" i="54"/>
  <c r="CQ341" i="54"/>
  <c r="CR341" i="54"/>
  <c r="CS341" i="54"/>
  <c r="CT341" i="54"/>
  <c r="CU341" i="54"/>
  <c r="CV341" i="54"/>
  <c r="CW341" i="54"/>
  <c r="CX341" i="54"/>
  <c r="BK342" i="54"/>
  <c r="BL342" i="54"/>
  <c r="BN342" i="54"/>
  <c r="BO342" i="54"/>
  <c r="BP342" i="54"/>
  <c r="BQ342" i="54"/>
  <c r="BR342" i="54"/>
  <c r="BS342" i="54"/>
  <c r="BT342" i="54"/>
  <c r="BU342" i="54"/>
  <c r="BV342" i="54"/>
  <c r="BW342" i="54"/>
  <c r="BX342" i="54"/>
  <c r="BY342" i="54"/>
  <c r="BZ342" i="54"/>
  <c r="CA342" i="54"/>
  <c r="CB342" i="54"/>
  <c r="CC342" i="54"/>
  <c r="CD342" i="54"/>
  <c r="CE342" i="54"/>
  <c r="CF342" i="54"/>
  <c r="CG342" i="54"/>
  <c r="CH342" i="54"/>
  <c r="CI342" i="54"/>
  <c r="CJ342" i="54"/>
  <c r="CK342" i="54"/>
  <c r="CL342" i="54"/>
  <c r="CM342" i="54"/>
  <c r="CN342" i="54"/>
  <c r="CO342" i="54"/>
  <c r="CP342" i="54"/>
  <c r="CQ342" i="54"/>
  <c r="CR342" i="54"/>
  <c r="CS342" i="54"/>
  <c r="CT342" i="54"/>
  <c r="CU342" i="54"/>
  <c r="CV342" i="54"/>
  <c r="CW342" i="54"/>
  <c r="CX342" i="54"/>
  <c r="BK343" i="54"/>
  <c r="BL343" i="54"/>
  <c r="BN343" i="54"/>
  <c r="BO343" i="54"/>
  <c r="BP343" i="54"/>
  <c r="BQ343" i="54"/>
  <c r="BR343" i="54"/>
  <c r="BS343" i="54"/>
  <c r="BT343" i="54"/>
  <c r="BU343" i="54"/>
  <c r="BV343" i="54"/>
  <c r="BW343" i="54"/>
  <c r="BX343" i="54"/>
  <c r="BY343" i="54"/>
  <c r="BZ343" i="54"/>
  <c r="CA343" i="54"/>
  <c r="CB343" i="54"/>
  <c r="CC343" i="54"/>
  <c r="CD343" i="54"/>
  <c r="CE343" i="54"/>
  <c r="CF343" i="54"/>
  <c r="CG343" i="54"/>
  <c r="CH343" i="54"/>
  <c r="CI343" i="54"/>
  <c r="CJ343" i="54"/>
  <c r="CK343" i="54"/>
  <c r="CL343" i="54"/>
  <c r="CM343" i="54"/>
  <c r="CN343" i="54"/>
  <c r="CO343" i="54"/>
  <c r="CP343" i="54"/>
  <c r="CQ343" i="54"/>
  <c r="CR343" i="54"/>
  <c r="CS343" i="54"/>
  <c r="CT343" i="54"/>
  <c r="CU343" i="54"/>
  <c r="CV343" i="54"/>
  <c r="CW343" i="54"/>
  <c r="CX343" i="54"/>
  <c r="BK344" i="54"/>
  <c r="BL344" i="54"/>
  <c r="BN344" i="54"/>
  <c r="BO344" i="54"/>
  <c r="BP344" i="54"/>
  <c r="BQ344" i="54"/>
  <c r="BR344" i="54"/>
  <c r="BS344" i="54"/>
  <c r="BT344" i="54"/>
  <c r="BU344" i="54"/>
  <c r="BV344" i="54"/>
  <c r="BW344" i="54"/>
  <c r="BX344" i="54"/>
  <c r="BY344" i="54"/>
  <c r="BZ344" i="54"/>
  <c r="CA344" i="54"/>
  <c r="CB344" i="54"/>
  <c r="CC344" i="54"/>
  <c r="CD344" i="54"/>
  <c r="CE344" i="54"/>
  <c r="CF344" i="54"/>
  <c r="CG344" i="54"/>
  <c r="CH344" i="54"/>
  <c r="CI344" i="54"/>
  <c r="CJ344" i="54"/>
  <c r="CK344" i="54"/>
  <c r="CL344" i="54"/>
  <c r="CM344" i="54"/>
  <c r="CN344" i="54"/>
  <c r="CO344" i="54"/>
  <c r="CP344" i="54"/>
  <c r="CQ344" i="54"/>
  <c r="CR344" i="54"/>
  <c r="CS344" i="54"/>
  <c r="CT344" i="54"/>
  <c r="CU344" i="54"/>
  <c r="CV344" i="54"/>
  <c r="CW344" i="54"/>
  <c r="CX344" i="54"/>
  <c r="BK345" i="54"/>
  <c r="BL345" i="54"/>
  <c r="BN345" i="54"/>
  <c r="BO345" i="54"/>
  <c r="BP345" i="54"/>
  <c r="BQ345" i="54"/>
  <c r="BR345" i="54"/>
  <c r="BS345" i="54"/>
  <c r="BT345" i="54"/>
  <c r="BU345" i="54"/>
  <c r="BV345" i="54"/>
  <c r="BW345" i="54"/>
  <c r="BX345" i="54"/>
  <c r="BY345" i="54"/>
  <c r="BZ345" i="54"/>
  <c r="CA345" i="54"/>
  <c r="CB345" i="54"/>
  <c r="CC345" i="54"/>
  <c r="CD345" i="54"/>
  <c r="CE345" i="54"/>
  <c r="CF345" i="54"/>
  <c r="CG345" i="54"/>
  <c r="CH345" i="54"/>
  <c r="CI345" i="54"/>
  <c r="CJ345" i="54"/>
  <c r="CK345" i="54"/>
  <c r="CL345" i="54"/>
  <c r="CM345" i="54"/>
  <c r="CN345" i="54"/>
  <c r="CO345" i="54"/>
  <c r="CP345" i="54"/>
  <c r="CQ345" i="54"/>
  <c r="CR345" i="54"/>
  <c r="CS345" i="54"/>
  <c r="CT345" i="54"/>
  <c r="CU345" i="54"/>
  <c r="CV345" i="54"/>
  <c r="CW345" i="54"/>
  <c r="CX345" i="54"/>
  <c r="BK346" i="54"/>
  <c r="BL346" i="54"/>
  <c r="BN346" i="54"/>
  <c r="BO346" i="54"/>
  <c r="BP346" i="54"/>
  <c r="BQ346" i="54"/>
  <c r="BR346" i="54"/>
  <c r="BS346" i="54"/>
  <c r="BT346" i="54"/>
  <c r="BU346" i="54"/>
  <c r="BV346" i="54"/>
  <c r="BW346" i="54"/>
  <c r="BX346" i="54"/>
  <c r="BY346" i="54"/>
  <c r="BZ346" i="54"/>
  <c r="CA346" i="54"/>
  <c r="CB346" i="54"/>
  <c r="CC346" i="54"/>
  <c r="CD346" i="54"/>
  <c r="CE346" i="54"/>
  <c r="CF346" i="54"/>
  <c r="CG346" i="54"/>
  <c r="CH346" i="54"/>
  <c r="CI346" i="54"/>
  <c r="CJ346" i="54"/>
  <c r="CK346" i="54"/>
  <c r="CL346" i="54"/>
  <c r="CM346" i="54"/>
  <c r="CN346" i="54"/>
  <c r="CO346" i="54"/>
  <c r="CP346" i="54"/>
  <c r="CQ346" i="54"/>
  <c r="CR346" i="54"/>
  <c r="CS346" i="54"/>
  <c r="CT346" i="54"/>
  <c r="CU346" i="54"/>
  <c r="CV346" i="54"/>
  <c r="CW346" i="54"/>
  <c r="CX346" i="54"/>
  <c r="BK347" i="54"/>
  <c r="BL347" i="54"/>
  <c r="BN347" i="54"/>
  <c r="BO347" i="54"/>
  <c r="BP347" i="54"/>
  <c r="BQ347" i="54"/>
  <c r="BR347" i="54"/>
  <c r="BS347" i="54"/>
  <c r="BT347" i="54"/>
  <c r="BU347" i="54"/>
  <c r="BV347" i="54"/>
  <c r="BW347" i="54"/>
  <c r="BX347" i="54"/>
  <c r="BY347" i="54"/>
  <c r="BZ347" i="54"/>
  <c r="CA347" i="54"/>
  <c r="CB347" i="54"/>
  <c r="CC347" i="54"/>
  <c r="CD347" i="54"/>
  <c r="CE347" i="54"/>
  <c r="CF347" i="54"/>
  <c r="CG347" i="54"/>
  <c r="CH347" i="54"/>
  <c r="CI347" i="54"/>
  <c r="CJ347" i="54"/>
  <c r="CK347" i="54"/>
  <c r="CL347" i="54"/>
  <c r="CM347" i="54"/>
  <c r="CN347" i="54"/>
  <c r="CO347" i="54"/>
  <c r="CP347" i="54"/>
  <c r="CQ347" i="54"/>
  <c r="CR347" i="54"/>
  <c r="CS347" i="54"/>
  <c r="CT347" i="54"/>
  <c r="CU347" i="54"/>
  <c r="CV347" i="54"/>
  <c r="CW347" i="54"/>
  <c r="CX347" i="54"/>
  <c r="BK348" i="54"/>
  <c r="BL348" i="54"/>
  <c r="BN348" i="54"/>
  <c r="BO348" i="54"/>
  <c r="BP348" i="54"/>
  <c r="BQ348" i="54"/>
  <c r="BR348" i="54"/>
  <c r="BS348" i="54"/>
  <c r="BT348" i="54"/>
  <c r="BU348" i="54"/>
  <c r="BV348" i="54"/>
  <c r="BW348" i="54"/>
  <c r="BX348" i="54"/>
  <c r="BY348" i="54"/>
  <c r="BZ348" i="54"/>
  <c r="CA348" i="54"/>
  <c r="CB348" i="54"/>
  <c r="CC348" i="54"/>
  <c r="CD348" i="54"/>
  <c r="CE348" i="54"/>
  <c r="CF348" i="54"/>
  <c r="CG348" i="54"/>
  <c r="CH348" i="54"/>
  <c r="CI348" i="54"/>
  <c r="CJ348" i="54"/>
  <c r="CK348" i="54"/>
  <c r="CL348" i="54"/>
  <c r="CM348" i="54"/>
  <c r="CN348" i="54"/>
  <c r="CO348" i="54"/>
  <c r="CP348" i="54"/>
  <c r="CQ348" i="54"/>
  <c r="CR348" i="54"/>
  <c r="CS348" i="54"/>
  <c r="CT348" i="54"/>
  <c r="CU348" i="54"/>
  <c r="CV348" i="54"/>
  <c r="CW348" i="54"/>
  <c r="CX348" i="54"/>
  <c r="BK349" i="54"/>
  <c r="BL349" i="54"/>
  <c r="BN349" i="54"/>
  <c r="BO349" i="54"/>
  <c r="BP349" i="54"/>
  <c r="BQ349" i="54"/>
  <c r="BR349" i="54"/>
  <c r="BS349" i="54"/>
  <c r="BT349" i="54"/>
  <c r="BU349" i="54"/>
  <c r="BV349" i="54"/>
  <c r="BW349" i="54"/>
  <c r="BX349" i="54"/>
  <c r="BY349" i="54"/>
  <c r="BZ349" i="54"/>
  <c r="CA349" i="54"/>
  <c r="CB349" i="54"/>
  <c r="CC349" i="54"/>
  <c r="CD349" i="54"/>
  <c r="CE349" i="54"/>
  <c r="CF349" i="54"/>
  <c r="CG349" i="54"/>
  <c r="CH349" i="54"/>
  <c r="CI349" i="54"/>
  <c r="CJ349" i="54"/>
  <c r="CK349" i="54"/>
  <c r="CL349" i="54"/>
  <c r="CM349" i="54"/>
  <c r="CN349" i="54"/>
  <c r="CO349" i="54"/>
  <c r="CP349" i="54"/>
  <c r="CQ349" i="54"/>
  <c r="CR349" i="54"/>
  <c r="CS349" i="54"/>
  <c r="CT349" i="54"/>
  <c r="CU349" i="54"/>
  <c r="CV349" i="54"/>
  <c r="CW349" i="54"/>
  <c r="CX349" i="54"/>
  <c r="BK350" i="54"/>
  <c r="BL350" i="54"/>
  <c r="BN350" i="54"/>
  <c r="BO350" i="54"/>
  <c r="BP350" i="54"/>
  <c r="BQ350" i="54"/>
  <c r="BR350" i="54"/>
  <c r="BS350" i="54"/>
  <c r="BT350" i="54"/>
  <c r="BU350" i="54"/>
  <c r="BV350" i="54"/>
  <c r="BW350" i="54"/>
  <c r="BX350" i="54"/>
  <c r="BY350" i="54"/>
  <c r="BZ350" i="54"/>
  <c r="CA350" i="54"/>
  <c r="CB350" i="54"/>
  <c r="CC350" i="54"/>
  <c r="CD350" i="54"/>
  <c r="CE350" i="54"/>
  <c r="CF350" i="54"/>
  <c r="CG350" i="54"/>
  <c r="CH350" i="54"/>
  <c r="CI350" i="54"/>
  <c r="CJ350" i="54"/>
  <c r="CK350" i="54"/>
  <c r="CL350" i="54"/>
  <c r="CM350" i="54"/>
  <c r="CN350" i="54"/>
  <c r="CO350" i="54"/>
  <c r="CP350" i="54"/>
  <c r="CQ350" i="54"/>
  <c r="CR350" i="54"/>
  <c r="CS350" i="54"/>
  <c r="CT350" i="54"/>
  <c r="CU350" i="54"/>
  <c r="CV350" i="54"/>
  <c r="CW350" i="54"/>
  <c r="CX350" i="54"/>
  <c r="BK351" i="54"/>
  <c r="BL351" i="54"/>
  <c r="BN351" i="54"/>
  <c r="BO351" i="54"/>
  <c r="BP351" i="54"/>
  <c r="BQ351" i="54"/>
  <c r="BR351" i="54"/>
  <c r="BS351" i="54"/>
  <c r="BT351" i="54"/>
  <c r="BU351" i="54"/>
  <c r="BV351" i="54"/>
  <c r="BW351" i="54"/>
  <c r="BX351" i="54"/>
  <c r="BY351" i="54"/>
  <c r="BZ351" i="54"/>
  <c r="CA351" i="54"/>
  <c r="CB351" i="54"/>
  <c r="CC351" i="54"/>
  <c r="CD351" i="54"/>
  <c r="CE351" i="54"/>
  <c r="CF351" i="54"/>
  <c r="CG351" i="54"/>
  <c r="CH351" i="54"/>
  <c r="CI351" i="54"/>
  <c r="CJ351" i="54"/>
  <c r="CK351" i="54"/>
  <c r="CL351" i="54"/>
  <c r="CM351" i="54"/>
  <c r="CN351" i="54"/>
  <c r="CO351" i="54"/>
  <c r="CP351" i="54"/>
  <c r="CQ351" i="54"/>
  <c r="CR351" i="54"/>
  <c r="CS351" i="54"/>
  <c r="CT351" i="54"/>
  <c r="CU351" i="54"/>
  <c r="CV351" i="54"/>
  <c r="CW351" i="54"/>
  <c r="CX351" i="54"/>
  <c r="BK352" i="54"/>
  <c r="BL352" i="54"/>
  <c r="BN352" i="54"/>
  <c r="BO352" i="54"/>
  <c r="BP352" i="54"/>
  <c r="BQ352" i="54"/>
  <c r="BR352" i="54"/>
  <c r="BS352" i="54"/>
  <c r="BT352" i="54"/>
  <c r="BU352" i="54"/>
  <c r="BV352" i="54"/>
  <c r="BW352" i="54"/>
  <c r="BX352" i="54"/>
  <c r="BY352" i="54"/>
  <c r="BZ352" i="54"/>
  <c r="CA352" i="54"/>
  <c r="CB352" i="54"/>
  <c r="CC352" i="54"/>
  <c r="CD352" i="54"/>
  <c r="CE352" i="54"/>
  <c r="CF352" i="54"/>
  <c r="CG352" i="54"/>
  <c r="CH352" i="54"/>
  <c r="CI352" i="54"/>
  <c r="CJ352" i="54"/>
  <c r="CK352" i="54"/>
  <c r="CL352" i="54"/>
  <c r="CM352" i="54"/>
  <c r="CN352" i="54"/>
  <c r="CO352" i="54"/>
  <c r="CP352" i="54"/>
  <c r="CQ352" i="54"/>
  <c r="CR352" i="54"/>
  <c r="CS352" i="54"/>
  <c r="CT352" i="54"/>
  <c r="CU352" i="54"/>
  <c r="CV352" i="54"/>
  <c r="CW352" i="54"/>
  <c r="CX352" i="54"/>
  <c r="BK353" i="54"/>
  <c r="BL353" i="54"/>
  <c r="BN353" i="54"/>
  <c r="BO353" i="54"/>
  <c r="BP353" i="54"/>
  <c r="BQ353" i="54"/>
  <c r="BR353" i="54"/>
  <c r="BS353" i="54"/>
  <c r="BT353" i="54"/>
  <c r="BU353" i="54"/>
  <c r="BV353" i="54"/>
  <c r="BW353" i="54"/>
  <c r="BX353" i="54"/>
  <c r="BY353" i="54"/>
  <c r="BZ353" i="54"/>
  <c r="CA353" i="54"/>
  <c r="CB353" i="54"/>
  <c r="CC353" i="54"/>
  <c r="CD353" i="54"/>
  <c r="CE353" i="54"/>
  <c r="CF353" i="54"/>
  <c r="CG353" i="54"/>
  <c r="CH353" i="54"/>
  <c r="CI353" i="54"/>
  <c r="CJ353" i="54"/>
  <c r="CK353" i="54"/>
  <c r="CL353" i="54"/>
  <c r="CM353" i="54"/>
  <c r="CN353" i="54"/>
  <c r="CO353" i="54"/>
  <c r="CP353" i="54"/>
  <c r="CQ353" i="54"/>
  <c r="CR353" i="54"/>
  <c r="CS353" i="54"/>
  <c r="CT353" i="54"/>
  <c r="CU353" i="54"/>
  <c r="CV353" i="54"/>
  <c r="CW353" i="54"/>
  <c r="CX353" i="54"/>
  <c r="BK354" i="54"/>
  <c r="BL354" i="54"/>
  <c r="BN354" i="54"/>
  <c r="BO354" i="54"/>
  <c r="BP354" i="54"/>
  <c r="BQ354" i="54"/>
  <c r="BR354" i="54"/>
  <c r="BS354" i="54"/>
  <c r="BT354" i="54"/>
  <c r="BU354" i="54"/>
  <c r="BV354" i="54"/>
  <c r="BW354" i="54"/>
  <c r="BX354" i="54"/>
  <c r="BY354" i="54"/>
  <c r="BZ354" i="54"/>
  <c r="CA354" i="54"/>
  <c r="CB354" i="54"/>
  <c r="CC354" i="54"/>
  <c r="CD354" i="54"/>
  <c r="CE354" i="54"/>
  <c r="CF354" i="54"/>
  <c r="CG354" i="54"/>
  <c r="CH354" i="54"/>
  <c r="CI354" i="54"/>
  <c r="CJ354" i="54"/>
  <c r="CK354" i="54"/>
  <c r="CL354" i="54"/>
  <c r="CM354" i="54"/>
  <c r="CN354" i="54"/>
  <c r="CO354" i="54"/>
  <c r="CP354" i="54"/>
  <c r="CQ354" i="54"/>
  <c r="CR354" i="54"/>
  <c r="CS354" i="54"/>
  <c r="CT354" i="54"/>
  <c r="CU354" i="54"/>
  <c r="CV354" i="54"/>
  <c r="CW354" i="54"/>
  <c r="CX354" i="54"/>
  <c r="BK355" i="54"/>
  <c r="BL355" i="54"/>
  <c r="BN355" i="54"/>
  <c r="BO355" i="54"/>
  <c r="BP355" i="54"/>
  <c r="BQ355" i="54"/>
  <c r="BR355" i="54"/>
  <c r="BS355" i="54"/>
  <c r="BT355" i="54"/>
  <c r="BU355" i="54"/>
  <c r="BV355" i="54"/>
  <c r="BW355" i="54"/>
  <c r="BX355" i="54"/>
  <c r="BY355" i="54"/>
  <c r="BZ355" i="54"/>
  <c r="CA355" i="54"/>
  <c r="CB355" i="54"/>
  <c r="CC355" i="54"/>
  <c r="CD355" i="54"/>
  <c r="CE355" i="54"/>
  <c r="CF355" i="54"/>
  <c r="CG355" i="54"/>
  <c r="CH355" i="54"/>
  <c r="CI355" i="54"/>
  <c r="CJ355" i="54"/>
  <c r="CK355" i="54"/>
  <c r="CL355" i="54"/>
  <c r="CM355" i="54"/>
  <c r="CN355" i="54"/>
  <c r="CO355" i="54"/>
  <c r="CP355" i="54"/>
  <c r="CQ355" i="54"/>
  <c r="CR355" i="54"/>
  <c r="CS355" i="54"/>
  <c r="CT355" i="54"/>
  <c r="CU355" i="54"/>
  <c r="CV355" i="54"/>
  <c r="CW355" i="54"/>
  <c r="CX355" i="54"/>
  <c r="BK356" i="54"/>
  <c r="BL356" i="54"/>
  <c r="BN356" i="54"/>
  <c r="BO356" i="54"/>
  <c r="BP356" i="54"/>
  <c r="BQ356" i="54"/>
  <c r="BR356" i="54"/>
  <c r="BS356" i="54"/>
  <c r="BT356" i="54"/>
  <c r="BU356" i="54"/>
  <c r="BV356" i="54"/>
  <c r="BW356" i="54"/>
  <c r="BX356" i="54"/>
  <c r="BY356" i="54"/>
  <c r="BZ356" i="54"/>
  <c r="CA356" i="54"/>
  <c r="CB356" i="54"/>
  <c r="CC356" i="54"/>
  <c r="CD356" i="54"/>
  <c r="CE356" i="54"/>
  <c r="CF356" i="54"/>
  <c r="CG356" i="54"/>
  <c r="CH356" i="54"/>
  <c r="CI356" i="54"/>
  <c r="CJ356" i="54"/>
  <c r="CK356" i="54"/>
  <c r="CL356" i="54"/>
  <c r="CM356" i="54"/>
  <c r="CN356" i="54"/>
  <c r="CO356" i="54"/>
  <c r="CP356" i="54"/>
  <c r="CQ356" i="54"/>
  <c r="CR356" i="54"/>
  <c r="CS356" i="54"/>
  <c r="CT356" i="54"/>
  <c r="CU356" i="54"/>
  <c r="CV356" i="54"/>
  <c r="CW356" i="54"/>
  <c r="CX356" i="54"/>
  <c r="BK359" i="54"/>
  <c r="BL359" i="54"/>
  <c r="BN359" i="54"/>
  <c r="BO359" i="54"/>
  <c r="BP359" i="54"/>
  <c r="BQ359" i="54"/>
  <c r="BR359" i="54"/>
  <c r="BS359" i="54"/>
  <c r="BT359" i="54"/>
  <c r="BU359" i="54"/>
  <c r="BV359" i="54"/>
  <c r="BW359" i="54"/>
  <c r="BX359" i="54"/>
  <c r="BY359" i="54"/>
  <c r="BZ359" i="54"/>
  <c r="CA359" i="54"/>
  <c r="CB359" i="54"/>
  <c r="CC359" i="54"/>
  <c r="CD359" i="54"/>
  <c r="CE359" i="54"/>
  <c r="CF359" i="54"/>
  <c r="CG359" i="54"/>
  <c r="CH359" i="54"/>
  <c r="CI359" i="54"/>
  <c r="CJ359" i="54"/>
  <c r="CK359" i="54"/>
  <c r="CL359" i="54"/>
  <c r="CM359" i="54"/>
  <c r="CN359" i="54"/>
  <c r="CO359" i="54"/>
  <c r="CP359" i="54"/>
  <c r="CQ359" i="54"/>
  <c r="CR359" i="54"/>
  <c r="CS359" i="54"/>
  <c r="CT359" i="54"/>
  <c r="CU359" i="54"/>
  <c r="CV359" i="54"/>
  <c r="CW359" i="54"/>
  <c r="CX359" i="54"/>
  <c r="BK360" i="54"/>
  <c r="BL360" i="54"/>
  <c r="BN360" i="54"/>
  <c r="BO360" i="54"/>
  <c r="BP360" i="54"/>
  <c r="BQ360" i="54"/>
  <c r="BR360" i="54"/>
  <c r="BS360" i="54"/>
  <c r="BT360" i="54"/>
  <c r="BU360" i="54"/>
  <c r="BV360" i="54"/>
  <c r="BW360" i="54"/>
  <c r="BX360" i="54"/>
  <c r="BY360" i="54"/>
  <c r="BZ360" i="54"/>
  <c r="CA360" i="54"/>
  <c r="CB360" i="54"/>
  <c r="CC360" i="54"/>
  <c r="CD360" i="54"/>
  <c r="CE360" i="54"/>
  <c r="CF360" i="54"/>
  <c r="CG360" i="54"/>
  <c r="CH360" i="54"/>
  <c r="CI360" i="54"/>
  <c r="CJ360" i="54"/>
  <c r="CK360" i="54"/>
  <c r="CL360" i="54"/>
  <c r="CM360" i="54"/>
  <c r="CN360" i="54"/>
  <c r="CO360" i="54"/>
  <c r="CP360" i="54"/>
  <c r="CQ360" i="54"/>
  <c r="CR360" i="54"/>
  <c r="CS360" i="54"/>
  <c r="CT360" i="54"/>
  <c r="CU360" i="54"/>
  <c r="CV360" i="54"/>
  <c r="CW360" i="54"/>
  <c r="CX360" i="54"/>
  <c r="BK361" i="54"/>
  <c r="BL361" i="54"/>
  <c r="BN361" i="54"/>
  <c r="BO361" i="54"/>
  <c r="BP361" i="54"/>
  <c r="BQ361" i="54"/>
  <c r="BR361" i="54"/>
  <c r="BS361" i="54"/>
  <c r="BT361" i="54"/>
  <c r="BU361" i="54"/>
  <c r="BV361" i="54"/>
  <c r="BW361" i="54"/>
  <c r="BX361" i="54"/>
  <c r="BY361" i="54"/>
  <c r="BZ361" i="54"/>
  <c r="CA361" i="54"/>
  <c r="CB361" i="54"/>
  <c r="CC361" i="54"/>
  <c r="CD361" i="54"/>
  <c r="CE361" i="54"/>
  <c r="CF361" i="54"/>
  <c r="CG361" i="54"/>
  <c r="CH361" i="54"/>
  <c r="CI361" i="54"/>
  <c r="CJ361" i="54"/>
  <c r="CK361" i="54"/>
  <c r="CL361" i="54"/>
  <c r="CM361" i="54"/>
  <c r="CN361" i="54"/>
  <c r="CO361" i="54"/>
  <c r="CP361" i="54"/>
  <c r="CQ361" i="54"/>
  <c r="CR361" i="54"/>
  <c r="CS361" i="54"/>
  <c r="CT361" i="54"/>
  <c r="CU361" i="54"/>
  <c r="CV361" i="54"/>
  <c r="CW361" i="54"/>
  <c r="CX361" i="54"/>
  <c r="BK362" i="54"/>
  <c r="BL362" i="54"/>
  <c r="BN362" i="54"/>
  <c r="BO362" i="54"/>
  <c r="BP362" i="54"/>
  <c r="BQ362" i="54"/>
  <c r="BR362" i="54"/>
  <c r="BS362" i="54"/>
  <c r="BT362" i="54"/>
  <c r="BU362" i="54"/>
  <c r="BV362" i="54"/>
  <c r="BW362" i="54"/>
  <c r="BX362" i="54"/>
  <c r="BY362" i="54"/>
  <c r="BZ362" i="54"/>
  <c r="CA362" i="54"/>
  <c r="CB362" i="54"/>
  <c r="CC362" i="54"/>
  <c r="CD362" i="54"/>
  <c r="CE362" i="54"/>
  <c r="CF362" i="54"/>
  <c r="CG362" i="54"/>
  <c r="CH362" i="54"/>
  <c r="CI362" i="54"/>
  <c r="CJ362" i="54"/>
  <c r="CK362" i="54"/>
  <c r="CL362" i="54"/>
  <c r="CM362" i="54"/>
  <c r="CN362" i="54"/>
  <c r="CO362" i="54"/>
  <c r="CP362" i="54"/>
  <c r="CQ362" i="54"/>
  <c r="CR362" i="54"/>
  <c r="CS362" i="54"/>
  <c r="CT362" i="54"/>
  <c r="CU362" i="54"/>
  <c r="CV362" i="54"/>
  <c r="CW362" i="54"/>
  <c r="CX362" i="54"/>
  <c r="BK363" i="54"/>
  <c r="BL363" i="54"/>
  <c r="BN363" i="54"/>
  <c r="BO363" i="54"/>
  <c r="BP363" i="54"/>
  <c r="BQ363" i="54"/>
  <c r="BR363" i="54"/>
  <c r="BS363" i="54"/>
  <c r="BT363" i="54"/>
  <c r="BU363" i="54"/>
  <c r="BV363" i="54"/>
  <c r="BW363" i="54"/>
  <c r="BX363" i="54"/>
  <c r="BY363" i="54"/>
  <c r="BZ363" i="54"/>
  <c r="CA363" i="54"/>
  <c r="CB363" i="54"/>
  <c r="CC363" i="54"/>
  <c r="CD363" i="54"/>
  <c r="CE363" i="54"/>
  <c r="CF363" i="54"/>
  <c r="CG363" i="54"/>
  <c r="CH363" i="54"/>
  <c r="CI363" i="54"/>
  <c r="CJ363" i="54"/>
  <c r="CK363" i="54"/>
  <c r="CL363" i="54"/>
  <c r="CM363" i="54"/>
  <c r="CN363" i="54"/>
  <c r="CO363" i="54"/>
  <c r="CP363" i="54"/>
  <c r="CQ363" i="54"/>
  <c r="CR363" i="54"/>
  <c r="CS363" i="54"/>
  <c r="CT363" i="54"/>
  <c r="CU363" i="54"/>
  <c r="CV363" i="54"/>
  <c r="CW363" i="54"/>
  <c r="CX363" i="54"/>
  <c r="BK364" i="54"/>
  <c r="BL364" i="54"/>
  <c r="BN364" i="54"/>
  <c r="BO364" i="54"/>
  <c r="BP364" i="54"/>
  <c r="BQ364" i="54"/>
  <c r="BR364" i="54"/>
  <c r="BS364" i="54"/>
  <c r="BT364" i="54"/>
  <c r="BU364" i="54"/>
  <c r="BV364" i="54"/>
  <c r="BW364" i="54"/>
  <c r="BX364" i="54"/>
  <c r="BY364" i="54"/>
  <c r="BZ364" i="54"/>
  <c r="CA364" i="54"/>
  <c r="CB364" i="54"/>
  <c r="CC364" i="54"/>
  <c r="CD364" i="54"/>
  <c r="CE364" i="54"/>
  <c r="CF364" i="54"/>
  <c r="CG364" i="54"/>
  <c r="CH364" i="54"/>
  <c r="CI364" i="54"/>
  <c r="CJ364" i="54"/>
  <c r="CK364" i="54"/>
  <c r="CL364" i="54"/>
  <c r="CM364" i="54"/>
  <c r="CN364" i="54"/>
  <c r="CO364" i="54"/>
  <c r="CP364" i="54"/>
  <c r="CQ364" i="54"/>
  <c r="CR364" i="54"/>
  <c r="CS364" i="54"/>
  <c r="CT364" i="54"/>
  <c r="CU364" i="54"/>
  <c r="CV364" i="54"/>
  <c r="CW364" i="54"/>
  <c r="CX364" i="54"/>
  <c r="BK365" i="54"/>
  <c r="BL365" i="54"/>
  <c r="BN365" i="54"/>
  <c r="BO365" i="54"/>
  <c r="BP365" i="54"/>
  <c r="BQ365" i="54"/>
  <c r="BR365" i="54"/>
  <c r="BS365" i="54"/>
  <c r="BT365" i="54"/>
  <c r="BU365" i="54"/>
  <c r="BV365" i="54"/>
  <c r="BW365" i="54"/>
  <c r="BX365" i="54"/>
  <c r="BY365" i="54"/>
  <c r="BZ365" i="54"/>
  <c r="CA365" i="54"/>
  <c r="CB365" i="54"/>
  <c r="CC365" i="54"/>
  <c r="CD365" i="54"/>
  <c r="CE365" i="54"/>
  <c r="CF365" i="54"/>
  <c r="CG365" i="54"/>
  <c r="CH365" i="54"/>
  <c r="CI365" i="54"/>
  <c r="CJ365" i="54"/>
  <c r="CK365" i="54"/>
  <c r="CL365" i="54"/>
  <c r="CM365" i="54"/>
  <c r="CN365" i="54"/>
  <c r="CO365" i="54"/>
  <c r="CP365" i="54"/>
  <c r="CQ365" i="54"/>
  <c r="CR365" i="54"/>
  <c r="CS365" i="54"/>
  <c r="CT365" i="54"/>
  <c r="CU365" i="54"/>
  <c r="CV365" i="54"/>
  <c r="CW365" i="54"/>
  <c r="CX365" i="54"/>
  <c r="BK366" i="54"/>
  <c r="BL366" i="54"/>
  <c r="BN366" i="54"/>
  <c r="BO366" i="54"/>
  <c r="BP366" i="54"/>
  <c r="BQ366" i="54"/>
  <c r="BR366" i="54"/>
  <c r="BS366" i="54"/>
  <c r="BT366" i="54"/>
  <c r="BU366" i="54"/>
  <c r="BV366" i="54"/>
  <c r="BW366" i="54"/>
  <c r="BX366" i="54"/>
  <c r="BY366" i="54"/>
  <c r="BZ366" i="54"/>
  <c r="CA366" i="54"/>
  <c r="CB366" i="54"/>
  <c r="CC366" i="54"/>
  <c r="CD366" i="54"/>
  <c r="CE366" i="54"/>
  <c r="CF366" i="54"/>
  <c r="CG366" i="54"/>
  <c r="CH366" i="54"/>
  <c r="CI366" i="54"/>
  <c r="CJ366" i="54"/>
  <c r="CK366" i="54"/>
  <c r="CL366" i="54"/>
  <c r="CM366" i="54"/>
  <c r="CN366" i="54"/>
  <c r="CO366" i="54"/>
  <c r="CP366" i="54"/>
  <c r="CQ366" i="54"/>
  <c r="CR366" i="54"/>
  <c r="CS366" i="54"/>
  <c r="CT366" i="54"/>
  <c r="CU366" i="54"/>
  <c r="CV366" i="54"/>
  <c r="CW366" i="54"/>
  <c r="CX366" i="54"/>
  <c r="BK367" i="54"/>
  <c r="BL367" i="54"/>
  <c r="BN367" i="54"/>
  <c r="BO367" i="54"/>
  <c r="BP367" i="54"/>
  <c r="BQ367" i="54"/>
  <c r="BR367" i="54"/>
  <c r="BS367" i="54"/>
  <c r="BT367" i="54"/>
  <c r="BU367" i="54"/>
  <c r="BV367" i="54"/>
  <c r="BW367" i="54"/>
  <c r="BX367" i="54"/>
  <c r="BY367" i="54"/>
  <c r="BZ367" i="54"/>
  <c r="CA367" i="54"/>
  <c r="CB367" i="54"/>
  <c r="CC367" i="54"/>
  <c r="CD367" i="54"/>
  <c r="CE367" i="54"/>
  <c r="CF367" i="54"/>
  <c r="CG367" i="54"/>
  <c r="CH367" i="54"/>
  <c r="CI367" i="54"/>
  <c r="CJ367" i="54"/>
  <c r="CK367" i="54"/>
  <c r="CL367" i="54"/>
  <c r="CM367" i="54"/>
  <c r="CN367" i="54"/>
  <c r="CO367" i="54"/>
  <c r="CP367" i="54"/>
  <c r="CQ367" i="54"/>
  <c r="CR367" i="54"/>
  <c r="CS367" i="54"/>
  <c r="CT367" i="54"/>
  <c r="CU367" i="54"/>
  <c r="CV367" i="54"/>
  <c r="CW367" i="54"/>
  <c r="CX367" i="54"/>
  <c r="BK368" i="54"/>
  <c r="BL368" i="54"/>
  <c r="BN368" i="54"/>
  <c r="BO368" i="54"/>
  <c r="BP368" i="54"/>
  <c r="BQ368" i="54"/>
  <c r="BR368" i="54"/>
  <c r="BS368" i="54"/>
  <c r="BT368" i="54"/>
  <c r="BU368" i="54"/>
  <c r="BV368" i="54"/>
  <c r="BW368" i="54"/>
  <c r="BX368" i="54"/>
  <c r="BY368" i="54"/>
  <c r="BZ368" i="54"/>
  <c r="CA368" i="54"/>
  <c r="CB368" i="54"/>
  <c r="CC368" i="54"/>
  <c r="CD368" i="54"/>
  <c r="CE368" i="54"/>
  <c r="CF368" i="54"/>
  <c r="CG368" i="54"/>
  <c r="CH368" i="54"/>
  <c r="CI368" i="54"/>
  <c r="CJ368" i="54"/>
  <c r="CK368" i="54"/>
  <c r="CL368" i="54"/>
  <c r="CM368" i="54"/>
  <c r="CN368" i="54"/>
  <c r="CO368" i="54"/>
  <c r="CP368" i="54"/>
  <c r="CQ368" i="54"/>
  <c r="CR368" i="54"/>
  <c r="CS368" i="54"/>
  <c r="CT368" i="54"/>
  <c r="CU368" i="54"/>
  <c r="CV368" i="54"/>
  <c r="CW368" i="54"/>
  <c r="CX368" i="54"/>
  <c r="BK369" i="54"/>
  <c r="BL369" i="54"/>
  <c r="BN369" i="54"/>
  <c r="BO369" i="54"/>
  <c r="BP369" i="54"/>
  <c r="BQ369" i="54"/>
  <c r="BR369" i="54"/>
  <c r="BS369" i="54"/>
  <c r="BT369" i="54"/>
  <c r="BU369" i="54"/>
  <c r="BV369" i="54"/>
  <c r="BW369" i="54"/>
  <c r="BX369" i="54"/>
  <c r="BY369" i="54"/>
  <c r="BZ369" i="54"/>
  <c r="CA369" i="54"/>
  <c r="CB369" i="54"/>
  <c r="CC369" i="54"/>
  <c r="CD369" i="54"/>
  <c r="CE369" i="54"/>
  <c r="CF369" i="54"/>
  <c r="CG369" i="54"/>
  <c r="CH369" i="54"/>
  <c r="CI369" i="54"/>
  <c r="CJ369" i="54"/>
  <c r="CK369" i="54"/>
  <c r="CL369" i="54"/>
  <c r="CM369" i="54"/>
  <c r="CN369" i="54"/>
  <c r="CO369" i="54"/>
  <c r="CP369" i="54"/>
  <c r="CQ369" i="54"/>
  <c r="CR369" i="54"/>
  <c r="CS369" i="54"/>
  <c r="CT369" i="54"/>
  <c r="CU369" i="54"/>
  <c r="CV369" i="54"/>
  <c r="CW369" i="54"/>
  <c r="CX369" i="54"/>
  <c r="BK370" i="54"/>
  <c r="BL370" i="54"/>
  <c r="BN370" i="54"/>
  <c r="BO370" i="54"/>
  <c r="BP370" i="54"/>
  <c r="BQ370" i="54"/>
  <c r="BR370" i="54"/>
  <c r="BS370" i="54"/>
  <c r="BT370" i="54"/>
  <c r="BU370" i="54"/>
  <c r="BV370" i="54"/>
  <c r="BW370" i="54"/>
  <c r="BX370" i="54"/>
  <c r="BY370" i="54"/>
  <c r="BZ370" i="54"/>
  <c r="CA370" i="54"/>
  <c r="CB370" i="54"/>
  <c r="CC370" i="54"/>
  <c r="CD370" i="54"/>
  <c r="CE370" i="54"/>
  <c r="CF370" i="54"/>
  <c r="CG370" i="54"/>
  <c r="CH370" i="54"/>
  <c r="CI370" i="54"/>
  <c r="CJ370" i="54"/>
  <c r="CK370" i="54"/>
  <c r="CL370" i="54"/>
  <c r="CM370" i="54"/>
  <c r="CN370" i="54"/>
  <c r="CO370" i="54"/>
  <c r="CP370" i="54"/>
  <c r="CQ370" i="54"/>
  <c r="CR370" i="54"/>
  <c r="CS370" i="54"/>
  <c r="CT370" i="54"/>
  <c r="CU370" i="54"/>
  <c r="CV370" i="54"/>
  <c r="CW370" i="54"/>
  <c r="CX370" i="54"/>
  <c r="BK371" i="54"/>
  <c r="BL371" i="54"/>
  <c r="BN371" i="54"/>
  <c r="BO371" i="54"/>
  <c r="BP371" i="54"/>
  <c r="BQ371" i="54"/>
  <c r="BR371" i="54"/>
  <c r="BS371" i="54"/>
  <c r="BT371" i="54"/>
  <c r="BU371" i="54"/>
  <c r="BV371" i="54"/>
  <c r="BW371" i="54"/>
  <c r="BX371" i="54"/>
  <c r="BY371" i="54"/>
  <c r="BZ371" i="54"/>
  <c r="CA371" i="54"/>
  <c r="CB371" i="54"/>
  <c r="CC371" i="54"/>
  <c r="CD371" i="54"/>
  <c r="CE371" i="54"/>
  <c r="CF371" i="54"/>
  <c r="CG371" i="54"/>
  <c r="CH371" i="54"/>
  <c r="CI371" i="54"/>
  <c r="CJ371" i="54"/>
  <c r="CK371" i="54"/>
  <c r="CL371" i="54"/>
  <c r="CM371" i="54"/>
  <c r="CN371" i="54"/>
  <c r="CO371" i="54"/>
  <c r="CP371" i="54"/>
  <c r="CQ371" i="54"/>
  <c r="CR371" i="54"/>
  <c r="CS371" i="54"/>
  <c r="CT371" i="54"/>
  <c r="CU371" i="54"/>
  <c r="CV371" i="54"/>
  <c r="CW371" i="54"/>
  <c r="CX371" i="54"/>
  <c r="BK372" i="54"/>
  <c r="BL372" i="54"/>
  <c r="BN372" i="54"/>
  <c r="BO372" i="54"/>
  <c r="BP372" i="54"/>
  <c r="BQ372" i="54"/>
  <c r="BR372" i="54"/>
  <c r="BS372" i="54"/>
  <c r="BT372" i="54"/>
  <c r="BU372" i="54"/>
  <c r="BV372" i="54"/>
  <c r="BW372" i="54"/>
  <c r="BX372" i="54"/>
  <c r="BY372" i="54"/>
  <c r="BZ372" i="54"/>
  <c r="CA372" i="54"/>
  <c r="CB372" i="54"/>
  <c r="CC372" i="54"/>
  <c r="CD372" i="54"/>
  <c r="CE372" i="54"/>
  <c r="CF372" i="54"/>
  <c r="CG372" i="54"/>
  <c r="CH372" i="54"/>
  <c r="CI372" i="54"/>
  <c r="CJ372" i="54"/>
  <c r="CK372" i="54"/>
  <c r="CL372" i="54"/>
  <c r="CM372" i="54"/>
  <c r="CN372" i="54"/>
  <c r="CO372" i="54"/>
  <c r="CP372" i="54"/>
  <c r="CQ372" i="54"/>
  <c r="CR372" i="54"/>
  <c r="CS372" i="54"/>
  <c r="CT372" i="54"/>
  <c r="CU372" i="54"/>
  <c r="CV372" i="54"/>
  <c r="CW372" i="54"/>
  <c r="CX372" i="54"/>
  <c r="BK373" i="54"/>
  <c r="BL373" i="54"/>
  <c r="BN373" i="54"/>
  <c r="BO373" i="54"/>
  <c r="BP373" i="54"/>
  <c r="BQ373" i="54"/>
  <c r="BR373" i="54"/>
  <c r="BS373" i="54"/>
  <c r="BT373" i="54"/>
  <c r="BU373" i="54"/>
  <c r="BV373" i="54"/>
  <c r="BW373" i="54"/>
  <c r="BX373" i="54"/>
  <c r="BY373" i="54"/>
  <c r="BZ373" i="54"/>
  <c r="CA373" i="54"/>
  <c r="CB373" i="54"/>
  <c r="CC373" i="54"/>
  <c r="CD373" i="54"/>
  <c r="CE373" i="54"/>
  <c r="CF373" i="54"/>
  <c r="CG373" i="54"/>
  <c r="CH373" i="54"/>
  <c r="CI373" i="54"/>
  <c r="CJ373" i="54"/>
  <c r="CK373" i="54"/>
  <c r="CL373" i="54"/>
  <c r="CM373" i="54"/>
  <c r="CN373" i="54"/>
  <c r="CO373" i="54"/>
  <c r="CP373" i="54"/>
  <c r="CQ373" i="54"/>
  <c r="CR373" i="54"/>
  <c r="CS373" i="54"/>
  <c r="CT373" i="54"/>
  <c r="CU373" i="54"/>
  <c r="CV373" i="54"/>
  <c r="CW373" i="54"/>
  <c r="CX373" i="54"/>
  <c r="BK374" i="54"/>
  <c r="BL374" i="54"/>
  <c r="BN374" i="54"/>
  <c r="BO374" i="54"/>
  <c r="BP374" i="54"/>
  <c r="BQ374" i="54"/>
  <c r="BR374" i="54"/>
  <c r="BS374" i="54"/>
  <c r="BT374" i="54"/>
  <c r="BU374" i="54"/>
  <c r="BV374" i="54"/>
  <c r="BW374" i="54"/>
  <c r="BX374" i="54"/>
  <c r="BY374" i="54"/>
  <c r="BZ374" i="54"/>
  <c r="CA374" i="54"/>
  <c r="CB374" i="54"/>
  <c r="CC374" i="54"/>
  <c r="CD374" i="54"/>
  <c r="CE374" i="54"/>
  <c r="CF374" i="54"/>
  <c r="CG374" i="54"/>
  <c r="CH374" i="54"/>
  <c r="CI374" i="54"/>
  <c r="CJ374" i="54"/>
  <c r="CK374" i="54"/>
  <c r="CL374" i="54"/>
  <c r="CM374" i="54"/>
  <c r="CN374" i="54"/>
  <c r="CO374" i="54"/>
  <c r="CP374" i="54"/>
  <c r="CQ374" i="54"/>
  <c r="CR374" i="54"/>
  <c r="CS374" i="54"/>
  <c r="CT374" i="54"/>
  <c r="CU374" i="54"/>
  <c r="CV374" i="54"/>
  <c r="CW374" i="54"/>
  <c r="CX374" i="54"/>
  <c r="BK375" i="54"/>
  <c r="BL375" i="54"/>
  <c r="BN375" i="54"/>
  <c r="BO375" i="54"/>
  <c r="BP375" i="54"/>
  <c r="BQ375" i="54"/>
  <c r="BR375" i="54"/>
  <c r="BS375" i="54"/>
  <c r="BT375" i="54"/>
  <c r="BU375" i="54"/>
  <c r="BV375" i="54"/>
  <c r="BW375" i="54"/>
  <c r="BX375" i="54"/>
  <c r="BY375" i="54"/>
  <c r="BZ375" i="54"/>
  <c r="CA375" i="54"/>
  <c r="CB375" i="54"/>
  <c r="CC375" i="54"/>
  <c r="CD375" i="54"/>
  <c r="CE375" i="54"/>
  <c r="CF375" i="54"/>
  <c r="CG375" i="54"/>
  <c r="CH375" i="54"/>
  <c r="CI375" i="54"/>
  <c r="CJ375" i="54"/>
  <c r="CK375" i="54"/>
  <c r="CL375" i="54"/>
  <c r="CM375" i="54"/>
  <c r="CN375" i="54"/>
  <c r="CO375" i="54"/>
  <c r="CP375" i="54"/>
  <c r="CQ375" i="54"/>
  <c r="CR375" i="54"/>
  <c r="CS375" i="54"/>
  <c r="CT375" i="54"/>
  <c r="CU375" i="54"/>
  <c r="CV375" i="54"/>
  <c r="CW375" i="54"/>
  <c r="CX375" i="54"/>
  <c r="BK376" i="54"/>
  <c r="BL376" i="54"/>
  <c r="BN376" i="54"/>
  <c r="BO376" i="54"/>
  <c r="BP376" i="54"/>
  <c r="BQ376" i="54"/>
  <c r="BR376" i="54"/>
  <c r="BS376" i="54"/>
  <c r="BT376" i="54"/>
  <c r="BU376" i="54"/>
  <c r="BV376" i="54"/>
  <c r="BW376" i="54"/>
  <c r="BX376" i="54"/>
  <c r="BY376" i="54"/>
  <c r="BZ376" i="54"/>
  <c r="CA376" i="54"/>
  <c r="CB376" i="54"/>
  <c r="CC376" i="54"/>
  <c r="CD376" i="54"/>
  <c r="CE376" i="54"/>
  <c r="CF376" i="54"/>
  <c r="CG376" i="54"/>
  <c r="CH376" i="54"/>
  <c r="CI376" i="54"/>
  <c r="CJ376" i="54"/>
  <c r="CK376" i="54"/>
  <c r="CL376" i="54"/>
  <c r="CM376" i="54"/>
  <c r="CN376" i="54"/>
  <c r="CO376" i="54"/>
  <c r="CP376" i="54"/>
  <c r="CQ376" i="54"/>
  <c r="CR376" i="54"/>
  <c r="CS376" i="54"/>
  <c r="CT376" i="54"/>
  <c r="CU376" i="54"/>
  <c r="CV376" i="54"/>
  <c r="CW376" i="54"/>
  <c r="CX376" i="54"/>
  <c r="BK377" i="54"/>
  <c r="BL377" i="54"/>
  <c r="BN377" i="54"/>
  <c r="BO377" i="54"/>
  <c r="BP377" i="54"/>
  <c r="BQ377" i="54"/>
  <c r="BR377" i="54"/>
  <c r="BS377" i="54"/>
  <c r="BT377" i="54"/>
  <c r="BU377" i="54"/>
  <c r="BV377" i="54"/>
  <c r="BW377" i="54"/>
  <c r="BX377" i="54"/>
  <c r="BY377" i="54"/>
  <c r="BZ377" i="54"/>
  <c r="CA377" i="54"/>
  <c r="CB377" i="54"/>
  <c r="CC377" i="54"/>
  <c r="CD377" i="54"/>
  <c r="CE377" i="54"/>
  <c r="CF377" i="54"/>
  <c r="CG377" i="54"/>
  <c r="CH377" i="54"/>
  <c r="CI377" i="54"/>
  <c r="CJ377" i="54"/>
  <c r="CK377" i="54"/>
  <c r="CL377" i="54"/>
  <c r="CM377" i="54"/>
  <c r="CN377" i="54"/>
  <c r="CO377" i="54"/>
  <c r="CP377" i="54"/>
  <c r="CQ377" i="54"/>
  <c r="CR377" i="54"/>
  <c r="CS377" i="54"/>
  <c r="CT377" i="54"/>
  <c r="CU377" i="54"/>
  <c r="CV377" i="54"/>
  <c r="CW377" i="54"/>
  <c r="CX377" i="54"/>
  <c r="BK378" i="54"/>
  <c r="BL378" i="54"/>
  <c r="BN378" i="54"/>
  <c r="BO378" i="54"/>
  <c r="BP378" i="54"/>
  <c r="BQ378" i="54"/>
  <c r="BR378" i="54"/>
  <c r="BS378" i="54"/>
  <c r="BT378" i="54"/>
  <c r="BU378" i="54"/>
  <c r="BV378" i="54"/>
  <c r="BW378" i="54"/>
  <c r="BX378" i="54"/>
  <c r="BY378" i="54"/>
  <c r="BZ378" i="54"/>
  <c r="CA378" i="54"/>
  <c r="CB378" i="54"/>
  <c r="CC378" i="54"/>
  <c r="CD378" i="54"/>
  <c r="CE378" i="54"/>
  <c r="CF378" i="54"/>
  <c r="CG378" i="54"/>
  <c r="CH378" i="54"/>
  <c r="CI378" i="54"/>
  <c r="CJ378" i="54"/>
  <c r="CK378" i="54"/>
  <c r="CL378" i="54"/>
  <c r="CM378" i="54"/>
  <c r="CN378" i="54"/>
  <c r="CO378" i="54"/>
  <c r="CP378" i="54"/>
  <c r="CQ378" i="54"/>
  <c r="CR378" i="54"/>
  <c r="CS378" i="54"/>
  <c r="CT378" i="54"/>
  <c r="CU378" i="54"/>
  <c r="CV378" i="54"/>
  <c r="CW378" i="54"/>
  <c r="CX378" i="54"/>
  <c r="BK379" i="54"/>
  <c r="BL379" i="54"/>
  <c r="BN379" i="54"/>
  <c r="BO379" i="54"/>
  <c r="BP379" i="54"/>
  <c r="BQ379" i="54"/>
  <c r="BR379" i="54"/>
  <c r="BS379" i="54"/>
  <c r="BT379" i="54"/>
  <c r="BU379" i="54"/>
  <c r="BV379" i="54"/>
  <c r="BW379" i="54"/>
  <c r="BX379" i="54"/>
  <c r="BY379" i="54"/>
  <c r="BZ379" i="54"/>
  <c r="CA379" i="54"/>
  <c r="CB379" i="54"/>
  <c r="CC379" i="54"/>
  <c r="CD379" i="54"/>
  <c r="CE379" i="54"/>
  <c r="CF379" i="54"/>
  <c r="CG379" i="54"/>
  <c r="CH379" i="54"/>
  <c r="CI379" i="54"/>
  <c r="CJ379" i="54"/>
  <c r="CK379" i="54"/>
  <c r="CL379" i="54"/>
  <c r="CM379" i="54"/>
  <c r="CN379" i="54"/>
  <c r="CO379" i="54"/>
  <c r="CP379" i="54"/>
  <c r="CQ379" i="54"/>
  <c r="CR379" i="54"/>
  <c r="CS379" i="54"/>
  <c r="CT379" i="54"/>
  <c r="CU379" i="54"/>
  <c r="CV379" i="54"/>
  <c r="CW379" i="54"/>
  <c r="CX379" i="54"/>
  <c r="BK380" i="54"/>
  <c r="BL380" i="54"/>
  <c r="BN380" i="54"/>
  <c r="BO380" i="54"/>
  <c r="BP380" i="54"/>
  <c r="BQ380" i="54"/>
  <c r="BR380" i="54"/>
  <c r="BS380" i="54"/>
  <c r="BT380" i="54"/>
  <c r="BU380" i="54"/>
  <c r="BV380" i="54"/>
  <c r="BW380" i="54"/>
  <c r="BX380" i="54"/>
  <c r="BY380" i="54"/>
  <c r="BZ380" i="54"/>
  <c r="CA380" i="54"/>
  <c r="CB380" i="54"/>
  <c r="CC380" i="54"/>
  <c r="CD380" i="54"/>
  <c r="CE380" i="54"/>
  <c r="CF380" i="54"/>
  <c r="CG380" i="54"/>
  <c r="CH380" i="54"/>
  <c r="CI380" i="54"/>
  <c r="CJ380" i="54"/>
  <c r="CK380" i="54"/>
  <c r="CL380" i="54"/>
  <c r="CM380" i="54"/>
  <c r="CN380" i="54"/>
  <c r="CO380" i="54"/>
  <c r="CP380" i="54"/>
  <c r="CQ380" i="54"/>
  <c r="CR380" i="54"/>
  <c r="CS380" i="54"/>
  <c r="CT380" i="54"/>
  <c r="CU380" i="54"/>
  <c r="CV380" i="54"/>
  <c r="CW380" i="54"/>
  <c r="CX380" i="54"/>
  <c r="BK381" i="54"/>
  <c r="BL381" i="54"/>
  <c r="BN381" i="54"/>
  <c r="BO381" i="54"/>
  <c r="BP381" i="54"/>
  <c r="BQ381" i="54"/>
  <c r="BR381" i="54"/>
  <c r="BS381" i="54"/>
  <c r="BT381" i="54"/>
  <c r="BU381" i="54"/>
  <c r="BV381" i="54"/>
  <c r="BW381" i="54"/>
  <c r="BX381" i="54"/>
  <c r="BY381" i="54"/>
  <c r="BZ381" i="54"/>
  <c r="CA381" i="54"/>
  <c r="CB381" i="54"/>
  <c r="CC381" i="54"/>
  <c r="CD381" i="54"/>
  <c r="CE381" i="54"/>
  <c r="CF381" i="54"/>
  <c r="CG381" i="54"/>
  <c r="CH381" i="54"/>
  <c r="CI381" i="54"/>
  <c r="CJ381" i="54"/>
  <c r="CK381" i="54"/>
  <c r="CL381" i="54"/>
  <c r="CM381" i="54"/>
  <c r="CN381" i="54"/>
  <c r="CO381" i="54"/>
  <c r="CP381" i="54"/>
  <c r="CQ381" i="54"/>
  <c r="CR381" i="54"/>
  <c r="CS381" i="54"/>
  <c r="CT381" i="54"/>
  <c r="CU381" i="54"/>
  <c r="CV381" i="54"/>
  <c r="CW381" i="54"/>
  <c r="CX381" i="54"/>
  <c r="BK382" i="54"/>
  <c r="BL382" i="54"/>
  <c r="BN382" i="54"/>
  <c r="BO382" i="54"/>
  <c r="BP382" i="54"/>
  <c r="BQ382" i="54"/>
  <c r="BR382" i="54"/>
  <c r="BS382" i="54"/>
  <c r="BT382" i="54"/>
  <c r="BU382" i="54"/>
  <c r="BV382" i="54"/>
  <c r="BW382" i="54"/>
  <c r="BX382" i="54"/>
  <c r="BY382" i="54"/>
  <c r="BZ382" i="54"/>
  <c r="CA382" i="54"/>
  <c r="CB382" i="54"/>
  <c r="CC382" i="54"/>
  <c r="CD382" i="54"/>
  <c r="CE382" i="54"/>
  <c r="CF382" i="54"/>
  <c r="CG382" i="54"/>
  <c r="CH382" i="54"/>
  <c r="CI382" i="54"/>
  <c r="CJ382" i="54"/>
  <c r="CK382" i="54"/>
  <c r="CL382" i="54"/>
  <c r="CM382" i="54"/>
  <c r="CN382" i="54"/>
  <c r="CO382" i="54"/>
  <c r="CP382" i="54"/>
  <c r="CQ382" i="54"/>
  <c r="CR382" i="54"/>
  <c r="CS382" i="54"/>
  <c r="CT382" i="54"/>
  <c r="CU382" i="54"/>
  <c r="CV382" i="54"/>
  <c r="CW382" i="54"/>
  <c r="CX382" i="54"/>
  <c r="BK383" i="54"/>
  <c r="BL383" i="54"/>
  <c r="BN383" i="54"/>
  <c r="BO383" i="54"/>
  <c r="BP383" i="54"/>
  <c r="BQ383" i="54"/>
  <c r="BR383" i="54"/>
  <c r="BS383" i="54"/>
  <c r="BT383" i="54"/>
  <c r="BU383" i="54"/>
  <c r="BV383" i="54"/>
  <c r="BW383" i="54"/>
  <c r="BX383" i="54"/>
  <c r="BY383" i="54"/>
  <c r="BZ383" i="54"/>
  <c r="CA383" i="54"/>
  <c r="CB383" i="54"/>
  <c r="CC383" i="54"/>
  <c r="CD383" i="54"/>
  <c r="CE383" i="54"/>
  <c r="CF383" i="54"/>
  <c r="CG383" i="54"/>
  <c r="CH383" i="54"/>
  <c r="CI383" i="54"/>
  <c r="CJ383" i="54"/>
  <c r="CK383" i="54"/>
  <c r="CL383" i="54"/>
  <c r="CM383" i="54"/>
  <c r="CN383" i="54"/>
  <c r="CO383" i="54"/>
  <c r="CP383" i="54"/>
  <c r="CQ383" i="54"/>
  <c r="CR383" i="54"/>
  <c r="CS383" i="54"/>
  <c r="CT383" i="54"/>
  <c r="CU383" i="54"/>
  <c r="CV383" i="54"/>
  <c r="CW383" i="54"/>
  <c r="CX383" i="54"/>
  <c r="BK384" i="54"/>
  <c r="BL384" i="54"/>
  <c r="BN384" i="54"/>
  <c r="BO384" i="54"/>
  <c r="BP384" i="54"/>
  <c r="BQ384" i="54"/>
  <c r="BR384" i="54"/>
  <c r="BS384" i="54"/>
  <c r="BT384" i="54"/>
  <c r="BU384" i="54"/>
  <c r="BV384" i="54"/>
  <c r="BW384" i="54"/>
  <c r="BX384" i="54"/>
  <c r="BY384" i="54"/>
  <c r="BZ384" i="54"/>
  <c r="CA384" i="54"/>
  <c r="CB384" i="54"/>
  <c r="CC384" i="54"/>
  <c r="CD384" i="54"/>
  <c r="CE384" i="54"/>
  <c r="CF384" i="54"/>
  <c r="CG384" i="54"/>
  <c r="CH384" i="54"/>
  <c r="CI384" i="54"/>
  <c r="CJ384" i="54"/>
  <c r="CK384" i="54"/>
  <c r="CL384" i="54"/>
  <c r="CM384" i="54"/>
  <c r="CN384" i="54"/>
  <c r="CO384" i="54"/>
  <c r="CP384" i="54"/>
  <c r="CQ384" i="54"/>
  <c r="CR384" i="54"/>
  <c r="CS384" i="54"/>
  <c r="CT384" i="54"/>
  <c r="CU384" i="54"/>
  <c r="CV384" i="54"/>
  <c r="CW384" i="54"/>
  <c r="CX384" i="54"/>
  <c r="BK385" i="54"/>
  <c r="BL385" i="54"/>
  <c r="BN385" i="54"/>
  <c r="BO385" i="54"/>
  <c r="BP385" i="54"/>
  <c r="BQ385" i="54"/>
  <c r="BR385" i="54"/>
  <c r="BS385" i="54"/>
  <c r="BT385" i="54"/>
  <c r="BU385" i="54"/>
  <c r="BV385" i="54"/>
  <c r="BW385" i="54"/>
  <c r="BX385" i="54"/>
  <c r="BY385" i="54"/>
  <c r="BZ385" i="54"/>
  <c r="CA385" i="54"/>
  <c r="CB385" i="54"/>
  <c r="CC385" i="54"/>
  <c r="CD385" i="54"/>
  <c r="CE385" i="54"/>
  <c r="CF385" i="54"/>
  <c r="CG385" i="54"/>
  <c r="CH385" i="54"/>
  <c r="CI385" i="54"/>
  <c r="CJ385" i="54"/>
  <c r="CK385" i="54"/>
  <c r="CL385" i="54"/>
  <c r="CM385" i="54"/>
  <c r="CN385" i="54"/>
  <c r="CO385" i="54"/>
  <c r="CP385" i="54"/>
  <c r="CQ385" i="54"/>
  <c r="CR385" i="54"/>
  <c r="CS385" i="54"/>
  <c r="CT385" i="54"/>
  <c r="CU385" i="54"/>
  <c r="CV385" i="54"/>
  <c r="CW385" i="54"/>
  <c r="CX385" i="54"/>
  <c r="BK386" i="54"/>
  <c r="BL386" i="54"/>
  <c r="BN386" i="54"/>
  <c r="BO386" i="54"/>
  <c r="BP386" i="54"/>
  <c r="BQ386" i="54"/>
  <c r="BR386" i="54"/>
  <c r="BS386" i="54"/>
  <c r="BT386" i="54"/>
  <c r="BU386" i="54"/>
  <c r="BV386" i="54"/>
  <c r="BW386" i="54"/>
  <c r="BX386" i="54"/>
  <c r="BY386" i="54"/>
  <c r="BZ386" i="54"/>
  <c r="CA386" i="54"/>
  <c r="CB386" i="54"/>
  <c r="CC386" i="54"/>
  <c r="CD386" i="54"/>
  <c r="CE386" i="54"/>
  <c r="CF386" i="54"/>
  <c r="CG386" i="54"/>
  <c r="CH386" i="54"/>
  <c r="CI386" i="54"/>
  <c r="CJ386" i="54"/>
  <c r="CK386" i="54"/>
  <c r="CL386" i="54"/>
  <c r="CM386" i="54"/>
  <c r="CN386" i="54"/>
  <c r="CO386" i="54"/>
  <c r="CP386" i="54"/>
  <c r="CQ386" i="54"/>
  <c r="CR386" i="54"/>
  <c r="CS386" i="54"/>
  <c r="CT386" i="54"/>
  <c r="CU386" i="54"/>
  <c r="CV386" i="54"/>
  <c r="CW386" i="54"/>
  <c r="CX386" i="54"/>
  <c r="BK387" i="54"/>
  <c r="BL387" i="54"/>
  <c r="BN387" i="54"/>
  <c r="BO387" i="54"/>
  <c r="BP387" i="54"/>
  <c r="BQ387" i="54"/>
  <c r="BR387" i="54"/>
  <c r="BS387" i="54"/>
  <c r="BT387" i="54"/>
  <c r="BU387" i="54"/>
  <c r="BV387" i="54"/>
  <c r="BW387" i="54"/>
  <c r="BX387" i="54"/>
  <c r="BY387" i="54"/>
  <c r="BZ387" i="54"/>
  <c r="CA387" i="54"/>
  <c r="CB387" i="54"/>
  <c r="CC387" i="54"/>
  <c r="CD387" i="54"/>
  <c r="CE387" i="54"/>
  <c r="CF387" i="54"/>
  <c r="CG387" i="54"/>
  <c r="CH387" i="54"/>
  <c r="CI387" i="54"/>
  <c r="CJ387" i="54"/>
  <c r="CK387" i="54"/>
  <c r="CL387" i="54"/>
  <c r="CM387" i="54"/>
  <c r="CN387" i="54"/>
  <c r="CO387" i="54"/>
  <c r="CP387" i="54"/>
  <c r="CQ387" i="54"/>
  <c r="CR387" i="54"/>
  <c r="CS387" i="54"/>
  <c r="CT387" i="54"/>
  <c r="CU387" i="54"/>
  <c r="CV387" i="54"/>
  <c r="CW387" i="54"/>
  <c r="CX387" i="54"/>
  <c r="BK388" i="54"/>
  <c r="BL388" i="54"/>
  <c r="BN388" i="54"/>
  <c r="BO388" i="54"/>
  <c r="BP388" i="54"/>
  <c r="BQ388" i="54"/>
  <c r="BR388" i="54"/>
  <c r="BS388" i="54"/>
  <c r="BT388" i="54"/>
  <c r="BU388" i="54"/>
  <c r="BV388" i="54"/>
  <c r="BW388" i="54"/>
  <c r="BX388" i="54"/>
  <c r="BY388" i="54"/>
  <c r="BZ388" i="54"/>
  <c r="CA388" i="54"/>
  <c r="CB388" i="54"/>
  <c r="CC388" i="54"/>
  <c r="CD388" i="54"/>
  <c r="CE388" i="54"/>
  <c r="CF388" i="54"/>
  <c r="CG388" i="54"/>
  <c r="CH388" i="54"/>
  <c r="CI388" i="54"/>
  <c r="CJ388" i="54"/>
  <c r="CK388" i="54"/>
  <c r="CL388" i="54"/>
  <c r="CM388" i="54"/>
  <c r="CN388" i="54"/>
  <c r="CO388" i="54"/>
  <c r="CP388" i="54"/>
  <c r="CQ388" i="54"/>
  <c r="CR388" i="54"/>
  <c r="CS388" i="54"/>
  <c r="CT388" i="54"/>
  <c r="CU388" i="54"/>
  <c r="CV388" i="54"/>
  <c r="CW388" i="54"/>
  <c r="CX388" i="54"/>
  <c r="O137" i="55"/>
  <c r="O247" i="55"/>
  <c r="O249" i="55"/>
  <c r="O325" i="55"/>
  <c r="O336" i="55"/>
  <c r="O344" i="55"/>
  <c r="O361" i="55"/>
  <c r="O366" i="55"/>
  <c r="O367" i="55"/>
  <c r="O368" i="55"/>
  <c r="O369" i="55"/>
  <c r="O370" i="55"/>
  <c r="O371" i="55"/>
  <c r="O372" i="55"/>
  <c r="O377" i="55"/>
  <c r="O383" i="55"/>
  <c r="O384" i="55"/>
  <c r="O385" i="55"/>
  <c r="O386" i="55"/>
  <c r="AM852" i="55"/>
  <c r="AN852" i="55"/>
  <c r="AO852" i="55"/>
  <c r="AP852" i="55"/>
  <c r="AM853" i="55"/>
  <c r="AN853" i="55"/>
  <c r="AO853" i="55"/>
  <c r="AP853" i="55"/>
  <c r="A5" i="53"/>
  <c r="D5" i="53"/>
  <c r="A5" i="54"/>
  <c r="BK35" i="54"/>
  <c r="BL35" i="54"/>
  <c r="BN35" i="54"/>
  <c r="BO35" i="54"/>
  <c r="BP35" i="54"/>
  <c r="BQ35" i="54"/>
  <c r="BR35" i="54"/>
  <c r="BS35" i="54"/>
  <c r="BT35" i="54"/>
  <c r="BU35" i="54"/>
  <c r="BV35" i="54"/>
  <c r="BW35" i="54"/>
  <c r="BX35" i="54"/>
  <c r="BY35" i="54"/>
  <c r="BZ35" i="54"/>
  <c r="CA35" i="54"/>
  <c r="CB35" i="54"/>
  <c r="CC35" i="54"/>
  <c r="CD35" i="54"/>
  <c r="CE35" i="54"/>
  <c r="CF35" i="54"/>
  <c r="CG35" i="54"/>
  <c r="CH35" i="54"/>
  <c r="CI35" i="54"/>
  <c r="CJ35" i="54"/>
  <c r="CK35" i="54"/>
  <c r="CL35" i="54"/>
  <c r="CM35" i="54"/>
  <c r="CN35" i="54"/>
  <c r="CO35" i="54"/>
  <c r="CP35" i="54"/>
  <c r="CQ35" i="54"/>
  <c r="CR35" i="54"/>
  <c r="CS35" i="54"/>
  <c r="CT35" i="54"/>
  <c r="CU35" i="54"/>
  <c r="CV35" i="54"/>
  <c r="CW35" i="54"/>
  <c r="CX35" i="54"/>
  <c r="BK36" i="54"/>
  <c r="BL36" i="54"/>
  <c r="BN36" i="54"/>
  <c r="BO36" i="54"/>
  <c r="BP36" i="54"/>
  <c r="BQ36" i="54"/>
  <c r="BR36" i="54"/>
  <c r="BS36" i="54"/>
  <c r="BT36" i="54"/>
  <c r="BU36" i="54"/>
  <c r="BV36" i="54"/>
  <c r="BW36" i="54"/>
  <c r="BX36" i="54"/>
  <c r="BY36" i="54"/>
  <c r="BZ36" i="54"/>
  <c r="CA36" i="54"/>
  <c r="CB36" i="54"/>
  <c r="CC36" i="54"/>
  <c r="CD36" i="54"/>
  <c r="CE36" i="54"/>
  <c r="CF36" i="54"/>
  <c r="CG36" i="54"/>
  <c r="CH36" i="54"/>
  <c r="CI36" i="54"/>
  <c r="CJ36" i="54"/>
  <c r="CK36" i="54"/>
  <c r="CL36" i="54"/>
  <c r="CM36" i="54"/>
  <c r="CN36" i="54"/>
  <c r="CO36" i="54"/>
  <c r="CP36" i="54"/>
  <c r="CQ36" i="54"/>
  <c r="CR36" i="54"/>
  <c r="CS36" i="54"/>
  <c r="CT36" i="54"/>
  <c r="CU36" i="54"/>
  <c r="CV36" i="54"/>
  <c r="CW36" i="54"/>
  <c r="CX36" i="54"/>
  <c r="DU49" i="54"/>
  <c r="DV49" i="54"/>
  <c r="DV52" i="54"/>
  <c r="DU53" i="54"/>
  <c r="DV53" i="54"/>
  <c r="DX55" i="54"/>
  <c r="DX56" i="54"/>
  <c r="DV58" i="54"/>
  <c r="BK59" i="54"/>
  <c r="BL59" i="54"/>
  <c r="BN59" i="54"/>
  <c r="BO59" i="54"/>
  <c r="BP59" i="54"/>
  <c r="BQ59" i="54"/>
  <c r="BR59" i="54"/>
  <c r="BS59" i="54"/>
  <c r="BT59" i="54"/>
  <c r="BU59" i="54"/>
  <c r="BV59" i="54"/>
  <c r="BW59" i="54"/>
  <c r="BX59" i="54"/>
  <c r="BY59" i="54"/>
  <c r="BZ59" i="54"/>
  <c r="CA59" i="54"/>
  <c r="CB59" i="54"/>
  <c r="CC59" i="54"/>
  <c r="CD59" i="54"/>
  <c r="CE59" i="54"/>
  <c r="CF59" i="54"/>
  <c r="CG59" i="54"/>
  <c r="CH59" i="54"/>
  <c r="CI59" i="54"/>
  <c r="CJ59" i="54"/>
  <c r="CK59" i="54"/>
  <c r="CL59" i="54"/>
  <c r="CM59" i="54"/>
  <c r="CN59" i="54"/>
  <c r="CO59" i="54"/>
  <c r="CP59" i="54"/>
  <c r="CQ59" i="54"/>
  <c r="CR59" i="54"/>
  <c r="CS59" i="54"/>
  <c r="CT59" i="54"/>
  <c r="CU59" i="54"/>
  <c r="CV59" i="54"/>
  <c r="CW59" i="54"/>
  <c r="CX59" i="54"/>
  <c r="BK60" i="54"/>
  <c r="BL60" i="54"/>
  <c r="BN60" i="54"/>
  <c r="BO60" i="54"/>
  <c r="BP60" i="54"/>
  <c r="BQ60" i="54"/>
  <c r="BR60" i="54"/>
  <c r="BS60" i="54"/>
  <c r="BT60" i="54"/>
  <c r="BU60" i="54"/>
  <c r="BV60" i="54"/>
  <c r="BW60" i="54"/>
  <c r="BX60" i="54"/>
  <c r="BY60" i="54"/>
  <c r="BZ60" i="54"/>
  <c r="CA60" i="54"/>
  <c r="CB60" i="54"/>
  <c r="CC60" i="54"/>
  <c r="CD60" i="54"/>
  <c r="CE60" i="54"/>
  <c r="CF60" i="54"/>
  <c r="CG60" i="54"/>
  <c r="CH60" i="54"/>
  <c r="CI60" i="54"/>
  <c r="CJ60" i="54"/>
  <c r="CK60" i="54"/>
  <c r="CL60" i="54"/>
  <c r="CM60" i="54"/>
  <c r="CN60" i="54"/>
  <c r="CO60" i="54"/>
  <c r="CP60" i="54"/>
  <c r="CQ60" i="54"/>
  <c r="CR60" i="54"/>
  <c r="CS60" i="54"/>
  <c r="CT60" i="54"/>
  <c r="CU60" i="54"/>
  <c r="CV60" i="54"/>
  <c r="CW60" i="54"/>
  <c r="CX60" i="54"/>
  <c r="DV61" i="54"/>
  <c r="DV64" i="54"/>
  <c r="DU70" i="54"/>
  <c r="DU71" i="54"/>
  <c r="DV73" i="54"/>
  <c r="DV77" i="54"/>
  <c r="DV81" i="54"/>
  <c r="BK84" i="54"/>
  <c r="BL84" i="54"/>
  <c r="BN84" i="54"/>
  <c r="BO84" i="54"/>
  <c r="BP84" i="54"/>
  <c r="BQ84" i="54"/>
  <c r="BR84" i="54"/>
  <c r="BS84" i="54"/>
  <c r="BT84" i="54"/>
  <c r="BU84" i="54"/>
  <c r="BV84" i="54"/>
  <c r="BW84" i="54"/>
  <c r="BX84" i="54"/>
  <c r="BY84" i="54"/>
  <c r="BZ84" i="54"/>
  <c r="CA84" i="54"/>
  <c r="CB84" i="54"/>
  <c r="CC84" i="54"/>
  <c r="CD84" i="54"/>
  <c r="CE84" i="54"/>
  <c r="CF84" i="54"/>
  <c r="CG84" i="54"/>
  <c r="CH84" i="54"/>
  <c r="CI84" i="54"/>
  <c r="CJ84" i="54"/>
  <c r="CK84" i="54"/>
  <c r="CL84" i="54"/>
  <c r="CM84" i="54"/>
  <c r="CN84" i="54"/>
  <c r="CO84" i="54"/>
  <c r="CP84" i="54"/>
  <c r="CQ84" i="54"/>
  <c r="CR84" i="54"/>
  <c r="CS84" i="54"/>
  <c r="CT84" i="54"/>
  <c r="CU84" i="54"/>
  <c r="CV84" i="54"/>
  <c r="CW84" i="54"/>
  <c r="CX84" i="54"/>
  <c r="BK85" i="54"/>
  <c r="BL85" i="54"/>
  <c r="BN85" i="54"/>
  <c r="BO85" i="54"/>
  <c r="BP85" i="54"/>
  <c r="BQ85" i="54"/>
  <c r="BR85" i="54"/>
  <c r="BS85" i="54"/>
  <c r="BT85" i="54"/>
  <c r="BU85" i="54"/>
  <c r="BV85" i="54"/>
  <c r="BW85" i="54"/>
  <c r="BX85" i="54"/>
  <c r="BY85" i="54"/>
  <c r="BZ85" i="54"/>
  <c r="CA85" i="54"/>
  <c r="CB85" i="54"/>
  <c r="CC85" i="54"/>
  <c r="CD85" i="54"/>
  <c r="CE85" i="54"/>
  <c r="CF85" i="54"/>
  <c r="CG85" i="54"/>
  <c r="CH85" i="54"/>
  <c r="CI85" i="54"/>
  <c r="CJ85" i="54"/>
  <c r="CK85" i="54"/>
  <c r="CL85" i="54"/>
  <c r="CM85" i="54"/>
  <c r="CN85" i="54"/>
  <c r="CO85" i="54"/>
  <c r="CP85" i="54"/>
  <c r="CQ85" i="54"/>
  <c r="CR85" i="54"/>
  <c r="CS85" i="54"/>
  <c r="CT85" i="54"/>
  <c r="CU85" i="54"/>
  <c r="CV85" i="54"/>
  <c r="CW85" i="54"/>
  <c r="CX85" i="54"/>
  <c r="BK103" i="54"/>
  <c r="BL103" i="54"/>
  <c r="BN103" i="54"/>
  <c r="BO103" i="54"/>
  <c r="BP103" i="54"/>
  <c r="BQ103" i="54"/>
  <c r="BR103" i="54"/>
  <c r="BS103" i="54"/>
  <c r="BT103" i="54"/>
  <c r="BU103" i="54"/>
  <c r="BV103" i="54"/>
  <c r="BW103" i="54"/>
  <c r="BX103" i="54"/>
  <c r="BY103" i="54"/>
  <c r="BZ103" i="54"/>
  <c r="CA103" i="54"/>
  <c r="CB103" i="54"/>
  <c r="CC103" i="54"/>
  <c r="CD103" i="54"/>
  <c r="CE103" i="54"/>
  <c r="CF103" i="54"/>
  <c r="CG103" i="54"/>
  <c r="CH103" i="54"/>
  <c r="CI103" i="54"/>
  <c r="CJ103" i="54"/>
  <c r="CK103" i="54"/>
  <c r="CL103" i="54"/>
  <c r="CM103" i="54"/>
  <c r="CN103" i="54"/>
  <c r="CO103" i="54"/>
  <c r="CP103" i="54"/>
  <c r="CQ103" i="54"/>
  <c r="CR103" i="54"/>
  <c r="CS103" i="54"/>
  <c r="CT103" i="54"/>
  <c r="CU103" i="54"/>
  <c r="CV103" i="54"/>
  <c r="CW103" i="54"/>
  <c r="CX103" i="54"/>
  <c r="BK104" i="54"/>
  <c r="BL104" i="54"/>
  <c r="BN104" i="54"/>
  <c r="BO104" i="54"/>
  <c r="BP104" i="54"/>
  <c r="BQ104" i="54"/>
  <c r="BR104" i="54"/>
  <c r="BS104" i="54"/>
  <c r="BT104" i="54"/>
  <c r="BU104" i="54"/>
  <c r="BV104" i="54"/>
  <c r="BW104" i="54"/>
  <c r="BX104" i="54"/>
  <c r="BY104" i="54"/>
  <c r="BZ104" i="54"/>
  <c r="CA104" i="54"/>
  <c r="CB104" i="54"/>
  <c r="CC104" i="54"/>
  <c r="CD104" i="54"/>
  <c r="CE104" i="54"/>
  <c r="CF104" i="54"/>
  <c r="CG104" i="54"/>
  <c r="CH104" i="54"/>
  <c r="CI104" i="54"/>
  <c r="CJ104" i="54"/>
  <c r="CK104" i="54"/>
  <c r="CL104" i="54"/>
  <c r="CM104" i="54"/>
  <c r="CN104" i="54"/>
  <c r="CO104" i="54"/>
  <c r="CP104" i="54"/>
  <c r="CQ104" i="54"/>
  <c r="CR104" i="54"/>
  <c r="CS104" i="54"/>
  <c r="CT104" i="54"/>
  <c r="CU104" i="54"/>
  <c r="CV104" i="54"/>
  <c r="CW104" i="54"/>
  <c r="CX104" i="54"/>
  <c r="BK131" i="54"/>
  <c r="BL131" i="54"/>
  <c r="BN131" i="54"/>
  <c r="BO131" i="54"/>
  <c r="BP131" i="54"/>
  <c r="BQ131" i="54"/>
  <c r="BR131" i="54"/>
  <c r="BS131" i="54"/>
  <c r="BT131" i="54"/>
  <c r="BU131" i="54"/>
  <c r="BV131" i="54"/>
  <c r="BW131" i="54"/>
  <c r="BX131" i="54"/>
  <c r="BY131" i="54"/>
  <c r="BZ131" i="54"/>
  <c r="CA131" i="54"/>
  <c r="CB131" i="54"/>
  <c r="CC131" i="54"/>
  <c r="CD131" i="54"/>
  <c r="CE131" i="54"/>
  <c r="CF131" i="54"/>
  <c r="CG131" i="54"/>
  <c r="CH131" i="54"/>
  <c r="CI131" i="54"/>
  <c r="CJ131" i="54"/>
  <c r="CK131" i="54"/>
  <c r="CL131" i="54"/>
  <c r="CM131" i="54"/>
  <c r="CN131" i="54"/>
  <c r="CO131" i="54"/>
  <c r="CP131" i="54"/>
  <c r="CQ131" i="54"/>
  <c r="CR131" i="54"/>
  <c r="CS131" i="54"/>
  <c r="CT131" i="54"/>
  <c r="CU131" i="54"/>
  <c r="CV131" i="54"/>
  <c r="CW131" i="54"/>
  <c r="CX131" i="54"/>
  <c r="BK132" i="54"/>
  <c r="BL132" i="54"/>
  <c r="BN132" i="54"/>
  <c r="BO132" i="54"/>
  <c r="BP132" i="54"/>
  <c r="BQ132" i="54"/>
  <c r="BR132" i="54"/>
  <c r="BS132" i="54"/>
  <c r="BT132" i="54"/>
  <c r="BU132" i="54"/>
  <c r="BV132" i="54"/>
  <c r="BW132" i="54"/>
  <c r="BX132" i="54"/>
  <c r="BY132" i="54"/>
  <c r="BZ132" i="54"/>
  <c r="CA132" i="54"/>
  <c r="CB132" i="54"/>
  <c r="CC132" i="54"/>
  <c r="CD132" i="54"/>
  <c r="CE132" i="54"/>
  <c r="CF132" i="54"/>
  <c r="CG132" i="54"/>
  <c r="CH132" i="54"/>
  <c r="CI132" i="54"/>
  <c r="CJ132" i="54"/>
  <c r="CK132" i="54"/>
  <c r="CL132" i="54"/>
  <c r="CM132" i="54"/>
  <c r="CN132" i="54"/>
  <c r="CO132" i="54"/>
  <c r="CP132" i="54"/>
  <c r="CQ132" i="54"/>
  <c r="CR132" i="54"/>
  <c r="CS132" i="54"/>
  <c r="CT132" i="54"/>
  <c r="CU132" i="54"/>
  <c r="CV132" i="54"/>
  <c r="CW132" i="54"/>
  <c r="CX132" i="54"/>
  <c r="BK152" i="54"/>
  <c r="BL152" i="54"/>
  <c r="BN152" i="54"/>
  <c r="BO152" i="54"/>
  <c r="BP152" i="54"/>
  <c r="BQ152" i="54"/>
  <c r="BR152" i="54"/>
  <c r="BS152" i="54"/>
  <c r="BT152" i="54"/>
  <c r="BU152" i="54"/>
  <c r="BV152" i="54"/>
  <c r="BW152" i="54"/>
  <c r="BX152" i="54"/>
  <c r="BY152" i="54"/>
  <c r="BZ152" i="54"/>
  <c r="CA152" i="54"/>
  <c r="CB152" i="54"/>
  <c r="CC152" i="54"/>
  <c r="CD152" i="54"/>
  <c r="CE152" i="54"/>
  <c r="CF152" i="54"/>
  <c r="CG152" i="54"/>
  <c r="CH152" i="54"/>
  <c r="CI152" i="54"/>
  <c r="CJ152" i="54"/>
  <c r="CK152" i="54"/>
  <c r="CL152" i="54"/>
  <c r="CM152" i="54"/>
  <c r="CN152" i="54"/>
  <c r="CO152" i="54"/>
  <c r="CP152" i="54"/>
  <c r="CQ152" i="54"/>
  <c r="CR152" i="54"/>
  <c r="CS152" i="54"/>
  <c r="CT152" i="54"/>
  <c r="CU152" i="54"/>
  <c r="CV152" i="54"/>
  <c r="CW152" i="54"/>
  <c r="CX152" i="54"/>
  <c r="BK153" i="54"/>
  <c r="BL153" i="54"/>
  <c r="BN153" i="54"/>
  <c r="BO153" i="54"/>
  <c r="BP153" i="54"/>
  <c r="BQ153" i="54"/>
  <c r="BR153" i="54"/>
  <c r="BS153" i="54"/>
  <c r="BT153" i="54"/>
  <c r="BU153" i="54"/>
  <c r="BV153" i="54"/>
  <c r="BW153" i="54"/>
  <c r="BX153" i="54"/>
  <c r="BY153" i="54"/>
  <c r="BZ153" i="54"/>
  <c r="CA153" i="54"/>
  <c r="CB153" i="54"/>
  <c r="CC153" i="54"/>
  <c r="CD153" i="54"/>
  <c r="CE153" i="54"/>
  <c r="CF153" i="54"/>
  <c r="CG153" i="54"/>
  <c r="CH153" i="54"/>
  <c r="CI153" i="54"/>
  <c r="CJ153" i="54"/>
  <c r="CK153" i="54"/>
  <c r="CL153" i="54"/>
  <c r="CM153" i="54"/>
  <c r="CN153" i="54"/>
  <c r="CO153" i="54"/>
  <c r="CP153" i="54"/>
  <c r="CQ153" i="54"/>
  <c r="CR153" i="54"/>
  <c r="CS153" i="54"/>
  <c r="CT153" i="54"/>
  <c r="CU153" i="54"/>
  <c r="CV153" i="54"/>
  <c r="CW153" i="54"/>
  <c r="CX153" i="54"/>
  <c r="DV155" i="54"/>
  <c r="DV156" i="54"/>
  <c r="DV157" i="54"/>
  <c r="DV158" i="54"/>
  <c r="DU162" i="54"/>
  <c r="DU163" i="54"/>
  <c r="BK167" i="54"/>
  <c r="BL167" i="54"/>
  <c r="BN167" i="54"/>
  <c r="BO167" i="54"/>
  <c r="BP167" i="54"/>
  <c r="BQ167" i="54"/>
  <c r="BR167" i="54"/>
  <c r="BS167" i="54"/>
  <c r="BT167" i="54"/>
  <c r="BU167" i="54"/>
  <c r="BV167" i="54"/>
  <c r="BW167" i="54"/>
  <c r="BX167" i="54"/>
  <c r="BY167" i="54"/>
  <c r="BZ167" i="54"/>
  <c r="CA167" i="54"/>
  <c r="CB167" i="54"/>
  <c r="CC167" i="54"/>
  <c r="CD167" i="54"/>
  <c r="CE167" i="54"/>
  <c r="CF167" i="54"/>
  <c r="CG167" i="54"/>
  <c r="CH167" i="54"/>
  <c r="CI167" i="54"/>
  <c r="CJ167" i="54"/>
  <c r="CK167" i="54"/>
  <c r="CL167" i="54"/>
  <c r="CM167" i="54"/>
  <c r="CN167" i="54"/>
  <c r="CO167" i="54"/>
  <c r="CP167" i="54"/>
  <c r="CQ167" i="54"/>
  <c r="CR167" i="54"/>
  <c r="CS167" i="54"/>
  <c r="CT167" i="54"/>
  <c r="CU167" i="54"/>
  <c r="CV167" i="54"/>
  <c r="CW167" i="54"/>
  <c r="CX167" i="54"/>
  <c r="BK168" i="54"/>
  <c r="BL168" i="54"/>
  <c r="BN168" i="54"/>
  <c r="BO168" i="54"/>
  <c r="BP168" i="54"/>
  <c r="BQ168" i="54"/>
  <c r="BR168" i="54"/>
  <c r="BS168" i="54"/>
  <c r="BT168" i="54"/>
  <c r="BU168" i="54"/>
  <c r="BV168" i="54"/>
  <c r="BW168" i="54"/>
  <c r="BX168" i="54"/>
  <c r="BY168" i="54"/>
  <c r="BZ168" i="54"/>
  <c r="CA168" i="54"/>
  <c r="CB168" i="54"/>
  <c r="CC168" i="54"/>
  <c r="CD168" i="54"/>
  <c r="CE168" i="54"/>
  <c r="CF168" i="54"/>
  <c r="CG168" i="54"/>
  <c r="CH168" i="54"/>
  <c r="CI168" i="54"/>
  <c r="CJ168" i="54"/>
  <c r="CK168" i="54"/>
  <c r="CL168" i="54"/>
  <c r="CM168" i="54"/>
  <c r="CN168" i="54"/>
  <c r="CO168" i="54"/>
  <c r="CP168" i="54"/>
  <c r="CQ168" i="54"/>
  <c r="CR168" i="54"/>
  <c r="CS168" i="54"/>
  <c r="CT168" i="54"/>
  <c r="CU168" i="54"/>
  <c r="CV168" i="54"/>
  <c r="CW168" i="54"/>
  <c r="CX168" i="54"/>
  <c r="DV170" i="54"/>
  <c r="DV171" i="54"/>
  <c r="DV173" i="54"/>
  <c r="DW183" i="54"/>
  <c r="DU185" i="54"/>
  <c r="DV185" i="54"/>
  <c r="DW187" i="54"/>
  <c r="DV193" i="54"/>
  <c r="DW193" i="54"/>
  <c r="DX195" i="54"/>
  <c r="DV197" i="54"/>
  <c r="DU203" i="54"/>
  <c r="DU207" i="54"/>
  <c r="DV207" i="54"/>
  <c r="DU208" i="54"/>
  <c r="DV208" i="54"/>
  <c r="DV213" i="54"/>
  <c r="DX214" i="54"/>
  <c r="DV215" i="54"/>
  <c r="BK216" i="54"/>
  <c r="BL216" i="54"/>
  <c r="BN216" i="54"/>
  <c r="BO216" i="54"/>
  <c r="BP216" i="54"/>
  <c r="BQ216" i="54"/>
  <c r="BR216" i="54"/>
  <c r="BS216" i="54"/>
  <c r="BT216" i="54"/>
  <c r="BU216" i="54"/>
  <c r="BV216" i="54"/>
  <c r="BW216" i="54"/>
  <c r="BX216" i="54"/>
  <c r="BY216" i="54"/>
  <c r="BZ216" i="54"/>
  <c r="CA216" i="54"/>
  <c r="CB216" i="54"/>
  <c r="CC216" i="54"/>
  <c r="CD216" i="54"/>
  <c r="CE216" i="54"/>
  <c r="CF216" i="54"/>
  <c r="CG216" i="54"/>
  <c r="CH216" i="54"/>
  <c r="CI216" i="54"/>
  <c r="CJ216" i="54"/>
  <c r="CK216" i="54"/>
  <c r="CL216" i="54"/>
  <c r="CM216" i="54"/>
  <c r="CN216" i="54"/>
  <c r="CO216" i="54"/>
  <c r="CP216" i="54"/>
  <c r="CQ216" i="54"/>
  <c r="CR216" i="54"/>
  <c r="CS216" i="54"/>
  <c r="CT216" i="54"/>
  <c r="CU216" i="54"/>
  <c r="CV216" i="54"/>
  <c r="CW216" i="54"/>
  <c r="CX216" i="54"/>
  <c r="BK217" i="54"/>
  <c r="BL217" i="54"/>
  <c r="BN217" i="54"/>
  <c r="BO217" i="54"/>
  <c r="BP217" i="54"/>
  <c r="BQ217" i="54"/>
  <c r="BR217" i="54"/>
  <c r="BS217" i="54"/>
  <c r="BT217" i="54"/>
  <c r="BU217" i="54"/>
  <c r="BV217" i="54"/>
  <c r="BW217" i="54"/>
  <c r="BX217" i="54"/>
  <c r="BY217" i="54"/>
  <c r="BZ217" i="54"/>
  <c r="CA217" i="54"/>
  <c r="CB217" i="54"/>
  <c r="CC217" i="54"/>
  <c r="CD217" i="54"/>
  <c r="CE217" i="54"/>
  <c r="CF217" i="54"/>
  <c r="CG217" i="54"/>
  <c r="CH217" i="54"/>
  <c r="CI217" i="54"/>
  <c r="CJ217" i="54"/>
  <c r="CK217" i="54"/>
  <c r="CL217" i="54"/>
  <c r="CM217" i="54"/>
  <c r="CN217" i="54"/>
  <c r="CO217" i="54"/>
  <c r="CP217" i="54"/>
  <c r="CQ217" i="54"/>
  <c r="CR217" i="54"/>
  <c r="CS217" i="54"/>
  <c r="CT217" i="54"/>
  <c r="CU217" i="54"/>
  <c r="CV217" i="54"/>
  <c r="CW217" i="54"/>
  <c r="CX217" i="54"/>
  <c r="DV220" i="54"/>
  <c r="DV221" i="54"/>
  <c r="DV222" i="54"/>
  <c r="DX227" i="54"/>
  <c r="DV228" i="54"/>
  <c r="DX235" i="54"/>
  <c r="DX243" i="54"/>
  <c r="BK250" i="54"/>
  <c r="BL250" i="54"/>
  <c r="BN250" i="54"/>
  <c r="BO250" i="54"/>
  <c r="BP250" i="54"/>
  <c r="BQ250" i="54"/>
  <c r="BR250" i="54"/>
  <c r="BS250" i="54"/>
  <c r="BT250" i="54"/>
  <c r="BU250" i="54"/>
  <c r="BV250" i="54"/>
  <c r="BW250" i="54"/>
  <c r="BX250" i="54"/>
  <c r="BY250" i="54"/>
  <c r="BZ250" i="54"/>
  <c r="CA250" i="54"/>
  <c r="CB250" i="54"/>
  <c r="CC250" i="54"/>
  <c r="CD250" i="54"/>
  <c r="CE250" i="54"/>
  <c r="CF250" i="54"/>
  <c r="CG250" i="54"/>
  <c r="CH250" i="54"/>
  <c r="CI250" i="54"/>
  <c r="CJ250" i="54"/>
  <c r="CK250" i="54"/>
  <c r="CL250" i="54"/>
  <c r="CM250" i="54"/>
  <c r="CN250" i="54"/>
  <c r="CO250" i="54"/>
  <c r="CP250" i="54"/>
  <c r="CQ250" i="54"/>
  <c r="CR250" i="54"/>
  <c r="CS250" i="54"/>
  <c r="CT250" i="54"/>
  <c r="CU250" i="54"/>
  <c r="CV250" i="54"/>
  <c r="CW250" i="54"/>
  <c r="CX250" i="54"/>
  <c r="BK251" i="54"/>
  <c r="BL251" i="54"/>
  <c r="BN251" i="54"/>
  <c r="BO251" i="54"/>
  <c r="BP251" i="54"/>
  <c r="BQ251" i="54"/>
  <c r="BR251" i="54"/>
  <c r="BS251" i="54"/>
  <c r="BT251" i="54"/>
  <c r="BU251" i="54"/>
  <c r="BV251" i="54"/>
  <c r="BW251" i="54"/>
  <c r="BX251" i="54"/>
  <c r="BY251" i="54"/>
  <c r="BZ251" i="54"/>
  <c r="CA251" i="54"/>
  <c r="CB251" i="54"/>
  <c r="CC251" i="54"/>
  <c r="CD251" i="54"/>
  <c r="CE251" i="54"/>
  <c r="CF251" i="54"/>
  <c r="CG251" i="54"/>
  <c r="CH251" i="54"/>
  <c r="CI251" i="54"/>
  <c r="CJ251" i="54"/>
  <c r="CK251" i="54"/>
  <c r="CL251" i="54"/>
  <c r="CM251" i="54"/>
  <c r="CN251" i="54"/>
  <c r="CO251" i="54"/>
  <c r="CP251" i="54"/>
  <c r="CQ251" i="54"/>
  <c r="CR251" i="54"/>
  <c r="CS251" i="54"/>
  <c r="CT251" i="54"/>
  <c r="CU251" i="54"/>
  <c r="CV251" i="54"/>
  <c r="CW251" i="54"/>
  <c r="CX251" i="54"/>
  <c r="DV262" i="54"/>
  <c r="DW262" i="54"/>
  <c r="DV263" i="54"/>
  <c r="DW263" i="54"/>
  <c r="BK265" i="54"/>
  <c r="BL265" i="54"/>
  <c r="BN265" i="54"/>
  <c r="BO265" i="54"/>
  <c r="BP265" i="54"/>
  <c r="BQ265" i="54"/>
  <c r="BR265" i="54"/>
  <c r="BS265" i="54"/>
  <c r="BT265" i="54"/>
  <c r="BU265" i="54"/>
  <c r="BV265" i="54"/>
  <c r="BW265" i="54"/>
  <c r="BX265" i="54"/>
  <c r="BY265" i="54"/>
  <c r="BZ265" i="54"/>
  <c r="CA265" i="54"/>
  <c r="CB265" i="54"/>
  <c r="CC265" i="54"/>
  <c r="CD265" i="54"/>
  <c r="CE265" i="54"/>
  <c r="CF265" i="54"/>
  <c r="CG265" i="54"/>
  <c r="CH265" i="54"/>
  <c r="CI265" i="54"/>
  <c r="CJ265" i="54"/>
  <c r="CK265" i="54"/>
  <c r="CL265" i="54"/>
  <c r="CM265" i="54"/>
  <c r="CN265" i="54"/>
  <c r="CO265" i="54"/>
  <c r="CP265" i="54"/>
  <c r="CQ265" i="54"/>
  <c r="CR265" i="54"/>
  <c r="CS265" i="54"/>
  <c r="CT265" i="54"/>
  <c r="CU265" i="54"/>
  <c r="CV265" i="54"/>
  <c r="CW265" i="54"/>
  <c r="CX265" i="54"/>
  <c r="BK266" i="54"/>
  <c r="BL266" i="54"/>
  <c r="BN266" i="54"/>
  <c r="BO266" i="54"/>
  <c r="BP266" i="54"/>
  <c r="BQ266" i="54"/>
  <c r="BR266" i="54"/>
  <c r="BS266" i="54"/>
  <c r="BT266" i="54"/>
  <c r="BU266" i="54"/>
  <c r="BV266" i="54"/>
  <c r="BW266" i="54"/>
  <c r="BX266" i="54"/>
  <c r="BY266" i="54"/>
  <c r="BZ266" i="54"/>
  <c r="CA266" i="54"/>
  <c r="CB266" i="54"/>
  <c r="CC266" i="54"/>
  <c r="CD266" i="54"/>
  <c r="CE266" i="54"/>
  <c r="CF266" i="54"/>
  <c r="CG266" i="54"/>
  <c r="CH266" i="54"/>
  <c r="CI266" i="54"/>
  <c r="CJ266" i="54"/>
  <c r="CK266" i="54"/>
  <c r="CL266" i="54"/>
  <c r="CM266" i="54"/>
  <c r="CN266" i="54"/>
  <c r="CO266" i="54"/>
  <c r="CP266" i="54"/>
  <c r="CQ266" i="54"/>
  <c r="CR266" i="54"/>
  <c r="CS266" i="54"/>
  <c r="CT266" i="54"/>
  <c r="CU266" i="54"/>
  <c r="CV266" i="54"/>
  <c r="CW266" i="54"/>
  <c r="CX266" i="54"/>
  <c r="DX275" i="54"/>
  <c r="DV281" i="54"/>
  <c r="DV282" i="54"/>
  <c r="DX287" i="54"/>
  <c r="DX288" i="54"/>
  <c r="DV289" i="54"/>
  <c r="DX290" i="54"/>
  <c r="DX291" i="54"/>
  <c r="BK296" i="54"/>
  <c r="BL296" i="54"/>
  <c r="BN296" i="54"/>
  <c r="BO296" i="54"/>
  <c r="BP296" i="54"/>
  <c r="BQ296" i="54"/>
  <c r="BR296" i="54"/>
  <c r="BS296" i="54"/>
  <c r="BT296" i="54"/>
  <c r="BU296" i="54"/>
  <c r="BV296" i="54"/>
  <c r="BW296" i="54"/>
  <c r="BX296" i="54"/>
  <c r="BY296" i="54"/>
  <c r="BZ296" i="54"/>
  <c r="CA296" i="54"/>
  <c r="CB296" i="54"/>
  <c r="CC296" i="54"/>
  <c r="CD296" i="54"/>
  <c r="CE296" i="54"/>
  <c r="CF296" i="54"/>
  <c r="CG296" i="54"/>
  <c r="CH296" i="54"/>
  <c r="CI296" i="54"/>
  <c r="CJ296" i="54"/>
  <c r="CK296" i="54"/>
  <c r="CL296" i="54"/>
  <c r="CM296" i="54"/>
  <c r="CN296" i="54"/>
  <c r="CO296" i="54"/>
  <c r="CP296" i="54"/>
  <c r="CQ296" i="54"/>
  <c r="CR296" i="54"/>
  <c r="CS296" i="54"/>
  <c r="CT296" i="54"/>
  <c r="CU296" i="54"/>
  <c r="CV296" i="54"/>
  <c r="CW296" i="54"/>
  <c r="CX296" i="54"/>
  <c r="BK297" i="54"/>
  <c r="BL297" i="54"/>
  <c r="BN297" i="54"/>
  <c r="BO297" i="54"/>
  <c r="BP297" i="54"/>
  <c r="BQ297" i="54"/>
  <c r="BR297" i="54"/>
  <c r="BS297" i="54"/>
  <c r="BT297" i="54"/>
  <c r="BU297" i="54"/>
  <c r="BV297" i="54"/>
  <c r="BW297" i="54"/>
  <c r="BX297" i="54"/>
  <c r="BY297" i="54"/>
  <c r="BZ297" i="54"/>
  <c r="CA297" i="54"/>
  <c r="CB297" i="54"/>
  <c r="CC297" i="54"/>
  <c r="CD297" i="54"/>
  <c r="CE297" i="54"/>
  <c r="CF297" i="54"/>
  <c r="CG297" i="54"/>
  <c r="CH297" i="54"/>
  <c r="CI297" i="54"/>
  <c r="CJ297" i="54"/>
  <c r="CK297" i="54"/>
  <c r="CL297" i="54"/>
  <c r="CM297" i="54"/>
  <c r="CN297" i="54"/>
  <c r="CO297" i="54"/>
  <c r="CP297" i="54"/>
  <c r="CQ297" i="54"/>
  <c r="CR297" i="54"/>
  <c r="CS297" i="54"/>
  <c r="CT297" i="54"/>
  <c r="CU297" i="54"/>
  <c r="CV297" i="54"/>
  <c r="CW297" i="54"/>
  <c r="CX297" i="54"/>
  <c r="BK321" i="54"/>
  <c r="BL321" i="54"/>
  <c r="BN321" i="54"/>
  <c r="BO321" i="54"/>
  <c r="BP321" i="54"/>
  <c r="BQ321" i="54"/>
  <c r="BR321" i="54"/>
  <c r="BS321" i="54"/>
  <c r="BT321" i="54"/>
  <c r="BU321" i="54"/>
  <c r="BV321" i="54"/>
  <c r="BW321" i="54"/>
  <c r="BX321" i="54"/>
  <c r="BY321" i="54"/>
  <c r="BZ321" i="54"/>
  <c r="CA321" i="54"/>
  <c r="CB321" i="54"/>
  <c r="CC321" i="54"/>
  <c r="CD321" i="54"/>
  <c r="CE321" i="54"/>
  <c r="CF321" i="54"/>
  <c r="CG321" i="54"/>
  <c r="CH321" i="54"/>
  <c r="CI321" i="54"/>
  <c r="CJ321" i="54"/>
  <c r="CK321" i="54"/>
  <c r="CL321" i="54"/>
  <c r="CM321" i="54"/>
  <c r="CN321" i="54"/>
  <c r="CO321" i="54"/>
  <c r="CP321" i="54"/>
  <c r="CQ321" i="54"/>
  <c r="CR321" i="54"/>
  <c r="CS321" i="54"/>
  <c r="CT321" i="54"/>
  <c r="CU321" i="54"/>
  <c r="CV321" i="54"/>
  <c r="CW321" i="54"/>
  <c r="CX321" i="54"/>
  <c r="BK322" i="54"/>
  <c r="BL322" i="54"/>
  <c r="BN322" i="54"/>
  <c r="BO322" i="54"/>
  <c r="BP322" i="54"/>
  <c r="BQ322" i="54"/>
  <c r="BR322" i="54"/>
  <c r="BS322" i="54"/>
  <c r="BT322" i="54"/>
  <c r="BU322" i="54"/>
  <c r="BV322" i="54"/>
  <c r="BW322" i="54"/>
  <c r="BX322" i="54"/>
  <c r="BY322" i="54"/>
  <c r="BZ322" i="54"/>
  <c r="CA322" i="54"/>
  <c r="CB322" i="54"/>
  <c r="CC322" i="54"/>
  <c r="CD322" i="54"/>
  <c r="CE322" i="54"/>
  <c r="CF322" i="54"/>
  <c r="CG322" i="54"/>
  <c r="CH322" i="54"/>
  <c r="CI322" i="54"/>
  <c r="CJ322" i="54"/>
  <c r="CK322" i="54"/>
  <c r="CL322" i="54"/>
  <c r="CM322" i="54"/>
  <c r="CN322" i="54"/>
  <c r="CO322" i="54"/>
  <c r="CP322" i="54"/>
  <c r="CQ322" i="54"/>
  <c r="CR322" i="54"/>
  <c r="CS322" i="54"/>
  <c r="CT322" i="54"/>
  <c r="CU322" i="54"/>
  <c r="CV322" i="54"/>
  <c r="CW322" i="54"/>
  <c r="CX322" i="54"/>
  <c r="BK357" i="54"/>
  <c r="BL357" i="54"/>
  <c r="BN357" i="54"/>
  <c r="BO357" i="54"/>
  <c r="BP357" i="54"/>
  <c r="BQ357" i="54"/>
  <c r="BR357" i="54"/>
  <c r="BS357" i="54"/>
  <c r="BT357" i="54"/>
  <c r="BU357" i="54"/>
  <c r="BV357" i="54"/>
  <c r="BW357" i="54"/>
  <c r="BX357" i="54"/>
  <c r="BY357" i="54"/>
  <c r="BZ357" i="54"/>
  <c r="CA357" i="54"/>
  <c r="CB357" i="54"/>
  <c r="CC357" i="54"/>
  <c r="CD357" i="54"/>
  <c r="CE357" i="54"/>
  <c r="CF357" i="54"/>
  <c r="CG357" i="54"/>
  <c r="CH357" i="54"/>
  <c r="CI357" i="54"/>
  <c r="CJ357" i="54"/>
  <c r="CK357" i="54"/>
  <c r="CL357" i="54"/>
  <c r="CM357" i="54"/>
  <c r="CN357" i="54"/>
  <c r="CO357" i="54"/>
  <c r="CP357" i="54"/>
  <c r="CQ357" i="54"/>
  <c r="CR357" i="54"/>
  <c r="CS357" i="54"/>
  <c r="CT357" i="54"/>
  <c r="CU357" i="54"/>
  <c r="CV357" i="54"/>
  <c r="CW357" i="54"/>
  <c r="CX357" i="54"/>
  <c r="BK358" i="54"/>
  <c r="BL358" i="54"/>
  <c r="BN358" i="54"/>
  <c r="BO358" i="54"/>
  <c r="BP358" i="54"/>
  <c r="BQ358" i="54"/>
  <c r="BR358" i="54"/>
  <c r="BS358" i="54"/>
  <c r="BT358" i="54"/>
  <c r="BU358" i="54"/>
  <c r="BV358" i="54"/>
  <c r="BW358" i="54"/>
  <c r="BX358" i="54"/>
  <c r="BY358" i="54"/>
  <c r="BZ358" i="54"/>
  <c r="CA358" i="54"/>
  <c r="CB358" i="54"/>
  <c r="CC358" i="54"/>
  <c r="CD358" i="54"/>
  <c r="CE358" i="54"/>
  <c r="CF358" i="54"/>
  <c r="CG358" i="54"/>
  <c r="CH358" i="54"/>
  <c r="CI358" i="54"/>
  <c r="CJ358" i="54"/>
  <c r="CK358" i="54"/>
  <c r="CL358" i="54"/>
  <c r="CM358" i="54"/>
  <c r="CN358" i="54"/>
  <c r="CO358" i="54"/>
  <c r="CP358" i="54"/>
  <c r="CQ358" i="54"/>
  <c r="CR358" i="54"/>
  <c r="CS358" i="54"/>
  <c r="CT358" i="54"/>
  <c r="CU358" i="54"/>
  <c r="CV358" i="54"/>
  <c r="CW358" i="54"/>
  <c r="CX358" i="54"/>
  <c r="L15" i="21"/>
  <c r="L13" i="21"/>
  <c r="BM249" i="54"/>
  <c r="J249" i="54" s="1"/>
  <c r="BM319" i="54"/>
  <c r="BM246" i="54"/>
  <c r="BM380" i="54"/>
  <c r="BM346" i="54"/>
  <c r="BM314" i="54"/>
  <c r="BM238" i="54"/>
  <c r="BM167" i="54"/>
  <c r="BM214" i="54"/>
  <c r="BM377" i="54"/>
  <c r="BM343" i="54"/>
  <c r="BM310" i="54"/>
  <c r="BM226" i="54"/>
  <c r="BM242" i="54"/>
  <c r="BM200" i="54"/>
  <c r="BM46" i="54"/>
  <c r="BM367" i="54"/>
  <c r="BM333" i="54"/>
  <c r="BM292" i="54"/>
  <c r="BM276" i="54"/>
  <c r="BM241" i="54"/>
  <c r="BM212" i="54"/>
  <c r="BM190" i="54"/>
  <c r="BM60" i="54"/>
  <c r="BM297" i="54"/>
  <c r="BM132" i="54"/>
  <c r="BM378" i="54"/>
  <c r="BM344" i="54"/>
  <c r="BM308" i="54"/>
  <c r="BM257" i="54"/>
  <c r="BM204" i="54"/>
  <c r="BM124" i="54"/>
  <c r="BM181" i="54"/>
  <c r="BM148" i="54"/>
  <c r="BM111" i="54"/>
  <c r="BM76" i="54"/>
  <c r="BM21" i="54"/>
  <c r="J21" i="54" s="1"/>
  <c r="BM169" i="54"/>
  <c r="BM144" i="54"/>
  <c r="BM117" i="54"/>
  <c r="BM92" i="54"/>
  <c r="BM62" i="54"/>
  <c r="BM24" i="54"/>
  <c r="J24" i="54" s="1"/>
  <c r="BM172" i="54"/>
  <c r="BM298" i="54"/>
  <c r="BM237" i="54"/>
  <c r="BM373" i="54"/>
  <c r="BM339" i="54"/>
  <c r="BM307" i="54"/>
  <c r="BM232" i="54"/>
  <c r="BM293" i="54"/>
  <c r="BM202" i="54"/>
  <c r="BM376" i="54"/>
  <c r="BM342" i="54"/>
  <c r="BM303" i="54"/>
  <c r="BM210" i="54"/>
  <c r="BM231" i="54"/>
  <c r="BM199" i="54"/>
  <c r="BM26" i="54"/>
  <c r="BM363" i="54"/>
  <c r="BM329" i="54"/>
  <c r="BM287" i="54"/>
  <c r="BM273" i="54"/>
  <c r="BM235" i="54"/>
  <c r="BM207" i="54"/>
  <c r="BM157" i="54"/>
  <c r="BM59" i="54"/>
  <c r="BM296" i="54"/>
  <c r="BM131" i="54"/>
  <c r="BM374" i="54"/>
  <c r="BM340" i="54"/>
  <c r="BM304" i="54"/>
  <c r="BM252" i="54"/>
  <c r="BM196" i="54"/>
  <c r="BM112" i="54"/>
  <c r="BM180" i="54"/>
  <c r="BM139" i="54"/>
  <c r="BM107" i="54"/>
  <c r="BM73" i="54"/>
  <c r="BM16" i="54"/>
  <c r="BM163" i="54"/>
  <c r="BM138" i="54"/>
  <c r="BM116" i="54"/>
  <c r="BM88" i="54"/>
  <c r="BM55" i="54"/>
  <c r="BM264" i="54"/>
  <c r="J264" i="54" s="1"/>
  <c r="BM330" i="54"/>
  <c r="BM45" i="54"/>
  <c r="BM164" i="54"/>
  <c r="BM349" i="54"/>
  <c r="BM223" i="54"/>
  <c r="BM251" i="54"/>
  <c r="BM286" i="54"/>
  <c r="BM174" i="54"/>
  <c r="BM185" i="54"/>
  <c r="BM75" i="54"/>
  <c r="BM270" i="54"/>
  <c r="BM284" i="54"/>
  <c r="BM360" i="54"/>
  <c r="BM221" i="54"/>
  <c r="BM309" i="54"/>
  <c r="BM193" i="54"/>
  <c r="BM84" i="54"/>
  <c r="BM228" i="54"/>
  <c r="BM128" i="54"/>
  <c r="BM147" i="54"/>
  <c r="BM48" i="54"/>
  <c r="BM290" i="54"/>
  <c r="BM285" i="54"/>
  <c r="BM361" i="54"/>
  <c r="BM225" i="54"/>
  <c r="BM313" i="54"/>
  <c r="BM197" i="54"/>
  <c r="BM85" i="54"/>
  <c r="BM233" i="54"/>
  <c r="BM133" i="54"/>
  <c r="BM151" i="54"/>
  <c r="BM49" i="54"/>
  <c r="BM171" i="54"/>
  <c r="BM108" i="54"/>
  <c r="BM326" i="54"/>
  <c r="BM160" i="54"/>
  <c r="BM279" i="54"/>
  <c r="BM22" i="54"/>
  <c r="BM356" i="54"/>
  <c r="BM175" i="54"/>
  <c r="BM89" i="54"/>
  <c r="BM120" i="54"/>
  <c r="BM187" i="54"/>
  <c r="BM201" i="54"/>
  <c r="BM327" i="54"/>
  <c r="BM165" i="54"/>
  <c r="BM280" i="54"/>
  <c r="BM65" i="54"/>
  <c r="BM362" i="54"/>
  <c r="BM186" i="54"/>
  <c r="BM93" i="54"/>
  <c r="BM121" i="54"/>
  <c r="BM11" i="54"/>
  <c r="BM355" i="54"/>
  <c r="BM262" i="54"/>
  <c r="BM256" i="54"/>
  <c r="BM379" i="54"/>
  <c r="BM259" i="54"/>
  <c r="BM357" i="54"/>
  <c r="BM324" i="54"/>
  <c r="BM50" i="54"/>
  <c r="BM43" i="54"/>
  <c r="BM106" i="54"/>
  <c r="BM20" i="54"/>
  <c r="J20" i="54" s="1"/>
  <c r="BM166" i="54"/>
  <c r="BM295" i="54"/>
  <c r="BM227" i="54"/>
  <c r="BM372" i="54"/>
  <c r="BM338" i="54"/>
  <c r="BM306" i="54"/>
  <c r="BM222" i="54"/>
  <c r="BM288" i="54"/>
  <c r="BM125" i="54"/>
  <c r="BM369" i="54"/>
  <c r="BM335" i="54"/>
  <c r="BM302" i="54"/>
  <c r="BM203" i="54"/>
  <c r="BM230" i="54"/>
  <c r="BM198" i="54"/>
  <c r="BM9" i="54"/>
  <c r="J9" i="54" s="1"/>
  <c r="BM359" i="54"/>
  <c r="BM325" i="54"/>
  <c r="BM283" i="54"/>
  <c r="BM272" i="54"/>
  <c r="BM234" i="54"/>
  <c r="BM206" i="54"/>
  <c r="BM140" i="54"/>
  <c r="BM36" i="54"/>
  <c r="BM266" i="54"/>
  <c r="BM104" i="54"/>
  <c r="BM370" i="54"/>
  <c r="BM336" i="54"/>
  <c r="BM300" i="54"/>
  <c r="BM244" i="54"/>
  <c r="BM189" i="54"/>
  <c r="BM94" i="54"/>
  <c r="BM179" i="54"/>
  <c r="BM135" i="54"/>
  <c r="BM101" i="54"/>
  <c r="BM72" i="54"/>
  <c r="BM12" i="54"/>
  <c r="J12" i="54" s="1"/>
  <c r="BM155" i="54"/>
  <c r="BM130" i="54"/>
  <c r="BM115" i="54"/>
  <c r="BM81" i="54"/>
  <c r="BM54" i="54"/>
  <c r="BM19" i="54"/>
  <c r="J19" i="54" s="1"/>
  <c r="BM162" i="54"/>
  <c r="BM291" i="54"/>
  <c r="BM195" i="54"/>
  <c r="BM365" i="54"/>
  <c r="BM331" i="54"/>
  <c r="BM299" i="54"/>
  <c r="BM208" i="54"/>
  <c r="BM275" i="54"/>
  <c r="BM90" i="54"/>
  <c r="BM368" i="54"/>
  <c r="BM334" i="54"/>
  <c r="BM294" i="54"/>
  <c r="BM194" i="54"/>
  <c r="BM229" i="54"/>
  <c r="BM182" i="54"/>
  <c r="BM387" i="54"/>
  <c r="BM353" i="54"/>
  <c r="BM317" i="54"/>
  <c r="BM281" i="54"/>
  <c r="BM268" i="54"/>
  <c r="BM364" i="54"/>
  <c r="BM263" i="54"/>
  <c r="BM53" i="54"/>
  <c r="BM168" i="54"/>
  <c r="BM250" i="54"/>
  <c r="BM71" i="54"/>
  <c r="J71" i="54" s="1"/>
  <c r="BM388" i="54"/>
  <c r="BM30" i="54"/>
  <c r="J30" i="54" s="1"/>
  <c r="BM318" i="54"/>
  <c r="BM102" i="54"/>
  <c r="BM278" i="54"/>
  <c r="BM217" i="54"/>
  <c r="BM352" i="54"/>
  <c r="BM149" i="54"/>
  <c r="BM83" i="54"/>
  <c r="BM119" i="54"/>
  <c r="BM183" i="54"/>
  <c r="BM348" i="54"/>
  <c r="BM211" i="54"/>
  <c r="BM122" i="54"/>
  <c r="BM145" i="54"/>
  <c r="BM63" i="54"/>
  <c r="BM142" i="54"/>
  <c r="BM39" i="54"/>
  <c r="J39" i="54" s="1"/>
  <c r="BM78" i="54"/>
  <c r="BM137" i="54"/>
  <c r="BM37" i="54"/>
  <c r="BM70" i="54"/>
  <c r="BM274" i="54"/>
  <c r="BM358" i="54"/>
  <c r="BM110" i="54"/>
  <c r="BM77" i="54"/>
  <c r="BM271" i="54"/>
  <c r="BM7" i="54"/>
  <c r="BM354" i="54"/>
  <c r="BM254" i="54"/>
  <c r="BM255" i="54"/>
  <c r="BM375" i="54"/>
  <c r="BM253" i="54"/>
  <c r="BM322" i="54"/>
  <c r="BM316" i="54"/>
  <c r="BM44" i="54"/>
  <c r="BM29" i="54"/>
  <c r="BM100" i="54"/>
  <c r="BM143" i="54"/>
  <c r="BM347" i="54"/>
  <c r="BM260" i="54"/>
  <c r="BM239" i="54"/>
  <c r="BM350" i="54"/>
  <c r="BM236" i="54"/>
  <c r="BM209" i="54"/>
  <c r="BM371" i="54"/>
  <c r="BM301" i="54"/>
  <c r="BM245" i="54"/>
  <c r="BM383" i="54"/>
  <c r="BM220" i="54"/>
  <c r="BM269" i="54"/>
  <c r="BM261" i="54"/>
  <c r="BM213" i="54"/>
  <c r="BM192" i="54"/>
  <c r="BM215" i="54"/>
  <c r="BM146" i="54"/>
  <c r="BM381" i="54"/>
  <c r="BM218" i="54"/>
  <c r="BM216" i="54"/>
  <c r="BM152" i="54"/>
  <c r="BM312" i="54"/>
  <c r="BM136" i="54"/>
  <c r="BM156" i="54"/>
  <c r="BM25" i="54"/>
  <c r="J25" i="54" s="1"/>
  <c r="BM96" i="54"/>
  <c r="BM176" i="54"/>
  <c r="BM69" i="54"/>
  <c r="BM113" i="54"/>
  <c r="BM32" i="54"/>
  <c r="BM67" i="54"/>
  <c r="BM105" i="54"/>
  <c r="BM27" i="54"/>
  <c r="BM282" i="54"/>
  <c r="BM328" i="54"/>
  <c r="BM158" i="54"/>
  <c r="BM345" i="54"/>
  <c r="BM170" i="54"/>
  <c r="BM150" i="54"/>
  <c r="BM320" i="54"/>
  <c r="BM385" i="54"/>
  <c r="BM58" i="54"/>
  <c r="BM341" i="54"/>
  <c r="BM219" i="54"/>
  <c r="BM153" i="54"/>
  <c r="BM267" i="54"/>
  <c r="BM159" i="54"/>
  <c r="BM177" i="54"/>
  <c r="BM64" i="54"/>
  <c r="BM247" i="54"/>
  <c r="BM13" i="54"/>
  <c r="J13" i="54" s="1"/>
  <c r="BM311" i="54"/>
  <c r="BM86" i="54"/>
  <c r="BM337" i="54"/>
  <c r="BM224" i="54"/>
  <c r="BM205" i="54"/>
  <c r="BM98" i="54"/>
  <c r="BM35" i="54"/>
  <c r="BM265" i="54"/>
  <c r="BM103" i="54"/>
  <c r="BM366" i="54"/>
  <c r="BM332" i="54"/>
  <c r="BM289" i="54"/>
  <c r="BM240" i="54"/>
  <c r="BM188" i="54"/>
  <c r="BM66" i="54"/>
  <c r="BM178" i="54"/>
  <c r="BM134" i="54"/>
  <c r="BM97" i="54"/>
  <c r="BM56" i="54"/>
  <c r="BM8" i="54"/>
  <c r="J8" i="54" s="1"/>
  <c r="BM154" i="54"/>
  <c r="BM127" i="54"/>
  <c r="BM114" i="54"/>
  <c r="BM80" i="54"/>
  <c r="BM52" i="54"/>
  <c r="BM15" i="54"/>
  <c r="BM161" i="54"/>
  <c r="BM126" i="54"/>
  <c r="BM79" i="54"/>
  <c r="BM51" i="54"/>
  <c r="BM33" i="54"/>
  <c r="BM141" i="54"/>
  <c r="BM95" i="54"/>
  <c r="BM68" i="54"/>
  <c r="BM38" i="54"/>
  <c r="BM18" i="54"/>
  <c r="J18" i="54" s="1"/>
  <c r="BM109" i="54"/>
  <c r="BM74" i="54"/>
  <c r="J74" i="54" s="1"/>
  <c r="BM41" i="54"/>
  <c r="BM31" i="54"/>
  <c r="J31" i="54" s="1"/>
  <c r="BM129" i="54"/>
  <c r="BM87" i="54"/>
  <c r="BM61" i="54"/>
  <c r="BM34" i="54"/>
  <c r="J34" i="54" s="1"/>
  <c r="BM10" i="54"/>
  <c r="J10" i="54" s="1"/>
  <c r="BM57" i="54"/>
  <c r="J57" i="54" s="1"/>
  <c r="BM323" i="54"/>
  <c r="BM184" i="54"/>
  <c r="BM351" i="54"/>
  <c r="BM305" i="54"/>
  <c r="BM386" i="54"/>
  <c r="BM123" i="54"/>
  <c r="BM42" i="54"/>
  <c r="BM315" i="54"/>
  <c r="BM384" i="54"/>
  <c r="BM243" i="54"/>
  <c r="BM277" i="54"/>
  <c r="BM191" i="54"/>
  <c r="BM321" i="54"/>
  <c r="BM382" i="54"/>
  <c r="BM258" i="54"/>
  <c r="BM17" i="54"/>
  <c r="J17" i="54" s="1"/>
  <c r="BM82" i="54"/>
  <c r="BM173" i="54"/>
  <c r="BM118" i="54"/>
  <c r="BM28" i="54"/>
  <c r="J28" i="54" s="1"/>
  <c r="BM99" i="54"/>
  <c r="BM23" i="54"/>
  <c r="J23" i="54" s="1"/>
  <c r="BM47" i="54"/>
  <c r="BM91" i="54"/>
  <c r="BM14" i="54"/>
  <c r="BM40" i="54"/>
  <c r="J40" i="54" s="1"/>
  <c r="W195" i="19" l="1"/>
  <c r="K39" i="19"/>
  <c r="N228" i="19"/>
  <c r="N21" i="19"/>
  <c r="T219" i="19"/>
  <c r="K142" i="19"/>
  <c r="K169" i="19"/>
  <c r="W259" i="19"/>
  <c r="L39" i="21"/>
  <c r="I69" i="21"/>
  <c r="L89" i="21"/>
  <c r="I115" i="21"/>
  <c r="L140" i="21"/>
  <c r="L171" i="21"/>
  <c r="L195" i="21"/>
  <c r="L215" i="21"/>
  <c r="I245" i="21"/>
  <c r="J245" i="21" s="1"/>
  <c r="K245" i="21" s="1"/>
  <c r="L29" i="21"/>
  <c r="I32" i="21"/>
  <c r="D14" i="50" s="1"/>
  <c r="N218" i="19"/>
  <c r="N227" i="19"/>
  <c r="N16" i="19"/>
  <c r="N252" i="19"/>
  <c r="N243" i="19"/>
  <c r="Q209" i="19"/>
  <c r="K285" i="19"/>
  <c r="N5" i="19"/>
  <c r="T290" i="19"/>
  <c r="Q224" i="19"/>
  <c r="K279" i="19"/>
  <c r="I9" i="21"/>
  <c r="J9" i="21" s="1"/>
  <c r="K9" i="21" s="1"/>
  <c r="L9" i="21"/>
  <c r="I11" i="21"/>
  <c r="L11" i="21"/>
  <c r="I27" i="21"/>
  <c r="L27" i="21"/>
  <c r="I28" i="21"/>
  <c r="L28" i="21"/>
  <c r="I33" i="21"/>
  <c r="J33" i="21" s="1"/>
  <c r="K33" i="21" s="1"/>
  <c r="L33" i="21"/>
  <c r="L37" i="21"/>
  <c r="I37" i="21"/>
  <c r="Q226" i="19"/>
  <c r="Q201" i="19"/>
  <c r="Q208" i="19"/>
  <c r="Q251" i="19"/>
  <c r="Q194" i="19"/>
  <c r="L61" i="21"/>
  <c r="I61" i="21"/>
  <c r="L63" i="21"/>
  <c r="I63" i="21"/>
  <c r="L65" i="21"/>
  <c r="I65" i="21"/>
  <c r="I68" i="21"/>
  <c r="L68" i="21"/>
  <c r="L70" i="21"/>
  <c r="I70" i="21"/>
  <c r="L71" i="21"/>
  <c r="I71" i="21"/>
  <c r="L73" i="21"/>
  <c r="I73" i="21"/>
  <c r="I74" i="21"/>
  <c r="K162" i="19" s="1"/>
  <c r="L74" i="21"/>
  <c r="L75" i="21"/>
  <c r="I75" i="21"/>
  <c r="J75" i="21" s="1"/>
  <c r="K75" i="21" s="1"/>
  <c r="L78" i="21"/>
  <c r="I78" i="21"/>
  <c r="L81" i="21"/>
  <c r="I81" i="21"/>
  <c r="L83" i="21"/>
  <c r="I83" i="21"/>
  <c r="D15" i="50"/>
  <c r="I91" i="21"/>
  <c r="L91" i="21"/>
  <c r="L93" i="21"/>
  <c r="I93" i="21"/>
  <c r="J93" i="21" s="1"/>
  <c r="K93" i="21" s="1"/>
  <c r="I94" i="21"/>
  <c r="N162" i="19" s="1"/>
  <c r="L94" i="21"/>
  <c r="I97" i="21"/>
  <c r="J97" i="21" s="1"/>
  <c r="K97" i="21" s="1"/>
  <c r="L97" i="21"/>
  <c r="I106" i="21"/>
  <c r="Q213" i="19" s="1"/>
  <c r="L106" i="21"/>
  <c r="L111" i="21"/>
  <c r="I111" i="21"/>
  <c r="I114" i="21"/>
  <c r="W162" i="19" s="1"/>
  <c r="L114" i="21"/>
  <c r="L116" i="21"/>
  <c r="I116" i="21"/>
  <c r="L118" i="21"/>
  <c r="I118" i="21"/>
  <c r="L119" i="21"/>
  <c r="I119" i="21"/>
  <c r="L120" i="21"/>
  <c r="I120" i="21"/>
  <c r="L123" i="21"/>
  <c r="I123" i="21"/>
  <c r="D8" i="50" s="1"/>
  <c r="L125" i="21"/>
  <c r="I125" i="21"/>
  <c r="L126" i="21"/>
  <c r="I126" i="21"/>
  <c r="Z92" i="19" s="1"/>
  <c r="L129" i="21"/>
  <c r="I129" i="21"/>
  <c r="AC211" i="19" s="1"/>
  <c r="L133" i="21"/>
  <c r="I133" i="21"/>
  <c r="K158" i="19" s="1"/>
  <c r="I134" i="21"/>
  <c r="L134" i="21"/>
  <c r="L136" i="21"/>
  <c r="I136" i="21"/>
  <c r="N163" i="19" s="1"/>
  <c r="L137" i="21"/>
  <c r="I137" i="21"/>
  <c r="J137" i="21" s="1"/>
  <c r="K137" i="21" s="1"/>
  <c r="L138" i="21"/>
  <c r="I138" i="21"/>
  <c r="J138" i="21" s="1"/>
  <c r="K138" i="21" s="1"/>
  <c r="L139" i="21"/>
  <c r="I139" i="21"/>
  <c r="J139" i="21" s="1"/>
  <c r="K139" i="21" s="1"/>
  <c r="L142" i="21"/>
  <c r="I142" i="21"/>
  <c r="L145" i="21"/>
  <c r="I145" i="21"/>
  <c r="L147" i="21"/>
  <c r="I147" i="21"/>
  <c r="J147" i="21" s="1"/>
  <c r="K147" i="21" s="1"/>
  <c r="L150" i="21"/>
  <c r="I150" i="21"/>
  <c r="L154" i="21"/>
  <c r="I154" i="21"/>
  <c r="L158" i="21"/>
  <c r="I158" i="21"/>
  <c r="I165" i="21"/>
  <c r="L165" i="21"/>
  <c r="I169" i="21"/>
  <c r="J169" i="21" s="1"/>
  <c r="K169" i="21" s="1"/>
  <c r="L169" i="21"/>
  <c r="I170" i="21"/>
  <c r="J170" i="21" s="1"/>
  <c r="K170" i="21" s="1"/>
  <c r="L170" i="21"/>
  <c r="L172" i="21"/>
  <c r="I172" i="21"/>
  <c r="L174" i="21"/>
  <c r="I174" i="21"/>
  <c r="I175" i="21"/>
  <c r="K154" i="19" s="1"/>
  <c r="L175" i="21"/>
  <c r="I179" i="21"/>
  <c r="L179" i="21"/>
  <c r="L181" i="21"/>
  <c r="I181" i="21"/>
  <c r="I183" i="21"/>
  <c r="L183" i="21"/>
  <c r="I185" i="21"/>
  <c r="L185" i="21"/>
  <c r="L191" i="21"/>
  <c r="I191" i="21"/>
  <c r="L193" i="21"/>
  <c r="I193" i="21"/>
  <c r="I194" i="21"/>
  <c r="L194" i="21"/>
  <c r="I196" i="21"/>
  <c r="L196" i="21"/>
  <c r="I198" i="21"/>
  <c r="L198" i="21"/>
  <c r="L204" i="21"/>
  <c r="I204" i="21"/>
  <c r="I206" i="21"/>
  <c r="L206" i="21"/>
  <c r="L211" i="21"/>
  <c r="I211" i="21"/>
  <c r="J211" i="21" s="1"/>
  <c r="K211" i="21" s="1"/>
  <c r="L213" i="21"/>
  <c r="I213" i="21"/>
  <c r="K54" i="19" s="1"/>
  <c r="L214" i="21"/>
  <c r="I214" i="21"/>
  <c r="L219" i="21"/>
  <c r="I219" i="21"/>
  <c r="L220" i="21"/>
  <c r="I220" i="21"/>
  <c r="L222" i="21"/>
  <c r="I222" i="21"/>
  <c r="L225" i="21"/>
  <c r="I225" i="21"/>
  <c r="N90" i="19" s="1"/>
  <c r="L227" i="21"/>
  <c r="I227" i="21"/>
  <c r="L228" i="21"/>
  <c r="I228" i="21"/>
  <c r="L231" i="21"/>
  <c r="I231" i="21"/>
  <c r="L234" i="21"/>
  <c r="I234" i="21"/>
  <c r="AC9" i="19" s="1"/>
  <c r="L235" i="21"/>
  <c r="I235" i="21"/>
  <c r="J235" i="21" s="1"/>
  <c r="K235" i="21" s="1"/>
  <c r="L238" i="21"/>
  <c r="I238" i="21"/>
  <c r="L241" i="21"/>
  <c r="I241" i="21"/>
  <c r="Q90" i="19" s="1"/>
  <c r="AF230" i="19"/>
  <c r="AF255" i="19"/>
  <c r="AF246" i="19"/>
  <c r="AF221" i="19"/>
  <c r="Z8" i="19"/>
  <c r="W228" i="19"/>
  <c r="AL274" i="19"/>
  <c r="N64" i="19"/>
  <c r="W253" i="19"/>
  <c r="AL291" i="19"/>
  <c r="W219" i="19"/>
  <c r="N118" i="19"/>
  <c r="AC8" i="19"/>
  <c r="Z244" i="19"/>
  <c r="Z253" i="19"/>
  <c r="Z219" i="19"/>
  <c r="Q64" i="19"/>
  <c r="Q233" i="19"/>
  <c r="T140" i="19"/>
  <c r="Q322" i="19"/>
  <c r="J346" i="21"/>
  <c r="K346" i="21" s="1"/>
  <c r="W844" i="55" s="1"/>
  <c r="AE844" i="55" s="1"/>
  <c r="J254" i="21"/>
  <c r="K254" i="21"/>
  <c r="L10" i="21"/>
  <c r="I8" i="21"/>
  <c r="Q217" i="19"/>
  <c r="N9" i="19"/>
  <c r="N273" i="19"/>
  <c r="AC136" i="19"/>
  <c r="K263" i="19"/>
  <c r="Q215" i="19"/>
  <c r="W128" i="19"/>
  <c r="K61" i="19"/>
  <c r="AC290" i="19"/>
  <c r="Q140" i="19"/>
  <c r="L72" i="21"/>
  <c r="L95" i="21"/>
  <c r="L121" i="21"/>
  <c r="I148" i="21"/>
  <c r="J148" i="21" s="1"/>
  <c r="K148" i="21" s="1"/>
  <c r="L176" i="21"/>
  <c r="I202" i="21"/>
  <c r="I224" i="21"/>
  <c r="N226" i="19"/>
  <c r="N208" i="19"/>
  <c r="N251" i="19"/>
  <c r="N201" i="19"/>
  <c r="T279" i="19"/>
  <c r="Z249" i="19"/>
  <c r="N13" i="19"/>
  <c r="W273" i="19"/>
  <c r="W290" i="19"/>
  <c r="Z224" i="19"/>
  <c r="W5" i="19"/>
  <c r="Z215" i="19"/>
  <c r="N38" i="19"/>
  <c r="Z240" i="19"/>
  <c r="AI274" i="19"/>
  <c r="AI291" i="19"/>
  <c r="I26" i="21"/>
  <c r="J26" i="21" s="1"/>
  <c r="K26" i="21" s="1"/>
  <c r="L26" i="21"/>
  <c r="L34" i="21"/>
  <c r="I34" i="21"/>
  <c r="L40" i="21"/>
  <c r="I40" i="21"/>
  <c r="L62" i="21"/>
  <c r="I62" i="21"/>
  <c r="L66" i="21"/>
  <c r="I66" i="21"/>
  <c r="T252" i="19"/>
  <c r="T218" i="19"/>
  <c r="N189" i="19"/>
  <c r="W16" i="19"/>
  <c r="W202" i="19"/>
  <c r="K34" i="19"/>
  <c r="T243" i="19"/>
  <c r="W209" i="19"/>
  <c r="L79" i="21"/>
  <c r="I79" i="21"/>
  <c r="T237" i="19"/>
  <c r="W254" i="19"/>
  <c r="W211" i="19"/>
  <c r="W197" i="19"/>
  <c r="W229" i="19"/>
  <c r="W204" i="19"/>
  <c r="W220" i="19"/>
  <c r="L86" i="21"/>
  <c r="I86" i="21"/>
  <c r="D7" i="50" s="1"/>
  <c r="I87" i="21"/>
  <c r="D16" i="50" s="1"/>
  <c r="L87" i="21"/>
  <c r="I88" i="21"/>
  <c r="J88" i="21" s="1"/>
  <c r="K88" i="21" s="1"/>
  <c r="Y433" i="55" s="1"/>
  <c r="L88" i="21"/>
  <c r="L90" i="21"/>
  <c r="I90" i="21"/>
  <c r="AI205" i="19" s="1"/>
  <c r="L98" i="21"/>
  <c r="I98" i="21"/>
  <c r="N92" i="19" s="1"/>
  <c r="L100" i="21"/>
  <c r="I100" i="21"/>
  <c r="L101" i="21"/>
  <c r="I101" i="21"/>
  <c r="AC204" i="19" s="1"/>
  <c r="L105" i="21"/>
  <c r="I105" i="21"/>
  <c r="J105" i="21" s="1"/>
  <c r="K105" i="21" s="1"/>
  <c r="I107" i="21"/>
  <c r="T212" i="19" s="1"/>
  <c r="L107" i="21"/>
  <c r="I108" i="21"/>
  <c r="W212" i="19" s="1"/>
  <c r="L108" i="21"/>
  <c r="L110" i="21"/>
  <c r="I110" i="21"/>
  <c r="AC212" i="19" s="1"/>
  <c r="L113" i="21"/>
  <c r="I113" i="21"/>
  <c r="T162" i="19" s="1"/>
  <c r="L117" i="21"/>
  <c r="I117" i="21"/>
  <c r="I124" i="21"/>
  <c r="T92" i="19" s="1"/>
  <c r="L124" i="21"/>
  <c r="I130" i="21"/>
  <c r="AF211" i="19" s="1"/>
  <c r="L130" i="21"/>
  <c r="I143" i="21"/>
  <c r="L143" i="21"/>
  <c r="L146" i="21"/>
  <c r="I146" i="21"/>
  <c r="L151" i="21"/>
  <c r="I151" i="21"/>
  <c r="J151" i="21" s="1"/>
  <c r="K151" i="21" s="1"/>
  <c r="I155" i="21"/>
  <c r="L155" i="21"/>
  <c r="L157" i="21"/>
  <c r="I157" i="21"/>
  <c r="L160" i="21"/>
  <c r="I160" i="21"/>
  <c r="K125" i="19" s="1"/>
  <c r="I162" i="21"/>
  <c r="L162" i="21"/>
  <c r="I166" i="21"/>
  <c r="J166" i="21" s="1"/>
  <c r="K166" i="21" s="1"/>
  <c r="L166" i="21"/>
  <c r="K291" i="19"/>
  <c r="K274" i="19"/>
  <c r="W34" i="19"/>
  <c r="T15" i="19"/>
  <c r="K8" i="19"/>
  <c r="N244" i="19"/>
  <c r="I173" i="21"/>
  <c r="L173" i="21"/>
  <c r="I177" i="21"/>
  <c r="J177" i="21" s="1"/>
  <c r="K177" i="21" s="1"/>
  <c r="L177" i="21"/>
  <c r="I180" i="21"/>
  <c r="L180" i="21"/>
  <c r="I186" i="21"/>
  <c r="L186" i="21"/>
  <c r="I187" i="21"/>
  <c r="L187" i="21"/>
  <c r="I188" i="21"/>
  <c r="W134" i="19" s="1"/>
  <c r="L188" i="21"/>
  <c r="I192" i="21"/>
  <c r="L192" i="21"/>
  <c r="I197" i="21"/>
  <c r="L197" i="21"/>
  <c r="L199" i="21"/>
  <c r="I199" i="21"/>
  <c r="I200" i="21"/>
  <c r="L200" i="21"/>
  <c r="I203" i="21"/>
  <c r="L203" i="21"/>
  <c r="L210" i="21"/>
  <c r="I210" i="21"/>
  <c r="J210" i="21" s="1"/>
  <c r="K210" i="21" s="1"/>
  <c r="N54" i="19"/>
  <c r="K183" i="19"/>
  <c r="K108" i="19"/>
  <c r="L218" i="21"/>
  <c r="I218" i="21"/>
  <c r="L221" i="21"/>
  <c r="I221" i="21"/>
  <c r="I226" i="21"/>
  <c r="L226" i="21"/>
  <c r="L232" i="21"/>
  <c r="I232" i="21"/>
  <c r="K164" i="19" s="1"/>
  <c r="T244" i="19"/>
  <c r="T253" i="19"/>
  <c r="AF256" i="19"/>
  <c r="AI222" i="19"/>
  <c r="AF231" i="19"/>
  <c r="L239" i="21"/>
  <c r="I239" i="21"/>
  <c r="J239" i="21" s="1"/>
  <c r="K239" i="21" s="1"/>
  <c r="L242" i="21"/>
  <c r="I242" i="21"/>
  <c r="T90" i="19" s="1"/>
  <c r="L243" i="21"/>
  <c r="I243" i="21"/>
  <c r="L247" i="21"/>
  <c r="I247" i="21"/>
  <c r="J247" i="21" s="1"/>
  <c r="K247" i="21" s="1"/>
  <c r="K133" i="19"/>
  <c r="K73" i="19"/>
  <c r="K81" i="19"/>
  <c r="K82" i="19"/>
  <c r="K74" i="19"/>
  <c r="K83" i="19"/>
  <c r="K75" i="19"/>
  <c r="N17" i="19"/>
  <c r="Q23" i="19"/>
  <c r="N234" i="19"/>
  <c r="Q19" i="19"/>
  <c r="N26" i="19"/>
  <c r="K196" i="19"/>
  <c r="K259" i="19"/>
  <c r="Q193" i="19"/>
  <c r="Q258" i="19"/>
  <c r="J253" i="21"/>
  <c r="K253" i="21"/>
  <c r="I7" i="21"/>
  <c r="J7" i="21" s="1"/>
  <c r="K7" i="21" s="1"/>
  <c r="I30" i="21"/>
  <c r="J30" i="21" s="1"/>
  <c r="K30" i="21" s="1"/>
  <c r="N242" i="19"/>
  <c r="Q242" i="19"/>
  <c r="Q202" i="19"/>
  <c r="Q236" i="19"/>
  <c r="Q190" i="19"/>
  <c r="Q240" i="19"/>
  <c r="N253" i="19"/>
  <c r="T158" i="19"/>
  <c r="Z290" i="19"/>
  <c r="Z228" i="19"/>
  <c r="K84" i="19"/>
  <c r="L77" i="21"/>
  <c r="L102" i="21"/>
  <c r="L128" i="21"/>
  <c r="I156" i="21"/>
  <c r="J156" i="21" s="1"/>
  <c r="K156" i="21" s="1"/>
  <c r="I184" i="21"/>
  <c r="I230" i="21"/>
  <c r="AT804" i="55"/>
  <c r="AT801" i="55"/>
  <c r="AT791" i="55"/>
  <c r="AT790" i="55"/>
  <c r="AT773" i="55"/>
  <c r="AT772" i="55"/>
  <c r="AT771" i="55"/>
  <c r="AT744" i="55"/>
  <c r="AT743" i="55"/>
  <c r="AT732" i="55"/>
  <c r="AT714" i="55"/>
  <c r="AT702" i="55"/>
  <c r="AT648" i="55"/>
  <c r="AT636" i="55"/>
  <c r="AT722" i="55"/>
  <c r="AT718" i="55"/>
  <c r="AT709" i="55"/>
  <c r="AT708" i="55"/>
  <c r="AT707" i="55"/>
  <c r="AT706" i="55"/>
  <c r="AT705" i="55"/>
  <c r="AT704" i="55"/>
  <c r="AT703" i="55"/>
  <c r="AT689" i="55"/>
  <c r="AT670" i="55"/>
  <c r="AT664" i="55"/>
  <c r="AT656" i="55"/>
  <c r="AT651" i="55"/>
  <c r="AT650" i="55"/>
  <c r="AT649" i="55"/>
  <c r="AT639" i="55"/>
  <c r="AT638" i="55"/>
  <c r="AT625" i="55"/>
  <c r="AT620" i="55"/>
  <c r="AT603" i="55"/>
  <c r="AT578" i="55"/>
  <c r="AT567" i="55"/>
  <c r="AT532" i="55"/>
  <c r="K212" i="19"/>
  <c r="K246" i="19"/>
  <c r="K255" i="19"/>
  <c r="AT750" i="55"/>
  <c r="AT690" i="55"/>
  <c r="AT683" i="55"/>
  <c r="AT682" i="55"/>
  <c r="AT681" i="55"/>
  <c r="AT677" i="55"/>
  <c r="AT657" i="55"/>
  <c r="AT653" i="55"/>
  <c r="AT645" i="55"/>
  <c r="AT644" i="55"/>
  <c r="AT642" i="55"/>
  <c r="AT641" i="55"/>
  <c r="AT612" i="55"/>
  <c r="AT611" i="55"/>
  <c r="AT610" i="55"/>
  <c r="AT550" i="55"/>
  <c r="AT529" i="55"/>
  <c r="AT524" i="55"/>
  <c r="AT523" i="55"/>
  <c r="AT521" i="55"/>
  <c r="AT495" i="55"/>
  <c r="AT466" i="55"/>
  <c r="AT416" i="55"/>
  <c r="AT414" i="55"/>
  <c r="AT412" i="55"/>
  <c r="AT259" i="55"/>
  <c r="AT236" i="55"/>
  <c r="AT234" i="55"/>
  <c r="AT233" i="55"/>
  <c r="AT232" i="55"/>
  <c r="AT231" i="55"/>
  <c r="AT230" i="55"/>
  <c r="AT220" i="55"/>
  <c r="AT216" i="55"/>
  <c r="AT212" i="55"/>
  <c r="AT192" i="55"/>
  <c r="AT191" i="55"/>
  <c r="AT190" i="55"/>
  <c r="AT180" i="55"/>
  <c r="AT179" i="55"/>
  <c r="AT177" i="55"/>
  <c r="AT171" i="55"/>
  <c r="AT167" i="55"/>
  <c r="AT166" i="55"/>
  <c r="AT161" i="55"/>
  <c r="AT120" i="55"/>
  <c r="AT113" i="55"/>
  <c r="AT93" i="55"/>
  <c r="AT78" i="55"/>
  <c r="I13" i="21"/>
  <c r="J13" i="21" s="1"/>
  <c r="K13" i="21" s="1"/>
  <c r="AT152" i="55"/>
  <c r="AT344" i="55"/>
  <c r="AT343" i="55"/>
  <c r="AT342" i="55"/>
  <c r="AT341" i="55"/>
  <c r="AT340" i="55"/>
  <c r="AT339" i="55"/>
  <c r="AT338" i="55"/>
  <c r="AT320" i="55"/>
  <c r="AT319" i="55"/>
  <c r="AT318" i="55"/>
  <c r="AT317" i="55"/>
  <c r="AT316" i="55"/>
  <c r="AT315" i="55"/>
  <c r="AT314" i="55"/>
  <c r="AT313" i="55"/>
  <c r="AT312" i="55"/>
  <c r="AT311" i="55"/>
  <c r="AT310" i="55"/>
  <c r="AT309" i="55"/>
  <c r="AT308" i="55"/>
  <c r="AT307" i="55"/>
  <c r="AT284" i="55"/>
  <c r="AT283" i="55"/>
  <c r="AT282" i="55"/>
  <c r="AT281" i="55"/>
  <c r="AT280" i="55"/>
  <c r="AT279" i="55"/>
  <c r="AT278" i="55"/>
  <c r="AT277" i="55"/>
  <c r="AT276" i="55"/>
  <c r="AT275" i="55"/>
  <c r="AT274" i="55"/>
  <c r="AT273" i="55"/>
  <c r="AT272" i="55"/>
  <c r="AT271" i="55"/>
  <c r="AT270" i="55"/>
  <c r="AT269" i="55"/>
  <c r="AT268" i="55"/>
  <c r="AT267" i="55"/>
  <c r="AT255" i="55"/>
  <c r="AT254" i="55"/>
  <c r="AT253" i="55"/>
  <c r="AT252" i="55"/>
  <c r="AT251" i="55"/>
  <c r="AT247" i="55"/>
  <c r="AT246" i="55"/>
  <c r="AT245" i="55"/>
  <c r="AT228" i="55"/>
  <c r="AT227" i="55"/>
  <c r="AT226" i="55"/>
  <c r="AT225" i="55"/>
  <c r="AT224" i="55"/>
  <c r="AT223" i="55"/>
  <c r="AT222" i="55"/>
  <c r="AT210" i="55"/>
  <c r="AT209" i="55"/>
  <c r="AT208" i="55"/>
  <c r="AT169" i="55"/>
  <c r="AT154" i="55"/>
  <c r="AT150" i="55"/>
  <c r="AT142" i="55"/>
  <c r="AT89" i="55"/>
  <c r="AT87" i="55"/>
  <c r="AT80" i="55"/>
  <c r="AT58" i="55"/>
  <c r="AT40" i="55"/>
  <c r="AT37" i="55"/>
  <c r="AT34" i="55"/>
  <c r="AT24" i="55"/>
  <c r="AT13" i="55"/>
  <c r="AT11" i="55"/>
  <c r="D281" i="53"/>
  <c r="AZ281" i="54" s="1"/>
  <c r="I314" i="21"/>
  <c r="I372" i="21"/>
  <c r="I378" i="21"/>
  <c r="I301" i="21"/>
  <c r="J301" i="21" s="1"/>
  <c r="I315" i="21"/>
  <c r="J315" i="21" s="1"/>
  <c r="K315" i="21" s="1"/>
  <c r="I23" i="21"/>
  <c r="I17" i="21"/>
  <c r="I271" i="21"/>
  <c r="J271" i="21" s="1"/>
  <c r="K271" i="21" s="1"/>
  <c r="I284" i="21"/>
  <c r="J284" i="21" s="1"/>
  <c r="K284" i="21" s="1"/>
  <c r="Y601" i="55" s="1"/>
  <c r="I369" i="21"/>
  <c r="J369" i="21" s="1"/>
  <c r="K369" i="21" s="1"/>
  <c r="I370" i="21"/>
  <c r="J370" i="21" s="1"/>
  <c r="K370" i="21" s="1"/>
  <c r="D73" i="53"/>
  <c r="AZ73" i="54" s="1"/>
  <c r="D157" i="53"/>
  <c r="AZ157" i="54" s="1"/>
  <c r="D219" i="53"/>
  <c r="AZ219" i="54" s="1"/>
  <c r="D174" i="53"/>
  <c r="AZ174" i="54" s="1"/>
  <c r="D70" i="53"/>
  <c r="AZ70" i="54" s="1"/>
  <c r="D199" i="53"/>
  <c r="AZ199" i="54" s="1"/>
  <c r="D171" i="53"/>
  <c r="AZ171" i="54" s="1"/>
  <c r="D71" i="53"/>
  <c r="AZ71" i="54" s="1"/>
  <c r="D289" i="53"/>
  <c r="AZ289" i="54" s="1"/>
  <c r="D197" i="53"/>
  <c r="AZ197" i="54" s="1"/>
  <c r="D53" i="53"/>
  <c r="AZ53" i="54" s="1"/>
  <c r="D77" i="53"/>
  <c r="AZ77" i="54" s="1"/>
  <c r="D215" i="53"/>
  <c r="AZ215" i="54" s="1"/>
  <c r="D263" i="53"/>
  <c r="AZ263" i="54" s="1"/>
  <c r="D218" i="53"/>
  <c r="AZ218" i="54" s="1"/>
  <c r="D224" i="53"/>
  <c r="AZ224" i="54" s="1"/>
  <c r="D277" i="53"/>
  <c r="AZ277" i="54" s="1"/>
  <c r="D220" i="53"/>
  <c r="AZ220" i="54" s="1"/>
  <c r="D162" i="53"/>
  <c r="AZ162" i="54" s="1"/>
  <c r="D119" i="53"/>
  <c r="AZ119" i="54" s="1"/>
  <c r="D186" i="53"/>
  <c r="AZ186" i="54" s="1"/>
  <c r="D117" i="53"/>
  <c r="AZ117" i="54" s="1"/>
  <c r="D121" i="53"/>
  <c r="AZ121" i="54" s="1"/>
  <c r="D295" i="53"/>
  <c r="AZ295" i="54" s="1"/>
  <c r="D50" i="53"/>
  <c r="AZ50" i="54" s="1"/>
  <c r="D147" i="53"/>
  <c r="AZ147" i="54" s="1"/>
  <c r="D230" i="53"/>
  <c r="AZ230" i="54" s="1"/>
  <c r="D146" i="53"/>
  <c r="AZ146" i="54" s="1"/>
  <c r="D79" i="53"/>
  <c r="AZ79" i="54" s="1"/>
  <c r="D39" i="53"/>
  <c r="AZ39" i="54" s="1"/>
  <c r="D65" i="53"/>
  <c r="AZ65" i="54" s="1"/>
  <c r="D40" i="53"/>
  <c r="AZ40" i="54" s="1"/>
  <c r="D82" i="53"/>
  <c r="AZ82" i="54" s="1"/>
  <c r="D41" i="53"/>
  <c r="AZ41" i="54" s="1"/>
  <c r="D37" i="53"/>
  <c r="AZ37" i="54" s="1"/>
  <c r="D68" i="53"/>
  <c r="AZ68" i="54" s="1"/>
  <c r="D191" i="53"/>
  <c r="AZ191" i="54" s="1"/>
  <c r="D200" i="53"/>
  <c r="AZ200" i="54" s="1"/>
  <c r="D33" i="53"/>
  <c r="AZ33" i="54" s="1"/>
  <c r="D238" i="53"/>
  <c r="AZ238" i="54" s="1"/>
  <c r="D255" i="53"/>
  <c r="AZ255" i="54" s="1"/>
  <c r="D135" i="53"/>
  <c r="AZ135" i="54" s="1"/>
  <c r="D180" i="53"/>
  <c r="AZ180" i="54" s="1"/>
  <c r="D258" i="53"/>
  <c r="AZ258" i="54" s="1"/>
  <c r="D172" i="53"/>
  <c r="AZ172" i="54" s="1"/>
  <c r="D184" i="53"/>
  <c r="AZ184" i="54" s="1"/>
  <c r="I260" i="21"/>
  <c r="J260" i="21" s="1"/>
  <c r="K260" i="21" s="1"/>
  <c r="I285" i="21"/>
  <c r="J285" i="21" s="1"/>
  <c r="K285" i="21" s="1"/>
  <c r="I359" i="21"/>
  <c r="J359" i="21" s="1"/>
  <c r="K359" i="21" s="1"/>
  <c r="I362" i="21"/>
  <c r="J362" i="21" s="1"/>
  <c r="K362" i="21" s="1"/>
  <c r="I387" i="21"/>
  <c r="J387" i="21" s="1"/>
  <c r="K387" i="21" s="1"/>
  <c r="AI22" i="11"/>
  <c r="Y22" i="11"/>
  <c r="V22" i="11"/>
  <c r="AF22" i="11"/>
  <c r="W22" i="11"/>
  <c r="AG22" i="11"/>
  <c r="AC22" i="11"/>
  <c r="U22" i="11"/>
  <c r="AE22" i="11"/>
  <c r="Z22" i="11"/>
  <c r="AA27" i="10"/>
  <c r="C13" i="9" s="1"/>
  <c r="K27" i="10"/>
  <c r="D5" i="9" s="1"/>
  <c r="AK22" i="11"/>
  <c r="J69" i="21"/>
  <c r="K69" i="21" s="1"/>
  <c r="J114" i="21"/>
  <c r="K114" i="21" s="1"/>
  <c r="J344" i="21"/>
  <c r="K344" i="21" s="1"/>
  <c r="W843" i="55" s="1"/>
  <c r="AE843" i="55" s="1"/>
  <c r="J118" i="21"/>
  <c r="K118" i="21" s="1"/>
  <c r="D61" i="53"/>
  <c r="AZ61" i="54" s="1"/>
  <c r="D83" i="53"/>
  <c r="AZ83" i="54" s="1"/>
  <c r="D208" i="53"/>
  <c r="AZ208" i="54" s="1"/>
  <c r="D38" i="53"/>
  <c r="AZ38" i="54" s="1"/>
  <c r="D203" i="53"/>
  <c r="AZ203" i="54" s="1"/>
  <c r="D192" i="53"/>
  <c r="AZ192" i="54" s="1"/>
  <c r="D239" i="53"/>
  <c r="AZ239" i="54" s="1"/>
  <c r="D194" i="53"/>
  <c r="AZ194" i="54" s="1"/>
  <c r="D187" i="53"/>
  <c r="AZ187" i="54" s="1"/>
  <c r="D198" i="53"/>
  <c r="AZ198" i="54" s="1"/>
  <c r="D145" i="53"/>
  <c r="AZ145" i="54" s="1"/>
  <c r="D227" i="53"/>
  <c r="AZ227" i="54" s="1"/>
  <c r="J278" i="21"/>
  <c r="K278" i="21" s="1"/>
  <c r="W317" i="55" s="1"/>
  <c r="J124" i="21"/>
  <c r="K124" i="21" s="1"/>
  <c r="J290" i="21"/>
  <c r="K290" i="21" s="1"/>
  <c r="J77" i="21"/>
  <c r="K77" i="21" s="1"/>
  <c r="W635" i="55" s="1"/>
  <c r="AE635" i="55" s="1"/>
  <c r="J215" i="21"/>
  <c r="K215" i="21" s="1"/>
  <c r="W164" i="55" s="1"/>
  <c r="AE164" i="55" s="1"/>
  <c r="J224" i="21"/>
  <c r="K224" i="21" s="1"/>
  <c r="J119" i="21"/>
  <c r="K119" i="21" s="1"/>
  <c r="J145" i="21"/>
  <c r="K145" i="21" s="1"/>
  <c r="J70" i="21"/>
  <c r="K70" i="21" s="1"/>
  <c r="J98" i="21"/>
  <c r="K98" i="21" s="1"/>
  <c r="J162" i="21"/>
  <c r="K162" i="21" s="1"/>
  <c r="V272" i="55" s="1"/>
  <c r="J50" i="21"/>
  <c r="K50" i="21" s="1"/>
  <c r="J41" i="21"/>
  <c r="K41" i="21" s="1"/>
  <c r="J102" i="21"/>
  <c r="K102" i="21" s="1"/>
  <c r="X407" i="55" s="1"/>
  <c r="J68" i="21"/>
  <c r="K68" i="21" s="1"/>
  <c r="W450" i="55" s="1"/>
  <c r="J135" i="21"/>
  <c r="K135" i="21" s="1"/>
  <c r="J180" i="21"/>
  <c r="K180" i="21" s="1"/>
  <c r="J117" i="21"/>
  <c r="K117" i="21" s="1"/>
  <c r="J65" i="21"/>
  <c r="K65" i="21" s="1"/>
  <c r="W503" i="55" s="1"/>
  <c r="AE503" i="55" s="1"/>
  <c r="J238" i="21"/>
  <c r="K238" i="21" s="1"/>
  <c r="J108" i="21"/>
  <c r="K108" i="21" s="1"/>
  <c r="Y461" i="55" s="1"/>
  <c r="J109" i="21"/>
  <c r="K109" i="21" s="1"/>
  <c r="J90" i="21"/>
  <c r="K90" i="21" s="1"/>
  <c r="Y426" i="55" s="1"/>
  <c r="J95" i="21"/>
  <c r="K95" i="21" s="1"/>
  <c r="D155" i="53"/>
  <c r="AZ155" i="54" s="1"/>
  <c r="D207" i="53"/>
  <c r="AZ207" i="54" s="1"/>
  <c r="D204" i="53"/>
  <c r="AZ204" i="54" s="1"/>
  <c r="D64" i="53"/>
  <c r="AZ64" i="54" s="1"/>
  <c r="D81" i="53"/>
  <c r="AZ81" i="54" s="1"/>
  <c r="D291" i="53"/>
  <c r="AZ291" i="54" s="1"/>
  <c r="D206" i="53"/>
  <c r="AZ206" i="54" s="1"/>
  <c r="D154" i="53"/>
  <c r="AZ154" i="54" s="1"/>
  <c r="J47" i="21"/>
  <c r="K47" i="21" s="1"/>
  <c r="J49" i="21"/>
  <c r="K49" i="21" s="1"/>
  <c r="V319" i="55" s="1"/>
  <c r="J63" i="21"/>
  <c r="K63" i="21" s="1"/>
  <c r="Y649" i="55" s="1"/>
  <c r="J226" i="21"/>
  <c r="K226" i="21" s="1"/>
  <c r="V231" i="55" s="1"/>
  <c r="J242" i="21"/>
  <c r="K242" i="21" s="1"/>
  <c r="J291" i="21"/>
  <c r="K291" i="21" s="1"/>
  <c r="Y96" i="55" s="1"/>
  <c r="J225" i="21"/>
  <c r="K225" i="21" s="1"/>
  <c r="J160" i="21"/>
  <c r="K160" i="21" s="1"/>
  <c r="W351" i="55" s="1"/>
  <c r="J202" i="21"/>
  <c r="K202" i="21" s="1"/>
  <c r="X524" i="55" s="1"/>
  <c r="J58" i="21"/>
  <c r="K58" i="21" s="1"/>
  <c r="J57" i="21"/>
  <c r="K57" i="21" s="1"/>
  <c r="V148" i="55" s="1"/>
  <c r="J82" i="21"/>
  <c r="K82" i="21" s="1"/>
  <c r="J79" i="21"/>
  <c r="K79" i="21" s="1"/>
  <c r="J228" i="21"/>
  <c r="K228" i="21" s="1"/>
  <c r="X750" i="55" s="1"/>
  <c r="J295" i="21"/>
  <c r="K295" i="21" s="1"/>
  <c r="J255" i="21"/>
  <c r="K255" i="21" s="1"/>
  <c r="Y725" i="55" s="1"/>
  <c r="J94" i="21"/>
  <c r="K94" i="21" s="1"/>
  <c r="J345" i="21"/>
  <c r="K345" i="21" s="1"/>
  <c r="W845" i="55" s="1"/>
  <c r="AE845" i="55" s="1"/>
  <c r="J347" i="21"/>
  <c r="K347" i="21" s="1"/>
  <c r="V846" i="55" s="1"/>
  <c r="AE846" i="55" s="1"/>
  <c r="J189" i="21"/>
  <c r="K189" i="21" s="1"/>
  <c r="J157" i="21"/>
  <c r="K157" i="21" s="1"/>
  <c r="J163" i="21"/>
  <c r="K163" i="21" s="1"/>
  <c r="J34" i="21"/>
  <c r="K34" i="21" s="1"/>
  <c r="Y386" i="55" s="1"/>
  <c r="J61" i="21"/>
  <c r="K61" i="21" s="1"/>
  <c r="J185" i="21"/>
  <c r="K185" i="21" s="1"/>
  <c r="W631" i="55" s="1"/>
  <c r="J319" i="21"/>
  <c r="K319" i="21" s="1"/>
  <c r="J175" i="21"/>
  <c r="K175" i="21" s="1"/>
  <c r="W343" i="55" s="1"/>
  <c r="AE343" i="55" s="1"/>
  <c r="J107" i="21"/>
  <c r="K107" i="21" s="1"/>
  <c r="Y450" i="55" s="1"/>
  <c r="J54" i="21"/>
  <c r="K54" i="21" s="1"/>
  <c r="W336" i="55" s="1"/>
  <c r="AE336" i="55" s="1"/>
  <c r="J110" i="21"/>
  <c r="K110" i="21" s="1"/>
  <c r="Y446" i="55" s="1"/>
  <c r="J87" i="21"/>
  <c r="K87" i="21" s="1"/>
  <c r="Y424" i="55" s="1"/>
  <c r="J280" i="21"/>
  <c r="K280" i="21" s="1"/>
  <c r="J173" i="21"/>
  <c r="K173" i="21" s="1"/>
  <c r="J100" i="21"/>
  <c r="K100" i="21" s="1"/>
  <c r="W433" i="55" s="1"/>
  <c r="AE433" i="55" s="1"/>
  <c r="J106" i="21"/>
  <c r="K106" i="21" s="1"/>
  <c r="J130" i="21"/>
  <c r="K130" i="21" s="1"/>
  <c r="X435" i="55" s="1"/>
  <c r="J74" i="21"/>
  <c r="K74" i="21" s="1"/>
  <c r="J52" i="21"/>
  <c r="K52" i="21" s="1"/>
  <c r="J287" i="21"/>
  <c r="K287" i="21" s="1"/>
  <c r="Y61" i="55" s="1"/>
  <c r="AT538" i="55"/>
  <c r="AT535" i="55"/>
  <c r="AT505" i="55"/>
  <c r="AT323" i="55"/>
  <c r="AT322" i="55"/>
  <c r="AT321" i="55"/>
  <c r="AT286" i="55"/>
  <c r="AT285" i="55"/>
  <c r="AT207" i="55"/>
  <c r="AT206" i="55"/>
  <c r="AT205" i="55"/>
  <c r="AT204" i="55"/>
  <c r="AT203" i="55"/>
  <c r="AT202" i="55"/>
  <c r="AT201" i="55"/>
  <c r="AT200" i="55"/>
  <c r="AT199" i="55"/>
  <c r="AT198" i="55"/>
  <c r="AT197" i="55"/>
  <c r="AT196" i="55"/>
  <c r="AT195" i="55"/>
  <c r="AT184" i="55"/>
  <c r="AT183" i="55"/>
  <c r="AT172" i="55"/>
  <c r="AT168" i="55"/>
  <c r="AT132" i="55"/>
  <c r="AT131" i="55"/>
  <c r="AT130" i="55"/>
  <c r="AT129" i="55"/>
  <c r="AT121" i="55"/>
  <c r="AT107" i="55"/>
  <c r="AT106" i="55"/>
  <c r="AT105" i="55"/>
  <c r="AT104" i="55"/>
  <c r="AT103" i="55"/>
  <c r="AT102" i="55"/>
  <c r="AT101" i="55"/>
  <c r="AT100" i="55"/>
  <c r="AT99" i="55"/>
  <c r="AT98" i="55"/>
  <c r="AT94" i="55"/>
  <c r="AT86" i="55"/>
  <c r="AT85" i="55"/>
  <c r="AT84" i="55"/>
  <c r="AT83" i="55"/>
  <c r="AT79" i="55"/>
  <c r="AT71" i="55"/>
  <c r="AT68" i="55"/>
  <c r="AT56" i="55"/>
  <c r="AT55" i="55"/>
  <c r="AT54" i="55"/>
  <c r="AT53" i="55"/>
  <c r="AT49" i="55"/>
  <c r="AT45" i="55"/>
  <c r="AT30" i="55"/>
  <c r="AT637" i="55"/>
  <c r="AT606" i="55"/>
  <c r="AT581" i="55"/>
  <c r="AT572" i="55"/>
  <c r="AT557" i="55"/>
  <c r="AT546" i="55"/>
  <c r="AT541" i="55"/>
  <c r="AT539" i="55"/>
  <c r="AT185" i="55"/>
  <c r="AT173" i="55"/>
  <c r="AT153" i="55"/>
  <c r="AT149" i="55"/>
  <c r="AT148" i="55"/>
  <c r="AT147" i="55"/>
  <c r="AT146" i="55"/>
  <c r="AT145" i="55"/>
  <c r="AT144" i="55"/>
  <c r="AT143" i="55"/>
  <c r="AT141" i="55"/>
  <c r="AT124" i="55"/>
  <c r="AT123" i="55"/>
  <c r="AT122" i="55"/>
  <c r="AT116" i="55"/>
  <c r="AT95" i="55"/>
  <c r="AT90" i="55"/>
  <c r="AT88" i="55"/>
  <c r="AT72" i="55"/>
  <c r="AT69" i="55"/>
  <c r="AT59" i="55"/>
  <c r="AT57" i="55"/>
  <c r="AT50" i="55"/>
  <c r="AT39" i="55"/>
  <c r="AT38" i="55"/>
  <c r="AT36" i="55"/>
  <c r="AT35" i="55"/>
  <c r="AT33" i="55"/>
  <c r="AT32" i="55"/>
  <c r="AT31" i="55"/>
  <c r="AT26" i="55"/>
  <c r="AT25" i="55"/>
  <c r="AT23" i="55"/>
  <c r="AT22" i="55"/>
  <c r="AT21" i="55"/>
  <c r="AT20" i="55"/>
  <c r="AT19" i="55"/>
  <c r="AT18" i="55"/>
  <c r="AT17" i="55"/>
  <c r="AT15" i="55"/>
  <c r="AT14" i="55"/>
  <c r="AT12" i="55"/>
  <c r="AT800" i="55"/>
  <c r="AT841" i="55"/>
  <c r="AT806" i="55"/>
  <c r="AT779" i="55"/>
  <c r="AT778" i="55"/>
  <c r="AT762" i="55"/>
  <c r="AT748" i="55"/>
  <c r="AT723" i="55"/>
  <c r="AT381" i="55"/>
  <c r="AT380" i="55"/>
  <c r="AT379" i="55"/>
  <c r="AT372" i="55"/>
  <c r="AT371" i="55"/>
  <c r="AT370" i="55"/>
  <c r="AT369" i="55"/>
  <c r="AT368" i="55"/>
  <c r="AT367" i="55"/>
  <c r="AT359" i="55"/>
  <c r="AT358" i="55"/>
  <c r="AT357" i="55"/>
  <c r="AT356" i="55"/>
  <c r="AT355" i="55"/>
  <c r="AT354" i="55"/>
  <c r="AT353" i="55"/>
  <c r="AT352" i="55"/>
  <c r="AT351" i="55"/>
  <c r="AT350" i="55"/>
  <c r="AT349" i="55"/>
  <c r="AT348" i="55"/>
  <c r="AT347" i="55"/>
  <c r="AT346" i="55"/>
  <c r="AT336" i="55"/>
  <c r="AT335" i="55"/>
  <c r="AT334" i="55"/>
  <c r="AT333" i="55"/>
  <c r="AT332" i="55"/>
  <c r="AT331" i="55"/>
  <c r="AT330" i="55"/>
  <c r="AT329" i="55"/>
  <c r="AT328" i="55"/>
  <c r="AT327" i="55"/>
  <c r="AT326" i="55"/>
  <c r="AT325" i="55"/>
  <c r="AT305" i="55"/>
  <c r="AT304" i="55"/>
  <c r="AT303" i="55"/>
  <c r="AT302" i="55"/>
  <c r="AT301" i="55"/>
  <c r="AT300" i="55"/>
  <c r="AT299" i="55"/>
  <c r="AT298" i="55"/>
  <c r="AT297" i="55"/>
  <c r="AT296" i="55"/>
  <c r="AT295" i="55"/>
  <c r="AT294" i="55"/>
  <c r="AT293" i="55"/>
  <c r="AT292" i="55"/>
  <c r="AT291" i="55"/>
  <c r="AT289" i="55"/>
  <c r="AT288" i="55"/>
  <c r="AT265" i="55"/>
  <c r="AT264" i="55"/>
  <c r="AT263" i="55"/>
  <c r="AT262" i="55"/>
  <c r="AT261" i="55"/>
  <c r="AT260" i="55"/>
  <c r="AT258" i="55"/>
  <c r="AT257" i="55"/>
  <c r="AT249" i="55"/>
  <c r="AT243" i="55"/>
  <c r="AT242" i="55"/>
  <c r="AT241" i="55"/>
  <c r="AT240" i="55"/>
  <c r="AT239" i="55"/>
  <c r="AT238" i="55"/>
  <c r="AT237" i="55"/>
  <c r="AT235" i="55"/>
  <c r="W318" i="55"/>
  <c r="AE318" i="55" s="1"/>
  <c r="W226" i="55"/>
  <c r="AE226" i="55" s="1"/>
  <c r="Y455" i="55"/>
  <c r="Y437" i="55"/>
  <c r="Y440" i="55"/>
  <c r="Y436" i="55"/>
  <c r="Y438" i="55"/>
  <c r="Y439" i="55"/>
  <c r="Y435" i="55"/>
  <c r="Y456" i="55"/>
  <c r="J68" i="54"/>
  <c r="J51" i="54"/>
  <c r="J15" i="54"/>
  <c r="J64" i="54"/>
  <c r="J27" i="54"/>
  <c r="J44" i="54"/>
  <c r="J7" i="54"/>
  <c r="J63" i="54"/>
  <c r="J50" i="54"/>
  <c r="J11" i="54"/>
  <c r="J48" i="54"/>
  <c r="J26" i="54"/>
  <c r="J87" i="54"/>
  <c r="J127" i="54"/>
  <c r="J86" i="54"/>
  <c r="J113" i="54"/>
  <c r="J146" i="54"/>
  <c r="J245" i="54"/>
  <c r="J229" i="54"/>
  <c r="J179" i="54"/>
  <c r="J125" i="54"/>
  <c r="J233" i="54"/>
  <c r="J225" i="54"/>
  <c r="J185" i="54"/>
  <c r="J73" i="54"/>
  <c r="J144" i="54"/>
  <c r="J111" i="54"/>
  <c r="J97" i="54"/>
  <c r="J98" i="54"/>
  <c r="J102" i="54"/>
  <c r="J234" i="54"/>
  <c r="J203" i="54"/>
  <c r="J166" i="54"/>
  <c r="J89" i="54"/>
  <c r="J171" i="54"/>
  <c r="J223" i="54"/>
  <c r="J116" i="54"/>
  <c r="J112" i="54"/>
  <c r="J91" i="54"/>
  <c r="J191" i="54"/>
  <c r="J188" i="54"/>
  <c r="J236" i="54"/>
  <c r="J137" i="54"/>
  <c r="J149" i="54"/>
  <c r="J81" i="54"/>
  <c r="J204" i="54"/>
  <c r="J200" i="54"/>
  <c r="J246" i="54"/>
  <c r="J47" i="54"/>
  <c r="J118" i="54"/>
  <c r="J258" i="54"/>
  <c r="J42" i="54"/>
  <c r="J129" i="54"/>
  <c r="J109" i="54"/>
  <c r="J95" i="54"/>
  <c r="J79" i="54"/>
  <c r="J52" i="54"/>
  <c r="J154" i="54"/>
  <c r="J134" i="54"/>
  <c r="J240" i="54"/>
  <c r="J205" i="54"/>
  <c r="J177" i="54"/>
  <c r="J219" i="54"/>
  <c r="J158" i="54"/>
  <c r="J105" i="54"/>
  <c r="J69" i="54"/>
  <c r="J156" i="54"/>
  <c r="J215" i="54"/>
  <c r="J143" i="54"/>
  <c r="J255" i="54"/>
  <c r="J78" i="54"/>
  <c r="J145" i="54"/>
  <c r="J183" i="54"/>
  <c r="J194" i="54"/>
  <c r="J90" i="54"/>
  <c r="J162" i="54"/>
  <c r="J115" i="54"/>
  <c r="J72" i="54"/>
  <c r="J94" i="54"/>
  <c r="J256" i="54"/>
  <c r="J121" i="54"/>
  <c r="J65" i="54"/>
  <c r="J201" i="54"/>
  <c r="J175" i="54"/>
  <c r="J160" i="54"/>
  <c r="J49" i="54"/>
  <c r="J147" i="54"/>
  <c r="J193" i="54"/>
  <c r="J174" i="54"/>
  <c r="J138" i="54"/>
  <c r="J107" i="54"/>
  <c r="J196" i="54"/>
  <c r="J157" i="54"/>
  <c r="J199" i="54"/>
  <c r="J232" i="54"/>
  <c r="J237" i="54"/>
  <c r="J62" i="54"/>
  <c r="J169" i="54"/>
  <c r="J148" i="54"/>
  <c r="J257" i="54"/>
  <c r="J212" i="54"/>
  <c r="J242" i="54"/>
  <c r="V327" i="55"/>
  <c r="V298" i="55"/>
  <c r="V90" i="55"/>
  <c r="V328" i="55"/>
  <c r="V85" i="55"/>
  <c r="J190" i="54"/>
  <c r="J238" i="54"/>
  <c r="J173" i="54"/>
  <c r="J382" i="54"/>
  <c r="J243" i="54"/>
  <c r="J123" i="54"/>
  <c r="J184" i="54"/>
  <c r="J141" i="54"/>
  <c r="J126" i="54"/>
  <c r="J80" i="54"/>
  <c r="J178" i="54"/>
  <c r="J289" i="54"/>
  <c r="J265" i="54"/>
  <c r="J224" i="54"/>
  <c r="J159" i="54"/>
  <c r="J341" i="54"/>
  <c r="J150" i="54"/>
  <c r="J328" i="54"/>
  <c r="J67" i="54"/>
  <c r="J176" i="54"/>
  <c r="J136" i="54"/>
  <c r="J218" i="54"/>
  <c r="J192" i="54"/>
  <c r="J220" i="54"/>
  <c r="J371" i="54"/>
  <c r="J239" i="54"/>
  <c r="J100" i="54"/>
  <c r="J322" i="54"/>
  <c r="J254" i="54"/>
  <c r="J77" i="54"/>
  <c r="J70" i="54"/>
  <c r="J122" i="54"/>
  <c r="J119" i="54"/>
  <c r="J217" i="54"/>
  <c r="J168" i="54"/>
  <c r="J268" i="54"/>
  <c r="J387" i="54"/>
  <c r="J294" i="54"/>
  <c r="J275" i="54"/>
  <c r="J365" i="54"/>
  <c r="J130" i="54"/>
  <c r="J101" i="54"/>
  <c r="J189" i="54"/>
  <c r="J370" i="54"/>
  <c r="J140" i="54"/>
  <c r="J283" i="54"/>
  <c r="J198" i="54"/>
  <c r="J335" i="54"/>
  <c r="J222" i="54"/>
  <c r="J227" i="54"/>
  <c r="J106" i="54"/>
  <c r="J357" i="54"/>
  <c r="J262" i="54"/>
  <c r="J93" i="54"/>
  <c r="J280" i="54"/>
  <c r="J187" i="54"/>
  <c r="J356" i="54"/>
  <c r="J326" i="54"/>
  <c r="J151" i="54"/>
  <c r="J197" i="54"/>
  <c r="J285" i="54"/>
  <c r="J128" i="54"/>
  <c r="J309" i="54"/>
  <c r="J270" i="54"/>
  <c r="J286" i="54"/>
  <c r="J164" i="54"/>
  <c r="J55" i="54"/>
  <c r="J163" i="54"/>
  <c r="J139" i="54"/>
  <c r="J252" i="54"/>
  <c r="J131" i="54"/>
  <c r="J207" i="54"/>
  <c r="J329" i="54"/>
  <c r="J231" i="54"/>
  <c r="J376" i="54"/>
  <c r="J307" i="54"/>
  <c r="J298" i="54"/>
  <c r="J92" i="54"/>
  <c r="J181" i="54"/>
  <c r="J308" i="54"/>
  <c r="J297" i="54"/>
  <c r="J241" i="54"/>
  <c r="J367" i="54"/>
  <c r="J346" i="54"/>
  <c r="V754" i="55"/>
  <c r="W139" i="55"/>
  <c r="AE139" i="55" s="1"/>
  <c r="W368" i="55"/>
  <c r="AE368" i="55" s="1"/>
  <c r="W131" i="55"/>
  <c r="AE131" i="55" s="1"/>
  <c r="Y134" i="55"/>
  <c r="J226" i="54"/>
  <c r="J214" i="54"/>
  <c r="J14" i="54"/>
  <c r="J99" i="54"/>
  <c r="J82" i="54"/>
  <c r="J61" i="54"/>
  <c r="J41" i="54"/>
  <c r="J38" i="54"/>
  <c r="J33" i="54"/>
  <c r="J161" i="54"/>
  <c r="J114" i="54"/>
  <c r="J56" i="54"/>
  <c r="J66" i="54"/>
  <c r="J247" i="54"/>
  <c r="J58" i="54"/>
  <c r="J170" i="54"/>
  <c r="J32" i="54"/>
  <c r="J96" i="54"/>
  <c r="J213" i="54"/>
  <c r="J209" i="54"/>
  <c r="J29" i="54"/>
  <c r="J253" i="54"/>
  <c r="J110" i="54"/>
  <c r="J37" i="54"/>
  <c r="J142" i="54"/>
  <c r="J211" i="54"/>
  <c r="J83" i="54"/>
  <c r="J53" i="54"/>
  <c r="J182" i="54"/>
  <c r="J208" i="54"/>
  <c r="J195" i="54"/>
  <c r="J54" i="54"/>
  <c r="J155" i="54"/>
  <c r="J135" i="54"/>
  <c r="J244" i="54"/>
  <c r="J206" i="54"/>
  <c r="J230" i="54"/>
  <c r="J43" i="54"/>
  <c r="J186" i="54"/>
  <c r="J165" i="54"/>
  <c r="J120" i="54"/>
  <c r="J22" i="54"/>
  <c r="J108" i="54"/>
  <c r="J133" i="54"/>
  <c r="J228" i="54"/>
  <c r="J221" i="54"/>
  <c r="J75" i="54"/>
  <c r="J45" i="54"/>
  <c r="J88" i="54"/>
  <c r="J16" i="54"/>
  <c r="J180" i="54"/>
  <c r="J235" i="54"/>
  <c r="J210" i="54"/>
  <c r="J202" i="54"/>
  <c r="J172" i="54"/>
  <c r="J117" i="54"/>
  <c r="J76" i="54"/>
  <c r="J124" i="54"/>
  <c r="J46" i="54"/>
  <c r="V374" i="55"/>
  <c r="AE374" i="55" s="1"/>
  <c r="V375" i="55"/>
  <c r="W377" i="55"/>
  <c r="AE377" i="55" s="1"/>
  <c r="W375" i="55"/>
  <c r="W376" i="55"/>
  <c r="AE376" i="55" s="1"/>
  <c r="Y523" i="55"/>
  <c r="Y661" i="55"/>
  <c r="W146" i="55"/>
  <c r="V86" i="55"/>
  <c r="V103" i="55"/>
  <c r="V314" i="55"/>
  <c r="V320" i="55"/>
  <c r="V329" i="55"/>
  <c r="Y130" i="55"/>
  <c r="Y138" i="55"/>
  <c r="W132" i="55"/>
  <c r="AE132" i="55" s="1"/>
  <c r="W369" i="55"/>
  <c r="AE369" i="55" s="1"/>
  <c r="V793" i="55"/>
  <c r="W491" i="55"/>
  <c r="J32" i="21"/>
  <c r="K32" i="21" s="1"/>
  <c r="V88" i="55"/>
  <c r="V104" i="55"/>
  <c r="V315" i="55"/>
  <c r="V322" i="55"/>
  <c r="V330" i="55"/>
  <c r="Y131" i="55"/>
  <c r="Y139" i="55"/>
  <c r="W138" i="55"/>
  <c r="AE138" i="55" s="1"/>
  <c r="J78" i="21"/>
  <c r="K78" i="21" s="1"/>
  <c r="X570" i="55" s="1"/>
  <c r="V84" i="55"/>
  <c r="V89" i="55"/>
  <c r="V105" i="55"/>
  <c r="V317" i="55"/>
  <c r="Y132" i="55"/>
  <c r="W130" i="55"/>
  <c r="AE130" i="55" s="1"/>
  <c r="J38" i="21"/>
  <c r="K38" i="21" s="1"/>
  <c r="J196" i="21"/>
  <c r="K196" i="21" s="1"/>
  <c r="Y578" i="55" s="1"/>
  <c r="J299" i="21"/>
  <c r="K299" i="21" s="1"/>
  <c r="W388" i="55" s="1"/>
  <c r="AE388" i="55" s="1"/>
  <c r="W698" i="55"/>
  <c r="AE698" i="55" s="1"/>
  <c r="V744" i="55"/>
  <c r="V738" i="55"/>
  <c r="Y600" i="55"/>
  <c r="Y596" i="55"/>
  <c r="Y598" i="55"/>
  <c r="Y384" i="55"/>
  <c r="Y383" i="55"/>
  <c r="Y594" i="55"/>
  <c r="V162" i="55"/>
  <c r="AE162" i="55" s="1"/>
  <c r="Y418" i="55"/>
  <c r="Y417" i="55"/>
  <c r="V300" i="55"/>
  <c r="W35" i="55"/>
  <c r="Y445" i="55"/>
  <c r="W444" i="55"/>
  <c r="AE444" i="55" s="1"/>
  <c r="W564" i="55"/>
  <c r="AE564" i="55" s="1"/>
  <c r="W694" i="55"/>
  <c r="V285" i="55"/>
  <c r="V820" i="55"/>
  <c r="W702" i="55"/>
  <c r="AE702" i="55" s="1"/>
  <c r="W556" i="55"/>
  <c r="W499" i="55"/>
  <c r="AE499" i="55" s="1"/>
  <c r="V816" i="55"/>
  <c r="W639" i="55"/>
  <c r="AE639" i="55" s="1"/>
  <c r="V304" i="55"/>
  <c r="W43" i="55"/>
  <c r="AE43" i="55" s="1"/>
  <c r="J134" i="21"/>
  <c r="K134" i="21" s="1"/>
  <c r="W736" i="55" s="1"/>
  <c r="AE736" i="55" s="1"/>
  <c r="J220" i="21"/>
  <c r="K220" i="21" s="1"/>
  <c r="J146" i="21"/>
  <c r="K146" i="21" s="1"/>
  <c r="J234" i="21"/>
  <c r="K234" i="21" s="1"/>
  <c r="W38" i="55" s="1"/>
  <c r="AE38" i="55" s="1"/>
  <c r="J113" i="21"/>
  <c r="K113" i="21" s="1"/>
  <c r="J267" i="21"/>
  <c r="K267" i="21" s="1"/>
  <c r="W590" i="55" s="1"/>
  <c r="AE590" i="55" s="1"/>
  <c r="J306" i="21"/>
  <c r="K306" i="21" s="1"/>
  <c r="J181" i="21"/>
  <c r="K181" i="21" s="1"/>
  <c r="J73" i="21"/>
  <c r="K73" i="21" s="1"/>
  <c r="V489" i="55" s="1"/>
  <c r="AE489" i="55" s="1"/>
  <c r="J128" i="21"/>
  <c r="K128" i="21" s="1"/>
  <c r="W461" i="55" s="1"/>
  <c r="AE461" i="55" s="1"/>
  <c r="J101" i="21"/>
  <c r="K101" i="21" s="1"/>
  <c r="J89" i="21"/>
  <c r="K89" i="21" s="1"/>
  <c r="J48" i="21"/>
  <c r="K48" i="21" s="1"/>
  <c r="V321" i="55" s="1"/>
  <c r="J195" i="21"/>
  <c r="K195" i="21" s="1"/>
  <c r="J56" i="21"/>
  <c r="K56" i="21" s="1"/>
  <c r="J259" i="21"/>
  <c r="K259" i="21" s="1"/>
  <c r="J286" i="21"/>
  <c r="K286" i="21" s="1"/>
  <c r="J288" i="21"/>
  <c r="K288" i="21" s="1"/>
  <c r="Y83" i="55" s="1"/>
  <c r="J305" i="21"/>
  <c r="K305" i="21" s="1"/>
  <c r="AT486" i="55"/>
  <c r="AT476" i="55"/>
  <c r="AT475" i="55"/>
  <c r="AT474" i="55"/>
  <c r="AT473" i="55"/>
  <c r="AT472" i="55"/>
  <c r="AT471" i="55"/>
  <c r="AT470" i="55"/>
  <c r="AT469" i="55"/>
  <c r="AT468" i="55"/>
  <c r="AT457" i="55"/>
  <c r="AT451" i="55"/>
  <c r="AT439" i="55"/>
  <c r="J277" i="54"/>
  <c r="J351" i="54"/>
  <c r="J103" i="54"/>
  <c r="J311" i="54"/>
  <c r="J320" i="54"/>
  <c r="J216" i="54"/>
  <c r="J269" i="54"/>
  <c r="J301" i="54"/>
  <c r="J350" i="54"/>
  <c r="J316" i="54"/>
  <c r="J271" i="54"/>
  <c r="J274" i="54"/>
  <c r="J352" i="54"/>
  <c r="J318" i="54"/>
  <c r="J250" i="54"/>
  <c r="J364" i="54"/>
  <c r="J353" i="54"/>
  <c r="J331" i="54"/>
  <c r="J336" i="54"/>
  <c r="J36" i="54"/>
  <c r="J272" i="54"/>
  <c r="J302" i="54"/>
  <c r="J288" i="54"/>
  <c r="J372" i="54"/>
  <c r="J324" i="54"/>
  <c r="J85" i="54"/>
  <c r="J361" i="54"/>
  <c r="J284" i="54"/>
  <c r="J349" i="54"/>
  <c r="J374" i="54"/>
  <c r="J287" i="54"/>
  <c r="J342" i="54"/>
  <c r="J132" i="54"/>
  <c r="J333" i="54"/>
  <c r="J377" i="54"/>
  <c r="J314" i="54"/>
  <c r="J319" i="54"/>
  <c r="J384" i="54"/>
  <c r="J323" i="54"/>
  <c r="J332" i="54"/>
  <c r="J337" i="54"/>
  <c r="J267" i="54"/>
  <c r="J312" i="54"/>
  <c r="J381" i="54"/>
  <c r="J383" i="54"/>
  <c r="J260" i="54"/>
  <c r="J354" i="54"/>
  <c r="J278" i="54"/>
  <c r="J388" i="54"/>
  <c r="J281" i="54"/>
  <c r="J334" i="54"/>
  <c r="J8" i="21"/>
  <c r="K8" i="21" s="1"/>
  <c r="J321" i="54"/>
  <c r="J386" i="54"/>
  <c r="J35" i="54"/>
  <c r="J282" i="54"/>
  <c r="J315" i="54"/>
  <c r="J305" i="54"/>
  <c r="J366" i="54"/>
  <c r="J153" i="54"/>
  <c r="J385" i="54"/>
  <c r="J345" i="54"/>
  <c r="J152" i="54"/>
  <c r="J261" i="54"/>
  <c r="J347" i="54"/>
  <c r="J375" i="54"/>
  <c r="J358" i="54"/>
  <c r="J348" i="54"/>
  <c r="J263" i="54"/>
  <c r="J104" i="54"/>
  <c r="J325" i="54"/>
  <c r="J369" i="54"/>
  <c r="J306" i="54"/>
  <c r="J295" i="54"/>
  <c r="J259" i="54"/>
  <c r="J355" i="54"/>
  <c r="J313" i="54"/>
  <c r="J290" i="54"/>
  <c r="J251" i="54"/>
  <c r="J304" i="54"/>
  <c r="J296" i="54"/>
  <c r="J363" i="54"/>
  <c r="J339" i="54"/>
  <c r="J344" i="54"/>
  <c r="J60" i="54"/>
  <c r="J276" i="54"/>
  <c r="J310" i="54"/>
  <c r="J167" i="54"/>
  <c r="J380" i="54"/>
  <c r="J317" i="54"/>
  <c r="J368" i="54"/>
  <c r="J299" i="54"/>
  <c r="J291" i="54"/>
  <c r="J300" i="54"/>
  <c r="J266" i="54"/>
  <c r="J359" i="54"/>
  <c r="J338" i="54"/>
  <c r="J379" i="54"/>
  <c r="J362" i="54"/>
  <c r="J327" i="54"/>
  <c r="J279" i="54"/>
  <c r="J84" i="54"/>
  <c r="J360" i="54"/>
  <c r="J330" i="54"/>
  <c r="J340" i="54"/>
  <c r="J59" i="54"/>
  <c r="J273" i="54"/>
  <c r="J303" i="54"/>
  <c r="J293" i="54"/>
  <c r="J373" i="54"/>
  <c r="J378" i="54"/>
  <c r="J292" i="54"/>
  <c r="J343" i="54"/>
  <c r="AF27" i="10"/>
  <c r="E14" i="9" s="1"/>
  <c r="J20" i="21"/>
  <c r="K20" i="21" s="1"/>
  <c r="Y659" i="55" s="1"/>
  <c r="J281" i="21"/>
  <c r="K281" i="21" s="1"/>
  <c r="Y121" i="55" s="1"/>
  <c r="J10" i="21"/>
  <c r="K10" i="21" s="1"/>
  <c r="J29" i="21"/>
  <c r="K29" i="21" s="1"/>
  <c r="AT851" i="55"/>
  <c r="AT850" i="55"/>
  <c r="AT849" i="55"/>
  <c r="AT848" i="55"/>
  <c r="AT840" i="55"/>
  <c r="AT839" i="55"/>
  <c r="AT838" i="55"/>
  <c r="AT831" i="55"/>
  <c r="AT830" i="55"/>
  <c r="AT829" i="55"/>
  <c r="AT828" i="55"/>
  <c r="AT821" i="55"/>
  <c r="AT820" i="55"/>
  <c r="AT819" i="55"/>
  <c r="AT818" i="55"/>
  <c r="AT817" i="55"/>
  <c r="AT816" i="55"/>
  <c r="AT815" i="55"/>
  <c r="AT814" i="55"/>
  <c r="AT813" i="55"/>
  <c r="AT812" i="55"/>
  <c r="AT811" i="55"/>
  <c r="AT810" i="55"/>
  <c r="AT809" i="55"/>
  <c r="AT808" i="55"/>
  <c r="AT807" i="55"/>
  <c r="AT785" i="55"/>
  <c r="AT784" i="55"/>
  <c r="AT783" i="55"/>
  <c r="AT782" i="55"/>
  <c r="AT781" i="55"/>
  <c r="AT780" i="55"/>
  <c r="AT777" i="55"/>
  <c r="AT765" i="55"/>
  <c r="AT764" i="55"/>
  <c r="AT763" i="55"/>
  <c r="AT761" i="55"/>
  <c r="AT760" i="55"/>
  <c r="AT759" i="55"/>
  <c r="AT758" i="55"/>
  <c r="AT757" i="55"/>
  <c r="AT756" i="55"/>
  <c r="AT755" i="55"/>
  <c r="AT754" i="55"/>
  <c r="AT753" i="55"/>
  <c r="AT752" i="55"/>
  <c r="AT751" i="55"/>
  <c r="AT749" i="55"/>
  <c r="AT740" i="55"/>
  <c r="AT739" i="55"/>
  <c r="J277" i="21"/>
  <c r="K277" i="21" s="1"/>
  <c r="J311" i="21"/>
  <c r="K311" i="21" s="1"/>
  <c r="Y395" i="55" s="1"/>
  <c r="J323" i="21"/>
  <c r="K323" i="21" s="1"/>
  <c r="W823" i="55" s="1"/>
  <c r="AE823" i="55" s="1"/>
  <c r="J325" i="21"/>
  <c r="K325" i="21" s="1"/>
  <c r="W824" i="55" s="1"/>
  <c r="AE824" i="55" s="1"/>
  <c r="J334" i="21"/>
  <c r="K334" i="21" s="1"/>
  <c r="J336" i="21"/>
  <c r="K336" i="21" s="1"/>
  <c r="W834" i="55" s="1"/>
  <c r="AE834" i="55" s="1"/>
  <c r="K29" i="19"/>
  <c r="D13" i="50"/>
  <c r="Z205" i="19"/>
  <c r="AF205" i="19"/>
  <c r="S218" i="55"/>
  <c r="S213" i="55"/>
  <c r="S217" i="55"/>
  <c r="J23" i="21"/>
  <c r="K23" i="21" s="1"/>
  <c r="AT843" i="55"/>
  <c r="AT835" i="55"/>
  <c r="AT826" i="55"/>
  <c r="AT823" i="55"/>
  <c r="AT803" i="55"/>
  <c r="AT799" i="55"/>
  <c r="AT796" i="55"/>
  <c r="AT795" i="55"/>
  <c r="AT794" i="55"/>
  <c r="AT792" i="55"/>
  <c r="AT787" i="55"/>
  <c r="AT775" i="55"/>
  <c r="AT774" i="55"/>
  <c r="AT770" i="55"/>
  <c r="AT769" i="55"/>
  <c r="AT768" i="55"/>
  <c r="AT767" i="55"/>
  <c r="AT746" i="55"/>
  <c r="J263" i="21"/>
  <c r="K263" i="21" s="1"/>
  <c r="J279" i="21"/>
  <c r="K279" i="21" s="1"/>
  <c r="J129" i="21"/>
  <c r="K129" i="21" s="1"/>
  <c r="J310" i="21"/>
  <c r="K310" i="21" s="1"/>
  <c r="J312" i="21"/>
  <c r="K312" i="21" s="1"/>
  <c r="Y405" i="55" s="1"/>
  <c r="J324" i="21"/>
  <c r="K324" i="21" s="1"/>
  <c r="W825" i="55" s="1"/>
  <c r="AE825" i="55" s="1"/>
  <c r="J326" i="21"/>
  <c r="K326" i="21" s="1"/>
  <c r="V826" i="55" s="1"/>
  <c r="AE826" i="55" s="1"/>
  <c r="J333" i="21"/>
  <c r="K333" i="21" s="1"/>
  <c r="J335" i="21"/>
  <c r="K335" i="21" s="1"/>
  <c r="W835" i="55" s="1"/>
  <c r="AE835" i="55" s="1"/>
  <c r="J337" i="21"/>
  <c r="K337" i="21" s="1"/>
  <c r="V836" i="55" s="1"/>
  <c r="AE836" i="55" s="1"/>
  <c r="W205" i="19"/>
  <c r="AC205" i="19"/>
  <c r="K203" i="19"/>
  <c r="D18" i="50"/>
  <c r="N125" i="19"/>
  <c r="J11" i="21"/>
  <c r="K11" i="21" s="1"/>
  <c r="J27" i="21"/>
  <c r="K27" i="21" s="1"/>
  <c r="AT738" i="55"/>
  <c r="AT737" i="55"/>
  <c r="AT736" i="55"/>
  <c r="AT727" i="55"/>
  <c r="AT726" i="55"/>
  <c r="AT725" i="55"/>
  <c r="AT724" i="55"/>
  <c r="AT719" i="55"/>
  <c r="AT710" i="55"/>
  <c r="AT696" i="55"/>
  <c r="AT695" i="55"/>
  <c r="AT694" i="55"/>
  <c r="AT693" i="55"/>
  <c r="AT692" i="55"/>
  <c r="AT691" i="55"/>
  <c r="AT685" i="55"/>
  <c r="AT684" i="55"/>
  <c r="AT680" i="55"/>
  <c r="AT679" i="55"/>
  <c r="AT678" i="55"/>
  <c r="AT676" i="55"/>
  <c r="AT675" i="55"/>
  <c r="AT674" i="55"/>
  <c r="AT673" i="55"/>
  <c r="AT672" i="55"/>
  <c r="AT671" i="55"/>
  <c r="AT652" i="55"/>
  <c r="AT646" i="55"/>
  <c r="AT643" i="55"/>
  <c r="AT640" i="55"/>
  <c r="AT626" i="55"/>
  <c r="AT616" i="55"/>
  <c r="AT615" i="55"/>
  <c r="AT614" i="55"/>
  <c r="AT613" i="55"/>
  <c r="AT609" i="55"/>
  <c r="AT608" i="55"/>
  <c r="AT583" i="55"/>
  <c r="AT577" i="55"/>
  <c r="AT576" i="55"/>
  <c r="AT564" i="55"/>
  <c r="AT563" i="55"/>
  <c r="AT531" i="55"/>
  <c r="AT530" i="55"/>
  <c r="AT525" i="55"/>
  <c r="AT522" i="55"/>
  <c r="AT517" i="55"/>
  <c r="AT508" i="55"/>
  <c r="AT497" i="55"/>
  <c r="AT484" i="55"/>
  <c r="AT483" i="55"/>
  <c r="AT465" i="55"/>
  <c r="AT464" i="55"/>
  <c r="AT459" i="55"/>
  <c r="AT455" i="55"/>
  <c r="AT454" i="55"/>
  <c r="AT447" i="55"/>
  <c r="AT435" i="55"/>
  <c r="AT430" i="55"/>
  <c r="AT425" i="55"/>
  <c r="AT424" i="55"/>
  <c r="AT418" i="55"/>
  <c r="AT415" i="55"/>
  <c r="AT399" i="55"/>
  <c r="I249" i="21"/>
  <c r="I270" i="21"/>
  <c r="I298" i="21"/>
  <c r="I302" i="21"/>
  <c r="I356" i="21"/>
  <c r="I364" i="21"/>
  <c r="I365" i="21"/>
  <c r="I376" i="21"/>
  <c r="I381" i="21"/>
  <c r="I388" i="21"/>
  <c r="D27" i="10"/>
  <c r="C4" i="9" s="1"/>
  <c r="S42" i="55" s="1"/>
  <c r="J27" i="10"/>
  <c r="C5" i="9" s="1"/>
  <c r="S67" i="55" s="1"/>
  <c r="Q27" i="10"/>
  <c r="E7" i="9" s="1"/>
  <c r="U27" i="10"/>
  <c r="E10" i="9" s="1"/>
  <c r="J252" i="21"/>
  <c r="K252" i="21" s="1"/>
  <c r="O27" i="10"/>
  <c r="E6" i="9" s="1"/>
  <c r="E27" i="11"/>
  <c r="D21" i="9" s="1"/>
  <c r="O22" i="56"/>
  <c r="L22" i="56"/>
  <c r="M22" i="56"/>
  <c r="N22" i="56"/>
  <c r="J22" i="56"/>
  <c r="O17" i="56"/>
  <c r="L17" i="56"/>
  <c r="M17" i="56"/>
  <c r="N17" i="56"/>
  <c r="J17" i="56"/>
  <c r="O13" i="56"/>
  <c r="L13" i="56"/>
  <c r="M13" i="56"/>
  <c r="N13" i="56"/>
  <c r="J13" i="56"/>
  <c r="O9" i="56"/>
  <c r="L9" i="56"/>
  <c r="M9" i="56"/>
  <c r="N9" i="56"/>
  <c r="J9" i="56"/>
  <c r="AT745" i="55"/>
  <c r="AT742" i="55"/>
  <c r="AT733" i="55"/>
  <c r="AT731" i="55"/>
  <c r="AT730" i="55"/>
  <c r="AT729" i="55"/>
  <c r="AT721" i="55"/>
  <c r="AT717" i="55"/>
  <c r="AT716" i="55"/>
  <c r="AT715" i="55"/>
  <c r="AT701" i="55"/>
  <c r="AT688" i="55"/>
  <c r="AT669" i="55"/>
  <c r="AT668" i="55"/>
  <c r="AT667" i="55"/>
  <c r="AT663" i="55"/>
  <c r="AT662" i="55"/>
  <c r="AT661" i="55"/>
  <c r="AT660" i="55"/>
  <c r="AT659" i="55"/>
  <c r="AT655" i="55"/>
  <c r="AT635" i="55"/>
  <c r="AT634" i="55"/>
  <c r="AT624" i="55"/>
  <c r="AT623" i="55"/>
  <c r="AT605" i="55"/>
  <c r="AT604" i="55"/>
  <c r="AT591" i="55"/>
  <c r="AT587" i="55"/>
  <c r="AT586" i="55"/>
  <c r="AT585" i="55"/>
  <c r="AT556" i="55"/>
  <c r="AT555" i="55"/>
  <c r="AT554" i="55"/>
  <c r="AT553" i="55"/>
  <c r="AT552" i="55"/>
  <c r="AT547" i="55"/>
  <c r="AT545" i="55"/>
  <c r="AT544" i="55"/>
  <c r="AT543" i="55"/>
  <c r="AT542" i="55"/>
  <c r="AT540" i="55"/>
  <c r="AT537" i="55"/>
  <c r="AT536" i="55"/>
  <c r="AT534" i="55"/>
  <c r="AT533" i="55"/>
  <c r="AT519" i="55"/>
  <c r="AT513" i="55"/>
  <c r="AT512" i="55"/>
  <c r="AT506" i="55"/>
  <c r="AT504" i="55"/>
  <c r="AT503" i="55"/>
  <c r="AT502" i="55"/>
  <c r="AT500" i="55"/>
  <c r="AT437" i="55"/>
  <c r="AT397" i="55"/>
  <c r="I248" i="21"/>
  <c r="I264" i="21"/>
  <c r="I268" i="21"/>
  <c r="I303" i="21"/>
  <c r="I354" i="21"/>
  <c r="I355" i="21"/>
  <c r="I366" i="21"/>
  <c r="I374" i="21"/>
  <c r="I375" i="21"/>
  <c r="P27" i="10"/>
  <c r="C7" i="9" s="1"/>
  <c r="V27" i="10"/>
  <c r="C11" i="9" s="1"/>
  <c r="Y27" i="10"/>
  <c r="C12" i="9" s="1"/>
  <c r="H27" i="10"/>
  <c r="D9" i="9" s="1"/>
  <c r="S240" i="55" s="1"/>
  <c r="AE27" i="10"/>
  <c r="D14" i="9" s="1"/>
  <c r="I256" i="21"/>
  <c r="I275" i="21"/>
  <c r="I282" i="21"/>
  <c r="I360" i="21"/>
  <c r="I361" i="21"/>
  <c r="I384" i="21"/>
  <c r="M27" i="10"/>
  <c r="C6" i="9" s="1"/>
  <c r="AC27" i="10"/>
  <c r="E13" i="9" s="1"/>
  <c r="R27" i="11"/>
  <c r="C18" i="9" s="1"/>
  <c r="S383" i="55" s="1"/>
  <c r="F27" i="11"/>
  <c r="C22" i="9" s="1"/>
  <c r="P27" i="11"/>
  <c r="C27" i="9" s="1"/>
  <c r="O27" i="11"/>
  <c r="D26" i="9" s="1"/>
  <c r="O24" i="56"/>
  <c r="N24" i="56"/>
  <c r="J24" i="56"/>
  <c r="K24" i="56"/>
  <c r="L24" i="56"/>
  <c r="O19" i="56"/>
  <c r="N19" i="56"/>
  <c r="J19" i="56"/>
  <c r="K19" i="56"/>
  <c r="L19" i="56"/>
  <c r="O15" i="56"/>
  <c r="N15" i="56"/>
  <c r="J15" i="56"/>
  <c r="K15" i="56"/>
  <c r="L15" i="56"/>
  <c r="O11" i="56"/>
  <c r="N11" i="56"/>
  <c r="J11" i="56"/>
  <c r="K11" i="56"/>
  <c r="L11" i="56"/>
  <c r="O7" i="56"/>
  <c r="N7" i="56"/>
  <c r="J7" i="56"/>
  <c r="D27" i="56" s="1"/>
  <c r="C31" i="9" s="1"/>
  <c r="S824" i="55" s="1"/>
  <c r="K7" i="56"/>
  <c r="L7" i="56"/>
  <c r="F27" i="56" s="1"/>
  <c r="C33" i="9" s="1"/>
  <c r="S835" i="55" s="1"/>
  <c r="T483" i="55"/>
  <c r="AE483" i="55" s="1"/>
  <c r="T550" i="55"/>
  <c r="AE550" i="55" s="1"/>
  <c r="T627" i="55"/>
  <c r="AE627" i="55" s="1"/>
  <c r="T689" i="55"/>
  <c r="AE689" i="55" s="1"/>
  <c r="I16" i="21"/>
  <c r="I14" i="21"/>
  <c r="I207" i="21"/>
  <c r="I371" i="21"/>
  <c r="I379" i="21"/>
  <c r="I380" i="21"/>
  <c r="G27" i="10"/>
  <c r="C9" i="9" s="1"/>
  <c r="S114" i="55" s="1"/>
  <c r="S27" i="10"/>
  <c r="C10" i="9" s="1"/>
  <c r="S117" i="55" s="1"/>
  <c r="Z27" i="10"/>
  <c r="E12" i="9" s="1"/>
  <c r="K25" i="56"/>
  <c r="K20" i="56"/>
  <c r="K16" i="56"/>
  <c r="K12" i="56"/>
  <c r="K8" i="56"/>
  <c r="M23" i="56"/>
  <c r="M18" i="56"/>
  <c r="M14" i="56"/>
  <c r="M10" i="56"/>
  <c r="M6" i="56"/>
  <c r="T57" i="55"/>
  <c r="AE57" i="55" s="1"/>
  <c r="T551" i="55"/>
  <c r="AE551" i="55" s="1"/>
  <c r="T640" i="55"/>
  <c r="AE640" i="55" s="1"/>
  <c r="T652" i="55"/>
  <c r="AE652" i="55" s="1"/>
  <c r="T719" i="55"/>
  <c r="AE719" i="55" s="1"/>
  <c r="AH22" i="11"/>
  <c r="AH15" i="11"/>
  <c r="AH10" i="11"/>
  <c r="AK24" i="11"/>
  <c r="AK18" i="11"/>
  <c r="AK13" i="11"/>
  <c r="AK7" i="11"/>
  <c r="I24" i="21"/>
  <c r="J24" i="21" s="1"/>
  <c r="I385" i="21"/>
  <c r="AD27" i="10"/>
  <c r="C14" i="9" s="1"/>
  <c r="W27" i="10"/>
  <c r="D11" i="9" s="1"/>
  <c r="S249" i="55" s="1"/>
  <c r="I27" i="10"/>
  <c r="E9" i="9" s="1"/>
  <c r="S354" i="55" s="1"/>
  <c r="S27" i="11"/>
  <c r="C19" i="9" s="1"/>
  <c r="D27" i="11"/>
  <c r="C21" i="9" s="1"/>
  <c r="S427" i="55" s="1"/>
  <c r="K27" i="11"/>
  <c r="C24" i="9" s="1"/>
  <c r="T79" i="55"/>
  <c r="AE79" i="55" s="1"/>
  <c r="T688" i="55"/>
  <c r="AE688" i="55" s="1"/>
  <c r="I27" i="11"/>
  <c r="D23" i="9" s="1"/>
  <c r="I21" i="21"/>
  <c r="I19" i="21"/>
  <c r="I15" i="21"/>
  <c r="AT846" i="55"/>
  <c r="AT845" i="55"/>
  <c r="AT844" i="55"/>
  <c r="AT836" i="55"/>
  <c r="AT834" i="55"/>
  <c r="AT833" i="55"/>
  <c r="AT825" i="55"/>
  <c r="AT824" i="55"/>
  <c r="AT802" i="55"/>
  <c r="AT798" i="55"/>
  <c r="AT797" i="55"/>
  <c r="AT793" i="55"/>
  <c r="AT789" i="55"/>
  <c r="AT788" i="55"/>
  <c r="AT601" i="55"/>
  <c r="AT366" i="55"/>
  <c r="AT290" i="55"/>
  <c r="J45" i="21"/>
  <c r="K45" i="21" s="1"/>
  <c r="J320" i="21"/>
  <c r="K320" i="21" s="1"/>
  <c r="J273" i="21"/>
  <c r="K273" i="21" s="1"/>
  <c r="J204" i="21"/>
  <c r="K204" i="21" s="1"/>
  <c r="X603" i="55" s="1"/>
  <c r="J155" i="21"/>
  <c r="K155" i="21" s="1"/>
  <c r="J71" i="21"/>
  <c r="K71" i="21" s="1"/>
  <c r="J125" i="21"/>
  <c r="K125" i="21" s="1"/>
  <c r="J214" i="21"/>
  <c r="K214" i="21" s="1"/>
  <c r="Y153" i="55" s="1"/>
  <c r="W212" i="55"/>
  <c r="AE212" i="55" s="1"/>
  <c r="J62" i="21"/>
  <c r="K62" i="21" s="1"/>
  <c r="Y399" i="55" s="1"/>
  <c r="J193" i="21"/>
  <c r="K193" i="21" s="1"/>
  <c r="J237" i="21"/>
  <c r="K237" i="21" s="1"/>
  <c r="J39" i="21"/>
  <c r="K39" i="21" s="1"/>
  <c r="W166" i="55"/>
  <c r="AE166" i="55" s="1"/>
  <c r="J294" i="21"/>
  <c r="K294" i="21" s="1"/>
  <c r="V593" i="55" s="1"/>
  <c r="AE593" i="55" s="1"/>
  <c r="J208" i="21"/>
  <c r="K208" i="21" s="1"/>
  <c r="J172" i="21"/>
  <c r="K172" i="21" s="1"/>
  <c r="W801" i="55" s="1"/>
  <c r="AE801" i="55" s="1"/>
  <c r="J72" i="21"/>
  <c r="K72" i="21" s="1"/>
  <c r="S69" i="55"/>
  <c r="S61" i="55"/>
  <c r="S53" i="55"/>
  <c r="S68" i="55"/>
  <c r="S60" i="55"/>
  <c r="S52" i="55"/>
  <c r="S168" i="55"/>
  <c r="S166" i="55"/>
  <c r="S164" i="55"/>
  <c r="S162" i="55"/>
  <c r="S160" i="55"/>
  <c r="S158" i="55"/>
  <c r="S156" i="55"/>
  <c r="S154" i="55"/>
  <c r="S152" i="55"/>
  <c r="S169" i="55"/>
  <c r="S167" i="55"/>
  <c r="S165" i="55"/>
  <c r="S163" i="55"/>
  <c r="S161" i="55"/>
  <c r="S159" i="55"/>
  <c r="S157" i="55"/>
  <c r="S155" i="55"/>
  <c r="S153" i="55"/>
  <c r="S243" i="55"/>
  <c r="S242" i="55"/>
  <c r="S241" i="55"/>
  <c r="J289" i="21"/>
  <c r="K289" i="21" s="1"/>
  <c r="W594" i="55" s="1"/>
  <c r="AE594" i="55" s="1"/>
  <c r="J262" i="21"/>
  <c r="K262" i="21" s="1"/>
  <c r="V799" i="55" s="1"/>
  <c r="J258" i="21"/>
  <c r="K258" i="21" s="1"/>
  <c r="V790" i="55" s="1"/>
  <c r="J261" i="21"/>
  <c r="K261" i="21" s="1"/>
  <c r="J274" i="21"/>
  <c r="K274" i="21" s="1"/>
  <c r="J293" i="21"/>
  <c r="K293" i="21" s="1"/>
  <c r="J318" i="21"/>
  <c r="K318" i="21" s="1"/>
  <c r="J328" i="21"/>
  <c r="K328" i="21" s="1"/>
  <c r="W828" i="55" s="1"/>
  <c r="AE828" i="55" s="1"/>
  <c r="J330" i="21"/>
  <c r="K330" i="21" s="1"/>
  <c r="W829" i="55" s="1"/>
  <c r="AE829" i="55" s="1"/>
  <c r="J339" i="21"/>
  <c r="K339" i="21" s="1"/>
  <c r="J341" i="21"/>
  <c r="K341" i="21" s="1"/>
  <c r="W839" i="55" s="1"/>
  <c r="AE839" i="55" s="1"/>
  <c r="J350" i="21"/>
  <c r="K350" i="21" s="1"/>
  <c r="W850" i="55" s="1"/>
  <c r="AE850" i="55" s="1"/>
  <c r="J352" i="21"/>
  <c r="K352" i="21" s="1"/>
  <c r="V851" i="55" s="1"/>
  <c r="AE851" i="55" s="1"/>
  <c r="S95" i="55"/>
  <c r="S93" i="55"/>
  <c r="S91" i="55"/>
  <c r="S89" i="55"/>
  <c r="S87" i="55"/>
  <c r="S85" i="55"/>
  <c r="S83" i="55"/>
  <c r="S81" i="55"/>
  <c r="S79" i="55"/>
  <c r="S77" i="55"/>
  <c r="S75" i="55"/>
  <c r="S73" i="55"/>
  <c r="S71" i="55"/>
  <c r="S96" i="55"/>
  <c r="S94" i="55"/>
  <c r="S92" i="55"/>
  <c r="S90" i="55"/>
  <c r="S88" i="55"/>
  <c r="S86" i="55"/>
  <c r="S84" i="55"/>
  <c r="S82" i="55"/>
  <c r="S80" i="55"/>
  <c r="S78" i="55"/>
  <c r="S76" i="55"/>
  <c r="S74" i="55"/>
  <c r="S72" i="55"/>
  <c r="S119" i="55"/>
  <c r="S120" i="55"/>
  <c r="S37" i="55"/>
  <c r="S21" i="55"/>
  <c r="S193" i="55"/>
  <c r="S191" i="55"/>
  <c r="S189" i="55"/>
  <c r="S187" i="55"/>
  <c r="S185" i="55"/>
  <c r="S183" i="55"/>
  <c r="S181" i="55"/>
  <c r="S179" i="55"/>
  <c r="S177" i="55"/>
  <c r="S175" i="55"/>
  <c r="S173" i="55"/>
  <c r="S171" i="55"/>
  <c r="S192" i="55"/>
  <c r="S190" i="55"/>
  <c r="S188" i="55"/>
  <c r="S186" i="55"/>
  <c r="S184" i="55"/>
  <c r="S182" i="55"/>
  <c r="S180" i="55"/>
  <c r="S178" i="55"/>
  <c r="S176" i="55"/>
  <c r="S174" i="55"/>
  <c r="S172" i="55"/>
  <c r="J269" i="21"/>
  <c r="K269" i="21" s="1"/>
  <c r="J300" i="21"/>
  <c r="K300" i="21" s="1"/>
  <c r="W389" i="55" s="1"/>
  <c r="AE389" i="55" s="1"/>
  <c r="J308" i="21"/>
  <c r="K308" i="21" s="1"/>
  <c r="J329" i="21"/>
  <c r="K329" i="21" s="1"/>
  <c r="W830" i="55" s="1"/>
  <c r="AE830" i="55" s="1"/>
  <c r="J331" i="21"/>
  <c r="K331" i="21" s="1"/>
  <c r="V831" i="55" s="1"/>
  <c r="AE831" i="55" s="1"/>
  <c r="J340" i="21"/>
  <c r="K340" i="21" s="1"/>
  <c r="W840" i="55" s="1"/>
  <c r="AE840" i="55" s="1"/>
  <c r="J342" i="21"/>
  <c r="K342" i="21" s="1"/>
  <c r="J349" i="21"/>
  <c r="K349" i="21" s="1"/>
  <c r="W848" i="55" s="1"/>
  <c r="AE848" i="55" s="1"/>
  <c r="J351" i="21"/>
  <c r="K351" i="21" s="1"/>
  <c r="W849" i="55" s="1"/>
  <c r="AE849" i="55" s="1"/>
  <c r="S106" i="55"/>
  <c r="S104" i="55"/>
  <c r="S102" i="55"/>
  <c r="S100" i="55"/>
  <c r="S98" i="55"/>
  <c r="S107" i="55"/>
  <c r="S105" i="55"/>
  <c r="S103" i="55"/>
  <c r="S101" i="55"/>
  <c r="S99" i="55"/>
  <c r="S139" i="55"/>
  <c r="S137" i="55"/>
  <c r="S135" i="55"/>
  <c r="S133" i="55"/>
  <c r="S131" i="55"/>
  <c r="S129" i="55"/>
  <c r="S127" i="55"/>
  <c r="S138" i="55"/>
  <c r="S136" i="55"/>
  <c r="S134" i="55"/>
  <c r="S132" i="55"/>
  <c r="S130" i="55"/>
  <c r="S128" i="55"/>
  <c r="S126" i="55"/>
  <c r="S150" i="55"/>
  <c r="S148" i="55"/>
  <c r="S146" i="55"/>
  <c r="S144" i="55"/>
  <c r="S142" i="55"/>
  <c r="S149" i="55"/>
  <c r="S147" i="55"/>
  <c r="S145" i="55"/>
  <c r="S143" i="55"/>
  <c r="S141" i="55"/>
  <c r="E27" i="10"/>
  <c r="D4" i="9" s="1"/>
  <c r="S215" i="55"/>
  <c r="S219" i="55"/>
  <c r="N27" i="10"/>
  <c r="D6" i="9" s="1"/>
  <c r="F27" i="10"/>
  <c r="E4" i="9" s="1"/>
  <c r="S344" i="55"/>
  <c r="S342" i="55"/>
  <c r="S340" i="55"/>
  <c r="S338" i="55"/>
  <c r="S343" i="55"/>
  <c r="S341" i="55"/>
  <c r="S339" i="55"/>
  <c r="S385" i="55"/>
  <c r="S460" i="55"/>
  <c r="S456" i="55"/>
  <c r="S452" i="55"/>
  <c r="S448" i="55"/>
  <c r="S444" i="55"/>
  <c r="S442" i="55"/>
  <c r="S440" i="55"/>
  <c r="S438" i="55"/>
  <c r="S436" i="55"/>
  <c r="S459" i="55"/>
  <c r="S455" i="55"/>
  <c r="S451" i="55"/>
  <c r="S447" i="55"/>
  <c r="S458" i="55"/>
  <c r="S454" i="55"/>
  <c r="S450" i="55"/>
  <c r="S446" i="55"/>
  <c r="S443" i="55"/>
  <c r="S441" i="55"/>
  <c r="S439" i="55"/>
  <c r="S437" i="55"/>
  <c r="S435" i="55"/>
  <c r="S461" i="55"/>
  <c r="S457" i="55"/>
  <c r="S453" i="55"/>
  <c r="S449" i="55"/>
  <c r="S445" i="55"/>
  <c r="J17" i="21"/>
  <c r="K17" i="21" s="1"/>
  <c r="N256" i="19"/>
  <c r="N222" i="19"/>
  <c r="S212" i="55"/>
  <c r="S216" i="55"/>
  <c r="S220" i="55"/>
  <c r="T27" i="10"/>
  <c r="D10" i="9" s="1"/>
  <c r="S323" i="55"/>
  <c r="S321" i="55"/>
  <c r="S319" i="55"/>
  <c r="S317" i="55"/>
  <c r="S315" i="55"/>
  <c r="S313" i="55"/>
  <c r="S311" i="55"/>
  <c r="S309" i="55"/>
  <c r="S307" i="55"/>
  <c r="S322" i="55"/>
  <c r="S320" i="55"/>
  <c r="S318" i="55"/>
  <c r="S316" i="55"/>
  <c r="S314" i="55"/>
  <c r="S312" i="55"/>
  <c r="S310" i="55"/>
  <c r="S308" i="55"/>
  <c r="S377" i="55"/>
  <c r="S375" i="55"/>
  <c r="S376" i="55"/>
  <c r="S374" i="55"/>
  <c r="S356" i="55"/>
  <c r="S348" i="55"/>
  <c r="S355" i="55"/>
  <c r="S347" i="55"/>
  <c r="S380" i="55"/>
  <c r="S381" i="55"/>
  <c r="S379" i="55"/>
  <c r="S405" i="55"/>
  <c r="S403" i="55"/>
  <c r="S401" i="55"/>
  <c r="S399" i="55"/>
  <c r="S397" i="55"/>
  <c r="S395" i="55"/>
  <c r="S393" i="55"/>
  <c r="S391" i="55"/>
  <c r="S389" i="55"/>
  <c r="S404" i="55"/>
  <c r="S402" i="55"/>
  <c r="S400" i="55"/>
  <c r="S398" i="55"/>
  <c r="S396" i="55"/>
  <c r="S394" i="55"/>
  <c r="S392" i="55"/>
  <c r="S390" i="55"/>
  <c r="S388" i="55"/>
  <c r="S431" i="55"/>
  <c r="S429" i="55"/>
  <c r="S425" i="55"/>
  <c r="S423" i="55"/>
  <c r="S421" i="55"/>
  <c r="S419" i="55"/>
  <c r="S417" i="55"/>
  <c r="S415" i="55"/>
  <c r="S413" i="55"/>
  <c r="S411" i="55"/>
  <c r="S409" i="55"/>
  <c r="S407" i="55"/>
  <c r="S432" i="55"/>
  <c r="S430" i="55"/>
  <c r="S428" i="55"/>
  <c r="S426" i="55"/>
  <c r="S424" i="55"/>
  <c r="S422" i="55"/>
  <c r="S420" i="55"/>
  <c r="S418" i="55"/>
  <c r="S416" i="55"/>
  <c r="S414" i="55"/>
  <c r="S412" i="55"/>
  <c r="S410" i="55"/>
  <c r="S408" i="55"/>
  <c r="S586" i="55"/>
  <c r="S582" i="55"/>
  <c r="S578" i="55"/>
  <c r="S574" i="55"/>
  <c r="S570" i="55"/>
  <c r="S566" i="55"/>
  <c r="S562" i="55"/>
  <c r="S558" i="55"/>
  <c r="S554" i="55"/>
  <c r="S550" i="55"/>
  <c r="S546" i="55"/>
  <c r="S542" i="55"/>
  <c r="S538" i="55"/>
  <c r="S534" i="55"/>
  <c r="S530" i="55"/>
  <c r="S585" i="55"/>
  <c r="S581" i="55"/>
  <c r="S577" i="55"/>
  <c r="S573" i="55"/>
  <c r="S569" i="55"/>
  <c r="S565" i="55"/>
  <c r="S561" i="55"/>
  <c r="S557" i="55"/>
  <c r="S553" i="55"/>
  <c r="S549" i="55"/>
  <c r="S545" i="55"/>
  <c r="S541" i="55"/>
  <c r="S537" i="55"/>
  <c r="S533" i="55"/>
  <c r="S529" i="55"/>
  <c r="S588" i="55"/>
  <c r="S584" i="55"/>
  <c r="S580" i="55"/>
  <c r="S576" i="55"/>
  <c r="S572" i="55"/>
  <c r="S568" i="55"/>
  <c r="S564" i="55"/>
  <c r="S560" i="55"/>
  <c r="S556" i="55"/>
  <c r="S552" i="55"/>
  <c r="S548" i="55"/>
  <c r="S544" i="55"/>
  <c r="S540" i="55"/>
  <c r="S536" i="55"/>
  <c r="S532" i="55"/>
  <c r="S528" i="55"/>
  <c r="S587" i="55"/>
  <c r="S583" i="55"/>
  <c r="S579" i="55"/>
  <c r="S575" i="55"/>
  <c r="S571" i="55"/>
  <c r="S567" i="55"/>
  <c r="S563" i="55"/>
  <c r="S559" i="55"/>
  <c r="S555" i="55"/>
  <c r="S551" i="55"/>
  <c r="S547" i="55"/>
  <c r="S543" i="55"/>
  <c r="S539" i="55"/>
  <c r="S535" i="55"/>
  <c r="S531" i="55"/>
  <c r="J22" i="21"/>
  <c r="K22" i="21" s="1"/>
  <c r="J28" i="21"/>
  <c r="K28" i="21" s="1"/>
  <c r="S214" i="55"/>
  <c r="AB27" i="10"/>
  <c r="D13" i="9" s="1"/>
  <c r="S260" i="55"/>
  <c r="S335" i="55"/>
  <c r="S333" i="55"/>
  <c r="S331" i="55"/>
  <c r="S329" i="55"/>
  <c r="S327" i="55"/>
  <c r="S325" i="55"/>
  <c r="S336" i="55"/>
  <c r="S334" i="55"/>
  <c r="S332" i="55"/>
  <c r="S330" i="55"/>
  <c r="S328" i="55"/>
  <c r="S326" i="55"/>
  <c r="S363" i="55"/>
  <c r="S361" i="55"/>
  <c r="S364" i="55"/>
  <c r="S362" i="55"/>
  <c r="H27" i="11"/>
  <c r="C23" i="9" s="1"/>
  <c r="S727" i="55"/>
  <c r="S725" i="55"/>
  <c r="S723" i="55"/>
  <c r="S721" i="55"/>
  <c r="S719" i="55"/>
  <c r="S717" i="55"/>
  <c r="S715" i="55"/>
  <c r="S713" i="55"/>
  <c r="S711" i="55"/>
  <c r="S709" i="55"/>
  <c r="S707" i="55"/>
  <c r="S705" i="55"/>
  <c r="S703" i="55"/>
  <c r="S701" i="55"/>
  <c r="S699" i="55"/>
  <c r="S697" i="55"/>
  <c r="S695" i="55"/>
  <c r="S693" i="55"/>
  <c r="S691" i="55"/>
  <c r="S689" i="55"/>
  <c r="S687" i="55"/>
  <c r="S685" i="55"/>
  <c r="S683" i="55"/>
  <c r="S681" i="55"/>
  <c r="S679" i="55"/>
  <c r="S677" i="55"/>
  <c r="S675" i="55"/>
  <c r="S673" i="55"/>
  <c r="S671" i="55"/>
  <c r="S669" i="55"/>
  <c r="S667" i="55"/>
  <c r="S726" i="55"/>
  <c r="S724" i="55"/>
  <c r="S722" i="55"/>
  <c r="S720" i="55"/>
  <c r="S718" i="55"/>
  <c r="S716" i="55"/>
  <c r="S714" i="55"/>
  <c r="S712" i="55"/>
  <c r="S710" i="55"/>
  <c r="S708" i="55"/>
  <c r="S706" i="55"/>
  <c r="S704" i="55"/>
  <c r="S702" i="55"/>
  <c r="S700" i="55"/>
  <c r="S698" i="55"/>
  <c r="S696" i="55"/>
  <c r="S694" i="55"/>
  <c r="S692" i="55"/>
  <c r="S690" i="55"/>
  <c r="S688" i="55"/>
  <c r="S686" i="55"/>
  <c r="S684" i="55"/>
  <c r="S682" i="55"/>
  <c r="S680" i="55"/>
  <c r="S678" i="55"/>
  <c r="S676" i="55"/>
  <c r="S674" i="55"/>
  <c r="S672" i="55"/>
  <c r="S670" i="55"/>
  <c r="S668" i="55"/>
  <c r="S666" i="55"/>
  <c r="S836" i="55"/>
  <c r="N27" i="11"/>
  <c r="C26" i="9" s="1"/>
  <c r="S763" i="55"/>
  <c r="S759" i="55"/>
  <c r="S755" i="55"/>
  <c r="S751" i="55"/>
  <c r="S762" i="55"/>
  <c r="S758" i="55"/>
  <c r="S754" i="55"/>
  <c r="S750" i="55"/>
  <c r="S765" i="55"/>
  <c r="S761" i="55"/>
  <c r="S757" i="55"/>
  <c r="S753" i="55"/>
  <c r="S749" i="55"/>
  <c r="S764" i="55"/>
  <c r="S760" i="55"/>
  <c r="S756" i="55"/>
  <c r="S752" i="55"/>
  <c r="S748" i="55"/>
  <c r="S825" i="55"/>
  <c r="S823" i="55"/>
  <c r="S738" i="55"/>
  <c r="J27" i="11"/>
  <c r="E23" i="9" s="1"/>
  <c r="E27" i="56"/>
  <c r="C32" i="9" s="1"/>
  <c r="G27" i="56"/>
  <c r="C34" i="9" s="1"/>
  <c r="S739" i="55"/>
  <c r="I27" i="56"/>
  <c r="C36" i="9" s="1"/>
  <c r="S736" i="55"/>
  <c r="L27" i="11"/>
  <c r="D24" i="9" s="1"/>
  <c r="S780" i="55"/>
  <c r="G27" i="11"/>
  <c r="D22" i="9" s="1"/>
  <c r="L27" i="10"/>
  <c r="E5" i="9" s="1"/>
  <c r="T87" i="55"/>
  <c r="AE87" i="55" s="1"/>
  <c r="T96" i="55"/>
  <c r="AE96" i="55" s="1"/>
  <c r="T45" i="55"/>
  <c r="AE45" i="55" s="1"/>
  <c r="AD20" i="11"/>
  <c r="AK20" i="11"/>
  <c r="AH20" i="11"/>
  <c r="AD12" i="11"/>
  <c r="AK12" i="11"/>
  <c r="AH12" i="11"/>
  <c r="T69" i="55"/>
  <c r="AE69" i="55" s="1"/>
  <c r="T617" i="55"/>
  <c r="AE617" i="55" s="1"/>
  <c r="T477" i="55"/>
  <c r="AE477" i="55" s="1"/>
  <c r="T548" i="55"/>
  <c r="AE548" i="55" s="1"/>
  <c r="T485" i="55"/>
  <c r="AE485" i="55" s="1"/>
  <c r="T185" i="55"/>
  <c r="AE185" i="55" s="1"/>
  <c r="T686" i="55"/>
  <c r="AE686" i="55" s="1"/>
  <c r="T623" i="55"/>
  <c r="AE623" i="55" s="1"/>
  <c r="T60" i="55"/>
  <c r="AE60" i="55" s="1"/>
  <c r="T27" i="55"/>
  <c r="AE27" i="55" s="1"/>
  <c r="T507" i="55"/>
  <c r="AE507" i="55" s="1"/>
  <c r="T420" i="55"/>
  <c r="AE420" i="55" s="1"/>
  <c r="T448" i="55"/>
  <c r="AE448" i="55" s="1"/>
  <c r="T659" i="55"/>
  <c r="AE659" i="55" s="1"/>
  <c r="T460" i="55"/>
  <c r="AE460" i="55" s="1"/>
  <c r="T432" i="55"/>
  <c r="AE432" i="55" s="1"/>
  <c r="AT734" i="55"/>
  <c r="T711" i="55"/>
  <c r="AE711" i="55" s="1"/>
  <c r="T573" i="55"/>
  <c r="AE573" i="55" s="1"/>
  <c r="T399" i="55"/>
  <c r="AE399" i="55" s="1"/>
  <c r="T648" i="55"/>
  <c r="AE648" i="55" s="1"/>
  <c r="T720" i="55"/>
  <c r="AE720" i="55" s="1"/>
  <c r="T582" i="55"/>
  <c r="AE582" i="55" s="1"/>
  <c r="T518" i="55"/>
  <c r="AE518" i="55" s="1"/>
  <c r="K301" i="21"/>
  <c r="AD25" i="11"/>
  <c r="AK25" i="11"/>
  <c r="AH25" i="11"/>
  <c r="AD16" i="11"/>
  <c r="AK16" i="11"/>
  <c r="AH16" i="11"/>
  <c r="AD8" i="11"/>
  <c r="M27" i="11" s="1"/>
  <c r="C25" i="9" s="1"/>
  <c r="AK8" i="11"/>
  <c r="AH8" i="11"/>
  <c r="Q27" i="11" s="1"/>
  <c r="D27" i="9" s="1"/>
  <c r="X27" i="10"/>
  <c r="E11" i="9" s="1"/>
  <c r="Y582" i="55" l="1"/>
  <c r="Y518" i="55"/>
  <c r="Y44" i="55"/>
  <c r="Y45" i="55"/>
  <c r="Y169" i="55"/>
  <c r="Y168" i="55"/>
  <c r="Z255" i="19"/>
  <c r="Z221" i="19"/>
  <c r="Z246" i="19"/>
  <c r="Z230" i="19"/>
  <c r="N249" i="19"/>
  <c r="K123" i="19"/>
  <c r="K5" i="19"/>
  <c r="N240" i="19"/>
  <c r="N224" i="19"/>
  <c r="N215" i="19"/>
  <c r="K276" i="19"/>
  <c r="K69" i="19"/>
  <c r="K119" i="19"/>
  <c r="K293" i="19"/>
  <c r="K94" i="19"/>
  <c r="AF241" i="19"/>
  <c r="Z117" i="19"/>
  <c r="Z93" i="19"/>
  <c r="AF225" i="19"/>
  <c r="AF216" i="19"/>
  <c r="AF7" i="19"/>
  <c r="N66" i="19"/>
  <c r="AF250" i="19"/>
  <c r="N159" i="19"/>
  <c r="Z298" i="19"/>
  <c r="Z126" i="19"/>
  <c r="W65" i="19"/>
  <c r="Q125" i="19"/>
  <c r="N8" i="19"/>
  <c r="N136" i="19"/>
  <c r="AC162" i="19"/>
  <c r="N127" i="19"/>
  <c r="AF212" i="19"/>
  <c r="J111" i="21"/>
  <c r="K111" i="21" s="1"/>
  <c r="Y457" i="55" s="1"/>
  <c r="J37" i="21"/>
  <c r="K37" i="21" s="1"/>
  <c r="T66" i="19"/>
  <c r="T159" i="19"/>
  <c r="AL241" i="19"/>
  <c r="AF126" i="19"/>
  <c r="AL225" i="19"/>
  <c r="AL7" i="19"/>
  <c r="AL216" i="19"/>
  <c r="AF117" i="19"/>
  <c r="AF93" i="19"/>
  <c r="AL250" i="19"/>
  <c r="K17" i="19"/>
  <c r="K23" i="19"/>
  <c r="N132" i="19"/>
  <c r="T128" i="19"/>
  <c r="Q122" i="19"/>
  <c r="Q296" i="19"/>
  <c r="T135" i="19"/>
  <c r="AF127" i="19"/>
  <c r="AF136" i="19"/>
  <c r="K211" i="19"/>
  <c r="K204" i="19"/>
  <c r="K245" i="19"/>
  <c r="K197" i="19"/>
  <c r="K229" i="19"/>
  <c r="K254" i="19"/>
  <c r="K220" i="19"/>
  <c r="K184" i="19"/>
  <c r="K116" i="19"/>
  <c r="K68" i="19"/>
  <c r="K124" i="19"/>
  <c r="N91" i="19"/>
  <c r="W8" i="19"/>
  <c r="T292" i="19"/>
  <c r="K286" i="19"/>
  <c r="K65" i="19"/>
  <c r="K117" i="19"/>
  <c r="K250" i="19"/>
  <c r="K126" i="19"/>
  <c r="K241" i="19"/>
  <c r="K216" i="19"/>
  <c r="K7" i="19"/>
  <c r="K93" i="19"/>
  <c r="T275" i="19"/>
  <c r="K76" i="19"/>
  <c r="K134" i="19"/>
  <c r="K280" i="19"/>
  <c r="K298" i="19"/>
  <c r="K225" i="19"/>
  <c r="K161" i="19"/>
  <c r="N264" i="19"/>
  <c r="N269" i="19"/>
  <c r="J142" i="21"/>
  <c r="K142" i="21" s="1"/>
  <c r="W127" i="19"/>
  <c r="W136" i="19"/>
  <c r="AL162" i="19"/>
  <c r="J116" i="21"/>
  <c r="K116" i="21" s="1"/>
  <c r="W560" i="55"/>
  <c r="AE560" i="55" s="1"/>
  <c r="J188" i="21"/>
  <c r="K188" i="21" s="1"/>
  <c r="K36" i="19"/>
  <c r="K95" i="19"/>
  <c r="K19" i="19"/>
  <c r="N61" i="19"/>
  <c r="N11" i="19"/>
  <c r="N200" i="19"/>
  <c r="T264" i="19"/>
  <c r="N263" i="19"/>
  <c r="Q203" i="19"/>
  <c r="T163" i="19"/>
  <c r="N268" i="19"/>
  <c r="Q210" i="19"/>
  <c r="N207" i="19"/>
  <c r="T269" i="19"/>
  <c r="W250" i="19"/>
  <c r="AI292" i="19"/>
  <c r="W76" i="19"/>
  <c r="AI117" i="19"/>
  <c r="W161" i="19"/>
  <c r="W7" i="19"/>
  <c r="Z65" i="19"/>
  <c r="AI275" i="19"/>
  <c r="W241" i="19"/>
  <c r="W225" i="19"/>
  <c r="W216" i="19"/>
  <c r="Z280" i="19"/>
  <c r="Z286" i="19"/>
  <c r="AC222" i="19"/>
  <c r="Z231" i="19"/>
  <c r="Z256" i="19"/>
  <c r="AC247" i="19"/>
  <c r="D12" i="50"/>
  <c r="J183" i="21"/>
  <c r="K183" i="21" s="1"/>
  <c r="W286" i="19"/>
  <c r="Q274" i="19"/>
  <c r="W280" i="19"/>
  <c r="Q291" i="19"/>
  <c r="J179" i="21"/>
  <c r="K179" i="21" s="1"/>
  <c r="W231" i="19"/>
  <c r="W256" i="19"/>
  <c r="Z222" i="19"/>
  <c r="K253" i="19"/>
  <c r="K228" i="19"/>
  <c r="K244" i="19"/>
  <c r="K219" i="19"/>
  <c r="Z247" i="19"/>
  <c r="Q245" i="19"/>
  <c r="Q254" i="19"/>
  <c r="Q229" i="19"/>
  <c r="Q211" i="19"/>
  <c r="Q220" i="19"/>
  <c r="Q197" i="19"/>
  <c r="Q204" i="19"/>
  <c r="K190" i="19"/>
  <c r="N237" i="19"/>
  <c r="T222" i="19"/>
  <c r="T247" i="19"/>
  <c r="N205" i="19"/>
  <c r="W733" i="55"/>
  <c r="AE733" i="55" s="1"/>
  <c r="J174" i="21"/>
  <c r="K174" i="21" s="1"/>
  <c r="V390" i="55"/>
  <c r="AE390" i="55" s="1"/>
  <c r="D9" i="50"/>
  <c r="N247" i="19"/>
  <c r="K256" i="19"/>
  <c r="J241" i="21"/>
  <c r="K241" i="21" s="1"/>
  <c r="W243" i="55" s="1"/>
  <c r="AE243" i="55" s="1"/>
  <c r="K92" i="19"/>
  <c r="J184" i="21"/>
  <c r="K184" i="21" s="1"/>
  <c r="W795" i="55" s="1"/>
  <c r="J136" i="21"/>
  <c r="K136" i="21" s="1"/>
  <c r="J165" i="21"/>
  <c r="K165" i="21" s="1"/>
  <c r="J218" i="21"/>
  <c r="K218" i="21" s="1"/>
  <c r="W708" i="55"/>
  <c r="AE708" i="55" s="1"/>
  <c r="Y454" i="55"/>
  <c r="W341" i="55"/>
  <c r="Y597" i="55"/>
  <c r="Y599" i="55"/>
  <c r="V525" i="55"/>
  <c r="W392" i="55"/>
  <c r="AE392" i="55" s="1"/>
  <c r="Y509" i="55"/>
  <c r="W228" i="55"/>
  <c r="AE228" i="55" s="1"/>
  <c r="J171" i="21"/>
  <c r="K171" i="21" s="1"/>
  <c r="J232" i="21"/>
  <c r="K232" i="21" s="1"/>
  <c r="W350" i="55" s="1"/>
  <c r="AE350" i="55" s="1"/>
  <c r="J221" i="21"/>
  <c r="K221" i="21" s="1"/>
  <c r="J154" i="21"/>
  <c r="K154" i="21" s="1"/>
  <c r="J86" i="21"/>
  <c r="K86" i="21" s="1"/>
  <c r="J192" i="21"/>
  <c r="K192" i="21" s="1"/>
  <c r="J186" i="21"/>
  <c r="K186" i="21" s="1"/>
  <c r="W286" i="55" s="1"/>
  <c r="J230" i="21"/>
  <c r="K230" i="21" s="1"/>
  <c r="W237" i="55" s="1"/>
  <c r="AE237" i="55" s="1"/>
  <c r="J199" i="21"/>
  <c r="K199" i="21" s="1"/>
  <c r="Q160" i="19"/>
  <c r="K91" i="19"/>
  <c r="AC250" i="19"/>
  <c r="AC216" i="19"/>
  <c r="AC241" i="19"/>
  <c r="W298" i="19"/>
  <c r="W93" i="19"/>
  <c r="AC7" i="19"/>
  <c r="AC225" i="19"/>
  <c r="K66" i="19"/>
  <c r="W126" i="19"/>
  <c r="K159" i="19"/>
  <c r="W117" i="19"/>
  <c r="T249" i="19"/>
  <c r="AI245" i="19"/>
  <c r="K10" i="19"/>
  <c r="Q5" i="19"/>
  <c r="AI254" i="19"/>
  <c r="T240" i="19"/>
  <c r="AI220" i="19"/>
  <c r="T215" i="19"/>
  <c r="T224" i="19"/>
  <c r="AI229" i="19"/>
  <c r="Q246" i="19"/>
  <c r="Q255" i="19"/>
  <c r="Q221" i="19"/>
  <c r="Q230" i="19"/>
  <c r="AC254" i="19"/>
  <c r="AC229" i="19"/>
  <c r="AC220" i="19"/>
  <c r="AC245" i="19"/>
  <c r="K55" i="19"/>
  <c r="T291" i="19"/>
  <c r="T274" i="19"/>
  <c r="N93" i="19"/>
  <c r="N76" i="19"/>
  <c r="N286" i="19"/>
  <c r="N216" i="19"/>
  <c r="N280" i="19"/>
  <c r="N126" i="19"/>
  <c r="W292" i="19"/>
  <c r="K15" i="19"/>
  <c r="W275" i="19"/>
  <c r="N117" i="19"/>
  <c r="N225" i="19"/>
  <c r="N134" i="19"/>
  <c r="N161" i="19"/>
  <c r="N298" i="19"/>
  <c r="N250" i="19"/>
  <c r="N7" i="19"/>
  <c r="N241" i="19"/>
  <c r="N65" i="19"/>
  <c r="T220" i="19"/>
  <c r="T229" i="19"/>
  <c r="Q237" i="19"/>
  <c r="T254" i="19"/>
  <c r="T211" i="19"/>
  <c r="T197" i="19"/>
  <c r="T245" i="19"/>
  <c r="T204" i="19"/>
  <c r="N190" i="19"/>
  <c r="K213" i="19"/>
  <c r="K189" i="19"/>
  <c r="Q222" i="19"/>
  <c r="Q205" i="19"/>
  <c r="Q231" i="19"/>
  <c r="N195" i="19"/>
  <c r="K198" i="19"/>
  <c r="K236" i="19"/>
  <c r="N202" i="19"/>
  <c r="N209" i="19"/>
  <c r="Q247" i="19"/>
  <c r="Q256" i="19"/>
  <c r="K191" i="19"/>
  <c r="K238" i="19"/>
  <c r="K90" i="19"/>
  <c r="K67" i="19"/>
  <c r="K115" i="19"/>
  <c r="AI231" i="19"/>
  <c r="AL247" i="19"/>
  <c r="AI256" i="19"/>
  <c r="AL222" i="19"/>
  <c r="K114" i="19"/>
  <c r="N293" i="19"/>
  <c r="AF291" i="19"/>
  <c r="N276" i="19"/>
  <c r="AF274" i="19"/>
  <c r="AI241" i="19"/>
  <c r="Q66" i="19"/>
  <c r="AI250" i="19"/>
  <c r="AC93" i="19"/>
  <c r="AI7" i="19"/>
  <c r="AI225" i="19"/>
  <c r="Q159" i="19"/>
  <c r="AC126" i="19"/>
  <c r="AC117" i="19"/>
  <c r="AI216" i="19"/>
  <c r="K109" i="19"/>
  <c r="K56" i="19"/>
  <c r="AL254" i="19"/>
  <c r="N10" i="19"/>
  <c r="AL229" i="19"/>
  <c r="AL220" i="19"/>
  <c r="K18" i="19"/>
  <c r="AL245" i="19"/>
  <c r="T230" i="19"/>
  <c r="K118" i="19"/>
  <c r="T246" i="19"/>
  <c r="T221" i="19"/>
  <c r="K64" i="19"/>
  <c r="T8" i="19"/>
  <c r="T255" i="19"/>
  <c r="W274" i="19"/>
  <c r="W291" i="19"/>
  <c r="N285" i="19"/>
  <c r="N291" i="19"/>
  <c r="N279" i="19"/>
  <c r="N274" i="19"/>
  <c r="AF275" i="19"/>
  <c r="J158" i="21"/>
  <c r="K158" i="21" s="1"/>
  <c r="AF292" i="19"/>
  <c r="D19" i="50"/>
  <c r="J150" i="21"/>
  <c r="K150" i="21" s="1"/>
  <c r="E19" i="50" s="1"/>
  <c r="Q163" i="19"/>
  <c r="Q269" i="19"/>
  <c r="Q264" i="19"/>
  <c r="N160" i="19"/>
  <c r="W92" i="19"/>
  <c r="J120" i="21"/>
  <c r="K120" i="21" s="1"/>
  <c r="Z136" i="19"/>
  <c r="Z127" i="19"/>
  <c r="T127" i="19"/>
  <c r="T136" i="19"/>
  <c r="AI162" i="19"/>
  <c r="W208" i="19"/>
  <c r="W226" i="19"/>
  <c r="W251" i="19"/>
  <c r="W194" i="19"/>
  <c r="W217" i="19"/>
  <c r="K275" i="19"/>
  <c r="K235" i="19"/>
  <c r="W242" i="19"/>
  <c r="W201" i="19"/>
  <c r="K292" i="19"/>
  <c r="K242" i="19"/>
  <c r="K208" i="19"/>
  <c r="K217" i="19"/>
  <c r="K251" i="19"/>
  <c r="K201" i="19"/>
  <c r="K194" i="19"/>
  <c r="K226" i="19"/>
  <c r="Z242" i="19"/>
  <c r="N275" i="19"/>
  <c r="Z217" i="19"/>
  <c r="Z208" i="19"/>
  <c r="Z251" i="19"/>
  <c r="Z194" i="19"/>
  <c r="N292" i="19"/>
  <c r="N235" i="19"/>
  <c r="Z201" i="19"/>
  <c r="Z226" i="19"/>
  <c r="Y721" i="55"/>
  <c r="W358" i="55"/>
  <c r="AE358" i="55" s="1"/>
  <c r="J372" i="21"/>
  <c r="K372" i="21"/>
  <c r="Q241" i="19"/>
  <c r="Q126" i="19"/>
  <c r="Q216" i="19"/>
  <c r="Q7" i="19"/>
  <c r="Q134" i="19"/>
  <c r="Q117" i="19"/>
  <c r="Q298" i="19"/>
  <c r="Q76" i="19"/>
  <c r="Z292" i="19"/>
  <c r="Q34" i="19"/>
  <c r="Q225" i="19"/>
  <c r="N15" i="19"/>
  <c r="Q280" i="19"/>
  <c r="Q161" i="19"/>
  <c r="Q250" i="19"/>
  <c r="Q93" i="19"/>
  <c r="Q65" i="19"/>
  <c r="Q39" i="19"/>
  <c r="Q286" i="19"/>
  <c r="Z275" i="19"/>
  <c r="T256" i="19"/>
  <c r="W222" i="19"/>
  <c r="T231" i="19"/>
  <c r="N213" i="19"/>
  <c r="T205" i="19"/>
  <c r="N198" i="19"/>
  <c r="W247" i="19"/>
  <c r="N56" i="19"/>
  <c r="Q11" i="19"/>
  <c r="AC274" i="19"/>
  <c r="AC291" i="19"/>
  <c r="N230" i="19"/>
  <c r="N221" i="19"/>
  <c r="N255" i="19"/>
  <c r="N246" i="19"/>
  <c r="Q268" i="19"/>
  <c r="N158" i="19"/>
  <c r="Q263" i="19"/>
  <c r="Q200" i="19"/>
  <c r="Q207" i="19"/>
  <c r="Q92" i="19"/>
  <c r="K160" i="19"/>
  <c r="J123" i="21"/>
  <c r="K123" i="21" s="1"/>
  <c r="W353" i="55" s="1"/>
  <c r="AE353" i="55" s="1"/>
  <c r="K127" i="19"/>
  <c r="K136" i="19"/>
  <c r="Z162" i="19"/>
  <c r="J83" i="21"/>
  <c r="K83" i="21" s="1"/>
  <c r="J115" i="21"/>
  <c r="K115" i="21" s="1"/>
  <c r="W275" i="55" s="1"/>
  <c r="AE275" i="55" s="1"/>
  <c r="D6" i="50"/>
  <c r="J40" i="21"/>
  <c r="K40" i="21" s="1"/>
  <c r="J64" i="21"/>
  <c r="K64" i="21" s="1"/>
  <c r="W567" i="55" s="1"/>
  <c r="AE567" i="55" s="1"/>
  <c r="J222" i="21"/>
  <c r="K222" i="21" s="1"/>
  <c r="J198" i="21"/>
  <c r="K198" i="21" s="1"/>
  <c r="J126" i="21"/>
  <c r="K126" i="21" s="1"/>
  <c r="J197" i="21"/>
  <c r="K197" i="21" s="1"/>
  <c r="W47" i="55" s="1"/>
  <c r="AE47" i="55" s="1"/>
  <c r="J314" i="21"/>
  <c r="K314" i="21"/>
  <c r="AC221" i="19"/>
  <c r="AC255" i="19"/>
  <c r="AC230" i="19"/>
  <c r="AC246" i="19"/>
  <c r="Q127" i="19"/>
  <c r="AF162" i="19"/>
  <c r="Q136" i="19"/>
  <c r="W221" i="19"/>
  <c r="W246" i="19"/>
  <c r="W230" i="19"/>
  <c r="W255" i="19"/>
  <c r="Z211" i="19"/>
  <c r="W237" i="19"/>
  <c r="Z254" i="19"/>
  <c r="Z245" i="19"/>
  <c r="Z220" i="19"/>
  <c r="Z197" i="19"/>
  <c r="T190" i="19"/>
  <c r="Z229" i="19"/>
  <c r="Z204" i="19"/>
  <c r="AF251" i="19"/>
  <c r="AF208" i="19"/>
  <c r="N254" i="19"/>
  <c r="N211" i="19"/>
  <c r="K273" i="19"/>
  <c r="AF201" i="19"/>
  <c r="AF242" i="19"/>
  <c r="AF194" i="19"/>
  <c r="N220" i="19"/>
  <c r="T9" i="19"/>
  <c r="AF226" i="19"/>
  <c r="N135" i="19"/>
  <c r="N128" i="19"/>
  <c r="K237" i="19"/>
  <c r="N245" i="19"/>
  <c r="T235" i="19"/>
  <c r="N204" i="19"/>
  <c r="N229" i="19"/>
  <c r="N197" i="19"/>
  <c r="AF217" i="19"/>
  <c r="T16" i="19"/>
  <c r="K290" i="19"/>
  <c r="N231" i="19"/>
  <c r="Q212" i="19"/>
  <c r="K222" i="19"/>
  <c r="K231" i="19"/>
  <c r="K247" i="19"/>
  <c r="J203" i="21"/>
  <c r="K203" i="21" s="1"/>
  <c r="J53" i="21"/>
  <c r="K53" i="21" s="1"/>
  <c r="J194" i="21"/>
  <c r="K194" i="21" s="1"/>
  <c r="N212" i="19"/>
  <c r="D11" i="50"/>
  <c r="D5" i="50"/>
  <c r="W501" i="55"/>
  <c r="AE501" i="55" s="1"/>
  <c r="J191" i="21"/>
  <c r="K191" i="21" s="1"/>
  <c r="J243" i="21"/>
  <c r="K243" i="21" s="1"/>
  <c r="J231" i="21"/>
  <c r="K231" i="21" s="1"/>
  <c r="W496" i="55"/>
  <c r="AE496" i="55" s="1"/>
  <c r="W39" i="55"/>
  <c r="AE39" i="55" s="1"/>
  <c r="W394" i="55"/>
  <c r="AE394" i="55" s="1"/>
  <c r="Y444" i="55"/>
  <c r="Y416" i="55"/>
  <c r="Y595" i="55"/>
  <c r="Y385" i="55"/>
  <c r="W446" i="55"/>
  <c r="AE446" i="55" s="1"/>
  <c r="W149" i="55"/>
  <c r="J187" i="21"/>
  <c r="K187" i="21" s="1"/>
  <c r="J143" i="21"/>
  <c r="K143" i="21" s="1"/>
  <c r="J133" i="21"/>
  <c r="K133" i="21" s="1"/>
  <c r="J121" i="21"/>
  <c r="K121" i="21" s="1"/>
  <c r="W297" i="55" s="1"/>
  <c r="AE297" i="55" s="1"/>
  <c r="J206" i="21"/>
  <c r="K206" i="21" s="1"/>
  <c r="J66" i="21"/>
  <c r="K66" i="21" s="1"/>
  <c r="J219" i="21"/>
  <c r="K219" i="21" s="1"/>
  <c r="W315" i="55"/>
  <c r="AE315" i="55" s="1"/>
  <c r="J200" i="21"/>
  <c r="K200" i="21" s="1"/>
  <c r="Y526" i="55" s="1"/>
  <c r="J213" i="21"/>
  <c r="K213" i="21" s="1"/>
  <c r="W160" i="55" s="1"/>
  <c r="AE160" i="55" s="1"/>
  <c r="J378" i="21"/>
  <c r="K378" i="21"/>
  <c r="Z274" i="19"/>
  <c r="Z291" i="19"/>
  <c r="K89" i="19"/>
  <c r="K88" i="19"/>
  <c r="T134" i="19"/>
  <c r="T126" i="19"/>
  <c r="AC292" i="19"/>
  <c r="T76" i="19"/>
  <c r="T7" i="19"/>
  <c r="T161" i="19"/>
  <c r="T65" i="19"/>
  <c r="T34" i="19"/>
  <c r="Q15" i="19"/>
  <c r="T298" i="19"/>
  <c r="T250" i="19"/>
  <c r="T117" i="19"/>
  <c r="T286" i="19"/>
  <c r="T225" i="19"/>
  <c r="T39" i="19"/>
  <c r="T280" i="19"/>
  <c r="AC275" i="19"/>
  <c r="T241" i="19"/>
  <c r="T93" i="19"/>
  <c r="T216" i="19"/>
  <c r="AF229" i="19"/>
  <c r="AF254" i="19"/>
  <c r="Q228" i="19"/>
  <c r="AF245" i="19"/>
  <c r="AF220" i="19"/>
  <c r="Q244" i="19"/>
  <c r="Q219" i="19"/>
  <c r="Q253" i="19"/>
  <c r="AC231" i="19"/>
  <c r="AF222" i="19"/>
  <c r="AC256" i="19"/>
  <c r="AF247" i="19"/>
  <c r="Q128" i="19"/>
  <c r="AL242" i="19"/>
  <c r="Q8" i="19"/>
  <c r="Q135" i="19"/>
  <c r="AL217" i="19"/>
  <c r="AL251" i="19"/>
  <c r="N122" i="19"/>
  <c r="N296" i="19"/>
  <c r="K132" i="19"/>
  <c r="AL226" i="19"/>
  <c r="N203" i="19"/>
  <c r="N210" i="19"/>
  <c r="K264" i="19"/>
  <c r="K163" i="19"/>
  <c r="K269" i="19"/>
  <c r="AL205" i="19"/>
  <c r="J91" i="21"/>
  <c r="K91" i="21" s="1"/>
  <c r="Y429" i="55" s="1"/>
  <c r="W227" i="19"/>
  <c r="W252" i="19"/>
  <c r="Z9" i="19"/>
  <c r="Z202" i="19"/>
  <c r="Z24" i="19"/>
  <c r="N34" i="19"/>
  <c r="W218" i="19"/>
  <c r="W243" i="19"/>
  <c r="Z195" i="19"/>
  <c r="Z209" i="19"/>
  <c r="Z16" i="19"/>
  <c r="N39" i="19"/>
  <c r="T236" i="19"/>
  <c r="Q189" i="19"/>
  <c r="Q290" i="19"/>
  <c r="K224" i="19"/>
  <c r="K14" i="19"/>
  <c r="Q273" i="19"/>
  <c r="AI217" i="19"/>
  <c r="K207" i="19"/>
  <c r="AI226" i="19"/>
  <c r="K6" i="19"/>
  <c r="K249" i="19"/>
  <c r="K122" i="19"/>
  <c r="K296" i="19"/>
  <c r="AI208" i="19"/>
  <c r="W235" i="19"/>
  <c r="K233" i="19"/>
  <c r="K193" i="19"/>
  <c r="AI242" i="19"/>
  <c r="AI201" i="19"/>
  <c r="K240" i="19"/>
  <c r="AI251" i="19"/>
  <c r="K153" i="19"/>
  <c r="K200" i="19"/>
  <c r="K215" i="19"/>
  <c r="AI194" i="19"/>
  <c r="AC208" i="19"/>
  <c r="Q292" i="19"/>
  <c r="AC251" i="19"/>
  <c r="AC242" i="19"/>
  <c r="K128" i="19"/>
  <c r="AC217" i="19"/>
  <c r="Q235" i="19"/>
  <c r="AC226" i="19"/>
  <c r="K135" i="19"/>
  <c r="AC194" i="19"/>
  <c r="Q275" i="19"/>
  <c r="Q9" i="19"/>
  <c r="AC201" i="19"/>
  <c r="Q16" i="19"/>
  <c r="T195" i="19"/>
  <c r="T209" i="19"/>
  <c r="Q252" i="19"/>
  <c r="Q227" i="19"/>
  <c r="Q243" i="19"/>
  <c r="Q218" i="19"/>
  <c r="N236" i="19"/>
  <c r="T202" i="19"/>
  <c r="K16" i="19"/>
  <c r="Q24" i="19"/>
  <c r="K195" i="19"/>
  <c r="K243" i="19"/>
  <c r="K227" i="19"/>
  <c r="K209" i="19"/>
  <c r="K218" i="19"/>
  <c r="K252" i="19"/>
  <c r="K202" i="19"/>
  <c r="K9" i="19"/>
  <c r="W230" i="55"/>
  <c r="AE230" i="55" s="1"/>
  <c r="E8" i="50"/>
  <c r="W418" i="55"/>
  <c r="AE418" i="55" s="1"/>
  <c r="W570" i="55"/>
  <c r="AE570" i="55" s="1"/>
  <c r="W595" i="55"/>
  <c r="AE595" i="55" s="1"/>
  <c r="W706" i="55"/>
  <c r="AE706" i="55" s="1"/>
  <c r="W414" i="55"/>
  <c r="AE414" i="55" s="1"/>
  <c r="V271" i="55"/>
  <c r="AE271" i="55" s="1"/>
  <c r="W396" i="55"/>
  <c r="AE396" i="55" s="1"/>
  <c r="W641" i="55"/>
  <c r="AE641" i="55" s="1"/>
  <c r="W597" i="55"/>
  <c r="AE597" i="55" s="1"/>
  <c r="W359" i="55"/>
  <c r="AE359" i="55" s="1"/>
  <c r="W99" i="55"/>
  <c r="AE99" i="55" s="1"/>
  <c r="W231" i="55"/>
  <c r="AE231" i="55" s="1"/>
  <c r="V609" i="55"/>
  <c r="AE609" i="55" s="1"/>
  <c r="Y419" i="55"/>
  <c r="W384" i="55"/>
  <c r="AE384" i="55" s="1"/>
  <c r="W415" i="55"/>
  <c r="AE415" i="55" s="1"/>
  <c r="W442" i="55"/>
  <c r="AE442" i="55" s="1"/>
  <c r="W416" i="55"/>
  <c r="AE416" i="55" s="1"/>
  <c r="W704" i="55"/>
  <c r="AE704" i="55" s="1"/>
  <c r="W119" i="55"/>
  <c r="AE119" i="55" s="1"/>
  <c r="Y68" i="55"/>
  <c r="W566" i="55"/>
  <c r="AE566" i="55" s="1"/>
  <c r="W112" i="55"/>
  <c r="AE112" i="55" s="1"/>
  <c r="X749" i="55"/>
  <c r="X748" i="55"/>
  <c r="W142" i="55"/>
  <c r="AE142" i="55" s="1"/>
  <c r="W143" i="55"/>
  <c r="AE143" i="55" s="1"/>
  <c r="W240" i="55"/>
  <c r="AE240" i="55" s="1"/>
  <c r="W495" i="55"/>
  <c r="AE495" i="55" s="1"/>
  <c r="W568" i="55"/>
  <c r="AE568" i="55" s="1"/>
  <c r="W191" i="55"/>
  <c r="AE191" i="55" s="1"/>
  <c r="W643" i="55"/>
  <c r="AE643" i="55" s="1"/>
  <c r="W645" i="55"/>
  <c r="AE645" i="55" s="1"/>
  <c r="Y422" i="55"/>
  <c r="W65" i="55"/>
  <c r="AE65" i="55" s="1"/>
  <c r="W505" i="55"/>
  <c r="AE505" i="55" s="1"/>
  <c r="X789" i="55"/>
  <c r="W224" i="55"/>
  <c r="AE224" i="55" s="1"/>
  <c r="V587" i="55"/>
  <c r="S9" i="55"/>
  <c r="S28" i="55"/>
  <c r="S12" i="55"/>
  <c r="S833" i="55"/>
  <c r="S349" i="55"/>
  <c r="S357" i="55"/>
  <c r="S350" i="55"/>
  <c r="S358" i="55"/>
  <c r="S384" i="55"/>
  <c r="S122" i="55"/>
  <c r="S121" i="55"/>
  <c r="S230" i="55"/>
  <c r="S231" i="55"/>
  <c r="S232" i="55"/>
  <c r="S54" i="55"/>
  <c r="S62" i="55"/>
  <c r="S47" i="55"/>
  <c r="S55" i="55"/>
  <c r="S63" i="55"/>
  <c r="S834" i="55"/>
  <c r="S351" i="55"/>
  <c r="S359" i="55"/>
  <c r="S352" i="55"/>
  <c r="S386" i="55"/>
  <c r="S116" i="55"/>
  <c r="S124" i="55"/>
  <c r="S123" i="55"/>
  <c r="S233" i="55"/>
  <c r="S234" i="55"/>
  <c r="S235" i="55"/>
  <c r="S236" i="55"/>
  <c r="S48" i="55"/>
  <c r="S56" i="55"/>
  <c r="S64" i="55"/>
  <c r="S49" i="55"/>
  <c r="S57" i="55"/>
  <c r="S65" i="55"/>
  <c r="S353" i="55"/>
  <c r="S346" i="55"/>
  <c r="S118" i="55"/>
  <c r="S237" i="55"/>
  <c r="S238" i="55"/>
  <c r="S239" i="55"/>
  <c r="S50" i="55"/>
  <c r="S58" i="55"/>
  <c r="S66" i="55"/>
  <c r="S51" i="55"/>
  <c r="S59" i="55"/>
  <c r="V253" i="55"/>
  <c r="AE253" i="55" s="1"/>
  <c r="V380" i="55"/>
  <c r="Y451" i="55"/>
  <c r="X662" i="55"/>
  <c r="V379" i="55"/>
  <c r="W159" i="55"/>
  <c r="AE159" i="55" s="1"/>
  <c r="W663" i="55"/>
  <c r="V727" i="55"/>
  <c r="Y664" i="55"/>
  <c r="Y448" i="55"/>
  <c r="Y447" i="55"/>
  <c r="W158" i="55"/>
  <c r="AE158" i="55" s="1"/>
  <c r="Y452" i="55"/>
  <c r="W222" i="55"/>
  <c r="AE222" i="55" s="1"/>
  <c r="W525" i="55"/>
  <c r="W510" i="55"/>
  <c r="V381" i="55"/>
  <c r="X726" i="55"/>
  <c r="V663" i="55"/>
  <c r="Y588" i="55"/>
  <c r="V355" i="55"/>
  <c r="W163" i="55"/>
  <c r="AE163" i="55" s="1"/>
  <c r="Y453" i="55"/>
  <c r="W217" i="55"/>
  <c r="AE217" i="55" s="1"/>
  <c r="W167" i="55"/>
  <c r="AE167" i="55" s="1"/>
  <c r="W727" i="55"/>
  <c r="W587" i="55"/>
  <c r="AE587" i="55" s="1"/>
  <c r="X703" i="55"/>
  <c r="S11" i="55"/>
  <c r="S23" i="55"/>
  <c r="S39" i="55"/>
  <c r="S14" i="55"/>
  <c r="S30" i="55"/>
  <c r="S13" i="55"/>
  <c r="S29" i="55"/>
  <c r="S45" i="55"/>
  <c r="S20" i="55"/>
  <c r="S36" i="55"/>
  <c r="S7" i="55"/>
  <c r="S15" i="55"/>
  <c r="S31" i="55"/>
  <c r="S6" i="55"/>
  <c r="S22" i="55"/>
  <c r="S38" i="55"/>
  <c r="W103" i="55"/>
  <c r="AE103" i="55" s="1"/>
  <c r="Y60" i="55"/>
  <c r="Y56" i="55"/>
  <c r="J81" i="21"/>
  <c r="K81" i="21" s="1"/>
  <c r="J227" i="21"/>
  <c r="K227" i="21" s="1"/>
  <c r="Y64" i="55"/>
  <c r="AE375" i="55"/>
  <c r="Y63" i="55"/>
  <c r="Y504" i="55"/>
  <c r="W838" i="55"/>
  <c r="AE838" i="55" s="1"/>
  <c r="W316" i="55"/>
  <c r="W699" i="55"/>
  <c r="AE699" i="55" s="1"/>
  <c r="W422" i="55"/>
  <c r="W574" i="55"/>
  <c r="Y423" i="55"/>
  <c r="W340" i="55"/>
  <c r="Y69" i="55"/>
  <c r="Y706" i="55"/>
  <c r="W101" i="55"/>
  <c r="AE101" i="55" s="1"/>
  <c r="Y420" i="55"/>
  <c r="Y710" i="55"/>
  <c r="V146" i="55"/>
  <c r="AE146" i="55" s="1"/>
  <c r="W147" i="55"/>
  <c r="W400" i="55"/>
  <c r="Y656" i="55"/>
  <c r="W100" i="55"/>
  <c r="AE100" i="55" s="1"/>
  <c r="Y55" i="55"/>
  <c r="Y67" i="55"/>
  <c r="Y65" i="55"/>
  <c r="Y52" i="55"/>
  <c r="Y66" i="55"/>
  <c r="Y48" i="55"/>
  <c r="Y62" i="55"/>
  <c r="Y57" i="55"/>
  <c r="W705" i="55"/>
  <c r="AE705" i="55" s="1"/>
  <c r="W599" i="55"/>
  <c r="W650" i="55"/>
  <c r="W338" i="55"/>
  <c r="AE338" i="55" s="1"/>
  <c r="W342" i="55"/>
  <c r="AE342" i="55" s="1"/>
  <c r="Y95" i="55"/>
  <c r="W144" i="55"/>
  <c r="AE144" i="55" s="1"/>
  <c r="W106" i="55"/>
  <c r="AE106" i="55" s="1"/>
  <c r="X787" i="55"/>
  <c r="Y647" i="55"/>
  <c r="Y507" i="55"/>
  <c r="V149" i="55"/>
  <c r="AE149" i="55" s="1"/>
  <c r="V147" i="55"/>
  <c r="W712" i="55"/>
  <c r="Y720" i="55"/>
  <c r="W198" i="55"/>
  <c r="AE198" i="55" s="1"/>
  <c r="W104" i="55"/>
  <c r="AE104" i="55" s="1"/>
  <c r="Y51" i="55"/>
  <c r="Y54" i="55"/>
  <c r="Y53" i="55"/>
  <c r="W187" i="55"/>
  <c r="W210" i="55"/>
  <c r="AE210" i="55" s="1"/>
  <c r="W192" i="55"/>
  <c r="AE192" i="55" s="1"/>
  <c r="Y425" i="55"/>
  <c r="W344" i="55"/>
  <c r="AE344" i="55" s="1"/>
  <c r="W339" i="55"/>
  <c r="W141" i="55"/>
  <c r="AE141" i="55" s="1"/>
  <c r="W98" i="55"/>
  <c r="AE98" i="55" s="1"/>
  <c r="X788" i="55"/>
  <c r="W259" i="55"/>
  <c r="AE259" i="55" s="1"/>
  <c r="W150" i="55"/>
  <c r="V145" i="55"/>
  <c r="V150" i="55"/>
  <c r="W145" i="55"/>
  <c r="Y59" i="55"/>
  <c r="W148" i="55"/>
  <c r="AE148" i="55" s="1"/>
  <c r="W105" i="55"/>
  <c r="AE105" i="55" s="1"/>
  <c r="Y47" i="55"/>
  <c r="Y50" i="55"/>
  <c r="Y49" i="55"/>
  <c r="W116" i="55"/>
  <c r="AE116" i="55" s="1"/>
  <c r="V281" i="55"/>
  <c r="X500" i="55"/>
  <c r="X565" i="55"/>
  <c r="S826" i="55"/>
  <c r="U826" i="55" s="1"/>
  <c r="S433" i="55"/>
  <c r="S17" i="55"/>
  <c r="S25" i="55"/>
  <c r="S33" i="55"/>
  <c r="S41" i="55"/>
  <c r="S8" i="55"/>
  <c r="S16" i="55"/>
  <c r="S24" i="55"/>
  <c r="S32" i="55"/>
  <c r="S44" i="55"/>
  <c r="S19" i="55"/>
  <c r="S27" i="55"/>
  <c r="S35" i="55"/>
  <c r="S43" i="55"/>
  <c r="S10" i="55"/>
  <c r="S18" i="55"/>
  <c r="S26" i="55"/>
  <c r="S34" i="55"/>
  <c r="S113" i="55"/>
  <c r="S110" i="55"/>
  <c r="S109" i="55"/>
  <c r="S112" i="55"/>
  <c r="S111" i="55"/>
  <c r="S40" i="55"/>
  <c r="V732" i="55"/>
  <c r="AE732" i="55" s="1"/>
  <c r="AE525" i="55"/>
  <c r="W729" i="55"/>
  <c r="AE729" i="55" s="1"/>
  <c r="AE317" i="55"/>
  <c r="V841" i="55"/>
  <c r="AE841" i="55" s="1"/>
  <c r="V791" i="55"/>
  <c r="E16" i="50"/>
  <c r="E7" i="50"/>
  <c r="Y583" i="55"/>
  <c r="W219" i="55"/>
  <c r="AE219" i="55" s="1"/>
  <c r="W218" i="55"/>
  <c r="AE218" i="55" s="1"/>
  <c r="Y568" i="55"/>
  <c r="Y657" i="55"/>
  <c r="Y414" i="55"/>
  <c r="W201" i="55"/>
  <c r="AE201" i="55" s="1"/>
  <c r="Y560" i="55"/>
  <c r="Y443" i="55"/>
  <c r="Y415" i="55"/>
  <c r="V760" i="55"/>
  <c r="Y690" i="55"/>
  <c r="W407" i="55"/>
  <c r="AE407" i="55" s="1"/>
  <c r="W252" i="55"/>
  <c r="AE252" i="55" s="1"/>
  <c r="W381" i="55"/>
  <c r="AE381" i="55" s="1"/>
  <c r="W225" i="55"/>
  <c r="AE225" i="55" s="1"/>
  <c r="X396" i="55"/>
  <c r="Y570" i="55"/>
  <c r="Y569" i="55"/>
  <c r="Y503" i="55"/>
  <c r="Y554" i="55"/>
  <c r="V251" i="55"/>
  <c r="AE251" i="55" s="1"/>
  <c r="W380" i="55"/>
  <c r="AE380" i="55" s="1"/>
  <c r="W793" i="55"/>
  <c r="AE793" i="55" s="1"/>
  <c r="Y645" i="55"/>
  <c r="Y654" i="55"/>
  <c r="Y643" i="55"/>
  <c r="W269" i="55"/>
  <c r="AE269" i="55" s="1"/>
  <c r="W546" i="55"/>
  <c r="Y487" i="55"/>
  <c r="W61" i="55"/>
  <c r="W379" i="55"/>
  <c r="AE379" i="55" s="1"/>
  <c r="Y708" i="55"/>
  <c r="Y718" i="55"/>
  <c r="X400" i="55"/>
  <c r="W25" i="55"/>
  <c r="AE25" i="55" s="1"/>
  <c r="W283" i="55"/>
  <c r="W314" i="55"/>
  <c r="AE314" i="55" s="1"/>
  <c r="W276" i="55"/>
  <c r="AE276" i="55" s="1"/>
  <c r="Y458" i="55"/>
  <c r="W302" i="55"/>
  <c r="AE302" i="55" s="1"/>
  <c r="W195" i="55"/>
  <c r="AE195" i="55" s="1"/>
  <c r="W475" i="55"/>
  <c r="AE475" i="55" s="1"/>
  <c r="W575" i="55"/>
  <c r="AE575" i="55" s="1"/>
  <c r="W651" i="55"/>
  <c r="AE651" i="55" s="1"/>
  <c r="Y442" i="55"/>
  <c r="AE663" i="55"/>
  <c r="W330" i="55"/>
  <c r="AE330" i="55" s="1"/>
  <c r="Y75" i="55"/>
  <c r="W329" i="55"/>
  <c r="AE329" i="55" s="1"/>
  <c r="W791" i="55"/>
  <c r="W615" i="55"/>
  <c r="AE615" i="55" s="1"/>
  <c r="W646" i="55"/>
  <c r="AE646" i="55" s="1"/>
  <c r="W691" i="55"/>
  <c r="X574" i="55"/>
  <c r="W618" i="55"/>
  <c r="AE618" i="55" s="1"/>
  <c r="W309" i="55"/>
  <c r="AE309" i="55" s="1"/>
  <c r="W321" i="55"/>
  <c r="AE321" i="55" s="1"/>
  <c r="Y573" i="55"/>
  <c r="Y521" i="55"/>
  <c r="V613" i="55"/>
  <c r="AE613" i="55" s="1"/>
  <c r="Y722" i="55"/>
  <c r="V316" i="55"/>
  <c r="W478" i="55"/>
  <c r="AE478" i="55" s="1"/>
  <c r="W233" i="55"/>
  <c r="AE233" i="55" s="1"/>
  <c r="W761" i="55"/>
  <c r="AE761" i="55" s="1"/>
  <c r="Y519" i="55"/>
  <c r="Y430" i="55"/>
  <c r="V756" i="55"/>
  <c r="W8" i="55"/>
  <c r="AE8" i="55" s="1"/>
  <c r="V411" i="55"/>
  <c r="AE411" i="55" s="1"/>
  <c r="V473" i="55"/>
  <c r="AE473" i="55" s="1"/>
  <c r="W281" i="55"/>
  <c r="AE281" i="55" s="1"/>
  <c r="Y119" i="55"/>
  <c r="V759" i="55"/>
  <c r="Y392" i="55"/>
  <c r="W788" i="55"/>
  <c r="AE788" i="55" s="1"/>
  <c r="Y431" i="55"/>
  <c r="Y120" i="55"/>
  <c r="V535" i="55"/>
  <c r="V534" i="55"/>
  <c r="AE534" i="55" s="1"/>
  <c r="V13" i="55"/>
  <c r="Y707" i="55"/>
  <c r="Y644" i="55"/>
  <c r="Y505" i="55"/>
  <c r="Y514" i="55"/>
  <c r="X708" i="55"/>
  <c r="X446" i="55"/>
  <c r="X645" i="55"/>
  <c r="X418" i="55"/>
  <c r="X597" i="55"/>
  <c r="X384" i="55"/>
  <c r="X505" i="55"/>
  <c r="W684" i="55"/>
  <c r="V752" i="55"/>
  <c r="W32" i="55"/>
  <c r="W511" i="55"/>
  <c r="AE511" i="55" s="1"/>
  <c r="W213" i="55"/>
  <c r="AE213" i="55" s="1"/>
  <c r="V209" i="55"/>
  <c r="X650" i="55"/>
  <c r="W346" i="55"/>
  <c r="AE346" i="55" s="1"/>
  <c r="W22" i="55"/>
  <c r="AE22" i="55" s="1"/>
  <c r="Y88" i="55"/>
  <c r="Y73" i="55"/>
  <c r="X617" i="55"/>
  <c r="Y585" i="55"/>
  <c r="W274" i="55"/>
  <c r="AE274" i="55" s="1"/>
  <c r="W206" i="55"/>
  <c r="AE206" i="55" s="1"/>
  <c r="W17" i="55"/>
  <c r="AE17" i="55" s="1"/>
  <c r="W277" i="55"/>
  <c r="AE277" i="55" s="1"/>
  <c r="V154" i="55"/>
  <c r="AE154" i="55" s="1"/>
  <c r="W254" i="55"/>
  <c r="AE254" i="55" s="1"/>
  <c r="W157" i="55"/>
  <c r="AE157" i="55" s="1"/>
  <c r="Y165" i="55"/>
  <c r="Y157" i="55"/>
  <c r="Y687" i="55"/>
  <c r="Y617" i="55"/>
  <c r="Y625" i="55"/>
  <c r="Y484" i="55"/>
  <c r="Y562" i="55"/>
  <c r="Y676" i="55"/>
  <c r="Y557" i="55"/>
  <c r="Y604" i="55"/>
  <c r="Y475" i="55"/>
  <c r="Y699" i="55"/>
  <c r="Y666" i="55"/>
  <c r="Y547" i="55"/>
  <c r="Y496" i="55"/>
  <c r="Y464" i="55"/>
  <c r="Y639" i="55"/>
  <c r="Y616" i="55"/>
  <c r="Y486" i="55"/>
  <c r="Y681" i="55"/>
  <c r="Y497" i="55"/>
  <c r="W820" i="55"/>
  <c r="AE820" i="55" s="1"/>
  <c r="W814" i="55"/>
  <c r="AE814" i="55" s="1"/>
  <c r="W808" i="55"/>
  <c r="AE808" i="55" s="1"/>
  <c r="W817" i="55"/>
  <c r="W813" i="55"/>
  <c r="AE813" i="55" s="1"/>
  <c r="W807" i="55"/>
  <c r="AE807" i="55" s="1"/>
  <c r="W816" i="55"/>
  <c r="AE816" i="55" s="1"/>
  <c r="W810" i="55"/>
  <c r="AE810" i="55" s="1"/>
  <c r="W806" i="55"/>
  <c r="AE806" i="55" s="1"/>
  <c r="W819" i="55"/>
  <c r="AE819" i="55" s="1"/>
  <c r="W809" i="55"/>
  <c r="AE809" i="55" s="1"/>
  <c r="W815" i="55"/>
  <c r="AE815" i="55" s="1"/>
  <c r="W746" i="55"/>
  <c r="AE746" i="55" s="1"/>
  <c r="Y403" i="55"/>
  <c r="Y402" i="55"/>
  <c r="Y401" i="55"/>
  <c r="Y397" i="55"/>
  <c r="Y400" i="55"/>
  <c r="V797" i="55"/>
  <c r="V774" i="55"/>
  <c r="AE774" i="55" s="1"/>
  <c r="V753" i="55"/>
  <c r="V763" i="55"/>
  <c r="AE763" i="55" s="1"/>
  <c r="V784" i="55"/>
  <c r="AE784" i="55" s="1"/>
  <c r="V792" i="55"/>
  <c r="V802" i="55"/>
  <c r="AE802" i="55" s="1"/>
  <c r="V758" i="55"/>
  <c r="Y491" i="55"/>
  <c r="Y636" i="55"/>
  <c r="Y465" i="55"/>
  <c r="Y548" i="55"/>
  <c r="Y700" i="55"/>
  <c r="W506" i="55"/>
  <c r="AE506" i="55" s="1"/>
  <c r="W713" i="55"/>
  <c r="AE713" i="55" s="1"/>
  <c r="Y158" i="55"/>
  <c r="W255" i="55"/>
  <c r="AE255" i="55" s="1"/>
  <c r="Y156" i="55"/>
  <c r="W751" i="55"/>
  <c r="X450" i="55"/>
  <c r="X599" i="55"/>
  <c r="W262" i="55"/>
  <c r="AE262" i="55" s="1"/>
  <c r="W296" i="55"/>
  <c r="AE296" i="55" s="1"/>
  <c r="W543" i="55"/>
  <c r="AE543" i="55" s="1"/>
  <c r="K24" i="21"/>
  <c r="X438" i="55"/>
  <c r="X440" i="55"/>
  <c r="W299" i="55"/>
  <c r="AE299" i="55" s="1"/>
  <c r="W288" i="55"/>
  <c r="AE288" i="55" s="1"/>
  <c r="W312" i="55"/>
  <c r="AE312" i="55" s="1"/>
  <c r="W307" i="55"/>
  <c r="AE307" i="55" s="1"/>
  <c r="W300" i="55"/>
  <c r="AE300" i="55" s="1"/>
  <c r="W311" i="55"/>
  <c r="W313" i="55"/>
  <c r="AE313" i="55" s="1"/>
  <c r="W298" i="55"/>
  <c r="AE298" i="55" s="1"/>
  <c r="W308" i="55"/>
  <c r="AE308" i="55" s="1"/>
  <c r="W301" i="55"/>
  <c r="W294" i="55"/>
  <c r="AE294" i="55" s="1"/>
  <c r="W293" i="55"/>
  <c r="AE293" i="55" s="1"/>
  <c r="W303" i="55"/>
  <c r="AE303" i="55" s="1"/>
  <c r="W289" i="55"/>
  <c r="AE289" i="55" s="1"/>
  <c r="Y118" i="55"/>
  <c r="Y122" i="55"/>
  <c r="Y123" i="55"/>
  <c r="W731" i="55"/>
  <c r="W730" i="55"/>
  <c r="AE730" i="55" s="1"/>
  <c r="W323" i="55"/>
  <c r="AE323" i="55" s="1"/>
  <c r="Y71" i="55"/>
  <c r="W367" i="55"/>
  <c r="AE367" i="55" s="1"/>
  <c r="W249" i="55"/>
  <c r="AE249" i="55" s="1"/>
  <c r="Y133" i="55"/>
  <c r="Y126" i="55"/>
  <c r="W372" i="55"/>
  <c r="AE372" i="55" s="1"/>
  <c r="W128" i="55"/>
  <c r="AE128" i="55" s="1"/>
  <c r="Y137" i="55"/>
  <c r="Y129" i="55"/>
  <c r="W371" i="55"/>
  <c r="AE371" i="55" s="1"/>
  <c r="W136" i="55"/>
  <c r="AE136" i="55" s="1"/>
  <c r="W127" i="55"/>
  <c r="AE127" i="55" s="1"/>
  <c r="Y136" i="55"/>
  <c r="Y128" i="55"/>
  <c r="Y135" i="55"/>
  <c r="W370" i="55"/>
  <c r="AE370" i="55" s="1"/>
  <c r="Y127" i="55"/>
  <c r="W135" i="55"/>
  <c r="AE135" i="55" s="1"/>
  <c r="W126" i="55"/>
  <c r="AE126" i="55" s="1"/>
  <c r="W76" i="55"/>
  <c r="AE76" i="55" s="1"/>
  <c r="Y91" i="55"/>
  <c r="Y80" i="55"/>
  <c r="V694" i="55"/>
  <c r="AE694" i="55" s="1"/>
  <c r="V340" i="55"/>
  <c r="Y94" i="55"/>
  <c r="W438" i="55"/>
  <c r="AE438" i="55" s="1"/>
  <c r="W285" i="55"/>
  <c r="W304" i="55"/>
  <c r="AE304" i="55" s="1"/>
  <c r="V580" i="55"/>
  <c r="AE580" i="55" s="1"/>
  <c r="V469" i="55"/>
  <c r="AE469" i="55" s="1"/>
  <c r="X525" i="55"/>
  <c r="X21" i="55"/>
  <c r="Y584" i="55"/>
  <c r="V311" i="55"/>
  <c r="W284" i="55"/>
  <c r="AE284" i="55" s="1"/>
  <c r="W282" i="55"/>
  <c r="W361" i="55"/>
  <c r="AE361" i="55" s="1"/>
  <c r="W748" i="55"/>
  <c r="AE748" i="55" s="1"/>
  <c r="W279" i="55"/>
  <c r="AE279" i="55" s="1"/>
  <c r="W245" i="55"/>
  <c r="AE245" i="55" s="1"/>
  <c r="W246" i="55"/>
  <c r="AE246" i="55" s="1"/>
  <c r="W247" i="55"/>
  <c r="AE247" i="55" s="1"/>
  <c r="W781" i="55"/>
  <c r="AE781" i="55" s="1"/>
  <c r="W453" i="55"/>
  <c r="AE453" i="55" s="1"/>
  <c r="W513" i="55"/>
  <c r="AE513" i="55" s="1"/>
  <c r="W653" i="55"/>
  <c r="AE653" i="55" s="1"/>
  <c r="W403" i="55"/>
  <c r="AE403" i="55" s="1"/>
  <c r="W715" i="55"/>
  <c r="AE715" i="55" s="1"/>
  <c r="W577" i="55"/>
  <c r="AE577" i="55" s="1"/>
  <c r="W197" i="55"/>
  <c r="AE197" i="55" s="1"/>
  <c r="Y662" i="55"/>
  <c r="Y524" i="55"/>
  <c r="W258" i="55"/>
  <c r="AE258" i="55" s="1"/>
  <c r="W680" i="55"/>
  <c r="AE680" i="55" s="1"/>
  <c r="W181" i="55"/>
  <c r="AE181" i="55" s="1"/>
  <c r="W21" i="55"/>
  <c r="AE21" i="55" s="1"/>
  <c r="Y726" i="55"/>
  <c r="W542" i="55"/>
  <c r="AE542" i="55" s="1"/>
  <c r="E13" i="50"/>
  <c r="W410" i="55"/>
  <c r="AE410" i="55" s="1"/>
  <c r="V745" i="55"/>
  <c r="AE745" i="55" s="1"/>
  <c r="V441" i="55"/>
  <c r="AE441" i="55" s="1"/>
  <c r="W354" i="55"/>
  <c r="AE354" i="55" s="1"/>
  <c r="W771" i="55"/>
  <c r="AE771" i="55" s="1"/>
  <c r="V731" i="55"/>
  <c r="V391" i="55"/>
  <c r="AE391" i="55" s="1"/>
  <c r="Y480" i="55"/>
  <c r="Y612" i="55"/>
  <c r="Y563" i="55"/>
  <c r="Y626" i="55"/>
  <c r="Y688" i="55"/>
  <c r="W571" i="55"/>
  <c r="AE571" i="55" s="1"/>
  <c r="W320" i="55"/>
  <c r="AE320" i="55" s="1"/>
  <c r="W600" i="55"/>
  <c r="AE600" i="55" s="1"/>
  <c r="Y155" i="55"/>
  <c r="W156" i="55"/>
  <c r="AE156" i="55" s="1"/>
  <c r="Y161" i="55"/>
  <c r="W71" i="55"/>
  <c r="AE71" i="55" s="1"/>
  <c r="V798" i="55"/>
  <c r="X596" i="55"/>
  <c r="X417" i="55"/>
  <c r="X445" i="55"/>
  <c r="X569" i="55"/>
  <c r="X395" i="55"/>
  <c r="X644" i="55"/>
  <c r="X707" i="55"/>
  <c r="X504" i="55"/>
  <c r="X383" i="55"/>
  <c r="X587" i="55"/>
  <c r="X181" i="55"/>
  <c r="V178" i="55"/>
  <c r="AE178" i="55" s="1"/>
  <c r="V676" i="55"/>
  <c r="AE676" i="55" s="1"/>
  <c r="X727" i="55"/>
  <c r="V538" i="55"/>
  <c r="AE538" i="55" s="1"/>
  <c r="W598" i="55"/>
  <c r="AE598" i="55" s="1"/>
  <c r="Y711" i="55"/>
  <c r="W385" i="55"/>
  <c r="AE385" i="55" s="1"/>
  <c r="Y508" i="55"/>
  <c r="Y449" i="55"/>
  <c r="Y648" i="55"/>
  <c r="W90" i="55"/>
  <c r="AE90" i="55" s="1"/>
  <c r="W239" i="55"/>
  <c r="AE239" i="55" s="1"/>
  <c r="W352" i="55"/>
  <c r="AE352" i="55" s="1"/>
  <c r="W238" i="55"/>
  <c r="AE238" i="55" s="1"/>
  <c r="W488" i="55"/>
  <c r="X510" i="55"/>
  <c r="X422" i="55"/>
  <c r="W451" i="55"/>
  <c r="AE451" i="55" s="1"/>
  <c r="X712" i="55"/>
  <c r="W401" i="55"/>
  <c r="AE401" i="55" s="1"/>
  <c r="W818" i="55"/>
  <c r="W668" i="55"/>
  <c r="AE668" i="55" s="1"/>
  <c r="W535" i="55"/>
  <c r="W54" i="55"/>
  <c r="AE54" i="55" s="1"/>
  <c r="W610" i="55"/>
  <c r="W470" i="55"/>
  <c r="W673" i="55"/>
  <c r="W530" i="55"/>
  <c r="AE530" i="55" s="1"/>
  <c r="W465" i="55"/>
  <c r="AE465" i="55" s="1"/>
  <c r="W605" i="55"/>
  <c r="AE605" i="55" s="1"/>
  <c r="W811" i="55"/>
  <c r="AE811" i="55" s="1"/>
  <c r="W260" i="55"/>
  <c r="AE260" i="55" s="1"/>
  <c r="X666" i="55"/>
  <c r="X497" i="55"/>
  <c r="X637" i="55"/>
  <c r="X193" i="55"/>
  <c r="X562" i="55"/>
  <c r="X67" i="55"/>
  <c r="X41" i="55"/>
  <c r="X528" i="55"/>
  <c r="X700" i="55"/>
  <c r="W227" i="55"/>
  <c r="AE227" i="55" s="1"/>
  <c r="W257" i="55"/>
  <c r="AE257" i="55" s="1"/>
  <c r="W541" i="55"/>
  <c r="AE541" i="55" s="1"/>
  <c r="W196" i="55"/>
  <c r="AE196" i="55" s="1"/>
  <c r="W476" i="55"/>
  <c r="AE476" i="55" s="1"/>
  <c r="W180" i="55"/>
  <c r="AE180" i="55" s="1"/>
  <c r="W616" i="55"/>
  <c r="AE616" i="55" s="1"/>
  <c r="W20" i="55"/>
  <c r="AE20" i="55" s="1"/>
  <c r="W679" i="55"/>
  <c r="AE679" i="55" s="1"/>
  <c r="Y404" i="55"/>
  <c r="Y394" i="55"/>
  <c r="E18" i="50"/>
  <c r="Y723" i="55"/>
  <c r="Y460" i="55"/>
  <c r="W425" i="55"/>
  <c r="AE425" i="55" s="1"/>
  <c r="Y92" i="55"/>
  <c r="Y72" i="55"/>
  <c r="Y93" i="55"/>
  <c r="Y82" i="55"/>
  <c r="Y85" i="55"/>
  <c r="Y78" i="55"/>
  <c r="Y76" i="55"/>
  <c r="Y393" i="55"/>
  <c r="Y81" i="55"/>
  <c r="Y191" i="55"/>
  <c r="Y187" i="55"/>
  <c r="Y183" i="55"/>
  <c r="Y179" i="55"/>
  <c r="Y175" i="55"/>
  <c r="Y171" i="55"/>
  <c r="Y29" i="55"/>
  <c r="AD29" i="55" s="1"/>
  <c r="AV29" i="55" s="1"/>
  <c r="Y25" i="55"/>
  <c r="AD25" i="55" s="1"/>
  <c r="Y21" i="55"/>
  <c r="AD21" i="55" s="1"/>
  <c r="Y15" i="55"/>
  <c r="Y8" i="55"/>
  <c r="AD8" i="55" s="1"/>
  <c r="Y37" i="55"/>
  <c r="AD37" i="55" s="1"/>
  <c r="Y9" i="55"/>
  <c r="AD9" i="55" s="1"/>
  <c r="Y41" i="55"/>
  <c r="AD41" i="55" s="1"/>
  <c r="AV41" i="55" s="1"/>
  <c r="Y12" i="55"/>
  <c r="AD12" i="55" s="1"/>
  <c r="Y192" i="55"/>
  <c r="Y184" i="55"/>
  <c r="Y172" i="55"/>
  <c r="Y26" i="55"/>
  <c r="AD26" i="55" s="1"/>
  <c r="Y10" i="55"/>
  <c r="AD10" i="55" s="1"/>
  <c r="AV10" i="55" s="1"/>
  <c r="Y42" i="55"/>
  <c r="AD42" i="55" s="1"/>
  <c r="AV42" i="55" s="1"/>
  <c r="Y190" i="55"/>
  <c r="Y186" i="55"/>
  <c r="Y182" i="55"/>
  <c r="Y178" i="55"/>
  <c r="Y174" i="55"/>
  <c r="Y35" i="55"/>
  <c r="AD35" i="55" s="1"/>
  <c r="Y28" i="55"/>
  <c r="Y24" i="55"/>
  <c r="AD24" i="55" s="1"/>
  <c r="Y14" i="55"/>
  <c r="AD14" i="55" s="1"/>
  <c r="Y38" i="55"/>
  <c r="AD38" i="55" s="1"/>
  <c r="AV38" i="55" s="1"/>
  <c r="Y6" i="55"/>
  <c r="AD6" i="55" s="1"/>
  <c r="AV6" i="55" s="1"/>
  <c r="Y33" i="55"/>
  <c r="AD33" i="55" s="1"/>
  <c r="Y7" i="55"/>
  <c r="AD7" i="55" s="1"/>
  <c r="AV7" i="55" s="1"/>
  <c r="Y34" i="55"/>
  <c r="AD34" i="55" s="1"/>
  <c r="Y13" i="55"/>
  <c r="AD13" i="55" s="1"/>
  <c r="Y188" i="55"/>
  <c r="Y180" i="55"/>
  <c r="Y176" i="55"/>
  <c r="Y30" i="55"/>
  <c r="AD30" i="55" s="1"/>
  <c r="AV30" i="55" s="1"/>
  <c r="Y22" i="55"/>
  <c r="AD22" i="55" s="1"/>
  <c r="Y32" i="55"/>
  <c r="AD32" i="55" s="1"/>
  <c r="Y11" i="55"/>
  <c r="AD11" i="55" s="1"/>
  <c r="AV11" i="55" s="1"/>
  <c r="Y19" i="55"/>
  <c r="AD19" i="55" s="1"/>
  <c r="Y193" i="55"/>
  <c r="Y189" i="55"/>
  <c r="Y185" i="55"/>
  <c r="Y181" i="55"/>
  <c r="Y177" i="55"/>
  <c r="Y173" i="55"/>
  <c r="Y31" i="55"/>
  <c r="AD31" i="55" s="1"/>
  <c r="AV31" i="55" s="1"/>
  <c r="Y27" i="55"/>
  <c r="Y23" i="55"/>
  <c r="AD23" i="55" s="1"/>
  <c r="Y36" i="55"/>
  <c r="AD36" i="55" s="1"/>
  <c r="Y16" i="55"/>
  <c r="AD16" i="55" s="1"/>
  <c r="Y40" i="55"/>
  <c r="Y17" i="55"/>
  <c r="AD17" i="55" s="1"/>
  <c r="Y43" i="55"/>
  <c r="Y20" i="55"/>
  <c r="AD20" i="55" s="1"/>
  <c r="AV20" i="55" s="1"/>
  <c r="Y39" i="55"/>
  <c r="AD39" i="55" s="1"/>
  <c r="AV39" i="55" s="1"/>
  <c r="Y427" i="55"/>
  <c r="Y409" i="55"/>
  <c r="Y412" i="55"/>
  <c r="Y408" i="55"/>
  <c r="Y411" i="55"/>
  <c r="Y407" i="55"/>
  <c r="Y410" i="55"/>
  <c r="Y428" i="55"/>
  <c r="Y86" i="55"/>
  <c r="Y84" i="55"/>
  <c r="W757" i="55"/>
  <c r="AE757" i="55" s="1"/>
  <c r="W750" i="55"/>
  <c r="AE750" i="55" s="1"/>
  <c r="W794" i="55"/>
  <c r="AE794" i="55" s="1"/>
  <c r="W755" i="55"/>
  <c r="AE755" i="55" s="1"/>
  <c r="W753" i="55"/>
  <c r="W796" i="55"/>
  <c r="AE796" i="55" s="1"/>
  <c r="W792" i="55"/>
  <c r="W789" i="55"/>
  <c r="AE789" i="55" s="1"/>
  <c r="V691" i="55"/>
  <c r="Y90" i="55"/>
  <c r="Y79" i="55"/>
  <c r="Y641" i="55"/>
  <c r="Y709" i="55"/>
  <c r="Y571" i="55"/>
  <c r="Y566" i="55"/>
  <c r="Y567" i="55"/>
  <c r="Y646" i="55"/>
  <c r="W524" i="55"/>
  <c r="AE524" i="55" s="1"/>
  <c r="Y642" i="55"/>
  <c r="Y501" i="55"/>
  <c r="Y502" i="55"/>
  <c r="W726" i="55"/>
  <c r="AE726" i="55" s="1"/>
  <c r="Y506" i="55"/>
  <c r="Y705" i="55"/>
  <c r="W662" i="55"/>
  <c r="AE662" i="55" s="1"/>
  <c r="Y704" i="55"/>
  <c r="V413" i="55"/>
  <c r="AE413" i="55" s="1"/>
  <c r="V427" i="55"/>
  <c r="AE427" i="55" s="1"/>
  <c r="V439" i="55"/>
  <c r="AE439" i="55" s="1"/>
  <c r="W742" i="55"/>
  <c r="AE742" i="55" s="1"/>
  <c r="W435" i="55"/>
  <c r="AE435" i="55" s="1"/>
  <c r="W357" i="55"/>
  <c r="AE357" i="55" s="1"/>
  <c r="AE285" i="55"/>
  <c r="V717" i="55"/>
  <c r="AE717" i="55" s="1"/>
  <c r="V610" i="55"/>
  <c r="X663" i="55"/>
  <c r="X542" i="55"/>
  <c r="Y658" i="55"/>
  <c r="Y459" i="55"/>
  <c r="W207" i="55"/>
  <c r="AE207" i="55" s="1"/>
  <c r="W749" i="55"/>
  <c r="AE749" i="55" s="1"/>
  <c r="X6" i="55"/>
  <c r="W362" i="55"/>
  <c r="AE362" i="55" s="1"/>
  <c r="W363" i="55"/>
  <c r="AE363" i="55" s="1"/>
  <c r="W364" i="55"/>
  <c r="AE364" i="55" s="1"/>
  <c r="W202" i="55"/>
  <c r="AE202" i="55" s="1"/>
  <c r="W681" i="55"/>
  <c r="AE681" i="55" s="1"/>
  <c r="V672" i="55"/>
  <c r="AE672" i="55" s="1"/>
  <c r="V673" i="55"/>
  <c r="W272" i="55"/>
  <c r="AE272" i="55" s="1"/>
  <c r="W787" i="55"/>
  <c r="AE787" i="55" s="1"/>
  <c r="W102" i="55"/>
  <c r="AE102" i="55" s="1"/>
  <c r="W107" i="55"/>
  <c r="AE107" i="55" s="1"/>
  <c r="W326" i="55"/>
  <c r="AE326" i="55" s="1"/>
  <c r="W89" i="55"/>
  <c r="AE89" i="55" s="1"/>
  <c r="W86" i="55"/>
  <c r="AE86" i="55" s="1"/>
  <c r="W334" i="55"/>
  <c r="AE334" i="55" s="1"/>
  <c r="W325" i="55"/>
  <c r="AE325" i="55" s="1"/>
  <c r="W84" i="55"/>
  <c r="AE84" i="55" s="1"/>
  <c r="W328" i="55"/>
  <c r="AE328" i="55" s="1"/>
  <c r="W331" i="55"/>
  <c r="AE331" i="55" s="1"/>
  <c r="W85" i="55"/>
  <c r="AE85" i="55" s="1"/>
  <c r="W88" i="55"/>
  <c r="AE88" i="55" s="1"/>
  <c r="W335" i="55"/>
  <c r="AE335" i="55" s="1"/>
  <c r="W77" i="55"/>
  <c r="AE77" i="55" s="1"/>
  <c r="W310" i="55"/>
  <c r="AE310" i="55" s="1"/>
  <c r="Y388" i="55"/>
  <c r="Y389" i="55"/>
  <c r="Y390" i="55"/>
  <c r="Y391" i="55"/>
  <c r="E5" i="50"/>
  <c r="Y713" i="55"/>
  <c r="Y651" i="55"/>
  <c r="Y575" i="55"/>
  <c r="Y511" i="55"/>
  <c r="Y714" i="55"/>
  <c r="Y576" i="55"/>
  <c r="Y712" i="55"/>
  <c r="Y650" i="55"/>
  <c r="Y574" i="55"/>
  <c r="Y510" i="55"/>
  <c r="Y652" i="55"/>
  <c r="Y715" i="55"/>
  <c r="Y653" i="55"/>
  <c r="Y513" i="55"/>
  <c r="Y577" i="55"/>
  <c r="Y512" i="55"/>
  <c r="V818" i="55"/>
  <c r="V696" i="55"/>
  <c r="AE696" i="55" s="1"/>
  <c r="V692" i="55"/>
  <c r="AE692" i="55" s="1"/>
  <c r="V631" i="55"/>
  <c r="AE631" i="55" s="1"/>
  <c r="V574" i="55"/>
  <c r="AE574" i="55" s="1"/>
  <c r="V555" i="55"/>
  <c r="AE555" i="55" s="1"/>
  <c r="V339" i="55"/>
  <c r="V490" i="55"/>
  <c r="AE490" i="55" s="1"/>
  <c r="V283" i="55"/>
  <c r="V61" i="55"/>
  <c r="V34" i="55"/>
  <c r="AE34" i="55" s="1"/>
  <c r="V189" i="55"/>
  <c r="AE189" i="55" s="1"/>
  <c r="V695" i="55"/>
  <c r="AE695" i="55" s="1"/>
  <c r="V633" i="55"/>
  <c r="AE633" i="55" s="1"/>
  <c r="V599" i="55"/>
  <c r="V422" i="55"/>
  <c r="V492" i="55"/>
  <c r="AE492" i="55" s="1"/>
  <c r="V488" i="55"/>
  <c r="V37" i="55"/>
  <c r="AE37" i="55" s="1"/>
  <c r="V32" i="55"/>
  <c r="V693" i="55"/>
  <c r="AE693" i="55" s="1"/>
  <c r="V632" i="55"/>
  <c r="AE632" i="55" s="1"/>
  <c r="V558" i="55"/>
  <c r="AE558" i="55" s="1"/>
  <c r="V400" i="55"/>
  <c r="AE400" i="55" s="1"/>
  <c r="V493" i="55"/>
  <c r="AE493" i="55" s="1"/>
  <c r="V187" i="55"/>
  <c r="V36" i="55"/>
  <c r="AE36" i="55" s="1"/>
  <c r="V188" i="55"/>
  <c r="AE188" i="55" s="1"/>
  <c r="V630" i="55"/>
  <c r="AE630" i="55" s="1"/>
  <c r="V557" i="55"/>
  <c r="AE557" i="55" s="1"/>
  <c r="V341" i="55"/>
  <c r="AE341" i="55" s="1"/>
  <c r="V553" i="55"/>
  <c r="V63" i="55"/>
  <c r="AE63" i="55" s="1"/>
  <c r="V35" i="55"/>
  <c r="AE35" i="55" s="1"/>
  <c r="V650" i="55"/>
  <c r="AE650" i="55" s="1"/>
  <c r="V491" i="55"/>
  <c r="AE491" i="55" s="1"/>
  <c r="V629" i="55"/>
  <c r="AE629" i="55" s="1"/>
  <c r="V62" i="55"/>
  <c r="AE62" i="55" s="1"/>
  <c r="V554" i="55"/>
  <c r="AE554" i="55" s="1"/>
  <c r="V556" i="55"/>
  <c r="AE556" i="55" s="1"/>
  <c r="V33" i="55"/>
  <c r="AE33" i="55" s="1"/>
  <c r="V712" i="55"/>
  <c r="V450" i="55"/>
  <c r="AE450" i="55" s="1"/>
  <c r="Y152" i="55"/>
  <c r="W606" i="55"/>
  <c r="AE606" i="55" s="1"/>
  <c r="W531" i="55"/>
  <c r="AE531" i="55" s="1"/>
  <c r="W176" i="55"/>
  <c r="AE176" i="55" s="1"/>
  <c r="W674" i="55"/>
  <c r="AE674" i="55" s="1"/>
  <c r="W536" i="55"/>
  <c r="AE536" i="55" s="1"/>
  <c r="W669" i="55"/>
  <c r="AE669" i="55" s="1"/>
  <c r="W471" i="55"/>
  <c r="AE471" i="55" s="1"/>
  <c r="W55" i="55"/>
  <c r="AE55" i="55" s="1"/>
  <c r="W466" i="55"/>
  <c r="AE466" i="55" s="1"/>
  <c r="W611" i="55"/>
  <c r="AE611" i="55" s="1"/>
  <c r="V764" i="55"/>
  <c r="W179" i="55"/>
  <c r="AE179" i="55" s="1"/>
  <c r="W621" i="55"/>
  <c r="W752" i="55"/>
  <c r="V803" i="55"/>
  <c r="W540" i="55"/>
  <c r="AE540" i="55" s="1"/>
  <c r="W481" i="55"/>
  <c r="W19" i="55"/>
  <c r="AE19" i="55" s="1"/>
  <c r="W678" i="55"/>
  <c r="AE678" i="55" s="1"/>
  <c r="V769" i="55"/>
  <c r="V779" i="55"/>
  <c r="W803" i="55"/>
  <c r="W764" i="55"/>
  <c r="AE764" i="55" s="1"/>
  <c r="Y580" i="55"/>
  <c r="Y669" i="55"/>
  <c r="Y473" i="55"/>
  <c r="Y556" i="55"/>
  <c r="W709" i="55"/>
  <c r="AE709" i="55" s="1"/>
  <c r="W628" i="55"/>
  <c r="W423" i="55"/>
  <c r="AE423" i="55" s="1"/>
  <c r="W553" i="55"/>
  <c r="Y159" i="55"/>
  <c r="W165" i="55"/>
  <c r="AE165" i="55" s="1"/>
  <c r="V751" i="55"/>
  <c r="W790" i="55"/>
  <c r="AE790" i="55" s="1"/>
  <c r="V220" i="55"/>
  <c r="V795" i="55"/>
  <c r="W762" i="55"/>
  <c r="AE762" i="55" s="1"/>
  <c r="W13" i="55"/>
  <c r="W199" i="55"/>
  <c r="AE199" i="55" s="1"/>
  <c r="W319" i="55"/>
  <c r="AE319" i="55" s="1"/>
  <c r="V16" i="55"/>
  <c r="AE16" i="55" s="1"/>
  <c r="W322" i="55"/>
  <c r="AE322" i="55" s="1"/>
  <c r="W833" i="55"/>
  <c r="AE833" i="55" s="1"/>
  <c r="Y593" i="55"/>
  <c r="Y592" i="55"/>
  <c r="Y591" i="55"/>
  <c r="Y590" i="55"/>
  <c r="Y87" i="55"/>
  <c r="Y89" i="55"/>
  <c r="W209" i="55"/>
  <c r="X412" i="55"/>
  <c r="X410" i="55"/>
  <c r="Y396" i="55"/>
  <c r="Y74" i="55"/>
  <c r="Y110" i="55"/>
  <c r="X242" i="55"/>
  <c r="Y109" i="55"/>
  <c r="Y111" i="55"/>
  <c r="Y112" i="55"/>
  <c r="Y114" i="55"/>
  <c r="Y113" i="55"/>
  <c r="Y421" i="55"/>
  <c r="V628" i="55"/>
  <c r="V510" i="55"/>
  <c r="W75" i="55"/>
  <c r="AE75" i="55" s="1"/>
  <c r="Y77" i="55"/>
  <c r="W204" i="55"/>
  <c r="AE204" i="55" s="1"/>
  <c r="W235" i="55"/>
  <c r="AE235" i="55" s="1"/>
  <c r="W268" i="55"/>
  <c r="AE268" i="55" s="1"/>
  <c r="W280" i="55"/>
  <c r="AE280" i="55" s="1"/>
  <c r="W205" i="55"/>
  <c r="AE205" i="55" s="1"/>
  <c r="W270" i="55"/>
  <c r="AE270" i="55" s="1"/>
  <c r="W24" i="55"/>
  <c r="AE24" i="55" s="1"/>
  <c r="W234" i="55"/>
  <c r="AE234" i="55" s="1"/>
  <c r="E14" i="50"/>
  <c r="W223" i="55"/>
  <c r="AE223" i="55" s="1"/>
  <c r="V455" i="55"/>
  <c r="AE455" i="55" s="1"/>
  <c r="V739" i="55"/>
  <c r="AE739" i="55" s="1"/>
  <c r="W740" i="55"/>
  <c r="AE740" i="55" s="1"/>
  <c r="X477" i="55"/>
  <c r="V516" i="55"/>
  <c r="AE516" i="55" s="1"/>
  <c r="V470" i="55"/>
  <c r="X680" i="55"/>
  <c r="Y432" i="55"/>
  <c r="Y520" i="55"/>
  <c r="W267" i="55"/>
  <c r="AE267" i="55" s="1"/>
  <c r="W265" i="55"/>
  <c r="AE265" i="55" s="1"/>
  <c r="W264" i="55"/>
  <c r="AE264" i="55" s="1"/>
  <c r="W327" i="55"/>
  <c r="AE327" i="55" s="1"/>
  <c r="W215" i="55"/>
  <c r="AE215" i="55" s="1"/>
  <c r="X463" i="55"/>
  <c r="Y116" i="55"/>
  <c r="Y117" i="55"/>
  <c r="Y124" i="55"/>
  <c r="W291" i="55"/>
  <c r="AE291" i="55" s="1"/>
  <c r="V12" i="55"/>
  <c r="AE12" i="55" s="1"/>
  <c r="W754" i="55"/>
  <c r="AE754" i="55" s="1"/>
  <c r="J21" i="21"/>
  <c r="K21" i="21" s="1"/>
  <c r="J371" i="21"/>
  <c r="K371" i="21" s="1"/>
  <c r="J361" i="21"/>
  <c r="K361" i="21" s="1"/>
  <c r="J256" i="21"/>
  <c r="K256" i="21" s="1"/>
  <c r="J375" i="21"/>
  <c r="K375" i="21" s="1"/>
  <c r="J354" i="21"/>
  <c r="K354" i="21" s="1"/>
  <c r="J248" i="21"/>
  <c r="K248" i="21" s="1"/>
  <c r="D17" i="50"/>
  <c r="J381" i="21"/>
  <c r="K381" i="21" s="1"/>
  <c r="J356" i="21"/>
  <c r="K356" i="21" s="1"/>
  <c r="E3" i="50" s="1"/>
  <c r="J249" i="21"/>
  <c r="K249" i="21" s="1"/>
  <c r="AD218" i="55"/>
  <c r="AV218" i="55" s="1"/>
  <c r="U218" i="55"/>
  <c r="AU218" i="55"/>
  <c r="AD249" i="55"/>
  <c r="AV249" i="55" s="1"/>
  <c r="U249" i="55"/>
  <c r="AU249" i="55"/>
  <c r="AI126" i="19"/>
  <c r="Q158" i="19"/>
  <c r="Z241" i="19"/>
  <c r="K38" i="19"/>
  <c r="Q285" i="19"/>
  <c r="Z250" i="19"/>
  <c r="Z134" i="19"/>
  <c r="Z7" i="19"/>
  <c r="AL292" i="19"/>
  <c r="K21" i="19"/>
  <c r="Z225" i="19"/>
  <c r="K33" i="19"/>
  <c r="AL117" i="19"/>
  <c r="W240" i="19"/>
  <c r="Z76" i="19"/>
  <c r="AC286" i="19"/>
  <c r="Q279" i="19"/>
  <c r="W215" i="19"/>
  <c r="K13" i="19"/>
  <c r="AC65" i="19"/>
  <c r="W224" i="19"/>
  <c r="Z39" i="19"/>
  <c r="AL275" i="19"/>
  <c r="W249" i="19"/>
  <c r="Z161" i="19"/>
  <c r="T5" i="19"/>
  <c r="AC280" i="19"/>
  <c r="Z216" i="19"/>
  <c r="Z34" i="19"/>
  <c r="J207" i="21"/>
  <c r="K207" i="21" s="1"/>
  <c r="S784" i="55"/>
  <c r="S781" i="55"/>
  <c r="S785" i="55"/>
  <c r="S779" i="55"/>
  <c r="S783" i="55"/>
  <c r="S778" i="55"/>
  <c r="S782" i="55"/>
  <c r="S777" i="55"/>
  <c r="J360" i="21"/>
  <c r="K360" i="21" s="1"/>
  <c r="J374" i="21"/>
  <c r="K374" i="21" s="1"/>
  <c r="J303" i="21"/>
  <c r="K303" i="21" s="1"/>
  <c r="J376" i="21"/>
  <c r="K376" i="21" s="1"/>
  <c r="J302" i="21"/>
  <c r="K302" i="21" s="1"/>
  <c r="D10" i="50"/>
  <c r="T27" i="11"/>
  <c r="D19" i="9" s="1"/>
  <c r="S734" i="55" s="1"/>
  <c r="J15" i="21"/>
  <c r="K15" i="21" s="1"/>
  <c r="D4" i="50"/>
  <c r="J380" i="21"/>
  <c r="K380" i="21" s="1"/>
  <c r="J14" i="21"/>
  <c r="K14" i="21" s="1"/>
  <c r="J282" i="21"/>
  <c r="K282" i="21" s="1"/>
  <c r="J366" i="21"/>
  <c r="K366" i="21" s="1"/>
  <c r="J268" i="21"/>
  <c r="K268" i="21" s="1"/>
  <c r="S740" i="55"/>
  <c r="S737" i="55"/>
  <c r="J365" i="21"/>
  <c r="K365" i="21" s="1"/>
  <c r="J298" i="21"/>
  <c r="K298" i="21" s="1"/>
  <c r="AD217" i="55"/>
  <c r="AV217" i="55" s="1"/>
  <c r="AU217" i="55"/>
  <c r="U217" i="55"/>
  <c r="AF217" i="55" s="1"/>
  <c r="AH217" i="55" s="1"/>
  <c r="J19" i="21"/>
  <c r="K19" i="21" s="1"/>
  <c r="J385" i="21"/>
  <c r="K385" i="21" s="1"/>
  <c r="J379" i="21"/>
  <c r="K379" i="21" s="1"/>
  <c r="J16" i="21"/>
  <c r="K16" i="21" s="1"/>
  <c r="H27" i="56"/>
  <c r="C35" i="9" s="1"/>
  <c r="J384" i="21"/>
  <c r="K384" i="21" s="1"/>
  <c r="J275" i="21"/>
  <c r="K275" i="21" s="1"/>
  <c r="S264" i="55"/>
  <c r="S261" i="55"/>
  <c r="S265" i="55"/>
  <c r="S259" i="55"/>
  <c r="S262" i="55"/>
  <c r="S258" i="55"/>
  <c r="S257" i="55"/>
  <c r="S263" i="55"/>
  <c r="J355" i="21"/>
  <c r="K355" i="21" s="1"/>
  <c r="J264" i="21"/>
  <c r="K264" i="21" s="1"/>
  <c r="J388" i="21"/>
  <c r="K388" i="21" s="1"/>
  <c r="J364" i="21"/>
  <c r="K364" i="21" s="1"/>
  <c r="J270" i="21"/>
  <c r="K270" i="21" s="1"/>
  <c r="AD213" i="55"/>
  <c r="AV213" i="55" s="1"/>
  <c r="AU213" i="55"/>
  <c r="U213" i="55"/>
  <c r="D3" i="50"/>
  <c r="S732" i="55"/>
  <c r="S601" i="55"/>
  <c r="S600" i="55"/>
  <c r="S598" i="55"/>
  <c r="S596" i="55"/>
  <c r="S594" i="55"/>
  <c r="S592" i="55"/>
  <c r="S590" i="55"/>
  <c r="S599" i="55"/>
  <c r="S597" i="55"/>
  <c r="S595" i="55"/>
  <c r="S593" i="55"/>
  <c r="S591" i="55"/>
  <c r="S800" i="55"/>
  <c r="S803" i="55"/>
  <c r="S801" i="55"/>
  <c r="S798" i="55"/>
  <c r="S796" i="55"/>
  <c r="S794" i="55"/>
  <c r="S792" i="55"/>
  <c r="S790" i="55"/>
  <c r="S788" i="55"/>
  <c r="S804" i="55"/>
  <c r="S802" i="55"/>
  <c r="S799" i="55"/>
  <c r="S797" i="55"/>
  <c r="S795" i="55"/>
  <c r="S793" i="55"/>
  <c r="S791" i="55"/>
  <c r="S789" i="55"/>
  <c r="S787" i="55"/>
  <c r="AD780" i="55"/>
  <c r="AV780" i="55" s="1"/>
  <c r="U780" i="55"/>
  <c r="AU780" i="55"/>
  <c r="AD739" i="55"/>
  <c r="AV739" i="55" s="1"/>
  <c r="AU739" i="55"/>
  <c r="U739" i="55"/>
  <c r="AD738" i="55"/>
  <c r="AV738" i="55" s="1"/>
  <c r="AU738" i="55"/>
  <c r="U738" i="55"/>
  <c r="AD825" i="55"/>
  <c r="AV825" i="55" s="1"/>
  <c r="U825" i="55"/>
  <c r="AU825" i="55"/>
  <c r="AD760" i="55"/>
  <c r="AV760" i="55" s="1"/>
  <c r="U760" i="55"/>
  <c r="AU760" i="55"/>
  <c r="AD757" i="55"/>
  <c r="AV757" i="55" s="1"/>
  <c r="U757" i="55"/>
  <c r="AU757" i="55"/>
  <c r="AD754" i="55"/>
  <c r="AV754" i="55" s="1"/>
  <c r="AU754" i="55"/>
  <c r="U754" i="55"/>
  <c r="AD755" i="55"/>
  <c r="AV755" i="55" s="1"/>
  <c r="AU755" i="55"/>
  <c r="U755" i="55"/>
  <c r="AD836" i="55"/>
  <c r="AV836" i="55" s="1"/>
  <c r="U836" i="55"/>
  <c r="AU836" i="55"/>
  <c r="AD666" i="55"/>
  <c r="AV666" i="55" s="1"/>
  <c r="AU666" i="55"/>
  <c r="U666" i="55"/>
  <c r="AD674" i="55"/>
  <c r="AV674" i="55" s="1"/>
  <c r="U674" i="55"/>
  <c r="AU674" i="55"/>
  <c r="AD682" i="55"/>
  <c r="AV682" i="55" s="1"/>
  <c r="AU682" i="55"/>
  <c r="U682" i="55"/>
  <c r="AD690" i="55"/>
  <c r="AV690" i="55" s="1"/>
  <c r="U690" i="55"/>
  <c r="AU690" i="55"/>
  <c r="AD698" i="55"/>
  <c r="AV698" i="55" s="1"/>
  <c r="AU698" i="55"/>
  <c r="U698" i="55"/>
  <c r="AD706" i="55"/>
  <c r="AV706" i="55" s="1"/>
  <c r="AU706" i="55"/>
  <c r="U706" i="55"/>
  <c r="AD714" i="55"/>
  <c r="AV714" i="55" s="1"/>
  <c r="U714" i="55"/>
  <c r="AU714" i="55"/>
  <c r="AD722" i="55"/>
  <c r="AV722" i="55" s="1"/>
  <c r="U722" i="55"/>
  <c r="AU722" i="55"/>
  <c r="AD669" i="55"/>
  <c r="AV669" i="55" s="1"/>
  <c r="AU669" i="55"/>
  <c r="U669" i="55"/>
  <c r="AD677" i="55"/>
  <c r="AV677" i="55" s="1"/>
  <c r="AU677" i="55"/>
  <c r="U677" i="55"/>
  <c r="AD685" i="55"/>
  <c r="AV685" i="55" s="1"/>
  <c r="U685" i="55"/>
  <c r="AU685" i="55"/>
  <c r="AD693" i="55"/>
  <c r="AV693" i="55" s="1"/>
  <c r="AU693" i="55"/>
  <c r="U693" i="55"/>
  <c r="AD701" i="55"/>
  <c r="AV701" i="55" s="1"/>
  <c r="AU701" i="55"/>
  <c r="U701" i="55"/>
  <c r="AD709" i="55"/>
  <c r="AV709" i="55" s="1"/>
  <c r="AU709" i="55"/>
  <c r="U709" i="55"/>
  <c r="AD717" i="55"/>
  <c r="AV717" i="55" s="1"/>
  <c r="U717" i="55"/>
  <c r="AU717" i="55"/>
  <c r="AD725" i="55"/>
  <c r="AV725" i="55" s="1"/>
  <c r="U725" i="55"/>
  <c r="AU725" i="55"/>
  <c r="AD364" i="55"/>
  <c r="AV364" i="55" s="1"/>
  <c r="AU364" i="55"/>
  <c r="U364" i="55"/>
  <c r="AD328" i="55"/>
  <c r="AV328" i="55" s="1"/>
  <c r="U328" i="55"/>
  <c r="AU328" i="55"/>
  <c r="AD336" i="55"/>
  <c r="AV336" i="55" s="1"/>
  <c r="U336" i="55"/>
  <c r="AF336" i="55" s="1"/>
  <c r="AH336" i="55" s="1"/>
  <c r="AU336" i="55"/>
  <c r="AD331" i="55"/>
  <c r="AV331" i="55" s="1"/>
  <c r="AU331" i="55"/>
  <c r="U331" i="55"/>
  <c r="S255" i="55"/>
  <c r="S253" i="55"/>
  <c r="S251" i="55"/>
  <c r="S254" i="55"/>
  <c r="S252" i="55"/>
  <c r="AD543" i="55"/>
  <c r="AV543" i="55" s="1"/>
  <c r="U543" i="55"/>
  <c r="AU543" i="55"/>
  <c r="AD559" i="55"/>
  <c r="AV559" i="55" s="1"/>
  <c r="AU559" i="55"/>
  <c r="U559" i="55"/>
  <c r="AD575" i="55"/>
  <c r="AV575" i="55" s="1"/>
  <c r="U575" i="55"/>
  <c r="AU575" i="55"/>
  <c r="AD528" i="55"/>
  <c r="AV528" i="55" s="1"/>
  <c r="AU528" i="55"/>
  <c r="U528" i="55"/>
  <c r="AD544" i="55"/>
  <c r="AV544" i="55" s="1"/>
  <c r="U544" i="55"/>
  <c r="AU544" i="55"/>
  <c r="AD560" i="55"/>
  <c r="AV560" i="55" s="1"/>
  <c r="AU560" i="55"/>
  <c r="U560" i="55"/>
  <c r="AD576" i="55"/>
  <c r="AV576" i="55" s="1"/>
  <c r="AU576" i="55"/>
  <c r="U576" i="55"/>
  <c r="AD529" i="55"/>
  <c r="AV529" i="55" s="1"/>
  <c r="AU529" i="55"/>
  <c r="U529" i="55"/>
  <c r="AD545" i="55"/>
  <c r="AV545" i="55" s="1"/>
  <c r="U545" i="55"/>
  <c r="AU545" i="55"/>
  <c r="AD561" i="55"/>
  <c r="AV561" i="55" s="1"/>
  <c r="AU561" i="55"/>
  <c r="U561" i="55"/>
  <c r="AD577" i="55"/>
  <c r="AV577" i="55" s="1"/>
  <c r="AU577" i="55"/>
  <c r="U577" i="55"/>
  <c r="AD534" i="55"/>
  <c r="AV534" i="55" s="1"/>
  <c r="AU534" i="55"/>
  <c r="U534" i="55"/>
  <c r="AD550" i="55"/>
  <c r="AV550" i="55" s="1"/>
  <c r="U550" i="55"/>
  <c r="AU550" i="55"/>
  <c r="AD566" i="55"/>
  <c r="AV566" i="55" s="1"/>
  <c r="AU566" i="55"/>
  <c r="U566" i="55"/>
  <c r="AD582" i="55"/>
  <c r="AV582" i="55" s="1"/>
  <c r="AU582" i="55"/>
  <c r="U582" i="55"/>
  <c r="AD412" i="55"/>
  <c r="AV412" i="55" s="1"/>
  <c r="AU412" i="55"/>
  <c r="U412" i="55"/>
  <c r="AD420" i="55"/>
  <c r="AV420" i="55" s="1"/>
  <c r="U420" i="55"/>
  <c r="AU420" i="55"/>
  <c r="AD428" i="55"/>
  <c r="AV428" i="55" s="1"/>
  <c r="AU428" i="55"/>
  <c r="U428" i="55"/>
  <c r="AD409" i="55"/>
  <c r="AV409" i="55" s="1"/>
  <c r="AU409" i="55"/>
  <c r="U409" i="55"/>
  <c r="AD417" i="55"/>
  <c r="AV417" i="55" s="1"/>
  <c r="AU417" i="55"/>
  <c r="U417" i="55"/>
  <c r="AD425" i="55"/>
  <c r="AV425" i="55" s="1"/>
  <c r="U425" i="55"/>
  <c r="AU425" i="55"/>
  <c r="AD433" i="55"/>
  <c r="AV433" i="55" s="1"/>
  <c r="AU433" i="55"/>
  <c r="U433" i="55"/>
  <c r="AD394" i="55"/>
  <c r="AV394" i="55" s="1"/>
  <c r="U394" i="55"/>
  <c r="AU394" i="55"/>
  <c r="AD402" i="55"/>
  <c r="AV402" i="55" s="1"/>
  <c r="AU402" i="55"/>
  <c r="U402" i="55"/>
  <c r="AD393" i="55"/>
  <c r="AV393" i="55" s="1"/>
  <c r="AU393" i="55"/>
  <c r="U393" i="55"/>
  <c r="AD401" i="55"/>
  <c r="AV401" i="55" s="1"/>
  <c r="U401" i="55"/>
  <c r="AU401" i="55"/>
  <c r="AD381" i="55"/>
  <c r="AV381" i="55" s="1"/>
  <c r="AU381" i="55"/>
  <c r="U381" i="55"/>
  <c r="AD351" i="55"/>
  <c r="AV351" i="55" s="1"/>
  <c r="AU351" i="55"/>
  <c r="U351" i="55"/>
  <c r="AD359" i="55"/>
  <c r="AV359" i="55" s="1"/>
  <c r="AU359" i="55"/>
  <c r="U359" i="55"/>
  <c r="AD352" i="55"/>
  <c r="AV352" i="55" s="1"/>
  <c r="U352" i="55"/>
  <c r="AU352" i="55"/>
  <c r="AD377" i="55"/>
  <c r="AV377" i="55" s="1"/>
  <c r="U377" i="55"/>
  <c r="AF377" i="55" s="1"/>
  <c r="AH377" i="55" s="1"/>
  <c r="AU377" i="55"/>
  <c r="AD314" i="55"/>
  <c r="AV314" i="55" s="1"/>
  <c r="AU314" i="55"/>
  <c r="U314" i="55"/>
  <c r="AD322" i="55"/>
  <c r="AV322" i="55" s="1"/>
  <c r="U322" i="55"/>
  <c r="AU322" i="55"/>
  <c r="AD313" i="55"/>
  <c r="AV313" i="55" s="1"/>
  <c r="U313" i="55"/>
  <c r="AU313" i="55"/>
  <c r="AD321" i="55"/>
  <c r="AV321" i="55" s="1"/>
  <c r="AU321" i="55"/>
  <c r="U321" i="55"/>
  <c r="AD216" i="55"/>
  <c r="AV216" i="55" s="1"/>
  <c r="U216" i="55"/>
  <c r="AU216" i="55"/>
  <c r="AD453" i="55"/>
  <c r="AV453" i="55" s="1"/>
  <c r="AU453" i="55"/>
  <c r="U453" i="55"/>
  <c r="AD437" i="55"/>
  <c r="AV437" i="55" s="1"/>
  <c r="AU437" i="55"/>
  <c r="U437" i="55"/>
  <c r="AD446" i="55"/>
  <c r="AV446" i="55" s="1"/>
  <c r="U446" i="55"/>
  <c r="AU446" i="55"/>
  <c r="AD447" i="55"/>
  <c r="AV447" i="55" s="1"/>
  <c r="AU447" i="55"/>
  <c r="U447" i="55"/>
  <c r="AD436" i="55"/>
  <c r="AV436" i="55" s="1"/>
  <c r="U436" i="55"/>
  <c r="AU436" i="55"/>
  <c r="AD444" i="55"/>
  <c r="AV444" i="55" s="1"/>
  <c r="U444" i="55"/>
  <c r="AU444" i="55"/>
  <c r="AD460" i="55"/>
  <c r="AV460" i="55" s="1"/>
  <c r="U460" i="55"/>
  <c r="AU460" i="55"/>
  <c r="AD386" i="55"/>
  <c r="AV386" i="55" s="1"/>
  <c r="U386" i="55"/>
  <c r="AU386" i="55"/>
  <c r="AD338" i="55"/>
  <c r="AV338" i="55" s="1"/>
  <c r="AU338" i="55"/>
  <c r="U338" i="55"/>
  <c r="S286" i="55"/>
  <c r="S284" i="55"/>
  <c r="S282" i="55"/>
  <c r="S280" i="55"/>
  <c r="S278" i="55"/>
  <c r="S276" i="55"/>
  <c r="S274" i="55"/>
  <c r="S272" i="55"/>
  <c r="S270" i="55"/>
  <c r="S268" i="55"/>
  <c r="S285" i="55"/>
  <c r="S283" i="55"/>
  <c r="S281" i="55"/>
  <c r="S279" i="55"/>
  <c r="S277" i="55"/>
  <c r="S275" i="55"/>
  <c r="S273" i="55"/>
  <c r="S271" i="55"/>
  <c r="S269" i="55"/>
  <c r="S267" i="55"/>
  <c r="S210" i="55"/>
  <c r="S208" i="55"/>
  <c r="S206" i="55"/>
  <c r="S204" i="55"/>
  <c r="S209" i="55"/>
  <c r="S207" i="55"/>
  <c r="S205" i="55"/>
  <c r="S203" i="55"/>
  <c r="S201" i="55"/>
  <c r="S199" i="55"/>
  <c r="S197" i="55"/>
  <c r="S195" i="55"/>
  <c r="S202" i="55"/>
  <c r="S200" i="55"/>
  <c r="S198" i="55"/>
  <c r="S196" i="55"/>
  <c r="AD147" i="55"/>
  <c r="AV147" i="55" s="1"/>
  <c r="AU147" i="55"/>
  <c r="U147" i="55"/>
  <c r="AD146" i="55"/>
  <c r="AV146" i="55" s="1"/>
  <c r="AU146" i="55"/>
  <c r="U146" i="55"/>
  <c r="AD128" i="55"/>
  <c r="AV128" i="55" s="1"/>
  <c r="AU128" i="55"/>
  <c r="U128" i="55"/>
  <c r="AD136" i="55"/>
  <c r="AV136" i="55" s="1"/>
  <c r="AU136" i="55"/>
  <c r="U136" i="55"/>
  <c r="AD131" i="55"/>
  <c r="AV131" i="55" s="1"/>
  <c r="AU131" i="55"/>
  <c r="U131" i="55"/>
  <c r="AD139" i="55"/>
  <c r="AV139" i="55" s="1"/>
  <c r="AU139" i="55"/>
  <c r="U139" i="55"/>
  <c r="AD105" i="55"/>
  <c r="AV105" i="55" s="1"/>
  <c r="U105" i="55"/>
  <c r="AU105" i="55"/>
  <c r="AD102" i="55"/>
  <c r="AV102" i="55" s="1"/>
  <c r="AU102" i="55"/>
  <c r="U102" i="55"/>
  <c r="AD172" i="55"/>
  <c r="AV172" i="55" s="1"/>
  <c r="U172" i="55"/>
  <c r="AU172" i="55"/>
  <c r="AD180" i="55"/>
  <c r="AV180" i="55" s="1"/>
  <c r="AU180" i="55"/>
  <c r="U180" i="55"/>
  <c r="AD188" i="55"/>
  <c r="AV188" i="55" s="1"/>
  <c r="U188" i="55"/>
  <c r="AU188" i="55"/>
  <c r="AD173" i="55"/>
  <c r="AV173" i="55" s="1"/>
  <c r="AU173" i="55"/>
  <c r="U173" i="55"/>
  <c r="AD181" i="55"/>
  <c r="AV181" i="55" s="1"/>
  <c r="AU181" i="55"/>
  <c r="U181" i="55"/>
  <c r="AD189" i="55"/>
  <c r="AV189" i="55" s="1"/>
  <c r="AU189" i="55"/>
  <c r="U189" i="55"/>
  <c r="U9" i="55"/>
  <c r="AU9" i="55"/>
  <c r="U17" i="55"/>
  <c r="AU17" i="55"/>
  <c r="AU25" i="55"/>
  <c r="U25" i="55"/>
  <c r="U33" i="55"/>
  <c r="AU33" i="55"/>
  <c r="U41" i="55"/>
  <c r="AU41" i="55"/>
  <c r="AU8" i="55"/>
  <c r="U8" i="55"/>
  <c r="AU16" i="55"/>
  <c r="U16" i="55"/>
  <c r="AU24" i="55"/>
  <c r="U24" i="55"/>
  <c r="AU32" i="55"/>
  <c r="U32" i="55"/>
  <c r="U40" i="55"/>
  <c r="AU40" i="55"/>
  <c r="AD118" i="55"/>
  <c r="AV118" i="55" s="1"/>
  <c r="AU118" i="55"/>
  <c r="U118" i="55"/>
  <c r="AD117" i="55"/>
  <c r="AV117" i="55" s="1"/>
  <c r="AU117" i="55"/>
  <c r="U117" i="55"/>
  <c r="AD109" i="55"/>
  <c r="AV109" i="55" s="1"/>
  <c r="AU109" i="55"/>
  <c r="U109" i="55"/>
  <c r="AD112" i="55"/>
  <c r="AV112" i="55" s="1"/>
  <c r="AU112" i="55"/>
  <c r="U112" i="55"/>
  <c r="AD76" i="55"/>
  <c r="AV76" i="55" s="1"/>
  <c r="U76" i="55"/>
  <c r="AU76" i="55"/>
  <c r="AD84" i="55"/>
  <c r="AV84" i="55" s="1"/>
  <c r="U84" i="55"/>
  <c r="AU84" i="55"/>
  <c r="AD92" i="55"/>
  <c r="AV92" i="55" s="1"/>
  <c r="U92" i="55"/>
  <c r="AU92" i="55"/>
  <c r="AD73" i="55"/>
  <c r="AV73" i="55" s="1"/>
  <c r="AU73" i="55"/>
  <c r="U73" i="55"/>
  <c r="AD81" i="55"/>
  <c r="AV81" i="55" s="1"/>
  <c r="AU81" i="55"/>
  <c r="U81" i="55"/>
  <c r="AD89" i="55"/>
  <c r="AV89" i="55" s="1"/>
  <c r="AU89" i="55"/>
  <c r="U89" i="55"/>
  <c r="AD230" i="55"/>
  <c r="AV230" i="55" s="1"/>
  <c r="U230" i="55"/>
  <c r="AU230" i="55"/>
  <c r="AD231" i="55"/>
  <c r="AV231" i="55" s="1"/>
  <c r="U231" i="55"/>
  <c r="AU231" i="55"/>
  <c r="AD232" i="55"/>
  <c r="AV232" i="55" s="1"/>
  <c r="U232" i="55"/>
  <c r="AU232" i="55"/>
  <c r="AD155" i="55"/>
  <c r="AV155" i="55" s="1"/>
  <c r="AU155" i="55"/>
  <c r="U155" i="55"/>
  <c r="AD163" i="55"/>
  <c r="AV163" i="55" s="1"/>
  <c r="AU163" i="55"/>
  <c r="U163" i="55"/>
  <c r="AD152" i="55"/>
  <c r="AV152" i="55" s="1"/>
  <c r="AU152" i="55"/>
  <c r="U152" i="55"/>
  <c r="AD160" i="55"/>
  <c r="AV160" i="55" s="1"/>
  <c r="U160" i="55"/>
  <c r="AF160" i="55" s="1"/>
  <c r="AH160" i="55" s="1"/>
  <c r="AU160" i="55"/>
  <c r="AD168" i="55"/>
  <c r="AV168" i="55" s="1"/>
  <c r="U168" i="55"/>
  <c r="AU168" i="55"/>
  <c r="AD54" i="55"/>
  <c r="AV54" i="55" s="1"/>
  <c r="U54" i="55"/>
  <c r="AU54" i="55"/>
  <c r="AD62" i="55"/>
  <c r="AV62" i="55" s="1"/>
  <c r="U62" i="55"/>
  <c r="AU62" i="55"/>
  <c r="AD47" i="55"/>
  <c r="AV47" i="55" s="1"/>
  <c r="AU47" i="55"/>
  <c r="U47" i="55"/>
  <c r="AD55" i="55"/>
  <c r="AV55" i="55" s="1"/>
  <c r="AU55" i="55"/>
  <c r="U55" i="55"/>
  <c r="AD63" i="55"/>
  <c r="AV63" i="55" s="1"/>
  <c r="AU63" i="55"/>
  <c r="U63" i="55"/>
  <c r="S366" i="55"/>
  <c r="S372" i="55"/>
  <c r="S370" i="55"/>
  <c r="S368" i="55"/>
  <c r="S371" i="55"/>
  <c r="S369" i="55"/>
  <c r="S367" i="55"/>
  <c r="S775" i="55"/>
  <c r="S773" i="55"/>
  <c r="S771" i="55"/>
  <c r="S769" i="55"/>
  <c r="S767" i="55"/>
  <c r="S774" i="55"/>
  <c r="S772" i="55"/>
  <c r="S770" i="55"/>
  <c r="S768" i="55"/>
  <c r="S840" i="55"/>
  <c r="S838" i="55"/>
  <c r="S841" i="55"/>
  <c r="S839" i="55"/>
  <c r="AD826" i="55"/>
  <c r="AV826" i="55" s="1"/>
  <c r="AU826" i="55"/>
  <c r="AD748" i="55"/>
  <c r="AV748" i="55" s="1"/>
  <c r="AU748" i="55"/>
  <c r="U748" i="55"/>
  <c r="AD764" i="55"/>
  <c r="AV764" i="55" s="1"/>
  <c r="U764" i="55"/>
  <c r="AU764" i="55"/>
  <c r="AD761" i="55"/>
  <c r="AV761" i="55" s="1"/>
  <c r="AU761" i="55"/>
  <c r="U761" i="55"/>
  <c r="AD758" i="55"/>
  <c r="AV758" i="55" s="1"/>
  <c r="U758" i="55"/>
  <c r="AU758" i="55"/>
  <c r="AD759" i="55"/>
  <c r="AV759" i="55" s="1"/>
  <c r="AU759" i="55"/>
  <c r="U759" i="55"/>
  <c r="AD833" i="55"/>
  <c r="AV833" i="55" s="1"/>
  <c r="AU833" i="55"/>
  <c r="U833" i="55"/>
  <c r="AD668" i="55"/>
  <c r="AV668" i="55" s="1"/>
  <c r="U668" i="55"/>
  <c r="AU668" i="55"/>
  <c r="AD676" i="55"/>
  <c r="AV676" i="55" s="1"/>
  <c r="U676" i="55"/>
  <c r="AU676" i="55"/>
  <c r="AD684" i="55"/>
  <c r="AV684" i="55" s="1"/>
  <c r="AU684" i="55"/>
  <c r="U684" i="55"/>
  <c r="AD692" i="55"/>
  <c r="AV692" i="55" s="1"/>
  <c r="U692" i="55"/>
  <c r="AU692" i="55"/>
  <c r="AD700" i="55"/>
  <c r="AV700" i="55" s="1"/>
  <c r="U700" i="55"/>
  <c r="AU700" i="55"/>
  <c r="AD708" i="55"/>
  <c r="AV708" i="55" s="1"/>
  <c r="U708" i="55"/>
  <c r="AU708" i="55"/>
  <c r="AD716" i="55"/>
  <c r="AV716" i="55" s="1"/>
  <c r="AU716" i="55"/>
  <c r="U716" i="55"/>
  <c r="AD724" i="55"/>
  <c r="AV724" i="55" s="1"/>
  <c r="U724" i="55"/>
  <c r="AU724" i="55"/>
  <c r="AD671" i="55"/>
  <c r="AV671" i="55" s="1"/>
  <c r="U671" i="55"/>
  <c r="AU671" i="55"/>
  <c r="AD679" i="55"/>
  <c r="AV679" i="55" s="1"/>
  <c r="AU679" i="55"/>
  <c r="U679" i="55"/>
  <c r="AD687" i="55"/>
  <c r="AV687" i="55" s="1"/>
  <c r="U687" i="55"/>
  <c r="AU687" i="55"/>
  <c r="AD695" i="55"/>
  <c r="AV695" i="55" s="1"/>
  <c r="U695" i="55"/>
  <c r="AU695" i="55"/>
  <c r="AD703" i="55"/>
  <c r="AV703" i="55" s="1"/>
  <c r="AU703" i="55"/>
  <c r="U703" i="55"/>
  <c r="AD711" i="55"/>
  <c r="AV711" i="55" s="1"/>
  <c r="AU711" i="55"/>
  <c r="U711" i="55"/>
  <c r="AD719" i="55"/>
  <c r="AV719" i="55" s="1"/>
  <c r="U719" i="55"/>
  <c r="AU719" i="55"/>
  <c r="AD727" i="55"/>
  <c r="AV727" i="55" s="1"/>
  <c r="U727" i="55"/>
  <c r="AU727" i="55"/>
  <c r="AD361" i="55"/>
  <c r="AV361" i="55" s="1"/>
  <c r="AU361" i="55"/>
  <c r="U361" i="55"/>
  <c r="AD330" i="55"/>
  <c r="AV330" i="55" s="1"/>
  <c r="U330" i="55"/>
  <c r="AU330" i="55"/>
  <c r="AD325" i="55"/>
  <c r="AV325" i="55" s="1"/>
  <c r="AU325" i="55"/>
  <c r="U325" i="55"/>
  <c r="AD333" i="55"/>
  <c r="AV333" i="55" s="1"/>
  <c r="U333" i="55"/>
  <c r="AU333" i="55"/>
  <c r="AD214" i="55"/>
  <c r="AV214" i="55" s="1"/>
  <c r="AU214" i="55"/>
  <c r="U214" i="55"/>
  <c r="AD531" i="55"/>
  <c r="AV531" i="55" s="1"/>
  <c r="U531" i="55"/>
  <c r="AU531" i="55"/>
  <c r="AD547" i="55"/>
  <c r="AV547" i="55" s="1"/>
  <c r="U547" i="55"/>
  <c r="AU547" i="55"/>
  <c r="AD563" i="55"/>
  <c r="AV563" i="55" s="1"/>
  <c r="U563" i="55"/>
  <c r="AU563" i="55"/>
  <c r="AD579" i="55"/>
  <c r="AV579" i="55" s="1"/>
  <c r="U579" i="55"/>
  <c r="AU579" i="55"/>
  <c r="AD532" i="55"/>
  <c r="AV532" i="55" s="1"/>
  <c r="AU532" i="55"/>
  <c r="U532" i="55"/>
  <c r="AD548" i="55"/>
  <c r="AV548" i="55" s="1"/>
  <c r="AU548" i="55"/>
  <c r="U548" i="55"/>
  <c r="AD564" i="55"/>
  <c r="AV564" i="55" s="1"/>
  <c r="AU564" i="55"/>
  <c r="U564" i="55"/>
  <c r="AD580" i="55"/>
  <c r="AV580" i="55" s="1"/>
  <c r="U580" i="55"/>
  <c r="AU580" i="55"/>
  <c r="AD533" i="55"/>
  <c r="AV533" i="55" s="1"/>
  <c r="AU533" i="55"/>
  <c r="U533" i="55"/>
  <c r="AD549" i="55"/>
  <c r="AV549" i="55" s="1"/>
  <c r="U549" i="55"/>
  <c r="AU549" i="55"/>
  <c r="AD565" i="55"/>
  <c r="AV565" i="55" s="1"/>
  <c r="AU565" i="55"/>
  <c r="U565" i="55"/>
  <c r="AD581" i="55"/>
  <c r="AV581" i="55" s="1"/>
  <c r="U581" i="55"/>
  <c r="AU581" i="55"/>
  <c r="AD538" i="55"/>
  <c r="AV538" i="55" s="1"/>
  <c r="AU538" i="55"/>
  <c r="U538" i="55"/>
  <c r="AD554" i="55"/>
  <c r="AV554" i="55" s="1"/>
  <c r="AU554" i="55"/>
  <c r="U554" i="55"/>
  <c r="AD570" i="55"/>
  <c r="AV570" i="55" s="1"/>
  <c r="U570" i="55"/>
  <c r="AU570" i="55"/>
  <c r="AD586" i="55"/>
  <c r="AV586" i="55" s="1"/>
  <c r="U586" i="55"/>
  <c r="AU586" i="55"/>
  <c r="AD414" i="55"/>
  <c r="AV414" i="55" s="1"/>
  <c r="AU414" i="55"/>
  <c r="U414" i="55"/>
  <c r="AD422" i="55"/>
  <c r="AV422" i="55" s="1"/>
  <c r="U422" i="55"/>
  <c r="AU422" i="55"/>
  <c r="AD430" i="55"/>
  <c r="AV430" i="55" s="1"/>
  <c r="AU430" i="55"/>
  <c r="U430" i="55"/>
  <c r="AD411" i="55"/>
  <c r="AV411" i="55" s="1"/>
  <c r="U411" i="55"/>
  <c r="AU411" i="55"/>
  <c r="AD419" i="55"/>
  <c r="AV419" i="55" s="1"/>
  <c r="AU419" i="55"/>
  <c r="U419" i="55"/>
  <c r="AD427" i="55"/>
  <c r="AV427" i="55" s="1"/>
  <c r="U427" i="55"/>
  <c r="AU427" i="55"/>
  <c r="AD388" i="55"/>
  <c r="AV388" i="55" s="1"/>
  <c r="AU388" i="55"/>
  <c r="U388" i="55"/>
  <c r="AD396" i="55"/>
  <c r="AV396" i="55" s="1"/>
  <c r="U396" i="55"/>
  <c r="AU396" i="55"/>
  <c r="AD404" i="55"/>
  <c r="AV404" i="55" s="1"/>
  <c r="AU404" i="55"/>
  <c r="U404" i="55"/>
  <c r="AD395" i="55"/>
  <c r="AV395" i="55" s="1"/>
  <c r="AU395" i="55"/>
  <c r="U395" i="55"/>
  <c r="AD403" i="55"/>
  <c r="AV403" i="55" s="1"/>
  <c r="AU403" i="55"/>
  <c r="U403" i="55"/>
  <c r="AD380" i="55"/>
  <c r="AV380" i="55" s="1"/>
  <c r="U380" i="55"/>
  <c r="AU380" i="55"/>
  <c r="AD353" i="55"/>
  <c r="AV353" i="55" s="1"/>
  <c r="AU353" i="55"/>
  <c r="U353" i="55"/>
  <c r="AF353" i="55" s="1"/>
  <c r="AH353" i="55" s="1"/>
  <c r="AD346" i="55"/>
  <c r="AV346" i="55" s="1"/>
  <c r="U346" i="55"/>
  <c r="AU346" i="55"/>
  <c r="AD354" i="55"/>
  <c r="AV354" i="55" s="1"/>
  <c r="U354" i="55"/>
  <c r="AU354" i="55"/>
  <c r="AD374" i="55"/>
  <c r="AV374" i="55" s="1"/>
  <c r="U374" i="55"/>
  <c r="AF374" i="55" s="1"/>
  <c r="AH374" i="55" s="1"/>
  <c r="AU374" i="55"/>
  <c r="AD308" i="55"/>
  <c r="AV308" i="55" s="1"/>
  <c r="AU308" i="55"/>
  <c r="U308" i="55"/>
  <c r="AD316" i="55"/>
  <c r="AV316" i="55" s="1"/>
  <c r="U316" i="55"/>
  <c r="AU316" i="55"/>
  <c r="AD307" i="55"/>
  <c r="AV307" i="55" s="1"/>
  <c r="U307" i="55"/>
  <c r="AU307" i="55"/>
  <c r="AD315" i="55"/>
  <c r="AV315" i="55" s="1"/>
  <c r="U315" i="55"/>
  <c r="AU315" i="55"/>
  <c r="AD323" i="55"/>
  <c r="AV323" i="55" s="1"/>
  <c r="AU323" i="55"/>
  <c r="U323" i="55"/>
  <c r="AD212" i="55"/>
  <c r="AV212" i="55" s="1"/>
  <c r="AU212" i="55"/>
  <c r="U212" i="55"/>
  <c r="AD457" i="55"/>
  <c r="AV457" i="55" s="1"/>
  <c r="U457" i="55"/>
  <c r="AU457" i="55"/>
  <c r="AD439" i="55"/>
  <c r="AV439" i="55" s="1"/>
  <c r="U439" i="55"/>
  <c r="AU439" i="55"/>
  <c r="AD450" i="55"/>
  <c r="AV450" i="55" s="1"/>
  <c r="U450" i="55"/>
  <c r="AU450" i="55"/>
  <c r="AD451" i="55"/>
  <c r="AV451" i="55" s="1"/>
  <c r="AU451" i="55"/>
  <c r="U451" i="55"/>
  <c r="AD438" i="55"/>
  <c r="AV438" i="55" s="1"/>
  <c r="AU438" i="55"/>
  <c r="U438" i="55"/>
  <c r="AD448" i="55"/>
  <c r="AV448" i="55" s="1"/>
  <c r="AU448" i="55"/>
  <c r="U448" i="55"/>
  <c r="AD383" i="55"/>
  <c r="AV383" i="55" s="1"/>
  <c r="AU383" i="55"/>
  <c r="U383" i="55"/>
  <c r="AD339" i="55"/>
  <c r="AV339" i="55" s="1"/>
  <c r="AU339" i="55"/>
  <c r="U339" i="55"/>
  <c r="AD340" i="55"/>
  <c r="AV340" i="55" s="1"/>
  <c r="U340" i="55"/>
  <c r="AU340" i="55"/>
  <c r="S227" i="55"/>
  <c r="S225" i="55"/>
  <c r="S223" i="55"/>
  <c r="S228" i="55"/>
  <c r="S226" i="55"/>
  <c r="S224" i="55"/>
  <c r="S222" i="55"/>
  <c r="AD141" i="55"/>
  <c r="AV141" i="55" s="1"/>
  <c r="U141" i="55"/>
  <c r="AF141" i="55" s="1"/>
  <c r="AH141" i="55" s="1"/>
  <c r="AU141" i="55"/>
  <c r="AD149" i="55"/>
  <c r="AV149" i="55" s="1"/>
  <c r="U149" i="55"/>
  <c r="AU149" i="55"/>
  <c r="AD148" i="55"/>
  <c r="AV148" i="55" s="1"/>
  <c r="U148" i="55"/>
  <c r="AU148" i="55"/>
  <c r="AD130" i="55"/>
  <c r="AV130" i="55" s="1"/>
  <c r="U130" i="55"/>
  <c r="AU130" i="55"/>
  <c r="AD138" i="55"/>
  <c r="AV138" i="55" s="1"/>
  <c r="AU138" i="55"/>
  <c r="U138" i="55"/>
  <c r="AD133" i="55"/>
  <c r="AV133" i="55" s="1"/>
  <c r="AU133" i="55"/>
  <c r="U133" i="55"/>
  <c r="AD99" i="55"/>
  <c r="AV99" i="55" s="1"/>
  <c r="U99" i="55"/>
  <c r="AF99" i="55" s="1"/>
  <c r="AH99" i="55" s="1"/>
  <c r="AU99" i="55"/>
  <c r="AD107" i="55"/>
  <c r="AV107" i="55" s="1"/>
  <c r="AU107" i="55"/>
  <c r="U107" i="55"/>
  <c r="AD104" i="55"/>
  <c r="AV104" i="55" s="1"/>
  <c r="AU104" i="55"/>
  <c r="U104" i="55"/>
  <c r="AD174" i="55"/>
  <c r="AV174" i="55" s="1"/>
  <c r="AU174" i="55"/>
  <c r="U174" i="55"/>
  <c r="AD182" i="55"/>
  <c r="AV182" i="55" s="1"/>
  <c r="AU182" i="55"/>
  <c r="U182" i="55"/>
  <c r="AD190" i="55"/>
  <c r="AV190" i="55" s="1"/>
  <c r="U190" i="55"/>
  <c r="AU190" i="55"/>
  <c r="AD175" i="55"/>
  <c r="AV175" i="55" s="1"/>
  <c r="AU175" i="55"/>
  <c r="U175" i="55"/>
  <c r="AD183" i="55"/>
  <c r="AV183" i="55" s="1"/>
  <c r="U183" i="55"/>
  <c r="AU183" i="55"/>
  <c r="AD191" i="55"/>
  <c r="AV191" i="55" s="1"/>
  <c r="AU191" i="55"/>
  <c r="U191" i="55"/>
  <c r="AU11" i="55"/>
  <c r="U11" i="55"/>
  <c r="AU19" i="55"/>
  <c r="U19" i="55"/>
  <c r="U27" i="55"/>
  <c r="AU27" i="55"/>
  <c r="U35" i="55"/>
  <c r="AU35" i="55"/>
  <c r="U43" i="55"/>
  <c r="AU43" i="55"/>
  <c r="AU10" i="55"/>
  <c r="U10" i="55"/>
  <c r="AD18" i="55"/>
  <c r="AU18" i="55"/>
  <c r="U18" i="55"/>
  <c r="AU26" i="55"/>
  <c r="U26" i="55"/>
  <c r="U34" i="55"/>
  <c r="AU34" i="55"/>
  <c r="U42" i="55"/>
  <c r="AU42" i="55"/>
  <c r="AD120" i="55"/>
  <c r="AV120" i="55" s="1"/>
  <c r="AU120" i="55"/>
  <c r="U120" i="55"/>
  <c r="AD119" i="55"/>
  <c r="AV119" i="55" s="1"/>
  <c r="U119" i="55"/>
  <c r="AU119" i="55"/>
  <c r="AD111" i="55"/>
  <c r="AV111" i="55" s="1"/>
  <c r="U111" i="55"/>
  <c r="AU111" i="55"/>
  <c r="AD114" i="55"/>
  <c r="AV114" i="55" s="1"/>
  <c r="U114" i="55"/>
  <c r="AU114" i="55"/>
  <c r="AD78" i="55"/>
  <c r="AV78" i="55" s="1"/>
  <c r="U78" i="55"/>
  <c r="AU78" i="55"/>
  <c r="AD86" i="55"/>
  <c r="AV86" i="55" s="1"/>
  <c r="AU86" i="55"/>
  <c r="U86" i="55"/>
  <c r="AD94" i="55"/>
  <c r="AV94" i="55" s="1"/>
  <c r="AU94" i="55"/>
  <c r="U94" i="55"/>
  <c r="AD75" i="55"/>
  <c r="AV75" i="55" s="1"/>
  <c r="AU75" i="55"/>
  <c r="U75" i="55"/>
  <c r="AD83" i="55"/>
  <c r="AV83" i="55" s="1"/>
  <c r="U83" i="55"/>
  <c r="AU83" i="55"/>
  <c r="AD91" i="55"/>
  <c r="AV91" i="55" s="1"/>
  <c r="AU91" i="55"/>
  <c r="U91" i="55"/>
  <c r="AD233" i="55"/>
  <c r="AV233" i="55" s="1"/>
  <c r="U233" i="55"/>
  <c r="AU233" i="55"/>
  <c r="AD234" i="55"/>
  <c r="AV234" i="55" s="1"/>
  <c r="U234" i="55"/>
  <c r="AU234" i="55"/>
  <c r="AD235" i="55"/>
  <c r="AV235" i="55" s="1"/>
  <c r="U235" i="55"/>
  <c r="AU235" i="55"/>
  <c r="AD236" i="55"/>
  <c r="AV236" i="55" s="1"/>
  <c r="AU236" i="55"/>
  <c r="U236" i="55"/>
  <c r="AD157" i="55"/>
  <c r="AV157" i="55" s="1"/>
  <c r="AU157" i="55"/>
  <c r="U157" i="55"/>
  <c r="AD165" i="55"/>
  <c r="AV165" i="55" s="1"/>
  <c r="U165" i="55"/>
  <c r="AU165" i="55"/>
  <c r="AD154" i="55"/>
  <c r="AV154" i="55" s="1"/>
  <c r="U154" i="55"/>
  <c r="AU154" i="55"/>
  <c r="AD162" i="55"/>
  <c r="AV162" i="55" s="1"/>
  <c r="U162" i="55"/>
  <c r="AF162" i="55" s="1"/>
  <c r="AH162" i="55" s="1"/>
  <c r="AU162" i="55"/>
  <c r="AD48" i="55"/>
  <c r="AV48" i="55" s="1"/>
  <c r="U48" i="55"/>
  <c r="AU48" i="55"/>
  <c r="AD56" i="55"/>
  <c r="AV56" i="55" s="1"/>
  <c r="U56" i="55"/>
  <c r="AU56" i="55"/>
  <c r="AD64" i="55"/>
  <c r="AV64" i="55" s="1"/>
  <c r="AU64" i="55"/>
  <c r="U64" i="55"/>
  <c r="AD49" i="55"/>
  <c r="AV49" i="55" s="1"/>
  <c r="AU49" i="55"/>
  <c r="U49" i="55"/>
  <c r="AD57" i="55"/>
  <c r="AV57" i="55" s="1"/>
  <c r="AU57" i="55"/>
  <c r="U57" i="55"/>
  <c r="AD65" i="55"/>
  <c r="AV65" i="55" s="1"/>
  <c r="AU65" i="55"/>
  <c r="U65" i="55"/>
  <c r="W734" i="55"/>
  <c r="AE734" i="55" s="1"/>
  <c r="S290" i="55"/>
  <c r="S304" i="55"/>
  <c r="S302" i="55"/>
  <c r="S300" i="55"/>
  <c r="S298" i="55"/>
  <c r="S296" i="55"/>
  <c r="S294" i="55"/>
  <c r="S292" i="55"/>
  <c r="S289" i="55"/>
  <c r="S305" i="55"/>
  <c r="S303" i="55"/>
  <c r="S301" i="55"/>
  <c r="S299" i="55"/>
  <c r="S297" i="55"/>
  <c r="S295" i="55"/>
  <c r="S293" i="55"/>
  <c r="S291" i="55"/>
  <c r="S288" i="55"/>
  <c r="AD736" i="55"/>
  <c r="AV736" i="55" s="1"/>
  <c r="AU736" i="55"/>
  <c r="U736" i="55"/>
  <c r="AF736" i="55" s="1"/>
  <c r="AH736" i="55" s="1"/>
  <c r="S831" i="55"/>
  <c r="S829" i="55"/>
  <c r="S830" i="55"/>
  <c r="S828" i="55"/>
  <c r="AD823" i="55"/>
  <c r="AV823" i="55" s="1"/>
  <c r="AU823" i="55"/>
  <c r="U823" i="55"/>
  <c r="AF823" i="55" s="1"/>
  <c r="AH823" i="55" s="1"/>
  <c r="AD752" i="55"/>
  <c r="AV752" i="55" s="1"/>
  <c r="AU752" i="55"/>
  <c r="U752" i="55"/>
  <c r="AD749" i="55"/>
  <c r="AV749" i="55" s="1"/>
  <c r="U749" i="55"/>
  <c r="AU749" i="55"/>
  <c r="AD765" i="55"/>
  <c r="AV765" i="55" s="1"/>
  <c r="AU765" i="55"/>
  <c r="U765" i="55"/>
  <c r="AD762" i="55"/>
  <c r="AV762" i="55" s="1"/>
  <c r="U762" i="55"/>
  <c r="AU762" i="55"/>
  <c r="AD763" i="55"/>
  <c r="AV763" i="55" s="1"/>
  <c r="AU763" i="55"/>
  <c r="U763" i="55"/>
  <c r="AD834" i="55"/>
  <c r="AV834" i="55" s="1"/>
  <c r="AU834" i="55"/>
  <c r="U834" i="55"/>
  <c r="AD670" i="55"/>
  <c r="AV670" i="55" s="1"/>
  <c r="U670" i="55"/>
  <c r="AU670" i="55"/>
  <c r="AD678" i="55"/>
  <c r="AV678" i="55" s="1"/>
  <c r="U678" i="55"/>
  <c r="AU678" i="55"/>
  <c r="AD686" i="55"/>
  <c r="AV686" i="55" s="1"/>
  <c r="AU686" i="55"/>
  <c r="U686" i="55"/>
  <c r="AD694" i="55"/>
  <c r="AV694" i="55" s="1"/>
  <c r="U694" i="55"/>
  <c r="AU694" i="55"/>
  <c r="AD702" i="55"/>
  <c r="AV702" i="55" s="1"/>
  <c r="U702" i="55"/>
  <c r="AU702" i="55"/>
  <c r="AD710" i="55"/>
  <c r="AV710" i="55" s="1"/>
  <c r="AU710" i="55"/>
  <c r="U710" i="55"/>
  <c r="AD718" i="55"/>
  <c r="AV718" i="55" s="1"/>
  <c r="AU718" i="55"/>
  <c r="U718" i="55"/>
  <c r="AD726" i="55"/>
  <c r="AV726" i="55" s="1"/>
  <c r="AU726" i="55"/>
  <c r="U726" i="55"/>
  <c r="AD673" i="55"/>
  <c r="AV673" i="55" s="1"/>
  <c r="AU673" i="55"/>
  <c r="U673" i="55"/>
  <c r="AD681" i="55"/>
  <c r="AV681" i="55" s="1"/>
  <c r="AU681" i="55"/>
  <c r="U681" i="55"/>
  <c r="AD689" i="55"/>
  <c r="AV689" i="55" s="1"/>
  <c r="U689" i="55"/>
  <c r="AU689" i="55"/>
  <c r="AD697" i="55"/>
  <c r="AV697" i="55" s="1"/>
  <c r="U697" i="55"/>
  <c r="AU697" i="55"/>
  <c r="AD705" i="55"/>
  <c r="AV705" i="55" s="1"/>
  <c r="AU705" i="55"/>
  <c r="U705" i="55"/>
  <c r="AD713" i="55"/>
  <c r="AV713" i="55" s="1"/>
  <c r="AU713" i="55"/>
  <c r="U713" i="55"/>
  <c r="AD721" i="55"/>
  <c r="AV721" i="55" s="1"/>
  <c r="U721" i="55"/>
  <c r="AU721" i="55"/>
  <c r="S525" i="55"/>
  <c r="S523" i="55"/>
  <c r="S521" i="55"/>
  <c r="S519" i="55"/>
  <c r="S517" i="55"/>
  <c r="S515" i="55"/>
  <c r="S513" i="55"/>
  <c r="S511" i="55"/>
  <c r="S509" i="55"/>
  <c r="S507" i="55"/>
  <c r="S505" i="55"/>
  <c r="S503" i="55"/>
  <c r="S501" i="55"/>
  <c r="S499" i="55"/>
  <c r="S497" i="55"/>
  <c r="S495" i="55"/>
  <c r="S493" i="55"/>
  <c r="S491" i="55"/>
  <c r="S489" i="55"/>
  <c r="S487" i="55"/>
  <c r="S485" i="55"/>
  <c r="S483" i="55"/>
  <c r="S481" i="55"/>
  <c r="S479" i="55"/>
  <c r="S477" i="55"/>
  <c r="S475" i="55"/>
  <c r="S473" i="55"/>
  <c r="S471" i="55"/>
  <c r="S469" i="55"/>
  <c r="S467" i="55"/>
  <c r="S465" i="55"/>
  <c r="S463" i="55"/>
  <c r="S526" i="55"/>
  <c r="S524" i="55"/>
  <c r="S522" i="55"/>
  <c r="S520" i="55"/>
  <c r="S518" i="55"/>
  <c r="S516" i="55"/>
  <c r="S514" i="55"/>
  <c r="S512" i="55"/>
  <c r="S510" i="55"/>
  <c r="S508" i="55"/>
  <c r="S506" i="55"/>
  <c r="S504" i="55"/>
  <c r="S502" i="55"/>
  <c r="S500" i="55"/>
  <c r="S498" i="55"/>
  <c r="S496" i="55"/>
  <c r="S494" i="55"/>
  <c r="S492" i="55"/>
  <c r="S490" i="55"/>
  <c r="S488" i="55"/>
  <c r="S486" i="55"/>
  <c r="S484" i="55"/>
  <c r="S482" i="55"/>
  <c r="S480" i="55"/>
  <c r="S478" i="55"/>
  <c r="S476" i="55"/>
  <c r="S474" i="55"/>
  <c r="S472" i="55"/>
  <c r="S470" i="55"/>
  <c r="S468" i="55"/>
  <c r="S466" i="55"/>
  <c r="S464" i="55"/>
  <c r="AD363" i="55"/>
  <c r="AV363" i="55" s="1"/>
  <c r="AU363" i="55"/>
  <c r="U363" i="55"/>
  <c r="AD332" i="55"/>
  <c r="AV332" i="55" s="1"/>
  <c r="AU332" i="55"/>
  <c r="U332" i="55"/>
  <c r="AD327" i="55"/>
  <c r="AV327" i="55" s="1"/>
  <c r="U327" i="55"/>
  <c r="AU327" i="55"/>
  <c r="AD335" i="55"/>
  <c r="AV335" i="55" s="1"/>
  <c r="AU335" i="55"/>
  <c r="U335" i="55"/>
  <c r="AD535" i="55"/>
  <c r="AV535" i="55" s="1"/>
  <c r="U535" i="55"/>
  <c r="AU535" i="55"/>
  <c r="AD551" i="55"/>
  <c r="AV551" i="55" s="1"/>
  <c r="AU551" i="55"/>
  <c r="U551" i="55"/>
  <c r="AD567" i="55"/>
  <c r="AV567" i="55" s="1"/>
  <c r="U567" i="55"/>
  <c r="AU567" i="55"/>
  <c r="AD583" i="55"/>
  <c r="AV583" i="55" s="1"/>
  <c r="U583" i="55"/>
  <c r="AU583" i="55"/>
  <c r="AD536" i="55"/>
  <c r="AV536" i="55" s="1"/>
  <c r="U536" i="55"/>
  <c r="AU536" i="55"/>
  <c r="AD552" i="55"/>
  <c r="AV552" i="55" s="1"/>
  <c r="AU552" i="55"/>
  <c r="U552" i="55"/>
  <c r="AD568" i="55"/>
  <c r="AV568" i="55" s="1"/>
  <c r="AU568" i="55"/>
  <c r="U568" i="55"/>
  <c r="AD584" i="55"/>
  <c r="AV584" i="55" s="1"/>
  <c r="AU584" i="55"/>
  <c r="U584" i="55"/>
  <c r="AD537" i="55"/>
  <c r="AV537" i="55" s="1"/>
  <c r="U537" i="55"/>
  <c r="AU537" i="55"/>
  <c r="AD553" i="55"/>
  <c r="AV553" i="55" s="1"/>
  <c r="AU553" i="55"/>
  <c r="U553" i="55"/>
  <c r="AD569" i="55"/>
  <c r="AV569" i="55" s="1"/>
  <c r="U569" i="55"/>
  <c r="AU569" i="55"/>
  <c r="AD585" i="55"/>
  <c r="AV585" i="55" s="1"/>
  <c r="AU585" i="55"/>
  <c r="U585" i="55"/>
  <c r="AD542" i="55"/>
  <c r="AV542" i="55" s="1"/>
  <c r="U542" i="55"/>
  <c r="AU542" i="55"/>
  <c r="AD558" i="55"/>
  <c r="AV558" i="55" s="1"/>
  <c r="AU558" i="55"/>
  <c r="U558" i="55"/>
  <c r="AD574" i="55"/>
  <c r="AV574" i="55" s="1"/>
  <c r="U574" i="55"/>
  <c r="AU574" i="55"/>
  <c r="AD408" i="55"/>
  <c r="AV408" i="55" s="1"/>
  <c r="AU408" i="55"/>
  <c r="U408" i="55"/>
  <c r="AD416" i="55"/>
  <c r="AV416" i="55" s="1"/>
  <c r="U416" i="55"/>
  <c r="AU416" i="55"/>
  <c r="AD424" i="55"/>
  <c r="AV424" i="55" s="1"/>
  <c r="U424" i="55"/>
  <c r="AU424" i="55"/>
  <c r="AD432" i="55"/>
  <c r="AV432" i="55" s="1"/>
  <c r="AU432" i="55"/>
  <c r="U432" i="55"/>
  <c r="AD413" i="55"/>
  <c r="AV413" i="55" s="1"/>
  <c r="AU413" i="55"/>
  <c r="U413" i="55"/>
  <c r="AD421" i="55"/>
  <c r="AV421" i="55" s="1"/>
  <c r="U421" i="55"/>
  <c r="AU421" i="55"/>
  <c r="AD429" i="55"/>
  <c r="AV429" i="55" s="1"/>
  <c r="U429" i="55"/>
  <c r="AU429" i="55"/>
  <c r="AD390" i="55"/>
  <c r="AV390" i="55" s="1"/>
  <c r="AU390" i="55"/>
  <c r="U390" i="55"/>
  <c r="AD398" i="55"/>
  <c r="AV398" i="55" s="1"/>
  <c r="AU398" i="55"/>
  <c r="U398" i="55"/>
  <c r="AD389" i="55"/>
  <c r="AV389" i="55" s="1"/>
  <c r="AU389" i="55"/>
  <c r="U389" i="55"/>
  <c r="AD397" i="55"/>
  <c r="AV397" i="55" s="1"/>
  <c r="U397" i="55"/>
  <c r="AU397" i="55"/>
  <c r="AD405" i="55"/>
  <c r="AV405" i="55" s="1"/>
  <c r="U405" i="55"/>
  <c r="AU405" i="55"/>
  <c r="AD347" i="55"/>
  <c r="AV347" i="55" s="1"/>
  <c r="U347" i="55"/>
  <c r="AU347" i="55"/>
  <c r="AD355" i="55"/>
  <c r="AV355" i="55" s="1"/>
  <c r="AU355" i="55"/>
  <c r="U355" i="55"/>
  <c r="AD348" i="55"/>
  <c r="AV348" i="55" s="1"/>
  <c r="AU348" i="55"/>
  <c r="U348" i="55"/>
  <c r="AD356" i="55"/>
  <c r="AV356" i="55" s="1"/>
  <c r="U356" i="55"/>
  <c r="AU356" i="55"/>
  <c r="AD376" i="55"/>
  <c r="AV376" i="55" s="1"/>
  <c r="AU376" i="55"/>
  <c r="U376" i="55"/>
  <c r="AD310" i="55"/>
  <c r="AV310" i="55" s="1"/>
  <c r="U310" i="55"/>
  <c r="AU310" i="55"/>
  <c r="AD318" i="55"/>
  <c r="AV318" i="55" s="1"/>
  <c r="U318" i="55"/>
  <c r="AF318" i="55" s="1"/>
  <c r="AH318" i="55" s="1"/>
  <c r="AU318" i="55"/>
  <c r="AD309" i="55"/>
  <c r="AV309" i="55" s="1"/>
  <c r="U309" i="55"/>
  <c r="AF309" i="55" s="1"/>
  <c r="AH309" i="55" s="1"/>
  <c r="AU309" i="55"/>
  <c r="AD317" i="55"/>
  <c r="AV317" i="55" s="1"/>
  <c r="AU317" i="55"/>
  <c r="U317" i="55"/>
  <c r="S246" i="55"/>
  <c r="S247" i="55"/>
  <c r="S245" i="55"/>
  <c r="AD445" i="55"/>
  <c r="AV445" i="55" s="1"/>
  <c r="AU445" i="55"/>
  <c r="U445" i="55"/>
  <c r="AD461" i="55"/>
  <c r="AV461" i="55" s="1"/>
  <c r="AU461" i="55"/>
  <c r="U461" i="55"/>
  <c r="AD441" i="55"/>
  <c r="AV441" i="55" s="1"/>
  <c r="AU441" i="55"/>
  <c r="U441" i="55"/>
  <c r="AD454" i="55"/>
  <c r="AV454" i="55" s="1"/>
  <c r="AU454" i="55"/>
  <c r="U454" i="55"/>
  <c r="AD455" i="55"/>
  <c r="AV455" i="55" s="1"/>
  <c r="AU455" i="55"/>
  <c r="U455" i="55"/>
  <c r="AD440" i="55"/>
  <c r="AV440" i="55" s="1"/>
  <c r="U440" i="55"/>
  <c r="AU440" i="55"/>
  <c r="AD452" i="55"/>
  <c r="AV452" i="55" s="1"/>
  <c r="AU452" i="55"/>
  <c r="U452" i="55"/>
  <c r="AD385" i="55"/>
  <c r="AV385" i="55" s="1"/>
  <c r="U385" i="55"/>
  <c r="AU385" i="55"/>
  <c r="AD341" i="55"/>
  <c r="AV341" i="55" s="1"/>
  <c r="AU341" i="55"/>
  <c r="U341" i="55"/>
  <c r="AD342" i="55"/>
  <c r="AV342" i="55" s="1"/>
  <c r="U342" i="55"/>
  <c r="AF342" i="55" s="1"/>
  <c r="AH342" i="55" s="1"/>
  <c r="AU342" i="55"/>
  <c r="AD219" i="55"/>
  <c r="AV219" i="55" s="1"/>
  <c r="U219" i="55"/>
  <c r="AU219" i="55"/>
  <c r="AD143" i="55"/>
  <c r="AV143" i="55" s="1"/>
  <c r="U143" i="55"/>
  <c r="AF143" i="55" s="1"/>
  <c r="AH143" i="55" s="1"/>
  <c r="AU143" i="55"/>
  <c r="AD142" i="55"/>
  <c r="AV142" i="55" s="1"/>
  <c r="AU142" i="55"/>
  <c r="U142" i="55"/>
  <c r="AF142" i="55" s="1"/>
  <c r="AH142" i="55" s="1"/>
  <c r="AD150" i="55"/>
  <c r="AV150" i="55" s="1"/>
  <c r="AU150" i="55"/>
  <c r="U150" i="55"/>
  <c r="AD132" i="55"/>
  <c r="AV132" i="55" s="1"/>
  <c r="U132" i="55"/>
  <c r="AU132" i="55"/>
  <c r="AD127" i="55"/>
  <c r="AV127" i="55" s="1"/>
  <c r="U127" i="55"/>
  <c r="AU127" i="55"/>
  <c r="AD135" i="55"/>
  <c r="AV135" i="55" s="1"/>
  <c r="U135" i="55"/>
  <c r="AU135" i="55"/>
  <c r="AD101" i="55"/>
  <c r="AV101" i="55" s="1"/>
  <c r="AU101" i="55"/>
  <c r="U101" i="55"/>
  <c r="AF101" i="55" s="1"/>
  <c r="AH101" i="55" s="1"/>
  <c r="AD98" i="55"/>
  <c r="AV98" i="55" s="1"/>
  <c r="U98" i="55"/>
  <c r="AU98" i="55"/>
  <c r="AD106" i="55"/>
  <c r="AV106" i="55" s="1"/>
  <c r="U106" i="55"/>
  <c r="AF106" i="55" s="1"/>
  <c r="AH106" i="55" s="1"/>
  <c r="AU106" i="55"/>
  <c r="AD176" i="55"/>
  <c r="AV176" i="55" s="1"/>
  <c r="U176" i="55"/>
  <c r="AU176" i="55"/>
  <c r="AD184" i="55"/>
  <c r="AV184" i="55" s="1"/>
  <c r="U184" i="55"/>
  <c r="AU184" i="55"/>
  <c r="AD192" i="55"/>
  <c r="AV192" i="55" s="1"/>
  <c r="AU192" i="55"/>
  <c r="U192" i="55"/>
  <c r="AD177" i="55"/>
  <c r="AV177" i="55" s="1"/>
  <c r="U177" i="55"/>
  <c r="AU177" i="55"/>
  <c r="AD185" i="55"/>
  <c r="AV185" i="55" s="1"/>
  <c r="AU185" i="55"/>
  <c r="U185" i="55"/>
  <c r="AD193" i="55"/>
  <c r="AV193" i="55" s="1"/>
  <c r="U193" i="55"/>
  <c r="AU193" i="55"/>
  <c r="U13" i="55"/>
  <c r="AU13" i="55"/>
  <c r="AU21" i="55"/>
  <c r="U21" i="55"/>
  <c r="U29" i="55"/>
  <c r="AU29" i="55"/>
  <c r="U37" i="55"/>
  <c r="AU37" i="55"/>
  <c r="AD45" i="55"/>
  <c r="AV45" i="55" s="1"/>
  <c r="AU45" i="55"/>
  <c r="U45" i="55"/>
  <c r="U12" i="55"/>
  <c r="AU12" i="55"/>
  <c r="AU20" i="55"/>
  <c r="U20" i="55"/>
  <c r="AD28" i="55"/>
  <c r="AU28" i="55"/>
  <c r="U28" i="55"/>
  <c r="AU36" i="55"/>
  <c r="U36" i="55"/>
  <c r="AD44" i="55"/>
  <c r="AV44" i="55" s="1"/>
  <c r="AU44" i="55"/>
  <c r="U44" i="55"/>
  <c r="AD122" i="55"/>
  <c r="AV122" i="55" s="1"/>
  <c r="U122" i="55"/>
  <c r="AU122" i="55"/>
  <c r="AD121" i="55"/>
  <c r="AV121" i="55" s="1"/>
  <c r="U121" i="55"/>
  <c r="AU121" i="55"/>
  <c r="AD113" i="55"/>
  <c r="AV113" i="55" s="1"/>
  <c r="AU113" i="55"/>
  <c r="U113" i="55"/>
  <c r="AD72" i="55"/>
  <c r="AV72" i="55" s="1"/>
  <c r="U72" i="55"/>
  <c r="AU72" i="55"/>
  <c r="AD80" i="55"/>
  <c r="AV80" i="55" s="1"/>
  <c r="U80" i="55"/>
  <c r="AU80" i="55"/>
  <c r="AD88" i="55"/>
  <c r="AV88" i="55" s="1"/>
  <c r="AU88" i="55"/>
  <c r="U88" i="55"/>
  <c r="AD96" i="55"/>
  <c r="AV96" i="55" s="1"/>
  <c r="AU96" i="55"/>
  <c r="U96" i="55"/>
  <c r="AD77" i="55"/>
  <c r="AV77" i="55" s="1"/>
  <c r="AU77" i="55"/>
  <c r="U77" i="55"/>
  <c r="AD85" i="55"/>
  <c r="AV85" i="55" s="1"/>
  <c r="AU85" i="55"/>
  <c r="U85" i="55"/>
  <c r="AD93" i="55"/>
  <c r="AV93" i="55" s="1"/>
  <c r="AU93" i="55"/>
  <c r="U93" i="55"/>
  <c r="AD237" i="55"/>
  <c r="AV237" i="55" s="1"/>
  <c r="U237" i="55"/>
  <c r="AU237" i="55"/>
  <c r="AD238" i="55"/>
  <c r="AV238" i="55" s="1"/>
  <c r="AU238" i="55"/>
  <c r="U238" i="55"/>
  <c r="AD239" i="55"/>
  <c r="AV239" i="55" s="1"/>
  <c r="AU239" i="55"/>
  <c r="U239" i="55"/>
  <c r="AD240" i="55"/>
  <c r="AV240" i="55" s="1"/>
  <c r="AU240" i="55"/>
  <c r="U240" i="55"/>
  <c r="AD159" i="55"/>
  <c r="AV159" i="55" s="1"/>
  <c r="U159" i="55"/>
  <c r="AU159" i="55"/>
  <c r="AD167" i="55"/>
  <c r="AV167" i="55" s="1"/>
  <c r="AU167" i="55"/>
  <c r="U167" i="55"/>
  <c r="AD156" i="55"/>
  <c r="AV156" i="55" s="1"/>
  <c r="AU156" i="55"/>
  <c r="U156" i="55"/>
  <c r="AD164" i="55"/>
  <c r="AV164" i="55" s="1"/>
  <c r="AU164" i="55"/>
  <c r="U164" i="55"/>
  <c r="AF164" i="55" s="1"/>
  <c r="AH164" i="55" s="1"/>
  <c r="AD50" i="55"/>
  <c r="AV50" i="55" s="1"/>
  <c r="U50" i="55"/>
  <c r="AU50" i="55"/>
  <c r="AD58" i="55"/>
  <c r="AV58" i="55" s="1"/>
  <c r="U58" i="55"/>
  <c r="AU58" i="55"/>
  <c r="AD66" i="55"/>
  <c r="AV66" i="55" s="1"/>
  <c r="AU66" i="55"/>
  <c r="U66" i="55"/>
  <c r="AD51" i="55"/>
  <c r="AV51" i="55" s="1"/>
  <c r="AU51" i="55"/>
  <c r="U51" i="55"/>
  <c r="AD59" i="55"/>
  <c r="AV59" i="55" s="1"/>
  <c r="U59" i="55"/>
  <c r="AU59" i="55"/>
  <c r="AD67" i="55"/>
  <c r="AV67" i="55" s="1"/>
  <c r="AU67" i="55"/>
  <c r="U67" i="55"/>
  <c r="S746" i="55"/>
  <c r="S744" i="55"/>
  <c r="S742" i="55"/>
  <c r="S745" i="55"/>
  <c r="S743" i="55"/>
  <c r="S851" i="55"/>
  <c r="S849" i="55"/>
  <c r="S848" i="55"/>
  <c r="S850" i="55"/>
  <c r="S820" i="55"/>
  <c r="S818" i="55"/>
  <c r="S816" i="55"/>
  <c r="S814" i="55"/>
  <c r="S812" i="55"/>
  <c r="S810" i="55"/>
  <c r="S808" i="55"/>
  <c r="S806" i="55"/>
  <c r="S821" i="55"/>
  <c r="S819" i="55"/>
  <c r="S817" i="55"/>
  <c r="S815" i="55"/>
  <c r="S813" i="55"/>
  <c r="S811" i="55"/>
  <c r="S809" i="55"/>
  <c r="S807" i="55"/>
  <c r="AD824" i="55"/>
  <c r="AV824" i="55" s="1"/>
  <c r="U824" i="55"/>
  <c r="AU824" i="55"/>
  <c r="AD756" i="55"/>
  <c r="AV756" i="55" s="1"/>
  <c r="AU756" i="55"/>
  <c r="U756" i="55"/>
  <c r="AD753" i="55"/>
  <c r="AV753" i="55" s="1"/>
  <c r="U753" i="55"/>
  <c r="AU753" i="55"/>
  <c r="AD750" i="55"/>
  <c r="AV750" i="55" s="1"/>
  <c r="AU750" i="55"/>
  <c r="U750" i="55"/>
  <c r="AD751" i="55"/>
  <c r="AV751" i="55" s="1"/>
  <c r="AU751" i="55"/>
  <c r="U751" i="55"/>
  <c r="S664" i="55"/>
  <c r="S662" i="55"/>
  <c r="S660" i="55"/>
  <c r="S658" i="55"/>
  <c r="S656" i="55"/>
  <c r="S654" i="55"/>
  <c r="S652" i="55"/>
  <c r="S650" i="55"/>
  <c r="S648" i="55"/>
  <c r="S646" i="55"/>
  <c r="S644" i="55"/>
  <c r="S642" i="55"/>
  <c r="S640" i="55"/>
  <c r="S638" i="55"/>
  <c r="S636" i="55"/>
  <c r="S634" i="55"/>
  <c r="S632" i="55"/>
  <c r="S630" i="55"/>
  <c r="S628" i="55"/>
  <c r="S626" i="55"/>
  <c r="S624" i="55"/>
  <c r="S622" i="55"/>
  <c r="S620" i="55"/>
  <c r="S618" i="55"/>
  <c r="S616" i="55"/>
  <c r="S614" i="55"/>
  <c r="S612" i="55"/>
  <c r="S610" i="55"/>
  <c r="S608" i="55"/>
  <c r="S606" i="55"/>
  <c r="S604" i="55"/>
  <c r="S663" i="55"/>
  <c r="S661" i="55"/>
  <c r="S659" i="55"/>
  <c r="S657" i="55"/>
  <c r="S655" i="55"/>
  <c r="S653" i="55"/>
  <c r="S651" i="55"/>
  <c r="S649" i="55"/>
  <c r="S647" i="55"/>
  <c r="S645" i="55"/>
  <c r="S643" i="55"/>
  <c r="S641" i="55"/>
  <c r="S639" i="55"/>
  <c r="S637" i="55"/>
  <c r="S635" i="55"/>
  <c r="S633" i="55"/>
  <c r="S631" i="55"/>
  <c r="S629" i="55"/>
  <c r="S627" i="55"/>
  <c r="S625" i="55"/>
  <c r="S623" i="55"/>
  <c r="S621" i="55"/>
  <c r="S619" i="55"/>
  <c r="S617" i="55"/>
  <c r="S615" i="55"/>
  <c r="S613" i="55"/>
  <c r="S611" i="55"/>
  <c r="S609" i="55"/>
  <c r="S607" i="55"/>
  <c r="S605" i="55"/>
  <c r="S603" i="55"/>
  <c r="AD835" i="55"/>
  <c r="AV835" i="55" s="1"/>
  <c r="AU835" i="55"/>
  <c r="U835" i="55"/>
  <c r="AF835" i="55" s="1"/>
  <c r="AH835" i="55" s="1"/>
  <c r="AD672" i="55"/>
  <c r="AV672" i="55" s="1"/>
  <c r="AU672" i="55"/>
  <c r="U672" i="55"/>
  <c r="AD680" i="55"/>
  <c r="AV680" i="55" s="1"/>
  <c r="U680" i="55"/>
  <c r="AU680" i="55"/>
  <c r="AD688" i="55"/>
  <c r="AV688" i="55" s="1"/>
  <c r="AU688" i="55"/>
  <c r="U688" i="55"/>
  <c r="AD696" i="55"/>
  <c r="AV696" i="55" s="1"/>
  <c r="U696" i="55"/>
  <c r="AU696" i="55"/>
  <c r="AD704" i="55"/>
  <c r="AV704" i="55" s="1"/>
  <c r="U704" i="55"/>
  <c r="AU704" i="55"/>
  <c r="AD712" i="55"/>
  <c r="AV712" i="55" s="1"/>
  <c r="U712" i="55"/>
  <c r="AU712" i="55"/>
  <c r="AD720" i="55"/>
  <c r="AV720" i="55" s="1"/>
  <c r="U720" i="55"/>
  <c r="AU720" i="55"/>
  <c r="AD667" i="55"/>
  <c r="AV667" i="55" s="1"/>
  <c r="U667" i="55"/>
  <c r="AU667" i="55"/>
  <c r="AD675" i="55"/>
  <c r="AV675" i="55" s="1"/>
  <c r="U675" i="55"/>
  <c r="AU675" i="55"/>
  <c r="AD683" i="55"/>
  <c r="AV683" i="55" s="1"/>
  <c r="U683" i="55"/>
  <c r="AU683" i="55"/>
  <c r="AD691" i="55"/>
  <c r="AV691" i="55" s="1"/>
  <c r="AU691" i="55"/>
  <c r="U691" i="55"/>
  <c r="AD699" i="55"/>
  <c r="AV699" i="55" s="1"/>
  <c r="AU699" i="55"/>
  <c r="U699" i="55"/>
  <c r="AD707" i="55"/>
  <c r="AV707" i="55" s="1"/>
  <c r="U707" i="55"/>
  <c r="AU707" i="55"/>
  <c r="AD715" i="55"/>
  <c r="AV715" i="55" s="1"/>
  <c r="U715" i="55"/>
  <c r="AU715" i="55"/>
  <c r="AD723" i="55"/>
  <c r="AV723" i="55" s="1"/>
  <c r="AU723" i="55"/>
  <c r="U723" i="55"/>
  <c r="AD362" i="55"/>
  <c r="AV362" i="55" s="1"/>
  <c r="AU362" i="55"/>
  <c r="U362" i="55"/>
  <c r="AD326" i="55"/>
  <c r="AV326" i="55" s="1"/>
  <c r="AU326" i="55"/>
  <c r="U326" i="55"/>
  <c r="AD334" i="55"/>
  <c r="AV334" i="55" s="1"/>
  <c r="U334" i="55"/>
  <c r="AU334" i="55"/>
  <c r="AD329" i="55"/>
  <c r="AV329" i="55" s="1"/>
  <c r="AU329" i="55"/>
  <c r="U329" i="55"/>
  <c r="AD260" i="55"/>
  <c r="AV260" i="55" s="1"/>
  <c r="U260" i="55"/>
  <c r="AU260" i="55"/>
  <c r="AD539" i="55"/>
  <c r="AV539" i="55" s="1"/>
  <c r="U539" i="55"/>
  <c r="AU539" i="55"/>
  <c r="AD555" i="55"/>
  <c r="AV555" i="55" s="1"/>
  <c r="AU555" i="55"/>
  <c r="U555" i="55"/>
  <c r="AD571" i="55"/>
  <c r="AV571" i="55" s="1"/>
  <c r="AU571" i="55"/>
  <c r="U571" i="55"/>
  <c r="AD587" i="55"/>
  <c r="AV587" i="55" s="1"/>
  <c r="U587" i="55"/>
  <c r="AU587" i="55"/>
  <c r="AD540" i="55"/>
  <c r="AV540" i="55" s="1"/>
  <c r="U540" i="55"/>
  <c r="AU540" i="55"/>
  <c r="AD556" i="55"/>
  <c r="AV556" i="55" s="1"/>
  <c r="U556" i="55"/>
  <c r="AU556" i="55"/>
  <c r="AD572" i="55"/>
  <c r="AV572" i="55" s="1"/>
  <c r="AU572" i="55"/>
  <c r="U572" i="55"/>
  <c r="AD588" i="55"/>
  <c r="AV588" i="55" s="1"/>
  <c r="AU588" i="55"/>
  <c r="U588" i="55"/>
  <c r="AD541" i="55"/>
  <c r="AV541" i="55" s="1"/>
  <c r="AU541" i="55"/>
  <c r="U541" i="55"/>
  <c r="AD557" i="55"/>
  <c r="AV557" i="55" s="1"/>
  <c r="U557" i="55"/>
  <c r="AU557" i="55"/>
  <c r="AD573" i="55"/>
  <c r="AV573" i="55" s="1"/>
  <c r="AU573" i="55"/>
  <c r="U573" i="55"/>
  <c r="AD530" i="55"/>
  <c r="AV530" i="55" s="1"/>
  <c r="AU530" i="55"/>
  <c r="U530" i="55"/>
  <c r="AD546" i="55"/>
  <c r="AV546" i="55" s="1"/>
  <c r="U546" i="55"/>
  <c r="AU546" i="55"/>
  <c r="AD562" i="55"/>
  <c r="AV562" i="55" s="1"/>
  <c r="AU562" i="55"/>
  <c r="U562" i="55"/>
  <c r="AD578" i="55"/>
  <c r="AV578" i="55" s="1"/>
  <c r="U578" i="55"/>
  <c r="AU578" i="55"/>
  <c r="AD410" i="55"/>
  <c r="AV410" i="55" s="1"/>
  <c r="U410" i="55"/>
  <c r="AU410" i="55"/>
  <c r="AD418" i="55"/>
  <c r="AV418" i="55" s="1"/>
  <c r="U418" i="55"/>
  <c r="AU418" i="55"/>
  <c r="AD426" i="55"/>
  <c r="AV426" i="55" s="1"/>
  <c r="U426" i="55"/>
  <c r="AU426" i="55"/>
  <c r="AD407" i="55"/>
  <c r="AV407" i="55" s="1"/>
  <c r="U407" i="55"/>
  <c r="AU407" i="55"/>
  <c r="AD415" i="55"/>
  <c r="AV415" i="55" s="1"/>
  <c r="U415" i="55"/>
  <c r="AU415" i="55"/>
  <c r="AD423" i="55"/>
  <c r="AV423" i="55" s="1"/>
  <c r="AU423" i="55"/>
  <c r="U423" i="55"/>
  <c r="AD431" i="55"/>
  <c r="AV431" i="55" s="1"/>
  <c r="U431" i="55"/>
  <c r="AU431" i="55"/>
  <c r="AD392" i="55"/>
  <c r="AV392" i="55" s="1"/>
  <c r="U392" i="55"/>
  <c r="AU392" i="55"/>
  <c r="AD400" i="55"/>
  <c r="AV400" i="55" s="1"/>
  <c r="U400" i="55"/>
  <c r="AU400" i="55"/>
  <c r="AD391" i="55"/>
  <c r="AV391" i="55" s="1"/>
  <c r="AU391" i="55"/>
  <c r="U391" i="55"/>
  <c r="AD399" i="55"/>
  <c r="AV399" i="55" s="1"/>
  <c r="AU399" i="55"/>
  <c r="U399" i="55"/>
  <c r="AD379" i="55"/>
  <c r="AV379" i="55" s="1"/>
  <c r="AU379" i="55"/>
  <c r="U379" i="55"/>
  <c r="AD349" i="55"/>
  <c r="AV349" i="55" s="1"/>
  <c r="AU349" i="55"/>
  <c r="U349" i="55"/>
  <c r="AD357" i="55"/>
  <c r="AV357" i="55" s="1"/>
  <c r="AU357" i="55"/>
  <c r="U357" i="55"/>
  <c r="AD350" i="55"/>
  <c r="AV350" i="55" s="1"/>
  <c r="AU350" i="55"/>
  <c r="U350" i="55"/>
  <c r="AD358" i="55"/>
  <c r="AV358" i="55" s="1"/>
  <c r="U358" i="55"/>
  <c r="AF358" i="55" s="1"/>
  <c r="AH358" i="55" s="1"/>
  <c r="AU358" i="55"/>
  <c r="AD375" i="55"/>
  <c r="AV375" i="55" s="1"/>
  <c r="AU375" i="55"/>
  <c r="U375" i="55"/>
  <c r="AD312" i="55"/>
  <c r="AV312" i="55" s="1"/>
  <c r="AU312" i="55"/>
  <c r="U312" i="55"/>
  <c r="AD320" i="55"/>
  <c r="AV320" i="55" s="1"/>
  <c r="AU320" i="55"/>
  <c r="U320" i="55"/>
  <c r="AD311" i="55"/>
  <c r="AV311" i="55" s="1"/>
  <c r="U311" i="55"/>
  <c r="AU311" i="55"/>
  <c r="AD319" i="55"/>
  <c r="AV319" i="55" s="1"/>
  <c r="AU319" i="55"/>
  <c r="U319" i="55"/>
  <c r="AD220" i="55"/>
  <c r="AV220" i="55" s="1"/>
  <c r="AU220" i="55"/>
  <c r="U220" i="55"/>
  <c r="AD449" i="55"/>
  <c r="AV449" i="55" s="1"/>
  <c r="AU449" i="55"/>
  <c r="U449" i="55"/>
  <c r="AD435" i="55"/>
  <c r="AV435" i="55" s="1"/>
  <c r="U435" i="55"/>
  <c r="AU435" i="55"/>
  <c r="AD443" i="55"/>
  <c r="AV443" i="55" s="1"/>
  <c r="AU443" i="55"/>
  <c r="U443" i="55"/>
  <c r="AD458" i="55"/>
  <c r="AV458" i="55" s="1"/>
  <c r="AU458" i="55"/>
  <c r="U458" i="55"/>
  <c r="AD459" i="55"/>
  <c r="AV459" i="55" s="1"/>
  <c r="AU459" i="55"/>
  <c r="U459" i="55"/>
  <c r="AD442" i="55"/>
  <c r="AV442" i="55" s="1"/>
  <c r="AU442" i="55"/>
  <c r="U442" i="55"/>
  <c r="AD456" i="55"/>
  <c r="AV456" i="55" s="1"/>
  <c r="AU456" i="55"/>
  <c r="U456" i="55"/>
  <c r="AD384" i="55"/>
  <c r="AV384" i="55" s="1"/>
  <c r="U384" i="55"/>
  <c r="AU384" i="55"/>
  <c r="AD343" i="55"/>
  <c r="AV343" i="55" s="1"/>
  <c r="U343" i="55"/>
  <c r="AF343" i="55" s="1"/>
  <c r="AH343" i="55" s="1"/>
  <c r="AU343" i="55"/>
  <c r="AD344" i="55"/>
  <c r="AV344" i="55" s="1"/>
  <c r="U344" i="55"/>
  <c r="AF344" i="55" s="1"/>
  <c r="AH344" i="55" s="1"/>
  <c r="AU344" i="55"/>
  <c r="AD215" i="55"/>
  <c r="AV215" i="55" s="1"/>
  <c r="U215" i="55"/>
  <c r="AU215" i="55"/>
  <c r="AD145" i="55"/>
  <c r="AV145" i="55" s="1"/>
  <c r="U145" i="55"/>
  <c r="AU145" i="55"/>
  <c r="AD144" i="55"/>
  <c r="AV144" i="55" s="1"/>
  <c r="AU144" i="55"/>
  <c r="U144" i="55"/>
  <c r="AD126" i="55"/>
  <c r="AV126" i="55" s="1"/>
  <c r="AU126" i="55"/>
  <c r="U126" i="55"/>
  <c r="AD134" i="55"/>
  <c r="AV134" i="55" s="1"/>
  <c r="U134" i="55"/>
  <c r="AU134" i="55"/>
  <c r="AD129" i="55"/>
  <c r="AV129" i="55" s="1"/>
  <c r="U129" i="55"/>
  <c r="AU129" i="55"/>
  <c r="AD137" i="55"/>
  <c r="AV137" i="55" s="1"/>
  <c r="U137" i="55"/>
  <c r="AU137" i="55"/>
  <c r="AD103" i="55"/>
  <c r="AV103" i="55" s="1"/>
  <c r="AU103" i="55"/>
  <c r="U103" i="55"/>
  <c r="AD100" i="55"/>
  <c r="AV100" i="55" s="1"/>
  <c r="AU100" i="55"/>
  <c r="U100" i="55"/>
  <c r="AF100" i="55" s="1"/>
  <c r="AH100" i="55" s="1"/>
  <c r="AD178" i="55"/>
  <c r="AV178" i="55" s="1"/>
  <c r="AU178" i="55"/>
  <c r="U178" i="55"/>
  <c r="AD186" i="55"/>
  <c r="AV186" i="55" s="1"/>
  <c r="AU186" i="55"/>
  <c r="U186" i="55"/>
  <c r="AD171" i="55"/>
  <c r="AV171" i="55" s="1"/>
  <c r="AU171" i="55"/>
  <c r="U171" i="55"/>
  <c r="AD179" i="55"/>
  <c r="AV179" i="55" s="1"/>
  <c r="AU179" i="55"/>
  <c r="U179" i="55"/>
  <c r="AD187" i="55"/>
  <c r="AV187" i="55" s="1"/>
  <c r="AU187" i="55"/>
  <c r="U187" i="55"/>
  <c r="U7" i="55"/>
  <c r="AU7" i="55"/>
  <c r="AD15" i="55"/>
  <c r="AU15" i="55"/>
  <c r="U15" i="55"/>
  <c r="AU23" i="55"/>
  <c r="U23" i="55"/>
  <c r="AU31" i="55"/>
  <c r="U31" i="55"/>
  <c r="AU39" i="55"/>
  <c r="U39" i="55"/>
  <c r="AU6" i="55"/>
  <c r="U6" i="55"/>
  <c r="AU14" i="55"/>
  <c r="U14" i="55"/>
  <c r="AU22" i="55"/>
  <c r="U22" i="55"/>
  <c r="AU30" i="55"/>
  <c r="U30" i="55"/>
  <c r="U38" i="55"/>
  <c r="AU38" i="55"/>
  <c r="AD116" i="55"/>
  <c r="AV116" i="55" s="1"/>
  <c r="U116" i="55"/>
  <c r="AU116" i="55"/>
  <c r="AD124" i="55"/>
  <c r="AV124" i="55" s="1"/>
  <c r="U124" i="55"/>
  <c r="AU124" i="55"/>
  <c r="AD123" i="55"/>
  <c r="AV123" i="55" s="1"/>
  <c r="U123" i="55"/>
  <c r="AU123" i="55"/>
  <c r="AD110" i="55"/>
  <c r="AV110" i="55" s="1"/>
  <c r="U110" i="55"/>
  <c r="AU110" i="55"/>
  <c r="AD74" i="55"/>
  <c r="AV74" i="55" s="1"/>
  <c r="AU74" i="55"/>
  <c r="U74" i="55"/>
  <c r="AD82" i="55"/>
  <c r="AV82" i="55" s="1"/>
  <c r="AU82" i="55"/>
  <c r="U82" i="55"/>
  <c r="AD90" i="55"/>
  <c r="AV90" i="55" s="1"/>
  <c r="U90" i="55"/>
  <c r="AU90" i="55"/>
  <c r="AD71" i="55"/>
  <c r="AV71" i="55" s="1"/>
  <c r="U71" i="55"/>
  <c r="AU71" i="55"/>
  <c r="AD79" i="55"/>
  <c r="AV79" i="55" s="1"/>
  <c r="AU79" i="55"/>
  <c r="U79" i="55"/>
  <c r="AD87" i="55"/>
  <c r="AV87" i="55" s="1"/>
  <c r="AU87" i="55"/>
  <c r="U87" i="55"/>
  <c r="AD95" i="55"/>
  <c r="AV95" i="55" s="1"/>
  <c r="AU95" i="55"/>
  <c r="U95" i="55"/>
  <c r="AD241" i="55"/>
  <c r="AV241" i="55" s="1"/>
  <c r="AU241" i="55"/>
  <c r="U241" i="55"/>
  <c r="AD242" i="55"/>
  <c r="AV242" i="55" s="1"/>
  <c r="AU242" i="55"/>
  <c r="U242" i="55"/>
  <c r="AD243" i="55"/>
  <c r="AV243" i="55" s="1"/>
  <c r="U243" i="55"/>
  <c r="AF243" i="55" s="1"/>
  <c r="AH243" i="55" s="1"/>
  <c r="AU243" i="55"/>
  <c r="AD153" i="55"/>
  <c r="AV153" i="55" s="1"/>
  <c r="AU153" i="55"/>
  <c r="U153" i="55"/>
  <c r="AD161" i="55"/>
  <c r="AV161" i="55" s="1"/>
  <c r="AU161" i="55"/>
  <c r="U161" i="55"/>
  <c r="AD169" i="55"/>
  <c r="AV169" i="55" s="1"/>
  <c r="AU169" i="55"/>
  <c r="U169" i="55"/>
  <c r="AD158" i="55"/>
  <c r="AV158" i="55" s="1"/>
  <c r="U158" i="55"/>
  <c r="AU158" i="55"/>
  <c r="AD166" i="55"/>
  <c r="AV166" i="55" s="1"/>
  <c r="U166" i="55"/>
  <c r="AU166" i="55"/>
  <c r="AD52" i="55"/>
  <c r="AV52" i="55" s="1"/>
  <c r="U52" i="55"/>
  <c r="AU52" i="55"/>
  <c r="AD60" i="55"/>
  <c r="AV60" i="55" s="1"/>
  <c r="AU60" i="55"/>
  <c r="U60" i="55"/>
  <c r="AD68" i="55"/>
  <c r="AV68" i="55" s="1"/>
  <c r="AU68" i="55"/>
  <c r="U68" i="55"/>
  <c r="AD53" i="55"/>
  <c r="AV53" i="55" s="1"/>
  <c r="AU53" i="55"/>
  <c r="U53" i="55"/>
  <c r="AD61" i="55"/>
  <c r="AV61" i="55" s="1"/>
  <c r="AU61" i="55"/>
  <c r="U61" i="55"/>
  <c r="AD69" i="55"/>
  <c r="AV69" i="55" s="1"/>
  <c r="AU69" i="55"/>
  <c r="U69" i="55"/>
  <c r="Y696" i="55" l="1"/>
  <c r="Y628" i="55"/>
  <c r="AF375" i="55"/>
  <c r="AH375" i="55" s="1"/>
  <c r="AF315" i="55"/>
  <c r="AH315" i="55" s="1"/>
  <c r="W220" i="55"/>
  <c r="E15" i="50"/>
  <c r="Y692" i="55"/>
  <c r="Y515" i="55"/>
  <c r="Y529" i="55"/>
  <c r="Y611" i="55"/>
  <c r="Y483" i="55"/>
  <c r="AE339" i="55"/>
  <c r="E12" i="50"/>
  <c r="Y671" i="55"/>
  <c r="Y615" i="55"/>
  <c r="Y698" i="55"/>
  <c r="Y546" i="55"/>
  <c r="Y463" i="55"/>
  <c r="AE282" i="55"/>
  <c r="AE340" i="55"/>
  <c r="W305" i="55"/>
  <c r="Y684" i="55"/>
  <c r="Y622" i="55"/>
  <c r="Y534" i="55"/>
  <c r="Y558" i="55"/>
  <c r="Y476" i="55"/>
  <c r="Y479" i="55"/>
  <c r="Y553" i="55"/>
  <c r="Y627" i="55"/>
  <c r="Y538" i="55"/>
  <c r="Y697" i="55"/>
  <c r="Y472" i="55"/>
  <c r="Y632" i="55"/>
  <c r="Y555" i="55"/>
  <c r="Y674" i="55"/>
  <c r="Y540" i="55"/>
  <c r="Y564" i="55"/>
  <c r="Y623" i="55"/>
  <c r="Y610" i="55"/>
  <c r="Y685" i="55"/>
  <c r="Y532" i="55"/>
  <c r="Y492" i="55"/>
  <c r="Y543" i="55"/>
  <c r="Y637" i="55"/>
  <c r="Y695" i="55"/>
  <c r="Y544" i="55"/>
  <c r="Y680" i="55"/>
  <c r="Y471" i="55"/>
  <c r="Y631" i="55"/>
  <c r="Y673" i="55"/>
  <c r="W502" i="55"/>
  <c r="AE502" i="55" s="1"/>
  <c r="W93" i="55"/>
  <c r="AE93" i="55" s="1"/>
  <c r="W642" i="55"/>
  <c r="AE642" i="55" s="1"/>
  <c r="W636" i="55"/>
  <c r="AE636" i="55" s="1"/>
  <c r="X577" i="55"/>
  <c r="X513" i="55"/>
  <c r="X425" i="55"/>
  <c r="X403" i="55"/>
  <c r="X715" i="55"/>
  <c r="X453" i="55"/>
  <c r="X653" i="55"/>
  <c r="W278" i="55"/>
  <c r="AE278" i="55" s="1"/>
  <c r="Y660" i="55"/>
  <c r="Y522" i="55"/>
  <c r="Y724" i="55"/>
  <c r="Y586" i="55"/>
  <c r="W236" i="55"/>
  <c r="AE236" i="55" s="1"/>
  <c r="AF236" i="55" s="1"/>
  <c r="AH236" i="55" s="1"/>
  <c r="AO236" i="55" s="1"/>
  <c r="W779" i="55"/>
  <c r="W777" i="55"/>
  <c r="AE777" i="55" s="1"/>
  <c r="W773" i="55"/>
  <c r="AE773" i="55" s="1"/>
  <c r="W778" i="55"/>
  <c r="AE778" i="55" s="1"/>
  <c r="W782" i="55"/>
  <c r="AE782" i="55" s="1"/>
  <c r="W772" i="55"/>
  <c r="AE772" i="55" s="1"/>
  <c r="W769" i="55"/>
  <c r="W783" i="55"/>
  <c r="AE783" i="55" s="1"/>
  <c r="W767" i="55"/>
  <c r="AE767" i="55" s="1"/>
  <c r="W768" i="55"/>
  <c r="AE768" i="55" s="1"/>
  <c r="W743" i="55"/>
  <c r="AE743" i="55" s="1"/>
  <c r="W737" i="55"/>
  <c r="AE737" i="55" s="1"/>
  <c r="W744" i="55"/>
  <c r="AE744" i="55" s="1"/>
  <c r="W738" i="55"/>
  <c r="AE738" i="55" s="1"/>
  <c r="W241" i="55"/>
  <c r="AE241" i="55" s="1"/>
  <c r="AF357" i="55"/>
  <c r="AH357" i="55" s="1"/>
  <c r="AF376" i="55"/>
  <c r="AH376" i="55" s="1"/>
  <c r="AF212" i="55"/>
  <c r="AH212" i="55" s="1"/>
  <c r="AF338" i="55"/>
  <c r="AH338" i="55" s="1"/>
  <c r="AF825" i="55"/>
  <c r="AH825" i="55" s="1"/>
  <c r="W756" i="55"/>
  <c r="Y675" i="55"/>
  <c r="Y603" i="55"/>
  <c r="Y702" i="55"/>
  <c r="Y550" i="55"/>
  <c r="Y467" i="55"/>
  <c r="AE779" i="55"/>
  <c r="W295" i="55"/>
  <c r="AE295" i="55" s="1"/>
  <c r="Y618" i="55"/>
  <c r="Y485" i="55"/>
  <c r="Y682" i="55"/>
  <c r="Y613" i="55"/>
  <c r="Y498" i="55"/>
  <c r="Y667" i="55"/>
  <c r="Y565" i="55"/>
  <c r="Y694" i="55"/>
  <c r="Y542" i="55"/>
  <c r="Y531" i="55"/>
  <c r="AE797" i="55"/>
  <c r="Y470" i="55"/>
  <c r="Y608" i="55"/>
  <c r="Y717" i="55"/>
  <c r="Y619" i="55"/>
  <c r="Y494" i="55"/>
  <c r="Y499" i="55"/>
  <c r="Y535" i="55"/>
  <c r="Y621" i="55"/>
  <c r="Y620" i="55"/>
  <c r="Y683" i="55"/>
  <c r="Y530" i="55"/>
  <c r="Y490" i="55"/>
  <c r="Y516" i="55"/>
  <c r="Y635" i="55"/>
  <c r="Y693" i="55"/>
  <c r="Y468" i="55"/>
  <c r="Y609" i="55"/>
  <c r="Y551" i="55"/>
  <c r="Y670" i="55"/>
  <c r="Y703" i="55"/>
  <c r="Y533" i="55"/>
  <c r="Y607" i="55"/>
  <c r="Y638" i="55"/>
  <c r="Y482" i="55"/>
  <c r="W561" i="55"/>
  <c r="AE561" i="55" s="1"/>
  <c r="AE355" i="55"/>
  <c r="AF355" i="55" s="1"/>
  <c r="AH355" i="55" s="1"/>
  <c r="Y398" i="55"/>
  <c r="Y572" i="55"/>
  <c r="Y517" i="55"/>
  <c r="Y655" i="55"/>
  <c r="Y581" i="55"/>
  <c r="Y719" i="55"/>
  <c r="W758" i="55"/>
  <c r="W797" i="55"/>
  <c r="W799" i="55"/>
  <c r="AE799" i="55" s="1"/>
  <c r="W798" i="55"/>
  <c r="W759" i="55"/>
  <c r="W760" i="55"/>
  <c r="W660" i="55"/>
  <c r="AE660" i="55" s="1"/>
  <c r="W562" i="55"/>
  <c r="AE562" i="55" s="1"/>
  <c r="W522" i="55"/>
  <c r="AE522" i="55" s="1"/>
  <c r="W724" i="55"/>
  <c r="AE724" i="55" s="1"/>
  <c r="W700" i="55"/>
  <c r="AE700" i="55" s="1"/>
  <c r="W586" i="55"/>
  <c r="AE586" i="55" s="1"/>
  <c r="W528" i="55"/>
  <c r="AE528" i="55" s="1"/>
  <c r="W725" i="55"/>
  <c r="AE725" i="55" s="1"/>
  <c r="W67" i="55"/>
  <c r="AE67" i="55" s="1"/>
  <c r="W523" i="55"/>
  <c r="AE523" i="55" s="1"/>
  <c r="W603" i="55"/>
  <c r="AE603" i="55" s="1"/>
  <c r="W6" i="55"/>
  <c r="AE6" i="55" s="1"/>
  <c r="W193" i="55"/>
  <c r="AE193" i="55" s="1"/>
  <c r="AF193" i="55" s="1"/>
  <c r="AH193" i="55" s="1"/>
  <c r="W41" i="55"/>
  <c r="AE41" i="55" s="1"/>
  <c r="W463" i="55"/>
  <c r="AE463" i="55" s="1"/>
  <c r="W109" i="55"/>
  <c r="AE109" i="55" s="1"/>
  <c r="W661" i="55"/>
  <c r="AE661" i="55" s="1"/>
  <c r="W666" i="55"/>
  <c r="AE666" i="55" s="1"/>
  <c r="W637" i="55"/>
  <c r="AE637" i="55" s="1"/>
  <c r="W497" i="55"/>
  <c r="AE497" i="55" s="1"/>
  <c r="AE301" i="55"/>
  <c r="V282" i="55"/>
  <c r="V286" i="55"/>
  <c r="AE286" i="55" s="1"/>
  <c r="V817" i="55"/>
  <c r="AE817" i="55" s="1"/>
  <c r="V821" i="55"/>
  <c r="V305" i="55"/>
  <c r="V301" i="55"/>
  <c r="AF144" i="55"/>
  <c r="AH144" i="55" s="1"/>
  <c r="AF350" i="55"/>
  <c r="AH350" i="55" s="1"/>
  <c r="AF824" i="55"/>
  <c r="AH824" i="55" s="1"/>
  <c r="AF834" i="55"/>
  <c r="AH834" i="55" s="1"/>
  <c r="AF163" i="55"/>
  <c r="AH163" i="55" s="1"/>
  <c r="AF836" i="55"/>
  <c r="AH836" i="55" s="1"/>
  <c r="E6" i="50"/>
  <c r="Y634" i="55"/>
  <c r="Y489" i="55"/>
  <c r="Y686" i="55"/>
  <c r="Y624" i="55"/>
  <c r="Y541" i="55"/>
  <c r="AE769" i="55"/>
  <c r="AE798" i="55"/>
  <c r="Y716" i="55"/>
  <c r="Y552" i="55"/>
  <c r="Y469" i="55"/>
  <c r="Y640" i="55"/>
  <c r="Y495" i="55"/>
  <c r="Y630" i="55"/>
  <c r="Y536" i="55"/>
  <c r="Y678" i="55"/>
  <c r="Y605" i="55"/>
  <c r="AE758" i="55"/>
  <c r="W821" i="55"/>
  <c r="AE821" i="55" s="1"/>
  <c r="Y672" i="55"/>
  <c r="Y561" i="55"/>
  <c r="Y477" i="55"/>
  <c r="Y689" i="55"/>
  <c r="Y545" i="55"/>
  <c r="Y528" i="55"/>
  <c r="Y488" i="55"/>
  <c r="Y500" i="55"/>
  <c r="Y633" i="55"/>
  <c r="Y691" i="55"/>
  <c r="Y466" i="55"/>
  <c r="Y579" i="55"/>
  <c r="Y549" i="55"/>
  <c r="Y668" i="55"/>
  <c r="Y701" i="55"/>
  <c r="Y481" i="55"/>
  <c r="Y606" i="55"/>
  <c r="Y559" i="55"/>
  <c r="Y679" i="55"/>
  <c r="AE759" i="55"/>
  <c r="AF759" i="55" s="1"/>
  <c r="AH759" i="55" s="1"/>
  <c r="AM759" i="55" s="1"/>
  <c r="Y629" i="55"/>
  <c r="Y478" i="55"/>
  <c r="Y493" i="55"/>
  <c r="AE760" i="55"/>
  <c r="Y537" i="55"/>
  <c r="AF826" i="55"/>
  <c r="AH826" i="55" s="1"/>
  <c r="W40" i="55"/>
  <c r="AE40" i="55" s="1"/>
  <c r="W443" i="55"/>
  <c r="AE443" i="55" s="1"/>
  <c r="AE147" i="55"/>
  <c r="W66" i="55"/>
  <c r="AE66" i="55" s="1"/>
  <c r="W393" i="55"/>
  <c r="AE393" i="55" s="1"/>
  <c r="X640" i="55"/>
  <c r="X166" i="55"/>
  <c r="W355" i="55"/>
  <c r="W242" i="55"/>
  <c r="AE242" i="55" s="1"/>
  <c r="W356" i="55"/>
  <c r="AE356" i="55" s="1"/>
  <c r="AF356" i="55" s="1"/>
  <c r="AH356" i="55" s="1"/>
  <c r="AF738" i="55"/>
  <c r="AH738" i="55" s="1"/>
  <c r="AE316" i="55"/>
  <c r="AE727" i="55"/>
  <c r="AF103" i="55"/>
  <c r="AH103" i="55" s="1"/>
  <c r="AN103" i="55" s="1"/>
  <c r="AF167" i="55"/>
  <c r="AH167" i="55" s="1"/>
  <c r="AF441" i="55"/>
  <c r="AH441" i="55" s="1"/>
  <c r="AF763" i="55"/>
  <c r="AH763" i="55" s="1"/>
  <c r="AF359" i="55"/>
  <c r="AH359" i="55" s="1"/>
  <c r="AM359" i="55" s="1"/>
  <c r="AE422" i="55"/>
  <c r="AE150" i="55"/>
  <c r="AE510" i="55"/>
  <c r="AE145" i="55"/>
  <c r="AF145" i="55" s="1"/>
  <c r="AH145" i="55" s="1"/>
  <c r="X265" i="55"/>
  <c r="X234" i="55"/>
  <c r="X199" i="55"/>
  <c r="X264" i="55"/>
  <c r="X233" i="55"/>
  <c r="X198" i="55"/>
  <c r="X239" i="55"/>
  <c r="X796" i="55"/>
  <c r="X259" i="55"/>
  <c r="X209" i="55"/>
  <c r="X757" i="55"/>
  <c r="X196" i="55"/>
  <c r="X261" i="55"/>
  <c r="X230" i="55"/>
  <c r="X195" i="55"/>
  <c r="X260" i="55"/>
  <c r="X210" i="55"/>
  <c r="X795" i="55"/>
  <c r="X231" i="55"/>
  <c r="X792" i="55"/>
  <c r="X240" i="55"/>
  <c r="X205" i="55"/>
  <c r="X258" i="55"/>
  <c r="X794" i="55"/>
  <c r="X257" i="55"/>
  <c r="X207" i="55"/>
  <c r="X793" i="55"/>
  <c r="X241" i="55"/>
  <c r="X206" i="55"/>
  <c r="X753" i="55"/>
  <c r="X204" i="55"/>
  <c r="X754" i="55"/>
  <c r="X236" i="55"/>
  <c r="X201" i="55"/>
  <c r="X235" i="55"/>
  <c r="X756" i="55"/>
  <c r="X238" i="55"/>
  <c r="X203" i="55"/>
  <c r="X755" i="55"/>
  <c r="X237" i="55"/>
  <c r="X202" i="55"/>
  <c r="X262" i="55"/>
  <c r="X200" i="55"/>
  <c r="X263" i="55"/>
  <c r="X232" i="55"/>
  <c r="X197" i="55"/>
  <c r="X208" i="55"/>
  <c r="W569" i="55"/>
  <c r="AE569" i="55" s="1"/>
  <c r="AF569" i="55" s="1"/>
  <c r="AH569" i="55" s="1"/>
  <c r="AP569" i="55" s="1"/>
  <c r="W547" i="55"/>
  <c r="AE547" i="55" s="1"/>
  <c r="W118" i="55"/>
  <c r="AE118" i="55" s="1"/>
  <c r="W685" i="55"/>
  <c r="AE685" i="55" s="1"/>
  <c r="W549" i="55"/>
  <c r="AE549" i="55" s="1"/>
  <c r="AF549" i="55" s="1"/>
  <c r="AH549" i="55" s="1"/>
  <c r="AN549" i="55" s="1"/>
  <c r="W182" i="55"/>
  <c r="AE182" i="55" s="1"/>
  <c r="W482" i="55"/>
  <c r="AE482" i="55" s="1"/>
  <c r="W445" i="55"/>
  <c r="AE445" i="55" s="1"/>
  <c r="W28" i="55"/>
  <c r="AE28" i="55" s="1"/>
  <c r="AV28" i="55" s="1"/>
  <c r="W484" i="55"/>
  <c r="AE484" i="55" s="1"/>
  <c r="W504" i="55"/>
  <c r="AE504" i="55" s="1"/>
  <c r="W111" i="55"/>
  <c r="AE111" i="55" s="1"/>
  <c r="AF111" i="55" s="1"/>
  <c r="AH111" i="55" s="1"/>
  <c r="AO111" i="55" s="1"/>
  <c r="W687" i="55"/>
  <c r="AE687" i="55" s="1"/>
  <c r="AF687" i="55" s="1"/>
  <c r="AH687" i="55" s="1"/>
  <c r="AP687" i="55" s="1"/>
  <c r="W395" i="55"/>
  <c r="AE395" i="55" s="1"/>
  <c r="W59" i="55"/>
  <c r="AE59" i="55" s="1"/>
  <c r="W707" i="55"/>
  <c r="AE707" i="55" s="1"/>
  <c r="AF707" i="55" s="1"/>
  <c r="AH707" i="55" s="1"/>
  <c r="W417" i="55"/>
  <c r="AE417" i="55" s="1"/>
  <c r="W26" i="55"/>
  <c r="AE26" i="55" s="1"/>
  <c r="AV26" i="55" s="1"/>
  <c r="W622" i="55"/>
  <c r="AE622" i="55" s="1"/>
  <c r="W596" i="55"/>
  <c r="AE596" i="55" s="1"/>
  <c r="W184" i="55"/>
  <c r="AE184" i="55" s="1"/>
  <c r="AF184" i="55" s="1"/>
  <c r="AH184" i="55" s="1"/>
  <c r="AP184" i="55" s="1"/>
  <c r="W624" i="55"/>
  <c r="AE624" i="55" s="1"/>
  <c r="W644" i="55"/>
  <c r="AE644" i="55" s="1"/>
  <c r="W383" i="55"/>
  <c r="AE383" i="55" s="1"/>
  <c r="AF105" i="55"/>
  <c r="AH105" i="55" s="1"/>
  <c r="AN105" i="55" s="1"/>
  <c r="AE599" i="55"/>
  <c r="AF98" i="55"/>
  <c r="AH98" i="55" s="1"/>
  <c r="AF219" i="55"/>
  <c r="AH219" i="55" s="1"/>
  <c r="AN219" i="55" s="1"/>
  <c r="AF149" i="55"/>
  <c r="AH149" i="55" s="1"/>
  <c r="AM149" i="55" s="1"/>
  <c r="AE712" i="55"/>
  <c r="AE187" i="55"/>
  <c r="AE791" i="55"/>
  <c r="AD40" i="55"/>
  <c r="AV40" i="55" s="1"/>
  <c r="AD27" i="55"/>
  <c r="AV27" i="55" s="1"/>
  <c r="AD43" i="55"/>
  <c r="AV43" i="55" s="1"/>
  <c r="AE535" i="55"/>
  <c r="AF317" i="55"/>
  <c r="AH317" i="55" s="1"/>
  <c r="AP317" i="55" s="1"/>
  <c r="AE283" i="55"/>
  <c r="AV16" i="55"/>
  <c r="AV12" i="55"/>
  <c r="AV8" i="55"/>
  <c r="AF762" i="55"/>
  <c r="AH762" i="55" s="1"/>
  <c r="AP762" i="55" s="1"/>
  <c r="AF330" i="55"/>
  <c r="AH330" i="55" s="1"/>
  <c r="AP330" i="55" s="1"/>
  <c r="AF231" i="55"/>
  <c r="AH231" i="55" s="1"/>
  <c r="AM231" i="55" s="1"/>
  <c r="AF218" i="55"/>
  <c r="AH218" i="55" s="1"/>
  <c r="AF148" i="55"/>
  <c r="AH148" i="55" s="1"/>
  <c r="AP148" i="55" s="1"/>
  <c r="AF363" i="55"/>
  <c r="AH363" i="55" s="1"/>
  <c r="AO363" i="55" s="1"/>
  <c r="AF104" i="55"/>
  <c r="AH104" i="55" s="1"/>
  <c r="AP104" i="55" s="1"/>
  <c r="AF102" i="55"/>
  <c r="AH102" i="55" s="1"/>
  <c r="AO102" i="55" s="1"/>
  <c r="AE756" i="55"/>
  <c r="AF756" i="55" s="1"/>
  <c r="AH756" i="55" s="1"/>
  <c r="AN756" i="55" s="1"/>
  <c r="AF150" i="55"/>
  <c r="AH150" i="55" s="1"/>
  <c r="AM150" i="55" s="1"/>
  <c r="AF322" i="55"/>
  <c r="AH322" i="55" s="1"/>
  <c r="AN322" i="55" s="1"/>
  <c r="AF760" i="55"/>
  <c r="AH760" i="55" s="1"/>
  <c r="AO760" i="55" s="1"/>
  <c r="AE13" i="55"/>
  <c r="AV13" i="55" s="1"/>
  <c r="AF307" i="55"/>
  <c r="AH307" i="55" s="1"/>
  <c r="AP307" i="55" s="1"/>
  <c r="AF354" i="55"/>
  <c r="AH354" i="55" s="1"/>
  <c r="AO354" i="55" s="1"/>
  <c r="AF761" i="55"/>
  <c r="AH761" i="55" s="1"/>
  <c r="AO761" i="55" s="1"/>
  <c r="AF352" i="55"/>
  <c r="AH352" i="55" s="1"/>
  <c r="AO352" i="55" s="1"/>
  <c r="AE751" i="55"/>
  <c r="AF751" i="55" s="1"/>
  <c r="AH751" i="55" s="1"/>
  <c r="AP751" i="55" s="1"/>
  <c r="AE610" i="55"/>
  <c r="AV17" i="55"/>
  <c r="AV22" i="55"/>
  <c r="AF335" i="55"/>
  <c r="AH335" i="55" s="1"/>
  <c r="AO335" i="55" s="1"/>
  <c r="AF328" i="55"/>
  <c r="AH328" i="55" s="1"/>
  <c r="AP328" i="55" s="1"/>
  <c r="AF213" i="55"/>
  <c r="AH213" i="55" s="1"/>
  <c r="AN213" i="55" s="1"/>
  <c r="AF168" i="55"/>
  <c r="AH168" i="55" s="1"/>
  <c r="AO168" i="55" s="1"/>
  <c r="AF84" i="55"/>
  <c r="AH84" i="55" s="1"/>
  <c r="AO84" i="55" s="1"/>
  <c r="AV25" i="55"/>
  <c r="AF52" i="55"/>
  <c r="AH52" i="55" s="1"/>
  <c r="AP52" i="55" s="1"/>
  <c r="AF110" i="55"/>
  <c r="AH110" i="55" s="1"/>
  <c r="AP110" i="55" s="1"/>
  <c r="AF38" i="55"/>
  <c r="AH38" i="55" s="1"/>
  <c r="AM38" i="55" s="1"/>
  <c r="AF129" i="55"/>
  <c r="AH129" i="55" s="1"/>
  <c r="AO129" i="55" s="1"/>
  <c r="AF384" i="55"/>
  <c r="AH384" i="55" s="1"/>
  <c r="AO384" i="55" s="1"/>
  <c r="AF418" i="55"/>
  <c r="AH418" i="55" s="1"/>
  <c r="AO418" i="55" s="1"/>
  <c r="AF540" i="55"/>
  <c r="AH540" i="55" s="1"/>
  <c r="AF704" i="55"/>
  <c r="AH704" i="55" s="1"/>
  <c r="AO704" i="55" s="1"/>
  <c r="AF72" i="55"/>
  <c r="AH72" i="55" s="1"/>
  <c r="AO72" i="55" s="1"/>
  <c r="AF12" i="55"/>
  <c r="AH12" i="55" s="1"/>
  <c r="AF440" i="55"/>
  <c r="AH440" i="55" s="1"/>
  <c r="AN440" i="55" s="1"/>
  <c r="AF405" i="55"/>
  <c r="AH405" i="55" s="1"/>
  <c r="AF567" i="55"/>
  <c r="AH567" i="55" s="1"/>
  <c r="AN567" i="55" s="1"/>
  <c r="AF327" i="55"/>
  <c r="AH327" i="55" s="1"/>
  <c r="AO327" i="55" s="1"/>
  <c r="AF48" i="55"/>
  <c r="AH48" i="55" s="1"/>
  <c r="AF233" i="55"/>
  <c r="AH233" i="55" s="1"/>
  <c r="AF190" i="55"/>
  <c r="AH190" i="55" s="1"/>
  <c r="AO190" i="55" s="1"/>
  <c r="AF130" i="55"/>
  <c r="AH130" i="55" s="1"/>
  <c r="AF439" i="55"/>
  <c r="AH439" i="55" s="1"/>
  <c r="AF396" i="55"/>
  <c r="AH396" i="55" s="1"/>
  <c r="AN396" i="55" s="1"/>
  <c r="AF411" i="55"/>
  <c r="AH411" i="55" s="1"/>
  <c r="AP411" i="55" s="1"/>
  <c r="AF586" i="55"/>
  <c r="AH586" i="55" s="1"/>
  <c r="AF581" i="55"/>
  <c r="AH581" i="55" s="1"/>
  <c r="AF580" i="55"/>
  <c r="AH580" i="55" s="1"/>
  <c r="AN580" i="55" s="1"/>
  <c r="AF671" i="55"/>
  <c r="AH671" i="55" s="1"/>
  <c r="AM671" i="55" s="1"/>
  <c r="AF700" i="55"/>
  <c r="AH700" i="55" s="1"/>
  <c r="AE209" i="55"/>
  <c r="AF158" i="55"/>
  <c r="AH158" i="55" s="1"/>
  <c r="AO158" i="55" s="1"/>
  <c r="AF392" i="55"/>
  <c r="AH392" i="55" s="1"/>
  <c r="AO392" i="55" s="1"/>
  <c r="AF578" i="55"/>
  <c r="AH578" i="55" s="1"/>
  <c r="AF720" i="55"/>
  <c r="AH720" i="55" s="1"/>
  <c r="AO720" i="55" s="1"/>
  <c r="AF121" i="55"/>
  <c r="AH121" i="55" s="1"/>
  <c r="AN121" i="55" s="1"/>
  <c r="AF127" i="55"/>
  <c r="AH127" i="55" s="1"/>
  <c r="AO127" i="55" s="1"/>
  <c r="AV35" i="55"/>
  <c r="AF314" i="55"/>
  <c r="AH314" i="55" s="1"/>
  <c r="AP314" i="55" s="1"/>
  <c r="AE752" i="55"/>
  <c r="AF752" i="55" s="1"/>
  <c r="AH752" i="55" s="1"/>
  <c r="AF758" i="55"/>
  <c r="AH758" i="55" s="1"/>
  <c r="AN758" i="55" s="1"/>
  <c r="AF147" i="55"/>
  <c r="AH147" i="55" s="1"/>
  <c r="AE61" i="55"/>
  <c r="AF61" i="55" s="1"/>
  <c r="AH61" i="55" s="1"/>
  <c r="AV19" i="55"/>
  <c r="AF319" i="55"/>
  <c r="AH319" i="55" s="1"/>
  <c r="AF407" i="55"/>
  <c r="AH407" i="55" s="1"/>
  <c r="AF421" i="55"/>
  <c r="AH421" i="55" s="1"/>
  <c r="AM421" i="55" s="1"/>
  <c r="AF416" i="55"/>
  <c r="AH416" i="55" s="1"/>
  <c r="AP416" i="55" s="1"/>
  <c r="AF536" i="55"/>
  <c r="AH536" i="55" s="1"/>
  <c r="AO536" i="55" s="1"/>
  <c r="AF697" i="55"/>
  <c r="AH697" i="55" s="1"/>
  <c r="AN697" i="55" s="1"/>
  <c r="AF43" i="55"/>
  <c r="AH43" i="55" s="1"/>
  <c r="AP43" i="55" s="1"/>
  <c r="AE311" i="55"/>
  <c r="AF764" i="55"/>
  <c r="AH764" i="55" s="1"/>
  <c r="AP764" i="55" s="1"/>
  <c r="AF460" i="55"/>
  <c r="AH460" i="55" s="1"/>
  <c r="AO460" i="55" s="1"/>
  <c r="AF446" i="55"/>
  <c r="AH446" i="55" s="1"/>
  <c r="AM446" i="55" s="1"/>
  <c r="AF394" i="55"/>
  <c r="AH394" i="55" s="1"/>
  <c r="AF575" i="55"/>
  <c r="AH575" i="55" s="1"/>
  <c r="AP575" i="55" s="1"/>
  <c r="AF436" i="55"/>
  <c r="AH436" i="55" s="1"/>
  <c r="AP436" i="55" s="1"/>
  <c r="AF425" i="55"/>
  <c r="AH425" i="55" s="1"/>
  <c r="AM425" i="55" s="1"/>
  <c r="AF420" i="55"/>
  <c r="AH420" i="55" s="1"/>
  <c r="AF550" i="55"/>
  <c r="AH550" i="55" s="1"/>
  <c r="AO550" i="55" s="1"/>
  <c r="AE553" i="55"/>
  <c r="AF553" i="55" s="1"/>
  <c r="AH553" i="55" s="1"/>
  <c r="AV33" i="55"/>
  <c r="AV24" i="55"/>
  <c r="AV21" i="55"/>
  <c r="AE731" i="55"/>
  <c r="AV37" i="55"/>
  <c r="AV34" i="55"/>
  <c r="AF95" i="55"/>
  <c r="AH95" i="55" s="1"/>
  <c r="AN95" i="55" s="1"/>
  <c r="AF320" i="55"/>
  <c r="AH320" i="55" s="1"/>
  <c r="AO320" i="55" s="1"/>
  <c r="AF399" i="55"/>
  <c r="AH399" i="55" s="1"/>
  <c r="AP399" i="55" s="1"/>
  <c r="AF562" i="55"/>
  <c r="AH562" i="55" s="1"/>
  <c r="AP562" i="55" s="1"/>
  <c r="AF555" i="55"/>
  <c r="AH555" i="55" s="1"/>
  <c r="AP555" i="55" s="1"/>
  <c r="AF156" i="55"/>
  <c r="AH156" i="55" s="1"/>
  <c r="AP156" i="55" s="1"/>
  <c r="AF239" i="55"/>
  <c r="AH239" i="55" s="1"/>
  <c r="AF85" i="55"/>
  <c r="AH85" i="55" s="1"/>
  <c r="AF341" i="55"/>
  <c r="AH341" i="55" s="1"/>
  <c r="AO341" i="55" s="1"/>
  <c r="AF385" i="55"/>
  <c r="AH385" i="55" s="1"/>
  <c r="AP385" i="55" s="1"/>
  <c r="AF455" i="55"/>
  <c r="AH455" i="55" s="1"/>
  <c r="AF445" i="55"/>
  <c r="AH445" i="55" s="1"/>
  <c r="AO445" i="55" s="1"/>
  <c r="AF310" i="55"/>
  <c r="AH310" i="55" s="1"/>
  <c r="AO310" i="55" s="1"/>
  <c r="AF558" i="55"/>
  <c r="AH558" i="55" s="1"/>
  <c r="AO558" i="55" s="1"/>
  <c r="AF542" i="55"/>
  <c r="AH542" i="55" s="1"/>
  <c r="AF552" i="55"/>
  <c r="AH552" i="55" s="1"/>
  <c r="AF551" i="55"/>
  <c r="AH551" i="55" s="1"/>
  <c r="AP551" i="55" s="1"/>
  <c r="AF705" i="55"/>
  <c r="AH705" i="55" s="1"/>
  <c r="AO705" i="55" s="1"/>
  <c r="AF749" i="55"/>
  <c r="AH749" i="55" s="1"/>
  <c r="AP749" i="55" s="1"/>
  <c r="AF49" i="55"/>
  <c r="AH49" i="55" s="1"/>
  <c r="AF154" i="55"/>
  <c r="AH154" i="55" s="1"/>
  <c r="AO154" i="55" s="1"/>
  <c r="AF235" i="55"/>
  <c r="AH235" i="55" s="1"/>
  <c r="AF91" i="55"/>
  <c r="AH91" i="55" s="1"/>
  <c r="AM91" i="55" s="1"/>
  <c r="AF86" i="55"/>
  <c r="AH86" i="55" s="1"/>
  <c r="AP86" i="55" s="1"/>
  <c r="AF26" i="55"/>
  <c r="AH26" i="55" s="1"/>
  <c r="AN26" i="55" s="1"/>
  <c r="AF191" i="55"/>
  <c r="AH191" i="55" s="1"/>
  <c r="AP191" i="55" s="1"/>
  <c r="AF182" i="55"/>
  <c r="AH182" i="55" s="1"/>
  <c r="AF438" i="55"/>
  <c r="AH438" i="55" s="1"/>
  <c r="AO438" i="55" s="1"/>
  <c r="AF316" i="55"/>
  <c r="AH316" i="55" s="1"/>
  <c r="AN316" i="55" s="1"/>
  <c r="AF346" i="55"/>
  <c r="AH346" i="55" s="1"/>
  <c r="AF403" i="55"/>
  <c r="AH403" i="55" s="1"/>
  <c r="AP403" i="55" s="1"/>
  <c r="AF388" i="55"/>
  <c r="AH388" i="55" s="1"/>
  <c r="AM388" i="55" s="1"/>
  <c r="AF430" i="55"/>
  <c r="AH430" i="55" s="1"/>
  <c r="AP430" i="55" s="1"/>
  <c r="AF565" i="55"/>
  <c r="AH565" i="55" s="1"/>
  <c r="AF564" i="55"/>
  <c r="AH564" i="55" s="1"/>
  <c r="AO564" i="55" s="1"/>
  <c r="AF833" i="55"/>
  <c r="AH833" i="55" s="1"/>
  <c r="AP833" i="55" s="1"/>
  <c r="AF47" i="55"/>
  <c r="AH47" i="55" s="1"/>
  <c r="AN47" i="55" s="1"/>
  <c r="AF62" i="55"/>
  <c r="AH62" i="55" s="1"/>
  <c r="AF81" i="55"/>
  <c r="AH81" i="55" s="1"/>
  <c r="AP81" i="55" s="1"/>
  <c r="AF118" i="55"/>
  <c r="AH118" i="55" s="1"/>
  <c r="AP118" i="55" s="1"/>
  <c r="AF16" i="55"/>
  <c r="AH16" i="55" s="1"/>
  <c r="AO16" i="55" s="1"/>
  <c r="AF25" i="55"/>
  <c r="AH25" i="55" s="1"/>
  <c r="AP25" i="55" s="1"/>
  <c r="AF181" i="55"/>
  <c r="AH181" i="55" s="1"/>
  <c r="AM181" i="55" s="1"/>
  <c r="AF131" i="55"/>
  <c r="AH131" i="55" s="1"/>
  <c r="AO131" i="55" s="1"/>
  <c r="AF437" i="55"/>
  <c r="AH437" i="55" s="1"/>
  <c r="AF433" i="55"/>
  <c r="AH433" i="55" s="1"/>
  <c r="AP433" i="55" s="1"/>
  <c r="AF428" i="55"/>
  <c r="AH428" i="55" s="1"/>
  <c r="AO428" i="55" s="1"/>
  <c r="AF566" i="55"/>
  <c r="AH566" i="55" s="1"/>
  <c r="AO566" i="55" s="1"/>
  <c r="AF561" i="55"/>
  <c r="AH561" i="55" s="1"/>
  <c r="AF560" i="55"/>
  <c r="AH560" i="55" s="1"/>
  <c r="AM560" i="55" s="1"/>
  <c r="AF559" i="55"/>
  <c r="AH559" i="55" s="1"/>
  <c r="AO559" i="55" s="1"/>
  <c r="AF364" i="55"/>
  <c r="AH364" i="55" s="1"/>
  <c r="AM364" i="55" s="1"/>
  <c r="AF701" i="55"/>
  <c r="AH701" i="55" s="1"/>
  <c r="AF669" i="55"/>
  <c r="AH669" i="55" s="1"/>
  <c r="AM669" i="55" s="1"/>
  <c r="AF739" i="55"/>
  <c r="AH739" i="55" s="1"/>
  <c r="AP739" i="55" s="1"/>
  <c r="AE691" i="55"/>
  <c r="AF691" i="55" s="1"/>
  <c r="AH691" i="55" s="1"/>
  <c r="AF215" i="55"/>
  <c r="AH215" i="55" s="1"/>
  <c r="AF312" i="55"/>
  <c r="AH312" i="55" s="1"/>
  <c r="AN312" i="55" s="1"/>
  <c r="AF53" i="55"/>
  <c r="AH53" i="55" s="1"/>
  <c r="AN53" i="55" s="1"/>
  <c r="AF153" i="55"/>
  <c r="AH153" i="55" s="1"/>
  <c r="AN153" i="55" s="1"/>
  <c r="AF30" i="55"/>
  <c r="AH30" i="55" s="1"/>
  <c r="AF39" i="55"/>
  <c r="AH39" i="55" s="1"/>
  <c r="AN39" i="55" s="1"/>
  <c r="AF186" i="55"/>
  <c r="AH186" i="55" s="1"/>
  <c r="AP186" i="55" s="1"/>
  <c r="AF459" i="55"/>
  <c r="AH459" i="55" s="1"/>
  <c r="AO459" i="55" s="1"/>
  <c r="AF449" i="55"/>
  <c r="AH449" i="55" s="1"/>
  <c r="AP449" i="55" s="1"/>
  <c r="AF66" i="55"/>
  <c r="AH66" i="55" s="1"/>
  <c r="AV36" i="55"/>
  <c r="AF20" i="55"/>
  <c r="AH20" i="55" s="1"/>
  <c r="AO20" i="55" s="1"/>
  <c r="AF185" i="55"/>
  <c r="AH185" i="55" s="1"/>
  <c r="AF166" i="55"/>
  <c r="AH166" i="55" s="1"/>
  <c r="AM166" i="55" s="1"/>
  <c r="AF161" i="55"/>
  <c r="AH161" i="55" s="1"/>
  <c r="AP161" i="55" s="1"/>
  <c r="AF241" i="55"/>
  <c r="AH241" i="55" s="1"/>
  <c r="AP241" i="55" s="1"/>
  <c r="AF6" i="55"/>
  <c r="AH6" i="55" s="1"/>
  <c r="AF7" i="55"/>
  <c r="AH7" i="55" s="1"/>
  <c r="AF171" i="55"/>
  <c r="AH171" i="55" s="1"/>
  <c r="AN171" i="55" s="1"/>
  <c r="AF137" i="55"/>
  <c r="AH137" i="55" s="1"/>
  <c r="AM137" i="55" s="1"/>
  <c r="AF126" i="55"/>
  <c r="AH126" i="55" s="1"/>
  <c r="AF442" i="55"/>
  <c r="AH442" i="55" s="1"/>
  <c r="AF379" i="55"/>
  <c r="AH379" i="55" s="1"/>
  <c r="AP379" i="55" s="1"/>
  <c r="AF431" i="55"/>
  <c r="AH431" i="55" s="1"/>
  <c r="AM431" i="55" s="1"/>
  <c r="AF426" i="55"/>
  <c r="AH426" i="55" s="1"/>
  <c r="AN426" i="55" s="1"/>
  <c r="AF573" i="55"/>
  <c r="AH573" i="55" s="1"/>
  <c r="AO573" i="55" s="1"/>
  <c r="AF557" i="55"/>
  <c r="AH557" i="55" s="1"/>
  <c r="AN557" i="55" s="1"/>
  <c r="AF572" i="55"/>
  <c r="AH572" i="55" s="1"/>
  <c r="AO572" i="55" s="1"/>
  <c r="AF556" i="55"/>
  <c r="AH556" i="55" s="1"/>
  <c r="AF571" i="55"/>
  <c r="AH571" i="55" s="1"/>
  <c r="AF329" i="55"/>
  <c r="AH329" i="55" s="1"/>
  <c r="AM329" i="55" s="1"/>
  <c r="AF334" i="55"/>
  <c r="AH334" i="55" s="1"/>
  <c r="AP334" i="55" s="1"/>
  <c r="AF723" i="55"/>
  <c r="AH723" i="55" s="1"/>
  <c r="AO723" i="55" s="1"/>
  <c r="AF715" i="55"/>
  <c r="AH715" i="55" s="1"/>
  <c r="AO715" i="55" s="1"/>
  <c r="AF712" i="55"/>
  <c r="AH712" i="55" s="1"/>
  <c r="AO712" i="55" s="1"/>
  <c r="AF688" i="55"/>
  <c r="AH688" i="55" s="1"/>
  <c r="AP688" i="55" s="1"/>
  <c r="AF680" i="55"/>
  <c r="AH680" i="55" s="1"/>
  <c r="AF51" i="55"/>
  <c r="AH51" i="55" s="1"/>
  <c r="AF240" i="55"/>
  <c r="AH240" i="55" s="1"/>
  <c r="AN240" i="55" s="1"/>
  <c r="AF93" i="55"/>
  <c r="AH93" i="55" s="1"/>
  <c r="AM93" i="55" s="1"/>
  <c r="AF88" i="55"/>
  <c r="AH88" i="55" s="1"/>
  <c r="AF80" i="55"/>
  <c r="AH80" i="55" s="1"/>
  <c r="AP80" i="55" s="1"/>
  <c r="AF122" i="55"/>
  <c r="AH122" i="55" s="1"/>
  <c r="AP122" i="55" s="1"/>
  <c r="AF29" i="55"/>
  <c r="AH29" i="55" s="1"/>
  <c r="AP29" i="55" s="1"/>
  <c r="AF135" i="55"/>
  <c r="AH135" i="55" s="1"/>
  <c r="AM135" i="55" s="1"/>
  <c r="AF461" i="55"/>
  <c r="AH461" i="55" s="1"/>
  <c r="AN461" i="55" s="1"/>
  <c r="AF397" i="55"/>
  <c r="AH397" i="55" s="1"/>
  <c r="AP397" i="55" s="1"/>
  <c r="AF390" i="55"/>
  <c r="AH390" i="55" s="1"/>
  <c r="AN390" i="55" s="1"/>
  <c r="AF429" i="55"/>
  <c r="AH429" i="55" s="1"/>
  <c r="AO429" i="55" s="1"/>
  <c r="AF432" i="55"/>
  <c r="AH432" i="55" s="1"/>
  <c r="AM432" i="55" s="1"/>
  <c r="AF424" i="55"/>
  <c r="AH424" i="55" s="1"/>
  <c r="AP424" i="55" s="1"/>
  <c r="AF568" i="55"/>
  <c r="AH568" i="55" s="1"/>
  <c r="AO568" i="55" s="1"/>
  <c r="AF713" i="55"/>
  <c r="AH713" i="55" s="1"/>
  <c r="AN713" i="55" s="1"/>
  <c r="AF710" i="55"/>
  <c r="AH710" i="55" s="1"/>
  <c r="AP710" i="55" s="1"/>
  <c r="AF702" i="55"/>
  <c r="AH702" i="55" s="1"/>
  <c r="AO702" i="55" s="1"/>
  <c r="AF670" i="55"/>
  <c r="AH670" i="55" s="1"/>
  <c r="AN670" i="55" s="1"/>
  <c r="AF57" i="55"/>
  <c r="AH57" i="55" s="1"/>
  <c r="AO57" i="55" s="1"/>
  <c r="AF157" i="55"/>
  <c r="AH157" i="55" s="1"/>
  <c r="AO157" i="55" s="1"/>
  <c r="AF94" i="55"/>
  <c r="AH94" i="55" s="1"/>
  <c r="AP94" i="55" s="1"/>
  <c r="AF119" i="55"/>
  <c r="AH119" i="55" s="1"/>
  <c r="AF35" i="55"/>
  <c r="AH35" i="55" s="1"/>
  <c r="AF11" i="55"/>
  <c r="AH11" i="55" s="1"/>
  <c r="AM11" i="55" s="1"/>
  <c r="AF107" i="55"/>
  <c r="AH107" i="55" s="1"/>
  <c r="AO107" i="55" s="1"/>
  <c r="AF448" i="55"/>
  <c r="AH448" i="55" s="1"/>
  <c r="AF457" i="55"/>
  <c r="AH457" i="55" s="1"/>
  <c r="AO457" i="55" s="1"/>
  <c r="AF570" i="55"/>
  <c r="AH570" i="55" s="1"/>
  <c r="AN570" i="55" s="1"/>
  <c r="AF563" i="55"/>
  <c r="AH563" i="55" s="1"/>
  <c r="AM563" i="55" s="1"/>
  <c r="AF361" i="55"/>
  <c r="AH361" i="55" s="1"/>
  <c r="AF727" i="55"/>
  <c r="AH727" i="55" s="1"/>
  <c r="AF703" i="55"/>
  <c r="AH703" i="55" s="1"/>
  <c r="AO703" i="55" s="1"/>
  <c r="AF695" i="55"/>
  <c r="AH695" i="55" s="1"/>
  <c r="AM695" i="55" s="1"/>
  <c r="AF724" i="55"/>
  <c r="AH724" i="55" s="1"/>
  <c r="AF55" i="55"/>
  <c r="AH55" i="55" s="1"/>
  <c r="AN55" i="55" s="1"/>
  <c r="AF155" i="55"/>
  <c r="AH155" i="55" s="1"/>
  <c r="AN155" i="55" s="1"/>
  <c r="AF89" i="55"/>
  <c r="AH89" i="55" s="1"/>
  <c r="AM89" i="55" s="1"/>
  <c r="AF117" i="55"/>
  <c r="AH117" i="55" s="1"/>
  <c r="AF189" i="55"/>
  <c r="AH189" i="55" s="1"/>
  <c r="AM189" i="55" s="1"/>
  <c r="AF172" i="55"/>
  <c r="AH172" i="55" s="1"/>
  <c r="AP172" i="55" s="1"/>
  <c r="AF139" i="55"/>
  <c r="AH139" i="55" s="1"/>
  <c r="AO139" i="55" s="1"/>
  <c r="AF146" i="55"/>
  <c r="AH146" i="55" s="1"/>
  <c r="AP146" i="55" s="1"/>
  <c r="AF444" i="55"/>
  <c r="AH444" i="55" s="1"/>
  <c r="AO444" i="55" s="1"/>
  <c r="AF321" i="55"/>
  <c r="AH321" i="55" s="1"/>
  <c r="AM321" i="55" s="1"/>
  <c r="AF313" i="55"/>
  <c r="AH313" i="55" s="1"/>
  <c r="AO313" i="55" s="1"/>
  <c r="AF381" i="55"/>
  <c r="AH381" i="55" s="1"/>
  <c r="AF401" i="55"/>
  <c r="AH401" i="55" s="1"/>
  <c r="AN401" i="55" s="1"/>
  <c r="AF409" i="55"/>
  <c r="AH409" i="55" s="1"/>
  <c r="AM409" i="55" s="1"/>
  <c r="AF582" i="55"/>
  <c r="AH582" i="55" s="1"/>
  <c r="AO582" i="55" s="1"/>
  <c r="AF576" i="55"/>
  <c r="AH576" i="55" s="1"/>
  <c r="AP576" i="55" s="1"/>
  <c r="AF709" i="55"/>
  <c r="AH709" i="55" s="1"/>
  <c r="AO709" i="55" s="1"/>
  <c r="AF706" i="55"/>
  <c r="AH706" i="55" s="1"/>
  <c r="AN706" i="55" s="1"/>
  <c r="AF754" i="55"/>
  <c r="AH754" i="55" s="1"/>
  <c r="AO754" i="55" s="1"/>
  <c r="AF757" i="55"/>
  <c r="AH757" i="55" s="1"/>
  <c r="AP757" i="55" s="1"/>
  <c r="AE32" i="55"/>
  <c r="AF674" i="55"/>
  <c r="AH674" i="55" s="1"/>
  <c r="AN674" i="55" s="1"/>
  <c r="AF83" i="55"/>
  <c r="AH83" i="55" s="1"/>
  <c r="AP83" i="55" s="1"/>
  <c r="AF27" i="55"/>
  <c r="AH27" i="55" s="1"/>
  <c r="AF183" i="55"/>
  <c r="AH183" i="55" s="1"/>
  <c r="AP183" i="55" s="1"/>
  <c r="AF427" i="55"/>
  <c r="AH427" i="55" s="1"/>
  <c r="AM427" i="55" s="1"/>
  <c r="AF547" i="55"/>
  <c r="AH547" i="55" s="1"/>
  <c r="AF719" i="55"/>
  <c r="AH719" i="55" s="1"/>
  <c r="AN719" i="55" s="1"/>
  <c r="AF543" i="55"/>
  <c r="AH543" i="55" s="1"/>
  <c r="AP543" i="55" s="1"/>
  <c r="AF725" i="55"/>
  <c r="AH725" i="55" s="1"/>
  <c r="AP725" i="55" s="1"/>
  <c r="AF722" i="55"/>
  <c r="AH722" i="55" s="1"/>
  <c r="AF698" i="55"/>
  <c r="AH698" i="55" s="1"/>
  <c r="AN698" i="55" s="1"/>
  <c r="AF690" i="55"/>
  <c r="AH690" i="55" s="1"/>
  <c r="AO690" i="55" s="1"/>
  <c r="AF666" i="55"/>
  <c r="AH666" i="55" s="1"/>
  <c r="AP666" i="55" s="1"/>
  <c r="AE220" i="55"/>
  <c r="AF220" i="55" s="1"/>
  <c r="AH220" i="55" s="1"/>
  <c r="AO220" i="55" s="1"/>
  <c r="AE628" i="55"/>
  <c r="AF33" i="55"/>
  <c r="AH33" i="55" s="1"/>
  <c r="AM33" i="55" s="1"/>
  <c r="AF17" i="55"/>
  <c r="AH17" i="55" s="1"/>
  <c r="AM17" i="55" s="1"/>
  <c r="E21" i="50"/>
  <c r="AF535" i="55"/>
  <c r="AH535" i="55" s="1"/>
  <c r="AM535" i="55" s="1"/>
  <c r="AF694" i="55"/>
  <c r="AH694" i="55" s="1"/>
  <c r="AO694" i="55" s="1"/>
  <c r="AE792" i="55"/>
  <c r="AF90" i="55"/>
  <c r="AH90" i="55" s="1"/>
  <c r="AP90" i="55" s="1"/>
  <c r="AF681" i="55"/>
  <c r="AH681" i="55" s="1"/>
  <c r="AO681" i="55" s="1"/>
  <c r="AF340" i="55"/>
  <c r="AH340" i="55" s="1"/>
  <c r="AF24" i="55"/>
  <c r="AH24" i="55" s="1"/>
  <c r="AM24" i="55" s="1"/>
  <c r="AF169" i="55"/>
  <c r="AH169" i="55" s="1"/>
  <c r="AO169" i="55" s="1"/>
  <c r="AF71" i="55"/>
  <c r="AH71" i="55" s="1"/>
  <c r="AO71" i="55" s="1"/>
  <c r="AF74" i="55"/>
  <c r="AH74" i="55" s="1"/>
  <c r="AN74" i="55" s="1"/>
  <c r="AF179" i="55"/>
  <c r="AH179" i="55" s="1"/>
  <c r="AN179" i="55" s="1"/>
  <c r="AF435" i="55"/>
  <c r="AH435" i="55" s="1"/>
  <c r="AN435" i="55" s="1"/>
  <c r="AF311" i="55"/>
  <c r="AH311" i="55" s="1"/>
  <c r="AM311" i="55" s="1"/>
  <c r="AF530" i="55"/>
  <c r="AH530" i="55" s="1"/>
  <c r="AN530" i="55" s="1"/>
  <c r="AF588" i="55"/>
  <c r="AH588" i="55" s="1"/>
  <c r="AN588" i="55" s="1"/>
  <c r="AF362" i="55"/>
  <c r="AH362" i="55" s="1"/>
  <c r="AM362" i="55" s="1"/>
  <c r="AF699" i="55"/>
  <c r="AH699" i="55" s="1"/>
  <c r="AF96" i="55"/>
  <c r="AH96" i="55" s="1"/>
  <c r="AN96" i="55" s="1"/>
  <c r="AF36" i="55"/>
  <c r="AH36" i="55" s="1"/>
  <c r="AP36" i="55" s="1"/>
  <c r="AF45" i="55"/>
  <c r="AH45" i="55" s="1"/>
  <c r="AO45" i="55" s="1"/>
  <c r="AF398" i="55"/>
  <c r="AH398" i="55" s="1"/>
  <c r="AF413" i="55"/>
  <c r="AH413" i="55" s="1"/>
  <c r="AM413" i="55" s="1"/>
  <c r="AF574" i="55"/>
  <c r="AH574" i="55" s="1"/>
  <c r="AO574" i="55" s="1"/>
  <c r="AF584" i="55"/>
  <c r="AH584" i="55" s="1"/>
  <c r="AM584" i="55" s="1"/>
  <c r="AF678" i="55"/>
  <c r="AH678" i="55" s="1"/>
  <c r="AO678" i="55" s="1"/>
  <c r="AF75" i="55"/>
  <c r="AH75" i="55" s="1"/>
  <c r="AO75" i="55" s="1"/>
  <c r="AF19" i="55"/>
  <c r="AH19" i="55" s="1"/>
  <c r="AM19" i="55" s="1"/>
  <c r="AF175" i="55"/>
  <c r="AH175" i="55" s="1"/>
  <c r="AF138" i="55"/>
  <c r="AH138" i="55" s="1"/>
  <c r="AN138" i="55" s="1"/>
  <c r="AF383" i="55"/>
  <c r="AH383" i="55" s="1"/>
  <c r="AO383" i="55" s="1"/>
  <c r="AF323" i="55"/>
  <c r="AH323" i="55" s="1"/>
  <c r="AP323" i="55" s="1"/>
  <c r="AF308" i="55"/>
  <c r="AH308" i="55" s="1"/>
  <c r="AF380" i="55"/>
  <c r="AH380" i="55" s="1"/>
  <c r="AN380" i="55" s="1"/>
  <c r="AF404" i="55"/>
  <c r="AH404" i="55" s="1"/>
  <c r="AN404" i="55" s="1"/>
  <c r="AF419" i="55"/>
  <c r="AH419" i="55" s="1"/>
  <c r="AP419" i="55" s="1"/>
  <c r="AF414" i="55"/>
  <c r="AH414" i="55" s="1"/>
  <c r="AF538" i="55"/>
  <c r="AH538" i="55" s="1"/>
  <c r="AN538" i="55" s="1"/>
  <c r="AF533" i="55"/>
  <c r="AH533" i="55" s="1"/>
  <c r="AO533" i="55" s="1"/>
  <c r="AF532" i="55"/>
  <c r="AH532" i="55" s="1"/>
  <c r="AN532" i="55" s="1"/>
  <c r="AF711" i="55"/>
  <c r="AH711" i="55" s="1"/>
  <c r="AN711" i="55" s="1"/>
  <c r="AF679" i="55"/>
  <c r="AH679" i="55" s="1"/>
  <c r="AO679" i="55" s="1"/>
  <c r="AF668" i="55"/>
  <c r="AH668" i="55" s="1"/>
  <c r="AP668" i="55" s="1"/>
  <c r="AF63" i="55"/>
  <c r="AH63" i="55" s="1"/>
  <c r="AO63" i="55" s="1"/>
  <c r="AF109" i="55"/>
  <c r="AH109" i="55" s="1"/>
  <c r="AO109" i="55" s="1"/>
  <c r="AF128" i="55"/>
  <c r="AH128" i="55" s="1"/>
  <c r="AM128" i="55" s="1"/>
  <c r="AF447" i="55"/>
  <c r="AH447" i="55" s="1"/>
  <c r="AO447" i="55" s="1"/>
  <c r="AF402" i="55"/>
  <c r="AH402" i="55" s="1"/>
  <c r="AP402" i="55" s="1"/>
  <c r="AF417" i="55"/>
  <c r="AH417" i="55" s="1"/>
  <c r="AO417" i="55" s="1"/>
  <c r="AF412" i="55"/>
  <c r="AH412" i="55" s="1"/>
  <c r="AO412" i="55" s="1"/>
  <c r="AF534" i="55"/>
  <c r="AH534" i="55" s="1"/>
  <c r="AM534" i="55" s="1"/>
  <c r="AF529" i="55"/>
  <c r="AH529" i="55" s="1"/>
  <c r="AN529" i="55" s="1"/>
  <c r="AF528" i="55"/>
  <c r="AH528" i="55" s="1"/>
  <c r="AF755" i="55"/>
  <c r="AH755" i="55" s="1"/>
  <c r="AM755" i="55" s="1"/>
  <c r="AE470" i="55"/>
  <c r="AE803" i="55"/>
  <c r="AE673" i="55"/>
  <c r="AF673" i="55" s="1"/>
  <c r="AH673" i="55" s="1"/>
  <c r="AE818" i="55"/>
  <c r="AF422" i="55"/>
  <c r="AH422" i="55" s="1"/>
  <c r="AO422" i="55" s="1"/>
  <c r="AF176" i="55"/>
  <c r="AH176" i="55" s="1"/>
  <c r="AO176" i="55" s="1"/>
  <c r="AF692" i="55"/>
  <c r="AH692" i="55" s="1"/>
  <c r="AM692" i="55" s="1"/>
  <c r="AF76" i="55"/>
  <c r="AH76" i="55" s="1"/>
  <c r="AM76" i="55" s="1"/>
  <c r="AF180" i="55"/>
  <c r="AH180" i="55" s="1"/>
  <c r="AM180" i="55" s="1"/>
  <c r="AF577" i="55"/>
  <c r="AH577" i="55" s="1"/>
  <c r="AO577" i="55" s="1"/>
  <c r="AE488" i="55"/>
  <c r="AF69" i="55"/>
  <c r="AH69" i="55" s="1"/>
  <c r="AM69" i="55" s="1"/>
  <c r="AF60" i="55"/>
  <c r="AH60" i="55" s="1"/>
  <c r="AP60" i="55" s="1"/>
  <c r="AF242" i="55"/>
  <c r="AH242" i="55" s="1"/>
  <c r="AF79" i="55"/>
  <c r="AH79" i="55" s="1"/>
  <c r="AM79" i="55" s="1"/>
  <c r="AF456" i="55"/>
  <c r="AH456" i="55" s="1"/>
  <c r="AM456" i="55" s="1"/>
  <c r="AF443" i="55"/>
  <c r="AH443" i="55" s="1"/>
  <c r="AP443" i="55" s="1"/>
  <c r="AF750" i="55"/>
  <c r="AH750" i="55" s="1"/>
  <c r="AO750" i="55" s="1"/>
  <c r="AF37" i="55"/>
  <c r="AH37" i="55" s="1"/>
  <c r="AM37" i="55" s="1"/>
  <c r="AF192" i="55"/>
  <c r="AH192" i="55" s="1"/>
  <c r="AP192" i="55" s="1"/>
  <c r="AF452" i="55"/>
  <c r="AH452" i="55" s="1"/>
  <c r="AM452" i="55" s="1"/>
  <c r="AF408" i="55"/>
  <c r="AH408" i="55" s="1"/>
  <c r="AN408" i="55" s="1"/>
  <c r="AF585" i="55"/>
  <c r="AH585" i="55" s="1"/>
  <c r="AN585" i="55" s="1"/>
  <c r="AF718" i="55"/>
  <c r="AH718" i="55" s="1"/>
  <c r="AN718" i="55" s="1"/>
  <c r="AF686" i="55"/>
  <c r="AH686" i="55" s="1"/>
  <c r="AM686" i="55" s="1"/>
  <c r="AF65" i="55"/>
  <c r="AH65" i="55" s="1"/>
  <c r="AP65" i="55" s="1"/>
  <c r="AF34" i="55"/>
  <c r="AH34" i="55" s="1"/>
  <c r="AP34" i="55" s="1"/>
  <c r="AF10" i="55"/>
  <c r="AH10" i="55" s="1"/>
  <c r="AP10" i="55" s="1"/>
  <c r="AF68" i="55"/>
  <c r="AH68" i="55" s="1"/>
  <c r="AN68" i="55" s="1"/>
  <c r="AF87" i="55"/>
  <c r="AH87" i="55" s="1"/>
  <c r="AN87" i="55" s="1"/>
  <c r="AF82" i="55"/>
  <c r="AH82" i="55" s="1"/>
  <c r="AM82" i="55" s="1"/>
  <c r="AF116" i="55"/>
  <c r="AH116" i="55" s="1"/>
  <c r="AM116" i="55" s="1"/>
  <c r="AF22" i="55"/>
  <c r="AH22" i="55" s="1"/>
  <c r="AP22" i="55" s="1"/>
  <c r="AF31" i="55"/>
  <c r="AH31" i="55" s="1"/>
  <c r="AO31" i="55" s="1"/>
  <c r="AF187" i="55"/>
  <c r="AH187" i="55" s="1"/>
  <c r="AN187" i="55" s="1"/>
  <c r="AF178" i="55"/>
  <c r="AH178" i="55" s="1"/>
  <c r="AO178" i="55" s="1"/>
  <c r="AF134" i="55"/>
  <c r="AH134" i="55" s="1"/>
  <c r="AO134" i="55" s="1"/>
  <c r="AF458" i="55"/>
  <c r="AH458" i="55" s="1"/>
  <c r="AO458" i="55" s="1"/>
  <c r="AF391" i="55"/>
  <c r="AH391" i="55" s="1"/>
  <c r="AF400" i="55"/>
  <c r="AH400" i="55" s="1"/>
  <c r="AO400" i="55" s="1"/>
  <c r="AF423" i="55"/>
  <c r="AH423" i="55" s="1"/>
  <c r="AP423" i="55" s="1"/>
  <c r="AF415" i="55"/>
  <c r="AH415" i="55" s="1"/>
  <c r="AP415" i="55" s="1"/>
  <c r="AF410" i="55"/>
  <c r="AH410" i="55" s="1"/>
  <c r="AF541" i="55"/>
  <c r="AH541" i="55" s="1"/>
  <c r="AO541" i="55" s="1"/>
  <c r="AF587" i="55"/>
  <c r="AH587" i="55" s="1"/>
  <c r="AO587" i="55" s="1"/>
  <c r="AF260" i="55"/>
  <c r="AH260" i="55" s="1"/>
  <c r="AP260" i="55" s="1"/>
  <c r="AF326" i="55"/>
  <c r="AH326" i="55" s="1"/>
  <c r="AN326" i="55" s="1"/>
  <c r="AF667" i="55"/>
  <c r="AH667" i="55" s="1"/>
  <c r="AM667" i="55" s="1"/>
  <c r="AF696" i="55"/>
  <c r="AH696" i="55" s="1"/>
  <c r="AN696" i="55" s="1"/>
  <c r="AF672" i="55"/>
  <c r="AH672" i="55" s="1"/>
  <c r="AP672" i="55" s="1"/>
  <c r="AF67" i="55"/>
  <c r="AH67" i="55" s="1"/>
  <c r="AM67" i="55" s="1"/>
  <c r="AF59" i="55"/>
  <c r="AH59" i="55" s="1"/>
  <c r="AM59" i="55" s="1"/>
  <c r="AF50" i="55"/>
  <c r="AH50" i="55" s="1"/>
  <c r="AN50" i="55" s="1"/>
  <c r="AF159" i="55"/>
  <c r="AH159" i="55" s="1"/>
  <c r="AF238" i="55"/>
  <c r="AH238" i="55" s="1"/>
  <c r="AN238" i="55" s="1"/>
  <c r="AF237" i="55"/>
  <c r="AH237" i="55" s="1"/>
  <c r="AP237" i="55" s="1"/>
  <c r="AF77" i="55"/>
  <c r="AH77" i="55" s="1"/>
  <c r="AO77" i="55" s="1"/>
  <c r="AF44" i="55"/>
  <c r="AH44" i="55" s="1"/>
  <c r="AP44" i="55" s="1"/>
  <c r="AF21" i="55"/>
  <c r="AH21" i="55" s="1"/>
  <c r="AM21" i="55" s="1"/>
  <c r="AF132" i="55"/>
  <c r="AH132" i="55" s="1"/>
  <c r="AM132" i="55" s="1"/>
  <c r="AF454" i="55"/>
  <c r="AH454" i="55" s="1"/>
  <c r="AF389" i="55"/>
  <c r="AH389" i="55" s="1"/>
  <c r="AF583" i="55"/>
  <c r="AH583" i="55" s="1"/>
  <c r="AP583" i="55" s="1"/>
  <c r="AF721" i="55"/>
  <c r="AH721" i="55" s="1"/>
  <c r="AM721" i="55" s="1"/>
  <c r="AF689" i="55"/>
  <c r="AH689" i="55" s="1"/>
  <c r="AN689" i="55" s="1"/>
  <c r="AF726" i="55"/>
  <c r="AH726" i="55" s="1"/>
  <c r="AF64" i="55"/>
  <c r="AH64" i="55" s="1"/>
  <c r="AF165" i="55"/>
  <c r="AH165" i="55" s="1"/>
  <c r="AP165" i="55" s="1"/>
  <c r="AF234" i="55"/>
  <c r="AH234" i="55" s="1"/>
  <c r="AF120" i="55"/>
  <c r="AH120" i="55" s="1"/>
  <c r="AM120" i="55" s="1"/>
  <c r="AF42" i="55"/>
  <c r="AH42" i="55" s="1"/>
  <c r="AN42" i="55" s="1"/>
  <c r="AF174" i="55"/>
  <c r="AH174" i="55" s="1"/>
  <c r="AN174" i="55" s="1"/>
  <c r="AF133" i="55"/>
  <c r="AH133" i="55" s="1"/>
  <c r="AO133" i="55" s="1"/>
  <c r="AF339" i="55"/>
  <c r="AH339" i="55" s="1"/>
  <c r="AN339" i="55" s="1"/>
  <c r="AF451" i="55"/>
  <c r="AH451" i="55" s="1"/>
  <c r="AO451" i="55" s="1"/>
  <c r="AF450" i="55"/>
  <c r="AH450" i="55" s="1"/>
  <c r="AM450" i="55" s="1"/>
  <c r="AF395" i="55"/>
  <c r="AH395" i="55" s="1"/>
  <c r="AO395" i="55" s="1"/>
  <c r="AF554" i="55"/>
  <c r="AH554" i="55" s="1"/>
  <c r="AF548" i="55"/>
  <c r="AH548" i="55" s="1"/>
  <c r="AP548" i="55" s="1"/>
  <c r="AF531" i="55"/>
  <c r="AH531" i="55" s="1"/>
  <c r="AN531" i="55" s="1"/>
  <c r="AF325" i="55"/>
  <c r="AH325" i="55" s="1"/>
  <c r="AF708" i="55"/>
  <c r="AH708" i="55" s="1"/>
  <c r="AF676" i="55"/>
  <c r="AH676" i="55" s="1"/>
  <c r="AM676" i="55" s="1"/>
  <c r="AF748" i="55"/>
  <c r="AH748" i="55" s="1"/>
  <c r="AO748" i="55" s="1"/>
  <c r="AF54" i="55"/>
  <c r="AH54" i="55" s="1"/>
  <c r="AF152" i="55"/>
  <c r="AH152" i="55" s="1"/>
  <c r="AM152" i="55" s="1"/>
  <c r="AF230" i="55"/>
  <c r="AH230" i="55" s="1"/>
  <c r="AO230" i="55" s="1"/>
  <c r="AF73" i="55"/>
  <c r="AH73" i="55" s="1"/>
  <c r="AM73" i="55" s="1"/>
  <c r="AF92" i="55"/>
  <c r="AH92" i="55" s="1"/>
  <c r="AP92" i="55" s="1"/>
  <c r="AF112" i="55"/>
  <c r="AH112" i="55" s="1"/>
  <c r="AP112" i="55" s="1"/>
  <c r="AF8" i="55"/>
  <c r="AH8" i="55" s="1"/>
  <c r="AP8" i="55" s="1"/>
  <c r="AF41" i="55"/>
  <c r="AH41" i="55" s="1"/>
  <c r="AP41" i="55" s="1"/>
  <c r="AF173" i="55"/>
  <c r="AH173" i="55" s="1"/>
  <c r="AM173" i="55" s="1"/>
  <c r="AF188" i="55"/>
  <c r="AH188" i="55" s="1"/>
  <c r="AN188" i="55" s="1"/>
  <c r="AF136" i="55"/>
  <c r="AH136" i="55" s="1"/>
  <c r="AM136" i="55" s="1"/>
  <c r="AF386" i="55"/>
  <c r="AH386" i="55" s="1"/>
  <c r="AP386" i="55" s="1"/>
  <c r="AF453" i="55"/>
  <c r="AH453" i="55" s="1"/>
  <c r="AF393" i="55"/>
  <c r="AH393" i="55" s="1"/>
  <c r="AF331" i="55"/>
  <c r="AH331" i="55" s="1"/>
  <c r="AM331" i="55" s="1"/>
  <c r="AF717" i="55"/>
  <c r="AH717" i="55" s="1"/>
  <c r="AO717" i="55" s="1"/>
  <c r="AF693" i="55"/>
  <c r="AH693" i="55" s="1"/>
  <c r="AF685" i="55"/>
  <c r="AH685" i="55" s="1"/>
  <c r="AF714" i="55"/>
  <c r="AH714" i="55" s="1"/>
  <c r="AP714" i="55" s="1"/>
  <c r="AF249" i="55"/>
  <c r="AH249" i="55" s="1"/>
  <c r="AM249" i="55" s="1"/>
  <c r="AE795" i="55"/>
  <c r="AE753" i="55"/>
  <c r="AF753" i="55" s="1"/>
  <c r="AH753" i="55" s="1"/>
  <c r="S731" i="55"/>
  <c r="S733" i="55"/>
  <c r="S730" i="55"/>
  <c r="S729" i="55"/>
  <c r="AD262" i="55"/>
  <c r="AV262" i="55" s="1"/>
  <c r="U262" i="55"/>
  <c r="AU262" i="55"/>
  <c r="AD264" i="55"/>
  <c r="AV264" i="55" s="1"/>
  <c r="AU264" i="55"/>
  <c r="U264" i="55"/>
  <c r="AD737" i="55"/>
  <c r="AV737" i="55" s="1"/>
  <c r="AU737" i="55"/>
  <c r="U737" i="55"/>
  <c r="AF737" i="55" s="1"/>
  <c r="AH737" i="55" s="1"/>
  <c r="AD783" i="55"/>
  <c r="AV783" i="55" s="1"/>
  <c r="U783" i="55"/>
  <c r="AU783" i="55"/>
  <c r="AD784" i="55"/>
  <c r="AV784" i="55" s="1"/>
  <c r="U784" i="55"/>
  <c r="AF784" i="55" s="1"/>
  <c r="AH784" i="55" s="1"/>
  <c r="AU784" i="55"/>
  <c r="AO218" i="55"/>
  <c r="AP218" i="55"/>
  <c r="AN218" i="55"/>
  <c r="AM218" i="55"/>
  <c r="AD263" i="55"/>
  <c r="AV263" i="55" s="1"/>
  <c r="U263" i="55"/>
  <c r="AU263" i="55"/>
  <c r="AD259" i="55"/>
  <c r="AV259" i="55" s="1"/>
  <c r="U259" i="55"/>
  <c r="AU259" i="55"/>
  <c r="S846" i="55"/>
  <c r="S845" i="55"/>
  <c r="S844" i="55"/>
  <c r="S843" i="55"/>
  <c r="AN217" i="55"/>
  <c r="AO217" i="55"/>
  <c r="AM217" i="55"/>
  <c r="AP217" i="55"/>
  <c r="AD740" i="55"/>
  <c r="AV740" i="55" s="1"/>
  <c r="AU740" i="55"/>
  <c r="U740" i="55"/>
  <c r="E4" i="50"/>
  <c r="AD777" i="55"/>
  <c r="AV777" i="55" s="1"/>
  <c r="AU777" i="55"/>
  <c r="U777" i="55"/>
  <c r="AD779" i="55"/>
  <c r="AV779" i="55" s="1"/>
  <c r="U779" i="55"/>
  <c r="AF779" i="55" s="1"/>
  <c r="AH779" i="55" s="1"/>
  <c r="AU779" i="55"/>
  <c r="E10" i="50"/>
  <c r="AD257" i="55"/>
  <c r="AV257" i="55" s="1"/>
  <c r="U257" i="55"/>
  <c r="AU257" i="55"/>
  <c r="AD265" i="55"/>
  <c r="AV265" i="55" s="1"/>
  <c r="AU265" i="55"/>
  <c r="U265" i="55"/>
  <c r="E11" i="50"/>
  <c r="W333" i="55"/>
  <c r="AE333" i="55" s="1"/>
  <c r="AF333" i="55" s="1"/>
  <c r="AH333" i="55" s="1"/>
  <c r="W332" i="55"/>
  <c r="AE332" i="55" s="1"/>
  <c r="AF332" i="55" s="1"/>
  <c r="AH332" i="55" s="1"/>
  <c r="AD782" i="55"/>
  <c r="AV782" i="55" s="1"/>
  <c r="U782" i="55"/>
  <c r="AU782" i="55"/>
  <c r="AD785" i="55"/>
  <c r="AV785" i="55" s="1"/>
  <c r="U785" i="55"/>
  <c r="AU785" i="55"/>
  <c r="AD258" i="55"/>
  <c r="AV258" i="55" s="1"/>
  <c r="U258" i="55"/>
  <c r="AU258" i="55"/>
  <c r="AD261" i="55"/>
  <c r="AV261" i="55" s="1"/>
  <c r="U261" i="55"/>
  <c r="AU261" i="55"/>
  <c r="AD778" i="55"/>
  <c r="AV778" i="55" s="1"/>
  <c r="AU778" i="55"/>
  <c r="U778" i="55"/>
  <c r="AD781" i="55"/>
  <c r="AV781" i="55" s="1"/>
  <c r="U781" i="55"/>
  <c r="AF781" i="55" s="1"/>
  <c r="AH781" i="55" s="1"/>
  <c r="AU781" i="55"/>
  <c r="W682" i="55"/>
  <c r="AE682" i="55" s="1"/>
  <c r="AF682" i="55" s="1"/>
  <c r="AH682" i="55" s="1"/>
  <c r="W263" i="55"/>
  <c r="AE263" i="55" s="1"/>
  <c r="W261" i="55"/>
  <c r="AE261" i="55" s="1"/>
  <c r="W203" i="55"/>
  <c r="AE203" i="55" s="1"/>
  <c r="W23" i="55"/>
  <c r="AE23" i="55" s="1"/>
  <c r="AV23" i="55" s="1"/>
  <c r="V677" i="55"/>
  <c r="AE677" i="55" s="1"/>
  <c r="AF677" i="55" s="1"/>
  <c r="AH677" i="55" s="1"/>
  <c r="V612" i="55"/>
  <c r="AE612" i="55" s="1"/>
  <c r="V537" i="55"/>
  <c r="AE537" i="55" s="1"/>
  <c r="AF537" i="55" s="1"/>
  <c r="AH537" i="55" s="1"/>
  <c r="V351" i="55"/>
  <c r="AE351" i="55" s="1"/>
  <c r="AF351" i="55" s="1"/>
  <c r="AH351" i="55" s="1"/>
  <c r="V481" i="55"/>
  <c r="AE481" i="55" s="1"/>
  <c r="W114" i="55"/>
  <c r="AE114" i="55" s="1"/>
  <c r="AF114" i="55" s="1"/>
  <c r="AH114" i="55" s="1"/>
  <c r="V113" i="55"/>
  <c r="AE113" i="55" s="1"/>
  <c r="AF113" i="55" s="1"/>
  <c r="AH113" i="55" s="1"/>
  <c r="W619" i="55"/>
  <c r="AE619" i="55" s="1"/>
  <c r="W200" i="55"/>
  <c r="AE200" i="55" s="1"/>
  <c r="W14" i="55"/>
  <c r="AE14" i="55" s="1"/>
  <c r="AF14" i="55" s="1"/>
  <c r="AH14" i="55" s="1"/>
  <c r="W273" i="55"/>
  <c r="AE273" i="55" s="1"/>
  <c r="W9" i="55"/>
  <c r="AE9" i="55" s="1"/>
  <c r="AF9" i="55" s="1"/>
  <c r="AH9" i="55" s="1"/>
  <c r="W479" i="55"/>
  <c r="AE479" i="55" s="1"/>
  <c r="W544" i="55"/>
  <c r="AE544" i="55" s="1"/>
  <c r="AF544" i="55" s="1"/>
  <c r="AH544" i="55" s="1"/>
  <c r="W292" i="55"/>
  <c r="AE292" i="55" s="1"/>
  <c r="W232" i="55"/>
  <c r="AE232" i="55" s="1"/>
  <c r="AF232" i="55" s="1"/>
  <c r="AH232" i="55" s="1"/>
  <c r="V770" i="55"/>
  <c r="AE770" i="55" s="1"/>
  <c r="V683" i="55"/>
  <c r="AE683" i="55" s="1"/>
  <c r="AF683" i="55" s="1"/>
  <c r="AH683" i="55" s="1"/>
  <c r="V621" i="55"/>
  <c r="AE621" i="55" s="1"/>
  <c r="V539" i="55"/>
  <c r="AE539" i="55" s="1"/>
  <c r="AF539" i="55" s="1"/>
  <c r="AH539" i="55" s="1"/>
  <c r="V515" i="55"/>
  <c r="AE515" i="55" s="1"/>
  <c r="V546" i="55"/>
  <c r="AE546" i="55" s="1"/>
  <c r="AF546" i="55" s="1"/>
  <c r="AH546" i="55" s="1"/>
  <c r="V123" i="55"/>
  <c r="AE123" i="55" s="1"/>
  <c r="AF123" i="55" s="1"/>
  <c r="AH123" i="55" s="1"/>
  <c r="V58" i="55"/>
  <c r="AE58" i="55" s="1"/>
  <c r="AF58" i="55" s="1"/>
  <c r="AH58" i="55" s="1"/>
  <c r="V780" i="55"/>
  <c r="AE780" i="55" s="1"/>
  <c r="AF780" i="55" s="1"/>
  <c r="AH780" i="55" s="1"/>
  <c r="V675" i="55"/>
  <c r="AE675" i="55" s="1"/>
  <c r="AF675" i="55" s="1"/>
  <c r="AH675" i="55" s="1"/>
  <c r="V472" i="55"/>
  <c r="AE472" i="55" s="1"/>
  <c r="W124" i="55"/>
  <c r="AE124" i="55" s="1"/>
  <c r="AF124" i="55" s="1"/>
  <c r="AH124" i="55" s="1"/>
  <c r="V78" i="55"/>
  <c r="AE78" i="55" s="1"/>
  <c r="AF78" i="55" s="1"/>
  <c r="AH78" i="55" s="1"/>
  <c r="V15" i="55"/>
  <c r="AE15" i="55" s="1"/>
  <c r="AF15" i="55" s="1"/>
  <c r="AH15" i="55" s="1"/>
  <c r="V716" i="55"/>
  <c r="AE716" i="55" s="1"/>
  <c r="AF716" i="55" s="1"/>
  <c r="AH716" i="55" s="1"/>
  <c r="V620" i="55"/>
  <c r="AE620" i="55" s="1"/>
  <c r="V348" i="55"/>
  <c r="AE348" i="55" s="1"/>
  <c r="AF348" i="55" s="1"/>
  <c r="AH348" i="55" s="1"/>
  <c r="V177" i="55"/>
  <c r="AE177" i="55" s="1"/>
  <c r="AF177" i="55" s="1"/>
  <c r="AH177" i="55" s="1"/>
  <c r="V684" i="55"/>
  <c r="AE684" i="55" s="1"/>
  <c r="AF684" i="55" s="1"/>
  <c r="AH684" i="55" s="1"/>
  <c r="V614" i="55"/>
  <c r="AE614" i="55" s="1"/>
  <c r="V545" i="55"/>
  <c r="AE545" i="55" s="1"/>
  <c r="AF545" i="55" s="1"/>
  <c r="AH545" i="55" s="1"/>
  <c r="V56" i="55"/>
  <c r="AE56" i="55" s="1"/>
  <c r="AF56" i="55" s="1"/>
  <c r="AH56" i="55" s="1"/>
  <c r="W804" i="55"/>
  <c r="AE804" i="55" s="1"/>
  <c r="V579" i="55"/>
  <c r="AE579" i="55" s="1"/>
  <c r="AF579" i="55" s="1"/>
  <c r="AH579" i="55" s="1"/>
  <c r="V474" i="55"/>
  <c r="AE474" i="55" s="1"/>
  <c r="V480" i="55"/>
  <c r="AE480" i="55" s="1"/>
  <c r="V18" i="55"/>
  <c r="AE18" i="55" s="1"/>
  <c r="AF18" i="55" s="1"/>
  <c r="AH18" i="55" s="1"/>
  <c r="W812" i="55"/>
  <c r="AE812" i="55" s="1"/>
  <c r="W775" i="55"/>
  <c r="AE775" i="55" s="1"/>
  <c r="W216" i="55"/>
  <c r="AE216" i="55" s="1"/>
  <c r="AF216" i="55" s="1"/>
  <c r="AH216" i="55" s="1"/>
  <c r="W349" i="55"/>
  <c r="AE349" i="55" s="1"/>
  <c r="AF349" i="55" s="1"/>
  <c r="AH349" i="55" s="1"/>
  <c r="W765" i="55"/>
  <c r="AE765" i="55" s="1"/>
  <c r="AF765" i="55" s="1"/>
  <c r="AH765" i="55" s="1"/>
  <c r="E9" i="50"/>
  <c r="W785" i="55"/>
  <c r="AE785" i="55" s="1"/>
  <c r="W214" i="55"/>
  <c r="AE214" i="55" s="1"/>
  <c r="AF214" i="55" s="1"/>
  <c r="AH214" i="55" s="1"/>
  <c r="W347" i="55"/>
  <c r="AE347" i="55" s="1"/>
  <c r="AF347" i="55" s="1"/>
  <c r="AH347" i="55" s="1"/>
  <c r="E20" i="50"/>
  <c r="E17" i="50"/>
  <c r="AD625" i="55"/>
  <c r="AV625" i="55" s="1"/>
  <c r="AU625" i="55"/>
  <c r="U625" i="55"/>
  <c r="AD641" i="55"/>
  <c r="AV641" i="55" s="1"/>
  <c r="U641" i="55"/>
  <c r="AU641" i="55"/>
  <c r="AD604" i="55"/>
  <c r="AV604" i="55" s="1"/>
  <c r="AU604" i="55"/>
  <c r="U604" i="55"/>
  <c r="AD628" i="55"/>
  <c r="AV628" i="55" s="1"/>
  <c r="AU628" i="55"/>
  <c r="U628" i="55"/>
  <c r="AD644" i="55"/>
  <c r="AV644" i="55" s="1"/>
  <c r="U644" i="55"/>
  <c r="AU644" i="55"/>
  <c r="AD812" i="55"/>
  <c r="AV812" i="55" s="1"/>
  <c r="AU812" i="55"/>
  <c r="U812" i="55"/>
  <c r="AD851" i="55"/>
  <c r="AV851" i="55" s="1"/>
  <c r="AU851" i="55"/>
  <c r="U851" i="55"/>
  <c r="AD744" i="55"/>
  <c r="AV744" i="55" s="1"/>
  <c r="U744" i="55"/>
  <c r="AF744" i="55" s="1"/>
  <c r="AH744" i="55" s="1"/>
  <c r="AU744" i="55"/>
  <c r="AM101" i="55"/>
  <c r="AN101" i="55"/>
  <c r="AO101" i="55"/>
  <c r="AP101" i="55"/>
  <c r="AD486" i="55"/>
  <c r="AV486" i="55" s="1"/>
  <c r="U486" i="55"/>
  <c r="AU486" i="55"/>
  <c r="AD518" i="55"/>
  <c r="AV518" i="55" s="1"/>
  <c r="U518" i="55"/>
  <c r="AU518" i="55"/>
  <c r="AD485" i="55"/>
  <c r="AV485" i="55" s="1"/>
  <c r="U485" i="55"/>
  <c r="AU485" i="55"/>
  <c r="AP703" i="55"/>
  <c r="AO764" i="55"/>
  <c r="AD841" i="55"/>
  <c r="AV841" i="55" s="1"/>
  <c r="U841" i="55"/>
  <c r="AU841" i="55"/>
  <c r="AD770" i="55"/>
  <c r="AV770" i="55" s="1"/>
  <c r="U770" i="55"/>
  <c r="AU770" i="55"/>
  <c r="AD769" i="55"/>
  <c r="AV769" i="55" s="1"/>
  <c r="U769" i="55"/>
  <c r="AF769" i="55" s="1"/>
  <c r="AH769" i="55" s="1"/>
  <c r="AU769" i="55"/>
  <c r="AD367" i="55"/>
  <c r="AV367" i="55" s="1"/>
  <c r="AU367" i="55"/>
  <c r="U367" i="55"/>
  <c r="AF367" i="55" s="1"/>
  <c r="AH367" i="55" s="1"/>
  <c r="AD370" i="55"/>
  <c r="AV370" i="55" s="1"/>
  <c r="U370" i="55"/>
  <c r="AU370" i="55"/>
  <c r="AN163" i="55"/>
  <c r="AP163" i="55"/>
  <c r="AM163" i="55"/>
  <c r="AO163" i="55"/>
  <c r="AO33" i="55"/>
  <c r="AD202" i="55"/>
  <c r="AV202" i="55" s="1"/>
  <c r="AU202" i="55"/>
  <c r="U202" i="55"/>
  <c r="AD201" i="55"/>
  <c r="AV201" i="55" s="1"/>
  <c r="AU201" i="55"/>
  <c r="U201" i="55"/>
  <c r="AD209" i="55"/>
  <c r="AV209" i="55" s="1"/>
  <c r="U209" i="55"/>
  <c r="AU209" i="55"/>
  <c r="AD210" i="55"/>
  <c r="AV210" i="55" s="1"/>
  <c r="AU210" i="55"/>
  <c r="U210" i="55"/>
  <c r="AD273" i="55"/>
  <c r="AV273" i="55" s="1"/>
  <c r="AU273" i="55"/>
  <c r="U273" i="55"/>
  <c r="AD281" i="55"/>
  <c r="AV281" i="55" s="1"/>
  <c r="AU281" i="55"/>
  <c r="U281" i="55"/>
  <c r="AD270" i="55"/>
  <c r="AV270" i="55" s="1"/>
  <c r="AU270" i="55"/>
  <c r="U270" i="55"/>
  <c r="AF270" i="55" s="1"/>
  <c r="AH270" i="55" s="1"/>
  <c r="AD278" i="55"/>
  <c r="AV278" i="55" s="1"/>
  <c r="U278" i="55"/>
  <c r="AU278" i="55"/>
  <c r="AD286" i="55"/>
  <c r="AV286" i="55" s="1"/>
  <c r="AU286" i="55"/>
  <c r="U286" i="55"/>
  <c r="AN377" i="55"/>
  <c r="AM377" i="55"/>
  <c r="AO377" i="55"/>
  <c r="AP377" i="55"/>
  <c r="AN534" i="55"/>
  <c r="AO575" i="55"/>
  <c r="AD252" i="55"/>
  <c r="AV252" i="55" s="1"/>
  <c r="U252" i="55"/>
  <c r="AU252" i="55"/>
  <c r="AD255" i="55"/>
  <c r="AV255" i="55" s="1"/>
  <c r="U255" i="55"/>
  <c r="AU255" i="55"/>
  <c r="AD787" i="55"/>
  <c r="AV787" i="55" s="1"/>
  <c r="AU787" i="55"/>
  <c r="U787" i="55"/>
  <c r="AD795" i="55"/>
  <c r="AV795" i="55" s="1"/>
  <c r="U795" i="55"/>
  <c r="AU795" i="55"/>
  <c r="AD804" i="55"/>
  <c r="AV804" i="55" s="1"/>
  <c r="AU804" i="55"/>
  <c r="U804" i="55"/>
  <c r="AD794" i="55"/>
  <c r="AV794" i="55" s="1"/>
  <c r="AU794" i="55"/>
  <c r="U794" i="55"/>
  <c r="AD803" i="55"/>
  <c r="AV803" i="55" s="1"/>
  <c r="AU803" i="55"/>
  <c r="U803" i="55"/>
  <c r="AD595" i="55"/>
  <c r="AV595" i="55" s="1"/>
  <c r="AU595" i="55"/>
  <c r="U595" i="55"/>
  <c r="AD592" i="55"/>
  <c r="AV592" i="55" s="1"/>
  <c r="U592" i="55"/>
  <c r="AU592" i="55"/>
  <c r="AD600" i="55"/>
  <c r="AV600" i="55" s="1"/>
  <c r="U600" i="55"/>
  <c r="AU600" i="55"/>
  <c r="AD733" i="55"/>
  <c r="AV733" i="55" s="1"/>
  <c r="U733" i="55"/>
  <c r="AF733" i="55" s="1"/>
  <c r="AH733" i="55" s="1"/>
  <c r="AU733" i="55"/>
  <c r="AM95" i="55"/>
  <c r="AO144" i="55"/>
  <c r="AP144" i="55"/>
  <c r="AM144" i="55"/>
  <c r="AN144" i="55"/>
  <c r="AD617" i="55"/>
  <c r="AV617" i="55" s="1"/>
  <c r="AU617" i="55"/>
  <c r="U617" i="55"/>
  <c r="AD649" i="55"/>
  <c r="AV649" i="55" s="1"/>
  <c r="U649" i="55"/>
  <c r="AU649" i="55"/>
  <c r="AD620" i="55"/>
  <c r="AV620" i="55" s="1"/>
  <c r="AU620" i="55"/>
  <c r="U620" i="55"/>
  <c r="AD636" i="55"/>
  <c r="AV636" i="55" s="1"/>
  <c r="AU636" i="55"/>
  <c r="U636" i="55"/>
  <c r="AD652" i="55"/>
  <c r="AV652" i="55" s="1"/>
  <c r="AU652" i="55"/>
  <c r="U652" i="55"/>
  <c r="AD660" i="55"/>
  <c r="AV660" i="55" s="1"/>
  <c r="AU660" i="55"/>
  <c r="U660" i="55"/>
  <c r="AD813" i="55"/>
  <c r="AV813" i="55" s="1"/>
  <c r="AU813" i="55"/>
  <c r="U813" i="55"/>
  <c r="AF813" i="55" s="1"/>
  <c r="AH813" i="55" s="1"/>
  <c r="AD820" i="55"/>
  <c r="AV820" i="55" s="1"/>
  <c r="U820" i="55"/>
  <c r="AU820" i="55"/>
  <c r="AN150" i="55"/>
  <c r="AD246" i="55"/>
  <c r="AV246" i="55" s="1"/>
  <c r="U246" i="55"/>
  <c r="AU246" i="55"/>
  <c r="AD478" i="55"/>
  <c r="AV478" i="55" s="1"/>
  <c r="AU478" i="55"/>
  <c r="U478" i="55"/>
  <c r="AD502" i="55"/>
  <c r="AV502" i="55" s="1"/>
  <c r="AU502" i="55"/>
  <c r="U502" i="55"/>
  <c r="AD469" i="55"/>
  <c r="AV469" i="55" s="1"/>
  <c r="U469" i="55"/>
  <c r="AU469" i="55"/>
  <c r="AD493" i="55"/>
  <c r="AV493" i="55" s="1"/>
  <c r="AU493" i="55"/>
  <c r="U493" i="55"/>
  <c r="AD509" i="55"/>
  <c r="AV509" i="55" s="1"/>
  <c r="AU509" i="55"/>
  <c r="U509" i="55"/>
  <c r="D301" i="19"/>
  <c r="E33" i="24" s="1"/>
  <c r="AP823" i="55"/>
  <c r="C301" i="19"/>
  <c r="D33" i="24" s="1"/>
  <c r="B301" i="19"/>
  <c r="AN823" i="55"/>
  <c r="E301" i="19"/>
  <c r="AM823" i="55"/>
  <c r="AO823" i="55"/>
  <c r="AD829" i="55"/>
  <c r="AV829" i="55" s="1"/>
  <c r="AU829" i="55"/>
  <c r="U829" i="55"/>
  <c r="AF829" i="55" s="1"/>
  <c r="AH829" i="55" s="1"/>
  <c r="AD295" i="55"/>
  <c r="AV295" i="55" s="1"/>
  <c r="U295" i="55"/>
  <c r="AU295" i="55"/>
  <c r="AD303" i="55"/>
  <c r="AV303" i="55" s="1"/>
  <c r="AU303" i="55"/>
  <c r="U303" i="55"/>
  <c r="AD302" i="55"/>
  <c r="AV302" i="55" s="1"/>
  <c r="AU302" i="55"/>
  <c r="U302" i="55"/>
  <c r="AM148" i="55"/>
  <c r="AO103" i="55"/>
  <c r="AN343" i="55"/>
  <c r="AP343" i="55"/>
  <c r="AO343" i="55"/>
  <c r="AM343" i="55"/>
  <c r="AD603" i="55"/>
  <c r="AV603" i="55" s="1"/>
  <c r="AU603" i="55"/>
  <c r="U603" i="55"/>
  <c r="AD611" i="55"/>
  <c r="AV611" i="55" s="1"/>
  <c r="U611" i="55"/>
  <c r="AU611" i="55"/>
  <c r="AD619" i="55"/>
  <c r="AV619" i="55" s="1"/>
  <c r="U619" i="55"/>
  <c r="AU619" i="55"/>
  <c r="AD627" i="55"/>
  <c r="AV627" i="55" s="1"/>
  <c r="U627" i="55"/>
  <c r="AU627" i="55"/>
  <c r="AD635" i="55"/>
  <c r="AV635" i="55" s="1"/>
  <c r="U635" i="55"/>
  <c r="AU635" i="55"/>
  <c r="AD643" i="55"/>
  <c r="AV643" i="55" s="1"/>
  <c r="U643" i="55"/>
  <c r="AU643" i="55"/>
  <c r="AD651" i="55"/>
  <c r="AV651" i="55" s="1"/>
  <c r="AU651" i="55"/>
  <c r="U651" i="55"/>
  <c r="AD659" i="55"/>
  <c r="AV659" i="55" s="1"/>
  <c r="AU659" i="55"/>
  <c r="U659" i="55"/>
  <c r="AD606" i="55"/>
  <c r="AV606" i="55" s="1"/>
  <c r="U606" i="55"/>
  <c r="AU606" i="55"/>
  <c r="AD614" i="55"/>
  <c r="AV614" i="55" s="1"/>
  <c r="AU614" i="55"/>
  <c r="U614" i="55"/>
  <c r="AD622" i="55"/>
  <c r="AV622" i="55" s="1"/>
  <c r="AU622" i="55"/>
  <c r="U622" i="55"/>
  <c r="AD630" i="55"/>
  <c r="AV630" i="55" s="1"/>
  <c r="AU630" i="55"/>
  <c r="U630" i="55"/>
  <c r="AD638" i="55"/>
  <c r="AV638" i="55" s="1"/>
  <c r="U638" i="55"/>
  <c r="AU638" i="55"/>
  <c r="AD646" i="55"/>
  <c r="AV646" i="55" s="1"/>
  <c r="U646" i="55"/>
  <c r="AU646" i="55"/>
  <c r="AD654" i="55"/>
  <c r="AV654" i="55" s="1"/>
  <c r="AU654" i="55"/>
  <c r="U654" i="55"/>
  <c r="AD662" i="55"/>
  <c r="AV662" i="55" s="1"/>
  <c r="U662" i="55"/>
  <c r="AU662" i="55"/>
  <c r="AD807" i="55"/>
  <c r="AV807" i="55" s="1"/>
  <c r="AU807" i="55"/>
  <c r="U807" i="55"/>
  <c r="AD815" i="55"/>
  <c r="AV815" i="55" s="1"/>
  <c r="U815" i="55"/>
  <c r="AF815" i="55" s="1"/>
  <c r="AH815" i="55" s="1"/>
  <c r="AU815" i="55"/>
  <c r="AD806" i="55"/>
  <c r="AV806" i="55" s="1"/>
  <c r="U806" i="55"/>
  <c r="AF806" i="55" s="1"/>
  <c r="AH806" i="55" s="1"/>
  <c r="AU806" i="55"/>
  <c r="AD814" i="55"/>
  <c r="AV814" i="55" s="1"/>
  <c r="U814" i="55"/>
  <c r="AU814" i="55"/>
  <c r="AD850" i="55"/>
  <c r="AV850" i="55" s="1"/>
  <c r="U850" i="55"/>
  <c r="AU850" i="55"/>
  <c r="AD743" i="55"/>
  <c r="AV743" i="55" s="1"/>
  <c r="U743" i="55"/>
  <c r="AF743" i="55" s="1"/>
  <c r="AH743" i="55" s="1"/>
  <c r="AU743" i="55"/>
  <c r="AD746" i="55"/>
  <c r="AV746" i="55" s="1"/>
  <c r="U746" i="55"/>
  <c r="AF746" i="55" s="1"/>
  <c r="AH746" i="55" s="1"/>
  <c r="AU746" i="55"/>
  <c r="AM342" i="55"/>
  <c r="AP342" i="55"/>
  <c r="AN342" i="55"/>
  <c r="AO342" i="55"/>
  <c r="AP452" i="55"/>
  <c r="AM441" i="55"/>
  <c r="AO441" i="55"/>
  <c r="AN441" i="55"/>
  <c r="AP441" i="55"/>
  <c r="AP309" i="55"/>
  <c r="AM309" i="55"/>
  <c r="AN309" i="55"/>
  <c r="AO309" i="55"/>
  <c r="AO376" i="55"/>
  <c r="AN376" i="55"/>
  <c r="AM376" i="55"/>
  <c r="AP376" i="55"/>
  <c r="AD464" i="55"/>
  <c r="AV464" i="55" s="1"/>
  <c r="AU464" i="55"/>
  <c r="U464" i="55"/>
  <c r="AD472" i="55"/>
  <c r="AV472" i="55" s="1"/>
  <c r="U472" i="55"/>
  <c r="AU472" i="55"/>
  <c r="AD480" i="55"/>
  <c r="AV480" i="55" s="1"/>
  <c r="U480" i="55"/>
  <c r="AU480" i="55"/>
  <c r="AD488" i="55"/>
  <c r="AV488" i="55" s="1"/>
  <c r="U488" i="55"/>
  <c r="AU488" i="55"/>
  <c r="AD496" i="55"/>
  <c r="AV496" i="55" s="1"/>
  <c r="U496" i="55"/>
  <c r="AU496" i="55"/>
  <c r="AD504" i="55"/>
  <c r="AV504" i="55" s="1"/>
  <c r="AU504" i="55"/>
  <c r="U504" i="55"/>
  <c r="AD512" i="55"/>
  <c r="AV512" i="55" s="1"/>
  <c r="AU512" i="55"/>
  <c r="U512" i="55"/>
  <c r="AD520" i="55"/>
  <c r="AV520" i="55" s="1"/>
  <c r="AU520" i="55"/>
  <c r="U520" i="55"/>
  <c r="AD463" i="55"/>
  <c r="AV463" i="55" s="1"/>
  <c r="AU463" i="55"/>
  <c r="U463" i="55"/>
  <c r="AD471" i="55"/>
  <c r="AV471" i="55" s="1"/>
  <c r="AU471" i="55"/>
  <c r="U471" i="55"/>
  <c r="AD479" i="55"/>
  <c r="AV479" i="55" s="1"/>
  <c r="AU479" i="55"/>
  <c r="U479" i="55"/>
  <c r="AD487" i="55"/>
  <c r="AV487" i="55" s="1"/>
  <c r="AU487" i="55"/>
  <c r="U487" i="55"/>
  <c r="AD495" i="55"/>
  <c r="AV495" i="55" s="1"/>
  <c r="AU495" i="55"/>
  <c r="U495" i="55"/>
  <c r="AD503" i="55"/>
  <c r="AV503" i="55" s="1"/>
  <c r="AU503" i="55"/>
  <c r="U503" i="55"/>
  <c r="AD511" i="55"/>
  <c r="AV511" i="55" s="1"/>
  <c r="AU511" i="55"/>
  <c r="U511" i="55"/>
  <c r="AD519" i="55"/>
  <c r="AV519" i="55" s="1"/>
  <c r="U519" i="55"/>
  <c r="AU519" i="55"/>
  <c r="AP686" i="55"/>
  <c r="AP763" i="55"/>
  <c r="AN763" i="55"/>
  <c r="AM763" i="55"/>
  <c r="AO763" i="55"/>
  <c r="AN762" i="55"/>
  <c r="AD831" i="55"/>
  <c r="AV831" i="55" s="1"/>
  <c r="AU831" i="55"/>
  <c r="U831" i="55"/>
  <c r="AD288" i="55"/>
  <c r="AV288" i="55" s="1"/>
  <c r="U288" i="55"/>
  <c r="AF288" i="55" s="1"/>
  <c r="AH288" i="55" s="1"/>
  <c r="AU288" i="55"/>
  <c r="AD297" i="55"/>
  <c r="AV297" i="55" s="1"/>
  <c r="U297" i="55"/>
  <c r="AF297" i="55" s="1"/>
  <c r="AH297" i="55" s="1"/>
  <c r="AU297" i="55"/>
  <c r="AD305" i="55"/>
  <c r="AV305" i="55" s="1"/>
  <c r="AU305" i="55"/>
  <c r="U305" i="55"/>
  <c r="AD296" i="55"/>
  <c r="AV296" i="55" s="1"/>
  <c r="U296" i="55"/>
  <c r="AU296" i="55"/>
  <c r="AD304" i="55"/>
  <c r="AV304" i="55" s="1"/>
  <c r="U304" i="55"/>
  <c r="AF304" i="55" s="1"/>
  <c r="AH304" i="55" s="1"/>
  <c r="AU304" i="55"/>
  <c r="AN75" i="55"/>
  <c r="AD224" i="55"/>
  <c r="AV224" i="55" s="1"/>
  <c r="AU224" i="55"/>
  <c r="U224" i="55"/>
  <c r="AD225" i="55"/>
  <c r="AV225" i="55" s="1"/>
  <c r="AU225" i="55"/>
  <c r="U225" i="55"/>
  <c r="AF225" i="55" s="1"/>
  <c r="AH225" i="55" s="1"/>
  <c r="AN383" i="55"/>
  <c r="AP315" i="55"/>
  <c r="AO315" i="55"/>
  <c r="AN315" i="55"/>
  <c r="AM315" i="55"/>
  <c r="AP374" i="55"/>
  <c r="AO374" i="55"/>
  <c r="AN374" i="55"/>
  <c r="AM374" i="55"/>
  <c r="D178" i="19"/>
  <c r="O13" i="24" s="1"/>
  <c r="B178" i="19"/>
  <c r="E178" i="19"/>
  <c r="C178" i="19"/>
  <c r="N13" i="24" s="1"/>
  <c r="AP353" i="55"/>
  <c r="AM353" i="55"/>
  <c r="AO353" i="55"/>
  <c r="AN353" i="55"/>
  <c r="AP404" i="55"/>
  <c r="AN533" i="55"/>
  <c r="AM668" i="55"/>
  <c r="AD838" i="55"/>
  <c r="AV838" i="55" s="1"/>
  <c r="AU838" i="55"/>
  <c r="U838" i="55"/>
  <c r="AF838" i="55" s="1"/>
  <c r="AH838" i="55" s="1"/>
  <c r="AD772" i="55"/>
  <c r="AV772" i="55" s="1"/>
  <c r="U772" i="55"/>
  <c r="AU772" i="55"/>
  <c r="AD771" i="55"/>
  <c r="AV771" i="55" s="1"/>
  <c r="U771" i="55"/>
  <c r="AF771" i="55" s="1"/>
  <c r="AH771" i="55" s="1"/>
  <c r="AU771" i="55"/>
  <c r="AD369" i="55"/>
  <c r="AV369" i="55" s="1"/>
  <c r="U369" i="55"/>
  <c r="AF369" i="55" s="1"/>
  <c r="AH369" i="55" s="1"/>
  <c r="AU369" i="55"/>
  <c r="AD372" i="55"/>
  <c r="AV372" i="55" s="1"/>
  <c r="AU372" i="55"/>
  <c r="U372" i="55"/>
  <c r="AF372" i="55" s="1"/>
  <c r="AH372" i="55" s="1"/>
  <c r="AP188" i="55"/>
  <c r="AD196" i="55"/>
  <c r="AV196" i="55" s="1"/>
  <c r="AU196" i="55"/>
  <c r="U196" i="55"/>
  <c r="AD195" i="55"/>
  <c r="AV195" i="55" s="1"/>
  <c r="U195" i="55"/>
  <c r="AU195" i="55"/>
  <c r="AD203" i="55"/>
  <c r="AV203" i="55" s="1"/>
  <c r="U203" i="55"/>
  <c r="AU203" i="55"/>
  <c r="AD204" i="55"/>
  <c r="AV204" i="55" s="1"/>
  <c r="AU204" i="55"/>
  <c r="U204" i="55"/>
  <c r="AD267" i="55"/>
  <c r="AV267" i="55" s="1"/>
  <c r="AU267" i="55"/>
  <c r="U267" i="55"/>
  <c r="AF267" i="55" s="1"/>
  <c r="AH267" i="55" s="1"/>
  <c r="AD275" i="55"/>
  <c r="AV275" i="55" s="1"/>
  <c r="AU275" i="55"/>
  <c r="U275" i="55"/>
  <c r="AD283" i="55"/>
  <c r="AV283" i="55" s="1"/>
  <c r="AU283" i="55"/>
  <c r="U283" i="55"/>
  <c r="AD272" i="55"/>
  <c r="AV272" i="55" s="1"/>
  <c r="U272" i="55"/>
  <c r="AF272" i="55" s="1"/>
  <c r="AH272" i="55" s="1"/>
  <c r="AU272" i="55"/>
  <c r="AD280" i="55"/>
  <c r="AV280" i="55" s="1"/>
  <c r="AU280" i="55"/>
  <c r="U280" i="55"/>
  <c r="AF280" i="55" s="1"/>
  <c r="AH280" i="55" s="1"/>
  <c r="AN338" i="55"/>
  <c r="AP338" i="55"/>
  <c r="AM338" i="55"/>
  <c r="AO338" i="55"/>
  <c r="AN359" i="55"/>
  <c r="AP393" i="55"/>
  <c r="AM393" i="55"/>
  <c r="AO393" i="55"/>
  <c r="AN393" i="55"/>
  <c r="AD254" i="55"/>
  <c r="AV254" i="55" s="1"/>
  <c r="U254" i="55"/>
  <c r="AU254" i="55"/>
  <c r="AP336" i="55"/>
  <c r="AM336" i="55"/>
  <c r="AN336" i="55"/>
  <c r="AO336" i="55"/>
  <c r="AN685" i="55"/>
  <c r="AO685" i="55"/>
  <c r="AM685" i="55"/>
  <c r="AP685" i="55"/>
  <c r="AM825" i="55"/>
  <c r="AP825" i="55"/>
  <c r="AN825" i="55"/>
  <c r="AO825" i="55"/>
  <c r="AD789" i="55"/>
  <c r="AV789" i="55" s="1"/>
  <c r="U789" i="55"/>
  <c r="AU789" i="55"/>
  <c r="AD797" i="55"/>
  <c r="AV797" i="55" s="1"/>
  <c r="U797" i="55"/>
  <c r="AF797" i="55" s="1"/>
  <c r="AH797" i="55" s="1"/>
  <c r="AU797" i="55"/>
  <c r="AD788" i="55"/>
  <c r="AV788" i="55" s="1"/>
  <c r="AU788" i="55"/>
  <c r="U788" i="55"/>
  <c r="AD796" i="55"/>
  <c r="AV796" i="55" s="1"/>
  <c r="U796" i="55"/>
  <c r="AU796" i="55"/>
  <c r="AD800" i="55"/>
  <c r="AV800" i="55" s="1"/>
  <c r="AU800" i="55"/>
  <c r="U800" i="55"/>
  <c r="AD597" i="55"/>
  <c r="AV597" i="55" s="1"/>
  <c r="U597" i="55"/>
  <c r="AU597" i="55"/>
  <c r="AD594" i="55"/>
  <c r="AV594" i="55" s="1"/>
  <c r="U594" i="55"/>
  <c r="AU594" i="55"/>
  <c r="AD601" i="55"/>
  <c r="AV601" i="55" s="1"/>
  <c r="U601" i="55"/>
  <c r="AU601" i="55"/>
  <c r="AD730" i="55"/>
  <c r="AV730" i="55" s="1"/>
  <c r="AU730" i="55"/>
  <c r="U730" i="55"/>
  <c r="AO555" i="55"/>
  <c r="AD609" i="55"/>
  <c r="AV609" i="55" s="1"/>
  <c r="U609" i="55"/>
  <c r="AU609" i="55"/>
  <c r="AD612" i="55"/>
  <c r="AV612" i="55" s="1"/>
  <c r="AU612" i="55"/>
  <c r="U612" i="55"/>
  <c r="AD821" i="55"/>
  <c r="AV821" i="55" s="1"/>
  <c r="U821" i="55"/>
  <c r="AF821" i="55" s="1"/>
  <c r="AH821" i="55" s="1"/>
  <c r="AU821" i="55"/>
  <c r="AO164" i="55"/>
  <c r="AM164" i="55"/>
  <c r="AP164" i="55"/>
  <c r="AN164" i="55"/>
  <c r="AO318" i="55"/>
  <c r="AN318" i="55"/>
  <c r="AM318" i="55"/>
  <c r="AP318" i="55"/>
  <c r="AD470" i="55"/>
  <c r="AV470" i="55" s="1"/>
  <c r="AU470" i="55"/>
  <c r="U470" i="55"/>
  <c r="AD494" i="55"/>
  <c r="AV494" i="55" s="1"/>
  <c r="U494" i="55"/>
  <c r="AU494" i="55"/>
  <c r="AD526" i="55"/>
  <c r="AV526" i="55" s="1"/>
  <c r="U526" i="55"/>
  <c r="AU526" i="55"/>
  <c r="AD477" i="55"/>
  <c r="AV477" i="55" s="1"/>
  <c r="U477" i="55"/>
  <c r="AU477" i="55"/>
  <c r="AD501" i="55"/>
  <c r="AV501" i="55" s="1"/>
  <c r="U501" i="55"/>
  <c r="AU501" i="55"/>
  <c r="AD517" i="55"/>
  <c r="AV517" i="55" s="1"/>
  <c r="AU517" i="55"/>
  <c r="U517" i="55"/>
  <c r="AD525" i="55"/>
  <c r="AV525" i="55" s="1"/>
  <c r="AU525" i="55"/>
  <c r="U525" i="55"/>
  <c r="AD294" i="55"/>
  <c r="AV294" i="55" s="1"/>
  <c r="AU294" i="55"/>
  <c r="U294" i="55"/>
  <c r="AF294" i="55" s="1"/>
  <c r="AH294" i="55" s="1"/>
  <c r="AO162" i="55"/>
  <c r="AN162" i="55"/>
  <c r="AM162" i="55"/>
  <c r="AP162" i="55"/>
  <c r="AD222" i="55"/>
  <c r="AV222" i="55" s="1"/>
  <c r="U222" i="55"/>
  <c r="AU222" i="55"/>
  <c r="AD223" i="55"/>
  <c r="AV223" i="55" s="1"/>
  <c r="U223" i="55"/>
  <c r="AU223" i="55"/>
  <c r="AO100" i="55"/>
  <c r="AP100" i="55"/>
  <c r="AM100" i="55"/>
  <c r="AN100" i="55"/>
  <c r="AP344" i="55"/>
  <c r="AO344" i="55"/>
  <c r="AM344" i="55"/>
  <c r="AN344" i="55"/>
  <c r="AP375" i="55"/>
  <c r="AN375" i="55"/>
  <c r="AM375" i="55"/>
  <c r="AO375" i="55"/>
  <c r="AO358" i="55"/>
  <c r="AM358" i="55"/>
  <c r="AP358" i="55"/>
  <c r="AN358" i="55"/>
  <c r="AM835" i="55"/>
  <c r="AP835" i="55"/>
  <c r="AO835" i="55"/>
  <c r="AN835" i="55"/>
  <c r="AD605" i="55"/>
  <c r="AV605" i="55" s="1"/>
  <c r="U605" i="55"/>
  <c r="AU605" i="55"/>
  <c r="AD613" i="55"/>
  <c r="AV613" i="55" s="1"/>
  <c r="U613" i="55"/>
  <c r="AU613" i="55"/>
  <c r="AD621" i="55"/>
  <c r="AV621" i="55" s="1"/>
  <c r="AU621" i="55"/>
  <c r="U621" i="55"/>
  <c r="AD629" i="55"/>
  <c r="AV629" i="55" s="1"/>
  <c r="AU629" i="55"/>
  <c r="U629" i="55"/>
  <c r="AD637" i="55"/>
  <c r="AV637" i="55" s="1"/>
  <c r="AU637" i="55"/>
  <c r="U637" i="55"/>
  <c r="AD645" i="55"/>
  <c r="AV645" i="55" s="1"/>
  <c r="U645" i="55"/>
  <c r="AU645" i="55"/>
  <c r="AD653" i="55"/>
  <c r="AV653" i="55" s="1"/>
  <c r="AU653" i="55"/>
  <c r="U653" i="55"/>
  <c r="AD661" i="55"/>
  <c r="AV661" i="55" s="1"/>
  <c r="AU661" i="55"/>
  <c r="U661" i="55"/>
  <c r="AD608" i="55"/>
  <c r="AV608" i="55" s="1"/>
  <c r="U608" i="55"/>
  <c r="AU608" i="55"/>
  <c r="AD616" i="55"/>
  <c r="AV616" i="55" s="1"/>
  <c r="AU616" i="55"/>
  <c r="U616" i="55"/>
  <c r="AD624" i="55"/>
  <c r="AV624" i="55" s="1"/>
  <c r="AU624" i="55"/>
  <c r="U624" i="55"/>
  <c r="AD632" i="55"/>
  <c r="AV632" i="55" s="1"/>
  <c r="AU632" i="55"/>
  <c r="U632" i="55"/>
  <c r="AD640" i="55"/>
  <c r="AV640" i="55" s="1"/>
  <c r="U640" i="55"/>
  <c r="AU640" i="55"/>
  <c r="AD648" i="55"/>
  <c r="AV648" i="55" s="1"/>
  <c r="U648" i="55"/>
  <c r="AU648" i="55"/>
  <c r="AD656" i="55"/>
  <c r="AV656" i="55" s="1"/>
  <c r="AU656" i="55"/>
  <c r="U656" i="55"/>
  <c r="AD664" i="55"/>
  <c r="AV664" i="55" s="1"/>
  <c r="U664" i="55"/>
  <c r="AU664" i="55"/>
  <c r="AD809" i="55"/>
  <c r="AV809" i="55" s="1"/>
  <c r="AU809" i="55"/>
  <c r="U809" i="55"/>
  <c r="AD817" i="55"/>
  <c r="AV817" i="55" s="1"/>
  <c r="AU817" i="55"/>
  <c r="U817" i="55"/>
  <c r="AD808" i="55"/>
  <c r="AV808" i="55" s="1"/>
  <c r="AU808" i="55"/>
  <c r="U808" i="55"/>
  <c r="AF808" i="55" s="1"/>
  <c r="AH808" i="55" s="1"/>
  <c r="AD816" i="55"/>
  <c r="AV816" i="55" s="1"/>
  <c r="U816" i="55"/>
  <c r="AU816" i="55"/>
  <c r="AD848" i="55"/>
  <c r="AV848" i="55" s="1"/>
  <c r="AU848" i="55"/>
  <c r="U848" i="55"/>
  <c r="AD745" i="55"/>
  <c r="AV745" i="55" s="1"/>
  <c r="U745" i="55"/>
  <c r="AF745" i="55" s="1"/>
  <c r="AH745" i="55" s="1"/>
  <c r="AU745" i="55"/>
  <c r="AP167" i="55"/>
  <c r="AM167" i="55"/>
  <c r="AN167" i="55"/>
  <c r="AO167" i="55"/>
  <c r="AP98" i="55"/>
  <c r="AM98" i="55"/>
  <c r="AN98" i="55"/>
  <c r="AO98" i="55"/>
  <c r="AP219" i="55"/>
  <c r="AD245" i="55"/>
  <c r="AV245" i="55" s="1"/>
  <c r="AU245" i="55"/>
  <c r="U245" i="55"/>
  <c r="AF245" i="55" s="1"/>
  <c r="AH245" i="55" s="1"/>
  <c r="AP389" i="55"/>
  <c r="AM389" i="55"/>
  <c r="AN389" i="55"/>
  <c r="AO389" i="55"/>
  <c r="AD466" i="55"/>
  <c r="AV466" i="55" s="1"/>
  <c r="U466" i="55"/>
  <c r="AU466" i="55"/>
  <c r="AD474" i="55"/>
  <c r="AV474" i="55" s="1"/>
  <c r="AU474" i="55"/>
  <c r="U474" i="55"/>
  <c r="AD482" i="55"/>
  <c r="AV482" i="55" s="1"/>
  <c r="AU482" i="55"/>
  <c r="U482" i="55"/>
  <c r="AD490" i="55"/>
  <c r="AV490" i="55" s="1"/>
  <c r="AU490" i="55"/>
  <c r="U490" i="55"/>
  <c r="AD498" i="55"/>
  <c r="AV498" i="55" s="1"/>
  <c r="AU498" i="55"/>
  <c r="U498" i="55"/>
  <c r="AD506" i="55"/>
  <c r="AV506" i="55" s="1"/>
  <c r="AU506" i="55"/>
  <c r="U506" i="55"/>
  <c r="AD514" i="55"/>
  <c r="AV514" i="55" s="1"/>
  <c r="U514" i="55"/>
  <c r="AU514" i="55"/>
  <c r="AD522" i="55"/>
  <c r="AV522" i="55" s="1"/>
  <c r="AU522" i="55"/>
  <c r="U522" i="55"/>
  <c r="AD465" i="55"/>
  <c r="AV465" i="55" s="1"/>
  <c r="U465" i="55"/>
  <c r="AU465" i="55"/>
  <c r="AD473" i="55"/>
  <c r="AV473" i="55" s="1"/>
  <c r="U473" i="55"/>
  <c r="AU473" i="55"/>
  <c r="AD481" i="55"/>
  <c r="AV481" i="55" s="1"/>
  <c r="U481" i="55"/>
  <c r="AU481" i="55"/>
  <c r="AD489" i="55"/>
  <c r="AV489" i="55" s="1"/>
  <c r="AU489" i="55"/>
  <c r="U489" i="55"/>
  <c r="AD497" i="55"/>
  <c r="AV497" i="55" s="1"/>
  <c r="AU497" i="55"/>
  <c r="U497" i="55"/>
  <c r="AD505" i="55"/>
  <c r="AV505" i="55" s="1"/>
  <c r="AU505" i="55"/>
  <c r="U505" i="55"/>
  <c r="AD513" i="55"/>
  <c r="AV513" i="55" s="1"/>
  <c r="AU513" i="55"/>
  <c r="U513" i="55"/>
  <c r="AD521" i="55"/>
  <c r="AV521" i="55" s="1"/>
  <c r="AU521" i="55"/>
  <c r="U521" i="55"/>
  <c r="AN726" i="55"/>
  <c r="AM726" i="55"/>
  <c r="AO726" i="55"/>
  <c r="AP726" i="55"/>
  <c r="AP834" i="55"/>
  <c r="AN834" i="55"/>
  <c r="AM834" i="55"/>
  <c r="AO834" i="55"/>
  <c r="AD828" i="55"/>
  <c r="AV828" i="55" s="1"/>
  <c r="U828" i="55"/>
  <c r="AU828" i="55"/>
  <c r="AP736" i="55"/>
  <c r="AM736" i="55"/>
  <c r="AN736" i="55"/>
  <c r="AO736" i="55"/>
  <c r="AD291" i="55"/>
  <c r="AV291" i="55" s="1"/>
  <c r="AU291" i="55"/>
  <c r="U291" i="55"/>
  <c r="AD299" i="55"/>
  <c r="AV299" i="55" s="1"/>
  <c r="U299" i="55"/>
  <c r="AF299" i="55" s="1"/>
  <c r="AH299" i="55" s="1"/>
  <c r="AU299" i="55"/>
  <c r="AD289" i="55"/>
  <c r="AV289" i="55" s="1"/>
  <c r="AU289" i="55"/>
  <c r="U289" i="55"/>
  <c r="AF289" i="55" s="1"/>
  <c r="AH289" i="55" s="1"/>
  <c r="AD298" i="55"/>
  <c r="AV298" i="55" s="1"/>
  <c r="AU298" i="55"/>
  <c r="U298" i="55"/>
  <c r="AF298" i="55" s="1"/>
  <c r="AH298" i="55" s="1"/>
  <c r="AD290" i="55"/>
  <c r="AV290" i="55" s="1"/>
  <c r="U290" i="55"/>
  <c r="AU290" i="55"/>
  <c r="AO120" i="55"/>
  <c r="AP120" i="55"/>
  <c r="AN120" i="55"/>
  <c r="AO141" i="55"/>
  <c r="AP141" i="55"/>
  <c r="AN141" i="55"/>
  <c r="AM141" i="55"/>
  <c r="AD226" i="55"/>
  <c r="AV226" i="55" s="1"/>
  <c r="AU226" i="55"/>
  <c r="U226" i="55"/>
  <c r="AF226" i="55" s="1"/>
  <c r="AH226" i="55" s="1"/>
  <c r="AD227" i="55"/>
  <c r="AV227" i="55" s="1"/>
  <c r="U227" i="55"/>
  <c r="AU227" i="55"/>
  <c r="AP339" i="55"/>
  <c r="AM339" i="55"/>
  <c r="AO339" i="55"/>
  <c r="AO212" i="55"/>
  <c r="AP212" i="55"/>
  <c r="AN212" i="55"/>
  <c r="AM212" i="55"/>
  <c r="AN554" i="55"/>
  <c r="AO554" i="55"/>
  <c r="AM554" i="55"/>
  <c r="AP554" i="55"/>
  <c r="AN330" i="55"/>
  <c r="AO708" i="55"/>
  <c r="AM708" i="55"/>
  <c r="AN708" i="55"/>
  <c r="AP708" i="55"/>
  <c r="AM826" i="55"/>
  <c r="AO826" i="55"/>
  <c r="AP826" i="55"/>
  <c r="AN826" i="55"/>
  <c r="AD840" i="55"/>
  <c r="AV840" i="55" s="1"/>
  <c r="AU840" i="55"/>
  <c r="U840" i="55"/>
  <c r="AD774" i="55"/>
  <c r="AV774" i="55" s="1"/>
  <c r="U774" i="55"/>
  <c r="AF774" i="55" s="1"/>
  <c r="AH774" i="55" s="1"/>
  <c r="AU774" i="55"/>
  <c r="AD773" i="55"/>
  <c r="AV773" i="55" s="1"/>
  <c r="U773" i="55"/>
  <c r="AF773" i="55" s="1"/>
  <c r="AH773" i="55" s="1"/>
  <c r="AU773" i="55"/>
  <c r="AD371" i="55"/>
  <c r="AV371" i="55" s="1"/>
  <c r="U371" i="55"/>
  <c r="AU371" i="55"/>
  <c r="AD366" i="55"/>
  <c r="AV366" i="55" s="1"/>
  <c r="AU366" i="55"/>
  <c r="U366" i="55"/>
  <c r="AO118" i="55"/>
  <c r="AD198" i="55"/>
  <c r="AV198" i="55" s="1"/>
  <c r="U198" i="55"/>
  <c r="AU198" i="55"/>
  <c r="AD197" i="55"/>
  <c r="AV197" i="55" s="1"/>
  <c r="AU197" i="55"/>
  <c r="U197" i="55"/>
  <c r="AD205" i="55"/>
  <c r="AV205" i="55" s="1"/>
  <c r="AU205" i="55"/>
  <c r="U205" i="55"/>
  <c r="AD206" i="55"/>
  <c r="AV206" i="55" s="1"/>
  <c r="U206" i="55"/>
  <c r="AU206" i="55"/>
  <c r="AD269" i="55"/>
  <c r="AV269" i="55" s="1"/>
  <c r="AU269" i="55"/>
  <c r="U269" i="55"/>
  <c r="AD277" i="55"/>
  <c r="AV277" i="55" s="1"/>
  <c r="AU277" i="55"/>
  <c r="U277" i="55"/>
  <c r="AD285" i="55"/>
  <c r="AV285" i="55" s="1"/>
  <c r="AU285" i="55"/>
  <c r="U285" i="55"/>
  <c r="AF285" i="55" s="1"/>
  <c r="AH285" i="55" s="1"/>
  <c r="AD274" i="55"/>
  <c r="AV274" i="55" s="1"/>
  <c r="AU274" i="55"/>
  <c r="U274" i="55"/>
  <c r="AF274" i="55" s="1"/>
  <c r="AH274" i="55" s="1"/>
  <c r="AD282" i="55"/>
  <c r="AV282" i="55" s="1"/>
  <c r="U282" i="55"/>
  <c r="AU282" i="55"/>
  <c r="AN550" i="55"/>
  <c r="AO543" i="55"/>
  <c r="AD251" i="55"/>
  <c r="AV251" i="55" s="1"/>
  <c r="AU251" i="55"/>
  <c r="U251" i="55"/>
  <c r="AF251" i="55" s="1"/>
  <c r="AH251" i="55" s="1"/>
  <c r="AM690" i="55"/>
  <c r="AN836" i="55"/>
  <c r="AP836" i="55"/>
  <c r="AO836" i="55"/>
  <c r="AM836" i="55"/>
  <c r="AM738" i="55"/>
  <c r="AP738" i="55"/>
  <c r="AO738" i="55"/>
  <c r="AN738" i="55"/>
  <c r="AD791" i="55"/>
  <c r="AV791" i="55" s="1"/>
  <c r="U791" i="55"/>
  <c r="AU791" i="55"/>
  <c r="AD799" i="55"/>
  <c r="AV799" i="55" s="1"/>
  <c r="AU799" i="55"/>
  <c r="U799" i="55"/>
  <c r="AD790" i="55"/>
  <c r="AV790" i="55" s="1"/>
  <c r="AU790" i="55"/>
  <c r="U790" i="55"/>
  <c r="AD798" i="55"/>
  <c r="AV798" i="55" s="1"/>
  <c r="U798" i="55"/>
  <c r="AF798" i="55" s="1"/>
  <c r="AH798" i="55" s="1"/>
  <c r="AU798" i="55"/>
  <c r="AD591" i="55"/>
  <c r="AV591" i="55" s="1"/>
  <c r="AU591" i="55"/>
  <c r="U591" i="55"/>
  <c r="AD599" i="55"/>
  <c r="AV599" i="55" s="1"/>
  <c r="U599" i="55"/>
  <c r="AU599" i="55"/>
  <c r="AD596" i="55"/>
  <c r="AV596" i="55" s="1"/>
  <c r="AU596" i="55"/>
  <c r="U596" i="55"/>
  <c r="AD732" i="55"/>
  <c r="AV732" i="55" s="1"/>
  <c r="U732" i="55"/>
  <c r="AF732" i="55" s="1"/>
  <c r="AH732" i="55" s="1"/>
  <c r="AU732" i="55"/>
  <c r="AD731" i="55"/>
  <c r="AV731" i="55" s="1"/>
  <c r="U731" i="55"/>
  <c r="AU731" i="55"/>
  <c r="AP243" i="55"/>
  <c r="AM243" i="55"/>
  <c r="AO243" i="55"/>
  <c r="AN243" i="55"/>
  <c r="AO350" i="55"/>
  <c r="AP350" i="55"/>
  <c r="AM350" i="55"/>
  <c r="AN350" i="55"/>
  <c r="AD633" i="55"/>
  <c r="AV633" i="55" s="1"/>
  <c r="AU633" i="55"/>
  <c r="U633" i="55"/>
  <c r="AD657" i="55"/>
  <c r="AV657" i="55" s="1"/>
  <c r="AU657" i="55"/>
  <c r="U657" i="55"/>
  <c r="AO824" i="55"/>
  <c r="AM824" i="55"/>
  <c r="AP824" i="55"/>
  <c r="AN824" i="55"/>
  <c r="AD510" i="55"/>
  <c r="AV510" i="55" s="1"/>
  <c r="AU510" i="55"/>
  <c r="U510" i="55"/>
  <c r="AM99" i="55"/>
  <c r="AP99" i="55"/>
  <c r="AO99" i="55"/>
  <c r="AN99" i="55"/>
  <c r="AM68" i="55"/>
  <c r="AO22" i="55"/>
  <c r="AP134" i="55"/>
  <c r="AO357" i="55"/>
  <c r="AP357" i="55"/>
  <c r="AM357" i="55"/>
  <c r="AN357" i="55"/>
  <c r="AN423" i="55"/>
  <c r="AP667" i="55"/>
  <c r="AD607" i="55"/>
  <c r="AV607" i="55" s="1"/>
  <c r="U607" i="55"/>
  <c r="AU607" i="55"/>
  <c r="AD615" i="55"/>
  <c r="AV615" i="55" s="1"/>
  <c r="U615" i="55"/>
  <c r="AU615" i="55"/>
  <c r="AD623" i="55"/>
  <c r="AV623" i="55" s="1"/>
  <c r="AU623" i="55"/>
  <c r="U623" i="55"/>
  <c r="AD631" i="55"/>
  <c r="AV631" i="55" s="1"/>
  <c r="U631" i="55"/>
  <c r="AU631" i="55"/>
  <c r="AD639" i="55"/>
  <c r="AV639" i="55" s="1"/>
  <c r="U639" i="55"/>
  <c r="AU639" i="55"/>
  <c r="AD647" i="55"/>
  <c r="AV647" i="55" s="1"/>
  <c r="U647" i="55"/>
  <c r="AU647" i="55"/>
  <c r="AD655" i="55"/>
  <c r="AV655" i="55" s="1"/>
  <c r="AU655" i="55"/>
  <c r="U655" i="55"/>
  <c r="AD663" i="55"/>
  <c r="AV663" i="55" s="1"/>
  <c r="AU663" i="55"/>
  <c r="U663" i="55"/>
  <c r="AD610" i="55"/>
  <c r="AV610" i="55" s="1"/>
  <c r="U610" i="55"/>
  <c r="AU610" i="55"/>
  <c r="AD618" i="55"/>
  <c r="AV618" i="55" s="1"/>
  <c r="AU618" i="55"/>
  <c r="U618" i="55"/>
  <c r="AD626" i="55"/>
  <c r="AV626" i="55" s="1"/>
  <c r="U626" i="55"/>
  <c r="AU626" i="55"/>
  <c r="AD634" i="55"/>
  <c r="AV634" i="55" s="1"/>
  <c r="U634" i="55"/>
  <c r="AU634" i="55"/>
  <c r="AD642" i="55"/>
  <c r="AV642" i="55" s="1"/>
  <c r="U642" i="55"/>
  <c r="AU642" i="55"/>
  <c r="AD650" i="55"/>
  <c r="AV650" i="55" s="1"/>
  <c r="U650" i="55"/>
  <c r="AU650" i="55"/>
  <c r="AD658" i="55"/>
  <c r="AV658" i="55" s="1"/>
  <c r="AU658" i="55"/>
  <c r="U658" i="55"/>
  <c r="AD811" i="55"/>
  <c r="AV811" i="55" s="1"/>
  <c r="U811" i="55"/>
  <c r="AF811" i="55" s="1"/>
  <c r="AH811" i="55" s="1"/>
  <c r="AU811" i="55"/>
  <c r="AD819" i="55"/>
  <c r="AV819" i="55" s="1"/>
  <c r="AU819" i="55"/>
  <c r="U819" i="55"/>
  <c r="AF819" i="55" s="1"/>
  <c r="AH819" i="55" s="1"/>
  <c r="AD810" i="55"/>
  <c r="AV810" i="55" s="1"/>
  <c r="U810" i="55"/>
  <c r="AU810" i="55"/>
  <c r="AD818" i="55"/>
  <c r="AV818" i="55" s="1"/>
  <c r="AU818" i="55"/>
  <c r="U818" i="55"/>
  <c r="AD849" i="55"/>
  <c r="AV849" i="55" s="1"/>
  <c r="AU849" i="55"/>
  <c r="U849" i="55"/>
  <c r="AD742" i="55"/>
  <c r="AV742" i="55" s="1"/>
  <c r="U742" i="55"/>
  <c r="AF742" i="55" s="1"/>
  <c r="AH742" i="55" s="1"/>
  <c r="AU742" i="55"/>
  <c r="AP66" i="55"/>
  <c r="AP72" i="55"/>
  <c r="AP106" i="55"/>
  <c r="AM106" i="55"/>
  <c r="AN106" i="55"/>
  <c r="AO106" i="55"/>
  <c r="AN142" i="55"/>
  <c r="AP142" i="55"/>
  <c r="AM142" i="55"/>
  <c r="AO142" i="55"/>
  <c r="AN143" i="55"/>
  <c r="AO143" i="55"/>
  <c r="AM143" i="55"/>
  <c r="AP143" i="55"/>
  <c r="AP341" i="55"/>
  <c r="AD247" i="55"/>
  <c r="AV247" i="55" s="1"/>
  <c r="AU247" i="55"/>
  <c r="U247" i="55"/>
  <c r="AN310" i="55"/>
  <c r="AD468" i="55"/>
  <c r="AV468" i="55" s="1"/>
  <c r="U468" i="55"/>
  <c r="AU468" i="55"/>
  <c r="AD476" i="55"/>
  <c r="AV476" i="55" s="1"/>
  <c r="U476" i="55"/>
  <c r="AU476" i="55"/>
  <c r="AD484" i="55"/>
  <c r="AV484" i="55" s="1"/>
  <c r="U484" i="55"/>
  <c r="AU484" i="55"/>
  <c r="AD492" i="55"/>
  <c r="AV492" i="55" s="1"/>
  <c r="AU492" i="55"/>
  <c r="U492" i="55"/>
  <c r="AD500" i="55"/>
  <c r="AV500" i="55" s="1"/>
  <c r="U500" i="55"/>
  <c r="AU500" i="55"/>
  <c r="AD508" i="55"/>
  <c r="AV508" i="55" s="1"/>
  <c r="U508" i="55"/>
  <c r="AU508" i="55"/>
  <c r="AD516" i="55"/>
  <c r="AV516" i="55" s="1"/>
  <c r="U516" i="55"/>
  <c r="AU516" i="55"/>
  <c r="AD524" i="55"/>
  <c r="AV524" i="55" s="1"/>
  <c r="U524" i="55"/>
  <c r="AU524" i="55"/>
  <c r="AD467" i="55"/>
  <c r="AV467" i="55" s="1"/>
  <c r="AU467" i="55"/>
  <c r="U467" i="55"/>
  <c r="AD475" i="55"/>
  <c r="AV475" i="55" s="1"/>
  <c r="AU475" i="55"/>
  <c r="U475" i="55"/>
  <c r="AD483" i="55"/>
  <c r="AV483" i="55" s="1"/>
  <c r="AU483" i="55"/>
  <c r="U483" i="55"/>
  <c r="AD491" i="55"/>
  <c r="AV491" i="55" s="1"/>
  <c r="U491" i="55"/>
  <c r="AU491" i="55"/>
  <c r="AD499" i="55"/>
  <c r="AV499" i="55" s="1"/>
  <c r="AU499" i="55"/>
  <c r="U499" i="55"/>
  <c r="AD507" i="55"/>
  <c r="AV507" i="55" s="1"/>
  <c r="AU507" i="55"/>
  <c r="U507" i="55"/>
  <c r="AD515" i="55"/>
  <c r="AV515" i="55" s="1"/>
  <c r="AU515" i="55"/>
  <c r="U515" i="55"/>
  <c r="AD523" i="55"/>
  <c r="AV523" i="55" s="1"/>
  <c r="AU523" i="55"/>
  <c r="U523" i="55"/>
  <c r="AD830" i="55"/>
  <c r="AV830" i="55" s="1"/>
  <c r="U830" i="55"/>
  <c r="AU830" i="55"/>
  <c r="AD293" i="55"/>
  <c r="AV293" i="55" s="1"/>
  <c r="U293" i="55"/>
  <c r="AF293" i="55" s="1"/>
  <c r="AH293" i="55" s="1"/>
  <c r="AU293" i="55"/>
  <c r="AD301" i="55"/>
  <c r="AV301" i="55" s="1"/>
  <c r="AU301" i="55"/>
  <c r="U301" i="55"/>
  <c r="AF301" i="55" s="1"/>
  <c r="AH301" i="55" s="1"/>
  <c r="AD292" i="55"/>
  <c r="AV292" i="55" s="1"/>
  <c r="U292" i="55"/>
  <c r="AU292" i="55"/>
  <c r="AD300" i="55"/>
  <c r="AV300" i="55" s="1"/>
  <c r="U300" i="55"/>
  <c r="AU300" i="55"/>
  <c r="AD228" i="55"/>
  <c r="AV228" i="55" s="1"/>
  <c r="AU228" i="55"/>
  <c r="U228" i="55"/>
  <c r="AM438" i="55"/>
  <c r="AN422" i="55"/>
  <c r="B311" i="19"/>
  <c r="AD839" i="55"/>
  <c r="AV839" i="55" s="1"/>
  <c r="AU839" i="55"/>
  <c r="U839" i="55"/>
  <c r="AF839" i="55" s="1"/>
  <c r="AH839" i="55" s="1"/>
  <c r="AD768" i="55"/>
  <c r="AV768" i="55" s="1"/>
  <c r="U768" i="55"/>
  <c r="AU768" i="55"/>
  <c r="AD767" i="55"/>
  <c r="AV767" i="55" s="1"/>
  <c r="U767" i="55"/>
  <c r="AF767" i="55" s="1"/>
  <c r="AH767" i="55" s="1"/>
  <c r="AU767" i="55"/>
  <c r="AD775" i="55"/>
  <c r="AV775" i="55" s="1"/>
  <c r="U775" i="55"/>
  <c r="AU775" i="55"/>
  <c r="AD368" i="55"/>
  <c r="AV368" i="55" s="1"/>
  <c r="U368" i="55"/>
  <c r="AU368" i="55"/>
  <c r="AP160" i="55"/>
  <c r="AO160" i="55"/>
  <c r="AM160" i="55"/>
  <c r="AN160" i="55"/>
  <c r="AO76" i="55"/>
  <c r="AO180" i="55"/>
  <c r="AD200" i="55"/>
  <c r="AV200" i="55" s="1"/>
  <c r="AU200" i="55"/>
  <c r="U200" i="55"/>
  <c r="AD199" i="55"/>
  <c r="AV199" i="55" s="1"/>
  <c r="U199" i="55"/>
  <c r="AU199" i="55"/>
  <c r="AD207" i="55"/>
  <c r="AV207" i="55" s="1"/>
  <c r="U207" i="55"/>
  <c r="AU207" i="55"/>
  <c r="AD208" i="55"/>
  <c r="AV208" i="55" s="1"/>
  <c r="AU208" i="55"/>
  <c r="U208" i="55"/>
  <c r="AD271" i="55"/>
  <c r="AV271" i="55" s="1"/>
  <c r="AU271" i="55"/>
  <c r="U271" i="55"/>
  <c r="AF271" i="55" s="1"/>
  <c r="AH271" i="55" s="1"/>
  <c r="AD279" i="55"/>
  <c r="AV279" i="55" s="1"/>
  <c r="U279" i="55"/>
  <c r="AU279" i="55"/>
  <c r="AD268" i="55"/>
  <c r="AV268" i="55" s="1"/>
  <c r="AU268" i="55"/>
  <c r="U268" i="55"/>
  <c r="AD276" i="55"/>
  <c r="AV276" i="55" s="1"/>
  <c r="U276" i="55"/>
  <c r="AF276" i="55" s="1"/>
  <c r="AH276" i="55" s="1"/>
  <c r="AU276" i="55"/>
  <c r="AD284" i="55"/>
  <c r="AV284" i="55" s="1"/>
  <c r="U284" i="55"/>
  <c r="AF284" i="55" s="1"/>
  <c r="AH284" i="55" s="1"/>
  <c r="AU284" i="55"/>
  <c r="AD253" i="55"/>
  <c r="AV253" i="55" s="1"/>
  <c r="U253" i="55"/>
  <c r="AU253" i="55"/>
  <c r="AD793" i="55"/>
  <c r="AV793" i="55" s="1"/>
  <c r="AU793" i="55"/>
  <c r="U793" i="55"/>
  <c r="AD802" i="55"/>
  <c r="AV802" i="55" s="1"/>
  <c r="AU802" i="55"/>
  <c r="U802" i="55"/>
  <c r="AD792" i="55"/>
  <c r="AV792" i="55" s="1"/>
  <c r="U792" i="55"/>
  <c r="AU792" i="55"/>
  <c r="AD801" i="55"/>
  <c r="AV801" i="55" s="1"/>
  <c r="U801" i="55"/>
  <c r="AU801" i="55"/>
  <c r="AD593" i="55"/>
  <c r="AV593" i="55" s="1"/>
  <c r="AU593" i="55"/>
  <c r="U593" i="55"/>
  <c r="AD590" i="55"/>
  <c r="AV590" i="55" s="1"/>
  <c r="U590" i="55"/>
  <c r="AU590" i="55"/>
  <c r="AD598" i="55"/>
  <c r="AV598" i="55" s="1"/>
  <c r="AU598" i="55"/>
  <c r="U598" i="55"/>
  <c r="AD729" i="55"/>
  <c r="AV729" i="55" s="1"/>
  <c r="AU729" i="55"/>
  <c r="U729" i="55"/>
  <c r="AF729" i="55" s="1"/>
  <c r="AH729" i="55" s="1"/>
  <c r="AD734" i="55"/>
  <c r="AV734" i="55" s="1"/>
  <c r="AU734" i="55"/>
  <c r="U734" i="55"/>
  <c r="AP356" i="55" l="1"/>
  <c r="AN356" i="55"/>
  <c r="AM356" i="55"/>
  <c r="AO356" i="55"/>
  <c r="AP355" i="55"/>
  <c r="AN355" i="55"/>
  <c r="AO355" i="55"/>
  <c r="AM355" i="55"/>
  <c r="AF817" i="55"/>
  <c r="AH817" i="55" s="1"/>
  <c r="AF734" i="55"/>
  <c r="AH734" i="55" s="1"/>
  <c r="AF801" i="55"/>
  <c r="AH801" i="55" s="1"/>
  <c r="AF253" i="55"/>
  <c r="AH253" i="55" s="1"/>
  <c r="AF268" i="55"/>
  <c r="AH268" i="55" s="1"/>
  <c r="AF279" i="55"/>
  <c r="AH279" i="55" s="1"/>
  <c r="AF368" i="55"/>
  <c r="AH368" i="55" s="1"/>
  <c r="AF247" i="55"/>
  <c r="AH247" i="55" s="1"/>
  <c r="AF810" i="55"/>
  <c r="AH810" i="55" s="1"/>
  <c r="AF799" i="55"/>
  <c r="AH799" i="55" s="1"/>
  <c r="AF269" i="55"/>
  <c r="AH269" i="55" s="1"/>
  <c r="AF366" i="55"/>
  <c r="AH366" i="55" s="1"/>
  <c r="AF371" i="55"/>
  <c r="AH371" i="55" s="1"/>
  <c r="AF840" i="55"/>
  <c r="AH840" i="55" s="1"/>
  <c r="AF227" i="55"/>
  <c r="AH227" i="55" s="1"/>
  <c r="AF291" i="55"/>
  <c r="AH291" i="55" s="1"/>
  <c r="AF828" i="55"/>
  <c r="AH828" i="55" s="1"/>
  <c r="AF222" i="55"/>
  <c r="AH222" i="55" s="1"/>
  <c r="AF730" i="55"/>
  <c r="AH730" i="55" s="1"/>
  <c r="AF800" i="55"/>
  <c r="AH800" i="55" s="1"/>
  <c r="AF254" i="55"/>
  <c r="AH254" i="55" s="1"/>
  <c r="AF275" i="55"/>
  <c r="AH275" i="55" s="1"/>
  <c r="AF831" i="55"/>
  <c r="AH831" i="55" s="1"/>
  <c r="AF814" i="55"/>
  <c r="AH814" i="55" s="1"/>
  <c r="AF807" i="55"/>
  <c r="AH807" i="55" s="1"/>
  <c r="AF303" i="55"/>
  <c r="AH303" i="55" s="1"/>
  <c r="AF295" i="55"/>
  <c r="AH295" i="55" s="1"/>
  <c r="AF252" i="55"/>
  <c r="AH252" i="55" s="1"/>
  <c r="AF286" i="55"/>
  <c r="AH286" i="55" s="1"/>
  <c r="AF278" i="55"/>
  <c r="AH278" i="55" s="1"/>
  <c r="AF778" i="55"/>
  <c r="AH778" i="55" s="1"/>
  <c r="AF777" i="55"/>
  <c r="AH777" i="55" s="1"/>
  <c r="AF740" i="55"/>
  <c r="AH740" i="55" s="1"/>
  <c r="AE305" i="55"/>
  <c r="AF305" i="55" s="1"/>
  <c r="AH305" i="55" s="1"/>
  <c r="AF802" i="55"/>
  <c r="AH802" i="55" s="1"/>
  <c r="AF768" i="55"/>
  <c r="AH768" i="55" s="1"/>
  <c r="AF228" i="55"/>
  <c r="AH228" i="55" s="1"/>
  <c r="AF300" i="55"/>
  <c r="AH300" i="55" s="1"/>
  <c r="AF830" i="55"/>
  <c r="AH830" i="55" s="1"/>
  <c r="AF849" i="55"/>
  <c r="AH849" i="55" s="1"/>
  <c r="AF790" i="55"/>
  <c r="AH790" i="55" s="1"/>
  <c r="AF282" i="55"/>
  <c r="AH282" i="55" s="1"/>
  <c r="AF277" i="55"/>
  <c r="AH277" i="55" s="1"/>
  <c r="AF290" i="55"/>
  <c r="AH290" i="55" s="1"/>
  <c r="AF848" i="55"/>
  <c r="AH848" i="55" s="1"/>
  <c r="AF816" i="55"/>
  <c r="AH816" i="55" s="1"/>
  <c r="AF809" i="55"/>
  <c r="AH809" i="55" s="1"/>
  <c r="AF223" i="55"/>
  <c r="AH223" i="55" s="1"/>
  <c r="AF283" i="55"/>
  <c r="AH283" i="55" s="1"/>
  <c r="AF772" i="55"/>
  <c r="AH772" i="55" s="1"/>
  <c r="AF224" i="55"/>
  <c r="AH224" i="55" s="1"/>
  <c r="AF296" i="55"/>
  <c r="AH296" i="55" s="1"/>
  <c r="AF850" i="55"/>
  <c r="AH850" i="55" s="1"/>
  <c r="AF614" i="55"/>
  <c r="AH614" i="55" s="1"/>
  <c r="AF302" i="55"/>
  <c r="AH302" i="55" s="1"/>
  <c r="AF246" i="55"/>
  <c r="AH246" i="55" s="1"/>
  <c r="AF820" i="55"/>
  <c r="AH820" i="55" s="1"/>
  <c r="AF255" i="55"/>
  <c r="AH255" i="55" s="1"/>
  <c r="AF281" i="55"/>
  <c r="AH281" i="55" s="1"/>
  <c r="AF370" i="55"/>
  <c r="AH370" i="55" s="1"/>
  <c r="AF841" i="55"/>
  <c r="AH841" i="55" s="1"/>
  <c r="AF851" i="55"/>
  <c r="AH851" i="55" s="1"/>
  <c r="AF782" i="55"/>
  <c r="AH782" i="55" s="1"/>
  <c r="AF783" i="55"/>
  <c r="AH783" i="55" s="1"/>
  <c r="AN152" i="55"/>
  <c r="AM188" i="55"/>
  <c r="AN145" i="55"/>
  <c r="AM145" i="55"/>
  <c r="AP145" i="55"/>
  <c r="AO145" i="55"/>
  <c r="AP359" i="55"/>
  <c r="AO584" i="55"/>
  <c r="AP103" i="55"/>
  <c r="AF28" i="55"/>
  <c r="AH28" i="55" s="1"/>
  <c r="AO28" i="55" s="1"/>
  <c r="AF40" i="55"/>
  <c r="AH40" i="55" s="1"/>
  <c r="AM40" i="55" s="1"/>
  <c r="AO359" i="55"/>
  <c r="AP105" i="55"/>
  <c r="AP671" i="55"/>
  <c r="AN317" i="55"/>
  <c r="AM103" i="55"/>
  <c r="AP149" i="55"/>
  <c r="AO188" i="55"/>
  <c r="AN149" i="55"/>
  <c r="AM322" i="55"/>
  <c r="AO435" i="55"/>
  <c r="AM105" i="55"/>
  <c r="AM317" i="55"/>
  <c r="AP354" i="55"/>
  <c r="AO149" i="55"/>
  <c r="AP231" i="55"/>
  <c r="AO105" i="55"/>
  <c r="AN104" i="55"/>
  <c r="AO317" i="55"/>
  <c r="AN328" i="55"/>
  <c r="AP456" i="55"/>
  <c r="AN60" i="55"/>
  <c r="AO535" i="55"/>
  <c r="AP116" i="55"/>
  <c r="AF791" i="55"/>
  <c r="AH791" i="55" s="1"/>
  <c r="AP363" i="55"/>
  <c r="AO219" i="55"/>
  <c r="AP755" i="55"/>
  <c r="AM219" i="55"/>
  <c r="AM538" i="55"/>
  <c r="AN84" i="55"/>
  <c r="AN10" i="55"/>
  <c r="AM121" i="55"/>
  <c r="AP190" i="55"/>
  <c r="AM762" i="55"/>
  <c r="AM440" i="55"/>
  <c r="AN148" i="55"/>
  <c r="AM418" i="55"/>
  <c r="AP352" i="55"/>
  <c r="AN416" i="55"/>
  <c r="AO110" i="55"/>
  <c r="AO762" i="55"/>
  <c r="AM90" i="55"/>
  <c r="AO148" i="55"/>
  <c r="AM168" i="55"/>
  <c r="AN21" i="55"/>
  <c r="AO362" i="55"/>
  <c r="AM169" i="55"/>
  <c r="AO411" i="55"/>
  <c r="AN327" i="55"/>
  <c r="AP45" i="55"/>
  <c r="AN158" i="55"/>
  <c r="AP444" i="55"/>
  <c r="AM55" i="55"/>
  <c r="AN403" i="55"/>
  <c r="AP535" i="55"/>
  <c r="AM541" i="55"/>
  <c r="AM25" i="55"/>
  <c r="AM330" i="55"/>
  <c r="AN363" i="55"/>
  <c r="AO238" i="55"/>
  <c r="AP69" i="55"/>
  <c r="AM718" i="55"/>
  <c r="AP150" i="55"/>
  <c r="AP719" i="55"/>
  <c r="AN535" i="55"/>
  <c r="AN178" i="55"/>
  <c r="AO330" i="55"/>
  <c r="AM363" i="55"/>
  <c r="AN307" i="55"/>
  <c r="AO150" i="55"/>
  <c r="AP412" i="55"/>
  <c r="AO128" i="55"/>
  <c r="AM709" i="55"/>
  <c r="AP401" i="55"/>
  <c r="AP189" i="55"/>
  <c r="AN564" i="55"/>
  <c r="AN400" i="55"/>
  <c r="AP67" i="55"/>
  <c r="AM335" i="55"/>
  <c r="AO192" i="55"/>
  <c r="AP706" i="55"/>
  <c r="AN180" i="55"/>
  <c r="AM422" i="55"/>
  <c r="AO86" i="55"/>
  <c r="AP310" i="55"/>
  <c r="AM341" i="55"/>
  <c r="AM587" i="55"/>
  <c r="AN134" i="55"/>
  <c r="AN22" i="55"/>
  <c r="AO68" i="55"/>
  <c r="AN690" i="55"/>
  <c r="AM543" i="55"/>
  <c r="AM550" i="55"/>
  <c r="AO322" i="55"/>
  <c r="AN231" i="55"/>
  <c r="AO60" i="55"/>
  <c r="AN555" i="55"/>
  <c r="AO668" i="55"/>
  <c r="AM533" i="55"/>
  <c r="AO404" i="55"/>
  <c r="AM383" i="55"/>
  <c r="AM104" i="55"/>
  <c r="AP75" i="55"/>
  <c r="AO686" i="55"/>
  <c r="AO452" i="55"/>
  <c r="AO329" i="55"/>
  <c r="AP95" i="55"/>
  <c r="AO328" i="55"/>
  <c r="AN575" i="55"/>
  <c r="AP534" i="55"/>
  <c r="AP33" i="55"/>
  <c r="AM764" i="55"/>
  <c r="AN354" i="55"/>
  <c r="AP409" i="55"/>
  <c r="AP180" i="55"/>
  <c r="AP422" i="55"/>
  <c r="AM310" i="55"/>
  <c r="AN341" i="55"/>
  <c r="AO696" i="55"/>
  <c r="AM134" i="55"/>
  <c r="AM22" i="55"/>
  <c r="AP68" i="55"/>
  <c r="AN710" i="55"/>
  <c r="AP690" i="55"/>
  <c r="AN543" i="55"/>
  <c r="AP550" i="55"/>
  <c r="AP322" i="55"/>
  <c r="AO231" i="55"/>
  <c r="AO443" i="55"/>
  <c r="AO74" i="55"/>
  <c r="AM60" i="55"/>
  <c r="AM555" i="55"/>
  <c r="AN668" i="55"/>
  <c r="AP533" i="55"/>
  <c r="AM404" i="55"/>
  <c r="AP383" i="55"/>
  <c r="AO104" i="55"/>
  <c r="AM75" i="55"/>
  <c r="AN686" i="55"/>
  <c r="AN452" i="55"/>
  <c r="AO95" i="55"/>
  <c r="AM328" i="55"/>
  <c r="AM575" i="55"/>
  <c r="AO534" i="55"/>
  <c r="AM447" i="55"/>
  <c r="AN33" i="55"/>
  <c r="AN764" i="55"/>
  <c r="AM354" i="55"/>
  <c r="AO419" i="55"/>
  <c r="AM588" i="55"/>
  <c r="AM179" i="55"/>
  <c r="AP24" i="55"/>
  <c r="AP176" i="55"/>
  <c r="AM532" i="55"/>
  <c r="AP720" i="55"/>
  <c r="AM754" i="55"/>
  <c r="AN364" i="55"/>
  <c r="AM47" i="55"/>
  <c r="AN574" i="55"/>
  <c r="AO36" i="55"/>
  <c r="AP421" i="55"/>
  <c r="AN384" i="55"/>
  <c r="AP759" i="55"/>
  <c r="AP588" i="55"/>
  <c r="AO179" i="55"/>
  <c r="AO52" i="55"/>
  <c r="AP102" i="55"/>
  <c r="AM580" i="55"/>
  <c r="AO396" i="55"/>
  <c r="AM111" i="55"/>
  <c r="AP574" i="55"/>
  <c r="AM36" i="55"/>
  <c r="AN137" i="55"/>
  <c r="AN577" i="55"/>
  <c r="AP89" i="55"/>
  <c r="AM549" i="55"/>
  <c r="AP31" i="55"/>
  <c r="AP760" i="55"/>
  <c r="AO588" i="55"/>
  <c r="AP179" i="55"/>
  <c r="AO93" i="55"/>
  <c r="AN323" i="55"/>
  <c r="AP19" i="55"/>
  <c r="AM574" i="55"/>
  <c r="AO184" i="55"/>
  <c r="AN36" i="55"/>
  <c r="AM704" i="55"/>
  <c r="AN43" i="55"/>
  <c r="AM567" i="55"/>
  <c r="AM94" i="55"/>
  <c r="AO314" i="55"/>
  <c r="AM63" i="55"/>
  <c r="AN761" i="55"/>
  <c r="AP213" i="55"/>
  <c r="AO61" i="55"/>
  <c r="AM61" i="55"/>
  <c r="AP691" i="55"/>
  <c r="AN691" i="55"/>
  <c r="AN139" i="55"/>
  <c r="AN76" i="55"/>
  <c r="AN421" i="55"/>
  <c r="AN20" i="55"/>
  <c r="AO667" i="55"/>
  <c r="AN541" i="55"/>
  <c r="AM400" i="55"/>
  <c r="AP178" i="55"/>
  <c r="AO116" i="55"/>
  <c r="AM384" i="55"/>
  <c r="AN760" i="55"/>
  <c r="AO666" i="55"/>
  <c r="AP566" i="55"/>
  <c r="AO40" i="55"/>
  <c r="AN759" i="55"/>
  <c r="AO583" i="55"/>
  <c r="D28" i="19"/>
  <c r="E8" i="24" s="1"/>
  <c r="AP21" i="55"/>
  <c r="AP238" i="55"/>
  <c r="AO67" i="55"/>
  <c r="AN720" i="55"/>
  <c r="AN456" i="55"/>
  <c r="AN52" i="55"/>
  <c r="AO69" i="55"/>
  <c r="AM102" i="55"/>
  <c r="AP580" i="55"/>
  <c r="AP396" i="55"/>
  <c r="AM43" i="55"/>
  <c r="AM10" i="55"/>
  <c r="AP111" i="55"/>
  <c r="AO718" i="55"/>
  <c r="AP567" i="55"/>
  <c r="AM184" i="55"/>
  <c r="AN192" i="55"/>
  <c r="AO688" i="55"/>
  <c r="AP572" i="55"/>
  <c r="AM702" i="55"/>
  <c r="AM397" i="55"/>
  <c r="AN704" i="55"/>
  <c r="AP459" i="55"/>
  <c r="AO755" i="55"/>
  <c r="AN314" i="55"/>
  <c r="AP128" i="55"/>
  <c r="AM761" i="55"/>
  <c r="AP563" i="55"/>
  <c r="AO213" i="55"/>
  <c r="AN430" i="55"/>
  <c r="AP76" i="55"/>
  <c r="AF775" i="55"/>
  <c r="AH775" i="55" s="1"/>
  <c r="AO775" i="55" s="1"/>
  <c r="AN705" i="55"/>
  <c r="AO421" i="55"/>
  <c r="AF818" i="55"/>
  <c r="AH818" i="55" s="1"/>
  <c r="AN818" i="55" s="1"/>
  <c r="AN667" i="55"/>
  <c r="AP541" i="55"/>
  <c r="AP400" i="55"/>
  <c r="AM178" i="55"/>
  <c r="AN116" i="55"/>
  <c r="AP384" i="55"/>
  <c r="AM760" i="55"/>
  <c r="AP131" i="55"/>
  <c r="AO759" i="55"/>
  <c r="AO21" i="55"/>
  <c r="AM238" i="55"/>
  <c r="AN67" i="55"/>
  <c r="AM720" i="55"/>
  <c r="AO456" i="55"/>
  <c r="AM52" i="55"/>
  <c r="AN69" i="55"/>
  <c r="AP153" i="55"/>
  <c r="AN102" i="55"/>
  <c r="AO580" i="55"/>
  <c r="AM396" i="55"/>
  <c r="AO43" i="55"/>
  <c r="AO10" i="55"/>
  <c r="AN111" i="55"/>
  <c r="AP718" i="55"/>
  <c r="AO567" i="55"/>
  <c r="AN184" i="55"/>
  <c r="AM192" i="55"/>
  <c r="AM241" i="55"/>
  <c r="AP704" i="55"/>
  <c r="AN755" i="55"/>
  <c r="AM314" i="55"/>
  <c r="AN128" i="55"/>
  <c r="AP761" i="55"/>
  <c r="AM213" i="55"/>
  <c r="AM26" i="55"/>
  <c r="AM236" i="55"/>
  <c r="AN582" i="55"/>
  <c r="AP313" i="55"/>
  <c r="AO316" i="55"/>
  <c r="AO83" i="55"/>
  <c r="AO424" i="55"/>
  <c r="AN725" i="55"/>
  <c r="AO17" i="55"/>
  <c r="AN334" i="55"/>
  <c r="AN431" i="55"/>
  <c r="AN695" i="55"/>
  <c r="AN107" i="55"/>
  <c r="AP752" i="55"/>
  <c r="AO752" i="55"/>
  <c r="AM316" i="55"/>
  <c r="AN83" i="55"/>
  <c r="AM705" i="55"/>
  <c r="AM72" i="55"/>
  <c r="AM424" i="55"/>
  <c r="AN418" i="55"/>
  <c r="AM666" i="55"/>
  <c r="AO725" i="55"/>
  <c r="AO364" i="55"/>
  <c r="AN566" i="55"/>
  <c r="AM131" i="55"/>
  <c r="AN17" i="55"/>
  <c r="AN40" i="55"/>
  <c r="AP47" i="55"/>
  <c r="AN748" i="55"/>
  <c r="C28" i="19"/>
  <c r="D8" i="24" s="1"/>
  <c r="AP362" i="55"/>
  <c r="AP435" i="55"/>
  <c r="AN110" i="55"/>
  <c r="AN169" i="55"/>
  <c r="AN93" i="55"/>
  <c r="AM153" i="55"/>
  <c r="AO41" i="55"/>
  <c r="AO671" i="55"/>
  <c r="AP532" i="55"/>
  <c r="AM411" i="55"/>
  <c r="AM419" i="55"/>
  <c r="AO323" i="55"/>
  <c r="AM190" i="55"/>
  <c r="AN19" i="55"/>
  <c r="AM327" i="55"/>
  <c r="AP584" i="55"/>
  <c r="AP440" i="55"/>
  <c r="AM45" i="55"/>
  <c r="AP121" i="55"/>
  <c r="AN688" i="55"/>
  <c r="AM691" i="55"/>
  <c r="AO334" i="55"/>
  <c r="AM572" i="55"/>
  <c r="AO431" i="55"/>
  <c r="AP137" i="55"/>
  <c r="AN241" i="55"/>
  <c r="AN94" i="55"/>
  <c r="AP702" i="55"/>
  <c r="AN397" i="55"/>
  <c r="AM459" i="55"/>
  <c r="AM158" i="55"/>
  <c r="AN168" i="55"/>
  <c r="AP695" i="55"/>
  <c r="AN563" i="55"/>
  <c r="AM107" i="55"/>
  <c r="AF13" i="55"/>
  <c r="AH13" i="55" s="1"/>
  <c r="AN13" i="55" s="1"/>
  <c r="AO430" i="55"/>
  <c r="AP236" i="55"/>
  <c r="AM20" i="55"/>
  <c r="AO156" i="55"/>
  <c r="AP754" i="55"/>
  <c r="AP577" i="55"/>
  <c r="AP582" i="55"/>
  <c r="AN352" i="55"/>
  <c r="AN313" i="55"/>
  <c r="AP139" i="55"/>
  <c r="AO89" i="55"/>
  <c r="AO549" i="55"/>
  <c r="AM430" i="55"/>
  <c r="AP316" i="55"/>
  <c r="AP26" i="55"/>
  <c r="AM83" i="55"/>
  <c r="AN236" i="55"/>
  <c r="AP705" i="55"/>
  <c r="AP20" i="55"/>
  <c r="AN72" i="55"/>
  <c r="AO415" i="55"/>
  <c r="AM458" i="55"/>
  <c r="AM87" i="55"/>
  <c r="AN424" i="55"/>
  <c r="AP418" i="55"/>
  <c r="AN666" i="55"/>
  <c r="AM725" i="55"/>
  <c r="AP364" i="55"/>
  <c r="AM566" i="55"/>
  <c r="AN131" i="55"/>
  <c r="AP17" i="55"/>
  <c r="AP40" i="55"/>
  <c r="AO47" i="55"/>
  <c r="E28" i="19"/>
  <c r="H274" i="54" s="1"/>
  <c r="I274" i="54" s="1"/>
  <c r="AN362" i="55"/>
  <c r="AM435" i="55"/>
  <c r="AM110" i="55"/>
  <c r="AP169" i="55"/>
  <c r="AP93" i="55"/>
  <c r="AO153" i="55"/>
  <c r="AN671" i="55"/>
  <c r="AO532" i="55"/>
  <c r="AN411" i="55"/>
  <c r="AN419" i="55"/>
  <c r="AM323" i="55"/>
  <c r="D188" i="19"/>
  <c r="E19" i="24" s="1"/>
  <c r="AN190" i="55"/>
  <c r="AO19" i="55"/>
  <c r="AP327" i="55"/>
  <c r="AN584" i="55"/>
  <c r="AO440" i="55"/>
  <c r="AN45" i="55"/>
  <c r="AO121" i="55"/>
  <c r="AM688" i="55"/>
  <c r="AO691" i="55"/>
  <c r="AM334" i="55"/>
  <c r="AN572" i="55"/>
  <c r="AP431" i="55"/>
  <c r="AO137" i="55"/>
  <c r="AO241" i="55"/>
  <c r="AO94" i="55"/>
  <c r="AN702" i="55"/>
  <c r="AO397" i="55"/>
  <c r="AN459" i="55"/>
  <c r="AP158" i="55"/>
  <c r="AP168" i="55"/>
  <c r="AO695" i="55"/>
  <c r="AO563" i="55"/>
  <c r="AP107" i="55"/>
  <c r="AM28" i="55"/>
  <c r="AN754" i="55"/>
  <c r="AM577" i="55"/>
  <c r="AM582" i="55"/>
  <c r="AM352" i="55"/>
  <c r="AM313" i="55"/>
  <c r="AM139" i="55"/>
  <c r="AN89" i="55"/>
  <c r="AP549" i="55"/>
  <c r="AO26" i="55"/>
  <c r="AN694" i="55"/>
  <c r="AM687" i="55"/>
  <c r="AF731" i="55"/>
  <c r="AH731" i="55" s="1"/>
  <c r="AM731" i="55" s="1"/>
  <c r="AO436" i="55"/>
  <c r="AO721" i="55"/>
  <c r="B28" i="19"/>
  <c r="C8" i="24" s="1"/>
  <c r="AM460" i="55"/>
  <c r="AM307" i="55"/>
  <c r="AN335" i="55"/>
  <c r="AM84" i="55"/>
  <c r="AO307" i="55"/>
  <c r="AP335" i="55"/>
  <c r="AF804" i="55"/>
  <c r="AH804" i="55" s="1"/>
  <c r="AM804" i="55" s="1"/>
  <c r="AF273" i="55"/>
  <c r="AH273" i="55" s="1"/>
  <c r="AO273" i="55" s="1"/>
  <c r="AP84" i="55"/>
  <c r="AF292" i="55"/>
  <c r="AH292" i="55" s="1"/>
  <c r="AF642" i="55"/>
  <c r="AH642" i="55" s="1"/>
  <c r="AP642" i="55" s="1"/>
  <c r="AF601" i="55"/>
  <c r="AH601" i="55" s="1"/>
  <c r="AN601" i="55" s="1"/>
  <c r="AF259" i="55"/>
  <c r="AH259" i="55" s="1"/>
  <c r="AO259" i="55" s="1"/>
  <c r="AF265" i="55"/>
  <c r="AH265" i="55" s="1"/>
  <c r="AM265" i="55" s="1"/>
  <c r="AF264" i="55"/>
  <c r="AH264" i="55" s="1"/>
  <c r="AO264" i="55" s="1"/>
  <c r="AO325" i="55"/>
  <c r="AM325" i="55"/>
  <c r="AN325" i="55"/>
  <c r="AN234" i="55"/>
  <c r="AO234" i="55"/>
  <c r="AP234" i="55"/>
  <c r="AP159" i="55"/>
  <c r="AO159" i="55"/>
  <c r="AN159" i="55"/>
  <c r="AP410" i="55"/>
  <c r="AO410" i="55"/>
  <c r="AN410" i="55"/>
  <c r="AN308" i="55"/>
  <c r="AP308" i="55"/>
  <c r="AN547" i="55"/>
  <c r="AP547" i="55"/>
  <c r="AO547" i="55"/>
  <c r="AO757" i="55"/>
  <c r="AN757" i="55"/>
  <c r="AM146" i="55"/>
  <c r="AO146" i="55"/>
  <c r="AN146" i="55"/>
  <c r="AP724" i="55"/>
  <c r="AN724" i="55"/>
  <c r="AO724" i="55"/>
  <c r="AP448" i="55"/>
  <c r="AO448" i="55"/>
  <c r="AN448" i="55"/>
  <c r="AP568" i="55"/>
  <c r="AM568" i="55"/>
  <c r="AN568" i="55"/>
  <c r="AN88" i="55"/>
  <c r="AO88" i="55"/>
  <c r="AM88" i="55"/>
  <c r="AN723" i="55"/>
  <c r="AP723" i="55"/>
  <c r="AM723" i="55"/>
  <c r="AO126" i="55"/>
  <c r="AN126" i="55"/>
  <c r="AM126" i="55"/>
  <c r="AP185" i="55"/>
  <c r="AO185" i="55"/>
  <c r="AM185" i="55"/>
  <c r="AP215" i="55"/>
  <c r="AN215" i="55"/>
  <c r="AM215" i="55"/>
  <c r="AP561" i="55"/>
  <c r="AN561" i="55"/>
  <c r="AM561" i="55"/>
  <c r="AM16" i="55"/>
  <c r="AP16" i="55"/>
  <c r="AN16" i="55"/>
  <c r="AO565" i="55"/>
  <c r="AN565" i="55"/>
  <c r="AP565" i="55"/>
  <c r="AN235" i="55"/>
  <c r="AM235" i="55"/>
  <c r="AP235" i="55"/>
  <c r="AP542" i="55"/>
  <c r="AO542" i="55"/>
  <c r="AM542" i="55"/>
  <c r="AO399" i="55"/>
  <c r="AM399" i="55"/>
  <c r="AN399" i="55"/>
  <c r="AO319" i="55"/>
  <c r="AM319" i="55"/>
  <c r="AP319" i="55"/>
  <c r="AP127" i="55"/>
  <c r="AN127" i="55"/>
  <c r="AM127" i="55"/>
  <c r="AP392" i="55"/>
  <c r="AM392" i="55"/>
  <c r="AN392" i="55"/>
  <c r="AM586" i="55"/>
  <c r="AN586" i="55"/>
  <c r="AP586" i="55"/>
  <c r="AN130" i="55"/>
  <c r="AO130" i="55"/>
  <c r="AP130" i="55"/>
  <c r="AO48" i="55"/>
  <c r="AM48" i="55"/>
  <c r="AP48" i="55"/>
  <c r="AO405" i="55"/>
  <c r="AN405" i="55"/>
  <c r="AM405" i="55"/>
  <c r="AM12" i="55"/>
  <c r="AO12" i="55"/>
  <c r="AP12" i="55"/>
  <c r="AO38" i="55"/>
  <c r="AN38" i="55"/>
  <c r="AP38" i="55"/>
  <c r="AM757" i="55"/>
  <c r="AM565" i="55"/>
  <c r="AO235" i="55"/>
  <c r="AN542" i="55"/>
  <c r="AN185" i="55"/>
  <c r="AO586" i="55"/>
  <c r="AM130" i="55"/>
  <c r="AP405" i="55"/>
  <c r="AP126" i="55"/>
  <c r="AO453" i="55"/>
  <c r="AM453" i="55"/>
  <c r="AM54" i="55"/>
  <c r="AP54" i="55"/>
  <c r="AN54" i="55"/>
  <c r="AM133" i="55"/>
  <c r="AN133" i="55"/>
  <c r="AP133" i="55"/>
  <c r="AO454" i="55"/>
  <c r="AM454" i="55"/>
  <c r="AP454" i="55"/>
  <c r="AM751" i="55"/>
  <c r="AN751" i="55"/>
  <c r="AO751" i="55"/>
  <c r="AO528" i="55"/>
  <c r="AN528" i="55"/>
  <c r="AP175" i="55"/>
  <c r="AO175" i="55"/>
  <c r="AP722" i="55"/>
  <c r="AN722" i="55"/>
  <c r="AO27" i="55"/>
  <c r="AP27" i="55"/>
  <c r="AN27" i="55"/>
  <c r="AN576" i="55"/>
  <c r="AO576" i="55"/>
  <c r="AP381" i="55"/>
  <c r="AM381" i="55"/>
  <c r="AO381" i="55"/>
  <c r="AO117" i="55"/>
  <c r="AN117" i="55"/>
  <c r="AM117" i="55"/>
  <c r="E168" i="19"/>
  <c r="P11" i="24" s="1"/>
  <c r="AO361" i="55"/>
  <c r="D168" i="19"/>
  <c r="O11" i="24" s="1"/>
  <c r="AM361" i="55"/>
  <c r="C168" i="19"/>
  <c r="N11" i="24" s="1"/>
  <c r="AP361" i="55"/>
  <c r="AO119" i="55"/>
  <c r="AN119" i="55"/>
  <c r="AP119" i="55"/>
  <c r="AO670" i="55"/>
  <c r="AM670" i="55"/>
  <c r="AP670" i="55"/>
  <c r="AM390" i="55"/>
  <c r="AO390" i="55"/>
  <c r="AP390" i="55"/>
  <c r="AN29" i="55"/>
  <c r="AM29" i="55"/>
  <c r="AO29" i="55"/>
  <c r="AO680" i="55"/>
  <c r="AN680" i="55"/>
  <c r="AM680" i="55"/>
  <c r="AP556" i="55"/>
  <c r="AN556" i="55"/>
  <c r="AO556" i="55"/>
  <c r="AO426" i="55"/>
  <c r="AP426" i="55"/>
  <c r="AM426" i="55"/>
  <c r="AP6" i="55"/>
  <c r="AO6" i="55"/>
  <c r="AM6" i="55"/>
  <c r="AN449" i="55"/>
  <c r="AO449" i="55"/>
  <c r="AM449" i="55"/>
  <c r="AN30" i="55"/>
  <c r="AP30" i="55"/>
  <c r="AO30" i="55"/>
  <c r="AM701" i="55"/>
  <c r="AO701" i="55"/>
  <c r="AN701" i="55"/>
  <c r="AN437" i="55"/>
  <c r="AP437" i="55"/>
  <c r="AO437" i="55"/>
  <c r="AO62" i="55"/>
  <c r="AP62" i="55"/>
  <c r="AM62" i="55"/>
  <c r="AM346" i="55"/>
  <c r="AO346" i="55"/>
  <c r="AN346" i="55"/>
  <c r="AN191" i="55"/>
  <c r="AO191" i="55"/>
  <c r="AM191" i="55"/>
  <c r="AM749" i="55"/>
  <c r="AN749" i="55"/>
  <c r="AO749" i="55"/>
  <c r="AO455" i="55"/>
  <c r="AN455" i="55"/>
  <c r="AM455" i="55"/>
  <c r="AP239" i="55"/>
  <c r="AO239" i="55"/>
  <c r="AN239" i="55"/>
  <c r="AN425" i="55"/>
  <c r="AP425" i="55"/>
  <c r="AO425" i="55"/>
  <c r="AN446" i="55"/>
  <c r="AO446" i="55"/>
  <c r="AP446" i="55"/>
  <c r="AM536" i="55"/>
  <c r="AN536" i="55"/>
  <c r="AP536" i="55"/>
  <c r="AP758" i="55"/>
  <c r="AO758" i="55"/>
  <c r="AM758" i="55"/>
  <c r="AP540" i="55"/>
  <c r="AM540" i="55"/>
  <c r="AN540" i="55"/>
  <c r="AM27" i="55"/>
  <c r="AN12" i="55"/>
  <c r="AP701" i="55"/>
  <c r="AM437" i="55"/>
  <c r="AP325" i="55"/>
  <c r="AM234" i="55"/>
  <c r="AN319" i="55"/>
  <c r="AN361" i="55"/>
  <c r="AM30" i="55"/>
  <c r="AN48" i="55"/>
  <c r="AM556" i="55"/>
  <c r="AN6" i="55"/>
  <c r="AM448" i="55"/>
  <c r="AP88" i="55"/>
  <c r="AO693" i="55"/>
  <c r="AM693" i="55"/>
  <c r="AN693" i="55"/>
  <c r="AM92" i="55"/>
  <c r="AO92" i="55"/>
  <c r="AN92" i="55"/>
  <c r="AP395" i="55"/>
  <c r="AM395" i="55"/>
  <c r="AN395" i="55"/>
  <c r="AO689" i="55"/>
  <c r="AP689" i="55"/>
  <c r="AM689" i="55"/>
  <c r="AN44" i="55"/>
  <c r="AM44" i="55"/>
  <c r="AO44" i="55"/>
  <c r="AM326" i="55"/>
  <c r="AO326" i="55"/>
  <c r="AP326" i="55"/>
  <c r="AO391" i="55"/>
  <c r="AM391" i="55"/>
  <c r="AN391" i="55"/>
  <c r="AO700" i="55"/>
  <c r="AN700" i="55"/>
  <c r="AM700" i="55"/>
  <c r="AM576" i="55"/>
  <c r="AN381" i="55"/>
  <c r="AP117" i="55"/>
  <c r="AM547" i="55"/>
  <c r="AP346" i="55"/>
  <c r="AP455" i="55"/>
  <c r="AM239" i="55"/>
  <c r="AM410" i="55"/>
  <c r="AP391" i="55"/>
  <c r="AO215" i="55"/>
  <c r="AO561" i="55"/>
  <c r="AN62" i="55"/>
  <c r="AN454" i="55"/>
  <c r="AM159" i="55"/>
  <c r="B168" i="19"/>
  <c r="M11" i="24" s="1"/>
  <c r="AP693" i="55"/>
  <c r="AO54" i="55"/>
  <c r="AP700" i="55"/>
  <c r="AN678" i="55"/>
  <c r="AP680" i="55"/>
  <c r="AM724" i="55"/>
  <c r="AM119" i="55"/>
  <c r="AO540" i="55"/>
  <c r="D263" i="19"/>
  <c r="J23" i="24" s="1"/>
  <c r="AM183" i="55"/>
  <c r="AO183" i="55"/>
  <c r="AM35" i="55"/>
  <c r="AO35" i="55"/>
  <c r="AN35" i="55"/>
  <c r="AO80" i="55"/>
  <c r="AN80" i="55"/>
  <c r="AN571" i="55"/>
  <c r="AO571" i="55"/>
  <c r="AP571" i="55"/>
  <c r="AP442" i="55"/>
  <c r="AO442" i="55"/>
  <c r="AM442" i="55"/>
  <c r="AM66" i="55"/>
  <c r="AN66" i="55"/>
  <c r="AO560" i="55"/>
  <c r="AN560" i="55"/>
  <c r="AM433" i="55"/>
  <c r="AO433" i="55"/>
  <c r="AO182" i="55"/>
  <c r="AN182" i="55"/>
  <c r="AM49" i="55"/>
  <c r="AP49" i="55"/>
  <c r="AM445" i="55"/>
  <c r="AN445" i="55"/>
  <c r="AM562" i="55"/>
  <c r="AN562" i="55"/>
  <c r="AO562" i="55"/>
  <c r="AO394" i="55"/>
  <c r="AM394" i="55"/>
  <c r="AP394" i="55"/>
  <c r="AN407" i="55"/>
  <c r="AM407" i="55"/>
  <c r="AO407" i="55"/>
  <c r="AO578" i="55"/>
  <c r="AP578" i="55"/>
  <c r="AM578" i="55"/>
  <c r="AP439" i="55"/>
  <c r="AM439" i="55"/>
  <c r="AN439" i="55"/>
  <c r="AP707" i="55"/>
  <c r="AN707" i="55"/>
  <c r="AN444" i="55"/>
  <c r="AO189" i="55"/>
  <c r="AO55" i="55"/>
  <c r="AM403" i="55"/>
  <c r="AN49" i="55"/>
  <c r="AM80" i="55"/>
  <c r="AP560" i="55"/>
  <c r="AN433" i="55"/>
  <c r="AN578" i="55"/>
  <c r="AN442" i="55"/>
  <c r="AF770" i="55"/>
  <c r="AH770" i="55" s="1"/>
  <c r="AP109" i="55"/>
  <c r="AN109" i="55"/>
  <c r="AM109" i="55"/>
  <c r="AP711" i="55"/>
  <c r="AO711" i="55"/>
  <c r="AM711" i="55"/>
  <c r="AN414" i="55"/>
  <c r="AO414" i="55"/>
  <c r="AN398" i="55"/>
  <c r="AO398" i="55"/>
  <c r="AO699" i="55"/>
  <c r="AM699" i="55"/>
  <c r="AO311" i="55"/>
  <c r="AP311" i="55"/>
  <c r="AN311" i="55"/>
  <c r="AN71" i="55"/>
  <c r="AP71" i="55"/>
  <c r="AM71" i="55"/>
  <c r="AM681" i="55"/>
  <c r="AP681" i="55"/>
  <c r="AN681" i="55"/>
  <c r="AO722" i="55"/>
  <c r="AM722" i="55"/>
  <c r="AM457" i="55"/>
  <c r="AN457" i="55"/>
  <c r="AP457" i="55"/>
  <c r="AP713" i="55"/>
  <c r="AO713" i="55"/>
  <c r="AP429" i="55"/>
  <c r="AM429" i="55"/>
  <c r="AN429" i="55"/>
  <c r="AN51" i="55"/>
  <c r="AM51" i="55"/>
  <c r="AM573" i="55"/>
  <c r="AP573" i="55"/>
  <c r="AN573" i="55"/>
  <c r="AO166" i="55"/>
  <c r="AN166" i="55"/>
  <c r="AP166" i="55"/>
  <c r="AO312" i="55"/>
  <c r="AP312" i="55"/>
  <c r="AN25" i="55"/>
  <c r="AO25" i="55"/>
  <c r="AO91" i="55"/>
  <c r="AP91" i="55"/>
  <c r="AP552" i="55"/>
  <c r="AM552" i="55"/>
  <c r="AP85" i="55"/>
  <c r="AM85" i="55"/>
  <c r="AN420" i="55"/>
  <c r="AO420" i="55"/>
  <c r="AP697" i="55"/>
  <c r="AO697" i="55"/>
  <c r="C48" i="19"/>
  <c r="D13" i="24" s="1"/>
  <c r="AN147" i="55"/>
  <c r="D48" i="19"/>
  <c r="E13" i="24" s="1"/>
  <c r="AO147" i="55"/>
  <c r="B48" i="19"/>
  <c r="C13" i="24" s="1"/>
  <c r="AP581" i="55"/>
  <c r="AM581" i="55"/>
  <c r="AN581" i="55"/>
  <c r="AN233" i="55"/>
  <c r="AP233" i="55"/>
  <c r="AM233" i="55"/>
  <c r="AN569" i="55"/>
  <c r="AM569" i="55"/>
  <c r="AO569" i="55"/>
  <c r="AP193" i="55"/>
  <c r="AN193" i="55"/>
  <c r="AM193" i="55"/>
  <c r="AN129" i="55"/>
  <c r="AM129" i="55"/>
  <c r="AP709" i="55"/>
  <c r="AM401" i="55"/>
  <c r="AF208" i="55"/>
  <c r="AH208" i="55" s="1"/>
  <c r="AO208" i="55" s="1"/>
  <c r="AM719" i="55"/>
  <c r="AM564" i="55"/>
  <c r="AN183" i="55"/>
  <c r="AO552" i="55"/>
  <c r="AO85" i="55"/>
  <c r="AO66" i="55"/>
  <c r="AM312" i="55"/>
  <c r="AP129" i="55"/>
  <c r="AN709" i="55"/>
  <c r="AO401" i="55"/>
  <c r="AM444" i="55"/>
  <c r="AN189" i="55"/>
  <c r="AP55" i="55"/>
  <c r="AO719" i="55"/>
  <c r="AP564" i="55"/>
  <c r="AM182" i="55"/>
  <c r="AO49" i="55"/>
  <c r="AN552" i="55"/>
  <c r="AN85" i="55"/>
  <c r="AM713" i="55"/>
  <c r="AO51" i="55"/>
  <c r="AO707" i="55"/>
  <c r="AP420" i="55"/>
  <c r="AP147" i="55"/>
  <c r="E48" i="19"/>
  <c r="H58" i="54" s="1"/>
  <c r="AP407" i="55"/>
  <c r="AO439" i="55"/>
  <c r="E43" i="19"/>
  <c r="F12" i="24" s="1"/>
  <c r="AN394" i="55"/>
  <c r="AP458" i="55"/>
  <c r="AN458" i="55"/>
  <c r="AM31" i="55"/>
  <c r="AN31" i="55"/>
  <c r="AP87" i="55"/>
  <c r="AO87" i="55"/>
  <c r="AO65" i="55"/>
  <c r="AM65" i="55"/>
  <c r="AN65" i="55"/>
  <c r="AO408" i="55"/>
  <c r="AM408" i="55"/>
  <c r="AP408" i="55"/>
  <c r="AN750" i="55"/>
  <c r="AP750" i="55"/>
  <c r="AM750" i="55"/>
  <c r="AM242" i="55"/>
  <c r="AP242" i="55"/>
  <c r="AN176" i="55"/>
  <c r="AM176" i="55"/>
  <c r="AM529" i="55"/>
  <c r="AO529" i="55"/>
  <c r="AP529" i="55"/>
  <c r="AO402" i="55"/>
  <c r="AM402" i="55"/>
  <c r="AN402" i="55"/>
  <c r="AV32" i="55"/>
  <c r="AF32" i="55"/>
  <c r="AH32" i="55" s="1"/>
  <c r="AP32" i="55" s="1"/>
  <c r="AM727" i="55"/>
  <c r="AO727" i="55"/>
  <c r="AN727" i="55"/>
  <c r="AN57" i="55"/>
  <c r="AP57" i="55"/>
  <c r="AM57" i="55"/>
  <c r="AO135" i="55"/>
  <c r="AN135" i="55"/>
  <c r="AP135" i="55"/>
  <c r="AP715" i="55"/>
  <c r="AN715" i="55"/>
  <c r="AM715" i="55"/>
  <c r="AN7" i="55"/>
  <c r="AP7" i="55"/>
  <c r="AM7" i="55"/>
  <c r="AO39" i="55"/>
  <c r="AP39" i="55"/>
  <c r="AM39" i="55"/>
  <c r="AO669" i="55"/>
  <c r="AP669" i="55"/>
  <c r="AN81" i="55"/>
  <c r="AM81" i="55"/>
  <c r="AO403" i="55"/>
  <c r="AP182" i="55"/>
  <c r="AN91" i="55"/>
  <c r="AM697" i="55"/>
  <c r="AP445" i="55"/>
  <c r="AP51" i="55"/>
  <c r="AM707" i="55"/>
  <c r="AN669" i="55"/>
  <c r="AM420" i="55"/>
  <c r="AM147" i="55"/>
  <c r="AO81" i="55"/>
  <c r="AO581" i="55"/>
  <c r="AO233" i="55"/>
  <c r="AO193" i="55"/>
  <c r="AM571" i="55"/>
  <c r="AO7" i="55"/>
  <c r="AP35" i="55"/>
  <c r="AP727" i="55"/>
  <c r="AM714" i="55"/>
  <c r="AN714" i="55"/>
  <c r="AO714" i="55"/>
  <c r="AO331" i="55"/>
  <c r="AN331" i="55"/>
  <c r="AP331" i="55"/>
  <c r="AN136" i="55"/>
  <c r="AP136" i="55"/>
  <c r="AO136" i="55"/>
  <c r="AN8" i="55"/>
  <c r="AO8" i="55"/>
  <c r="AM8" i="55"/>
  <c r="AM230" i="55"/>
  <c r="AP230" i="55"/>
  <c r="AN230" i="55"/>
  <c r="AP676" i="55"/>
  <c r="AN676" i="55"/>
  <c r="AO676" i="55"/>
  <c r="AM548" i="55"/>
  <c r="AN548" i="55"/>
  <c r="AO548" i="55"/>
  <c r="AN451" i="55"/>
  <c r="AM451" i="55"/>
  <c r="AP451" i="55"/>
  <c r="AO42" i="55"/>
  <c r="AM42" i="55"/>
  <c r="AP42" i="55"/>
  <c r="AP64" i="55"/>
  <c r="AN64" i="55"/>
  <c r="AM13" i="55"/>
  <c r="AN237" i="55"/>
  <c r="AM237" i="55"/>
  <c r="AO237" i="55"/>
  <c r="AO59" i="55"/>
  <c r="AN59" i="55"/>
  <c r="AP59" i="55"/>
  <c r="AM696" i="55"/>
  <c r="AP696" i="55"/>
  <c r="AN587" i="55"/>
  <c r="AP587" i="55"/>
  <c r="AO423" i="55"/>
  <c r="AM423" i="55"/>
  <c r="AF803" i="55"/>
  <c r="AH803" i="55" s="1"/>
  <c r="AP803" i="55" s="1"/>
  <c r="AF474" i="55"/>
  <c r="AH474" i="55" s="1"/>
  <c r="AO474" i="55" s="1"/>
  <c r="AF516" i="55"/>
  <c r="AH516" i="55" s="1"/>
  <c r="AP516" i="55" s="1"/>
  <c r="AF484" i="55"/>
  <c r="AH484" i="55" s="1"/>
  <c r="AM484" i="55" s="1"/>
  <c r="AF485" i="55"/>
  <c r="AH485" i="55" s="1"/>
  <c r="AP485" i="55" s="1"/>
  <c r="E153" i="19"/>
  <c r="P9" i="24" s="1"/>
  <c r="AM553" i="55"/>
  <c r="AP553" i="55"/>
  <c r="AN553" i="55"/>
  <c r="AO553" i="55"/>
  <c r="AO321" i="55"/>
  <c r="AN427" i="55"/>
  <c r="AM154" i="55"/>
  <c r="AO416" i="55"/>
  <c r="AO340" i="55"/>
  <c r="AN436" i="55"/>
  <c r="AM50" i="55"/>
  <c r="AM530" i="55"/>
  <c r="AN79" i="55"/>
  <c r="AO186" i="55"/>
  <c r="AM739" i="55"/>
  <c r="AO34" i="55"/>
  <c r="AM96" i="55"/>
  <c r="AO557" i="55"/>
  <c r="AP171" i="55"/>
  <c r="AO570" i="55"/>
  <c r="AP432" i="55"/>
  <c r="AP461" i="55"/>
  <c r="AP674" i="55"/>
  <c r="AP460" i="55"/>
  <c r="AN687" i="55"/>
  <c r="B193" i="19"/>
  <c r="C20" i="24" s="1"/>
  <c r="AO551" i="55"/>
  <c r="AM416" i="55"/>
  <c r="AO11" i="55"/>
  <c r="AP53" i="55"/>
  <c r="AM698" i="55"/>
  <c r="AN559" i="55"/>
  <c r="AM436" i="55"/>
  <c r="B200" i="19"/>
  <c r="C23" i="24" s="1"/>
  <c r="AM122" i="55"/>
  <c r="AO756" i="55"/>
  <c r="AN386" i="55"/>
  <c r="AO73" i="55"/>
  <c r="AP380" i="55"/>
  <c r="AM585" i="55"/>
  <c r="D183" i="19"/>
  <c r="O14" i="24" s="1"/>
  <c r="AM417" i="55"/>
  <c r="AN460" i="55"/>
  <c r="AO240" i="55"/>
  <c r="AN172" i="55"/>
  <c r="AO687" i="55"/>
  <c r="AM155" i="55"/>
  <c r="AM833" i="55"/>
  <c r="AO388" i="55"/>
  <c r="AN558" i="55"/>
  <c r="AN157" i="55"/>
  <c r="AN428" i="55"/>
  <c r="AP181" i="55"/>
  <c r="AO165" i="55"/>
  <c r="D140" i="19"/>
  <c r="O7" i="24" s="1"/>
  <c r="AP679" i="55"/>
  <c r="AO138" i="55"/>
  <c r="AN413" i="55"/>
  <c r="AN712" i="55"/>
  <c r="AM379" i="55"/>
  <c r="AN161" i="55"/>
  <c r="AF652" i="55"/>
  <c r="AH652" i="55" s="1"/>
  <c r="AO652" i="55" s="1"/>
  <c r="AF617" i="55"/>
  <c r="AH617" i="55" s="1"/>
  <c r="AM617" i="55" s="1"/>
  <c r="AN320" i="55"/>
  <c r="AF590" i="55"/>
  <c r="AH590" i="55" s="1"/>
  <c r="AM590" i="55" s="1"/>
  <c r="AF203" i="55"/>
  <c r="AH203" i="55" s="1"/>
  <c r="AN203" i="55" s="1"/>
  <c r="AF519" i="55"/>
  <c r="AH519" i="55" s="1"/>
  <c r="AO519" i="55" s="1"/>
  <c r="AF595" i="55"/>
  <c r="AH595" i="55" s="1"/>
  <c r="AO595" i="55" s="1"/>
  <c r="AF209" i="55"/>
  <c r="AH209" i="55" s="1"/>
  <c r="AO209" i="55" s="1"/>
  <c r="AF628" i="55"/>
  <c r="AH628" i="55" s="1"/>
  <c r="AP628" i="55" s="1"/>
  <c r="B188" i="19"/>
  <c r="AF207" i="55"/>
  <c r="AH207" i="55" s="1"/>
  <c r="AM207" i="55" s="1"/>
  <c r="AF493" i="55"/>
  <c r="AH493" i="55" s="1"/>
  <c r="AN493" i="55" s="1"/>
  <c r="AF469" i="55"/>
  <c r="AH469" i="55" s="1"/>
  <c r="AN469" i="55" s="1"/>
  <c r="AF812" i="55"/>
  <c r="AH812" i="55" s="1"/>
  <c r="AO812" i="55" s="1"/>
  <c r="AF487" i="55"/>
  <c r="AH487" i="55" s="1"/>
  <c r="AN487" i="55" s="1"/>
  <c r="AF520" i="55"/>
  <c r="AH520" i="55" s="1"/>
  <c r="AP520" i="55" s="1"/>
  <c r="AF636" i="55"/>
  <c r="AH636" i="55" s="1"/>
  <c r="AP636" i="55" s="1"/>
  <c r="AF787" i="55"/>
  <c r="AH787" i="55" s="1"/>
  <c r="AM787" i="55" s="1"/>
  <c r="AP427" i="55"/>
  <c r="AM558" i="55"/>
  <c r="AN385" i="55"/>
  <c r="AM156" i="55"/>
  <c r="AN220" i="55"/>
  <c r="AP11" i="55"/>
  <c r="AM157" i="55"/>
  <c r="AO710" i="55"/>
  <c r="AM53" i="55"/>
  <c r="AO698" i="55"/>
  <c r="AM559" i="55"/>
  <c r="AM428" i="55"/>
  <c r="AO181" i="55"/>
  <c r="AM118" i="55"/>
  <c r="AM748" i="55"/>
  <c r="AM165" i="55"/>
  <c r="C263" i="19"/>
  <c r="I23" i="24" s="1"/>
  <c r="AP721" i="55"/>
  <c r="AP530" i="55"/>
  <c r="B207" i="19"/>
  <c r="C24" i="24" s="1"/>
  <c r="AM74" i="55"/>
  <c r="AP79" i="55"/>
  <c r="AN122" i="55"/>
  <c r="AP756" i="55"/>
  <c r="AN186" i="55"/>
  <c r="AO739" i="55"/>
  <c r="AM386" i="55"/>
  <c r="AN41" i="55"/>
  <c r="AN73" i="55"/>
  <c r="AN679" i="55"/>
  <c r="AP538" i="55"/>
  <c r="AM380" i="55"/>
  <c r="C188" i="19"/>
  <c r="D19" i="24" s="1"/>
  <c r="AP138" i="55"/>
  <c r="AN752" i="55"/>
  <c r="AF488" i="55"/>
  <c r="AH488" i="55" s="1"/>
  <c r="AM488" i="55" s="1"/>
  <c r="AO413" i="55"/>
  <c r="AP96" i="55"/>
  <c r="AP712" i="55"/>
  <c r="AN329" i="55"/>
  <c r="AP557" i="55"/>
  <c r="AO379" i="55"/>
  <c r="E183" i="19"/>
  <c r="P14" i="24" s="1"/>
  <c r="AM171" i="55"/>
  <c r="AM161" i="55"/>
  <c r="AN61" i="55"/>
  <c r="AM570" i="55"/>
  <c r="AO432" i="55"/>
  <c r="AO461" i="55"/>
  <c r="AM674" i="55"/>
  <c r="AP528" i="55"/>
  <c r="AP417" i="55"/>
  <c r="AN703" i="55"/>
  <c r="AP240" i="55"/>
  <c r="AP320" i="55"/>
  <c r="AO706" i="55"/>
  <c r="AP155" i="55"/>
  <c r="E311" i="19"/>
  <c r="AN86" i="55"/>
  <c r="AM706" i="55"/>
  <c r="AO409" i="55"/>
  <c r="AN321" i="55"/>
  <c r="AM172" i="55"/>
  <c r="AO155" i="55"/>
  <c r="C311" i="19"/>
  <c r="D35" i="24" s="1"/>
  <c r="D311" i="19"/>
  <c r="E35" i="24" s="1"/>
  <c r="AO427" i="55"/>
  <c r="C193" i="19"/>
  <c r="D20" i="24" s="1"/>
  <c r="AP388" i="55"/>
  <c r="AN438" i="55"/>
  <c r="AM86" i="55"/>
  <c r="AN154" i="55"/>
  <c r="AM551" i="55"/>
  <c r="AP558" i="55"/>
  <c r="AM385" i="55"/>
  <c r="AN156" i="55"/>
  <c r="AP187" i="55"/>
  <c r="AN11" i="55"/>
  <c r="AP157" i="55"/>
  <c r="AM710" i="55"/>
  <c r="AO53" i="55"/>
  <c r="AP698" i="55"/>
  <c r="AP559" i="55"/>
  <c r="AP428" i="55"/>
  <c r="AN181" i="55"/>
  <c r="AN118" i="55"/>
  <c r="AP748" i="55"/>
  <c r="AO174" i="55"/>
  <c r="AN165" i="55"/>
  <c r="E263" i="19"/>
  <c r="K23" i="24" s="1"/>
  <c r="AN721" i="55"/>
  <c r="AF521" i="55"/>
  <c r="AH521" i="55" s="1"/>
  <c r="AN521" i="55" s="1"/>
  <c r="AF489" i="55"/>
  <c r="AH489" i="55" s="1"/>
  <c r="AM489" i="55" s="1"/>
  <c r="AF522" i="55"/>
  <c r="AH522" i="55" s="1"/>
  <c r="AN522" i="55" s="1"/>
  <c r="AF490" i="55"/>
  <c r="AH490" i="55" s="1"/>
  <c r="AN490" i="55" s="1"/>
  <c r="AF656" i="55"/>
  <c r="AH656" i="55" s="1"/>
  <c r="AN656" i="55" s="1"/>
  <c r="AF624" i="55"/>
  <c r="AH624" i="55" s="1"/>
  <c r="AO624" i="55" s="1"/>
  <c r="AF653" i="55"/>
  <c r="AH653" i="55" s="1"/>
  <c r="AP653" i="55" s="1"/>
  <c r="AF621" i="55"/>
  <c r="AH621" i="55" s="1"/>
  <c r="AO621" i="55" s="1"/>
  <c r="AO530" i="55"/>
  <c r="AP74" i="55"/>
  <c r="AO79" i="55"/>
  <c r="AO122" i="55"/>
  <c r="AM756" i="55"/>
  <c r="AM186" i="55"/>
  <c r="AN739" i="55"/>
  <c r="AO386" i="55"/>
  <c r="AM41" i="55"/>
  <c r="AP73" i="55"/>
  <c r="B53" i="19"/>
  <c r="C14" i="24" s="1"/>
  <c r="AM679" i="55"/>
  <c r="AO538" i="55"/>
  <c r="AO380" i="55"/>
  <c r="E188" i="19"/>
  <c r="F19" i="24" s="1"/>
  <c r="AM138" i="55"/>
  <c r="AM752" i="55"/>
  <c r="AP413" i="55"/>
  <c r="AO37" i="55"/>
  <c r="AO96" i="55"/>
  <c r="AM712" i="55"/>
  <c r="AP329" i="55"/>
  <c r="AM557" i="55"/>
  <c r="C183" i="19"/>
  <c r="N14" i="24" s="1"/>
  <c r="B183" i="19"/>
  <c r="M14" i="24" s="1"/>
  <c r="AO171" i="55"/>
  <c r="AO161" i="55"/>
  <c r="AP61" i="55"/>
  <c r="AP570" i="55"/>
  <c r="AN432" i="55"/>
  <c r="AM461" i="55"/>
  <c r="AO674" i="55"/>
  <c r="AM528" i="55"/>
  <c r="AN417" i="55"/>
  <c r="AO692" i="55"/>
  <c r="AM703" i="55"/>
  <c r="AM240" i="55"/>
  <c r="AM320" i="55"/>
  <c r="AN409" i="55"/>
  <c r="AP321" i="55"/>
  <c r="AO172" i="55"/>
  <c r="AO833" i="55"/>
  <c r="E193" i="19"/>
  <c r="AN388" i="55"/>
  <c r="AP438" i="55"/>
  <c r="AP154" i="55"/>
  <c r="AN551" i="55"/>
  <c r="AN833" i="55"/>
  <c r="D193" i="19"/>
  <c r="E20" i="24" s="1"/>
  <c r="AF515" i="55"/>
  <c r="AH515" i="55" s="1"/>
  <c r="AP515" i="55" s="1"/>
  <c r="AF483" i="55"/>
  <c r="AH483" i="55" s="1"/>
  <c r="AN483" i="55" s="1"/>
  <c r="AO385" i="55"/>
  <c r="AF634" i="55"/>
  <c r="AH634" i="55" s="1"/>
  <c r="AO634" i="55" s="1"/>
  <c r="AF631" i="55"/>
  <c r="AH631" i="55" s="1"/>
  <c r="AM631" i="55" s="1"/>
  <c r="AO260" i="55"/>
  <c r="AP82" i="55"/>
  <c r="AP450" i="55"/>
  <c r="B263" i="19"/>
  <c r="H23" i="24" s="1"/>
  <c r="AF526" i="55"/>
  <c r="AH526" i="55" s="1"/>
  <c r="AP526" i="55" s="1"/>
  <c r="AF594" i="55"/>
  <c r="AH594" i="55" s="1"/>
  <c r="AN594" i="55" s="1"/>
  <c r="AM717" i="55"/>
  <c r="AF472" i="55"/>
  <c r="AH472" i="55" s="1"/>
  <c r="AO472" i="55" s="1"/>
  <c r="AF646" i="55"/>
  <c r="AH646" i="55" s="1"/>
  <c r="AO646" i="55" s="1"/>
  <c r="AF643" i="55"/>
  <c r="AH643" i="55" s="1"/>
  <c r="AN643" i="55" s="1"/>
  <c r="AF611" i="55"/>
  <c r="AH611" i="55" s="1"/>
  <c r="AM611" i="55" s="1"/>
  <c r="AN379" i="55"/>
  <c r="AF202" i="55"/>
  <c r="AH202" i="55" s="1"/>
  <c r="AP202" i="55" s="1"/>
  <c r="AF604" i="55"/>
  <c r="AH604" i="55" s="1"/>
  <c r="AN604" i="55" s="1"/>
  <c r="AP78" i="55"/>
  <c r="E21" i="19"/>
  <c r="F7" i="24" s="1"/>
  <c r="AN78" i="55"/>
  <c r="D21" i="19"/>
  <c r="E7" i="24" s="1"/>
  <c r="AN780" i="55"/>
  <c r="AP780" i="55"/>
  <c r="AP677" i="55"/>
  <c r="AM677" i="55"/>
  <c r="AO579" i="55"/>
  <c r="AM579" i="55"/>
  <c r="AM58" i="55"/>
  <c r="AN58" i="55"/>
  <c r="AM682" i="55"/>
  <c r="AP682" i="55"/>
  <c r="AP349" i="55"/>
  <c r="AN349" i="55"/>
  <c r="AN684" i="55"/>
  <c r="AP684" i="55"/>
  <c r="AF481" i="55"/>
  <c r="AH481" i="55" s="1"/>
  <c r="AO481" i="55" s="1"/>
  <c r="AF514" i="55"/>
  <c r="AH514" i="55" s="1"/>
  <c r="AP514" i="55" s="1"/>
  <c r="AF648" i="55"/>
  <c r="AH648" i="55" s="1"/>
  <c r="AP648" i="55" s="1"/>
  <c r="AF645" i="55"/>
  <c r="AH645" i="55" s="1"/>
  <c r="AN645" i="55" s="1"/>
  <c r="AF613" i="55"/>
  <c r="AH613" i="55" s="1"/>
  <c r="AO613" i="55" s="1"/>
  <c r="AF619" i="55"/>
  <c r="AH619" i="55" s="1"/>
  <c r="AO619" i="55" s="1"/>
  <c r="AF600" i="55"/>
  <c r="AH600" i="55" s="1"/>
  <c r="AP600" i="55" s="1"/>
  <c r="AF23" i="55"/>
  <c r="AH23" i="55" s="1"/>
  <c r="AV14" i="55"/>
  <c r="AF257" i="55"/>
  <c r="AH257" i="55" s="1"/>
  <c r="AM257" i="55" s="1"/>
  <c r="AF262" i="55"/>
  <c r="AH262" i="55" s="1"/>
  <c r="AN262" i="55" s="1"/>
  <c r="AV15" i="55"/>
  <c r="AF593" i="55"/>
  <c r="AH593" i="55" s="1"/>
  <c r="AN593" i="55" s="1"/>
  <c r="AF793" i="55"/>
  <c r="AH793" i="55" s="1"/>
  <c r="AM793" i="55" s="1"/>
  <c r="AF507" i="55"/>
  <c r="AH507" i="55" s="1"/>
  <c r="AM507" i="55" s="1"/>
  <c r="AF475" i="55"/>
  <c r="AH475" i="55" s="1"/>
  <c r="AN475" i="55" s="1"/>
  <c r="AF500" i="55"/>
  <c r="AH500" i="55" s="1"/>
  <c r="AO500" i="55" s="1"/>
  <c r="AF468" i="55"/>
  <c r="AH468" i="55" s="1"/>
  <c r="AP468" i="55" s="1"/>
  <c r="AF510" i="55"/>
  <c r="AH510" i="55" s="1"/>
  <c r="AP510" i="55" s="1"/>
  <c r="AF197" i="55"/>
  <c r="AH197" i="55" s="1"/>
  <c r="AP197" i="55" s="1"/>
  <c r="AF198" i="55"/>
  <c r="AH198" i="55" s="1"/>
  <c r="AN198" i="55" s="1"/>
  <c r="AF477" i="55"/>
  <c r="AH477" i="55" s="1"/>
  <c r="AO477" i="55" s="1"/>
  <c r="AF470" i="55"/>
  <c r="AH470" i="55" s="1"/>
  <c r="AM470" i="55" s="1"/>
  <c r="AF796" i="55"/>
  <c r="AH796" i="55" s="1"/>
  <c r="AN796" i="55" s="1"/>
  <c r="AF195" i="55"/>
  <c r="AH195" i="55" s="1"/>
  <c r="AP195" i="55" s="1"/>
  <c r="AF638" i="55"/>
  <c r="AH638" i="55" s="1"/>
  <c r="AN638" i="55" s="1"/>
  <c r="AF606" i="55"/>
  <c r="AH606" i="55" s="1"/>
  <c r="AP606" i="55" s="1"/>
  <c r="AF635" i="55"/>
  <c r="AH635" i="55" s="1"/>
  <c r="AN635" i="55" s="1"/>
  <c r="AV18" i="55"/>
  <c r="AF199" i="55"/>
  <c r="AH199" i="55" s="1"/>
  <c r="AP199" i="55" s="1"/>
  <c r="AF508" i="55"/>
  <c r="AH508" i="55" s="1"/>
  <c r="AM508" i="55" s="1"/>
  <c r="AF476" i="55"/>
  <c r="AH476" i="55" s="1"/>
  <c r="AO476" i="55" s="1"/>
  <c r="AF626" i="55"/>
  <c r="AH626" i="55" s="1"/>
  <c r="AO626" i="55" s="1"/>
  <c r="AF663" i="55"/>
  <c r="AH663" i="55" s="1"/>
  <c r="AN663" i="55" s="1"/>
  <c r="AF591" i="55"/>
  <c r="AH591" i="55" s="1"/>
  <c r="AO591" i="55" s="1"/>
  <c r="AF205" i="55"/>
  <c r="AH205" i="55" s="1"/>
  <c r="AM205" i="55" s="1"/>
  <c r="AF513" i="55"/>
  <c r="AH513" i="55" s="1"/>
  <c r="AN513" i="55" s="1"/>
  <c r="AF473" i="55"/>
  <c r="AH473" i="55" s="1"/>
  <c r="AP473" i="55" s="1"/>
  <c r="AF482" i="55"/>
  <c r="AH482" i="55" s="1"/>
  <c r="AO482" i="55" s="1"/>
  <c r="AF640" i="55"/>
  <c r="AH640" i="55" s="1"/>
  <c r="AO640" i="55" s="1"/>
  <c r="AF616" i="55"/>
  <c r="AH616" i="55" s="1"/>
  <c r="AO616" i="55" s="1"/>
  <c r="AF608" i="55"/>
  <c r="AH608" i="55" s="1"/>
  <c r="AP608" i="55" s="1"/>
  <c r="AF605" i="55"/>
  <c r="AH605" i="55" s="1"/>
  <c r="AP605" i="55" s="1"/>
  <c r="AF511" i="55"/>
  <c r="AH511" i="55" s="1"/>
  <c r="AN511" i="55" s="1"/>
  <c r="AF479" i="55"/>
  <c r="AH479" i="55" s="1"/>
  <c r="AM479" i="55" s="1"/>
  <c r="AF512" i="55"/>
  <c r="AH512" i="55" s="1"/>
  <c r="AM512" i="55" s="1"/>
  <c r="AF654" i="55"/>
  <c r="AH654" i="55" s="1"/>
  <c r="AP654" i="55" s="1"/>
  <c r="AF622" i="55"/>
  <c r="AH622" i="55" s="1"/>
  <c r="AN622" i="55" s="1"/>
  <c r="AF651" i="55"/>
  <c r="AH651" i="55" s="1"/>
  <c r="AN651" i="55" s="1"/>
  <c r="AF210" i="55"/>
  <c r="AH210" i="55" s="1"/>
  <c r="AM210" i="55" s="1"/>
  <c r="AV9" i="55"/>
  <c r="AN249" i="55"/>
  <c r="B43" i="19"/>
  <c r="C12" i="24" s="1"/>
  <c r="B21" i="19"/>
  <c r="C7" i="24" s="1"/>
  <c r="AP249" i="55"/>
  <c r="D58" i="19"/>
  <c r="E15" i="24" s="1"/>
  <c r="C153" i="19"/>
  <c r="N9" i="24" s="1"/>
  <c r="AN348" i="55"/>
  <c r="AO348" i="55"/>
  <c r="AP348" i="55"/>
  <c r="AM348" i="55"/>
  <c r="AM347" i="55"/>
  <c r="D158" i="19"/>
  <c r="O10" i="24" s="1"/>
  <c r="C158" i="19"/>
  <c r="N10" i="24" s="1"/>
  <c r="AN347" i="55"/>
  <c r="B158" i="19"/>
  <c r="M10" i="24" s="1"/>
  <c r="AP347" i="55"/>
  <c r="AO347" i="55"/>
  <c r="E158" i="19"/>
  <c r="AP765" i="55"/>
  <c r="AM765" i="55"/>
  <c r="AO765" i="55"/>
  <c r="AN765" i="55"/>
  <c r="AO124" i="55"/>
  <c r="AN124" i="55"/>
  <c r="AP124" i="55"/>
  <c r="AM124" i="55"/>
  <c r="AO539" i="55"/>
  <c r="AP539" i="55"/>
  <c r="AM539" i="55"/>
  <c r="AN539" i="55"/>
  <c r="D88" i="19"/>
  <c r="J10" i="24" s="1"/>
  <c r="AP232" i="55"/>
  <c r="AO232" i="55"/>
  <c r="AN232" i="55"/>
  <c r="B88" i="19"/>
  <c r="H10" i="24" s="1"/>
  <c r="AM232" i="55"/>
  <c r="E88" i="19"/>
  <c r="K10" i="24" s="1"/>
  <c r="C88" i="19"/>
  <c r="I10" i="24" s="1"/>
  <c r="AO9" i="55"/>
  <c r="AP9" i="55"/>
  <c r="AM9" i="55"/>
  <c r="AN9" i="55"/>
  <c r="AO351" i="55"/>
  <c r="AN351" i="55"/>
  <c r="AM351" i="55"/>
  <c r="AP351" i="55"/>
  <c r="AO333" i="55"/>
  <c r="AP333" i="55"/>
  <c r="AM333" i="55"/>
  <c r="AN333" i="55"/>
  <c r="AP673" i="55"/>
  <c r="E249" i="19"/>
  <c r="F29" i="24" s="1"/>
  <c r="AO673" i="55"/>
  <c r="AN673" i="55"/>
  <c r="AM673" i="55"/>
  <c r="AM545" i="55"/>
  <c r="AP545" i="55"/>
  <c r="AN545" i="55"/>
  <c r="AO545" i="55"/>
  <c r="AP214" i="55"/>
  <c r="C72" i="19"/>
  <c r="I6" i="24" s="1"/>
  <c r="E72" i="19"/>
  <c r="K6" i="24" s="1"/>
  <c r="AO214" i="55"/>
  <c r="B72" i="19"/>
  <c r="H6" i="24" s="1"/>
  <c r="AN214" i="55"/>
  <c r="AM214" i="55"/>
  <c r="D72" i="19"/>
  <c r="J6" i="24" s="1"/>
  <c r="AM18" i="55"/>
  <c r="AO18" i="55"/>
  <c r="AN18" i="55"/>
  <c r="AP18" i="55"/>
  <c r="AO716" i="55"/>
  <c r="AM716" i="55"/>
  <c r="AN716" i="55"/>
  <c r="AP716" i="55"/>
  <c r="AO123" i="55"/>
  <c r="D38" i="19"/>
  <c r="E11" i="24" s="1"/>
  <c r="AN123" i="55"/>
  <c r="AP123" i="55"/>
  <c r="B38" i="19"/>
  <c r="C11" i="24" s="1"/>
  <c r="AM123" i="55"/>
  <c r="C38" i="19"/>
  <c r="D11" i="24" s="1"/>
  <c r="E38" i="19"/>
  <c r="F11" i="24" s="1"/>
  <c r="AP113" i="55"/>
  <c r="AN113" i="55"/>
  <c r="C33" i="19"/>
  <c r="D10" i="24" s="1"/>
  <c r="AM113" i="55"/>
  <c r="AO113" i="55"/>
  <c r="AM537" i="55"/>
  <c r="AO537" i="55"/>
  <c r="C224" i="19"/>
  <c r="D26" i="24" s="1"/>
  <c r="AN537" i="55"/>
  <c r="AP537" i="55"/>
  <c r="B224" i="19"/>
  <c r="C26" i="24" s="1"/>
  <c r="C249" i="19"/>
  <c r="D29" i="24" s="1"/>
  <c r="C147" i="19"/>
  <c r="N8" i="24" s="1"/>
  <c r="AP332" i="55"/>
  <c r="B147" i="19"/>
  <c r="AN332" i="55"/>
  <c r="E147" i="19"/>
  <c r="P8" i="24" s="1"/>
  <c r="AM332" i="55"/>
  <c r="D147" i="19"/>
  <c r="O8" i="24" s="1"/>
  <c r="AO332" i="55"/>
  <c r="AO216" i="55"/>
  <c r="AN216" i="55"/>
  <c r="AP216" i="55"/>
  <c r="AM216" i="55"/>
  <c r="AP56" i="55"/>
  <c r="AM56" i="55"/>
  <c r="D13" i="19"/>
  <c r="E6" i="24" s="1"/>
  <c r="AN56" i="55"/>
  <c r="AO56" i="55"/>
  <c r="AP177" i="55"/>
  <c r="B58" i="19"/>
  <c r="C15" i="24" s="1"/>
  <c r="AN177" i="55"/>
  <c r="AO177" i="55"/>
  <c r="AM177" i="55"/>
  <c r="AP15" i="55"/>
  <c r="AN15" i="55"/>
  <c r="AM15" i="55"/>
  <c r="AO15" i="55"/>
  <c r="AN675" i="55"/>
  <c r="AO675" i="55"/>
  <c r="AP675" i="55"/>
  <c r="AM675" i="55"/>
  <c r="AM546" i="55"/>
  <c r="AP546" i="55"/>
  <c r="AO546" i="55"/>
  <c r="AN546" i="55"/>
  <c r="AP683" i="55"/>
  <c r="AM683" i="55"/>
  <c r="AN683" i="55"/>
  <c r="AO683" i="55"/>
  <c r="AM544" i="55"/>
  <c r="AP544" i="55"/>
  <c r="AN544" i="55"/>
  <c r="AO544" i="55"/>
  <c r="AP14" i="55"/>
  <c r="AM14" i="55"/>
  <c r="AO14" i="55"/>
  <c r="AN14" i="55"/>
  <c r="AO114" i="55"/>
  <c r="AN114" i="55"/>
  <c r="AP114" i="55"/>
  <c r="AM114" i="55"/>
  <c r="AN753" i="55"/>
  <c r="E273" i="19"/>
  <c r="K25" i="24" s="1"/>
  <c r="AM753" i="55"/>
  <c r="D273" i="19"/>
  <c r="J25" i="24" s="1"/>
  <c r="AP753" i="55"/>
  <c r="AO753" i="55"/>
  <c r="B273" i="19"/>
  <c r="H25" i="24" s="1"/>
  <c r="C273" i="19"/>
  <c r="I25" i="24" s="1"/>
  <c r="D33" i="19"/>
  <c r="E10" i="24" s="1"/>
  <c r="AN677" i="55"/>
  <c r="AM78" i="55"/>
  <c r="AM694" i="55"/>
  <c r="AO58" i="55"/>
  <c r="AN672" i="55"/>
  <c r="AN260" i="55"/>
  <c r="AM415" i="55"/>
  <c r="AM220" i="55"/>
  <c r="AM187" i="55"/>
  <c r="AN82" i="55"/>
  <c r="AN340" i="55"/>
  <c r="D249" i="19"/>
  <c r="E29" i="24" s="1"/>
  <c r="B13" i="19"/>
  <c r="C6" i="24" s="1"/>
  <c r="AM684" i="55"/>
  <c r="AM531" i="55"/>
  <c r="AN450" i="55"/>
  <c r="AP174" i="55"/>
  <c r="AM64" i="55"/>
  <c r="AN583" i="55"/>
  <c r="AO132" i="55"/>
  <c r="AN77" i="55"/>
  <c r="AP50" i="55"/>
  <c r="AN699" i="55"/>
  <c r="D200" i="19"/>
  <c r="E23" i="24" s="1"/>
  <c r="AM349" i="55"/>
  <c r="D207" i="19"/>
  <c r="E24" i="24" s="1"/>
  <c r="AN443" i="55"/>
  <c r="C21" i="19"/>
  <c r="D7" i="24" s="1"/>
  <c r="AN242" i="55"/>
  <c r="B140" i="19"/>
  <c r="M7" i="24" s="1"/>
  <c r="AM780" i="55"/>
  <c r="AP717" i="55"/>
  <c r="AN453" i="55"/>
  <c r="B153" i="19"/>
  <c r="M9" i="24" s="1"/>
  <c r="AP173" i="55"/>
  <c r="AM112" i="55"/>
  <c r="D53" i="19"/>
  <c r="E14" i="24" s="1"/>
  <c r="AP152" i="55"/>
  <c r="AP579" i="55"/>
  <c r="AM414" i="55"/>
  <c r="AO308" i="55"/>
  <c r="AN175" i="55"/>
  <c r="AN34" i="55"/>
  <c r="AM678" i="55"/>
  <c r="AF480" i="55"/>
  <c r="AH480" i="55" s="1"/>
  <c r="AP480" i="55" s="1"/>
  <c r="AP585" i="55"/>
  <c r="AM398" i="55"/>
  <c r="AN37" i="55"/>
  <c r="C43" i="19"/>
  <c r="D12" i="24" s="1"/>
  <c r="E58" i="19"/>
  <c r="F15" i="24" s="1"/>
  <c r="C58" i="19"/>
  <c r="D15" i="24" s="1"/>
  <c r="AN90" i="55"/>
  <c r="AO682" i="55"/>
  <c r="D224" i="19"/>
  <c r="E26" i="24" s="1"/>
  <c r="AM412" i="55"/>
  <c r="AN447" i="55"/>
  <c r="E33" i="19"/>
  <c r="F10" i="24" s="1"/>
  <c r="AN63" i="55"/>
  <c r="AP692" i="55"/>
  <c r="AF625" i="55"/>
  <c r="AH625" i="55" s="1"/>
  <c r="AN625" i="55" s="1"/>
  <c r="AF258" i="55"/>
  <c r="AH258" i="55" s="1"/>
  <c r="AN258" i="55" s="1"/>
  <c r="C103" i="19"/>
  <c r="I12" i="24" s="1"/>
  <c r="D103" i="19"/>
  <c r="J12" i="24" s="1"/>
  <c r="AF263" i="55"/>
  <c r="AH263" i="55" s="1"/>
  <c r="AO263" i="55" s="1"/>
  <c r="AN24" i="55"/>
  <c r="AF598" i="55"/>
  <c r="AH598" i="55" s="1"/>
  <c r="AM598" i="55" s="1"/>
  <c r="AO677" i="55"/>
  <c r="AF200" i="55"/>
  <c r="AH200" i="55" s="1"/>
  <c r="AO200" i="55" s="1"/>
  <c r="AO24" i="55"/>
  <c r="AO78" i="55"/>
  <c r="AP694" i="55"/>
  <c r="AF523" i="55"/>
  <c r="AH523" i="55" s="1"/>
  <c r="AN523" i="55" s="1"/>
  <c r="AF492" i="55"/>
  <c r="AH492" i="55" s="1"/>
  <c r="AN492" i="55" s="1"/>
  <c r="AP58" i="55"/>
  <c r="AF618" i="55"/>
  <c r="AH618" i="55" s="1"/>
  <c r="AP618" i="55" s="1"/>
  <c r="AF610" i="55"/>
  <c r="AH610" i="55" s="1"/>
  <c r="AM610" i="55" s="1"/>
  <c r="AF639" i="55"/>
  <c r="AH639" i="55" s="1"/>
  <c r="AM639" i="55" s="1"/>
  <c r="AF607" i="55"/>
  <c r="AH607" i="55" s="1"/>
  <c r="AO607" i="55" s="1"/>
  <c r="AO672" i="55"/>
  <c r="AM260" i="55"/>
  <c r="AN415" i="55"/>
  <c r="AP220" i="55"/>
  <c r="AO187" i="55"/>
  <c r="AO82" i="55"/>
  <c r="AM340" i="55"/>
  <c r="AF633" i="55"/>
  <c r="AH633" i="55" s="1"/>
  <c r="AO633" i="55" s="1"/>
  <c r="B249" i="19"/>
  <c r="C29" i="24" s="1"/>
  <c r="E13" i="19"/>
  <c r="F6" i="24" s="1"/>
  <c r="AO684" i="55"/>
  <c r="AP531" i="55"/>
  <c r="AO450" i="55"/>
  <c r="AM174" i="55"/>
  <c r="AO64" i="55"/>
  <c r="AF497" i="55"/>
  <c r="AH497" i="55" s="1"/>
  <c r="AN497" i="55" s="1"/>
  <c r="AF498" i="55"/>
  <c r="AH498" i="55" s="1"/>
  <c r="AN498" i="55" s="1"/>
  <c r="AM583" i="55"/>
  <c r="AP132" i="55"/>
  <c r="AM77" i="55"/>
  <c r="AO50" i="55"/>
  <c r="AF632" i="55"/>
  <c r="AH632" i="55" s="1"/>
  <c r="AP632" i="55" s="1"/>
  <c r="AF661" i="55"/>
  <c r="AH661" i="55" s="1"/>
  <c r="AN661" i="55" s="1"/>
  <c r="AF629" i="55"/>
  <c r="AH629" i="55" s="1"/>
  <c r="AO629" i="55" s="1"/>
  <c r="AP699" i="55"/>
  <c r="C200" i="19"/>
  <c r="D23" i="24" s="1"/>
  <c r="AO349" i="55"/>
  <c r="C207" i="19"/>
  <c r="D24" i="24" s="1"/>
  <c r="AM443" i="55"/>
  <c r="AO242" i="55"/>
  <c r="C140" i="19"/>
  <c r="N7" i="24" s="1"/>
  <c r="AF517" i="55"/>
  <c r="AH517" i="55" s="1"/>
  <c r="AO517" i="55" s="1"/>
  <c r="AF501" i="55"/>
  <c r="AH501" i="55" s="1"/>
  <c r="AO501" i="55" s="1"/>
  <c r="AF789" i="55"/>
  <c r="AH789" i="55" s="1"/>
  <c r="AP789" i="55" s="1"/>
  <c r="AO780" i="55"/>
  <c r="AN717" i="55"/>
  <c r="AP453" i="55"/>
  <c r="D153" i="19"/>
  <c r="O9" i="24" s="1"/>
  <c r="AF204" i="55"/>
  <c r="AH204" i="55" s="1"/>
  <c r="AM204" i="55" s="1"/>
  <c r="AO173" i="55"/>
  <c r="AO112" i="55"/>
  <c r="C53" i="19"/>
  <c r="D14" i="24" s="1"/>
  <c r="AO152" i="55"/>
  <c r="AN579" i="55"/>
  <c r="AP414" i="55"/>
  <c r="AM308" i="55"/>
  <c r="AM175" i="55"/>
  <c r="AM34" i="55"/>
  <c r="AP678" i="55"/>
  <c r="AF495" i="55"/>
  <c r="AH495" i="55" s="1"/>
  <c r="AM495" i="55" s="1"/>
  <c r="AF463" i="55"/>
  <c r="AH463" i="55" s="1"/>
  <c r="AP463" i="55" s="1"/>
  <c r="AF464" i="55"/>
  <c r="AH464" i="55" s="1"/>
  <c r="AN464" i="55" s="1"/>
  <c r="AO585" i="55"/>
  <c r="AP398" i="55"/>
  <c r="AP37" i="55"/>
  <c r="AF630" i="55"/>
  <c r="AH630" i="55" s="1"/>
  <c r="AM630" i="55" s="1"/>
  <c r="AF659" i="55"/>
  <c r="AH659" i="55" s="1"/>
  <c r="AP659" i="55" s="1"/>
  <c r="D43" i="19"/>
  <c r="E12" i="24" s="1"/>
  <c r="AO90" i="55"/>
  <c r="AF509" i="55"/>
  <c r="AH509" i="55" s="1"/>
  <c r="AP509" i="55" s="1"/>
  <c r="AF478" i="55"/>
  <c r="AH478" i="55" s="1"/>
  <c r="AM478" i="55" s="1"/>
  <c r="AF660" i="55"/>
  <c r="AH660" i="55" s="1"/>
  <c r="AP660" i="55" s="1"/>
  <c r="AF795" i="55"/>
  <c r="AH795" i="55" s="1"/>
  <c r="AP795" i="55" s="1"/>
  <c r="AN682" i="55"/>
  <c r="E224" i="19"/>
  <c r="AN412" i="55"/>
  <c r="AP447" i="55"/>
  <c r="AF201" i="55"/>
  <c r="AH201" i="55" s="1"/>
  <c r="AN201" i="55" s="1"/>
  <c r="B33" i="19"/>
  <c r="C10" i="24" s="1"/>
  <c r="AP63" i="55"/>
  <c r="AN692" i="55"/>
  <c r="AF486" i="55"/>
  <c r="AH486" i="55" s="1"/>
  <c r="AN486" i="55" s="1"/>
  <c r="AF644" i="55"/>
  <c r="AH644" i="55" s="1"/>
  <c r="AP644" i="55" s="1"/>
  <c r="AF261" i="55"/>
  <c r="AH261" i="55" s="1"/>
  <c r="B103" i="19"/>
  <c r="H12" i="24" s="1"/>
  <c r="AO249" i="55"/>
  <c r="AF785" i="55"/>
  <c r="AH785" i="55" s="1"/>
  <c r="C285" i="19" s="1"/>
  <c r="I28" i="24" s="1"/>
  <c r="AF792" i="55"/>
  <c r="AH792" i="55" s="1"/>
  <c r="AO792" i="55" s="1"/>
  <c r="AF499" i="55"/>
  <c r="AH499" i="55" s="1"/>
  <c r="AP499" i="55" s="1"/>
  <c r="AF491" i="55"/>
  <c r="AH491" i="55" s="1"/>
  <c r="AN491" i="55" s="1"/>
  <c r="AF467" i="55"/>
  <c r="AH467" i="55" s="1"/>
  <c r="AO467" i="55" s="1"/>
  <c r="AF524" i="55"/>
  <c r="AH524" i="55" s="1"/>
  <c r="AN524" i="55" s="1"/>
  <c r="AF658" i="55"/>
  <c r="AH658" i="55" s="1"/>
  <c r="AN658" i="55" s="1"/>
  <c r="AF650" i="55"/>
  <c r="AH650" i="55" s="1"/>
  <c r="AM650" i="55" s="1"/>
  <c r="AF655" i="55"/>
  <c r="AH655" i="55" s="1"/>
  <c r="AO655" i="55" s="1"/>
  <c r="AF647" i="55"/>
  <c r="AH647" i="55" s="1"/>
  <c r="AN647" i="55" s="1"/>
  <c r="AF623" i="55"/>
  <c r="AH623" i="55" s="1"/>
  <c r="AN623" i="55" s="1"/>
  <c r="AF615" i="55"/>
  <c r="AH615" i="55" s="1"/>
  <c r="AP615" i="55" s="1"/>
  <c r="AM672" i="55"/>
  <c r="AP340" i="55"/>
  <c r="AF657" i="55"/>
  <c r="AH657" i="55" s="1"/>
  <c r="AP657" i="55" s="1"/>
  <c r="AF596" i="55"/>
  <c r="AH596" i="55" s="1"/>
  <c r="AO596" i="55" s="1"/>
  <c r="AF599" i="55"/>
  <c r="AH599" i="55" s="1"/>
  <c r="AM599" i="55" s="1"/>
  <c r="AF206" i="55"/>
  <c r="AH206" i="55" s="1"/>
  <c r="AP206" i="55" s="1"/>
  <c r="C13" i="19"/>
  <c r="D6" i="24" s="1"/>
  <c r="AO531" i="55"/>
  <c r="AF505" i="55"/>
  <c r="AH505" i="55" s="1"/>
  <c r="AN505" i="55" s="1"/>
  <c r="AF465" i="55"/>
  <c r="AH465" i="55" s="1"/>
  <c r="AF506" i="55"/>
  <c r="AH506" i="55" s="1"/>
  <c r="AN506" i="55" s="1"/>
  <c r="AF466" i="55"/>
  <c r="AH466" i="55" s="1"/>
  <c r="AP466" i="55" s="1"/>
  <c r="AN132" i="55"/>
  <c r="AP77" i="55"/>
  <c r="AF664" i="55"/>
  <c r="AH664" i="55" s="1"/>
  <c r="AM664" i="55" s="1"/>
  <c r="AF637" i="55"/>
  <c r="AH637" i="55" s="1"/>
  <c r="AO637" i="55" s="1"/>
  <c r="E200" i="19"/>
  <c r="F23" i="24" s="1"/>
  <c r="E207" i="19"/>
  <c r="E140" i="19"/>
  <c r="AF525" i="55"/>
  <c r="AH525" i="55" s="1"/>
  <c r="AM525" i="55" s="1"/>
  <c r="AF494" i="55"/>
  <c r="AH494" i="55" s="1"/>
  <c r="AN494" i="55" s="1"/>
  <c r="AF612" i="55"/>
  <c r="AH612" i="55" s="1"/>
  <c r="AP612" i="55" s="1"/>
  <c r="AF609" i="55"/>
  <c r="AH609" i="55" s="1"/>
  <c r="AN609" i="55" s="1"/>
  <c r="AF597" i="55"/>
  <c r="AH597" i="55" s="1"/>
  <c r="AO597" i="55" s="1"/>
  <c r="AF788" i="55"/>
  <c r="AH788" i="55" s="1"/>
  <c r="AM788" i="55" s="1"/>
  <c r="AF196" i="55"/>
  <c r="AH196" i="55" s="1"/>
  <c r="AN173" i="55"/>
  <c r="AN112" i="55"/>
  <c r="E53" i="19"/>
  <c r="F14" i="24" s="1"/>
  <c r="AF503" i="55"/>
  <c r="AH503" i="55" s="1"/>
  <c r="AP503" i="55" s="1"/>
  <c r="AF471" i="55"/>
  <c r="AH471" i="55" s="1"/>
  <c r="AN471" i="55" s="1"/>
  <c r="AF504" i="55"/>
  <c r="AH504" i="55" s="1"/>
  <c r="AO504" i="55" s="1"/>
  <c r="AF496" i="55"/>
  <c r="AH496" i="55" s="1"/>
  <c r="AM496" i="55" s="1"/>
  <c r="AF662" i="55"/>
  <c r="AH662" i="55" s="1"/>
  <c r="AM662" i="55" s="1"/>
  <c r="AF627" i="55"/>
  <c r="AH627" i="55" s="1"/>
  <c r="AM627" i="55" s="1"/>
  <c r="AF603" i="55"/>
  <c r="AH603" i="55" s="1"/>
  <c r="AO603" i="55" s="1"/>
  <c r="AF502" i="55"/>
  <c r="AH502" i="55" s="1"/>
  <c r="AN502" i="55" s="1"/>
  <c r="AF620" i="55"/>
  <c r="AH620" i="55" s="1"/>
  <c r="AP620" i="55" s="1"/>
  <c r="AF649" i="55"/>
  <c r="AH649" i="55" s="1"/>
  <c r="AM649" i="55" s="1"/>
  <c r="AF592" i="55"/>
  <c r="AH592" i="55" s="1"/>
  <c r="AM592" i="55" s="1"/>
  <c r="AF794" i="55"/>
  <c r="AH794" i="55" s="1"/>
  <c r="AO794" i="55" s="1"/>
  <c r="AF518" i="55"/>
  <c r="AH518" i="55" s="1"/>
  <c r="AN518" i="55" s="1"/>
  <c r="AF641" i="55"/>
  <c r="AH641" i="55" s="1"/>
  <c r="AM641" i="55" s="1"/>
  <c r="E103" i="19"/>
  <c r="K12" i="24" s="1"/>
  <c r="AP778" i="55"/>
  <c r="AM778" i="55"/>
  <c r="AO778" i="55"/>
  <c r="AN778" i="55"/>
  <c r="AN777" i="55"/>
  <c r="AM777" i="55"/>
  <c r="AO777" i="55"/>
  <c r="AP777" i="55"/>
  <c r="AN740" i="55"/>
  <c r="AP740" i="55"/>
  <c r="AO740" i="55"/>
  <c r="AM740" i="55"/>
  <c r="AD844" i="55"/>
  <c r="AV844" i="55" s="1"/>
  <c r="AU844" i="55"/>
  <c r="U844" i="55"/>
  <c r="AF844" i="55" s="1"/>
  <c r="AH844" i="55" s="1"/>
  <c r="AM782" i="55"/>
  <c r="AN782" i="55"/>
  <c r="AO782" i="55"/>
  <c r="AP782" i="55"/>
  <c r="AD845" i="55"/>
  <c r="AV845" i="55" s="1"/>
  <c r="AU845" i="55"/>
  <c r="U845" i="55"/>
  <c r="AF845" i="55" s="1"/>
  <c r="AH845" i="55" s="1"/>
  <c r="AO783" i="55"/>
  <c r="AN783" i="55"/>
  <c r="AP783" i="55"/>
  <c r="AM783" i="55"/>
  <c r="AO781" i="55"/>
  <c r="AM781" i="55"/>
  <c r="AP781" i="55"/>
  <c r="AN781" i="55"/>
  <c r="AN257" i="55"/>
  <c r="AO779" i="55"/>
  <c r="AN779" i="55"/>
  <c r="AP779" i="55"/>
  <c r="AM779" i="55"/>
  <c r="AD846" i="55"/>
  <c r="AV846" i="55" s="1"/>
  <c r="U846" i="55"/>
  <c r="AU846" i="55"/>
  <c r="AO784" i="55"/>
  <c r="AN784" i="55"/>
  <c r="AP784" i="55"/>
  <c r="AM784" i="55"/>
  <c r="AM264" i="55"/>
  <c r="AD843" i="55"/>
  <c r="AV843" i="55" s="1"/>
  <c r="U843" i="55"/>
  <c r="AU843" i="55"/>
  <c r="X38" i="24" s="1"/>
  <c r="AN737" i="55"/>
  <c r="AP737" i="55"/>
  <c r="AM737" i="55"/>
  <c r="AO737" i="55"/>
  <c r="AO734" i="55"/>
  <c r="AM734" i="55"/>
  <c r="AP734" i="55"/>
  <c r="AN734" i="55"/>
  <c r="AN802" i="55"/>
  <c r="AO802" i="55"/>
  <c r="AP802" i="55"/>
  <c r="AM802" i="55"/>
  <c r="AP253" i="55"/>
  <c r="AM253" i="55"/>
  <c r="AN253" i="55"/>
  <c r="AO253" i="55"/>
  <c r="AM268" i="55"/>
  <c r="AO268" i="55"/>
  <c r="AN268" i="55"/>
  <c r="AP268" i="55"/>
  <c r="AO279" i="55"/>
  <c r="AM279" i="55"/>
  <c r="AP279" i="55"/>
  <c r="AN279" i="55"/>
  <c r="AN767" i="55"/>
  <c r="AP767" i="55"/>
  <c r="AO767" i="55"/>
  <c r="AM767" i="55"/>
  <c r="AN228" i="55"/>
  <c r="AM228" i="55"/>
  <c r="AP228" i="55"/>
  <c r="AO228" i="55"/>
  <c r="AP300" i="55"/>
  <c r="AM300" i="55"/>
  <c r="AO300" i="55"/>
  <c r="AN300" i="55"/>
  <c r="AN830" i="55"/>
  <c r="AM830" i="55"/>
  <c r="AO830" i="55"/>
  <c r="AP830" i="55"/>
  <c r="AN849" i="55"/>
  <c r="AM849" i="55"/>
  <c r="AP849" i="55"/>
  <c r="AO849" i="55"/>
  <c r="AO251" i="55"/>
  <c r="AP251" i="55"/>
  <c r="AN251" i="55"/>
  <c r="AM251" i="55"/>
  <c r="E108" i="19"/>
  <c r="K14" i="24" s="1"/>
  <c r="C108" i="19"/>
  <c r="I14" i="24" s="1"/>
  <c r="B108" i="19"/>
  <c r="D108" i="19"/>
  <c r="J14" i="24" s="1"/>
  <c r="AP282" i="55"/>
  <c r="AM282" i="55"/>
  <c r="AO282" i="55"/>
  <c r="AN282" i="55"/>
  <c r="AM277" i="55"/>
  <c r="AO277" i="55"/>
  <c r="AP277" i="55"/>
  <c r="AN277" i="55"/>
  <c r="AM774" i="55"/>
  <c r="AP774" i="55"/>
  <c r="AO774" i="55"/>
  <c r="AN774" i="55"/>
  <c r="AP226" i="55"/>
  <c r="AM226" i="55"/>
  <c r="AN226" i="55"/>
  <c r="AO226" i="55"/>
  <c r="AO290" i="55"/>
  <c r="AP290" i="55"/>
  <c r="AM290" i="55"/>
  <c r="AN290" i="55"/>
  <c r="AM817" i="55"/>
  <c r="AN817" i="55"/>
  <c r="AP817" i="55"/>
  <c r="AO817" i="55"/>
  <c r="AM294" i="55"/>
  <c r="AP294" i="55"/>
  <c r="AO294" i="55"/>
  <c r="AN294" i="55"/>
  <c r="AP275" i="55"/>
  <c r="AN275" i="55"/>
  <c r="AM275" i="55"/>
  <c r="AO275" i="55"/>
  <c r="AN772" i="55"/>
  <c r="AO772" i="55"/>
  <c r="AP772" i="55"/>
  <c r="AM772" i="55"/>
  <c r="AO224" i="55"/>
  <c r="AN224" i="55"/>
  <c r="AM224" i="55"/>
  <c r="AP224" i="55"/>
  <c r="AM304" i="55"/>
  <c r="AO304" i="55"/>
  <c r="AP304" i="55"/>
  <c r="AN304" i="55"/>
  <c r="AM288" i="55"/>
  <c r="AO288" i="55"/>
  <c r="AN288" i="55"/>
  <c r="AP288" i="55"/>
  <c r="AM850" i="55"/>
  <c r="AP850" i="55"/>
  <c r="AN850" i="55"/>
  <c r="AO850" i="55"/>
  <c r="AP614" i="55"/>
  <c r="AN614" i="55"/>
  <c r="AM614" i="55"/>
  <c r="AO614" i="55"/>
  <c r="F33" i="24"/>
  <c r="G323" i="54"/>
  <c r="I323" i="54" s="1"/>
  <c r="G325" i="54"/>
  <c r="I325" i="54" s="1"/>
  <c r="G324" i="54"/>
  <c r="I324" i="54" s="1"/>
  <c r="E326" i="54"/>
  <c r="I326" i="54" s="1"/>
  <c r="AN803" i="55"/>
  <c r="AO255" i="55"/>
  <c r="AN255" i="55"/>
  <c r="AP255" i="55"/>
  <c r="AM255" i="55"/>
  <c r="AM839" i="55"/>
  <c r="AO839" i="55"/>
  <c r="AN839" i="55"/>
  <c r="AP839" i="55"/>
  <c r="AN301" i="55"/>
  <c r="AP301" i="55"/>
  <c r="AM301" i="55"/>
  <c r="AO301" i="55"/>
  <c r="AM293" i="55"/>
  <c r="AP293" i="55"/>
  <c r="AO293" i="55"/>
  <c r="AN293" i="55"/>
  <c r="AP819" i="55"/>
  <c r="AM819" i="55"/>
  <c r="AN819" i="55"/>
  <c r="AO819" i="55"/>
  <c r="AO811" i="55"/>
  <c r="AP811" i="55"/>
  <c r="AM811" i="55"/>
  <c r="AN811" i="55"/>
  <c r="AM732" i="55"/>
  <c r="AP732" i="55"/>
  <c r="AO732" i="55"/>
  <c r="AN732" i="55"/>
  <c r="AO798" i="55"/>
  <c r="AM798" i="55"/>
  <c r="AN798" i="55"/>
  <c r="AP798" i="55"/>
  <c r="AM285" i="55"/>
  <c r="AP285" i="55"/>
  <c r="AN285" i="55"/>
  <c r="AO285" i="55"/>
  <c r="AM773" i="55"/>
  <c r="AO773" i="55"/>
  <c r="AN773" i="55"/>
  <c r="AP773" i="55"/>
  <c r="AP289" i="55"/>
  <c r="AM289" i="55"/>
  <c r="AO289" i="55"/>
  <c r="AN289" i="55"/>
  <c r="AM299" i="55"/>
  <c r="AN299" i="55"/>
  <c r="AP299" i="55"/>
  <c r="AO299" i="55"/>
  <c r="AM245" i="55"/>
  <c r="AN245" i="55"/>
  <c r="AP245" i="55"/>
  <c r="AO245" i="55"/>
  <c r="B98" i="19"/>
  <c r="E98" i="19"/>
  <c r="K11" i="24" s="1"/>
  <c r="C98" i="19"/>
  <c r="I11" i="24" s="1"/>
  <c r="D98" i="19"/>
  <c r="J11" i="24" s="1"/>
  <c r="AN745" i="55"/>
  <c r="AP745" i="55"/>
  <c r="AO745" i="55"/>
  <c r="AM745" i="55"/>
  <c r="AN808" i="55"/>
  <c r="AO808" i="55"/>
  <c r="AP808" i="55"/>
  <c r="AM808" i="55"/>
  <c r="AM821" i="55"/>
  <c r="AO821" i="55"/>
  <c r="AP821" i="55"/>
  <c r="AN821" i="55"/>
  <c r="AP730" i="55"/>
  <c r="AO730" i="55"/>
  <c r="AN730" i="55"/>
  <c r="AM730" i="55"/>
  <c r="AO800" i="55"/>
  <c r="AP800" i="55"/>
  <c r="AM800" i="55"/>
  <c r="AN800" i="55"/>
  <c r="AO254" i="55"/>
  <c r="AP254" i="55"/>
  <c r="AN254" i="55"/>
  <c r="AM254" i="55"/>
  <c r="AN283" i="55"/>
  <c r="AM283" i="55"/>
  <c r="AO283" i="55"/>
  <c r="AP283" i="55"/>
  <c r="AP771" i="55"/>
  <c r="AM771" i="55"/>
  <c r="AN771" i="55"/>
  <c r="AO771" i="55"/>
  <c r="AM225" i="55"/>
  <c r="AO225" i="55"/>
  <c r="AN225" i="55"/>
  <c r="AP225" i="55"/>
  <c r="AP297" i="55"/>
  <c r="AO297" i="55"/>
  <c r="AN297" i="55"/>
  <c r="AM297" i="55"/>
  <c r="AN743" i="55"/>
  <c r="AO743" i="55"/>
  <c r="AP743" i="55"/>
  <c r="AM743" i="55"/>
  <c r="AN815" i="55"/>
  <c r="AP815" i="55"/>
  <c r="AO815" i="55"/>
  <c r="AM815" i="55"/>
  <c r="AO611" i="55"/>
  <c r="AO303" i="55"/>
  <c r="AM303" i="55"/>
  <c r="AN303" i="55"/>
  <c r="AP303" i="55"/>
  <c r="AO295" i="55"/>
  <c r="AN295" i="55"/>
  <c r="AM295" i="55"/>
  <c r="AP295" i="55"/>
  <c r="AP820" i="55"/>
  <c r="AO820" i="55"/>
  <c r="AM820" i="55"/>
  <c r="AN820" i="55"/>
  <c r="AN733" i="55"/>
  <c r="AP733" i="55"/>
  <c r="AO733" i="55"/>
  <c r="AM733" i="55"/>
  <c r="AM286" i="55"/>
  <c r="AO286" i="55"/>
  <c r="AP286" i="55"/>
  <c r="AN286" i="55"/>
  <c r="AP278" i="55"/>
  <c r="AN278" i="55"/>
  <c r="AO278" i="55"/>
  <c r="AM278" i="55"/>
  <c r="AM370" i="55"/>
  <c r="AN370" i="55"/>
  <c r="AO370" i="55"/>
  <c r="AP370" i="55"/>
  <c r="AP841" i="55"/>
  <c r="AM841" i="55"/>
  <c r="AN841" i="55"/>
  <c r="AO841" i="55"/>
  <c r="AO744" i="55"/>
  <c r="AP744" i="55"/>
  <c r="AM744" i="55"/>
  <c r="AN744" i="55"/>
  <c r="AM276" i="55"/>
  <c r="AP276" i="55"/>
  <c r="AO276" i="55"/>
  <c r="AN276" i="55"/>
  <c r="AO271" i="55"/>
  <c r="AP271" i="55"/>
  <c r="AM271" i="55"/>
  <c r="AN271" i="55"/>
  <c r="AP368" i="55"/>
  <c r="AO368" i="55"/>
  <c r="AM368" i="55"/>
  <c r="AN368" i="55"/>
  <c r="AN247" i="55"/>
  <c r="AP247" i="55"/>
  <c r="AO247" i="55"/>
  <c r="AM247" i="55"/>
  <c r="AN742" i="55"/>
  <c r="AP742" i="55"/>
  <c r="AM742" i="55"/>
  <c r="AO742" i="55"/>
  <c r="C268" i="19"/>
  <c r="I24" i="24" s="1"/>
  <c r="E268" i="19"/>
  <c r="K24" i="24" s="1"/>
  <c r="D268" i="19"/>
  <c r="J24" i="24" s="1"/>
  <c r="B268" i="19"/>
  <c r="AN642" i="55"/>
  <c r="AO799" i="55"/>
  <c r="AN799" i="55"/>
  <c r="AP799" i="55"/>
  <c r="AM799" i="55"/>
  <c r="AP791" i="55"/>
  <c r="AO791" i="55"/>
  <c r="AN791" i="55"/>
  <c r="AM791" i="55"/>
  <c r="AP274" i="55"/>
  <c r="AM274" i="55"/>
  <c r="AO274" i="55"/>
  <c r="AN274" i="55"/>
  <c r="AN366" i="55"/>
  <c r="AO366" i="55"/>
  <c r="AP366" i="55"/>
  <c r="AM366" i="55"/>
  <c r="B173" i="19"/>
  <c r="D173" i="19"/>
  <c r="O12" i="24" s="1"/>
  <c r="C173" i="19"/>
  <c r="N12" i="24" s="1"/>
  <c r="E173" i="19"/>
  <c r="P12" i="24" s="1"/>
  <c r="AO371" i="55"/>
  <c r="AP371" i="55"/>
  <c r="AM371" i="55"/>
  <c r="AN371" i="55"/>
  <c r="AN840" i="55"/>
  <c r="AP840" i="55"/>
  <c r="AO840" i="55"/>
  <c r="AM840" i="55"/>
  <c r="AN227" i="55"/>
  <c r="AP227" i="55"/>
  <c r="AM227" i="55"/>
  <c r="AO227" i="55"/>
  <c r="AM298" i="55"/>
  <c r="AO298" i="55"/>
  <c r="AP298" i="55"/>
  <c r="AN298" i="55"/>
  <c r="E80" i="19"/>
  <c r="D80" i="19"/>
  <c r="J7" i="24" s="1"/>
  <c r="C80" i="19"/>
  <c r="I7" i="24" s="1"/>
  <c r="B80" i="19"/>
  <c r="AP222" i="55"/>
  <c r="AO222" i="55"/>
  <c r="AM222" i="55"/>
  <c r="AN222" i="55"/>
  <c r="AN501" i="55"/>
  <c r="AO372" i="55"/>
  <c r="AM372" i="55"/>
  <c r="AP372" i="55"/>
  <c r="AN372" i="55"/>
  <c r="AP369" i="55"/>
  <c r="AN369" i="55"/>
  <c r="AM369" i="55"/>
  <c r="AO369" i="55"/>
  <c r="AN838" i="55"/>
  <c r="AP838" i="55"/>
  <c r="AM838" i="55"/>
  <c r="AO838" i="55"/>
  <c r="E316" i="19"/>
  <c r="B316" i="19"/>
  <c r="D316" i="19"/>
  <c r="E36" i="24" s="1"/>
  <c r="C316" i="19"/>
  <c r="D36" i="24" s="1"/>
  <c r="F58" i="54"/>
  <c r="P13" i="24"/>
  <c r="AP831" i="55"/>
  <c r="AN831" i="55"/>
  <c r="AM831" i="55"/>
  <c r="AO831" i="55"/>
  <c r="AN746" i="55"/>
  <c r="AP746" i="55"/>
  <c r="AM746" i="55"/>
  <c r="AO746" i="55"/>
  <c r="AN806" i="55"/>
  <c r="AM806" i="55"/>
  <c r="AO806" i="55"/>
  <c r="AP806" i="55"/>
  <c r="AM302" i="55"/>
  <c r="AN302" i="55"/>
  <c r="AP302" i="55"/>
  <c r="AO302" i="55"/>
  <c r="C33" i="24"/>
  <c r="F301" i="19"/>
  <c r="AM246" i="55"/>
  <c r="AO246" i="55"/>
  <c r="AP246" i="55"/>
  <c r="AN246" i="55"/>
  <c r="AP804" i="55"/>
  <c r="F26" i="24"/>
  <c r="AM281" i="55"/>
  <c r="AO281" i="55"/>
  <c r="AP281" i="55"/>
  <c r="AN281" i="55"/>
  <c r="AM729" i="55"/>
  <c r="AP729" i="55"/>
  <c r="AN729" i="55"/>
  <c r="AO729" i="55"/>
  <c r="AM801" i="55"/>
  <c r="AN801" i="55"/>
  <c r="AP801" i="55"/>
  <c r="AO801" i="55"/>
  <c r="AO284" i="55"/>
  <c r="AM284" i="55"/>
  <c r="AP284" i="55"/>
  <c r="AN284" i="55"/>
  <c r="AM768" i="55"/>
  <c r="AN768" i="55"/>
  <c r="AO768" i="55"/>
  <c r="AP768" i="55"/>
  <c r="C35" i="24"/>
  <c r="AM810" i="55"/>
  <c r="AN810" i="55"/>
  <c r="AO810" i="55"/>
  <c r="AP810" i="55"/>
  <c r="AP650" i="55"/>
  <c r="AN790" i="55"/>
  <c r="AP790" i="55"/>
  <c r="AM790" i="55"/>
  <c r="AO790" i="55"/>
  <c r="AO269" i="55"/>
  <c r="AN269" i="55"/>
  <c r="AP269" i="55"/>
  <c r="AM269" i="55"/>
  <c r="AN291" i="55"/>
  <c r="AM291" i="55"/>
  <c r="AP291" i="55"/>
  <c r="AO291" i="55"/>
  <c r="AN828" i="55"/>
  <c r="AP828" i="55"/>
  <c r="AO828" i="55"/>
  <c r="AM828" i="55"/>
  <c r="E306" i="19"/>
  <c r="D306" i="19"/>
  <c r="E34" i="24" s="1"/>
  <c r="B306" i="19"/>
  <c r="C306" i="19"/>
  <c r="D34" i="24" s="1"/>
  <c r="D326" i="19"/>
  <c r="E38" i="24" s="1"/>
  <c r="AO848" i="55"/>
  <c r="C326" i="19"/>
  <c r="D38" i="24" s="1"/>
  <c r="B326" i="19"/>
  <c r="AN848" i="55"/>
  <c r="E326" i="19"/>
  <c r="AM848" i="55"/>
  <c r="AP848" i="55"/>
  <c r="AN816" i="55"/>
  <c r="AP816" i="55"/>
  <c r="AO816" i="55"/>
  <c r="AM816" i="55"/>
  <c r="AP809" i="55"/>
  <c r="AM809" i="55"/>
  <c r="AN809" i="55"/>
  <c r="AO809" i="55"/>
  <c r="AP223" i="55"/>
  <c r="AN223" i="55"/>
  <c r="AO223" i="55"/>
  <c r="AM223" i="55"/>
  <c r="AN797" i="55"/>
  <c r="AM797" i="55"/>
  <c r="AP797" i="55"/>
  <c r="AO797" i="55"/>
  <c r="AM280" i="55"/>
  <c r="AO280" i="55"/>
  <c r="AN280" i="55"/>
  <c r="AP280" i="55"/>
  <c r="AM272" i="55"/>
  <c r="AP272" i="55"/>
  <c r="AO272" i="55"/>
  <c r="AN272" i="55"/>
  <c r="AP267" i="55"/>
  <c r="AM267" i="55"/>
  <c r="AN267" i="55"/>
  <c r="AO267" i="55"/>
  <c r="M13" i="24"/>
  <c r="F178" i="19"/>
  <c r="AP296" i="55"/>
  <c r="AM296" i="55"/>
  <c r="AN296" i="55"/>
  <c r="AO296" i="55"/>
  <c r="AP814" i="55"/>
  <c r="AM814" i="55"/>
  <c r="AN814" i="55"/>
  <c r="AO814" i="55"/>
  <c r="AN807" i="55"/>
  <c r="AP807" i="55"/>
  <c r="AO807" i="55"/>
  <c r="AM807" i="55"/>
  <c r="AN829" i="55"/>
  <c r="AO829" i="55"/>
  <c r="AM829" i="55"/>
  <c r="AP829" i="55"/>
  <c r="AO813" i="55"/>
  <c r="AP813" i="55"/>
  <c r="AM813" i="55"/>
  <c r="AN813" i="55"/>
  <c r="AO252" i="55"/>
  <c r="AN252" i="55"/>
  <c r="AM252" i="55"/>
  <c r="AP252" i="55"/>
  <c r="AO270" i="55"/>
  <c r="AN270" i="55"/>
  <c r="AP270" i="55"/>
  <c r="AM270" i="55"/>
  <c r="AO367" i="55"/>
  <c r="AP367" i="55"/>
  <c r="AN367" i="55"/>
  <c r="AM367" i="55"/>
  <c r="AM769" i="55"/>
  <c r="AO769" i="55"/>
  <c r="AN769" i="55"/>
  <c r="AP769" i="55"/>
  <c r="AN851" i="55"/>
  <c r="AP851" i="55"/>
  <c r="AO851" i="55"/>
  <c r="AM851" i="55"/>
  <c r="AN305" i="55" l="1"/>
  <c r="AM305" i="55"/>
  <c r="AO305" i="55"/>
  <c r="AP305" i="55"/>
  <c r="AF843" i="55"/>
  <c r="AH843" i="55" s="1"/>
  <c r="AF846" i="55"/>
  <c r="AH846" i="55" s="1"/>
  <c r="B132" i="19"/>
  <c r="AN619" i="55"/>
  <c r="AN28" i="55"/>
  <c r="AP28" i="55"/>
  <c r="AP604" i="55"/>
  <c r="AP203" i="55"/>
  <c r="AP609" i="55"/>
  <c r="AM658" i="55"/>
  <c r="AO795" i="55"/>
  <c r="AO804" i="55"/>
  <c r="AO463" i="55"/>
  <c r="AN204" i="55"/>
  <c r="AP13" i="55"/>
  <c r="AO499" i="55"/>
  <c r="AN804" i="55"/>
  <c r="AM643" i="55"/>
  <c r="AO608" i="55"/>
  <c r="AO13" i="55"/>
  <c r="AP627" i="55"/>
  <c r="AN641" i="55"/>
  <c r="AN657" i="55"/>
  <c r="AO642" i="55"/>
  <c r="AM628" i="55"/>
  <c r="AN468" i="55"/>
  <c r="AP264" i="55"/>
  <c r="AM642" i="55"/>
  <c r="AO469" i="55"/>
  <c r="AO514" i="55"/>
  <c r="AN636" i="55"/>
  <c r="AM594" i="55"/>
  <c r="AP663" i="55"/>
  <c r="AN264" i="55"/>
  <c r="AO471" i="55"/>
  <c r="AN664" i="55"/>
  <c r="AM623" i="55"/>
  <c r="AN210" i="55"/>
  <c r="AP638" i="55"/>
  <c r="AO473" i="55"/>
  <c r="AO199" i="55"/>
  <c r="AP649" i="55"/>
  <c r="AP506" i="55"/>
  <c r="AN793" i="55"/>
  <c r="AP639" i="55"/>
  <c r="AM477" i="55"/>
  <c r="AN512" i="55"/>
  <c r="C5" i="19"/>
  <c r="D5" i="24" s="1"/>
  <c r="U36" i="24"/>
  <c r="X37" i="24"/>
  <c r="W36" i="24"/>
  <c r="U38" i="24"/>
  <c r="W35" i="24"/>
  <c r="V37" i="24"/>
  <c r="X36" i="24"/>
  <c r="V38" i="24"/>
  <c r="U37" i="24"/>
  <c r="V35" i="24"/>
  <c r="W38" i="24"/>
  <c r="U35" i="24"/>
  <c r="W37" i="24"/>
  <c r="V36" i="24"/>
  <c r="X35" i="24"/>
  <c r="AO653" i="55"/>
  <c r="B258" i="19"/>
  <c r="AP645" i="55"/>
  <c r="AN794" i="55"/>
  <c r="AP494" i="55"/>
  <c r="AP818" i="55"/>
  <c r="AM498" i="55"/>
  <c r="AO496" i="55"/>
  <c r="AN655" i="55"/>
  <c r="AM467" i="55"/>
  <c r="AP478" i="55"/>
  <c r="AN659" i="55"/>
  <c r="AN731" i="55"/>
  <c r="AM785" i="55"/>
  <c r="AO505" i="55"/>
  <c r="AM502" i="55"/>
  <c r="AP788" i="55"/>
  <c r="AP474" i="55"/>
  <c r="AO599" i="55"/>
  <c r="AM644" i="55"/>
  <c r="D243" i="54"/>
  <c r="G333" i="54"/>
  <c r="I333" i="54" s="1"/>
  <c r="C132" i="19"/>
  <c r="N6" i="24" s="1"/>
  <c r="AM483" i="55"/>
  <c r="AO523" i="55"/>
  <c r="AO195" i="55"/>
  <c r="AP775" i="55"/>
  <c r="AO632" i="55"/>
  <c r="AO610" i="55"/>
  <c r="AM625" i="55"/>
  <c r="AM522" i="55"/>
  <c r="AN263" i="55"/>
  <c r="AN265" i="55"/>
  <c r="V24" i="24"/>
  <c r="U24" i="24"/>
  <c r="X24" i="24"/>
  <c r="W24" i="24"/>
  <c r="V21" i="24"/>
  <c r="V23" i="24"/>
  <c r="U23" i="24"/>
  <c r="X23" i="24"/>
  <c r="W23" i="24"/>
  <c r="X21" i="24"/>
  <c r="V22" i="24"/>
  <c r="U22" i="24"/>
  <c r="X22" i="24"/>
  <c r="W22" i="24"/>
  <c r="U21" i="24"/>
  <c r="W21" i="24"/>
  <c r="AM200" i="55"/>
  <c r="AP292" i="55"/>
  <c r="AN516" i="55"/>
  <c r="AO202" i="55"/>
  <c r="AP646" i="55"/>
  <c r="AO513" i="55"/>
  <c r="AP500" i="55"/>
  <c r="AM794" i="55"/>
  <c r="AP502" i="55"/>
  <c r="AP496" i="55"/>
  <c r="AN788" i="55"/>
  <c r="AO494" i="55"/>
  <c r="AM505" i="55"/>
  <c r="AP599" i="55"/>
  <c r="AM655" i="55"/>
  <c r="AM818" i="55"/>
  <c r="AN467" i="55"/>
  <c r="E258" i="19"/>
  <c r="K20" i="24" s="1"/>
  <c r="D258" i="19"/>
  <c r="J20" i="24" s="1"/>
  <c r="AO644" i="55"/>
  <c r="AN478" i="55"/>
  <c r="AO659" i="55"/>
  <c r="AM501" i="55"/>
  <c r="H52" i="54"/>
  <c r="I52" i="54" s="1"/>
  <c r="AO731" i="55"/>
  <c r="AN595" i="55"/>
  <c r="AM622" i="55"/>
  <c r="AO205" i="55"/>
  <c r="AM515" i="55"/>
  <c r="AP635" i="55"/>
  <c r="AM511" i="55"/>
  <c r="AO785" i="55"/>
  <c r="AN259" i="55"/>
  <c r="AO788" i="55"/>
  <c r="AM494" i="55"/>
  <c r="AP505" i="55"/>
  <c r="AP655" i="55"/>
  <c r="AO818" i="55"/>
  <c r="AP467" i="55"/>
  <c r="AN644" i="55"/>
  <c r="AO478" i="55"/>
  <c r="AM659" i="55"/>
  <c r="F79" i="54"/>
  <c r="AP501" i="55"/>
  <c r="F8" i="24"/>
  <c r="AP731" i="55"/>
  <c r="AM796" i="55"/>
  <c r="AP631" i="55"/>
  <c r="AM197" i="55"/>
  <c r="AP794" i="55"/>
  <c r="AO502" i="55"/>
  <c r="AN496" i="55"/>
  <c r="AN599" i="55"/>
  <c r="C258" i="19"/>
  <c r="I20" i="24" s="1"/>
  <c r="AP487" i="55"/>
  <c r="AM476" i="55"/>
  <c r="AN207" i="55"/>
  <c r="AN472" i="55"/>
  <c r="AN640" i="55"/>
  <c r="AP475" i="55"/>
  <c r="AN785" i="55"/>
  <c r="G336" i="54"/>
  <c r="I336" i="54" s="1"/>
  <c r="AN292" i="55"/>
  <c r="AN610" i="55"/>
  <c r="AO520" i="55"/>
  <c r="AN653" i="55"/>
  <c r="AP522" i="55"/>
  <c r="AN775" i="55"/>
  <c r="AN209" i="55"/>
  <c r="E132" i="19"/>
  <c r="AM616" i="55"/>
  <c r="F35" i="24"/>
  <c r="AP263" i="55"/>
  <c r="AO265" i="55"/>
  <c r="F263" i="19"/>
  <c r="F83" i="54"/>
  <c r="AN632" i="55"/>
  <c r="AP625" i="55"/>
  <c r="E101" i="54"/>
  <c r="I101" i="54" s="1"/>
  <c r="AM292" i="55"/>
  <c r="F82" i="54"/>
  <c r="AM632" i="55"/>
  <c r="AP610" i="55"/>
  <c r="AM516" i="55"/>
  <c r="AP523" i="55"/>
  <c r="AN200" i="55"/>
  <c r="AO625" i="55"/>
  <c r="AM651" i="55"/>
  <c r="AM653" i="55"/>
  <c r="AO522" i="55"/>
  <c r="AM481" i="55"/>
  <c r="AM775" i="55"/>
  <c r="AP479" i="55"/>
  <c r="AO198" i="55"/>
  <c r="AN626" i="55"/>
  <c r="E337" i="54"/>
  <c r="I337" i="54" s="1"/>
  <c r="G334" i="54"/>
  <c r="I334" i="54" s="1"/>
  <c r="AM263" i="55"/>
  <c r="AP265" i="55"/>
  <c r="D279" i="19"/>
  <c r="J26" i="24" s="1"/>
  <c r="AO516" i="55"/>
  <c r="AM523" i="55"/>
  <c r="AP200" i="55"/>
  <c r="AM206" i="55"/>
  <c r="AO292" i="55"/>
  <c r="AM593" i="55"/>
  <c r="F78" i="54"/>
  <c r="AP493" i="55"/>
  <c r="AM613" i="55"/>
  <c r="AP590" i="55"/>
  <c r="D132" i="19"/>
  <c r="O6" i="24" s="1"/>
  <c r="AO526" i="55"/>
  <c r="G335" i="54"/>
  <c r="I335" i="54" s="1"/>
  <c r="H231" i="54"/>
  <c r="AP617" i="55"/>
  <c r="AP521" i="55"/>
  <c r="AO485" i="55"/>
  <c r="AO600" i="55"/>
  <c r="F13" i="24"/>
  <c r="C279" i="19"/>
  <c r="I26" i="24" s="1"/>
  <c r="AN603" i="55"/>
  <c r="F273" i="54"/>
  <c r="AN596" i="55"/>
  <c r="AO486" i="55"/>
  <c r="H165" i="54"/>
  <c r="AM601" i="55"/>
  <c r="AP656" i="55"/>
  <c r="AM634" i="55"/>
  <c r="AM605" i="55"/>
  <c r="AM482" i="55"/>
  <c r="E122" i="19"/>
  <c r="P5" i="24" s="1"/>
  <c r="AO770" i="55"/>
  <c r="AP464" i="55"/>
  <c r="AM273" i="55"/>
  <c r="D122" i="19"/>
  <c r="O5" i="24" s="1"/>
  <c r="AO525" i="55"/>
  <c r="F28" i="19"/>
  <c r="AM770" i="55"/>
  <c r="AN488" i="55"/>
  <c r="AM517" i="55"/>
  <c r="H57" i="54"/>
  <c r="AP273" i="55"/>
  <c r="AO617" i="55"/>
  <c r="AO654" i="55"/>
  <c r="AP601" i="55"/>
  <c r="AO656" i="55"/>
  <c r="AO521" i="55"/>
  <c r="E115" i="54"/>
  <c r="AN485" i="55"/>
  <c r="AO803" i="55"/>
  <c r="AM606" i="55"/>
  <c r="G58" i="54"/>
  <c r="I58" i="54" s="1"/>
  <c r="AP507" i="55"/>
  <c r="E279" i="19"/>
  <c r="K26" i="24" s="1"/>
  <c r="AN598" i="55"/>
  <c r="AM262" i="55"/>
  <c r="F293" i="54"/>
  <c r="I293" i="54" s="1"/>
  <c r="AP504" i="55"/>
  <c r="B122" i="19"/>
  <c r="M5" i="24" s="1"/>
  <c r="F294" i="54"/>
  <c r="AO615" i="55"/>
  <c r="AM491" i="55"/>
  <c r="AP770" i="55"/>
  <c r="AP201" i="55"/>
  <c r="AN509" i="55"/>
  <c r="AP630" i="55"/>
  <c r="AM607" i="55"/>
  <c r="AN273" i="55"/>
  <c r="AN617" i="55"/>
  <c r="AO601" i="55"/>
  <c r="AM656" i="55"/>
  <c r="AM521" i="55"/>
  <c r="AN591" i="55"/>
  <c r="AP508" i="55"/>
  <c r="AM485" i="55"/>
  <c r="AM803" i="55"/>
  <c r="G57" i="54"/>
  <c r="I57" i="54" s="1"/>
  <c r="AO510" i="55"/>
  <c r="B279" i="19"/>
  <c r="H26" i="24" s="1"/>
  <c r="H107" i="54"/>
  <c r="I107" i="54" s="1"/>
  <c r="C122" i="19"/>
  <c r="N5" i="24" s="1"/>
  <c r="AN597" i="55"/>
  <c r="F49" i="54"/>
  <c r="AN637" i="55"/>
  <c r="AN466" i="55"/>
  <c r="AN812" i="55"/>
  <c r="AN770" i="55"/>
  <c r="C296" i="19"/>
  <c r="N25" i="24" s="1"/>
  <c r="AP519" i="55"/>
  <c r="AN470" i="55"/>
  <c r="AN648" i="55"/>
  <c r="F48" i="19"/>
  <c r="AP787" i="55"/>
  <c r="AP662" i="55"/>
  <c r="AO492" i="55"/>
  <c r="AM595" i="55"/>
  <c r="AP622" i="55"/>
  <c r="AO487" i="55"/>
  <c r="F124" i="54"/>
  <c r="I124" i="54" s="1"/>
  <c r="AO796" i="55"/>
  <c r="AO645" i="55"/>
  <c r="AN624" i="55"/>
  <c r="AP489" i="55"/>
  <c r="AP205" i="55"/>
  <c r="AO631" i="55"/>
  <c r="AN476" i="55"/>
  <c r="AN515" i="55"/>
  <c r="AP207" i="55"/>
  <c r="AM635" i="55"/>
  <c r="AP472" i="55"/>
  <c r="AO511" i="55"/>
  <c r="AP640" i="55"/>
  <c r="AN197" i="55"/>
  <c r="AO475" i="55"/>
  <c r="AP259" i="55"/>
  <c r="AN23" i="55"/>
  <c r="AM474" i="55"/>
  <c r="F311" i="19"/>
  <c r="AN612" i="55"/>
  <c r="AN474" i="55"/>
  <c r="AM661" i="55"/>
  <c r="AP595" i="55"/>
  <c r="AO622" i="55"/>
  <c r="AM487" i="55"/>
  <c r="G225" i="54"/>
  <c r="I225" i="54" s="1"/>
  <c r="AP796" i="55"/>
  <c r="AM645" i="55"/>
  <c r="AN205" i="55"/>
  <c r="AN631" i="55"/>
  <c r="AP476" i="55"/>
  <c r="AO515" i="55"/>
  <c r="AO207" i="55"/>
  <c r="AO635" i="55"/>
  <c r="AM472" i="55"/>
  <c r="AP511" i="55"/>
  <c r="AM640" i="55"/>
  <c r="AO197" i="55"/>
  <c r="AM475" i="55"/>
  <c r="AM259" i="55"/>
  <c r="AP23" i="55"/>
  <c r="G214" i="54"/>
  <c r="I214" i="54" s="1"/>
  <c r="AM789" i="55"/>
  <c r="AN480" i="55"/>
  <c r="AM258" i="55"/>
  <c r="G171" i="54"/>
  <c r="AO604" i="55"/>
  <c r="F224" i="19"/>
  <c r="AN607" i="55"/>
  <c r="AN484" i="55"/>
  <c r="AP469" i="55"/>
  <c r="AP643" i="55"/>
  <c r="F97" i="54"/>
  <c r="I97" i="54" s="1"/>
  <c r="D226" i="54"/>
  <c r="I226" i="54" s="1"/>
  <c r="G242" i="54"/>
  <c r="I242" i="54" s="1"/>
  <c r="AN477" i="55"/>
  <c r="AN514" i="55"/>
  <c r="AM208" i="55"/>
  <c r="AO628" i="55"/>
  <c r="AO210" i="55"/>
  <c r="AO636" i="55"/>
  <c r="AM638" i="55"/>
  <c r="AO512" i="55"/>
  <c r="AP594" i="55"/>
  <c r="D273" i="54"/>
  <c r="AM608" i="55"/>
  <c r="AN473" i="55"/>
  <c r="AO663" i="55"/>
  <c r="AM468" i="55"/>
  <c r="AN199" i="55"/>
  <c r="AP598" i="55"/>
  <c r="AP257" i="55"/>
  <c r="B63" i="19"/>
  <c r="H5" i="24" s="1"/>
  <c r="D215" i="19"/>
  <c r="E25" i="24" s="1"/>
  <c r="E113" i="19"/>
  <c r="K15" i="24" s="1"/>
  <c r="B5" i="19"/>
  <c r="C5" i="24" s="1"/>
  <c r="AO641" i="55"/>
  <c r="H215" i="54"/>
  <c r="AM471" i="55"/>
  <c r="AO609" i="55"/>
  <c r="F295" i="54"/>
  <c r="AO658" i="55"/>
  <c r="AP793" i="55"/>
  <c r="H237" i="54"/>
  <c r="AN795" i="55"/>
  <c r="AM619" i="55"/>
  <c r="AO203" i="55"/>
  <c r="AP204" i="55"/>
  <c r="H291" i="54"/>
  <c r="I291" i="54" s="1"/>
  <c r="AP641" i="55"/>
  <c r="AM604" i="55"/>
  <c r="AN649" i="55"/>
  <c r="AN627" i="55"/>
  <c r="AP471" i="55"/>
  <c r="AM609" i="55"/>
  <c r="P7" i="24"/>
  <c r="E48" i="54"/>
  <c r="AO664" i="55"/>
  <c r="AO506" i="55"/>
  <c r="AM657" i="55"/>
  <c r="AO623" i="55"/>
  <c r="AP658" i="55"/>
  <c r="AN499" i="55"/>
  <c r="AO793" i="55"/>
  <c r="H196" i="54"/>
  <c r="AM795" i="55"/>
  <c r="AP619" i="55"/>
  <c r="AN463" i="55"/>
  <c r="AM203" i="55"/>
  <c r="AO204" i="55"/>
  <c r="AM497" i="55"/>
  <c r="AP607" i="55"/>
  <c r="AP652" i="55"/>
  <c r="AM469" i="55"/>
  <c r="AO643" i="55"/>
  <c r="G224" i="54"/>
  <c r="G241" i="54"/>
  <c r="I241" i="54" s="1"/>
  <c r="AP477" i="55"/>
  <c r="AM490" i="55"/>
  <c r="AM514" i="55"/>
  <c r="AN628" i="55"/>
  <c r="AP210" i="55"/>
  <c r="AM636" i="55"/>
  <c r="AO638" i="55"/>
  <c r="AP512" i="55"/>
  <c r="AO594" i="55"/>
  <c r="E53" i="54"/>
  <c r="AN608" i="55"/>
  <c r="AM473" i="55"/>
  <c r="AM663" i="55"/>
  <c r="AO468" i="55"/>
  <c r="H66" i="54"/>
  <c r="AM199" i="55"/>
  <c r="AO598" i="55"/>
  <c r="AO257" i="55"/>
  <c r="AO649" i="55"/>
  <c r="AO627" i="55"/>
  <c r="F48" i="54"/>
  <c r="AP664" i="55"/>
  <c r="AM506" i="55"/>
  <c r="AO657" i="55"/>
  <c r="AP623" i="55"/>
  <c r="AM499" i="55"/>
  <c r="H238" i="54"/>
  <c r="AM463" i="55"/>
  <c r="F168" i="19"/>
  <c r="H278" i="54"/>
  <c r="H194" i="54"/>
  <c r="AN629" i="55"/>
  <c r="AN633" i="55"/>
  <c r="F98" i="54"/>
  <c r="I98" i="54" s="1"/>
  <c r="F231" i="54"/>
  <c r="F126" i="54"/>
  <c r="I126" i="54" s="1"/>
  <c r="AN621" i="55"/>
  <c r="H288" i="54"/>
  <c r="I288" i="54" s="1"/>
  <c r="E213" i="54"/>
  <c r="I213" i="54" s="1"/>
  <c r="AO789" i="55"/>
  <c r="AO661" i="55"/>
  <c r="AO639" i="55"/>
  <c r="AO484" i="55"/>
  <c r="AM492" i="55"/>
  <c r="AM652" i="55"/>
  <c r="AO493" i="55"/>
  <c r="AN611" i="55"/>
  <c r="AN654" i="55"/>
  <c r="AO480" i="55"/>
  <c r="AN520" i="55"/>
  <c r="AO470" i="55"/>
  <c r="AP624" i="55"/>
  <c r="AO648" i="55"/>
  <c r="AN489" i="55"/>
  <c r="F273" i="19"/>
  <c r="AM591" i="55"/>
  <c r="AP634" i="55"/>
  <c r="AN508" i="55"/>
  <c r="AN208" i="55"/>
  <c r="C233" i="19"/>
  <c r="D27" i="24" s="1"/>
  <c r="AN590" i="55"/>
  <c r="AM209" i="55"/>
  <c r="AN600" i="55"/>
  <c r="AO606" i="55"/>
  <c r="AN605" i="55"/>
  <c r="AP482" i="55"/>
  <c r="AN510" i="55"/>
  <c r="AN507" i="55"/>
  <c r="H311" i="54"/>
  <c r="I311" i="54" s="1"/>
  <c r="AP258" i="55"/>
  <c r="AP262" i="55"/>
  <c r="AO261" i="55"/>
  <c r="D5" i="19"/>
  <c r="E5" i="24" s="1"/>
  <c r="AO32" i="55"/>
  <c r="AN620" i="55"/>
  <c r="AM524" i="55"/>
  <c r="AP518" i="55"/>
  <c r="AM503" i="55"/>
  <c r="AM196" i="55"/>
  <c r="H111" i="54"/>
  <c r="I111" i="54" s="1"/>
  <c r="AM465" i="55"/>
  <c r="D255" i="54"/>
  <c r="AO660" i="55"/>
  <c r="AN789" i="55"/>
  <c r="AP661" i="55"/>
  <c r="AN639" i="55"/>
  <c r="AP484" i="55"/>
  <c r="AP492" i="55"/>
  <c r="AN652" i="55"/>
  <c r="AM493" i="55"/>
  <c r="AP611" i="55"/>
  <c r="AM654" i="55"/>
  <c r="AM480" i="55"/>
  <c r="AM520" i="55"/>
  <c r="AP470" i="55"/>
  <c r="AM624" i="55"/>
  <c r="AM648" i="55"/>
  <c r="AO489" i="55"/>
  <c r="AP591" i="55"/>
  <c r="AN634" i="55"/>
  <c r="AO508" i="55"/>
  <c r="AP208" i="55"/>
  <c r="AO590" i="55"/>
  <c r="AP209" i="55"/>
  <c r="AM600" i="55"/>
  <c r="AN606" i="55"/>
  <c r="AO605" i="55"/>
  <c r="AN482" i="55"/>
  <c r="AM510" i="55"/>
  <c r="AO507" i="55"/>
  <c r="AO258" i="55"/>
  <c r="AO262" i="55"/>
  <c r="E233" i="19"/>
  <c r="F147" i="19"/>
  <c r="G277" i="54"/>
  <c r="E5" i="19"/>
  <c r="F5" i="24" s="1"/>
  <c r="E119" i="54"/>
  <c r="H310" i="54"/>
  <c r="I310" i="54" s="1"/>
  <c r="F188" i="19"/>
  <c r="AM32" i="55"/>
  <c r="G235" i="54"/>
  <c r="H110" i="54"/>
  <c r="I110" i="54" s="1"/>
  <c r="D215" i="54"/>
  <c r="E50" i="54"/>
  <c r="I50" i="54" s="1"/>
  <c r="AM647" i="55"/>
  <c r="AN495" i="55"/>
  <c r="E136" i="54"/>
  <c r="I136" i="54" s="1"/>
  <c r="AP785" i="55"/>
  <c r="AN32" i="55"/>
  <c r="AN525" i="55"/>
  <c r="H89" i="54"/>
  <c r="I89" i="54" s="1"/>
  <c r="AP637" i="55"/>
  <c r="AN615" i="55"/>
  <c r="AP491" i="55"/>
  <c r="AO593" i="55"/>
  <c r="AM812" i="55"/>
  <c r="AM486" i="55"/>
  <c r="AO201" i="55"/>
  <c r="D200" i="54"/>
  <c r="D20" i="54"/>
  <c r="D239" i="54"/>
  <c r="D198" i="54"/>
  <c r="AM509" i="55"/>
  <c r="AO630" i="55"/>
  <c r="D296" i="19"/>
  <c r="O25" i="24" s="1"/>
  <c r="B296" i="19"/>
  <c r="M25" i="24" s="1"/>
  <c r="AM464" i="55"/>
  <c r="AO488" i="55"/>
  <c r="AM519" i="55"/>
  <c r="AP517" i="55"/>
  <c r="AP498" i="55"/>
  <c r="D197" i="54"/>
  <c r="I197" i="54" s="1"/>
  <c r="F249" i="19"/>
  <c r="AO618" i="55"/>
  <c r="G81" i="54"/>
  <c r="AN202" i="55"/>
  <c r="AP651" i="55"/>
  <c r="AN646" i="55"/>
  <c r="AM195" i="55"/>
  <c r="F153" i="19"/>
  <c r="AP613" i="55"/>
  <c r="AM621" i="55"/>
  <c r="AO490" i="55"/>
  <c r="AN481" i="55"/>
  <c r="AP483" i="55"/>
  <c r="E133" i="54"/>
  <c r="I133" i="54" s="1"/>
  <c r="B233" i="19"/>
  <c r="C27" i="24" s="1"/>
  <c r="D290" i="19"/>
  <c r="J29" i="24" s="1"/>
  <c r="AN787" i="55"/>
  <c r="F183" i="19"/>
  <c r="AN479" i="55"/>
  <c r="AN526" i="55"/>
  <c r="E47" i="54"/>
  <c r="I47" i="54" s="1"/>
  <c r="AN616" i="55"/>
  <c r="AM513" i="55"/>
  <c r="H54" i="54"/>
  <c r="I54" i="54" s="1"/>
  <c r="AP198" i="55"/>
  <c r="AM626" i="55"/>
  <c r="AM500" i="55"/>
  <c r="D319" i="54"/>
  <c r="H308" i="54"/>
  <c r="I308" i="54" s="1"/>
  <c r="D299" i="54"/>
  <c r="AM504" i="55"/>
  <c r="C19" i="24"/>
  <c r="H90" i="54"/>
  <c r="I90" i="54" s="1"/>
  <c r="AM466" i="55"/>
  <c r="AO592" i="55"/>
  <c r="F43" i="19"/>
  <c r="B240" i="19"/>
  <c r="C28" i="24" s="1"/>
  <c r="AP603" i="55"/>
  <c r="AN504" i="55"/>
  <c r="E215" i="54"/>
  <c r="AM597" i="55"/>
  <c r="AP525" i="55"/>
  <c r="E46" i="54"/>
  <c r="I46" i="54" s="1"/>
  <c r="H91" i="54"/>
  <c r="I91" i="54" s="1"/>
  <c r="H87" i="54"/>
  <c r="I87" i="54" s="1"/>
  <c r="D146" i="54"/>
  <c r="AM637" i="55"/>
  <c r="AO466" i="55"/>
  <c r="AP596" i="55"/>
  <c r="AM615" i="55"/>
  <c r="AN650" i="55"/>
  <c r="AO491" i="55"/>
  <c r="AP593" i="55"/>
  <c r="AP812" i="55"/>
  <c r="AP486" i="55"/>
  <c r="AM201" i="55"/>
  <c r="AO509" i="55"/>
  <c r="AN630" i="55"/>
  <c r="E296" i="19"/>
  <c r="AO464" i="55"/>
  <c r="AP488" i="55"/>
  <c r="AN519" i="55"/>
  <c r="AN517" i="55"/>
  <c r="AO498" i="55"/>
  <c r="M8" i="24"/>
  <c r="H243" i="54"/>
  <c r="AM202" i="55"/>
  <c r="AO651" i="55"/>
  <c r="AM646" i="55"/>
  <c r="F125" i="54"/>
  <c r="I125" i="54" s="1"/>
  <c r="AN195" i="55"/>
  <c r="AN613" i="55"/>
  <c r="AP621" i="55"/>
  <c r="AP490" i="55"/>
  <c r="AP481" i="55"/>
  <c r="AO483" i="55"/>
  <c r="E94" i="54"/>
  <c r="I94" i="54" s="1"/>
  <c r="D233" i="19"/>
  <c r="E27" i="24" s="1"/>
  <c r="AO787" i="55"/>
  <c r="AO479" i="55"/>
  <c r="AM526" i="55"/>
  <c r="E64" i="54"/>
  <c r="F200" i="19"/>
  <c r="AP616" i="55"/>
  <c r="AP513" i="55"/>
  <c r="AM198" i="55"/>
  <c r="AP626" i="55"/>
  <c r="AN500" i="55"/>
  <c r="D320" i="54"/>
  <c r="H312" i="54"/>
  <c r="I312" i="54" s="1"/>
  <c r="H62" i="54"/>
  <c r="C63" i="19"/>
  <c r="I5" i="24" s="1"/>
  <c r="AP592" i="55"/>
  <c r="AM603" i="55"/>
  <c r="AP597" i="55"/>
  <c r="D100" i="54"/>
  <c r="I100" i="54" s="1"/>
  <c r="AM596" i="55"/>
  <c r="AO650" i="55"/>
  <c r="AN592" i="55"/>
  <c r="E45" i="54"/>
  <c r="I45" i="54" s="1"/>
  <c r="H86" i="54"/>
  <c r="I86" i="54" s="1"/>
  <c r="E102" i="54"/>
  <c r="I102" i="54" s="1"/>
  <c r="H88" i="54"/>
  <c r="I88" i="54" s="1"/>
  <c r="F193" i="19"/>
  <c r="F33" i="19"/>
  <c r="D193" i="54"/>
  <c r="D192" i="54"/>
  <c r="D191" i="54"/>
  <c r="H287" i="54"/>
  <c r="I287" i="54" s="1"/>
  <c r="G77" i="54"/>
  <c r="E61" i="54"/>
  <c r="H53" i="54"/>
  <c r="F20" i="24"/>
  <c r="F103" i="19"/>
  <c r="E147" i="54"/>
  <c r="D147" i="54"/>
  <c r="C215" i="19"/>
  <c r="D25" i="24" s="1"/>
  <c r="B290" i="19"/>
  <c r="H29" i="24" s="1"/>
  <c r="B285" i="19"/>
  <c r="H28" i="24" s="1"/>
  <c r="AO23" i="55"/>
  <c r="AM23" i="55"/>
  <c r="D113" i="19"/>
  <c r="J15" i="24" s="1"/>
  <c r="AM518" i="55"/>
  <c r="AO620" i="55"/>
  <c r="D240" i="19"/>
  <c r="E28" i="24" s="1"/>
  <c r="AO662" i="55"/>
  <c r="AO503" i="55"/>
  <c r="AN196" i="55"/>
  <c r="AM612" i="55"/>
  <c r="E130" i="54"/>
  <c r="I130" i="54" s="1"/>
  <c r="H109" i="54"/>
  <c r="I109" i="54" s="1"/>
  <c r="D106" i="54"/>
  <c r="I106" i="54" s="1"/>
  <c r="D62" i="54"/>
  <c r="D134" i="54"/>
  <c r="AP465" i="55"/>
  <c r="AN206" i="55"/>
  <c r="AP647" i="55"/>
  <c r="AP524" i="55"/>
  <c r="AM660" i="55"/>
  <c r="E215" i="19"/>
  <c r="AP495" i="55"/>
  <c r="AM629" i="55"/>
  <c r="AO497" i="55"/>
  <c r="AM633" i="55"/>
  <c r="AN618" i="55"/>
  <c r="F158" i="19"/>
  <c r="AM792" i="55"/>
  <c r="F230" i="54"/>
  <c r="I230" i="54" s="1"/>
  <c r="F123" i="54"/>
  <c r="I123" i="54" s="1"/>
  <c r="E63" i="19"/>
  <c r="K5" i="24" s="1"/>
  <c r="F13" i="19"/>
  <c r="E118" i="54"/>
  <c r="E95" i="54"/>
  <c r="I95" i="54" s="1"/>
  <c r="D232" i="54"/>
  <c r="I232" i="54" s="1"/>
  <c r="E113" i="54"/>
  <c r="I113" i="54" s="1"/>
  <c r="E290" i="19"/>
  <c r="F171" i="54"/>
  <c r="E40" i="54"/>
  <c r="AN261" i="55"/>
  <c r="E285" i="19"/>
  <c r="AO518" i="55"/>
  <c r="AM620" i="55"/>
  <c r="E240" i="19"/>
  <c r="F28" i="24" s="1"/>
  <c r="AN662" i="55"/>
  <c r="AN503" i="55"/>
  <c r="AO196" i="55"/>
  <c r="AO612" i="55"/>
  <c r="F24" i="24"/>
  <c r="D66" i="54"/>
  <c r="D128" i="54"/>
  <c r="I128" i="54" s="1"/>
  <c r="H33" i="54"/>
  <c r="AN465" i="55"/>
  <c r="AO206" i="55"/>
  <c r="AO647" i="55"/>
  <c r="AO524" i="55"/>
  <c r="AN660" i="55"/>
  <c r="B215" i="19"/>
  <c r="AO495" i="55"/>
  <c r="AP629" i="55"/>
  <c r="AP497" i="55"/>
  <c r="AP633" i="55"/>
  <c r="F38" i="19"/>
  <c r="AM618" i="55"/>
  <c r="AN792" i="55"/>
  <c r="D63" i="19"/>
  <c r="J5" i="24" s="1"/>
  <c r="F140" i="19"/>
  <c r="E74" i="54"/>
  <c r="I74" i="54" s="1"/>
  <c r="E117" i="54"/>
  <c r="E116" i="54"/>
  <c r="E145" i="54"/>
  <c r="C290" i="19"/>
  <c r="I29" i="24" s="1"/>
  <c r="H175" i="54"/>
  <c r="I175" i="54" s="1"/>
  <c r="F207" i="19"/>
  <c r="F77" i="54"/>
  <c r="AM261" i="55"/>
  <c r="B113" i="19"/>
  <c r="C240" i="19"/>
  <c r="D28" i="24" s="1"/>
  <c r="AP196" i="55"/>
  <c r="F21" i="19"/>
  <c r="H108" i="54"/>
  <c r="I108" i="54" s="1"/>
  <c r="H32" i="54"/>
  <c r="E129" i="54"/>
  <c r="I129" i="54" s="1"/>
  <c r="H20" i="54"/>
  <c r="AO465" i="55"/>
  <c r="F88" i="19"/>
  <c r="F72" i="19"/>
  <c r="AP792" i="55"/>
  <c r="E134" i="54"/>
  <c r="P10" i="24"/>
  <c r="E146" i="54"/>
  <c r="E114" i="54"/>
  <c r="I114" i="54" s="1"/>
  <c r="F58" i="19"/>
  <c r="F53" i="19"/>
  <c r="F81" i="54"/>
  <c r="AP261" i="55"/>
  <c r="C113" i="19"/>
  <c r="I15" i="24" s="1"/>
  <c r="D285" i="19"/>
  <c r="AN846" i="55"/>
  <c r="AP846" i="55"/>
  <c r="AO846" i="55"/>
  <c r="AM846" i="55"/>
  <c r="AP843" i="55"/>
  <c r="E321" i="19"/>
  <c r="B321" i="19"/>
  <c r="C321" i="19"/>
  <c r="D37" i="24" s="1"/>
  <c r="D42" i="24" s="1"/>
  <c r="AM843" i="55"/>
  <c r="AO843" i="55"/>
  <c r="AN843" i="55"/>
  <c r="D321" i="19"/>
  <c r="AM844" i="55"/>
  <c r="AN844" i="55"/>
  <c r="AP844" i="55"/>
  <c r="AO844" i="55"/>
  <c r="AM845" i="55"/>
  <c r="AN845" i="55"/>
  <c r="AP845" i="55"/>
  <c r="AO845" i="55"/>
  <c r="C34" i="24"/>
  <c r="F306" i="19"/>
  <c r="F316" i="19"/>
  <c r="C36" i="24"/>
  <c r="F135" i="54"/>
  <c r="I135" i="54" s="1"/>
  <c r="C38" i="24"/>
  <c r="F326" i="19"/>
  <c r="G340" i="54"/>
  <c r="I340" i="54" s="1"/>
  <c r="G339" i="54"/>
  <c r="I339" i="54" s="1"/>
  <c r="F36" i="24"/>
  <c r="G341" i="54"/>
  <c r="I341" i="54" s="1"/>
  <c r="E342" i="54"/>
  <c r="I342" i="54" s="1"/>
  <c r="F277" i="54"/>
  <c r="E278" i="54"/>
  <c r="K7" i="24"/>
  <c r="M12" i="24"/>
  <c r="F173" i="19"/>
  <c r="H145" i="54"/>
  <c r="H142" i="54"/>
  <c r="I142" i="54" s="1"/>
  <c r="H55" i="54"/>
  <c r="I55" i="54" s="1"/>
  <c r="P6" i="24"/>
  <c r="F34" i="24"/>
  <c r="G329" i="54"/>
  <c r="I329" i="54" s="1"/>
  <c r="E331" i="54"/>
  <c r="I331" i="54" s="1"/>
  <c r="G330" i="54"/>
  <c r="I330" i="54" s="1"/>
  <c r="G328" i="54"/>
  <c r="I328" i="54" s="1"/>
  <c r="H20" i="24"/>
  <c r="H7" i="24"/>
  <c r="F80" i="19"/>
  <c r="H24" i="24"/>
  <c r="F268" i="19"/>
  <c r="H11" i="24"/>
  <c r="F98" i="19"/>
  <c r="F147" i="54"/>
  <c r="H146" i="54"/>
  <c r="F27" i="24"/>
  <c r="F108" i="19"/>
  <c r="H14" i="24"/>
  <c r="F38" i="24"/>
  <c r="G349" i="54"/>
  <c r="I349" i="54" s="1"/>
  <c r="E352" i="54"/>
  <c r="I352" i="54" s="1"/>
  <c r="G351" i="54"/>
  <c r="I351" i="54" s="1"/>
  <c r="G350" i="54"/>
  <c r="I350" i="54" s="1"/>
  <c r="F146" i="54"/>
  <c r="H134" i="54"/>
  <c r="H56" i="54"/>
  <c r="I56" i="54" s="1"/>
  <c r="M6" i="24"/>
  <c r="G280" i="54"/>
  <c r="I280" i="54" s="1"/>
  <c r="D279" i="54"/>
  <c r="I279" i="54" s="1"/>
  <c r="H281" i="54"/>
  <c r="I281" i="54" s="1"/>
  <c r="I145" i="54" l="1"/>
  <c r="E160" i="54"/>
  <c r="I160" i="54" s="1"/>
  <c r="G318" i="54"/>
  <c r="I318" i="54" s="1"/>
  <c r="G319" i="54"/>
  <c r="I243" i="54"/>
  <c r="N41" i="24"/>
  <c r="I215" i="54"/>
  <c r="I48" i="54"/>
  <c r="F122" i="19"/>
  <c r="D41" i="24"/>
  <c r="O41" i="24"/>
  <c r="D83" i="54"/>
  <c r="E319" i="54"/>
  <c r="E300" i="54"/>
  <c r="I300" i="54" s="1"/>
  <c r="F258" i="19"/>
  <c r="F25" i="24"/>
  <c r="F41" i="24" s="1"/>
  <c r="E261" i="54"/>
  <c r="I261" i="54" s="1"/>
  <c r="G231" i="54"/>
  <c r="E49" i="54"/>
  <c r="I49" i="54" s="1"/>
  <c r="I53" i="54"/>
  <c r="I273" i="54"/>
  <c r="D118" i="54"/>
  <c r="I118" i="54" s="1"/>
  <c r="G305" i="54"/>
  <c r="I305" i="54" s="1"/>
  <c r="E188" i="54"/>
  <c r="I188" i="54" s="1"/>
  <c r="D119" i="54"/>
  <c r="I119" i="54" s="1"/>
  <c r="E78" i="54"/>
  <c r="G306" i="54"/>
  <c r="I306" i="54" s="1"/>
  <c r="G299" i="54"/>
  <c r="I299" i="54" s="1"/>
  <c r="E320" i="54"/>
  <c r="I320" i="54" s="1"/>
  <c r="D162" i="54"/>
  <c r="E173" i="54"/>
  <c r="I173" i="54" s="1"/>
  <c r="E189" i="54"/>
  <c r="I189" i="54" s="1"/>
  <c r="D115" i="54"/>
  <c r="I115" i="54" s="1"/>
  <c r="D120" i="54"/>
  <c r="I120" i="54" s="1"/>
  <c r="D116" i="54"/>
  <c r="I116" i="54" s="1"/>
  <c r="F279" i="19"/>
  <c r="D143" i="54"/>
  <c r="I143" i="54" s="1"/>
  <c r="D117" i="54"/>
  <c r="I117" i="54" s="1"/>
  <c r="F132" i="19"/>
  <c r="H277" i="54"/>
  <c r="I277" i="54" s="1"/>
  <c r="D121" i="54"/>
  <c r="I121" i="54" s="1"/>
  <c r="F15" i="25"/>
  <c r="F63" i="19"/>
  <c r="H34" i="25"/>
  <c r="I278" i="54"/>
  <c r="E26" i="25"/>
  <c r="E41" i="24"/>
  <c r="G39" i="25"/>
  <c r="D38" i="54"/>
  <c r="I38" i="54" s="1"/>
  <c r="E219" i="54"/>
  <c r="G165" i="54"/>
  <c r="D204" i="54"/>
  <c r="I204" i="54" s="1"/>
  <c r="D154" i="54"/>
  <c r="D37" i="54"/>
  <c r="I37" i="54" s="1"/>
  <c r="D41" i="54"/>
  <c r="I41" i="54" s="1"/>
  <c r="E192" i="54"/>
  <c r="I192" i="54" s="1"/>
  <c r="D218" i="54"/>
  <c r="D163" i="54"/>
  <c r="E186" i="54"/>
  <c r="I186" i="54" s="1"/>
  <c r="D294" i="54"/>
  <c r="I294" i="54" s="1"/>
  <c r="D78" i="54"/>
  <c r="F157" i="54"/>
  <c r="I41" i="24"/>
  <c r="G179" i="54"/>
  <c r="H32" i="25"/>
  <c r="F30" i="25"/>
  <c r="F17" i="25"/>
  <c r="G196" i="54"/>
  <c r="I196" i="54" s="1"/>
  <c r="D208" i="54"/>
  <c r="H195" i="54"/>
  <c r="I195" i="54" s="1"/>
  <c r="E171" i="54"/>
  <c r="I147" i="54"/>
  <c r="E82" i="54"/>
  <c r="D219" i="54"/>
  <c r="G62" i="54"/>
  <c r="E193" i="54"/>
  <c r="I193" i="54" s="1"/>
  <c r="E163" i="54"/>
  <c r="F215" i="19"/>
  <c r="H235" i="54"/>
  <c r="I235" i="54" s="1"/>
  <c r="F5" i="19"/>
  <c r="D234" i="54"/>
  <c r="I234" i="54" s="1"/>
  <c r="E154" i="54"/>
  <c r="G24" i="25"/>
  <c r="H199" i="54"/>
  <c r="I199" i="54" s="1"/>
  <c r="E28" i="25"/>
  <c r="H14" i="25"/>
  <c r="F27" i="25"/>
  <c r="F33" i="25"/>
  <c r="E20" i="25"/>
  <c r="G33" i="25"/>
  <c r="H286" i="54"/>
  <c r="I286" i="54" s="1"/>
  <c r="H36" i="25"/>
  <c r="E40" i="25"/>
  <c r="G36" i="25"/>
  <c r="F23" i="25"/>
  <c r="H46" i="25"/>
  <c r="E19" i="25"/>
  <c r="F73" i="54"/>
  <c r="H19" i="25"/>
  <c r="E185" i="54"/>
  <c r="E83" i="54"/>
  <c r="G27" i="25"/>
  <c r="D267" i="54"/>
  <c r="I267" i="54" s="1"/>
  <c r="H290" i="54"/>
  <c r="I290" i="54" s="1"/>
  <c r="E34" i="25"/>
  <c r="E62" i="54"/>
  <c r="G34" i="25"/>
  <c r="E18" i="25"/>
  <c r="G37" i="25"/>
  <c r="D157" i="54"/>
  <c r="E70" i="54"/>
  <c r="E207" i="54"/>
  <c r="G29" i="25"/>
  <c r="H25" i="25"/>
  <c r="F36" i="25"/>
  <c r="F233" i="19"/>
  <c r="E6" i="25"/>
  <c r="E81" i="54"/>
  <c r="G35" i="25"/>
  <c r="F19" i="25"/>
  <c r="P25" i="24"/>
  <c r="P41" i="24" s="1"/>
  <c r="E30" i="25"/>
  <c r="H16" i="25"/>
  <c r="H39" i="25"/>
  <c r="G13" i="25"/>
  <c r="I134" i="54"/>
  <c r="H259" i="54"/>
  <c r="I259" i="54" s="1"/>
  <c r="E77" i="54"/>
  <c r="F46" i="25"/>
  <c r="D295" i="54"/>
  <c r="I295" i="54" s="1"/>
  <c r="F296" i="19"/>
  <c r="E79" i="54"/>
  <c r="D70" i="54"/>
  <c r="I70" i="54" s="1"/>
  <c r="E65" i="54"/>
  <c r="E71" i="54"/>
  <c r="C332" i="19"/>
  <c r="G43" i="25"/>
  <c r="F4" i="25"/>
  <c r="H4" i="25"/>
  <c r="H44" i="25"/>
  <c r="H7" i="25"/>
  <c r="E9" i="25"/>
  <c r="E11" i="25"/>
  <c r="D73" i="54"/>
  <c r="D69" i="54"/>
  <c r="G22" i="25"/>
  <c r="G12" i="25"/>
  <c r="G10" i="25"/>
  <c r="F21" i="25"/>
  <c r="F39" i="25"/>
  <c r="H5" i="25"/>
  <c r="H28" i="25"/>
  <c r="H37" i="25"/>
  <c r="E25" i="25"/>
  <c r="E15" i="25"/>
  <c r="E41" i="25"/>
  <c r="D203" i="54"/>
  <c r="G154" i="54"/>
  <c r="G23" i="25"/>
  <c r="G17" i="25"/>
  <c r="G11" i="25"/>
  <c r="F5" i="25"/>
  <c r="F45" i="25"/>
  <c r="H29" i="25"/>
  <c r="H38" i="25"/>
  <c r="C25" i="24"/>
  <c r="C41" i="24" s="1"/>
  <c r="E24" i="25"/>
  <c r="E32" i="25"/>
  <c r="D77" i="54"/>
  <c r="D187" i="54"/>
  <c r="I187" i="54" s="1"/>
  <c r="G16" i="25"/>
  <c r="F29" i="25"/>
  <c r="E157" i="54"/>
  <c r="H227" i="54"/>
  <c r="E156" i="54"/>
  <c r="H13" i="25"/>
  <c r="D237" i="54"/>
  <c r="D82" i="54"/>
  <c r="E198" i="54"/>
  <c r="I198" i="54" s="1"/>
  <c r="D79" i="54"/>
  <c r="I79" i="54" s="1"/>
  <c r="D40" i="54"/>
  <c r="I40" i="54" s="1"/>
  <c r="E203" i="54"/>
  <c r="E162" i="54"/>
  <c r="G66" i="54"/>
  <c r="I66" i="54" s="1"/>
  <c r="E22" i="25"/>
  <c r="D81" i="54"/>
  <c r="I81" i="54" s="1"/>
  <c r="F14" i="25"/>
  <c r="E332" i="19"/>
  <c r="E231" i="54"/>
  <c r="G45" i="25"/>
  <c r="F37" i="25"/>
  <c r="G38" i="25"/>
  <c r="G28" i="25"/>
  <c r="G26" i="25"/>
  <c r="F24" i="25"/>
  <c r="F38" i="25"/>
  <c r="I146" i="54"/>
  <c r="H17" i="25"/>
  <c r="H11" i="25"/>
  <c r="H6" i="25"/>
  <c r="E31" i="25"/>
  <c r="E45" i="25"/>
  <c r="D155" i="54"/>
  <c r="D64" i="54"/>
  <c r="I64" i="54" s="1"/>
  <c r="D65" i="54"/>
  <c r="D68" i="54"/>
  <c r="G5" i="25"/>
  <c r="G30" i="25"/>
  <c r="F41" i="25"/>
  <c r="F8" i="25"/>
  <c r="F18" i="25"/>
  <c r="H40" i="25"/>
  <c r="H41" i="25"/>
  <c r="B332" i="19"/>
  <c r="E35" i="25"/>
  <c r="E17" i="25"/>
  <c r="E23" i="25"/>
  <c r="D220" i="54"/>
  <c r="E172" i="54"/>
  <c r="G206" i="54"/>
  <c r="G6" i="25"/>
  <c r="G31" i="25"/>
  <c r="F7" i="25"/>
  <c r="F43" i="25"/>
  <c r="E208" i="54"/>
  <c r="H35" i="25"/>
  <c r="H43" i="25"/>
  <c r="D171" i="54"/>
  <c r="E38" i="25"/>
  <c r="E7" i="25"/>
  <c r="D71" i="54"/>
  <c r="G41" i="25"/>
  <c r="G15" i="25"/>
  <c r="F290" i="19"/>
  <c r="E206" i="54"/>
  <c r="E221" i="54"/>
  <c r="E220" i="54"/>
  <c r="H23" i="25"/>
  <c r="D263" i="54"/>
  <c r="G33" i="54"/>
  <c r="I33" i="54" s="1"/>
  <c r="G238" i="54"/>
  <c r="I238" i="54" s="1"/>
  <c r="G32" i="54"/>
  <c r="I32" i="54" s="1"/>
  <c r="E239" i="54"/>
  <c r="I239" i="54" s="1"/>
  <c r="G194" i="54"/>
  <c r="I194" i="54" s="1"/>
  <c r="E255" i="54"/>
  <c r="I255" i="54" s="1"/>
  <c r="D185" i="54"/>
  <c r="E16" i="25"/>
  <c r="D156" i="54"/>
  <c r="E262" i="54"/>
  <c r="D289" i="54"/>
  <c r="I289" i="54" s="1"/>
  <c r="G4" i="25"/>
  <c r="G21" i="25"/>
  <c r="G46" i="25"/>
  <c r="F44" i="25"/>
  <c r="F11" i="25"/>
  <c r="F13" i="25"/>
  <c r="H15" i="25"/>
  <c r="H10" i="25"/>
  <c r="E12" i="25"/>
  <c r="E13" i="25"/>
  <c r="E39" i="25"/>
  <c r="D61" i="54"/>
  <c r="I61" i="54" s="1"/>
  <c r="G9" i="25"/>
  <c r="G19" i="25"/>
  <c r="G40" i="25"/>
  <c r="F28" i="25"/>
  <c r="F42" i="25"/>
  <c r="F32" i="25"/>
  <c r="H20" i="25"/>
  <c r="H45" i="25"/>
  <c r="H24" i="25"/>
  <c r="E10" i="25"/>
  <c r="E4" i="25"/>
  <c r="E14" i="25"/>
  <c r="D207" i="54"/>
  <c r="G155" i="54"/>
  <c r="G32" i="25"/>
  <c r="G14" i="25"/>
  <c r="F25" i="25"/>
  <c r="H18" i="25"/>
  <c r="E44" i="25"/>
  <c r="E174" i="54"/>
  <c r="I174" i="54" s="1"/>
  <c r="D221" i="54"/>
  <c r="D39" i="54"/>
  <c r="I39" i="54" s="1"/>
  <c r="G20" i="25"/>
  <c r="E155" i="54"/>
  <c r="E224" i="54"/>
  <c r="I224" i="54" s="1"/>
  <c r="E218" i="54"/>
  <c r="G237" i="54"/>
  <c r="I237" i="54" s="1"/>
  <c r="D202" i="54"/>
  <c r="I202" i="54" s="1"/>
  <c r="D262" i="54"/>
  <c r="E200" i="54"/>
  <c r="I200" i="54" s="1"/>
  <c r="E191" i="54"/>
  <c r="I191" i="54" s="1"/>
  <c r="G63" i="54"/>
  <c r="I63" i="54" s="1"/>
  <c r="D165" i="54"/>
  <c r="I165" i="54" s="1"/>
  <c r="E20" i="54"/>
  <c r="I20" i="54" s="1"/>
  <c r="D206" i="54"/>
  <c r="E73" i="54"/>
  <c r="F240" i="19"/>
  <c r="H34" i="54"/>
  <c r="I34" i="54" s="1"/>
  <c r="E263" i="54"/>
  <c r="H9" i="25"/>
  <c r="G25" i="25"/>
  <c r="E21" i="25"/>
  <c r="F221" i="54"/>
  <c r="F206" i="54"/>
  <c r="F154" i="54"/>
  <c r="F207" i="54"/>
  <c r="F113" i="19"/>
  <c r="H15" i="24"/>
  <c r="H41" i="24" s="1"/>
  <c r="F219" i="54"/>
  <c r="F218" i="54"/>
  <c r="J28" i="24"/>
  <c r="J41" i="24" s="1"/>
  <c r="F285" i="19"/>
  <c r="F155" i="54"/>
  <c r="F220" i="54"/>
  <c r="F156" i="54"/>
  <c r="K28" i="24"/>
  <c r="G157" i="54"/>
  <c r="G156" i="54"/>
  <c r="G207" i="54"/>
  <c r="G228" i="54"/>
  <c r="K29" i="24"/>
  <c r="E158" i="54"/>
  <c r="I158" i="54" s="1"/>
  <c r="F262" i="54"/>
  <c r="E69" i="54"/>
  <c r="F72" i="54"/>
  <c r="I72" i="54" s="1"/>
  <c r="F71" i="54"/>
  <c r="H258" i="54"/>
  <c r="F228" i="54"/>
  <c r="F227" i="54"/>
  <c r="H181" i="54"/>
  <c r="I181" i="54" s="1"/>
  <c r="H262" i="54"/>
  <c r="F208" i="54"/>
  <c r="H222" i="54"/>
  <c r="I222" i="54" s="1"/>
  <c r="E68" i="54"/>
  <c r="H180" i="54"/>
  <c r="I180" i="54" s="1"/>
  <c r="H228" i="54"/>
  <c r="F258" i="54"/>
  <c r="H171" i="54"/>
  <c r="H172" i="54"/>
  <c r="F163" i="54"/>
  <c r="H184" i="54"/>
  <c r="I184" i="54" s="1"/>
  <c r="H179" i="54"/>
  <c r="F9" i="25"/>
  <c r="G18" i="25"/>
  <c r="G8" i="25"/>
  <c r="F31" i="25"/>
  <c r="F6" i="25"/>
  <c r="F35" i="25"/>
  <c r="H33" i="25"/>
  <c r="H27" i="25"/>
  <c r="H22" i="25"/>
  <c r="E42" i="25"/>
  <c r="E36" i="25"/>
  <c r="E46" i="25"/>
  <c r="E29" i="25"/>
  <c r="F12" i="25"/>
  <c r="F22" i="25"/>
  <c r="F16" i="25"/>
  <c r="H8" i="25"/>
  <c r="H42" i="25"/>
  <c r="H21" i="25"/>
  <c r="E37" i="25"/>
  <c r="E43" i="25"/>
  <c r="G7" i="25"/>
  <c r="G44" i="25"/>
  <c r="G42" i="25"/>
  <c r="F10" i="25"/>
  <c r="F20" i="25"/>
  <c r="H31" i="25"/>
  <c r="H26" i="25"/>
  <c r="E33" i="25"/>
  <c r="E27" i="25"/>
  <c r="F34" i="25"/>
  <c r="F40" i="25"/>
  <c r="F26" i="25"/>
  <c r="H30" i="25"/>
  <c r="E5" i="25"/>
  <c r="E8" i="25"/>
  <c r="H12" i="25"/>
  <c r="G344" i="54"/>
  <c r="I344" i="54" s="1"/>
  <c r="G346" i="54"/>
  <c r="I346" i="54" s="1"/>
  <c r="F37" i="24"/>
  <c r="F42" i="24" s="1"/>
  <c r="G345" i="54"/>
  <c r="I345" i="54" s="1"/>
  <c r="E347" i="54"/>
  <c r="I347" i="54" s="1"/>
  <c r="E37" i="24"/>
  <c r="E42" i="24" s="1"/>
  <c r="D332" i="19"/>
  <c r="C37" i="24"/>
  <c r="C42" i="24" s="1"/>
  <c r="F321" i="19"/>
  <c r="I78" i="54"/>
  <c r="M41" i="24"/>
  <c r="I319" i="54" l="1"/>
  <c r="I65" i="54"/>
  <c r="I179" i="54"/>
  <c r="I68" i="54"/>
  <c r="I220" i="54"/>
  <c r="I185" i="54"/>
  <c r="I227" i="54"/>
  <c r="I83" i="54"/>
  <c r="I162" i="54"/>
  <c r="I62" i="54"/>
  <c r="I231" i="54"/>
  <c r="I157" i="54"/>
  <c r="I219" i="54"/>
  <c r="I154" i="54"/>
  <c r="I77" i="54"/>
  <c r="I82" i="54"/>
  <c r="I208" i="54"/>
  <c r="I69" i="54"/>
  <c r="I163" i="54"/>
  <c r="K41" i="24"/>
  <c r="I206" i="54"/>
  <c r="I171" i="54"/>
  <c r="I218" i="54"/>
  <c r="I172" i="54"/>
  <c r="I262" i="54"/>
  <c r="I156" i="54"/>
  <c r="I221" i="54"/>
  <c r="I263" i="54"/>
  <c r="I71" i="54"/>
  <c r="I155" i="54"/>
  <c r="I203" i="54"/>
  <c r="F332" i="19"/>
  <c r="I73" i="54"/>
  <c r="I207" i="54"/>
  <c r="I258" i="54"/>
  <c r="I228" i="54"/>
</calcChain>
</file>

<file path=xl/comments1.xml><?xml version="1.0" encoding="utf-8"?>
<comments xmlns="http://schemas.openxmlformats.org/spreadsheetml/2006/main">
  <authors>
    <author>roule</author>
    <author>ben bac</author>
  </authors>
  <commentList>
    <comment ref="B7" authorId="0">
      <text>
        <r>
          <rPr>
            <b/>
            <sz val="9"/>
            <color indexed="81"/>
            <rFont val="Tahoma"/>
            <family val="2"/>
          </rPr>
          <t>maître d'ouvrage</t>
        </r>
      </text>
    </comment>
    <comment ref="B8" authorId="0">
      <text>
        <r>
          <rPr>
            <b/>
            <sz val="9"/>
            <color indexed="81"/>
            <rFont val="Tahoma"/>
            <family val="2"/>
          </rPr>
          <t>responsable, participants</t>
        </r>
      </text>
    </comment>
    <comment ref="B9" authorId="0">
      <text>
        <r>
          <rPr>
            <b/>
            <sz val="9"/>
            <color indexed="81"/>
            <rFont val="Tahoma"/>
            <family val="2"/>
          </rPr>
          <t>maître d'oeuvre</t>
        </r>
      </text>
    </comment>
    <comment ref="B11" authorId="1">
      <text>
        <r>
          <rPr>
            <b/>
            <sz val="9"/>
            <color indexed="81"/>
            <rFont val="Tahoma"/>
            <family val="2"/>
          </rPr>
          <t>Risque? ISMS? certification? Continuité de l'activité?</t>
        </r>
      </text>
    </comment>
    <comment ref="B12" authorId="1">
      <text>
        <r>
          <rPr>
            <b/>
            <sz val="9"/>
            <color indexed="81"/>
            <rFont val="Tahoma"/>
            <family val="2"/>
          </rPr>
          <t>Date-objectifs-résultats-référence</t>
        </r>
      </text>
    </comment>
    <comment ref="B13" authorId="1">
      <text>
        <r>
          <rPr>
            <b/>
            <sz val="9"/>
            <color indexed="81"/>
            <rFont val="Tahoma"/>
            <family val="2"/>
          </rPr>
          <t>Date-objectifs-résultats-référence</t>
        </r>
      </text>
    </comment>
    <comment ref="B17" authorId="0">
      <text>
        <r>
          <rPr>
            <b/>
            <sz val="9"/>
            <color indexed="81"/>
            <rFont val="Tahoma"/>
            <family val="2"/>
          </rPr>
          <t>Comité de direction</t>
        </r>
      </text>
    </comment>
    <comment ref="B19" authorId="0">
      <text>
        <r>
          <rPr>
            <b/>
            <sz val="9"/>
            <color indexed="81"/>
            <rFont val="Tahoma"/>
            <family val="2"/>
          </rPr>
          <t xml:space="preserve"> SMSI interne, certification 27001;
données personnelles, PCA/PRA ?</t>
        </r>
      </text>
    </comment>
    <comment ref="B26" authorId="0">
      <text>
        <r>
          <rPr>
            <b/>
            <sz val="9"/>
            <color indexed="81"/>
            <rFont val="Tahoma"/>
            <family val="2"/>
          </rPr>
          <t>concernant l'évaluation des risques</t>
        </r>
      </text>
    </comment>
    <comment ref="B27" authorId="0">
      <text>
        <r>
          <rPr>
            <b/>
            <sz val="9"/>
            <color indexed="81"/>
            <rFont val="Tahoma"/>
            <family val="2"/>
          </rPr>
          <t>décision, budget prévisionnel, objectifs</t>
        </r>
      </text>
    </comment>
    <comment ref="B28" authorId="0">
      <text>
        <r>
          <rPr>
            <b/>
            <sz val="9"/>
            <color indexed="81"/>
            <rFont val="Tahoma"/>
            <family val="2"/>
          </rPr>
          <t>cellules décision de la feuille plans_action</t>
        </r>
      </text>
    </comment>
    <comment ref="B30" authorId="0">
      <text>
        <r>
          <rPr>
            <b/>
            <sz val="9"/>
            <color indexed="81"/>
            <rFont val="Tahoma"/>
            <family val="2"/>
          </rPr>
          <t>cellules décision de la feuille plans_action</t>
        </r>
      </text>
    </comment>
  </commentList>
</comments>
</file>

<file path=xl/comments2.xml><?xml version="1.0" encoding="utf-8"?>
<comments xmlns="http://schemas.openxmlformats.org/spreadsheetml/2006/main">
  <authors>
    <author>ben bac</author>
    <author>Jean Louis Roule</author>
  </authors>
  <commentList>
    <comment ref="C2" authorId="0">
      <text>
        <r>
          <rPr>
            <sz val="9"/>
            <color indexed="81"/>
            <rFont val="Tahoma"/>
            <family val="2"/>
          </rPr>
          <t>Exclusion si 0</t>
        </r>
      </text>
    </comment>
    <comment ref="D3" authorId="1">
      <text>
        <r>
          <rPr>
            <b/>
            <sz val="9"/>
            <color indexed="81"/>
            <rFont val="Arial"/>
            <family val="2"/>
          </rPr>
          <t>Disponibilité</t>
        </r>
      </text>
    </comment>
    <comment ref="E3" authorId="1">
      <text>
        <r>
          <rPr>
            <b/>
            <sz val="9"/>
            <color indexed="81"/>
            <rFont val="Arial"/>
            <family val="2"/>
          </rPr>
          <t>Intégrité</t>
        </r>
      </text>
    </comment>
    <comment ref="F3" authorId="1">
      <text>
        <r>
          <rPr>
            <b/>
            <sz val="9"/>
            <color indexed="81"/>
            <rFont val="Arial"/>
            <family val="2"/>
          </rPr>
          <t>Confidentialité</t>
        </r>
      </text>
    </comment>
  </commentList>
</comments>
</file>

<file path=xl/comments3.xml><?xml version="1.0" encoding="utf-8"?>
<comments xmlns="http://schemas.openxmlformats.org/spreadsheetml/2006/main">
  <authors>
    <author>ben bac</author>
  </authors>
  <commentList>
    <comment ref="C2" authorId="0">
      <text>
        <r>
          <rPr>
            <sz val="9"/>
            <color indexed="81"/>
            <rFont val="Tahoma"/>
            <family val="2"/>
          </rPr>
          <t xml:space="preserve">Exclusion si 0
</t>
        </r>
      </text>
    </comment>
  </commentList>
</comments>
</file>

<file path=xl/comments4.xml><?xml version="1.0" encoding="utf-8"?>
<comments xmlns="http://schemas.openxmlformats.org/spreadsheetml/2006/main">
  <authors>
    <author>ben bac</author>
    <author>Jean Louis Roule</author>
  </authors>
  <commentList>
    <comment ref="C2" authorId="0">
      <text>
        <r>
          <rPr>
            <sz val="9"/>
            <color indexed="81"/>
            <rFont val="Tahoma"/>
            <family val="2"/>
          </rPr>
          <t>Exclusion si 0</t>
        </r>
      </text>
    </comment>
    <comment ref="D3" authorId="1">
      <text>
        <r>
          <rPr>
            <b/>
            <sz val="9"/>
            <color indexed="81"/>
            <rFont val="Arial"/>
            <family val="2"/>
          </rPr>
          <t>Exigence d'efficience</t>
        </r>
      </text>
    </comment>
    <comment ref="D6" authorId="1">
      <text>
        <r>
          <rPr>
            <b/>
            <sz val="9"/>
            <color indexed="81"/>
            <rFont val="Arial"/>
            <family val="2"/>
          </rPr>
          <t>Valeur de 1 à 4</t>
        </r>
      </text>
    </comment>
  </commentList>
</comments>
</file>

<file path=xl/comments5.xml><?xml version="1.0" encoding="utf-8"?>
<comments xmlns="http://schemas.openxmlformats.org/spreadsheetml/2006/main">
  <authors>
    <author>ben bac</author>
  </authors>
  <commentList>
    <comment ref="F1" authorId="0">
      <text>
        <r>
          <rPr>
            <sz val="9"/>
            <color indexed="81"/>
            <rFont val="Tahoma"/>
            <family val="2"/>
          </rPr>
          <t>Pour désélectionner un actif, mettre 0</t>
        </r>
      </text>
    </comment>
  </commentList>
</comments>
</file>

<file path=xl/comments6.xml><?xml version="1.0" encoding="utf-8"?>
<comments xmlns="http://schemas.openxmlformats.org/spreadsheetml/2006/main">
  <authors>
    <author>roule</author>
  </authors>
  <commentList>
    <comment ref="F2" authorId="0">
      <text>
        <r>
          <rPr>
            <b/>
            <sz val="9"/>
            <color indexed="81"/>
            <rFont val="Tahoma"/>
            <family val="2"/>
          </rPr>
          <t>valeur de 
1 très improbable à 
4 très probable</t>
        </r>
      </text>
    </comment>
    <comment ref="H2" authorId="0">
      <text>
        <r>
          <rPr>
            <b/>
            <sz val="9"/>
            <color indexed="81"/>
            <rFont val="Tahoma"/>
            <family val="2"/>
          </rPr>
          <t>1= considérer
0= omettre dans les calculs de risque</t>
        </r>
      </text>
    </comment>
  </commentList>
</comments>
</file>

<file path=xl/comments7.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8.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9.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0.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1.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2.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3.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4.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5.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6.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7.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8.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19.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 ref="J2" authorId="0">
      <text>
        <r>
          <rPr>
            <b/>
            <sz val="9"/>
            <color indexed="81"/>
            <rFont val="Tahoma"/>
            <family val="2"/>
          </rPr>
          <t>E pour l'efficacité
R pour la robustesse
C pour la continuité</t>
        </r>
      </text>
    </comment>
    <comment ref="K2" authorId="0">
      <text>
        <r>
          <rPr>
            <b/>
            <sz val="9"/>
            <color indexed="81"/>
            <rFont val="Tahoma"/>
            <family val="2"/>
          </rPr>
          <t>Mesures pour ISO 27002:2013</t>
        </r>
        <r>
          <rPr>
            <sz val="9"/>
            <color indexed="81"/>
            <rFont val="Tahoma"/>
            <family val="2"/>
          </rPr>
          <t xml:space="preserve">
</t>
        </r>
      </text>
    </comment>
    <comment ref="L2" authorId="0">
      <text>
        <r>
          <rPr>
            <b/>
            <sz val="9"/>
            <color indexed="81"/>
            <rFont val="Tahoma"/>
            <family val="2"/>
          </rPr>
          <t>Mesures pour ISO 27002:2005</t>
        </r>
        <r>
          <rPr>
            <sz val="9"/>
            <color indexed="81"/>
            <rFont val="Tahoma"/>
            <family val="2"/>
          </rPr>
          <t xml:space="preserve">
</t>
        </r>
      </text>
    </comment>
  </commentList>
</comments>
</file>

<file path=xl/comments20.xml><?xml version="1.0" encoding="utf-8"?>
<comments xmlns="http://schemas.openxmlformats.org/spreadsheetml/2006/main">
  <authors>
    <author>ben bac</author>
  </authors>
  <commentList>
    <comment ref="C2" authorId="0">
      <text>
        <r>
          <rPr>
            <b/>
            <sz val="9"/>
            <color indexed="81"/>
            <rFont val="Tahoma"/>
            <family val="2"/>
          </rPr>
          <t>Réponse pour variante 1</t>
        </r>
      </text>
    </comment>
    <comment ref="D2" authorId="0">
      <text>
        <r>
          <rPr>
            <b/>
            <sz val="9"/>
            <color indexed="81"/>
            <rFont val="Tahoma"/>
            <family val="2"/>
          </rPr>
          <t>Réponse pour variante 2</t>
        </r>
      </text>
    </comment>
    <comment ref="E2" authorId="0">
      <text>
        <r>
          <rPr>
            <b/>
            <sz val="9"/>
            <color indexed="81"/>
            <rFont val="Tahoma"/>
            <family val="2"/>
          </rPr>
          <t>Réponse pour variante 3</t>
        </r>
      </text>
    </comment>
    <comment ref="F2" authorId="0">
      <text>
        <r>
          <rPr>
            <b/>
            <sz val="9"/>
            <color indexed="81"/>
            <rFont val="Tahoma"/>
            <family val="2"/>
          </rPr>
          <t>Réponse pour variante 4</t>
        </r>
      </text>
    </comment>
    <comment ref="G2" authorId="0">
      <text>
        <r>
          <rPr>
            <b/>
            <sz val="9"/>
            <color indexed="81"/>
            <rFont val="Tahoma"/>
            <family val="2"/>
          </rPr>
          <t>Poids de la mesure</t>
        </r>
        <r>
          <rPr>
            <sz val="9"/>
            <color indexed="81"/>
            <rFont val="Tahoma"/>
            <family val="2"/>
          </rPr>
          <t xml:space="preserve">
</t>
        </r>
      </text>
    </comment>
  </commentList>
</comments>
</file>

<file path=xl/comments21.xml><?xml version="1.0" encoding="utf-8"?>
<comments xmlns="http://schemas.openxmlformats.org/spreadsheetml/2006/main">
  <authors>
    <author>ben bac</author>
  </authors>
  <commentList>
    <comment ref="D4" authorId="0">
      <text>
        <r>
          <rPr>
            <sz val="9"/>
            <color indexed="81"/>
            <rFont val="Tahoma"/>
            <family val="2"/>
          </rPr>
          <t>Thèmes de sécurité Mehari</t>
        </r>
      </text>
    </comment>
    <comment ref="I4" authorId="0">
      <text>
        <r>
          <rPr>
            <b/>
            <sz val="9"/>
            <color indexed="81"/>
            <rFont val="Tahoma"/>
            <family val="2"/>
          </rPr>
          <t>Niveau de qualité actuel</t>
        </r>
        <r>
          <rPr>
            <sz val="9"/>
            <color indexed="81"/>
            <rFont val="Tahoma"/>
            <family val="2"/>
          </rPr>
          <t xml:space="preserve">
</t>
        </r>
      </text>
    </comment>
    <comment ref="J4" authorId="0">
      <text>
        <r>
          <rPr>
            <b/>
            <sz val="9"/>
            <color indexed="81"/>
            <rFont val="Tahoma"/>
            <family val="2"/>
          </rPr>
          <t>Sur la base de projets achevés à jour ou plans d'action, en fonction de l'option choisie</t>
        </r>
        <r>
          <rPr>
            <sz val="9"/>
            <color indexed="81"/>
            <rFont val="Tahoma"/>
            <family val="2"/>
          </rPr>
          <t xml:space="preserve">
</t>
        </r>
      </text>
    </comment>
  </commentList>
</comments>
</file>

<file path=xl/comments22.xml><?xml version="1.0" encoding="utf-8"?>
<comments xmlns="http://schemas.openxmlformats.org/spreadsheetml/2006/main">
  <authors>
    <author>Jean Louis Roule</author>
    <author>roule</author>
  </authors>
  <commentList>
    <comment ref="G2" authorId="0">
      <text>
        <r>
          <rPr>
            <b/>
            <sz val="9"/>
            <color indexed="81"/>
            <rFont val="Arial"/>
            <family val="2"/>
          </rPr>
          <t>Valeur 1 par défaut
1=inclus dans la ddA
0 si non inclus</t>
        </r>
      </text>
    </comment>
    <comment ref="F3" authorId="1">
      <text>
        <r>
          <rPr>
            <b/>
            <sz val="9"/>
            <color indexed="81"/>
            <rFont val="Tahoma"/>
            <family val="2"/>
          </rPr>
          <t>Valeur de 0 à 10, calculée suite aux réponses aux questionnaires
d'audit.</t>
        </r>
      </text>
    </comment>
  </commentList>
</comments>
</file>

<file path=xl/comments23.xml><?xml version="1.0" encoding="utf-8"?>
<comments xmlns="http://schemas.openxmlformats.org/spreadsheetml/2006/main">
  <authors>
    <author>Jean Louis Roule</author>
    <author>ben bac</author>
    <author>Jean-Philippe Jouas</author>
  </authors>
  <commentList>
    <comment ref="P2" authorId="0">
      <text>
        <r>
          <rPr>
            <b/>
            <sz val="9"/>
            <color indexed="81"/>
            <rFont val="Arial"/>
            <family val="2"/>
          </rPr>
          <t>1=  sélectionné
0= non sélectionné</t>
        </r>
      </text>
    </comment>
    <comment ref="Q2" authorId="1">
      <text>
        <r>
          <rPr>
            <sz val="9"/>
            <color indexed="81"/>
            <rFont val="Tahoma"/>
            <family val="2"/>
          </rPr>
          <t xml:space="preserve">A: accident
E: erreur
M: malevolence ou action volontaire
</t>
        </r>
      </text>
    </comment>
    <comment ref="R2" authorId="1">
      <text>
        <r>
          <rPr>
            <sz val="9"/>
            <color indexed="81"/>
            <rFont val="Tahoma"/>
            <family val="2"/>
          </rPr>
          <t>D: Disponibilité
I: Intégrité 
C: Confidentialité
E: Efficacité</t>
        </r>
      </text>
    </comment>
    <comment ref="AG2" authorId="1">
      <text>
        <r>
          <rPr>
            <sz val="9"/>
            <color indexed="81"/>
            <rFont val="Tahoma"/>
            <family val="2"/>
          </rPr>
          <t>A= accepter le risque en l'état
T=partager ou transférer le risque</t>
        </r>
      </text>
    </comment>
    <comment ref="C3" authorId="1">
      <text>
        <r>
          <rPr>
            <b/>
            <sz val="9"/>
            <color indexed="81"/>
            <rFont val="Tahoma"/>
            <family val="2"/>
          </rPr>
          <t xml:space="preserve">C01 : à la protection des renseignements personnels 
C02 : à la communication financière 
C03 : à la vérification de la comptabilité informatisée 
C04 : à la protection de la propriété intellectuelle 
C05 : à la protection des systèmes informatisés 
C06 : à la sécurité des personnes et à la protection de l'environnement 
D01 : de données applicatives 
D02 : bureautiques partagés 
D03 : bureautiques personnels  
D04 : écrits ou imprimés détenus par les utilisateurs 
D05 : Listings ou états imprimés des applications informatiques 
D06a : messages ou transactions en attente de traitement 
D06b : données (individuellement) sensibles 
D06c : messages ou données en transit 
D07 : courrier électronique en cours d'envoi ou de réception 
D08 : courrier (postal) et télécopies 
D09 : d'archives patrimoniales ou documentaires ou de documents importants à conserver sur une longue période 
D10 : d'archives informatiques 
D11 : de données publiées sur des sites publics ou internes 
G01 : Environnement de travail des utilisateurs 
G02 : de services de télécommunication (voix, télécopies, visioconférence, etc.) 
R01 : de services du réseau étendu 
R02 : de services du réseau local 
S01 : de services applicatifs 
S02 : de services bureautiques communs 
S03 : d'équipements mis à la disposition des utilisateurs 
S04 : de services systèmes communs 
S05 : de services de publication d'informations sur un site web interne ou public 
S06 : Services applicatifs spécifiques des utilisateurs (développements propres) </t>
        </r>
        <r>
          <rPr>
            <sz val="9"/>
            <color indexed="81"/>
            <rFont val="Tahoma"/>
            <family val="2"/>
          </rPr>
          <t xml:space="preserve">
</t>
        </r>
      </text>
    </comment>
    <comment ref="D3" authorId="1">
      <text>
        <r>
          <rPr>
            <sz val="9"/>
            <color indexed="81"/>
            <rFont val="Tahoma"/>
            <family val="2"/>
          </rPr>
          <t>D : Disponibilité
I : Intégrité
C : Confidentialité
E: Efficacité</t>
        </r>
      </text>
    </comment>
    <comment ref="N3" authorId="2">
      <text>
        <r>
          <rPr>
            <sz val="9"/>
            <color indexed="81"/>
            <rFont val="Tahoma"/>
            <family val="2"/>
          </rPr>
          <t xml:space="preserve">D : un membre du personnel de développement
E : un membre du personnel d'exploitation
M : un membre du personnel de maintenance
Pa : un membre  du personnel autorisé
Per : un membre du personnel de l'entreprise
Pna : un membre du personnel non autorisé
Pse : un membre du personnel de service
Tie : un tiers non autorisé
Tve : des vandales ou des terroristes agissant depuis l'extérieur
Tvi : des vandales ou des terroristes agissant depuis l'intérieur (après intrusion)
Ua : un utilisateur autorisé
Uai : un utilisateur autorisé illégitime
Ual : un utilisateur autorisé légitime
Una : un utilisateur non autorisé
Vis : un visiteur
</t>
        </r>
      </text>
    </comment>
    <comment ref="J4" authorId="2">
      <text>
        <r>
          <rPr>
            <sz val="9"/>
            <color indexed="81"/>
            <rFont val="Tahoma"/>
            <family val="2"/>
          </rPr>
          <t xml:space="preserve">Arc : dans les locaux d'archives
Bur : dans les bureaux
Dis : dans le circuit de distribution
Exp : dans les locaux de l'exploitation
Ext : en dehors de l'entreprise
Loc : dans le local du courrier
Lof : dans le local de télécopie
Méd  : en médiathèque
</t>
        </r>
      </text>
    </comment>
    <comment ref="K4" authorId="2">
      <text>
        <r>
          <rPr>
            <sz val="9"/>
            <color indexed="81"/>
            <rFont val="Tahoma"/>
            <family val="2"/>
          </rPr>
          <t xml:space="preserve">Abs : en l'absence de l'utilisateur
Hho : en dehors des heures ouvrables
Hou : pendant les heures ouvrables
</t>
        </r>
      </text>
    </comment>
    <comment ref="L4" authorId="2">
      <text>
        <r>
          <rPr>
            <sz val="9"/>
            <color indexed="81"/>
            <rFont val="Tahoma"/>
            <family val="2"/>
          </rPr>
          <t xml:space="preserve">Aem : par captation électro-magnétiques
Aerl : se connectant, depuis l'extérieur, au réseau local
Ain : se connectant depuis le réseau interne
Amdertm : après modification distante d'un équipement de réseau, utilisant une liaison de télémaintenance
Amderuf : après modification distante d'un équipement de réseau, utilisant une faille non corrigée
Amer : après modification d'un équipement de réseau
Apc : se connectant directement au poste de travail
Are : se connectant sur le réseau étendu
Aru : ayant accès à des ressources utilisateurs non effacées après utilisation.
Asan : se connectant sur un réseau de stockage
Atm : se connectant par un port de télémaintenance
Auie : ayant connecté un équipement usurpant l'identité d'une entité connectée au réseau étendu
Auis : par usurpation de l'identité d'un serveur applicatif
</t>
        </r>
      </text>
    </comment>
    <comment ref="M4" authorId="2">
      <text>
        <r>
          <rPr>
            <sz val="9"/>
            <color indexed="81"/>
            <rFont val="Tahoma"/>
            <family val="2"/>
          </rPr>
          <t xml:space="preserve">Act : ouvert sur le poste de travail
Are : lors d'accès au réseau depuis l'extérieur
Col : en cours de collecte ou de diffusion
Con : lors de la connexion au service
Crc : dans le circuit de ramassage des corbeilles à papiers
Dif : lors de la diffusion
Emi : lors de l'émission ou de la réception
Ere : lors d'échanges sur le réseau étendu
Erl : lors d'échanges sur le réseau local
Exp : en exploitation
Imp : lors de l'impression sur une imprimante partagée
Mac : lors d'une opération de maintenance à chaud
Mai : lors d'une opération de maintenance
Mal : lors d'une opération de maintenance logicielle
Mam : lors d'une opération de maintenance matérielle
Res : lors de la remise en service après intervention
Ste : lors du stockage externalisé
Sti : lors du stockage sur site
Stm : stocké sur media amovible
Stp : stocké sur le poste de travail
Tde : lors de tests de développement
Tran : pendant le transport entre sites
Tru : lors de traitements utilisateurs
</t>
        </r>
      </text>
    </comment>
    <comment ref="AA4" authorId="0">
      <text>
        <r>
          <rPr>
            <sz val="9"/>
            <color indexed="81"/>
            <rFont val="Arial"/>
            <family val="2"/>
          </rPr>
          <t>Mode expert
1= confinable
0= non confinable</t>
        </r>
      </text>
    </comment>
    <comment ref="AB4" authorId="0">
      <text>
        <r>
          <rPr>
            <b/>
            <sz val="9"/>
            <color indexed="81"/>
            <rFont val="Arial"/>
            <family val="2"/>
          </rPr>
          <t>Mode expert
Niveau d'impact décidé
De 1 à 4</t>
        </r>
      </text>
    </comment>
    <comment ref="AC4" authorId="0">
      <text>
        <r>
          <rPr>
            <b/>
            <sz val="9"/>
            <color indexed="81"/>
            <rFont val="Arial"/>
            <family val="2"/>
          </rPr>
          <t>Mode expert
Exposition décidée
de 1 à 4</t>
        </r>
      </text>
    </comment>
    <comment ref="AJ6" authorId="2">
      <text>
        <r>
          <rPr>
            <sz val="9"/>
            <color indexed="81"/>
            <rFont val="Tahoma"/>
            <family val="2"/>
          </rPr>
          <t xml:space="preserve">08A03 : Contrôle de la mise en production de nouveaux systèmes ou d'évolutions de systèmes existants
</t>
        </r>
      </text>
    </comment>
    <comment ref="AK6" authorId="2">
      <text>
        <r>
          <rPr>
            <sz val="9"/>
            <color indexed="81"/>
            <rFont val="Tahoma"/>
            <family val="2"/>
          </rPr>
          <t xml:space="preserve">08E03 : Gestion et traitement des incidents systèmes et applicatifs
</t>
        </r>
      </text>
    </comment>
    <comment ref="AL6" authorId="2">
      <text>
        <r>
          <rPr>
            <sz val="9"/>
            <color indexed="81"/>
            <rFont val="Tahoma"/>
            <family val="2"/>
          </rPr>
          <t xml:space="preserve">08D05 : Sauvegarde des données applicatives
</t>
        </r>
      </text>
    </comment>
    <comment ref="AL7" authorId="2">
      <text>
        <r>
          <rPr>
            <sz val="9"/>
            <color indexed="81"/>
            <rFont val="Tahoma"/>
            <family val="2"/>
          </rPr>
          <t xml:space="preserve">08D05 : Sauvegarde des données applicatives
</t>
        </r>
      </text>
    </comment>
    <comment ref="AJ8"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8" authorId="2">
      <text>
        <r>
          <rPr>
            <sz val="9"/>
            <color indexed="81"/>
            <rFont val="Tahoma"/>
            <family val="2"/>
          </rPr>
          <t xml:space="preserve">08D05 : Sauvegarde des données applicatives
</t>
        </r>
      </text>
    </comment>
    <comment ref="AJ9"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09C02 : Chiffrement des données stockées
</t>
        </r>
      </text>
    </comment>
    <comment ref="AL9" authorId="2">
      <text>
        <r>
          <rPr>
            <sz val="9"/>
            <color indexed="81"/>
            <rFont val="Tahoma"/>
            <family val="2"/>
          </rPr>
          <t xml:space="preserve">08D05 : Sauvegarde des données applicatives
</t>
        </r>
      </text>
    </comment>
    <comment ref="AL10" authorId="2">
      <text>
        <r>
          <rPr>
            <sz val="9"/>
            <color indexed="81"/>
            <rFont val="Tahoma"/>
            <family val="2"/>
          </rPr>
          <t xml:space="preserve">08D05 : Sauvegarde des données applicatives
</t>
        </r>
      </text>
    </comment>
    <comment ref="AL11" authorId="2">
      <text>
        <r>
          <rPr>
            <sz val="9"/>
            <color indexed="81"/>
            <rFont val="Tahoma"/>
            <family val="2"/>
          </rPr>
          <t xml:space="preserve">08D05 : Sauvegarde des données applicatives
</t>
        </r>
      </text>
    </comment>
    <comment ref="AI12" authorId="2">
      <text>
        <r>
          <rPr>
            <sz val="9"/>
            <color indexed="81"/>
            <rFont val="Tahoma"/>
            <family val="2"/>
          </rPr>
          <t xml:space="preserve">07C01 : Enregistrement des accès aux ressources sensibles
08E02 : Surveillance, en temps différé, des traces, logs et journaux
</t>
        </r>
      </text>
    </comment>
    <comment ref="AL12" authorId="2">
      <text>
        <r>
          <rPr>
            <sz val="9"/>
            <color indexed="81"/>
            <rFont val="Tahoma"/>
            <family val="2"/>
          </rPr>
          <t xml:space="preserve">08D05 : Sauvegarde des données applicatives
</t>
        </r>
      </text>
    </comment>
    <comment ref="AI13" authorId="2">
      <text>
        <r>
          <rPr>
            <sz val="9"/>
            <color indexed="81"/>
            <rFont val="Tahoma"/>
            <family val="2"/>
          </rPr>
          <t xml:space="preserve">07C01 : Enregistrement des accès aux ressources sensibles
08E02 : Surveillance, en temps différé, des traces, logs et journaux
</t>
        </r>
      </text>
    </comment>
    <comment ref="AJ13"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13" authorId="2">
      <text>
        <r>
          <rPr>
            <sz val="9"/>
            <color indexed="81"/>
            <rFont val="Tahoma"/>
            <family val="2"/>
          </rPr>
          <t xml:space="preserve">08D05 : Sauvegarde des données applicatives
</t>
        </r>
      </text>
    </comment>
    <comment ref="AJ14"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09C02 : Chiffrement des données stockées
</t>
        </r>
      </text>
    </comment>
    <comment ref="AL14" authorId="2">
      <text>
        <r>
          <rPr>
            <sz val="9"/>
            <color indexed="81"/>
            <rFont val="Tahoma"/>
            <family val="2"/>
          </rPr>
          <t xml:space="preserve">08D05 : Sauvegarde des données applicatives
</t>
        </r>
      </text>
    </comment>
    <comment ref="AI15"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15" authorId="2">
      <text>
        <r>
          <rPr>
            <sz val="9"/>
            <color indexed="81"/>
            <rFont val="Tahoma"/>
            <family val="2"/>
          </rPr>
          <t xml:space="preserve">08D05 : Sauvegarde des données applicatives
</t>
        </r>
      </text>
    </comment>
    <comment ref="AI16" authorId="2">
      <text>
        <r>
          <rPr>
            <sz val="9"/>
            <color indexed="81"/>
            <rFont val="Tahoma"/>
            <family val="2"/>
          </rPr>
          <t xml:space="preserve">08A05 : Prise en compte de la confidentialité lors des opérations de maintenance sur les systèmes en production
08E02 : Surveillance, en temps différé, des traces, logs et journaux
</t>
        </r>
      </text>
    </comment>
    <comment ref="AL16" authorId="2">
      <text>
        <r>
          <rPr>
            <sz val="9"/>
            <color indexed="81"/>
            <rFont val="Tahoma"/>
            <family val="2"/>
          </rPr>
          <t xml:space="preserve">08D05 : Sauvegarde des données applicatives
</t>
        </r>
      </text>
    </comment>
    <comment ref="AJ17" authorId="2">
      <text>
        <r>
          <rPr>
            <sz val="9"/>
            <color indexed="81"/>
            <rFont val="Tahoma"/>
            <family val="2"/>
          </rPr>
          <t xml:space="preserve">08A06 : Contrôle de la télémaintenance 
</t>
        </r>
      </text>
    </comment>
    <comment ref="AL17" authorId="2">
      <text>
        <r>
          <rPr>
            <sz val="9"/>
            <color indexed="81"/>
            <rFont val="Tahoma"/>
            <family val="2"/>
          </rPr>
          <t xml:space="preserve">08D05 : Sauvegarde des données applicatives
</t>
        </r>
      </text>
    </comment>
    <comment ref="AI18"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19" authorId="2">
      <text>
        <r>
          <rPr>
            <sz val="9"/>
            <color indexed="81"/>
            <rFont val="Tahoma"/>
            <family val="2"/>
          </rPr>
          <t xml:space="preserve">10B05 : Sécurité de la maintenance applicative
</t>
        </r>
      </text>
    </comment>
    <comment ref="AL19" authorId="2">
      <text>
        <r>
          <rPr>
            <sz val="9"/>
            <color indexed="81"/>
            <rFont val="Tahoma"/>
            <family val="2"/>
          </rPr>
          <t xml:space="preserve">08D05 : Sauvegarde des données applicatives
</t>
        </r>
      </text>
    </comment>
    <comment ref="AJ20" authorId="2">
      <text>
        <r>
          <rPr>
            <sz val="9"/>
            <color indexed="81"/>
            <rFont val="Tahoma"/>
            <family val="2"/>
          </rPr>
          <t xml:space="preserve">10B06 : Maintenance à chaud 
</t>
        </r>
      </text>
    </comment>
    <comment ref="AL20" authorId="2">
      <text>
        <r>
          <rPr>
            <sz val="9"/>
            <color indexed="81"/>
            <rFont val="Tahoma"/>
            <family val="2"/>
          </rPr>
          <t xml:space="preserve">08D05 : Sauvegarde des données applicatives
</t>
        </r>
      </text>
    </comment>
    <comment ref="AJ21" authorId="2">
      <text>
        <r>
          <rPr>
            <sz val="9"/>
            <color indexed="81"/>
            <rFont val="Tahoma"/>
            <family val="2"/>
          </rPr>
          <t xml:space="preserve">08D03 : Procédures et plans de reprise des applications sur incidents d'exploitation
</t>
        </r>
      </text>
    </comment>
    <comment ref="AK21" authorId="2">
      <text>
        <r>
          <rPr>
            <sz val="9"/>
            <color indexed="81"/>
            <rFont val="Tahoma"/>
            <family val="2"/>
          </rPr>
          <t xml:space="preserve">08E02 : Surveillance, en temps différé, des traces, logs et journaux
</t>
        </r>
      </text>
    </comment>
    <comment ref="AL21" authorId="2">
      <text>
        <r>
          <rPr>
            <sz val="9"/>
            <color indexed="81"/>
            <rFont val="Tahoma"/>
            <family val="2"/>
          </rPr>
          <t xml:space="preserve">08D05 : Sauvegarde des données applicatives
</t>
        </r>
      </text>
    </comment>
    <comment ref="AJ22"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22" authorId="2">
      <text>
        <r>
          <rPr>
            <sz val="9"/>
            <color indexed="81"/>
            <rFont val="Tahoma"/>
            <family val="2"/>
          </rPr>
          <t xml:space="preserve">08D05 : Sauvegarde des données applicatives
</t>
        </r>
      </text>
    </comment>
    <comment ref="AJ23"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09C02 : Chiffrement des données stockées
</t>
        </r>
      </text>
    </comment>
    <comment ref="AL23" authorId="2">
      <text>
        <r>
          <rPr>
            <sz val="9"/>
            <color indexed="81"/>
            <rFont val="Tahoma"/>
            <family val="2"/>
          </rPr>
          <t xml:space="preserve">08D05 : Sauvegarde des données applicatives
</t>
        </r>
      </text>
    </comment>
    <comment ref="AJ24" authorId="2">
      <text>
        <r>
          <rPr>
            <sz val="9"/>
            <color indexed="81"/>
            <rFont val="Tahoma"/>
            <family val="2"/>
          </rPr>
          <t xml:space="preserve">09C02 : Chiffrement des données stockées
</t>
        </r>
      </text>
    </comment>
    <comment ref="AL24" authorId="2">
      <text>
        <r>
          <rPr>
            <sz val="9"/>
            <color indexed="81"/>
            <rFont val="Tahoma"/>
            <family val="2"/>
          </rPr>
          <t xml:space="preserve">08D05 : Sauvegarde des données applicatives
</t>
        </r>
      </text>
    </comment>
    <comment ref="AJ25" authorId="2">
      <text>
        <r>
          <rPr>
            <sz val="9"/>
            <color indexed="81"/>
            <rFont val="Tahoma"/>
            <family val="2"/>
          </rPr>
          <t xml:space="preserve">09C02 : Chiffrement des données stockées
10B05 : Sécurité de la maintenance applicative
</t>
        </r>
      </text>
    </comment>
    <comment ref="AL25" authorId="2">
      <text>
        <r>
          <rPr>
            <sz val="9"/>
            <color indexed="81"/>
            <rFont val="Tahoma"/>
            <family val="2"/>
          </rPr>
          <t xml:space="preserve">08D05 : Sauvegarde des données applicatives
</t>
        </r>
      </text>
    </comment>
    <comment ref="AJ26" authorId="2">
      <text>
        <r>
          <rPr>
            <sz val="9"/>
            <color indexed="81"/>
            <rFont val="Tahoma"/>
            <family val="2"/>
          </rPr>
          <t xml:space="preserve">03D01 : Prévention des risques d'incendie
</t>
        </r>
      </text>
    </comment>
    <comment ref="AL26" authorId="2">
      <text>
        <r>
          <rPr>
            <sz val="9"/>
            <color indexed="81"/>
            <rFont val="Tahoma"/>
            <family val="2"/>
          </rPr>
          <t xml:space="preserve">08D05 : Sauvegarde des données applicatives
08D09 : Sauvegardes de secours (recours) externalisées
</t>
        </r>
      </text>
    </comment>
    <comment ref="AL27" authorId="2">
      <text>
        <r>
          <rPr>
            <sz val="9"/>
            <color indexed="81"/>
            <rFont val="Tahoma"/>
            <family val="2"/>
          </rPr>
          <t xml:space="preserve">08D05 : Sauvegarde des données applicatives
08D09 : Sauvegardes de secours (recours) externalisées
</t>
        </r>
      </text>
    </comment>
    <comment ref="AJ28" authorId="2">
      <text>
        <r>
          <rPr>
            <sz val="9"/>
            <color indexed="81"/>
            <rFont val="Tahoma"/>
            <family val="2"/>
          </rPr>
          <t xml:space="preserve">03D01 : Prévention des risques d'incendie
</t>
        </r>
      </text>
    </comment>
    <comment ref="AL28" authorId="2">
      <text>
        <r>
          <rPr>
            <sz val="9"/>
            <color indexed="81"/>
            <rFont val="Tahoma"/>
            <family val="2"/>
          </rPr>
          <t xml:space="preserve">08D05 : Sauvegarde des données applicatives
08D09 : Sauvegardes de secours (recours) externalisées
</t>
        </r>
      </text>
    </comment>
    <comment ref="AL29" authorId="2">
      <text>
        <r>
          <rPr>
            <sz val="9"/>
            <color indexed="81"/>
            <rFont val="Tahoma"/>
            <family val="2"/>
          </rPr>
          <t xml:space="preserve">08D05 : Sauvegarde des données applicatives
08D09 : Sauvegardes de secours (recours) externalisées
</t>
        </r>
      </text>
    </comment>
    <comment ref="AL30" authorId="2">
      <text>
        <r>
          <rPr>
            <sz val="9"/>
            <color indexed="81"/>
            <rFont val="Tahoma"/>
            <family val="2"/>
          </rPr>
          <t xml:space="preserve">08D05 : Sauvegarde des données applicatives
</t>
        </r>
      </text>
    </comment>
    <comment ref="AL31" authorId="2">
      <text>
        <r>
          <rPr>
            <sz val="9"/>
            <color indexed="81"/>
            <rFont val="Tahoma"/>
            <family val="2"/>
          </rPr>
          <t xml:space="preserve">08D05 : Sauvegarde des données applicatives
</t>
        </r>
      </text>
    </comment>
    <comment ref="AI32" authorId="2">
      <text>
        <r>
          <rPr>
            <sz val="9"/>
            <color indexed="81"/>
            <rFont val="Tahoma"/>
            <family val="2"/>
          </rPr>
          <t xml:space="preserve">03B06 : Surveillance des locaux sensibles
</t>
        </r>
      </text>
    </comment>
    <comment ref="AJ32" authorId="2">
      <text>
        <r>
          <rPr>
            <sz val="9"/>
            <color indexed="81"/>
            <rFont val="Tahoma"/>
            <family val="2"/>
          </rPr>
          <t xml:space="preserve">03B03 : Contrôle des accès aux locaux sensibles
03B04 : Détection des intrusions dans les locaux sensibles 
</t>
        </r>
      </text>
    </comment>
    <comment ref="AL32" authorId="2">
      <text>
        <r>
          <rPr>
            <sz val="9"/>
            <color indexed="81"/>
            <rFont val="Tahoma"/>
            <family val="2"/>
          </rPr>
          <t xml:space="preserve">08D05 : Sauvegarde des données applicatives
</t>
        </r>
      </text>
    </comment>
    <comment ref="AI33" authorId="2">
      <text>
        <r>
          <rPr>
            <sz val="9"/>
            <color indexed="81"/>
            <rFont val="Tahoma"/>
            <family val="2"/>
          </rPr>
          <t xml:space="preserve">03B06 : Surveillance des locaux sensibles
</t>
        </r>
      </text>
    </comment>
    <comment ref="AL33" authorId="2">
      <text>
        <r>
          <rPr>
            <sz val="9"/>
            <color indexed="81"/>
            <rFont val="Tahoma"/>
            <family val="2"/>
          </rPr>
          <t xml:space="preserve">08D05 : Sauvegarde des données applicatives
</t>
        </r>
      </text>
    </comment>
    <comment ref="AI34" authorId="2">
      <text>
        <r>
          <rPr>
            <sz val="9"/>
            <color indexed="81"/>
            <rFont val="Tahoma"/>
            <family val="2"/>
          </rPr>
          <t xml:space="preserve">03B06 : Surveillance des locaux sensibles
</t>
        </r>
      </text>
    </comment>
    <comment ref="AL34" authorId="2">
      <text>
        <r>
          <rPr>
            <sz val="9"/>
            <color indexed="81"/>
            <rFont val="Tahoma"/>
            <family val="2"/>
          </rPr>
          <t xml:space="preserve">08D05 : Sauvegarde des données applicatives
</t>
        </r>
      </text>
    </comment>
    <comment ref="AI35" authorId="2">
      <text>
        <r>
          <rPr>
            <sz val="9"/>
            <color indexed="81"/>
            <rFont val="Tahoma"/>
            <family val="2"/>
          </rPr>
          <t xml:space="preserve">03B06 : Surveillance des locaux sensibles
</t>
        </r>
      </text>
    </comment>
    <comment ref="AJ35" authorId="2">
      <text>
        <r>
          <rPr>
            <sz val="9"/>
            <color indexed="81"/>
            <rFont val="Tahoma"/>
            <family val="2"/>
          </rPr>
          <t xml:space="preserve">08C03 : Sécurité physique des supports stockés sur site 
</t>
        </r>
      </text>
    </comment>
    <comment ref="AL35" authorId="2">
      <text>
        <r>
          <rPr>
            <sz val="9"/>
            <color indexed="81"/>
            <rFont val="Tahoma"/>
            <family val="2"/>
          </rPr>
          <t xml:space="preserve">08D05 : Sauvegarde des données applicatives
</t>
        </r>
      </text>
    </comment>
    <comment ref="AI36" authorId="2">
      <text>
        <r>
          <rPr>
            <sz val="9"/>
            <color indexed="81"/>
            <rFont val="Tahoma"/>
            <family val="2"/>
          </rPr>
          <t xml:space="preserve">03B06 : Surveillance des locaux sensibles
</t>
        </r>
      </text>
    </comment>
    <comment ref="AL36" authorId="2">
      <text>
        <r>
          <rPr>
            <sz val="9"/>
            <color indexed="81"/>
            <rFont val="Tahoma"/>
            <family val="2"/>
          </rPr>
          <t xml:space="preserve">08D05 : Sauvegarde des données applicatives
</t>
        </r>
      </text>
    </comment>
    <comment ref="AI37" authorId="2">
      <text>
        <r>
          <rPr>
            <sz val="9"/>
            <color indexed="81"/>
            <rFont val="Tahoma"/>
            <family val="2"/>
          </rPr>
          <t xml:space="preserve">03B06 : Surveillance des locaux sensibles
</t>
        </r>
      </text>
    </comment>
    <comment ref="AL37" authorId="2">
      <text>
        <r>
          <rPr>
            <sz val="9"/>
            <color indexed="81"/>
            <rFont val="Tahoma"/>
            <family val="2"/>
          </rPr>
          <t xml:space="preserve">08D05 : Sauvegarde des données applicatives
</t>
        </r>
      </text>
    </comment>
    <comment ref="AJ38" authorId="2">
      <text>
        <r>
          <rPr>
            <sz val="9"/>
            <color indexed="81"/>
            <rFont val="Tahoma"/>
            <family val="2"/>
          </rPr>
          <t xml:space="preserve">09D01 : Enregistrements de Très Haute Sécurité (THS)
</t>
        </r>
      </text>
    </comment>
    <comment ref="AL38" authorId="2">
      <text>
        <r>
          <rPr>
            <sz val="9"/>
            <color indexed="81"/>
            <rFont val="Tahoma"/>
            <family val="2"/>
          </rPr>
          <t xml:space="preserve">08D05 : Sauvegarde des données applicatives
</t>
        </r>
      </text>
    </comment>
    <comment ref="AJ39" authorId="2">
      <text>
        <r>
          <rPr>
            <sz val="9"/>
            <color indexed="81"/>
            <rFont val="Tahoma"/>
            <family val="2"/>
          </rPr>
          <t xml:space="preserve">03C01 : Prévention des risques de dégâts des eaux
</t>
        </r>
      </text>
    </comment>
    <comment ref="AL39" authorId="2">
      <text>
        <r>
          <rPr>
            <sz val="9"/>
            <color indexed="81"/>
            <rFont val="Tahoma"/>
            <family val="2"/>
          </rPr>
          <t xml:space="preserve">08D05 : Sauvegarde des données applicatives
</t>
        </r>
      </text>
    </comment>
    <comment ref="AJ40" authorId="2">
      <text>
        <r>
          <rPr>
            <sz val="9"/>
            <color indexed="81"/>
            <rFont val="Tahoma"/>
            <family val="2"/>
          </rPr>
          <t xml:space="preserve">03A01 : Qualité de la fourniture de l'énergie 
03A04 : Qualité du câblage
</t>
        </r>
      </text>
    </comment>
    <comment ref="AL40" authorId="2">
      <text>
        <r>
          <rPr>
            <sz val="9"/>
            <color indexed="81"/>
            <rFont val="Tahoma"/>
            <family val="2"/>
          </rPr>
          <t xml:space="preserve">08D05 : Sauvegarde des données applicatives
</t>
        </r>
      </text>
    </comment>
    <comment ref="AJ41" authorId="2">
      <text>
        <r>
          <rPr>
            <sz val="9"/>
            <color indexed="81"/>
            <rFont val="Tahoma"/>
            <family val="2"/>
          </rPr>
          <t xml:space="preserve">08A03 : Contrôle de la mise en production de nouveaux systèmes ou d'évolutions de systèmes existants
</t>
        </r>
      </text>
    </comment>
    <comment ref="AK41" authorId="2">
      <text>
        <r>
          <rPr>
            <sz val="9"/>
            <color indexed="81"/>
            <rFont val="Tahoma"/>
            <family val="2"/>
          </rPr>
          <t xml:space="preserve">08E03 : Gestion et traitement des incidents systèmes et applicatifs
</t>
        </r>
      </text>
    </comment>
    <comment ref="AL41" authorId="2">
      <text>
        <r>
          <rPr>
            <sz val="9"/>
            <color indexed="81"/>
            <rFont val="Tahoma"/>
            <family val="2"/>
          </rPr>
          <t xml:space="preserve">08D05 : Sauvegarde des données applicatives
</t>
        </r>
      </text>
    </comment>
    <comment ref="AL42" authorId="2">
      <text>
        <r>
          <rPr>
            <sz val="9"/>
            <color indexed="81"/>
            <rFont val="Tahoma"/>
            <family val="2"/>
          </rPr>
          <t xml:space="preserve">08D05 : Sauvegarde des données applicatives
</t>
        </r>
      </text>
    </comment>
    <comment ref="AJ43" authorId="2">
      <text>
        <r>
          <rPr>
            <sz val="9"/>
            <color indexed="81"/>
            <rFont val="Tahoma"/>
            <family val="2"/>
          </rPr>
          <t xml:space="preserve">08C03 : Sécurité physique des supports stockés sur site 
</t>
        </r>
      </text>
    </comment>
    <comment ref="AL43" authorId="2">
      <text>
        <r>
          <rPr>
            <sz val="9"/>
            <color indexed="81"/>
            <rFont val="Tahoma"/>
            <family val="2"/>
          </rPr>
          <t xml:space="preserve">08D05 : Sauvegarde des données applicatives
</t>
        </r>
      </text>
    </comment>
    <comment ref="AL44" authorId="2">
      <text>
        <r>
          <rPr>
            <sz val="9"/>
            <color indexed="81"/>
            <rFont val="Tahoma"/>
            <family val="2"/>
          </rPr>
          <t xml:space="preserve">09D02 : Gestion des moyens d'accès aux données applicatives
</t>
        </r>
      </text>
    </comment>
    <comment ref="AL45" authorId="2">
      <text>
        <r>
          <rPr>
            <sz val="9"/>
            <color indexed="81"/>
            <rFont val="Tahoma"/>
            <family val="2"/>
          </rPr>
          <t xml:space="preserve">09D02 : Gestion des moyens d'accès aux données applicatives
</t>
        </r>
      </text>
    </comment>
    <comment ref="AJ47" authorId="2">
      <text>
        <r>
          <rPr>
            <sz val="9"/>
            <color indexed="81"/>
            <rFont val="Tahoma"/>
            <family val="2"/>
          </rPr>
          <t xml:space="preserve">08D07 : Protection antivirale des serveurs de production
11D06 : Protection des postes utilisateurs contre des codes malveillants ou des codes exécutables non autorisés
</t>
        </r>
      </text>
    </comment>
    <comment ref="AL47" authorId="2">
      <text>
        <r>
          <rPr>
            <sz val="9"/>
            <color indexed="81"/>
            <rFont val="Tahoma"/>
            <family val="2"/>
          </rPr>
          <t xml:space="preserve">11D04 : Plan de sauvegardes des données utilisateurs (bureautiques) stockées sur serveur de données
</t>
        </r>
      </text>
    </comment>
    <comment ref="AL48" authorId="2">
      <text>
        <r>
          <rPr>
            <sz val="9"/>
            <color indexed="81"/>
            <rFont val="Tahoma"/>
            <family val="2"/>
          </rPr>
          <t xml:space="preserve">11D04 : Plan de sauvegardes des données utilisateurs (bureautiques) stockées sur serveur de données
</t>
        </r>
      </text>
    </comment>
    <comment ref="AL49" authorId="2">
      <text>
        <r>
          <rPr>
            <sz val="9"/>
            <color indexed="81"/>
            <rFont val="Tahoma"/>
            <family val="2"/>
          </rPr>
          <t xml:space="preserve">11D04 : Plan de sauvegardes des données utilisateurs (bureautiques) stockées sur serveur de données
</t>
        </r>
      </text>
    </comment>
    <comment ref="AL50" authorId="2">
      <text>
        <r>
          <rPr>
            <sz val="9"/>
            <color indexed="81"/>
            <rFont val="Tahoma"/>
            <family val="2"/>
          </rPr>
          <t xml:space="preserve">11D04 : Plan de sauvegardes des données utilisateurs (bureautiques) stockées sur serveur de données
</t>
        </r>
      </text>
    </comment>
    <comment ref="AL51" authorId="2">
      <text>
        <r>
          <rPr>
            <sz val="9"/>
            <color indexed="81"/>
            <rFont val="Tahoma"/>
            <family val="2"/>
          </rPr>
          <t xml:space="preserve">11D04 : Plan de sauvegardes des données utilisateurs (bureautiques) stockées sur serveur de données
</t>
        </r>
      </text>
    </comment>
    <comment ref="AL52" authorId="2">
      <text>
        <r>
          <rPr>
            <sz val="9"/>
            <color indexed="81"/>
            <rFont val="Tahoma"/>
            <family val="2"/>
          </rPr>
          <t xml:space="preserve">11D04 : Plan de sauvegardes des données utilisateurs (bureautiques) stockées sur serveur de données
</t>
        </r>
      </text>
    </comment>
    <comment ref="AL53" authorId="2">
      <text>
        <r>
          <rPr>
            <sz val="9"/>
            <color indexed="81"/>
            <rFont val="Tahoma"/>
            <family val="2"/>
          </rPr>
          <t xml:space="preserve">11D04 : Plan de sauvegardes des données utilisateurs (bureautiques) stockées sur serveur de données
</t>
        </r>
      </text>
    </comment>
    <comment ref="AJ54" authorId="2">
      <text>
        <r>
          <rPr>
            <sz val="9"/>
            <color indexed="81"/>
            <rFont val="Tahoma"/>
            <family val="2"/>
          </rPr>
          <t xml:space="preserve">07A02 : Gestion des autorisations d'accès et privilèges (attribution, délégation, retrait)
</t>
        </r>
      </text>
    </comment>
    <comment ref="AL54" authorId="2">
      <text>
        <r>
          <rPr>
            <sz val="9"/>
            <color indexed="81"/>
            <rFont val="Tahoma"/>
            <family val="2"/>
          </rPr>
          <t xml:space="preserve">11D04 : Plan de sauvegardes des données utilisateurs (bureautiques) stockées sur serveur de données
</t>
        </r>
      </text>
    </comment>
    <comment ref="AJ55" authorId="2">
      <text>
        <r>
          <rPr>
            <sz val="9"/>
            <color indexed="81"/>
            <rFont val="Tahoma"/>
            <family val="2"/>
          </rPr>
          <t xml:space="preserve">07A03 : Authentification de l'utilisateur ou de l'entité demandant un accès
07A04 : Filtrage des accès et gestion des associations
</t>
        </r>
      </text>
    </comment>
    <comment ref="AL55" authorId="2">
      <text>
        <r>
          <rPr>
            <sz val="9"/>
            <color indexed="81"/>
            <rFont val="Tahoma"/>
            <family val="2"/>
          </rPr>
          <t xml:space="preserve">11D04 : Plan de sauvegardes des données utilisateurs (bureautiques) stockées sur serveur de données
</t>
        </r>
      </text>
    </comment>
    <comment ref="AI56"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56" authorId="2">
      <text>
        <r>
          <rPr>
            <sz val="9"/>
            <color indexed="81"/>
            <rFont val="Tahoma"/>
            <family val="2"/>
          </rPr>
          <t xml:space="preserve">11D04 : Plan de sauvegardes des données utilisateurs (bureautiques) stockées sur serveur de données
</t>
        </r>
      </text>
    </comment>
    <comment ref="AL57" authorId="2">
      <text>
        <r>
          <rPr>
            <sz val="9"/>
            <color indexed="81"/>
            <rFont val="Tahoma"/>
            <family val="2"/>
          </rPr>
          <t xml:space="preserve">11D04 : Plan de sauvegardes des données utilisateurs (bureautiques) stockées sur serveur de données
</t>
        </r>
      </text>
    </comment>
    <comment ref="AI58"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59" authorId="2">
      <text>
        <r>
          <rPr>
            <sz val="9"/>
            <color indexed="81"/>
            <rFont val="Tahoma"/>
            <family val="2"/>
          </rPr>
          <t xml:space="preserve">03D01 : Prévention des risques d'incendie
</t>
        </r>
      </text>
    </comment>
    <comment ref="AL59" authorId="2">
      <text>
        <r>
          <rPr>
            <sz val="9"/>
            <color indexed="81"/>
            <rFont val="Tahoma"/>
            <family val="2"/>
          </rPr>
          <t xml:space="preserve">11D04 : Plan de sauvegardes des données utilisateurs (bureautiques) stockées sur serveur de données
08D09 : Sauvegardes de secours (recours) externalisées
</t>
        </r>
      </text>
    </comment>
    <comment ref="AL60" authorId="2">
      <text>
        <r>
          <rPr>
            <sz val="9"/>
            <color indexed="81"/>
            <rFont val="Tahoma"/>
            <family val="2"/>
          </rPr>
          <t xml:space="preserve">11D04 : Plan de sauvegardes des données utilisateurs (bureautiques) stockées sur serveur de données
08D09 : Sauvegardes de secours (recours) externalisées
</t>
        </r>
      </text>
    </comment>
    <comment ref="AI61" authorId="2">
      <text>
        <r>
          <rPr>
            <sz val="9"/>
            <color indexed="81"/>
            <rFont val="Tahoma"/>
            <family val="2"/>
          </rPr>
          <t xml:space="preserve">03B06 : Surveillance des locaux sensibles
</t>
        </r>
      </text>
    </comment>
    <comment ref="AJ61" authorId="2">
      <text>
        <r>
          <rPr>
            <sz val="9"/>
            <color indexed="81"/>
            <rFont val="Tahoma"/>
            <family val="2"/>
          </rPr>
          <t xml:space="preserve">03B03 : Contrôle des accès aux locaux sensibles
03B04 : Détection des intrusions dans les locaux sensibles 
</t>
        </r>
      </text>
    </comment>
    <comment ref="AL61" authorId="2">
      <text>
        <r>
          <rPr>
            <sz val="9"/>
            <color indexed="81"/>
            <rFont val="Tahoma"/>
            <family val="2"/>
          </rPr>
          <t xml:space="preserve">11D04 : Plan de sauvegardes des données utilisateurs (bureautiques) stockées sur serveur de données
</t>
        </r>
      </text>
    </comment>
    <comment ref="AI62" authorId="2">
      <text>
        <r>
          <rPr>
            <sz val="9"/>
            <color indexed="81"/>
            <rFont val="Tahoma"/>
            <family val="2"/>
          </rPr>
          <t xml:space="preserve">03B06 : Surveillance des locaux sensibles
</t>
        </r>
      </text>
    </comment>
    <comment ref="AL62" authorId="2">
      <text>
        <r>
          <rPr>
            <sz val="9"/>
            <color indexed="81"/>
            <rFont val="Tahoma"/>
            <family val="2"/>
          </rPr>
          <t xml:space="preserve">11D04 : Plan de sauvegardes des données utilisateurs (bureautiques) stockées sur serveur de données
</t>
        </r>
      </text>
    </comment>
    <comment ref="AI63" authorId="2">
      <text>
        <r>
          <rPr>
            <sz val="9"/>
            <color indexed="81"/>
            <rFont val="Tahoma"/>
            <family val="2"/>
          </rPr>
          <t xml:space="preserve">03B06 : Surveillance des locaux sensibles
</t>
        </r>
      </text>
    </comment>
    <comment ref="AL63" authorId="2">
      <text>
        <r>
          <rPr>
            <sz val="9"/>
            <color indexed="81"/>
            <rFont val="Tahoma"/>
            <family val="2"/>
          </rPr>
          <t xml:space="preserve">11D04 : Plan de sauvegardes des données utilisateurs (bureautiques) stockées sur serveur de données
</t>
        </r>
      </text>
    </comment>
    <comment ref="AL64" authorId="2">
      <text>
        <r>
          <rPr>
            <sz val="9"/>
            <color indexed="81"/>
            <rFont val="Tahoma"/>
            <family val="2"/>
          </rPr>
          <t xml:space="preserve">11D04 : Plan de sauvegardes des données utilisateurs (bureautiques) stockées sur serveur de données
</t>
        </r>
      </text>
    </comment>
    <comment ref="AJ65" authorId="2">
      <text>
        <r>
          <rPr>
            <sz val="9"/>
            <color indexed="81"/>
            <rFont val="Tahoma"/>
            <family val="2"/>
          </rPr>
          <t xml:space="preserve">03C01 : Prévention des risques de dégâts des eaux
</t>
        </r>
      </text>
    </comment>
    <comment ref="AL65" authorId="2">
      <text>
        <r>
          <rPr>
            <sz val="9"/>
            <color indexed="81"/>
            <rFont val="Tahoma"/>
            <family val="2"/>
          </rPr>
          <t xml:space="preserve">11D04 : Plan de sauvegardes des données utilisateurs (bureautiques) stockées sur serveur de données
</t>
        </r>
      </text>
    </comment>
    <comment ref="AJ66" authorId="2">
      <text>
        <r>
          <rPr>
            <sz val="9"/>
            <color indexed="81"/>
            <rFont val="Tahoma"/>
            <family val="2"/>
          </rPr>
          <t xml:space="preserve">03A01 : Qualité de la fourniture de l'énergie 
03A04 : Qualité du câblage
</t>
        </r>
      </text>
    </comment>
    <comment ref="AL66" authorId="2">
      <text>
        <r>
          <rPr>
            <sz val="9"/>
            <color indexed="81"/>
            <rFont val="Tahoma"/>
            <family val="2"/>
          </rPr>
          <t xml:space="preserve">11D04 : Plan de sauvegardes des données utilisateurs (bureautiques) stockées sur serveur de données
</t>
        </r>
      </text>
    </comment>
    <comment ref="AJ67" authorId="2">
      <text>
        <r>
          <rPr>
            <sz val="9"/>
            <color indexed="81"/>
            <rFont val="Tahoma"/>
            <family val="2"/>
          </rPr>
          <t xml:space="preserve">08A03 : Contrôle de la mise en production de nouveaux systèmes ou d'évolutions de systèmes existants
</t>
        </r>
      </text>
    </comment>
    <comment ref="AK67" authorId="2">
      <text>
        <r>
          <rPr>
            <sz val="9"/>
            <color indexed="81"/>
            <rFont val="Tahoma"/>
            <family val="2"/>
          </rPr>
          <t xml:space="preserve">08E03 : Gestion et traitement des incidents systèmes et applicatifs
</t>
        </r>
      </text>
    </comment>
    <comment ref="AL67" authorId="2">
      <text>
        <r>
          <rPr>
            <sz val="9"/>
            <color indexed="81"/>
            <rFont val="Tahoma"/>
            <family val="2"/>
          </rPr>
          <t xml:space="preserve">11D04 : Plan de sauvegardes des données utilisateurs (bureautiques) stockées sur serveur de données
</t>
        </r>
      </text>
    </comment>
    <comment ref="AL68" authorId="2">
      <text>
        <r>
          <rPr>
            <sz val="9"/>
            <color indexed="81"/>
            <rFont val="Tahoma"/>
            <family val="2"/>
          </rPr>
          <t xml:space="preserve">11D08 : Gestion des moyens nécessaires à l'accès aux fichiers bureautiques
</t>
        </r>
      </text>
    </comment>
    <comment ref="AL69" authorId="2">
      <text>
        <r>
          <rPr>
            <sz val="9"/>
            <color indexed="81"/>
            <rFont val="Tahoma"/>
            <family val="2"/>
          </rPr>
          <t xml:space="preserve">11D08 : Gestion des moyens nécessaires à l'accès aux fichiers bureautiques
</t>
        </r>
      </text>
    </comment>
    <comment ref="AJ71" authorId="2">
      <text>
        <r>
          <rPr>
            <sz val="9"/>
            <color indexed="81"/>
            <rFont val="Tahoma"/>
            <family val="2"/>
          </rPr>
          <t xml:space="preserve">08D07 : Protection antivirale des serveurs de production
11D06 : Protection des postes utilisateurs contre des codes malveillants ou des codes exécutables non autorisés
</t>
        </r>
      </text>
    </comment>
    <comment ref="AL71" authorId="2">
      <text>
        <r>
          <rPr>
            <sz val="9"/>
            <color indexed="81"/>
            <rFont val="Tahoma"/>
            <family val="2"/>
          </rPr>
          <t xml:space="preserve">11D05 : Plan de sauvegardes des données utilisateurs (bureautiques) stockées sur les postes de travail
</t>
        </r>
      </text>
    </comment>
    <comment ref="AL72" authorId="2">
      <text>
        <r>
          <rPr>
            <sz val="9"/>
            <color indexed="81"/>
            <rFont val="Tahoma"/>
            <family val="2"/>
          </rPr>
          <t xml:space="preserve">11D05 : Plan de sauvegardes des données utilisateurs (bureautiques) stockées sur les postes de travail
</t>
        </r>
      </text>
    </comment>
    <comment ref="AL73" authorId="2">
      <text>
        <r>
          <rPr>
            <sz val="9"/>
            <color indexed="81"/>
            <rFont val="Tahoma"/>
            <family val="2"/>
          </rPr>
          <t xml:space="preserve">11D05 : Plan de sauvegardes des données utilisateurs (bureautiques) stockées sur les postes de travail
</t>
        </r>
      </text>
    </comment>
    <comment ref="AL74" authorId="2">
      <text>
        <r>
          <rPr>
            <sz val="9"/>
            <color indexed="81"/>
            <rFont val="Tahoma"/>
            <family val="2"/>
          </rPr>
          <t xml:space="preserve">11D05 : Plan de sauvegardes des données utilisateurs (bureautiques) stockées sur les postes de travail
</t>
        </r>
      </text>
    </comment>
    <comment ref="AJ75" authorId="2">
      <text>
        <r>
          <rPr>
            <sz val="9"/>
            <color indexed="81"/>
            <rFont val="Tahoma"/>
            <family val="2"/>
          </rPr>
          <t xml:space="preserve">11B01 : Contrôle d'accès au poste de travail
</t>
        </r>
      </text>
    </comment>
    <comment ref="AL75" authorId="2">
      <text>
        <r>
          <rPr>
            <sz val="9"/>
            <color indexed="81"/>
            <rFont val="Tahoma"/>
            <family val="2"/>
          </rPr>
          <t xml:space="preserve">11D05 : Plan de sauvegardes des données utilisateurs (bureautiques) stockées sur les postes de travail
</t>
        </r>
      </text>
    </comment>
    <comment ref="AJ76" authorId="2">
      <text>
        <r>
          <rPr>
            <sz val="9"/>
            <color indexed="81"/>
            <rFont val="Tahoma"/>
            <family val="2"/>
          </rPr>
          <t xml:space="preserve">11B01 : Contrôle d'accès au poste de travail
</t>
        </r>
      </text>
    </comment>
    <comment ref="AL76" authorId="2">
      <text>
        <r>
          <rPr>
            <sz val="9"/>
            <color indexed="81"/>
            <rFont val="Tahoma"/>
            <family val="2"/>
          </rPr>
          <t xml:space="preserve">11D05 : Plan de sauvegardes des données utilisateurs (bureautiques) stockées sur les postes de travail
</t>
        </r>
      </text>
    </comment>
    <comment ref="AJ77" authorId="2">
      <text>
        <r>
          <rPr>
            <sz val="9"/>
            <color indexed="81"/>
            <rFont val="Tahoma"/>
            <family val="2"/>
          </rPr>
          <t xml:space="preserve">11B01 : Contrôle d'accès au poste de travail
</t>
        </r>
      </text>
    </comment>
    <comment ref="AL77" authorId="2">
      <text>
        <r>
          <rPr>
            <sz val="9"/>
            <color indexed="81"/>
            <rFont val="Tahoma"/>
            <family val="2"/>
          </rPr>
          <t xml:space="preserve">11D05 : Plan de sauvegardes des données utilisateurs (bureautiques) stockées sur les postes de travail
</t>
        </r>
      </text>
    </comment>
    <comment ref="AI78"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78" authorId="2">
      <text>
        <r>
          <rPr>
            <sz val="9"/>
            <color indexed="81"/>
            <rFont val="Tahoma"/>
            <family val="2"/>
          </rPr>
          <t xml:space="preserve">11D05 : Plan de sauvegardes des données utilisateurs (bureautiques) stockées sur les postes de travail
</t>
        </r>
      </text>
    </comment>
    <comment ref="AL79" authorId="2">
      <text>
        <r>
          <rPr>
            <sz val="9"/>
            <color indexed="81"/>
            <rFont val="Tahoma"/>
            <family val="2"/>
          </rPr>
          <t xml:space="preserve">11D05 : Plan de sauvegardes des données utilisateurs (bureautiques) stockées sur les postes de travail
</t>
        </r>
      </text>
    </comment>
    <comment ref="AL80" authorId="2">
      <text>
        <r>
          <rPr>
            <sz val="9"/>
            <color indexed="81"/>
            <rFont val="Tahoma"/>
            <family val="2"/>
          </rPr>
          <t xml:space="preserve">11D05 : Plan de sauvegardes des données utilisateurs (bureautiques) stockées sur les postes de travail
</t>
        </r>
      </text>
    </comment>
    <comment ref="AL81" authorId="2">
      <text>
        <r>
          <rPr>
            <sz val="9"/>
            <color indexed="81"/>
            <rFont val="Tahoma"/>
            <family val="2"/>
          </rPr>
          <t xml:space="preserve">11D05 : Plan de sauvegardes des données utilisateurs (bureautiques) stockées sur les postes de travail
</t>
        </r>
      </text>
    </comment>
    <comment ref="AL82" authorId="2">
      <text>
        <r>
          <rPr>
            <sz val="9"/>
            <color indexed="81"/>
            <rFont val="Tahoma"/>
            <family val="2"/>
          </rPr>
          <t xml:space="preserve">11D05 : Plan de sauvegardes des données utilisateurs (bureautiques) stockées sur les postes de travail
</t>
        </r>
      </text>
    </comment>
    <comment ref="AL83" authorId="2">
      <text>
        <r>
          <rPr>
            <sz val="9"/>
            <color indexed="81"/>
            <rFont val="Tahoma"/>
            <family val="2"/>
          </rPr>
          <t xml:space="preserve">11D05 : Plan de sauvegardes des données utilisateurs (bureautiques) stockées sur les postes de travail
</t>
        </r>
      </text>
    </comment>
    <comment ref="AI84" authorId="2">
      <text>
        <r>
          <rPr>
            <sz val="9"/>
            <color indexed="81"/>
            <rFont val="Tahoma"/>
            <family val="2"/>
          </rPr>
          <t xml:space="preserve">02C05 : Surveillance des zones de bureaux protégées
</t>
        </r>
      </text>
    </comment>
    <comment ref="AJ84" authorId="2">
      <text>
        <r>
          <rPr>
            <sz val="9"/>
            <color indexed="81"/>
            <rFont val="Tahoma"/>
            <family val="2"/>
          </rPr>
          <t xml:space="preserve">02D02 : Protection des documents et supports amovibles
</t>
        </r>
      </text>
    </comment>
    <comment ref="AL84" authorId="2">
      <text>
        <r>
          <rPr>
            <sz val="9"/>
            <color indexed="81"/>
            <rFont val="Tahoma"/>
            <family val="2"/>
          </rPr>
          <t xml:space="preserve">11D05 : Plan de sauvegardes des données utilisateurs (bureautiques) stockées sur les postes de travail
</t>
        </r>
      </text>
    </comment>
    <comment ref="AI85" authorId="2">
      <text>
        <r>
          <rPr>
            <sz val="9"/>
            <color indexed="81"/>
            <rFont val="Tahoma"/>
            <family val="2"/>
          </rPr>
          <t xml:space="preserve">02C05 : Surveillance des zones de bureaux protégées
</t>
        </r>
      </text>
    </comment>
    <comment ref="AJ85" authorId="2">
      <text>
        <r>
          <rPr>
            <sz val="9"/>
            <color indexed="81"/>
            <rFont val="Tahoma"/>
            <family val="2"/>
          </rPr>
          <t xml:space="preserve">02D02 : Protection des documents et supports amovibles
</t>
        </r>
      </text>
    </comment>
    <comment ref="AL85" authorId="2">
      <text>
        <r>
          <rPr>
            <sz val="9"/>
            <color indexed="81"/>
            <rFont val="Tahoma"/>
            <family val="2"/>
          </rPr>
          <t xml:space="preserve">11D05 : Plan de sauvegardes des données utilisateurs (bureautiques) stockées sur les postes de travail
</t>
        </r>
      </text>
    </comment>
    <comment ref="AI86" authorId="2">
      <text>
        <r>
          <rPr>
            <sz val="9"/>
            <color indexed="81"/>
            <rFont val="Tahoma"/>
            <family val="2"/>
          </rPr>
          <t xml:space="preserve">02C05 : Surveillance des zones de bureaux protégées
</t>
        </r>
      </text>
    </comment>
    <comment ref="AJ86" authorId="2">
      <text>
        <r>
          <rPr>
            <sz val="9"/>
            <color indexed="81"/>
            <rFont val="Tahoma"/>
            <family val="2"/>
          </rPr>
          <t xml:space="preserve">02C03 : Gestion des autorisations d'accès aux zones de bureaux protégées
02D02 : Protection des documents et supports amovibles
</t>
        </r>
      </text>
    </comment>
    <comment ref="AL86" authorId="2">
      <text>
        <r>
          <rPr>
            <sz val="9"/>
            <color indexed="81"/>
            <rFont val="Tahoma"/>
            <family val="2"/>
          </rPr>
          <t xml:space="preserve">11D05 : Plan de sauvegardes des données utilisateurs (bureautiques) stockées sur les postes de travail
</t>
        </r>
      </text>
    </comment>
    <comment ref="AL87" authorId="2">
      <text>
        <r>
          <rPr>
            <sz val="9"/>
            <color indexed="81"/>
            <rFont val="Tahoma"/>
            <family val="2"/>
          </rPr>
          <t xml:space="preserve">11D05 : Plan de sauvegardes des données utilisateurs (bureautiques) stockées sur les postes de travail
</t>
        </r>
      </text>
    </comment>
    <comment ref="AI88" authorId="2">
      <text>
        <r>
          <rPr>
            <sz val="9"/>
            <color indexed="81"/>
            <rFont val="Tahoma"/>
            <family val="2"/>
          </rPr>
          <t xml:space="preserve">02C05 : Surveillance des zones de bureaux protégées
</t>
        </r>
      </text>
    </comment>
    <comment ref="AJ88" authorId="2">
      <text>
        <r>
          <rPr>
            <sz val="9"/>
            <color indexed="81"/>
            <rFont val="Tahoma"/>
            <family val="2"/>
          </rPr>
          <t xml:space="preserve">02D02 : Protection des documents et supports amovibles
</t>
        </r>
      </text>
    </comment>
    <comment ref="AL88" authorId="2">
      <text>
        <r>
          <rPr>
            <sz val="9"/>
            <color indexed="81"/>
            <rFont val="Tahoma"/>
            <family val="2"/>
          </rPr>
          <t xml:space="preserve">11D05 : Plan de sauvegardes des données utilisateurs (bureautiques) stockées sur les postes de travail
</t>
        </r>
      </text>
    </comment>
    <comment ref="AI89" authorId="2">
      <text>
        <r>
          <rPr>
            <sz val="9"/>
            <color indexed="81"/>
            <rFont val="Tahoma"/>
            <family val="2"/>
          </rPr>
          <t xml:space="preserve">02C05 : Surveillance des zones de bureaux protégées
</t>
        </r>
      </text>
    </comment>
    <comment ref="AJ89" authorId="2">
      <text>
        <r>
          <rPr>
            <sz val="9"/>
            <color indexed="81"/>
            <rFont val="Tahoma"/>
            <family val="2"/>
          </rPr>
          <t xml:space="preserve">02D02 : Protection des documents et supports amovibles
</t>
        </r>
      </text>
    </comment>
    <comment ref="AL89" authorId="2">
      <text>
        <r>
          <rPr>
            <sz val="9"/>
            <color indexed="81"/>
            <rFont val="Tahoma"/>
            <family val="2"/>
          </rPr>
          <t xml:space="preserve">11D05 : Plan de sauvegardes des données utilisateurs (bureautiques) stockées sur les postes de travail
</t>
        </r>
      </text>
    </comment>
    <comment ref="AI90" authorId="2">
      <text>
        <r>
          <rPr>
            <sz val="9"/>
            <color indexed="81"/>
            <rFont val="Tahoma"/>
            <family val="2"/>
          </rPr>
          <t xml:space="preserve">02C05 : Surveillance des zones de bureaux protégées
</t>
        </r>
      </text>
    </comment>
    <comment ref="AJ90" authorId="2">
      <text>
        <r>
          <rPr>
            <sz val="9"/>
            <color indexed="81"/>
            <rFont val="Tahoma"/>
            <family val="2"/>
          </rPr>
          <t xml:space="preserve">02C03 : Gestion des autorisations d'accès aux zones de bureaux protégées
02D02 : Protection des documents et supports amovibles
</t>
        </r>
      </text>
    </comment>
    <comment ref="AL90" authorId="2">
      <text>
        <r>
          <rPr>
            <sz val="9"/>
            <color indexed="81"/>
            <rFont val="Tahoma"/>
            <family val="2"/>
          </rPr>
          <t xml:space="preserve">11D05 : Plan de sauvegardes des données utilisateurs (bureautiques) stockées sur les postes de travail
</t>
        </r>
      </text>
    </comment>
    <comment ref="AL91" authorId="2">
      <text>
        <r>
          <rPr>
            <sz val="9"/>
            <color indexed="81"/>
            <rFont val="Tahoma"/>
            <family val="2"/>
          </rPr>
          <t xml:space="preserve">11D05 : Plan de sauvegardes des données utilisateurs (bureautiques) stockées sur les postes de travail
</t>
        </r>
      </text>
    </comment>
    <comment ref="AL92" authorId="2">
      <text>
        <r>
          <rPr>
            <sz val="9"/>
            <color indexed="81"/>
            <rFont val="Tahoma"/>
            <family val="2"/>
          </rPr>
          <t xml:space="preserve">11D05 : Plan de sauvegardes des données utilisateurs (bureautiques) stockées sur les postes de travail
</t>
        </r>
      </text>
    </comment>
    <comment ref="AJ93" authorId="2">
      <text>
        <r>
          <rPr>
            <sz val="9"/>
            <color indexed="81"/>
            <rFont val="Tahoma"/>
            <family val="2"/>
          </rPr>
          <t xml:space="preserve">03A01 : Qualité de la fourniture de l'énergie 
03A04 : Qualité du câblage
</t>
        </r>
      </text>
    </comment>
    <comment ref="AL93" authorId="2">
      <text>
        <r>
          <rPr>
            <sz val="9"/>
            <color indexed="81"/>
            <rFont val="Tahoma"/>
            <family val="2"/>
          </rPr>
          <t xml:space="preserve">11D05 : Plan de sauvegardes des données utilisateurs (bureautiques) stockées sur les postes de travail
</t>
        </r>
      </text>
    </comment>
    <comment ref="AL94" authorId="2">
      <text>
        <r>
          <rPr>
            <sz val="9"/>
            <color indexed="81"/>
            <rFont val="Tahoma"/>
            <family val="2"/>
          </rPr>
          <t xml:space="preserve">11D05 : Plan de sauvegardes des données utilisateurs (bureautiques) stockées sur les postes de travail
</t>
        </r>
      </text>
    </comment>
    <comment ref="AL95" authorId="2">
      <text>
        <r>
          <rPr>
            <sz val="9"/>
            <color indexed="81"/>
            <rFont val="Tahoma"/>
            <family val="2"/>
          </rPr>
          <t xml:space="preserve">11D08 : Gestion des moyens nécessaires à l'accès aux fichiers bureautiques
</t>
        </r>
      </text>
    </comment>
    <comment ref="AL96" authorId="2">
      <text>
        <r>
          <rPr>
            <sz val="9"/>
            <color indexed="81"/>
            <rFont val="Tahoma"/>
            <family val="2"/>
          </rPr>
          <t xml:space="preserve">11D08 : Gestion des moyens nécessaires à l'accès aux fichiers bureautiques
</t>
        </r>
      </text>
    </comment>
    <comment ref="AJ98"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99"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100"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101"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102" authorId="2">
      <text>
        <r>
          <rPr>
            <sz val="9"/>
            <color indexed="81"/>
            <rFont val="Tahoma"/>
            <family val="2"/>
          </rPr>
          <t xml:space="preserve">11B02 : Travail en dehors des locaux de l'entreprise
</t>
        </r>
      </text>
    </comment>
    <comment ref="AI103" authorId="2">
      <text>
        <r>
          <rPr>
            <sz val="9"/>
            <color indexed="81"/>
            <rFont val="Tahoma"/>
            <family val="2"/>
          </rPr>
          <t xml:space="preserve">02C05 : Surveillance des zones de bureaux protégées
</t>
        </r>
      </text>
    </comment>
    <comment ref="AJ103"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I104" authorId="2">
      <text>
        <r>
          <rPr>
            <sz val="9"/>
            <color indexed="81"/>
            <rFont val="Tahoma"/>
            <family val="2"/>
          </rPr>
          <t xml:space="preserve">02C05 : Surveillance des zones de bureaux protégées
</t>
        </r>
      </text>
    </comment>
    <comment ref="AJ104"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I105" authorId="2">
      <text>
        <r>
          <rPr>
            <sz val="9"/>
            <color indexed="81"/>
            <rFont val="Tahoma"/>
            <family val="2"/>
          </rPr>
          <t xml:space="preserve">02C05 : Surveillance des zones de bureaux protégées
</t>
        </r>
      </text>
    </comment>
    <comment ref="AJ105"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106" authorId="2">
      <text>
        <r>
          <rPr>
            <sz val="9"/>
            <color indexed="81"/>
            <rFont val="Tahoma"/>
            <family val="2"/>
          </rPr>
          <t xml:space="preserve">02D01 : Conservation et protection des documents courants importants
02D06 : Conservation et protection des documents importants à conserver sur une longue période
</t>
        </r>
      </text>
    </comment>
    <comment ref="AJ107" authorId="2">
      <text>
        <r>
          <rPr>
            <sz val="9"/>
            <color indexed="81"/>
            <rFont val="Tahoma"/>
            <family val="2"/>
          </rPr>
          <t xml:space="preserve">11B02 : Travail en dehors des locaux de l'entreprise
</t>
        </r>
      </text>
    </comment>
    <comment ref="AJ109" authorId="2">
      <text>
        <r>
          <rPr>
            <sz val="9"/>
            <color indexed="81"/>
            <rFont val="Tahoma"/>
            <family val="2"/>
          </rPr>
          <t xml:space="preserve">08A03 : Contrôle de la mise en production de nouveaux systèmes ou d'évolutions de systèmes existants
</t>
        </r>
      </text>
    </comment>
    <comment ref="AL109" authorId="2">
      <text>
        <r>
          <rPr>
            <sz val="9"/>
            <color indexed="81"/>
            <rFont val="Tahoma"/>
            <family val="2"/>
          </rPr>
          <t xml:space="preserve">09F03 : Accusé de réception 
</t>
        </r>
      </text>
    </comment>
    <comment ref="AL110" authorId="2">
      <text>
        <r>
          <rPr>
            <sz val="9"/>
            <color indexed="81"/>
            <rFont val="Tahoma"/>
            <family val="2"/>
          </rPr>
          <t xml:space="preserve">09F03 : Accusé de réception 
</t>
        </r>
      </text>
    </comment>
    <comment ref="AJ111" authorId="2">
      <text>
        <r>
          <rPr>
            <sz val="9"/>
            <color indexed="81"/>
            <rFont val="Tahoma"/>
            <family val="2"/>
          </rPr>
          <t xml:space="preserve">03D01 : Prévention des risques d'incendie
</t>
        </r>
      </text>
    </comment>
    <comment ref="AL111" authorId="2">
      <text>
        <r>
          <rPr>
            <sz val="9"/>
            <color indexed="81"/>
            <rFont val="Tahoma"/>
            <family val="2"/>
          </rPr>
          <t xml:space="preserve">09F03 : Accusé de réception 
</t>
        </r>
      </text>
    </comment>
    <comment ref="AJ112" authorId="2">
      <text>
        <r>
          <rPr>
            <sz val="9"/>
            <color indexed="81"/>
            <rFont val="Tahoma"/>
            <family val="2"/>
          </rPr>
          <t xml:space="preserve">03C01 : Prévention des risques de dégâts des eaux
</t>
        </r>
      </text>
    </comment>
    <comment ref="AL112" authorId="2">
      <text>
        <r>
          <rPr>
            <sz val="9"/>
            <color indexed="81"/>
            <rFont val="Tahoma"/>
            <family val="2"/>
          </rPr>
          <t xml:space="preserve">09F03 : Accusé de réception 
</t>
        </r>
      </text>
    </comment>
    <comment ref="AI113"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113" authorId="2">
      <text>
        <r>
          <rPr>
            <sz val="9"/>
            <color indexed="81"/>
            <rFont val="Tahoma"/>
            <family val="2"/>
          </rPr>
          <t xml:space="preserve">09F03 : Accusé de réception 
</t>
        </r>
      </text>
    </comment>
    <comment ref="AJ114" authorId="2">
      <text>
        <r>
          <rPr>
            <sz val="9"/>
            <color indexed="81"/>
            <rFont val="Tahoma"/>
            <family val="2"/>
          </rPr>
          <t xml:space="preserve">08F02 : Authentification et contrôle des droits d'accès des administrateurs et personnels d'exploitation
07A03 : Authentification de l'utilisateur ou de l'entité demandant un accès
07A04 : Filtrage des accès et gestion des associations
</t>
        </r>
      </text>
    </comment>
    <comment ref="AL114" authorId="2">
      <text>
        <r>
          <rPr>
            <sz val="9"/>
            <color indexed="81"/>
            <rFont val="Tahoma"/>
            <family val="2"/>
          </rPr>
          <t xml:space="preserve">09F03 : Accusé de réception 
</t>
        </r>
      </text>
    </comment>
    <comment ref="AJ116" authorId="2">
      <text>
        <r>
          <rPr>
            <sz val="9"/>
            <color indexed="81"/>
            <rFont val="Tahoma"/>
            <family val="2"/>
          </rPr>
          <t xml:space="preserve">08A03 : Contrôle de la mise en production de nouveaux systèmes ou d'évolutions de systèmes existants
</t>
        </r>
      </text>
    </comment>
    <comment ref="AL116" authorId="2">
      <text>
        <r>
          <rPr>
            <sz val="9"/>
            <color indexed="81"/>
            <rFont val="Tahoma"/>
            <family val="2"/>
          </rPr>
          <t xml:space="preserve">11C05 : Sécurité de la messagerie électronique (courriels) et des échanges électroniques d'information
</t>
        </r>
      </text>
    </comment>
    <comment ref="AL117" authorId="2">
      <text>
        <r>
          <rPr>
            <sz val="9"/>
            <color indexed="81"/>
            <rFont val="Tahoma"/>
            <family val="2"/>
          </rPr>
          <t xml:space="preserve">11C05 : Sécurité de la messagerie électronique (courriels) et des échanges électroniques d'information
</t>
        </r>
      </text>
    </comment>
    <comment ref="AJ118" authorId="2">
      <text>
        <r>
          <rPr>
            <sz val="9"/>
            <color indexed="81"/>
            <rFont val="Tahoma"/>
            <family val="2"/>
          </rPr>
          <t xml:space="preserve">03D01 : Prévention des risques d'incendie
</t>
        </r>
      </text>
    </comment>
    <comment ref="AL118" authorId="2">
      <text>
        <r>
          <rPr>
            <sz val="9"/>
            <color indexed="81"/>
            <rFont val="Tahoma"/>
            <family val="2"/>
          </rPr>
          <t xml:space="preserve">11C05 : Sécurité de la messagerie électronique (courriels) et des échanges électroniques d'information
</t>
        </r>
      </text>
    </comment>
    <comment ref="AJ119" authorId="2">
      <text>
        <r>
          <rPr>
            <sz val="9"/>
            <color indexed="81"/>
            <rFont val="Tahoma"/>
            <family val="2"/>
          </rPr>
          <t xml:space="preserve">03C01 : Prévention des risques de dégâts des eaux
</t>
        </r>
      </text>
    </comment>
    <comment ref="AL119" authorId="2">
      <text>
        <r>
          <rPr>
            <sz val="9"/>
            <color indexed="81"/>
            <rFont val="Tahoma"/>
            <family val="2"/>
          </rPr>
          <t xml:space="preserve">11C05 : Sécurité de la messagerie électronique (courriels) et des échanges électroniques d'information
</t>
        </r>
      </text>
    </comment>
    <comment ref="AL120" authorId="2">
      <text>
        <r>
          <rPr>
            <sz val="9"/>
            <color indexed="81"/>
            <rFont val="Tahoma"/>
            <family val="2"/>
          </rPr>
          <t xml:space="preserve">11C05 : Sécurité de la messagerie électronique (courriels) et des échanges électroniques d'information
</t>
        </r>
      </text>
    </comment>
    <comment ref="AL121" authorId="2">
      <text>
        <r>
          <rPr>
            <sz val="9"/>
            <color indexed="81"/>
            <rFont val="Tahoma"/>
            <family val="2"/>
          </rPr>
          <t xml:space="preserve">11C05 : Sécurité de la messagerie électronique (courriels) et des échanges électroniques d'information
</t>
        </r>
      </text>
    </comment>
    <comment ref="AL122" authorId="2">
      <text>
        <r>
          <rPr>
            <sz val="9"/>
            <color indexed="81"/>
            <rFont val="Tahoma"/>
            <family val="2"/>
          </rPr>
          <t xml:space="preserve">11C05 : Sécurité de la messagerie électronique (courriels) et des échanges électroniques d'information
</t>
        </r>
      </text>
    </comment>
    <comment ref="AI123"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123" authorId="2">
      <text>
        <r>
          <rPr>
            <sz val="9"/>
            <color indexed="81"/>
            <rFont val="Tahoma"/>
            <family val="2"/>
          </rPr>
          <t xml:space="preserve">11C05 : Sécurité de la messagerie électronique (courriels) et des échanges électroniques d'information
</t>
        </r>
      </text>
    </comment>
    <comment ref="AJ124" authorId="2">
      <text>
        <r>
          <rPr>
            <sz val="9"/>
            <color indexed="81"/>
            <rFont val="Tahoma"/>
            <family val="2"/>
          </rPr>
          <t xml:space="preserve">08F02 : Authentification et contrôle des droits d'accès des administrateurs et personnels d'exploitation
07A03 : Authentification de l'utilisateur ou de l'entité demandant un accès
07A04 : Filtrage des accès et gestion des associations
</t>
        </r>
      </text>
    </comment>
    <comment ref="AL124" authorId="2">
      <text>
        <r>
          <rPr>
            <sz val="9"/>
            <color indexed="81"/>
            <rFont val="Tahoma"/>
            <family val="2"/>
          </rPr>
          <t xml:space="preserve">11C05 : Sécurité de la messagerie électronique (courriels) et des échanges électroniques d'information
</t>
        </r>
      </text>
    </comment>
    <comment ref="AJ126" authorId="2">
      <text>
        <r>
          <rPr>
            <sz val="9"/>
            <color indexed="81"/>
            <rFont val="Tahoma"/>
            <family val="2"/>
          </rPr>
          <t xml:space="preserve">02D05 : Sécurité des télécopies 
</t>
        </r>
      </text>
    </comment>
    <comment ref="AL126" authorId="2">
      <text>
        <r>
          <rPr>
            <sz val="9"/>
            <color indexed="81"/>
            <rFont val="Tahoma"/>
            <family val="2"/>
          </rPr>
          <t xml:space="preserve">02D05 : Sécurité des télécopies 
</t>
        </r>
      </text>
    </comment>
    <comment ref="AJ127" authorId="2">
      <text>
        <r>
          <rPr>
            <sz val="9"/>
            <color indexed="81"/>
            <rFont val="Tahoma"/>
            <family val="2"/>
          </rPr>
          <t xml:space="preserve">02D05 : Sécurité des télécopies 
</t>
        </r>
      </text>
    </comment>
    <comment ref="AL127" authorId="2">
      <text>
        <r>
          <rPr>
            <sz val="9"/>
            <color indexed="81"/>
            <rFont val="Tahoma"/>
            <family val="2"/>
          </rPr>
          <t xml:space="preserve">02D05 : Sécurité des télécopies 
</t>
        </r>
      </text>
    </comment>
    <comment ref="AJ128" authorId="2">
      <text>
        <r>
          <rPr>
            <sz val="9"/>
            <color indexed="81"/>
            <rFont val="Tahoma"/>
            <family val="2"/>
          </rPr>
          <t xml:space="preserve">02D05 : Sécurité des télécopies 
</t>
        </r>
      </text>
    </comment>
    <comment ref="AL128" authorId="2">
      <text>
        <r>
          <rPr>
            <sz val="9"/>
            <color indexed="81"/>
            <rFont val="Tahoma"/>
            <family val="2"/>
          </rPr>
          <t xml:space="preserve">02D05 : Sécurité des télécopies 
</t>
        </r>
      </text>
    </comment>
    <comment ref="AL129" authorId="2">
      <text>
        <r>
          <rPr>
            <sz val="9"/>
            <color indexed="81"/>
            <rFont val="Tahoma"/>
            <family val="2"/>
          </rPr>
          <t xml:space="preserve">02D05 : Sécurité des télécopies 
</t>
        </r>
      </text>
    </comment>
    <comment ref="AJ130" authorId="2">
      <text>
        <r>
          <rPr>
            <sz val="9"/>
            <color indexed="81"/>
            <rFont val="Tahoma"/>
            <family val="2"/>
          </rPr>
          <t xml:space="preserve">02D04 : Sécurité du courrier
</t>
        </r>
      </text>
    </comment>
    <comment ref="AL130" authorId="2">
      <text>
        <r>
          <rPr>
            <sz val="9"/>
            <color indexed="81"/>
            <rFont val="Tahoma"/>
            <family val="2"/>
          </rPr>
          <t xml:space="preserve">02D04 : Sécurité du courrier
</t>
        </r>
      </text>
    </comment>
    <comment ref="AJ131" authorId="2">
      <text>
        <r>
          <rPr>
            <sz val="9"/>
            <color indexed="81"/>
            <rFont val="Tahoma"/>
            <family val="2"/>
          </rPr>
          <t xml:space="preserve">02D04 : Sécurité du courrier
</t>
        </r>
      </text>
    </comment>
    <comment ref="AL131" authorId="2">
      <text>
        <r>
          <rPr>
            <sz val="9"/>
            <color indexed="81"/>
            <rFont val="Tahoma"/>
            <family val="2"/>
          </rPr>
          <t xml:space="preserve">02D04 : Sécurité du courrier
</t>
        </r>
      </text>
    </comment>
    <comment ref="AJ132" authorId="2">
      <text>
        <r>
          <rPr>
            <sz val="9"/>
            <color indexed="81"/>
            <rFont val="Tahoma"/>
            <family val="2"/>
          </rPr>
          <t xml:space="preserve">02D04 : Sécurité du courrier
</t>
        </r>
      </text>
    </comment>
    <comment ref="AL132" authorId="2">
      <text>
        <r>
          <rPr>
            <sz val="9"/>
            <color indexed="81"/>
            <rFont val="Tahoma"/>
            <family val="2"/>
          </rPr>
          <t xml:space="preserve">02D04 : Sécurité du courrier
</t>
        </r>
      </text>
    </comment>
    <comment ref="AL133" authorId="2">
      <text>
        <r>
          <rPr>
            <sz val="9"/>
            <color indexed="81"/>
            <rFont val="Tahoma"/>
            <family val="2"/>
          </rPr>
          <t xml:space="preserve">02D05 : Sécurité des télécopies 
</t>
        </r>
      </text>
    </comment>
    <comment ref="AL134" authorId="2">
      <text>
        <r>
          <rPr>
            <sz val="9"/>
            <color indexed="81"/>
            <rFont val="Tahoma"/>
            <family val="2"/>
          </rPr>
          <t xml:space="preserve">02D04 : Sécurité du courrier
</t>
        </r>
      </text>
    </comment>
    <comment ref="AJ135" authorId="2">
      <text>
        <r>
          <rPr>
            <sz val="9"/>
            <color indexed="81"/>
            <rFont val="Tahoma"/>
            <family val="2"/>
          </rPr>
          <t xml:space="preserve">02D05 : Sécurité des télécopies 
</t>
        </r>
      </text>
    </comment>
    <comment ref="AL135" authorId="2">
      <text>
        <r>
          <rPr>
            <sz val="9"/>
            <color indexed="81"/>
            <rFont val="Tahoma"/>
            <family val="2"/>
          </rPr>
          <t xml:space="preserve">02D05 : Sécurité des télécopies 
</t>
        </r>
      </text>
    </comment>
    <comment ref="AJ136" authorId="2">
      <text>
        <r>
          <rPr>
            <sz val="9"/>
            <color indexed="81"/>
            <rFont val="Tahoma"/>
            <family val="2"/>
          </rPr>
          <t xml:space="preserve">02D05 : Sécurité des télécopies 
</t>
        </r>
      </text>
    </comment>
    <comment ref="AL136" authorId="2">
      <text>
        <r>
          <rPr>
            <sz val="9"/>
            <color indexed="81"/>
            <rFont val="Tahoma"/>
            <family val="2"/>
          </rPr>
          <t xml:space="preserve">02D05 : Sécurité des télécopies 
</t>
        </r>
      </text>
    </comment>
    <comment ref="AL137" authorId="2">
      <text>
        <r>
          <rPr>
            <sz val="9"/>
            <color indexed="81"/>
            <rFont val="Tahoma"/>
            <family val="2"/>
          </rPr>
          <t xml:space="preserve">02D05 : Sécurité des télécopies 
</t>
        </r>
      </text>
    </comment>
    <comment ref="AJ138" authorId="2">
      <text>
        <r>
          <rPr>
            <sz val="9"/>
            <color indexed="81"/>
            <rFont val="Tahoma"/>
            <family val="2"/>
          </rPr>
          <t xml:space="preserve">02D04 : Sécurité du courrier
</t>
        </r>
      </text>
    </comment>
    <comment ref="AL138" authorId="2">
      <text>
        <r>
          <rPr>
            <sz val="9"/>
            <color indexed="81"/>
            <rFont val="Tahoma"/>
            <family val="2"/>
          </rPr>
          <t xml:space="preserve">02D04 : Sécurité du courrier
</t>
        </r>
      </text>
    </comment>
    <comment ref="AJ139" authorId="2">
      <text>
        <r>
          <rPr>
            <sz val="9"/>
            <color indexed="81"/>
            <rFont val="Tahoma"/>
            <family val="2"/>
          </rPr>
          <t xml:space="preserve">02D04 : Sécurité du courrier
</t>
        </r>
      </text>
    </comment>
    <comment ref="AL139" authorId="2">
      <text>
        <r>
          <rPr>
            <sz val="9"/>
            <color indexed="81"/>
            <rFont val="Tahoma"/>
            <family val="2"/>
          </rPr>
          <t xml:space="preserve">02D04 : Sécurité du courrier
</t>
        </r>
      </text>
    </comment>
    <comment ref="AJ141" authorId="2">
      <text>
        <r>
          <rPr>
            <sz val="9"/>
            <color indexed="81"/>
            <rFont val="Tahoma"/>
            <family val="2"/>
          </rPr>
          <t xml:space="preserve">02D06 : Conservation et protection des documents importants à conserver sur une longue période
02D07 : Gestion des archives documentaires
</t>
        </r>
      </text>
    </comment>
    <comment ref="AJ142" authorId="2">
      <text>
        <r>
          <rPr>
            <sz val="9"/>
            <color indexed="81"/>
            <rFont val="Tahoma"/>
            <family val="2"/>
          </rPr>
          <t xml:space="preserve">02D06 : Conservation et protection des documents importants à conserver sur une longue période
02D07 : Gestion des archives documentaires
</t>
        </r>
      </text>
    </comment>
    <comment ref="AJ143" authorId="2">
      <text>
        <r>
          <rPr>
            <sz val="9"/>
            <color indexed="81"/>
            <rFont val="Tahoma"/>
            <family val="2"/>
          </rPr>
          <t xml:space="preserve">02D06 : Conservation et protection des documents importants à conserver sur une longue période
02D07 : Gestion des archives documentaires
</t>
        </r>
      </text>
    </comment>
    <comment ref="AJ144" authorId="2">
      <text>
        <r>
          <rPr>
            <sz val="9"/>
            <color indexed="81"/>
            <rFont val="Tahoma"/>
            <family val="2"/>
          </rPr>
          <t xml:space="preserve">02D06 : Conservation et protection des documents importants à conserver sur une longue période
02D07 : Gestion des archives documentaires
</t>
        </r>
      </text>
    </comment>
    <comment ref="AI145" authorId="2">
      <text>
        <r>
          <rPr>
            <sz val="9"/>
            <color indexed="81"/>
            <rFont val="Tahoma"/>
            <family val="2"/>
          </rPr>
          <t xml:space="preserve">02D06 : Conservation et protection des documents importants à conserver sur une longue période
02D07 : Gestion des archives documentaires
</t>
        </r>
      </text>
    </comment>
    <comment ref="AJ145" authorId="2">
      <text>
        <r>
          <rPr>
            <sz val="9"/>
            <color indexed="81"/>
            <rFont val="Tahoma"/>
            <family val="2"/>
          </rPr>
          <t xml:space="preserve">02D06 : Conservation et protection des documents importants à conserver sur une longue période
02D07 : Gestion des archives documentaires
</t>
        </r>
      </text>
    </comment>
    <comment ref="AI146" authorId="2">
      <text>
        <r>
          <rPr>
            <sz val="9"/>
            <color indexed="81"/>
            <rFont val="Tahoma"/>
            <family val="2"/>
          </rPr>
          <t xml:space="preserve">02D06 : Conservation et protection des documents importants à conserver sur une longue période
02D07 : Gestion des archives documentaires
</t>
        </r>
      </text>
    </comment>
    <comment ref="AJ146" authorId="2">
      <text>
        <r>
          <rPr>
            <sz val="9"/>
            <color indexed="81"/>
            <rFont val="Tahoma"/>
            <family val="2"/>
          </rPr>
          <t xml:space="preserve">02D06 : Conservation et protection des documents importants à conserver sur une longue période
02D07 : Gestion des archives documentaires
</t>
        </r>
      </text>
    </comment>
    <comment ref="AI147" authorId="2">
      <text>
        <r>
          <rPr>
            <sz val="9"/>
            <color indexed="81"/>
            <rFont val="Tahoma"/>
            <family val="2"/>
          </rPr>
          <t xml:space="preserve">02D06 : Conservation et protection des documents importants à conserver sur une longue période
02D07 : Gestion des archives documentaires
</t>
        </r>
      </text>
    </comment>
    <comment ref="AJ147" authorId="2">
      <text>
        <r>
          <rPr>
            <sz val="9"/>
            <color indexed="81"/>
            <rFont val="Tahoma"/>
            <family val="2"/>
          </rPr>
          <t xml:space="preserve">02D06 : Conservation et protection des documents importants à conserver sur une longue période
02D07 : Gestion des archives documentaires
</t>
        </r>
      </text>
    </comment>
    <comment ref="AI148" authorId="2">
      <text>
        <r>
          <rPr>
            <sz val="9"/>
            <color indexed="81"/>
            <rFont val="Tahoma"/>
            <family val="2"/>
          </rPr>
          <t xml:space="preserve">02D06 : Conservation et protection des documents importants à conserver sur une longue période
02D07 : Gestion des archives documentaires
</t>
        </r>
      </text>
    </comment>
    <comment ref="AJ148" authorId="2">
      <text>
        <r>
          <rPr>
            <sz val="9"/>
            <color indexed="81"/>
            <rFont val="Tahoma"/>
            <family val="2"/>
          </rPr>
          <t xml:space="preserve">02D06 : Conservation et protection des documents importants à conserver sur une longue période
02D07 : Gestion des archives documentaires
</t>
        </r>
      </text>
    </comment>
    <comment ref="AI149" authorId="2">
      <text>
        <r>
          <rPr>
            <sz val="9"/>
            <color indexed="81"/>
            <rFont val="Tahoma"/>
            <family val="2"/>
          </rPr>
          <t xml:space="preserve">02D06 : Conservation et protection des documents importants à conserver sur une longue période
02D07 : Gestion des archives documentaires
</t>
        </r>
      </text>
    </comment>
    <comment ref="AJ149" authorId="2">
      <text>
        <r>
          <rPr>
            <sz val="9"/>
            <color indexed="81"/>
            <rFont val="Tahoma"/>
            <family val="2"/>
          </rPr>
          <t xml:space="preserve">02D06 : Conservation et protection des documents importants à conserver sur une longue période
02D07 : Gestion des archives documentaires
</t>
        </r>
      </text>
    </comment>
    <comment ref="AI150" authorId="2">
      <text>
        <r>
          <rPr>
            <sz val="9"/>
            <color indexed="81"/>
            <rFont val="Tahoma"/>
            <family val="2"/>
          </rPr>
          <t xml:space="preserve">02D06 : Conservation et protection des documents importants à conserver sur une longue période
02D07 : Gestion des archives documentaires
</t>
        </r>
      </text>
    </comment>
    <comment ref="AJ150" authorId="2">
      <text>
        <r>
          <rPr>
            <sz val="9"/>
            <color indexed="81"/>
            <rFont val="Tahoma"/>
            <family val="2"/>
          </rPr>
          <t xml:space="preserve">02D06 : Conservation et protection des documents importants à conserver sur une longue période
02D07 : Gestion des archives documentaires
</t>
        </r>
      </text>
    </comment>
    <comment ref="AL152" authorId="2">
      <text>
        <r>
          <rPr>
            <sz val="9"/>
            <color indexed="81"/>
            <rFont val="Tahoma"/>
            <family val="2"/>
          </rPr>
          <t xml:space="preserve">08H02 : Gestion des accès aux archives
</t>
        </r>
      </text>
    </comment>
    <comment ref="AL153" authorId="2">
      <text>
        <r>
          <rPr>
            <sz val="9"/>
            <color indexed="81"/>
            <rFont val="Tahoma"/>
            <family val="2"/>
          </rPr>
          <t xml:space="preserve">08H02 : Gestion des accès aux archives
</t>
        </r>
      </text>
    </comment>
    <comment ref="AI154" authorId="2">
      <text>
        <r>
          <rPr>
            <sz val="9"/>
            <color indexed="81"/>
            <rFont val="Tahoma"/>
            <family val="2"/>
          </rPr>
          <t xml:space="preserve">08H02 : Gestion des accès aux archives
</t>
        </r>
      </text>
    </comment>
    <comment ref="AL155" authorId="2">
      <text>
        <r>
          <rPr>
            <sz val="9"/>
            <color indexed="81"/>
            <rFont val="Tahoma"/>
            <family val="2"/>
          </rPr>
          <t xml:space="preserve">08H02 : Gestion des accès aux archives
</t>
        </r>
      </text>
    </comment>
    <comment ref="AJ156" authorId="2">
      <text>
        <r>
          <rPr>
            <sz val="9"/>
            <color indexed="81"/>
            <rFont val="Tahoma"/>
            <family val="2"/>
          </rPr>
          <t xml:space="preserve">08H02 : Gestion des accès aux archives
</t>
        </r>
      </text>
    </comment>
    <comment ref="AL156" authorId="2">
      <text>
        <r>
          <rPr>
            <sz val="9"/>
            <color indexed="81"/>
            <rFont val="Tahoma"/>
            <family val="2"/>
          </rPr>
          <t xml:space="preserve">08H02 : Gestion des accès aux archives
</t>
        </r>
      </text>
    </comment>
    <comment ref="AJ157" authorId="2">
      <text>
        <r>
          <rPr>
            <sz val="9"/>
            <color indexed="81"/>
            <rFont val="Tahoma"/>
            <family val="2"/>
          </rPr>
          <t xml:space="preserve">08H02 : Gestion des accès aux archives
</t>
        </r>
      </text>
    </comment>
    <comment ref="AL157" authorId="2">
      <text>
        <r>
          <rPr>
            <sz val="9"/>
            <color indexed="81"/>
            <rFont val="Tahoma"/>
            <family val="2"/>
          </rPr>
          <t xml:space="preserve">08H02 : Gestion des accès aux archives
</t>
        </r>
      </text>
    </comment>
    <comment ref="AJ158" authorId="2">
      <text>
        <r>
          <rPr>
            <sz val="9"/>
            <color indexed="81"/>
            <rFont val="Tahoma"/>
            <family val="2"/>
          </rPr>
          <t xml:space="preserve">08H03 : Gestion de la sécurité des archives
</t>
        </r>
      </text>
    </comment>
    <comment ref="AL158" authorId="2">
      <text>
        <r>
          <rPr>
            <sz val="9"/>
            <color indexed="81"/>
            <rFont val="Tahoma"/>
            <family val="2"/>
          </rPr>
          <t xml:space="preserve">08H02 : Gestion des accès aux archives
</t>
        </r>
      </text>
    </comment>
    <comment ref="AJ159" authorId="2">
      <text>
        <r>
          <rPr>
            <sz val="9"/>
            <color indexed="81"/>
            <rFont val="Tahoma"/>
            <family val="2"/>
          </rPr>
          <t xml:space="preserve">08H03 : Gestion de la sécurité des archives
</t>
        </r>
      </text>
    </comment>
    <comment ref="AL159" authorId="2">
      <text>
        <r>
          <rPr>
            <sz val="9"/>
            <color indexed="81"/>
            <rFont val="Tahoma"/>
            <family val="2"/>
          </rPr>
          <t xml:space="preserve">08H02 : Gestion des accès aux archives
</t>
        </r>
      </text>
    </comment>
    <comment ref="AJ160" authorId="2">
      <text>
        <r>
          <rPr>
            <sz val="9"/>
            <color indexed="81"/>
            <rFont val="Tahoma"/>
            <family val="2"/>
          </rPr>
          <t xml:space="preserve">08H01 : Organisation de la gestion des archives informatiques
</t>
        </r>
      </text>
    </comment>
    <comment ref="AL161" authorId="2">
      <text>
        <r>
          <rPr>
            <sz val="9"/>
            <color indexed="81"/>
            <rFont val="Tahoma"/>
            <family val="2"/>
          </rPr>
          <t xml:space="preserve">08H02 : Gestion des accès aux archives
</t>
        </r>
      </text>
    </comment>
    <comment ref="AI162" authorId="2">
      <text>
        <r>
          <rPr>
            <sz val="9"/>
            <color indexed="81"/>
            <rFont val="Tahoma"/>
            <family val="2"/>
          </rPr>
          <t xml:space="preserve">08H03 : Gestion de la sécurité des archives
</t>
        </r>
      </text>
    </comment>
    <comment ref="AJ163" authorId="2">
      <text>
        <r>
          <rPr>
            <sz val="9"/>
            <color indexed="81"/>
            <rFont val="Tahoma"/>
            <family val="2"/>
          </rPr>
          <t xml:space="preserve">08H03 : Gestion de la sécurité des archives
</t>
        </r>
      </text>
    </comment>
    <comment ref="AJ164" authorId="2">
      <text>
        <r>
          <rPr>
            <sz val="9"/>
            <color indexed="81"/>
            <rFont val="Tahoma"/>
            <family val="2"/>
          </rPr>
          <t xml:space="preserve">08H03 : Gestion de la sécurité des archives
</t>
        </r>
      </text>
    </comment>
    <comment ref="AJ165" authorId="2">
      <text>
        <r>
          <rPr>
            <sz val="9"/>
            <color indexed="81"/>
            <rFont val="Tahoma"/>
            <family val="2"/>
          </rPr>
          <t xml:space="preserve">08H02 : Gestion des accès aux archives
</t>
        </r>
      </text>
    </comment>
    <comment ref="AL165" authorId="2">
      <text>
        <r>
          <rPr>
            <sz val="9"/>
            <color indexed="81"/>
            <rFont val="Tahoma"/>
            <family val="2"/>
          </rPr>
          <t xml:space="preserve">08H02 : Gestion des accès aux archives
</t>
        </r>
      </text>
    </comment>
    <comment ref="AJ166" authorId="2">
      <text>
        <r>
          <rPr>
            <sz val="9"/>
            <color indexed="81"/>
            <rFont val="Tahoma"/>
            <family val="2"/>
          </rPr>
          <t xml:space="preserve">08H03 : Gestion de la sécurité des archives
</t>
        </r>
      </text>
    </comment>
    <comment ref="AK166" authorId="2">
      <text>
        <r>
          <rPr>
            <sz val="9"/>
            <color indexed="81"/>
            <rFont val="Tahoma"/>
            <family val="2"/>
          </rPr>
          <t xml:space="preserve">08C05 : Vérification et rotation des supports d'archivage
</t>
        </r>
      </text>
    </comment>
    <comment ref="AJ167" authorId="2">
      <text>
        <r>
          <rPr>
            <sz val="9"/>
            <color indexed="81"/>
            <rFont val="Tahoma"/>
            <family val="2"/>
          </rPr>
          <t xml:space="preserve">08H03 : Gestion de la sécurité des archives
</t>
        </r>
      </text>
    </comment>
    <comment ref="AL168" authorId="2">
      <text>
        <r>
          <rPr>
            <sz val="9"/>
            <color indexed="81"/>
            <rFont val="Tahoma"/>
            <family val="2"/>
          </rPr>
          <t xml:space="preserve">09D02 : Gestion des moyens d'accès aux données applicatives
</t>
        </r>
      </text>
    </comment>
    <comment ref="AL169" authorId="2">
      <text>
        <r>
          <rPr>
            <sz val="9"/>
            <color indexed="81"/>
            <rFont val="Tahoma"/>
            <family val="2"/>
          </rPr>
          <t xml:space="preserve">09D02 : Gestion des moyens d'accès aux données applicatives
</t>
        </r>
      </text>
    </comment>
    <comment ref="AL171" authorId="2">
      <text>
        <r>
          <rPr>
            <sz val="9"/>
            <color indexed="81"/>
            <rFont val="Tahoma"/>
            <family val="2"/>
          </rPr>
          <t xml:space="preserve">08D05 : Sauvegarde des données applicatives
</t>
        </r>
      </text>
    </comment>
    <comment ref="AL172" authorId="2">
      <text>
        <r>
          <rPr>
            <sz val="9"/>
            <color indexed="81"/>
            <rFont val="Tahoma"/>
            <family val="2"/>
          </rPr>
          <t xml:space="preserve">08D05 : Sauvegarde des données applicatives
</t>
        </r>
      </text>
    </comment>
    <comment ref="AL173" authorId="2">
      <text>
        <r>
          <rPr>
            <sz val="9"/>
            <color indexed="81"/>
            <rFont val="Tahoma"/>
            <family val="2"/>
          </rPr>
          <t xml:space="preserve">08D05 : Sauvegarde des données applicatives
</t>
        </r>
      </text>
    </comment>
    <comment ref="AL174" authorId="2">
      <text>
        <r>
          <rPr>
            <sz val="9"/>
            <color indexed="81"/>
            <rFont val="Tahoma"/>
            <family val="2"/>
          </rPr>
          <t xml:space="preserve">08D05 : Sauvegarde des données applicatives
</t>
        </r>
      </text>
    </comment>
    <comment ref="AL175" authorId="2">
      <text>
        <r>
          <rPr>
            <sz val="9"/>
            <color indexed="81"/>
            <rFont val="Tahoma"/>
            <family val="2"/>
          </rPr>
          <t xml:space="preserve">08D05 : Sauvegarde des données applicatives
</t>
        </r>
      </text>
    </comment>
    <comment ref="AJ176" authorId="2">
      <text>
        <r>
          <rPr>
            <sz val="9"/>
            <color indexed="81"/>
            <rFont val="Tahoma"/>
            <family val="2"/>
          </rPr>
          <t xml:space="preserve">07A03 : Authentification de l'utilisateur ou de l'entité demandant un accès
07A04 : Filtrage des accès et gestion des associations
</t>
        </r>
      </text>
    </comment>
    <comment ref="AL176" authorId="2">
      <text>
        <r>
          <rPr>
            <sz val="9"/>
            <color indexed="81"/>
            <rFont val="Tahoma"/>
            <family val="2"/>
          </rPr>
          <t xml:space="preserve">08D05 : Sauvegarde des données applicatives
</t>
        </r>
      </text>
    </comment>
    <comment ref="AI177"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177" authorId="2">
      <text>
        <r>
          <rPr>
            <sz val="9"/>
            <color indexed="81"/>
            <rFont val="Tahoma"/>
            <family val="2"/>
          </rPr>
          <t xml:space="preserve">08D05 : Sauvegarde des données applicatives
</t>
        </r>
      </text>
    </comment>
    <comment ref="AI178" authorId="2">
      <text>
        <r>
          <rPr>
            <sz val="9"/>
            <color indexed="81"/>
            <rFont val="Tahoma"/>
            <family val="2"/>
          </rPr>
          <t xml:space="preserve">08A05 : Prise en compte de la confidentialité lors des opérations de maintenance sur les systèmes en production
08E02 : Surveillance, en temps différé, des traces, logs et journaux
</t>
        </r>
      </text>
    </comment>
    <comment ref="AL178" authorId="2">
      <text>
        <r>
          <rPr>
            <sz val="9"/>
            <color indexed="81"/>
            <rFont val="Tahoma"/>
            <family val="2"/>
          </rPr>
          <t xml:space="preserve">08D05 : Sauvegarde des données applicatives
</t>
        </r>
      </text>
    </comment>
    <comment ref="AJ179" authorId="2">
      <text>
        <r>
          <rPr>
            <sz val="9"/>
            <color indexed="81"/>
            <rFont val="Tahoma"/>
            <family val="2"/>
          </rPr>
          <t xml:space="preserve">10B05 : Sécurité de la maintenance applicative
</t>
        </r>
      </text>
    </comment>
    <comment ref="AL179" authorId="2">
      <text>
        <r>
          <rPr>
            <sz val="9"/>
            <color indexed="81"/>
            <rFont val="Tahoma"/>
            <family val="2"/>
          </rPr>
          <t xml:space="preserve">08D05 : Sauvegarde des données applicatives
</t>
        </r>
      </text>
    </comment>
    <comment ref="AJ180" authorId="2">
      <text>
        <r>
          <rPr>
            <sz val="9"/>
            <color indexed="81"/>
            <rFont val="Tahoma"/>
            <family val="2"/>
          </rPr>
          <t xml:space="preserve">10B06 : Maintenance à chaud 
</t>
        </r>
      </text>
    </comment>
    <comment ref="AL180" authorId="2">
      <text>
        <r>
          <rPr>
            <sz val="9"/>
            <color indexed="81"/>
            <rFont val="Tahoma"/>
            <family val="2"/>
          </rPr>
          <t xml:space="preserve">08D05 : Sauvegarde des données applicatives
</t>
        </r>
      </text>
    </comment>
    <comment ref="AJ181" authorId="2">
      <text>
        <r>
          <rPr>
            <sz val="9"/>
            <color indexed="81"/>
            <rFont val="Tahoma"/>
            <family val="2"/>
          </rPr>
          <t xml:space="preserve">08D03 : Procédures et plans de reprise des applications sur incidents d'exploitation
</t>
        </r>
      </text>
    </comment>
    <comment ref="AK181" authorId="2">
      <text>
        <r>
          <rPr>
            <sz val="9"/>
            <color indexed="81"/>
            <rFont val="Tahoma"/>
            <family val="2"/>
          </rPr>
          <t xml:space="preserve">08E02 : Surveillance, en temps différé, des traces, logs et journaux
</t>
        </r>
      </text>
    </comment>
    <comment ref="AL181" authorId="2">
      <text>
        <r>
          <rPr>
            <sz val="9"/>
            <color indexed="81"/>
            <rFont val="Tahoma"/>
            <family val="2"/>
          </rPr>
          <t xml:space="preserve">08D05 : Sauvegarde des données applicatives
</t>
        </r>
      </text>
    </comment>
    <comment ref="AJ182" authorId="2">
      <text>
        <r>
          <rPr>
            <sz val="9"/>
            <color indexed="81"/>
            <rFont val="Tahoma"/>
            <family val="2"/>
          </rPr>
          <t xml:space="preserve">03D01 : Prévention des risques d'incendie
</t>
        </r>
      </text>
    </comment>
    <comment ref="AL182" authorId="2">
      <text>
        <r>
          <rPr>
            <sz val="9"/>
            <color indexed="81"/>
            <rFont val="Tahoma"/>
            <family val="2"/>
          </rPr>
          <t xml:space="preserve">08D05 : Sauvegarde des données applicatives
08D09 : Sauvegardes de secours (recours) externalisées
</t>
        </r>
      </text>
    </comment>
    <comment ref="AL183" authorId="2">
      <text>
        <r>
          <rPr>
            <sz val="9"/>
            <color indexed="81"/>
            <rFont val="Tahoma"/>
            <family val="2"/>
          </rPr>
          <t xml:space="preserve">08D05 : Sauvegarde des données applicatives
08D09 : Sauvegardes de secours (recours) externalisées
</t>
        </r>
      </text>
    </comment>
    <comment ref="AJ184" authorId="2">
      <text>
        <r>
          <rPr>
            <sz val="9"/>
            <color indexed="81"/>
            <rFont val="Tahoma"/>
            <family val="2"/>
          </rPr>
          <t xml:space="preserve">03D01 : Prévention des risques d'incendie
</t>
        </r>
      </text>
    </comment>
    <comment ref="AL184" authorId="2">
      <text>
        <r>
          <rPr>
            <sz val="9"/>
            <color indexed="81"/>
            <rFont val="Tahoma"/>
            <family val="2"/>
          </rPr>
          <t xml:space="preserve">08D05 : Sauvegarde des données applicatives
08D09 : Sauvegardes de secours (recours) externalisées
</t>
        </r>
      </text>
    </comment>
    <comment ref="AL185" authorId="2">
      <text>
        <r>
          <rPr>
            <sz val="9"/>
            <color indexed="81"/>
            <rFont val="Tahoma"/>
            <family val="2"/>
          </rPr>
          <t xml:space="preserve">08D05 : Sauvegarde des données applicatives
08D09 : Sauvegardes de secours (recours) externalisées
</t>
        </r>
      </text>
    </comment>
    <comment ref="AL186" authorId="2">
      <text>
        <r>
          <rPr>
            <sz val="9"/>
            <color indexed="81"/>
            <rFont val="Tahoma"/>
            <family val="2"/>
          </rPr>
          <t xml:space="preserve">08D05 : Sauvegarde des données applicatives
</t>
        </r>
      </text>
    </comment>
    <comment ref="AI187" authorId="2">
      <text>
        <r>
          <rPr>
            <sz val="9"/>
            <color indexed="81"/>
            <rFont val="Tahoma"/>
            <family val="2"/>
          </rPr>
          <t xml:space="preserve">03B06 : Surveillance des locaux sensibles
</t>
        </r>
      </text>
    </comment>
    <comment ref="AJ187" authorId="2">
      <text>
        <r>
          <rPr>
            <sz val="9"/>
            <color indexed="81"/>
            <rFont val="Tahoma"/>
            <family val="2"/>
          </rPr>
          <t xml:space="preserve">03B03 : Contrôle des accès aux locaux sensibles
03B04 : Détection des intrusions dans les locaux sensibles 
</t>
        </r>
      </text>
    </comment>
    <comment ref="AL187" authorId="2">
      <text>
        <r>
          <rPr>
            <sz val="9"/>
            <color indexed="81"/>
            <rFont val="Tahoma"/>
            <family val="2"/>
          </rPr>
          <t xml:space="preserve">08D05 : Sauvegarde des données applicatives
</t>
        </r>
      </text>
    </comment>
    <comment ref="AI188" authorId="2">
      <text>
        <r>
          <rPr>
            <sz val="9"/>
            <color indexed="81"/>
            <rFont val="Tahoma"/>
            <family val="2"/>
          </rPr>
          <t xml:space="preserve">03B06 : Surveillance des locaux sensibles
</t>
        </r>
      </text>
    </comment>
    <comment ref="AL188" authorId="2">
      <text>
        <r>
          <rPr>
            <sz val="9"/>
            <color indexed="81"/>
            <rFont val="Tahoma"/>
            <family val="2"/>
          </rPr>
          <t xml:space="preserve">08D05 : Sauvegarde des données applicatives
</t>
        </r>
      </text>
    </comment>
    <comment ref="AI189" authorId="2">
      <text>
        <r>
          <rPr>
            <sz val="9"/>
            <color indexed="81"/>
            <rFont val="Tahoma"/>
            <family val="2"/>
          </rPr>
          <t xml:space="preserve">03B06 : Surveillance des locaux sensibles
</t>
        </r>
      </text>
    </comment>
    <comment ref="AL189" authorId="2">
      <text>
        <r>
          <rPr>
            <sz val="9"/>
            <color indexed="81"/>
            <rFont val="Tahoma"/>
            <family val="2"/>
          </rPr>
          <t xml:space="preserve">08D05 : Sauvegarde des données applicatives
</t>
        </r>
      </text>
    </comment>
    <comment ref="AL190" authorId="2">
      <text>
        <r>
          <rPr>
            <sz val="9"/>
            <color indexed="81"/>
            <rFont val="Tahoma"/>
            <family val="2"/>
          </rPr>
          <t xml:space="preserve">08D05 : Sauvegarde des données applicatives
</t>
        </r>
      </text>
    </comment>
    <comment ref="AJ191" authorId="2">
      <text>
        <r>
          <rPr>
            <sz val="9"/>
            <color indexed="81"/>
            <rFont val="Tahoma"/>
            <family val="2"/>
          </rPr>
          <t xml:space="preserve">03C01 : Prévention des risques de dégâts des eaux
</t>
        </r>
      </text>
    </comment>
    <comment ref="AL191" authorId="2">
      <text>
        <r>
          <rPr>
            <sz val="9"/>
            <color indexed="81"/>
            <rFont val="Tahoma"/>
            <family val="2"/>
          </rPr>
          <t xml:space="preserve">08D05 : Sauvegarde des données applicatives
</t>
        </r>
      </text>
    </comment>
    <comment ref="AJ192" authorId="2">
      <text>
        <r>
          <rPr>
            <sz val="9"/>
            <color indexed="81"/>
            <rFont val="Tahoma"/>
            <family val="2"/>
          </rPr>
          <t xml:space="preserve">03A01 : Qualité de la fourniture de l'énergie 
03A04 : Qualité du câblage
</t>
        </r>
      </text>
    </comment>
    <comment ref="AL192" authorId="2">
      <text>
        <r>
          <rPr>
            <sz val="9"/>
            <color indexed="81"/>
            <rFont val="Tahoma"/>
            <family val="2"/>
          </rPr>
          <t xml:space="preserve">08D05 : Sauvegarde des données applicatives
</t>
        </r>
      </text>
    </comment>
    <comment ref="AJ193" authorId="2">
      <text>
        <r>
          <rPr>
            <sz val="9"/>
            <color indexed="81"/>
            <rFont val="Tahoma"/>
            <family val="2"/>
          </rPr>
          <t xml:space="preserve">08A03 : Contrôle de la mise en production de nouveaux systèmes ou d'évolutions de systèmes existants
</t>
        </r>
      </text>
    </comment>
    <comment ref="AK193" authorId="2">
      <text>
        <r>
          <rPr>
            <sz val="9"/>
            <color indexed="81"/>
            <rFont val="Tahoma"/>
            <family val="2"/>
          </rPr>
          <t xml:space="preserve">08E03 : Gestion et traitement des incidents systèmes et applicatifs
</t>
        </r>
      </text>
    </comment>
    <comment ref="AL193" authorId="2">
      <text>
        <r>
          <rPr>
            <sz val="9"/>
            <color indexed="81"/>
            <rFont val="Tahoma"/>
            <family val="2"/>
          </rPr>
          <t xml:space="preserve">08D05 : Sauvegarde des données applicatives
</t>
        </r>
      </text>
    </comment>
    <comment ref="AJ195" authorId="2">
      <text>
        <r>
          <rPr>
            <sz val="9"/>
            <color indexed="81"/>
            <rFont val="Tahoma"/>
            <family val="2"/>
          </rPr>
          <t xml:space="preserve">09B05 : Contrôles permanents  (vraisemblance, ...) sur les traitements
10B05 : Sécurité de la maintenance applicative
</t>
        </r>
      </text>
    </comment>
    <comment ref="AK195" authorId="2">
      <text>
        <r>
          <rPr>
            <sz val="9"/>
            <color indexed="81"/>
            <rFont val="Tahoma"/>
            <family val="2"/>
          </rPr>
          <t xml:space="preserve">09B04 : Contrôles permanents  (vraisemblance, ...) sur les données
</t>
        </r>
      </text>
    </comment>
    <comment ref="AJ196" authorId="2">
      <text>
        <r>
          <rPr>
            <sz val="9"/>
            <color indexed="81"/>
            <rFont val="Tahoma"/>
            <family val="2"/>
          </rPr>
          <t xml:space="preserve">09B05 : Contrôles permanents  (vraisemblance, ...) sur les traitements
10B06 : Maintenance à chaud 
</t>
        </r>
      </text>
    </comment>
    <comment ref="AK196" authorId="2">
      <text>
        <r>
          <rPr>
            <sz val="9"/>
            <color indexed="81"/>
            <rFont val="Tahoma"/>
            <family val="2"/>
          </rPr>
          <t xml:space="preserve">09B04 : Contrôles permanents  (vraisemblance, ...) sur les données
</t>
        </r>
      </text>
    </comment>
    <comment ref="AJ197" authorId="2">
      <text>
        <r>
          <rPr>
            <sz val="9"/>
            <color indexed="81"/>
            <rFont val="Tahoma"/>
            <family val="2"/>
          </rPr>
          <t xml:space="preserve">09B05 : Contrôles permanents  (vraisemblance, ...) sur les traitements
08D03 : Procédures et plans de reprise des applications sur incidents d'exploitation
</t>
        </r>
      </text>
    </comment>
    <comment ref="AK197" authorId="2">
      <text>
        <r>
          <rPr>
            <sz val="9"/>
            <color indexed="81"/>
            <rFont val="Tahoma"/>
            <family val="2"/>
          </rPr>
          <t xml:space="preserve">09B04 : Contrôles permanents  (vraisemblance, ...) sur les données
</t>
        </r>
      </text>
    </comment>
    <comment ref="AJ198" authorId="2">
      <text>
        <r>
          <rPr>
            <sz val="9"/>
            <color indexed="81"/>
            <rFont val="Tahoma"/>
            <family val="2"/>
          </rPr>
          <t xml:space="preserve">09B05 : Contrôles permanents  (vraisemblance, ...) sur les traitements
</t>
        </r>
      </text>
    </comment>
    <comment ref="AK198" authorId="2">
      <text>
        <r>
          <rPr>
            <sz val="9"/>
            <color indexed="81"/>
            <rFont val="Tahoma"/>
            <family val="2"/>
          </rPr>
          <t xml:space="preserve">09B04 : Contrôles permanents  (vraisemblance, ...) sur les données
</t>
        </r>
      </text>
    </comment>
    <comment ref="AJ199" authorId="2">
      <text>
        <r>
          <rPr>
            <sz val="9"/>
            <color indexed="81"/>
            <rFont val="Tahoma"/>
            <family val="2"/>
          </rPr>
          <t xml:space="preserve">09B05 : Contrôles permanents  (vraisemblance, ...) sur les traitements
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K199" authorId="2">
      <text>
        <r>
          <rPr>
            <sz val="9"/>
            <color indexed="81"/>
            <rFont val="Tahoma"/>
            <family val="2"/>
          </rPr>
          <t xml:space="preserve">09B04 : Contrôles permanents  (vraisemblance, ...) sur les données
</t>
        </r>
      </text>
    </comment>
    <comment ref="AJ200" authorId="2">
      <text>
        <r>
          <rPr>
            <sz val="9"/>
            <color indexed="81"/>
            <rFont val="Tahoma"/>
            <family val="2"/>
          </rPr>
          <t xml:space="preserve">09B05 : Contrôles permanents  (vraisemblance, ...) sur les traitements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K200" authorId="2">
      <text>
        <r>
          <rPr>
            <sz val="9"/>
            <color indexed="81"/>
            <rFont val="Tahoma"/>
            <family val="2"/>
          </rPr>
          <t xml:space="preserve">09B04 : Contrôles permanents  (vraisemblance, ...) sur les données
</t>
        </r>
      </text>
    </comment>
    <comment ref="AJ201" authorId="2">
      <text>
        <r>
          <rPr>
            <sz val="9"/>
            <color indexed="81"/>
            <rFont val="Tahoma"/>
            <family val="2"/>
          </rPr>
          <t xml:space="preserve">09B05 : Contrôles permanents  (vraisemblance, ...) sur les traitements
10B05 : Sécurité de la maintenance applicative
</t>
        </r>
      </text>
    </comment>
    <comment ref="AK201" authorId="2">
      <text>
        <r>
          <rPr>
            <sz val="9"/>
            <color indexed="81"/>
            <rFont val="Tahoma"/>
            <family val="2"/>
          </rPr>
          <t xml:space="preserve">09B04 : Contrôles permanents  (vraisemblance, ...) sur les données
</t>
        </r>
      </text>
    </comment>
    <comment ref="AJ202" authorId="2">
      <text>
        <r>
          <rPr>
            <sz val="9"/>
            <color indexed="81"/>
            <rFont val="Tahoma"/>
            <family val="2"/>
          </rPr>
          <t xml:space="preserve">09B05 : Contrôles permanents  (vraisemblance, ...) sur les traitements
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K202" authorId="2">
      <text>
        <r>
          <rPr>
            <sz val="9"/>
            <color indexed="81"/>
            <rFont val="Tahoma"/>
            <family val="2"/>
          </rPr>
          <t xml:space="preserve">09B04 : Contrôles permanents  (vraisemblance, ...) sur les données
</t>
        </r>
      </text>
    </comment>
    <comment ref="AJ203" authorId="2">
      <text>
        <r>
          <rPr>
            <sz val="9"/>
            <color indexed="81"/>
            <rFont val="Tahoma"/>
            <family val="2"/>
          </rPr>
          <t xml:space="preserve">09B05 : Contrôles permanents  (vraisemblance, ...) sur les traitements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09B01 : Scellement des données sensibles
09C02 : Chiffrement des données stockées
</t>
        </r>
      </text>
    </comment>
    <comment ref="AK203" authorId="2">
      <text>
        <r>
          <rPr>
            <sz val="9"/>
            <color indexed="81"/>
            <rFont val="Tahoma"/>
            <family val="2"/>
          </rPr>
          <t xml:space="preserve">09B04 : Contrôles permanents  (vraisemblance, ...) sur les données
</t>
        </r>
      </text>
    </comment>
    <comment ref="AJ204" authorId="2">
      <text>
        <r>
          <rPr>
            <sz val="9"/>
            <color indexed="81"/>
            <rFont val="Tahoma"/>
            <family val="2"/>
          </rPr>
          <t xml:space="preserve">09B01 : Scellement des données sensibles
09C02 : Chiffrement des données stockées
</t>
        </r>
      </text>
    </comment>
    <comment ref="AK204" authorId="2">
      <text>
        <r>
          <rPr>
            <sz val="9"/>
            <color indexed="81"/>
            <rFont val="Tahoma"/>
            <family val="2"/>
          </rPr>
          <t xml:space="preserve">09B04 : Contrôles permanents  (vraisemblance, ...) sur les données
</t>
        </r>
      </text>
    </comment>
    <comment ref="AJ205" authorId="2">
      <text>
        <r>
          <rPr>
            <sz val="9"/>
            <color indexed="81"/>
            <rFont val="Tahoma"/>
            <family val="2"/>
          </rPr>
          <t xml:space="preserve">09B01 : Scellement des données sensibles
09C02 : Chiffrement des données stockées
</t>
        </r>
      </text>
    </comment>
    <comment ref="AK205" authorId="2">
      <text>
        <r>
          <rPr>
            <sz val="9"/>
            <color indexed="81"/>
            <rFont val="Tahoma"/>
            <family val="2"/>
          </rPr>
          <t xml:space="preserve">09B04 : Contrôles permanents  (vraisemblance, ...) sur les données
</t>
        </r>
      </text>
    </comment>
    <comment ref="AJ206" authorId="2">
      <text>
        <r>
          <rPr>
            <sz val="9"/>
            <color indexed="81"/>
            <rFont val="Tahoma"/>
            <family val="2"/>
          </rPr>
          <t xml:space="preserve">08A06 : Contrôle de la télémaintenance 
</t>
        </r>
      </text>
    </comment>
    <comment ref="AK206" authorId="2">
      <text>
        <r>
          <rPr>
            <sz val="9"/>
            <color indexed="81"/>
            <rFont val="Tahoma"/>
            <family val="2"/>
          </rPr>
          <t xml:space="preserve">09B04 : Contrôles permanents  (vraisemblance, ...) sur les données
</t>
        </r>
      </text>
    </comment>
    <comment ref="AJ207" authorId="2">
      <text>
        <r>
          <rPr>
            <sz val="9"/>
            <color indexed="81"/>
            <rFont val="Tahoma"/>
            <family val="2"/>
          </rPr>
          <t xml:space="preserve">09B01 : Scellement des données sensibles
09C02 : Chiffrement des données stockées
</t>
        </r>
      </text>
    </comment>
    <comment ref="AK207" authorId="2">
      <text>
        <r>
          <rPr>
            <sz val="9"/>
            <color indexed="81"/>
            <rFont val="Tahoma"/>
            <family val="2"/>
          </rPr>
          <t xml:space="preserve">09B04 : Contrôles permanents  (vraisemblance, ...) sur les données
</t>
        </r>
      </text>
    </comment>
    <comment ref="AK208" authorId="2">
      <text>
        <r>
          <rPr>
            <sz val="9"/>
            <color indexed="81"/>
            <rFont val="Tahoma"/>
            <family val="2"/>
          </rPr>
          <t xml:space="preserve">09B04 : Contrôles permanents  (vraisemblance, ...) sur les données
</t>
        </r>
      </text>
    </comment>
    <comment ref="AI209" authorId="2">
      <text>
        <r>
          <rPr>
            <sz val="9"/>
            <color indexed="81"/>
            <rFont val="Tahoma"/>
            <family val="2"/>
          </rPr>
          <t xml:space="preserve">03B04 : Détection des intrusions dans les locaux sensibles 
03B05 : Surveillance périmétrique (surveillance des issues et des abords immédiats des locaux sensibles)
03B06 : Surveillance des locaux sensibles
</t>
        </r>
      </text>
    </comment>
    <comment ref="AJ209" authorId="2">
      <text>
        <r>
          <rPr>
            <sz val="9"/>
            <color indexed="81"/>
            <rFont val="Tahoma"/>
            <family val="2"/>
          </rPr>
          <t xml:space="preserve">03B01 : Gestion des droits d'accès aux locaux sensibles
03B02 : Gestion des autorisations d'accès aux locaux sensibles
03B03 : Contrôle des accès aux locaux sensibles
08C02 : Marquage des supports de production (vivants, sauvegardes et archives)
09B01 : Scellement des données sensibles
09C02 : Chiffrement des données stockées
</t>
        </r>
      </text>
    </comment>
    <comment ref="AK209" authorId="2">
      <text>
        <r>
          <rPr>
            <sz val="9"/>
            <color indexed="81"/>
            <rFont val="Tahoma"/>
            <family val="2"/>
          </rPr>
          <t xml:space="preserve">09B04 : Contrôles permanents  (vraisemblance, ...) sur les données
</t>
        </r>
      </text>
    </comment>
    <comment ref="AJ210" authorId="2">
      <text>
        <r>
          <rPr>
            <sz val="9"/>
            <color indexed="81"/>
            <rFont val="Tahoma"/>
            <family val="2"/>
          </rPr>
          <t xml:space="preserve">09B01 : Scellement des données sensibles
09C02 : Chiffrement des données stockées
</t>
        </r>
      </text>
    </comment>
    <comment ref="AK210" authorId="2">
      <text>
        <r>
          <rPr>
            <sz val="9"/>
            <color indexed="81"/>
            <rFont val="Tahoma"/>
            <family val="2"/>
          </rPr>
          <t xml:space="preserve">09B04 : Contrôles permanents  (vraisemblance, ...) sur les données
</t>
        </r>
      </text>
    </comment>
    <comment ref="AJ212" authorId="2">
      <text>
        <r>
          <rPr>
            <sz val="9"/>
            <color indexed="81"/>
            <rFont val="Tahoma"/>
            <family val="2"/>
          </rPr>
          <t xml:space="preserve">11C04 : Protection de l'intégrité des fichiers contenus sur le poste de travail ou sur un serveur de données (disque logique pour le poste de travail)
</t>
        </r>
      </text>
    </comment>
    <comment ref="AJ213"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t>
        </r>
      </text>
    </comment>
    <comment ref="AJ214" authorId="2">
      <text>
        <r>
          <rPr>
            <sz val="9"/>
            <color indexed="81"/>
            <rFont val="Tahoma"/>
            <family val="2"/>
          </rPr>
          <t xml:space="preserve">08F02 : Authentification et contrôle des droits d'accès des administrateurs et personnels d'exploitation
07A03 : Authentification de l'utilisateur ou de l'entité demandant un accès
07A04 : Filtrage des accès et gestion des associations
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15"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t>
        </r>
      </text>
    </comment>
    <comment ref="AJ216" authorId="2">
      <text>
        <r>
          <rPr>
            <sz val="9"/>
            <color indexed="81"/>
            <rFont val="Tahoma"/>
            <family val="2"/>
          </rPr>
          <t xml:space="preserve">08F02 : Authentification et contrôle des droits d'accès des administrateurs et personnels d'exploitation
07A03 : Authentification de l'utilisateur ou de l'entité demandant un accès
07A04 : Filtrage des accès et gestion des associations
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17" authorId="2">
      <text>
        <r>
          <rPr>
            <sz val="9"/>
            <color indexed="81"/>
            <rFont val="Tahoma"/>
            <family val="2"/>
          </rPr>
          <t xml:space="preserve">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18"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11C04 : Protection de l'intégrité des fichiers contenus sur le poste de travail ou sur un serveur de données (disque logique pour le poste de travail)
</t>
        </r>
      </text>
    </comment>
    <comment ref="AJ219" authorId="2">
      <text>
        <r>
          <rPr>
            <sz val="9"/>
            <color indexed="81"/>
            <rFont val="Tahoma"/>
            <family val="2"/>
          </rPr>
          <t xml:space="preserve">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I220" authorId="2">
      <text>
        <r>
          <rPr>
            <sz val="9"/>
            <color indexed="81"/>
            <rFont val="Tahoma"/>
            <family val="2"/>
          </rPr>
          <t xml:space="preserve">03B04 : Détection des intrusions dans les locaux sensibles 
03B05 : Surveillance périmétrique (surveillance des issues et des abords immédiats des locaux sensibles)
03B06 : Surveillance des locaux sensibles
</t>
        </r>
      </text>
    </comment>
    <comment ref="AJ220" authorId="2">
      <text>
        <r>
          <rPr>
            <sz val="9"/>
            <color indexed="81"/>
            <rFont val="Tahoma"/>
            <family val="2"/>
          </rPr>
          <t xml:space="preserve">03B01 : Gestion des droits d'accès aux locaux sensibles
03B02 : Gestion des autorisations d'accès aux locaux sensibles
03B03 : Contrôle des accès aux locaux sensibles
08C02 : Marquage des supports de production (vivants, sauvegardes et archives)
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22" authorId="2">
      <text>
        <r>
          <rPr>
            <sz val="9"/>
            <color indexed="81"/>
            <rFont val="Tahoma"/>
            <family val="2"/>
          </rPr>
          <t xml:space="preserve">11C04 : Protection de l'intégrité des fichiers contenus sur le poste de travail ou sur un serveur de données (disque logique pour le poste de travail)
</t>
        </r>
      </text>
    </comment>
    <comment ref="AJ223" authorId="2">
      <text>
        <r>
          <rPr>
            <sz val="9"/>
            <color indexed="81"/>
            <rFont val="Tahoma"/>
            <family val="2"/>
          </rPr>
          <t xml:space="preserve">11B01 : Contrôle d'accès au poste de travail
11C04 : Protection de l'intégrité des fichiers contenus sur le poste de travail ou sur un serveur de données (disque logique pour le poste de travail)
</t>
        </r>
      </text>
    </comment>
    <comment ref="AJ224" authorId="2">
      <text>
        <r>
          <rPr>
            <sz val="9"/>
            <color indexed="81"/>
            <rFont val="Tahoma"/>
            <family val="2"/>
          </rPr>
          <t xml:space="preserve">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25"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11C04 : Protection de l'intégrité des fichiers contenus sur le poste de travail ou sur un serveur de données (disque logique pour le poste de travail)
</t>
        </r>
      </text>
    </comment>
    <comment ref="AJ226" authorId="2">
      <text>
        <r>
          <rPr>
            <sz val="9"/>
            <color indexed="81"/>
            <rFont val="Tahoma"/>
            <family val="2"/>
          </rPr>
          <t xml:space="preserve">11C02 : Protection de la confidentialité des données de l'environnement de travail personnel stockées sur support amovible
</t>
        </r>
      </text>
    </comment>
    <comment ref="AJ227" authorId="2">
      <text>
        <r>
          <rPr>
            <sz val="9"/>
            <color indexed="81"/>
            <rFont val="Tahoma"/>
            <family val="2"/>
          </rPr>
          <t xml:space="preserve">11B01 : Contrôle d'accès au poste de travail
11C01 : Protection de la confidentialité des données contenues sur le poste de travail ou sur un serveur de données (disque logique pour le poste de travail)
11C04 : Protection de l'intégrité des fichiers contenus sur le poste de travail ou sur un serveur de données (disque logique pour le poste de travail)
</t>
        </r>
      </text>
    </comment>
    <comment ref="AJ228" authorId="2">
      <text>
        <r>
          <rPr>
            <sz val="9"/>
            <color indexed="81"/>
            <rFont val="Tahoma"/>
            <family val="2"/>
          </rPr>
          <t xml:space="preserve">11C02 : Protection de la confidentialité des données de l'environnement de travail personnel stockées sur support amovible
</t>
        </r>
      </text>
    </comment>
    <comment ref="AJ230" authorId="2">
      <text>
        <r>
          <rPr>
            <sz val="9"/>
            <color indexed="81"/>
            <rFont val="Tahoma"/>
            <family val="2"/>
          </rPr>
          <t xml:space="preserve">09B03 : Contrôle de la saisie des données
</t>
        </r>
      </text>
    </comment>
    <comment ref="AK230" authorId="2">
      <text>
        <r>
          <rPr>
            <sz val="9"/>
            <color indexed="81"/>
            <rFont val="Tahoma"/>
            <family val="2"/>
          </rPr>
          <t xml:space="preserve">09B04 : Contrôles permanents  (vraisemblance, ...) sur les données
</t>
        </r>
      </text>
    </comment>
    <comment ref="AI231" authorId="2">
      <text>
        <r>
          <rPr>
            <sz val="9"/>
            <color indexed="81"/>
            <rFont val="Tahoma"/>
            <family val="2"/>
          </rPr>
          <t xml:space="preserve">09B03 : Contrôle de la saisie des données
</t>
        </r>
      </text>
    </comment>
    <comment ref="AJ231" authorId="2">
      <text>
        <r>
          <rPr>
            <sz val="9"/>
            <color indexed="81"/>
            <rFont val="Tahoma"/>
            <family val="2"/>
          </rPr>
          <t xml:space="preserve">09B03 : Contrôle de la saisie des données
</t>
        </r>
      </text>
    </comment>
    <comment ref="AK231" authorId="2">
      <text>
        <r>
          <rPr>
            <sz val="9"/>
            <color indexed="81"/>
            <rFont val="Tahoma"/>
            <family val="2"/>
          </rPr>
          <t xml:space="preserve">09B04 : Contrôles permanents  (vraisemblance, ...) sur les données
</t>
        </r>
      </text>
    </comment>
    <comment ref="AJ232"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08F02 : Authentification et contrôle des droits d'accès des administrateurs et personnels d'exploitation
09B01 : Scellement des données sensibles
09C02 : Chiffrement des données stockées
</t>
        </r>
      </text>
    </comment>
    <comment ref="AK232" authorId="2">
      <text>
        <r>
          <rPr>
            <sz val="9"/>
            <color indexed="81"/>
            <rFont val="Tahoma"/>
            <family val="2"/>
          </rPr>
          <t xml:space="preserve">09B04 : Contrôles permanents  (vraisemblance, ...) sur les données
</t>
        </r>
      </text>
    </comment>
    <comment ref="AJ233"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09A01 : Gestion des profils d'accès aux données applicatives
09A02 : Gestion des autorisations d'accès aux données applicatives (attribution, délégation, retrait)
</t>
        </r>
      </text>
    </comment>
    <comment ref="AK233" authorId="2">
      <text>
        <r>
          <rPr>
            <sz val="9"/>
            <color indexed="81"/>
            <rFont val="Tahoma"/>
            <family val="2"/>
          </rPr>
          <t xml:space="preserve">09B04 : Contrôles permanents  (vraisemblance, ...) sur les données
</t>
        </r>
      </text>
    </comment>
    <comment ref="AJ234" authorId="2">
      <text>
        <r>
          <rPr>
            <sz val="9"/>
            <color indexed="81"/>
            <rFont val="Tahoma"/>
            <family val="2"/>
          </rPr>
          <t xml:space="preserve">09B01 : Scellement des données sensibles
09C02 : Chiffrement des données stockées
</t>
        </r>
      </text>
    </comment>
    <comment ref="AK234" authorId="2">
      <text>
        <r>
          <rPr>
            <sz val="9"/>
            <color indexed="81"/>
            <rFont val="Tahoma"/>
            <family val="2"/>
          </rPr>
          <t xml:space="preserve">09B04 : Contrôles permanents  (vraisemblance, ...) sur les données
</t>
        </r>
      </text>
    </comment>
    <comment ref="AJ235" authorId="2">
      <text>
        <r>
          <rPr>
            <sz val="9"/>
            <color indexed="81"/>
            <rFont val="Tahoma"/>
            <family val="2"/>
          </rPr>
          <t xml:space="preserve">09B01 : Scellement des données sensibles
09C02 : Chiffrement des données stockées
</t>
        </r>
      </text>
    </comment>
    <comment ref="AK235" authorId="2">
      <text>
        <r>
          <rPr>
            <sz val="9"/>
            <color indexed="81"/>
            <rFont val="Tahoma"/>
            <family val="2"/>
          </rPr>
          <t xml:space="preserve">09B04 : Contrôles permanents  (vraisemblance, ...) sur les données
</t>
        </r>
      </text>
    </comment>
    <comment ref="AJ236" authorId="2">
      <text>
        <r>
          <rPr>
            <sz val="9"/>
            <color indexed="81"/>
            <rFont val="Tahoma"/>
            <family val="2"/>
          </rPr>
          <t xml:space="preserve">04C01 : Chiffrement des échanges sur le réseau étendu
04C02 : Contrôle de l'intégrité des échanges sur le réseau étendu
09B02 : Protection de l'intégrité des données échangées 
09C01 : Chiffrement des échanges (ponctuel ou en totalité)
</t>
        </r>
      </text>
    </comment>
    <comment ref="AK236" authorId="2">
      <text>
        <r>
          <rPr>
            <sz val="9"/>
            <color indexed="81"/>
            <rFont val="Tahoma"/>
            <family val="2"/>
          </rPr>
          <t xml:space="preserve">09B04 : Contrôles permanents  (vraisemblance, ...) sur les données
</t>
        </r>
      </text>
    </comment>
    <comment ref="AJ237" authorId="2">
      <text>
        <r>
          <rPr>
            <sz val="9"/>
            <color indexed="81"/>
            <rFont val="Tahoma"/>
            <family val="2"/>
          </rPr>
          <t xml:space="preserve">04C01 : Chiffrement des échanges sur le réseau étendu
04C02 : Contrôle de l'intégrité des échanges sur le réseau étendu
09B02 : Protection de l'intégrité des données échangées 
09C01 : Chiffrement des échanges (ponctuel ou en totalité)
</t>
        </r>
      </text>
    </comment>
    <comment ref="AK237" authorId="2">
      <text>
        <r>
          <rPr>
            <sz val="9"/>
            <color indexed="81"/>
            <rFont val="Tahoma"/>
            <family val="2"/>
          </rPr>
          <t xml:space="preserve">09B04 : Contrôles permanents  (vraisemblance, ...) sur les données
</t>
        </r>
      </text>
    </comment>
    <comment ref="AJ238" authorId="2">
      <text>
        <r>
          <rPr>
            <sz val="9"/>
            <color indexed="81"/>
            <rFont val="Tahoma"/>
            <family val="2"/>
          </rPr>
          <t xml:space="preserve">05C03 : Chiffrement des échanges lors des accès distants au réseau local
05C04 : Protection de l'intégrité des échanges lors des accès distants au réseau local
</t>
        </r>
      </text>
    </comment>
    <comment ref="AK238" authorId="2">
      <text>
        <r>
          <rPr>
            <sz val="9"/>
            <color indexed="81"/>
            <rFont val="Tahoma"/>
            <family val="2"/>
          </rPr>
          <t xml:space="preserve">09B04 : Contrôles permanents  (vraisemblance, ...) sur les données
</t>
        </r>
      </text>
    </comment>
    <comment ref="AJ239" authorId="2">
      <text>
        <r>
          <rPr>
            <sz val="9"/>
            <color indexed="81"/>
            <rFont val="Tahoma"/>
            <family val="2"/>
          </rPr>
          <t xml:space="preserve">05C03 : Chiffrement des échanges lors des accès distants au réseau local
05C04 : Protection de l'intégrité des échanges lors des accès distants au réseau local
</t>
        </r>
      </text>
    </comment>
    <comment ref="AK239" authorId="2">
      <text>
        <r>
          <rPr>
            <sz val="9"/>
            <color indexed="81"/>
            <rFont val="Tahoma"/>
            <family val="2"/>
          </rPr>
          <t xml:space="preserve">09B04 : Contrôles permanents  (vraisemblance, ...) sur les données
</t>
        </r>
      </text>
    </comment>
    <comment ref="AJ240" authorId="2">
      <text>
        <r>
          <rPr>
            <sz val="9"/>
            <color indexed="81"/>
            <rFont val="Tahoma"/>
            <family val="2"/>
          </rPr>
          <t xml:space="preserve">05C01 : Chiffrement des échanges sur le réseau local
05C02 : Protection de l'intégrité des échanges sur le réseau local
09B02 : Protection de l'intégrité des données échangées 
09C01 : Chiffrement des échanges (ponctuel ou en totalité)
</t>
        </r>
      </text>
    </comment>
    <comment ref="AK240" authorId="2">
      <text>
        <r>
          <rPr>
            <sz val="9"/>
            <color indexed="81"/>
            <rFont val="Tahoma"/>
            <family val="2"/>
          </rPr>
          <t xml:space="preserve">09B04 : Contrôles permanents  (vraisemblance, ...) sur les données
</t>
        </r>
      </text>
    </comment>
    <comment ref="AJ241" authorId="2">
      <text>
        <r>
          <rPr>
            <sz val="9"/>
            <color indexed="81"/>
            <rFont val="Tahoma"/>
            <family val="2"/>
          </rPr>
          <t xml:space="preserve">05C01 : Chiffrement des échanges sur le réseau local
05C02 : Protection de l'intégrité des échanges sur le réseau local
09B02 : Protection de l'intégrité des données échangées 
09C01 : Chiffrement des échanges (ponctuel ou en totalité)
</t>
        </r>
      </text>
    </comment>
    <comment ref="AK241" authorId="2">
      <text>
        <r>
          <rPr>
            <sz val="9"/>
            <color indexed="81"/>
            <rFont val="Tahoma"/>
            <family val="2"/>
          </rPr>
          <t xml:space="preserve">09B04 : Contrôles permanents  (vraisemblance, ...) sur les données
</t>
        </r>
      </text>
    </comment>
    <comment ref="AJ242" authorId="2">
      <text>
        <r>
          <rPr>
            <sz val="9"/>
            <color indexed="81"/>
            <rFont val="Tahoma"/>
            <family val="2"/>
          </rPr>
          <t xml:space="preserve">04C01 : Chiffrement des échanges sur le réseau étendu
09C01 : Chiffrement des échanges (ponctuel ou en totalité)
09F02 : Individualisation des messages empêchant leur duplication (numérotation, séquencement,...)
</t>
        </r>
      </text>
    </comment>
    <comment ref="AK242" authorId="2">
      <text>
        <r>
          <rPr>
            <sz val="9"/>
            <color indexed="81"/>
            <rFont val="Tahoma"/>
            <family val="2"/>
          </rPr>
          <t xml:space="preserve">09F03 : Accusé de réception 
</t>
        </r>
      </text>
    </comment>
    <comment ref="AJ243" authorId="2">
      <text>
        <r>
          <rPr>
            <sz val="9"/>
            <color indexed="81"/>
            <rFont val="Tahoma"/>
            <family val="2"/>
          </rPr>
          <t xml:space="preserve">09F01 : Garantie d'origine, signature, électronique
</t>
        </r>
      </text>
    </comment>
    <comment ref="AJ245" authorId="2">
      <text>
        <r>
          <rPr>
            <sz val="9"/>
            <color indexed="81"/>
            <rFont val="Tahoma"/>
            <family val="2"/>
          </rPr>
          <t xml:space="preserve">11C05 : Sécurité de la messagerie électronique (courriels) et des échanges électroniques d'information
</t>
        </r>
      </text>
    </comment>
    <comment ref="AJ246" authorId="2">
      <text>
        <r>
          <rPr>
            <sz val="9"/>
            <color indexed="81"/>
            <rFont val="Tahoma"/>
            <family val="2"/>
          </rPr>
          <t xml:space="preserve">11C05 : Sécurité de la messagerie électronique (courriels) et des échanges électroniques d'information
</t>
        </r>
      </text>
    </comment>
    <comment ref="AJ247" authorId="2">
      <text>
        <r>
          <rPr>
            <sz val="9"/>
            <color indexed="81"/>
            <rFont val="Tahoma"/>
            <family val="2"/>
          </rPr>
          <t xml:space="preserve">11C05 : Sécurité de la messagerie électronique (courriels) et des échanges électroniques d'information
</t>
        </r>
      </text>
    </comment>
    <comment ref="AJ249" authorId="2">
      <text>
        <r>
          <rPr>
            <sz val="9"/>
            <color indexed="81"/>
            <rFont val="Tahoma"/>
            <family val="2"/>
          </rPr>
          <t xml:space="preserve">02D05 : Sécurité des télécopies 
</t>
        </r>
      </text>
    </comment>
    <comment ref="AI251" authorId="2">
      <text>
        <r>
          <rPr>
            <sz val="9"/>
            <color indexed="81"/>
            <rFont val="Tahoma"/>
            <family val="2"/>
          </rPr>
          <t xml:space="preserve">08H02 : Gestion des accès aux archives
</t>
        </r>
      </text>
    </comment>
    <comment ref="AJ252" authorId="2">
      <text>
        <r>
          <rPr>
            <sz val="9"/>
            <color indexed="81"/>
            <rFont val="Tahoma"/>
            <family val="2"/>
          </rPr>
          <t xml:space="preserve">08H02 : Gestion des accès aux archives
</t>
        </r>
      </text>
    </comment>
    <comment ref="AI253" authorId="2">
      <text>
        <r>
          <rPr>
            <sz val="9"/>
            <color indexed="81"/>
            <rFont val="Tahoma"/>
            <family val="2"/>
          </rPr>
          <t xml:space="preserve">08H03 : Gestion de la sécurité des archives
</t>
        </r>
      </text>
    </comment>
    <comment ref="AJ254" authorId="2">
      <text>
        <r>
          <rPr>
            <sz val="9"/>
            <color indexed="81"/>
            <rFont val="Tahoma"/>
            <family val="2"/>
          </rPr>
          <t xml:space="preserve">08H02 : Gestion des accès aux archives
</t>
        </r>
      </text>
    </comment>
    <comment ref="AJ255" authorId="2">
      <text>
        <r>
          <rPr>
            <sz val="9"/>
            <color indexed="81"/>
            <rFont val="Tahoma"/>
            <family val="2"/>
          </rPr>
          <t xml:space="preserve">08H02 : Gestion des accès aux archives
</t>
        </r>
      </text>
    </comment>
    <comment ref="AJ257" authorId="2">
      <text>
        <r>
          <rPr>
            <sz val="9"/>
            <color indexed="81"/>
            <rFont val="Tahoma"/>
            <family val="2"/>
          </rPr>
          <t xml:space="preserve">09B05 : Contrôles permanents  (vraisemblance, ...) sur les traitements
10B06 : Maintenance à chaud 
</t>
        </r>
      </text>
    </comment>
    <comment ref="AK257" authorId="2">
      <text>
        <r>
          <rPr>
            <sz val="9"/>
            <color indexed="81"/>
            <rFont val="Tahoma"/>
            <family val="2"/>
          </rPr>
          <t xml:space="preserve">09B04 : Contrôles permanents  (vraisemblance, ...) sur les données
</t>
        </r>
      </text>
    </comment>
    <comment ref="AJ258" authorId="2">
      <text>
        <r>
          <rPr>
            <sz val="9"/>
            <color indexed="81"/>
            <rFont val="Tahoma"/>
            <family val="2"/>
          </rPr>
          <t xml:space="preserve">09B05 : Contrôles permanents  (vraisemblance, ...) sur les traitements
08D03 : Procédures et plans de reprise des applications sur incidents d'exploitation
</t>
        </r>
      </text>
    </comment>
    <comment ref="AK258" authorId="2">
      <text>
        <r>
          <rPr>
            <sz val="9"/>
            <color indexed="81"/>
            <rFont val="Tahoma"/>
            <family val="2"/>
          </rPr>
          <t xml:space="preserve">09B04 : Contrôles permanents  (vraisemblance, ...) sur les données
</t>
        </r>
      </text>
    </comment>
    <comment ref="AJ259" authorId="2">
      <text>
        <r>
          <rPr>
            <sz val="9"/>
            <color indexed="81"/>
            <rFont val="Tahoma"/>
            <family val="2"/>
          </rPr>
          <t xml:space="preserve">09B05 : Contrôles permanents  (vraisemblance, ...) sur les traitements
</t>
        </r>
      </text>
    </comment>
    <comment ref="AK259" authorId="2">
      <text>
        <r>
          <rPr>
            <sz val="9"/>
            <color indexed="81"/>
            <rFont val="Tahoma"/>
            <family val="2"/>
          </rPr>
          <t xml:space="preserve">09B04 : Contrôles permanents  (vraisemblance, ...) sur les données
</t>
        </r>
      </text>
    </comment>
    <comment ref="AJ260" authorId="2">
      <text>
        <r>
          <rPr>
            <sz val="9"/>
            <color indexed="81"/>
            <rFont val="Tahoma"/>
            <family val="2"/>
          </rPr>
          <t xml:space="preserve">09B05 : Contrôles permanents  (vraisemblance, ...) sur les traitements
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K260" authorId="2">
      <text>
        <r>
          <rPr>
            <sz val="9"/>
            <color indexed="81"/>
            <rFont val="Tahoma"/>
            <family val="2"/>
          </rPr>
          <t xml:space="preserve">09B04 : Contrôles permanents  (vraisemblance, ...) sur les données
</t>
        </r>
      </text>
    </comment>
    <comment ref="AJ261" authorId="2">
      <text>
        <r>
          <rPr>
            <sz val="9"/>
            <color indexed="81"/>
            <rFont val="Tahoma"/>
            <family val="2"/>
          </rPr>
          <t xml:space="preserve">09B05 : Contrôles permanents  (vraisemblance, ...) sur les traitements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K261" authorId="2">
      <text>
        <r>
          <rPr>
            <sz val="9"/>
            <color indexed="81"/>
            <rFont val="Tahoma"/>
            <family val="2"/>
          </rPr>
          <t xml:space="preserve">09B04 : Contrôles permanents  (vraisemblance, ...) sur les données
</t>
        </r>
      </text>
    </comment>
    <comment ref="AJ262" authorId="2">
      <text>
        <r>
          <rPr>
            <sz val="9"/>
            <color indexed="81"/>
            <rFont val="Tahoma"/>
            <family val="2"/>
          </rPr>
          <t xml:space="preserve">09B05 : Contrôles permanents  (vraisemblance, ...) sur les traitements
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K262" authorId="2">
      <text>
        <r>
          <rPr>
            <sz val="9"/>
            <color indexed="81"/>
            <rFont val="Tahoma"/>
            <family val="2"/>
          </rPr>
          <t xml:space="preserve">09B04 : Contrôles permanents  (vraisemblance, ...) sur les données
</t>
        </r>
      </text>
    </comment>
    <comment ref="AJ263" authorId="2">
      <text>
        <r>
          <rPr>
            <sz val="9"/>
            <color indexed="81"/>
            <rFont val="Tahoma"/>
            <family val="2"/>
          </rPr>
          <t xml:space="preserve">09B05 : Contrôles permanents  (vraisemblance, ...) sur les traitements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K263" authorId="2">
      <text>
        <r>
          <rPr>
            <sz val="9"/>
            <color indexed="81"/>
            <rFont val="Tahoma"/>
            <family val="2"/>
          </rPr>
          <t xml:space="preserve">09B04 : Contrôles permanents  (vraisemblance, ...) sur les données
</t>
        </r>
      </text>
    </comment>
    <comment ref="AJ264" authorId="2">
      <text>
        <r>
          <rPr>
            <sz val="9"/>
            <color indexed="81"/>
            <rFont val="Tahoma"/>
            <family val="2"/>
          </rPr>
          <t xml:space="preserve">09B01 : Scellement des données sensibles
09C02 : Chiffrement des données stockées
</t>
        </r>
      </text>
    </comment>
    <comment ref="AK264" authorId="2">
      <text>
        <r>
          <rPr>
            <sz val="9"/>
            <color indexed="81"/>
            <rFont val="Tahoma"/>
            <family val="2"/>
          </rPr>
          <t xml:space="preserve">09B04 : Contrôles permanents  (vraisemblance, ...) sur les données
</t>
        </r>
      </text>
    </comment>
    <comment ref="AJ265" authorId="2">
      <text>
        <r>
          <rPr>
            <sz val="9"/>
            <color indexed="81"/>
            <rFont val="Tahoma"/>
            <family val="2"/>
          </rPr>
          <t xml:space="preserve">09B01 : Scellement des données sensibles
09C02 : Chiffrement des données stockées
</t>
        </r>
      </text>
    </comment>
    <comment ref="AK265" authorId="2">
      <text>
        <r>
          <rPr>
            <sz val="9"/>
            <color indexed="81"/>
            <rFont val="Tahoma"/>
            <family val="2"/>
          </rPr>
          <t xml:space="preserve">09B04 : Contrôles permanents  (vraisemblance, ...) sur les données
</t>
        </r>
      </text>
    </comment>
    <comment ref="AJ267" authorId="2">
      <text>
        <r>
          <rPr>
            <sz val="9"/>
            <color indexed="81"/>
            <rFont val="Tahoma"/>
            <family val="2"/>
          </rPr>
          <t xml:space="preserve">09C02 : Chiffrement des données stockées
</t>
        </r>
      </text>
    </comment>
    <comment ref="AJ268" authorId="2">
      <text>
        <r>
          <rPr>
            <sz val="9"/>
            <color indexed="81"/>
            <rFont val="Tahoma"/>
            <family val="2"/>
          </rPr>
          <t xml:space="preserve">08A05 : Prise en compte de la confidentialité lors des opérations de maintenance sur les systèmes en production
09C02 : Chiffrement des données stockées
</t>
        </r>
      </text>
    </comment>
    <comment ref="AJ269" authorId="2">
      <text>
        <r>
          <rPr>
            <sz val="9"/>
            <color indexed="81"/>
            <rFont val="Tahoma"/>
            <family val="2"/>
          </rPr>
          <t xml:space="preserve">10B04 : Protection des données d'essai
09C02 : Chiffrement des données stockées
</t>
        </r>
      </text>
    </comment>
    <comment ref="AJ270" authorId="2">
      <text>
        <r>
          <rPr>
            <sz val="9"/>
            <color indexed="81"/>
            <rFont val="Tahoma"/>
            <family val="2"/>
          </rPr>
          <t xml:space="preserve">08A05 : Prise en compte de la confidentialité lors des opérations de maintenance sur les systèmes en production
09C02 : Chiffrement des données stockées
</t>
        </r>
      </text>
    </comment>
    <comment ref="AI271" authorId="2">
      <text>
        <r>
          <rPr>
            <sz val="9"/>
            <color indexed="81"/>
            <rFont val="Tahoma"/>
            <family val="2"/>
          </rPr>
          <t xml:space="preserve">07C01 : Enregistrement des accès aux ressources sensibles
</t>
        </r>
      </text>
    </comment>
    <comment ref="AI272" authorId="2">
      <text>
        <r>
          <rPr>
            <sz val="9"/>
            <color indexed="81"/>
            <rFont val="Tahoma"/>
            <family val="2"/>
          </rPr>
          <t xml:space="preserve">07C01 : Enregistrement des accès aux ressources sensibles
</t>
        </r>
      </text>
    </comment>
    <comment ref="AJ272"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09A01 : Gestion des profils d'accès aux données applicatives
09A02 : Gestion des autorisations d'accès aux données applicatives (attribution, délégation, retrait)
</t>
        </r>
      </text>
    </comment>
    <comment ref="AJ273"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J274" authorId="2">
      <text>
        <r>
          <rPr>
            <sz val="9"/>
            <color indexed="81"/>
            <rFont val="Tahoma"/>
            <family val="2"/>
          </rPr>
          <t xml:space="preserve">09C02 : Chiffrement des données stockées
</t>
        </r>
      </text>
    </comment>
    <comment ref="AJ275" authorId="2">
      <text>
        <r>
          <rPr>
            <sz val="9"/>
            <color indexed="81"/>
            <rFont val="Tahoma"/>
            <family val="2"/>
          </rPr>
          <t xml:space="preserve">05B03 : Authentification de l'utilisateur ou de l'entité demandant un accès au réseau local depuis un point d'accès interne 
Ce mécanisme correspond à l'authentification réalisée sous Windows par un contrôleur de domaine 
07A03 : Authentification de l'utilisateur ou de l'entité demandant un accès
07A04 : Filtrage des accès et gestion des associations
09C02 : Chiffrement des données stockées
</t>
        </r>
      </text>
    </comment>
    <comment ref="AJ276" authorId="2">
      <text>
        <r>
          <rPr>
            <sz val="9"/>
            <color indexed="81"/>
            <rFont val="Tahoma"/>
            <family val="2"/>
          </rPr>
          <t xml:space="preserve">05B04 : Authentification de l'utilisateur ou de l'entité demandant un accès au réseau local depuis un site distant via le réseau étendu
05B05 : Authentification de l'utilisateur ou de l'entité demandant un accès au réseau local depuis l'extérieur
(depuis le Réseau Téléphonique Commuté, X25, RNIS, ADSL, Internet, etc.) 
05B06 : Authentification de l'utilisateur ou de l'entité demandant un accès au réseau local depuis un sous-réseau WiFi
05B07 : Filtrage général des accès au réseau local
06B02 : Contrôle des configurations des accès réseaux des postes utilisateurs
07A03 : Authentification de l'utilisateur ou de l'entité demandant un accès
07A04 : Filtrage des accès et gestion des associations
</t>
        </r>
      </text>
    </comment>
    <comment ref="AJ277" authorId="2">
      <text>
        <r>
          <rPr>
            <sz val="9"/>
            <color indexed="81"/>
            <rFont val="Tahoma"/>
            <family val="2"/>
          </rPr>
          <t xml:space="preserve">08A06 : Contrôle de la télémaintenance 
</t>
        </r>
      </text>
    </comment>
    <comment ref="AJ278" authorId="2">
      <text>
        <r>
          <rPr>
            <sz val="9"/>
            <color indexed="81"/>
            <rFont val="Tahoma"/>
            <family val="2"/>
          </rPr>
          <t xml:space="preserve">05B08 : Contrôle du routage des accès sortants
05B09 : Authentification de l'entité accédée lors des accès sortants vers des sites sensibles
</t>
        </r>
      </text>
    </comment>
    <comment ref="AJ279" authorId="2">
      <text>
        <r>
          <rPr>
            <sz val="9"/>
            <color indexed="81"/>
            <rFont val="Tahoma"/>
            <family val="2"/>
          </rPr>
          <t xml:space="preserve">07B01 : Contrôle des accès aux résidus
08A05 : Prise en compte de la confidentialité lors des opérations de maintenance sur les systèmes en production
09C02 : Chiffrement des données stockées
</t>
        </r>
      </text>
    </comment>
    <comment ref="AJ280" authorId="2">
      <text>
        <r>
          <rPr>
            <sz val="9"/>
            <color indexed="81"/>
            <rFont val="Tahoma"/>
            <family val="2"/>
          </rPr>
          <t xml:space="preserve">09C02 : Chiffrement des données stockées
</t>
        </r>
      </text>
    </comment>
    <comment ref="AI281" authorId="2">
      <text>
        <r>
          <rPr>
            <sz val="9"/>
            <color indexed="81"/>
            <rFont val="Tahoma"/>
            <family val="2"/>
          </rPr>
          <t xml:space="preserve">08C03 : Sécurité physique des supports stockés sur site 
</t>
        </r>
      </text>
    </comment>
    <comment ref="AJ281" authorId="2">
      <text>
        <r>
          <rPr>
            <sz val="9"/>
            <color indexed="81"/>
            <rFont val="Tahoma"/>
            <family val="2"/>
          </rPr>
          <t xml:space="preserve">09C02 : Chiffrement des données stockées
</t>
        </r>
      </text>
    </comment>
    <comment ref="AI282" authorId="2">
      <text>
        <r>
          <rPr>
            <sz val="9"/>
            <color indexed="81"/>
            <rFont val="Tahoma"/>
            <family val="2"/>
          </rPr>
          <t xml:space="preserve">08C04 : Sécurité physique des supports externalisés (stockés dans un site externe)
</t>
        </r>
      </text>
    </comment>
    <comment ref="AJ282" authorId="2">
      <text>
        <r>
          <rPr>
            <sz val="9"/>
            <color indexed="81"/>
            <rFont val="Tahoma"/>
            <family val="2"/>
          </rPr>
          <t xml:space="preserve">09C02 : Chiffrement des données stockées
</t>
        </r>
      </text>
    </comment>
    <comment ref="AI283" authorId="2">
      <text>
        <r>
          <rPr>
            <sz val="9"/>
            <color indexed="81"/>
            <rFont val="Tahoma"/>
            <family val="2"/>
          </rPr>
          <t xml:space="preserve">03B06 : Surveillance des locaux sensibles
</t>
        </r>
      </text>
    </comment>
    <comment ref="AJ283" authorId="2">
      <text>
        <r>
          <rPr>
            <sz val="9"/>
            <color indexed="81"/>
            <rFont val="Tahoma"/>
            <family val="2"/>
          </rPr>
          <t xml:space="preserve">03B03 : Contrôle des accès aux locaux sensibles
03B04 : Détection des intrusions dans les locaux sensibles 
09C02 : Chiffrement des données stockées
</t>
        </r>
      </text>
    </comment>
    <comment ref="AJ284" authorId="2">
      <text>
        <r>
          <rPr>
            <sz val="9"/>
            <color indexed="81"/>
            <rFont val="Tahoma"/>
            <family val="2"/>
          </rPr>
          <t xml:space="preserve">08C07 : Sécurité physique des médias en transit
09C02 : Chiffrement des données stockées
</t>
        </r>
      </text>
    </comment>
    <comment ref="AI285" authorId="2">
      <text>
        <r>
          <rPr>
            <sz val="9"/>
            <color indexed="81"/>
            <rFont val="Tahoma"/>
            <family val="2"/>
          </rPr>
          <t xml:space="preserve">08C03 : Sécurité physique des supports stockés sur site 
</t>
        </r>
      </text>
    </comment>
    <comment ref="AJ285" authorId="2">
      <text>
        <r>
          <rPr>
            <sz val="9"/>
            <color indexed="81"/>
            <rFont val="Tahoma"/>
            <family val="2"/>
          </rPr>
          <t xml:space="preserve">08C03 : Sécurité physique des supports stockés sur site 
09C02 : Chiffrement des données stockées
</t>
        </r>
      </text>
    </comment>
    <comment ref="AI286" authorId="2">
      <text>
        <r>
          <rPr>
            <sz val="9"/>
            <color indexed="81"/>
            <rFont val="Tahoma"/>
            <family val="2"/>
          </rPr>
          <t xml:space="preserve">08C04 : Sécurité physique des supports externalisés (stockés dans un site externe)
</t>
        </r>
      </text>
    </comment>
    <comment ref="AJ286" authorId="2">
      <text>
        <r>
          <rPr>
            <sz val="9"/>
            <color indexed="81"/>
            <rFont val="Tahoma"/>
            <family val="2"/>
          </rPr>
          <t xml:space="preserve">08C04 : Sécurité physique des supports externalisés (stockés dans un site externe)
09C02 : Chiffrement des données stockées
</t>
        </r>
      </text>
    </comment>
    <comment ref="AJ288"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289"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t>
        </r>
      </text>
    </comment>
    <comment ref="AJ291"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t>
        </r>
      </text>
    </comment>
    <comment ref="AJ292" authorId="2">
      <text>
        <r>
          <rPr>
            <sz val="9"/>
            <color indexed="81"/>
            <rFont val="Tahoma"/>
            <family val="2"/>
          </rPr>
          <t xml:space="preserve">07A03 : Authentification de l'utilisateur ou de l'entité demandant un accès
07A04 : Filtrage des accès et gestion des associations
08C06 : Protection des réseaux de stockage
08F02 : Authentification et contrôle des droits d'accès des administrateurs et personnels d'exploitation
11C01 : Protection de la confidentialité des données contenues sur le poste de travail ou sur un serveur de données (disque logique pour le poste de travail)
</t>
        </r>
      </text>
    </comment>
    <comment ref="AJ293"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294"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t>
        </r>
      </text>
    </comment>
    <comment ref="AJ295" authorId="2">
      <text>
        <r>
          <rPr>
            <sz val="9"/>
            <color indexed="81"/>
            <rFont val="Tahoma"/>
            <family val="2"/>
          </rPr>
          <t xml:space="preserve">05B03 : Authentification de l'utilisateur ou de l'entité demandant un accès au réseau local depuis un point d'accès interne 
Ce mécanisme correspond à l'authentification réalisée sous Windows par un contrôleur de domaine 
07A03 : Authentification de l'utilisateur ou de l'entité demandant un accès
07A04 : Filtrage des accès et gestion des associations
11C01 : Protection de la confidentialité des données contenues sur le poste de travail ou sur un serveur de données (disque logique pour le poste de travail)
</t>
        </r>
      </text>
    </comment>
    <comment ref="AJ296" authorId="2">
      <text>
        <r>
          <rPr>
            <sz val="9"/>
            <color indexed="81"/>
            <rFont val="Tahoma"/>
            <family val="2"/>
          </rPr>
          <t xml:space="preserve">05B04 : Authentification de l'utilisateur ou de l'entité demandant un accès au réseau local depuis un site distant via le réseau étendu
05B05 : Authentification de l'utilisateur ou de l'entité demandant un accès au réseau local depuis l'extérieur
(depuis le Réseau Téléphonique Commuté, X25, RNIS, ADSL, Internet, etc.) 
05B06 : Authentification de l'utilisateur ou de l'entité demandant un accès au réseau local depuis un sous-réseau WiFi
05B07 : Filtrage général des accès au réseau local
06B02 : Contrôle des configurations des accès réseaux des postes utilisateurs
07A03 : Authentification de l'utilisateur ou de l'entité demandant un accès
07A04 : Filtrage des accès et gestion des associations
11C01 : Protection de la confidentialité des données contenues sur le poste de travail ou sur un serveur de données (disque logique pour le poste de travail)
</t>
        </r>
      </text>
    </comment>
    <comment ref="AJ297" authorId="2">
      <text>
        <r>
          <rPr>
            <sz val="9"/>
            <color indexed="81"/>
            <rFont val="Tahoma"/>
            <family val="2"/>
          </rPr>
          <t xml:space="preserve">05B08 : Contrôle du routage des accès sortants
05B09 : Authentification de l'entité accédée lors des accès sortants vers des sites sensibles
11C01 : Protection de la confidentialité des données contenues sur le poste de travail ou sur un serveur de données (disque logique pour le poste de travail)
</t>
        </r>
      </text>
    </comment>
    <comment ref="AI298" authorId="2">
      <text>
        <r>
          <rPr>
            <sz val="9"/>
            <color indexed="81"/>
            <rFont val="Tahoma"/>
            <family val="2"/>
          </rPr>
          <t xml:space="preserve">02C05 : Surveillance des zones de bureaux protégées
</t>
        </r>
      </text>
    </comment>
    <comment ref="AJ298"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299"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I300" authorId="2">
      <text>
        <r>
          <rPr>
            <sz val="9"/>
            <color indexed="81"/>
            <rFont val="Tahoma"/>
            <family val="2"/>
          </rPr>
          <t xml:space="preserve">08C03 : Sécurité physique des supports stockés sur site 
</t>
        </r>
      </text>
    </comment>
    <comment ref="AJ300"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I301" authorId="2">
      <text>
        <r>
          <rPr>
            <sz val="9"/>
            <color indexed="81"/>
            <rFont val="Tahoma"/>
            <family val="2"/>
          </rPr>
          <t xml:space="preserve">08C04 : Sécurité physique des supports externalisés (stockés dans un site externe)
</t>
        </r>
      </text>
    </comment>
    <comment ref="AJ301"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302" authorId="2">
      <text>
        <r>
          <rPr>
            <sz val="9"/>
            <color indexed="81"/>
            <rFont val="Tahoma"/>
            <family val="2"/>
          </rPr>
          <t xml:space="preserve">03B03 : Contrôle des accès aux locaux sensibles
03B04 : Détection des intrusions dans les locaux sensibles 
11C01 : Protection de la confidentialité des données contenues sur le poste de travail ou sur un serveur de données (disque logique pour le poste de travail)
</t>
        </r>
      </text>
    </comment>
    <comment ref="AJ303" authorId="2">
      <text>
        <r>
          <rPr>
            <sz val="9"/>
            <color indexed="81"/>
            <rFont val="Tahoma"/>
            <family val="2"/>
          </rPr>
          <t xml:space="preserve">08C07 : Sécurité physique des médias en transit
11C01 : Protection de la confidentialité des données contenues sur le poste de travail ou sur un serveur de données (disque logique pour le poste de travail)
</t>
        </r>
      </text>
    </comment>
    <comment ref="AI304" authorId="2">
      <text>
        <r>
          <rPr>
            <sz val="9"/>
            <color indexed="81"/>
            <rFont val="Tahoma"/>
            <family val="2"/>
          </rPr>
          <t xml:space="preserve">08C03 : Sécurité physique des supports stockés sur site 
</t>
        </r>
      </text>
    </comment>
    <comment ref="AJ304" authorId="2">
      <text>
        <r>
          <rPr>
            <sz val="9"/>
            <color indexed="81"/>
            <rFont val="Tahoma"/>
            <family val="2"/>
          </rPr>
          <t xml:space="preserve">08C03 : Sécurité physique des supports stockés sur site 
11C01 : Protection de la confidentialité des données contenues sur le poste de travail ou sur un serveur de données (disque logique pour le poste de travail)
</t>
        </r>
      </text>
    </comment>
    <comment ref="AI305" authorId="2">
      <text>
        <r>
          <rPr>
            <sz val="9"/>
            <color indexed="81"/>
            <rFont val="Tahoma"/>
            <family val="2"/>
          </rPr>
          <t xml:space="preserve">08C04 : Sécurité physique des supports externalisés (stockés dans un site externe)
</t>
        </r>
      </text>
    </comment>
    <comment ref="AJ305" authorId="2">
      <text>
        <r>
          <rPr>
            <sz val="9"/>
            <color indexed="81"/>
            <rFont val="Tahoma"/>
            <family val="2"/>
          </rPr>
          <t xml:space="preserve">08C04 : Sécurité physique des supports externalisés (stockés dans un site externe)
11C01 : Protection de la confidentialité des données contenues sur le poste de travail ou sur un serveur de données (disque logique pour le poste de travail)
</t>
        </r>
      </text>
    </comment>
    <comment ref="AJ307"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308"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t>
        </r>
      </text>
    </comment>
    <comment ref="AJ309" authorId="2">
      <text>
        <r>
          <rPr>
            <sz val="9"/>
            <color indexed="81"/>
            <rFont val="Tahoma"/>
            <family val="2"/>
          </rPr>
          <t xml:space="preserve">11B01 : Contrôle d'accès au poste de travail
11E01 : Gestion des attributions de droits privilégiés sur les postes utilisateurs (droits d'administrateur)
11C01 : Protection de la confidentialité des données contenues sur le poste de travail ou sur un serveur de données (disque logique pour le poste de travail)
</t>
        </r>
      </text>
    </comment>
    <comment ref="AJ310" authorId="2">
      <text>
        <r>
          <rPr>
            <sz val="9"/>
            <color indexed="81"/>
            <rFont val="Tahoma"/>
            <family val="2"/>
          </rPr>
          <t xml:space="preserve">11B01 : Contrôle d'accès au poste de travail
11E01 : Gestion des attributions de droits privilégiés sur les postes utilisateurs (droits d'administrateur)
11C01 : Protection de la confidentialité des données contenues sur le poste de travail ou sur un serveur de données (disque logique pour le poste de travail)
</t>
        </r>
      </text>
    </comment>
    <comment ref="AI311" authorId="2">
      <text>
        <r>
          <rPr>
            <sz val="9"/>
            <color indexed="81"/>
            <rFont val="Tahoma"/>
            <family val="2"/>
          </rPr>
          <t xml:space="preserve">11E02 : Authentification et contrôle des droits d'accès des administrateurs et personnels d'exploitation
11E03 : Surveillance des actions d'administration du parc de postes utilisateurs
</t>
        </r>
      </text>
    </comment>
    <comment ref="AJ311"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J312" authorId="2">
      <text>
        <r>
          <rPr>
            <sz val="9"/>
            <color indexed="81"/>
            <rFont val="Tahoma"/>
            <family val="2"/>
          </rPr>
          <t xml:space="preserve">11C01 : Protection de la confidentialité des données contenues sur le poste de travail ou sur un serveur de données (disque logique pour le poste de travail)
11C03 : Prise en compte de la confidentialité lors des opérations de maintenance des postes utilisateurs
</t>
        </r>
      </text>
    </comment>
    <comment ref="AJ313" authorId="2">
      <text>
        <r>
          <rPr>
            <sz val="9"/>
            <color indexed="81"/>
            <rFont val="Tahoma"/>
            <family val="2"/>
          </rPr>
          <t xml:space="preserve">11C01 : Protection de la confidentialité des données contenues sur le poste de travail ou sur un serveur de données (disque logique pour le poste de travail)
</t>
        </r>
      </text>
    </comment>
    <comment ref="AI314" authorId="2">
      <text>
        <r>
          <rPr>
            <sz val="9"/>
            <color indexed="81"/>
            <rFont val="Tahoma"/>
            <family val="2"/>
          </rPr>
          <t xml:space="preserve">02C05 : Surveillance des zones de bureaux protégées
</t>
        </r>
      </text>
    </comment>
    <comment ref="AJ314" authorId="2">
      <text>
        <r>
          <rPr>
            <sz val="9"/>
            <color indexed="81"/>
            <rFont val="Tahoma"/>
            <family val="2"/>
          </rPr>
          <t xml:space="preserve">02C01 : Partitionnement des zones de bureaux en zones protégées
02C02 : Contrôle d'accès physique aux zones de bureaux protégées
02C03 : Gestion des autorisations d'accès aux zones de bureaux protégées
11C02 : Protection de la confidentialité des données de l'environnement de travail personnel stockées sur support amovible
</t>
        </r>
      </text>
    </comment>
    <comment ref="AI315" authorId="2">
      <text>
        <r>
          <rPr>
            <sz val="9"/>
            <color indexed="81"/>
            <rFont val="Tahoma"/>
            <family val="2"/>
          </rPr>
          <t xml:space="preserve">02C05 : Surveillance des zones de bureaux protégées
</t>
        </r>
      </text>
    </comment>
    <comment ref="AJ315" authorId="2">
      <text>
        <r>
          <rPr>
            <sz val="9"/>
            <color indexed="81"/>
            <rFont val="Tahoma"/>
            <family val="2"/>
          </rPr>
          <t xml:space="preserve">02C06 : Contrôle de la circulation des visiteurs et des prestataires occasionnels amenés à intervenir dans les bureaux
11C02 : Protection de la confidentialité des données de l'environnement de travail personnel stockées sur support amovible
</t>
        </r>
      </text>
    </comment>
    <comment ref="AI316" authorId="2">
      <text>
        <r>
          <rPr>
            <sz val="9"/>
            <color indexed="81"/>
            <rFont val="Tahoma"/>
            <family val="2"/>
          </rPr>
          <t xml:space="preserve">02C04 : Détection des intrusions dans les zones de bureaux protégées
02C05 : Surveillance des zones de bureaux protégées
</t>
        </r>
      </text>
    </comment>
    <comment ref="AJ316" authorId="2">
      <text>
        <r>
          <rPr>
            <sz val="9"/>
            <color indexed="81"/>
            <rFont val="Tahoma"/>
            <family val="2"/>
          </rPr>
          <t xml:space="preserve">02C01 : Partitionnement des zones de bureaux en zones protégées
02C02 : Contrôle d'accès physique aux zones de bureaux protégées
02C03 : Gestion des autorisations d'accès aux zones de bureaux protégées
11C02 : Protection de la confidentialité des données de l'environnement de travail personnel stockées sur support amovible
</t>
        </r>
      </text>
    </comment>
    <comment ref="AI317" authorId="2">
      <text>
        <r>
          <rPr>
            <sz val="9"/>
            <color indexed="81"/>
            <rFont val="Tahoma"/>
            <family val="2"/>
          </rPr>
          <t xml:space="preserve">02C05 : Surveillance des zones de bureaux protégées
</t>
        </r>
      </text>
    </comment>
    <comment ref="AJ317" authorId="2">
      <text>
        <r>
          <rPr>
            <sz val="9"/>
            <color indexed="81"/>
            <rFont val="Tahoma"/>
            <family val="2"/>
          </rPr>
          <t xml:space="preserve">11C02 : Protection de la confidentialité des données de l'environnement de travail personnel stockées sur support amovible
</t>
        </r>
      </text>
    </comment>
    <comment ref="AJ318" authorId="2">
      <text>
        <r>
          <rPr>
            <sz val="9"/>
            <color indexed="81"/>
            <rFont val="Tahoma"/>
            <family val="2"/>
          </rPr>
          <t xml:space="preserve">11C02 : Protection de la confidentialité des données de l'environnement de travail personnel stockées sur support amovible
</t>
        </r>
      </text>
    </comment>
    <comment ref="AI319" authorId="2">
      <text>
        <r>
          <rPr>
            <sz val="9"/>
            <color indexed="81"/>
            <rFont val="Tahoma"/>
            <family val="2"/>
          </rPr>
          <t xml:space="preserve">02C05 : Surveillance des zones de bureaux protégées
</t>
        </r>
      </text>
    </comment>
    <comment ref="AJ319" authorId="2">
      <text>
        <r>
          <rPr>
            <sz val="9"/>
            <color indexed="81"/>
            <rFont val="Tahoma"/>
            <family val="2"/>
          </rPr>
          <t xml:space="preserve">02C01 : Partitionnement des zones de bureaux en zones protégées
02C02 : Contrôle d'accès physique aux zones de bureaux protégées
02C03 : Gestion des autorisations d'accès aux zones de bureaux protégées
11B01 : Contrôle d'accès au poste de travail
11C01 : Protection de la confidentialité des données contenues sur le poste de travail ou sur un serveur de données (disque logique pour le poste de travail)
</t>
        </r>
      </text>
    </comment>
    <comment ref="AI320" authorId="2">
      <text>
        <r>
          <rPr>
            <sz val="9"/>
            <color indexed="81"/>
            <rFont val="Tahoma"/>
            <family val="2"/>
          </rPr>
          <t xml:space="preserve">02C05 : Surveillance des zones de bureaux protégées
</t>
        </r>
      </text>
    </comment>
    <comment ref="AJ320" authorId="2">
      <text>
        <r>
          <rPr>
            <sz val="9"/>
            <color indexed="81"/>
            <rFont val="Tahoma"/>
            <family val="2"/>
          </rPr>
          <t xml:space="preserve">02C06 : Contrôle de la circulation des visiteurs et des prestataires occasionnels amenés à intervenir dans les bureaux
11B01 : Contrôle d'accès au poste de travail
11C01 : Protection de la confidentialité des données contenues sur le poste de travail ou sur un serveur de données (disque logique pour le poste de travail)
</t>
        </r>
      </text>
    </comment>
    <comment ref="AI321" authorId="2">
      <text>
        <r>
          <rPr>
            <sz val="9"/>
            <color indexed="81"/>
            <rFont val="Tahoma"/>
            <family val="2"/>
          </rPr>
          <t xml:space="preserve">02C04 : Détection des intrusions dans les zones de bureaux protégées
02C05 : Surveillance des zones de bureaux protégées
</t>
        </r>
      </text>
    </comment>
    <comment ref="AJ321" authorId="2">
      <text>
        <r>
          <rPr>
            <sz val="9"/>
            <color indexed="81"/>
            <rFont val="Tahoma"/>
            <family val="2"/>
          </rPr>
          <t xml:space="preserve">02C01 : Partitionnement des zones de bureaux en zones protégées
02C02 : Contrôle d'accès physique aux zones de bureaux protégées
02C03 : Gestion des autorisations d'accès aux zones de bureaux protégées
11B01 : Contrôle d'accès au poste de travail
11C01 : Protection de la confidentialité des données contenues sur le poste de travail ou sur un serveur de données (disque logique pour le poste de travail)
</t>
        </r>
      </text>
    </comment>
    <comment ref="AI322" authorId="2">
      <text>
        <r>
          <rPr>
            <sz val="9"/>
            <color indexed="81"/>
            <rFont val="Tahoma"/>
            <family val="2"/>
          </rPr>
          <t xml:space="preserve">02C05 : Surveillance des zones de bureaux protégées
</t>
        </r>
      </text>
    </comment>
    <comment ref="AJ322" authorId="2">
      <text>
        <r>
          <rPr>
            <sz val="9"/>
            <color indexed="81"/>
            <rFont val="Tahoma"/>
            <family val="2"/>
          </rPr>
          <t xml:space="preserve">11B01 : Contrôle d'accès au poste de travail
11C01 : Protection de la confidentialité des données contenues sur le poste de travail ou sur un serveur de données (disque logique pour le poste de travail)
</t>
        </r>
      </text>
    </comment>
    <comment ref="AJ323" authorId="2">
      <text>
        <r>
          <rPr>
            <sz val="9"/>
            <color indexed="81"/>
            <rFont val="Tahoma"/>
            <family val="2"/>
          </rPr>
          <t xml:space="preserve">11B01 : Contrôle d'accès au poste de travail
11C01 : Protection de la confidentialité des données contenues sur le poste de travail ou sur un serveur de données (disque logique pour le poste de travail)
</t>
        </r>
      </text>
    </comment>
    <comment ref="AJ325" authorId="2">
      <text>
        <r>
          <rPr>
            <sz val="9"/>
            <color indexed="81"/>
            <rFont val="Tahoma"/>
            <family val="2"/>
          </rPr>
          <t xml:space="preserve">02D02 : Protection des documents et supports amovibles
</t>
        </r>
      </text>
    </comment>
    <comment ref="AJ326" authorId="2">
      <text>
        <r>
          <rPr>
            <sz val="9"/>
            <color indexed="81"/>
            <rFont val="Tahoma"/>
            <family val="2"/>
          </rPr>
          <t xml:space="preserve">02D02 : Protection des documents et supports amovibles
</t>
        </r>
      </text>
    </comment>
    <comment ref="AI327" authorId="2">
      <text>
        <r>
          <rPr>
            <sz val="9"/>
            <color indexed="81"/>
            <rFont val="Tahoma"/>
            <family val="2"/>
          </rPr>
          <t xml:space="preserve">02C05 : Surveillance des zones de bureaux protégées
</t>
        </r>
      </text>
    </comment>
    <comment ref="AJ327" authorId="2">
      <text>
        <r>
          <rPr>
            <sz val="9"/>
            <color indexed="81"/>
            <rFont val="Tahoma"/>
            <family val="2"/>
          </rPr>
          <t xml:space="preserve">02A02 : Gestion des autorisations d'accès au site ou à l'immeuble
02C03 : Gestion des autorisations d'accès aux zones de bureaux protégées
02D02 : Protection des documents et supports amovibles
</t>
        </r>
      </text>
    </comment>
    <comment ref="AI328" authorId="2">
      <text>
        <r>
          <rPr>
            <sz val="9"/>
            <color indexed="81"/>
            <rFont val="Tahoma"/>
            <family val="2"/>
          </rPr>
          <t xml:space="preserve">02C05 : Surveillance des zones de bureaux protégées
</t>
        </r>
      </text>
    </comment>
    <comment ref="AJ328" authorId="2">
      <text>
        <r>
          <rPr>
            <sz val="9"/>
            <color indexed="81"/>
            <rFont val="Tahoma"/>
            <family val="2"/>
          </rPr>
          <t xml:space="preserve">02D02 : Protection des documents et supports amovibles
</t>
        </r>
      </text>
    </comment>
    <comment ref="AI329" authorId="2">
      <text>
        <r>
          <rPr>
            <sz val="9"/>
            <color indexed="81"/>
            <rFont val="Tahoma"/>
            <family val="2"/>
          </rPr>
          <t xml:space="preserve">02C05 : Surveillance des zones de bureaux protégées
</t>
        </r>
      </text>
    </comment>
    <comment ref="AJ329" authorId="2">
      <text>
        <r>
          <rPr>
            <sz val="9"/>
            <color indexed="81"/>
            <rFont val="Tahoma"/>
            <family val="2"/>
          </rPr>
          <t xml:space="preserve">02D02 : Protection des documents et supports amovibles
02C01 : Partitionnement des zones de bureaux en zones protégées
02C02 : Contrôle d'accès physique aux zones de bureaux protégées
02C03 : Gestion des autorisations d'accès aux zones de bureaux protégées
</t>
        </r>
      </text>
    </comment>
    <comment ref="AI330" authorId="2">
      <text>
        <r>
          <rPr>
            <sz val="9"/>
            <color indexed="81"/>
            <rFont val="Tahoma"/>
            <family val="2"/>
          </rPr>
          <t xml:space="preserve">02C05 : Surveillance des zones de bureaux protégées
</t>
        </r>
      </text>
    </comment>
    <comment ref="AJ330" authorId="2">
      <text>
        <r>
          <rPr>
            <sz val="9"/>
            <color indexed="81"/>
            <rFont val="Tahoma"/>
            <family val="2"/>
          </rPr>
          <t xml:space="preserve">02D02 : Protection des documents et supports amovibles
02C01 : Partitionnement des zones de bureaux en zones protégées
02C02 : Contrôle d'accès physique aux zones de bureaux protégées
02C06 : Contrôle de la circulation des visiteurs et des prestataires occasionnels amenés à intervenir dans les bureaux
</t>
        </r>
      </text>
    </comment>
    <comment ref="AJ331" authorId="2">
      <text>
        <r>
          <rPr>
            <sz val="9"/>
            <color indexed="81"/>
            <rFont val="Tahoma"/>
            <family val="2"/>
          </rPr>
          <t xml:space="preserve">02D02 : Protection des documents et supports amovibles
</t>
        </r>
      </text>
    </comment>
    <comment ref="AJ332" authorId="2">
      <text>
        <r>
          <rPr>
            <sz val="9"/>
            <color indexed="81"/>
            <rFont val="Tahoma"/>
            <family val="2"/>
          </rPr>
          <t xml:space="preserve">02D02 : Protection des documents et supports amovibles
11C06 : Protection des impressions sur imprimantes partagées
</t>
        </r>
      </text>
    </comment>
    <comment ref="AJ333" authorId="2">
      <text>
        <r>
          <rPr>
            <sz val="9"/>
            <color indexed="81"/>
            <rFont val="Tahoma"/>
            <family val="2"/>
          </rPr>
          <t xml:space="preserve">02D02 : Protection des documents et supports amovibles
11C06 : Protection des impressions sur imprimantes partagées
</t>
        </r>
      </text>
    </comment>
    <comment ref="AJ334" authorId="2">
      <text>
        <r>
          <rPr>
            <sz val="9"/>
            <color indexed="81"/>
            <rFont val="Tahoma"/>
            <family val="2"/>
          </rPr>
          <t xml:space="preserve">02D02 : Protection des documents et supports amovibles
</t>
        </r>
      </text>
    </comment>
    <comment ref="AJ335" authorId="2">
      <text>
        <r>
          <rPr>
            <sz val="9"/>
            <color indexed="81"/>
            <rFont val="Tahoma"/>
            <family val="2"/>
          </rPr>
          <t xml:space="preserve">02D02 : Protection des documents et supports amovibles
</t>
        </r>
      </text>
    </comment>
    <comment ref="AJ336" authorId="2">
      <text>
        <r>
          <rPr>
            <sz val="9"/>
            <color indexed="81"/>
            <rFont val="Tahoma"/>
            <family val="2"/>
          </rPr>
          <t xml:space="preserve">02D03 : Ramassage des corbeilles à papier et destruction des documents
</t>
        </r>
      </text>
    </comment>
    <comment ref="AJ338" authorId="2">
      <text>
        <r>
          <rPr>
            <sz val="9"/>
            <color indexed="81"/>
            <rFont val="Tahoma"/>
            <family val="2"/>
          </rPr>
          <t xml:space="preserve">08A07 : Protection des états et rapports imprimés sensibles
</t>
        </r>
      </text>
    </comment>
    <comment ref="AI339" authorId="2">
      <text>
        <r>
          <rPr>
            <sz val="9"/>
            <color indexed="81"/>
            <rFont val="Tahoma"/>
            <family val="2"/>
          </rPr>
          <t xml:space="preserve">03B06 : Surveillance des locaux sensibles
</t>
        </r>
      </text>
    </comment>
    <comment ref="AJ339" authorId="2">
      <text>
        <r>
          <rPr>
            <sz val="9"/>
            <color indexed="81"/>
            <rFont val="Tahoma"/>
            <family val="2"/>
          </rPr>
          <t xml:space="preserve">08A07 : Protection des états et rapports imprimés sensibles
</t>
        </r>
      </text>
    </comment>
    <comment ref="AI340" authorId="2">
      <text>
        <r>
          <rPr>
            <sz val="9"/>
            <color indexed="81"/>
            <rFont val="Tahoma"/>
            <family val="2"/>
          </rPr>
          <t xml:space="preserve">03B06 : Surveillance des locaux sensibles
</t>
        </r>
      </text>
    </comment>
    <comment ref="AJ340" authorId="2">
      <text>
        <r>
          <rPr>
            <sz val="9"/>
            <color indexed="81"/>
            <rFont val="Tahoma"/>
            <family val="2"/>
          </rPr>
          <t xml:space="preserve">08A07 : Protection des états et rapports imprimés sensibles
</t>
        </r>
      </text>
    </comment>
    <comment ref="AI341" authorId="2">
      <text>
        <r>
          <rPr>
            <sz val="9"/>
            <color indexed="81"/>
            <rFont val="Tahoma"/>
            <family val="2"/>
          </rPr>
          <t xml:space="preserve">03B06 : Surveillance des locaux sensibles
</t>
        </r>
      </text>
    </comment>
    <comment ref="AJ341" authorId="2">
      <text>
        <r>
          <rPr>
            <sz val="9"/>
            <color indexed="81"/>
            <rFont val="Tahoma"/>
            <family val="2"/>
          </rPr>
          <t xml:space="preserve">08A07 : Protection des états et rapports imprimés sensibles
</t>
        </r>
      </text>
    </comment>
    <comment ref="AJ342" authorId="2">
      <text>
        <r>
          <rPr>
            <sz val="9"/>
            <color indexed="81"/>
            <rFont val="Tahoma"/>
            <family val="2"/>
          </rPr>
          <t xml:space="preserve">08A07 : Protection des états et rapports imprimés sensibles
</t>
        </r>
      </text>
    </comment>
    <comment ref="AJ343" authorId="2">
      <text>
        <r>
          <rPr>
            <sz val="9"/>
            <color indexed="81"/>
            <rFont val="Tahoma"/>
            <family val="2"/>
          </rPr>
          <t xml:space="preserve">08A07 : Protection des états et rapports imprimés sensibles
</t>
        </r>
      </text>
    </comment>
    <comment ref="AJ344" authorId="2">
      <text>
        <r>
          <rPr>
            <sz val="9"/>
            <color indexed="81"/>
            <rFont val="Tahoma"/>
            <family val="2"/>
          </rPr>
          <t xml:space="preserve">08A07 : Protection des états et rapports imprimés sensibles
</t>
        </r>
      </text>
    </comment>
    <comment ref="AJ346"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J347" authorId="2">
      <text>
        <r>
          <rPr>
            <sz val="9"/>
            <color indexed="81"/>
            <rFont val="Tahoma"/>
            <family val="2"/>
          </rPr>
          <t xml:space="preserve">05B01 : Gestion des profils d'accès au réseau local de données
05B02 : Gestion des autorisations d'accès et privilèges (attribution, délégation, retrait)
05B03 : Authentification de l'utilisateur ou de l'entité demandant un accès au réseau local depuis un point d'accès interne 
Ce mécanisme correspond à l'authentification réalisée sous Windows par un contrôleur de domaine 
05B07 : Filtrage général des accès au réseau local
06C02 : Authentification et contrôle des droits d'accès des administrateurs et personnels d'exploitation des réseaux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I348"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349" authorId="2">
      <text>
        <r>
          <rPr>
            <sz val="9"/>
            <color indexed="81"/>
            <rFont val="Tahoma"/>
            <family val="2"/>
          </rPr>
          <t xml:space="preserve">04B02 : Authentification de l'entité accédante lors des accès entrants depuis le réseau étendu
05B04 : Authentification de l'utilisateur ou de l'entité demandant un accès au réseau local depuis un site distant via le réseau étendu
05B05 : Authentification de l'utilisateur ou de l'entité demandant un accès au réseau local depuis l'extérieur
(depuis le Réseau Téléphonique Commuté, X25, RNIS, ADSL, Internet, etc.) 
05B06 : Authentification de l'utilisateur ou de l'entité demandant un accès au réseau local depuis un sous-réseau WiFi
05B07 : Filtrage général des accès au réseau local
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J350" authorId="2">
      <text>
        <r>
          <rPr>
            <sz val="9"/>
            <color indexed="81"/>
            <rFont val="Tahoma"/>
            <family val="2"/>
          </rPr>
          <t xml:space="preserve">09C03 : Dispositif anti-rayonnement électromagnétique
</t>
        </r>
      </text>
    </comment>
    <comment ref="AI351"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351" authorId="2">
      <text>
        <r>
          <rPr>
            <sz val="9"/>
            <color indexed="81"/>
            <rFont val="Tahoma"/>
            <family val="2"/>
          </rPr>
          <t xml:space="preserve">07B01 : Contrôle des accès aux résidus
</t>
        </r>
      </text>
    </comment>
    <comment ref="AJ352" authorId="2">
      <text>
        <r>
          <rPr>
            <sz val="9"/>
            <color indexed="81"/>
            <rFont val="Tahoma"/>
            <family val="2"/>
          </rPr>
          <t xml:space="preserve">05C03 : Chiffrement des échanges lors des accès distants au réseau local
09C01 : Chiffrement des échanges (ponctuel ou en totalité)
</t>
        </r>
      </text>
    </comment>
    <comment ref="AJ353" authorId="2">
      <text>
        <r>
          <rPr>
            <sz val="9"/>
            <color indexed="81"/>
            <rFont val="Tahoma"/>
            <family val="2"/>
          </rPr>
          <t xml:space="preserve">03B07 : Contrôle d'accès au câblage
05C01 : Chiffrement des échanges sur le réseau local
09C01 : Chiffrement des échanges (ponctuel ou en totalité)
</t>
        </r>
      </text>
    </comment>
    <comment ref="AJ354" authorId="2">
      <text>
        <r>
          <rPr>
            <sz val="9"/>
            <color indexed="81"/>
            <rFont val="Tahoma"/>
            <family val="2"/>
          </rPr>
          <t xml:space="preserve">06C01 : Gestion des droits privilégiés sur les équipements de réseau 
06C02 : Authentification et contrôle des droits d'accès des administrateurs et personnels d'exploitation des réseaux
09C01 : Chiffrement des échanges (ponctuel ou en totalité)
</t>
        </r>
      </text>
    </comment>
    <comment ref="AI355" authorId="2">
      <text>
        <r>
          <rPr>
            <sz val="9"/>
            <color indexed="81"/>
            <rFont val="Tahoma"/>
            <family val="2"/>
          </rPr>
          <t xml:space="preserve">06A01 : Prise en compte de la sécurité dans les relations avec le personnel d'exploitation (salariés et prestataires)
06C03 : Surveillance des actions d'administration des réseaux
</t>
        </r>
      </text>
    </comment>
    <comment ref="AJ355" authorId="2">
      <text>
        <r>
          <rPr>
            <sz val="9"/>
            <color indexed="81"/>
            <rFont val="Tahoma"/>
            <family val="2"/>
          </rPr>
          <t xml:space="preserve">09C01 : Chiffrement des échanges (ponctuel ou en totalité)
</t>
        </r>
      </text>
    </comment>
    <comment ref="AJ356" authorId="2">
      <text>
        <r>
          <rPr>
            <sz val="9"/>
            <color indexed="81"/>
            <rFont val="Tahoma"/>
            <family val="2"/>
          </rPr>
          <t xml:space="preserve">06A04 : Contrôle de la télémaintenance 
09C01 : Chiffrement des échanges (ponctuel ou en totalité)
</t>
        </r>
      </text>
    </comment>
    <comment ref="AJ357" authorId="2">
      <text>
        <r>
          <rPr>
            <sz val="9"/>
            <color indexed="81"/>
            <rFont val="Tahoma"/>
            <family val="2"/>
          </rPr>
          <t xml:space="preserve">06A02 : Contrôle de la mise en production de nouveaux logiciels ou matériels ou d'évolutions de logiciels ou matériels
09C01 : Chiffrement des échanges (ponctuel ou en totalité)
</t>
        </r>
      </text>
    </comment>
    <comment ref="AJ358" authorId="2">
      <text>
        <r>
          <rPr>
            <sz val="9"/>
            <color indexed="81"/>
            <rFont val="Tahoma"/>
            <family val="2"/>
          </rPr>
          <t xml:space="preserve">04B03 : Authentification de l'entité accédée lors des accès sortants vers d'autres entités par le réseau étendu
04C01 : Chiffrement des échanges sur le réseau étendu
09C01 : Chiffrement des échanges (ponctuel ou en totalité)
</t>
        </r>
      </text>
    </comment>
    <comment ref="AJ359" authorId="2">
      <text>
        <r>
          <rPr>
            <sz val="9"/>
            <color indexed="81"/>
            <rFont val="Tahoma"/>
            <family val="2"/>
          </rPr>
          <t xml:space="preserve">04B03 : Authentification de l'entité accédée lors des accès sortants vers d'autres entités par le réseau étendu
04C01 : Chiffrement des échanges sur le réseau étendu
09C01 : Chiffrement des échanges (ponctuel ou en totalité)
</t>
        </r>
      </text>
    </comment>
    <comment ref="AJ361" authorId="2">
      <text>
        <r>
          <rPr>
            <sz val="9"/>
            <color indexed="81"/>
            <rFont val="Tahoma"/>
            <family val="2"/>
          </rPr>
          <t xml:space="preserve">11C05 : Sécurité de la messagerie électronique (courriels) et des échanges électroniques d'information
</t>
        </r>
      </text>
    </comment>
    <comment ref="AJ362" authorId="2">
      <text>
        <r>
          <rPr>
            <sz val="9"/>
            <color indexed="81"/>
            <rFont val="Tahoma"/>
            <family val="2"/>
          </rPr>
          <t xml:space="preserve">11C05 : Sécurité de la messagerie électronique (courriels) et des échanges électroniques d'information
</t>
        </r>
      </text>
    </comment>
    <comment ref="AJ363" authorId="2">
      <text>
        <r>
          <rPr>
            <sz val="9"/>
            <color indexed="81"/>
            <rFont val="Tahoma"/>
            <family val="2"/>
          </rPr>
          <t xml:space="preserve">11C05 : Sécurité de la messagerie électronique (courriels) et des échanges électroniques d'information
</t>
        </r>
      </text>
    </comment>
    <comment ref="AJ364" authorId="2">
      <text>
        <r>
          <rPr>
            <sz val="9"/>
            <color indexed="81"/>
            <rFont val="Tahoma"/>
            <family val="2"/>
          </rPr>
          <t xml:space="preserve">11C05 : Sécurité de la messagerie électronique (courriels) et des échanges électroniques d'information
</t>
        </r>
      </text>
    </comment>
    <comment ref="AJ367" authorId="2">
      <text>
        <r>
          <rPr>
            <sz val="9"/>
            <color indexed="81"/>
            <rFont val="Tahoma"/>
            <family val="2"/>
          </rPr>
          <t xml:space="preserve">02D05 : Sécurité des télécopies 
</t>
        </r>
      </text>
    </comment>
    <comment ref="AJ368" authorId="2">
      <text>
        <r>
          <rPr>
            <sz val="9"/>
            <color indexed="81"/>
            <rFont val="Tahoma"/>
            <family val="2"/>
          </rPr>
          <t xml:space="preserve">02D04 : Sécurité du courrier
</t>
        </r>
      </text>
    </comment>
    <comment ref="AJ369" authorId="2">
      <text>
        <r>
          <rPr>
            <sz val="9"/>
            <color indexed="81"/>
            <rFont val="Tahoma"/>
            <family val="2"/>
          </rPr>
          <t xml:space="preserve">02D04 : Sécurité du courrier
</t>
        </r>
      </text>
    </comment>
    <comment ref="AJ370" authorId="2">
      <text>
        <r>
          <rPr>
            <sz val="9"/>
            <color indexed="81"/>
            <rFont val="Tahoma"/>
            <family val="2"/>
          </rPr>
          <t xml:space="preserve">02D05 : Sécurité des télécopies 
</t>
        </r>
      </text>
    </comment>
    <comment ref="AJ371" authorId="2">
      <text>
        <r>
          <rPr>
            <sz val="9"/>
            <color indexed="81"/>
            <rFont val="Tahoma"/>
            <family val="2"/>
          </rPr>
          <t xml:space="preserve">02D05 : Sécurité des télécopies 
</t>
        </r>
      </text>
    </comment>
    <comment ref="AJ372" authorId="2">
      <text>
        <r>
          <rPr>
            <sz val="9"/>
            <color indexed="81"/>
            <rFont val="Tahoma"/>
            <family val="2"/>
          </rPr>
          <t xml:space="preserve">02D05 : Sécurité des télécopies 
</t>
        </r>
      </text>
    </comment>
    <comment ref="AI374" authorId="2">
      <text>
        <r>
          <rPr>
            <sz val="9"/>
            <color indexed="81"/>
            <rFont val="Tahoma"/>
            <family val="2"/>
          </rPr>
          <t xml:space="preserve">02D07 : Gestion des archives documentaires
</t>
        </r>
      </text>
    </comment>
    <comment ref="AI375" authorId="2">
      <text>
        <r>
          <rPr>
            <sz val="9"/>
            <color indexed="81"/>
            <rFont val="Tahoma"/>
            <family val="2"/>
          </rPr>
          <t xml:space="preserve">02D07 : Gestion des archives documentaires
</t>
        </r>
      </text>
    </comment>
    <comment ref="AJ375" authorId="2">
      <text>
        <r>
          <rPr>
            <sz val="9"/>
            <color indexed="81"/>
            <rFont val="Tahoma"/>
            <family val="2"/>
          </rPr>
          <t xml:space="preserve">02D07 : Gestion des archives documentaires
</t>
        </r>
      </text>
    </comment>
    <comment ref="AJ376" authorId="2">
      <text>
        <r>
          <rPr>
            <sz val="9"/>
            <color indexed="81"/>
            <rFont val="Tahoma"/>
            <family val="2"/>
          </rPr>
          <t xml:space="preserve">02D07 : Gestion des archives documentaires
</t>
        </r>
      </text>
    </comment>
    <comment ref="AJ377" authorId="2">
      <text>
        <r>
          <rPr>
            <sz val="9"/>
            <color indexed="81"/>
            <rFont val="Tahoma"/>
            <family val="2"/>
          </rPr>
          <t xml:space="preserve">02D07 : Gestion des archives documentaires
</t>
        </r>
      </text>
    </comment>
    <comment ref="AI379" authorId="2">
      <text>
        <r>
          <rPr>
            <sz val="9"/>
            <color indexed="81"/>
            <rFont val="Tahoma"/>
            <family val="2"/>
          </rPr>
          <t xml:space="preserve">08H03 : Gestion de la sécurité des archives
</t>
        </r>
      </text>
    </comment>
    <comment ref="AJ379" authorId="2">
      <text>
        <r>
          <rPr>
            <sz val="9"/>
            <color indexed="81"/>
            <rFont val="Tahoma"/>
            <family val="2"/>
          </rPr>
          <t xml:space="preserve">08H03 : Gestion de la sécurité des archives
09C02 : Chiffrement des données stockées
</t>
        </r>
      </text>
    </comment>
    <comment ref="AI380" authorId="2">
      <text>
        <r>
          <rPr>
            <sz val="9"/>
            <color indexed="81"/>
            <rFont val="Tahoma"/>
            <family val="2"/>
          </rPr>
          <t xml:space="preserve">08H03 : Gestion de la sécurité des archives
</t>
        </r>
      </text>
    </comment>
    <comment ref="AJ380" authorId="2">
      <text>
        <r>
          <rPr>
            <sz val="9"/>
            <color indexed="81"/>
            <rFont val="Tahoma"/>
            <family val="2"/>
          </rPr>
          <t xml:space="preserve">08H03 : Gestion de la sécurité des archives
09C02 : Chiffrement des données stockées
</t>
        </r>
      </text>
    </comment>
    <comment ref="AI381" authorId="2">
      <text>
        <r>
          <rPr>
            <sz val="9"/>
            <color indexed="81"/>
            <rFont val="Tahoma"/>
            <family val="2"/>
          </rPr>
          <t xml:space="preserve">08H03 : Gestion de la sécurité des archives
</t>
        </r>
      </text>
    </comment>
    <comment ref="AJ381" authorId="2">
      <text>
        <r>
          <rPr>
            <sz val="9"/>
            <color indexed="81"/>
            <rFont val="Tahoma"/>
            <family val="2"/>
          </rPr>
          <t xml:space="preserve">08H03 : Gestion de la sécurité des archives
09C02 : Chiffrement des données stockées
</t>
        </r>
      </text>
    </comment>
    <comment ref="AJ383" authorId="2">
      <text>
        <r>
          <rPr>
            <sz val="9"/>
            <color indexed="81"/>
            <rFont val="Tahoma"/>
            <family val="2"/>
          </rPr>
          <t xml:space="preserve">03D01 : Prévention des risques d'incendie
</t>
        </r>
      </text>
    </comment>
    <comment ref="AK383" authorId="2">
      <text>
        <r>
          <rPr>
            <sz val="9"/>
            <color indexed="81"/>
            <rFont val="Tahoma"/>
            <family val="2"/>
          </rPr>
          <t xml:space="preserve">03D02 : Détection d'incendie
03D03 : Extinction d'incendie
</t>
        </r>
      </text>
    </comment>
    <comment ref="AL383" authorId="2">
      <text>
        <r>
          <rPr>
            <sz val="9"/>
            <color indexed="81"/>
            <rFont val="Tahoma"/>
            <family val="2"/>
          </rPr>
          <t xml:space="preserve">01E03 : Plans de Reprise de l'Environnement de Travail (PRET)
</t>
        </r>
      </text>
    </comment>
    <comment ref="AJ384" authorId="2">
      <text>
        <r>
          <rPr>
            <sz val="9"/>
            <color indexed="81"/>
            <rFont val="Tahoma"/>
            <family val="2"/>
          </rPr>
          <t xml:space="preserve">03C01 : Prévention des risques de dégâts des eaux
</t>
        </r>
      </text>
    </comment>
    <comment ref="AK384" authorId="2">
      <text>
        <r>
          <rPr>
            <sz val="9"/>
            <color indexed="81"/>
            <rFont val="Tahoma"/>
            <family val="2"/>
          </rPr>
          <t xml:space="preserve">03C02 : Détection des dégâts des eaux
03C03 : Évacuation de l'eau
</t>
        </r>
      </text>
    </comment>
    <comment ref="AL384" authorId="2">
      <text>
        <r>
          <rPr>
            <sz val="9"/>
            <color indexed="81"/>
            <rFont val="Tahoma"/>
            <family val="2"/>
          </rPr>
          <t xml:space="preserve">01E03 : Plans de Reprise de l'Environnement de Travail (PRET)
</t>
        </r>
      </text>
    </comment>
    <comment ref="AJ385" authorId="2">
      <text>
        <r>
          <rPr>
            <sz val="9"/>
            <color indexed="81"/>
            <rFont val="Tahoma"/>
            <family val="2"/>
          </rPr>
          <t xml:space="preserve">03A02 : Continuité de la fourniture de l'énergie 
</t>
        </r>
      </text>
    </comment>
    <comment ref="AL385" authorId="2">
      <text>
        <r>
          <rPr>
            <sz val="9"/>
            <color indexed="81"/>
            <rFont val="Tahoma"/>
            <family val="2"/>
          </rPr>
          <t xml:space="preserve">01E03 : Plans de Reprise de l'Environnement de Travail (PRET)
</t>
        </r>
      </text>
    </comment>
    <comment ref="AL386" authorId="2">
      <text>
        <r>
          <rPr>
            <sz val="9"/>
            <color indexed="81"/>
            <rFont val="Tahoma"/>
            <family val="2"/>
          </rPr>
          <t xml:space="preserve">01E03 : Plans de Reprise de l'Environnement de Travail (PRET)
</t>
        </r>
      </text>
    </comment>
    <comment ref="AJ388" authorId="2">
      <text>
        <r>
          <rPr>
            <sz val="9"/>
            <color indexed="81"/>
            <rFont val="Tahoma"/>
            <family val="2"/>
          </rPr>
          <t xml:space="preserve">12A02 : Contrôle de la mise en production de nouveaux systèmes ou d'évolutions de systèmes existants
</t>
        </r>
      </text>
    </comment>
    <comment ref="AL388" authorId="2">
      <text>
        <r>
          <rPr>
            <sz val="9"/>
            <color indexed="81"/>
            <rFont val="Tahoma"/>
            <family val="2"/>
          </rPr>
          <t xml:space="preserve">12C03 : Sauvegarde des configurations logicielles (logiciels de base, de services et/ou paramètres de configuration)
</t>
        </r>
      </text>
    </comment>
    <comment ref="AJ389" authorId="2">
      <text>
        <r>
          <rPr>
            <sz val="9"/>
            <color indexed="81"/>
            <rFont val="Tahoma"/>
            <family val="2"/>
          </rPr>
          <t xml:space="preserve">12A03 : Contrôle des opérations de maintenance 
</t>
        </r>
      </text>
    </comment>
    <comment ref="AL389" authorId="2">
      <text>
        <r>
          <rPr>
            <sz val="9"/>
            <color indexed="81"/>
            <rFont val="Tahoma"/>
            <family val="2"/>
          </rPr>
          <t xml:space="preserve">12C03 : Sauvegarde des configurations logicielles (logiciels de base, de services et/ou paramètres de configuration)
</t>
        </r>
      </text>
    </comment>
    <comment ref="AI390" authorId="2">
      <text>
        <r>
          <rPr>
            <sz val="9"/>
            <color indexed="81"/>
            <rFont val="Tahoma"/>
            <family val="2"/>
          </rPr>
          <t xml:space="preserve">12E02 : Authentification et contrôle des droits d'accès des administrateurs et personnels d'exploitation
12E03 : Surveillance des actions d'administration des équipements et des systèmes
</t>
        </r>
      </text>
    </comment>
    <comment ref="AL390" authorId="2">
      <text>
        <r>
          <rPr>
            <sz val="9"/>
            <color indexed="81"/>
            <rFont val="Tahoma"/>
            <family val="2"/>
          </rPr>
          <t xml:space="preserve">12C03 : Sauvegarde des configurations logicielles (logiciels de base, de services et/ou paramètres de configuration)
</t>
        </r>
      </text>
    </comment>
    <comment ref="AI391" authorId="2">
      <text>
        <r>
          <rPr>
            <sz val="9"/>
            <color indexed="81"/>
            <rFont val="Tahoma"/>
            <family val="2"/>
          </rPr>
          <t xml:space="preserve">12A03 : Contrôle des opérations de maintenance 
</t>
        </r>
      </text>
    </comment>
    <comment ref="AL391" authorId="2">
      <text>
        <r>
          <rPr>
            <sz val="9"/>
            <color indexed="81"/>
            <rFont val="Tahoma"/>
            <family val="2"/>
          </rPr>
          <t xml:space="preserve">12C03 : Sauvegarde des configurations logicielles (logiciels de base, de services et/ou paramètres de configuration)
</t>
        </r>
      </text>
    </comment>
    <comment ref="AJ392" authorId="2">
      <text>
        <r>
          <rPr>
            <sz val="9"/>
            <color indexed="81"/>
            <rFont val="Tahoma"/>
            <family val="2"/>
          </rPr>
          <t xml:space="preserve">03C01 : Prévention des risques de dégâts des eaux
</t>
        </r>
      </text>
    </comment>
    <comment ref="AL392" authorId="2">
      <text>
        <r>
          <rPr>
            <sz val="9"/>
            <color indexed="81"/>
            <rFont val="Tahoma"/>
            <family val="2"/>
          </rPr>
          <t xml:space="preserve">12C04 : Plans de Reprise d'Activité
</t>
        </r>
      </text>
    </comment>
    <comment ref="AJ393" authorId="2">
      <text>
        <r>
          <rPr>
            <sz val="9"/>
            <color indexed="81"/>
            <rFont val="Tahoma"/>
            <family val="2"/>
          </rPr>
          <t xml:space="preserve">03A01 : Qualité de la fourniture de l'énergie 
03A04 : Qualité du câblage
</t>
        </r>
      </text>
    </comment>
    <comment ref="AL393" authorId="2">
      <text>
        <r>
          <rPr>
            <sz val="9"/>
            <color indexed="81"/>
            <rFont val="Tahoma"/>
            <family val="2"/>
          </rPr>
          <t xml:space="preserve">12C04 : Plans de Reprise d'Activité
</t>
        </r>
      </text>
    </comment>
    <comment ref="AJ394" authorId="2">
      <text>
        <r>
          <rPr>
            <sz val="9"/>
            <color indexed="81"/>
            <rFont val="Tahoma"/>
            <family val="2"/>
          </rPr>
          <t xml:space="preserve">03A05 : Protection contre la foudre
</t>
        </r>
      </text>
    </comment>
    <comment ref="AL394" authorId="2">
      <text>
        <r>
          <rPr>
            <sz val="9"/>
            <color indexed="81"/>
            <rFont val="Tahoma"/>
            <family val="2"/>
          </rPr>
          <t xml:space="preserve">12C04 : Plans de Reprise d'Activité
</t>
        </r>
      </text>
    </comment>
    <comment ref="AJ395" authorId="2">
      <text>
        <r>
          <rPr>
            <sz val="9"/>
            <color indexed="81"/>
            <rFont val="Tahoma"/>
            <family val="2"/>
          </rPr>
          <t xml:space="preserve">03D01 : Prévention des risques d'incendie
</t>
        </r>
      </text>
    </comment>
    <comment ref="AK395" authorId="2">
      <text>
        <r>
          <rPr>
            <sz val="9"/>
            <color indexed="81"/>
            <rFont val="Tahoma"/>
            <family val="2"/>
          </rPr>
          <t xml:space="preserve">03D02 : Détection d'incendie
03D03 : Extinction d'incendie
</t>
        </r>
      </text>
    </comment>
    <comment ref="AL395" authorId="2">
      <text>
        <r>
          <rPr>
            <sz val="9"/>
            <color indexed="81"/>
            <rFont val="Tahoma"/>
            <family val="2"/>
          </rPr>
          <t xml:space="preserve">12C04 : Plans de Reprise d'Activité
</t>
        </r>
      </text>
    </comment>
    <comment ref="AJ396" authorId="2">
      <text>
        <r>
          <rPr>
            <sz val="9"/>
            <color indexed="81"/>
            <rFont val="Tahoma"/>
            <family val="2"/>
          </rPr>
          <t xml:space="preserve">03C01 : Prévention des risques de dégâts des eaux
</t>
        </r>
      </text>
    </comment>
    <comment ref="AK396" authorId="2">
      <text>
        <r>
          <rPr>
            <sz val="9"/>
            <color indexed="81"/>
            <rFont val="Tahoma"/>
            <family val="2"/>
          </rPr>
          <t xml:space="preserve">03C02 : Détection des dégâts des eaux
03C03 : Évacuation de l'eau
</t>
        </r>
      </text>
    </comment>
    <comment ref="AL396" authorId="2">
      <text>
        <r>
          <rPr>
            <sz val="9"/>
            <color indexed="81"/>
            <rFont val="Tahoma"/>
            <family val="2"/>
          </rPr>
          <t xml:space="preserve">12C04 : Plans de Reprise d'Activité
</t>
        </r>
      </text>
    </comment>
    <comment ref="AL397" authorId="2">
      <text>
        <r>
          <rPr>
            <sz val="9"/>
            <color indexed="81"/>
            <rFont val="Tahoma"/>
            <family val="2"/>
          </rPr>
          <t xml:space="preserve">12C01 : Organisation de la maintenance des équipements
</t>
        </r>
      </text>
    </comment>
    <comment ref="AL398" authorId="2">
      <text>
        <r>
          <rPr>
            <sz val="9"/>
            <color indexed="81"/>
            <rFont val="Tahoma"/>
            <family val="2"/>
          </rPr>
          <t xml:space="preserve">03A06 : Sécurité des équipements de servitude
</t>
        </r>
      </text>
    </comment>
    <comment ref="AL399" authorId="2">
      <text>
        <r>
          <rPr>
            <sz val="9"/>
            <color indexed="81"/>
            <rFont val="Tahoma"/>
            <family val="2"/>
          </rPr>
          <t xml:space="preserve">03A02 : Continuité de la fourniture de l'énergie 
</t>
        </r>
      </text>
    </comment>
    <comment ref="AI400" authorId="2">
      <text>
        <r>
          <rPr>
            <sz val="9"/>
            <color indexed="81"/>
            <rFont val="Tahoma"/>
            <family val="2"/>
          </rPr>
          <t xml:space="preserve">03B06 : Surveillance des locaux sensibles
</t>
        </r>
      </text>
    </comment>
    <comment ref="AJ400"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400" authorId="2">
      <text>
        <r>
          <rPr>
            <sz val="9"/>
            <color indexed="81"/>
            <rFont val="Tahoma"/>
            <family val="2"/>
          </rPr>
          <t xml:space="preserve">03B04 : Détection des intrusions dans les locaux sensibles 
</t>
        </r>
      </text>
    </comment>
    <comment ref="AL400" authorId="2">
      <text>
        <r>
          <rPr>
            <sz val="9"/>
            <color indexed="81"/>
            <rFont val="Tahoma"/>
            <family val="2"/>
          </rPr>
          <t xml:space="preserve">12C01 : Organisation de la maintenance des équipements
</t>
        </r>
      </text>
    </comment>
    <comment ref="AJ401" authorId="2">
      <text>
        <r>
          <rPr>
            <sz val="9"/>
            <color indexed="81"/>
            <rFont val="Tahoma"/>
            <family val="2"/>
          </rPr>
          <t xml:space="preserve">03B03 : Contrôle des accès aux locaux sensibles
03B04 : Détection des intrusions dans les locaux sensibles 
03B06 : Surveillance des locaux sensibles
</t>
        </r>
      </text>
    </comment>
    <comment ref="AL401" authorId="2">
      <text>
        <r>
          <rPr>
            <sz val="9"/>
            <color indexed="81"/>
            <rFont val="Tahoma"/>
            <family val="2"/>
          </rPr>
          <t xml:space="preserve">12C01 : Organisation de la maintenance des équipements
</t>
        </r>
      </text>
    </comment>
    <comment ref="AL402" authorId="2">
      <text>
        <r>
          <rPr>
            <sz val="9"/>
            <color indexed="81"/>
            <rFont val="Tahoma"/>
            <family val="2"/>
          </rPr>
          <t xml:space="preserve">12C01 : Organisation de la maintenance des équipements
</t>
        </r>
      </text>
    </comment>
    <comment ref="AJ403"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403" authorId="2">
      <text>
        <r>
          <rPr>
            <sz val="9"/>
            <color indexed="81"/>
            <rFont val="Tahoma"/>
            <family val="2"/>
          </rPr>
          <t xml:space="preserve">02A04 : Détection des intrusions sur le site ou dans l'immeuble
</t>
        </r>
      </text>
    </comment>
    <comment ref="AL403" authorId="2">
      <text>
        <r>
          <rPr>
            <sz val="9"/>
            <color indexed="81"/>
            <rFont val="Tahoma"/>
            <family val="2"/>
          </rPr>
          <t xml:space="preserve">12C01 : Organisation de la maintenance des équipements
</t>
        </r>
      </text>
    </comment>
    <comment ref="AL404" authorId="2">
      <text>
        <r>
          <rPr>
            <sz val="9"/>
            <color indexed="81"/>
            <rFont val="Tahoma"/>
            <family val="2"/>
          </rPr>
          <t xml:space="preserve">12C04 : Plans de Reprise d'Activité
</t>
        </r>
      </text>
    </comment>
    <comment ref="AL405" authorId="2">
      <text>
        <r>
          <rPr>
            <sz val="9"/>
            <color indexed="81"/>
            <rFont val="Tahoma"/>
            <family val="2"/>
          </rPr>
          <t xml:space="preserve">12C05 : Gestion des systèmes critiques (vis-à-vis de la permanence de la maintenance)
</t>
        </r>
      </text>
    </comment>
    <comment ref="AJ407" authorId="2">
      <text>
        <r>
          <rPr>
            <sz val="9"/>
            <color indexed="81"/>
            <rFont val="Tahoma"/>
            <family val="2"/>
          </rPr>
          <t xml:space="preserve">06A02 : Contrôle de la mise en production de nouveaux logiciels ou matériels ou d'évolutions de logiciels ou matériels
</t>
        </r>
      </text>
    </comment>
    <comment ref="AK407" authorId="2">
      <text>
        <r>
          <rPr>
            <sz val="9"/>
            <color indexed="81"/>
            <rFont val="Tahoma"/>
            <family val="2"/>
          </rPr>
          <t xml:space="preserve">04D03 : Traitement des incidents du réseau étendu
</t>
        </r>
      </text>
    </comment>
    <comment ref="AL407" authorId="2">
      <text>
        <r>
          <rPr>
            <sz val="9"/>
            <color indexed="81"/>
            <rFont val="Tahoma"/>
            <family val="2"/>
          </rPr>
          <t xml:space="preserve">04A04 : Plan de sauvegarde des configurations du réseau étendu 
</t>
        </r>
      </text>
    </comment>
    <comment ref="AL408" authorId="2">
      <text>
        <r>
          <rPr>
            <sz val="9"/>
            <color indexed="81"/>
            <rFont val="Tahoma"/>
            <family val="2"/>
          </rPr>
          <t xml:space="preserve">04A04 : Plan de sauvegarde des configurations du réseau étendu 
</t>
        </r>
      </text>
    </comment>
    <comment ref="AL409" authorId="2">
      <text>
        <r>
          <rPr>
            <sz val="9"/>
            <color indexed="81"/>
            <rFont val="Tahoma"/>
            <family val="2"/>
          </rPr>
          <t xml:space="preserve">04A04 : Plan de sauvegarde des configurations du réseau étendu 
</t>
        </r>
      </text>
    </comment>
    <comment ref="AJ410" authorId="2">
      <text>
        <r>
          <rPr>
            <sz val="9"/>
            <color indexed="81"/>
            <rFont val="Tahoma"/>
            <family val="2"/>
          </rPr>
          <t xml:space="preserve">06C02 : Authentification et contrôle des droits d'accès des administrateurs et personnels d'exploitation des réseaux
</t>
        </r>
      </text>
    </comment>
    <comment ref="AK410" authorId="2">
      <text>
        <r>
          <rPr>
            <sz val="9"/>
            <color indexed="81"/>
            <rFont val="Tahoma"/>
            <family val="2"/>
          </rPr>
          <t xml:space="preserve">04D02 : Analyse (en temps différé) des traces, logs et journaux d'événements sur le réseau étendu
</t>
        </r>
      </text>
    </comment>
    <comment ref="AL410" authorId="2">
      <text>
        <r>
          <rPr>
            <sz val="9"/>
            <color indexed="81"/>
            <rFont val="Tahoma"/>
            <family val="2"/>
          </rPr>
          <t xml:space="preserve">04A04 : Plan de sauvegarde des configurations du réseau étendu 
</t>
        </r>
      </text>
    </comment>
    <comment ref="AI411"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L411" authorId="2">
      <text>
        <r>
          <rPr>
            <sz val="9"/>
            <color indexed="81"/>
            <rFont val="Tahoma"/>
            <family val="2"/>
          </rPr>
          <t xml:space="preserve">04A04 : Plan de sauvegarde des configurations du réseau étendu 
</t>
        </r>
      </text>
    </comment>
    <comment ref="AK412" authorId="2">
      <text>
        <r>
          <rPr>
            <sz val="9"/>
            <color indexed="81"/>
            <rFont val="Tahoma"/>
            <family val="2"/>
          </rPr>
          <t xml:space="preserve">04D02 : Analyse (en temps différé) des traces, logs et journaux d'événements sur le réseau étendu
</t>
        </r>
      </text>
    </comment>
    <comment ref="AL412" authorId="2">
      <text>
        <r>
          <rPr>
            <sz val="9"/>
            <color indexed="81"/>
            <rFont val="Tahoma"/>
            <family val="2"/>
          </rPr>
          <t xml:space="preserve">04A04 : Plan de sauvegarde des configurations du réseau étendu 
</t>
        </r>
      </text>
    </comment>
    <comment ref="AI413"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J414" authorId="2">
      <text>
        <r>
          <rPr>
            <sz val="9"/>
            <color indexed="81"/>
            <rFont val="Tahoma"/>
            <family val="2"/>
          </rPr>
          <t xml:space="preserve">03C01 : Prévention des risques de dégâts des eaux
</t>
        </r>
      </text>
    </comment>
    <comment ref="AL414" authorId="2">
      <text>
        <r>
          <rPr>
            <sz val="9"/>
            <color indexed="81"/>
            <rFont val="Tahoma"/>
            <family val="2"/>
          </rPr>
          <t xml:space="preserve">04A01 : Sûreté de fonctionnement des éléments d'architecture du réseau étendu 
04A05 : Plan de Reprise d'Activité (PRA) du réseau étendu
01E01 : Prise en compte des besoins de continuité de l'activité
01E02 : Plans de continuité de l'activité
</t>
        </r>
      </text>
    </comment>
    <comment ref="AJ415" authorId="2">
      <text>
        <r>
          <rPr>
            <sz val="9"/>
            <color indexed="81"/>
            <rFont val="Tahoma"/>
            <family val="2"/>
          </rPr>
          <t xml:space="preserve">03A01 : Qualité de la fourniture de l'énergie 
03A04 : Qualité du câblage
</t>
        </r>
      </text>
    </comment>
    <comment ref="AL415" authorId="2">
      <text>
        <r>
          <rPr>
            <sz val="9"/>
            <color indexed="81"/>
            <rFont val="Tahoma"/>
            <family val="2"/>
          </rPr>
          <t xml:space="preserve">04A01 : Sûreté de fonctionnement des éléments d'architecture du réseau étendu 
04A05 : Plan de Reprise d'Activité (PRA) du réseau étendu
01E01 : Prise en compte des besoins de continuité de l'activité
01E02 : Plans de continuité de l'activité
</t>
        </r>
      </text>
    </comment>
    <comment ref="AJ416" authorId="2">
      <text>
        <r>
          <rPr>
            <sz val="9"/>
            <color indexed="81"/>
            <rFont val="Tahoma"/>
            <family val="2"/>
          </rPr>
          <t xml:space="preserve">03A05 : Protection contre la foudre
</t>
        </r>
      </text>
    </comment>
    <comment ref="AL416" authorId="2">
      <text>
        <r>
          <rPr>
            <sz val="9"/>
            <color indexed="81"/>
            <rFont val="Tahoma"/>
            <family val="2"/>
          </rPr>
          <t xml:space="preserve">04A05 : Plan de Reprise d'Activité (PRA) du réseau étendu
</t>
        </r>
      </text>
    </comment>
    <comment ref="AJ417" authorId="2">
      <text>
        <r>
          <rPr>
            <sz val="9"/>
            <color indexed="81"/>
            <rFont val="Tahoma"/>
            <family val="2"/>
          </rPr>
          <t xml:space="preserve">03D01 : Prévention des risques d'incendie
</t>
        </r>
      </text>
    </comment>
    <comment ref="AK417" authorId="2">
      <text>
        <r>
          <rPr>
            <sz val="9"/>
            <color indexed="81"/>
            <rFont val="Tahoma"/>
            <family val="2"/>
          </rPr>
          <t xml:space="preserve">03D02 : Détection d'incendie
03D03 : Extinction d'incendie
</t>
        </r>
      </text>
    </comment>
    <comment ref="AL417" authorId="2">
      <text>
        <r>
          <rPr>
            <sz val="9"/>
            <color indexed="81"/>
            <rFont val="Tahoma"/>
            <family val="2"/>
          </rPr>
          <t xml:space="preserve">04A05 : Plan de Reprise d'Activité (PRA) du réseau étendu
</t>
        </r>
      </text>
    </comment>
    <comment ref="AJ418" authorId="2">
      <text>
        <r>
          <rPr>
            <sz val="9"/>
            <color indexed="81"/>
            <rFont val="Tahoma"/>
            <family val="2"/>
          </rPr>
          <t xml:space="preserve">03C01 : Prévention des risques de dégâts des eaux
</t>
        </r>
      </text>
    </comment>
    <comment ref="AK418" authorId="2">
      <text>
        <r>
          <rPr>
            <sz val="9"/>
            <color indexed="81"/>
            <rFont val="Tahoma"/>
            <family val="2"/>
          </rPr>
          <t xml:space="preserve">03C02 : Détection des dégâts des eaux
03C03 : Évacuation de l'eau
</t>
        </r>
      </text>
    </comment>
    <comment ref="AL418" authorId="2">
      <text>
        <r>
          <rPr>
            <sz val="9"/>
            <color indexed="81"/>
            <rFont val="Tahoma"/>
            <family val="2"/>
          </rPr>
          <t xml:space="preserve">04A05 : Plan de Reprise d'Activité (PRA) du réseau étendu
</t>
        </r>
      </text>
    </comment>
    <comment ref="AL419" authorId="2">
      <text>
        <r>
          <rPr>
            <sz val="9"/>
            <color indexed="81"/>
            <rFont val="Tahoma"/>
            <family val="2"/>
          </rPr>
          <t xml:space="preserve">04A01 : Sûreté de fonctionnement des éléments d'architecture du réseau étendu 
04A02 : Organisation de la maintenance des équipements du réseau étendu
</t>
        </r>
      </text>
    </comment>
    <comment ref="AL420" authorId="2">
      <text>
        <r>
          <rPr>
            <sz val="9"/>
            <color indexed="81"/>
            <rFont val="Tahoma"/>
            <family val="2"/>
          </rPr>
          <t xml:space="preserve">03A06 : Sécurité des équipements de servitude
</t>
        </r>
      </text>
    </comment>
    <comment ref="AL421" authorId="2">
      <text>
        <r>
          <rPr>
            <sz val="9"/>
            <color indexed="81"/>
            <rFont val="Tahoma"/>
            <family val="2"/>
          </rPr>
          <t xml:space="preserve">03A02 : Continuité de la fourniture de l'énergie 
</t>
        </r>
      </text>
    </comment>
    <comment ref="AI422" authorId="2">
      <text>
        <r>
          <rPr>
            <sz val="9"/>
            <color indexed="81"/>
            <rFont val="Tahoma"/>
            <family val="2"/>
          </rPr>
          <t xml:space="preserve">03B06 : Surveillance des locaux sensibles
</t>
        </r>
      </text>
    </comment>
    <comment ref="AJ422"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422" authorId="2">
      <text>
        <r>
          <rPr>
            <sz val="9"/>
            <color indexed="81"/>
            <rFont val="Tahoma"/>
            <family val="2"/>
          </rPr>
          <t xml:space="preserve">03B04 : Détection des intrusions dans les locaux sensibles 
</t>
        </r>
      </text>
    </comment>
    <comment ref="AL422" authorId="2">
      <text>
        <r>
          <rPr>
            <sz val="9"/>
            <color indexed="81"/>
            <rFont val="Tahoma"/>
            <family val="2"/>
          </rPr>
          <t xml:space="preserve">04A02 : Organisation de la maintenance des équipements du réseau étendu
</t>
        </r>
      </text>
    </comment>
    <comment ref="AJ423" authorId="2">
      <text>
        <r>
          <rPr>
            <sz val="9"/>
            <color indexed="81"/>
            <rFont val="Tahoma"/>
            <family val="2"/>
          </rPr>
          <t xml:space="preserve">03B03 : Contrôle des accès aux locaux sensibles
03B04 : Détection des intrusions dans les locaux sensibles 
03B06 : Surveillance des locaux sensibles
</t>
        </r>
      </text>
    </comment>
    <comment ref="AL423" authorId="2">
      <text>
        <r>
          <rPr>
            <sz val="9"/>
            <color indexed="81"/>
            <rFont val="Tahoma"/>
            <family val="2"/>
          </rPr>
          <t xml:space="preserve">04A02 : Organisation de la maintenance des équipements du réseau étendu
</t>
        </r>
      </text>
    </comment>
    <comment ref="AL424" authorId="2">
      <text>
        <r>
          <rPr>
            <sz val="9"/>
            <color indexed="81"/>
            <rFont val="Tahoma"/>
            <family val="2"/>
          </rPr>
          <t xml:space="preserve">04A02 : Organisation de la maintenance des équipements du réseau étendu
</t>
        </r>
      </text>
    </comment>
    <comment ref="AJ425"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425" authorId="2">
      <text>
        <r>
          <rPr>
            <sz val="9"/>
            <color indexed="81"/>
            <rFont val="Tahoma"/>
            <family val="2"/>
          </rPr>
          <t xml:space="preserve">02A04 : Détection des intrusions sur le site ou dans l'immeuble
</t>
        </r>
      </text>
    </comment>
    <comment ref="AL425" authorId="2">
      <text>
        <r>
          <rPr>
            <sz val="9"/>
            <color indexed="81"/>
            <rFont val="Tahoma"/>
            <family val="2"/>
          </rPr>
          <t xml:space="preserve">04A02 : Organisation de la maintenance des équipements du réseau étendu
</t>
        </r>
      </text>
    </comment>
    <comment ref="AL426" authorId="2">
      <text>
        <r>
          <rPr>
            <sz val="9"/>
            <color indexed="81"/>
            <rFont val="Tahoma"/>
            <family val="2"/>
          </rPr>
          <t xml:space="preserve">04A05 : Plan de Reprise d'Activité (PRA) du réseau étendu
</t>
        </r>
      </text>
    </comment>
    <comment ref="AI427"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L427" authorId="2">
      <text>
        <r>
          <rPr>
            <sz val="9"/>
            <color indexed="81"/>
            <rFont val="Tahoma"/>
            <family val="2"/>
          </rPr>
          <t xml:space="preserve">04A04 : Plan de sauvegarde des configurations du réseau étendu 
</t>
        </r>
      </text>
    </comment>
    <comment ref="AL428" authorId="2">
      <text>
        <r>
          <rPr>
            <sz val="9"/>
            <color indexed="81"/>
            <rFont val="Tahoma"/>
            <family val="2"/>
          </rPr>
          <t xml:space="preserve">04A04 : Plan de sauvegarde des configurations du réseau étendu 
</t>
        </r>
      </text>
    </comment>
    <comment ref="AL429" authorId="2">
      <text>
        <r>
          <rPr>
            <sz val="9"/>
            <color indexed="81"/>
            <rFont val="Tahoma"/>
            <family val="2"/>
          </rPr>
          <t xml:space="preserve">04A06 : Gestion des fournisseurs critiques vis-à-vis de la permanence de la maintenance
</t>
        </r>
      </text>
    </comment>
    <comment ref="AL430" authorId="2">
      <text>
        <r>
          <rPr>
            <sz val="9"/>
            <color indexed="81"/>
            <rFont val="Tahoma"/>
            <family val="2"/>
          </rPr>
          <t xml:space="preserve">01E01 : Prise en compte des besoins de continuité de l'activité
01E02 : Plans de continuité de l'activité
</t>
        </r>
      </text>
    </comment>
    <comment ref="AL431" authorId="2">
      <text>
        <r>
          <rPr>
            <sz val="9"/>
            <color indexed="81"/>
            <rFont val="Tahoma"/>
            <family val="2"/>
          </rPr>
          <t xml:space="preserve">01C02 : Gestion du personnel et des partenaires ou prestataires stratégiques
</t>
        </r>
      </text>
    </comment>
    <comment ref="AL432" authorId="2">
      <text>
        <r>
          <rPr>
            <sz val="9"/>
            <color indexed="81"/>
            <rFont val="Tahoma"/>
            <family val="2"/>
          </rPr>
          <t xml:space="preserve">01C02 : Gestion du personnel et des partenaires ou prestataires stratégiques
</t>
        </r>
      </text>
    </comment>
    <comment ref="AJ433" authorId="2">
      <text>
        <r>
          <rPr>
            <sz val="9"/>
            <color indexed="81"/>
            <rFont val="Tahoma"/>
            <family val="2"/>
          </rPr>
          <t xml:space="preserve">04D01 : Surveillance (en temps réel) du réseau étendu
</t>
        </r>
      </text>
    </comment>
    <comment ref="AL433" authorId="2">
      <text>
        <r>
          <rPr>
            <sz val="9"/>
            <color indexed="81"/>
            <rFont val="Tahoma"/>
            <family val="2"/>
          </rPr>
          <t xml:space="preserve">04A03 : Procédures et plans de reprise du réseau étendu sur incidents
</t>
        </r>
      </text>
    </comment>
    <comment ref="AJ435" authorId="2">
      <text>
        <r>
          <rPr>
            <sz val="9"/>
            <color indexed="81"/>
            <rFont val="Tahoma"/>
            <family val="2"/>
          </rPr>
          <t xml:space="preserve">06A02 : Contrôle de la mise en production de nouveaux logiciels ou matériels ou d'évolutions de logiciels ou matériels
</t>
        </r>
      </text>
    </comment>
    <comment ref="AK435" authorId="2">
      <text>
        <r>
          <rPr>
            <sz val="9"/>
            <color indexed="81"/>
            <rFont val="Tahoma"/>
            <family val="2"/>
          </rPr>
          <t xml:space="preserve">05D03 : Traitement des incidents du réseau local
</t>
        </r>
      </text>
    </comment>
    <comment ref="AL435" authorId="2">
      <text>
        <r>
          <rPr>
            <sz val="9"/>
            <color indexed="81"/>
            <rFont val="Tahoma"/>
            <family val="2"/>
          </rPr>
          <t xml:space="preserve">05A05 : Plan de sauvegarde des configurations du réseau local
</t>
        </r>
      </text>
    </comment>
    <comment ref="AL436" authorId="2">
      <text>
        <r>
          <rPr>
            <sz val="9"/>
            <color indexed="81"/>
            <rFont val="Tahoma"/>
            <family val="2"/>
          </rPr>
          <t xml:space="preserve">05A05 : Plan de sauvegarde des configurations du réseau local
</t>
        </r>
      </text>
    </comment>
    <comment ref="AL437" authorId="2">
      <text>
        <r>
          <rPr>
            <sz val="9"/>
            <color indexed="81"/>
            <rFont val="Tahoma"/>
            <family val="2"/>
          </rPr>
          <t xml:space="preserve">05A05 : Plan de sauvegarde des configurations du réseau local
</t>
        </r>
      </text>
    </comment>
    <comment ref="AJ438" authorId="2">
      <text>
        <r>
          <rPr>
            <sz val="9"/>
            <color indexed="81"/>
            <rFont val="Tahoma"/>
            <family val="2"/>
          </rPr>
          <t xml:space="preserve">06C02 : Authentification et contrôle des droits d'accès des administrateurs et personnels d'exploitation des réseaux
</t>
        </r>
      </text>
    </comment>
    <comment ref="AK438" authorId="2">
      <text>
        <r>
          <rPr>
            <sz val="9"/>
            <color indexed="81"/>
            <rFont val="Tahoma"/>
            <family val="2"/>
          </rPr>
          <t xml:space="preserve">05D02 : Analyse (en temps différé) des traces, logs et journaux d'événements sur le réseau local
</t>
        </r>
      </text>
    </comment>
    <comment ref="AL438" authorId="2">
      <text>
        <r>
          <rPr>
            <sz val="9"/>
            <color indexed="81"/>
            <rFont val="Tahoma"/>
            <family val="2"/>
          </rPr>
          <t xml:space="preserve">05A05 : Plan de sauvegarde des configurations du réseau local
</t>
        </r>
      </text>
    </comment>
    <comment ref="AI439"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L439" authorId="2">
      <text>
        <r>
          <rPr>
            <sz val="9"/>
            <color indexed="81"/>
            <rFont val="Tahoma"/>
            <family val="2"/>
          </rPr>
          <t xml:space="preserve">05A05 : Plan de sauvegarde des configurations du réseau local
</t>
        </r>
      </text>
    </comment>
    <comment ref="AK440" authorId="2">
      <text>
        <r>
          <rPr>
            <sz val="9"/>
            <color indexed="81"/>
            <rFont val="Tahoma"/>
            <family val="2"/>
          </rPr>
          <t xml:space="preserve">05D02 : Analyse (en temps différé) des traces, logs et journaux d'événements sur le réseau local
</t>
        </r>
      </text>
    </comment>
    <comment ref="AL440" authorId="2">
      <text>
        <r>
          <rPr>
            <sz val="9"/>
            <color indexed="81"/>
            <rFont val="Tahoma"/>
            <family val="2"/>
          </rPr>
          <t xml:space="preserve">05A05 : Plan de sauvegarde des configurations du réseau local
</t>
        </r>
      </text>
    </comment>
    <comment ref="AI441"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J442" authorId="2">
      <text>
        <r>
          <rPr>
            <sz val="9"/>
            <color indexed="81"/>
            <rFont val="Tahoma"/>
            <family val="2"/>
          </rPr>
          <t xml:space="preserve">03C01 : Prévention des risques de dégâts des eaux
</t>
        </r>
      </text>
    </comment>
    <comment ref="AL442" authorId="2">
      <text>
        <r>
          <rPr>
            <sz val="9"/>
            <color indexed="81"/>
            <rFont val="Tahoma"/>
            <family val="2"/>
          </rPr>
          <t xml:space="preserve">05A02 : Sûreté de fonctionnement des éléments d'architecture du réseau local
05A06 : Plan de Reprise d'Activité (PRA) du réseau local
01E01 : Prise en compte des besoins de continuité de l'activité
01E02 : Plans de continuité de l'activité
</t>
        </r>
      </text>
    </comment>
    <comment ref="AJ443" authorId="2">
      <text>
        <r>
          <rPr>
            <sz val="9"/>
            <color indexed="81"/>
            <rFont val="Tahoma"/>
            <family val="2"/>
          </rPr>
          <t xml:space="preserve">03A01 : Qualité de la fourniture de l'énergie 
03A04 : Qualité du câblage
</t>
        </r>
      </text>
    </comment>
    <comment ref="AL443" authorId="2">
      <text>
        <r>
          <rPr>
            <sz val="9"/>
            <color indexed="81"/>
            <rFont val="Tahoma"/>
            <family val="2"/>
          </rPr>
          <t xml:space="preserve">05A02 : Sûreté de fonctionnement des éléments d'architecture du réseau local
05A06 : Plan de Reprise d'Activité (PRA) du réseau local
01E01 : Prise en compte des besoins de continuité de l'activité
01E02 : Plans de continuité de l'activité
</t>
        </r>
      </text>
    </comment>
    <comment ref="AJ444" authorId="2">
      <text>
        <r>
          <rPr>
            <sz val="9"/>
            <color indexed="81"/>
            <rFont val="Tahoma"/>
            <family val="2"/>
          </rPr>
          <t xml:space="preserve">03A05 : Protection contre la foudre
</t>
        </r>
      </text>
    </comment>
    <comment ref="AL444" authorId="2">
      <text>
        <r>
          <rPr>
            <sz val="9"/>
            <color indexed="81"/>
            <rFont val="Tahoma"/>
            <family val="2"/>
          </rPr>
          <t xml:space="preserve">05A06 : Plan de Reprise d'Activité (PRA) du réseau local
</t>
        </r>
      </text>
    </comment>
    <comment ref="AJ445" authorId="2">
      <text>
        <r>
          <rPr>
            <sz val="9"/>
            <color indexed="81"/>
            <rFont val="Tahoma"/>
            <family val="2"/>
          </rPr>
          <t xml:space="preserve">03D01 : Prévention des risques d'incendie
</t>
        </r>
      </text>
    </comment>
    <comment ref="AK445" authorId="2">
      <text>
        <r>
          <rPr>
            <sz val="9"/>
            <color indexed="81"/>
            <rFont val="Tahoma"/>
            <family val="2"/>
          </rPr>
          <t xml:space="preserve">03D02 : Détection d'incendie
03D03 : Extinction d'incendie
</t>
        </r>
      </text>
    </comment>
    <comment ref="AL445" authorId="2">
      <text>
        <r>
          <rPr>
            <sz val="9"/>
            <color indexed="81"/>
            <rFont val="Tahoma"/>
            <family val="2"/>
          </rPr>
          <t xml:space="preserve">05A06 : Plan de Reprise d'Activité (PRA) du réseau local
</t>
        </r>
      </text>
    </comment>
    <comment ref="AJ446" authorId="2">
      <text>
        <r>
          <rPr>
            <sz val="9"/>
            <color indexed="81"/>
            <rFont val="Tahoma"/>
            <family val="2"/>
          </rPr>
          <t xml:space="preserve">03C01 : Prévention des risques de dégâts des eaux
</t>
        </r>
      </text>
    </comment>
    <comment ref="AK446" authorId="2">
      <text>
        <r>
          <rPr>
            <sz val="9"/>
            <color indexed="81"/>
            <rFont val="Tahoma"/>
            <family val="2"/>
          </rPr>
          <t xml:space="preserve">03C02 : Détection des dégâts des eaux
03C03 : Évacuation de l'eau
</t>
        </r>
      </text>
    </comment>
    <comment ref="AL446" authorId="2">
      <text>
        <r>
          <rPr>
            <sz val="9"/>
            <color indexed="81"/>
            <rFont val="Tahoma"/>
            <family val="2"/>
          </rPr>
          <t xml:space="preserve">05A06 : Plan de Reprise d'Activité (PRA) du réseau local
</t>
        </r>
      </text>
    </comment>
    <comment ref="AL447" authorId="2">
      <text>
        <r>
          <rPr>
            <sz val="9"/>
            <color indexed="81"/>
            <rFont val="Tahoma"/>
            <family val="2"/>
          </rPr>
          <t xml:space="preserve">05A02 : Sûreté de fonctionnement des éléments d'architecture du réseau local
05A03 : Organisation de la maintenance des équipements du réseau local
</t>
        </r>
      </text>
    </comment>
    <comment ref="AL448" authorId="2">
      <text>
        <r>
          <rPr>
            <sz val="9"/>
            <color indexed="81"/>
            <rFont val="Tahoma"/>
            <family val="2"/>
          </rPr>
          <t xml:space="preserve">03A06 : Sécurité des équipements de servitude
</t>
        </r>
      </text>
    </comment>
    <comment ref="AL449" authorId="2">
      <text>
        <r>
          <rPr>
            <sz val="9"/>
            <color indexed="81"/>
            <rFont val="Tahoma"/>
            <family val="2"/>
          </rPr>
          <t xml:space="preserve">03A02 : Continuité de la fourniture de l'énergie 
</t>
        </r>
      </text>
    </comment>
    <comment ref="AI450" authorId="2">
      <text>
        <r>
          <rPr>
            <sz val="9"/>
            <color indexed="81"/>
            <rFont val="Tahoma"/>
            <family val="2"/>
          </rPr>
          <t xml:space="preserve">03B06 : Surveillance des locaux sensibles
</t>
        </r>
      </text>
    </comment>
    <comment ref="AJ450"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450" authorId="2">
      <text>
        <r>
          <rPr>
            <sz val="9"/>
            <color indexed="81"/>
            <rFont val="Tahoma"/>
            <family val="2"/>
          </rPr>
          <t xml:space="preserve">03B04 : Détection des intrusions dans les locaux sensibles 
</t>
        </r>
      </text>
    </comment>
    <comment ref="AL450" authorId="2">
      <text>
        <r>
          <rPr>
            <sz val="9"/>
            <color indexed="81"/>
            <rFont val="Tahoma"/>
            <family val="2"/>
          </rPr>
          <t xml:space="preserve">05A03 : Organisation de la maintenance des équipements du réseau local
</t>
        </r>
      </text>
    </comment>
    <comment ref="AJ451" authorId="2">
      <text>
        <r>
          <rPr>
            <sz val="9"/>
            <color indexed="81"/>
            <rFont val="Tahoma"/>
            <family val="2"/>
          </rPr>
          <t xml:space="preserve">03B03 : Contrôle des accès aux locaux sensibles
03B04 : Détection des intrusions dans les locaux sensibles 
03B06 : Surveillance des locaux sensibles
</t>
        </r>
      </text>
    </comment>
    <comment ref="AL451" authorId="2">
      <text>
        <r>
          <rPr>
            <sz val="9"/>
            <color indexed="81"/>
            <rFont val="Tahoma"/>
            <family val="2"/>
          </rPr>
          <t xml:space="preserve">05A03 : Organisation de la maintenance des équipements du réseau local
</t>
        </r>
      </text>
    </comment>
    <comment ref="AL452" authorId="2">
      <text>
        <r>
          <rPr>
            <sz val="9"/>
            <color indexed="81"/>
            <rFont val="Tahoma"/>
            <family val="2"/>
          </rPr>
          <t xml:space="preserve">05A03 : Organisation de la maintenance des équipements du réseau local
</t>
        </r>
      </text>
    </comment>
    <comment ref="AJ453"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453" authorId="2">
      <text>
        <r>
          <rPr>
            <sz val="9"/>
            <color indexed="81"/>
            <rFont val="Tahoma"/>
            <family val="2"/>
          </rPr>
          <t xml:space="preserve">02A04 : Détection des intrusions sur le site ou dans l'immeuble
</t>
        </r>
      </text>
    </comment>
    <comment ref="AL453" authorId="2">
      <text>
        <r>
          <rPr>
            <sz val="9"/>
            <color indexed="81"/>
            <rFont val="Tahoma"/>
            <family val="2"/>
          </rPr>
          <t xml:space="preserve">05A03 : Organisation de la maintenance des équipements du réseau local
</t>
        </r>
      </text>
    </comment>
    <comment ref="AL454" authorId="2">
      <text>
        <r>
          <rPr>
            <sz val="9"/>
            <color indexed="81"/>
            <rFont val="Tahoma"/>
            <family val="2"/>
          </rPr>
          <t xml:space="preserve">05A06 : Plan de Reprise d'Activité (PRA) du réseau local
</t>
        </r>
      </text>
    </comment>
    <comment ref="AI455"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L455" authorId="2">
      <text>
        <r>
          <rPr>
            <sz val="9"/>
            <color indexed="81"/>
            <rFont val="Tahoma"/>
            <family val="2"/>
          </rPr>
          <t xml:space="preserve">05A05 : Plan de sauvegarde des configurations du réseau local
</t>
        </r>
      </text>
    </comment>
    <comment ref="AL456" authorId="2">
      <text>
        <r>
          <rPr>
            <sz val="9"/>
            <color indexed="81"/>
            <rFont val="Tahoma"/>
            <family val="2"/>
          </rPr>
          <t xml:space="preserve">05A05 : Plan de sauvegarde des configurations du réseau local
</t>
        </r>
      </text>
    </comment>
    <comment ref="AL457" authorId="2">
      <text>
        <r>
          <rPr>
            <sz val="9"/>
            <color indexed="81"/>
            <rFont val="Tahoma"/>
            <family val="2"/>
          </rPr>
          <t xml:space="preserve">05A07 : Gestion des fournisseurs critiques vis-à-vis de la permanence de la maintenance
</t>
        </r>
      </text>
    </comment>
    <comment ref="AL458" authorId="2">
      <text>
        <r>
          <rPr>
            <sz val="9"/>
            <color indexed="81"/>
            <rFont val="Tahoma"/>
            <family val="2"/>
          </rPr>
          <t xml:space="preserve">01E01 : Prise en compte des besoins de continuité de l'activité
01E02 : Plans de continuité de l'activité
</t>
        </r>
      </text>
    </comment>
    <comment ref="AL459" authorId="2">
      <text>
        <r>
          <rPr>
            <sz val="9"/>
            <color indexed="81"/>
            <rFont val="Tahoma"/>
            <family val="2"/>
          </rPr>
          <t xml:space="preserve">01C02 : Gestion du personnel et des partenaires ou prestataires stratégiques
</t>
        </r>
      </text>
    </comment>
    <comment ref="AL460" authorId="2">
      <text>
        <r>
          <rPr>
            <sz val="9"/>
            <color indexed="81"/>
            <rFont val="Tahoma"/>
            <family val="2"/>
          </rPr>
          <t xml:space="preserve">01C02 : Gestion du personnel et des partenaires ou prestataires stratégiques
</t>
        </r>
      </text>
    </comment>
    <comment ref="AJ461" authorId="2">
      <text>
        <r>
          <rPr>
            <sz val="9"/>
            <color indexed="81"/>
            <rFont val="Tahoma"/>
            <family val="2"/>
          </rPr>
          <t xml:space="preserve">05D01 : Surveillance (en temps réel) du réseau local
</t>
        </r>
      </text>
    </comment>
    <comment ref="AL461" authorId="2">
      <text>
        <r>
          <rPr>
            <sz val="9"/>
            <color indexed="81"/>
            <rFont val="Tahoma"/>
            <family val="2"/>
          </rPr>
          <t xml:space="preserve">05A04 : Procédures et plans de reprise du réseau local sur incidents
</t>
        </r>
      </text>
    </comment>
    <comment ref="AJ463" authorId="2">
      <text>
        <r>
          <rPr>
            <sz val="9"/>
            <color indexed="81"/>
            <rFont val="Tahoma"/>
            <family val="2"/>
          </rPr>
          <t xml:space="preserve">08A03 : Contrôle de la mise en production de nouveaux systèmes ou d'évolutions de systèmes existants
</t>
        </r>
      </text>
    </comment>
    <comment ref="AK463" authorId="2">
      <text>
        <r>
          <rPr>
            <sz val="9"/>
            <color indexed="81"/>
            <rFont val="Tahoma"/>
            <family val="2"/>
          </rPr>
          <t xml:space="preserve">08E03 : Gestion et traitement des incidents systèmes et applicatifs
</t>
        </r>
      </text>
    </comment>
    <comment ref="AL463" authorId="2">
      <text>
        <r>
          <rPr>
            <sz val="9"/>
            <color indexed="81"/>
            <rFont val="Tahoma"/>
            <family val="2"/>
          </rPr>
          <t xml:space="preserve">08D04 : Sauvegarde des configurations logicielles (logiciels de base et applicatifs et paramètres de configuration)
</t>
        </r>
      </text>
    </comment>
    <comment ref="AL464" authorId="2">
      <text>
        <r>
          <rPr>
            <sz val="9"/>
            <color indexed="81"/>
            <rFont val="Tahoma"/>
            <family val="2"/>
          </rPr>
          <t xml:space="preserve">08D04 : Sauvegarde des configurations logicielles (logiciels de base et applicatifs et paramètres de configuration)
</t>
        </r>
      </text>
    </comment>
    <comment ref="AJ465"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465" authorId="2">
      <text>
        <r>
          <rPr>
            <sz val="9"/>
            <color indexed="81"/>
            <rFont val="Tahoma"/>
            <family val="2"/>
          </rPr>
          <t xml:space="preserve">08D04 : Sauvegarde des configurations logicielles (logiciels de base et applicatifs et paramètres de configuration)
</t>
        </r>
      </text>
    </comment>
    <comment ref="AJ466" authorId="2">
      <text>
        <r>
          <rPr>
            <sz val="9"/>
            <color indexed="81"/>
            <rFont val="Tahoma"/>
            <family val="2"/>
          </rPr>
          <t xml:space="preserve">07A03 : Authentification de l'utilisateur ou de l'entité demandant un accès
07A04 : Filtrage des accès et gestion des associations
</t>
        </r>
      </text>
    </comment>
    <comment ref="AL466" authorId="2">
      <text>
        <r>
          <rPr>
            <sz val="9"/>
            <color indexed="81"/>
            <rFont val="Tahoma"/>
            <family val="2"/>
          </rPr>
          <t xml:space="preserve">08D04 : Sauvegarde des configurations logicielles (logiciels de base et applicatifs et paramètres de configuration)
</t>
        </r>
      </text>
    </comment>
    <comment ref="AL467" authorId="2">
      <text>
        <r>
          <rPr>
            <sz val="9"/>
            <color indexed="81"/>
            <rFont val="Tahoma"/>
            <family val="2"/>
          </rPr>
          <t xml:space="preserve">08D04 : Sauvegarde des configurations logicielles (logiciels de base et applicatifs et paramètres de configuration)
</t>
        </r>
      </text>
    </comment>
    <comment ref="AL468" authorId="2">
      <text>
        <r>
          <rPr>
            <sz val="9"/>
            <color indexed="81"/>
            <rFont val="Tahoma"/>
            <family val="2"/>
          </rPr>
          <t xml:space="preserve">08D04 : Sauvegarde des configurations logicielles (logiciels de base et applicatifs et paramètres de configuration)
</t>
        </r>
      </text>
    </comment>
    <comment ref="AI469" authorId="2">
      <text>
        <r>
          <rPr>
            <sz val="9"/>
            <color indexed="81"/>
            <rFont val="Tahoma"/>
            <family val="2"/>
          </rPr>
          <t xml:space="preserve">07C01 : Enregistrement des accès aux ressources sensibles
08E02 : Surveillance, en temps différé, des traces, logs et journaux
</t>
        </r>
      </text>
    </comment>
    <comment ref="AL469" authorId="2">
      <text>
        <r>
          <rPr>
            <sz val="9"/>
            <color indexed="81"/>
            <rFont val="Tahoma"/>
            <family val="2"/>
          </rPr>
          <t xml:space="preserve">08D04 : Sauvegarde des configurations logicielles (logiciels de base et applicatifs et paramètres de configuration)
</t>
        </r>
      </text>
    </comment>
    <comment ref="AI470" authorId="2">
      <text>
        <r>
          <rPr>
            <sz val="9"/>
            <color indexed="81"/>
            <rFont val="Tahoma"/>
            <family val="2"/>
          </rPr>
          <t xml:space="preserve">07C01 : Enregistrement des accès aux ressources sensibles
08E02 : Surveillance, en temps différé, des traces, logs et journaux
</t>
        </r>
      </text>
    </comment>
    <comment ref="AJ470"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470" authorId="2">
      <text>
        <r>
          <rPr>
            <sz val="9"/>
            <color indexed="81"/>
            <rFont val="Tahoma"/>
            <family val="2"/>
          </rPr>
          <t xml:space="preserve">08D04 : Sauvegarde des configurations logicielles (logiciels de base et applicatifs et paramètres de configuration)
</t>
        </r>
      </text>
    </comment>
    <comment ref="AJ471" authorId="2">
      <text>
        <r>
          <rPr>
            <sz val="9"/>
            <color indexed="81"/>
            <rFont val="Tahoma"/>
            <family val="2"/>
          </rPr>
          <t xml:space="preserve">07A03 : Authentification de l'utilisateur ou de l'entité demandant un accès
07A04 : Filtrage des accès et gestion des associations
</t>
        </r>
      </text>
    </comment>
    <comment ref="AL471" authorId="2">
      <text>
        <r>
          <rPr>
            <sz val="9"/>
            <color indexed="81"/>
            <rFont val="Tahoma"/>
            <family val="2"/>
          </rPr>
          <t xml:space="preserve">08D04 : Sauvegarde des configurations logicielles (logiciels de base et applicatifs et paramètres de configuration)
</t>
        </r>
      </text>
    </comment>
    <comment ref="AI472"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472" authorId="2">
      <text>
        <r>
          <rPr>
            <sz val="9"/>
            <color indexed="81"/>
            <rFont val="Tahoma"/>
            <family val="2"/>
          </rPr>
          <t xml:space="preserve">08D04 : Sauvegarde des configurations logicielles (logiciels de base et applicatifs et paramètres de configuration)
</t>
        </r>
      </text>
    </comment>
    <comment ref="AI473" authorId="2">
      <text>
        <r>
          <rPr>
            <sz val="9"/>
            <color indexed="81"/>
            <rFont val="Tahoma"/>
            <family val="2"/>
          </rPr>
          <t xml:space="preserve">07C02 : Enregistrement des appels aux procédures privilégiées 
08E02 : Surveillance, en temps différé, des traces, logs et journaux
</t>
        </r>
      </text>
    </comment>
    <comment ref="AL473" authorId="2">
      <text>
        <r>
          <rPr>
            <sz val="9"/>
            <color indexed="81"/>
            <rFont val="Tahoma"/>
            <family val="2"/>
          </rPr>
          <t xml:space="preserve">08D04 : Sauvegarde des configurations logicielles (logiciels de base et applicatifs et paramètres de configuration)
</t>
        </r>
      </text>
    </comment>
    <comment ref="AI474"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475" authorId="2">
      <text>
        <r>
          <rPr>
            <sz val="9"/>
            <color indexed="81"/>
            <rFont val="Tahoma"/>
            <family val="2"/>
          </rPr>
          <t xml:space="preserve">10B05 : Sécurité de la maintenance applicative
</t>
        </r>
      </text>
    </comment>
    <comment ref="AL475" authorId="2">
      <text>
        <r>
          <rPr>
            <sz val="9"/>
            <color indexed="81"/>
            <rFont val="Tahoma"/>
            <family val="2"/>
          </rPr>
          <t xml:space="preserve">08D04 : Sauvegarde des configurations logicielles (logiciels de base et applicatifs et paramètres de configuration)
</t>
        </r>
      </text>
    </comment>
    <comment ref="AJ476" authorId="2">
      <text>
        <r>
          <rPr>
            <sz val="9"/>
            <color indexed="81"/>
            <rFont val="Tahoma"/>
            <family val="2"/>
          </rPr>
          <t xml:space="preserve">10B06 : Maintenance à chaud 
</t>
        </r>
      </text>
    </comment>
    <comment ref="AL476" authorId="2">
      <text>
        <r>
          <rPr>
            <sz val="9"/>
            <color indexed="81"/>
            <rFont val="Tahoma"/>
            <family val="2"/>
          </rPr>
          <t xml:space="preserve">08D04 : Sauvegarde des configurations logicielles (logiciels de base et applicatifs et paramètres de configuration)
</t>
        </r>
      </text>
    </comment>
    <comment ref="AK477" authorId="2">
      <text>
        <r>
          <rPr>
            <sz val="9"/>
            <color indexed="81"/>
            <rFont val="Tahoma"/>
            <family val="2"/>
          </rPr>
          <t xml:space="preserve">08E02 : Surveillance, en temps différé, des traces, logs et journaux
</t>
        </r>
      </text>
    </comment>
    <comment ref="AL477" authorId="2">
      <text>
        <r>
          <rPr>
            <sz val="9"/>
            <color indexed="81"/>
            <rFont val="Tahoma"/>
            <family val="2"/>
          </rPr>
          <t xml:space="preserve">08D04 : Sauvegarde des configurations logicielles (logiciels de base et applicatifs et paramètres de configuration)
</t>
        </r>
      </text>
    </comment>
    <comment ref="AJ478"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478" authorId="2">
      <text>
        <r>
          <rPr>
            <sz val="9"/>
            <color indexed="81"/>
            <rFont val="Tahoma"/>
            <family val="2"/>
          </rPr>
          <t xml:space="preserve">08D04 : Sauvegarde des configurations logicielles (logiciels de base et applicatifs et paramètres de configuration)
</t>
        </r>
      </text>
    </comment>
    <comment ref="AJ479"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L479" authorId="2">
      <text>
        <r>
          <rPr>
            <sz val="9"/>
            <color indexed="81"/>
            <rFont val="Tahoma"/>
            <family val="2"/>
          </rPr>
          <t xml:space="preserve">08D04 : Sauvegarde des configurations logicielles (logiciels de base et applicatifs et paramètres de configuration)
</t>
        </r>
      </text>
    </comment>
    <comment ref="AI480"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480" authorId="2">
      <text>
        <r>
          <rPr>
            <sz val="9"/>
            <color indexed="81"/>
            <rFont val="Tahoma"/>
            <family val="2"/>
          </rPr>
          <t xml:space="preserve">08D04 : Sauvegarde des configurations logicielles (logiciels de base et applicatifs et paramètres de configuration)
</t>
        </r>
      </text>
    </comment>
    <comment ref="AI481"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481" authorId="2">
      <text>
        <r>
          <rPr>
            <sz val="9"/>
            <color indexed="81"/>
            <rFont val="Tahoma"/>
            <family val="2"/>
          </rPr>
          <t xml:space="preserve">10B05 : Sécurité de la maintenance applicative
</t>
        </r>
      </text>
    </comment>
    <comment ref="AL481" authorId="2">
      <text>
        <r>
          <rPr>
            <sz val="9"/>
            <color indexed="81"/>
            <rFont val="Tahoma"/>
            <family val="2"/>
          </rPr>
          <t xml:space="preserve">08D04 : Sauvegarde des configurations logicielles (logiciels de base et applicatifs et paramètres de configuration)
</t>
        </r>
      </text>
    </comment>
    <comment ref="AJ482" authorId="2">
      <text>
        <r>
          <rPr>
            <sz val="9"/>
            <color indexed="81"/>
            <rFont val="Tahoma"/>
            <family val="2"/>
          </rPr>
          <t xml:space="preserve">03D01 : Prévention des risques d'incendie
</t>
        </r>
      </text>
    </comment>
    <comment ref="AL482" authorId="2">
      <text>
        <r>
          <rPr>
            <sz val="9"/>
            <color indexed="81"/>
            <rFont val="Tahoma"/>
            <family val="2"/>
          </rPr>
          <t xml:space="preserve">08D04 : Sauvegarde des configurations logicielles (logiciels de base et applicatifs et paramètres de configuration)
</t>
        </r>
      </text>
    </comment>
    <comment ref="AL483" authorId="2">
      <text>
        <r>
          <rPr>
            <sz val="9"/>
            <color indexed="81"/>
            <rFont val="Tahoma"/>
            <family val="2"/>
          </rPr>
          <t xml:space="preserve">08D04 : Sauvegarde des configurations logicielles (logiciels de base et applicatifs et paramètres de configuration)
</t>
        </r>
      </text>
    </comment>
    <comment ref="AJ484" authorId="2">
      <text>
        <r>
          <rPr>
            <sz val="9"/>
            <color indexed="81"/>
            <rFont val="Tahoma"/>
            <family val="2"/>
          </rPr>
          <t xml:space="preserve">03D01 : Prévention des risques d'incendie
</t>
        </r>
      </text>
    </comment>
    <comment ref="AL484" authorId="2">
      <text>
        <r>
          <rPr>
            <sz val="9"/>
            <color indexed="81"/>
            <rFont val="Tahoma"/>
            <family val="2"/>
          </rPr>
          <t xml:space="preserve">08D04 : Sauvegarde des configurations logicielles (logiciels de base et applicatifs et paramètres de configuration)
</t>
        </r>
      </text>
    </comment>
    <comment ref="AL485" authorId="2">
      <text>
        <r>
          <rPr>
            <sz val="9"/>
            <color indexed="81"/>
            <rFont val="Tahoma"/>
            <family val="2"/>
          </rPr>
          <t xml:space="preserve">08D04 : Sauvegarde des configurations logicielles (logiciels de base et applicatifs et paramètres de configuration)
</t>
        </r>
      </text>
    </comment>
    <comment ref="AL486" authorId="2">
      <text>
        <r>
          <rPr>
            <sz val="9"/>
            <color indexed="81"/>
            <rFont val="Tahoma"/>
            <family val="2"/>
          </rPr>
          <t xml:space="preserve">08D04 : Sauvegarde des configurations logicielles (logiciels de base et applicatifs et paramètres de configuration)
</t>
        </r>
      </text>
    </comment>
    <comment ref="AL487" authorId="2">
      <text>
        <r>
          <rPr>
            <sz val="9"/>
            <color indexed="81"/>
            <rFont val="Tahoma"/>
            <family val="2"/>
          </rPr>
          <t xml:space="preserve">08D04 : Sauvegarde des configurations logicielles (logiciels de base et applicatifs et paramètres de configuration)
</t>
        </r>
      </text>
    </comment>
    <comment ref="AI488" authorId="2">
      <text>
        <r>
          <rPr>
            <sz val="9"/>
            <color indexed="81"/>
            <rFont val="Tahoma"/>
            <family val="2"/>
          </rPr>
          <t xml:space="preserve">03B06 : Surveillance des locaux sensibles
</t>
        </r>
      </text>
    </comment>
    <comment ref="AJ488" authorId="2">
      <text>
        <r>
          <rPr>
            <sz val="9"/>
            <color indexed="81"/>
            <rFont val="Tahoma"/>
            <family val="2"/>
          </rPr>
          <t xml:space="preserve">03B03 : Contrôle des accès aux locaux sensibles
03B04 : Détection des intrusions dans les locaux sensibles 
</t>
        </r>
      </text>
    </comment>
    <comment ref="AL488" authorId="2">
      <text>
        <r>
          <rPr>
            <sz val="9"/>
            <color indexed="81"/>
            <rFont val="Tahoma"/>
            <family val="2"/>
          </rPr>
          <t xml:space="preserve">08D04 : Sauvegarde des configurations logicielles (logiciels de base et applicatifs et paramètres de configuration)
</t>
        </r>
      </text>
    </comment>
    <comment ref="AI489" authorId="2">
      <text>
        <r>
          <rPr>
            <sz val="9"/>
            <color indexed="81"/>
            <rFont val="Tahoma"/>
            <family val="2"/>
          </rPr>
          <t xml:space="preserve">03B06 : Surveillance des locaux sensibles
</t>
        </r>
      </text>
    </comment>
    <comment ref="AL489" authorId="2">
      <text>
        <r>
          <rPr>
            <sz val="9"/>
            <color indexed="81"/>
            <rFont val="Tahoma"/>
            <family val="2"/>
          </rPr>
          <t xml:space="preserve">08D04 : Sauvegarde des configurations logicielles (logiciels de base et applicatifs et paramètres de configuration)
</t>
        </r>
      </text>
    </comment>
    <comment ref="AI490" authorId="2">
      <text>
        <r>
          <rPr>
            <sz val="9"/>
            <color indexed="81"/>
            <rFont val="Tahoma"/>
            <family val="2"/>
          </rPr>
          <t xml:space="preserve">03B06 : Surveillance des locaux sensibles
</t>
        </r>
      </text>
    </comment>
    <comment ref="AL490" authorId="2">
      <text>
        <r>
          <rPr>
            <sz val="9"/>
            <color indexed="81"/>
            <rFont val="Tahoma"/>
            <family val="2"/>
          </rPr>
          <t xml:space="preserve">08D04 : Sauvegarde des configurations logicielles (logiciels de base et applicatifs et paramètres de configuration)
</t>
        </r>
      </text>
    </comment>
    <comment ref="AI491" authorId="2">
      <text>
        <r>
          <rPr>
            <sz val="9"/>
            <color indexed="81"/>
            <rFont val="Tahoma"/>
            <family val="2"/>
          </rPr>
          <t xml:space="preserve">03B06 : Surveillance des locaux sensibles
</t>
        </r>
      </text>
    </comment>
    <comment ref="AJ491" authorId="2">
      <text>
        <r>
          <rPr>
            <sz val="9"/>
            <color indexed="81"/>
            <rFont val="Tahoma"/>
            <family val="2"/>
          </rPr>
          <t xml:space="preserve">08C03 : Sécurité physique des supports stockés sur site 
</t>
        </r>
      </text>
    </comment>
    <comment ref="AL491" authorId="2">
      <text>
        <r>
          <rPr>
            <sz val="9"/>
            <color indexed="81"/>
            <rFont val="Tahoma"/>
            <family val="2"/>
          </rPr>
          <t xml:space="preserve">08D04 : Sauvegarde des configurations logicielles (logiciels de base et applicatifs et paramètres de configuration)
</t>
        </r>
      </text>
    </comment>
    <comment ref="AI492" authorId="2">
      <text>
        <r>
          <rPr>
            <sz val="9"/>
            <color indexed="81"/>
            <rFont val="Tahoma"/>
            <family val="2"/>
          </rPr>
          <t xml:space="preserve">03B06 : Surveillance des locaux sensibles
</t>
        </r>
      </text>
    </comment>
    <comment ref="AL492" authorId="2">
      <text>
        <r>
          <rPr>
            <sz val="9"/>
            <color indexed="81"/>
            <rFont val="Tahoma"/>
            <family val="2"/>
          </rPr>
          <t xml:space="preserve">08D04 : Sauvegarde des configurations logicielles (logiciels de base et applicatifs et paramètres de configuration)
</t>
        </r>
      </text>
    </comment>
    <comment ref="AI493" authorId="2">
      <text>
        <r>
          <rPr>
            <sz val="9"/>
            <color indexed="81"/>
            <rFont val="Tahoma"/>
            <family val="2"/>
          </rPr>
          <t xml:space="preserve">03B06 : Surveillance des locaux sensibles
</t>
        </r>
      </text>
    </comment>
    <comment ref="AL493" authorId="2">
      <text>
        <r>
          <rPr>
            <sz val="9"/>
            <color indexed="81"/>
            <rFont val="Tahoma"/>
            <family val="2"/>
          </rPr>
          <t xml:space="preserve">08D04 : Sauvegarde des configurations logicielles (logiciels de base et applicatifs et paramètres de configuration)
</t>
        </r>
      </text>
    </comment>
    <comment ref="AL494" authorId="2">
      <text>
        <r>
          <rPr>
            <sz val="9"/>
            <color indexed="81"/>
            <rFont val="Tahoma"/>
            <family val="2"/>
          </rPr>
          <t xml:space="preserve">08D04 : Sauvegarde des configurations logicielles (logiciels de base et applicatifs et paramètres de configuration)
</t>
        </r>
      </text>
    </comment>
    <comment ref="AJ495" authorId="2">
      <text>
        <r>
          <rPr>
            <sz val="9"/>
            <color indexed="81"/>
            <rFont val="Tahoma"/>
            <family val="2"/>
          </rPr>
          <t xml:space="preserve">03C01 : Prévention des risques de dégâts des eaux
</t>
        </r>
      </text>
    </comment>
    <comment ref="AL495" authorId="2">
      <text>
        <r>
          <rPr>
            <sz val="9"/>
            <color indexed="81"/>
            <rFont val="Tahoma"/>
            <family val="2"/>
          </rPr>
          <t xml:space="preserve">08D04 : Sauvegarde des configurations logicielles (logiciels de base et applicatifs et paramètres de configuration)
</t>
        </r>
      </text>
    </comment>
    <comment ref="AJ496" authorId="2">
      <text>
        <r>
          <rPr>
            <sz val="9"/>
            <color indexed="81"/>
            <rFont val="Tahoma"/>
            <family val="2"/>
          </rPr>
          <t xml:space="preserve">03A01 : Qualité de la fourniture de l'énergie 
03A04 : Qualité du câblage
</t>
        </r>
      </text>
    </comment>
    <comment ref="AL496" authorId="2">
      <text>
        <r>
          <rPr>
            <sz val="9"/>
            <color indexed="81"/>
            <rFont val="Tahoma"/>
            <family val="2"/>
          </rPr>
          <t xml:space="preserve">08D04 : Sauvegarde des configurations logicielles (logiciels de base et applicatifs et paramètres de configuration)
</t>
        </r>
      </text>
    </comment>
    <comment ref="AJ497" authorId="2">
      <text>
        <r>
          <rPr>
            <sz val="9"/>
            <color indexed="81"/>
            <rFont val="Tahoma"/>
            <family val="2"/>
          </rPr>
          <t xml:space="preserve">08A03 : Contrôle de la mise en production de nouveaux systèmes ou d'évolutions de systèmes existants
</t>
        </r>
      </text>
    </comment>
    <comment ref="AK497" authorId="2">
      <text>
        <r>
          <rPr>
            <sz val="9"/>
            <color indexed="81"/>
            <rFont val="Tahoma"/>
            <family val="2"/>
          </rPr>
          <t xml:space="preserve">08E03 : Gestion et traitement des incidents systèmes et applicatifs
</t>
        </r>
      </text>
    </comment>
    <comment ref="AL497" authorId="2">
      <text>
        <r>
          <rPr>
            <sz val="9"/>
            <color indexed="81"/>
            <rFont val="Tahoma"/>
            <family val="2"/>
          </rPr>
          <t xml:space="preserve">08D04 : Sauvegarde des configurations logicielles (logiciels de base et applicatifs et paramètres de configuration)
</t>
        </r>
      </text>
    </comment>
    <comment ref="AL498" authorId="2">
      <text>
        <r>
          <rPr>
            <sz val="9"/>
            <color indexed="81"/>
            <rFont val="Tahoma"/>
            <family val="2"/>
          </rPr>
          <t xml:space="preserve">08D04 : Sauvegarde des configurations logicielles (logiciels de base et applicatifs et paramètres de configuration)
</t>
        </r>
      </text>
    </comment>
    <comment ref="AJ499" authorId="2">
      <text>
        <r>
          <rPr>
            <sz val="9"/>
            <color indexed="81"/>
            <rFont val="Tahoma"/>
            <family val="2"/>
          </rPr>
          <t xml:space="preserve">08C03 : Sécurité physique des supports stockés sur site 
</t>
        </r>
      </text>
    </comment>
    <comment ref="AL499" authorId="2">
      <text>
        <r>
          <rPr>
            <sz val="9"/>
            <color indexed="81"/>
            <rFont val="Tahoma"/>
            <family val="2"/>
          </rPr>
          <t xml:space="preserve">08D04 : Sauvegarde des configurations logicielles (logiciels de base et applicatifs et paramètres de configuration)
</t>
        </r>
      </text>
    </comment>
    <comment ref="AK500" authorId="2">
      <text>
        <r>
          <rPr>
            <sz val="9"/>
            <color indexed="81"/>
            <rFont val="Tahoma"/>
            <family val="2"/>
          </rPr>
          <t xml:space="preserve">08C05 : Vérification et rotation des supports d'archivage
</t>
        </r>
      </text>
    </comment>
    <comment ref="AL500" authorId="2">
      <text>
        <r>
          <rPr>
            <sz val="9"/>
            <color indexed="81"/>
            <rFont val="Tahoma"/>
            <family val="2"/>
          </rPr>
          <t xml:space="preserve">08D04 : Sauvegarde des configurations logicielles (logiciels de base et applicatifs et paramètres de configuration)
</t>
        </r>
      </text>
    </comment>
    <comment ref="AJ501" authorId="2">
      <text>
        <r>
          <rPr>
            <sz val="9"/>
            <color indexed="81"/>
            <rFont val="Tahoma"/>
            <family val="2"/>
          </rPr>
          <t xml:space="preserve">03C01 : Prévention des risques de dégâts des eaux
</t>
        </r>
      </text>
    </comment>
    <comment ref="AL501"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502" authorId="2">
      <text>
        <r>
          <rPr>
            <sz val="9"/>
            <color indexed="81"/>
            <rFont val="Tahoma"/>
            <family val="2"/>
          </rPr>
          <t xml:space="preserve">03A01 : Qualité de la fourniture de l'énergie 
03A04 : Qualité du câblage
</t>
        </r>
      </text>
    </comment>
    <comment ref="AL502"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503" authorId="2">
      <text>
        <r>
          <rPr>
            <sz val="9"/>
            <color indexed="81"/>
            <rFont val="Tahoma"/>
            <family val="2"/>
          </rPr>
          <t xml:space="preserve">03A05 : Protection contre la foudre
</t>
        </r>
      </text>
    </comment>
    <comment ref="AL503" authorId="2">
      <text>
        <r>
          <rPr>
            <sz val="9"/>
            <color indexed="81"/>
            <rFont val="Tahoma"/>
            <family val="2"/>
          </rPr>
          <t xml:space="preserve">08D06 : Plans de Reprise d'Activité des services informatiques
09E02 : Plans de Continuité des processus applicatifs
</t>
        </r>
      </text>
    </comment>
    <comment ref="AJ504" authorId="2">
      <text>
        <r>
          <rPr>
            <sz val="9"/>
            <color indexed="81"/>
            <rFont val="Tahoma"/>
            <family val="2"/>
          </rPr>
          <t xml:space="preserve">03D01 : Prévention des risques d'incendie
</t>
        </r>
      </text>
    </comment>
    <comment ref="AK504" authorId="2">
      <text>
        <r>
          <rPr>
            <sz val="9"/>
            <color indexed="81"/>
            <rFont val="Tahoma"/>
            <family val="2"/>
          </rPr>
          <t xml:space="preserve">03D02 : Détection d'incendie
03D03 : Extinction d'incendie
</t>
        </r>
      </text>
    </comment>
    <comment ref="AL504" authorId="2">
      <text>
        <r>
          <rPr>
            <sz val="9"/>
            <color indexed="81"/>
            <rFont val="Tahoma"/>
            <family val="2"/>
          </rPr>
          <t xml:space="preserve">08D06 : Plans de Reprise d'Activité des services informatiques
09E02 : Plans de Continuité des processus applicatifs
</t>
        </r>
      </text>
    </comment>
    <comment ref="AJ505" authorId="2">
      <text>
        <r>
          <rPr>
            <sz val="9"/>
            <color indexed="81"/>
            <rFont val="Tahoma"/>
            <family val="2"/>
          </rPr>
          <t xml:space="preserve">03C01 : Prévention des risques de dégâts des eaux
</t>
        </r>
      </text>
    </comment>
    <comment ref="AK505" authorId="2">
      <text>
        <r>
          <rPr>
            <sz val="9"/>
            <color indexed="81"/>
            <rFont val="Tahoma"/>
            <family val="2"/>
          </rPr>
          <t xml:space="preserve">03C02 : Détection des dégâts des eaux
03C03 : Évacuation de l'eau
</t>
        </r>
      </text>
    </comment>
    <comment ref="AL505" authorId="2">
      <text>
        <r>
          <rPr>
            <sz val="9"/>
            <color indexed="81"/>
            <rFont val="Tahoma"/>
            <family val="2"/>
          </rPr>
          <t xml:space="preserve">08D06 : Plans de Reprise d'Activité des services informatiques
09E02 : Plans de Continuité des processus applicatifs
</t>
        </r>
      </text>
    </comment>
    <comment ref="AJ506" authorId="2">
      <text>
        <r>
          <rPr>
            <sz val="9"/>
            <color indexed="81"/>
            <rFont val="Tahoma"/>
            <family val="2"/>
          </rPr>
          <t xml:space="preserve">09E01 : Reconfiguration matérielle
</t>
        </r>
      </text>
    </comment>
    <comment ref="AL506" authorId="2">
      <text>
        <r>
          <rPr>
            <sz val="9"/>
            <color indexed="81"/>
            <rFont val="Tahoma"/>
            <family val="2"/>
          </rPr>
          <t xml:space="preserve">07D01 : Sûreté de fonctionnement des éléments d'architecture
08D01 : Organisation de la maintenance du matériel (équipements) en exploitation
</t>
        </r>
      </text>
    </comment>
    <comment ref="AL507" authorId="2">
      <text>
        <r>
          <rPr>
            <sz val="9"/>
            <color indexed="81"/>
            <rFont val="Tahoma"/>
            <family val="2"/>
          </rPr>
          <t xml:space="preserve">03A06 : Sécurité des équipements de servitude
</t>
        </r>
      </text>
    </comment>
    <comment ref="AL508" authorId="2">
      <text>
        <r>
          <rPr>
            <sz val="9"/>
            <color indexed="81"/>
            <rFont val="Tahoma"/>
            <family val="2"/>
          </rPr>
          <t xml:space="preserve">03A02 : Continuité de la fourniture de l'énergie 
</t>
        </r>
      </text>
    </comment>
    <comment ref="AL509" authorId="2">
      <text>
        <r>
          <rPr>
            <sz val="9"/>
            <color indexed="81"/>
            <rFont val="Tahoma"/>
            <family val="2"/>
          </rPr>
          <t xml:space="preserve">03A03 : Sécurité de la climatisation
</t>
        </r>
      </text>
    </comment>
    <comment ref="AI510" authorId="2">
      <text>
        <r>
          <rPr>
            <sz val="9"/>
            <color indexed="81"/>
            <rFont val="Tahoma"/>
            <family val="2"/>
          </rPr>
          <t xml:space="preserve">03B06 : Surveillance des locaux sensibles
</t>
        </r>
      </text>
    </comment>
    <comment ref="AJ510"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510" authorId="2">
      <text>
        <r>
          <rPr>
            <sz val="9"/>
            <color indexed="81"/>
            <rFont val="Tahoma"/>
            <family val="2"/>
          </rPr>
          <t xml:space="preserve">03B04 : Détection des intrusions dans les locaux sensibles 
</t>
        </r>
      </text>
    </comment>
    <comment ref="AL510" authorId="2">
      <text>
        <r>
          <rPr>
            <sz val="9"/>
            <color indexed="81"/>
            <rFont val="Tahoma"/>
            <family val="2"/>
          </rPr>
          <t xml:space="preserve">08D01 : Organisation de la maintenance du matériel (équipements) en exploitation
</t>
        </r>
      </text>
    </comment>
    <comment ref="AJ511" authorId="2">
      <text>
        <r>
          <rPr>
            <sz val="9"/>
            <color indexed="81"/>
            <rFont val="Tahoma"/>
            <family val="2"/>
          </rPr>
          <t xml:space="preserve">03B03 : Contrôle des accès aux locaux sensibles
03B04 : Détection des intrusions dans les locaux sensibles 
03B06 : Surveillance des locaux sensibles
</t>
        </r>
      </text>
    </comment>
    <comment ref="AL511" authorId="2">
      <text>
        <r>
          <rPr>
            <sz val="9"/>
            <color indexed="81"/>
            <rFont val="Tahoma"/>
            <family val="2"/>
          </rPr>
          <t xml:space="preserve">08D01 : Organisation de la maintenance du matériel (équipements) en exploitation
</t>
        </r>
      </text>
    </comment>
    <comment ref="AL512" authorId="2">
      <text>
        <r>
          <rPr>
            <sz val="9"/>
            <color indexed="81"/>
            <rFont val="Tahoma"/>
            <family val="2"/>
          </rPr>
          <t xml:space="preserve">08D01 : Organisation de la maintenance du matériel (équipements) en exploitation
</t>
        </r>
      </text>
    </comment>
    <comment ref="AJ513"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513" authorId="2">
      <text>
        <r>
          <rPr>
            <sz val="9"/>
            <color indexed="81"/>
            <rFont val="Tahoma"/>
            <family val="2"/>
          </rPr>
          <t xml:space="preserve">02A04 : Détection des intrusions sur le site ou dans l'immeuble
</t>
        </r>
      </text>
    </comment>
    <comment ref="AL513" authorId="2">
      <text>
        <r>
          <rPr>
            <sz val="9"/>
            <color indexed="81"/>
            <rFont val="Tahoma"/>
            <family val="2"/>
          </rPr>
          <t xml:space="preserve">08D01 : Organisation de la maintenance du matériel (équipements) en exploitation
</t>
        </r>
      </text>
    </comment>
    <comment ref="AL514" authorId="2">
      <text>
        <r>
          <rPr>
            <sz val="9"/>
            <color indexed="81"/>
            <rFont val="Tahoma"/>
            <family val="2"/>
          </rPr>
          <t xml:space="preserve">08D06 : Plans de Reprise d'Activité des services informatiques
09E02 : Plans de Continuité des processus applicatifs
</t>
        </r>
      </text>
    </comment>
    <comment ref="AI515"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515" authorId="2">
      <text>
        <r>
          <rPr>
            <sz val="9"/>
            <color indexed="81"/>
            <rFont val="Tahoma"/>
            <family val="2"/>
          </rPr>
          <t xml:space="preserve">08D04 : Sauvegarde des configurations logicielles (logiciels de base et applicatifs et paramètres de configuration)
</t>
        </r>
      </text>
    </comment>
    <comment ref="AI516" authorId="2">
      <text>
        <r>
          <rPr>
            <sz val="9"/>
            <color indexed="81"/>
            <rFont val="Tahoma"/>
            <family val="2"/>
          </rPr>
          <t xml:space="preserve">07C02 : Enregistrement des appels aux procédures privilégiées 
08E02 : Surveillance, en temps différé, des traces, logs et journaux
</t>
        </r>
      </text>
    </comment>
    <comment ref="AL516" authorId="2">
      <text>
        <r>
          <rPr>
            <sz val="9"/>
            <color indexed="81"/>
            <rFont val="Tahoma"/>
            <family val="2"/>
          </rPr>
          <t xml:space="preserve">08D04 : Sauvegarde des configurations logicielles (logiciels de base et applicatifs et paramètres de configuration)
</t>
        </r>
      </text>
    </comment>
    <comment ref="AL517" authorId="2">
      <text>
        <r>
          <rPr>
            <sz val="9"/>
            <color indexed="81"/>
            <rFont val="Tahoma"/>
            <family val="2"/>
          </rPr>
          <t xml:space="preserve">08D08 : Gestion des systèmes critiques (vis-à-vis de la permanence de la maintenance)
</t>
        </r>
      </text>
    </comment>
    <comment ref="AL518" authorId="2">
      <text>
        <r>
          <rPr>
            <sz val="9"/>
            <color indexed="81"/>
            <rFont val="Tahoma"/>
            <family val="2"/>
          </rPr>
          <t xml:space="preserve">09E03 : Gestion des applications critiques (vis-à-vis de la permanence de la maintenance)
</t>
        </r>
      </text>
    </comment>
    <comment ref="AL519" authorId="2">
      <text>
        <r>
          <rPr>
            <sz val="9"/>
            <color indexed="81"/>
            <rFont val="Tahoma"/>
            <family val="2"/>
          </rPr>
          <t xml:space="preserve">01E01 : Prise en compte des besoins de continuité de l'activité
01E02 : Plans de continuité de l'activité
</t>
        </r>
      </text>
    </comment>
    <comment ref="AL520" authorId="2">
      <text>
        <r>
          <rPr>
            <sz val="9"/>
            <color indexed="81"/>
            <rFont val="Tahoma"/>
            <family val="2"/>
          </rPr>
          <t xml:space="preserve">01C02 : Gestion du personnel et des partenaires ou prestataires stratégiques
</t>
        </r>
      </text>
    </comment>
    <comment ref="AL521" authorId="2">
      <text>
        <r>
          <rPr>
            <sz val="9"/>
            <color indexed="81"/>
            <rFont val="Tahoma"/>
            <family val="2"/>
          </rPr>
          <t xml:space="preserve">01C02 : Gestion du personnel et des partenaires ou prestataires stratégiques
</t>
        </r>
      </text>
    </comment>
    <comment ref="AJ522" authorId="2">
      <text>
        <r>
          <rPr>
            <sz val="9"/>
            <color indexed="81"/>
            <rFont val="Tahoma"/>
            <family val="2"/>
          </rPr>
          <t xml:space="preserve">08A03 : Contrôle de la mise en production de nouveaux systèmes ou d'évolutions de systèmes existants
</t>
        </r>
      </text>
    </comment>
    <comment ref="AL522" authorId="2">
      <text>
        <r>
          <rPr>
            <sz val="9"/>
            <color indexed="81"/>
            <rFont val="Tahoma"/>
            <family val="2"/>
          </rPr>
          <t xml:space="preserve">08D02 : Organisation de la maintenance du logiciel (système, logiciel de couche intermédiaire et progiciel applicatif)
</t>
        </r>
      </text>
    </comment>
    <comment ref="AJ523" authorId="2">
      <text>
        <r>
          <rPr>
            <sz val="9"/>
            <color indexed="81"/>
            <rFont val="Tahoma"/>
            <family val="2"/>
          </rPr>
          <t xml:space="preserve">08A03 : Contrôle de la mise en production de nouveaux systèmes ou d'évolutions de systèmes existants
</t>
        </r>
      </text>
    </comment>
    <comment ref="AL523" authorId="2">
      <text>
        <r>
          <rPr>
            <sz val="9"/>
            <color indexed="81"/>
            <rFont val="Tahoma"/>
            <family val="2"/>
          </rPr>
          <t xml:space="preserve">10A04 : Organisation de la maintenance applicative
</t>
        </r>
      </text>
    </comment>
    <comment ref="AJ524" authorId="2">
      <text>
        <r>
          <rPr>
            <sz val="9"/>
            <color indexed="81"/>
            <rFont val="Tahoma"/>
            <family val="2"/>
          </rPr>
          <t xml:space="preserve">07D01 : Sûreté de fonctionnement des éléments d'architecture
</t>
        </r>
      </text>
    </comment>
    <comment ref="AK524" authorId="2">
      <text>
        <r>
          <rPr>
            <sz val="9"/>
            <color indexed="81"/>
            <rFont val="Tahoma"/>
            <family val="2"/>
          </rPr>
          <t xml:space="preserve">08E01 : Détection et traitement (en temps réel) des anomalies et incidents d'exploitation
</t>
        </r>
      </text>
    </comment>
    <comment ref="AL524" authorId="2">
      <text>
        <r>
          <rPr>
            <sz val="9"/>
            <color indexed="81"/>
            <rFont val="Tahoma"/>
            <family val="2"/>
          </rPr>
          <t xml:space="preserve">08D03 : Procédures et plans de reprise des applications sur incidents d'exploitation
</t>
        </r>
      </text>
    </comment>
    <comment ref="AI525" authorId="2">
      <text>
        <r>
          <rPr>
            <sz val="9"/>
            <color indexed="81"/>
            <rFont val="Tahoma"/>
            <family val="2"/>
          </rPr>
          <t xml:space="preserve">07C01 : Enregistrement des accès aux ressources sensibles
07C02 : Enregistrement des appels aux procédures privilégiées 
</t>
        </r>
      </text>
    </comment>
    <comment ref="AJ525" authorId="2">
      <text>
        <r>
          <rPr>
            <sz val="9"/>
            <color indexed="81"/>
            <rFont val="Tahoma"/>
            <family val="2"/>
          </rPr>
          <t xml:space="preserve">08E01 : Détection et traitement (en temps réel) des anomalies et incidents d'exploitation
</t>
        </r>
      </text>
    </comment>
    <comment ref="AK525" authorId="2">
      <text>
        <r>
          <rPr>
            <sz val="9"/>
            <color indexed="81"/>
            <rFont val="Tahoma"/>
            <family val="2"/>
          </rPr>
          <t xml:space="preserve">08E02 : Surveillance, en temps différé, des traces, logs et journaux
08E03 : Gestion et traitement des incidents systèmes et applicatifs
</t>
        </r>
      </text>
    </comment>
    <comment ref="AL526" authorId="2">
      <text>
        <r>
          <rPr>
            <sz val="9"/>
            <color indexed="81"/>
            <rFont val="Tahoma"/>
            <family val="2"/>
          </rPr>
          <t xml:space="preserve">08D10 : Maintien des comptes d'accès
</t>
        </r>
      </text>
    </comment>
    <comment ref="AJ528" authorId="2">
      <text>
        <r>
          <rPr>
            <sz val="9"/>
            <color indexed="81"/>
            <rFont val="Tahoma"/>
            <family val="2"/>
          </rPr>
          <t xml:space="preserve">08A03 : Contrôle de la mise en production de nouveaux systèmes ou d'évolutions de systèmes existants
</t>
        </r>
      </text>
    </comment>
    <comment ref="AK528" authorId="2">
      <text>
        <r>
          <rPr>
            <sz val="9"/>
            <color indexed="81"/>
            <rFont val="Tahoma"/>
            <family val="2"/>
          </rPr>
          <t xml:space="preserve">08E03 : Gestion et traitement des incidents systèmes et applicatifs
</t>
        </r>
      </text>
    </comment>
    <comment ref="AL528" authorId="2">
      <text>
        <r>
          <rPr>
            <sz val="9"/>
            <color indexed="81"/>
            <rFont val="Tahoma"/>
            <family val="2"/>
          </rPr>
          <t xml:space="preserve">08D04 : Sauvegarde des configurations logicielles (logiciels de base et applicatifs et paramètres de configuration)
</t>
        </r>
      </text>
    </comment>
    <comment ref="AL529" authorId="2">
      <text>
        <r>
          <rPr>
            <sz val="9"/>
            <color indexed="81"/>
            <rFont val="Tahoma"/>
            <family val="2"/>
          </rPr>
          <t xml:space="preserve">08D04 : Sauvegarde des configurations logicielles (logiciels de base et applicatifs et paramètres de configuration)
</t>
        </r>
      </text>
    </comment>
    <comment ref="AJ530"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530" authorId="2">
      <text>
        <r>
          <rPr>
            <sz val="9"/>
            <color indexed="81"/>
            <rFont val="Tahoma"/>
            <family val="2"/>
          </rPr>
          <t xml:space="preserve">08D04 : Sauvegarde des configurations logicielles (logiciels de base et applicatifs et paramètres de configuration)
</t>
        </r>
      </text>
    </comment>
    <comment ref="AJ531" authorId="2">
      <text>
        <r>
          <rPr>
            <sz val="9"/>
            <color indexed="81"/>
            <rFont val="Tahoma"/>
            <family val="2"/>
          </rPr>
          <t xml:space="preserve">07A03 : Authentification de l'utilisateur ou de l'entité demandant un accès
07A04 : Filtrage des accès et gestion des associations
</t>
        </r>
      </text>
    </comment>
    <comment ref="AL531" authorId="2">
      <text>
        <r>
          <rPr>
            <sz val="9"/>
            <color indexed="81"/>
            <rFont val="Tahoma"/>
            <family val="2"/>
          </rPr>
          <t xml:space="preserve">08D04 : Sauvegarde des configurations logicielles (logiciels de base et applicatifs et paramètres de configuration)
</t>
        </r>
      </text>
    </comment>
    <comment ref="AL532" authorId="2">
      <text>
        <r>
          <rPr>
            <sz val="9"/>
            <color indexed="81"/>
            <rFont val="Tahoma"/>
            <family val="2"/>
          </rPr>
          <t xml:space="preserve">08D04 : Sauvegarde des configurations logicielles (logiciels de base et applicatifs et paramètres de configuration)
</t>
        </r>
      </text>
    </comment>
    <comment ref="AL533" authorId="2">
      <text>
        <r>
          <rPr>
            <sz val="9"/>
            <color indexed="81"/>
            <rFont val="Tahoma"/>
            <family val="2"/>
          </rPr>
          <t xml:space="preserve">08D04 : Sauvegarde des configurations logicielles (logiciels de base et applicatifs et paramètres de configuration)
</t>
        </r>
      </text>
    </comment>
    <comment ref="AI534" authorId="2">
      <text>
        <r>
          <rPr>
            <sz val="9"/>
            <color indexed="81"/>
            <rFont val="Tahoma"/>
            <family val="2"/>
          </rPr>
          <t xml:space="preserve">07C01 : Enregistrement des accès aux ressources sensibles
08E02 : Surveillance, en temps différé, des traces, logs et journaux
</t>
        </r>
      </text>
    </comment>
    <comment ref="AL534" authorId="2">
      <text>
        <r>
          <rPr>
            <sz val="9"/>
            <color indexed="81"/>
            <rFont val="Tahoma"/>
            <family val="2"/>
          </rPr>
          <t xml:space="preserve">08D04 : Sauvegarde des configurations logicielles (logiciels de base et applicatifs et paramètres de configuration)
</t>
        </r>
      </text>
    </comment>
    <comment ref="AI535" authorId="2">
      <text>
        <r>
          <rPr>
            <sz val="9"/>
            <color indexed="81"/>
            <rFont val="Tahoma"/>
            <family val="2"/>
          </rPr>
          <t xml:space="preserve">07C01 : Enregistrement des accès aux ressources sensibles
08E02 : Surveillance, en temps différé, des traces, logs et journaux
</t>
        </r>
      </text>
    </comment>
    <comment ref="AJ535"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535" authorId="2">
      <text>
        <r>
          <rPr>
            <sz val="9"/>
            <color indexed="81"/>
            <rFont val="Tahoma"/>
            <family val="2"/>
          </rPr>
          <t xml:space="preserve">08D04 : Sauvegarde des configurations logicielles (logiciels de base et applicatifs et paramètres de configuration)
</t>
        </r>
      </text>
    </comment>
    <comment ref="AJ536" authorId="2">
      <text>
        <r>
          <rPr>
            <sz val="9"/>
            <color indexed="81"/>
            <rFont val="Tahoma"/>
            <family val="2"/>
          </rPr>
          <t xml:space="preserve">07A03 : Authentification de l'utilisateur ou de l'entité demandant un accès
07A04 : Filtrage des accès et gestion des associations
</t>
        </r>
      </text>
    </comment>
    <comment ref="AL536" authorId="2">
      <text>
        <r>
          <rPr>
            <sz val="9"/>
            <color indexed="81"/>
            <rFont val="Tahoma"/>
            <family val="2"/>
          </rPr>
          <t xml:space="preserve">08D04 : Sauvegarde des configurations logicielles (logiciels de base et applicatifs et paramètres de configuration)
</t>
        </r>
      </text>
    </comment>
    <comment ref="AI537"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537" authorId="2">
      <text>
        <r>
          <rPr>
            <sz val="9"/>
            <color indexed="81"/>
            <rFont val="Tahoma"/>
            <family val="2"/>
          </rPr>
          <t xml:space="preserve">08D04 : Sauvegarde des configurations logicielles (logiciels de base et applicatifs et paramètres de configuration)
</t>
        </r>
      </text>
    </comment>
    <comment ref="AI538" authorId="2">
      <text>
        <r>
          <rPr>
            <sz val="9"/>
            <color indexed="81"/>
            <rFont val="Tahoma"/>
            <family val="2"/>
          </rPr>
          <t xml:space="preserve">07C02 : Enregistrement des appels aux procédures privilégiées 
08E02 : Surveillance, en temps différé, des traces, logs et journaux
</t>
        </r>
      </text>
    </comment>
    <comment ref="AL538" authorId="2">
      <text>
        <r>
          <rPr>
            <sz val="9"/>
            <color indexed="81"/>
            <rFont val="Tahoma"/>
            <family val="2"/>
          </rPr>
          <t xml:space="preserve">08D04 : Sauvegarde des configurations logicielles (logiciels de base et applicatifs et paramètres de configuration)
</t>
        </r>
      </text>
    </comment>
    <comment ref="AI539"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540" authorId="2">
      <text>
        <r>
          <rPr>
            <sz val="9"/>
            <color indexed="81"/>
            <rFont val="Tahoma"/>
            <family val="2"/>
          </rPr>
          <t xml:space="preserve">10B05 : Sécurité de la maintenance applicative
</t>
        </r>
      </text>
    </comment>
    <comment ref="AL540" authorId="2">
      <text>
        <r>
          <rPr>
            <sz val="9"/>
            <color indexed="81"/>
            <rFont val="Tahoma"/>
            <family val="2"/>
          </rPr>
          <t xml:space="preserve">08D04 : Sauvegarde des configurations logicielles (logiciels de base et applicatifs et paramètres de configuration)
</t>
        </r>
      </text>
    </comment>
    <comment ref="AJ541" authorId="2">
      <text>
        <r>
          <rPr>
            <sz val="9"/>
            <color indexed="81"/>
            <rFont val="Tahoma"/>
            <family val="2"/>
          </rPr>
          <t xml:space="preserve">10B06 : Maintenance à chaud 
</t>
        </r>
      </text>
    </comment>
    <comment ref="AL541" authorId="2">
      <text>
        <r>
          <rPr>
            <sz val="9"/>
            <color indexed="81"/>
            <rFont val="Tahoma"/>
            <family val="2"/>
          </rPr>
          <t xml:space="preserve">08D04 : Sauvegarde des configurations logicielles (logiciels de base et applicatifs et paramètres de configuration)
</t>
        </r>
      </text>
    </comment>
    <comment ref="AJ542" authorId="2">
      <text>
        <r>
          <rPr>
            <sz val="9"/>
            <color indexed="81"/>
            <rFont val="Tahoma"/>
            <family val="2"/>
          </rPr>
          <t xml:space="preserve">08D03 : Procédures et plans de reprise des applications sur incidents d'exploitation
</t>
        </r>
      </text>
    </comment>
    <comment ref="AK542" authorId="2">
      <text>
        <r>
          <rPr>
            <sz val="9"/>
            <color indexed="81"/>
            <rFont val="Tahoma"/>
            <family val="2"/>
          </rPr>
          <t xml:space="preserve">08E02 : Surveillance, en temps différé, des traces, logs et journaux
</t>
        </r>
      </text>
    </comment>
    <comment ref="AL542" authorId="2">
      <text>
        <r>
          <rPr>
            <sz val="9"/>
            <color indexed="81"/>
            <rFont val="Tahoma"/>
            <family val="2"/>
          </rPr>
          <t xml:space="preserve">08D04 : Sauvegarde des configurations logicielles (logiciels de base et applicatifs et paramètres de configuration)
</t>
        </r>
      </text>
    </comment>
    <comment ref="AJ543"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543" authorId="2">
      <text>
        <r>
          <rPr>
            <sz val="9"/>
            <color indexed="81"/>
            <rFont val="Tahoma"/>
            <family val="2"/>
          </rPr>
          <t xml:space="preserve">08D04 : Sauvegarde des configurations logicielles (logiciels de base et applicatifs et paramètres de configuration)
</t>
        </r>
      </text>
    </comment>
    <comment ref="AJ544"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L544" authorId="2">
      <text>
        <r>
          <rPr>
            <sz val="9"/>
            <color indexed="81"/>
            <rFont val="Tahoma"/>
            <family val="2"/>
          </rPr>
          <t xml:space="preserve">08D04 : Sauvegarde des configurations logicielles (logiciels de base et applicatifs et paramètres de configuration)
</t>
        </r>
      </text>
    </comment>
    <comment ref="AI545"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545" authorId="2">
      <text>
        <r>
          <rPr>
            <sz val="9"/>
            <color indexed="81"/>
            <rFont val="Tahoma"/>
            <family val="2"/>
          </rPr>
          <t xml:space="preserve">08D04 : Sauvegarde des configurations logicielles (logiciels de base et applicatifs et paramètres de configuration)
</t>
        </r>
      </text>
    </comment>
    <comment ref="AI546"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546" authorId="2">
      <text>
        <r>
          <rPr>
            <sz val="9"/>
            <color indexed="81"/>
            <rFont val="Tahoma"/>
            <family val="2"/>
          </rPr>
          <t xml:space="preserve">10B05 : Sécurité de la maintenance applicative
</t>
        </r>
      </text>
    </comment>
    <comment ref="AL546" authorId="2">
      <text>
        <r>
          <rPr>
            <sz val="9"/>
            <color indexed="81"/>
            <rFont val="Tahoma"/>
            <family val="2"/>
          </rPr>
          <t xml:space="preserve">08D04 : Sauvegarde des configurations logicielles (logiciels de base et applicatifs et paramètres de configuration)
</t>
        </r>
      </text>
    </comment>
    <comment ref="AJ547" authorId="2">
      <text>
        <r>
          <rPr>
            <sz val="9"/>
            <color indexed="81"/>
            <rFont val="Tahoma"/>
            <family val="2"/>
          </rPr>
          <t xml:space="preserve">03D01 : Prévention des risques d'incendie
</t>
        </r>
      </text>
    </comment>
    <comment ref="AL547" authorId="2">
      <text>
        <r>
          <rPr>
            <sz val="9"/>
            <color indexed="81"/>
            <rFont val="Tahoma"/>
            <family val="2"/>
          </rPr>
          <t xml:space="preserve">08D04 : Sauvegarde des configurations logicielles (logiciels de base et applicatifs et paramètres de configuration)
</t>
        </r>
      </text>
    </comment>
    <comment ref="AL548" authorId="2">
      <text>
        <r>
          <rPr>
            <sz val="9"/>
            <color indexed="81"/>
            <rFont val="Tahoma"/>
            <family val="2"/>
          </rPr>
          <t xml:space="preserve">08D04 : Sauvegarde des configurations logicielles (logiciels de base et applicatifs et paramètres de configuration)
</t>
        </r>
      </text>
    </comment>
    <comment ref="AJ549" authorId="2">
      <text>
        <r>
          <rPr>
            <sz val="9"/>
            <color indexed="81"/>
            <rFont val="Tahoma"/>
            <family val="2"/>
          </rPr>
          <t xml:space="preserve">03D01 : Prévention des risques d'incendie
</t>
        </r>
      </text>
    </comment>
    <comment ref="AL549" authorId="2">
      <text>
        <r>
          <rPr>
            <sz val="9"/>
            <color indexed="81"/>
            <rFont val="Tahoma"/>
            <family val="2"/>
          </rPr>
          <t xml:space="preserve">08D04 : Sauvegarde des configurations logicielles (logiciels de base et applicatifs et paramètres de configuration)
</t>
        </r>
      </text>
    </comment>
    <comment ref="AL550" authorId="2">
      <text>
        <r>
          <rPr>
            <sz val="9"/>
            <color indexed="81"/>
            <rFont val="Tahoma"/>
            <family val="2"/>
          </rPr>
          <t xml:space="preserve">08D04 : Sauvegarde des configurations logicielles (logiciels de base et applicatifs et paramètres de configuration)
</t>
        </r>
      </text>
    </comment>
    <comment ref="AL551" authorId="2">
      <text>
        <r>
          <rPr>
            <sz val="9"/>
            <color indexed="81"/>
            <rFont val="Tahoma"/>
            <family val="2"/>
          </rPr>
          <t xml:space="preserve">08D04 : Sauvegarde des configurations logicielles (logiciels de base et applicatifs et paramètres de configuration)
</t>
        </r>
      </text>
    </comment>
    <comment ref="AL552" authorId="2">
      <text>
        <r>
          <rPr>
            <sz val="9"/>
            <color indexed="81"/>
            <rFont val="Tahoma"/>
            <family val="2"/>
          </rPr>
          <t xml:space="preserve">08D04 : Sauvegarde des configurations logicielles (logiciels de base et applicatifs et paramètres de configuration)
</t>
        </r>
      </text>
    </comment>
    <comment ref="AI553" authorId="2">
      <text>
        <r>
          <rPr>
            <sz val="9"/>
            <color indexed="81"/>
            <rFont val="Tahoma"/>
            <family val="2"/>
          </rPr>
          <t xml:space="preserve">03B06 : Surveillance des locaux sensibles
</t>
        </r>
      </text>
    </comment>
    <comment ref="AJ553" authorId="2">
      <text>
        <r>
          <rPr>
            <sz val="9"/>
            <color indexed="81"/>
            <rFont val="Tahoma"/>
            <family val="2"/>
          </rPr>
          <t xml:space="preserve">03B03 : Contrôle des accès aux locaux sensibles
03B04 : Détection des intrusions dans les locaux sensibles 
</t>
        </r>
      </text>
    </comment>
    <comment ref="AL553" authorId="2">
      <text>
        <r>
          <rPr>
            <sz val="9"/>
            <color indexed="81"/>
            <rFont val="Tahoma"/>
            <family val="2"/>
          </rPr>
          <t xml:space="preserve">08D04 : Sauvegarde des configurations logicielles (logiciels de base et applicatifs et paramètres de configuration)
</t>
        </r>
      </text>
    </comment>
    <comment ref="AI554" authorId="2">
      <text>
        <r>
          <rPr>
            <sz val="9"/>
            <color indexed="81"/>
            <rFont val="Tahoma"/>
            <family val="2"/>
          </rPr>
          <t xml:space="preserve">03B06 : Surveillance des locaux sensibles
</t>
        </r>
      </text>
    </comment>
    <comment ref="AL554" authorId="2">
      <text>
        <r>
          <rPr>
            <sz val="9"/>
            <color indexed="81"/>
            <rFont val="Tahoma"/>
            <family val="2"/>
          </rPr>
          <t xml:space="preserve">08D04 : Sauvegarde des configurations logicielles (logiciels de base et applicatifs et paramètres de configuration)
</t>
        </r>
      </text>
    </comment>
    <comment ref="AI555" authorId="2">
      <text>
        <r>
          <rPr>
            <sz val="9"/>
            <color indexed="81"/>
            <rFont val="Tahoma"/>
            <family val="2"/>
          </rPr>
          <t xml:space="preserve">03B06 : Surveillance des locaux sensibles
</t>
        </r>
      </text>
    </comment>
    <comment ref="AL555" authorId="2">
      <text>
        <r>
          <rPr>
            <sz val="9"/>
            <color indexed="81"/>
            <rFont val="Tahoma"/>
            <family val="2"/>
          </rPr>
          <t xml:space="preserve">08D04 : Sauvegarde des configurations logicielles (logiciels de base et applicatifs et paramètres de configuration)
</t>
        </r>
      </text>
    </comment>
    <comment ref="AI556" authorId="2">
      <text>
        <r>
          <rPr>
            <sz val="9"/>
            <color indexed="81"/>
            <rFont val="Tahoma"/>
            <family val="2"/>
          </rPr>
          <t xml:space="preserve">03B06 : Surveillance des locaux sensibles
</t>
        </r>
      </text>
    </comment>
    <comment ref="AJ556" authorId="2">
      <text>
        <r>
          <rPr>
            <sz val="9"/>
            <color indexed="81"/>
            <rFont val="Tahoma"/>
            <family val="2"/>
          </rPr>
          <t xml:space="preserve">08C03 : Sécurité physique des supports stockés sur site 
</t>
        </r>
      </text>
    </comment>
    <comment ref="AL556" authorId="2">
      <text>
        <r>
          <rPr>
            <sz val="9"/>
            <color indexed="81"/>
            <rFont val="Tahoma"/>
            <family val="2"/>
          </rPr>
          <t xml:space="preserve">08D04 : Sauvegarde des configurations logicielles (logiciels de base et applicatifs et paramètres de configuration)
</t>
        </r>
      </text>
    </comment>
    <comment ref="AI557" authorId="2">
      <text>
        <r>
          <rPr>
            <sz val="9"/>
            <color indexed="81"/>
            <rFont val="Tahoma"/>
            <family val="2"/>
          </rPr>
          <t xml:space="preserve">03B06 : Surveillance des locaux sensibles
</t>
        </r>
      </text>
    </comment>
    <comment ref="AL557" authorId="2">
      <text>
        <r>
          <rPr>
            <sz val="9"/>
            <color indexed="81"/>
            <rFont val="Tahoma"/>
            <family val="2"/>
          </rPr>
          <t xml:space="preserve">08D04 : Sauvegarde des configurations logicielles (logiciels de base et applicatifs et paramètres de configuration)
</t>
        </r>
      </text>
    </comment>
    <comment ref="AI558" authorId="2">
      <text>
        <r>
          <rPr>
            <sz val="9"/>
            <color indexed="81"/>
            <rFont val="Tahoma"/>
            <family val="2"/>
          </rPr>
          <t xml:space="preserve">03B06 : Surveillance des locaux sensibles
</t>
        </r>
      </text>
    </comment>
    <comment ref="AL558" authorId="2">
      <text>
        <r>
          <rPr>
            <sz val="9"/>
            <color indexed="81"/>
            <rFont val="Tahoma"/>
            <family val="2"/>
          </rPr>
          <t xml:space="preserve">08D04 : Sauvegarde des configurations logicielles (logiciels de base et applicatifs et paramètres de configuration)
</t>
        </r>
      </text>
    </comment>
    <comment ref="AL559" authorId="2">
      <text>
        <r>
          <rPr>
            <sz val="9"/>
            <color indexed="81"/>
            <rFont val="Tahoma"/>
            <family val="2"/>
          </rPr>
          <t xml:space="preserve">08D04 : Sauvegarde des configurations logicielles (logiciels de base et applicatifs et paramètres de configuration)
</t>
        </r>
      </text>
    </comment>
    <comment ref="AJ560" authorId="2">
      <text>
        <r>
          <rPr>
            <sz val="9"/>
            <color indexed="81"/>
            <rFont val="Tahoma"/>
            <family val="2"/>
          </rPr>
          <t xml:space="preserve">03C01 : Prévention des risques de dégâts des eaux
</t>
        </r>
      </text>
    </comment>
    <comment ref="AL560" authorId="2">
      <text>
        <r>
          <rPr>
            <sz val="9"/>
            <color indexed="81"/>
            <rFont val="Tahoma"/>
            <family val="2"/>
          </rPr>
          <t xml:space="preserve">08D04 : Sauvegarde des configurations logicielles (logiciels de base et applicatifs et paramètres de configuration)
</t>
        </r>
      </text>
    </comment>
    <comment ref="AJ561" authorId="2">
      <text>
        <r>
          <rPr>
            <sz val="9"/>
            <color indexed="81"/>
            <rFont val="Tahoma"/>
            <family val="2"/>
          </rPr>
          <t xml:space="preserve">03A01 : Qualité de la fourniture de l'énergie 
03A04 : Qualité du câblage
</t>
        </r>
      </text>
    </comment>
    <comment ref="AL561" authorId="2">
      <text>
        <r>
          <rPr>
            <sz val="9"/>
            <color indexed="81"/>
            <rFont val="Tahoma"/>
            <family val="2"/>
          </rPr>
          <t xml:space="preserve">08D04 : Sauvegarde des configurations logicielles (logiciels de base et applicatifs et paramètres de configuration)
</t>
        </r>
      </text>
    </comment>
    <comment ref="AJ562" authorId="2">
      <text>
        <r>
          <rPr>
            <sz val="9"/>
            <color indexed="81"/>
            <rFont val="Tahoma"/>
            <family val="2"/>
          </rPr>
          <t xml:space="preserve">08A03 : Contrôle de la mise en production de nouveaux systèmes ou d'évolutions de systèmes existants
</t>
        </r>
      </text>
    </comment>
    <comment ref="AK562" authorId="2">
      <text>
        <r>
          <rPr>
            <sz val="9"/>
            <color indexed="81"/>
            <rFont val="Tahoma"/>
            <family val="2"/>
          </rPr>
          <t xml:space="preserve">08E03 : Gestion et traitement des incidents systèmes et applicatifs
</t>
        </r>
      </text>
    </comment>
    <comment ref="AL562" authorId="2">
      <text>
        <r>
          <rPr>
            <sz val="9"/>
            <color indexed="81"/>
            <rFont val="Tahoma"/>
            <family val="2"/>
          </rPr>
          <t xml:space="preserve">08D04 : Sauvegarde des configurations logicielles (logiciels de base et applicatifs et paramètres de configuration)
</t>
        </r>
      </text>
    </comment>
    <comment ref="AL563" authorId="2">
      <text>
        <r>
          <rPr>
            <sz val="9"/>
            <color indexed="81"/>
            <rFont val="Tahoma"/>
            <family val="2"/>
          </rPr>
          <t xml:space="preserve">08D04 : Sauvegarde des configurations logicielles (logiciels de base et applicatifs et paramètres de configuration)
</t>
        </r>
      </text>
    </comment>
    <comment ref="AJ564" authorId="2">
      <text>
        <r>
          <rPr>
            <sz val="9"/>
            <color indexed="81"/>
            <rFont val="Tahoma"/>
            <family val="2"/>
          </rPr>
          <t xml:space="preserve">08C03 : Sécurité physique des supports stockés sur site 
</t>
        </r>
      </text>
    </comment>
    <comment ref="AL564" authorId="2">
      <text>
        <r>
          <rPr>
            <sz val="9"/>
            <color indexed="81"/>
            <rFont val="Tahoma"/>
            <family val="2"/>
          </rPr>
          <t xml:space="preserve">08D04 : Sauvegarde des configurations logicielles (logiciels de base et applicatifs et paramètres de configuration)
</t>
        </r>
      </text>
    </comment>
    <comment ref="AK565" authorId="2">
      <text>
        <r>
          <rPr>
            <sz val="9"/>
            <color indexed="81"/>
            <rFont val="Tahoma"/>
            <family val="2"/>
          </rPr>
          <t xml:space="preserve">08C05 : Vérification et rotation des supports d'archivage
</t>
        </r>
      </text>
    </comment>
    <comment ref="AL565" authorId="2">
      <text>
        <r>
          <rPr>
            <sz val="9"/>
            <color indexed="81"/>
            <rFont val="Tahoma"/>
            <family val="2"/>
          </rPr>
          <t xml:space="preserve">08D04 : Sauvegarde des configurations logicielles (logiciels de base et applicatifs et paramètres de configuration)
</t>
        </r>
      </text>
    </comment>
    <comment ref="AJ566" authorId="2">
      <text>
        <r>
          <rPr>
            <sz val="9"/>
            <color indexed="81"/>
            <rFont val="Tahoma"/>
            <family val="2"/>
          </rPr>
          <t xml:space="preserve">03C01 : Prévention des risques de dégâts des eaux
</t>
        </r>
      </text>
    </comment>
    <comment ref="AL566"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567" authorId="2">
      <text>
        <r>
          <rPr>
            <sz val="9"/>
            <color indexed="81"/>
            <rFont val="Tahoma"/>
            <family val="2"/>
          </rPr>
          <t xml:space="preserve">03A01 : Qualité de la fourniture de l'énergie 
03A04 : Qualité du câblage
</t>
        </r>
      </text>
    </comment>
    <comment ref="AL567"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568" authorId="2">
      <text>
        <r>
          <rPr>
            <sz val="9"/>
            <color indexed="81"/>
            <rFont val="Tahoma"/>
            <family val="2"/>
          </rPr>
          <t xml:space="preserve">03A05 : Protection contre la foudre
</t>
        </r>
      </text>
    </comment>
    <comment ref="AL568" authorId="2">
      <text>
        <r>
          <rPr>
            <sz val="9"/>
            <color indexed="81"/>
            <rFont val="Tahoma"/>
            <family val="2"/>
          </rPr>
          <t xml:space="preserve">08D06 : Plans de Reprise d'Activité des services informatiques
09E02 : Plans de Continuité des processus applicatifs
</t>
        </r>
      </text>
    </comment>
    <comment ref="AJ569" authorId="2">
      <text>
        <r>
          <rPr>
            <sz val="9"/>
            <color indexed="81"/>
            <rFont val="Tahoma"/>
            <family val="2"/>
          </rPr>
          <t xml:space="preserve">03D01 : Prévention des risques d'incendie
</t>
        </r>
      </text>
    </comment>
    <comment ref="AK569" authorId="2">
      <text>
        <r>
          <rPr>
            <sz val="9"/>
            <color indexed="81"/>
            <rFont val="Tahoma"/>
            <family val="2"/>
          </rPr>
          <t xml:space="preserve">03D02 : Détection d'incendie
03D03 : Extinction d'incendie
</t>
        </r>
      </text>
    </comment>
    <comment ref="AL569" authorId="2">
      <text>
        <r>
          <rPr>
            <sz val="9"/>
            <color indexed="81"/>
            <rFont val="Tahoma"/>
            <family val="2"/>
          </rPr>
          <t xml:space="preserve">08D06 : Plans de Reprise d'Activité des services informatiques
09E02 : Plans de Continuité des processus applicatifs
</t>
        </r>
      </text>
    </comment>
    <comment ref="AJ570" authorId="2">
      <text>
        <r>
          <rPr>
            <sz val="9"/>
            <color indexed="81"/>
            <rFont val="Tahoma"/>
            <family val="2"/>
          </rPr>
          <t xml:space="preserve">03C01 : Prévention des risques de dégâts des eaux
</t>
        </r>
      </text>
    </comment>
    <comment ref="AK570" authorId="2">
      <text>
        <r>
          <rPr>
            <sz val="9"/>
            <color indexed="81"/>
            <rFont val="Tahoma"/>
            <family val="2"/>
          </rPr>
          <t xml:space="preserve">03C02 : Détection des dégâts des eaux
03C03 : Évacuation de l'eau
</t>
        </r>
      </text>
    </comment>
    <comment ref="AL570" authorId="2">
      <text>
        <r>
          <rPr>
            <sz val="9"/>
            <color indexed="81"/>
            <rFont val="Tahoma"/>
            <family val="2"/>
          </rPr>
          <t xml:space="preserve">08D06 : Plans de Reprise d'Activité des services informatiques
09E02 : Plans de Continuité des processus applicatifs
</t>
        </r>
      </text>
    </comment>
    <comment ref="AJ571" authorId="2">
      <text>
        <r>
          <rPr>
            <sz val="9"/>
            <color indexed="81"/>
            <rFont val="Tahoma"/>
            <family val="2"/>
          </rPr>
          <t xml:space="preserve">09E01 : Reconfiguration matérielle
</t>
        </r>
      </text>
    </comment>
    <comment ref="AL571" authorId="2">
      <text>
        <r>
          <rPr>
            <sz val="9"/>
            <color indexed="81"/>
            <rFont val="Tahoma"/>
            <family val="2"/>
          </rPr>
          <t xml:space="preserve">07D01 : Sûreté de fonctionnement des éléments d'architecture
08D01 : Organisation de la maintenance du matériel (équipements) en exploitation
</t>
        </r>
      </text>
    </comment>
    <comment ref="AL572" authorId="2">
      <text>
        <r>
          <rPr>
            <sz val="9"/>
            <color indexed="81"/>
            <rFont val="Tahoma"/>
            <family val="2"/>
          </rPr>
          <t xml:space="preserve">03A06 : Sécurité des équipements de servitude
</t>
        </r>
      </text>
    </comment>
    <comment ref="AL573" authorId="2">
      <text>
        <r>
          <rPr>
            <sz val="9"/>
            <color indexed="81"/>
            <rFont val="Tahoma"/>
            <family val="2"/>
          </rPr>
          <t xml:space="preserve">03A02 : Continuité de la fourniture de l'énergie 
</t>
        </r>
      </text>
    </comment>
    <comment ref="AI574" authorId="2">
      <text>
        <r>
          <rPr>
            <sz val="9"/>
            <color indexed="81"/>
            <rFont val="Tahoma"/>
            <family val="2"/>
          </rPr>
          <t xml:space="preserve">03B06 : Surveillance des locaux sensibles
</t>
        </r>
      </text>
    </comment>
    <comment ref="AJ574"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574" authorId="2">
      <text>
        <r>
          <rPr>
            <sz val="9"/>
            <color indexed="81"/>
            <rFont val="Tahoma"/>
            <family val="2"/>
          </rPr>
          <t xml:space="preserve">03B04 : Détection des intrusions dans les locaux sensibles 
</t>
        </r>
      </text>
    </comment>
    <comment ref="AL574" authorId="2">
      <text>
        <r>
          <rPr>
            <sz val="9"/>
            <color indexed="81"/>
            <rFont val="Tahoma"/>
            <family val="2"/>
          </rPr>
          <t xml:space="preserve">08D01 : Organisation de la maintenance du matériel (équipements) en exploitation
</t>
        </r>
      </text>
    </comment>
    <comment ref="AJ575" authorId="2">
      <text>
        <r>
          <rPr>
            <sz val="9"/>
            <color indexed="81"/>
            <rFont val="Tahoma"/>
            <family val="2"/>
          </rPr>
          <t xml:space="preserve">03B03 : Contrôle des accès aux locaux sensibles
03B04 : Détection des intrusions dans les locaux sensibles 
03B06 : Surveillance des locaux sensibles
</t>
        </r>
      </text>
    </comment>
    <comment ref="AL575" authorId="2">
      <text>
        <r>
          <rPr>
            <sz val="9"/>
            <color indexed="81"/>
            <rFont val="Tahoma"/>
            <family val="2"/>
          </rPr>
          <t xml:space="preserve">08D01 : Organisation de la maintenance du matériel (équipements) en exploitation
</t>
        </r>
      </text>
    </comment>
    <comment ref="AL576" authorId="2">
      <text>
        <r>
          <rPr>
            <sz val="9"/>
            <color indexed="81"/>
            <rFont val="Tahoma"/>
            <family val="2"/>
          </rPr>
          <t xml:space="preserve">08D01 : Organisation de la maintenance du matériel (équipements) en exploitation
</t>
        </r>
      </text>
    </comment>
    <comment ref="AJ577"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577" authorId="2">
      <text>
        <r>
          <rPr>
            <sz val="9"/>
            <color indexed="81"/>
            <rFont val="Tahoma"/>
            <family val="2"/>
          </rPr>
          <t xml:space="preserve">02A04 : Détection des intrusions sur le site ou dans l'immeuble
</t>
        </r>
      </text>
    </comment>
    <comment ref="AL577" authorId="2">
      <text>
        <r>
          <rPr>
            <sz val="9"/>
            <color indexed="81"/>
            <rFont val="Tahoma"/>
            <family val="2"/>
          </rPr>
          <t xml:space="preserve">08D01 : Organisation de la maintenance du matériel (équipements) en exploitation
</t>
        </r>
      </text>
    </comment>
    <comment ref="AL578" authorId="2">
      <text>
        <r>
          <rPr>
            <sz val="9"/>
            <color indexed="81"/>
            <rFont val="Tahoma"/>
            <family val="2"/>
          </rPr>
          <t xml:space="preserve">08D06 : Plans de Reprise d'Activité des services informatiques
09E02 : Plans de Continuité des processus applicatifs
</t>
        </r>
      </text>
    </comment>
    <comment ref="AI579"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579" authorId="2">
      <text>
        <r>
          <rPr>
            <sz val="9"/>
            <color indexed="81"/>
            <rFont val="Tahoma"/>
            <family val="2"/>
          </rPr>
          <t xml:space="preserve">08D04 : Sauvegarde des configurations logicielles (logiciels de base et applicatifs et paramètres de configuration)
</t>
        </r>
      </text>
    </comment>
    <comment ref="AI580" authorId="2">
      <text>
        <r>
          <rPr>
            <sz val="9"/>
            <color indexed="81"/>
            <rFont val="Tahoma"/>
            <family val="2"/>
          </rPr>
          <t xml:space="preserve">07C02 : Enregistrement des appels aux procédures privilégiées 
08E02 : Surveillance, en temps différé, des traces, logs et journaux
</t>
        </r>
      </text>
    </comment>
    <comment ref="AL580" authorId="2">
      <text>
        <r>
          <rPr>
            <sz val="9"/>
            <color indexed="81"/>
            <rFont val="Tahoma"/>
            <family val="2"/>
          </rPr>
          <t xml:space="preserve">08D04 : Sauvegarde des configurations logicielles (logiciels de base et applicatifs et paramètres de configuration)
</t>
        </r>
      </text>
    </comment>
    <comment ref="AL581" authorId="2">
      <text>
        <r>
          <rPr>
            <sz val="9"/>
            <color indexed="81"/>
            <rFont val="Tahoma"/>
            <family val="2"/>
          </rPr>
          <t xml:space="preserve">08D08 : Gestion des systèmes critiques (vis-à-vis de la permanence de la maintenance)
</t>
        </r>
      </text>
    </comment>
    <comment ref="AL582" authorId="2">
      <text>
        <r>
          <rPr>
            <sz val="9"/>
            <color indexed="81"/>
            <rFont val="Tahoma"/>
            <family val="2"/>
          </rPr>
          <t xml:space="preserve">09E03 : Gestion des applications critiques (vis-à-vis de la permanence de la maintenance)
</t>
        </r>
      </text>
    </comment>
    <comment ref="AL583" authorId="2">
      <text>
        <r>
          <rPr>
            <sz val="9"/>
            <color indexed="81"/>
            <rFont val="Tahoma"/>
            <family val="2"/>
          </rPr>
          <t xml:space="preserve">01E01 : Prise en compte des besoins de continuité de l'activité
01E02 : Plans de continuité de l'activité
</t>
        </r>
      </text>
    </comment>
    <comment ref="AL584" authorId="2">
      <text>
        <r>
          <rPr>
            <sz val="9"/>
            <color indexed="81"/>
            <rFont val="Tahoma"/>
            <family val="2"/>
          </rPr>
          <t xml:space="preserve">01C02 : Gestion du personnel et des partenaires ou prestataires stratégiques
</t>
        </r>
      </text>
    </comment>
    <comment ref="AL585" authorId="2">
      <text>
        <r>
          <rPr>
            <sz val="9"/>
            <color indexed="81"/>
            <rFont val="Tahoma"/>
            <family val="2"/>
          </rPr>
          <t xml:space="preserve">01C02 : Gestion du personnel et des partenaires ou prestataires stratégiques
</t>
        </r>
      </text>
    </comment>
    <comment ref="AJ586" authorId="2">
      <text>
        <r>
          <rPr>
            <sz val="9"/>
            <color indexed="81"/>
            <rFont val="Tahoma"/>
            <family val="2"/>
          </rPr>
          <t xml:space="preserve">08A03 : Contrôle de la mise en production de nouveaux systèmes ou d'évolutions de systèmes existants
</t>
        </r>
      </text>
    </comment>
    <comment ref="AL586" authorId="2">
      <text>
        <r>
          <rPr>
            <sz val="9"/>
            <color indexed="81"/>
            <rFont val="Tahoma"/>
            <family val="2"/>
          </rPr>
          <t xml:space="preserve">08D02 : Organisation de la maintenance du logiciel (système, logiciel de couche intermédiaire et progiciel applicatif)
</t>
        </r>
      </text>
    </comment>
    <comment ref="AI587" authorId="2">
      <text>
        <r>
          <rPr>
            <sz val="9"/>
            <color indexed="81"/>
            <rFont val="Tahoma"/>
            <family val="2"/>
          </rPr>
          <t xml:space="preserve">07C01 : Enregistrement des accès aux ressources sensibles
07C02 : Enregistrement des appels aux procédures privilégiées 
</t>
        </r>
      </text>
    </comment>
    <comment ref="AJ587" authorId="2">
      <text>
        <r>
          <rPr>
            <sz val="9"/>
            <color indexed="81"/>
            <rFont val="Tahoma"/>
            <family val="2"/>
          </rPr>
          <t xml:space="preserve">08E01 : Détection et traitement (en temps réel) des anomalies et incidents d'exploitation
</t>
        </r>
      </text>
    </comment>
    <comment ref="AK587" authorId="2">
      <text>
        <r>
          <rPr>
            <sz val="9"/>
            <color indexed="81"/>
            <rFont val="Tahoma"/>
            <family val="2"/>
          </rPr>
          <t xml:space="preserve">08E02 : Surveillance, en temps différé, des traces, logs et journaux
08E03 : Gestion et traitement des incidents systèmes et applicatifs
</t>
        </r>
      </text>
    </comment>
    <comment ref="AL588" authorId="2">
      <text>
        <r>
          <rPr>
            <sz val="9"/>
            <color indexed="81"/>
            <rFont val="Tahoma"/>
            <family val="2"/>
          </rPr>
          <t xml:space="preserve">08D10 : Maintien des comptes d'accès
</t>
        </r>
      </text>
    </comment>
    <comment ref="AJ590" authorId="2">
      <text>
        <r>
          <rPr>
            <sz val="9"/>
            <color indexed="81"/>
            <rFont val="Tahoma"/>
            <family val="2"/>
          </rPr>
          <t xml:space="preserve">11A01 : Contrôle de l'installation de nouvelles versions de progiciels ou systèmes sur les postes utilisateurs
</t>
        </r>
      </text>
    </comment>
    <comment ref="AL590" authorId="2">
      <text>
        <r>
          <rPr>
            <sz val="9"/>
            <color indexed="81"/>
            <rFont val="Tahoma"/>
            <family val="2"/>
          </rPr>
          <t xml:space="preserve">11D03 : Plans de sauvegardes des configurations utilisateurs
</t>
        </r>
      </text>
    </comment>
    <comment ref="AL591" authorId="2">
      <text>
        <r>
          <rPr>
            <sz val="9"/>
            <color indexed="81"/>
            <rFont val="Tahoma"/>
            <family val="2"/>
          </rPr>
          <t xml:space="preserve">11D03 : Plans de sauvegardes des configurations utilisateurs
</t>
        </r>
      </text>
    </comment>
    <comment ref="AL592" authorId="2">
      <text>
        <r>
          <rPr>
            <sz val="9"/>
            <color indexed="81"/>
            <rFont val="Tahoma"/>
            <family val="2"/>
          </rPr>
          <t xml:space="preserve">11D03 : Plans de sauvegardes des configurations utilisateurs
</t>
        </r>
      </text>
    </comment>
    <comment ref="AI593" authorId="2">
      <text>
        <r>
          <rPr>
            <sz val="9"/>
            <color indexed="81"/>
            <rFont val="Tahoma"/>
            <family val="2"/>
          </rPr>
          <t xml:space="preserve">11E02 : Authentification et contrôle des droits d'accès des administrateurs et personnels d'exploitation
11E03 : Surveillance des actions d'administration du parc de postes utilisateurs
</t>
        </r>
      </text>
    </comment>
    <comment ref="AL593" authorId="2">
      <text>
        <r>
          <rPr>
            <sz val="9"/>
            <color indexed="81"/>
            <rFont val="Tahoma"/>
            <family val="2"/>
          </rPr>
          <t xml:space="preserve">11D03 : Plans de sauvegardes des configurations utilisateurs
</t>
        </r>
      </text>
    </comment>
    <comment ref="AJ594" authorId="2">
      <text>
        <r>
          <rPr>
            <sz val="9"/>
            <color indexed="81"/>
            <rFont val="Tahoma"/>
            <family val="2"/>
          </rPr>
          <t xml:space="preserve">11D06 : Protection des postes utilisateurs contre des codes malveillants ou des codes exécutables non autorisés
</t>
        </r>
      </text>
    </comment>
    <comment ref="AL594" authorId="2">
      <text>
        <r>
          <rPr>
            <sz val="9"/>
            <color indexed="81"/>
            <rFont val="Tahoma"/>
            <family val="2"/>
          </rPr>
          <t xml:space="preserve">01E03 : Plans de Reprise de l'Environnement de Travail (PRET)
11D07 : Plan de Reprise d'Activité des postes utilisateurs
</t>
        </r>
      </text>
    </comment>
    <comment ref="AJ595" authorId="2">
      <text>
        <r>
          <rPr>
            <sz val="9"/>
            <color indexed="81"/>
            <rFont val="Tahoma"/>
            <family val="2"/>
          </rPr>
          <t xml:space="preserve">03A05 : Protection contre la foudre
</t>
        </r>
      </text>
    </comment>
    <comment ref="AL595" authorId="2">
      <text>
        <r>
          <rPr>
            <sz val="9"/>
            <color indexed="81"/>
            <rFont val="Tahoma"/>
            <family val="2"/>
          </rPr>
          <t xml:space="preserve">01E03 : Plans de Reprise de l'Environnement de Travail (PRET)
11D07 : Plan de Reprise d'Activité des postes utilisateurs
</t>
        </r>
      </text>
    </comment>
    <comment ref="AJ596" authorId="2">
      <text>
        <r>
          <rPr>
            <sz val="9"/>
            <color indexed="81"/>
            <rFont val="Tahoma"/>
            <family val="2"/>
          </rPr>
          <t xml:space="preserve">03D01 : Prévention des risques d'incendie
</t>
        </r>
      </text>
    </comment>
    <comment ref="AK596" authorId="2">
      <text>
        <r>
          <rPr>
            <sz val="9"/>
            <color indexed="81"/>
            <rFont val="Tahoma"/>
            <family val="2"/>
          </rPr>
          <t xml:space="preserve">03D02 : Détection d'incendie
03D03 : Extinction d'incendie
</t>
        </r>
      </text>
    </comment>
    <comment ref="AL596" authorId="2">
      <text>
        <r>
          <rPr>
            <sz val="9"/>
            <color indexed="81"/>
            <rFont val="Tahoma"/>
            <family val="2"/>
          </rPr>
          <t xml:space="preserve">01E03 : Plans de Reprise de l'Environnement de Travail (PRET)
11D07 : Plan de Reprise d'Activité des postes utilisateurs
</t>
        </r>
      </text>
    </comment>
    <comment ref="AJ597" authorId="2">
      <text>
        <r>
          <rPr>
            <sz val="9"/>
            <color indexed="81"/>
            <rFont val="Tahoma"/>
            <family val="2"/>
          </rPr>
          <t xml:space="preserve">03C01 : Prévention des risques de dégâts des eaux
</t>
        </r>
      </text>
    </comment>
    <comment ref="AK597" authorId="2">
      <text>
        <r>
          <rPr>
            <sz val="9"/>
            <color indexed="81"/>
            <rFont val="Tahoma"/>
            <family val="2"/>
          </rPr>
          <t xml:space="preserve">03C02 : Détection des dégâts des eaux
03C03 : Évacuation de l'eau
</t>
        </r>
      </text>
    </comment>
    <comment ref="AL597" authorId="2">
      <text>
        <r>
          <rPr>
            <sz val="9"/>
            <color indexed="81"/>
            <rFont val="Tahoma"/>
            <family val="2"/>
          </rPr>
          <t xml:space="preserve">01E03 : Plans de Reprise de l'Environnement de Travail (PRET)
11D07 : Plan de Reprise d'Activité des postes utilisateurs
</t>
        </r>
      </text>
    </comment>
    <comment ref="AJ598" authorId="2">
      <text>
        <r>
          <rPr>
            <sz val="9"/>
            <color indexed="81"/>
            <rFont val="Tahoma"/>
            <family val="2"/>
          </rPr>
          <t xml:space="preserve">03A02 : Continuité de la fourniture de l'énergie 
</t>
        </r>
      </text>
    </comment>
    <comment ref="AL598" authorId="2">
      <text>
        <r>
          <rPr>
            <sz val="9"/>
            <color indexed="81"/>
            <rFont val="Tahoma"/>
            <family val="2"/>
          </rPr>
          <t xml:space="preserve">01E03 : Plans de Reprise de l'Environnement de Travail (PRET)
11D07 : Plan de Reprise d'Activité des postes utilisateurs
</t>
        </r>
      </text>
    </comment>
    <comment ref="AI599" authorId="2">
      <text>
        <r>
          <rPr>
            <sz val="9"/>
            <color indexed="81"/>
            <rFont val="Tahoma"/>
            <family val="2"/>
          </rPr>
          <t xml:space="preserve">03B06 : Surveillance des locaux sensibles
</t>
        </r>
      </text>
    </comment>
    <comment ref="AJ599"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599" authorId="2">
      <text>
        <r>
          <rPr>
            <sz val="9"/>
            <color indexed="81"/>
            <rFont val="Tahoma"/>
            <family val="2"/>
          </rPr>
          <t xml:space="preserve">03B04 : Détection des intrusions dans les locaux sensibles 
</t>
        </r>
      </text>
    </comment>
    <comment ref="AL599" authorId="2">
      <text>
        <r>
          <rPr>
            <sz val="9"/>
            <color indexed="81"/>
            <rFont val="Tahoma"/>
            <family val="2"/>
          </rPr>
          <t xml:space="preserve">01E03 : Plans de Reprise de l'Environnement de Travail (PRET)
11D07 : Plan de Reprise d'Activité des postes utilisateurs
</t>
        </r>
      </text>
    </comment>
    <comment ref="AJ600" authorId="2">
      <text>
        <r>
          <rPr>
            <sz val="9"/>
            <color indexed="81"/>
            <rFont val="Tahoma"/>
            <family val="2"/>
          </rPr>
          <t xml:space="preserve">03B03 : Contrôle des accès aux locaux sensibles
03B04 : Détection des intrusions dans les locaux sensibles 
03B06 : Surveillance des locaux sensibles
</t>
        </r>
      </text>
    </comment>
    <comment ref="AL600" authorId="2">
      <text>
        <r>
          <rPr>
            <sz val="9"/>
            <color indexed="81"/>
            <rFont val="Tahoma"/>
            <family val="2"/>
          </rPr>
          <t xml:space="preserve">01E03 : Plans de Reprise de l'Environnement de Travail (PRET)
11D07 : Plan de Reprise d'Activité des postes utilisateurs
</t>
        </r>
      </text>
    </comment>
    <comment ref="AL601" authorId="2">
      <text>
        <r>
          <rPr>
            <sz val="9"/>
            <color indexed="81"/>
            <rFont val="Tahoma"/>
            <family val="2"/>
          </rPr>
          <t xml:space="preserve">11D01 : Organisation de la maintenance du matériel mis à la disposition du personnel
</t>
        </r>
      </text>
    </comment>
    <comment ref="AJ603" authorId="2">
      <text>
        <r>
          <rPr>
            <sz val="9"/>
            <color indexed="81"/>
            <rFont val="Tahoma"/>
            <family val="2"/>
          </rPr>
          <t xml:space="preserve">08A03 : Contrôle de la mise en production de nouveaux systèmes ou d'évolutions de systèmes existants
</t>
        </r>
      </text>
    </comment>
    <comment ref="AK603" authorId="2">
      <text>
        <r>
          <rPr>
            <sz val="9"/>
            <color indexed="81"/>
            <rFont val="Tahoma"/>
            <family val="2"/>
          </rPr>
          <t xml:space="preserve">08E03 : Gestion et traitement des incidents systèmes et applicatifs
</t>
        </r>
      </text>
    </comment>
    <comment ref="AL603" authorId="2">
      <text>
        <r>
          <rPr>
            <sz val="9"/>
            <color indexed="81"/>
            <rFont val="Tahoma"/>
            <family val="2"/>
          </rPr>
          <t xml:space="preserve">08D04 : Sauvegarde des configurations logicielles (logiciels de base et applicatifs et paramètres de configuration)
</t>
        </r>
      </text>
    </comment>
    <comment ref="AL604" authorId="2">
      <text>
        <r>
          <rPr>
            <sz val="9"/>
            <color indexed="81"/>
            <rFont val="Tahoma"/>
            <family val="2"/>
          </rPr>
          <t xml:space="preserve">08D04 : Sauvegarde des configurations logicielles (logiciels de base et applicatifs et paramètres de configuration)
</t>
        </r>
      </text>
    </comment>
    <comment ref="AJ605"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605" authorId="2">
      <text>
        <r>
          <rPr>
            <sz val="9"/>
            <color indexed="81"/>
            <rFont val="Tahoma"/>
            <family val="2"/>
          </rPr>
          <t xml:space="preserve">08D04 : Sauvegarde des configurations logicielles (logiciels de base et applicatifs et paramètres de configuration)
</t>
        </r>
      </text>
    </comment>
    <comment ref="AJ606" authorId="2">
      <text>
        <r>
          <rPr>
            <sz val="9"/>
            <color indexed="81"/>
            <rFont val="Tahoma"/>
            <family val="2"/>
          </rPr>
          <t xml:space="preserve">07A03 : Authentification de l'utilisateur ou de l'entité demandant un accès
07A04 : Filtrage des accès et gestion des associations
</t>
        </r>
      </text>
    </comment>
    <comment ref="AL606" authorId="2">
      <text>
        <r>
          <rPr>
            <sz val="9"/>
            <color indexed="81"/>
            <rFont val="Tahoma"/>
            <family val="2"/>
          </rPr>
          <t xml:space="preserve">08D04 : Sauvegarde des configurations logicielles (logiciels de base et applicatifs et paramètres de configuration)
</t>
        </r>
      </text>
    </comment>
    <comment ref="AL607" authorId="2">
      <text>
        <r>
          <rPr>
            <sz val="9"/>
            <color indexed="81"/>
            <rFont val="Tahoma"/>
            <family val="2"/>
          </rPr>
          <t xml:space="preserve">08D04 : Sauvegarde des configurations logicielles (logiciels de base et applicatifs et paramètres de configuration)
</t>
        </r>
      </text>
    </comment>
    <comment ref="AL608" authorId="2">
      <text>
        <r>
          <rPr>
            <sz val="9"/>
            <color indexed="81"/>
            <rFont val="Tahoma"/>
            <family val="2"/>
          </rPr>
          <t xml:space="preserve">08D04 : Sauvegarde des configurations logicielles (logiciels de base et applicatifs et paramètres de configuration)
</t>
        </r>
      </text>
    </comment>
    <comment ref="AI609" authorId="2">
      <text>
        <r>
          <rPr>
            <sz val="9"/>
            <color indexed="81"/>
            <rFont val="Tahoma"/>
            <family val="2"/>
          </rPr>
          <t xml:space="preserve">07C01 : Enregistrement des accès aux ressources sensibles
08E02 : Surveillance, en temps différé, des traces, logs et journaux
</t>
        </r>
      </text>
    </comment>
    <comment ref="AL609" authorId="2">
      <text>
        <r>
          <rPr>
            <sz val="9"/>
            <color indexed="81"/>
            <rFont val="Tahoma"/>
            <family val="2"/>
          </rPr>
          <t xml:space="preserve">08D04 : Sauvegarde des configurations logicielles (logiciels de base et applicatifs et paramètres de configuration)
</t>
        </r>
      </text>
    </comment>
    <comment ref="AI610" authorId="2">
      <text>
        <r>
          <rPr>
            <sz val="9"/>
            <color indexed="81"/>
            <rFont val="Tahoma"/>
            <family val="2"/>
          </rPr>
          <t xml:space="preserve">07C01 : Enregistrement des accès aux ressources sensibles
08E02 : Surveillance, en temps différé, des traces, logs et journaux
</t>
        </r>
      </text>
    </comment>
    <comment ref="AJ610"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610" authorId="2">
      <text>
        <r>
          <rPr>
            <sz val="9"/>
            <color indexed="81"/>
            <rFont val="Tahoma"/>
            <family val="2"/>
          </rPr>
          <t xml:space="preserve">08D04 : Sauvegarde des configurations logicielles (logiciels de base et applicatifs et paramètres de configuration)
</t>
        </r>
      </text>
    </comment>
    <comment ref="AJ611" authorId="2">
      <text>
        <r>
          <rPr>
            <sz val="9"/>
            <color indexed="81"/>
            <rFont val="Tahoma"/>
            <family val="2"/>
          </rPr>
          <t xml:space="preserve">07A03 : Authentification de l'utilisateur ou de l'entité demandant un accès
07A04 : Filtrage des accès et gestion des associations
</t>
        </r>
      </text>
    </comment>
    <comment ref="AL611" authorId="2">
      <text>
        <r>
          <rPr>
            <sz val="9"/>
            <color indexed="81"/>
            <rFont val="Tahoma"/>
            <family val="2"/>
          </rPr>
          <t xml:space="preserve">08D04 : Sauvegarde des configurations logicielles (logiciels de base et applicatifs et paramètres de configuration)
</t>
        </r>
      </text>
    </comment>
    <comment ref="AI612"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612" authorId="2">
      <text>
        <r>
          <rPr>
            <sz val="9"/>
            <color indexed="81"/>
            <rFont val="Tahoma"/>
            <family val="2"/>
          </rPr>
          <t xml:space="preserve">08D04 : Sauvegarde des configurations logicielles (logiciels de base et applicatifs et paramètres de configuration)
</t>
        </r>
      </text>
    </comment>
    <comment ref="AI613" authorId="2">
      <text>
        <r>
          <rPr>
            <sz val="9"/>
            <color indexed="81"/>
            <rFont val="Tahoma"/>
            <family val="2"/>
          </rPr>
          <t xml:space="preserve">07C02 : Enregistrement des appels aux procédures privilégiées 
08E02 : Surveillance, en temps différé, des traces, logs et journaux
</t>
        </r>
      </text>
    </comment>
    <comment ref="AL613" authorId="2">
      <text>
        <r>
          <rPr>
            <sz val="9"/>
            <color indexed="81"/>
            <rFont val="Tahoma"/>
            <family val="2"/>
          </rPr>
          <t xml:space="preserve">08D04 : Sauvegarde des configurations logicielles (logiciels de base et applicatifs et paramètres de configuration)
</t>
        </r>
      </text>
    </comment>
    <comment ref="AI614"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615" authorId="2">
      <text>
        <r>
          <rPr>
            <sz val="9"/>
            <color indexed="81"/>
            <rFont val="Tahoma"/>
            <family val="2"/>
          </rPr>
          <t xml:space="preserve">10B05 : Sécurité de la maintenance applicative
</t>
        </r>
      </text>
    </comment>
    <comment ref="AL615" authorId="2">
      <text>
        <r>
          <rPr>
            <sz val="9"/>
            <color indexed="81"/>
            <rFont val="Tahoma"/>
            <family val="2"/>
          </rPr>
          <t xml:space="preserve">08D04 : Sauvegarde des configurations logicielles (logiciels de base et applicatifs et paramètres de configuration)
</t>
        </r>
      </text>
    </comment>
    <comment ref="AJ616" authorId="2">
      <text>
        <r>
          <rPr>
            <sz val="9"/>
            <color indexed="81"/>
            <rFont val="Tahoma"/>
            <family val="2"/>
          </rPr>
          <t xml:space="preserve">10B06 : Maintenance à chaud 
</t>
        </r>
      </text>
    </comment>
    <comment ref="AL616" authorId="2">
      <text>
        <r>
          <rPr>
            <sz val="9"/>
            <color indexed="81"/>
            <rFont val="Tahoma"/>
            <family val="2"/>
          </rPr>
          <t xml:space="preserve">08D04 : Sauvegarde des configurations logicielles (logiciels de base et applicatifs et paramètres de configuration)
</t>
        </r>
      </text>
    </comment>
    <comment ref="AK617" authorId="2">
      <text>
        <r>
          <rPr>
            <sz val="9"/>
            <color indexed="81"/>
            <rFont val="Tahoma"/>
            <family val="2"/>
          </rPr>
          <t xml:space="preserve">08E02 : Surveillance, en temps différé, des traces, logs et journaux
</t>
        </r>
      </text>
    </comment>
    <comment ref="AL617" authorId="2">
      <text>
        <r>
          <rPr>
            <sz val="9"/>
            <color indexed="81"/>
            <rFont val="Tahoma"/>
            <family val="2"/>
          </rPr>
          <t xml:space="preserve">08D04 : Sauvegarde des configurations logicielles (logiciels de base et applicatifs et paramètres de configuration)
</t>
        </r>
      </text>
    </comment>
    <comment ref="AJ618"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618" authorId="2">
      <text>
        <r>
          <rPr>
            <sz val="9"/>
            <color indexed="81"/>
            <rFont val="Tahoma"/>
            <family val="2"/>
          </rPr>
          <t xml:space="preserve">08D04 : Sauvegarde des configurations logicielles (logiciels de base et applicatifs et paramètres de configuration)
</t>
        </r>
      </text>
    </comment>
    <comment ref="AJ619"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L619" authorId="2">
      <text>
        <r>
          <rPr>
            <sz val="9"/>
            <color indexed="81"/>
            <rFont val="Tahoma"/>
            <family val="2"/>
          </rPr>
          <t xml:space="preserve">08D04 : Sauvegarde des configurations logicielles (logiciels de base et applicatifs et paramètres de configuration)
</t>
        </r>
      </text>
    </comment>
    <comment ref="AI620"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620" authorId="2">
      <text>
        <r>
          <rPr>
            <sz val="9"/>
            <color indexed="81"/>
            <rFont val="Tahoma"/>
            <family val="2"/>
          </rPr>
          <t xml:space="preserve">08D04 : Sauvegarde des configurations logicielles (logiciels de base et applicatifs et paramètres de configuration)
</t>
        </r>
      </text>
    </comment>
    <comment ref="AI621"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621" authorId="2">
      <text>
        <r>
          <rPr>
            <sz val="9"/>
            <color indexed="81"/>
            <rFont val="Tahoma"/>
            <family val="2"/>
          </rPr>
          <t xml:space="preserve">10B05 : Sécurité de la maintenance applicative
</t>
        </r>
      </text>
    </comment>
    <comment ref="AL621" authorId="2">
      <text>
        <r>
          <rPr>
            <sz val="9"/>
            <color indexed="81"/>
            <rFont val="Tahoma"/>
            <family val="2"/>
          </rPr>
          <t xml:space="preserve">08D04 : Sauvegarde des configurations logicielles (logiciels de base et applicatifs et paramètres de configuration)
</t>
        </r>
      </text>
    </comment>
    <comment ref="AJ622" authorId="2">
      <text>
        <r>
          <rPr>
            <sz val="9"/>
            <color indexed="81"/>
            <rFont val="Tahoma"/>
            <family val="2"/>
          </rPr>
          <t xml:space="preserve">03D01 : Prévention des risques d'incendie
</t>
        </r>
      </text>
    </comment>
    <comment ref="AL622" authorId="2">
      <text>
        <r>
          <rPr>
            <sz val="9"/>
            <color indexed="81"/>
            <rFont val="Tahoma"/>
            <family val="2"/>
          </rPr>
          <t xml:space="preserve">08D04 : Sauvegarde des configurations logicielles (logiciels de base et applicatifs et paramètres de configuration)
</t>
        </r>
      </text>
    </comment>
    <comment ref="AL623" authorId="2">
      <text>
        <r>
          <rPr>
            <sz val="9"/>
            <color indexed="81"/>
            <rFont val="Tahoma"/>
            <family val="2"/>
          </rPr>
          <t xml:space="preserve">08D04 : Sauvegarde des configurations logicielles (logiciels de base et applicatifs et paramètres de configuration)
</t>
        </r>
      </text>
    </comment>
    <comment ref="AJ624" authorId="2">
      <text>
        <r>
          <rPr>
            <sz val="9"/>
            <color indexed="81"/>
            <rFont val="Tahoma"/>
            <family val="2"/>
          </rPr>
          <t xml:space="preserve">03D01 : Prévention des risques d'incendie
</t>
        </r>
      </text>
    </comment>
    <comment ref="AL624" authorId="2">
      <text>
        <r>
          <rPr>
            <sz val="9"/>
            <color indexed="81"/>
            <rFont val="Tahoma"/>
            <family val="2"/>
          </rPr>
          <t xml:space="preserve">08D04 : Sauvegarde des configurations logicielles (logiciels de base et applicatifs et paramètres de configuration)
</t>
        </r>
      </text>
    </comment>
    <comment ref="AL625" authorId="2">
      <text>
        <r>
          <rPr>
            <sz val="9"/>
            <color indexed="81"/>
            <rFont val="Tahoma"/>
            <family val="2"/>
          </rPr>
          <t xml:space="preserve">08D04 : Sauvegarde des configurations logicielles (logiciels de base et applicatifs et paramètres de configuration)
</t>
        </r>
      </text>
    </comment>
    <comment ref="AL626" authorId="2">
      <text>
        <r>
          <rPr>
            <sz val="9"/>
            <color indexed="81"/>
            <rFont val="Tahoma"/>
            <family val="2"/>
          </rPr>
          <t xml:space="preserve">08D04 : Sauvegarde des configurations logicielles (logiciels de base et applicatifs et paramètres de configuration)
</t>
        </r>
      </text>
    </comment>
    <comment ref="AL627" authorId="2">
      <text>
        <r>
          <rPr>
            <sz val="9"/>
            <color indexed="81"/>
            <rFont val="Tahoma"/>
            <family val="2"/>
          </rPr>
          <t xml:space="preserve">08D04 : Sauvegarde des configurations logicielles (logiciels de base et applicatifs et paramètres de configuration)
</t>
        </r>
      </text>
    </comment>
    <comment ref="AI628" authorId="2">
      <text>
        <r>
          <rPr>
            <sz val="9"/>
            <color indexed="81"/>
            <rFont val="Tahoma"/>
            <family val="2"/>
          </rPr>
          <t xml:space="preserve">03B06 : Surveillance des locaux sensibles
</t>
        </r>
      </text>
    </comment>
    <comment ref="AJ628" authorId="2">
      <text>
        <r>
          <rPr>
            <sz val="9"/>
            <color indexed="81"/>
            <rFont val="Tahoma"/>
            <family val="2"/>
          </rPr>
          <t xml:space="preserve">03B03 : Contrôle des accès aux locaux sensibles
03B04 : Détection des intrusions dans les locaux sensibles 
</t>
        </r>
      </text>
    </comment>
    <comment ref="AL628" authorId="2">
      <text>
        <r>
          <rPr>
            <sz val="9"/>
            <color indexed="81"/>
            <rFont val="Tahoma"/>
            <family val="2"/>
          </rPr>
          <t xml:space="preserve">08D04 : Sauvegarde des configurations logicielles (logiciels de base et applicatifs et paramètres de configuration)
</t>
        </r>
      </text>
    </comment>
    <comment ref="AI629" authorId="2">
      <text>
        <r>
          <rPr>
            <sz val="9"/>
            <color indexed="81"/>
            <rFont val="Tahoma"/>
            <family val="2"/>
          </rPr>
          <t xml:space="preserve">03B06 : Surveillance des locaux sensibles
</t>
        </r>
      </text>
    </comment>
    <comment ref="AL629" authorId="2">
      <text>
        <r>
          <rPr>
            <sz val="9"/>
            <color indexed="81"/>
            <rFont val="Tahoma"/>
            <family val="2"/>
          </rPr>
          <t xml:space="preserve">08D04 : Sauvegarde des configurations logicielles (logiciels de base et applicatifs et paramètres de configuration)
</t>
        </r>
      </text>
    </comment>
    <comment ref="AI630" authorId="2">
      <text>
        <r>
          <rPr>
            <sz val="9"/>
            <color indexed="81"/>
            <rFont val="Tahoma"/>
            <family val="2"/>
          </rPr>
          <t xml:space="preserve">03B06 : Surveillance des locaux sensibles
</t>
        </r>
      </text>
    </comment>
    <comment ref="AL630" authorId="2">
      <text>
        <r>
          <rPr>
            <sz val="9"/>
            <color indexed="81"/>
            <rFont val="Tahoma"/>
            <family val="2"/>
          </rPr>
          <t xml:space="preserve">08D04 : Sauvegarde des configurations logicielles (logiciels de base et applicatifs et paramètres de configuration)
</t>
        </r>
      </text>
    </comment>
    <comment ref="AI631" authorId="2">
      <text>
        <r>
          <rPr>
            <sz val="9"/>
            <color indexed="81"/>
            <rFont val="Tahoma"/>
            <family val="2"/>
          </rPr>
          <t xml:space="preserve">03B06 : Surveillance des locaux sensibles
</t>
        </r>
      </text>
    </comment>
    <comment ref="AJ631" authorId="2">
      <text>
        <r>
          <rPr>
            <sz val="9"/>
            <color indexed="81"/>
            <rFont val="Tahoma"/>
            <family val="2"/>
          </rPr>
          <t xml:space="preserve">08C03 : Sécurité physique des supports stockés sur site 
</t>
        </r>
      </text>
    </comment>
    <comment ref="AL631" authorId="2">
      <text>
        <r>
          <rPr>
            <sz val="9"/>
            <color indexed="81"/>
            <rFont val="Tahoma"/>
            <family val="2"/>
          </rPr>
          <t xml:space="preserve">08D04 : Sauvegarde des configurations logicielles (logiciels de base et applicatifs et paramètres de configuration)
</t>
        </r>
      </text>
    </comment>
    <comment ref="AI632" authorId="2">
      <text>
        <r>
          <rPr>
            <sz val="9"/>
            <color indexed="81"/>
            <rFont val="Tahoma"/>
            <family val="2"/>
          </rPr>
          <t xml:space="preserve">03B06 : Surveillance des locaux sensibles
</t>
        </r>
      </text>
    </comment>
    <comment ref="AL632" authorId="2">
      <text>
        <r>
          <rPr>
            <sz val="9"/>
            <color indexed="81"/>
            <rFont val="Tahoma"/>
            <family val="2"/>
          </rPr>
          <t xml:space="preserve">08D04 : Sauvegarde des configurations logicielles (logiciels de base et applicatifs et paramètres de configuration)
</t>
        </r>
      </text>
    </comment>
    <comment ref="AI633" authorId="2">
      <text>
        <r>
          <rPr>
            <sz val="9"/>
            <color indexed="81"/>
            <rFont val="Tahoma"/>
            <family val="2"/>
          </rPr>
          <t xml:space="preserve">03B06 : Surveillance des locaux sensibles
</t>
        </r>
      </text>
    </comment>
    <comment ref="AL633" authorId="2">
      <text>
        <r>
          <rPr>
            <sz val="9"/>
            <color indexed="81"/>
            <rFont val="Tahoma"/>
            <family val="2"/>
          </rPr>
          <t xml:space="preserve">08D04 : Sauvegarde des configurations logicielles (logiciels de base et applicatifs et paramètres de configuration)
</t>
        </r>
      </text>
    </comment>
    <comment ref="AL634" authorId="2">
      <text>
        <r>
          <rPr>
            <sz val="9"/>
            <color indexed="81"/>
            <rFont val="Tahoma"/>
            <family val="2"/>
          </rPr>
          <t xml:space="preserve">08D04 : Sauvegarde des configurations logicielles (logiciels de base et applicatifs et paramètres de configuration)
</t>
        </r>
      </text>
    </comment>
    <comment ref="AJ635" authorId="2">
      <text>
        <r>
          <rPr>
            <sz val="9"/>
            <color indexed="81"/>
            <rFont val="Tahoma"/>
            <family val="2"/>
          </rPr>
          <t xml:space="preserve">03C01 : Prévention des risques de dégâts des eaux
</t>
        </r>
      </text>
    </comment>
    <comment ref="AL635" authorId="2">
      <text>
        <r>
          <rPr>
            <sz val="9"/>
            <color indexed="81"/>
            <rFont val="Tahoma"/>
            <family val="2"/>
          </rPr>
          <t xml:space="preserve">08D04 : Sauvegarde des configurations logicielles (logiciels de base et applicatifs et paramètres de configuration)
</t>
        </r>
      </text>
    </comment>
    <comment ref="AJ636" authorId="2">
      <text>
        <r>
          <rPr>
            <sz val="9"/>
            <color indexed="81"/>
            <rFont val="Tahoma"/>
            <family val="2"/>
          </rPr>
          <t xml:space="preserve">03A01 : Qualité de la fourniture de l'énergie 
03A04 : Qualité du câblage
</t>
        </r>
      </text>
    </comment>
    <comment ref="AL636" authorId="2">
      <text>
        <r>
          <rPr>
            <sz val="9"/>
            <color indexed="81"/>
            <rFont val="Tahoma"/>
            <family val="2"/>
          </rPr>
          <t xml:space="preserve">08D04 : Sauvegarde des configurations logicielles (logiciels de base et applicatifs et paramètres de configuration)
</t>
        </r>
      </text>
    </comment>
    <comment ref="AJ637" authorId="2">
      <text>
        <r>
          <rPr>
            <sz val="9"/>
            <color indexed="81"/>
            <rFont val="Tahoma"/>
            <family val="2"/>
          </rPr>
          <t xml:space="preserve">08A03 : Contrôle de la mise en production de nouveaux systèmes ou d'évolutions de systèmes existants
</t>
        </r>
      </text>
    </comment>
    <comment ref="AK637" authorId="2">
      <text>
        <r>
          <rPr>
            <sz val="9"/>
            <color indexed="81"/>
            <rFont val="Tahoma"/>
            <family val="2"/>
          </rPr>
          <t xml:space="preserve">08E03 : Gestion et traitement des incidents systèmes et applicatifs
</t>
        </r>
      </text>
    </comment>
    <comment ref="AL637" authorId="2">
      <text>
        <r>
          <rPr>
            <sz val="9"/>
            <color indexed="81"/>
            <rFont val="Tahoma"/>
            <family val="2"/>
          </rPr>
          <t xml:space="preserve">08D04 : Sauvegarde des configurations logicielles (logiciels de base et applicatifs et paramètres de configuration)
</t>
        </r>
      </text>
    </comment>
    <comment ref="AL638" authorId="2">
      <text>
        <r>
          <rPr>
            <sz val="9"/>
            <color indexed="81"/>
            <rFont val="Tahoma"/>
            <family val="2"/>
          </rPr>
          <t xml:space="preserve">08D04 : Sauvegarde des configurations logicielles (logiciels de base et applicatifs et paramètres de configuration)
</t>
        </r>
      </text>
    </comment>
    <comment ref="AJ639" authorId="2">
      <text>
        <r>
          <rPr>
            <sz val="9"/>
            <color indexed="81"/>
            <rFont val="Tahoma"/>
            <family val="2"/>
          </rPr>
          <t xml:space="preserve">08C03 : Sécurité physique des supports stockés sur site 
</t>
        </r>
      </text>
    </comment>
    <comment ref="AL639" authorId="2">
      <text>
        <r>
          <rPr>
            <sz val="9"/>
            <color indexed="81"/>
            <rFont val="Tahoma"/>
            <family val="2"/>
          </rPr>
          <t xml:space="preserve">08D04 : Sauvegarde des configurations logicielles (logiciels de base et applicatifs et paramètres de configuration)
</t>
        </r>
      </text>
    </comment>
    <comment ref="AK640" authorId="2">
      <text>
        <r>
          <rPr>
            <sz val="9"/>
            <color indexed="81"/>
            <rFont val="Tahoma"/>
            <family val="2"/>
          </rPr>
          <t xml:space="preserve">08C05 : Vérification et rotation des supports d'archivage
</t>
        </r>
      </text>
    </comment>
    <comment ref="AL640" authorId="2">
      <text>
        <r>
          <rPr>
            <sz val="9"/>
            <color indexed="81"/>
            <rFont val="Tahoma"/>
            <family val="2"/>
          </rPr>
          <t xml:space="preserve">08D04 : Sauvegarde des configurations logicielles (logiciels de base et applicatifs et paramètres de configuration)
</t>
        </r>
      </text>
    </comment>
    <comment ref="AJ641" authorId="2">
      <text>
        <r>
          <rPr>
            <sz val="9"/>
            <color indexed="81"/>
            <rFont val="Tahoma"/>
            <family val="2"/>
          </rPr>
          <t xml:space="preserve">03C01 : Prévention des risques de dégâts des eaux
</t>
        </r>
      </text>
    </comment>
    <comment ref="AL641"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642" authorId="2">
      <text>
        <r>
          <rPr>
            <sz val="9"/>
            <color indexed="81"/>
            <rFont val="Tahoma"/>
            <family val="2"/>
          </rPr>
          <t xml:space="preserve">03A01 : Qualité de la fourniture de l'énergie 
03A04 : Qualité du câblage
</t>
        </r>
      </text>
    </comment>
    <comment ref="AL642"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643" authorId="2">
      <text>
        <r>
          <rPr>
            <sz val="9"/>
            <color indexed="81"/>
            <rFont val="Tahoma"/>
            <family val="2"/>
          </rPr>
          <t xml:space="preserve">03A05 : Protection contre la foudre
</t>
        </r>
      </text>
    </comment>
    <comment ref="AL643" authorId="2">
      <text>
        <r>
          <rPr>
            <sz val="9"/>
            <color indexed="81"/>
            <rFont val="Tahoma"/>
            <family val="2"/>
          </rPr>
          <t xml:space="preserve">08D06 : Plans de Reprise d'Activité des services informatiques
09E02 : Plans de Continuité des processus applicatifs
</t>
        </r>
      </text>
    </comment>
    <comment ref="AJ644" authorId="2">
      <text>
        <r>
          <rPr>
            <sz val="9"/>
            <color indexed="81"/>
            <rFont val="Tahoma"/>
            <family val="2"/>
          </rPr>
          <t xml:space="preserve">03D01 : Prévention des risques d'incendie
</t>
        </r>
      </text>
    </comment>
    <comment ref="AK644" authorId="2">
      <text>
        <r>
          <rPr>
            <sz val="9"/>
            <color indexed="81"/>
            <rFont val="Tahoma"/>
            <family val="2"/>
          </rPr>
          <t xml:space="preserve">03D02 : Détection d'incendie
03D03 : Extinction d'incendie
</t>
        </r>
      </text>
    </comment>
    <comment ref="AL644" authorId="2">
      <text>
        <r>
          <rPr>
            <sz val="9"/>
            <color indexed="81"/>
            <rFont val="Tahoma"/>
            <family val="2"/>
          </rPr>
          <t xml:space="preserve">08D06 : Plans de Reprise d'Activité des services informatiques
09E02 : Plans de Continuité des processus applicatifs
</t>
        </r>
      </text>
    </comment>
    <comment ref="AJ645" authorId="2">
      <text>
        <r>
          <rPr>
            <sz val="9"/>
            <color indexed="81"/>
            <rFont val="Tahoma"/>
            <family val="2"/>
          </rPr>
          <t xml:space="preserve">03C01 : Prévention des risques de dégâts des eaux
</t>
        </r>
      </text>
    </comment>
    <comment ref="AK645" authorId="2">
      <text>
        <r>
          <rPr>
            <sz val="9"/>
            <color indexed="81"/>
            <rFont val="Tahoma"/>
            <family val="2"/>
          </rPr>
          <t xml:space="preserve">03C02 : Détection des dégâts des eaux
03C03 : Évacuation de l'eau
</t>
        </r>
      </text>
    </comment>
    <comment ref="AL645" authorId="2">
      <text>
        <r>
          <rPr>
            <sz val="9"/>
            <color indexed="81"/>
            <rFont val="Tahoma"/>
            <family val="2"/>
          </rPr>
          <t xml:space="preserve">08D06 : Plans de Reprise d'Activité des services informatiques
09E02 : Plans de Continuité des processus applicatifs
</t>
        </r>
      </text>
    </comment>
    <comment ref="AJ646" authorId="2">
      <text>
        <r>
          <rPr>
            <sz val="9"/>
            <color indexed="81"/>
            <rFont val="Tahoma"/>
            <family val="2"/>
          </rPr>
          <t xml:space="preserve">09E01 : Reconfiguration matérielle
</t>
        </r>
      </text>
    </comment>
    <comment ref="AL646" authorId="2">
      <text>
        <r>
          <rPr>
            <sz val="9"/>
            <color indexed="81"/>
            <rFont val="Tahoma"/>
            <family val="2"/>
          </rPr>
          <t xml:space="preserve">07D01 : Sûreté de fonctionnement des éléments d'architecture
08D01 : Organisation de la maintenance du matériel (équipements) en exploitation
</t>
        </r>
      </text>
    </comment>
    <comment ref="AL647" authorId="2">
      <text>
        <r>
          <rPr>
            <sz val="9"/>
            <color indexed="81"/>
            <rFont val="Tahoma"/>
            <family val="2"/>
          </rPr>
          <t xml:space="preserve">03A06 : Sécurité des équipements de servitude
</t>
        </r>
      </text>
    </comment>
    <comment ref="AL648" authorId="2">
      <text>
        <r>
          <rPr>
            <sz val="9"/>
            <color indexed="81"/>
            <rFont val="Tahoma"/>
            <family val="2"/>
          </rPr>
          <t xml:space="preserve">03A02 : Continuité de la fourniture de l'énergie 
</t>
        </r>
      </text>
    </comment>
    <comment ref="AL649" authorId="2">
      <text>
        <r>
          <rPr>
            <sz val="9"/>
            <color indexed="81"/>
            <rFont val="Tahoma"/>
            <family val="2"/>
          </rPr>
          <t xml:space="preserve">03A03 : Sécurité de la climatisation
</t>
        </r>
      </text>
    </comment>
    <comment ref="AI650" authorId="2">
      <text>
        <r>
          <rPr>
            <sz val="9"/>
            <color indexed="81"/>
            <rFont val="Tahoma"/>
            <family val="2"/>
          </rPr>
          <t xml:space="preserve">03B06 : Surveillance des locaux sensibles
</t>
        </r>
      </text>
    </comment>
    <comment ref="AJ650"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650" authorId="2">
      <text>
        <r>
          <rPr>
            <sz val="9"/>
            <color indexed="81"/>
            <rFont val="Tahoma"/>
            <family val="2"/>
          </rPr>
          <t xml:space="preserve">03B04 : Détection des intrusions dans les locaux sensibles 
</t>
        </r>
      </text>
    </comment>
    <comment ref="AL650" authorId="2">
      <text>
        <r>
          <rPr>
            <sz val="9"/>
            <color indexed="81"/>
            <rFont val="Tahoma"/>
            <family val="2"/>
          </rPr>
          <t xml:space="preserve">08D01 : Organisation de la maintenance du matériel (équipements) en exploitation
</t>
        </r>
      </text>
    </comment>
    <comment ref="AJ651" authorId="2">
      <text>
        <r>
          <rPr>
            <sz val="9"/>
            <color indexed="81"/>
            <rFont val="Tahoma"/>
            <family val="2"/>
          </rPr>
          <t xml:space="preserve">03B03 : Contrôle des accès aux locaux sensibles
03B04 : Détection des intrusions dans les locaux sensibles 
03B06 : Surveillance des locaux sensibles
</t>
        </r>
      </text>
    </comment>
    <comment ref="AL651" authorId="2">
      <text>
        <r>
          <rPr>
            <sz val="9"/>
            <color indexed="81"/>
            <rFont val="Tahoma"/>
            <family val="2"/>
          </rPr>
          <t xml:space="preserve">08D01 : Organisation de la maintenance du matériel (équipements) en exploitation
</t>
        </r>
      </text>
    </comment>
    <comment ref="AL652" authorId="2">
      <text>
        <r>
          <rPr>
            <sz val="9"/>
            <color indexed="81"/>
            <rFont val="Tahoma"/>
            <family val="2"/>
          </rPr>
          <t xml:space="preserve">08D01 : Organisation de la maintenance du matériel (équipements) en exploitation
</t>
        </r>
      </text>
    </comment>
    <comment ref="AJ653"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653" authorId="2">
      <text>
        <r>
          <rPr>
            <sz val="9"/>
            <color indexed="81"/>
            <rFont val="Tahoma"/>
            <family val="2"/>
          </rPr>
          <t xml:space="preserve">02A04 : Détection des intrusions sur le site ou dans l'immeuble
</t>
        </r>
      </text>
    </comment>
    <comment ref="AL653" authorId="2">
      <text>
        <r>
          <rPr>
            <sz val="9"/>
            <color indexed="81"/>
            <rFont val="Tahoma"/>
            <family val="2"/>
          </rPr>
          <t xml:space="preserve">08D01 : Organisation de la maintenance du matériel (équipements) en exploitation
</t>
        </r>
      </text>
    </comment>
    <comment ref="AL654" authorId="2">
      <text>
        <r>
          <rPr>
            <sz val="9"/>
            <color indexed="81"/>
            <rFont val="Tahoma"/>
            <family val="2"/>
          </rPr>
          <t xml:space="preserve">08D06 : Plans de Reprise d'Activité des services informatiques
09E02 : Plans de Continuité des processus applicatifs
</t>
        </r>
      </text>
    </comment>
    <comment ref="AL655" authorId="2">
      <text>
        <r>
          <rPr>
            <sz val="9"/>
            <color indexed="81"/>
            <rFont val="Tahoma"/>
            <family val="2"/>
          </rPr>
          <t xml:space="preserve">08D08 : Gestion des systèmes critiques (vis-à-vis de la permanence de la maintenance)
</t>
        </r>
      </text>
    </comment>
    <comment ref="AL656" authorId="2">
      <text>
        <r>
          <rPr>
            <sz val="9"/>
            <color indexed="81"/>
            <rFont val="Tahoma"/>
            <family val="2"/>
          </rPr>
          <t xml:space="preserve">09E03 : Gestion des applications critiques (vis-à-vis de la permanence de la maintenance)
</t>
        </r>
      </text>
    </comment>
    <comment ref="AL657" authorId="2">
      <text>
        <r>
          <rPr>
            <sz val="9"/>
            <color indexed="81"/>
            <rFont val="Tahoma"/>
            <family val="2"/>
          </rPr>
          <t xml:space="preserve">01E01 : Prise en compte des besoins de continuité de l'activité
01E02 : Plans de continuité de l'activité
</t>
        </r>
      </text>
    </comment>
    <comment ref="AL658" authorId="2">
      <text>
        <r>
          <rPr>
            <sz val="9"/>
            <color indexed="81"/>
            <rFont val="Tahoma"/>
            <family val="2"/>
          </rPr>
          <t xml:space="preserve">01C02 : Gestion du personnel et des partenaires ou prestataires stratégiques
</t>
        </r>
      </text>
    </comment>
    <comment ref="AL659" authorId="2">
      <text>
        <r>
          <rPr>
            <sz val="9"/>
            <color indexed="81"/>
            <rFont val="Tahoma"/>
            <family val="2"/>
          </rPr>
          <t xml:space="preserve">01C02 : Gestion du personnel et des partenaires ou prestataires stratégiques
</t>
        </r>
      </text>
    </comment>
    <comment ref="AJ660" authorId="2">
      <text>
        <r>
          <rPr>
            <sz val="9"/>
            <color indexed="81"/>
            <rFont val="Tahoma"/>
            <family val="2"/>
          </rPr>
          <t xml:space="preserve">08A03 : Contrôle de la mise en production de nouveaux systèmes ou d'évolutions de systèmes existants
</t>
        </r>
      </text>
    </comment>
    <comment ref="AL660" authorId="2">
      <text>
        <r>
          <rPr>
            <sz val="9"/>
            <color indexed="81"/>
            <rFont val="Tahoma"/>
            <family val="2"/>
          </rPr>
          <t xml:space="preserve">08D02 : Organisation de la maintenance du logiciel (système, logiciel de couche intermédiaire et progiciel applicatif)
</t>
        </r>
      </text>
    </comment>
    <comment ref="AJ661" authorId="2">
      <text>
        <r>
          <rPr>
            <sz val="9"/>
            <color indexed="81"/>
            <rFont val="Tahoma"/>
            <family val="2"/>
          </rPr>
          <t xml:space="preserve">08A03 : Contrôle de la mise en production de nouveaux systèmes ou d'évolutions de systèmes existants
</t>
        </r>
      </text>
    </comment>
    <comment ref="AL661" authorId="2">
      <text>
        <r>
          <rPr>
            <sz val="9"/>
            <color indexed="81"/>
            <rFont val="Tahoma"/>
            <family val="2"/>
          </rPr>
          <t xml:space="preserve">10A04 : Organisation de la maintenance applicative
</t>
        </r>
      </text>
    </comment>
    <comment ref="AJ662" authorId="2">
      <text>
        <r>
          <rPr>
            <sz val="9"/>
            <color indexed="81"/>
            <rFont val="Tahoma"/>
            <family val="2"/>
          </rPr>
          <t xml:space="preserve">07D01 : Sûreté de fonctionnement des éléments d'architecture
</t>
        </r>
      </text>
    </comment>
    <comment ref="AK662" authorId="2">
      <text>
        <r>
          <rPr>
            <sz val="9"/>
            <color indexed="81"/>
            <rFont val="Tahoma"/>
            <family val="2"/>
          </rPr>
          <t xml:space="preserve">08E01 : Détection et traitement (en temps réel) des anomalies et incidents d'exploitation
</t>
        </r>
      </text>
    </comment>
    <comment ref="AL662" authorId="2">
      <text>
        <r>
          <rPr>
            <sz val="9"/>
            <color indexed="81"/>
            <rFont val="Tahoma"/>
            <family val="2"/>
          </rPr>
          <t xml:space="preserve">08D03 : Procédures et plans de reprise des applications sur incidents d'exploitation
</t>
        </r>
      </text>
    </comment>
    <comment ref="AI663" authorId="2">
      <text>
        <r>
          <rPr>
            <sz val="9"/>
            <color indexed="81"/>
            <rFont val="Tahoma"/>
            <family val="2"/>
          </rPr>
          <t xml:space="preserve">07C01 : Enregistrement des accès aux ressources sensibles
07C02 : Enregistrement des appels aux procédures privilégiées 
</t>
        </r>
      </text>
    </comment>
    <comment ref="AJ663" authorId="2">
      <text>
        <r>
          <rPr>
            <sz val="9"/>
            <color indexed="81"/>
            <rFont val="Tahoma"/>
            <family val="2"/>
          </rPr>
          <t xml:space="preserve">08E01 : Détection et traitement (en temps réel) des anomalies et incidents d'exploitation
</t>
        </r>
      </text>
    </comment>
    <comment ref="AK663" authorId="2">
      <text>
        <r>
          <rPr>
            <sz val="9"/>
            <color indexed="81"/>
            <rFont val="Tahoma"/>
            <family val="2"/>
          </rPr>
          <t xml:space="preserve">08E02 : Surveillance, en temps différé, des traces, logs et journaux
08E03 : Gestion et traitement des incidents systèmes et applicatifs
</t>
        </r>
      </text>
    </comment>
    <comment ref="AL664" authorId="2">
      <text>
        <r>
          <rPr>
            <sz val="9"/>
            <color indexed="81"/>
            <rFont val="Tahoma"/>
            <family val="2"/>
          </rPr>
          <t xml:space="preserve">08D10 : Maintien des comptes d'accès
</t>
        </r>
      </text>
    </comment>
    <comment ref="AJ666" authorId="2">
      <text>
        <r>
          <rPr>
            <sz val="9"/>
            <color indexed="81"/>
            <rFont val="Tahoma"/>
            <family val="2"/>
          </rPr>
          <t xml:space="preserve">08A03 : Contrôle de la mise en production de nouveaux systèmes ou d'évolutions de systèmes existants
</t>
        </r>
      </text>
    </comment>
    <comment ref="AK666" authorId="2">
      <text>
        <r>
          <rPr>
            <sz val="9"/>
            <color indexed="81"/>
            <rFont val="Tahoma"/>
            <family val="2"/>
          </rPr>
          <t xml:space="preserve">08E03 : Gestion et traitement des incidents systèmes et applicatifs
</t>
        </r>
      </text>
    </comment>
    <comment ref="AL666" authorId="2">
      <text>
        <r>
          <rPr>
            <sz val="9"/>
            <color indexed="81"/>
            <rFont val="Tahoma"/>
            <family val="2"/>
          </rPr>
          <t xml:space="preserve">08D04 : Sauvegarde des configurations logicielles (logiciels de base et applicatifs et paramètres de configuration)
</t>
        </r>
      </text>
    </comment>
    <comment ref="AL667" authorId="2">
      <text>
        <r>
          <rPr>
            <sz val="9"/>
            <color indexed="81"/>
            <rFont val="Tahoma"/>
            <family val="2"/>
          </rPr>
          <t xml:space="preserve">08D04 : Sauvegarde des configurations logicielles (logiciels de base et applicatifs et paramètres de configuration)
</t>
        </r>
      </text>
    </comment>
    <comment ref="AJ668"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668" authorId="2">
      <text>
        <r>
          <rPr>
            <sz val="9"/>
            <color indexed="81"/>
            <rFont val="Tahoma"/>
            <family val="2"/>
          </rPr>
          <t xml:space="preserve">08D04 : Sauvegarde des configurations logicielles (logiciels de base et applicatifs et paramètres de configuration)
</t>
        </r>
      </text>
    </comment>
    <comment ref="AJ669" authorId="2">
      <text>
        <r>
          <rPr>
            <sz val="9"/>
            <color indexed="81"/>
            <rFont val="Tahoma"/>
            <family val="2"/>
          </rPr>
          <t xml:space="preserve">07A03 : Authentification de l'utilisateur ou de l'entité demandant un accès
07A04 : Filtrage des accès et gestion des associations
</t>
        </r>
      </text>
    </comment>
    <comment ref="AL669" authorId="2">
      <text>
        <r>
          <rPr>
            <sz val="9"/>
            <color indexed="81"/>
            <rFont val="Tahoma"/>
            <family val="2"/>
          </rPr>
          <t xml:space="preserve">08D04 : Sauvegarde des configurations logicielles (logiciels de base et applicatifs et paramètres de configuration)
</t>
        </r>
      </text>
    </comment>
    <comment ref="AL670" authorId="2">
      <text>
        <r>
          <rPr>
            <sz val="9"/>
            <color indexed="81"/>
            <rFont val="Tahoma"/>
            <family val="2"/>
          </rPr>
          <t xml:space="preserve">08D04 : Sauvegarde des configurations logicielles (logiciels de base et applicatifs et paramètres de configuration)
</t>
        </r>
      </text>
    </comment>
    <comment ref="AL671" authorId="2">
      <text>
        <r>
          <rPr>
            <sz val="9"/>
            <color indexed="81"/>
            <rFont val="Tahoma"/>
            <family val="2"/>
          </rPr>
          <t xml:space="preserve">08D04 : Sauvegarde des configurations logicielles (logiciels de base et applicatifs et paramètres de configuration)
</t>
        </r>
      </text>
    </comment>
    <comment ref="AI672" authorId="2">
      <text>
        <r>
          <rPr>
            <sz val="9"/>
            <color indexed="81"/>
            <rFont val="Tahoma"/>
            <family val="2"/>
          </rPr>
          <t xml:space="preserve">07C01 : Enregistrement des accès aux ressources sensibles
08E02 : Surveillance, en temps différé, des traces, logs et journaux
</t>
        </r>
      </text>
    </comment>
    <comment ref="AL672" authorId="2">
      <text>
        <r>
          <rPr>
            <sz val="9"/>
            <color indexed="81"/>
            <rFont val="Tahoma"/>
            <family val="2"/>
          </rPr>
          <t xml:space="preserve">08D04 : Sauvegarde des configurations logicielles (logiciels de base et applicatifs et paramètres de configuration)
</t>
        </r>
      </text>
    </comment>
    <comment ref="AI673" authorId="2">
      <text>
        <r>
          <rPr>
            <sz val="9"/>
            <color indexed="81"/>
            <rFont val="Tahoma"/>
            <family val="2"/>
          </rPr>
          <t xml:space="preserve">07C01 : Enregistrement des accès aux ressources sensibles
08E02 : Surveillance, en temps différé, des traces, logs et journaux
</t>
        </r>
      </text>
    </comment>
    <comment ref="AJ673" authorId="2">
      <text>
        <r>
          <rPr>
            <sz val="9"/>
            <color indexed="81"/>
            <rFont val="Tahoma"/>
            <family val="2"/>
          </rPr>
          <t xml:space="preserve">07A02 : Gestion des autorisations d'accès et privilèges (attribution, délégation, retrait)
09A02 : Gestion des autorisations d'accès aux données applicatives (attribution, délégation, retrait)
</t>
        </r>
      </text>
    </comment>
    <comment ref="AL673" authorId="2">
      <text>
        <r>
          <rPr>
            <sz val="9"/>
            <color indexed="81"/>
            <rFont val="Tahoma"/>
            <family val="2"/>
          </rPr>
          <t xml:space="preserve">08D04 : Sauvegarde des configurations logicielles (logiciels de base et applicatifs et paramètres de configuration)
</t>
        </r>
      </text>
    </comment>
    <comment ref="AJ674" authorId="2">
      <text>
        <r>
          <rPr>
            <sz val="9"/>
            <color indexed="81"/>
            <rFont val="Tahoma"/>
            <family val="2"/>
          </rPr>
          <t xml:space="preserve">07A03 : Authentification de l'utilisateur ou de l'entité demandant un accès
07A04 : Filtrage des accès et gestion des associations
</t>
        </r>
      </text>
    </comment>
    <comment ref="AL674" authorId="2">
      <text>
        <r>
          <rPr>
            <sz val="9"/>
            <color indexed="81"/>
            <rFont val="Tahoma"/>
            <family val="2"/>
          </rPr>
          <t xml:space="preserve">08D04 : Sauvegarde des configurations logicielles (logiciels de base et applicatifs et paramètres de configuration)
</t>
        </r>
      </text>
    </comment>
    <comment ref="AI675"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675" authorId="2">
      <text>
        <r>
          <rPr>
            <sz val="9"/>
            <color indexed="81"/>
            <rFont val="Tahoma"/>
            <family val="2"/>
          </rPr>
          <t xml:space="preserve">08D04 : Sauvegarde des configurations logicielles (logiciels de base et applicatifs et paramètres de configuration)
</t>
        </r>
      </text>
    </comment>
    <comment ref="AI676" authorId="2">
      <text>
        <r>
          <rPr>
            <sz val="9"/>
            <color indexed="81"/>
            <rFont val="Tahoma"/>
            <family val="2"/>
          </rPr>
          <t xml:space="preserve">07C02 : Enregistrement des appels aux procédures privilégiées 
08E02 : Surveillance, en temps différé, des traces, logs et journaux
</t>
        </r>
      </text>
    </comment>
    <comment ref="AL676" authorId="2">
      <text>
        <r>
          <rPr>
            <sz val="9"/>
            <color indexed="81"/>
            <rFont val="Tahoma"/>
            <family val="2"/>
          </rPr>
          <t xml:space="preserve">08D04 : Sauvegarde des configurations logicielles (logiciels de base et applicatifs et paramètres de configuration)
</t>
        </r>
      </text>
    </comment>
    <comment ref="AI677"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678" authorId="2">
      <text>
        <r>
          <rPr>
            <sz val="9"/>
            <color indexed="81"/>
            <rFont val="Tahoma"/>
            <family val="2"/>
          </rPr>
          <t xml:space="preserve">10B05 : Sécurité de la maintenance applicative
</t>
        </r>
      </text>
    </comment>
    <comment ref="AL678" authorId="2">
      <text>
        <r>
          <rPr>
            <sz val="9"/>
            <color indexed="81"/>
            <rFont val="Tahoma"/>
            <family val="2"/>
          </rPr>
          <t xml:space="preserve">08D04 : Sauvegarde des configurations logicielles (logiciels de base et applicatifs et paramètres de configuration)
</t>
        </r>
      </text>
    </comment>
    <comment ref="AJ679" authorId="2">
      <text>
        <r>
          <rPr>
            <sz val="9"/>
            <color indexed="81"/>
            <rFont val="Tahoma"/>
            <family val="2"/>
          </rPr>
          <t xml:space="preserve">10B06 : Maintenance à chaud 
</t>
        </r>
      </text>
    </comment>
    <comment ref="AL679" authorId="2">
      <text>
        <r>
          <rPr>
            <sz val="9"/>
            <color indexed="81"/>
            <rFont val="Tahoma"/>
            <family val="2"/>
          </rPr>
          <t xml:space="preserve">08D04 : Sauvegarde des configurations logicielles (logiciels de base et applicatifs et paramètres de configuration)
</t>
        </r>
      </text>
    </comment>
    <comment ref="AJ680" authorId="2">
      <text>
        <r>
          <rPr>
            <sz val="9"/>
            <color indexed="81"/>
            <rFont val="Tahoma"/>
            <family val="2"/>
          </rPr>
          <t xml:space="preserve">08D03 : Procédures et plans de reprise des applications sur incidents d'exploitation
</t>
        </r>
      </text>
    </comment>
    <comment ref="AK680" authorId="2">
      <text>
        <r>
          <rPr>
            <sz val="9"/>
            <color indexed="81"/>
            <rFont val="Tahoma"/>
            <family val="2"/>
          </rPr>
          <t xml:space="preserve">08E02 : Surveillance, en temps différé, des traces, logs et journaux
</t>
        </r>
      </text>
    </comment>
    <comment ref="AL680" authorId="2">
      <text>
        <r>
          <rPr>
            <sz val="9"/>
            <color indexed="81"/>
            <rFont val="Tahoma"/>
            <family val="2"/>
          </rPr>
          <t xml:space="preserve">08D04 : Sauvegarde des configurations logicielles (logiciels de base et applicatifs et paramètres de configuration)
</t>
        </r>
      </text>
    </comment>
    <comment ref="AJ681"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08F01 : Gestion des attributions de droits privilégiés sur les systèmes (droits d'administrateur)
09A01 : Gestion des profils d'accès aux données applicatives
09A02 : Gestion des autorisations d'accès aux données applicatives (attribution, délégation, retrait)
</t>
        </r>
      </text>
    </comment>
    <comment ref="AL681" authorId="2">
      <text>
        <r>
          <rPr>
            <sz val="9"/>
            <color indexed="81"/>
            <rFont val="Tahoma"/>
            <family val="2"/>
          </rPr>
          <t xml:space="preserve">08D04 : Sauvegarde des configurations logicielles (logiciels de base et applicatifs et paramètres de configuration)
</t>
        </r>
      </text>
    </comment>
    <comment ref="AJ682"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09A03 : Authentification de l'utilisateur ou de l'entité demandant un accès
09A04 : Filtrage des accès et gestion des associations
</t>
        </r>
      </text>
    </comment>
    <comment ref="AL682" authorId="2">
      <text>
        <r>
          <rPr>
            <sz val="9"/>
            <color indexed="81"/>
            <rFont val="Tahoma"/>
            <family val="2"/>
          </rPr>
          <t xml:space="preserve">08D04 : Sauvegarde des configurations logicielles (logiciels de base et applicatifs et paramètres de configuration)
</t>
        </r>
      </text>
    </comment>
    <comment ref="AI683"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683" authorId="2">
      <text>
        <r>
          <rPr>
            <sz val="9"/>
            <color indexed="81"/>
            <rFont val="Tahoma"/>
            <family val="2"/>
          </rPr>
          <t xml:space="preserve">08D04 : Sauvegarde des configurations logicielles (logiciels de base et applicatifs et paramètres de configuration)
</t>
        </r>
      </text>
    </comment>
    <comment ref="AI684"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684" authorId="2">
      <text>
        <r>
          <rPr>
            <sz val="9"/>
            <color indexed="81"/>
            <rFont val="Tahoma"/>
            <family val="2"/>
          </rPr>
          <t xml:space="preserve">10B05 : Sécurité de la maintenance applicative
</t>
        </r>
      </text>
    </comment>
    <comment ref="AL684" authorId="2">
      <text>
        <r>
          <rPr>
            <sz val="9"/>
            <color indexed="81"/>
            <rFont val="Tahoma"/>
            <family val="2"/>
          </rPr>
          <t xml:space="preserve">08D04 : Sauvegarde des configurations logicielles (logiciels de base et applicatifs et paramètres de configuration)
</t>
        </r>
      </text>
    </comment>
    <comment ref="AJ685" authorId="2">
      <text>
        <r>
          <rPr>
            <sz val="9"/>
            <color indexed="81"/>
            <rFont val="Tahoma"/>
            <family val="2"/>
          </rPr>
          <t xml:space="preserve">03D01 : Prévention des risques d'incendie
</t>
        </r>
      </text>
    </comment>
    <comment ref="AL685" authorId="2">
      <text>
        <r>
          <rPr>
            <sz val="9"/>
            <color indexed="81"/>
            <rFont val="Tahoma"/>
            <family val="2"/>
          </rPr>
          <t xml:space="preserve">08D04 : Sauvegarde des configurations logicielles (logiciels de base et applicatifs et paramètres de configuration)
</t>
        </r>
      </text>
    </comment>
    <comment ref="AL686" authorId="2">
      <text>
        <r>
          <rPr>
            <sz val="9"/>
            <color indexed="81"/>
            <rFont val="Tahoma"/>
            <family val="2"/>
          </rPr>
          <t xml:space="preserve">08D04 : Sauvegarde des configurations logicielles (logiciels de base et applicatifs et paramètres de configuration)
</t>
        </r>
      </text>
    </comment>
    <comment ref="AJ687" authorId="2">
      <text>
        <r>
          <rPr>
            <sz val="9"/>
            <color indexed="81"/>
            <rFont val="Tahoma"/>
            <family val="2"/>
          </rPr>
          <t xml:space="preserve">03D01 : Prévention des risques d'incendie
</t>
        </r>
      </text>
    </comment>
    <comment ref="AL687" authorId="2">
      <text>
        <r>
          <rPr>
            <sz val="9"/>
            <color indexed="81"/>
            <rFont val="Tahoma"/>
            <family val="2"/>
          </rPr>
          <t xml:space="preserve">08D04 : Sauvegarde des configurations logicielles (logiciels de base et applicatifs et paramètres de configuration)
</t>
        </r>
      </text>
    </comment>
    <comment ref="AL688" authorId="2">
      <text>
        <r>
          <rPr>
            <sz val="9"/>
            <color indexed="81"/>
            <rFont val="Tahoma"/>
            <family val="2"/>
          </rPr>
          <t xml:space="preserve">08D04 : Sauvegarde des configurations logicielles (logiciels de base et applicatifs et paramètres de configuration)
</t>
        </r>
      </text>
    </comment>
    <comment ref="AL689" authorId="2">
      <text>
        <r>
          <rPr>
            <sz val="9"/>
            <color indexed="81"/>
            <rFont val="Tahoma"/>
            <family val="2"/>
          </rPr>
          <t xml:space="preserve">08D04 : Sauvegarde des configurations logicielles (logiciels de base et applicatifs et paramètres de configuration)
</t>
        </r>
      </text>
    </comment>
    <comment ref="AL690" authorId="2">
      <text>
        <r>
          <rPr>
            <sz val="9"/>
            <color indexed="81"/>
            <rFont val="Tahoma"/>
            <family val="2"/>
          </rPr>
          <t xml:space="preserve">08D04 : Sauvegarde des configurations logicielles (logiciels de base et applicatifs et paramètres de configuration)
</t>
        </r>
      </text>
    </comment>
    <comment ref="AI691" authorId="2">
      <text>
        <r>
          <rPr>
            <sz val="9"/>
            <color indexed="81"/>
            <rFont val="Tahoma"/>
            <family val="2"/>
          </rPr>
          <t xml:space="preserve">03B06 : Surveillance des locaux sensibles
</t>
        </r>
      </text>
    </comment>
    <comment ref="AJ691" authorId="2">
      <text>
        <r>
          <rPr>
            <sz val="9"/>
            <color indexed="81"/>
            <rFont val="Tahoma"/>
            <family val="2"/>
          </rPr>
          <t xml:space="preserve">03B03 : Contrôle des accès aux locaux sensibles
03B04 : Détection des intrusions dans les locaux sensibles 
</t>
        </r>
      </text>
    </comment>
    <comment ref="AL691" authorId="2">
      <text>
        <r>
          <rPr>
            <sz val="9"/>
            <color indexed="81"/>
            <rFont val="Tahoma"/>
            <family val="2"/>
          </rPr>
          <t xml:space="preserve">08D04 : Sauvegarde des configurations logicielles (logiciels de base et applicatifs et paramètres de configuration)
</t>
        </r>
      </text>
    </comment>
    <comment ref="AI692" authorId="2">
      <text>
        <r>
          <rPr>
            <sz val="9"/>
            <color indexed="81"/>
            <rFont val="Tahoma"/>
            <family val="2"/>
          </rPr>
          <t xml:space="preserve">03B06 : Surveillance des locaux sensibles
</t>
        </r>
      </text>
    </comment>
    <comment ref="AL692" authorId="2">
      <text>
        <r>
          <rPr>
            <sz val="9"/>
            <color indexed="81"/>
            <rFont val="Tahoma"/>
            <family val="2"/>
          </rPr>
          <t xml:space="preserve">08D04 : Sauvegarde des configurations logicielles (logiciels de base et applicatifs et paramètres de configuration)
</t>
        </r>
      </text>
    </comment>
    <comment ref="AI693" authorId="2">
      <text>
        <r>
          <rPr>
            <sz val="9"/>
            <color indexed="81"/>
            <rFont val="Tahoma"/>
            <family val="2"/>
          </rPr>
          <t xml:space="preserve">03B06 : Surveillance des locaux sensibles
</t>
        </r>
      </text>
    </comment>
    <comment ref="AL693" authorId="2">
      <text>
        <r>
          <rPr>
            <sz val="9"/>
            <color indexed="81"/>
            <rFont val="Tahoma"/>
            <family val="2"/>
          </rPr>
          <t xml:space="preserve">08D04 : Sauvegarde des configurations logicielles (logiciels de base et applicatifs et paramètres de configuration)
</t>
        </r>
      </text>
    </comment>
    <comment ref="AI694" authorId="2">
      <text>
        <r>
          <rPr>
            <sz val="9"/>
            <color indexed="81"/>
            <rFont val="Tahoma"/>
            <family val="2"/>
          </rPr>
          <t xml:space="preserve">03B06 : Surveillance des locaux sensibles
</t>
        </r>
      </text>
    </comment>
    <comment ref="AJ694" authorId="2">
      <text>
        <r>
          <rPr>
            <sz val="9"/>
            <color indexed="81"/>
            <rFont val="Tahoma"/>
            <family val="2"/>
          </rPr>
          <t xml:space="preserve">08C03 : Sécurité physique des supports stockés sur site 
</t>
        </r>
      </text>
    </comment>
    <comment ref="AL694" authorId="2">
      <text>
        <r>
          <rPr>
            <sz val="9"/>
            <color indexed="81"/>
            <rFont val="Tahoma"/>
            <family val="2"/>
          </rPr>
          <t xml:space="preserve">08D04 : Sauvegarde des configurations logicielles (logiciels de base et applicatifs et paramètres de configuration)
</t>
        </r>
      </text>
    </comment>
    <comment ref="AI695" authorId="2">
      <text>
        <r>
          <rPr>
            <sz val="9"/>
            <color indexed="81"/>
            <rFont val="Tahoma"/>
            <family val="2"/>
          </rPr>
          <t xml:space="preserve">03B06 : Surveillance des locaux sensibles
</t>
        </r>
      </text>
    </comment>
    <comment ref="AL695" authorId="2">
      <text>
        <r>
          <rPr>
            <sz val="9"/>
            <color indexed="81"/>
            <rFont val="Tahoma"/>
            <family val="2"/>
          </rPr>
          <t xml:space="preserve">08D04 : Sauvegarde des configurations logicielles (logiciels de base et applicatifs et paramètres de configuration)
</t>
        </r>
      </text>
    </comment>
    <comment ref="AI696" authorId="2">
      <text>
        <r>
          <rPr>
            <sz val="9"/>
            <color indexed="81"/>
            <rFont val="Tahoma"/>
            <family val="2"/>
          </rPr>
          <t xml:space="preserve">03B06 : Surveillance des locaux sensibles
</t>
        </r>
      </text>
    </comment>
    <comment ref="AL696" authorId="2">
      <text>
        <r>
          <rPr>
            <sz val="9"/>
            <color indexed="81"/>
            <rFont val="Tahoma"/>
            <family val="2"/>
          </rPr>
          <t xml:space="preserve">08D04 : Sauvegarde des configurations logicielles (logiciels de base et applicatifs et paramètres de configuration)
</t>
        </r>
      </text>
    </comment>
    <comment ref="AL697" authorId="2">
      <text>
        <r>
          <rPr>
            <sz val="9"/>
            <color indexed="81"/>
            <rFont val="Tahoma"/>
            <family val="2"/>
          </rPr>
          <t xml:space="preserve">08D04 : Sauvegarde des configurations logicielles (logiciels de base et applicatifs et paramètres de configuration)
</t>
        </r>
      </text>
    </comment>
    <comment ref="AJ698" authorId="2">
      <text>
        <r>
          <rPr>
            <sz val="9"/>
            <color indexed="81"/>
            <rFont val="Tahoma"/>
            <family val="2"/>
          </rPr>
          <t xml:space="preserve">03C01 : Prévention des risques de dégâts des eaux
</t>
        </r>
      </text>
    </comment>
    <comment ref="AL698" authorId="2">
      <text>
        <r>
          <rPr>
            <sz val="9"/>
            <color indexed="81"/>
            <rFont val="Tahoma"/>
            <family val="2"/>
          </rPr>
          <t xml:space="preserve">08D04 : Sauvegarde des configurations logicielles (logiciels de base et applicatifs et paramètres de configuration)
</t>
        </r>
      </text>
    </comment>
    <comment ref="AJ699" authorId="2">
      <text>
        <r>
          <rPr>
            <sz val="9"/>
            <color indexed="81"/>
            <rFont val="Tahoma"/>
            <family val="2"/>
          </rPr>
          <t xml:space="preserve">03A01 : Qualité de la fourniture de l'énergie 
03A04 : Qualité du câblage
</t>
        </r>
      </text>
    </comment>
    <comment ref="AL699" authorId="2">
      <text>
        <r>
          <rPr>
            <sz val="9"/>
            <color indexed="81"/>
            <rFont val="Tahoma"/>
            <family val="2"/>
          </rPr>
          <t xml:space="preserve">08D04 : Sauvegarde des configurations logicielles (logiciels de base et applicatifs et paramètres de configuration)
</t>
        </r>
      </text>
    </comment>
    <comment ref="AJ700" authorId="2">
      <text>
        <r>
          <rPr>
            <sz val="9"/>
            <color indexed="81"/>
            <rFont val="Tahoma"/>
            <family val="2"/>
          </rPr>
          <t xml:space="preserve">08A03 : Contrôle de la mise en production de nouveaux systèmes ou d'évolutions de systèmes existants
</t>
        </r>
      </text>
    </comment>
    <comment ref="AK700" authorId="2">
      <text>
        <r>
          <rPr>
            <sz val="9"/>
            <color indexed="81"/>
            <rFont val="Tahoma"/>
            <family val="2"/>
          </rPr>
          <t xml:space="preserve">08E03 : Gestion et traitement des incidents systèmes et applicatifs
</t>
        </r>
      </text>
    </comment>
    <comment ref="AL700" authorId="2">
      <text>
        <r>
          <rPr>
            <sz val="9"/>
            <color indexed="81"/>
            <rFont val="Tahoma"/>
            <family val="2"/>
          </rPr>
          <t xml:space="preserve">08D04 : Sauvegarde des configurations logicielles (logiciels de base et applicatifs et paramètres de configuration)
</t>
        </r>
      </text>
    </comment>
    <comment ref="AL701" authorId="2">
      <text>
        <r>
          <rPr>
            <sz val="9"/>
            <color indexed="81"/>
            <rFont val="Tahoma"/>
            <family val="2"/>
          </rPr>
          <t xml:space="preserve">08D04 : Sauvegarde des configurations logicielles (logiciels de base et applicatifs et paramètres de configuration)
</t>
        </r>
      </text>
    </comment>
    <comment ref="AJ702" authorId="2">
      <text>
        <r>
          <rPr>
            <sz val="9"/>
            <color indexed="81"/>
            <rFont val="Tahoma"/>
            <family val="2"/>
          </rPr>
          <t xml:space="preserve">08C03 : Sécurité physique des supports stockés sur site 
</t>
        </r>
      </text>
    </comment>
    <comment ref="AL702" authorId="2">
      <text>
        <r>
          <rPr>
            <sz val="9"/>
            <color indexed="81"/>
            <rFont val="Tahoma"/>
            <family val="2"/>
          </rPr>
          <t xml:space="preserve">08D04 : Sauvegarde des configurations logicielles (logiciels de base et applicatifs et paramètres de configuration)
</t>
        </r>
      </text>
    </comment>
    <comment ref="AK703" authorId="2">
      <text>
        <r>
          <rPr>
            <sz val="9"/>
            <color indexed="81"/>
            <rFont val="Tahoma"/>
            <family val="2"/>
          </rPr>
          <t xml:space="preserve">08C05 : Vérification et rotation des supports d'archivage
</t>
        </r>
      </text>
    </comment>
    <comment ref="AL703" authorId="2">
      <text>
        <r>
          <rPr>
            <sz val="9"/>
            <color indexed="81"/>
            <rFont val="Tahoma"/>
            <family val="2"/>
          </rPr>
          <t xml:space="preserve">08D04 : Sauvegarde des configurations logicielles (logiciels de base et applicatifs et paramètres de configuration)
</t>
        </r>
      </text>
    </comment>
    <comment ref="AJ704" authorId="2">
      <text>
        <r>
          <rPr>
            <sz val="9"/>
            <color indexed="81"/>
            <rFont val="Tahoma"/>
            <family val="2"/>
          </rPr>
          <t xml:space="preserve">03C01 : Prévention des risques de dégâts des eaux
</t>
        </r>
      </text>
    </comment>
    <comment ref="AL704"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705" authorId="2">
      <text>
        <r>
          <rPr>
            <sz val="9"/>
            <color indexed="81"/>
            <rFont val="Tahoma"/>
            <family val="2"/>
          </rPr>
          <t xml:space="preserve">03A01 : Qualité de la fourniture de l'énergie 
03A04 : Qualité du câblage
</t>
        </r>
      </text>
    </comment>
    <comment ref="AL705" authorId="2">
      <text>
        <r>
          <rPr>
            <sz val="9"/>
            <color indexed="81"/>
            <rFont val="Tahoma"/>
            <family val="2"/>
          </rPr>
          <t xml:space="preserve">07D01 : Sûreté de fonctionnement des éléments d'architecture
09E01 : Reconfiguration matérielle
08D06 : Plans de Reprise d'Activité des services informatiques
09E02 : Plans de Continuité des processus applicatifs
01E01 : Prise en compte des besoins de continuité de l'activité
01E02 : Plans de continuité de l'activité
</t>
        </r>
      </text>
    </comment>
    <comment ref="AJ706" authorId="2">
      <text>
        <r>
          <rPr>
            <sz val="9"/>
            <color indexed="81"/>
            <rFont val="Tahoma"/>
            <family val="2"/>
          </rPr>
          <t xml:space="preserve">03A05 : Protection contre la foudre
</t>
        </r>
      </text>
    </comment>
    <comment ref="AL706" authorId="2">
      <text>
        <r>
          <rPr>
            <sz val="9"/>
            <color indexed="81"/>
            <rFont val="Tahoma"/>
            <family val="2"/>
          </rPr>
          <t xml:space="preserve">08D06 : Plans de Reprise d'Activité des services informatiques
09E02 : Plans de Continuité des processus applicatifs
</t>
        </r>
      </text>
    </comment>
    <comment ref="AJ707" authorId="2">
      <text>
        <r>
          <rPr>
            <sz val="9"/>
            <color indexed="81"/>
            <rFont val="Tahoma"/>
            <family val="2"/>
          </rPr>
          <t xml:space="preserve">03D01 : Prévention des risques d'incendie
</t>
        </r>
      </text>
    </comment>
    <comment ref="AK707" authorId="2">
      <text>
        <r>
          <rPr>
            <sz val="9"/>
            <color indexed="81"/>
            <rFont val="Tahoma"/>
            <family val="2"/>
          </rPr>
          <t xml:space="preserve">03D02 : Détection d'incendie
03D03 : Extinction d'incendie
</t>
        </r>
      </text>
    </comment>
    <comment ref="AL707" authorId="2">
      <text>
        <r>
          <rPr>
            <sz val="9"/>
            <color indexed="81"/>
            <rFont val="Tahoma"/>
            <family val="2"/>
          </rPr>
          <t xml:space="preserve">08D06 : Plans de Reprise d'Activité des services informatiques
09E02 : Plans de Continuité des processus applicatifs
</t>
        </r>
      </text>
    </comment>
    <comment ref="AJ708" authorId="2">
      <text>
        <r>
          <rPr>
            <sz val="9"/>
            <color indexed="81"/>
            <rFont val="Tahoma"/>
            <family val="2"/>
          </rPr>
          <t xml:space="preserve">03C01 : Prévention des risques de dégâts des eaux
</t>
        </r>
      </text>
    </comment>
    <comment ref="AK708" authorId="2">
      <text>
        <r>
          <rPr>
            <sz val="9"/>
            <color indexed="81"/>
            <rFont val="Tahoma"/>
            <family val="2"/>
          </rPr>
          <t xml:space="preserve">03C02 : Détection des dégâts des eaux
03C03 : Évacuation de l'eau
</t>
        </r>
      </text>
    </comment>
    <comment ref="AL708" authorId="2">
      <text>
        <r>
          <rPr>
            <sz val="9"/>
            <color indexed="81"/>
            <rFont val="Tahoma"/>
            <family val="2"/>
          </rPr>
          <t xml:space="preserve">08D06 : Plans de Reprise d'Activité des services informatiques
09E02 : Plans de Continuité des processus applicatifs
</t>
        </r>
      </text>
    </comment>
    <comment ref="AJ709" authorId="2">
      <text>
        <r>
          <rPr>
            <sz val="9"/>
            <color indexed="81"/>
            <rFont val="Tahoma"/>
            <family val="2"/>
          </rPr>
          <t xml:space="preserve">09E01 : Reconfiguration matérielle
</t>
        </r>
      </text>
    </comment>
    <comment ref="AL709" authorId="2">
      <text>
        <r>
          <rPr>
            <sz val="9"/>
            <color indexed="81"/>
            <rFont val="Tahoma"/>
            <family val="2"/>
          </rPr>
          <t xml:space="preserve">07D01 : Sûreté de fonctionnement des éléments d'architecture
08D01 : Organisation de la maintenance du matériel (équipements) en exploitation
</t>
        </r>
      </text>
    </comment>
    <comment ref="AL710" authorId="2">
      <text>
        <r>
          <rPr>
            <sz val="9"/>
            <color indexed="81"/>
            <rFont val="Tahoma"/>
            <family val="2"/>
          </rPr>
          <t xml:space="preserve">03A06 : Sécurité des équipements de servitude
</t>
        </r>
      </text>
    </comment>
    <comment ref="AL711" authorId="2">
      <text>
        <r>
          <rPr>
            <sz val="9"/>
            <color indexed="81"/>
            <rFont val="Tahoma"/>
            <family val="2"/>
          </rPr>
          <t xml:space="preserve">03A02 : Continuité de la fourniture de l'énergie 
</t>
        </r>
      </text>
    </comment>
    <comment ref="AI712" authorId="2">
      <text>
        <r>
          <rPr>
            <sz val="9"/>
            <color indexed="81"/>
            <rFont val="Tahoma"/>
            <family val="2"/>
          </rPr>
          <t xml:space="preserve">03B06 : Surveillance des locaux sensibles
</t>
        </r>
      </text>
    </comment>
    <comment ref="AJ712" authorId="2">
      <text>
        <r>
          <rPr>
            <sz val="9"/>
            <color indexed="81"/>
            <rFont val="Tahoma"/>
            <family val="2"/>
          </rPr>
          <t xml:space="preserve">03B01 : Gestion des droits d'accès aux locaux sensibles
03B02 : Gestion des autorisations d'accès aux locaux sensibles
03B03 : Contrôle des accès aux locaux sensibles
</t>
        </r>
      </text>
    </comment>
    <comment ref="AK712" authorId="2">
      <text>
        <r>
          <rPr>
            <sz val="9"/>
            <color indexed="81"/>
            <rFont val="Tahoma"/>
            <family val="2"/>
          </rPr>
          <t xml:space="preserve">03B04 : Détection des intrusions dans les locaux sensibles 
</t>
        </r>
      </text>
    </comment>
    <comment ref="AL712" authorId="2">
      <text>
        <r>
          <rPr>
            <sz val="9"/>
            <color indexed="81"/>
            <rFont val="Tahoma"/>
            <family val="2"/>
          </rPr>
          <t xml:space="preserve">08D01 : Organisation de la maintenance du matériel (équipements) en exploitation
</t>
        </r>
      </text>
    </comment>
    <comment ref="AJ713" authorId="2">
      <text>
        <r>
          <rPr>
            <sz val="9"/>
            <color indexed="81"/>
            <rFont val="Tahoma"/>
            <family val="2"/>
          </rPr>
          <t xml:space="preserve">03B03 : Contrôle des accès aux locaux sensibles
03B04 : Détection des intrusions dans les locaux sensibles 
03B06 : Surveillance des locaux sensibles
</t>
        </r>
      </text>
    </comment>
    <comment ref="AL713" authorId="2">
      <text>
        <r>
          <rPr>
            <sz val="9"/>
            <color indexed="81"/>
            <rFont val="Tahoma"/>
            <family val="2"/>
          </rPr>
          <t xml:space="preserve">08D01 : Organisation de la maintenance du matériel (équipements) en exploitation
</t>
        </r>
      </text>
    </comment>
    <comment ref="AL714" authorId="2">
      <text>
        <r>
          <rPr>
            <sz val="9"/>
            <color indexed="81"/>
            <rFont val="Tahoma"/>
            <family val="2"/>
          </rPr>
          <t xml:space="preserve">08D01 : Organisation de la maintenance du matériel (équipements) en exploitation
</t>
        </r>
      </text>
    </comment>
    <comment ref="AJ715" authorId="2">
      <text>
        <r>
          <rPr>
            <sz val="9"/>
            <color indexed="81"/>
            <rFont val="Tahoma"/>
            <family val="2"/>
          </rPr>
          <t xml:space="preserve">02A01 : Gestion des droits d'accès au site ou à l'immeuble
02A02 : Gestion des autorisations d'accès au site ou à l'immeuble
02A03 : Contrôle d'accès au site ou à l'immeuble
02A05 : Accès aux zones de transfert (livraison ou chargement)  ou aux zones accessibles au public
</t>
        </r>
      </text>
    </comment>
    <comment ref="AK715" authorId="2">
      <text>
        <r>
          <rPr>
            <sz val="9"/>
            <color indexed="81"/>
            <rFont val="Tahoma"/>
            <family val="2"/>
          </rPr>
          <t xml:space="preserve">02A04 : Détection des intrusions sur le site ou dans l'immeuble
</t>
        </r>
      </text>
    </comment>
    <comment ref="AL715" authorId="2">
      <text>
        <r>
          <rPr>
            <sz val="9"/>
            <color indexed="81"/>
            <rFont val="Tahoma"/>
            <family val="2"/>
          </rPr>
          <t xml:space="preserve">08D01 : Organisation de la maintenance du matériel (équipements) en exploitation
</t>
        </r>
      </text>
    </comment>
    <comment ref="AI716"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L716" authorId="2">
      <text>
        <r>
          <rPr>
            <sz val="9"/>
            <color indexed="81"/>
            <rFont val="Tahoma"/>
            <family val="2"/>
          </rPr>
          <t xml:space="preserve">08D04 : Sauvegarde des configurations logicielles (logiciels de base et applicatifs et paramètres de configuration)
</t>
        </r>
      </text>
    </comment>
    <comment ref="AI717" authorId="2">
      <text>
        <r>
          <rPr>
            <sz val="9"/>
            <color indexed="81"/>
            <rFont val="Tahoma"/>
            <family val="2"/>
          </rPr>
          <t xml:space="preserve">07C02 : Enregistrement des appels aux procédures privilégiées 
08E02 : Surveillance, en temps différé, des traces, logs et journaux
</t>
        </r>
      </text>
    </comment>
    <comment ref="AL717" authorId="2">
      <text>
        <r>
          <rPr>
            <sz val="9"/>
            <color indexed="81"/>
            <rFont val="Tahoma"/>
            <family val="2"/>
          </rPr>
          <t xml:space="preserve">08D04 : Sauvegarde des configurations logicielles (logiciels de base et applicatifs et paramètres de configuration)
</t>
        </r>
      </text>
    </comment>
    <comment ref="AL718" authorId="2">
      <text>
        <r>
          <rPr>
            <sz val="9"/>
            <color indexed="81"/>
            <rFont val="Tahoma"/>
            <family val="2"/>
          </rPr>
          <t xml:space="preserve">08D06 : Plans de Reprise d'Activité des services informatiques
09E02 : Plans de Continuité des processus applicatifs
</t>
        </r>
      </text>
    </comment>
    <comment ref="AL719" authorId="2">
      <text>
        <r>
          <rPr>
            <sz val="9"/>
            <color indexed="81"/>
            <rFont val="Tahoma"/>
            <family val="2"/>
          </rPr>
          <t xml:space="preserve">08D08 : Gestion des systèmes critiques (vis-à-vis de la permanence de la maintenance)
</t>
        </r>
      </text>
    </comment>
    <comment ref="AL720" authorId="2">
      <text>
        <r>
          <rPr>
            <sz val="9"/>
            <color indexed="81"/>
            <rFont val="Tahoma"/>
            <family val="2"/>
          </rPr>
          <t xml:space="preserve">09E03 : Gestion des applications critiques (vis-à-vis de la permanence de la maintenance)
</t>
        </r>
      </text>
    </comment>
    <comment ref="AL721" authorId="2">
      <text>
        <r>
          <rPr>
            <sz val="9"/>
            <color indexed="81"/>
            <rFont val="Tahoma"/>
            <family val="2"/>
          </rPr>
          <t xml:space="preserve">01E01 : Prise en compte des besoins de continuité de l'activité
01E02 : Plans de continuité de l'activité
</t>
        </r>
      </text>
    </comment>
    <comment ref="AL722" authorId="2">
      <text>
        <r>
          <rPr>
            <sz val="9"/>
            <color indexed="81"/>
            <rFont val="Tahoma"/>
            <family val="2"/>
          </rPr>
          <t xml:space="preserve">01C02 : Gestion du personnel et des partenaires ou prestataires stratégiques
</t>
        </r>
      </text>
    </comment>
    <comment ref="AL723" authorId="2">
      <text>
        <r>
          <rPr>
            <sz val="9"/>
            <color indexed="81"/>
            <rFont val="Tahoma"/>
            <family val="2"/>
          </rPr>
          <t xml:space="preserve">01C02 : Gestion du personnel et des partenaires ou prestataires stratégiques
</t>
        </r>
      </text>
    </comment>
    <comment ref="AJ724" authorId="2">
      <text>
        <r>
          <rPr>
            <sz val="9"/>
            <color indexed="81"/>
            <rFont val="Tahoma"/>
            <family val="2"/>
          </rPr>
          <t xml:space="preserve">08A03 : Contrôle de la mise en production de nouveaux systèmes ou d'évolutions de systèmes existants
</t>
        </r>
      </text>
    </comment>
    <comment ref="AL724" authorId="2">
      <text>
        <r>
          <rPr>
            <sz val="9"/>
            <color indexed="81"/>
            <rFont val="Tahoma"/>
            <family val="2"/>
          </rPr>
          <t xml:space="preserve">08D02 : Organisation de la maintenance du logiciel (système, logiciel de couche intermédiaire et progiciel applicatif)
</t>
        </r>
      </text>
    </comment>
    <comment ref="AJ725" authorId="2">
      <text>
        <r>
          <rPr>
            <sz val="9"/>
            <color indexed="81"/>
            <rFont val="Tahoma"/>
            <family val="2"/>
          </rPr>
          <t xml:space="preserve">08A03 : Contrôle de la mise en production de nouveaux systèmes ou d'évolutions de systèmes existants
</t>
        </r>
      </text>
    </comment>
    <comment ref="AL725" authorId="2">
      <text>
        <r>
          <rPr>
            <sz val="9"/>
            <color indexed="81"/>
            <rFont val="Tahoma"/>
            <family val="2"/>
          </rPr>
          <t xml:space="preserve">10A04 : Organisation de la maintenance applicative
</t>
        </r>
      </text>
    </comment>
    <comment ref="AJ726" authorId="2">
      <text>
        <r>
          <rPr>
            <sz val="9"/>
            <color indexed="81"/>
            <rFont val="Tahoma"/>
            <family val="2"/>
          </rPr>
          <t xml:space="preserve">07D01 : Sûreté de fonctionnement des éléments d'architecture
</t>
        </r>
      </text>
    </comment>
    <comment ref="AK726" authorId="2">
      <text>
        <r>
          <rPr>
            <sz val="9"/>
            <color indexed="81"/>
            <rFont val="Tahoma"/>
            <family val="2"/>
          </rPr>
          <t xml:space="preserve">08E01 : Détection et traitement (en temps réel) des anomalies et incidents d'exploitation
</t>
        </r>
      </text>
    </comment>
    <comment ref="AL726" authorId="2">
      <text>
        <r>
          <rPr>
            <sz val="9"/>
            <color indexed="81"/>
            <rFont val="Tahoma"/>
            <family val="2"/>
          </rPr>
          <t xml:space="preserve">08D03 : Procédures et plans de reprise des applications sur incidents d'exploitation
</t>
        </r>
      </text>
    </comment>
    <comment ref="AI727" authorId="2">
      <text>
        <r>
          <rPr>
            <sz val="9"/>
            <color indexed="81"/>
            <rFont val="Tahoma"/>
            <family val="2"/>
          </rPr>
          <t xml:space="preserve">07C01 : Enregistrement des accès aux ressources sensibles
07C02 : Enregistrement des appels aux procédures privilégiées 
</t>
        </r>
      </text>
    </comment>
    <comment ref="AJ727" authorId="2">
      <text>
        <r>
          <rPr>
            <sz val="9"/>
            <color indexed="81"/>
            <rFont val="Tahoma"/>
            <family val="2"/>
          </rPr>
          <t xml:space="preserve">08E01 : Détection et traitement (en temps réel) des anomalies et incidents d'exploitation
</t>
        </r>
      </text>
    </comment>
    <comment ref="AK727" authorId="2">
      <text>
        <r>
          <rPr>
            <sz val="9"/>
            <color indexed="81"/>
            <rFont val="Tahoma"/>
            <family val="2"/>
          </rPr>
          <t xml:space="preserve">08E02 : Surveillance, en temps différé, des traces, logs et journaux
08E03 : Gestion et traitement des incidents systèmes et applicatifs
</t>
        </r>
      </text>
    </comment>
    <comment ref="AJ729" authorId="2">
      <text>
        <r>
          <rPr>
            <sz val="9"/>
            <color indexed="81"/>
            <rFont val="Tahoma"/>
            <family val="2"/>
          </rPr>
          <t xml:space="preserve">12A02 : Contrôle de la mise en production de nouveaux systèmes ou d'évolutions de systèmes existants
12B02 : Contrôle de la conformité des programmes de référence 
</t>
        </r>
      </text>
    </comment>
    <comment ref="AJ730" authorId="2">
      <text>
        <r>
          <rPr>
            <sz val="9"/>
            <color indexed="81"/>
            <rFont val="Tahoma"/>
            <family val="2"/>
          </rPr>
          <t xml:space="preserve">12B01 : Paramétrage des équipements et contrôle de la conformité des configurations
</t>
        </r>
      </text>
    </comment>
    <comment ref="AI731" authorId="2">
      <text>
        <r>
          <rPr>
            <sz val="9"/>
            <color indexed="81"/>
            <rFont val="Tahoma"/>
            <family val="2"/>
          </rPr>
          <t xml:space="preserve">12A03 : Contrôle des opérations de maintenance 
</t>
        </r>
      </text>
    </comment>
    <comment ref="AJ731" authorId="2">
      <text>
        <r>
          <rPr>
            <sz val="9"/>
            <color indexed="81"/>
            <rFont val="Tahoma"/>
            <family val="2"/>
          </rPr>
          <t xml:space="preserve">12B01 : Paramétrage des équipements et contrôle de la conformité des configurations
</t>
        </r>
      </text>
    </comment>
    <comment ref="AI732" authorId="2">
      <text>
        <r>
          <rPr>
            <sz val="9"/>
            <color indexed="81"/>
            <rFont val="Tahoma"/>
            <family val="2"/>
          </rPr>
          <t xml:space="preserve">12E02 : Authentification et contrôle des droits d'accès des administrateurs et personnels d'exploitation
12E03 : Surveillance des actions d'administration des équipements et des systèmes
</t>
        </r>
      </text>
    </comment>
    <comment ref="AJ733" authorId="2">
      <text>
        <r>
          <rPr>
            <sz val="9"/>
            <color indexed="81"/>
            <rFont val="Tahoma"/>
            <family val="2"/>
          </rPr>
          <t xml:space="preserve">12E01 : Gestion des attributions de droits privilégiés sur les équipements et lessystèmes (droits d'administrateur)
12E02 : Authentification et contrôle des droits d'accès des administrateurs et personnels d'exploitation
</t>
        </r>
      </text>
    </comment>
    <comment ref="AJ734" authorId="2">
      <text>
        <r>
          <rPr>
            <sz val="9"/>
            <color indexed="81"/>
            <rFont val="Tahoma"/>
            <family val="2"/>
          </rPr>
          <t xml:space="preserve">12A04 : Contrôle de la télémaintenance 
</t>
        </r>
      </text>
    </comment>
    <comment ref="AJ736" authorId="2">
      <text>
        <r>
          <rPr>
            <sz val="9"/>
            <color indexed="81"/>
            <rFont val="Tahoma"/>
            <family val="2"/>
          </rPr>
          <t xml:space="preserve">06A02 : Contrôle de la mise en production de nouveaux logiciels ou matériels ou d'évolutions de logiciels ou matériels
</t>
        </r>
      </text>
    </comment>
    <comment ref="AJ737" authorId="2">
      <text>
        <r>
          <rPr>
            <sz val="9"/>
            <color indexed="81"/>
            <rFont val="Tahoma"/>
            <family val="2"/>
          </rPr>
          <t xml:space="preserve">06B01 : Paramétrage des équipements de réseau et contrôle de la conformité des configurations 
</t>
        </r>
      </text>
    </comment>
    <comment ref="AI738" authorId="2">
      <text>
        <r>
          <rPr>
            <sz val="9"/>
            <color indexed="81"/>
            <rFont val="Tahoma"/>
            <family val="2"/>
          </rPr>
          <t xml:space="preserve">06A03 : Contrôle des opérations de maintenance 
</t>
        </r>
      </text>
    </comment>
    <comment ref="AJ738" authorId="2">
      <text>
        <r>
          <rPr>
            <sz val="9"/>
            <color indexed="81"/>
            <rFont val="Tahoma"/>
            <family val="2"/>
          </rPr>
          <t xml:space="preserve">06B01 : Paramétrage des équipements de réseau et contrôle de la conformité des configurations 
</t>
        </r>
      </text>
    </comment>
    <comment ref="AI739"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J740" authorId="2">
      <text>
        <r>
          <rPr>
            <sz val="9"/>
            <color indexed="81"/>
            <rFont val="Tahoma"/>
            <family val="2"/>
          </rPr>
          <t xml:space="preserve">06C01 : Gestion des droits privilégiés sur les équipements de réseau 
06C02 : Authentification et contrôle des droits d'accès des administrateurs et personnels d'exploitation des réseaux
</t>
        </r>
      </text>
    </comment>
    <comment ref="AJ742" authorId="2">
      <text>
        <r>
          <rPr>
            <sz val="9"/>
            <color indexed="81"/>
            <rFont val="Tahoma"/>
            <family val="2"/>
          </rPr>
          <t xml:space="preserve">06A02 : Contrôle de la mise en production de nouveaux logiciels ou matériels ou d'évolutions de logiciels ou matériels
</t>
        </r>
      </text>
    </comment>
    <comment ref="AJ743" authorId="2">
      <text>
        <r>
          <rPr>
            <sz val="9"/>
            <color indexed="81"/>
            <rFont val="Tahoma"/>
            <family val="2"/>
          </rPr>
          <t xml:space="preserve">06B01 : Paramétrage des équipements de réseau et contrôle de la conformité des configurations 
</t>
        </r>
      </text>
    </comment>
    <comment ref="AI744" authorId="2">
      <text>
        <r>
          <rPr>
            <sz val="9"/>
            <color indexed="81"/>
            <rFont val="Tahoma"/>
            <family val="2"/>
          </rPr>
          <t xml:space="preserve">06A03 : Contrôle des opérations de maintenance 
</t>
        </r>
      </text>
    </comment>
    <comment ref="AJ744" authorId="2">
      <text>
        <r>
          <rPr>
            <sz val="9"/>
            <color indexed="81"/>
            <rFont val="Tahoma"/>
            <family val="2"/>
          </rPr>
          <t xml:space="preserve">06B01 : Paramétrage des équipements de réseau et contrôle de la conformité des configurations 
</t>
        </r>
      </text>
    </comment>
    <comment ref="AI745" authorId="2">
      <text>
        <r>
          <rPr>
            <sz val="9"/>
            <color indexed="81"/>
            <rFont val="Tahoma"/>
            <family val="2"/>
          </rPr>
          <t xml:space="preserve">06C02 : Authentification et contrôle des droits d'accès des administrateurs et personnels d'exploitation des réseaux
06C03 : Surveillance des actions d'administration des réseaux
</t>
        </r>
      </text>
    </comment>
    <comment ref="AJ746" authorId="2">
      <text>
        <r>
          <rPr>
            <sz val="9"/>
            <color indexed="81"/>
            <rFont val="Tahoma"/>
            <family val="2"/>
          </rPr>
          <t xml:space="preserve">06C01 : Gestion des droits privilégiés sur les équipements de réseau 
06C02 : Authentification et contrôle des droits d'accès des administrateurs et personnels d'exploitation des réseaux
</t>
        </r>
      </text>
    </comment>
    <comment ref="AJ748" authorId="2">
      <text>
        <r>
          <rPr>
            <sz val="9"/>
            <color indexed="81"/>
            <rFont val="Tahoma"/>
            <family val="2"/>
          </rPr>
          <t xml:space="preserve">08A03 : Contrôle de la mise en production de nouveaux systèmes ou d'évolutions de systèmes existants
08B03 : Contrôle de la conformité des programmes de référence (Sources et exécutables)
09B05 : Contrôles permanents  (vraisemblance, ...) sur les traitements
10B01 : Sécurité des processus des développements applicatifs
</t>
        </r>
      </text>
    </comment>
    <comment ref="AK748" authorId="2">
      <text>
        <r>
          <rPr>
            <sz val="9"/>
            <color indexed="81"/>
            <rFont val="Tahoma"/>
            <family val="2"/>
          </rPr>
          <t xml:space="preserve">09B05 : Contrôles permanents  (vraisemblance, ...) sur les traitements
</t>
        </r>
      </text>
    </comment>
    <comment ref="AJ749" authorId="2">
      <text>
        <r>
          <rPr>
            <sz val="9"/>
            <color indexed="81"/>
            <rFont val="Tahoma"/>
            <family val="2"/>
          </rPr>
          <t xml:space="preserve">08A03 : Contrôle de la mise en production de nouveaux systèmes ou d'évolutions de systèmes existants
08B03 : Contrôle de la conformité des programmes de référence (Sources et exécutables)
09B05 : Contrôles permanents  (vraisemblance, ...) sur les traitements
10B05 : Sécurité de la maintenance applicative
</t>
        </r>
      </text>
    </comment>
    <comment ref="AK749" authorId="2">
      <text>
        <r>
          <rPr>
            <sz val="9"/>
            <color indexed="81"/>
            <rFont val="Tahoma"/>
            <family val="2"/>
          </rPr>
          <t xml:space="preserve">09B05 : Contrôles permanents  (vraisemblance, ...) sur les traitements
</t>
        </r>
      </text>
    </comment>
    <comment ref="AJ750" authorId="2">
      <text>
        <r>
          <rPr>
            <sz val="9"/>
            <color indexed="81"/>
            <rFont val="Tahoma"/>
            <family val="2"/>
          </rPr>
          <t xml:space="preserve">08B02 : Contrôle de la conformité des configurations applicatives (logiciels et progiciels)
08B03 : Contrôle de la conformité des programmes de référence (Sources et exécutables)
09B05 : Contrôles permanents  (vraisemblance, ...) sur les traitements
</t>
        </r>
      </text>
    </comment>
    <comment ref="AK750" authorId="2">
      <text>
        <r>
          <rPr>
            <sz val="9"/>
            <color indexed="81"/>
            <rFont val="Tahoma"/>
            <family val="2"/>
          </rPr>
          <t xml:space="preserve">09B05 : Contrôles permanents  (vraisemblance, ...) sur les traitements
</t>
        </r>
      </text>
    </comment>
    <comment ref="AI751" authorId="2">
      <text>
        <r>
          <rPr>
            <sz val="9"/>
            <color indexed="81"/>
            <rFont val="Tahoma"/>
            <family val="2"/>
          </rPr>
          <t xml:space="preserve">10B01 : Sécurité des processus des développements applicatifs
</t>
        </r>
      </text>
    </comment>
    <comment ref="AJ751" authorId="2">
      <text>
        <r>
          <rPr>
            <sz val="9"/>
            <color indexed="81"/>
            <rFont val="Tahoma"/>
            <family val="2"/>
          </rPr>
          <t xml:space="preserve">10B01 : Sécurité des processus des développements applicatifs
</t>
        </r>
      </text>
    </comment>
    <comment ref="AI752" authorId="2">
      <text>
        <r>
          <rPr>
            <sz val="9"/>
            <color indexed="81"/>
            <rFont val="Tahoma"/>
            <family val="2"/>
          </rPr>
          <t xml:space="preserve">10B05 : Sécurité de la maintenance applicative
</t>
        </r>
      </text>
    </comment>
    <comment ref="AJ752" authorId="2">
      <text>
        <r>
          <rPr>
            <sz val="9"/>
            <color indexed="81"/>
            <rFont val="Tahoma"/>
            <family val="2"/>
          </rPr>
          <t xml:space="preserve">10B05 : Sécurité de la maintenance applicative
</t>
        </r>
      </text>
    </comment>
    <comment ref="AI753" authorId="2">
      <text>
        <r>
          <rPr>
            <sz val="9"/>
            <color indexed="81"/>
            <rFont val="Tahoma"/>
            <family val="2"/>
          </rPr>
          <t xml:space="preserve">07C02 : Enregistrement des appels aux procédures privilégiées 
08F03 : Surveillance des actions d'administration des systèmes
</t>
        </r>
      </text>
    </comment>
    <comment ref="AJ753" authorId="2">
      <text>
        <r>
          <rPr>
            <sz val="9"/>
            <color indexed="81"/>
            <rFont val="Tahoma"/>
            <family val="2"/>
          </rPr>
          <t xml:space="preserve">08B02 : Contrôle de la conformité des configurations applicatives (logiciels et progiciels)
08B03 : Contrôle de la conformité des programmes de référence (Sources et exécutables)
</t>
        </r>
      </text>
    </comment>
    <comment ref="AK753" authorId="2">
      <text>
        <r>
          <rPr>
            <sz val="9"/>
            <color indexed="81"/>
            <rFont val="Tahoma"/>
            <family val="2"/>
          </rPr>
          <t xml:space="preserve">09B04 : Contrôles permanents  (vraisemblance, ...) sur les données
</t>
        </r>
      </text>
    </comment>
    <comment ref="AI754" authorId="2">
      <text>
        <r>
          <rPr>
            <sz val="9"/>
            <color indexed="81"/>
            <rFont val="Tahoma"/>
            <family val="2"/>
          </rPr>
          <t xml:space="preserve">07C02 : Enregistrement des appels aux procédures privilégiées 
</t>
        </r>
      </text>
    </comment>
    <comment ref="AJ754"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07A03 : Authentification de l'utilisateur ou de l'entité demandant un accès
07A04 : Filtrage des accès et gestion des associations
08B02 : Contrôle de la conformité des configurations applicatives (logiciels et progiciels)
08B03 : Contrôle de la conformité des programmes de référence (Sources et exécutables)
09B05 : Contrôles permanents  (vraisemblance, ...) sur les traitements
</t>
        </r>
      </text>
    </comment>
    <comment ref="AK754" authorId="2">
      <text>
        <r>
          <rPr>
            <sz val="9"/>
            <color indexed="81"/>
            <rFont val="Tahoma"/>
            <family val="2"/>
          </rPr>
          <t xml:space="preserve">09B04 : Contrôles permanents  (vraisemblance, ...) sur les données
</t>
        </r>
      </text>
    </comment>
    <comment ref="AJ755" authorId="2">
      <text>
        <r>
          <rPr>
            <sz val="9"/>
            <color indexed="81"/>
            <rFont val="Tahoma"/>
            <family val="2"/>
          </rPr>
          <t xml:space="preserve">08B03 : Contrôle de la conformité des programmes de référence (Sources et exécutables)
09B05 : Contrôles permanents  (vraisemblance, ...) sur les traitements
</t>
        </r>
      </text>
    </comment>
    <comment ref="AK755" authorId="2">
      <text>
        <r>
          <rPr>
            <sz val="9"/>
            <color indexed="81"/>
            <rFont val="Tahoma"/>
            <family val="2"/>
          </rPr>
          <t xml:space="preserve">09B04 : Contrôles permanents  (vraisemblance, ...) sur les données
</t>
        </r>
      </text>
    </comment>
    <comment ref="AI756" authorId="2">
      <text>
        <r>
          <rPr>
            <sz val="9"/>
            <color indexed="81"/>
            <rFont val="Tahoma"/>
            <family val="2"/>
          </rPr>
          <t xml:space="preserve">03B04 : Détection des intrusions dans les locaux sensibles 
03B05 : Surveillance périmétrique (surveillance des issues et des abords immédiats des locaux sensibles)
03B06 : Surveillance des locaux sensibles
</t>
        </r>
      </text>
    </comment>
    <comment ref="AJ756" authorId="2">
      <text>
        <r>
          <rPr>
            <sz val="9"/>
            <color indexed="81"/>
            <rFont val="Tahoma"/>
            <family val="2"/>
          </rPr>
          <t xml:space="preserve">03B01 : Gestion des droits d'accès aux locaux sensibles
03B02 : Gestion des autorisations d'accès aux locaux sensibles
03B03 : Contrôle des accès aux locaux sensibles
08B03 : Contrôle de la conformité des programmes de référence (Sources et exécutables)
08C02 : Marquage des supports de production (vivants, sauvegardes et archives)
09B05 : Contrôles permanents  (vraisemblance, ...) sur les traitements
</t>
        </r>
      </text>
    </comment>
    <comment ref="AK756" authorId="2">
      <text>
        <r>
          <rPr>
            <sz val="9"/>
            <color indexed="81"/>
            <rFont val="Tahoma"/>
            <family val="2"/>
          </rPr>
          <t xml:space="preserve">09B04 : Contrôles permanents  (vraisemblance, ...) sur les données
</t>
        </r>
      </text>
    </comment>
    <comment ref="AJ757" authorId="2">
      <text>
        <r>
          <rPr>
            <sz val="9"/>
            <color indexed="81"/>
            <rFont val="Tahoma"/>
            <family val="2"/>
          </rPr>
          <t xml:space="preserve">08B03 : Contrôle de la conformité des programmes de référence (Sources et exécutables)
09B05 : Contrôles permanents  (vraisemblance, ...) sur les traitements
</t>
        </r>
      </text>
    </comment>
    <comment ref="AK757" authorId="2">
      <text>
        <r>
          <rPr>
            <sz val="9"/>
            <color indexed="81"/>
            <rFont val="Tahoma"/>
            <family val="2"/>
          </rPr>
          <t xml:space="preserve">09B04 : Contrôles permanents  (vraisemblance, ...) sur les données
</t>
        </r>
      </text>
    </comment>
    <comment ref="AI758" authorId="2">
      <text>
        <r>
          <rPr>
            <sz val="9"/>
            <color indexed="81"/>
            <rFont val="Tahoma"/>
            <family val="2"/>
          </rPr>
          <t xml:space="preserve">07C02 : Enregistrement des appels aux procédures privilégiées 
08F03 : Surveillance des actions d'administration des systèmes
</t>
        </r>
      </text>
    </comment>
    <comment ref="AJ758"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I759" authorId="2">
      <text>
        <r>
          <rPr>
            <sz val="9"/>
            <color indexed="81"/>
            <rFont val="Tahoma"/>
            <family val="2"/>
          </rPr>
          <t xml:space="preserve">10B01 : Sécurité des processus des développements applicatifs
</t>
        </r>
      </text>
    </comment>
    <comment ref="AJ759"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I760" authorId="2">
      <text>
        <r>
          <rPr>
            <sz val="9"/>
            <color indexed="81"/>
            <rFont val="Tahoma"/>
            <family val="2"/>
          </rPr>
          <t xml:space="preserve">10B05 : Sécurité de la maintenance applicative
</t>
        </r>
      </text>
    </comment>
    <comment ref="AJ760"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J761" authorId="2">
      <text>
        <r>
          <rPr>
            <sz val="9"/>
            <color indexed="81"/>
            <rFont val="Tahoma"/>
            <family val="2"/>
          </rPr>
          <t xml:space="preserve">08A03 : Contrôle de la mise en production de nouveaux systèmes ou d'évolutions de systèmes existants
08A04 : Contrôle des opérations de maintenance 
</t>
        </r>
      </text>
    </comment>
    <comment ref="AJ762" authorId="2">
      <text>
        <r>
          <rPr>
            <sz val="9"/>
            <color indexed="81"/>
            <rFont val="Tahoma"/>
            <family val="2"/>
          </rPr>
          <t xml:space="preserve">08A04 : Contrôle des opérations de maintenance 
</t>
        </r>
      </text>
    </comment>
    <comment ref="AI763" authorId="2">
      <text>
        <r>
          <rPr>
            <sz val="9"/>
            <color indexed="81"/>
            <rFont val="Tahoma"/>
            <family val="2"/>
          </rPr>
          <t xml:space="preserve">07C02 : Enregistrement des appels aux procédures privilégiées 
08F03 : Surveillance des actions d'administration des systèmes
</t>
        </r>
      </text>
    </comment>
    <comment ref="AI764" authorId="2">
      <text>
        <r>
          <rPr>
            <sz val="9"/>
            <color indexed="81"/>
            <rFont val="Tahoma"/>
            <family val="2"/>
          </rPr>
          <t xml:space="preserve">10B05 : Sécurité de la maintenance applicative
</t>
        </r>
      </text>
    </comment>
    <comment ref="AJ764" authorId="2">
      <text>
        <r>
          <rPr>
            <sz val="9"/>
            <color indexed="81"/>
            <rFont val="Tahoma"/>
            <family val="2"/>
          </rPr>
          <t xml:space="preserve">08A04 : Contrôle des opérations de maintenance 
</t>
        </r>
      </text>
    </comment>
    <comment ref="AJ765" authorId="2">
      <text>
        <r>
          <rPr>
            <sz val="9"/>
            <color indexed="81"/>
            <rFont val="Tahoma"/>
            <family val="2"/>
          </rPr>
          <t xml:space="preserve">08F01 : Gestion des attributions de droits privilégiés sur les systèmes (droits d'administrateur)
08F02 : Authentification et contrôle des droits d'accès des administrateurs et personnels d'exploitation
</t>
        </r>
      </text>
    </comment>
    <comment ref="AJ767" authorId="2">
      <text>
        <r>
          <rPr>
            <sz val="9"/>
            <color indexed="81"/>
            <rFont val="Tahoma"/>
            <family val="2"/>
          </rPr>
          <t xml:space="preserve">08B01 : Paramétrage des systèmes et contrôle de la conformité des configurations systèmes
</t>
        </r>
      </text>
    </comment>
    <comment ref="AJ768" authorId="2">
      <text>
        <r>
          <rPr>
            <sz val="9"/>
            <color indexed="81"/>
            <rFont val="Tahoma"/>
            <family val="2"/>
          </rPr>
          <t xml:space="preserve">08B01 : Paramétrage des systèmes et contrôle de la conformité des configurations systèmes
</t>
        </r>
      </text>
    </comment>
    <comment ref="AI769" authorId="2">
      <text>
        <r>
          <rPr>
            <sz val="9"/>
            <color indexed="81"/>
            <rFont val="Tahoma"/>
            <family val="2"/>
          </rPr>
          <t xml:space="preserve">08A04 : Contrôle des opérations de maintenance 
</t>
        </r>
      </text>
    </comment>
    <comment ref="AJ769" authorId="2">
      <text>
        <r>
          <rPr>
            <sz val="9"/>
            <color indexed="81"/>
            <rFont val="Tahoma"/>
            <family val="2"/>
          </rPr>
          <t xml:space="preserve">08B01 : Paramétrage des systèmes et contrôle de la conformité des configurations systèmes
</t>
        </r>
      </text>
    </comment>
    <comment ref="AI770"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771"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07A03 : Authentification de l'utilisateur ou de l'entité demandant un accès
07A04 : Filtrage des accès et gestion des associations
08B01 : Paramétrage des systèmes et contrôle de la conformité des configurations systèmes
</t>
        </r>
      </text>
    </comment>
    <comment ref="AJ772" authorId="2">
      <text>
        <r>
          <rPr>
            <sz val="9"/>
            <color indexed="81"/>
            <rFont val="Tahoma"/>
            <family val="2"/>
          </rPr>
          <t xml:space="preserve">08B01 : Paramétrage des systèmes et contrôle de la conformité des configurations systèmes
</t>
        </r>
      </text>
    </comment>
    <comment ref="AJ773" authorId="2">
      <text>
        <r>
          <rPr>
            <sz val="9"/>
            <color indexed="81"/>
            <rFont val="Tahoma"/>
            <family val="2"/>
          </rPr>
          <t xml:space="preserve">08B01 : Paramétrage des systèmes et contrôle de la conformité des configurations systèmes
</t>
        </r>
      </text>
    </comment>
    <comment ref="AI774" authorId="2">
      <text>
        <r>
          <rPr>
            <sz val="9"/>
            <color indexed="81"/>
            <rFont val="Tahoma"/>
            <family val="2"/>
          </rPr>
          <t xml:space="preserve">07C02 : Enregistrement des appels aux procédures privilégiées 
08F03 : Surveillance des actions d'administration des systèmes
</t>
        </r>
      </text>
    </comment>
    <comment ref="AJ775" authorId="2">
      <text>
        <r>
          <rPr>
            <sz val="9"/>
            <color indexed="81"/>
            <rFont val="Tahoma"/>
            <family val="2"/>
          </rPr>
          <t xml:space="preserve">08F01 : Gestion des attributions de droits privilégiés sur les systèmes (droits d'administrateur)
08F02 : Authentification et contrôle des droits d'accès des administrateurs et personnels d'exploitation
</t>
        </r>
      </text>
    </comment>
    <comment ref="AJ777" authorId="2">
      <text>
        <r>
          <rPr>
            <sz val="9"/>
            <color indexed="81"/>
            <rFont val="Tahoma"/>
            <family val="2"/>
          </rPr>
          <t xml:space="preserve">08B01 : Paramétrage des systèmes et contrôle de la conformité des configurations systèmes
</t>
        </r>
      </text>
    </comment>
    <comment ref="AJ778" authorId="2">
      <text>
        <r>
          <rPr>
            <sz val="9"/>
            <color indexed="81"/>
            <rFont val="Tahoma"/>
            <family val="2"/>
          </rPr>
          <t xml:space="preserve">08B01 : Paramétrage des systèmes et contrôle de la conformité des configurations systèmes
</t>
        </r>
      </text>
    </comment>
    <comment ref="AI779" authorId="2">
      <text>
        <r>
          <rPr>
            <sz val="9"/>
            <color indexed="81"/>
            <rFont val="Tahoma"/>
            <family val="2"/>
          </rPr>
          <t xml:space="preserve">08A04 : Contrôle des opérations de maintenance 
</t>
        </r>
      </text>
    </comment>
    <comment ref="AJ779" authorId="2">
      <text>
        <r>
          <rPr>
            <sz val="9"/>
            <color indexed="81"/>
            <rFont val="Tahoma"/>
            <family val="2"/>
          </rPr>
          <t xml:space="preserve">08B01 : Paramétrage des systèmes et contrôle de la conformité des configurations systèmes
</t>
        </r>
      </text>
    </comment>
    <comment ref="AI780" authorId="2">
      <text>
        <r>
          <rPr>
            <sz val="9"/>
            <color indexed="81"/>
            <rFont val="Tahoma"/>
            <family val="2"/>
          </rPr>
          <t xml:space="preserve">08F02 : Authentification et contrôle des droits d'accès des administrateurs et personnels d'exploitation
08F03 : Surveillance des actions d'administration des systèmes
</t>
        </r>
      </text>
    </comment>
    <comment ref="AJ781"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07A03 : Authentification de l'utilisateur ou de l'entité demandant un accès
07A04 : Filtrage des accès et gestion des associations
08B01 : Paramétrage des systèmes et contrôle de la conformité des configurations systèmes
</t>
        </r>
      </text>
    </comment>
    <comment ref="AJ782" authorId="2">
      <text>
        <r>
          <rPr>
            <sz val="9"/>
            <color indexed="81"/>
            <rFont val="Tahoma"/>
            <family val="2"/>
          </rPr>
          <t xml:space="preserve">08B01 : Paramétrage des systèmes et contrôle de la conformité des configurations systèmes
</t>
        </r>
      </text>
    </comment>
    <comment ref="AJ783" authorId="2">
      <text>
        <r>
          <rPr>
            <sz val="9"/>
            <color indexed="81"/>
            <rFont val="Tahoma"/>
            <family val="2"/>
          </rPr>
          <t xml:space="preserve">08B01 : Paramétrage des systèmes et contrôle de la conformité des configurations systèmes
</t>
        </r>
      </text>
    </comment>
    <comment ref="AI784" authorId="2">
      <text>
        <r>
          <rPr>
            <sz val="9"/>
            <color indexed="81"/>
            <rFont val="Tahoma"/>
            <family val="2"/>
          </rPr>
          <t xml:space="preserve">07C02 : Enregistrement des appels aux procédures privilégiées 
08F03 : Surveillance des actions d'administration des systèmes
</t>
        </r>
      </text>
    </comment>
    <comment ref="AJ785" authorId="2">
      <text>
        <r>
          <rPr>
            <sz val="9"/>
            <color indexed="81"/>
            <rFont val="Tahoma"/>
            <family val="2"/>
          </rPr>
          <t xml:space="preserve">08F01 : Gestion des attributions de droits privilégiés sur les systèmes (droits d'administrateur)
08F02 : Authentification et contrôle des droits d'accès des administrateurs et personnels d'exploitation
</t>
        </r>
      </text>
    </comment>
    <comment ref="AJ787" authorId="2">
      <text>
        <r>
          <rPr>
            <sz val="9"/>
            <color indexed="81"/>
            <rFont val="Tahoma"/>
            <family val="2"/>
          </rPr>
          <t xml:space="preserve">08A03 : Contrôle de la mise en production de nouveaux systèmes ou d'évolutions de systèmes existants
08B03 : Contrôle de la conformité des programmes de référence (Sources et exécutables)
09B05 : Contrôles permanents  (vraisemblance, ...) sur les traitements
10B01 : Sécurité des processus des développements applicatifs
</t>
        </r>
      </text>
    </comment>
    <comment ref="AK787" authorId="2">
      <text>
        <r>
          <rPr>
            <sz val="9"/>
            <color indexed="81"/>
            <rFont val="Tahoma"/>
            <family val="2"/>
          </rPr>
          <t xml:space="preserve">09B05 : Contrôles permanents  (vraisemblance, ...) sur les traitements
</t>
        </r>
      </text>
    </comment>
    <comment ref="AJ788" authorId="2">
      <text>
        <r>
          <rPr>
            <sz val="9"/>
            <color indexed="81"/>
            <rFont val="Tahoma"/>
            <family val="2"/>
          </rPr>
          <t xml:space="preserve">08A03 : Contrôle de la mise en production de nouveaux systèmes ou d'évolutions de systèmes existants
08B03 : Contrôle de la conformité des programmes de référence (Sources et exécutables)
09B05 : Contrôles permanents  (vraisemblance, ...) sur les traitements
10B05 : Sécurité de la maintenance applicative
</t>
        </r>
      </text>
    </comment>
    <comment ref="AK788" authorId="2">
      <text>
        <r>
          <rPr>
            <sz val="9"/>
            <color indexed="81"/>
            <rFont val="Tahoma"/>
            <family val="2"/>
          </rPr>
          <t xml:space="preserve">09B05 : Contrôles permanents  (vraisemblance, ...) sur les traitements
</t>
        </r>
      </text>
    </comment>
    <comment ref="AJ789" authorId="2">
      <text>
        <r>
          <rPr>
            <sz val="9"/>
            <color indexed="81"/>
            <rFont val="Tahoma"/>
            <family val="2"/>
          </rPr>
          <t xml:space="preserve">08B02 : Contrôle de la conformité des configurations applicatives (logiciels et progiciels)
08B03 : Contrôle de la conformité des programmes de référence (Sources et exécutables)
09B05 : Contrôles permanents  (vraisemblance, ...) sur les traitements
</t>
        </r>
      </text>
    </comment>
    <comment ref="AK789" authorId="2">
      <text>
        <r>
          <rPr>
            <sz val="9"/>
            <color indexed="81"/>
            <rFont val="Tahoma"/>
            <family val="2"/>
          </rPr>
          <t xml:space="preserve">09B05 : Contrôles permanents  (vraisemblance, ...) sur les traitements
</t>
        </r>
      </text>
    </comment>
    <comment ref="AI790" authorId="2">
      <text>
        <r>
          <rPr>
            <sz val="9"/>
            <color indexed="81"/>
            <rFont val="Tahoma"/>
            <family val="2"/>
          </rPr>
          <t xml:space="preserve">10B01 : Sécurité des processus des développements applicatifs
</t>
        </r>
      </text>
    </comment>
    <comment ref="AJ790" authorId="2">
      <text>
        <r>
          <rPr>
            <sz val="9"/>
            <color indexed="81"/>
            <rFont val="Tahoma"/>
            <family val="2"/>
          </rPr>
          <t xml:space="preserve">10B01 : Sécurité des processus des développements applicatifs
</t>
        </r>
      </text>
    </comment>
    <comment ref="AI791" authorId="2">
      <text>
        <r>
          <rPr>
            <sz val="9"/>
            <color indexed="81"/>
            <rFont val="Tahoma"/>
            <family val="2"/>
          </rPr>
          <t xml:space="preserve">10B05 : Sécurité de la maintenance applicative
</t>
        </r>
      </text>
    </comment>
    <comment ref="AJ791" authorId="2">
      <text>
        <r>
          <rPr>
            <sz val="9"/>
            <color indexed="81"/>
            <rFont val="Tahoma"/>
            <family val="2"/>
          </rPr>
          <t xml:space="preserve">10B05 : Sécurité de la maintenance applicative
</t>
        </r>
      </text>
    </comment>
    <comment ref="AI792" authorId="2">
      <text>
        <r>
          <rPr>
            <sz val="9"/>
            <color indexed="81"/>
            <rFont val="Tahoma"/>
            <family val="2"/>
          </rPr>
          <t xml:space="preserve">07C02 : Enregistrement des appels aux procédures privilégiées 
08F03 : Surveillance des actions d'administration des systèmes
</t>
        </r>
      </text>
    </comment>
    <comment ref="AJ792" authorId="2">
      <text>
        <r>
          <rPr>
            <sz val="9"/>
            <color indexed="81"/>
            <rFont val="Tahoma"/>
            <family val="2"/>
          </rPr>
          <t xml:space="preserve">08B02 : Contrôle de la conformité des configurations applicatives (logiciels et progiciels)
08B03 : Contrôle de la conformité des programmes de référence (Sources et exécutables)
</t>
        </r>
      </text>
    </comment>
    <comment ref="AK792" authorId="2">
      <text>
        <r>
          <rPr>
            <sz val="9"/>
            <color indexed="81"/>
            <rFont val="Tahoma"/>
            <family val="2"/>
          </rPr>
          <t xml:space="preserve">09B04 : Contrôles permanents  (vraisemblance, ...) sur les données
</t>
        </r>
      </text>
    </comment>
    <comment ref="AI793" authorId="2">
      <text>
        <r>
          <rPr>
            <sz val="9"/>
            <color indexed="81"/>
            <rFont val="Tahoma"/>
            <family val="2"/>
          </rPr>
          <t xml:space="preserve">07C02 : Enregistrement des appels aux procédures privilégiées 
</t>
        </r>
      </text>
    </comment>
    <comment ref="AJ793"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07A03 : Authentification de l'utilisateur ou de l'entité demandant un accès
07A04 : Filtrage des accès et gestion des associations
08B02 : Contrôle de la conformité des configurations applicatives (logiciels et progiciels)
08B03 : Contrôle de la conformité des programmes de référence (Sources et exécutables)
09B05 : Contrôles permanents  (vraisemblance, ...) sur les traitements
</t>
        </r>
      </text>
    </comment>
    <comment ref="AK793" authorId="2">
      <text>
        <r>
          <rPr>
            <sz val="9"/>
            <color indexed="81"/>
            <rFont val="Tahoma"/>
            <family val="2"/>
          </rPr>
          <t xml:space="preserve">09B04 : Contrôles permanents  (vraisemblance, ...) sur les données
</t>
        </r>
      </text>
    </comment>
    <comment ref="AJ794" authorId="2">
      <text>
        <r>
          <rPr>
            <sz val="9"/>
            <color indexed="81"/>
            <rFont val="Tahoma"/>
            <family val="2"/>
          </rPr>
          <t xml:space="preserve">08B03 : Contrôle de la conformité des programmes de référence (Sources et exécutables)
09B05 : Contrôles permanents  (vraisemblance, ...) sur les traitements
</t>
        </r>
      </text>
    </comment>
    <comment ref="AK794" authorId="2">
      <text>
        <r>
          <rPr>
            <sz val="9"/>
            <color indexed="81"/>
            <rFont val="Tahoma"/>
            <family val="2"/>
          </rPr>
          <t xml:space="preserve">09B04 : Contrôles permanents  (vraisemblance, ...) sur les données
</t>
        </r>
      </text>
    </comment>
    <comment ref="AI795" authorId="2">
      <text>
        <r>
          <rPr>
            <sz val="9"/>
            <color indexed="81"/>
            <rFont val="Tahoma"/>
            <family val="2"/>
          </rPr>
          <t xml:space="preserve">03B04 : Détection des intrusions dans les locaux sensibles 
03B05 : Surveillance périmétrique (surveillance des issues et des abords immédiats des locaux sensibles)
03B06 : Surveillance des locaux sensibles
</t>
        </r>
      </text>
    </comment>
    <comment ref="AJ795" authorId="2">
      <text>
        <r>
          <rPr>
            <sz val="9"/>
            <color indexed="81"/>
            <rFont val="Tahoma"/>
            <family val="2"/>
          </rPr>
          <t xml:space="preserve">03B01 : Gestion des droits d'accès aux locaux sensibles
03B02 : Gestion des autorisations d'accès aux locaux sensibles
03B03 : Contrôle des accès aux locaux sensibles
08B03 : Contrôle de la conformité des programmes de référence (Sources et exécutables)
08C02 : Marquage des supports de production (vivants, sauvegardes et archives)
09B05 : Contrôles permanents  (vraisemblance, ...) sur les traitements
</t>
        </r>
      </text>
    </comment>
    <comment ref="AK795" authorId="2">
      <text>
        <r>
          <rPr>
            <sz val="9"/>
            <color indexed="81"/>
            <rFont val="Tahoma"/>
            <family val="2"/>
          </rPr>
          <t xml:space="preserve">09B04 : Contrôles permanents  (vraisemblance, ...) sur les données
</t>
        </r>
      </text>
    </comment>
    <comment ref="AJ796" authorId="2">
      <text>
        <r>
          <rPr>
            <sz val="9"/>
            <color indexed="81"/>
            <rFont val="Tahoma"/>
            <family val="2"/>
          </rPr>
          <t xml:space="preserve">08B03 : Contrôle de la conformité des programmes de référence (Sources et exécutables)
09B05 : Contrôles permanents  (vraisemblance, ...) sur les traitements
</t>
        </r>
      </text>
    </comment>
    <comment ref="AK796" authorId="2">
      <text>
        <r>
          <rPr>
            <sz val="9"/>
            <color indexed="81"/>
            <rFont val="Tahoma"/>
            <family val="2"/>
          </rPr>
          <t xml:space="preserve">09B04 : Contrôles permanents  (vraisemblance, ...) sur les données
</t>
        </r>
      </text>
    </comment>
    <comment ref="AI797" authorId="2">
      <text>
        <r>
          <rPr>
            <sz val="9"/>
            <color indexed="81"/>
            <rFont val="Tahoma"/>
            <family val="2"/>
          </rPr>
          <t xml:space="preserve">07C02 : Enregistrement des appels aux procédures privilégiées 
08F03 : Surveillance des actions d'administration des systèmes
</t>
        </r>
      </text>
    </comment>
    <comment ref="AJ797"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I798" authorId="2">
      <text>
        <r>
          <rPr>
            <sz val="9"/>
            <color indexed="81"/>
            <rFont val="Tahoma"/>
            <family val="2"/>
          </rPr>
          <t xml:space="preserve">10B01 : Sécurité des processus des développements applicatifs
</t>
        </r>
      </text>
    </comment>
    <comment ref="AJ798"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I799" authorId="2">
      <text>
        <r>
          <rPr>
            <sz val="9"/>
            <color indexed="81"/>
            <rFont val="Tahoma"/>
            <family val="2"/>
          </rPr>
          <t xml:space="preserve">10B05 : Sécurité de la maintenance applicative
</t>
        </r>
      </text>
    </comment>
    <comment ref="AJ799" authorId="2">
      <text>
        <r>
          <rPr>
            <sz val="9"/>
            <color indexed="81"/>
            <rFont val="Tahoma"/>
            <family val="2"/>
          </rPr>
          <t xml:space="preserve">07A05 : Authentification du serveur lors des accès à des serveurs sensibles
09A05 : Authentification de l'application lors des accès à des applications sensibles
</t>
        </r>
      </text>
    </comment>
    <comment ref="AJ801" authorId="2">
      <text>
        <r>
          <rPr>
            <sz val="9"/>
            <color indexed="81"/>
            <rFont val="Tahoma"/>
            <family val="2"/>
          </rPr>
          <t xml:space="preserve">08A04 : Contrôle des opérations de maintenance 
</t>
        </r>
      </text>
    </comment>
    <comment ref="AI802" authorId="2">
      <text>
        <r>
          <rPr>
            <sz val="9"/>
            <color indexed="81"/>
            <rFont val="Tahoma"/>
            <family val="2"/>
          </rPr>
          <t xml:space="preserve">07C02 : Enregistrement des appels aux procédures privilégiées 
08F03 : Surveillance des actions d'administration des systèmes
</t>
        </r>
      </text>
    </comment>
    <comment ref="AI803" authorId="2">
      <text>
        <r>
          <rPr>
            <sz val="9"/>
            <color indexed="81"/>
            <rFont val="Tahoma"/>
            <family val="2"/>
          </rPr>
          <t xml:space="preserve">10B05 : Sécurité de la maintenance applicative
</t>
        </r>
      </text>
    </comment>
    <comment ref="AJ803" authorId="2">
      <text>
        <r>
          <rPr>
            <sz val="9"/>
            <color indexed="81"/>
            <rFont val="Tahoma"/>
            <family val="2"/>
          </rPr>
          <t xml:space="preserve">08A04 : Contrôle des opérations de maintenance 
</t>
        </r>
      </text>
    </comment>
    <comment ref="AJ804" authorId="2">
      <text>
        <r>
          <rPr>
            <sz val="9"/>
            <color indexed="81"/>
            <rFont val="Tahoma"/>
            <family val="2"/>
          </rPr>
          <t xml:space="preserve">08F01 : Gestion des attributions de droits privilégiés sur les systèmes (droits d'administrateur)
08F02 : Authentification et contrôle des droits d'accès des administrateurs et personnels d'exploitation
</t>
        </r>
      </text>
    </comment>
    <comment ref="AJ806" authorId="2">
      <text>
        <r>
          <rPr>
            <sz val="9"/>
            <color indexed="81"/>
            <rFont val="Tahoma"/>
            <family val="2"/>
          </rPr>
          <t xml:space="preserve">10B02 : Protection de la confidentialité des développements applicatifs
</t>
        </r>
      </text>
    </comment>
    <comment ref="AJ807" authorId="2">
      <text>
        <r>
          <rPr>
            <sz val="9"/>
            <color indexed="81"/>
            <rFont val="Tahoma"/>
            <family val="2"/>
          </rPr>
          <t xml:space="preserve">10B02 : Protection de la confidentialité des développements applicatifs
</t>
        </r>
      </text>
    </comment>
    <comment ref="AJ808" authorId="2">
      <text>
        <r>
          <rPr>
            <sz val="9"/>
            <color indexed="81"/>
            <rFont val="Tahoma"/>
            <family val="2"/>
          </rPr>
          <t xml:space="preserve">10B02 : Protection de la confidentialité des développements applicatifs
</t>
        </r>
      </text>
    </comment>
    <comment ref="AJ809" authorId="2">
      <text>
        <r>
          <rPr>
            <sz val="9"/>
            <color indexed="81"/>
            <rFont val="Tahoma"/>
            <family val="2"/>
          </rPr>
          <t xml:space="preserve">10B02 : Protection de la confidentialité des développements applicatifs
</t>
        </r>
      </text>
    </comment>
    <comment ref="AJ810" authorId="2">
      <text>
        <r>
          <rPr>
            <sz val="9"/>
            <color indexed="81"/>
            <rFont val="Tahoma"/>
            <family val="2"/>
          </rPr>
          <t xml:space="preserve">10B02 : Protection de la confidentialité des développements applicatifs
</t>
        </r>
      </text>
    </comment>
    <comment ref="AJ811" authorId="2">
      <text>
        <r>
          <rPr>
            <sz val="9"/>
            <color indexed="81"/>
            <rFont val="Tahoma"/>
            <family val="2"/>
          </rPr>
          <t xml:space="preserve">07A01 : Gestion des profils d'accès (droits et privilèges accordés en fonction des profils de fonction)
07A02 : Gestion des autorisations d'accès et privilèges (attribution, délégation, retrait)
09A01 : Gestion des profils d'accès aux données applicatives
09A02 : Gestion des autorisations d'accès aux données applicatives (attribution, délégation, retrait)
10B02 : Protection de la confidentialité des développements applicatifs
</t>
        </r>
      </text>
    </comment>
    <comment ref="AJ812" authorId="2">
      <text>
        <r>
          <rPr>
            <sz val="9"/>
            <color indexed="81"/>
            <rFont val="Tahoma"/>
            <family val="2"/>
          </rPr>
          <t xml:space="preserve">07A03 : Authentification de l'utilisateur ou de l'entité demandant un accès
07A04 : Filtrage des accès et gestion des associations
08F02 : Authentification et contrôle des droits d'accès des administrateurs et personnels d'exploitation
08C06 : Protection des réseaux de stockage
09A03 : Authentification de l'utilisateur ou de l'entité demandant un accès
09A04 : Filtrage des accès et gestion des associations
10B02 : Protection de la confidentialité des développements applicatifs
</t>
        </r>
      </text>
    </comment>
    <comment ref="AJ813" authorId="2">
      <text>
        <r>
          <rPr>
            <sz val="9"/>
            <color indexed="81"/>
            <rFont val="Tahoma"/>
            <family val="2"/>
          </rPr>
          <t xml:space="preserve">10B02 : Protection de la confidentialité des développements applicatifs
</t>
        </r>
      </text>
    </comment>
    <comment ref="AJ814" authorId="2">
      <text>
        <r>
          <rPr>
            <sz val="9"/>
            <color indexed="81"/>
            <rFont val="Tahoma"/>
            <family val="2"/>
          </rPr>
          <t xml:space="preserve">10B02 : Protection de la confidentialité des développements applicatifs
</t>
        </r>
      </text>
    </comment>
    <comment ref="AJ815" authorId="2">
      <text>
        <r>
          <rPr>
            <sz val="9"/>
            <color indexed="81"/>
            <rFont val="Tahoma"/>
            <family val="2"/>
          </rPr>
          <t xml:space="preserve">10B02 : Protection de la confidentialité des développements applicatifs
</t>
        </r>
      </text>
    </comment>
    <comment ref="AI816" authorId="2">
      <text>
        <r>
          <rPr>
            <sz val="9"/>
            <color indexed="81"/>
            <rFont val="Tahoma"/>
            <family val="2"/>
          </rPr>
          <t xml:space="preserve">08C03 : Sécurité physique des supports stockés sur site 
</t>
        </r>
      </text>
    </comment>
    <comment ref="AJ816" authorId="2">
      <text>
        <r>
          <rPr>
            <sz val="9"/>
            <color indexed="81"/>
            <rFont val="Tahoma"/>
            <family val="2"/>
          </rPr>
          <t xml:space="preserve">10B02 : Protection de la confidentialité des développements applicatifs
</t>
        </r>
      </text>
    </comment>
    <comment ref="AI817" authorId="2">
      <text>
        <r>
          <rPr>
            <sz val="9"/>
            <color indexed="81"/>
            <rFont val="Tahoma"/>
            <family val="2"/>
          </rPr>
          <t xml:space="preserve">08C04 : Sécurité physique des supports externalisés (stockés dans un site externe)
</t>
        </r>
      </text>
    </comment>
    <comment ref="AJ817" authorId="2">
      <text>
        <r>
          <rPr>
            <sz val="9"/>
            <color indexed="81"/>
            <rFont val="Tahoma"/>
            <family val="2"/>
          </rPr>
          <t xml:space="preserve">10B02 : Protection de la confidentialité des développements applicatifs
</t>
        </r>
      </text>
    </comment>
    <comment ref="AI818" authorId="2">
      <text>
        <r>
          <rPr>
            <sz val="9"/>
            <color indexed="81"/>
            <rFont val="Tahoma"/>
            <family val="2"/>
          </rPr>
          <t xml:space="preserve">03B06 : Surveillance des locaux sensibles
</t>
        </r>
      </text>
    </comment>
    <comment ref="AJ818" authorId="2">
      <text>
        <r>
          <rPr>
            <sz val="9"/>
            <color indexed="81"/>
            <rFont val="Tahoma"/>
            <family val="2"/>
          </rPr>
          <t xml:space="preserve">03B03 : Contrôle des accès aux locaux sensibles
03B04 : Détection des intrusions dans les locaux sensibles 
10B02 : Protection de la confidentialité des développements applicatifs
</t>
        </r>
      </text>
    </comment>
    <comment ref="AJ819" authorId="2">
      <text>
        <r>
          <rPr>
            <sz val="9"/>
            <color indexed="81"/>
            <rFont val="Tahoma"/>
            <family val="2"/>
          </rPr>
          <t xml:space="preserve">08C07 : Sécurité physique des médias en transit
10B02 : Protection de la confidentialité des développements applicatifs
</t>
        </r>
      </text>
    </comment>
    <comment ref="AI820" authorId="2">
      <text>
        <r>
          <rPr>
            <sz val="9"/>
            <color indexed="81"/>
            <rFont val="Tahoma"/>
            <family val="2"/>
          </rPr>
          <t xml:space="preserve">08C03 : Sécurité physique des supports stockés sur site 
</t>
        </r>
      </text>
    </comment>
    <comment ref="AJ820" authorId="2">
      <text>
        <r>
          <rPr>
            <sz val="9"/>
            <color indexed="81"/>
            <rFont val="Tahoma"/>
            <family val="2"/>
          </rPr>
          <t xml:space="preserve">08C03 : Sécurité physique des supports stockés sur site 
10B02 : Protection de la confidentialité des développements applicatifs
</t>
        </r>
      </text>
    </comment>
    <comment ref="AI821" authorId="2">
      <text>
        <r>
          <rPr>
            <sz val="9"/>
            <color indexed="81"/>
            <rFont val="Tahoma"/>
            <family val="2"/>
          </rPr>
          <t xml:space="preserve">08C04 : Sécurité physique des supports externalisés (stockés dans un site externe)
</t>
        </r>
      </text>
    </comment>
    <comment ref="AJ821" authorId="2">
      <text>
        <r>
          <rPr>
            <sz val="9"/>
            <color indexed="81"/>
            <rFont val="Tahoma"/>
            <family val="2"/>
          </rPr>
          <t xml:space="preserve">08C04 : Sécurité physique des supports externalisés (stockés dans un site externe)
10B02 : Protection de la confidentialité des développements applicatifs
</t>
        </r>
      </text>
    </comment>
    <comment ref="AJ823" authorId="2">
      <text>
        <r>
          <rPr>
            <sz val="9"/>
            <color indexed="81"/>
            <rFont val="Tahoma"/>
            <family val="2"/>
          </rPr>
          <t xml:space="preserve">13A01 : Politique et directives relatives à la PRP
</t>
        </r>
      </text>
    </comment>
    <comment ref="AJ824" authorId="2">
      <text>
        <r>
          <rPr>
            <sz val="9"/>
            <color indexed="81"/>
            <rFont val="Tahoma"/>
            <family val="2"/>
          </rPr>
          <t xml:space="preserve">13A03 : Applicabilité de la politique relative à la Prp
</t>
        </r>
      </text>
    </comment>
    <comment ref="AJ825" authorId="2">
      <text>
        <r>
          <rPr>
            <sz val="9"/>
            <color indexed="81"/>
            <rFont val="Tahoma"/>
            <family val="2"/>
          </rPr>
          <t xml:space="preserve">13A02 : Programme de formation et de sensibilisation à la PRP
</t>
        </r>
      </text>
    </comment>
    <comment ref="AI826" authorId="2">
      <text>
        <r>
          <rPr>
            <sz val="9"/>
            <color indexed="81"/>
            <rFont val="Tahoma"/>
            <family val="2"/>
          </rPr>
          <t xml:space="preserve">13A04 : Contrôle de l'application de la politique relative à la Prp
</t>
        </r>
      </text>
    </comment>
    <comment ref="AJ828" authorId="2">
      <text>
        <r>
          <rPr>
            <sz val="9"/>
            <color indexed="81"/>
            <rFont val="Tahoma"/>
            <family val="2"/>
          </rPr>
          <t xml:space="preserve">13B01 : Politique et directives relatives à la Communication financière
</t>
        </r>
      </text>
    </comment>
    <comment ref="AJ829" authorId="2">
      <text>
        <r>
          <rPr>
            <sz val="9"/>
            <color indexed="81"/>
            <rFont val="Tahoma"/>
            <family val="2"/>
          </rPr>
          <t xml:space="preserve">13B03 : Applicabilité de la politique relative à la Communication financière
</t>
        </r>
      </text>
    </comment>
    <comment ref="AJ830" authorId="2">
      <text>
        <r>
          <rPr>
            <sz val="9"/>
            <color indexed="81"/>
            <rFont val="Tahoma"/>
            <family val="2"/>
          </rPr>
          <t xml:space="preserve">13B02 : Programme de formation et de sensibilisation à la Communication financière
</t>
        </r>
      </text>
    </comment>
    <comment ref="AI831" authorId="2">
      <text>
        <r>
          <rPr>
            <sz val="9"/>
            <color indexed="81"/>
            <rFont val="Tahoma"/>
            <family val="2"/>
          </rPr>
          <t xml:space="preserve">13B04 : Contrôle de l'application de la politique relative à la Communication financière
</t>
        </r>
      </text>
    </comment>
    <comment ref="AJ833" authorId="2">
      <text>
        <r>
          <rPr>
            <sz val="9"/>
            <color indexed="81"/>
            <rFont val="Tahoma"/>
            <family val="2"/>
          </rPr>
          <t xml:space="preserve">13C01 : Conservation des données et traitements 
13C02 : Documentation des données , procédures et traitements liés à la comptabilité
</t>
        </r>
      </text>
    </comment>
    <comment ref="AJ834" authorId="2">
      <text>
        <r>
          <rPr>
            <sz val="9"/>
            <color indexed="81"/>
            <rFont val="Tahoma"/>
            <family val="2"/>
          </rPr>
          <t xml:space="preserve">13C04 : Applicabilité de la politique relative à la Vérification de la comptabilité informatisée
</t>
        </r>
      </text>
    </comment>
    <comment ref="AJ835" authorId="2">
      <text>
        <r>
          <rPr>
            <sz val="9"/>
            <color indexed="81"/>
            <rFont val="Tahoma"/>
            <family val="2"/>
          </rPr>
          <t xml:space="preserve">13C03 : Programme de formation et de sensibilisation aux contraintes de la Vérification de la comptabilité informatisée
</t>
        </r>
      </text>
    </comment>
    <comment ref="AI836" authorId="2">
      <text>
        <r>
          <rPr>
            <sz val="9"/>
            <color indexed="81"/>
            <rFont val="Tahoma"/>
            <family val="2"/>
          </rPr>
          <t xml:space="preserve">13C05 : Contrôle de l'application de la politique relative à la Vérification de la comptabilité informatisée
</t>
        </r>
      </text>
    </comment>
    <comment ref="AJ838" authorId="2">
      <text>
        <r>
          <rPr>
            <sz val="9"/>
            <color indexed="81"/>
            <rFont val="Tahoma"/>
            <family val="2"/>
          </rPr>
          <t xml:space="preserve">11A03 : Contrôle des licences des logiciels et progiciels 
13D01 : Politique et directives relatives à la Protection de la propriété intellectuelle
</t>
        </r>
      </text>
    </comment>
    <comment ref="AJ839" authorId="2">
      <text>
        <r>
          <rPr>
            <sz val="9"/>
            <color indexed="81"/>
            <rFont val="Tahoma"/>
            <family val="2"/>
          </rPr>
          <t xml:space="preserve">13D03 : Applicabilité de la politique relative à la Protection de la propriété intellectuelle
</t>
        </r>
      </text>
    </comment>
    <comment ref="AJ840" authorId="2">
      <text>
        <r>
          <rPr>
            <sz val="9"/>
            <color indexed="81"/>
            <rFont val="Tahoma"/>
            <family val="2"/>
          </rPr>
          <t xml:space="preserve">13D02 : Programme de formation et de sensibilisation à la Protection de la propriété intellectuelle
</t>
        </r>
      </text>
    </comment>
    <comment ref="AI841" authorId="2">
      <text>
        <r>
          <rPr>
            <sz val="9"/>
            <color indexed="81"/>
            <rFont val="Tahoma"/>
            <family val="2"/>
          </rPr>
          <t xml:space="preserve">11A03 : Contrôle des licences des logiciels et progiciels 
13D04 : Contrôle de l'application de la politique relative à la Protection de la propriété intellectuelle
</t>
        </r>
      </text>
    </comment>
    <comment ref="AJ843" authorId="2">
      <text>
        <r>
          <rPr>
            <sz val="9"/>
            <color indexed="81"/>
            <rFont val="Tahoma"/>
            <family val="2"/>
          </rPr>
          <t xml:space="preserve">13E01 : Politique et directives relatives à la Protection des systèmes informatisés 
</t>
        </r>
      </text>
    </comment>
    <comment ref="AJ844" authorId="2">
      <text>
        <r>
          <rPr>
            <sz val="9"/>
            <color indexed="81"/>
            <rFont val="Tahoma"/>
            <family val="2"/>
          </rPr>
          <t xml:space="preserve">13E03 : Applicabilité de la politique relative à la Protection des systèmes informatisés 
</t>
        </r>
      </text>
    </comment>
    <comment ref="AJ845" authorId="2">
      <text>
        <r>
          <rPr>
            <sz val="9"/>
            <color indexed="81"/>
            <rFont val="Tahoma"/>
            <family val="2"/>
          </rPr>
          <t xml:space="preserve">13E02 : Programme de formation et de sensibilisation à la Protection des systèmes informatisés 
</t>
        </r>
      </text>
    </comment>
    <comment ref="AI846" authorId="2">
      <text>
        <r>
          <rPr>
            <sz val="9"/>
            <color indexed="81"/>
            <rFont val="Tahoma"/>
            <family val="2"/>
          </rPr>
          <t xml:space="preserve">13E04 : Contrôle de l'application de la politique relative à la Protection des systèmes informatisés 
</t>
        </r>
      </text>
    </comment>
    <comment ref="AJ848" authorId="2">
      <text>
        <r>
          <rPr>
            <sz val="9"/>
            <color indexed="81"/>
            <rFont val="Tahoma"/>
            <family val="2"/>
          </rPr>
          <t xml:space="preserve">13F01 : Politique et directives relatives à la sécurité des personnes et à la protection de l'environnement 
</t>
        </r>
      </text>
    </comment>
    <comment ref="AJ849" authorId="2">
      <text>
        <r>
          <rPr>
            <sz val="9"/>
            <color indexed="81"/>
            <rFont val="Tahoma"/>
            <family val="2"/>
          </rPr>
          <t xml:space="preserve">13F03 : Applicabilité de la politique relative à la Sécurité des personnes et protection de l'environnement 
</t>
        </r>
      </text>
    </comment>
    <comment ref="AJ850" authorId="2">
      <text>
        <r>
          <rPr>
            <sz val="9"/>
            <color indexed="81"/>
            <rFont val="Tahoma"/>
            <family val="2"/>
          </rPr>
          <t xml:space="preserve">13F02 : Programme de formation et de sensibilisation à la Sécurité des personnes et à la protection de l'environnement 
</t>
        </r>
      </text>
    </comment>
    <comment ref="AI851" authorId="2">
      <text>
        <r>
          <rPr>
            <sz val="9"/>
            <color indexed="81"/>
            <rFont val="Tahoma"/>
            <family val="2"/>
          </rPr>
          <t xml:space="preserve">13F04 : Contrôle de l'application de la politique relative à la Sécurité des personnes et protection de l'environnement 
</t>
        </r>
      </text>
    </comment>
  </commentList>
</comments>
</file>

<file path=xl/comments24.xml><?xml version="1.0" encoding="utf-8"?>
<comments xmlns="http://schemas.openxmlformats.org/spreadsheetml/2006/main">
  <authors>
    <author>Jean-Philippe Jouas</author>
  </authors>
  <commentList>
    <comment ref="T14" authorId="0">
      <text>
        <r>
          <rPr>
            <sz val="9"/>
            <color indexed="81"/>
            <rFont val="Tahoma"/>
            <family val="2"/>
          </rPr>
          <t>À la date fixée dans la feuille Obj_Projets</t>
        </r>
      </text>
    </comment>
    <comment ref="T17" authorId="0">
      <text>
        <r>
          <rPr>
            <sz val="9"/>
            <color indexed="81"/>
            <rFont val="Tahoma"/>
            <family val="2"/>
          </rPr>
          <t>Comme décidé dans la feuille Plans_action</t>
        </r>
      </text>
    </comment>
  </commentList>
</comments>
</file>

<file path=xl/comments25.xml><?xml version="1.0" encoding="utf-8"?>
<comments xmlns="http://schemas.openxmlformats.org/spreadsheetml/2006/main">
  <authors>
    <author>Jean-Philippe Jouas</author>
    <author>Monique Jouas</author>
    <author>Jean Louis</author>
  </authors>
  <commentList>
    <comment ref="H3" authorId="0">
      <text>
        <r>
          <rPr>
            <b/>
            <sz val="8"/>
            <color indexed="81"/>
            <rFont val="Tahoma"/>
            <family val="2"/>
          </rPr>
          <t>Type A : Plan jouant sur moins de 20 % des scénarios de la famille
Type B : Plan jouant sur 20 % à 40 % des scénarios de la famille</t>
        </r>
        <r>
          <rPr>
            <sz val="8"/>
            <color indexed="81"/>
            <rFont val="Tahoma"/>
            <family val="2"/>
          </rPr>
          <t xml:space="preserve">
</t>
        </r>
        <r>
          <rPr>
            <b/>
            <sz val="8"/>
            <color indexed="81"/>
            <rFont val="Tahoma"/>
            <family val="2"/>
          </rPr>
          <t>Type C : Plan jouant sur 40 % à 60 % des scénarios de la famille
Type D : Plan jouant sur 60 % à 80 % des scénarios de la famille
Type E : Plan jouant sur plus de 80 % des scénarios de la famille</t>
        </r>
      </text>
    </comment>
    <comment ref="I3" authorId="1">
      <text>
        <r>
          <rPr>
            <sz val="8"/>
            <color indexed="81"/>
            <rFont val="Tahoma"/>
            <family val="2"/>
          </rPr>
          <t xml:space="preserve">Indiquer par un 1 la sélection de chaque série de mesures ET par un 0 sa désélection
</t>
        </r>
      </text>
    </comment>
    <comment ref="J5" authorId="0">
      <text>
        <r>
          <rPr>
            <sz val="9"/>
            <color indexed="81"/>
            <rFont val="Tahoma"/>
            <family val="2"/>
          </rPr>
          <t>07C01 : Enregistrement des accès aux ressources sensibles</t>
        </r>
      </text>
    </comment>
    <comment ref="M5" authorId="0">
      <text>
        <r>
          <rPr>
            <sz val="9"/>
            <color indexed="81"/>
            <rFont val="Tahoma"/>
            <family val="2"/>
          </rPr>
          <t xml:space="preserve">07C02 : Enregistrement des appels aux procédures privilégiées </t>
        </r>
      </text>
    </comment>
    <comment ref="P5" authorId="0">
      <text>
        <r>
          <rPr>
            <sz val="9"/>
            <color indexed="81"/>
            <rFont val="Tahoma"/>
            <family val="2"/>
          </rPr>
          <t>08E02 : Surveillance, en temps différé, des traces, logs et journaux</t>
        </r>
      </text>
    </comment>
    <comment ref="S5" authorId="0">
      <text>
        <r>
          <rPr>
            <sz val="9"/>
            <color indexed="81"/>
            <rFont val="Tahoma"/>
            <family val="2"/>
          </rPr>
          <t>08F02 : Authentification et contrôle des droits d'accès des administrateurs et personnels d'exploitation</t>
        </r>
      </text>
    </comment>
    <comment ref="V5" authorId="0">
      <text>
        <r>
          <rPr>
            <sz val="9"/>
            <color indexed="81"/>
            <rFont val="Tahoma"/>
            <family val="2"/>
          </rPr>
          <t>08F03 : Surveillance des actions d'administration des systèmes</t>
        </r>
      </text>
    </comment>
    <comment ref="J6" authorId="0">
      <text>
        <r>
          <rPr>
            <sz val="9"/>
            <color indexed="81"/>
            <rFont val="Tahoma"/>
            <family val="2"/>
          </rPr>
          <t>03B06 : Surveillance des locaux sensibles</t>
        </r>
      </text>
    </comment>
    <comment ref="J7" authorId="0">
      <text>
        <r>
          <rPr>
            <sz val="9"/>
            <color indexed="81"/>
            <rFont val="Tahoma"/>
            <family val="2"/>
          </rPr>
          <t>07A01 : Gestion des profils d'accès (droits et privilèges accordés en fonction des profils de fonction)</t>
        </r>
      </text>
    </comment>
    <comment ref="M7" authorId="0">
      <text>
        <r>
          <rPr>
            <sz val="9"/>
            <color indexed="81"/>
            <rFont val="Tahoma"/>
            <family val="2"/>
          </rPr>
          <t>07A02 : Gestion des autorisations d'accès et privilèges (attribution, délégation, retrait)</t>
        </r>
      </text>
    </comment>
    <comment ref="P7" authorId="0">
      <text>
        <r>
          <rPr>
            <sz val="9"/>
            <color indexed="81"/>
            <rFont val="Tahoma"/>
            <family val="2"/>
          </rPr>
          <t>07A03 : Authentification de l'utilisateur ou de l'entité demandant un accès</t>
        </r>
      </text>
    </comment>
    <comment ref="S7" authorId="0">
      <text>
        <r>
          <rPr>
            <sz val="9"/>
            <color indexed="81"/>
            <rFont val="Tahoma"/>
            <family val="2"/>
          </rPr>
          <t>07A04 : Filtrage des accès et gestion des associations</t>
        </r>
      </text>
    </comment>
    <comment ref="V7" authorId="0">
      <text>
        <r>
          <rPr>
            <sz val="9"/>
            <color indexed="81"/>
            <rFont val="Tahoma"/>
            <family val="2"/>
          </rPr>
          <t>08F01 : Gestion des attributions de droits privilégiés sur les systèmes (droits d'administrateur)</t>
        </r>
      </text>
    </comment>
    <comment ref="Y7" authorId="0">
      <text>
        <r>
          <rPr>
            <sz val="9"/>
            <color indexed="81"/>
            <rFont val="Tahoma"/>
            <family val="2"/>
          </rPr>
          <t>08F02 : Authentification et contrôle des droits d'accès des administrateurs et personnels d'exploitation</t>
        </r>
      </text>
    </comment>
    <comment ref="AB7" authorId="0">
      <text>
        <r>
          <rPr>
            <sz val="9"/>
            <color indexed="81"/>
            <rFont val="Tahoma"/>
            <family val="2"/>
          </rPr>
          <t>09A01 : Gestion des profils d'accès aux données applicatives</t>
        </r>
      </text>
    </comment>
    <comment ref="AE7" authorId="0">
      <text>
        <r>
          <rPr>
            <sz val="9"/>
            <color indexed="81"/>
            <rFont val="Tahoma"/>
            <family val="2"/>
          </rPr>
          <t>09A02 : Gestion des autorisations d'accès aux données applicatives (attribution, délégation, retrait)</t>
        </r>
      </text>
    </comment>
    <comment ref="AH7" authorId="0">
      <text>
        <r>
          <rPr>
            <sz val="9"/>
            <color indexed="81"/>
            <rFont val="Tahoma"/>
            <family val="2"/>
          </rPr>
          <t>09A03 : Authentification de l'utilisateur ou de l'entité demandant un accès</t>
        </r>
      </text>
    </comment>
    <comment ref="AK7" authorId="0">
      <text>
        <r>
          <rPr>
            <sz val="9"/>
            <color indexed="81"/>
            <rFont val="Tahoma"/>
            <family val="2"/>
          </rPr>
          <t>09A04 : Filtrage des accès et gestion des associations</t>
        </r>
      </text>
    </comment>
    <comment ref="J8" authorId="0">
      <text>
        <r>
          <rPr>
            <sz val="9"/>
            <color indexed="81"/>
            <rFont val="Tahoma"/>
            <family val="2"/>
          </rPr>
          <t>08A03 : Contrôle de la mise en production de nouveaux systèmes ou d'évolutions de systèmes existants</t>
        </r>
      </text>
    </comment>
    <comment ref="M8" authorId="0">
      <text>
        <r>
          <rPr>
            <sz val="9"/>
            <color indexed="81"/>
            <rFont val="Tahoma"/>
            <family val="2"/>
          </rPr>
          <t xml:space="preserve">08A06 : Contrôle de la télémaintenance </t>
        </r>
      </text>
    </comment>
    <comment ref="P8" authorId="0">
      <text>
        <r>
          <rPr>
            <sz val="9"/>
            <color indexed="81"/>
            <rFont val="Tahoma"/>
            <family val="2"/>
          </rPr>
          <t xml:space="preserve">08C03 : Sécurité physique des supports stockés sur site </t>
        </r>
      </text>
    </comment>
    <comment ref="S8" authorId="0">
      <text>
        <r>
          <rPr>
            <sz val="9"/>
            <color indexed="81"/>
            <rFont val="Tahoma"/>
            <family val="2"/>
          </rPr>
          <t>08D03 : Procédures et plans de reprise des applications sur incidents d'exploitation</t>
        </r>
      </text>
    </comment>
    <comment ref="V8" authorId="0">
      <text>
        <r>
          <rPr>
            <sz val="9"/>
            <color indexed="81"/>
            <rFont val="Tahoma"/>
            <family val="2"/>
          </rPr>
          <t>09C02 : Chiffrement des données stockées</t>
        </r>
      </text>
    </comment>
    <comment ref="Y8" authorId="0">
      <text>
        <r>
          <rPr>
            <sz val="9"/>
            <color indexed="81"/>
            <rFont val="Tahoma"/>
            <family val="2"/>
          </rPr>
          <t>10B05 : Sécurité de la maintenance applicative</t>
        </r>
      </text>
    </comment>
    <comment ref="AB8" authorId="0">
      <text>
        <r>
          <rPr>
            <sz val="9"/>
            <color indexed="81"/>
            <rFont val="Tahoma"/>
            <family val="2"/>
          </rPr>
          <t xml:space="preserve">10B06 : Maintenance à chaud </t>
        </r>
      </text>
    </comment>
    <comment ref="J9" authorId="0">
      <text>
        <r>
          <rPr>
            <sz val="9"/>
            <color indexed="81"/>
            <rFont val="Tahoma"/>
            <family val="2"/>
          </rPr>
          <t xml:space="preserve">03A01 : Qualité de la fourniture de l'énergie </t>
        </r>
      </text>
    </comment>
    <comment ref="M9" authorId="0">
      <text>
        <r>
          <rPr>
            <sz val="9"/>
            <color indexed="81"/>
            <rFont val="Tahoma"/>
            <family val="2"/>
          </rPr>
          <t>03A04 : Qualité du câblage</t>
        </r>
      </text>
    </comment>
    <comment ref="P9" authorId="0">
      <text>
        <r>
          <rPr>
            <sz val="9"/>
            <color indexed="81"/>
            <rFont val="Tahoma"/>
            <family val="2"/>
          </rPr>
          <t>03B03 : Contrôle des accès aux locaux sensibles</t>
        </r>
      </text>
    </comment>
    <comment ref="S9" authorId="0">
      <text>
        <r>
          <rPr>
            <sz val="9"/>
            <color indexed="81"/>
            <rFont val="Tahoma"/>
            <family val="2"/>
          </rPr>
          <t xml:space="preserve">03B04 : Détection des intrusions dans les locaux sensibles </t>
        </r>
      </text>
    </comment>
    <comment ref="V9" authorId="0">
      <text>
        <r>
          <rPr>
            <sz val="9"/>
            <color indexed="81"/>
            <rFont val="Tahoma"/>
            <family val="2"/>
          </rPr>
          <t>03C01 : Prévention des risques de dégâts des eaux</t>
        </r>
      </text>
    </comment>
    <comment ref="Y9" authorId="0">
      <text>
        <r>
          <rPr>
            <sz val="9"/>
            <color indexed="81"/>
            <rFont val="Tahoma"/>
            <family val="2"/>
          </rPr>
          <t>03D01 : Prévention des risques d'incendie</t>
        </r>
      </text>
    </comment>
    <comment ref="AB9" authorId="0">
      <text>
        <r>
          <rPr>
            <sz val="9"/>
            <color indexed="81"/>
            <rFont val="Tahoma"/>
            <family val="2"/>
          </rPr>
          <t>09D01 : Enregistrements de Très Haute Sécurité (THS)</t>
        </r>
      </text>
    </comment>
    <comment ref="J10" authorId="0">
      <text>
        <r>
          <rPr>
            <sz val="9"/>
            <color indexed="81"/>
            <rFont val="Tahoma"/>
            <family val="2"/>
          </rPr>
          <t>08E02 : Surveillance, en temps différé, des traces, logs et journaux</t>
        </r>
      </text>
    </comment>
    <comment ref="M10" authorId="0">
      <text>
        <r>
          <rPr>
            <sz val="9"/>
            <color indexed="81"/>
            <rFont val="Tahoma"/>
            <family val="2"/>
          </rPr>
          <t>08E03 : Gestion et traitement des incidents systèmes et applicatifs</t>
        </r>
      </text>
    </comment>
    <comment ref="J11" authorId="0">
      <text>
        <r>
          <rPr>
            <sz val="9"/>
            <color indexed="81"/>
            <rFont val="Tahoma"/>
            <family val="2"/>
          </rPr>
          <t>08D05 : Sauvegarde des données applicatives</t>
        </r>
      </text>
    </comment>
    <comment ref="M11" authorId="0">
      <text>
        <r>
          <rPr>
            <sz val="9"/>
            <color indexed="81"/>
            <rFont val="Tahoma"/>
            <family val="2"/>
          </rPr>
          <t>08D09 : Sauvegardes de secours (recours) externalisées</t>
        </r>
      </text>
    </comment>
    <comment ref="P11" authorId="0">
      <text>
        <r>
          <rPr>
            <sz val="9"/>
            <color indexed="81"/>
            <rFont val="Tahoma"/>
            <family val="2"/>
          </rPr>
          <t>09D02 : Gestion des moyens d'accès aux données applicatives</t>
        </r>
      </text>
    </comment>
    <comment ref="J13" authorId="0">
      <text>
        <r>
          <rPr>
            <sz val="9"/>
            <color indexed="81"/>
            <rFont val="Tahoma"/>
            <family val="2"/>
          </rPr>
          <t>08F02 : Authentification et contrôle des droits d'accès des administrateurs et personnels d'exploitation</t>
        </r>
      </text>
    </comment>
    <comment ref="M13" authorId="0">
      <text>
        <r>
          <rPr>
            <sz val="9"/>
            <color indexed="81"/>
            <rFont val="Tahoma"/>
            <family val="2"/>
          </rPr>
          <t>08F03 : Surveillance des actions d'administration des systèmes</t>
        </r>
      </text>
    </comment>
    <comment ref="J14" authorId="0">
      <text>
        <r>
          <rPr>
            <sz val="9"/>
            <color indexed="81"/>
            <rFont val="Tahoma"/>
            <family val="2"/>
          </rPr>
          <t>03B06 : Surveillance des locaux sensibles</t>
        </r>
      </text>
    </comment>
    <comment ref="J15" authorId="0">
      <text>
        <r>
          <rPr>
            <sz val="9"/>
            <color indexed="81"/>
            <rFont val="Tahoma"/>
            <family val="2"/>
          </rPr>
          <t>07A02 : Gestion des autorisations d'accès et privilèges (attribution, délégation, retrait)</t>
        </r>
      </text>
    </comment>
    <comment ref="M15" authorId="0">
      <text>
        <r>
          <rPr>
            <sz val="9"/>
            <color indexed="81"/>
            <rFont val="Tahoma"/>
            <family val="2"/>
          </rPr>
          <t>07A03 : Authentification de l'utilisateur ou de l'entité demandant un accès</t>
        </r>
      </text>
    </comment>
    <comment ref="P15" authorId="0">
      <text>
        <r>
          <rPr>
            <sz val="9"/>
            <color indexed="81"/>
            <rFont val="Tahoma"/>
            <family val="2"/>
          </rPr>
          <t>07A04 : Filtrage des accès et gestion des associations</t>
        </r>
      </text>
    </comment>
    <comment ref="S15" authorId="0">
      <text>
        <r>
          <rPr>
            <sz val="9"/>
            <color indexed="81"/>
            <rFont val="Tahoma"/>
            <family val="2"/>
          </rPr>
          <t>08A03 : Contrôle de la mise en production de nouveaux systèmes ou d'évolutions de systèmes existants</t>
        </r>
      </text>
    </comment>
    <comment ref="J16" authorId="0">
      <text>
        <r>
          <rPr>
            <sz val="9"/>
            <color indexed="81"/>
            <rFont val="Tahoma"/>
            <family val="2"/>
          </rPr>
          <t xml:space="preserve">03A01 : Qualité de la fourniture de l'énergie </t>
        </r>
      </text>
    </comment>
    <comment ref="M16" authorId="0">
      <text>
        <r>
          <rPr>
            <sz val="9"/>
            <color indexed="81"/>
            <rFont val="Tahoma"/>
            <family val="2"/>
          </rPr>
          <t>03A04 : Qualité du câblage</t>
        </r>
      </text>
    </comment>
    <comment ref="P16" authorId="0">
      <text>
        <r>
          <rPr>
            <sz val="9"/>
            <color indexed="81"/>
            <rFont val="Tahoma"/>
            <family val="2"/>
          </rPr>
          <t>03B03 : Contrôle des accès aux locaux sensibles</t>
        </r>
      </text>
    </comment>
    <comment ref="S16" authorId="0">
      <text>
        <r>
          <rPr>
            <sz val="9"/>
            <color indexed="81"/>
            <rFont val="Tahoma"/>
            <family val="2"/>
          </rPr>
          <t xml:space="preserve">03B04 : Détection des intrusions dans les locaux sensibles </t>
        </r>
      </text>
    </comment>
    <comment ref="V16" authorId="0">
      <text>
        <r>
          <rPr>
            <sz val="9"/>
            <color indexed="81"/>
            <rFont val="Tahoma"/>
            <family val="2"/>
          </rPr>
          <t>03C01 : Prévention des risques de dégâts des eaux</t>
        </r>
      </text>
    </comment>
    <comment ref="Y16" authorId="0">
      <text>
        <r>
          <rPr>
            <sz val="9"/>
            <color indexed="81"/>
            <rFont val="Tahoma"/>
            <family val="2"/>
          </rPr>
          <t>03D01 : Prévention des risques d'incendie</t>
        </r>
      </text>
    </comment>
    <comment ref="J17" authorId="0">
      <text>
        <r>
          <rPr>
            <sz val="9"/>
            <color indexed="81"/>
            <rFont val="Tahoma"/>
            <family val="2"/>
          </rPr>
          <t>08D07 : Protection antivirale des serveurs de production</t>
        </r>
      </text>
    </comment>
    <comment ref="M17" authorId="0">
      <text>
        <r>
          <rPr>
            <sz val="9"/>
            <color indexed="81"/>
            <rFont val="Tahoma"/>
            <family val="2"/>
          </rPr>
          <t>11D06 : Protection des postes utilisateurs contre des codes malveillants ou des codes exécutables non autorisés</t>
        </r>
      </text>
    </comment>
    <comment ref="J18" authorId="0">
      <text>
        <r>
          <rPr>
            <sz val="9"/>
            <color indexed="81"/>
            <rFont val="Tahoma"/>
            <family val="2"/>
          </rPr>
          <t>08E03 : Gestion et traitement des incidents systèmes et applicatifs</t>
        </r>
      </text>
    </comment>
    <comment ref="J19" authorId="0">
      <text>
        <r>
          <rPr>
            <sz val="9"/>
            <color indexed="81"/>
            <rFont val="Tahoma"/>
            <family val="2"/>
          </rPr>
          <t>08D09 : Sauvegardes de secours (recours) externalisées</t>
        </r>
      </text>
    </comment>
    <comment ref="M19" authorId="0">
      <text>
        <r>
          <rPr>
            <sz val="9"/>
            <color indexed="81"/>
            <rFont val="Tahoma"/>
            <family val="2"/>
          </rPr>
          <t>11D04 : Plan de sauvegardes des données utilisateurs (bureautiques) stockées sur serveur de données</t>
        </r>
      </text>
    </comment>
    <comment ref="P19" authorId="0">
      <text>
        <r>
          <rPr>
            <sz val="9"/>
            <color indexed="81"/>
            <rFont val="Tahoma"/>
            <family val="2"/>
          </rPr>
          <t>11D08 : Gestion des moyens nécessaires à l'accès aux fichiers bureautiques</t>
        </r>
      </text>
    </comment>
    <comment ref="J21" authorId="0">
      <text>
        <r>
          <rPr>
            <sz val="9"/>
            <color indexed="81"/>
            <rFont val="Tahoma"/>
            <family val="2"/>
          </rPr>
          <t>08F02 : Authentification et contrôle des droits d'accès des administrateurs et personnels d'exploitation</t>
        </r>
      </text>
    </comment>
    <comment ref="M21" authorId="0">
      <text>
        <r>
          <rPr>
            <sz val="9"/>
            <color indexed="81"/>
            <rFont val="Tahoma"/>
            <family val="2"/>
          </rPr>
          <t>08F03 : Surveillance des actions d'administration des systèmes</t>
        </r>
      </text>
    </comment>
    <comment ref="J22" authorId="0">
      <text>
        <r>
          <rPr>
            <sz val="9"/>
            <color indexed="81"/>
            <rFont val="Tahoma"/>
            <family val="2"/>
          </rPr>
          <t>02C05 : Surveillance des zones de bureaux protégées</t>
        </r>
      </text>
    </comment>
    <comment ref="J23" authorId="0">
      <text>
        <r>
          <rPr>
            <sz val="9"/>
            <color indexed="81"/>
            <rFont val="Tahoma"/>
            <family val="2"/>
          </rPr>
          <t>08D07 : Protection antivirale des serveurs de production</t>
        </r>
      </text>
    </comment>
    <comment ref="M23" authorId="0">
      <text>
        <r>
          <rPr>
            <sz val="9"/>
            <color indexed="81"/>
            <rFont val="Tahoma"/>
            <family val="2"/>
          </rPr>
          <t>11B01 : Contrôle d'accès au poste de travail</t>
        </r>
      </text>
    </comment>
    <comment ref="P23" authorId="0">
      <text>
        <r>
          <rPr>
            <sz val="9"/>
            <color indexed="81"/>
            <rFont val="Tahoma"/>
            <family val="2"/>
          </rPr>
          <t>11D06 : Protection des postes utilisateurs contre des codes malveillants ou des codes exécutables non autorisés</t>
        </r>
      </text>
    </comment>
    <comment ref="J24" authorId="0">
      <text>
        <r>
          <rPr>
            <sz val="9"/>
            <color indexed="81"/>
            <rFont val="Tahoma"/>
            <family val="2"/>
          </rPr>
          <t>02C03 : Gestion des autorisations d'accès aux zones de bureaux protégées</t>
        </r>
      </text>
    </comment>
    <comment ref="M24" authorId="0">
      <text>
        <r>
          <rPr>
            <sz val="9"/>
            <color indexed="81"/>
            <rFont val="Tahoma"/>
            <family val="2"/>
          </rPr>
          <t>02D02 : Protection des documents et supports amovibles</t>
        </r>
      </text>
    </comment>
    <comment ref="P24" authorId="0">
      <text>
        <r>
          <rPr>
            <sz val="9"/>
            <color indexed="81"/>
            <rFont val="Tahoma"/>
            <family val="2"/>
          </rPr>
          <t xml:space="preserve">03A01 : Qualité de la fourniture de l'énergie </t>
        </r>
      </text>
    </comment>
    <comment ref="S24" authorId="0">
      <text>
        <r>
          <rPr>
            <sz val="9"/>
            <color indexed="81"/>
            <rFont val="Tahoma"/>
            <family val="2"/>
          </rPr>
          <t>03A04 : Qualité du câblage</t>
        </r>
      </text>
    </comment>
    <comment ref="V24" authorId="0">
      <text>
        <r>
          <rPr>
            <sz val="9"/>
            <color indexed="81"/>
            <rFont val="Tahoma"/>
            <family val="2"/>
          </rPr>
          <t>03C01 : Prévention des risques de dégâts des eaux</t>
        </r>
      </text>
    </comment>
    <comment ref="Y24" authorId="0">
      <text>
        <r>
          <rPr>
            <sz val="9"/>
            <color indexed="81"/>
            <rFont val="Tahoma"/>
            <family val="2"/>
          </rPr>
          <t>03D01 : Prévention des risques d'incendie</t>
        </r>
      </text>
    </comment>
    <comment ref="J26" authorId="0">
      <text>
        <r>
          <rPr>
            <sz val="9"/>
            <color indexed="81"/>
            <rFont val="Tahoma"/>
            <family val="2"/>
          </rPr>
          <t>11D05 : Plan de sauvegardes des données utilisateurs (bureautiques) stockées sur les postes de travail</t>
        </r>
      </text>
    </comment>
    <comment ref="M26" authorId="0">
      <text>
        <r>
          <rPr>
            <sz val="9"/>
            <color indexed="81"/>
            <rFont val="Tahoma"/>
            <family val="2"/>
          </rPr>
          <t>11D08 : Gestion des moyens nécessaires à l'accès aux fichiers bureautiques</t>
        </r>
      </text>
    </comment>
    <comment ref="J28" authorId="0">
      <text>
        <r>
          <rPr>
            <sz val="9"/>
            <color indexed="81"/>
            <rFont val="Tahoma"/>
            <family val="2"/>
          </rPr>
          <t>02C05 : Surveillance des zones de bureaux protégées</t>
        </r>
      </text>
    </comment>
    <comment ref="J29" authorId="0">
      <text>
        <r>
          <rPr>
            <sz val="9"/>
            <color indexed="81"/>
            <rFont val="Tahoma"/>
            <family val="2"/>
          </rPr>
          <t>02D01 : Conservation et protection des documents courants importants</t>
        </r>
      </text>
    </comment>
    <comment ref="M29" authorId="0">
      <text>
        <r>
          <rPr>
            <sz val="9"/>
            <color indexed="81"/>
            <rFont val="Tahoma"/>
            <family val="2"/>
          </rPr>
          <t>02D06 : Conservation et protection des documents importants à conserver sur une longue période</t>
        </r>
      </text>
    </comment>
    <comment ref="P29" authorId="0">
      <text>
        <r>
          <rPr>
            <sz val="9"/>
            <color indexed="81"/>
            <rFont val="Tahoma"/>
            <family val="2"/>
          </rPr>
          <t>11B02 : Travail en dehors des locaux de l'entreprise</t>
        </r>
      </text>
    </comment>
    <comment ref="J33" authorId="0">
      <text>
        <r>
          <rPr>
            <sz val="9"/>
            <color indexed="81"/>
            <rFont val="Tahoma"/>
            <family val="2"/>
          </rPr>
          <t>08F02 : Authentification et contrôle des droits d'accès des administrateurs et personnels d'exploitation</t>
        </r>
      </text>
    </comment>
    <comment ref="M33" authorId="0">
      <text>
        <r>
          <rPr>
            <sz val="9"/>
            <color indexed="81"/>
            <rFont val="Tahoma"/>
            <family val="2"/>
          </rPr>
          <t>08F03 : Surveillance des actions d'administration des systèmes</t>
        </r>
      </text>
    </comment>
    <comment ref="J34" authorId="0">
      <text>
        <r>
          <rPr>
            <sz val="9"/>
            <color indexed="81"/>
            <rFont val="Tahoma"/>
            <family val="2"/>
          </rPr>
          <t>03C01 : Prévention des risques de dégâts des eaux</t>
        </r>
      </text>
    </comment>
    <comment ref="M34" authorId="0">
      <text>
        <r>
          <rPr>
            <sz val="9"/>
            <color indexed="81"/>
            <rFont val="Tahoma"/>
            <family val="2"/>
          </rPr>
          <t>03D01 : Prévention des risques d'incendie</t>
        </r>
      </text>
    </comment>
    <comment ref="P34" authorId="0">
      <text>
        <r>
          <rPr>
            <sz val="9"/>
            <color indexed="81"/>
            <rFont val="Tahoma"/>
            <family val="2"/>
          </rPr>
          <t>07A03 : Authentification de l'utilisateur ou de l'entité demandant un accès</t>
        </r>
      </text>
    </comment>
    <comment ref="S34" authorId="0">
      <text>
        <r>
          <rPr>
            <sz val="9"/>
            <color indexed="81"/>
            <rFont val="Tahoma"/>
            <family val="2"/>
          </rPr>
          <t>07A04 : Filtrage des accès et gestion des associations</t>
        </r>
      </text>
    </comment>
    <comment ref="V34" authorId="0">
      <text>
        <r>
          <rPr>
            <sz val="9"/>
            <color indexed="81"/>
            <rFont val="Tahoma"/>
            <family val="2"/>
          </rPr>
          <t>08A03 : Contrôle de la mise en production de nouveaux systèmes ou d'évolutions de systèmes existants</t>
        </r>
      </text>
    </comment>
    <comment ref="Y34" authorId="0">
      <text>
        <r>
          <rPr>
            <sz val="9"/>
            <color indexed="81"/>
            <rFont val="Tahoma"/>
            <family val="2"/>
          </rPr>
          <t>08F02 : Authentification et contrôle des droits d'accès des administrateurs et personnels d'exploitation</t>
        </r>
      </text>
    </comment>
    <comment ref="J36" authorId="0">
      <text>
        <r>
          <rPr>
            <sz val="9"/>
            <color indexed="81"/>
            <rFont val="Tahoma"/>
            <family val="2"/>
          </rPr>
          <t xml:space="preserve">09F03 : Accusé de réception </t>
        </r>
      </text>
    </comment>
    <comment ref="J38" authorId="0">
      <text>
        <r>
          <rPr>
            <sz val="9"/>
            <color indexed="81"/>
            <rFont val="Tahoma"/>
            <family val="2"/>
          </rPr>
          <t>08F02 : Authentification et contrôle des droits d'accès des administrateurs et personnels d'exploitation</t>
        </r>
      </text>
    </comment>
    <comment ref="M38" authorId="0">
      <text>
        <r>
          <rPr>
            <sz val="9"/>
            <color indexed="81"/>
            <rFont val="Tahoma"/>
            <family val="2"/>
          </rPr>
          <t>08F03 : Surveillance des actions d'administration des systèmes</t>
        </r>
      </text>
    </comment>
    <comment ref="J39" authorId="0">
      <text>
        <r>
          <rPr>
            <sz val="9"/>
            <color indexed="81"/>
            <rFont val="Tahoma"/>
            <family val="2"/>
          </rPr>
          <t>03C01 : Prévention des risques de dégâts des eaux</t>
        </r>
      </text>
    </comment>
    <comment ref="M39" authorId="0">
      <text>
        <r>
          <rPr>
            <sz val="9"/>
            <color indexed="81"/>
            <rFont val="Tahoma"/>
            <family val="2"/>
          </rPr>
          <t>03D01 : Prévention des risques d'incendie</t>
        </r>
      </text>
    </comment>
    <comment ref="P39" authorId="0">
      <text>
        <r>
          <rPr>
            <sz val="9"/>
            <color indexed="81"/>
            <rFont val="Tahoma"/>
            <family val="2"/>
          </rPr>
          <t>07A03 : Authentification de l'utilisateur ou de l'entité demandant un accès</t>
        </r>
      </text>
    </comment>
    <comment ref="S39" authorId="0">
      <text>
        <r>
          <rPr>
            <sz val="9"/>
            <color indexed="81"/>
            <rFont val="Tahoma"/>
            <family val="2"/>
          </rPr>
          <t>07A04 : Filtrage des accès et gestion des associations</t>
        </r>
      </text>
    </comment>
    <comment ref="V39" authorId="0">
      <text>
        <r>
          <rPr>
            <sz val="9"/>
            <color indexed="81"/>
            <rFont val="Tahoma"/>
            <family val="2"/>
          </rPr>
          <t>08A03 : Contrôle de la mise en production de nouveaux systèmes ou d'évolutions de systèmes existants</t>
        </r>
      </text>
    </comment>
    <comment ref="Y39" authorId="0">
      <text>
        <r>
          <rPr>
            <sz val="9"/>
            <color indexed="81"/>
            <rFont val="Tahoma"/>
            <family val="2"/>
          </rPr>
          <t>08F02 : Authentification et contrôle des droits d'accès des administrateurs et personnels d'exploitation</t>
        </r>
      </text>
    </comment>
    <comment ref="J41" authorId="0">
      <text>
        <r>
          <rPr>
            <sz val="9"/>
            <color indexed="81"/>
            <rFont val="Tahoma"/>
            <family val="2"/>
          </rPr>
          <t>11C05 : Sécurité de la messagerie électronique (courriels) et des échanges électroniques d'information</t>
        </r>
      </text>
    </comment>
    <comment ref="J46" authorId="0">
      <text>
        <r>
          <rPr>
            <sz val="9"/>
            <color indexed="81"/>
            <rFont val="Tahoma"/>
            <family val="2"/>
          </rPr>
          <t>02D04 : Sécurité du courrier</t>
        </r>
      </text>
    </comment>
    <comment ref="M46" authorId="0">
      <text>
        <r>
          <rPr>
            <sz val="9"/>
            <color indexed="81"/>
            <rFont val="Tahoma"/>
            <family val="2"/>
          </rPr>
          <t xml:space="preserve">02D05 : Sécurité des télécopies </t>
        </r>
      </text>
    </comment>
    <comment ref="J48" authorId="0">
      <text>
        <r>
          <rPr>
            <sz val="9"/>
            <color indexed="81"/>
            <rFont val="Tahoma"/>
            <family val="2"/>
          </rPr>
          <t>02D06 : Conservation et protection des documents importants à conserver sur une longue période</t>
        </r>
      </text>
    </comment>
    <comment ref="M48" authorId="0">
      <text>
        <r>
          <rPr>
            <sz val="9"/>
            <color indexed="81"/>
            <rFont val="Tahoma"/>
            <family val="2"/>
          </rPr>
          <t>02D07 : Gestion des archives documentaires</t>
        </r>
      </text>
    </comment>
    <comment ref="J49" authorId="0">
      <text>
        <r>
          <rPr>
            <sz val="9"/>
            <color indexed="81"/>
            <rFont val="Tahoma"/>
            <family val="2"/>
          </rPr>
          <t>02D06 : Conservation et protection des documents importants à conserver sur une longue période</t>
        </r>
      </text>
    </comment>
    <comment ref="M49" authorId="0">
      <text>
        <r>
          <rPr>
            <sz val="9"/>
            <color indexed="81"/>
            <rFont val="Tahoma"/>
            <family val="2"/>
          </rPr>
          <t>02D07 : Gestion des archives documentaires</t>
        </r>
      </text>
    </comment>
    <comment ref="J53" authorId="0">
      <text>
        <r>
          <rPr>
            <sz val="9"/>
            <color indexed="81"/>
            <rFont val="Tahoma"/>
            <family val="2"/>
          </rPr>
          <t>08H03 : Gestion de la sécurité des archives</t>
        </r>
      </text>
    </comment>
    <comment ref="J54" authorId="0">
      <text>
        <r>
          <rPr>
            <sz val="9"/>
            <color indexed="81"/>
            <rFont val="Tahoma"/>
            <family val="2"/>
          </rPr>
          <t>08H01 : Organisation de la gestion des archives informatiques</t>
        </r>
      </text>
    </comment>
    <comment ref="M54" authorId="0">
      <text>
        <r>
          <rPr>
            <sz val="9"/>
            <color indexed="81"/>
            <rFont val="Tahoma"/>
            <family val="2"/>
          </rPr>
          <t>08H03 : Gestion de la sécurité des archives</t>
        </r>
      </text>
    </comment>
    <comment ref="J55" authorId="0">
      <text>
        <r>
          <rPr>
            <sz val="9"/>
            <color indexed="81"/>
            <rFont val="Tahoma"/>
            <family val="2"/>
          </rPr>
          <t>08C05 : Vérification et rotation des supports d'archivage</t>
        </r>
      </text>
    </comment>
    <comment ref="J56" authorId="0">
      <text>
        <r>
          <rPr>
            <sz val="9"/>
            <color indexed="81"/>
            <rFont val="Tahoma"/>
            <family val="2"/>
          </rPr>
          <t>08H02 : Gestion des accès aux archives</t>
        </r>
      </text>
    </comment>
    <comment ref="M56" authorId="0">
      <text>
        <r>
          <rPr>
            <sz val="9"/>
            <color indexed="81"/>
            <rFont val="Tahoma"/>
            <family val="2"/>
          </rPr>
          <t>09D02 : Gestion des moyens d'accès aux données applicatives</t>
        </r>
      </text>
    </comment>
    <comment ref="J61" authorId="0">
      <text>
        <r>
          <rPr>
            <sz val="9"/>
            <color indexed="81"/>
            <rFont val="Tahoma"/>
            <family val="2"/>
          </rPr>
          <t>08D05 : Sauvegarde des données applicatives</t>
        </r>
      </text>
    </comment>
    <comment ref="M61" authorId="0">
      <text>
        <r>
          <rPr>
            <sz val="9"/>
            <color indexed="81"/>
            <rFont val="Tahoma"/>
            <family val="2"/>
          </rPr>
          <t>08D09 : Sauvegardes de secours (recours) externalisées</t>
        </r>
      </text>
    </comment>
    <comment ref="J64" authorId="0">
      <text>
        <r>
          <rPr>
            <sz val="9"/>
            <color indexed="81"/>
            <rFont val="Tahoma"/>
            <family val="2"/>
          </rPr>
          <t>08D03 : Procédures et plans de reprise des applications sur incidents d'exploitation</t>
        </r>
      </text>
    </comment>
    <comment ref="M64" authorId="0">
      <text>
        <r>
          <rPr>
            <sz val="9"/>
            <color indexed="81"/>
            <rFont val="Tahoma"/>
            <family val="2"/>
          </rPr>
          <t>10B05 : Sécurité de la maintenance applicative</t>
        </r>
      </text>
    </comment>
    <comment ref="P64" authorId="0">
      <text>
        <r>
          <rPr>
            <sz val="9"/>
            <color indexed="81"/>
            <rFont val="Tahoma"/>
            <family val="2"/>
          </rPr>
          <t xml:space="preserve">10B06 : Maintenance à chaud </t>
        </r>
      </text>
    </comment>
    <comment ref="J65" authorId="0">
      <text>
        <r>
          <rPr>
            <sz val="9"/>
            <color indexed="81"/>
            <rFont val="Tahoma"/>
            <family val="2"/>
          </rPr>
          <t>07A01 : Gestion des profils d'accès (droits et privilèges accordés en fonction des profils de fonction)</t>
        </r>
      </text>
    </comment>
    <comment ref="M65" authorId="0">
      <text>
        <r>
          <rPr>
            <sz val="9"/>
            <color indexed="81"/>
            <rFont val="Tahoma"/>
            <family val="2"/>
          </rPr>
          <t>07A02 : Gestion des autorisations d'accès et privilèges (attribution, délégation, retrait)</t>
        </r>
      </text>
    </comment>
    <comment ref="P65" authorId="0">
      <text>
        <r>
          <rPr>
            <sz val="9"/>
            <color indexed="81"/>
            <rFont val="Tahoma"/>
            <family val="2"/>
          </rPr>
          <t>07A03 : Authentification de l'utilisateur ou de l'entité demandant un accès</t>
        </r>
      </text>
    </comment>
    <comment ref="S65" authorId="0">
      <text>
        <r>
          <rPr>
            <sz val="9"/>
            <color indexed="81"/>
            <rFont val="Tahoma"/>
            <family val="2"/>
          </rPr>
          <t>07A04 : Filtrage des accès et gestion des associations</t>
        </r>
      </text>
    </comment>
    <comment ref="V65" authorId="0">
      <text>
        <r>
          <rPr>
            <sz val="9"/>
            <color indexed="81"/>
            <rFont val="Tahoma"/>
            <family val="2"/>
          </rPr>
          <t xml:space="preserve">08A06 : Contrôle de la télémaintenance </t>
        </r>
      </text>
    </comment>
    <comment ref="Y65" authorId="0">
      <text>
        <r>
          <rPr>
            <sz val="9"/>
            <color indexed="81"/>
            <rFont val="Tahoma"/>
            <family val="2"/>
          </rPr>
          <t>08F01 : Gestion des attributions de droits privilégiés sur les systèmes (droits d'administrateur)</t>
        </r>
      </text>
    </comment>
    <comment ref="AB65" authorId="0">
      <text>
        <r>
          <rPr>
            <sz val="9"/>
            <color indexed="81"/>
            <rFont val="Tahoma"/>
            <family val="2"/>
          </rPr>
          <t>08F02 : Authentification et contrôle des droits d'accès des administrateurs et personnels d'exploitation</t>
        </r>
      </text>
    </comment>
    <comment ref="J66" authorId="0">
      <text>
        <r>
          <rPr>
            <sz val="9"/>
            <color indexed="81"/>
            <rFont val="Tahoma"/>
            <family val="2"/>
          </rPr>
          <t>09A01 : Gestion des profils d'accès aux données applicatives</t>
        </r>
      </text>
    </comment>
    <comment ref="M66" authorId="0">
      <text>
        <r>
          <rPr>
            <sz val="9"/>
            <color indexed="81"/>
            <rFont val="Tahoma"/>
            <family val="2"/>
          </rPr>
          <t>09A02 : Gestion des autorisations d'accès aux données applicatives (attribution, délégation, retrait)</t>
        </r>
      </text>
    </comment>
    <comment ref="P66" authorId="0">
      <text>
        <r>
          <rPr>
            <sz val="9"/>
            <color indexed="81"/>
            <rFont val="Tahoma"/>
            <family val="2"/>
          </rPr>
          <t>09A03 : Authentification de l'utilisateur ou de l'entité demandant un accès</t>
        </r>
      </text>
    </comment>
    <comment ref="S66" authorId="0">
      <text>
        <r>
          <rPr>
            <sz val="9"/>
            <color indexed="81"/>
            <rFont val="Tahoma"/>
            <family val="2"/>
          </rPr>
          <t>09A04 : Filtrage des accès et gestion des associations</t>
        </r>
      </text>
    </comment>
    <comment ref="J67" authorId="0">
      <text>
        <r>
          <rPr>
            <sz val="9"/>
            <color indexed="81"/>
            <rFont val="Tahoma"/>
            <family val="2"/>
          </rPr>
          <t>09B01 : Scellement des données sensibles</t>
        </r>
      </text>
    </comment>
    <comment ref="J68" authorId="0">
      <text>
        <r>
          <rPr>
            <sz val="9"/>
            <color indexed="81"/>
            <rFont val="Tahoma"/>
            <family val="2"/>
          </rPr>
          <t>09C02 : Chiffrement des données stockées</t>
        </r>
      </text>
    </comment>
    <comment ref="J69" authorId="0">
      <text>
        <r>
          <rPr>
            <sz val="9"/>
            <color indexed="81"/>
            <rFont val="Tahoma"/>
            <family val="2"/>
          </rPr>
          <t>09B04 : Contrôles permanents  (vraisemblance, ...) sur les données</t>
        </r>
      </text>
    </comment>
    <comment ref="J73" authorId="0">
      <text>
        <r>
          <rPr>
            <sz val="9"/>
            <color indexed="81"/>
            <rFont val="Tahoma"/>
            <family val="2"/>
          </rPr>
          <t>11C01 : Protection de la confidentialité des données contenues sur le poste de travail ou sur un serveur de données (disque logique pour le poste de travail)</t>
        </r>
      </text>
    </comment>
    <comment ref="J74" authorId="0">
      <text>
        <r>
          <rPr>
            <sz val="9"/>
            <color indexed="81"/>
            <rFont val="Tahoma"/>
            <family val="2"/>
          </rPr>
          <t>11C03 : Prise en compte de la confidentialité lors des opérations de maintenance des postes utilisateurs</t>
        </r>
      </text>
    </comment>
    <comment ref="J75" authorId="0">
      <text>
        <r>
          <rPr>
            <sz val="9"/>
            <color indexed="81"/>
            <rFont val="Tahoma"/>
            <family val="2"/>
          </rPr>
          <t>11C04 : Protection de l'intégrité des fichiers contenus sur le poste de travail ou sur un serveur de données (disque logique pour le poste de travail)</t>
        </r>
      </text>
    </comment>
    <comment ref="J76" authorId="0">
      <text>
        <r>
          <rPr>
            <sz val="9"/>
            <color indexed="81"/>
            <rFont val="Tahoma"/>
            <family val="2"/>
          </rPr>
          <t>07A01 : Gestion des profils d'accès (droits et privilèges accordés en fonction des profils de fonction)</t>
        </r>
      </text>
    </comment>
    <comment ref="M76" authorId="0">
      <text>
        <r>
          <rPr>
            <sz val="9"/>
            <color indexed="81"/>
            <rFont val="Tahoma"/>
            <family val="2"/>
          </rPr>
          <t>07A02 : Gestion des autorisations d'accès et privilèges (attribution, délégation, retrait)</t>
        </r>
      </text>
    </comment>
    <comment ref="P76" authorId="0">
      <text>
        <r>
          <rPr>
            <sz val="9"/>
            <color indexed="81"/>
            <rFont val="Tahoma"/>
            <family val="2"/>
          </rPr>
          <t>07A03 : Authentification de l'utilisateur ou de l'entité demandant un accès</t>
        </r>
      </text>
    </comment>
    <comment ref="S76" authorId="0">
      <text>
        <r>
          <rPr>
            <sz val="9"/>
            <color indexed="81"/>
            <rFont val="Tahoma"/>
            <family val="2"/>
          </rPr>
          <t>07A04 : Filtrage des accès et gestion des associations</t>
        </r>
      </text>
    </comment>
    <comment ref="V76" authorId="0">
      <text>
        <r>
          <rPr>
            <sz val="9"/>
            <color indexed="81"/>
            <rFont val="Tahoma"/>
            <family val="2"/>
          </rPr>
          <t>08F01 : Gestion des attributions de droits privilégiés sur les systèmes (droits d'administrateur)</t>
        </r>
      </text>
    </comment>
    <comment ref="Y76" authorId="0">
      <text>
        <r>
          <rPr>
            <sz val="9"/>
            <color indexed="81"/>
            <rFont val="Tahoma"/>
            <family val="2"/>
          </rPr>
          <t>08F02 : Authentification et contrôle des droits d'accès des administrateurs et personnels d'exploitation</t>
        </r>
      </text>
    </comment>
    <comment ref="J81" authorId="0">
      <text>
        <r>
          <rPr>
            <sz val="9"/>
            <color indexed="81"/>
            <rFont val="Tahoma"/>
            <family val="2"/>
          </rPr>
          <t>11C01 : Protection de la confidentialité des données contenues sur le poste de travail ou sur un serveur de données (disque logique pour le poste de travail)</t>
        </r>
      </text>
    </comment>
    <comment ref="J82" authorId="0">
      <text>
        <r>
          <rPr>
            <sz val="9"/>
            <color indexed="81"/>
            <rFont val="Tahoma"/>
            <family val="2"/>
          </rPr>
          <t>11C03 : Prise en compte de la confidentialité lors des opérations de maintenance des postes utilisateurs</t>
        </r>
      </text>
    </comment>
    <comment ref="J83" authorId="0">
      <text>
        <r>
          <rPr>
            <sz val="9"/>
            <color indexed="81"/>
            <rFont val="Tahoma"/>
            <family val="2"/>
          </rPr>
          <t>11C04 : Protection de l'intégrité des fichiers contenus sur le poste de travail ou sur un serveur de données (disque logique pour le poste de travail)</t>
        </r>
      </text>
    </comment>
    <comment ref="J84" authorId="0">
      <text>
        <r>
          <rPr>
            <sz val="9"/>
            <color indexed="81"/>
            <rFont val="Tahoma"/>
            <family val="2"/>
          </rPr>
          <t>11C02 : Protection de la confidentialité des données de l'environnement de travail personnel stockées sur support amovible</t>
        </r>
      </text>
    </comment>
    <comment ref="J88" authorId="0">
      <text>
        <r>
          <rPr>
            <sz val="9"/>
            <color indexed="81"/>
            <rFont val="Tahoma"/>
            <family val="2"/>
          </rPr>
          <t>09B03 : Contrôle de la saisie des données</t>
        </r>
      </text>
    </comment>
    <comment ref="J89" authorId="0">
      <text>
        <r>
          <rPr>
            <sz val="9"/>
            <color indexed="81"/>
            <rFont val="Tahoma"/>
            <family val="2"/>
          </rPr>
          <t>09B03 : Contrôle de la saisie des données</t>
        </r>
      </text>
    </comment>
    <comment ref="J90" authorId="0">
      <text>
        <r>
          <rPr>
            <sz val="9"/>
            <color indexed="81"/>
            <rFont val="Tahoma"/>
            <family val="2"/>
          </rPr>
          <t>09B01 : Scellement des données sensibles</t>
        </r>
      </text>
    </comment>
    <comment ref="M90" authorId="0">
      <text>
        <r>
          <rPr>
            <sz val="9"/>
            <color indexed="81"/>
            <rFont val="Tahoma"/>
            <family val="2"/>
          </rPr>
          <t xml:space="preserve">09B02 : Protection de l'intégrité des données échangées </t>
        </r>
      </text>
    </comment>
    <comment ref="P90" authorId="0">
      <text>
        <r>
          <rPr>
            <sz val="9"/>
            <color indexed="81"/>
            <rFont val="Tahoma"/>
            <family val="2"/>
          </rPr>
          <t>09F01 : Garantie d'origine, signature, électronique</t>
        </r>
      </text>
    </comment>
    <comment ref="S90" authorId="0">
      <text>
        <r>
          <rPr>
            <sz val="9"/>
            <color indexed="81"/>
            <rFont val="Tahoma"/>
            <family val="2"/>
          </rPr>
          <t>09F02 : Individualisation des messages empêchant leur duplication (numérotation, séquencement,...)</t>
        </r>
      </text>
    </comment>
    <comment ref="J91" authorId="0">
      <text>
        <r>
          <rPr>
            <sz val="9"/>
            <color indexed="81"/>
            <rFont val="Tahoma"/>
            <family val="2"/>
          </rPr>
          <t>09C01 : Chiffrement des échanges (ponctuel ou en totalité)</t>
        </r>
      </text>
    </comment>
    <comment ref="M91" authorId="0">
      <text>
        <r>
          <rPr>
            <sz val="9"/>
            <color indexed="81"/>
            <rFont val="Tahoma"/>
            <family val="2"/>
          </rPr>
          <t>09C02 : Chiffrement des données stockées</t>
        </r>
      </text>
    </comment>
    <comment ref="J92" authorId="0">
      <text>
        <r>
          <rPr>
            <sz val="9"/>
            <color indexed="81"/>
            <rFont val="Tahoma"/>
            <family val="2"/>
          </rPr>
          <t>04C01 : Chiffrement des échanges sur le réseau étendu</t>
        </r>
      </text>
    </comment>
    <comment ref="M92" authorId="0">
      <text>
        <r>
          <rPr>
            <sz val="9"/>
            <color indexed="81"/>
            <rFont val="Tahoma"/>
            <family val="2"/>
          </rPr>
          <t>04C02 : Contrôle de l'intégrité des échanges sur le réseau étendu</t>
        </r>
      </text>
    </comment>
    <comment ref="P92" authorId="0">
      <text>
        <r>
          <rPr>
            <sz val="9"/>
            <color indexed="81"/>
            <rFont val="Tahoma"/>
            <family val="2"/>
          </rPr>
          <t>05C01 : Chiffrement des échanges sur le réseau local</t>
        </r>
      </text>
    </comment>
    <comment ref="S92" authorId="0">
      <text>
        <r>
          <rPr>
            <sz val="9"/>
            <color indexed="81"/>
            <rFont val="Tahoma"/>
            <family val="2"/>
          </rPr>
          <t>05C02 : Protection de l'intégrité des échanges sur le réseau local</t>
        </r>
      </text>
    </comment>
    <comment ref="V92" authorId="0">
      <text>
        <r>
          <rPr>
            <sz val="9"/>
            <color indexed="81"/>
            <rFont val="Tahoma"/>
            <family val="2"/>
          </rPr>
          <t xml:space="preserve">05C03 : Chiffrement des échanges lors des accès distants au réseau local
</t>
        </r>
      </text>
    </comment>
    <comment ref="Y92" authorId="0">
      <text>
        <r>
          <rPr>
            <sz val="9"/>
            <color indexed="81"/>
            <rFont val="Tahoma"/>
            <family val="2"/>
          </rPr>
          <t>05C04 : Protection de l'intégrité des échanges lors des accès distants au réseau local</t>
        </r>
      </text>
    </comment>
    <comment ref="J93" authorId="0">
      <text>
        <r>
          <rPr>
            <sz val="9"/>
            <color indexed="81"/>
            <rFont val="Tahoma"/>
            <family val="2"/>
          </rPr>
          <t>07A01 : Gestion des profils d'accès (droits et privilèges accordés en fonction des profils de fonction)</t>
        </r>
      </text>
    </comment>
    <comment ref="M93" authorId="0">
      <text>
        <r>
          <rPr>
            <sz val="9"/>
            <color indexed="81"/>
            <rFont val="Tahoma"/>
            <family val="2"/>
          </rPr>
          <t>07A02 : Gestion des autorisations d'accès et privilèges (attribution, délégation, retrait)</t>
        </r>
      </text>
    </comment>
    <comment ref="P93" authorId="0">
      <text>
        <r>
          <rPr>
            <sz val="9"/>
            <color indexed="81"/>
            <rFont val="Tahoma"/>
            <family val="2"/>
          </rPr>
          <t>07A03 : Authentification de l'utilisateur ou de l'entité demandant un accès</t>
        </r>
      </text>
    </comment>
    <comment ref="S93" authorId="0">
      <text>
        <r>
          <rPr>
            <sz val="9"/>
            <color indexed="81"/>
            <rFont val="Tahoma"/>
            <family val="2"/>
          </rPr>
          <t>07A04 : Filtrage des accès et gestion des associations</t>
        </r>
      </text>
    </comment>
    <comment ref="V93" authorId="0">
      <text>
        <r>
          <rPr>
            <sz val="9"/>
            <color indexed="81"/>
            <rFont val="Tahoma"/>
            <family val="2"/>
          </rPr>
          <t>09A01 : Gestion des profils d'accès aux données applicatives</t>
        </r>
      </text>
    </comment>
    <comment ref="Y93" authorId="0">
      <text>
        <r>
          <rPr>
            <sz val="9"/>
            <color indexed="81"/>
            <rFont val="Tahoma"/>
            <family val="2"/>
          </rPr>
          <t>09A02 : Gestion des autorisations d'accès aux données applicatives (attribution, délégation, retrait)</t>
        </r>
      </text>
    </comment>
    <comment ref="AB93" authorId="0">
      <text>
        <r>
          <rPr>
            <sz val="9"/>
            <color indexed="81"/>
            <rFont val="Tahoma"/>
            <family val="2"/>
          </rPr>
          <t>09A03 : Authentification de l'utilisateur ou de l'entité demandant un accès</t>
        </r>
      </text>
    </comment>
    <comment ref="AE93" authorId="0">
      <text>
        <r>
          <rPr>
            <sz val="9"/>
            <color indexed="81"/>
            <rFont val="Tahoma"/>
            <family val="2"/>
          </rPr>
          <t>09A04 : Filtrage des accès et gestion des associations</t>
        </r>
      </text>
    </comment>
    <comment ref="J94" authorId="0">
      <text>
        <r>
          <rPr>
            <sz val="9"/>
            <color indexed="81"/>
            <rFont val="Tahoma"/>
            <family val="2"/>
          </rPr>
          <t>09B04 : Contrôles permanents  (vraisemblance, ...) sur les données</t>
        </r>
      </text>
    </comment>
    <comment ref="J95" authorId="0">
      <text>
        <r>
          <rPr>
            <sz val="9"/>
            <color indexed="81"/>
            <rFont val="Tahoma"/>
            <family val="2"/>
          </rPr>
          <t xml:space="preserve">09F03 : Accusé de réception </t>
        </r>
      </text>
    </comment>
    <comment ref="J99" authorId="0">
      <text>
        <r>
          <rPr>
            <sz val="9"/>
            <color indexed="81"/>
            <rFont val="Tahoma"/>
            <family val="2"/>
          </rPr>
          <t>11C05 : Sécurité de la messagerie électronique (courriels) et des échanges électroniques d'information</t>
        </r>
      </text>
    </comment>
    <comment ref="J104" authorId="0">
      <text>
        <r>
          <rPr>
            <sz val="9"/>
            <color indexed="81"/>
            <rFont val="Tahoma"/>
            <family val="2"/>
          </rPr>
          <t xml:space="preserve">02D05 : Sécurité des télécopies </t>
        </r>
      </text>
    </comment>
    <comment ref="J108" authorId="0">
      <text>
        <r>
          <rPr>
            <sz val="9"/>
            <color indexed="81"/>
            <rFont val="Tahoma"/>
            <family val="2"/>
          </rPr>
          <t>08H03 : Gestion de la sécurité des archives</t>
        </r>
      </text>
    </comment>
    <comment ref="J109" authorId="0">
      <text>
        <r>
          <rPr>
            <sz val="9"/>
            <color indexed="81"/>
            <rFont val="Tahoma"/>
            <family val="2"/>
          </rPr>
          <t>08H02 : Gestion des accès aux archives</t>
        </r>
      </text>
    </comment>
    <comment ref="J114" authorId="0">
      <text>
        <r>
          <rPr>
            <sz val="9"/>
            <color indexed="81"/>
            <rFont val="Tahoma"/>
            <family val="2"/>
          </rPr>
          <t>09B05 : Contrôles permanents  (vraisemblance, ...) sur les traitements</t>
        </r>
      </text>
    </comment>
    <comment ref="J115" authorId="0">
      <text>
        <r>
          <rPr>
            <sz val="9"/>
            <color indexed="81"/>
            <rFont val="Tahoma"/>
            <family val="2"/>
          </rPr>
          <t>09B01 : Scellement des données sensibles</t>
        </r>
      </text>
    </comment>
    <comment ref="J116" authorId="0">
      <text>
        <r>
          <rPr>
            <sz val="9"/>
            <color indexed="81"/>
            <rFont val="Tahoma"/>
            <family val="2"/>
          </rPr>
          <t>09C02 : Chiffrement des données stockées</t>
        </r>
      </text>
    </comment>
    <comment ref="J117" authorId="0">
      <text>
        <r>
          <rPr>
            <sz val="9"/>
            <color indexed="81"/>
            <rFont val="Tahoma"/>
            <family val="2"/>
          </rPr>
          <t>07A01 : Gestion des profils d'accès (droits et privilèges accordés en fonction des profils de fonction)</t>
        </r>
      </text>
    </comment>
    <comment ref="M117" authorId="0">
      <text>
        <r>
          <rPr>
            <sz val="9"/>
            <color indexed="81"/>
            <rFont val="Tahoma"/>
            <family val="2"/>
          </rPr>
          <t>07A02 : Gestion des autorisations d'accès et privilèges (attribution, délégation, retrait)</t>
        </r>
      </text>
    </comment>
    <comment ref="P117" authorId="0">
      <text>
        <r>
          <rPr>
            <sz val="9"/>
            <color indexed="81"/>
            <rFont val="Tahoma"/>
            <family val="2"/>
          </rPr>
          <t>07A03 : Authentification de l'utilisateur ou de l'entité demandant un accès</t>
        </r>
      </text>
    </comment>
    <comment ref="S117" authorId="0">
      <text>
        <r>
          <rPr>
            <sz val="9"/>
            <color indexed="81"/>
            <rFont val="Tahoma"/>
            <family val="2"/>
          </rPr>
          <t>07A04 : Filtrage des accès et gestion des associations</t>
        </r>
      </text>
    </comment>
    <comment ref="V117" authorId="0">
      <text>
        <r>
          <rPr>
            <sz val="9"/>
            <color indexed="81"/>
            <rFont val="Tahoma"/>
            <family val="2"/>
          </rPr>
          <t>09A01 : Gestion des profils d'accès aux données applicatives</t>
        </r>
      </text>
    </comment>
    <comment ref="Y117" authorId="0">
      <text>
        <r>
          <rPr>
            <sz val="9"/>
            <color indexed="81"/>
            <rFont val="Tahoma"/>
            <family val="2"/>
          </rPr>
          <t>09A02 : Gestion des autorisations d'accès aux données applicatives (attribution, délégation, retrait)</t>
        </r>
      </text>
    </comment>
    <comment ref="AB117" authorId="0">
      <text>
        <r>
          <rPr>
            <sz val="9"/>
            <color indexed="81"/>
            <rFont val="Tahoma"/>
            <family val="2"/>
          </rPr>
          <t>09A03 : Authentification de l'utilisateur ou de l'entité demandant un accès</t>
        </r>
      </text>
    </comment>
    <comment ref="AE117" authorId="0">
      <text>
        <r>
          <rPr>
            <sz val="9"/>
            <color indexed="81"/>
            <rFont val="Tahoma"/>
            <family val="2"/>
          </rPr>
          <t>09A04 : Filtrage des accès et gestion des associations</t>
        </r>
      </text>
    </comment>
    <comment ref="AH117" authorId="0">
      <text>
        <r>
          <rPr>
            <sz val="9"/>
            <color indexed="81"/>
            <rFont val="Tahoma"/>
            <family val="2"/>
          </rPr>
          <t>08F01 : Gestion des attributions de droits privilégiés sur les systèmes (droits d'administrateur)</t>
        </r>
      </text>
    </comment>
    <comment ref="AK117" authorId="0">
      <text>
        <r>
          <rPr>
            <sz val="9"/>
            <color indexed="81"/>
            <rFont val="Tahoma"/>
            <family val="2"/>
          </rPr>
          <t>08F02 : Authentification et contrôle des droits d'accès des administrateurs et personnels d'exploitation</t>
        </r>
      </text>
    </comment>
    <comment ref="J118" authorId="0">
      <text>
        <r>
          <rPr>
            <sz val="9"/>
            <color indexed="81"/>
            <rFont val="Tahoma"/>
            <family val="2"/>
          </rPr>
          <t>08D03 : Procédures et plans de reprise des applications sur incidents d'exploitation</t>
        </r>
      </text>
    </comment>
    <comment ref="M118" authorId="0">
      <text>
        <r>
          <rPr>
            <sz val="9"/>
            <color indexed="81"/>
            <rFont val="Tahoma"/>
            <family val="2"/>
          </rPr>
          <t xml:space="preserve">10B06 : Maintenance à chaud </t>
        </r>
      </text>
    </comment>
    <comment ref="J119" authorId="0">
      <text>
        <r>
          <rPr>
            <sz val="9"/>
            <color indexed="81"/>
            <rFont val="Tahoma"/>
            <family val="2"/>
          </rPr>
          <t>09B04 : Contrôles permanents  (vraisemblance, ...) sur les données</t>
        </r>
      </text>
    </comment>
    <comment ref="J122" authorId="0">
      <text>
        <r>
          <rPr>
            <sz val="9"/>
            <color indexed="81"/>
            <rFont val="Tahoma"/>
            <family val="2"/>
          </rPr>
          <t>03B06 : Surveillance des locaux sensibles</t>
        </r>
      </text>
    </comment>
    <comment ref="M122" authorId="0">
      <text>
        <r>
          <rPr>
            <sz val="9"/>
            <color indexed="81"/>
            <rFont val="Tahoma"/>
            <family val="2"/>
          </rPr>
          <t xml:space="preserve">08C03 : Sécurité physique des supports stockés sur site </t>
        </r>
      </text>
    </comment>
    <comment ref="P122" authorId="0">
      <text>
        <r>
          <rPr>
            <sz val="9"/>
            <color indexed="81"/>
            <rFont val="Tahoma"/>
            <family val="2"/>
          </rPr>
          <t>08C04 : Sécurité physique des supports externalisés (stockés dans un site externe)</t>
        </r>
      </text>
    </comment>
    <comment ref="J123" authorId="0">
      <text>
        <r>
          <rPr>
            <sz val="9"/>
            <color indexed="81"/>
            <rFont val="Tahoma"/>
            <family val="2"/>
          </rPr>
          <t>07C01 : Enregistrement des accès aux ressources sensibles</t>
        </r>
      </text>
    </comment>
    <comment ref="J124" authorId="0">
      <text>
        <r>
          <rPr>
            <sz val="9"/>
            <color indexed="81"/>
            <rFont val="Tahoma"/>
            <family val="2"/>
          </rPr>
          <t>09C02 : Chiffrement des données stockées</t>
        </r>
      </text>
    </comment>
    <comment ref="J125" authorId="0">
      <text>
        <r>
          <rPr>
            <sz val="9"/>
            <color indexed="81"/>
            <rFont val="Tahoma"/>
            <family val="2"/>
          </rPr>
          <t>07B01 : Contrôle des accès aux résidus</t>
        </r>
      </text>
    </comment>
    <comment ref="M125" authorId="0">
      <text>
        <r>
          <rPr>
            <sz val="9"/>
            <color indexed="81"/>
            <rFont val="Tahoma"/>
            <family val="2"/>
          </rPr>
          <t>08A05 : Prise en compte de la confidentialité lors des opérations de maintenance sur les systèmes en production</t>
        </r>
      </text>
    </comment>
    <comment ref="P125" authorId="0">
      <text>
        <r>
          <rPr>
            <sz val="9"/>
            <color indexed="81"/>
            <rFont val="Tahoma"/>
            <family val="2"/>
          </rPr>
          <t xml:space="preserve">08A06 : Contrôle de la télémaintenance </t>
        </r>
      </text>
    </comment>
    <comment ref="S125" authorId="0">
      <text>
        <r>
          <rPr>
            <sz val="9"/>
            <color indexed="81"/>
            <rFont val="Tahoma"/>
            <family val="2"/>
          </rPr>
          <t>10B04 : Protection des données d'essai</t>
        </r>
      </text>
    </comment>
    <comment ref="J126" authorId="0">
      <text>
        <r>
          <rPr>
            <sz val="9"/>
            <color indexed="81"/>
            <rFont val="Tahoma"/>
            <family val="2"/>
          </rPr>
          <t>07A01 : Gestion des profils d'accès (droits et privilèges accordés en fonction des profils de fonction)</t>
        </r>
      </text>
    </comment>
    <comment ref="M126" authorId="0">
      <text>
        <r>
          <rPr>
            <sz val="9"/>
            <color indexed="81"/>
            <rFont val="Tahoma"/>
            <family val="2"/>
          </rPr>
          <t>07A02 : Gestion des autorisations d'accès et privilèges (attribution, délégation, retrait)</t>
        </r>
      </text>
    </comment>
    <comment ref="P126" authorId="0">
      <text>
        <r>
          <rPr>
            <sz val="9"/>
            <color indexed="81"/>
            <rFont val="Tahoma"/>
            <family val="2"/>
          </rPr>
          <t>07A03 : Authentification de l'utilisateur ou de l'entité demandant un accès</t>
        </r>
      </text>
    </comment>
    <comment ref="S126" authorId="0">
      <text>
        <r>
          <rPr>
            <sz val="9"/>
            <color indexed="81"/>
            <rFont val="Tahoma"/>
            <family val="2"/>
          </rPr>
          <t>07A04 : Filtrage des accès et gestion des associations</t>
        </r>
      </text>
    </comment>
    <comment ref="V126" authorId="0">
      <text>
        <r>
          <rPr>
            <sz val="9"/>
            <color indexed="81"/>
            <rFont val="Tahoma"/>
            <family val="2"/>
          </rPr>
          <t>09A01 : Gestion des profils d'accès aux données applicatives</t>
        </r>
      </text>
    </comment>
    <comment ref="Y126" authorId="0">
      <text>
        <r>
          <rPr>
            <sz val="9"/>
            <color indexed="81"/>
            <rFont val="Tahoma"/>
            <family val="2"/>
          </rPr>
          <t>09A02 : Gestion des autorisations d'accès aux données applicatives (attribution, délégation, retrait)</t>
        </r>
      </text>
    </comment>
    <comment ref="AB126" authorId="0">
      <text>
        <r>
          <rPr>
            <sz val="9"/>
            <color indexed="81"/>
            <rFont val="Tahoma"/>
            <family val="2"/>
          </rPr>
          <t>09A03 : Authentification de l'utilisateur ou de l'entité demandant un accès</t>
        </r>
      </text>
    </comment>
    <comment ref="AE126" authorId="0">
      <text>
        <r>
          <rPr>
            <sz val="9"/>
            <color indexed="81"/>
            <rFont val="Tahoma"/>
            <family val="2"/>
          </rPr>
          <t>09A04 : Filtrage des accès et gestion des associations</t>
        </r>
      </text>
    </comment>
    <comment ref="AH126" authorId="0">
      <text>
        <r>
          <rPr>
            <sz val="9"/>
            <color indexed="81"/>
            <rFont val="Tahoma"/>
            <family val="2"/>
          </rPr>
          <t>08F02 : Authentification et contrôle des droits d'accès des administrateurs et personnels d'exploitation</t>
        </r>
      </text>
    </comment>
    <comment ref="J127" authorId="0">
      <text>
        <r>
          <rPr>
            <sz val="9"/>
            <color indexed="81"/>
            <rFont val="Tahoma"/>
            <family val="2"/>
          </rPr>
          <t xml:space="preserve">05B03 : Authentification de l'utilisateur ou de l'entité demandant un accès au réseau local depuis un point d'accès interne 
Ce mécanisme correspond à l'authentification réalisée sous Windows par un contrôleur de domaine </t>
        </r>
      </text>
    </comment>
    <comment ref="M127" authorId="0">
      <text>
        <r>
          <rPr>
            <sz val="9"/>
            <color indexed="81"/>
            <rFont val="Tahoma"/>
            <family val="2"/>
          </rPr>
          <t>05B04 : Authentification de l'utilisateur ou de l'entité demandant un accès au réseau local depuis un site distant via le réseau étendu</t>
        </r>
      </text>
    </comment>
    <comment ref="P127" authorId="0">
      <text>
        <r>
          <rPr>
            <sz val="9"/>
            <color indexed="81"/>
            <rFont val="Tahoma"/>
            <family val="2"/>
          </rPr>
          <t xml:space="preserve">05B05 : Authentification de l'utilisateur ou de l'entité demandant un accès au réseau local depuis l'extérieur
(depuis le Réseau Téléphonique Commuté, X25, RNIS, ADSL, Internet, etc.) </t>
        </r>
      </text>
    </comment>
    <comment ref="S127" authorId="0">
      <text>
        <r>
          <rPr>
            <sz val="9"/>
            <color indexed="81"/>
            <rFont val="Tahoma"/>
            <family val="2"/>
          </rPr>
          <t>05B06 : Authentification de l'utilisateur ou de l'entité demandant un accès au réseau local depuis un sous-réseau WiFi</t>
        </r>
      </text>
    </comment>
    <comment ref="V127" authorId="0">
      <text>
        <r>
          <rPr>
            <sz val="9"/>
            <color indexed="81"/>
            <rFont val="Tahoma"/>
            <family val="2"/>
          </rPr>
          <t>05B07 : Filtrage général des accès au réseau local</t>
        </r>
      </text>
    </comment>
    <comment ref="Y127" authorId="0">
      <text>
        <r>
          <rPr>
            <sz val="9"/>
            <color indexed="81"/>
            <rFont val="Tahoma"/>
            <family val="2"/>
          </rPr>
          <t>05B08 : Contrôle du routage des accès sortants</t>
        </r>
      </text>
    </comment>
    <comment ref="AB127" authorId="0">
      <text>
        <r>
          <rPr>
            <sz val="9"/>
            <color indexed="81"/>
            <rFont val="Tahoma"/>
            <family val="2"/>
          </rPr>
          <t>05B09 : Authentification de l'entité accédée lors des accès sortants vers des sites sensibles</t>
        </r>
      </text>
    </comment>
    <comment ref="AE127" authorId="0">
      <text>
        <r>
          <rPr>
            <sz val="9"/>
            <color indexed="81"/>
            <rFont val="Tahoma"/>
            <family val="2"/>
          </rPr>
          <t>06B02 : Contrôle des configurations des accès réseaux des postes utilisateurs</t>
        </r>
      </text>
    </comment>
    <comment ref="J128" authorId="0">
      <text>
        <r>
          <rPr>
            <sz val="9"/>
            <color indexed="81"/>
            <rFont val="Tahoma"/>
            <family val="2"/>
          </rPr>
          <t>03B03 : Contrôle des accès aux locaux sensibles</t>
        </r>
      </text>
    </comment>
    <comment ref="M128" authorId="0">
      <text>
        <r>
          <rPr>
            <sz val="9"/>
            <color indexed="81"/>
            <rFont val="Tahoma"/>
            <family val="2"/>
          </rPr>
          <t xml:space="preserve">03B04 : Détection des intrusions dans les locaux sensibles </t>
        </r>
      </text>
    </comment>
    <comment ref="P128" authorId="0">
      <text>
        <r>
          <rPr>
            <sz val="9"/>
            <color indexed="81"/>
            <rFont val="Tahoma"/>
            <family val="2"/>
          </rPr>
          <t xml:space="preserve">08C03 : Sécurité physique des supports stockés sur site </t>
        </r>
      </text>
    </comment>
    <comment ref="S128" authorId="0">
      <text>
        <r>
          <rPr>
            <sz val="9"/>
            <color indexed="81"/>
            <rFont val="Tahoma"/>
            <family val="2"/>
          </rPr>
          <t>08C04 : Sécurité physique des supports externalisés (stockés dans un site externe)</t>
        </r>
      </text>
    </comment>
    <comment ref="V128" authorId="0">
      <text>
        <r>
          <rPr>
            <sz val="9"/>
            <color indexed="81"/>
            <rFont val="Tahoma"/>
            <family val="2"/>
          </rPr>
          <t>08C07 : Sécurité physique des médias en transit</t>
        </r>
      </text>
    </comment>
    <comment ref="J132" authorId="0">
      <text>
        <r>
          <rPr>
            <sz val="9"/>
            <color indexed="81"/>
            <rFont val="Tahoma"/>
            <family val="2"/>
          </rPr>
          <t xml:space="preserve">08C03 : Sécurité physique des supports stockés sur site </t>
        </r>
      </text>
    </comment>
    <comment ref="M132" authorId="0">
      <text>
        <r>
          <rPr>
            <sz val="9"/>
            <color indexed="81"/>
            <rFont val="Tahoma"/>
            <family val="2"/>
          </rPr>
          <t>08C04 : Sécurité physique des supports externalisés (stockés dans un site externe)</t>
        </r>
      </text>
    </comment>
    <comment ref="P132" authorId="0">
      <text>
        <r>
          <rPr>
            <sz val="9"/>
            <color indexed="81"/>
            <rFont val="Tahoma"/>
            <family val="2"/>
          </rPr>
          <t>02C05 : Surveillance des zones de bureaux protégées</t>
        </r>
      </text>
    </comment>
    <comment ref="J133" authorId="0">
      <text>
        <r>
          <rPr>
            <sz val="9"/>
            <color indexed="81"/>
            <rFont val="Tahoma"/>
            <family val="2"/>
          </rPr>
          <t>11C01 : Protection de la confidentialité des données contenues sur le poste de travail ou sur un serveur de données (disque logique pour le poste de travail)</t>
        </r>
      </text>
    </comment>
    <comment ref="J134" authorId="0">
      <text>
        <r>
          <rPr>
            <sz val="9"/>
            <color indexed="81"/>
            <rFont val="Tahoma"/>
            <family val="2"/>
          </rPr>
          <t>07A01 : Gestion des profils d'accès (droits et privilèges accordés en fonction des profils de fonction)</t>
        </r>
      </text>
    </comment>
    <comment ref="M134" authorId="0">
      <text>
        <r>
          <rPr>
            <sz val="9"/>
            <color indexed="81"/>
            <rFont val="Tahoma"/>
            <family val="2"/>
          </rPr>
          <t>07A02 : Gestion des autorisations d'accès et privilèges (attribution, délégation, retrait)</t>
        </r>
      </text>
    </comment>
    <comment ref="P134" authorId="0">
      <text>
        <r>
          <rPr>
            <sz val="9"/>
            <color indexed="81"/>
            <rFont val="Tahoma"/>
            <family val="2"/>
          </rPr>
          <t>07A03 : Authentification de l'utilisateur ou de l'entité demandant un accès</t>
        </r>
      </text>
    </comment>
    <comment ref="S134" authorId="0">
      <text>
        <r>
          <rPr>
            <sz val="9"/>
            <color indexed="81"/>
            <rFont val="Tahoma"/>
            <family val="2"/>
          </rPr>
          <t>07A04 : Filtrage des accès et gestion des associations</t>
        </r>
      </text>
    </comment>
    <comment ref="V134" authorId="0">
      <text>
        <r>
          <rPr>
            <sz val="9"/>
            <color indexed="81"/>
            <rFont val="Tahoma"/>
            <family val="2"/>
          </rPr>
          <t>08C06 : Protection des réseaux de stockage</t>
        </r>
      </text>
    </comment>
    <comment ref="Y134" authorId="0">
      <text>
        <r>
          <rPr>
            <sz val="9"/>
            <color indexed="81"/>
            <rFont val="Tahoma"/>
            <family val="2"/>
          </rPr>
          <t>08F02 : Authentification et contrôle des droits d'accès des administrateurs et personnels d'exploitation</t>
        </r>
      </text>
    </comment>
    <comment ref="J135" authorId="0">
      <text>
        <r>
          <rPr>
            <sz val="9"/>
            <color indexed="81"/>
            <rFont val="Tahoma"/>
            <family val="2"/>
          </rPr>
          <t>03B03 : Contrôle des accès aux locaux sensibles</t>
        </r>
      </text>
    </comment>
    <comment ref="M135" authorId="0">
      <text>
        <r>
          <rPr>
            <sz val="9"/>
            <color indexed="81"/>
            <rFont val="Tahoma"/>
            <family val="2"/>
          </rPr>
          <t xml:space="preserve">03B04 : Détection des intrusions dans les locaux sensibles </t>
        </r>
      </text>
    </comment>
    <comment ref="P135" authorId="0">
      <text>
        <r>
          <rPr>
            <sz val="9"/>
            <color indexed="81"/>
            <rFont val="Tahoma"/>
            <family val="2"/>
          </rPr>
          <t xml:space="preserve">08C03 : Sécurité physique des supports stockés sur site </t>
        </r>
      </text>
    </comment>
    <comment ref="S135" authorId="0">
      <text>
        <r>
          <rPr>
            <sz val="9"/>
            <color indexed="81"/>
            <rFont val="Tahoma"/>
            <family val="2"/>
          </rPr>
          <t>08C04 : Sécurité physique des supports externalisés (stockés dans un site externe)</t>
        </r>
      </text>
    </comment>
    <comment ref="V135" authorId="0">
      <text>
        <r>
          <rPr>
            <sz val="9"/>
            <color indexed="81"/>
            <rFont val="Tahoma"/>
            <family val="2"/>
          </rPr>
          <t>08C07 : Sécurité physique des médias en transit</t>
        </r>
      </text>
    </comment>
    <comment ref="J136" authorId="0">
      <text>
        <r>
          <rPr>
            <sz val="9"/>
            <color indexed="81"/>
            <rFont val="Tahoma"/>
            <family val="2"/>
          </rPr>
          <t xml:space="preserve">05B03 : Authentification de l'utilisateur ou de l'entité demandant un accès au réseau local depuis un point d'accès interne 
Ce mécanisme correspond à l'authentification réalisée sous Windows par un contrôleur de domaine </t>
        </r>
      </text>
    </comment>
    <comment ref="M136" authorId="0">
      <text>
        <r>
          <rPr>
            <sz val="9"/>
            <color indexed="81"/>
            <rFont val="Tahoma"/>
            <family val="2"/>
          </rPr>
          <t>05B04 : Authentification de l'utilisateur ou de l'entité demandant un accès au réseau local depuis un site distant via le réseau étendu</t>
        </r>
      </text>
    </comment>
    <comment ref="P136" authorId="0">
      <text>
        <r>
          <rPr>
            <sz val="9"/>
            <color indexed="81"/>
            <rFont val="Tahoma"/>
            <family val="2"/>
          </rPr>
          <t xml:space="preserve">05B05 : Authentification de l'utilisateur ou de l'entité demandant un accès au réseau local depuis l'extérieur
(depuis le Réseau Téléphonique Commuté, X25, RNIS, ADSL, Internet, etc.) </t>
        </r>
      </text>
    </comment>
    <comment ref="S136" authorId="0">
      <text>
        <r>
          <rPr>
            <sz val="9"/>
            <color indexed="81"/>
            <rFont val="Tahoma"/>
            <family val="2"/>
          </rPr>
          <t>05B06 : Authentification de l'utilisateur ou de l'entité demandant un accès au réseau local depuis un sous-réseau WiFi</t>
        </r>
      </text>
    </comment>
    <comment ref="V136" authorId="0">
      <text>
        <r>
          <rPr>
            <sz val="9"/>
            <color indexed="81"/>
            <rFont val="Tahoma"/>
            <family val="2"/>
          </rPr>
          <t>05B07 : Filtrage général des accès au réseau local</t>
        </r>
      </text>
    </comment>
    <comment ref="Y136" authorId="0">
      <text>
        <r>
          <rPr>
            <sz val="9"/>
            <color indexed="81"/>
            <rFont val="Tahoma"/>
            <family val="2"/>
          </rPr>
          <t>05B08 : Contrôle du routage des accès sortants</t>
        </r>
      </text>
    </comment>
    <comment ref="AB136" authorId="0">
      <text>
        <r>
          <rPr>
            <sz val="9"/>
            <color indexed="81"/>
            <rFont val="Tahoma"/>
            <family val="2"/>
          </rPr>
          <t>05B09 : Authentification de l'entité accédée lors des accès sortants vers des sites sensibles</t>
        </r>
      </text>
    </comment>
    <comment ref="AE136" authorId="0">
      <text>
        <r>
          <rPr>
            <sz val="9"/>
            <color indexed="81"/>
            <rFont val="Tahoma"/>
            <family val="2"/>
          </rPr>
          <t>06B02 : Contrôle des configurations des accès réseaux des postes utilisateurs</t>
        </r>
      </text>
    </comment>
    <comment ref="J140" authorId="0">
      <text>
        <r>
          <rPr>
            <sz val="9"/>
            <color indexed="81"/>
            <rFont val="Tahoma"/>
            <family val="2"/>
          </rPr>
          <t>02C04 : Détection des intrusions dans les zones de bureaux protégées</t>
        </r>
      </text>
    </comment>
    <comment ref="M140" authorId="0">
      <text>
        <r>
          <rPr>
            <sz val="9"/>
            <color indexed="81"/>
            <rFont val="Tahoma"/>
            <family val="2"/>
          </rPr>
          <t>02C05 : Surveillance des zones de bureaux protégées</t>
        </r>
      </text>
    </comment>
    <comment ref="P140" authorId="0">
      <text>
        <r>
          <rPr>
            <sz val="9"/>
            <color indexed="81"/>
            <rFont val="Tahoma"/>
            <family val="2"/>
          </rPr>
          <t>11E02 : Authentification et contrôle des droits d'accès des administrateurs et personnels d'exploitation</t>
        </r>
      </text>
    </comment>
    <comment ref="S140" authorId="0">
      <text>
        <r>
          <rPr>
            <sz val="9"/>
            <color indexed="81"/>
            <rFont val="Tahoma"/>
            <family val="2"/>
          </rPr>
          <t>11E03 : Surveillance des actions d'administration du parc de postes utilisateurs</t>
        </r>
      </text>
    </comment>
    <comment ref="J141" authorId="0">
      <text>
        <r>
          <rPr>
            <sz val="9"/>
            <color indexed="81"/>
            <rFont val="Tahoma"/>
            <family val="2"/>
          </rPr>
          <t>11C01 : Protection de la confidentialité des données contenues sur le poste de travail ou sur un serveur de données (disque logique pour le poste de travail)</t>
        </r>
      </text>
    </comment>
    <comment ref="M141" authorId="0">
      <text>
        <r>
          <rPr>
            <sz val="9"/>
            <color indexed="81"/>
            <rFont val="Tahoma"/>
            <family val="2"/>
          </rPr>
          <t>11C02 : Protection de la confidentialité des données de l'environnement de travail personnel stockées sur support amovible</t>
        </r>
      </text>
    </comment>
    <comment ref="J142" authorId="0">
      <text>
        <r>
          <rPr>
            <sz val="9"/>
            <color indexed="81"/>
            <rFont val="Tahoma"/>
            <family val="2"/>
          </rPr>
          <t>11B01 : Contrôle d'accès au poste de travail</t>
        </r>
      </text>
    </comment>
    <comment ref="M142" authorId="0">
      <text>
        <r>
          <rPr>
            <sz val="9"/>
            <color indexed="81"/>
            <rFont val="Tahoma"/>
            <family val="2"/>
          </rPr>
          <t>11E01 : Gestion des attributions de droits privilégiés sur les postes utilisateurs (droits d'administrateur)</t>
        </r>
      </text>
    </comment>
    <comment ref="J143" authorId="0">
      <text>
        <r>
          <rPr>
            <sz val="9"/>
            <color indexed="81"/>
            <rFont val="Tahoma"/>
            <family val="2"/>
          </rPr>
          <t>02C01 : Partitionnement des zones de bureaux en zones protégées</t>
        </r>
      </text>
    </comment>
    <comment ref="M143" authorId="0">
      <text>
        <r>
          <rPr>
            <sz val="9"/>
            <color indexed="81"/>
            <rFont val="Tahoma"/>
            <family val="2"/>
          </rPr>
          <t>02C02 : Contrôle d'accès physique aux zones de bureaux protégées</t>
        </r>
      </text>
    </comment>
    <comment ref="P143" authorId="0">
      <text>
        <r>
          <rPr>
            <sz val="9"/>
            <color indexed="81"/>
            <rFont val="Tahoma"/>
            <family val="2"/>
          </rPr>
          <t>02C03 : Gestion des autorisations d'accès aux zones de bureaux protégées</t>
        </r>
      </text>
    </comment>
    <comment ref="S143" authorId="0">
      <text>
        <r>
          <rPr>
            <sz val="9"/>
            <color indexed="81"/>
            <rFont val="Tahoma"/>
            <family val="2"/>
          </rPr>
          <t>02C04 : Détection des intrusions dans les zones de bureaux protégées</t>
        </r>
      </text>
    </comment>
    <comment ref="V143" authorId="0">
      <text>
        <r>
          <rPr>
            <sz val="9"/>
            <color indexed="81"/>
            <rFont val="Tahoma"/>
            <family val="2"/>
          </rPr>
          <t>02C06 : Contrôle de la circulation des visiteurs et des prestataires occasionnels amenés à intervenir dans les bureaux</t>
        </r>
      </text>
    </comment>
    <comment ref="J147" authorId="0">
      <text>
        <r>
          <rPr>
            <sz val="9"/>
            <color indexed="81"/>
            <rFont val="Tahoma"/>
            <family val="2"/>
          </rPr>
          <t>02C05 : Surveillance des zones de bureaux protégées</t>
        </r>
      </text>
    </comment>
    <comment ref="J148" authorId="0">
      <text>
        <r>
          <rPr>
            <sz val="9"/>
            <color indexed="81"/>
            <rFont val="Tahoma"/>
            <family val="2"/>
          </rPr>
          <t>02D02 : Protection des documents et supports amovibles</t>
        </r>
      </text>
    </comment>
    <comment ref="M148" authorId="0">
      <text>
        <r>
          <rPr>
            <sz val="9"/>
            <color indexed="81"/>
            <rFont val="Tahoma"/>
            <family val="2"/>
          </rPr>
          <t>02D03 : Ramassage des corbeilles à papier et destruction des documents</t>
        </r>
      </text>
    </comment>
    <comment ref="J149" authorId="0">
      <text>
        <r>
          <rPr>
            <sz val="9"/>
            <color indexed="81"/>
            <rFont val="Tahoma"/>
            <family val="2"/>
          </rPr>
          <t>02C01 : Partitionnement des zones de bureaux en zones protégées</t>
        </r>
      </text>
    </comment>
    <comment ref="M149" authorId="0">
      <text>
        <r>
          <rPr>
            <sz val="9"/>
            <color indexed="81"/>
            <rFont val="Tahoma"/>
            <family val="2"/>
          </rPr>
          <t>02C02 : Contrôle d'accès physique aux zones de bureaux protégées</t>
        </r>
      </text>
    </comment>
    <comment ref="P149" authorId="0">
      <text>
        <r>
          <rPr>
            <sz val="9"/>
            <color indexed="81"/>
            <rFont val="Tahoma"/>
            <family val="2"/>
          </rPr>
          <t>02C03 : Gestion des autorisations d'accès aux zones de bureaux protégées</t>
        </r>
      </text>
    </comment>
    <comment ref="S149" authorId="0">
      <text>
        <r>
          <rPr>
            <sz val="9"/>
            <color indexed="81"/>
            <rFont val="Tahoma"/>
            <family val="2"/>
          </rPr>
          <t>02C06 : Contrôle de la circulation des visiteurs et des prestataires occasionnels amenés à intervenir dans les bureaux</t>
        </r>
      </text>
    </comment>
    <comment ref="J153" authorId="0">
      <text>
        <r>
          <rPr>
            <sz val="9"/>
            <color indexed="81"/>
            <rFont val="Tahoma"/>
            <family val="2"/>
          </rPr>
          <t>03B06 : Surveillance des locaux sensibles</t>
        </r>
      </text>
    </comment>
    <comment ref="J154" authorId="0">
      <text>
        <r>
          <rPr>
            <sz val="9"/>
            <color indexed="81"/>
            <rFont val="Tahoma"/>
            <family val="2"/>
          </rPr>
          <t>08A07 : Protection des états et rapports imprimés sensibles</t>
        </r>
      </text>
    </comment>
    <comment ref="J158" authorId="0">
      <text>
        <r>
          <rPr>
            <sz val="9"/>
            <color indexed="81"/>
            <rFont val="Tahoma"/>
            <family val="2"/>
          </rPr>
          <t>06A01 : Prise en compte de la sécurité dans les relations avec le personnel d'exploitation (salariés et prestataires)</t>
        </r>
      </text>
    </comment>
    <comment ref="M158" authorId="0">
      <text>
        <r>
          <rPr>
            <sz val="9"/>
            <color indexed="81"/>
            <rFont val="Tahoma"/>
            <family val="2"/>
          </rPr>
          <t>06C03 : Surveillance des actions d'administration des réseaux</t>
        </r>
      </text>
    </comment>
    <comment ref="P158" authorId="0">
      <text>
        <r>
          <rPr>
            <sz val="9"/>
            <color indexed="81"/>
            <rFont val="Tahoma"/>
            <family val="2"/>
          </rPr>
          <t>08F02 : Authentification et contrôle des droits d'accès des administrateurs et personnels d'exploitation</t>
        </r>
      </text>
    </comment>
    <comment ref="S158" authorId="0">
      <text>
        <r>
          <rPr>
            <sz val="9"/>
            <color indexed="81"/>
            <rFont val="Tahoma"/>
            <family val="2"/>
          </rPr>
          <t>08F03 : Surveillance des actions d'administration des systèmes</t>
        </r>
      </text>
    </comment>
    <comment ref="J159" authorId="0">
      <text>
        <r>
          <rPr>
            <sz val="9"/>
            <color indexed="81"/>
            <rFont val="Tahoma"/>
            <family val="2"/>
          </rPr>
          <t>09A01 : Gestion des profils d'accès aux données applicatives</t>
        </r>
      </text>
    </comment>
    <comment ref="M159" authorId="0">
      <text>
        <r>
          <rPr>
            <sz val="9"/>
            <color indexed="81"/>
            <rFont val="Tahoma"/>
            <family val="2"/>
          </rPr>
          <t>09A02 : Gestion des autorisations d'accès aux données applicatives (attribution, délégation, retrait)</t>
        </r>
      </text>
    </comment>
    <comment ref="P159" authorId="0">
      <text>
        <r>
          <rPr>
            <sz val="9"/>
            <color indexed="81"/>
            <rFont val="Tahoma"/>
            <family val="2"/>
          </rPr>
          <t>09A03 : Authentification de l'utilisateur ou de l'entité demandant un accès</t>
        </r>
      </text>
    </comment>
    <comment ref="S159" authorId="0">
      <text>
        <r>
          <rPr>
            <sz val="9"/>
            <color indexed="81"/>
            <rFont val="Tahoma"/>
            <family val="2"/>
          </rPr>
          <t>09A04 : Filtrage des accès et gestion des associations</t>
        </r>
      </text>
    </comment>
    <comment ref="J160" authorId="0">
      <text>
        <r>
          <rPr>
            <sz val="9"/>
            <color indexed="81"/>
            <rFont val="Tahoma"/>
            <family val="2"/>
          </rPr>
          <t>05C01 : Chiffrement des échanges sur le réseau local</t>
        </r>
      </text>
    </comment>
    <comment ref="M160" authorId="0">
      <text>
        <r>
          <rPr>
            <sz val="9"/>
            <color indexed="81"/>
            <rFont val="Tahoma"/>
            <family val="2"/>
          </rPr>
          <t xml:space="preserve">05C03 : Chiffrement des échanges lors des accès distants au réseau local
</t>
        </r>
      </text>
    </comment>
    <comment ref="P160" authorId="0">
      <text>
        <r>
          <rPr>
            <sz val="9"/>
            <color indexed="81"/>
            <rFont val="Tahoma"/>
            <family val="2"/>
          </rPr>
          <t>09C01 : Chiffrement des échanges (ponctuel ou en totalité)</t>
        </r>
      </text>
    </comment>
    <comment ref="J161" authorId="0">
      <text>
        <r>
          <rPr>
            <sz val="9"/>
            <color indexed="81"/>
            <rFont val="Tahoma"/>
            <family val="2"/>
          </rPr>
          <t>07A01 : Gestion des profils d'accès (droits et privilèges accordés en fonction des profils de fonction)</t>
        </r>
      </text>
    </comment>
    <comment ref="M161" authorId="0">
      <text>
        <r>
          <rPr>
            <sz val="9"/>
            <color indexed="81"/>
            <rFont val="Tahoma"/>
            <family val="2"/>
          </rPr>
          <t>07A02 : Gestion des autorisations d'accès et privilèges (attribution, délégation, retrait)</t>
        </r>
      </text>
    </comment>
    <comment ref="P161" authorId="0">
      <text>
        <r>
          <rPr>
            <sz val="9"/>
            <color indexed="81"/>
            <rFont val="Tahoma"/>
            <family val="2"/>
          </rPr>
          <t>07A03 : Authentification de l'utilisateur ou de l'entité demandant un accès</t>
        </r>
      </text>
    </comment>
    <comment ref="S161" authorId="0">
      <text>
        <r>
          <rPr>
            <sz val="9"/>
            <color indexed="81"/>
            <rFont val="Tahoma"/>
            <family val="2"/>
          </rPr>
          <t>07A04 : Filtrage des accès et gestion des associations</t>
        </r>
      </text>
    </comment>
    <comment ref="V161" authorId="0">
      <text>
        <r>
          <rPr>
            <sz val="9"/>
            <color indexed="81"/>
            <rFont val="Tahoma"/>
            <family val="2"/>
          </rPr>
          <t>08F01 : Gestion des attributions de droits privilégiés sur les systèmes (droits d'administrateur)</t>
        </r>
      </text>
    </comment>
    <comment ref="Y161" authorId="0">
      <text>
        <r>
          <rPr>
            <sz val="9"/>
            <color indexed="81"/>
            <rFont val="Tahoma"/>
            <family val="2"/>
          </rPr>
          <t>08F02 : Authentification et contrôle des droits d'accès des administrateurs et personnels d'exploitation</t>
        </r>
      </text>
    </comment>
    <comment ref="J162" authorId="0">
      <text>
        <r>
          <rPr>
            <sz val="9"/>
            <color indexed="81"/>
            <rFont val="Tahoma"/>
            <family val="2"/>
          </rPr>
          <t>03B07 : Contrôle d'accès au câblage</t>
        </r>
      </text>
    </comment>
    <comment ref="M162" authorId="0">
      <text>
        <r>
          <rPr>
            <sz val="9"/>
            <color indexed="81"/>
            <rFont val="Tahoma"/>
            <family val="2"/>
          </rPr>
          <t>04B02 : Authentification de l'entité accédante lors des accès entrants depuis le réseau étendu</t>
        </r>
      </text>
    </comment>
    <comment ref="P162" authorId="0">
      <text>
        <r>
          <rPr>
            <sz val="9"/>
            <color indexed="81"/>
            <rFont val="Tahoma"/>
            <family val="2"/>
          </rPr>
          <t>04B03 : Authentification de l'entité accédée lors des accès sortants vers d'autres entités par le réseau étendu</t>
        </r>
      </text>
    </comment>
    <comment ref="S162" authorId="0">
      <text>
        <r>
          <rPr>
            <sz val="9"/>
            <color indexed="81"/>
            <rFont val="Tahoma"/>
            <family val="2"/>
          </rPr>
          <t>05B01 : Gestion des profils d'accès au réseau local de données</t>
        </r>
      </text>
    </comment>
    <comment ref="V162" authorId="0">
      <text>
        <r>
          <rPr>
            <sz val="9"/>
            <color indexed="81"/>
            <rFont val="Tahoma"/>
            <family val="2"/>
          </rPr>
          <t>05B02 : Gestion des autorisations d'accès et privilèges (attribution, délégation, retrait)</t>
        </r>
      </text>
    </comment>
    <comment ref="Y162" authorId="0">
      <text>
        <r>
          <rPr>
            <sz val="9"/>
            <color indexed="81"/>
            <rFont val="Tahoma"/>
            <family val="2"/>
          </rPr>
          <t xml:space="preserve">05B03 : Authentification de l'utilisateur ou de l'entité demandant un accès au réseau local depuis un point d'accès interne 
Ce mécanisme correspond à l'authentification réalisée sous Windows par un contrôleur de domaine </t>
        </r>
      </text>
    </comment>
    <comment ref="AB162" authorId="0">
      <text>
        <r>
          <rPr>
            <sz val="9"/>
            <color indexed="81"/>
            <rFont val="Tahoma"/>
            <family val="2"/>
          </rPr>
          <t>05B04 : Authentification de l'utilisateur ou de l'entité demandant un accès au réseau local depuis un site distant via le réseau étendu</t>
        </r>
      </text>
    </comment>
    <comment ref="AE162" authorId="0">
      <text>
        <r>
          <rPr>
            <sz val="9"/>
            <color indexed="81"/>
            <rFont val="Tahoma"/>
            <family val="2"/>
          </rPr>
          <t xml:space="preserve">05B05 : Authentification de l'utilisateur ou de l'entité demandant un accès au réseau local depuis l'extérieur
(depuis le Réseau Téléphonique Commuté, X25, RNIS, ADSL, Internet, etc.) </t>
        </r>
      </text>
    </comment>
    <comment ref="AH162" authorId="0">
      <text>
        <r>
          <rPr>
            <sz val="9"/>
            <color indexed="81"/>
            <rFont val="Tahoma"/>
            <family val="2"/>
          </rPr>
          <t>05B06 : Authentification de l'utilisateur ou de l'entité demandant un accès au réseau local depuis un sous-réseau WiFi</t>
        </r>
      </text>
    </comment>
    <comment ref="AK162" authorId="0">
      <text>
        <r>
          <rPr>
            <sz val="9"/>
            <color indexed="81"/>
            <rFont val="Tahoma"/>
            <family val="2"/>
          </rPr>
          <t>05B07 : Filtrage général des accès au réseau local</t>
        </r>
      </text>
    </comment>
    <comment ref="J163" authorId="0">
      <text>
        <r>
          <rPr>
            <sz val="9"/>
            <color indexed="81"/>
            <rFont val="Tahoma"/>
            <family val="2"/>
          </rPr>
          <t>06A02 : Contrôle de la mise en production de nouveaux logiciels ou matériels ou d'évolutions de logiciels ou matériels</t>
        </r>
      </text>
    </comment>
    <comment ref="M163" authorId="0">
      <text>
        <r>
          <rPr>
            <sz val="9"/>
            <color indexed="81"/>
            <rFont val="Tahoma"/>
            <family val="2"/>
          </rPr>
          <t xml:space="preserve">06A04 : Contrôle de la télémaintenance </t>
        </r>
      </text>
    </comment>
    <comment ref="P163" authorId="0">
      <text>
        <r>
          <rPr>
            <sz val="9"/>
            <color indexed="81"/>
            <rFont val="Tahoma"/>
            <family val="2"/>
          </rPr>
          <t xml:space="preserve">06C01 : Gestion des droits privilégiés sur les équipements de réseau </t>
        </r>
      </text>
    </comment>
    <comment ref="S163" authorId="0">
      <text>
        <r>
          <rPr>
            <sz val="9"/>
            <color indexed="81"/>
            <rFont val="Tahoma"/>
            <family val="2"/>
          </rPr>
          <t>06C02 : Authentification et contrôle des droits d'accès des administrateurs et personnels d'exploitation des réseaux</t>
        </r>
      </text>
    </comment>
    <comment ref="J164" authorId="0">
      <text>
        <r>
          <rPr>
            <sz val="9"/>
            <color indexed="81"/>
            <rFont val="Tahoma"/>
            <family val="2"/>
          </rPr>
          <t>09C03 : Dispositif anti-rayonnement électromagnétique</t>
        </r>
      </text>
    </comment>
    <comment ref="J169" authorId="0">
      <text>
        <r>
          <rPr>
            <sz val="9"/>
            <color indexed="81"/>
            <rFont val="Tahoma"/>
            <family val="2"/>
          </rPr>
          <t>11C05 : Sécurité de la messagerie électronique (courriels) et des échanges électroniques d'information</t>
        </r>
      </text>
    </comment>
    <comment ref="J174" authorId="0">
      <text>
        <r>
          <rPr>
            <sz val="9"/>
            <color indexed="81"/>
            <rFont val="Tahoma"/>
            <family val="2"/>
          </rPr>
          <t>02D04 : Sécurité du courrier</t>
        </r>
      </text>
    </comment>
    <comment ref="M174" authorId="0">
      <text>
        <r>
          <rPr>
            <sz val="9"/>
            <color indexed="81"/>
            <rFont val="Tahoma"/>
            <family val="2"/>
          </rPr>
          <t xml:space="preserve">02D05 : Sécurité des télécopies </t>
        </r>
      </text>
    </comment>
    <comment ref="J178" authorId="0">
      <text>
        <r>
          <rPr>
            <sz val="9"/>
            <color indexed="81"/>
            <rFont val="Tahoma"/>
            <family val="2"/>
          </rPr>
          <t>02D07 : Gestion des archives documentaires</t>
        </r>
      </text>
    </comment>
    <comment ref="J179" authorId="0">
      <text>
        <r>
          <rPr>
            <sz val="9"/>
            <color indexed="81"/>
            <rFont val="Tahoma"/>
            <family val="2"/>
          </rPr>
          <t>02D07 : Gestion des archives documentaires</t>
        </r>
      </text>
    </comment>
    <comment ref="J183" authorId="0">
      <text>
        <r>
          <rPr>
            <sz val="9"/>
            <color indexed="81"/>
            <rFont val="Tahoma"/>
            <family val="2"/>
          </rPr>
          <t>08H03 : Gestion de la sécurité des archives</t>
        </r>
      </text>
    </comment>
    <comment ref="J184" authorId="0">
      <text>
        <r>
          <rPr>
            <sz val="9"/>
            <color indexed="81"/>
            <rFont val="Tahoma"/>
            <family val="2"/>
          </rPr>
          <t>09C02 : Chiffrement des données stockées</t>
        </r>
      </text>
    </comment>
    <comment ref="J189" authorId="0">
      <text>
        <r>
          <rPr>
            <sz val="9"/>
            <color indexed="81"/>
            <rFont val="Tahoma"/>
            <family val="2"/>
          </rPr>
          <t xml:space="preserve">03A02 : Continuité de la fourniture de l'énergie </t>
        </r>
      </text>
    </comment>
    <comment ref="M189" authorId="0">
      <text>
        <r>
          <rPr>
            <sz val="9"/>
            <color indexed="81"/>
            <rFont val="Tahoma"/>
            <family val="2"/>
          </rPr>
          <t>03C01 : Prévention des risques de dégâts des eaux</t>
        </r>
      </text>
    </comment>
    <comment ref="P189" authorId="0">
      <text>
        <r>
          <rPr>
            <sz val="9"/>
            <color indexed="81"/>
            <rFont val="Tahoma"/>
            <family val="2"/>
          </rPr>
          <t>03D01 : Prévention des risques d'incendie</t>
        </r>
      </text>
    </comment>
    <comment ref="J190" authorId="0">
      <text>
        <r>
          <rPr>
            <sz val="9"/>
            <color indexed="81"/>
            <rFont val="Tahoma"/>
            <family val="2"/>
          </rPr>
          <t>03C02 : Détection des dégâts des eaux</t>
        </r>
      </text>
    </comment>
    <comment ref="M190" authorId="0">
      <text>
        <r>
          <rPr>
            <sz val="9"/>
            <color indexed="81"/>
            <rFont val="Tahoma"/>
            <family val="2"/>
          </rPr>
          <t>03C03 : Évacuation de l'eau</t>
        </r>
      </text>
    </comment>
    <comment ref="P190" authorId="0">
      <text>
        <r>
          <rPr>
            <sz val="9"/>
            <color indexed="81"/>
            <rFont val="Tahoma"/>
            <family val="2"/>
          </rPr>
          <t>03D02 : Détection d'incendie</t>
        </r>
      </text>
    </comment>
    <comment ref="S190" authorId="0">
      <text>
        <r>
          <rPr>
            <sz val="9"/>
            <color indexed="81"/>
            <rFont val="Tahoma"/>
            <family val="2"/>
          </rPr>
          <t>03D03 : Extinction d'incendie</t>
        </r>
      </text>
    </comment>
    <comment ref="J191" authorId="0">
      <text>
        <r>
          <rPr>
            <sz val="9"/>
            <color indexed="81"/>
            <rFont val="Tahoma"/>
            <family val="2"/>
          </rPr>
          <t>01E03 : Plans de Reprise de l'Environnement de Travail (PRET)</t>
        </r>
      </text>
    </comment>
    <comment ref="J193" authorId="0">
      <text>
        <r>
          <rPr>
            <sz val="9"/>
            <color indexed="81"/>
            <rFont val="Tahoma"/>
            <family val="2"/>
          </rPr>
          <t>03B06 : Surveillance des locaux sensibles</t>
        </r>
      </text>
    </comment>
    <comment ref="M193" authorId="0">
      <text>
        <r>
          <rPr>
            <sz val="9"/>
            <color indexed="81"/>
            <rFont val="Tahoma"/>
            <family val="2"/>
          </rPr>
          <t>12E02 : Authentification et contrôle des droits d'accès des administrateurs et personnels d'exploitation</t>
        </r>
      </text>
    </comment>
    <comment ref="P193" authorId="0">
      <text>
        <r>
          <rPr>
            <sz val="9"/>
            <color indexed="81"/>
            <rFont val="Tahoma"/>
            <family val="2"/>
          </rPr>
          <t>12E03 : Surveillance des actions d'administration des équipements et des systèmes</t>
        </r>
      </text>
    </comment>
    <comment ref="J194" authorId="0">
      <text>
        <r>
          <rPr>
            <sz val="9"/>
            <color indexed="81"/>
            <rFont val="Tahoma"/>
            <family val="2"/>
          </rPr>
          <t>02A01 : Gestion des droits d'accès au site ou à l'immeuble</t>
        </r>
      </text>
    </comment>
    <comment ref="M194" authorId="0">
      <text>
        <r>
          <rPr>
            <sz val="9"/>
            <color indexed="81"/>
            <rFont val="Tahoma"/>
            <family val="2"/>
          </rPr>
          <t>02A02 : Gestion des autorisations d'accès au site ou à l'immeuble</t>
        </r>
      </text>
    </comment>
    <comment ref="P194" authorId="0">
      <text>
        <r>
          <rPr>
            <sz val="9"/>
            <color indexed="81"/>
            <rFont val="Tahoma"/>
            <family val="2"/>
          </rPr>
          <t>02A03 : Contrôle d'accès au site ou à l'immeuble</t>
        </r>
      </text>
    </comment>
    <comment ref="S194" authorId="0">
      <text>
        <r>
          <rPr>
            <sz val="9"/>
            <color indexed="81"/>
            <rFont val="Tahoma"/>
            <family val="2"/>
          </rPr>
          <t>02A05 : Accès aux zones de transfert (livraison ou chargement)  ou aux zones accessibles au public</t>
        </r>
      </text>
    </comment>
    <comment ref="V194" authorId="0">
      <text>
        <r>
          <rPr>
            <sz val="9"/>
            <color indexed="81"/>
            <rFont val="Tahoma"/>
            <family val="2"/>
          </rPr>
          <t>03B01 : Gestion des droits d'accès aux locaux sensibles</t>
        </r>
      </text>
    </comment>
    <comment ref="Y194" authorId="0">
      <text>
        <r>
          <rPr>
            <sz val="9"/>
            <color indexed="81"/>
            <rFont val="Tahoma"/>
            <family val="2"/>
          </rPr>
          <t>03B02 : Gestion des autorisations d'accès aux locaux sensibles</t>
        </r>
      </text>
    </comment>
    <comment ref="AB194" authorId="0">
      <text>
        <r>
          <rPr>
            <sz val="9"/>
            <color indexed="81"/>
            <rFont val="Tahoma"/>
            <family val="2"/>
          </rPr>
          <t>03B03 : Contrôle des accès aux locaux sensibles</t>
        </r>
      </text>
    </comment>
    <comment ref="AE194" authorId="0">
      <text>
        <r>
          <rPr>
            <sz val="9"/>
            <color indexed="81"/>
            <rFont val="Tahoma"/>
            <family val="2"/>
          </rPr>
          <t xml:space="preserve">03B04 : Détection des intrusions dans les locaux sensibles </t>
        </r>
      </text>
    </comment>
    <comment ref="AH194" authorId="0">
      <text>
        <r>
          <rPr>
            <sz val="9"/>
            <color indexed="81"/>
            <rFont val="Tahoma"/>
            <family val="2"/>
          </rPr>
          <t>03B06 : Surveillance des locaux sensibles</t>
        </r>
      </text>
    </comment>
    <comment ref="J195" authorId="0">
      <text>
        <r>
          <rPr>
            <sz val="9"/>
            <color indexed="81"/>
            <rFont val="Tahoma"/>
            <family val="2"/>
          </rPr>
          <t xml:space="preserve">03A01 : Qualité de la fourniture de l'énergie </t>
        </r>
      </text>
    </comment>
    <comment ref="M195" authorId="0">
      <text>
        <r>
          <rPr>
            <sz val="9"/>
            <color indexed="81"/>
            <rFont val="Tahoma"/>
            <family val="2"/>
          </rPr>
          <t xml:space="preserve">03A02 : Continuité de la fourniture de l'énergie </t>
        </r>
      </text>
    </comment>
    <comment ref="P195" authorId="0">
      <text>
        <r>
          <rPr>
            <sz val="9"/>
            <color indexed="81"/>
            <rFont val="Tahoma"/>
            <family val="2"/>
          </rPr>
          <t>03A04 : Qualité du câblage</t>
        </r>
      </text>
    </comment>
    <comment ref="S195" authorId="0">
      <text>
        <r>
          <rPr>
            <sz val="9"/>
            <color indexed="81"/>
            <rFont val="Tahoma"/>
            <family val="2"/>
          </rPr>
          <t>03A05 : Protection contre la foudre</t>
        </r>
      </text>
    </comment>
    <comment ref="V195" authorId="0">
      <text>
        <r>
          <rPr>
            <sz val="9"/>
            <color indexed="81"/>
            <rFont val="Tahoma"/>
            <family val="2"/>
          </rPr>
          <t>03C01 : Prévention des risques de dégâts des eaux</t>
        </r>
      </text>
    </comment>
    <comment ref="Y195" authorId="0">
      <text>
        <r>
          <rPr>
            <sz val="9"/>
            <color indexed="81"/>
            <rFont val="Tahoma"/>
            <family val="2"/>
          </rPr>
          <t>03D01 : Prévention des risques d'incendie</t>
        </r>
      </text>
    </comment>
    <comment ref="J196" authorId="0">
      <text>
        <r>
          <rPr>
            <sz val="9"/>
            <color indexed="81"/>
            <rFont val="Tahoma"/>
            <family val="2"/>
          </rPr>
          <t>12A02 : Contrôle de la mise en production de nouveaux systèmes ou d'évolutions de systèmes existants</t>
        </r>
      </text>
    </comment>
    <comment ref="J197" authorId="0">
      <text>
        <r>
          <rPr>
            <sz val="9"/>
            <color indexed="81"/>
            <rFont val="Tahoma"/>
            <family val="2"/>
          </rPr>
          <t>02A04 : Détection des intrusions sur le site ou dans l'immeuble</t>
        </r>
      </text>
    </comment>
    <comment ref="M197" authorId="0">
      <text>
        <r>
          <rPr>
            <sz val="9"/>
            <color indexed="81"/>
            <rFont val="Tahoma"/>
            <family val="2"/>
          </rPr>
          <t xml:space="preserve">03B04 : Détection des intrusions dans les locaux sensibles </t>
        </r>
      </text>
    </comment>
    <comment ref="P197" authorId="0">
      <text>
        <r>
          <rPr>
            <sz val="9"/>
            <color indexed="81"/>
            <rFont val="Tahoma"/>
            <family val="2"/>
          </rPr>
          <t>03C02 : Détection des dégâts des eaux</t>
        </r>
      </text>
    </comment>
    <comment ref="S197" authorId="0">
      <text>
        <r>
          <rPr>
            <sz val="9"/>
            <color indexed="81"/>
            <rFont val="Tahoma"/>
            <family val="2"/>
          </rPr>
          <t>03C03 : Évacuation de l'eau</t>
        </r>
      </text>
    </comment>
    <comment ref="V197" authorId="0">
      <text>
        <r>
          <rPr>
            <sz val="9"/>
            <color indexed="81"/>
            <rFont val="Tahoma"/>
            <family val="2"/>
          </rPr>
          <t>03D02 : Détection d'incendie</t>
        </r>
      </text>
    </comment>
    <comment ref="Y197" authorId="0">
      <text>
        <r>
          <rPr>
            <sz val="9"/>
            <color indexed="81"/>
            <rFont val="Tahoma"/>
            <family val="2"/>
          </rPr>
          <t>03D03 : Extinction d'incendie</t>
        </r>
      </text>
    </comment>
    <comment ref="J198" authorId="0">
      <text>
        <r>
          <rPr>
            <sz val="9"/>
            <color indexed="81"/>
            <rFont val="Tahoma"/>
            <family val="2"/>
          </rPr>
          <t xml:space="preserve">03A02 : Continuité de la fourniture de l'énergie </t>
        </r>
      </text>
    </comment>
    <comment ref="M198" authorId="0">
      <text>
        <r>
          <rPr>
            <sz val="9"/>
            <color indexed="81"/>
            <rFont val="Tahoma"/>
            <family val="2"/>
          </rPr>
          <t>03A06 : Sécurité des équipements de servitude</t>
        </r>
      </text>
    </comment>
    <comment ref="P198" authorId="0">
      <text>
        <r>
          <rPr>
            <sz val="9"/>
            <color indexed="81"/>
            <rFont val="Tahoma"/>
            <family val="2"/>
          </rPr>
          <t>12C01 : Organisation de la maintenance des équipements</t>
        </r>
      </text>
    </comment>
    <comment ref="S198" authorId="0">
      <text>
        <r>
          <rPr>
            <sz val="9"/>
            <color indexed="81"/>
            <rFont val="Tahoma"/>
            <family val="2"/>
          </rPr>
          <t>12C03 : Sauvegarde des configurations logicielles (logiciels de base, de services et/ou paramètres de configuration)</t>
        </r>
      </text>
    </comment>
    <comment ref="V198" authorId="0">
      <text>
        <r>
          <rPr>
            <sz val="9"/>
            <color indexed="81"/>
            <rFont val="Tahoma"/>
            <family val="2"/>
          </rPr>
          <t>12C04 : Plans de Reprise d'Activité</t>
        </r>
      </text>
    </comment>
    <comment ref="Y198" authorId="0">
      <text>
        <r>
          <rPr>
            <sz val="9"/>
            <color indexed="81"/>
            <rFont val="Tahoma"/>
            <family val="2"/>
          </rPr>
          <t>12C05 : Gestion des systèmes critiques (vis-à-vis de la permanence de la maintenance)</t>
        </r>
      </text>
    </comment>
    <comment ref="J200" authorId="0">
      <text>
        <r>
          <rPr>
            <sz val="9"/>
            <color indexed="81"/>
            <rFont val="Tahoma"/>
            <family val="2"/>
          </rPr>
          <t>03B06 : Surveillance des locaux sensibles</t>
        </r>
      </text>
    </comment>
    <comment ref="M200" authorId="0">
      <text>
        <r>
          <rPr>
            <sz val="9"/>
            <color indexed="81"/>
            <rFont val="Tahoma"/>
            <family val="2"/>
          </rPr>
          <t>06C02 : Authentification et contrôle des droits d'accès des administrateurs et personnels d'exploitation des réseaux</t>
        </r>
      </text>
    </comment>
    <comment ref="P200" authorId="0">
      <text>
        <r>
          <rPr>
            <sz val="9"/>
            <color indexed="81"/>
            <rFont val="Tahoma"/>
            <family val="2"/>
          </rPr>
          <t>06C03 : Surveillance des actions d'administration des réseaux</t>
        </r>
      </text>
    </comment>
    <comment ref="J201" authorId="0">
      <text>
        <r>
          <rPr>
            <sz val="9"/>
            <color indexed="81"/>
            <rFont val="Tahoma"/>
            <family val="2"/>
          </rPr>
          <t>02A01 : Gestion des droits d'accès au site ou à l'immeuble</t>
        </r>
      </text>
    </comment>
    <comment ref="M201" authorId="0">
      <text>
        <r>
          <rPr>
            <sz val="9"/>
            <color indexed="81"/>
            <rFont val="Tahoma"/>
            <family val="2"/>
          </rPr>
          <t>02A02 : Gestion des autorisations d'accès au site ou à l'immeuble</t>
        </r>
      </text>
    </comment>
    <comment ref="P201" authorId="0">
      <text>
        <r>
          <rPr>
            <sz val="9"/>
            <color indexed="81"/>
            <rFont val="Tahoma"/>
            <family val="2"/>
          </rPr>
          <t>02A03 : Contrôle d'accès au site ou à l'immeuble</t>
        </r>
      </text>
    </comment>
    <comment ref="S201" authorId="0">
      <text>
        <r>
          <rPr>
            <sz val="9"/>
            <color indexed="81"/>
            <rFont val="Tahoma"/>
            <family val="2"/>
          </rPr>
          <t>02A05 : Accès aux zones de transfert (livraison ou chargement)  ou aux zones accessibles au public</t>
        </r>
      </text>
    </comment>
    <comment ref="V201" authorId="0">
      <text>
        <r>
          <rPr>
            <sz val="9"/>
            <color indexed="81"/>
            <rFont val="Tahoma"/>
            <family val="2"/>
          </rPr>
          <t>03B01 : Gestion des droits d'accès aux locaux sensibles</t>
        </r>
      </text>
    </comment>
    <comment ref="Y201" authorId="0">
      <text>
        <r>
          <rPr>
            <sz val="9"/>
            <color indexed="81"/>
            <rFont val="Tahoma"/>
            <family val="2"/>
          </rPr>
          <t>03B02 : Gestion des autorisations d'accès aux locaux sensibles</t>
        </r>
      </text>
    </comment>
    <comment ref="AB201" authorId="0">
      <text>
        <r>
          <rPr>
            <sz val="9"/>
            <color indexed="81"/>
            <rFont val="Tahoma"/>
            <family val="2"/>
          </rPr>
          <t>03B03 : Contrôle des accès aux locaux sensibles</t>
        </r>
      </text>
    </comment>
    <comment ref="AE201" authorId="0">
      <text>
        <r>
          <rPr>
            <sz val="9"/>
            <color indexed="81"/>
            <rFont val="Tahoma"/>
            <family val="2"/>
          </rPr>
          <t xml:space="preserve">03B04 : Détection des intrusions dans les locaux sensibles </t>
        </r>
      </text>
    </comment>
    <comment ref="AH201" authorId="0">
      <text>
        <r>
          <rPr>
            <sz val="9"/>
            <color indexed="81"/>
            <rFont val="Tahoma"/>
            <family val="2"/>
          </rPr>
          <t>03B06 : Surveillance des locaux sensibles</t>
        </r>
      </text>
    </comment>
    <comment ref="J202" authorId="0">
      <text>
        <r>
          <rPr>
            <sz val="9"/>
            <color indexed="81"/>
            <rFont val="Tahoma"/>
            <family val="2"/>
          </rPr>
          <t xml:space="preserve">03A01 : Qualité de la fourniture de l'énergie </t>
        </r>
      </text>
    </comment>
    <comment ref="M202" authorId="0">
      <text>
        <r>
          <rPr>
            <sz val="9"/>
            <color indexed="81"/>
            <rFont val="Tahoma"/>
            <family val="2"/>
          </rPr>
          <t xml:space="preserve">03A02 : Continuité de la fourniture de l'énergie </t>
        </r>
      </text>
    </comment>
    <comment ref="P202" authorId="0">
      <text>
        <r>
          <rPr>
            <sz val="9"/>
            <color indexed="81"/>
            <rFont val="Tahoma"/>
            <family val="2"/>
          </rPr>
          <t>03A04 : Qualité du câblage</t>
        </r>
      </text>
    </comment>
    <comment ref="S202" authorId="0">
      <text>
        <r>
          <rPr>
            <sz val="9"/>
            <color indexed="81"/>
            <rFont val="Tahoma"/>
            <family val="2"/>
          </rPr>
          <t>03A05 : Protection contre la foudre</t>
        </r>
      </text>
    </comment>
    <comment ref="V202" authorId="0">
      <text>
        <r>
          <rPr>
            <sz val="9"/>
            <color indexed="81"/>
            <rFont val="Tahoma"/>
            <family val="2"/>
          </rPr>
          <t>03C01 : Prévention des risques de dégâts des eaux</t>
        </r>
      </text>
    </comment>
    <comment ref="Y202" authorId="0">
      <text>
        <r>
          <rPr>
            <sz val="9"/>
            <color indexed="81"/>
            <rFont val="Tahoma"/>
            <family val="2"/>
          </rPr>
          <t>03D01 : Prévention des risques d'incendie</t>
        </r>
      </text>
    </comment>
    <comment ref="J203" authorId="0">
      <text>
        <r>
          <rPr>
            <sz val="9"/>
            <color indexed="81"/>
            <rFont val="Tahoma"/>
            <family val="2"/>
          </rPr>
          <t>04D01 : Surveillance (en temps réel) du réseau étendu</t>
        </r>
      </text>
    </comment>
    <comment ref="M203" authorId="0">
      <text>
        <r>
          <rPr>
            <sz val="9"/>
            <color indexed="81"/>
            <rFont val="Tahoma"/>
            <family val="2"/>
          </rPr>
          <t>06A02 : Contrôle de la mise en production de nouveaux logiciels ou matériels ou d'évolutions de logiciels ou matériels</t>
        </r>
      </text>
    </comment>
    <comment ref="P203" authorId="0">
      <text>
        <r>
          <rPr>
            <sz val="9"/>
            <color indexed="81"/>
            <rFont val="Tahoma"/>
            <family val="2"/>
          </rPr>
          <t>06C02 : Authentification et contrôle des droits d'accès des administrateurs et personnels d'exploitation des réseaux</t>
        </r>
      </text>
    </comment>
    <comment ref="J204" authorId="0">
      <text>
        <r>
          <rPr>
            <sz val="9"/>
            <color indexed="81"/>
            <rFont val="Tahoma"/>
            <family val="2"/>
          </rPr>
          <t>02A04 : Détection des intrusions sur le site ou dans l'immeuble</t>
        </r>
      </text>
    </comment>
    <comment ref="M204" authorId="0">
      <text>
        <r>
          <rPr>
            <sz val="9"/>
            <color indexed="81"/>
            <rFont val="Tahoma"/>
            <family val="2"/>
          </rPr>
          <t xml:space="preserve">03B04 : Détection des intrusions dans les locaux sensibles </t>
        </r>
      </text>
    </comment>
    <comment ref="P204" authorId="0">
      <text>
        <r>
          <rPr>
            <sz val="9"/>
            <color indexed="81"/>
            <rFont val="Tahoma"/>
            <family val="2"/>
          </rPr>
          <t>03C02 : Détection des dégâts des eaux</t>
        </r>
      </text>
    </comment>
    <comment ref="S204" authorId="0">
      <text>
        <r>
          <rPr>
            <sz val="9"/>
            <color indexed="81"/>
            <rFont val="Tahoma"/>
            <family val="2"/>
          </rPr>
          <t>03C03 : Évacuation de l'eau</t>
        </r>
      </text>
    </comment>
    <comment ref="V204" authorId="0">
      <text>
        <r>
          <rPr>
            <sz val="9"/>
            <color indexed="81"/>
            <rFont val="Tahoma"/>
            <family val="2"/>
          </rPr>
          <t>03D02 : Détection d'incendie</t>
        </r>
      </text>
    </comment>
    <comment ref="Y204" authorId="0">
      <text>
        <r>
          <rPr>
            <sz val="9"/>
            <color indexed="81"/>
            <rFont val="Tahoma"/>
            <family val="2"/>
          </rPr>
          <t>03D03 : Extinction d'incendie</t>
        </r>
      </text>
    </comment>
    <comment ref="AB204" authorId="0">
      <text>
        <r>
          <rPr>
            <sz val="9"/>
            <color indexed="81"/>
            <rFont val="Tahoma"/>
            <family val="2"/>
          </rPr>
          <t>04D02 : Analyse (en temps différé) des traces, logs et journaux d'événements sur le réseau étendu</t>
        </r>
      </text>
    </comment>
    <comment ref="AE204" authorId="0">
      <text>
        <r>
          <rPr>
            <sz val="9"/>
            <color indexed="81"/>
            <rFont val="Tahoma"/>
            <family val="2"/>
          </rPr>
          <t>04D03 : Traitement des incidents du réseau étendu</t>
        </r>
      </text>
    </comment>
    <comment ref="J205" authorId="0">
      <text>
        <r>
          <rPr>
            <sz val="9"/>
            <color indexed="81"/>
            <rFont val="Tahoma"/>
            <family val="2"/>
          </rPr>
          <t>01C02 : Gestion du personnel et des partenaires ou prestataires stratégiques</t>
        </r>
      </text>
    </comment>
    <comment ref="M205" authorId="0">
      <text>
        <r>
          <rPr>
            <sz val="9"/>
            <color indexed="81"/>
            <rFont val="Tahoma"/>
            <family val="2"/>
          </rPr>
          <t>01E02 : Plans de continuité de l'activité</t>
        </r>
      </text>
    </comment>
    <comment ref="P205" authorId="0">
      <text>
        <r>
          <rPr>
            <sz val="9"/>
            <color indexed="81"/>
            <rFont val="Tahoma"/>
            <family val="2"/>
          </rPr>
          <t xml:space="preserve">03A02 : Continuité de la fourniture de l'énergie </t>
        </r>
      </text>
    </comment>
    <comment ref="S205" authorId="0">
      <text>
        <r>
          <rPr>
            <sz val="9"/>
            <color indexed="81"/>
            <rFont val="Tahoma"/>
            <family val="2"/>
          </rPr>
          <t>03A06 : Sécurité des équipements de servitude</t>
        </r>
      </text>
    </comment>
    <comment ref="V205" authorId="0">
      <text>
        <r>
          <rPr>
            <sz val="9"/>
            <color indexed="81"/>
            <rFont val="Tahoma"/>
            <family val="2"/>
          </rPr>
          <t xml:space="preserve">04A01 : Sûreté de fonctionnement des éléments d'architecture du réseau étendu </t>
        </r>
      </text>
    </comment>
    <comment ref="Y205" authorId="0">
      <text>
        <r>
          <rPr>
            <sz val="9"/>
            <color indexed="81"/>
            <rFont val="Tahoma"/>
            <family val="2"/>
          </rPr>
          <t>04A02 : Organisation de la maintenance des équipements du réseau étendu</t>
        </r>
      </text>
    </comment>
    <comment ref="AB205" authorId="0">
      <text>
        <r>
          <rPr>
            <sz val="9"/>
            <color indexed="81"/>
            <rFont val="Tahoma"/>
            <family val="2"/>
          </rPr>
          <t>04A03 : Procédures et plans de reprise du réseau étendu sur incidents</t>
        </r>
      </text>
    </comment>
    <comment ref="AE205" authorId="0">
      <text>
        <r>
          <rPr>
            <sz val="9"/>
            <color indexed="81"/>
            <rFont val="Tahoma"/>
            <family val="2"/>
          </rPr>
          <t xml:space="preserve">04A04 : Plan de sauvegarde des configurations du réseau étendu </t>
        </r>
      </text>
    </comment>
    <comment ref="AH205" authorId="0">
      <text>
        <r>
          <rPr>
            <sz val="9"/>
            <color indexed="81"/>
            <rFont val="Tahoma"/>
            <family val="2"/>
          </rPr>
          <t>04A05 : Plan de Reprise d'Activité (PRA) du réseau étendu</t>
        </r>
      </text>
    </comment>
    <comment ref="AK205" authorId="0">
      <text>
        <r>
          <rPr>
            <sz val="9"/>
            <color indexed="81"/>
            <rFont val="Tahoma"/>
            <family val="2"/>
          </rPr>
          <t>04A06 : Gestion des fournisseurs critiques vis-à-vis de la permanence de la maintenance</t>
        </r>
      </text>
    </comment>
    <comment ref="J207" authorId="0">
      <text>
        <r>
          <rPr>
            <sz val="9"/>
            <color indexed="81"/>
            <rFont val="Tahoma"/>
            <family val="2"/>
          </rPr>
          <t>03B06 : Surveillance des locaux sensibles</t>
        </r>
      </text>
    </comment>
    <comment ref="M207" authorId="0">
      <text>
        <r>
          <rPr>
            <sz val="9"/>
            <color indexed="81"/>
            <rFont val="Tahoma"/>
            <family val="2"/>
          </rPr>
          <t>06C02 : Authentification et contrôle des droits d'accès des administrateurs et personnels d'exploitation des réseaux</t>
        </r>
      </text>
    </comment>
    <comment ref="P207" authorId="0">
      <text>
        <r>
          <rPr>
            <sz val="9"/>
            <color indexed="81"/>
            <rFont val="Tahoma"/>
            <family val="2"/>
          </rPr>
          <t>06C03 : Surveillance des actions d'administration des réseaux</t>
        </r>
      </text>
    </comment>
    <comment ref="J208" authorId="0">
      <text>
        <r>
          <rPr>
            <sz val="9"/>
            <color indexed="81"/>
            <rFont val="Tahoma"/>
            <family val="2"/>
          </rPr>
          <t>02A01 : Gestion des droits d'accès au site ou à l'immeuble</t>
        </r>
      </text>
    </comment>
    <comment ref="M208" authorId="0">
      <text>
        <r>
          <rPr>
            <sz val="9"/>
            <color indexed="81"/>
            <rFont val="Tahoma"/>
            <family val="2"/>
          </rPr>
          <t>02A02 : Gestion des autorisations d'accès au site ou à l'immeuble</t>
        </r>
      </text>
    </comment>
    <comment ref="P208" authorId="0">
      <text>
        <r>
          <rPr>
            <sz val="9"/>
            <color indexed="81"/>
            <rFont val="Tahoma"/>
            <family val="2"/>
          </rPr>
          <t>02A03 : Contrôle d'accès au site ou à l'immeuble</t>
        </r>
      </text>
    </comment>
    <comment ref="S208" authorId="0">
      <text>
        <r>
          <rPr>
            <sz val="9"/>
            <color indexed="81"/>
            <rFont val="Tahoma"/>
            <family val="2"/>
          </rPr>
          <t>02A05 : Accès aux zones de transfert (livraison ou chargement)  ou aux zones accessibles au public</t>
        </r>
      </text>
    </comment>
    <comment ref="V208" authorId="0">
      <text>
        <r>
          <rPr>
            <sz val="9"/>
            <color indexed="81"/>
            <rFont val="Tahoma"/>
            <family val="2"/>
          </rPr>
          <t>03B01 : Gestion des droits d'accès aux locaux sensibles</t>
        </r>
      </text>
    </comment>
    <comment ref="Y208" authorId="0">
      <text>
        <r>
          <rPr>
            <sz val="9"/>
            <color indexed="81"/>
            <rFont val="Tahoma"/>
            <family val="2"/>
          </rPr>
          <t>03B02 : Gestion des autorisations d'accès aux locaux sensibles</t>
        </r>
      </text>
    </comment>
    <comment ref="AB208" authorId="0">
      <text>
        <r>
          <rPr>
            <sz val="9"/>
            <color indexed="81"/>
            <rFont val="Tahoma"/>
            <family val="2"/>
          </rPr>
          <t>03B03 : Contrôle des accès aux locaux sensibles</t>
        </r>
      </text>
    </comment>
    <comment ref="AE208" authorId="0">
      <text>
        <r>
          <rPr>
            <sz val="9"/>
            <color indexed="81"/>
            <rFont val="Tahoma"/>
            <family val="2"/>
          </rPr>
          <t xml:space="preserve">03B04 : Détection des intrusions dans les locaux sensibles </t>
        </r>
      </text>
    </comment>
    <comment ref="AH208" authorId="0">
      <text>
        <r>
          <rPr>
            <sz val="9"/>
            <color indexed="81"/>
            <rFont val="Tahoma"/>
            <family val="2"/>
          </rPr>
          <t>03B06 : Surveillance des locaux sensibles</t>
        </r>
      </text>
    </comment>
    <comment ref="J209" authorId="0">
      <text>
        <r>
          <rPr>
            <sz val="9"/>
            <color indexed="81"/>
            <rFont val="Tahoma"/>
            <family val="2"/>
          </rPr>
          <t xml:space="preserve">03A01 : Qualité de la fourniture de l'énergie </t>
        </r>
      </text>
    </comment>
    <comment ref="M209" authorId="0">
      <text>
        <r>
          <rPr>
            <sz val="9"/>
            <color indexed="81"/>
            <rFont val="Tahoma"/>
            <family val="2"/>
          </rPr>
          <t xml:space="preserve">03A02 : Continuité de la fourniture de l'énergie </t>
        </r>
      </text>
    </comment>
    <comment ref="P209" authorId="0">
      <text>
        <r>
          <rPr>
            <sz val="9"/>
            <color indexed="81"/>
            <rFont val="Tahoma"/>
            <family val="2"/>
          </rPr>
          <t>03A04 : Qualité du câblage</t>
        </r>
      </text>
    </comment>
    <comment ref="S209" authorId="0">
      <text>
        <r>
          <rPr>
            <sz val="9"/>
            <color indexed="81"/>
            <rFont val="Tahoma"/>
            <family val="2"/>
          </rPr>
          <t>03A05 : Protection contre la foudre</t>
        </r>
      </text>
    </comment>
    <comment ref="V209" authorId="0">
      <text>
        <r>
          <rPr>
            <sz val="9"/>
            <color indexed="81"/>
            <rFont val="Tahoma"/>
            <family val="2"/>
          </rPr>
          <t>03C01 : Prévention des risques de dégâts des eaux</t>
        </r>
      </text>
    </comment>
    <comment ref="Y209" authorId="0">
      <text>
        <r>
          <rPr>
            <sz val="9"/>
            <color indexed="81"/>
            <rFont val="Tahoma"/>
            <family val="2"/>
          </rPr>
          <t>03D01 : Prévention des risques d'incendie</t>
        </r>
      </text>
    </comment>
    <comment ref="J210" authorId="0">
      <text>
        <r>
          <rPr>
            <sz val="9"/>
            <color indexed="81"/>
            <rFont val="Tahoma"/>
            <family val="2"/>
          </rPr>
          <t>05D01 : Surveillance (en temps réel) du réseau local</t>
        </r>
      </text>
    </comment>
    <comment ref="M210" authorId="0">
      <text>
        <r>
          <rPr>
            <sz val="9"/>
            <color indexed="81"/>
            <rFont val="Tahoma"/>
            <family val="2"/>
          </rPr>
          <t>06A02 : Contrôle de la mise en production de nouveaux logiciels ou matériels ou d'évolutions de logiciels ou matériels</t>
        </r>
      </text>
    </comment>
    <comment ref="P210" authorId="0">
      <text>
        <r>
          <rPr>
            <sz val="9"/>
            <color indexed="81"/>
            <rFont val="Tahoma"/>
            <family val="2"/>
          </rPr>
          <t>06C02 : Authentification et contrôle des droits d'accès des administrateurs et personnels d'exploitation des réseaux</t>
        </r>
      </text>
    </comment>
    <comment ref="J211" authorId="0">
      <text>
        <r>
          <rPr>
            <sz val="9"/>
            <color indexed="81"/>
            <rFont val="Tahoma"/>
            <family val="2"/>
          </rPr>
          <t>02A04 : Détection des intrusions sur le site ou dans l'immeuble</t>
        </r>
      </text>
    </comment>
    <comment ref="M211" authorId="0">
      <text>
        <r>
          <rPr>
            <sz val="9"/>
            <color indexed="81"/>
            <rFont val="Tahoma"/>
            <family val="2"/>
          </rPr>
          <t xml:space="preserve">03B04 : Détection des intrusions dans les locaux sensibles </t>
        </r>
      </text>
    </comment>
    <comment ref="P211" authorId="0">
      <text>
        <r>
          <rPr>
            <sz val="9"/>
            <color indexed="81"/>
            <rFont val="Tahoma"/>
            <family val="2"/>
          </rPr>
          <t>03C02 : Détection des dégâts des eaux</t>
        </r>
      </text>
    </comment>
    <comment ref="S211" authorId="0">
      <text>
        <r>
          <rPr>
            <sz val="9"/>
            <color indexed="81"/>
            <rFont val="Tahoma"/>
            <family val="2"/>
          </rPr>
          <t>03C03 : Évacuation de l'eau</t>
        </r>
      </text>
    </comment>
    <comment ref="V211" authorId="0">
      <text>
        <r>
          <rPr>
            <sz val="9"/>
            <color indexed="81"/>
            <rFont val="Tahoma"/>
            <family val="2"/>
          </rPr>
          <t>03D02 : Détection d'incendie</t>
        </r>
      </text>
    </comment>
    <comment ref="Y211" authorId="0">
      <text>
        <r>
          <rPr>
            <sz val="9"/>
            <color indexed="81"/>
            <rFont val="Tahoma"/>
            <family val="2"/>
          </rPr>
          <t>03D03 : Extinction d'incendie</t>
        </r>
      </text>
    </comment>
    <comment ref="AB211" authorId="0">
      <text>
        <r>
          <rPr>
            <sz val="9"/>
            <color indexed="81"/>
            <rFont val="Tahoma"/>
            <family val="2"/>
          </rPr>
          <t>05D02 : Analyse (en temps différé) des traces, logs et journaux d'événements sur le réseau local</t>
        </r>
      </text>
    </comment>
    <comment ref="AE211" authorId="0">
      <text>
        <r>
          <rPr>
            <sz val="9"/>
            <color indexed="81"/>
            <rFont val="Tahoma"/>
            <family val="2"/>
          </rPr>
          <t>05D03 : Traitement des incidents du réseau local</t>
        </r>
      </text>
    </comment>
    <comment ref="J212" authorId="0">
      <text>
        <r>
          <rPr>
            <sz val="9"/>
            <color indexed="81"/>
            <rFont val="Tahoma"/>
            <family val="2"/>
          </rPr>
          <t>01C02 : Gestion du personnel et des partenaires ou prestataires stratégiques</t>
        </r>
      </text>
    </comment>
    <comment ref="M212" authorId="0">
      <text>
        <r>
          <rPr>
            <sz val="9"/>
            <color indexed="81"/>
            <rFont val="Tahoma"/>
            <family val="2"/>
          </rPr>
          <t>01E01 : Prise en compte des besoins de continuité de l'activité</t>
        </r>
      </text>
    </comment>
    <comment ref="P212" authorId="0">
      <text>
        <r>
          <rPr>
            <sz val="9"/>
            <color indexed="81"/>
            <rFont val="Tahoma"/>
            <family val="2"/>
          </rPr>
          <t>01E02 : Plans de continuité de l'activité</t>
        </r>
      </text>
    </comment>
    <comment ref="S212" authorId="0">
      <text>
        <r>
          <rPr>
            <sz val="9"/>
            <color indexed="81"/>
            <rFont val="Tahoma"/>
            <family val="2"/>
          </rPr>
          <t>05A03 : Organisation de la maintenance des équipements du réseau local</t>
        </r>
      </text>
    </comment>
    <comment ref="V212" authorId="0">
      <text>
        <r>
          <rPr>
            <sz val="9"/>
            <color indexed="81"/>
            <rFont val="Tahoma"/>
            <family val="2"/>
          </rPr>
          <t>05A04 : Procédures et plans de reprise du réseau local sur incidents</t>
        </r>
      </text>
    </comment>
    <comment ref="Y212" authorId="0">
      <text>
        <r>
          <rPr>
            <sz val="9"/>
            <color indexed="81"/>
            <rFont val="Tahoma"/>
            <family val="2"/>
          </rPr>
          <t>05A05 : Plan de sauvegarde des configurations du réseau local</t>
        </r>
      </text>
    </comment>
    <comment ref="AB212" authorId="0">
      <text>
        <r>
          <rPr>
            <sz val="9"/>
            <color indexed="81"/>
            <rFont val="Tahoma"/>
            <family val="2"/>
          </rPr>
          <t>05A06 : Plan de Reprise d'Activité (PRA) du réseau local</t>
        </r>
      </text>
    </comment>
    <comment ref="AE212" authorId="0">
      <text>
        <r>
          <rPr>
            <sz val="9"/>
            <color indexed="81"/>
            <rFont val="Tahoma"/>
            <family val="2"/>
          </rPr>
          <t>05A07 : Gestion des fournisseurs critiques vis-à-vis de la permanence de la maintenance</t>
        </r>
      </text>
    </comment>
    <comment ref="J213" authorId="0">
      <text>
        <r>
          <rPr>
            <sz val="9"/>
            <color indexed="81"/>
            <rFont val="Tahoma"/>
            <family val="2"/>
          </rPr>
          <t xml:space="preserve">03A02 : Continuité de la fourniture de l'énergie </t>
        </r>
      </text>
    </comment>
    <comment ref="M213" authorId="0">
      <text>
        <r>
          <rPr>
            <sz val="9"/>
            <color indexed="81"/>
            <rFont val="Tahoma"/>
            <family val="2"/>
          </rPr>
          <t>03A06 : Sécurité des équipements de servitude</t>
        </r>
      </text>
    </comment>
    <comment ref="P213" authorId="0">
      <text>
        <r>
          <rPr>
            <sz val="9"/>
            <color indexed="81"/>
            <rFont val="Tahoma"/>
            <family val="2"/>
          </rPr>
          <t>05A02 : Sûreté de fonctionnement des éléments d'architecture du réseau local</t>
        </r>
      </text>
    </comment>
    <comment ref="J215" authorId="0">
      <text>
        <r>
          <rPr>
            <sz val="9"/>
            <color indexed="81"/>
            <rFont val="Tahoma"/>
            <family val="2"/>
          </rPr>
          <t>03B06 : Surveillance des locaux sensibles</t>
        </r>
      </text>
    </comment>
    <comment ref="M215" authorId="0">
      <text>
        <r>
          <rPr>
            <sz val="9"/>
            <color indexed="81"/>
            <rFont val="Tahoma"/>
            <family val="2"/>
          </rPr>
          <t>07C01 : Enregistrement des accès aux ressources sensibles</t>
        </r>
      </text>
    </comment>
    <comment ref="P215" authorId="0">
      <text>
        <r>
          <rPr>
            <sz val="9"/>
            <color indexed="81"/>
            <rFont val="Tahoma"/>
            <family val="2"/>
          </rPr>
          <t xml:space="preserve">07C02 : Enregistrement des appels aux procédures privilégiées </t>
        </r>
      </text>
    </comment>
    <comment ref="S215" authorId="0">
      <text>
        <r>
          <rPr>
            <sz val="9"/>
            <color indexed="81"/>
            <rFont val="Tahoma"/>
            <family val="2"/>
          </rPr>
          <t>08E02 : Surveillance, en temps différé, des traces, logs et journaux</t>
        </r>
      </text>
    </comment>
    <comment ref="V215" authorId="0">
      <text>
        <r>
          <rPr>
            <sz val="9"/>
            <color indexed="81"/>
            <rFont val="Tahoma"/>
            <family val="2"/>
          </rPr>
          <t>08F02 : Authentification et contrôle des droits d'accès des administrateurs et personnels d'exploitation</t>
        </r>
      </text>
    </comment>
    <comment ref="Y215" authorId="0">
      <text>
        <r>
          <rPr>
            <sz val="9"/>
            <color indexed="81"/>
            <rFont val="Tahoma"/>
            <family val="2"/>
          </rPr>
          <t>08F03 : Surveillance des actions d'administration des systèmes</t>
        </r>
      </text>
    </comment>
    <comment ref="J216" authorId="0">
      <text>
        <r>
          <rPr>
            <sz val="9"/>
            <color indexed="81"/>
            <rFont val="Tahoma"/>
            <family val="2"/>
          </rPr>
          <t>07A01 : Gestion des profils d'accès (droits et privilèges accordés en fonction des profils de fonction)</t>
        </r>
      </text>
    </comment>
    <comment ref="M216" authorId="0">
      <text>
        <r>
          <rPr>
            <sz val="9"/>
            <color indexed="81"/>
            <rFont val="Tahoma"/>
            <family val="2"/>
          </rPr>
          <t>07A02 : Gestion des autorisations d'accès et privilèges (attribution, délégation, retrait)</t>
        </r>
      </text>
    </comment>
    <comment ref="P216" authorId="0">
      <text>
        <r>
          <rPr>
            <sz val="9"/>
            <color indexed="81"/>
            <rFont val="Tahoma"/>
            <family val="2"/>
          </rPr>
          <t>07A03 : Authentification de l'utilisateur ou de l'entité demandant un accès</t>
        </r>
      </text>
    </comment>
    <comment ref="S216" authorId="0">
      <text>
        <r>
          <rPr>
            <sz val="9"/>
            <color indexed="81"/>
            <rFont val="Tahoma"/>
            <family val="2"/>
          </rPr>
          <t>07A04 : Filtrage des accès et gestion des associations</t>
        </r>
      </text>
    </comment>
    <comment ref="V216" authorId="0">
      <text>
        <r>
          <rPr>
            <sz val="9"/>
            <color indexed="81"/>
            <rFont val="Tahoma"/>
            <family val="2"/>
          </rPr>
          <t>08F01 : Gestion des attributions de droits privilégiés sur les systèmes (droits d'administrateur)</t>
        </r>
      </text>
    </comment>
    <comment ref="Y216" authorId="0">
      <text>
        <r>
          <rPr>
            <sz val="9"/>
            <color indexed="81"/>
            <rFont val="Tahoma"/>
            <family val="2"/>
          </rPr>
          <t>08F02 : Authentification et contrôle des droits d'accès des administrateurs et personnels d'exploitation</t>
        </r>
      </text>
    </comment>
    <comment ref="AB216" authorId="0">
      <text>
        <r>
          <rPr>
            <sz val="9"/>
            <color indexed="81"/>
            <rFont val="Tahoma"/>
            <family val="2"/>
          </rPr>
          <t>09A01 : Gestion des profils d'accès aux données applicatives</t>
        </r>
      </text>
    </comment>
    <comment ref="AE216" authorId="0">
      <text>
        <r>
          <rPr>
            <sz val="9"/>
            <color indexed="81"/>
            <rFont val="Tahoma"/>
            <family val="2"/>
          </rPr>
          <t>09A02 : Gestion des autorisations d'accès aux données applicatives (attribution, délégation, retrait)</t>
        </r>
      </text>
    </comment>
    <comment ref="AH216" authorId="0">
      <text>
        <r>
          <rPr>
            <sz val="9"/>
            <color indexed="81"/>
            <rFont val="Tahoma"/>
            <family val="2"/>
          </rPr>
          <t>09A03 : Authentification de l'utilisateur ou de l'entité demandant un accès</t>
        </r>
      </text>
    </comment>
    <comment ref="AK216" authorId="0">
      <text>
        <r>
          <rPr>
            <sz val="9"/>
            <color indexed="81"/>
            <rFont val="Tahoma"/>
            <family val="2"/>
          </rPr>
          <t>09A04 : Filtrage des accès et gestion des associations</t>
        </r>
      </text>
    </comment>
    <comment ref="J217" authorId="0">
      <text>
        <r>
          <rPr>
            <sz val="9"/>
            <color indexed="81"/>
            <rFont val="Tahoma"/>
            <family val="2"/>
          </rPr>
          <t>02A01 : Gestion des droits d'accès au site ou à l'immeuble</t>
        </r>
      </text>
    </comment>
    <comment ref="M217" authorId="0">
      <text>
        <r>
          <rPr>
            <sz val="9"/>
            <color indexed="81"/>
            <rFont val="Tahoma"/>
            <family val="2"/>
          </rPr>
          <t>02A02 : Gestion des autorisations d'accès au site ou à l'immeuble</t>
        </r>
      </text>
    </comment>
    <comment ref="P217" authorId="0">
      <text>
        <r>
          <rPr>
            <sz val="9"/>
            <color indexed="81"/>
            <rFont val="Tahoma"/>
            <family val="2"/>
          </rPr>
          <t>02A03 : Contrôle d'accès au site ou à l'immeuble</t>
        </r>
      </text>
    </comment>
    <comment ref="S217" authorId="0">
      <text>
        <r>
          <rPr>
            <sz val="9"/>
            <color indexed="81"/>
            <rFont val="Tahoma"/>
            <family val="2"/>
          </rPr>
          <t>02A05 : Accès aux zones de transfert (livraison ou chargement)  ou aux zones accessibles au public</t>
        </r>
      </text>
    </comment>
    <comment ref="V217" authorId="0">
      <text>
        <r>
          <rPr>
            <sz val="9"/>
            <color indexed="81"/>
            <rFont val="Tahoma"/>
            <family val="2"/>
          </rPr>
          <t>03B01 : Gestion des droits d'accès aux locaux sensibles</t>
        </r>
      </text>
    </comment>
    <comment ref="Y217" authorId="0">
      <text>
        <r>
          <rPr>
            <sz val="9"/>
            <color indexed="81"/>
            <rFont val="Tahoma"/>
            <family val="2"/>
          </rPr>
          <t>03B02 : Gestion des autorisations d'accès aux locaux sensibles</t>
        </r>
      </text>
    </comment>
    <comment ref="AB217" authorId="0">
      <text>
        <r>
          <rPr>
            <sz val="9"/>
            <color indexed="81"/>
            <rFont val="Tahoma"/>
            <family val="2"/>
          </rPr>
          <t>03B03 : Contrôle des accès aux locaux sensibles</t>
        </r>
      </text>
    </comment>
    <comment ref="AE217" authorId="0">
      <text>
        <r>
          <rPr>
            <sz val="9"/>
            <color indexed="81"/>
            <rFont val="Tahoma"/>
            <family val="2"/>
          </rPr>
          <t xml:space="preserve">03B04 : Détection des intrusions dans les locaux sensibles </t>
        </r>
      </text>
    </comment>
    <comment ref="AH217" authorId="0">
      <text>
        <r>
          <rPr>
            <sz val="9"/>
            <color indexed="81"/>
            <rFont val="Tahoma"/>
            <family val="2"/>
          </rPr>
          <t>03B06 : Surveillance des locaux sensibles</t>
        </r>
      </text>
    </comment>
    <comment ref="AK217" authorId="0">
      <text>
        <r>
          <rPr>
            <sz val="9"/>
            <color indexed="81"/>
            <rFont val="Tahoma"/>
            <family val="2"/>
          </rPr>
          <t xml:space="preserve">08C03 : Sécurité physique des supports stockés sur site </t>
        </r>
      </text>
    </comment>
    <comment ref="J218" authorId="0">
      <text>
        <r>
          <rPr>
            <sz val="9"/>
            <color indexed="81"/>
            <rFont val="Tahoma"/>
            <family val="2"/>
          </rPr>
          <t xml:space="preserve">03A01 : Qualité de la fourniture de l'énergie </t>
        </r>
      </text>
    </comment>
    <comment ref="M218" authorId="0">
      <text>
        <r>
          <rPr>
            <sz val="9"/>
            <color indexed="81"/>
            <rFont val="Tahoma"/>
            <family val="2"/>
          </rPr>
          <t>03A04 : Qualité du câblage</t>
        </r>
      </text>
    </comment>
    <comment ref="P218" authorId="0">
      <text>
        <r>
          <rPr>
            <sz val="9"/>
            <color indexed="81"/>
            <rFont val="Tahoma"/>
            <family val="2"/>
          </rPr>
          <t>03A05 : Protection contre la foudre</t>
        </r>
      </text>
    </comment>
    <comment ref="S218" authorId="0">
      <text>
        <r>
          <rPr>
            <sz val="9"/>
            <color indexed="81"/>
            <rFont val="Tahoma"/>
            <family val="2"/>
          </rPr>
          <t>03C01 : Prévention des risques de dégâts des eaux</t>
        </r>
      </text>
    </comment>
    <comment ref="V218" authorId="0">
      <text>
        <r>
          <rPr>
            <sz val="9"/>
            <color indexed="81"/>
            <rFont val="Tahoma"/>
            <family val="2"/>
          </rPr>
          <t>03D01 : Prévention des risques d'incendie</t>
        </r>
      </text>
    </comment>
    <comment ref="J219" authorId="0">
      <text>
        <r>
          <rPr>
            <sz val="9"/>
            <color indexed="81"/>
            <rFont val="Tahoma"/>
            <family val="2"/>
          </rPr>
          <t>07D01 : Sûreté de fonctionnement des éléments d'architecture</t>
        </r>
      </text>
    </comment>
    <comment ref="M219" authorId="0">
      <text>
        <r>
          <rPr>
            <sz val="9"/>
            <color indexed="81"/>
            <rFont val="Tahoma"/>
            <family val="2"/>
          </rPr>
          <t>08A03 : Contrôle de la mise en production de nouveaux systèmes ou d'évolutions de systèmes existants</t>
        </r>
      </text>
    </comment>
    <comment ref="P219" authorId="0">
      <text>
        <r>
          <rPr>
            <sz val="9"/>
            <color indexed="81"/>
            <rFont val="Tahoma"/>
            <family val="2"/>
          </rPr>
          <t>08E01 : Détection et traitement (en temps réel) des anomalies et incidents d'exploitation</t>
        </r>
      </text>
    </comment>
    <comment ref="S219" authorId="0">
      <text>
        <r>
          <rPr>
            <sz val="9"/>
            <color indexed="81"/>
            <rFont val="Tahoma"/>
            <family val="2"/>
          </rPr>
          <t>09E01 : Reconfiguration matérielle</t>
        </r>
      </text>
    </comment>
    <comment ref="V219" authorId="0">
      <text>
        <r>
          <rPr>
            <sz val="9"/>
            <color indexed="81"/>
            <rFont val="Tahoma"/>
            <family val="2"/>
          </rPr>
          <t>10B05 : Sécurité de la maintenance applicative</t>
        </r>
      </text>
    </comment>
    <comment ref="Y219" authorId="0">
      <text>
        <r>
          <rPr>
            <sz val="9"/>
            <color indexed="81"/>
            <rFont val="Tahoma"/>
            <family val="2"/>
          </rPr>
          <t xml:space="preserve">10B06 : Maintenance à chaud </t>
        </r>
      </text>
    </comment>
    <comment ref="J220" authorId="0">
      <text>
        <r>
          <rPr>
            <sz val="9"/>
            <color indexed="81"/>
            <rFont val="Tahoma"/>
            <family val="2"/>
          </rPr>
          <t>02A04 : Détection des intrusions sur le site ou dans l'immeuble</t>
        </r>
      </text>
    </comment>
    <comment ref="M220" authorId="0">
      <text>
        <r>
          <rPr>
            <sz val="9"/>
            <color indexed="81"/>
            <rFont val="Tahoma"/>
            <family val="2"/>
          </rPr>
          <t xml:space="preserve">03B04 : Détection des intrusions dans les locaux sensibles </t>
        </r>
      </text>
    </comment>
    <comment ref="P220" authorId="0">
      <text>
        <r>
          <rPr>
            <sz val="9"/>
            <color indexed="81"/>
            <rFont val="Tahoma"/>
            <family val="2"/>
          </rPr>
          <t>03C02 : Détection des dégâts des eaux</t>
        </r>
      </text>
    </comment>
    <comment ref="S220" authorId="0">
      <text>
        <r>
          <rPr>
            <sz val="9"/>
            <color indexed="81"/>
            <rFont val="Tahoma"/>
            <family val="2"/>
          </rPr>
          <t>03C03 : Évacuation de l'eau</t>
        </r>
      </text>
    </comment>
    <comment ref="V220" authorId="0">
      <text>
        <r>
          <rPr>
            <sz val="9"/>
            <color indexed="81"/>
            <rFont val="Tahoma"/>
            <family val="2"/>
          </rPr>
          <t>03D02 : Détection d'incendie</t>
        </r>
      </text>
    </comment>
    <comment ref="Y220" authorId="0">
      <text>
        <r>
          <rPr>
            <sz val="9"/>
            <color indexed="81"/>
            <rFont val="Tahoma"/>
            <family val="2"/>
          </rPr>
          <t>03D03 : Extinction d'incendie</t>
        </r>
      </text>
    </comment>
    <comment ref="AB220" authorId="0">
      <text>
        <r>
          <rPr>
            <sz val="9"/>
            <color indexed="81"/>
            <rFont val="Tahoma"/>
            <family val="2"/>
          </rPr>
          <t>08C05 : Vérification et rotation des supports d'archivage</t>
        </r>
      </text>
    </comment>
    <comment ref="AE220" authorId="0">
      <text>
        <r>
          <rPr>
            <sz val="9"/>
            <color indexed="81"/>
            <rFont val="Tahoma"/>
            <family val="2"/>
          </rPr>
          <t>08E01 : Détection et traitement (en temps réel) des anomalies et incidents d'exploitation</t>
        </r>
      </text>
    </comment>
    <comment ref="AH220" authorId="0">
      <text>
        <r>
          <rPr>
            <sz val="9"/>
            <color indexed="81"/>
            <rFont val="Tahoma"/>
            <family val="2"/>
          </rPr>
          <t>08E02 : Surveillance, en temps différé, des traces, logs et journaux</t>
        </r>
      </text>
    </comment>
    <comment ref="AK220" authorId="0">
      <text>
        <r>
          <rPr>
            <sz val="9"/>
            <color indexed="81"/>
            <rFont val="Tahoma"/>
            <family val="2"/>
          </rPr>
          <t>08E03 : Gestion et traitement des incidents systèmes et applicatifs</t>
        </r>
      </text>
    </comment>
    <comment ref="J221" authorId="0">
      <text>
        <r>
          <rPr>
            <sz val="9"/>
            <color indexed="81"/>
            <rFont val="Tahoma"/>
            <family val="2"/>
          </rPr>
          <t>01C02 : Gestion du personnel et des partenaires ou prestataires stratégiques</t>
        </r>
      </text>
    </comment>
    <comment ref="M221" authorId="0">
      <text>
        <r>
          <rPr>
            <sz val="9"/>
            <color indexed="81"/>
            <rFont val="Tahoma"/>
            <family val="2"/>
          </rPr>
          <t>08D01 : Organisation de la maintenance du matériel (équipements) en exploitation</t>
        </r>
      </text>
    </comment>
    <comment ref="P221" authorId="0">
      <text>
        <r>
          <rPr>
            <sz val="9"/>
            <color indexed="81"/>
            <rFont val="Tahoma"/>
            <family val="2"/>
          </rPr>
          <t>08D02 : Organisation de la maintenance du logiciel (système, logiciel de couche intermédiaire et progiciel applicatif)</t>
        </r>
      </text>
    </comment>
    <comment ref="S221" authorId="0">
      <text>
        <r>
          <rPr>
            <sz val="9"/>
            <color indexed="81"/>
            <rFont val="Tahoma"/>
            <family val="2"/>
          </rPr>
          <t>08D03 : Procédures et plans de reprise des applications sur incidents d'exploitation</t>
        </r>
      </text>
    </comment>
    <comment ref="V221" authorId="0">
      <text>
        <r>
          <rPr>
            <sz val="9"/>
            <color indexed="81"/>
            <rFont val="Tahoma"/>
            <family val="2"/>
          </rPr>
          <t>08D08 : Gestion des systèmes critiques (vis-à-vis de la permanence de la maintenance)</t>
        </r>
      </text>
    </comment>
    <comment ref="Y221" authorId="0">
      <text>
        <r>
          <rPr>
            <sz val="9"/>
            <color indexed="81"/>
            <rFont val="Tahoma"/>
            <family val="2"/>
          </rPr>
          <t>08D10 : Maintien des comptes d'accès</t>
        </r>
      </text>
    </comment>
    <comment ref="AB221" authorId="0">
      <text>
        <r>
          <rPr>
            <sz val="9"/>
            <color indexed="81"/>
            <rFont val="Tahoma"/>
            <family val="2"/>
          </rPr>
          <t>09E03 : Gestion des applications critiques (vis-à-vis de la permanence de la maintenance)</t>
        </r>
      </text>
    </comment>
    <comment ref="AE221" authorId="0">
      <text>
        <r>
          <rPr>
            <sz val="9"/>
            <color indexed="81"/>
            <rFont val="Tahoma"/>
            <family val="2"/>
          </rPr>
          <t>10A04 : Organisation de la maintenance applicative</t>
        </r>
      </text>
    </comment>
    <comment ref="J222" authorId="0">
      <text>
        <r>
          <rPr>
            <sz val="9"/>
            <color indexed="81"/>
            <rFont val="Tahoma"/>
            <family val="2"/>
          </rPr>
          <t>01E01 : Prise en compte des besoins de continuité de l'activité</t>
        </r>
      </text>
    </comment>
    <comment ref="M222" authorId="0">
      <text>
        <r>
          <rPr>
            <sz val="9"/>
            <color indexed="81"/>
            <rFont val="Tahoma"/>
            <family val="2"/>
          </rPr>
          <t>01E02 : Plans de continuité de l'activité</t>
        </r>
      </text>
    </comment>
    <comment ref="P222" authorId="0">
      <text>
        <r>
          <rPr>
            <sz val="9"/>
            <color indexed="81"/>
            <rFont val="Tahoma"/>
            <family val="2"/>
          </rPr>
          <t xml:space="preserve">03A02 : Continuité de la fourniture de l'énergie </t>
        </r>
      </text>
    </comment>
    <comment ref="S222" authorId="0">
      <text>
        <r>
          <rPr>
            <sz val="9"/>
            <color indexed="81"/>
            <rFont val="Tahoma"/>
            <family val="2"/>
          </rPr>
          <t>03A03 : Sécurité de la climatisation</t>
        </r>
      </text>
    </comment>
    <comment ref="V222" authorId="0">
      <text>
        <r>
          <rPr>
            <sz val="9"/>
            <color indexed="81"/>
            <rFont val="Tahoma"/>
            <family val="2"/>
          </rPr>
          <t>03A06 : Sécurité des équipements de servitude</t>
        </r>
      </text>
    </comment>
    <comment ref="Y222" authorId="0">
      <text>
        <r>
          <rPr>
            <sz val="9"/>
            <color indexed="81"/>
            <rFont val="Tahoma"/>
            <family val="2"/>
          </rPr>
          <t>07D01 : Sûreté de fonctionnement des éléments d'architecture</t>
        </r>
      </text>
    </comment>
    <comment ref="AB222" authorId="0">
      <text>
        <r>
          <rPr>
            <sz val="9"/>
            <color indexed="81"/>
            <rFont val="Tahoma"/>
            <family val="2"/>
          </rPr>
          <t>08D04 : Sauvegarde des configurations logicielles (logiciels de base et applicatifs et paramètres de configuration)</t>
        </r>
      </text>
    </comment>
    <comment ref="AE222" authorId="0">
      <text>
        <r>
          <rPr>
            <sz val="9"/>
            <color indexed="81"/>
            <rFont val="Tahoma"/>
            <family val="2"/>
          </rPr>
          <t>08D06 : Plans de Reprise d'Activité des services informatiques</t>
        </r>
      </text>
    </comment>
    <comment ref="AH222" authorId="0">
      <text>
        <r>
          <rPr>
            <sz val="9"/>
            <color indexed="81"/>
            <rFont val="Tahoma"/>
            <family val="2"/>
          </rPr>
          <t>09E01 : Reconfiguration matérielle</t>
        </r>
      </text>
    </comment>
    <comment ref="AK222" authorId="0">
      <text>
        <r>
          <rPr>
            <sz val="9"/>
            <color indexed="81"/>
            <rFont val="Tahoma"/>
            <family val="2"/>
          </rPr>
          <t>09E02 : Plans de Continuité des processus applicatifs</t>
        </r>
      </text>
    </comment>
    <comment ref="J224" authorId="0">
      <text>
        <r>
          <rPr>
            <sz val="9"/>
            <color indexed="81"/>
            <rFont val="Tahoma"/>
            <family val="2"/>
          </rPr>
          <t>03B06 : Surveillance des locaux sensibles</t>
        </r>
      </text>
    </comment>
    <comment ref="M224" authorId="0">
      <text>
        <r>
          <rPr>
            <sz val="9"/>
            <color indexed="81"/>
            <rFont val="Tahoma"/>
            <family val="2"/>
          </rPr>
          <t>07C01 : Enregistrement des accès aux ressources sensibles</t>
        </r>
      </text>
    </comment>
    <comment ref="P224" authorId="0">
      <text>
        <r>
          <rPr>
            <sz val="9"/>
            <color indexed="81"/>
            <rFont val="Tahoma"/>
            <family val="2"/>
          </rPr>
          <t xml:space="preserve">07C02 : Enregistrement des appels aux procédures privilégiées </t>
        </r>
      </text>
    </comment>
    <comment ref="S224" authorId="0">
      <text>
        <r>
          <rPr>
            <sz val="9"/>
            <color indexed="81"/>
            <rFont val="Tahoma"/>
            <family val="2"/>
          </rPr>
          <t>08E02 : Surveillance, en temps différé, des traces, logs et journaux</t>
        </r>
      </text>
    </comment>
    <comment ref="V224" authorId="0">
      <text>
        <r>
          <rPr>
            <sz val="9"/>
            <color indexed="81"/>
            <rFont val="Tahoma"/>
            <family val="2"/>
          </rPr>
          <t>08F02 : Authentification et contrôle des droits d'accès des administrateurs et personnels d'exploitation</t>
        </r>
      </text>
    </comment>
    <comment ref="Y224" authorId="0">
      <text>
        <r>
          <rPr>
            <sz val="9"/>
            <color indexed="81"/>
            <rFont val="Tahoma"/>
            <family val="2"/>
          </rPr>
          <t>08F03 : Surveillance des actions d'administration des systèmes</t>
        </r>
      </text>
    </comment>
    <comment ref="J225" authorId="0">
      <text>
        <r>
          <rPr>
            <sz val="9"/>
            <color indexed="81"/>
            <rFont val="Tahoma"/>
            <family val="2"/>
          </rPr>
          <t>07A01 : Gestion des profils d'accès (droits et privilèges accordés en fonction des profils de fonction)</t>
        </r>
      </text>
    </comment>
    <comment ref="M225" authorId="0">
      <text>
        <r>
          <rPr>
            <sz val="9"/>
            <color indexed="81"/>
            <rFont val="Tahoma"/>
            <family val="2"/>
          </rPr>
          <t>07A02 : Gestion des autorisations d'accès et privilèges (attribution, délégation, retrait)</t>
        </r>
      </text>
    </comment>
    <comment ref="P225" authorId="0">
      <text>
        <r>
          <rPr>
            <sz val="9"/>
            <color indexed="81"/>
            <rFont val="Tahoma"/>
            <family val="2"/>
          </rPr>
          <t>07A03 : Authentification de l'utilisateur ou de l'entité demandant un accès</t>
        </r>
      </text>
    </comment>
    <comment ref="S225" authorId="0">
      <text>
        <r>
          <rPr>
            <sz val="9"/>
            <color indexed="81"/>
            <rFont val="Tahoma"/>
            <family val="2"/>
          </rPr>
          <t>07A04 : Filtrage des accès et gestion des associations</t>
        </r>
      </text>
    </comment>
    <comment ref="V225" authorId="0">
      <text>
        <r>
          <rPr>
            <sz val="9"/>
            <color indexed="81"/>
            <rFont val="Tahoma"/>
            <family val="2"/>
          </rPr>
          <t>08F01 : Gestion des attributions de droits privilégiés sur les systèmes (droits d'administrateur)</t>
        </r>
      </text>
    </comment>
    <comment ref="Y225" authorId="0">
      <text>
        <r>
          <rPr>
            <sz val="9"/>
            <color indexed="81"/>
            <rFont val="Tahoma"/>
            <family val="2"/>
          </rPr>
          <t>08F02 : Authentification et contrôle des droits d'accès des administrateurs et personnels d'exploitation</t>
        </r>
      </text>
    </comment>
    <comment ref="AB225" authorId="0">
      <text>
        <r>
          <rPr>
            <sz val="9"/>
            <color indexed="81"/>
            <rFont val="Tahoma"/>
            <family val="2"/>
          </rPr>
          <t>09A01 : Gestion des profils d'accès aux données applicatives</t>
        </r>
      </text>
    </comment>
    <comment ref="AE225" authorId="0">
      <text>
        <r>
          <rPr>
            <sz val="9"/>
            <color indexed="81"/>
            <rFont val="Tahoma"/>
            <family val="2"/>
          </rPr>
          <t>09A02 : Gestion des autorisations d'accès aux données applicatives (attribution, délégation, retrait)</t>
        </r>
      </text>
    </comment>
    <comment ref="AH225" authorId="0">
      <text>
        <r>
          <rPr>
            <sz val="9"/>
            <color indexed="81"/>
            <rFont val="Tahoma"/>
            <family val="2"/>
          </rPr>
          <t>09A03 : Authentification de l'utilisateur ou de l'entité demandant un accès</t>
        </r>
      </text>
    </comment>
    <comment ref="AK225" authorId="0">
      <text>
        <r>
          <rPr>
            <sz val="9"/>
            <color indexed="81"/>
            <rFont val="Tahoma"/>
            <family val="2"/>
          </rPr>
          <t>09A04 : Filtrage des accès et gestion des associations</t>
        </r>
      </text>
    </comment>
    <comment ref="J226" authorId="0">
      <text>
        <r>
          <rPr>
            <sz val="9"/>
            <color indexed="81"/>
            <rFont val="Tahoma"/>
            <family val="2"/>
          </rPr>
          <t>02A01 : Gestion des droits d'accès au site ou à l'immeuble</t>
        </r>
      </text>
    </comment>
    <comment ref="M226" authorId="0">
      <text>
        <r>
          <rPr>
            <sz val="9"/>
            <color indexed="81"/>
            <rFont val="Tahoma"/>
            <family val="2"/>
          </rPr>
          <t>02A02 : Gestion des autorisations d'accès au site ou à l'immeuble</t>
        </r>
      </text>
    </comment>
    <comment ref="P226" authorId="0">
      <text>
        <r>
          <rPr>
            <sz val="9"/>
            <color indexed="81"/>
            <rFont val="Tahoma"/>
            <family val="2"/>
          </rPr>
          <t>02A03 : Contrôle d'accès au site ou à l'immeuble</t>
        </r>
      </text>
    </comment>
    <comment ref="S226" authorId="0">
      <text>
        <r>
          <rPr>
            <sz val="9"/>
            <color indexed="81"/>
            <rFont val="Tahoma"/>
            <family val="2"/>
          </rPr>
          <t>02A05 : Accès aux zones de transfert (livraison ou chargement)  ou aux zones accessibles au public</t>
        </r>
      </text>
    </comment>
    <comment ref="V226" authorId="0">
      <text>
        <r>
          <rPr>
            <sz val="9"/>
            <color indexed="81"/>
            <rFont val="Tahoma"/>
            <family val="2"/>
          </rPr>
          <t>03B01 : Gestion des droits d'accès aux locaux sensibles</t>
        </r>
      </text>
    </comment>
    <comment ref="Y226" authorId="0">
      <text>
        <r>
          <rPr>
            <sz val="9"/>
            <color indexed="81"/>
            <rFont val="Tahoma"/>
            <family val="2"/>
          </rPr>
          <t>03B02 : Gestion des autorisations d'accès aux locaux sensibles</t>
        </r>
      </text>
    </comment>
    <comment ref="AB226" authorId="0">
      <text>
        <r>
          <rPr>
            <sz val="9"/>
            <color indexed="81"/>
            <rFont val="Tahoma"/>
            <family val="2"/>
          </rPr>
          <t>03B03 : Contrôle des accès aux locaux sensibles</t>
        </r>
      </text>
    </comment>
    <comment ref="AE226" authorId="0">
      <text>
        <r>
          <rPr>
            <sz val="9"/>
            <color indexed="81"/>
            <rFont val="Tahoma"/>
            <family val="2"/>
          </rPr>
          <t xml:space="preserve">03B04 : Détection des intrusions dans les locaux sensibles </t>
        </r>
      </text>
    </comment>
    <comment ref="AH226" authorId="0">
      <text>
        <r>
          <rPr>
            <sz val="9"/>
            <color indexed="81"/>
            <rFont val="Tahoma"/>
            <family val="2"/>
          </rPr>
          <t>03B06 : Surveillance des locaux sensibles</t>
        </r>
      </text>
    </comment>
    <comment ref="AK226" authorId="0">
      <text>
        <r>
          <rPr>
            <sz val="9"/>
            <color indexed="81"/>
            <rFont val="Tahoma"/>
            <family val="2"/>
          </rPr>
          <t xml:space="preserve">08C03 : Sécurité physique des supports stockés sur site </t>
        </r>
      </text>
    </comment>
    <comment ref="J227" authorId="0">
      <text>
        <r>
          <rPr>
            <sz val="9"/>
            <color indexed="81"/>
            <rFont val="Tahoma"/>
            <family val="2"/>
          </rPr>
          <t xml:space="preserve">03A01 : Qualité de la fourniture de l'énergie </t>
        </r>
      </text>
    </comment>
    <comment ref="M227" authorId="0">
      <text>
        <r>
          <rPr>
            <sz val="9"/>
            <color indexed="81"/>
            <rFont val="Tahoma"/>
            <family val="2"/>
          </rPr>
          <t>03A04 : Qualité du câblage</t>
        </r>
      </text>
    </comment>
    <comment ref="P227" authorId="0">
      <text>
        <r>
          <rPr>
            <sz val="9"/>
            <color indexed="81"/>
            <rFont val="Tahoma"/>
            <family val="2"/>
          </rPr>
          <t>03A05 : Protection contre la foudre</t>
        </r>
      </text>
    </comment>
    <comment ref="S227" authorId="0">
      <text>
        <r>
          <rPr>
            <sz val="9"/>
            <color indexed="81"/>
            <rFont val="Tahoma"/>
            <family val="2"/>
          </rPr>
          <t>03C01 : Prévention des risques de dégâts des eaux</t>
        </r>
      </text>
    </comment>
    <comment ref="V227" authorId="0">
      <text>
        <r>
          <rPr>
            <sz val="9"/>
            <color indexed="81"/>
            <rFont val="Tahoma"/>
            <family val="2"/>
          </rPr>
          <t>03D01 : Prévention des risques d'incendie</t>
        </r>
      </text>
    </comment>
    <comment ref="J228" authorId="0">
      <text>
        <r>
          <rPr>
            <sz val="9"/>
            <color indexed="81"/>
            <rFont val="Tahoma"/>
            <family val="2"/>
          </rPr>
          <t>07D01 : Sûreté de fonctionnement des éléments d'architecture</t>
        </r>
      </text>
    </comment>
    <comment ref="M228" authorId="0">
      <text>
        <r>
          <rPr>
            <sz val="9"/>
            <color indexed="81"/>
            <rFont val="Tahoma"/>
            <family val="2"/>
          </rPr>
          <t>08A03 : Contrôle de la mise en production de nouveaux systèmes ou d'évolutions de systèmes existants</t>
        </r>
      </text>
    </comment>
    <comment ref="P228" authorId="0">
      <text>
        <r>
          <rPr>
            <sz val="9"/>
            <color indexed="81"/>
            <rFont val="Tahoma"/>
            <family val="2"/>
          </rPr>
          <t>08E01 : Détection et traitement (en temps réel) des anomalies et incidents d'exploitation</t>
        </r>
      </text>
    </comment>
    <comment ref="S228" authorId="0">
      <text>
        <r>
          <rPr>
            <sz val="9"/>
            <color indexed="81"/>
            <rFont val="Tahoma"/>
            <family val="2"/>
          </rPr>
          <t>09E01 : Reconfiguration matérielle</t>
        </r>
      </text>
    </comment>
    <comment ref="V228" authorId="0">
      <text>
        <r>
          <rPr>
            <sz val="9"/>
            <color indexed="81"/>
            <rFont val="Tahoma"/>
            <family val="2"/>
          </rPr>
          <t>10B05 : Sécurité de la maintenance applicative</t>
        </r>
      </text>
    </comment>
    <comment ref="Y228" authorId="0">
      <text>
        <r>
          <rPr>
            <sz val="9"/>
            <color indexed="81"/>
            <rFont val="Tahoma"/>
            <family val="2"/>
          </rPr>
          <t xml:space="preserve">10B06 : Maintenance à chaud </t>
        </r>
      </text>
    </comment>
    <comment ref="J229" authorId="0">
      <text>
        <r>
          <rPr>
            <sz val="9"/>
            <color indexed="81"/>
            <rFont val="Tahoma"/>
            <family val="2"/>
          </rPr>
          <t>02A04 : Détection des intrusions sur le site ou dans l'immeuble</t>
        </r>
      </text>
    </comment>
    <comment ref="M229" authorId="0">
      <text>
        <r>
          <rPr>
            <sz val="9"/>
            <color indexed="81"/>
            <rFont val="Tahoma"/>
            <family val="2"/>
          </rPr>
          <t xml:space="preserve">03B04 : Détection des intrusions dans les locaux sensibles </t>
        </r>
      </text>
    </comment>
    <comment ref="P229" authorId="0">
      <text>
        <r>
          <rPr>
            <sz val="9"/>
            <color indexed="81"/>
            <rFont val="Tahoma"/>
            <family val="2"/>
          </rPr>
          <t>03C02 : Détection des dégâts des eaux</t>
        </r>
      </text>
    </comment>
    <comment ref="S229" authorId="0">
      <text>
        <r>
          <rPr>
            <sz val="9"/>
            <color indexed="81"/>
            <rFont val="Tahoma"/>
            <family val="2"/>
          </rPr>
          <t>03C03 : Évacuation de l'eau</t>
        </r>
      </text>
    </comment>
    <comment ref="V229" authorId="0">
      <text>
        <r>
          <rPr>
            <sz val="9"/>
            <color indexed="81"/>
            <rFont val="Tahoma"/>
            <family val="2"/>
          </rPr>
          <t>03D02 : Détection d'incendie</t>
        </r>
      </text>
    </comment>
    <comment ref="Y229" authorId="0">
      <text>
        <r>
          <rPr>
            <sz val="9"/>
            <color indexed="81"/>
            <rFont val="Tahoma"/>
            <family val="2"/>
          </rPr>
          <t>03D03 : Extinction d'incendie</t>
        </r>
      </text>
    </comment>
    <comment ref="AB229" authorId="0">
      <text>
        <r>
          <rPr>
            <sz val="9"/>
            <color indexed="81"/>
            <rFont val="Tahoma"/>
            <family val="2"/>
          </rPr>
          <t>08C05 : Vérification et rotation des supports d'archivage</t>
        </r>
      </text>
    </comment>
    <comment ref="AE229" authorId="0">
      <text>
        <r>
          <rPr>
            <sz val="9"/>
            <color indexed="81"/>
            <rFont val="Tahoma"/>
            <family val="2"/>
          </rPr>
          <t>08E01 : Détection et traitement (en temps réel) des anomalies et incidents d'exploitation</t>
        </r>
      </text>
    </comment>
    <comment ref="AH229" authorId="0">
      <text>
        <r>
          <rPr>
            <sz val="9"/>
            <color indexed="81"/>
            <rFont val="Tahoma"/>
            <family val="2"/>
          </rPr>
          <t>08E02 : Surveillance, en temps différé, des traces, logs et journaux</t>
        </r>
      </text>
    </comment>
    <comment ref="AK229" authorId="0">
      <text>
        <r>
          <rPr>
            <sz val="9"/>
            <color indexed="81"/>
            <rFont val="Tahoma"/>
            <family val="2"/>
          </rPr>
          <t>08E03 : Gestion et traitement des incidents systèmes et applicatifs</t>
        </r>
      </text>
    </comment>
    <comment ref="J230" authorId="0">
      <text>
        <r>
          <rPr>
            <sz val="9"/>
            <color indexed="81"/>
            <rFont val="Tahoma"/>
            <family val="2"/>
          </rPr>
          <t>01C02 : Gestion du personnel et des partenaires ou prestataires stratégiques</t>
        </r>
      </text>
    </comment>
    <comment ref="M230" authorId="0">
      <text>
        <r>
          <rPr>
            <sz val="9"/>
            <color indexed="81"/>
            <rFont val="Tahoma"/>
            <family val="2"/>
          </rPr>
          <t>08D01 : Organisation de la maintenance du matériel (équipements) en exploitation</t>
        </r>
      </text>
    </comment>
    <comment ref="P230" authorId="0">
      <text>
        <r>
          <rPr>
            <sz val="9"/>
            <color indexed="81"/>
            <rFont val="Tahoma"/>
            <family val="2"/>
          </rPr>
          <t>08D02 : Organisation de la maintenance du logiciel (système, logiciel de couche intermédiaire et progiciel applicatif)</t>
        </r>
      </text>
    </comment>
    <comment ref="S230" authorId="0">
      <text>
        <r>
          <rPr>
            <sz val="9"/>
            <color indexed="81"/>
            <rFont val="Tahoma"/>
            <family val="2"/>
          </rPr>
          <t>08D03 : Procédures et plans de reprise des applications sur incidents d'exploitation</t>
        </r>
      </text>
    </comment>
    <comment ref="V230" authorId="0">
      <text>
        <r>
          <rPr>
            <sz val="9"/>
            <color indexed="81"/>
            <rFont val="Tahoma"/>
            <family val="2"/>
          </rPr>
          <t>08D08 : Gestion des systèmes critiques (vis-à-vis de la permanence de la maintenance)</t>
        </r>
      </text>
    </comment>
    <comment ref="Y230" authorId="0">
      <text>
        <r>
          <rPr>
            <sz val="9"/>
            <color indexed="81"/>
            <rFont val="Tahoma"/>
            <family val="2"/>
          </rPr>
          <t>08D10 : Maintien des comptes d'accès</t>
        </r>
      </text>
    </comment>
    <comment ref="AB230" authorId="0">
      <text>
        <r>
          <rPr>
            <sz val="9"/>
            <color indexed="81"/>
            <rFont val="Tahoma"/>
            <family val="2"/>
          </rPr>
          <t>09E03 : Gestion des applications critiques (vis-à-vis de la permanence de la maintenance)</t>
        </r>
      </text>
    </comment>
    <comment ref="AE230" authorId="0">
      <text>
        <r>
          <rPr>
            <sz val="9"/>
            <color indexed="81"/>
            <rFont val="Tahoma"/>
            <family val="2"/>
          </rPr>
          <t>10A04 : Organisation de la maintenance applicative</t>
        </r>
      </text>
    </comment>
    <comment ref="J231" authorId="0">
      <text>
        <r>
          <rPr>
            <sz val="9"/>
            <color indexed="81"/>
            <rFont val="Tahoma"/>
            <family val="2"/>
          </rPr>
          <t>01E01 : Prise en compte des besoins de continuité de l'activité</t>
        </r>
      </text>
    </comment>
    <comment ref="M231" authorId="0">
      <text>
        <r>
          <rPr>
            <sz val="9"/>
            <color indexed="81"/>
            <rFont val="Tahoma"/>
            <family val="2"/>
          </rPr>
          <t>01E02 : Plans de continuité de l'activité</t>
        </r>
      </text>
    </comment>
    <comment ref="P231" authorId="0">
      <text>
        <r>
          <rPr>
            <sz val="9"/>
            <color indexed="81"/>
            <rFont val="Tahoma"/>
            <family val="2"/>
          </rPr>
          <t xml:space="preserve">03A02 : Continuité de la fourniture de l'énergie </t>
        </r>
      </text>
    </comment>
    <comment ref="S231" authorId="0">
      <text>
        <r>
          <rPr>
            <sz val="9"/>
            <color indexed="81"/>
            <rFont val="Tahoma"/>
            <family val="2"/>
          </rPr>
          <t>03A06 : Sécurité des équipements de servitude</t>
        </r>
      </text>
    </comment>
    <comment ref="V231" authorId="0">
      <text>
        <r>
          <rPr>
            <sz val="9"/>
            <color indexed="81"/>
            <rFont val="Tahoma"/>
            <family val="2"/>
          </rPr>
          <t>07D01 : Sûreté de fonctionnement des éléments d'architecture</t>
        </r>
      </text>
    </comment>
    <comment ref="Y231" authorId="0">
      <text>
        <r>
          <rPr>
            <sz val="9"/>
            <color indexed="81"/>
            <rFont val="Tahoma"/>
            <family val="2"/>
          </rPr>
          <t>08D04 : Sauvegarde des configurations logicielles (logiciels de base et applicatifs et paramètres de configuration)</t>
        </r>
      </text>
    </comment>
    <comment ref="AB231" authorId="0">
      <text>
        <r>
          <rPr>
            <sz val="9"/>
            <color indexed="81"/>
            <rFont val="Tahoma"/>
            <family val="2"/>
          </rPr>
          <t>08D06 : Plans de Reprise d'Activité des services informatiques</t>
        </r>
      </text>
    </comment>
    <comment ref="AE231" authorId="0">
      <text>
        <r>
          <rPr>
            <sz val="9"/>
            <color indexed="81"/>
            <rFont val="Tahoma"/>
            <family val="2"/>
          </rPr>
          <t>09E01 : Reconfiguration matérielle</t>
        </r>
      </text>
    </comment>
    <comment ref="AH231" authorId="0">
      <text>
        <r>
          <rPr>
            <sz val="9"/>
            <color indexed="81"/>
            <rFont val="Tahoma"/>
            <family val="2"/>
          </rPr>
          <t>09E02 : Plans de Continuité des processus applicatifs</t>
        </r>
      </text>
    </comment>
    <comment ref="J233" authorId="0">
      <text>
        <r>
          <rPr>
            <sz val="9"/>
            <color indexed="81"/>
            <rFont val="Tahoma"/>
            <family val="2"/>
          </rPr>
          <t>03B06 : Surveillance des locaux sensibles</t>
        </r>
      </text>
    </comment>
    <comment ref="M233" authorId="0">
      <text>
        <r>
          <rPr>
            <sz val="9"/>
            <color indexed="81"/>
            <rFont val="Tahoma"/>
            <family val="2"/>
          </rPr>
          <t>11E02 : Authentification et contrôle des droits d'accès des administrateurs et personnels d'exploitation</t>
        </r>
      </text>
    </comment>
    <comment ref="P233" authorId="0">
      <text>
        <r>
          <rPr>
            <sz val="9"/>
            <color indexed="81"/>
            <rFont val="Tahoma"/>
            <family val="2"/>
          </rPr>
          <t>11E03 : Surveillance des actions d'administration du parc de postes utilisateurs</t>
        </r>
      </text>
    </comment>
    <comment ref="J234" authorId="0">
      <text>
        <r>
          <rPr>
            <sz val="9"/>
            <color indexed="81"/>
            <rFont val="Tahoma"/>
            <family val="2"/>
          </rPr>
          <t>11A01 : Contrôle de l'installation de nouvelles versions de progiciels ou systèmes sur les postes utilisateurs</t>
        </r>
      </text>
    </comment>
    <comment ref="M234" authorId="0">
      <text>
        <r>
          <rPr>
            <sz val="9"/>
            <color indexed="81"/>
            <rFont val="Tahoma"/>
            <family val="2"/>
          </rPr>
          <t>11D06 : Protection des postes utilisateurs contre des codes malveillants ou des codes exécutables non autorisés</t>
        </r>
      </text>
    </comment>
    <comment ref="J235" authorId="0">
      <text>
        <r>
          <rPr>
            <sz val="9"/>
            <color indexed="81"/>
            <rFont val="Tahoma"/>
            <family val="2"/>
          </rPr>
          <t>03B01 : Gestion des droits d'accès aux locaux sensibles</t>
        </r>
      </text>
    </comment>
    <comment ref="M235" authorId="0">
      <text>
        <r>
          <rPr>
            <sz val="9"/>
            <color indexed="81"/>
            <rFont val="Tahoma"/>
            <family val="2"/>
          </rPr>
          <t>03B02 : Gestion des autorisations d'accès aux locaux sensibles</t>
        </r>
      </text>
    </comment>
    <comment ref="P235" authorId="0">
      <text>
        <r>
          <rPr>
            <sz val="9"/>
            <color indexed="81"/>
            <rFont val="Tahoma"/>
            <family val="2"/>
          </rPr>
          <t>03B03 : Contrôle des accès aux locaux sensibles</t>
        </r>
      </text>
    </comment>
    <comment ref="S235" authorId="0">
      <text>
        <r>
          <rPr>
            <sz val="9"/>
            <color indexed="81"/>
            <rFont val="Tahoma"/>
            <family val="2"/>
          </rPr>
          <t xml:space="preserve">03B04 : Détection des intrusions dans les locaux sensibles </t>
        </r>
      </text>
    </comment>
    <comment ref="V235" authorId="0">
      <text>
        <r>
          <rPr>
            <sz val="9"/>
            <color indexed="81"/>
            <rFont val="Tahoma"/>
            <family val="2"/>
          </rPr>
          <t>03B06 : Surveillance des locaux sensibles</t>
        </r>
      </text>
    </comment>
    <comment ref="J236" authorId="0">
      <text>
        <r>
          <rPr>
            <sz val="9"/>
            <color indexed="81"/>
            <rFont val="Tahoma"/>
            <family val="2"/>
          </rPr>
          <t xml:space="preserve">03A02 : Continuité de la fourniture de l'énergie </t>
        </r>
      </text>
    </comment>
    <comment ref="M236" authorId="0">
      <text>
        <r>
          <rPr>
            <sz val="9"/>
            <color indexed="81"/>
            <rFont val="Tahoma"/>
            <family val="2"/>
          </rPr>
          <t>03A05 : Protection contre la foudre</t>
        </r>
      </text>
    </comment>
    <comment ref="P236" authorId="0">
      <text>
        <r>
          <rPr>
            <sz val="9"/>
            <color indexed="81"/>
            <rFont val="Tahoma"/>
            <family val="2"/>
          </rPr>
          <t>03C01 : Prévention des risques de dégâts des eaux</t>
        </r>
      </text>
    </comment>
    <comment ref="S236" authorId="0">
      <text>
        <r>
          <rPr>
            <sz val="9"/>
            <color indexed="81"/>
            <rFont val="Tahoma"/>
            <family val="2"/>
          </rPr>
          <t>03D01 : Prévention des risques d'incendie</t>
        </r>
      </text>
    </comment>
    <comment ref="J237" authorId="0">
      <text>
        <r>
          <rPr>
            <sz val="9"/>
            <color indexed="81"/>
            <rFont val="Tahoma"/>
            <family val="2"/>
          </rPr>
          <t xml:space="preserve">03B04 : Détection des intrusions dans les locaux sensibles </t>
        </r>
      </text>
    </comment>
    <comment ref="M237" authorId="0">
      <text>
        <r>
          <rPr>
            <sz val="9"/>
            <color indexed="81"/>
            <rFont val="Tahoma"/>
            <family val="2"/>
          </rPr>
          <t>03C02 : Détection des dégâts des eaux</t>
        </r>
      </text>
    </comment>
    <comment ref="P237" authorId="0">
      <text>
        <r>
          <rPr>
            <sz val="9"/>
            <color indexed="81"/>
            <rFont val="Tahoma"/>
            <family val="2"/>
          </rPr>
          <t>03C03 : Évacuation de l'eau</t>
        </r>
      </text>
    </comment>
    <comment ref="S237" authorId="0">
      <text>
        <r>
          <rPr>
            <sz val="9"/>
            <color indexed="81"/>
            <rFont val="Tahoma"/>
            <family val="2"/>
          </rPr>
          <t>03D02 : Détection d'incendie</t>
        </r>
      </text>
    </comment>
    <comment ref="V237" authorId="0">
      <text>
        <r>
          <rPr>
            <sz val="9"/>
            <color indexed="81"/>
            <rFont val="Tahoma"/>
            <family val="2"/>
          </rPr>
          <t>03D03 : Extinction d'incendie</t>
        </r>
      </text>
    </comment>
    <comment ref="J238" authorId="0">
      <text>
        <r>
          <rPr>
            <sz val="9"/>
            <color indexed="81"/>
            <rFont val="Tahoma"/>
            <family val="2"/>
          </rPr>
          <t>01E03 : Plans de Reprise de l'Environnement de Travail (PRET)</t>
        </r>
      </text>
    </comment>
    <comment ref="M238" authorId="0">
      <text>
        <r>
          <rPr>
            <sz val="9"/>
            <color indexed="81"/>
            <rFont val="Tahoma"/>
            <family val="2"/>
          </rPr>
          <t>11D03 : Plans de sauvegardes des configurations utilisateurs</t>
        </r>
      </text>
    </comment>
    <comment ref="P238" authorId="0">
      <text>
        <r>
          <rPr>
            <sz val="9"/>
            <color indexed="81"/>
            <rFont val="Tahoma"/>
            <family val="2"/>
          </rPr>
          <t>11D07 : Plan de Reprise d'Activité des postes utilisateurs</t>
        </r>
      </text>
    </comment>
    <comment ref="J240" authorId="0">
      <text>
        <r>
          <rPr>
            <sz val="9"/>
            <color indexed="81"/>
            <rFont val="Tahoma"/>
            <family val="2"/>
          </rPr>
          <t>03B06 : Surveillance des locaux sensibles</t>
        </r>
      </text>
    </comment>
    <comment ref="M240" authorId="0">
      <text>
        <r>
          <rPr>
            <sz val="9"/>
            <color indexed="81"/>
            <rFont val="Tahoma"/>
            <family val="2"/>
          </rPr>
          <t>07C01 : Enregistrement des accès aux ressources sensibles</t>
        </r>
      </text>
    </comment>
    <comment ref="P240" authorId="0">
      <text>
        <r>
          <rPr>
            <sz val="9"/>
            <color indexed="81"/>
            <rFont val="Tahoma"/>
            <family val="2"/>
          </rPr>
          <t xml:space="preserve">07C02 : Enregistrement des appels aux procédures privilégiées </t>
        </r>
      </text>
    </comment>
    <comment ref="S240" authorId="0">
      <text>
        <r>
          <rPr>
            <sz val="9"/>
            <color indexed="81"/>
            <rFont val="Tahoma"/>
            <family val="2"/>
          </rPr>
          <t>08E02 : Surveillance, en temps différé, des traces, logs et journaux</t>
        </r>
      </text>
    </comment>
    <comment ref="V240" authorId="0">
      <text>
        <r>
          <rPr>
            <sz val="9"/>
            <color indexed="81"/>
            <rFont val="Tahoma"/>
            <family val="2"/>
          </rPr>
          <t>08F02 : Authentification et contrôle des droits d'accès des administrateurs et personnels d'exploitation</t>
        </r>
      </text>
    </comment>
    <comment ref="Y240" authorId="0">
      <text>
        <r>
          <rPr>
            <sz val="9"/>
            <color indexed="81"/>
            <rFont val="Tahoma"/>
            <family val="2"/>
          </rPr>
          <t>08F03 : Surveillance des actions d'administration des systèmes</t>
        </r>
      </text>
    </comment>
    <comment ref="J241" authorId="0">
      <text>
        <r>
          <rPr>
            <sz val="9"/>
            <color indexed="81"/>
            <rFont val="Tahoma"/>
            <family val="2"/>
          </rPr>
          <t>07A01 : Gestion des profils d'accès (droits et privilèges accordés en fonction des profils de fonction)</t>
        </r>
      </text>
    </comment>
    <comment ref="M241" authorId="0">
      <text>
        <r>
          <rPr>
            <sz val="9"/>
            <color indexed="81"/>
            <rFont val="Tahoma"/>
            <family val="2"/>
          </rPr>
          <t>07A02 : Gestion des autorisations d'accès et privilèges (attribution, délégation, retrait)</t>
        </r>
      </text>
    </comment>
    <comment ref="P241" authorId="0">
      <text>
        <r>
          <rPr>
            <sz val="9"/>
            <color indexed="81"/>
            <rFont val="Tahoma"/>
            <family val="2"/>
          </rPr>
          <t>07A03 : Authentification de l'utilisateur ou de l'entité demandant un accès</t>
        </r>
      </text>
    </comment>
    <comment ref="S241" authorId="0">
      <text>
        <r>
          <rPr>
            <sz val="9"/>
            <color indexed="81"/>
            <rFont val="Tahoma"/>
            <family val="2"/>
          </rPr>
          <t>07A04 : Filtrage des accès et gestion des associations</t>
        </r>
      </text>
    </comment>
    <comment ref="V241" authorId="0">
      <text>
        <r>
          <rPr>
            <sz val="9"/>
            <color indexed="81"/>
            <rFont val="Tahoma"/>
            <family val="2"/>
          </rPr>
          <t>08F01 : Gestion des attributions de droits privilégiés sur les systèmes (droits d'administrateur)</t>
        </r>
      </text>
    </comment>
    <comment ref="Y241" authorId="0">
      <text>
        <r>
          <rPr>
            <sz val="9"/>
            <color indexed="81"/>
            <rFont val="Tahoma"/>
            <family val="2"/>
          </rPr>
          <t>08F02 : Authentification et contrôle des droits d'accès des administrateurs et personnels d'exploitation</t>
        </r>
      </text>
    </comment>
    <comment ref="AB241" authorId="0">
      <text>
        <r>
          <rPr>
            <sz val="9"/>
            <color indexed="81"/>
            <rFont val="Tahoma"/>
            <family val="2"/>
          </rPr>
          <t>09A01 : Gestion des profils d'accès aux données applicatives</t>
        </r>
      </text>
    </comment>
    <comment ref="AE241" authorId="0">
      <text>
        <r>
          <rPr>
            <sz val="9"/>
            <color indexed="81"/>
            <rFont val="Tahoma"/>
            <family val="2"/>
          </rPr>
          <t>09A02 : Gestion des autorisations d'accès aux données applicatives (attribution, délégation, retrait)</t>
        </r>
      </text>
    </comment>
    <comment ref="AH241" authorId="0">
      <text>
        <r>
          <rPr>
            <sz val="9"/>
            <color indexed="81"/>
            <rFont val="Tahoma"/>
            <family val="2"/>
          </rPr>
          <t>09A03 : Authentification de l'utilisateur ou de l'entité demandant un accès</t>
        </r>
      </text>
    </comment>
    <comment ref="AK241" authorId="0">
      <text>
        <r>
          <rPr>
            <sz val="9"/>
            <color indexed="81"/>
            <rFont val="Tahoma"/>
            <family val="2"/>
          </rPr>
          <t>09A04 : Filtrage des accès et gestion des associations</t>
        </r>
      </text>
    </comment>
    <comment ref="J242" authorId="0">
      <text>
        <r>
          <rPr>
            <sz val="9"/>
            <color indexed="81"/>
            <rFont val="Tahoma"/>
            <family val="2"/>
          </rPr>
          <t>02A01 : Gestion des droits d'accès au site ou à l'immeuble</t>
        </r>
      </text>
    </comment>
    <comment ref="M242" authorId="0">
      <text>
        <r>
          <rPr>
            <sz val="9"/>
            <color indexed="81"/>
            <rFont val="Tahoma"/>
            <family val="2"/>
          </rPr>
          <t>02A02 : Gestion des autorisations d'accès au site ou à l'immeuble</t>
        </r>
      </text>
    </comment>
    <comment ref="P242" authorId="0">
      <text>
        <r>
          <rPr>
            <sz val="9"/>
            <color indexed="81"/>
            <rFont val="Tahoma"/>
            <family val="2"/>
          </rPr>
          <t>02A03 : Contrôle d'accès au site ou à l'immeuble</t>
        </r>
      </text>
    </comment>
    <comment ref="S242" authorId="0">
      <text>
        <r>
          <rPr>
            <sz val="9"/>
            <color indexed="81"/>
            <rFont val="Tahoma"/>
            <family val="2"/>
          </rPr>
          <t>02A05 : Accès aux zones de transfert (livraison ou chargement)  ou aux zones accessibles au public</t>
        </r>
      </text>
    </comment>
    <comment ref="V242" authorId="0">
      <text>
        <r>
          <rPr>
            <sz val="9"/>
            <color indexed="81"/>
            <rFont val="Tahoma"/>
            <family val="2"/>
          </rPr>
          <t>03B01 : Gestion des droits d'accès aux locaux sensibles</t>
        </r>
      </text>
    </comment>
    <comment ref="Y242" authorId="0">
      <text>
        <r>
          <rPr>
            <sz val="9"/>
            <color indexed="81"/>
            <rFont val="Tahoma"/>
            <family val="2"/>
          </rPr>
          <t>03B02 : Gestion des autorisations d'accès aux locaux sensibles</t>
        </r>
      </text>
    </comment>
    <comment ref="AB242" authorId="0">
      <text>
        <r>
          <rPr>
            <sz val="9"/>
            <color indexed="81"/>
            <rFont val="Tahoma"/>
            <family val="2"/>
          </rPr>
          <t>03B03 : Contrôle des accès aux locaux sensibles</t>
        </r>
      </text>
    </comment>
    <comment ref="AE242" authorId="0">
      <text>
        <r>
          <rPr>
            <sz val="9"/>
            <color indexed="81"/>
            <rFont val="Tahoma"/>
            <family val="2"/>
          </rPr>
          <t xml:space="preserve">03B04 : Détection des intrusions dans les locaux sensibles </t>
        </r>
      </text>
    </comment>
    <comment ref="AH242" authorId="0">
      <text>
        <r>
          <rPr>
            <sz val="9"/>
            <color indexed="81"/>
            <rFont val="Tahoma"/>
            <family val="2"/>
          </rPr>
          <t>03B06 : Surveillance des locaux sensibles</t>
        </r>
      </text>
    </comment>
    <comment ref="AK242" authorId="0">
      <text>
        <r>
          <rPr>
            <sz val="9"/>
            <color indexed="81"/>
            <rFont val="Tahoma"/>
            <family val="2"/>
          </rPr>
          <t xml:space="preserve">08C03 : Sécurité physique des supports stockés sur site </t>
        </r>
      </text>
    </comment>
    <comment ref="J243" authorId="0">
      <text>
        <r>
          <rPr>
            <sz val="9"/>
            <color indexed="81"/>
            <rFont val="Tahoma"/>
            <family val="2"/>
          </rPr>
          <t xml:space="preserve">03A01 : Qualité de la fourniture de l'énergie </t>
        </r>
      </text>
    </comment>
    <comment ref="M243" authorId="0">
      <text>
        <r>
          <rPr>
            <sz val="9"/>
            <color indexed="81"/>
            <rFont val="Tahoma"/>
            <family val="2"/>
          </rPr>
          <t>03A04 : Qualité du câblage</t>
        </r>
      </text>
    </comment>
    <comment ref="P243" authorId="0">
      <text>
        <r>
          <rPr>
            <sz val="9"/>
            <color indexed="81"/>
            <rFont val="Tahoma"/>
            <family val="2"/>
          </rPr>
          <t>03A05 : Protection contre la foudre</t>
        </r>
      </text>
    </comment>
    <comment ref="S243" authorId="0">
      <text>
        <r>
          <rPr>
            <sz val="9"/>
            <color indexed="81"/>
            <rFont val="Tahoma"/>
            <family val="2"/>
          </rPr>
          <t>03C01 : Prévention des risques de dégâts des eaux</t>
        </r>
      </text>
    </comment>
    <comment ref="V243" authorId="0">
      <text>
        <r>
          <rPr>
            <sz val="9"/>
            <color indexed="81"/>
            <rFont val="Tahoma"/>
            <family val="2"/>
          </rPr>
          <t>03D01 : Prévention des risques d'incendie</t>
        </r>
      </text>
    </comment>
    <comment ref="J244" authorId="0">
      <text>
        <r>
          <rPr>
            <sz val="9"/>
            <color indexed="81"/>
            <rFont val="Tahoma"/>
            <family val="2"/>
          </rPr>
          <t>07D01 : Sûreté de fonctionnement des éléments d'architecture</t>
        </r>
      </text>
    </comment>
    <comment ref="M244" authorId="0">
      <text>
        <r>
          <rPr>
            <sz val="9"/>
            <color indexed="81"/>
            <rFont val="Tahoma"/>
            <family val="2"/>
          </rPr>
          <t>08A03 : Contrôle de la mise en production de nouveaux systèmes ou d'évolutions de systèmes existants</t>
        </r>
      </text>
    </comment>
    <comment ref="P244" authorId="0">
      <text>
        <r>
          <rPr>
            <sz val="9"/>
            <color indexed="81"/>
            <rFont val="Tahoma"/>
            <family val="2"/>
          </rPr>
          <t>08E01 : Détection et traitement (en temps réel) des anomalies et incidents d'exploitation</t>
        </r>
      </text>
    </comment>
    <comment ref="S244" authorId="0">
      <text>
        <r>
          <rPr>
            <sz val="9"/>
            <color indexed="81"/>
            <rFont val="Tahoma"/>
            <family val="2"/>
          </rPr>
          <t>09E01 : Reconfiguration matérielle</t>
        </r>
      </text>
    </comment>
    <comment ref="V244" authorId="0">
      <text>
        <r>
          <rPr>
            <sz val="9"/>
            <color indexed="81"/>
            <rFont val="Tahoma"/>
            <family val="2"/>
          </rPr>
          <t>10B05 : Sécurité de la maintenance applicative</t>
        </r>
      </text>
    </comment>
    <comment ref="Y244" authorId="0">
      <text>
        <r>
          <rPr>
            <sz val="9"/>
            <color indexed="81"/>
            <rFont val="Tahoma"/>
            <family val="2"/>
          </rPr>
          <t xml:space="preserve">10B06 : Maintenance à chaud </t>
        </r>
      </text>
    </comment>
    <comment ref="J245" authorId="0">
      <text>
        <r>
          <rPr>
            <sz val="9"/>
            <color indexed="81"/>
            <rFont val="Tahoma"/>
            <family val="2"/>
          </rPr>
          <t>02A04 : Détection des intrusions sur le site ou dans l'immeuble</t>
        </r>
      </text>
    </comment>
    <comment ref="M245" authorId="0">
      <text>
        <r>
          <rPr>
            <sz val="9"/>
            <color indexed="81"/>
            <rFont val="Tahoma"/>
            <family val="2"/>
          </rPr>
          <t xml:space="preserve">03B04 : Détection des intrusions dans les locaux sensibles </t>
        </r>
      </text>
    </comment>
    <comment ref="P245" authorId="0">
      <text>
        <r>
          <rPr>
            <sz val="9"/>
            <color indexed="81"/>
            <rFont val="Tahoma"/>
            <family val="2"/>
          </rPr>
          <t>03C02 : Détection des dégâts des eaux</t>
        </r>
      </text>
    </comment>
    <comment ref="S245" authorId="0">
      <text>
        <r>
          <rPr>
            <sz val="9"/>
            <color indexed="81"/>
            <rFont val="Tahoma"/>
            <family val="2"/>
          </rPr>
          <t>03C03 : Évacuation de l'eau</t>
        </r>
      </text>
    </comment>
    <comment ref="V245" authorId="0">
      <text>
        <r>
          <rPr>
            <sz val="9"/>
            <color indexed="81"/>
            <rFont val="Tahoma"/>
            <family val="2"/>
          </rPr>
          <t>03D02 : Détection d'incendie</t>
        </r>
      </text>
    </comment>
    <comment ref="Y245" authorId="0">
      <text>
        <r>
          <rPr>
            <sz val="9"/>
            <color indexed="81"/>
            <rFont val="Tahoma"/>
            <family val="2"/>
          </rPr>
          <t>03D03 : Extinction d'incendie</t>
        </r>
      </text>
    </comment>
    <comment ref="AB245" authorId="0">
      <text>
        <r>
          <rPr>
            <sz val="9"/>
            <color indexed="81"/>
            <rFont val="Tahoma"/>
            <family val="2"/>
          </rPr>
          <t>08C05 : Vérification et rotation des supports d'archivage</t>
        </r>
      </text>
    </comment>
    <comment ref="AE245" authorId="0">
      <text>
        <r>
          <rPr>
            <sz val="9"/>
            <color indexed="81"/>
            <rFont val="Tahoma"/>
            <family val="2"/>
          </rPr>
          <t>08E01 : Détection et traitement (en temps réel) des anomalies et incidents d'exploitation</t>
        </r>
      </text>
    </comment>
    <comment ref="AH245" authorId="0">
      <text>
        <r>
          <rPr>
            <sz val="9"/>
            <color indexed="81"/>
            <rFont val="Tahoma"/>
            <family val="2"/>
          </rPr>
          <t>08E02 : Surveillance, en temps différé, des traces, logs et journaux</t>
        </r>
      </text>
    </comment>
    <comment ref="AK245" authorId="0">
      <text>
        <r>
          <rPr>
            <sz val="9"/>
            <color indexed="81"/>
            <rFont val="Tahoma"/>
            <family val="2"/>
          </rPr>
          <t>08E03 : Gestion et traitement des incidents systèmes et applicatifs</t>
        </r>
      </text>
    </comment>
    <comment ref="J246" authorId="0">
      <text>
        <r>
          <rPr>
            <sz val="9"/>
            <color indexed="81"/>
            <rFont val="Tahoma"/>
            <family val="2"/>
          </rPr>
          <t>01C02 : Gestion du personnel et des partenaires ou prestataires stratégiques</t>
        </r>
      </text>
    </comment>
    <comment ref="M246" authorId="0">
      <text>
        <r>
          <rPr>
            <sz val="9"/>
            <color indexed="81"/>
            <rFont val="Tahoma"/>
            <family val="2"/>
          </rPr>
          <t>08D01 : Organisation de la maintenance du matériel (équipements) en exploitation</t>
        </r>
      </text>
    </comment>
    <comment ref="P246" authorId="0">
      <text>
        <r>
          <rPr>
            <sz val="9"/>
            <color indexed="81"/>
            <rFont val="Tahoma"/>
            <family val="2"/>
          </rPr>
          <t>08D02 : Organisation de la maintenance du logiciel (système, logiciel de couche intermédiaire et progiciel applicatif)</t>
        </r>
      </text>
    </comment>
    <comment ref="S246" authorId="0">
      <text>
        <r>
          <rPr>
            <sz val="9"/>
            <color indexed="81"/>
            <rFont val="Tahoma"/>
            <family val="2"/>
          </rPr>
          <t>08D03 : Procédures et plans de reprise des applications sur incidents d'exploitation</t>
        </r>
      </text>
    </comment>
    <comment ref="V246" authorId="0">
      <text>
        <r>
          <rPr>
            <sz val="9"/>
            <color indexed="81"/>
            <rFont val="Tahoma"/>
            <family val="2"/>
          </rPr>
          <t>08D08 : Gestion des systèmes critiques (vis-à-vis de la permanence de la maintenance)</t>
        </r>
      </text>
    </comment>
    <comment ref="Y246" authorId="0">
      <text>
        <r>
          <rPr>
            <sz val="9"/>
            <color indexed="81"/>
            <rFont val="Tahoma"/>
            <family val="2"/>
          </rPr>
          <t>08D10 : Maintien des comptes d'accès</t>
        </r>
      </text>
    </comment>
    <comment ref="AB246" authorId="0">
      <text>
        <r>
          <rPr>
            <sz val="9"/>
            <color indexed="81"/>
            <rFont val="Tahoma"/>
            <family val="2"/>
          </rPr>
          <t>09E03 : Gestion des applications critiques (vis-à-vis de la permanence de la maintenance)</t>
        </r>
      </text>
    </comment>
    <comment ref="AE246" authorId="0">
      <text>
        <r>
          <rPr>
            <sz val="9"/>
            <color indexed="81"/>
            <rFont val="Tahoma"/>
            <family val="2"/>
          </rPr>
          <t>10A04 : Organisation de la maintenance applicative</t>
        </r>
      </text>
    </comment>
    <comment ref="J247" authorId="0">
      <text>
        <r>
          <rPr>
            <sz val="9"/>
            <color indexed="81"/>
            <rFont val="Tahoma"/>
            <family val="2"/>
          </rPr>
          <t>01E01 : Prise en compte des besoins de continuité de l'activité</t>
        </r>
      </text>
    </comment>
    <comment ref="M247" authorId="0">
      <text>
        <r>
          <rPr>
            <sz val="9"/>
            <color indexed="81"/>
            <rFont val="Tahoma"/>
            <family val="2"/>
          </rPr>
          <t>01E02 : Plans de continuité de l'activité</t>
        </r>
      </text>
    </comment>
    <comment ref="P247" authorId="0">
      <text>
        <r>
          <rPr>
            <sz val="9"/>
            <color indexed="81"/>
            <rFont val="Tahoma"/>
            <family val="2"/>
          </rPr>
          <t xml:space="preserve">03A02 : Continuité de la fourniture de l'énergie </t>
        </r>
      </text>
    </comment>
    <comment ref="S247" authorId="0">
      <text>
        <r>
          <rPr>
            <sz val="9"/>
            <color indexed="81"/>
            <rFont val="Tahoma"/>
            <family val="2"/>
          </rPr>
          <t>03A03 : Sécurité de la climatisation</t>
        </r>
      </text>
    </comment>
    <comment ref="V247" authorId="0">
      <text>
        <r>
          <rPr>
            <sz val="9"/>
            <color indexed="81"/>
            <rFont val="Tahoma"/>
            <family val="2"/>
          </rPr>
          <t>03A06 : Sécurité des équipements de servitude</t>
        </r>
      </text>
    </comment>
    <comment ref="Y247" authorId="0">
      <text>
        <r>
          <rPr>
            <sz val="9"/>
            <color indexed="81"/>
            <rFont val="Tahoma"/>
            <family val="2"/>
          </rPr>
          <t>07D01 : Sûreté de fonctionnement des éléments d'architecture</t>
        </r>
      </text>
    </comment>
    <comment ref="AB247" authorId="0">
      <text>
        <r>
          <rPr>
            <sz val="9"/>
            <color indexed="81"/>
            <rFont val="Tahoma"/>
            <family val="2"/>
          </rPr>
          <t>08D04 : Sauvegarde des configurations logicielles (logiciels de base et applicatifs et paramètres de configuration)</t>
        </r>
      </text>
    </comment>
    <comment ref="AE247" authorId="0">
      <text>
        <r>
          <rPr>
            <sz val="9"/>
            <color indexed="81"/>
            <rFont val="Tahoma"/>
            <family val="2"/>
          </rPr>
          <t>08D06 : Plans de Reprise d'Activité des services informatiques</t>
        </r>
      </text>
    </comment>
    <comment ref="AH247" authorId="0">
      <text>
        <r>
          <rPr>
            <sz val="9"/>
            <color indexed="81"/>
            <rFont val="Tahoma"/>
            <family val="2"/>
          </rPr>
          <t>09E01 : Reconfiguration matérielle</t>
        </r>
      </text>
    </comment>
    <comment ref="AK247" authorId="0">
      <text>
        <r>
          <rPr>
            <sz val="9"/>
            <color indexed="81"/>
            <rFont val="Tahoma"/>
            <family val="2"/>
          </rPr>
          <t>09E02 : Plans de Continuité des processus applicatifs</t>
        </r>
      </text>
    </comment>
    <comment ref="J249" authorId="0">
      <text>
        <r>
          <rPr>
            <sz val="9"/>
            <color indexed="81"/>
            <rFont val="Tahoma"/>
            <family val="2"/>
          </rPr>
          <t>03B06 : Surveillance des locaux sensibles</t>
        </r>
      </text>
    </comment>
    <comment ref="M249" authorId="0">
      <text>
        <r>
          <rPr>
            <sz val="9"/>
            <color indexed="81"/>
            <rFont val="Tahoma"/>
            <family val="2"/>
          </rPr>
          <t>07C01 : Enregistrement des accès aux ressources sensibles</t>
        </r>
      </text>
    </comment>
    <comment ref="P249" authorId="0">
      <text>
        <r>
          <rPr>
            <sz val="9"/>
            <color indexed="81"/>
            <rFont val="Tahoma"/>
            <family val="2"/>
          </rPr>
          <t xml:space="preserve">07C02 : Enregistrement des appels aux procédures privilégiées </t>
        </r>
      </text>
    </comment>
    <comment ref="S249" authorId="0">
      <text>
        <r>
          <rPr>
            <sz val="9"/>
            <color indexed="81"/>
            <rFont val="Tahoma"/>
            <family val="2"/>
          </rPr>
          <t>08E02 : Surveillance, en temps différé, des traces, logs et journaux</t>
        </r>
      </text>
    </comment>
    <comment ref="V249" authorId="0">
      <text>
        <r>
          <rPr>
            <sz val="9"/>
            <color indexed="81"/>
            <rFont val="Tahoma"/>
            <family val="2"/>
          </rPr>
          <t>08F02 : Authentification et contrôle des droits d'accès des administrateurs et personnels d'exploitation</t>
        </r>
      </text>
    </comment>
    <comment ref="Y249" authorId="0">
      <text>
        <r>
          <rPr>
            <sz val="9"/>
            <color indexed="81"/>
            <rFont val="Tahoma"/>
            <family val="2"/>
          </rPr>
          <t>08F03 : Surveillance des actions d'administration des systèmes</t>
        </r>
      </text>
    </comment>
    <comment ref="J250" authorId="0">
      <text>
        <r>
          <rPr>
            <sz val="9"/>
            <color indexed="81"/>
            <rFont val="Tahoma"/>
            <family val="2"/>
          </rPr>
          <t>07A01 : Gestion des profils d'accès (droits et privilèges accordés en fonction des profils de fonction)</t>
        </r>
      </text>
    </comment>
    <comment ref="M250" authorId="0">
      <text>
        <r>
          <rPr>
            <sz val="9"/>
            <color indexed="81"/>
            <rFont val="Tahoma"/>
            <family val="2"/>
          </rPr>
          <t>07A02 : Gestion des autorisations d'accès et privilèges (attribution, délégation, retrait)</t>
        </r>
      </text>
    </comment>
    <comment ref="P250" authorId="0">
      <text>
        <r>
          <rPr>
            <sz val="9"/>
            <color indexed="81"/>
            <rFont val="Tahoma"/>
            <family val="2"/>
          </rPr>
          <t>07A03 : Authentification de l'utilisateur ou de l'entité demandant un accès</t>
        </r>
      </text>
    </comment>
    <comment ref="S250" authorId="0">
      <text>
        <r>
          <rPr>
            <sz val="9"/>
            <color indexed="81"/>
            <rFont val="Tahoma"/>
            <family val="2"/>
          </rPr>
          <t>07A04 : Filtrage des accès et gestion des associations</t>
        </r>
      </text>
    </comment>
    <comment ref="V250" authorId="0">
      <text>
        <r>
          <rPr>
            <sz val="9"/>
            <color indexed="81"/>
            <rFont val="Tahoma"/>
            <family val="2"/>
          </rPr>
          <t>08F01 : Gestion des attributions de droits privilégiés sur les systèmes (droits d'administrateur)</t>
        </r>
      </text>
    </comment>
    <comment ref="Y250" authorId="0">
      <text>
        <r>
          <rPr>
            <sz val="9"/>
            <color indexed="81"/>
            <rFont val="Tahoma"/>
            <family val="2"/>
          </rPr>
          <t>08F02 : Authentification et contrôle des droits d'accès des administrateurs et personnels d'exploitation</t>
        </r>
      </text>
    </comment>
    <comment ref="AB250" authorId="0">
      <text>
        <r>
          <rPr>
            <sz val="9"/>
            <color indexed="81"/>
            <rFont val="Tahoma"/>
            <family val="2"/>
          </rPr>
          <t>09A01 : Gestion des profils d'accès aux données applicatives</t>
        </r>
      </text>
    </comment>
    <comment ref="AE250" authorId="0">
      <text>
        <r>
          <rPr>
            <sz val="9"/>
            <color indexed="81"/>
            <rFont val="Tahoma"/>
            <family val="2"/>
          </rPr>
          <t>09A02 : Gestion des autorisations d'accès aux données applicatives (attribution, délégation, retrait)</t>
        </r>
      </text>
    </comment>
    <comment ref="AH250" authorId="0">
      <text>
        <r>
          <rPr>
            <sz val="9"/>
            <color indexed="81"/>
            <rFont val="Tahoma"/>
            <family val="2"/>
          </rPr>
          <t>09A03 : Authentification de l'utilisateur ou de l'entité demandant un accès</t>
        </r>
      </text>
    </comment>
    <comment ref="AK250" authorId="0">
      <text>
        <r>
          <rPr>
            <sz val="9"/>
            <color indexed="81"/>
            <rFont val="Tahoma"/>
            <family val="2"/>
          </rPr>
          <t>09A04 : Filtrage des accès et gestion des associations</t>
        </r>
      </text>
    </comment>
    <comment ref="J251" authorId="0">
      <text>
        <r>
          <rPr>
            <sz val="9"/>
            <color indexed="81"/>
            <rFont val="Tahoma"/>
            <family val="2"/>
          </rPr>
          <t>02A01 : Gestion des droits d'accès au site ou à l'immeuble</t>
        </r>
      </text>
    </comment>
    <comment ref="M251" authorId="0">
      <text>
        <r>
          <rPr>
            <sz val="9"/>
            <color indexed="81"/>
            <rFont val="Tahoma"/>
            <family val="2"/>
          </rPr>
          <t>02A02 : Gestion des autorisations d'accès au site ou à l'immeuble</t>
        </r>
      </text>
    </comment>
    <comment ref="P251" authorId="0">
      <text>
        <r>
          <rPr>
            <sz val="9"/>
            <color indexed="81"/>
            <rFont val="Tahoma"/>
            <family val="2"/>
          </rPr>
          <t>02A03 : Contrôle d'accès au site ou à l'immeuble</t>
        </r>
      </text>
    </comment>
    <comment ref="S251" authorId="0">
      <text>
        <r>
          <rPr>
            <sz val="9"/>
            <color indexed="81"/>
            <rFont val="Tahoma"/>
            <family val="2"/>
          </rPr>
          <t>02A05 : Accès aux zones de transfert (livraison ou chargement)  ou aux zones accessibles au public</t>
        </r>
      </text>
    </comment>
    <comment ref="V251" authorId="0">
      <text>
        <r>
          <rPr>
            <sz val="9"/>
            <color indexed="81"/>
            <rFont val="Tahoma"/>
            <family val="2"/>
          </rPr>
          <t>03B01 : Gestion des droits d'accès aux locaux sensibles</t>
        </r>
      </text>
    </comment>
    <comment ref="Y251" authorId="0">
      <text>
        <r>
          <rPr>
            <sz val="9"/>
            <color indexed="81"/>
            <rFont val="Tahoma"/>
            <family val="2"/>
          </rPr>
          <t>03B02 : Gestion des autorisations d'accès aux locaux sensibles</t>
        </r>
      </text>
    </comment>
    <comment ref="AB251" authorId="0">
      <text>
        <r>
          <rPr>
            <sz val="9"/>
            <color indexed="81"/>
            <rFont val="Tahoma"/>
            <family val="2"/>
          </rPr>
          <t>03B03 : Contrôle des accès aux locaux sensibles</t>
        </r>
      </text>
    </comment>
    <comment ref="AE251" authorId="0">
      <text>
        <r>
          <rPr>
            <sz val="9"/>
            <color indexed="81"/>
            <rFont val="Tahoma"/>
            <family val="2"/>
          </rPr>
          <t xml:space="preserve">03B04 : Détection des intrusions dans les locaux sensibles </t>
        </r>
      </text>
    </comment>
    <comment ref="AH251" authorId="0">
      <text>
        <r>
          <rPr>
            <sz val="9"/>
            <color indexed="81"/>
            <rFont val="Tahoma"/>
            <family val="2"/>
          </rPr>
          <t>03B06 : Surveillance des locaux sensibles</t>
        </r>
      </text>
    </comment>
    <comment ref="AK251" authorId="0">
      <text>
        <r>
          <rPr>
            <sz val="9"/>
            <color indexed="81"/>
            <rFont val="Tahoma"/>
            <family val="2"/>
          </rPr>
          <t xml:space="preserve">08C03 : Sécurité physique des supports stockés sur site </t>
        </r>
      </text>
    </comment>
    <comment ref="J252" authorId="0">
      <text>
        <r>
          <rPr>
            <sz val="9"/>
            <color indexed="81"/>
            <rFont val="Tahoma"/>
            <family val="2"/>
          </rPr>
          <t xml:space="preserve">03A01 : Qualité de la fourniture de l'énergie </t>
        </r>
      </text>
    </comment>
    <comment ref="M252" authorId="0">
      <text>
        <r>
          <rPr>
            <sz val="9"/>
            <color indexed="81"/>
            <rFont val="Tahoma"/>
            <family val="2"/>
          </rPr>
          <t>03A04 : Qualité du câblage</t>
        </r>
      </text>
    </comment>
    <comment ref="P252" authorId="0">
      <text>
        <r>
          <rPr>
            <sz val="9"/>
            <color indexed="81"/>
            <rFont val="Tahoma"/>
            <family val="2"/>
          </rPr>
          <t>03A05 : Protection contre la foudre</t>
        </r>
      </text>
    </comment>
    <comment ref="S252" authorId="0">
      <text>
        <r>
          <rPr>
            <sz val="9"/>
            <color indexed="81"/>
            <rFont val="Tahoma"/>
            <family val="2"/>
          </rPr>
          <t>03C01 : Prévention des risques de dégâts des eaux</t>
        </r>
      </text>
    </comment>
    <comment ref="V252" authorId="0">
      <text>
        <r>
          <rPr>
            <sz val="9"/>
            <color indexed="81"/>
            <rFont val="Tahoma"/>
            <family val="2"/>
          </rPr>
          <t>03D01 : Prévention des risques d'incendie</t>
        </r>
      </text>
    </comment>
    <comment ref="J253" authorId="0">
      <text>
        <r>
          <rPr>
            <sz val="9"/>
            <color indexed="81"/>
            <rFont val="Tahoma"/>
            <family val="2"/>
          </rPr>
          <t>07D01 : Sûreté de fonctionnement des éléments d'architecture</t>
        </r>
      </text>
    </comment>
    <comment ref="M253" authorId="0">
      <text>
        <r>
          <rPr>
            <sz val="9"/>
            <color indexed="81"/>
            <rFont val="Tahoma"/>
            <family val="2"/>
          </rPr>
          <t>08A03 : Contrôle de la mise en production de nouveaux systèmes ou d'évolutions de systèmes existants</t>
        </r>
      </text>
    </comment>
    <comment ref="P253" authorId="0">
      <text>
        <r>
          <rPr>
            <sz val="9"/>
            <color indexed="81"/>
            <rFont val="Tahoma"/>
            <family val="2"/>
          </rPr>
          <t>08E01 : Détection et traitement (en temps réel) des anomalies et incidents d'exploitation</t>
        </r>
      </text>
    </comment>
    <comment ref="S253" authorId="0">
      <text>
        <r>
          <rPr>
            <sz val="9"/>
            <color indexed="81"/>
            <rFont val="Tahoma"/>
            <family val="2"/>
          </rPr>
          <t>09E01 : Reconfiguration matérielle</t>
        </r>
      </text>
    </comment>
    <comment ref="V253" authorId="0">
      <text>
        <r>
          <rPr>
            <sz val="9"/>
            <color indexed="81"/>
            <rFont val="Tahoma"/>
            <family val="2"/>
          </rPr>
          <t>10B05 : Sécurité de la maintenance applicative</t>
        </r>
      </text>
    </comment>
    <comment ref="Y253" authorId="0">
      <text>
        <r>
          <rPr>
            <sz val="9"/>
            <color indexed="81"/>
            <rFont val="Tahoma"/>
            <family val="2"/>
          </rPr>
          <t xml:space="preserve">10B06 : Maintenance à chaud </t>
        </r>
      </text>
    </comment>
    <comment ref="J254" authorId="0">
      <text>
        <r>
          <rPr>
            <sz val="9"/>
            <color indexed="81"/>
            <rFont val="Tahoma"/>
            <family val="2"/>
          </rPr>
          <t>02A04 : Détection des intrusions sur le site ou dans l'immeuble</t>
        </r>
      </text>
    </comment>
    <comment ref="M254" authorId="0">
      <text>
        <r>
          <rPr>
            <sz val="9"/>
            <color indexed="81"/>
            <rFont val="Tahoma"/>
            <family val="2"/>
          </rPr>
          <t xml:space="preserve">03B04 : Détection des intrusions dans les locaux sensibles </t>
        </r>
      </text>
    </comment>
    <comment ref="P254" authorId="0">
      <text>
        <r>
          <rPr>
            <sz val="9"/>
            <color indexed="81"/>
            <rFont val="Tahoma"/>
            <family val="2"/>
          </rPr>
          <t>03C02 : Détection des dégâts des eaux</t>
        </r>
      </text>
    </comment>
    <comment ref="S254" authorId="0">
      <text>
        <r>
          <rPr>
            <sz val="9"/>
            <color indexed="81"/>
            <rFont val="Tahoma"/>
            <family val="2"/>
          </rPr>
          <t>03C03 : Évacuation de l'eau</t>
        </r>
      </text>
    </comment>
    <comment ref="V254" authorId="0">
      <text>
        <r>
          <rPr>
            <sz val="9"/>
            <color indexed="81"/>
            <rFont val="Tahoma"/>
            <family val="2"/>
          </rPr>
          <t>03D02 : Détection d'incendie</t>
        </r>
      </text>
    </comment>
    <comment ref="Y254" authorId="0">
      <text>
        <r>
          <rPr>
            <sz val="9"/>
            <color indexed="81"/>
            <rFont val="Tahoma"/>
            <family val="2"/>
          </rPr>
          <t>03D03 : Extinction d'incendie</t>
        </r>
      </text>
    </comment>
    <comment ref="AB254" authorId="0">
      <text>
        <r>
          <rPr>
            <sz val="9"/>
            <color indexed="81"/>
            <rFont val="Tahoma"/>
            <family val="2"/>
          </rPr>
          <t>08C05 : Vérification et rotation des supports d'archivage</t>
        </r>
      </text>
    </comment>
    <comment ref="AE254" authorId="0">
      <text>
        <r>
          <rPr>
            <sz val="9"/>
            <color indexed="81"/>
            <rFont val="Tahoma"/>
            <family val="2"/>
          </rPr>
          <t>08E01 : Détection et traitement (en temps réel) des anomalies et incidents d'exploitation</t>
        </r>
      </text>
    </comment>
    <comment ref="AH254" authorId="0">
      <text>
        <r>
          <rPr>
            <sz val="9"/>
            <color indexed="81"/>
            <rFont val="Tahoma"/>
            <family val="2"/>
          </rPr>
          <t>08E02 : Surveillance, en temps différé, des traces, logs et journaux</t>
        </r>
      </text>
    </comment>
    <comment ref="AK254" authorId="0">
      <text>
        <r>
          <rPr>
            <sz val="9"/>
            <color indexed="81"/>
            <rFont val="Tahoma"/>
            <family val="2"/>
          </rPr>
          <t>08E03 : Gestion et traitement des incidents systèmes et applicatifs</t>
        </r>
      </text>
    </comment>
    <comment ref="J255" authorId="0">
      <text>
        <r>
          <rPr>
            <sz val="9"/>
            <color indexed="81"/>
            <rFont val="Tahoma"/>
            <family val="2"/>
          </rPr>
          <t>01C02 : Gestion du personnel et des partenaires ou prestataires stratégiques</t>
        </r>
      </text>
    </comment>
    <comment ref="M255" authorId="0">
      <text>
        <r>
          <rPr>
            <sz val="9"/>
            <color indexed="81"/>
            <rFont val="Tahoma"/>
            <family val="2"/>
          </rPr>
          <t>08D01 : Organisation de la maintenance du matériel (équipements) en exploitation</t>
        </r>
      </text>
    </comment>
    <comment ref="P255" authorId="0">
      <text>
        <r>
          <rPr>
            <sz val="9"/>
            <color indexed="81"/>
            <rFont val="Tahoma"/>
            <family val="2"/>
          </rPr>
          <t>08D02 : Organisation de la maintenance du logiciel (système, logiciel de couche intermédiaire et progiciel applicatif)</t>
        </r>
      </text>
    </comment>
    <comment ref="S255" authorId="0">
      <text>
        <r>
          <rPr>
            <sz val="9"/>
            <color indexed="81"/>
            <rFont val="Tahoma"/>
            <family val="2"/>
          </rPr>
          <t>08D03 : Procédures et plans de reprise des applications sur incidents d'exploitation</t>
        </r>
      </text>
    </comment>
    <comment ref="V255" authorId="0">
      <text>
        <r>
          <rPr>
            <sz val="9"/>
            <color indexed="81"/>
            <rFont val="Tahoma"/>
            <family val="2"/>
          </rPr>
          <t>08D08 : Gestion des systèmes critiques (vis-à-vis de la permanence de la maintenance)</t>
        </r>
      </text>
    </comment>
    <comment ref="Y255" authorId="0">
      <text>
        <r>
          <rPr>
            <sz val="9"/>
            <color indexed="81"/>
            <rFont val="Tahoma"/>
            <family val="2"/>
          </rPr>
          <t>08D10 : Maintien des comptes d'accès</t>
        </r>
      </text>
    </comment>
    <comment ref="AB255" authorId="0">
      <text>
        <r>
          <rPr>
            <sz val="9"/>
            <color indexed="81"/>
            <rFont val="Tahoma"/>
            <family val="2"/>
          </rPr>
          <t>09E03 : Gestion des applications critiques (vis-à-vis de la permanence de la maintenance)</t>
        </r>
      </text>
    </comment>
    <comment ref="AE255" authorId="0">
      <text>
        <r>
          <rPr>
            <sz val="9"/>
            <color indexed="81"/>
            <rFont val="Tahoma"/>
            <family val="2"/>
          </rPr>
          <t>10A04 : Organisation de la maintenance applicative</t>
        </r>
      </text>
    </comment>
    <comment ref="J256" authorId="0">
      <text>
        <r>
          <rPr>
            <sz val="9"/>
            <color indexed="81"/>
            <rFont val="Tahoma"/>
            <family val="2"/>
          </rPr>
          <t>01E01 : Prise en compte des besoins de continuité de l'activité</t>
        </r>
      </text>
    </comment>
    <comment ref="M256" authorId="0">
      <text>
        <r>
          <rPr>
            <sz val="9"/>
            <color indexed="81"/>
            <rFont val="Tahoma"/>
            <family val="2"/>
          </rPr>
          <t>01E02 : Plans de continuité de l'activité</t>
        </r>
      </text>
    </comment>
    <comment ref="P256" authorId="0">
      <text>
        <r>
          <rPr>
            <sz val="9"/>
            <color indexed="81"/>
            <rFont val="Tahoma"/>
            <family val="2"/>
          </rPr>
          <t xml:space="preserve">03A02 : Continuité de la fourniture de l'énergie </t>
        </r>
      </text>
    </comment>
    <comment ref="S256" authorId="0">
      <text>
        <r>
          <rPr>
            <sz val="9"/>
            <color indexed="81"/>
            <rFont val="Tahoma"/>
            <family val="2"/>
          </rPr>
          <t>03A06 : Sécurité des équipements de servitude</t>
        </r>
      </text>
    </comment>
    <comment ref="V256" authorId="0">
      <text>
        <r>
          <rPr>
            <sz val="9"/>
            <color indexed="81"/>
            <rFont val="Tahoma"/>
            <family val="2"/>
          </rPr>
          <t>07D01 : Sûreté de fonctionnement des éléments d'architecture</t>
        </r>
      </text>
    </comment>
    <comment ref="Y256" authorId="0">
      <text>
        <r>
          <rPr>
            <sz val="9"/>
            <color indexed="81"/>
            <rFont val="Tahoma"/>
            <family val="2"/>
          </rPr>
          <t>08D04 : Sauvegarde des configurations logicielles (logiciels de base et applicatifs et paramètres de configuration)</t>
        </r>
      </text>
    </comment>
    <comment ref="AB256" authorId="0">
      <text>
        <r>
          <rPr>
            <sz val="9"/>
            <color indexed="81"/>
            <rFont val="Tahoma"/>
            <family val="2"/>
          </rPr>
          <t>08D06 : Plans de Reprise d'Activité des services informatiques</t>
        </r>
      </text>
    </comment>
    <comment ref="AE256" authorId="0">
      <text>
        <r>
          <rPr>
            <sz val="9"/>
            <color indexed="81"/>
            <rFont val="Tahoma"/>
            <family val="2"/>
          </rPr>
          <t>09E01 : Reconfiguration matérielle</t>
        </r>
      </text>
    </comment>
    <comment ref="AH256" authorId="0">
      <text>
        <r>
          <rPr>
            <sz val="9"/>
            <color indexed="81"/>
            <rFont val="Tahoma"/>
            <family val="2"/>
          </rPr>
          <t>09E02 : Plans de Continuité des processus applicatifs</t>
        </r>
      </text>
    </comment>
    <comment ref="J258" authorId="0">
      <text>
        <r>
          <rPr>
            <sz val="9"/>
            <color indexed="81"/>
            <rFont val="Tahoma"/>
            <family val="2"/>
          </rPr>
          <t xml:space="preserve">12A03 : Contrôle des opérations de maintenance </t>
        </r>
      </text>
    </comment>
    <comment ref="M258" authorId="0">
      <text>
        <r>
          <rPr>
            <sz val="9"/>
            <color indexed="81"/>
            <rFont val="Tahoma"/>
            <family val="2"/>
          </rPr>
          <t>12E02 : Authentification et contrôle des droits d'accès des administrateurs et personnels d'exploitation</t>
        </r>
      </text>
    </comment>
    <comment ref="P258" authorId="0">
      <text>
        <r>
          <rPr>
            <sz val="9"/>
            <color indexed="81"/>
            <rFont val="Tahoma"/>
            <family val="2"/>
          </rPr>
          <t>12E03 : Surveillance des actions d'administration des équipements et des systèmes</t>
        </r>
      </text>
    </comment>
    <comment ref="J259" authorId="0">
      <text>
        <r>
          <rPr>
            <sz val="9"/>
            <color indexed="81"/>
            <rFont val="Tahoma"/>
            <family val="2"/>
          </rPr>
          <t>12A02 : Contrôle de la mise en production de nouveaux systèmes ou d'évolutions de systèmes existants</t>
        </r>
      </text>
    </comment>
    <comment ref="M259" authorId="0">
      <text>
        <r>
          <rPr>
            <sz val="9"/>
            <color indexed="81"/>
            <rFont val="Tahoma"/>
            <family val="2"/>
          </rPr>
          <t>12B01 : Paramétrage des équipements et contrôle de la conformité des configurations</t>
        </r>
      </text>
    </comment>
    <comment ref="P259" authorId="0">
      <text>
        <r>
          <rPr>
            <sz val="9"/>
            <color indexed="81"/>
            <rFont val="Tahoma"/>
            <family val="2"/>
          </rPr>
          <t xml:space="preserve">12B02 : Contrôle de la conformité des programmes de référence </t>
        </r>
      </text>
    </comment>
    <comment ref="S259" authorId="0">
      <text>
        <r>
          <rPr>
            <sz val="9"/>
            <color indexed="81"/>
            <rFont val="Tahoma"/>
            <family val="2"/>
          </rPr>
          <t>12E01 : Gestion des attributions de droits privilégiés sur les équipements et lessystèmes (droits d'administrateur)</t>
        </r>
      </text>
    </comment>
    <comment ref="V259" authorId="0">
      <text>
        <r>
          <rPr>
            <sz val="9"/>
            <color indexed="81"/>
            <rFont val="Tahoma"/>
            <family val="2"/>
          </rPr>
          <t>12E02 : Authentification et contrôle des droits d'accès des administrateurs et personnels d'exploitation</t>
        </r>
      </text>
    </comment>
    <comment ref="J263" authorId="0">
      <text>
        <r>
          <rPr>
            <sz val="9"/>
            <color indexed="81"/>
            <rFont val="Tahoma"/>
            <family val="2"/>
          </rPr>
          <t xml:space="preserve">06A03 : Contrôle des opérations de maintenance </t>
        </r>
      </text>
    </comment>
    <comment ref="M263" authorId="0">
      <text>
        <r>
          <rPr>
            <sz val="9"/>
            <color indexed="81"/>
            <rFont val="Tahoma"/>
            <family val="2"/>
          </rPr>
          <t>06C02 : Authentification et contrôle des droits d'accès des administrateurs et personnels d'exploitation des réseaux</t>
        </r>
      </text>
    </comment>
    <comment ref="P263" authorId="0">
      <text>
        <r>
          <rPr>
            <sz val="9"/>
            <color indexed="81"/>
            <rFont val="Tahoma"/>
            <family val="2"/>
          </rPr>
          <t>06C03 : Surveillance des actions d'administration des réseaux</t>
        </r>
      </text>
    </comment>
    <comment ref="J264" authorId="0">
      <text>
        <r>
          <rPr>
            <sz val="9"/>
            <color indexed="81"/>
            <rFont val="Tahoma"/>
            <family val="2"/>
          </rPr>
          <t>06A02 : Contrôle de la mise en production de nouveaux logiciels ou matériels ou d'évolutions de logiciels ou matériels</t>
        </r>
      </text>
    </comment>
    <comment ref="M264" authorId="0">
      <text>
        <r>
          <rPr>
            <sz val="9"/>
            <color indexed="81"/>
            <rFont val="Tahoma"/>
            <family val="2"/>
          </rPr>
          <t xml:space="preserve">06B01 : Paramétrage des équipements de réseau et contrôle de la conformité des configurations </t>
        </r>
      </text>
    </comment>
    <comment ref="P264" authorId="0">
      <text>
        <r>
          <rPr>
            <sz val="9"/>
            <color indexed="81"/>
            <rFont val="Tahoma"/>
            <family val="2"/>
          </rPr>
          <t xml:space="preserve">06C01 : Gestion des droits privilégiés sur les équipements de réseau </t>
        </r>
      </text>
    </comment>
    <comment ref="S264" authorId="0">
      <text>
        <r>
          <rPr>
            <sz val="9"/>
            <color indexed="81"/>
            <rFont val="Tahoma"/>
            <family val="2"/>
          </rPr>
          <t>06C02 : Authentification et contrôle des droits d'accès des administrateurs et personnels d'exploitation des réseaux</t>
        </r>
      </text>
    </comment>
    <comment ref="J268" authorId="0">
      <text>
        <r>
          <rPr>
            <sz val="9"/>
            <color indexed="81"/>
            <rFont val="Tahoma"/>
            <family val="2"/>
          </rPr>
          <t xml:space="preserve">06A03 : Contrôle des opérations de maintenance </t>
        </r>
      </text>
    </comment>
    <comment ref="M268" authorId="0">
      <text>
        <r>
          <rPr>
            <sz val="9"/>
            <color indexed="81"/>
            <rFont val="Tahoma"/>
            <family val="2"/>
          </rPr>
          <t>06C02 : Authentification et contrôle des droits d'accès des administrateurs et personnels d'exploitation des réseaux</t>
        </r>
      </text>
    </comment>
    <comment ref="P268" authorId="0">
      <text>
        <r>
          <rPr>
            <sz val="9"/>
            <color indexed="81"/>
            <rFont val="Tahoma"/>
            <family val="2"/>
          </rPr>
          <t>06C03 : Surveillance des actions d'administration des réseaux</t>
        </r>
      </text>
    </comment>
    <comment ref="J269" authorId="0">
      <text>
        <r>
          <rPr>
            <sz val="9"/>
            <color indexed="81"/>
            <rFont val="Tahoma"/>
            <family val="2"/>
          </rPr>
          <t>06A02 : Contrôle de la mise en production de nouveaux logiciels ou matériels ou d'évolutions de logiciels ou matériels</t>
        </r>
      </text>
    </comment>
    <comment ref="M269" authorId="0">
      <text>
        <r>
          <rPr>
            <sz val="9"/>
            <color indexed="81"/>
            <rFont val="Tahoma"/>
            <family val="2"/>
          </rPr>
          <t xml:space="preserve">06B01 : Paramétrage des équipements de réseau et contrôle de la conformité des configurations </t>
        </r>
      </text>
    </comment>
    <comment ref="P269" authorId="0">
      <text>
        <r>
          <rPr>
            <sz val="9"/>
            <color indexed="81"/>
            <rFont val="Tahoma"/>
            <family val="2"/>
          </rPr>
          <t xml:space="preserve">06C01 : Gestion des droits privilégiés sur les équipements de réseau </t>
        </r>
      </text>
    </comment>
    <comment ref="S269" authorId="0">
      <text>
        <r>
          <rPr>
            <sz val="9"/>
            <color indexed="81"/>
            <rFont val="Tahoma"/>
            <family val="2"/>
          </rPr>
          <t>06C02 : Authentification et contrôle des droits d'accès des administrateurs et personnels d'exploitation des réseaux</t>
        </r>
      </text>
    </comment>
    <comment ref="J273" authorId="0">
      <text>
        <r>
          <rPr>
            <sz val="9"/>
            <color indexed="81"/>
            <rFont val="Tahoma"/>
            <family val="2"/>
          </rPr>
          <t xml:space="preserve">03B04 : Détection des intrusions dans les locaux sensibles </t>
        </r>
      </text>
    </comment>
    <comment ref="M273" authorId="0">
      <text>
        <r>
          <rPr>
            <sz val="9"/>
            <color indexed="81"/>
            <rFont val="Tahoma"/>
            <family val="2"/>
          </rPr>
          <t>03B05 : Surveillance périmétrique (surveillance des issues et des abords immédiats des locaux sensibles)</t>
        </r>
      </text>
    </comment>
    <comment ref="P273" authorId="0">
      <text>
        <r>
          <rPr>
            <sz val="9"/>
            <color indexed="81"/>
            <rFont val="Tahoma"/>
            <family val="2"/>
          </rPr>
          <t>03B06 : Surveillance des locaux sensibles</t>
        </r>
      </text>
    </comment>
    <comment ref="S273" authorId="0">
      <text>
        <r>
          <rPr>
            <sz val="9"/>
            <color indexed="81"/>
            <rFont val="Tahoma"/>
            <family val="2"/>
          </rPr>
          <t xml:space="preserve">07C02 : Enregistrement des appels aux procédures privilégiées </t>
        </r>
      </text>
    </comment>
    <comment ref="V273" authorId="0">
      <text>
        <r>
          <rPr>
            <sz val="9"/>
            <color indexed="81"/>
            <rFont val="Tahoma"/>
            <family val="2"/>
          </rPr>
          <t>08F03 : Surveillance des actions d'administration des systèmes</t>
        </r>
      </text>
    </comment>
    <comment ref="Y273" authorId="0">
      <text>
        <r>
          <rPr>
            <sz val="9"/>
            <color indexed="81"/>
            <rFont val="Tahoma"/>
            <family val="2"/>
          </rPr>
          <t>10B01 : Sécurité des processus des développements applicatifs</t>
        </r>
      </text>
    </comment>
    <comment ref="AB273" authorId="0">
      <text>
        <r>
          <rPr>
            <sz val="9"/>
            <color indexed="81"/>
            <rFont val="Tahoma"/>
            <family val="2"/>
          </rPr>
          <t>10B05 : Sécurité de la maintenance applicative</t>
        </r>
      </text>
    </comment>
    <comment ref="J274" authorId="0">
      <text>
        <r>
          <rPr>
            <sz val="9"/>
            <color indexed="81"/>
            <rFont val="Tahoma"/>
            <family val="2"/>
          </rPr>
          <t>08A03 : Contrôle de la mise en production de nouveaux systèmes ou d'évolutions de systèmes existants</t>
        </r>
      </text>
    </comment>
    <comment ref="M274" authorId="0">
      <text>
        <r>
          <rPr>
            <sz val="9"/>
            <color indexed="81"/>
            <rFont val="Tahoma"/>
            <family val="2"/>
          </rPr>
          <t xml:space="preserve">08A04 : Contrôle des opérations de maintenance </t>
        </r>
      </text>
    </comment>
    <comment ref="P274" authorId="0">
      <text>
        <r>
          <rPr>
            <sz val="9"/>
            <color indexed="81"/>
            <rFont val="Tahoma"/>
            <family val="2"/>
          </rPr>
          <t>08B01 : Paramétrage des systèmes et contrôle de la conformité des configurations systèmes</t>
        </r>
      </text>
    </comment>
    <comment ref="S274" authorId="0">
      <text>
        <r>
          <rPr>
            <sz val="9"/>
            <color indexed="81"/>
            <rFont val="Tahoma"/>
            <family val="2"/>
          </rPr>
          <t>08B02 : Contrôle de la conformité des configurations applicatives (logiciels et progiciels)</t>
        </r>
      </text>
    </comment>
    <comment ref="V274" authorId="0">
      <text>
        <r>
          <rPr>
            <sz val="9"/>
            <color indexed="81"/>
            <rFont val="Tahoma"/>
            <family val="2"/>
          </rPr>
          <t>08B03 : Contrôle de la conformité des programmes de référence (Sources et exécutables)</t>
        </r>
      </text>
    </comment>
    <comment ref="Y274" authorId="0">
      <text>
        <r>
          <rPr>
            <sz val="9"/>
            <color indexed="81"/>
            <rFont val="Tahoma"/>
            <family val="2"/>
          </rPr>
          <t>08C02 : Marquage des supports de production (vivants, sauvegardes et archives)</t>
        </r>
      </text>
    </comment>
    <comment ref="AB274" authorId="0">
      <text>
        <r>
          <rPr>
            <sz val="9"/>
            <color indexed="81"/>
            <rFont val="Tahoma"/>
            <family val="2"/>
          </rPr>
          <t>09A05 : Authentification de l'application lors des accès à des applications sensibles</t>
        </r>
      </text>
    </comment>
    <comment ref="AE274" authorId="0">
      <text>
        <r>
          <rPr>
            <sz val="9"/>
            <color indexed="81"/>
            <rFont val="Tahoma"/>
            <family val="2"/>
          </rPr>
          <t>09B05 : Contrôles permanents  (vraisemblance, ...) sur les traitements</t>
        </r>
      </text>
    </comment>
    <comment ref="AH274" authorId="0">
      <text>
        <r>
          <rPr>
            <sz val="9"/>
            <color indexed="81"/>
            <rFont val="Tahoma"/>
            <family val="2"/>
          </rPr>
          <t>10B01 : Sécurité des processus des développements applicatifs</t>
        </r>
      </text>
    </comment>
    <comment ref="AK274" authorId="0">
      <text>
        <r>
          <rPr>
            <sz val="9"/>
            <color indexed="81"/>
            <rFont val="Tahoma"/>
            <family val="2"/>
          </rPr>
          <t>10B05 : Sécurité de la maintenance applicative</t>
        </r>
      </text>
    </comment>
    <comment ref="J275" authorId="0">
      <text>
        <r>
          <rPr>
            <sz val="9"/>
            <color indexed="81"/>
            <rFont val="Tahoma"/>
            <family val="2"/>
          </rPr>
          <t>03B01 : Gestion des droits d'accès aux locaux sensibles</t>
        </r>
      </text>
    </comment>
    <comment ref="M275" authorId="0">
      <text>
        <r>
          <rPr>
            <sz val="9"/>
            <color indexed="81"/>
            <rFont val="Tahoma"/>
            <family val="2"/>
          </rPr>
          <t>03B02 : Gestion des autorisations d'accès aux locaux sensibles</t>
        </r>
      </text>
    </comment>
    <comment ref="P275" authorId="0">
      <text>
        <r>
          <rPr>
            <sz val="9"/>
            <color indexed="81"/>
            <rFont val="Tahoma"/>
            <family val="2"/>
          </rPr>
          <t>03B03 : Contrôle des accès aux locaux sensibles</t>
        </r>
      </text>
    </comment>
    <comment ref="S275" authorId="0">
      <text>
        <r>
          <rPr>
            <sz val="9"/>
            <color indexed="81"/>
            <rFont val="Tahoma"/>
            <family val="2"/>
          </rPr>
          <t>07A01 : Gestion des profils d'accès (droits et privilèges accordés en fonction des profils de fonction)</t>
        </r>
      </text>
    </comment>
    <comment ref="V275" authorId="0">
      <text>
        <r>
          <rPr>
            <sz val="9"/>
            <color indexed="81"/>
            <rFont val="Tahoma"/>
            <family val="2"/>
          </rPr>
          <t>07A02 : Gestion des autorisations d'accès et privilèges (attribution, délégation, retrait)</t>
        </r>
      </text>
    </comment>
    <comment ref="Y275" authorId="0">
      <text>
        <r>
          <rPr>
            <sz val="9"/>
            <color indexed="81"/>
            <rFont val="Tahoma"/>
            <family val="2"/>
          </rPr>
          <t>07A03 : Authentification de l'utilisateur ou de l'entité demandant un accès</t>
        </r>
      </text>
    </comment>
    <comment ref="AB275" authorId="0">
      <text>
        <r>
          <rPr>
            <sz val="9"/>
            <color indexed="81"/>
            <rFont val="Tahoma"/>
            <family val="2"/>
          </rPr>
          <t>07A04 : Filtrage des accès et gestion des associations</t>
        </r>
      </text>
    </comment>
    <comment ref="AE275" authorId="0">
      <text>
        <r>
          <rPr>
            <sz val="9"/>
            <color indexed="81"/>
            <rFont val="Tahoma"/>
            <family val="2"/>
          </rPr>
          <t>07A05 : Authentification du serveur lors des accès à des serveurs sensibles</t>
        </r>
      </text>
    </comment>
    <comment ref="AH275" authorId="0">
      <text>
        <r>
          <rPr>
            <sz val="9"/>
            <color indexed="81"/>
            <rFont val="Tahoma"/>
            <family val="2"/>
          </rPr>
          <t>08F01 : Gestion des attributions de droits privilégiés sur les systèmes (droits d'administrateur)</t>
        </r>
      </text>
    </comment>
    <comment ref="AK275" authorId="0">
      <text>
        <r>
          <rPr>
            <sz val="9"/>
            <color indexed="81"/>
            <rFont val="Tahoma"/>
            <family val="2"/>
          </rPr>
          <t>08F02 : Authentification et contrôle des droits d'accès des administrateurs et personnels d'exploitation</t>
        </r>
      </text>
    </comment>
    <comment ref="J276" authorId="0">
      <text>
        <r>
          <rPr>
            <sz val="9"/>
            <color indexed="81"/>
            <rFont val="Tahoma"/>
            <family val="2"/>
          </rPr>
          <t>09B04 : Contrôles permanents  (vraisemblance, ...) sur les données</t>
        </r>
      </text>
    </comment>
    <comment ref="M276" authorId="0">
      <text>
        <r>
          <rPr>
            <sz val="9"/>
            <color indexed="81"/>
            <rFont val="Tahoma"/>
            <family val="2"/>
          </rPr>
          <t>09B05 : Contrôles permanents  (vraisemblance, ...) sur les traitements</t>
        </r>
      </text>
    </comment>
    <comment ref="J279" authorId="0">
      <text>
        <r>
          <rPr>
            <sz val="9"/>
            <color indexed="81"/>
            <rFont val="Tahoma"/>
            <family val="2"/>
          </rPr>
          <t xml:space="preserve">07C02 : Enregistrement des appels aux procédures privilégiées </t>
        </r>
      </text>
    </comment>
    <comment ref="M279" authorId="0">
      <text>
        <r>
          <rPr>
            <sz val="9"/>
            <color indexed="81"/>
            <rFont val="Tahoma"/>
            <family val="2"/>
          </rPr>
          <t xml:space="preserve">08A04 : Contrôle des opérations de maintenance </t>
        </r>
      </text>
    </comment>
    <comment ref="P279" authorId="0">
      <text>
        <r>
          <rPr>
            <sz val="9"/>
            <color indexed="81"/>
            <rFont val="Tahoma"/>
            <family val="2"/>
          </rPr>
          <t>08F02 : Authentification et contrôle des droits d'accès des administrateurs et personnels d'exploitation</t>
        </r>
      </text>
    </comment>
    <comment ref="S279" authorId="0">
      <text>
        <r>
          <rPr>
            <sz val="9"/>
            <color indexed="81"/>
            <rFont val="Tahoma"/>
            <family val="2"/>
          </rPr>
          <t>08F03 : Surveillance des actions d'administration des systèmes</t>
        </r>
      </text>
    </comment>
    <comment ref="J280" authorId="0">
      <text>
        <r>
          <rPr>
            <sz val="9"/>
            <color indexed="81"/>
            <rFont val="Tahoma"/>
            <family val="2"/>
          </rPr>
          <t>07A01 : Gestion des profils d'accès (droits et privilèges accordés en fonction des profils de fonction)</t>
        </r>
      </text>
    </comment>
    <comment ref="M280" authorId="0">
      <text>
        <r>
          <rPr>
            <sz val="9"/>
            <color indexed="81"/>
            <rFont val="Tahoma"/>
            <family val="2"/>
          </rPr>
          <t>07A02 : Gestion des autorisations d'accès et privilèges (attribution, délégation, retrait)</t>
        </r>
      </text>
    </comment>
    <comment ref="P280" authorId="0">
      <text>
        <r>
          <rPr>
            <sz val="9"/>
            <color indexed="81"/>
            <rFont val="Tahoma"/>
            <family val="2"/>
          </rPr>
          <t>07A03 : Authentification de l'utilisateur ou de l'entité demandant un accès</t>
        </r>
      </text>
    </comment>
    <comment ref="S280" authorId="0">
      <text>
        <r>
          <rPr>
            <sz val="9"/>
            <color indexed="81"/>
            <rFont val="Tahoma"/>
            <family val="2"/>
          </rPr>
          <t>07A04 : Filtrage des accès et gestion des associations</t>
        </r>
      </text>
    </comment>
    <comment ref="V280" authorId="0">
      <text>
        <r>
          <rPr>
            <sz val="9"/>
            <color indexed="81"/>
            <rFont val="Tahoma"/>
            <family val="2"/>
          </rPr>
          <t>08B01 : Paramétrage des systèmes et contrôle de la conformité des configurations systèmes</t>
        </r>
      </text>
    </comment>
    <comment ref="Y280" authorId="0">
      <text>
        <r>
          <rPr>
            <sz val="9"/>
            <color indexed="81"/>
            <rFont val="Tahoma"/>
            <family val="2"/>
          </rPr>
          <t>08F01 : Gestion des attributions de droits privilégiés sur les systèmes (droits d'administrateur)</t>
        </r>
      </text>
    </comment>
    <comment ref="AB280" authorId="0">
      <text>
        <r>
          <rPr>
            <sz val="9"/>
            <color indexed="81"/>
            <rFont val="Tahoma"/>
            <family val="2"/>
          </rPr>
          <t>08F02 : Authentification et contrôle des droits d'accès des administrateurs et personnels d'exploitation</t>
        </r>
      </text>
    </comment>
    <comment ref="J285" authorId="0">
      <text>
        <r>
          <rPr>
            <sz val="9"/>
            <color indexed="81"/>
            <rFont val="Tahoma"/>
            <family val="2"/>
          </rPr>
          <t xml:space="preserve">07C02 : Enregistrement des appels aux procédures privilégiées </t>
        </r>
      </text>
    </comment>
    <comment ref="M285" authorId="0">
      <text>
        <r>
          <rPr>
            <sz val="9"/>
            <color indexed="81"/>
            <rFont val="Tahoma"/>
            <family val="2"/>
          </rPr>
          <t xml:space="preserve">08A04 : Contrôle des opérations de maintenance </t>
        </r>
      </text>
    </comment>
    <comment ref="P285" authorId="0">
      <text>
        <r>
          <rPr>
            <sz val="9"/>
            <color indexed="81"/>
            <rFont val="Tahoma"/>
            <family val="2"/>
          </rPr>
          <t>08F02 : Authentification et contrôle des droits d'accès des administrateurs et personnels d'exploitation</t>
        </r>
      </text>
    </comment>
    <comment ref="S285" authorId="0">
      <text>
        <r>
          <rPr>
            <sz val="9"/>
            <color indexed="81"/>
            <rFont val="Tahoma"/>
            <family val="2"/>
          </rPr>
          <t>08F03 : Surveillance des actions d'administration des systèmes</t>
        </r>
      </text>
    </comment>
    <comment ref="J286" authorId="0">
      <text>
        <r>
          <rPr>
            <sz val="9"/>
            <color indexed="81"/>
            <rFont val="Tahoma"/>
            <family val="2"/>
          </rPr>
          <t>07A01 : Gestion des profils d'accès (droits et privilèges accordés en fonction des profils de fonction)</t>
        </r>
      </text>
    </comment>
    <comment ref="M286" authorId="0">
      <text>
        <r>
          <rPr>
            <sz val="9"/>
            <color indexed="81"/>
            <rFont val="Tahoma"/>
            <family val="2"/>
          </rPr>
          <t>07A02 : Gestion des autorisations d'accès et privilèges (attribution, délégation, retrait)</t>
        </r>
      </text>
    </comment>
    <comment ref="P286" authorId="0">
      <text>
        <r>
          <rPr>
            <sz val="9"/>
            <color indexed="81"/>
            <rFont val="Tahoma"/>
            <family val="2"/>
          </rPr>
          <t>07A03 : Authentification de l'utilisateur ou de l'entité demandant un accès</t>
        </r>
      </text>
    </comment>
    <comment ref="S286" authorId="0">
      <text>
        <r>
          <rPr>
            <sz val="9"/>
            <color indexed="81"/>
            <rFont val="Tahoma"/>
            <family val="2"/>
          </rPr>
          <t>07A04 : Filtrage des accès et gestion des associations</t>
        </r>
      </text>
    </comment>
    <comment ref="V286" authorId="0">
      <text>
        <r>
          <rPr>
            <sz val="9"/>
            <color indexed="81"/>
            <rFont val="Tahoma"/>
            <family val="2"/>
          </rPr>
          <t>08B01 : Paramétrage des systèmes et contrôle de la conformité des configurations systèmes</t>
        </r>
      </text>
    </comment>
    <comment ref="Y286" authorId="0">
      <text>
        <r>
          <rPr>
            <sz val="9"/>
            <color indexed="81"/>
            <rFont val="Tahoma"/>
            <family val="2"/>
          </rPr>
          <t>08F01 : Gestion des attributions de droits privilégiés sur les systèmes (droits d'administrateur)</t>
        </r>
      </text>
    </comment>
    <comment ref="AB286" authorId="0">
      <text>
        <r>
          <rPr>
            <sz val="9"/>
            <color indexed="81"/>
            <rFont val="Tahoma"/>
            <family val="2"/>
          </rPr>
          <t>08F02 : Authentification et contrôle des droits d'accès des administrateurs et personnels d'exploitation</t>
        </r>
      </text>
    </comment>
    <comment ref="J290" authorId="0">
      <text>
        <r>
          <rPr>
            <sz val="9"/>
            <color indexed="81"/>
            <rFont val="Tahoma"/>
            <family val="2"/>
          </rPr>
          <t xml:space="preserve">03B04 : Détection des intrusions dans les locaux sensibles </t>
        </r>
      </text>
    </comment>
    <comment ref="M290" authorId="0">
      <text>
        <r>
          <rPr>
            <sz val="9"/>
            <color indexed="81"/>
            <rFont val="Tahoma"/>
            <family val="2"/>
          </rPr>
          <t>03B05 : Surveillance périmétrique (surveillance des issues et des abords immédiats des locaux sensibles)</t>
        </r>
      </text>
    </comment>
    <comment ref="P290" authorId="0">
      <text>
        <r>
          <rPr>
            <sz val="9"/>
            <color indexed="81"/>
            <rFont val="Tahoma"/>
            <family val="2"/>
          </rPr>
          <t>03B06 : Surveillance des locaux sensibles</t>
        </r>
      </text>
    </comment>
    <comment ref="S290" authorId="0">
      <text>
        <r>
          <rPr>
            <sz val="9"/>
            <color indexed="81"/>
            <rFont val="Tahoma"/>
            <family val="2"/>
          </rPr>
          <t xml:space="preserve">07C02 : Enregistrement des appels aux procédures privilégiées </t>
        </r>
      </text>
    </comment>
    <comment ref="V290" authorId="0">
      <text>
        <r>
          <rPr>
            <sz val="9"/>
            <color indexed="81"/>
            <rFont val="Tahoma"/>
            <family val="2"/>
          </rPr>
          <t>08F03 : Surveillance des actions d'administration des systèmes</t>
        </r>
      </text>
    </comment>
    <comment ref="Y290" authorId="0">
      <text>
        <r>
          <rPr>
            <sz val="9"/>
            <color indexed="81"/>
            <rFont val="Tahoma"/>
            <family val="2"/>
          </rPr>
          <t>10B01 : Sécurité des processus des développements applicatifs</t>
        </r>
      </text>
    </comment>
    <comment ref="AB290" authorId="0">
      <text>
        <r>
          <rPr>
            <sz val="9"/>
            <color indexed="81"/>
            <rFont val="Tahoma"/>
            <family val="2"/>
          </rPr>
          <t>10B05 : Sécurité de la maintenance applicative</t>
        </r>
      </text>
    </comment>
    <comment ref="J291" authorId="0">
      <text>
        <r>
          <rPr>
            <sz val="9"/>
            <color indexed="81"/>
            <rFont val="Tahoma"/>
            <family val="2"/>
          </rPr>
          <t>08A03 : Contrôle de la mise en production de nouveaux systèmes ou d'évolutions de systèmes existants</t>
        </r>
      </text>
    </comment>
    <comment ref="M291" authorId="0">
      <text>
        <r>
          <rPr>
            <sz val="9"/>
            <color indexed="81"/>
            <rFont val="Tahoma"/>
            <family val="2"/>
          </rPr>
          <t xml:space="preserve">08A04 : Contrôle des opérations de maintenance </t>
        </r>
      </text>
    </comment>
    <comment ref="P291" authorId="0">
      <text>
        <r>
          <rPr>
            <sz val="9"/>
            <color indexed="81"/>
            <rFont val="Tahoma"/>
            <family val="2"/>
          </rPr>
          <t>08B01 : Paramétrage des systèmes et contrôle de la conformité des configurations systèmes</t>
        </r>
      </text>
    </comment>
    <comment ref="S291" authorId="0">
      <text>
        <r>
          <rPr>
            <sz val="9"/>
            <color indexed="81"/>
            <rFont val="Tahoma"/>
            <family val="2"/>
          </rPr>
          <t>08B02 : Contrôle de la conformité des configurations applicatives (logiciels et progiciels)</t>
        </r>
      </text>
    </comment>
    <comment ref="V291" authorId="0">
      <text>
        <r>
          <rPr>
            <sz val="9"/>
            <color indexed="81"/>
            <rFont val="Tahoma"/>
            <family val="2"/>
          </rPr>
          <t>08B03 : Contrôle de la conformité des programmes de référence (Sources et exécutables)</t>
        </r>
      </text>
    </comment>
    <comment ref="Y291" authorId="0">
      <text>
        <r>
          <rPr>
            <sz val="9"/>
            <color indexed="81"/>
            <rFont val="Tahoma"/>
            <family val="2"/>
          </rPr>
          <t>08C02 : Marquage des supports de production (vivants, sauvegardes et archives)</t>
        </r>
      </text>
    </comment>
    <comment ref="AB291" authorId="0">
      <text>
        <r>
          <rPr>
            <sz val="9"/>
            <color indexed="81"/>
            <rFont val="Tahoma"/>
            <family val="2"/>
          </rPr>
          <t>09A05 : Authentification de l'application lors des accès à des applications sensibles</t>
        </r>
      </text>
    </comment>
    <comment ref="AE291" authorId="0">
      <text>
        <r>
          <rPr>
            <sz val="9"/>
            <color indexed="81"/>
            <rFont val="Tahoma"/>
            <family val="2"/>
          </rPr>
          <t>09B05 : Contrôles permanents  (vraisemblance, ...) sur les traitements</t>
        </r>
      </text>
    </comment>
    <comment ref="AH291" authorId="0">
      <text>
        <r>
          <rPr>
            <sz val="9"/>
            <color indexed="81"/>
            <rFont val="Tahoma"/>
            <family val="2"/>
          </rPr>
          <t>10B01 : Sécurité des processus des développements applicatifs</t>
        </r>
      </text>
    </comment>
    <comment ref="AK291" authorId="0">
      <text>
        <r>
          <rPr>
            <sz val="9"/>
            <color indexed="81"/>
            <rFont val="Tahoma"/>
            <family val="2"/>
          </rPr>
          <t>10B05 : Sécurité de la maintenance applicative</t>
        </r>
      </text>
    </comment>
    <comment ref="J292" authorId="0">
      <text>
        <r>
          <rPr>
            <sz val="9"/>
            <color indexed="81"/>
            <rFont val="Tahoma"/>
            <family val="2"/>
          </rPr>
          <t>03B01 : Gestion des droits d'accès aux locaux sensibles</t>
        </r>
      </text>
    </comment>
    <comment ref="M292" authorId="0">
      <text>
        <r>
          <rPr>
            <sz val="9"/>
            <color indexed="81"/>
            <rFont val="Tahoma"/>
            <family val="2"/>
          </rPr>
          <t>03B02 : Gestion des autorisations d'accès aux locaux sensibles</t>
        </r>
      </text>
    </comment>
    <comment ref="P292" authorId="0">
      <text>
        <r>
          <rPr>
            <sz val="9"/>
            <color indexed="81"/>
            <rFont val="Tahoma"/>
            <family val="2"/>
          </rPr>
          <t>03B03 : Contrôle des accès aux locaux sensibles</t>
        </r>
      </text>
    </comment>
    <comment ref="S292" authorId="0">
      <text>
        <r>
          <rPr>
            <sz val="9"/>
            <color indexed="81"/>
            <rFont val="Tahoma"/>
            <family val="2"/>
          </rPr>
          <t>07A01 : Gestion des profils d'accès (droits et privilèges accordés en fonction des profils de fonction)</t>
        </r>
      </text>
    </comment>
    <comment ref="V292" authorId="0">
      <text>
        <r>
          <rPr>
            <sz val="9"/>
            <color indexed="81"/>
            <rFont val="Tahoma"/>
            <family val="2"/>
          </rPr>
          <t>07A02 : Gestion des autorisations d'accès et privilèges (attribution, délégation, retrait)</t>
        </r>
      </text>
    </comment>
    <comment ref="Y292" authorId="0">
      <text>
        <r>
          <rPr>
            <sz val="9"/>
            <color indexed="81"/>
            <rFont val="Tahoma"/>
            <family val="2"/>
          </rPr>
          <t>07A03 : Authentification de l'utilisateur ou de l'entité demandant un accès</t>
        </r>
      </text>
    </comment>
    <comment ref="AB292" authorId="0">
      <text>
        <r>
          <rPr>
            <sz val="9"/>
            <color indexed="81"/>
            <rFont val="Tahoma"/>
            <family val="2"/>
          </rPr>
          <t>07A04 : Filtrage des accès et gestion des associations</t>
        </r>
      </text>
    </comment>
    <comment ref="AE292" authorId="0">
      <text>
        <r>
          <rPr>
            <sz val="9"/>
            <color indexed="81"/>
            <rFont val="Tahoma"/>
            <family val="2"/>
          </rPr>
          <t>07A05 : Authentification du serveur lors des accès à des serveurs sensibles</t>
        </r>
      </text>
    </comment>
    <comment ref="AH292" authorId="0">
      <text>
        <r>
          <rPr>
            <sz val="9"/>
            <color indexed="81"/>
            <rFont val="Tahoma"/>
            <family val="2"/>
          </rPr>
          <t>08F01 : Gestion des attributions de droits privilégiés sur les systèmes (droits d'administrateur)</t>
        </r>
      </text>
    </comment>
    <comment ref="AK292" authorId="0">
      <text>
        <r>
          <rPr>
            <sz val="9"/>
            <color indexed="81"/>
            <rFont val="Tahoma"/>
            <family val="2"/>
          </rPr>
          <t>08F02 : Authentification et contrôle des droits d'accès des administrateurs et personnels d'exploitation</t>
        </r>
      </text>
    </comment>
    <comment ref="J293" authorId="0">
      <text>
        <r>
          <rPr>
            <sz val="9"/>
            <color indexed="81"/>
            <rFont val="Tahoma"/>
            <family val="2"/>
          </rPr>
          <t>09B04 : Contrôles permanents  (vraisemblance, ...) sur les données</t>
        </r>
      </text>
    </comment>
    <comment ref="M293" authorId="0">
      <text>
        <r>
          <rPr>
            <sz val="9"/>
            <color indexed="81"/>
            <rFont val="Tahoma"/>
            <family val="2"/>
          </rPr>
          <t>09B05 : Contrôles permanents  (vraisemblance, ...) sur les traitements</t>
        </r>
      </text>
    </comment>
    <comment ref="J296" authorId="0">
      <text>
        <r>
          <rPr>
            <sz val="9"/>
            <color indexed="81"/>
            <rFont val="Tahoma"/>
            <family val="2"/>
          </rPr>
          <t>03B06 : Surveillance des locaux sensibles</t>
        </r>
      </text>
    </comment>
    <comment ref="M296" authorId="0">
      <text>
        <r>
          <rPr>
            <sz val="9"/>
            <color indexed="81"/>
            <rFont val="Tahoma"/>
            <family val="2"/>
          </rPr>
          <t xml:space="preserve">08C03 : Sécurité physique des supports stockés sur site </t>
        </r>
      </text>
    </comment>
    <comment ref="P296" authorId="0">
      <text>
        <r>
          <rPr>
            <sz val="9"/>
            <color indexed="81"/>
            <rFont val="Tahoma"/>
            <family val="2"/>
          </rPr>
          <t>08C04 : Sécurité physique des supports externalisés (stockés dans un site externe)</t>
        </r>
      </text>
    </comment>
    <comment ref="J297" authorId="0">
      <text>
        <r>
          <rPr>
            <sz val="9"/>
            <color indexed="81"/>
            <rFont val="Tahoma"/>
            <family val="2"/>
          </rPr>
          <t>10B02 : Protection de la confidentialité des développements applicatifs</t>
        </r>
      </text>
    </comment>
    <comment ref="J298" authorId="0">
      <text>
        <r>
          <rPr>
            <sz val="9"/>
            <color indexed="81"/>
            <rFont val="Tahoma"/>
            <family val="2"/>
          </rPr>
          <t>07A01 : Gestion des profils d'accès (droits et privilèges accordés en fonction des profils de fonction)</t>
        </r>
      </text>
    </comment>
    <comment ref="M298" authorId="0">
      <text>
        <r>
          <rPr>
            <sz val="9"/>
            <color indexed="81"/>
            <rFont val="Tahoma"/>
            <family val="2"/>
          </rPr>
          <t>07A02 : Gestion des autorisations d'accès et privilèges (attribution, délégation, retrait)</t>
        </r>
      </text>
    </comment>
    <comment ref="P298" authorId="0">
      <text>
        <r>
          <rPr>
            <sz val="9"/>
            <color indexed="81"/>
            <rFont val="Tahoma"/>
            <family val="2"/>
          </rPr>
          <t>07A03 : Authentification de l'utilisateur ou de l'entité demandant un accès</t>
        </r>
      </text>
    </comment>
    <comment ref="S298" authorId="0">
      <text>
        <r>
          <rPr>
            <sz val="9"/>
            <color indexed="81"/>
            <rFont val="Tahoma"/>
            <family val="2"/>
          </rPr>
          <t>07A04 : Filtrage des accès et gestion des associations</t>
        </r>
      </text>
    </comment>
    <comment ref="V298" authorId="0">
      <text>
        <r>
          <rPr>
            <sz val="9"/>
            <color indexed="81"/>
            <rFont val="Tahoma"/>
            <family val="2"/>
          </rPr>
          <t>09A01 : Gestion des profils d'accès aux données applicatives</t>
        </r>
      </text>
    </comment>
    <comment ref="Y298" authorId="0">
      <text>
        <r>
          <rPr>
            <sz val="9"/>
            <color indexed="81"/>
            <rFont val="Tahoma"/>
            <family val="2"/>
          </rPr>
          <t>09A02 : Gestion des autorisations d'accès aux données applicatives (attribution, délégation, retrait)</t>
        </r>
      </text>
    </comment>
    <comment ref="J301" authorId="0">
      <text>
        <r>
          <rPr>
            <sz val="9"/>
            <color indexed="81"/>
            <rFont val="Tahoma"/>
            <family val="2"/>
          </rPr>
          <t>13A04 : Contrôle de l'application de la politique relative à la Prp</t>
        </r>
      </text>
    </comment>
    <comment ref="J302" authorId="0">
      <text>
        <r>
          <rPr>
            <sz val="9"/>
            <color indexed="81"/>
            <rFont val="Tahoma"/>
            <family val="2"/>
          </rPr>
          <t>13A01 : Politique et directives relatives à la PRP</t>
        </r>
      </text>
    </comment>
    <comment ref="M302" authorId="0">
      <text>
        <r>
          <rPr>
            <sz val="9"/>
            <color indexed="81"/>
            <rFont val="Tahoma"/>
            <family val="2"/>
          </rPr>
          <t>13A02 : Programme de formation et de sensibilisation à la PRP</t>
        </r>
      </text>
    </comment>
    <comment ref="P302" authorId="0">
      <text>
        <r>
          <rPr>
            <sz val="9"/>
            <color indexed="81"/>
            <rFont val="Tahoma"/>
            <family val="2"/>
          </rPr>
          <t>13A03 : Applicabilité de la politique relative à la Prp</t>
        </r>
      </text>
    </comment>
    <comment ref="J306" authorId="0">
      <text>
        <r>
          <rPr>
            <sz val="9"/>
            <color indexed="81"/>
            <rFont val="Tahoma"/>
            <family val="2"/>
          </rPr>
          <t>13B04 : Contrôle de l'application de la politique relative à la Communication financière</t>
        </r>
      </text>
    </comment>
    <comment ref="J307" authorId="0">
      <text>
        <r>
          <rPr>
            <sz val="9"/>
            <color indexed="81"/>
            <rFont val="Tahoma"/>
            <family val="2"/>
          </rPr>
          <t>13B01 : Politique et directives relatives à la Communication financière</t>
        </r>
      </text>
    </comment>
    <comment ref="M307" authorId="0">
      <text>
        <r>
          <rPr>
            <sz val="9"/>
            <color indexed="81"/>
            <rFont val="Tahoma"/>
            <family val="2"/>
          </rPr>
          <t>13B02 : Programme de formation et de sensibilisation à la Communication financière</t>
        </r>
      </text>
    </comment>
    <comment ref="P307" authorId="0">
      <text>
        <r>
          <rPr>
            <sz val="9"/>
            <color indexed="81"/>
            <rFont val="Tahoma"/>
            <family val="2"/>
          </rPr>
          <t>13B03 : Applicabilité de la politique relative à la Communication financière</t>
        </r>
      </text>
    </comment>
    <comment ref="J311" authorId="0">
      <text>
        <r>
          <rPr>
            <sz val="9"/>
            <color indexed="81"/>
            <rFont val="Tahoma"/>
            <family val="2"/>
          </rPr>
          <t>13C05 : Contrôle de l'application de la politique relative à la Vérification de la comptabilité informatisée</t>
        </r>
      </text>
    </comment>
    <comment ref="J312" authorId="0">
      <text>
        <r>
          <rPr>
            <sz val="9"/>
            <color indexed="81"/>
            <rFont val="Tahoma"/>
            <family val="2"/>
          </rPr>
          <t xml:space="preserve">13C01 : Conservation des données et traitements </t>
        </r>
      </text>
    </comment>
    <comment ref="M312" authorId="0">
      <text>
        <r>
          <rPr>
            <sz val="9"/>
            <color indexed="81"/>
            <rFont val="Tahoma"/>
            <family val="2"/>
          </rPr>
          <t>13C02 : Documentation des données , procédures et traitements liés à la comptabilité</t>
        </r>
      </text>
    </comment>
    <comment ref="P312" authorId="0">
      <text>
        <r>
          <rPr>
            <sz val="9"/>
            <color indexed="81"/>
            <rFont val="Tahoma"/>
            <family val="2"/>
          </rPr>
          <t>13C03 : Programme de formation et de sensibilisation aux contraintes de la Vérification de la comptabilité informatisée</t>
        </r>
      </text>
    </comment>
    <comment ref="S312" authorId="0">
      <text>
        <r>
          <rPr>
            <sz val="9"/>
            <color indexed="81"/>
            <rFont val="Tahoma"/>
            <family val="2"/>
          </rPr>
          <t>13C04 : Applicabilité de la politique relative à la Vérification de la comptabilité informatisée</t>
        </r>
      </text>
    </comment>
    <comment ref="J316" authorId="0">
      <text>
        <r>
          <rPr>
            <sz val="9"/>
            <color indexed="81"/>
            <rFont val="Tahoma"/>
            <family val="2"/>
          </rPr>
          <t xml:space="preserve">11A03 : Contrôle des licences des logiciels et progiciels </t>
        </r>
      </text>
    </comment>
    <comment ref="M316" authorId="0">
      <text>
        <r>
          <rPr>
            <sz val="9"/>
            <color indexed="81"/>
            <rFont val="Tahoma"/>
            <family val="2"/>
          </rPr>
          <t>13D04 : Contrôle de l'application de la politique relative à la Protection de la propriété intellectuelle</t>
        </r>
      </text>
    </comment>
    <comment ref="J317" authorId="0">
      <text>
        <r>
          <rPr>
            <sz val="9"/>
            <color indexed="81"/>
            <rFont val="Tahoma"/>
            <family val="2"/>
          </rPr>
          <t xml:space="preserve">11A03 : Contrôle des licences des logiciels et progiciels </t>
        </r>
      </text>
    </comment>
    <comment ref="M317" authorId="0">
      <text>
        <r>
          <rPr>
            <sz val="9"/>
            <color indexed="81"/>
            <rFont val="Tahoma"/>
            <family val="2"/>
          </rPr>
          <t>13D01 : Politique et directives relatives à la Protection de la propriété intellectuelle</t>
        </r>
      </text>
    </comment>
    <comment ref="P317" authorId="0">
      <text>
        <r>
          <rPr>
            <sz val="9"/>
            <color indexed="81"/>
            <rFont val="Tahoma"/>
            <family val="2"/>
          </rPr>
          <t>13D02 : Programme de formation et de sensibilisation à la Protection de la propriété intellectuelle</t>
        </r>
      </text>
    </comment>
    <comment ref="S317" authorId="0">
      <text>
        <r>
          <rPr>
            <sz val="9"/>
            <color indexed="81"/>
            <rFont val="Tahoma"/>
            <family val="2"/>
          </rPr>
          <t>13D03 : Applicabilité de la politique relative à la Protection de la propriété intellectuelle</t>
        </r>
      </text>
    </comment>
    <comment ref="J321" authorId="0">
      <text>
        <r>
          <rPr>
            <sz val="9"/>
            <color indexed="81"/>
            <rFont val="Tahoma"/>
            <family val="2"/>
          </rPr>
          <t xml:space="preserve">13E04 : Contrôle de l'application de la politique relative à la Protection des systèmes informatisés </t>
        </r>
      </text>
    </comment>
    <comment ref="J322" authorId="0">
      <text>
        <r>
          <rPr>
            <sz val="9"/>
            <color indexed="81"/>
            <rFont val="Tahoma"/>
            <family val="2"/>
          </rPr>
          <t xml:space="preserve">13E01 : Politique et directives relatives à la Protection des systèmes informatisés </t>
        </r>
      </text>
    </comment>
    <comment ref="M322" authorId="0">
      <text>
        <r>
          <rPr>
            <sz val="9"/>
            <color indexed="81"/>
            <rFont val="Tahoma"/>
            <family val="2"/>
          </rPr>
          <t xml:space="preserve">13E02 : Programme de formation et de sensibilisation à la Protection des systèmes informatisés </t>
        </r>
      </text>
    </comment>
    <comment ref="P322" authorId="0">
      <text>
        <r>
          <rPr>
            <sz val="9"/>
            <color indexed="81"/>
            <rFont val="Tahoma"/>
            <family val="2"/>
          </rPr>
          <t xml:space="preserve">13E03 : Applicabilité de la politique relative à la Protection des systèmes informatisés </t>
        </r>
      </text>
    </comment>
    <comment ref="J326" authorId="0">
      <text>
        <r>
          <rPr>
            <sz val="9"/>
            <color indexed="81"/>
            <rFont val="Tahoma"/>
            <family val="2"/>
          </rPr>
          <t xml:space="preserve">13F04 : Contrôle de l'application de la politique relative à la Sécurité des personnes et protection de l'environnement </t>
        </r>
      </text>
    </comment>
    <comment ref="J327" authorId="0">
      <text>
        <r>
          <rPr>
            <sz val="9"/>
            <color indexed="81"/>
            <rFont val="Tahoma"/>
            <family val="2"/>
          </rPr>
          <t xml:space="preserve">13F01 : Politique et directives relatives à la sécurité des personnes et à la protection de l'environnement </t>
        </r>
      </text>
    </comment>
    <comment ref="M327" authorId="0">
      <text>
        <r>
          <rPr>
            <sz val="9"/>
            <color indexed="81"/>
            <rFont val="Tahoma"/>
            <family val="2"/>
          </rPr>
          <t xml:space="preserve">13F02 : Programme de formation et de sensibilisation à la Sécurité des personnes et à la protection de l'environnement </t>
        </r>
      </text>
    </comment>
    <comment ref="P327" authorId="0">
      <text>
        <r>
          <rPr>
            <sz val="9"/>
            <color indexed="81"/>
            <rFont val="Tahoma"/>
            <family val="2"/>
          </rPr>
          <t xml:space="preserve">13F03 : Applicabilité de la politique relative à la Sécurité des personnes et protection de l'environnement </t>
        </r>
      </text>
    </comment>
    <comment ref="I332" authorId="2">
      <text>
        <r>
          <rPr>
            <b/>
            <sz val="8"/>
            <color indexed="81"/>
            <rFont val="Tahoma"/>
            <family val="2"/>
          </rPr>
          <t>Nombre de décisions mis à 1</t>
        </r>
      </text>
    </comment>
  </commentList>
</comments>
</file>

<file path=xl/comments26.xml><?xml version="1.0" encoding="utf-8"?>
<comments xmlns="http://schemas.openxmlformats.org/spreadsheetml/2006/main">
  <authors>
    <author>Jean Louis Roule</author>
    <author>roule</author>
    <author>Jean-Philippe Jouas</author>
  </authors>
  <commentList>
    <comment ref="K3" authorId="0">
      <text>
        <r>
          <rPr>
            <b/>
            <sz val="9"/>
            <color indexed="81"/>
            <rFont val="Arial"/>
            <family val="2"/>
          </rPr>
          <t>Nom du projet</t>
        </r>
      </text>
    </comment>
    <comment ref="AY3" authorId="1">
      <text>
        <r>
          <rPr>
            <b/>
            <sz val="9"/>
            <color indexed="81"/>
            <rFont val="Tahoma"/>
            <family val="2"/>
          </rPr>
          <t>à la fin de tous les projets</t>
        </r>
      </text>
    </comment>
    <comment ref="AZ3" authorId="1">
      <text>
        <r>
          <rPr>
            <b/>
            <sz val="9"/>
            <color indexed="81"/>
            <rFont val="Tahoma"/>
            <family val="2"/>
          </rPr>
          <t xml:space="preserve">besoin additionnel / décisions de plans_action </t>
        </r>
      </text>
    </comment>
    <comment ref="J4" authorId="2">
      <text>
        <r>
          <rPr>
            <b/>
            <sz val="8"/>
            <color indexed="81"/>
            <rFont val="Tahoma"/>
            <family val="2"/>
          </rPr>
          <t>Date de référence pour la simulation, au format aa mm</t>
        </r>
      </text>
    </comment>
    <comment ref="K4" authorId="0">
      <text>
        <r>
          <rPr>
            <b/>
            <sz val="9"/>
            <color indexed="81"/>
            <rFont val="Arial"/>
            <family val="2"/>
          </rPr>
          <t>date de fin du projet</t>
        </r>
      </text>
    </comment>
    <comment ref="J6" authorId="0">
      <text>
        <r>
          <rPr>
            <b/>
            <sz val="9"/>
            <color indexed="81"/>
            <rFont val="Arial"/>
            <family val="2"/>
          </rPr>
          <t>Qualité du service à la date cible</t>
        </r>
      </text>
    </comment>
    <comment ref="K390" authorId="0">
      <text>
        <r>
          <rPr>
            <b/>
            <sz val="9"/>
            <color indexed="81"/>
            <rFont val="Arial"/>
            <family val="2"/>
          </rPr>
          <t>Responsable du projet</t>
        </r>
      </text>
    </comment>
  </commentList>
</comments>
</file>

<file path=xl/sharedStrings.xml><?xml version="1.0" encoding="utf-8"?>
<sst xmlns="http://schemas.openxmlformats.org/spreadsheetml/2006/main" count="25450" uniqueCount="7732">
  <si>
    <t>Toute inhibition ou mise à l'arrêt des équipements et appareils (sondes) assurant la détection de surcharge et le rééquilibrage du réseau étendu est-elle signalée à un poste de surveillance ou à des administrateurs réseau ?</t>
  </si>
  <si>
    <t>04A01-09</t>
  </si>
  <si>
    <t>Procède-t-on régulièrement à des tests de performance des mécanismes de détection et de reconfiguration ?</t>
  </si>
  <si>
    <t>04A01-10</t>
  </si>
  <si>
    <t>Procède-t-on régulièrement à un audit du paramétrage des systèmes de détection et de reconfiguration ?</t>
  </si>
  <si>
    <t>04A01-11</t>
  </si>
  <si>
    <t>La mise hors service des installations d'extinction automatique est-elle signalée par un renvoi systématique à un poste permanent de surveillance ?</t>
  </si>
  <si>
    <t>03D03-09</t>
  </si>
  <si>
    <t>Existe-t-il une installation de robinets d'incendie armés (RIA) à proximité des salles ordinateurs, cette installation est-elle vérifiée périodiquement et fait-elle l'objet d'une maintenance régulière ?</t>
  </si>
  <si>
    <r>
      <t xml:space="preserve">Les clés et/ou les badges provisoires sont-ils stockés dans un coffre ou armoire résistant à l'effraction ?
</t>
    </r>
    <r>
      <rPr>
        <i/>
        <sz val="8"/>
        <rFont val="Arial"/>
        <family val="2"/>
      </rPr>
      <t>Par exemple : coffres certifiés.</t>
    </r>
  </si>
  <si>
    <r>
      <t xml:space="preserve">L'authentification fait-elle appel à des moyens infalsifiables détenus par l'utilisateur ? 
</t>
    </r>
    <r>
      <rPr>
        <i/>
        <sz val="8"/>
        <rFont val="Arial"/>
        <family val="2"/>
      </rPr>
      <t>Par exemple : carte à puce, système de reconnaissance biométrique, clef numérique, ...</t>
    </r>
  </si>
  <si>
    <t>Les locaux dans lesquels il serait possible d'effectuer un branchement parasite d'équipement sur les réseaux WAN et LAN sont-ils équipés d'un contrôle d'accès renforcé (badge nominatif, système biométrique) ?</t>
  </si>
  <si>
    <t>11C01</t>
  </si>
  <si>
    <t>07A04-08</t>
  </si>
  <si>
    <t>07A04-09</t>
  </si>
  <si>
    <t>07A04-10</t>
  </si>
  <si>
    <t>Procède-t-on à des tests périodiques de pénétration du système informatique et à des audits techniques spécialisés approfondis ?</t>
  </si>
  <si>
    <t>07B</t>
  </si>
  <si>
    <t>Confinement des environnements</t>
  </si>
  <si>
    <t>07B01-01</t>
  </si>
  <si>
    <t>01C06-04</t>
  </si>
  <si>
    <t>Ce programme a-t-il été approuvé par le responsable ou le répondant en matière de Protection des systèmes informatisés ?</t>
  </si>
  <si>
    <t>Ce programme inclut-il une formation ou une sensibilisation aux conséquences possibles de non-respect des dispositions légales en matière de Protection des systèmes informatisés ?</t>
  </si>
  <si>
    <t>Existe-t-il un recueil regroupant l'ensemble des dispositions légales ou réglementaires relatives à l'utilisation de moyens cryptologiques ?</t>
  </si>
  <si>
    <t>Existe-t-il une politique et des directives précises en matière d'utilisation de moyens cryptologiques ?</t>
  </si>
  <si>
    <t>13G01-01</t>
  </si>
  <si>
    <t>13G01-02</t>
  </si>
  <si>
    <t>13G01-03</t>
  </si>
  <si>
    <t>13G01-04</t>
  </si>
  <si>
    <t>13G01-05</t>
  </si>
  <si>
    <t>13G01-06</t>
  </si>
  <si>
    <t>Programme de formation et de sensibilisation à l'utilisation de moyens cryptologiques</t>
  </si>
  <si>
    <t>Existe-t-il un programme de sensibilisation et de formation en matière d'utilisation de moyens cryptologiques ?</t>
  </si>
  <si>
    <t>13G02</t>
  </si>
  <si>
    <t>13G02-01</t>
  </si>
  <si>
    <t xml:space="preserve">Contrôle de l'application de la politique relative à l'utilisation de moyens cryptologiques </t>
  </si>
  <si>
    <t>11A03-01:03;13D01-01:10;13D02-01:04;13D04-01</t>
  </si>
  <si>
    <t>13A01-01:06;13A02-01:04;13A04-01</t>
  </si>
  <si>
    <t>Score</t>
  </si>
  <si>
    <t>11</t>
  </si>
  <si>
    <t>10</t>
  </si>
  <si>
    <t>06A01</t>
  </si>
  <si>
    <t>05B05</t>
  </si>
  <si>
    <t xml:space="preserve">Existe-t-il un Plan de déclenchement de crise associé avec chacun de ces plans  ? </t>
  </si>
  <si>
    <t>Divulgation acccidentelle de courrier, par erreur d'adressage</t>
  </si>
  <si>
    <t>F19-MA2</t>
  </si>
  <si>
    <t>F19-ER3</t>
  </si>
  <si>
    <t>Divulgation acccidentelle de télécopie, par erreur d'adressage</t>
  </si>
  <si>
    <t>11D06-02</t>
  </si>
  <si>
    <t>11D06-03</t>
  </si>
  <si>
    <t>11D06-04</t>
  </si>
  <si>
    <t>Un analyse complète des fichiers du poste de travail est-elle régulièrement effectuée de façon automatique ?</t>
  </si>
  <si>
    <t>11D06-05</t>
  </si>
  <si>
    <t>Ces plans sont-ils régulièrement testés  (au moins une fois par an) ?</t>
  </si>
  <si>
    <t>Les systèmes d'information sont-ils couverts par un contrat d'assurance couvrant les dommages immatériels (malveillance, utilisation non autorisée des systèmes d'information, pertes accidentelles de données ou de programmes, déni de service, etc.) ?</t>
  </si>
  <si>
    <t>01D02-02</t>
  </si>
  <si>
    <t>Ce contrat couvre-t-il l'ensemble des systèmes informatiques (systèmes internes, intranet, extranet, sites Web, etc.) ?</t>
  </si>
  <si>
    <t>01D02-03</t>
  </si>
  <si>
    <t>La procédure précédente (ou le document équivalent) couvre-t-elle la remise en cause et la suppression de tous les droits d'accès aux diverses parties du système d'information ?</t>
  </si>
  <si>
    <t>8.3.3</t>
  </si>
  <si>
    <t>01B01-11</t>
  </si>
  <si>
    <t>07</t>
  </si>
  <si>
    <t>Marquage des supports de production (vivants, sauvegardes et archives)</t>
  </si>
  <si>
    <t>08C03</t>
  </si>
  <si>
    <t>01C01-04</t>
  </si>
  <si>
    <t>Mise en oeuvre du plan de traitement des risques</t>
  </si>
  <si>
    <t>A-t-on mis en œuvre le plan de traitement des risques ?</t>
  </si>
  <si>
    <t>Cette mise en œuvre couvre-t-elle l'ensemble du plan de traitement des risques ?</t>
  </si>
  <si>
    <t>Cette mise en œuvre couvre-t-elle effectivement l'ensemble des objectifs et mesures de sécurité définis dans la phase d'établissement du SMSI (étape d'appréciation du risque) ?</t>
  </si>
  <si>
    <t>Ce plan définit-il des objectifs de réalisation des mesures décidées (dates, niveaux de réduction à atteindre) ?</t>
  </si>
  <si>
    <t>A-t-on défini un ensemble de règles pour qu'une entité puisse être connectée au réseau étendu considéré comme un espace de confiance ?</t>
  </si>
  <si>
    <t>04B01-02</t>
  </si>
  <si>
    <t>04B01-03</t>
  </si>
  <si>
    <t>Au sein de chaque entité connectée, existe-t-il des responsables, désignés et connus, de la sécurité de divers domaines (sécurité physique, sécurité des systèmes d'information, etc.) ?</t>
  </si>
  <si>
    <t>Le système de climatisation continue-t-il à assurer son service (maintien des conditions climatiques dans les limites spécifiées) en cas de panne simple d'un équipement (redondance suffisante des équipements, système de secours de la climatisation, etc.) ?</t>
  </si>
  <si>
    <t>03A03-04</t>
  </si>
  <si>
    <t xml:space="preserve">Un identifiant (ID) unique est-il associé à chaque utilisateur (employé, externe, etc.) pouvant avoir accès au système d'information ? </t>
  </si>
  <si>
    <t>Vérifie-t-on régulièrement la capacité du système de climatisation à assurer sa fonction, à la suite d'une panne simple d'équipement, dans les pires conditions climatiques envisageables ?</t>
  </si>
  <si>
    <t>Ce programme a-t-il été approuvé par le responsable ou le répondant en matière de Protection de la propriété intellectuelle?</t>
  </si>
  <si>
    <t>A-t-on vérifié, par une analyse de la charge moyenne et crête de chaque segment du réseau étendu, la compatibilité du réseau et de ses équipements avec cette charge et cette vérification est-elle régulièrement réactualisée ?</t>
  </si>
  <si>
    <t>04A01-04</t>
  </si>
  <si>
    <t>Cette analyse a-t-elle été complétée par une étude des capacités du réseau à assurer les communications dans tous les cas de pannes simples de liaisons ou d'équipements ?</t>
  </si>
  <si>
    <t>04A01-05</t>
  </si>
  <si>
    <t>Y a-t-il un audit régulier, au moins une fois par an, de l'ensemble des badges attribués aux diverses catégories de personnel et de la pertinence de ces autorisations d'accès ?</t>
  </si>
  <si>
    <t>03B02-10</t>
  </si>
  <si>
    <t>Le plan de sauvegarde comprend-il un plan de contrôle indiquant les différents contrôles à effectuer et leur fréquence (volumétrie, durée, relecture, etc.) ?</t>
  </si>
  <si>
    <t>Toute opération de maintenance doit-elle être conclue par une vérification systématique des paramètres d'enregistrement des événements de sécurité (événements à enregistrer, contextes des événements à enregistrer, durée de rétention, etc.) ?</t>
  </si>
  <si>
    <t>06A03-04</t>
  </si>
  <si>
    <t>L'ensemble des procédures de contrôle de la télémaintenance fait-il l'objet d'un audit régulier ?</t>
  </si>
  <si>
    <t>Gestion des procédures opérationnelles  d'exploitation des réseaux</t>
  </si>
  <si>
    <t>06A05-01</t>
  </si>
  <si>
    <t>max(04B03;04C01;09C01)</t>
  </si>
  <si>
    <t>Organisation de la maintenance des équipements du réseau étendu</t>
  </si>
  <si>
    <t>04A04</t>
  </si>
  <si>
    <t>Procédures et plans de reprise du réseau étendu sur incidents</t>
  </si>
  <si>
    <t>04A05</t>
  </si>
  <si>
    <t xml:space="preserve">Plan de sauvegarde des configurations du réseau étendu </t>
  </si>
  <si>
    <t>04A06</t>
  </si>
  <si>
    <t>03B04-03</t>
  </si>
  <si>
    <t>Contrôle de l'application de la politique relative à la Vérification de la comptabilité informatisée</t>
  </si>
  <si>
    <t>C04-E02</t>
  </si>
  <si>
    <t>C04-E03</t>
  </si>
  <si>
    <t>C04-E04</t>
  </si>
  <si>
    <t>C05-E01</t>
  </si>
  <si>
    <t>C05-E02</t>
  </si>
  <si>
    <t>C05-E03</t>
  </si>
  <si>
    <t>C05-E04</t>
  </si>
  <si>
    <t>C06-E01</t>
  </si>
  <si>
    <t>C06-E02</t>
  </si>
  <si>
    <t>C06-E03</t>
  </si>
  <si>
    <t>C06-E04</t>
  </si>
  <si>
    <t>02B01-01:03;03C01-01;03C02-01:03;03D01-01;03D02-01;03D03-06</t>
  </si>
  <si>
    <t>Données applicatives isolées, en transit Messages</t>
  </si>
  <si>
    <t>Données applicatives (bases de données)</t>
  </si>
  <si>
    <t>Services bureautiques communs</t>
  </si>
  <si>
    <t>Services généraux environ-nement de travail</t>
  </si>
  <si>
    <r>
      <t xml:space="preserve">Le système de contrôle d'accès garantit-il un contrôle exhaustif de toute personne entrant dans les locaux ? 
</t>
    </r>
    <r>
      <rPr>
        <i/>
        <sz val="8"/>
        <rFont val="Arial"/>
        <family val="2"/>
      </rPr>
      <t>Par exemple, sas ne permettant le passage que d'une personne à la fois, processus interdisant l'utilisation du même badge par plusieurs personnes, etc.</t>
    </r>
  </si>
  <si>
    <t>01B03</t>
  </si>
  <si>
    <t>Classification les ressources</t>
  </si>
  <si>
    <t>PR.N.Nav</t>
  </si>
  <si>
    <t>MA.L.Cfg</t>
  </si>
  <si>
    <t>Effacement volontaire ou polllution massive de configurations systèmes</t>
  </si>
  <si>
    <t>Cfg</t>
  </si>
  <si>
    <t>La solution de secours est-elle utilisable pour une durée illimitée ou, à défaut, est-il prévu une deuxième solution venant en remplacement de la première après un temps déterminé ?</t>
  </si>
  <si>
    <t>L'existence, la pertinence et la mise à jour des plans de reprise d'activité font-elles l'objet d'un audit régulier ?</t>
  </si>
  <si>
    <t>A-t-on analysé les conditions nécessaires à la mise en œuvre de la politique relative à la Prp</t>
  </si>
  <si>
    <t>A-t-on mis en place les moyens correspondants (techniques ou humains) ?</t>
  </si>
  <si>
    <t>Ce contrat assure-t-il tous les frais (réels) de réinitialisation des systèmes d'information touchés par le sinistre (frais de redémarrage et de test après redémarrage, frais de reconstitution des données, etc.) ?</t>
  </si>
  <si>
    <t>01D02-06</t>
  </si>
  <si>
    <t>01D02-07</t>
  </si>
  <si>
    <t>01D02-08</t>
  </si>
  <si>
    <t>01D02-09</t>
  </si>
  <si>
    <t>01D02-10</t>
  </si>
  <si>
    <t>01D02-11</t>
  </si>
  <si>
    <t>01D03-01</t>
  </si>
  <si>
    <t>Y a-t-il un remplacement régulier des batteries intermédiaires respectant les recommandations des fournisseurs ?</t>
  </si>
  <si>
    <t>S05-D17</t>
  </si>
  <si>
    <t>S05-D18</t>
  </si>
  <si>
    <t>S05-D19</t>
  </si>
  <si>
    <t>S05-D20</t>
  </si>
  <si>
    <t>S05-D21</t>
  </si>
  <si>
    <t>S05-D22</t>
  </si>
  <si>
    <t>S05-D23</t>
  </si>
  <si>
    <t>S05-D24</t>
  </si>
  <si>
    <t>S05-D25</t>
  </si>
  <si>
    <t>S05-D26</t>
  </si>
  <si>
    <t>S05-D27</t>
  </si>
  <si>
    <t>S05-D28</t>
  </si>
  <si>
    <t>S05-D29</t>
  </si>
  <si>
    <t>S05-D30</t>
  </si>
  <si>
    <t>S05-D31</t>
  </si>
  <si>
    <t>S05-D32</t>
  </si>
  <si>
    <t>S05-D33</t>
  </si>
  <si>
    <t>S05-D34</t>
  </si>
  <si>
    <t>S05-D35</t>
  </si>
  <si>
    <t>S05-D36</t>
  </si>
  <si>
    <t>S05-D37</t>
  </si>
  <si>
    <t>S05-D38</t>
  </si>
  <si>
    <t>S05-D39</t>
  </si>
  <si>
    <t>S05-D40</t>
  </si>
  <si>
    <t>S05-D41</t>
  </si>
  <si>
    <t>S05-D42</t>
  </si>
  <si>
    <t>S05-D43</t>
  </si>
  <si>
    <t>S05-D44</t>
  </si>
  <si>
    <t>S05-D45</t>
  </si>
  <si>
    <t>S05-D46</t>
  </si>
  <si>
    <t>S05-D47</t>
  </si>
  <si>
    <t>S05-D48</t>
  </si>
  <si>
    <t>S05-D49</t>
  </si>
  <si>
    <t>S05-D50</t>
  </si>
  <si>
    <t>S05-D51</t>
  </si>
  <si>
    <t>S05-D52</t>
  </si>
  <si>
    <t>S05-D53</t>
  </si>
  <si>
    <t>S05-D54</t>
  </si>
  <si>
    <t>S05-D55</t>
  </si>
  <si>
    <t>S05-D56</t>
  </si>
  <si>
    <t>S05-D57</t>
  </si>
  <si>
    <t>S05-D58</t>
  </si>
  <si>
    <t>S05-D59</t>
  </si>
  <si>
    <t>S05-D60</t>
  </si>
  <si>
    <t>S05-D61</t>
  </si>
  <si>
    <t>S05-D62</t>
  </si>
  <si>
    <t>G02-I01</t>
  </si>
  <si>
    <t>G02-I02</t>
  </si>
  <si>
    <t>G02-I03</t>
  </si>
  <si>
    <t>G02-I04</t>
  </si>
  <si>
    <t>G02-I05</t>
  </si>
  <si>
    <t>G02-I06</t>
  </si>
  <si>
    <t>R01-I01</t>
  </si>
  <si>
    <t>R01-I02</t>
  </si>
  <si>
    <t>R01-I03</t>
  </si>
  <si>
    <t>R01-I04</t>
  </si>
  <si>
    <t>R01-I05</t>
  </si>
  <si>
    <t>R02-I01</t>
  </si>
  <si>
    <t>R02-I02</t>
  </si>
  <si>
    <t>R02-I03</t>
  </si>
  <si>
    <t>R02-I04</t>
  </si>
  <si>
    <t>R02-I05</t>
  </si>
  <si>
    <t>S01-I01</t>
  </si>
  <si>
    <t>S01-I02</t>
  </si>
  <si>
    <t>S01-I03</t>
  </si>
  <si>
    <t>S01-I04</t>
  </si>
  <si>
    <t>S01-I05</t>
  </si>
  <si>
    <t>S01-I06</t>
  </si>
  <si>
    <t>S01-I07</t>
  </si>
  <si>
    <t>S01-I08</t>
  </si>
  <si>
    <t>S01-I09</t>
  </si>
  <si>
    <t>S01-I10</t>
  </si>
  <si>
    <t>S01-I11</t>
  </si>
  <si>
    <t>S01-I12</t>
  </si>
  <si>
    <t>S01-I13</t>
  </si>
  <si>
    <t>S01-I14</t>
  </si>
  <si>
    <t>S01-I15</t>
  </si>
  <si>
    <t>S01-I16</t>
  </si>
  <si>
    <t>S01-I17</t>
  </si>
  <si>
    <t>S01-I18</t>
  </si>
  <si>
    <t>S02-I01</t>
  </si>
  <si>
    <t>S02-I02</t>
  </si>
  <si>
    <t>S02-I03</t>
  </si>
  <si>
    <t>S02-I04</t>
  </si>
  <si>
    <t>S02-I05</t>
  </si>
  <si>
    <t>S02-I06</t>
  </si>
  <si>
    <t>S02-I07</t>
  </si>
  <si>
    <t>S02-I08</t>
  </si>
  <si>
    <t>S02-I09</t>
  </si>
  <si>
    <t>S04-I01</t>
  </si>
  <si>
    <t>S04-I02</t>
  </si>
  <si>
    <t>S04-I03</t>
  </si>
  <si>
    <t>S04-I04</t>
  </si>
  <si>
    <t>S04-I05</t>
  </si>
  <si>
    <t>S04-I06</t>
  </si>
  <si>
    <t>S04-I07</t>
  </si>
  <si>
    <t>S04-I08</t>
  </si>
  <si>
    <t>S04-I09</t>
  </si>
  <si>
    <t>S05-I01</t>
  </si>
  <si>
    <t>S05-I02</t>
  </si>
  <si>
    <t>S05-I03</t>
  </si>
  <si>
    <t>S05-I04</t>
  </si>
  <si>
    <t>S05-I05</t>
  </si>
  <si>
    <t>S05-I06</t>
  </si>
  <si>
    <t>S05-I07</t>
  </si>
  <si>
    <t>S05-I08</t>
  </si>
  <si>
    <t>S05-I09</t>
  </si>
  <si>
    <t>S05-I10</t>
  </si>
  <si>
    <t>S05-I11</t>
  </si>
  <si>
    <t>S05-I12</t>
  </si>
  <si>
    <t>S05-I13</t>
  </si>
  <si>
    <t>S05-I14</t>
  </si>
  <si>
    <t>S05-I15</t>
  </si>
  <si>
    <t>S05-I16</t>
  </si>
  <si>
    <t>S05-I17</t>
  </si>
  <si>
    <t>S05-I18</t>
  </si>
  <si>
    <t>S01-C01</t>
  </si>
  <si>
    <t>S01-C02</t>
  </si>
  <si>
    <t>S01-C03</t>
  </si>
  <si>
    <t>S01-C04</t>
  </si>
  <si>
    <t>S01-C05</t>
  </si>
  <si>
    <t>S01-C06</t>
  </si>
  <si>
    <t>S01-C07</t>
  </si>
  <si>
    <t>S01-C08</t>
  </si>
  <si>
    <t>S01-C09</t>
  </si>
  <si>
    <t>S01-C10</t>
  </si>
  <si>
    <t>S01-C11</t>
  </si>
  <si>
    <t>S01-C12</t>
  </si>
  <si>
    <t>S01-C13</t>
  </si>
  <si>
    <t>S01-C14</t>
  </si>
  <si>
    <t>S01-C15</t>
  </si>
  <si>
    <t>S01-C16</t>
  </si>
  <si>
    <t>C01-E01</t>
  </si>
  <si>
    <t>C01-E02</t>
  </si>
  <si>
    <t>C01-E03</t>
  </si>
  <si>
    <t>C01-E04</t>
  </si>
  <si>
    <t>C02-E01</t>
  </si>
  <si>
    <t>C02-E02</t>
  </si>
  <si>
    <t>C02-E03</t>
  </si>
  <si>
    <t>C02-E04</t>
  </si>
  <si>
    <t>C03-E01</t>
  </si>
  <si>
    <t>C03-E02</t>
  </si>
  <si>
    <t>C03-E03</t>
  </si>
  <si>
    <t>C03-E04</t>
  </si>
  <si>
    <t>C04-E01</t>
  </si>
  <si>
    <t>S02-D07</t>
  </si>
  <si>
    <t>S02-D08</t>
  </si>
  <si>
    <t>S02-D09</t>
  </si>
  <si>
    <t>S02-D10</t>
  </si>
  <si>
    <t>S02-D11</t>
  </si>
  <si>
    <t>S02-D12</t>
  </si>
  <si>
    <t>S02-D13</t>
  </si>
  <si>
    <t>S02-D14</t>
  </si>
  <si>
    <t>S02-D15</t>
  </si>
  <si>
    <t>S02-D16</t>
  </si>
  <si>
    <t>S02-D17</t>
  </si>
  <si>
    <t>S02-D18</t>
  </si>
  <si>
    <t>S02-D19</t>
  </si>
  <si>
    <t>S02-D20</t>
  </si>
  <si>
    <t>S02-D21</t>
  </si>
  <si>
    <t>S02-D22</t>
  </si>
  <si>
    <t>S02-D23</t>
  </si>
  <si>
    <t>S02-D24</t>
  </si>
  <si>
    <t>S02-D25</t>
  </si>
  <si>
    <t>S02-D26</t>
  </si>
  <si>
    <t>S02-D27</t>
  </si>
  <si>
    <t>S02-D28</t>
  </si>
  <si>
    <t>S02-D29</t>
  </si>
  <si>
    <t>S02-D30</t>
  </si>
  <si>
    <t>S02-D31</t>
  </si>
  <si>
    <t>S02-D32</t>
  </si>
  <si>
    <t>S02-D33</t>
  </si>
  <si>
    <t>S02-D34</t>
  </si>
  <si>
    <t>S02-D35</t>
  </si>
  <si>
    <t>S02-D36</t>
  </si>
  <si>
    <t>S02-D37</t>
  </si>
  <si>
    <t>S02-D38</t>
  </si>
  <si>
    <t>S02-D39</t>
  </si>
  <si>
    <t>S02-D40</t>
  </si>
  <si>
    <t>S02-D41</t>
  </si>
  <si>
    <t>S02-D42</t>
  </si>
  <si>
    <t>S02-D43</t>
  </si>
  <si>
    <t>S02-D44</t>
  </si>
  <si>
    <t>S02-D45</t>
  </si>
  <si>
    <t>S02-D46</t>
  </si>
  <si>
    <t>S02-D47</t>
  </si>
  <si>
    <t>S02-D48</t>
  </si>
  <si>
    <t>S02-D49</t>
  </si>
  <si>
    <t>S02-D50</t>
  </si>
  <si>
    <t>S02-D51</t>
  </si>
  <si>
    <t>S02-D52</t>
  </si>
  <si>
    <t>S02-D53</t>
  </si>
  <si>
    <t>S02-D54</t>
  </si>
  <si>
    <t>S02-D55</t>
  </si>
  <si>
    <t>S02-D56</t>
  </si>
  <si>
    <t>S02-D57</t>
  </si>
  <si>
    <t>S02-D58</t>
  </si>
  <si>
    <t>S02-D59</t>
  </si>
  <si>
    <t>S02-D60</t>
  </si>
  <si>
    <t>S02-D61</t>
  </si>
  <si>
    <t>S03-D01</t>
  </si>
  <si>
    <t>S03-D02</t>
  </si>
  <si>
    <t>S03-D03</t>
  </si>
  <si>
    <t>S03-D04</t>
  </si>
  <si>
    <t>S03-D05</t>
  </si>
  <si>
    <t>S03-D06</t>
  </si>
  <si>
    <t>S03-D07</t>
  </si>
  <si>
    <t>S03-D08</t>
  </si>
  <si>
    <t>S03-D09</t>
  </si>
  <si>
    <t>S03-D10</t>
  </si>
  <si>
    <t>S03-D11</t>
  </si>
  <si>
    <t>S03-D12</t>
  </si>
  <si>
    <t>S04-D01</t>
  </si>
  <si>
    <t>S04-D02</t>
  </si>
  <si>
    <t>S04-D03</t>
  </si>
  <si>
    <t>S04-D04</t>
  </si>
  <si>
    <t>S04-D05</t>
  </si>
  <si>
    <t>S04-D06</t>
  </si>
  <si>
    <t>S04-D07</t>
  </si>
  <si>
    <t>S04-D08</t>
  </si>
  <si>
    <t>S04-D09</t>
  </si>
  <si>
    <t>S04-D10</t>
  </si>
  <si>
    <t>S04-D11</t>
  </si>
  <si>
    <t>S04-D12</t>
  </si>
  <si>
    <t>S04-D13</t>
  </si>
  <si>
    <t>S04-D14</t>
  </si>
  <si>
    <t>S04-D15</t>
  </si>
  <si>
    <t>S04-D16</t>
  </si>
  <si>
    <t>S04-D17</t>
  </si>
  <si>
    <t>S04-D18</t>
  </si>
  <si>
    <t>S04-D19</t>
  </si>
  <si>
    <t>S04-D20</t>
  </si>
  <si>
    <t>S04-D21</t>
  </si>
  <si>
    <t>S04-D22</t>
  </si>
  <si>
    <t>S04-D23</t>
  </si>
  <si>
    <t>S04-D24</t>
  </si>
  <si>
    <t>S04-D25</t>
  </si>
  <si>
    <t>S04-D26</t>
  </si>
  <si>
    <t>S04-D27</t>
  </si>
  <si>
    <t>S04-D28</t>
  </si>
  <si>
    <t>S04-D29</t>
  </si>
  <si>
    <t>S04-D30</t>
  </si>
  <si>
    <t>S04-D31</t>
  </si>
  <si>
    <t>S04-D32</t>
  </si>
  <si>
    <t>S04-D33</t>
  </si>
  <si>
    <t>S04-D34</t>
  </si>
  <si>
    <t>S04-D35</t>
  </si>
  <si>
    <t>S04-D36</t>
  </si>
  <si>
    <t>S04-D37</t>
  </si>
  <si>
    <t>S04-D38</t>
  </si>
  <si>
    <t>S04-D39</t>
  </si>
  <si>
    <t>S04-D40</t>
  </si>
  <si>
    <t>S04-D41</t>
  </si>
  <si>
    <t>S04-D42</t>
  </si>
  <si>
    <t>S04-D43</t>
  </si>
  <si>
    <t>S04-D44</t>
  </si>
  <si>
    <t>S04-D45</t>
  </si>
  <si>
    <t>S04-D46</t>
  </si>
  <si>
    <t>S04-D47</t>
  </si>
  <si>
    <t>S04-D48</t>
  </si>
  <si>
    <t>S04-D49</t>
  </si>
  <si>
    <t>S04-D50</t>
  </si>
  <si>
    <t>S04-D51</t>
  </si>
  <si>
    <t>S04-D52</t>
  </si>
  <si>
    <t>S04-D53</t>
  </si>
  <si>
    <t>S04-D54</t>
  </si>
  <si>
    <t>S04-D55</t>
  </si>
  <si>
    <t>S04-D56</t>
  </si>
  <si>
    <t>S04-D57</t>
  </si>
  <si>
    <t>S04-D58</t>
  </si>
  <si>
    <t>S04-D59</t>
  </si>
  <si>
    <t>S04-D60</t>
  </si>
  <si>
    <t>S04-D61</t>
  </si>
  <si>
    <t>S04-D62</t>
  </si>
  <si>
    <t>S05-D01</t>
  </si>
  <si>
    <t>S05-D02</t>
  </si>
  <si>
    <t>S05-D03</t>
  </si>
  <si>
    <t>S05-D04</t>
  </si>
  <si>
    <t>S05-D05</t>
  </si>
  <si>
    <t>S05-D06</t>
  </si>
  <si>
    <t>S05-D07</t>
  </si>
  <si>
    <t>S05-D08</t>
  </si>
  <si>
    <t>S05-D09</t>
  </si>
  <si>
    <t>S05-D10</t>
  </si>
  <si>
    <t>S05-D11</t>
  </si>
  <si>
    <t>S05-D12</t>
  </si>
  <si>
    <t>S05-D13</t>
  </si>
  <si>
    <t>S05-D14</t>
  </si>
  <si>
    <t>S05-D15</t>
  </si>
  <si>
    <t>S05-D16</t>
  </si>
  <si>
    <t>D09-C04</t>
  </si>
  <si>
    <t>D10-C02</t>
  </si>
  <si>
    <t>D10-C03</t>
  </si>
  <si>
    <t>G01-D01</t>
  </si>
  <si>
    <t>G01-D02</t>
  </si>
  <si>
    <t>G01-D03</t>
  </si>
  <si>
    <t>G01-D04</t>
  </si>
  <si>
    <t>G01-D05</t>
  </si>
  <si>
    <t>G01-D06</t>
  </si>
  <si>
    <t>G01-D07</t>
  </si>
  <si>
    <t>G01-D08</t>
  </si>
  <si>
    <t>G01-D09</t>
  </si>
  <si>
    <t>G01-D10</t>
  </si>
  <si>
    <t>G01-D11</t>
  </si>
  <si>
    <t>G01-D12</t>
  </si>
  <si>
    <t>G01-D13</t>
  </si>
  <si>
    <t>G01-D14</t>
  </si>
  <si>
    <t>G01-D15</t>
  </si>
  <si>
    <t>G01-D16</t>
  </si>
  <si>
    <t>G01-D17</t>
  </si>
  <si>
    <t>G01-D18</t>
  </si>
  <si>
    <t>R01-D01</t>
  </si>
  <si>
    <t>R01-D02</t>
  </si>
  <si>
    <t>R01-D03</t>
  </si>
  <si>
    <t>R01-D04</t>
  </si>
  <si>
    <t>R01-D05</t>
  </si>
  <si>
    <t>R01-D06</t>
  </si>
  <si>
    <t>R01-D07</t>
  </si>
  <si>
    <t>R01-D08</t>
  </si>
  <si>
    <t>R01-D09</t>
  </si>
  <si>
    <t>R01-D10</t>
  </si>
  <si>
    <t>R01-D11</t>
  </si>
  <si>
    <t>R01-D12</t>
  </si>
  <si>
    <t>R01-D13</t>
  </si>
  <si>
    <t>R01-D14</t>
  </si>
  <si>
    <t>R01-D15</t>
  </si>
  <si>
    <t>R01-D16</t>
  </si>
  <si>
    <t>R01-D17</t>
  </si>
  <si>
    <t>R01-D18</t>
  </si>
  <si>
    <t>R01-D19</t>
  </si>
  <si>
    <t>R01-D20</t>
  </si>
  <si>
    <t>R01-D21</t>
  </si>
  <si>
    <t>R01-D22</t>
  </si>
  <si>
    <t>R01-D23</t>
  </si>
  <si>
    <t>R01-D24</t>
  </si>
  <si>
    <t>R01-D25</t>
  </si>
  <si>
    <t>R01-D26</t>
  </si>
  <si>
    <t>R01-D27</t>
  </si>
  <si>
    <t>R02-D01</t>
  </si>
  <si>
    <t>R02-D02</t>
  </si>
  <si>
    <t>R02-D03</t>
  </si>
  <si>
    <t>R02-D04</t>
  </si>
  <si>
    <t>R02-D05</t>
  </si>
  <si>
    <t>R02-D06</t>
  </si>
  <si>
    <t>R02-D07</t>
  </si>
  <si>
    <t>R02-D08</t>
  </si>
  <si>
    <t>R02-D09</t>
  </si>
  <si>
    <t>R02-D10</t>
  </si>
  <si>
    <t>R02-D11</t>
  </si>
  <si>
    <t>R02-D12</t>
  </si>
  <si>
    <t>R02-D13</t>
  </si>
  <si>
    <t>R02-D14</t>
  </si>
  <si>
    <t>R02-D15</t>
  </si>
  <si>
    <t>R02-D16</t>
  </si>
  <si>
    <t>R02-D17</t>
  </si>
  <si>
    <t>R02-D18</t>
  </si>
  <si>
    <t>R02-D19</t>
  </si>
  <si>
    <t>R02-D20</t>
  </si>
  <si>
    <t>R02-D21</t>
  </si>
  <si>
    <t>R02-D22</t>
  </si>
  <si>
    <t>R02-D23</t>
  </si>
  <si>
    <t>R02-D24</t>
  </si>
  <si>
    <t>R02-D25</t>
  </si>
  <si>
    <t>R02-D26</t>
  </si>
  <si>
    <t>R02-D27</t>
  </si>
  <si>
    <t>S01-D01</t>
  </si>
  <si>
    <t>S01-D02</t>
  </si>
  <si>
    <t>S01-D03</t>
  </si>
  <si>
    <t>S01-D04</t>
  </si>
  <si>
    <t>S01-D05</t>
  </si>
  <si>
    <t>S01-D06</t>
  </si>
  <si>
    <t>S01-D07</t>
  </si>
  <si>
    <t>S01-D08</t>
  </si>
  <si>
    <t>S01-D09</t>
  </si>
  <si>
    <t>S01-D10</t>
  </si>
  <si>
    <t>S01-D11</t>
  </si>
  <si>
    <t>S01-D12</t>
  </si>
  <si>
    <t>S01-D13</t>
  </si>
  <si>
    <t>S01-D14</t>
  </si>
  <si>
    <t>S01-D15</t>
  </si>
  <si>
    <t>S01-D16</t>
  </si>
  <si>
    <t>S01-D17</t>
  </si>
  <si>
    <t>S01-D18</t>
  </si>
  <si>
    <t>S01-D19</t>
  </si>
  <si>
    <t>S01-D20</t>
  </si>
  <si>
    <t>S01-D21</t>
  </si>
  <si>
    <t>S01-D22</t>
  </si>
  <si>
    <t>S01-D23</t>
  </si>
  <si>
    <t>S01-D24</t>
  </si>
  <si>
    <t>S01-D25</t>
  </si>
  <si>
    <t>S01-D26</t>
  </si>
  <si>
    <t>S01-D27</t>
  </si>
  <si>
    <t>S01-D28</t>
  </si>
  <si>
    <t>S01-D29</t>
  </si>
  <si>
    <t>S01-D30</t>
  </si>
  <si>
    <t>S01-D31</t>
  </si>
  <si>
    <t>S01-D32</t>
  </si>
  <si>
    <t>S01-D33</t>
  </si>
  <si>
    <t>S01-D34</t>
  </si>
  <si>
    <t>S01-D35</t>
  </si>
  <si>
    <t>S01-D36</t>
  </si>
  <si>
    <t>S01-D37</t>
  </si>
  <si>
    <t>S01-D38</t>
  </si>
  <si>
    <t>S01-D39</t>
  </si>
  <si>
    <t>S01-D40</t>
  </si>
  <si>
    <t>S01-D41</t>
  </si>
  <si>
    <t>S01-D42</t>
  </si>
  <si>
    <t>S01-D43</t>
  </si>
  <si>
    <t>S01-D44</t>
  </si>
  <si>
    <t>S01-D45</t>
  </si>
  <si>
    <t>S01-D46</t>
  </si>
  <si>
    <t>S01-D47</t>
  </si>
  <si>
    <t>S01-D48</t>
  </si>
  <si>
    <t>S01-D49</t>
  </si>
  <si>
    <t>S01-D50</t>
  </si>
  <si>
    <t>S01-D51</t>
  </si>
  <si>
    <t>S01-D52</t>
  </si>
  <si>
    <t>S01-D53</t>
  </si>
  <si>
    <t>S01-D54</t>
  </si>
  <si>
    <t>S01-D55</t>
  </si>
  <si>
    <t>S01-D56</t>
  </si>
  <si>
    <t>S01-D57</t>
  </si>
  <si>
    <t>S01-D58</t>
  </si>
  <si>
    <t>S01-D59</t>
  </si>
  <si>
    <t>S01-D60</t>
  </si>
  <si>
    <t>S01-D61</t>
  </si>
  <si>
    <t>S01-D62</t>
  </si>
  <si>
    <t>S01-D63</t>
  </si>
  <si>
    <t>S01-D64</t>
  </si>
  <si>
    <t>S02-D01</t>
  </si>
  <si>
    <t>S02-D02</t>
  </si>
  <si>
    <t>S02-D03</t>
  </si>
  <si>
    <t>S02-D04</t>
  </si>
  <si>
    <t>S02-D05</t>
  </si>
  <si>
    <t>S02-D06</t>
  </si>
  <si>
    <t>D02-I07</t>
  </si>
  <si>
    <t>D02-I08</t>
  </si>
  <si>
    <t>D02-I09</t>
  </si>
  <si>
    <t>D03-I01</t>
  </si>
  <si>
    <t>D03-I02</t>
  </si>
  <si>
    <t>D03-I03</t>
  </si>
  <si>
    <t>D03-I04</t>
  </si>
  <si>
    <t>D03-I05</t>
  </si>
  <si>
    <t>D03-I06</t>
  </si>
  <si>
    <t>D03-I07</t>
  </si>
  <si>
    <t>D06-I01</t>
  </si>
  <si>
    <t>D06-I02</t>
  </si>
  <si>
    <t>D06-I03</t>
  </si>
  <si>
    <t>D06-I04</t>
  </si>
  <si>
    <t>D06-I05</t>
  </si>
  <si>
    <t>D06-I06</t>
  </si>
  <si>
    <t>D06-I07</t>
  </si>
  <si>
    <t>D06-I08</t>
  </si>
  <si>
    <t>D06-I09</t>
  </si>
  <si>
    <t>D06-I10</t>
  </si>
  <si>
    <t>D06-I11</t>
  </si>
  <si>
    <t>D06-I12</t>
  </si>
  <si>
    <t>D06-I13</t>
  </si>
  <si>
    <t>D06-I14</t>
  </si>
  <si>
    <t>D07-I01</t>
  </si>
  <si>
    <t>D07-I02</t>
  </si>
  <si>
    <t>D07-I03</t>
  </si>
  <si>
    <t>D08-I01</t>
  </si>
  <si>
    <t>D10-I01</t>
  </si>
  <si>
    <t>D10-I02</t>
  </si>
  <si>
    <t>D10-I03</t>
  </si>
  <si>
    <t>D10-I04</t>
  </si>
  <si>
    <t>D10-I05</t>
  </si>
  <si>
    <t>D11-I01</t>
  </si>
  <si>
    <t>D11-I02</t>
  </si>
  <si>
    <t>D11-I03</t>
  </si>
  <si>
    <t>D11-I04</t>
  </si>
  <si>
    <t>D11-I05</t>
  </si>
  <si>
    <t>D11-I06</t>
  </si>
  <si>
    <t>D11-I07</t>
  </si>
  <si>
    <t>D11-I08</t>
  </si>
  <si>
    <t>D11-I09</t>
  </si>
  <si>
    <t>D02-C01</t>
  </si>
  <si>
    <t>D02-C02</t>
  </si>
  <si>
    <t>D02-C03</t>
  </si>
  <si>
    <t>D02-C04</t>
  </si>
  <si>
    <t>D02-C05</t>
  </si>
  <si>
    <t>D02-C06</t>
  </si>
  <si>
    <t>D02-C07</t>
  </si>
  <si>
    <t>D02-C08</t>
  </si>
  <si>
    <t>D02-C09</t>
  </si>
  <si>
    <t>D02-C10</t>
  </si>
  <si>
    <t>D02-C11</t>
  </si>
  <si>
    <t>D02-C12</t>
  </si>
  <si>
    <t>D02-C13</t>
  </si>
  <si>
    <t>D02-C14</t>
  </si>
  <si>
    <t>D02-C15</t>
  </si>
  <si>
    <t>D02-C16</t>
  </si>
  <si>
    <t>D02-C17</t>
  </si>
  <si>
    <t>D02-C18</t>
  </si>
  <si>
    <t>D03-C01</t>
  </si>
  <si>
    <t>D03-C02</t>
  </si>
  <si>
    <t>D03-C03</t>
  </si>
  <si>
    <t>D03-C04</t>
  </si>
  <si>
    <t>D03-C05</t>
  </si>
  <si>
    <t>D03-C06</t>
  </si>
  <si>
    <t>D03-C07</t>
  </si>
  <si>
    <t>D03-C08</t>
  </si>
  <si>
    <t>D03-C09</t>
  </si>
  <si>
    <t>D03-C10</t>
  </si>
  <si>
    <t>D03-C11</t>
  </si>
  <si>
    <t>D03-C12</t>
  </si>
  <si>
    <t>D03-C13</t>
  </si>
  <si>
    <t>D03-C14</t>
  </si>
  <si>
    <t>D03-C15</t>
  </si>
  <si>
    <t>D03-C16</t>
  </si>
  <si>
    <t>D03-C17</t>
  </si>
  <si>
    <t>D04-C01</t>
  </si>
  <si>
    <t>D04-C02</t>
  </si>
  <si>
    <t>D04-C03</t>
  </si>
  <si>
    <t>D04-C04</t>
  </si>
  <si>
    <t>D04-C05</t>
  </si>
  <si>
    <t>D04-C06</t>
  </si>
  <si>
    <t>D04-C07</t>
  </si>
  <si>
    <t>D04-C08</t>
  </si>
  <si>
    <t>D04-C09</t>
  </si>
  <si>
    <t>D04-C10</t>
  </si>
  <si>
    <t>D04-C11</t>
  </si>
  <si>
    <t>D04-C12</t>
  </si>
  <si>
    <t>D05-C01</t>
  </si>
  <si>
    <t>D05-C02</t>
  </si>
  <si>
    <t>D05-C03</t>
  </si>
  <si>
    <t>D05-C04</t>
  </si>
  <si>
    <t>D05-C05</t>
  </si>
  <si>
    <t>D05-C06</t>
  </si>
  <si>
    <t>D05-C07</t>
  </si>
  <si>
    <t>D06-C01</t>
  </si>
  <si>
    <t>D06-C02</t>
  </si>
  <si>
    <t>D06-C03</t>
  </si>
  <si>
    <t>D06-C04</t>
  </si>
  <si>
    <t>D06-C05</t>
  </si>
  <si>
    <t>D06-C06</t>
  </si>
  <si>
    <t>D06-C07</t>
  </si>
  <si>
    <t>D06-C08</t>
  </si>
  <si>
    <t>D06-C09</t>
  </si>
  <si>
    <t>D06-C10</t>
  </si>
  <si>
    <t>D06-C11</t>
  </si>
  <si>
    <t>D06-C12</t>
  </si>
  <si>
    <t>D06-C13</t>
  </si>
  <si>
    <t>D06-C14</t>
  </si>
  <si>
    <t>D07-C01</t>
  </si>
  <si>
    <t>D07-C02</t>
  </si>
  <si>
    <t>D07-C03</t>
  </si>
  <si>
    <t>D07-C04</t>
  </si>
  <si>
    <t>D08-C01</t>
  </si>
  <si>
    <t>D08-C02</t>
  </si>
  <si>
    <t>D08-C03</t>
  </si>
  <si>
    <t>D08-C04</t>
  </si>
  <si>
    <t>D08-C05</t>
  </si>
  <si>
    <t>D08-C06</t>
  </si>
  <si>
    <t>D08-C07</t>
  </si>
  <si>
    <t>D09-C01</t>
  </si>
  <si>
    <t>D10-C01</t>
  </si>
  <si>
    <t>D09-C02</t>
  </si>
  <si>
    <t>D09-C03</t>
  </si>
  <si>
    <t>D02-D17</t>
  </si>
  <si>
    <t>D02-D18</t>
  </si>
  <si>
    <t>D02-D19</t>
  </si>
  <si>
    <t>D02-D20</t>
  </si>
  <si>
    <t>D02-D21</t>
  </si>
  <si>
    <t>D02-D22</t>
  </si>
  <si>
    <t>D02-D23</t>
  </si>
  <si>
    <t>D03-D01</t>
  </si>
  <si>
    <t>D03-D02</t>
  </si>
  <si>
    <t>D03-D03</t>
  </si>
  <si>
    <t>D03-D04</t>
  </si>
  <si>
    <t>D03-D05</t>
  </si>
  <si>
    <t>D03-D06</t>
  </si>
  <si>
    <t>D03-D07</t>
  </si>
  <si>
    <t>D03-D08</t>
  </si>
  <si>
    <t>D03-D09</t>
  </si>
  <si>
    <t>D03-D10</t>
  </si>
  <si>
    <t>D03-D11</t>
  </si>
  <si>
    <t>D03-D12</t>
  </si>
  <si>
    <t>D03-D13</t>
  </si>
  <si>
    <t>D03-D14</t>
  </si>
  <si>
    <t>D03-D15</t>
  </si>
  <si>
    <t>D03-D16</t>
  </si>
  <si>
    <t>D03-D17</t>
  </si>
  <si>
    <t>D03-D18</t>
  </si>
  <si>
    <t>D03-D19</t>
  </si>
  <si>
    <t>D03-D20</t>
  </si>
  <si>
    <t>D03-D21</t>
  </si>
  <si>
    <t>D03-D22</t>
  </si>
  <si>
    <t>D03-D23</t>
  </si>
  <si>
    <t>D03-D24</t>
  </si>
  <si>
    <t>D03-D25</t>
  </si>
  <si>
    <t>D03-D26</t>
  </si>
  <si>
    <t>D04-D01</t>
  </si>
  <si>
    <t>D04-D02</t>
  </si>
  <si>
    <t>D04-D03</t>
  </si>
  <si>
    <t>D04-D04</t>
  </si>
  <si>
    <t>D04-D05</t>
  </si>
  <si>
    <t>D04-D06</t>
  </si>
  <si>
    <t>D04-D07</t>
  </si>
  <si>
    <t>D04-D08</t>
  </si>
  <si>
    <t>D04-D09</t>
  </si>
  <si>
    <t>D04-D10</t>
  </si>
  <si>
    <t>D06-D01</t>
  </si>
  <si>
    <t>D06-D02</t>
  </si>
  <si>
    <t>D06-D03</t>
  </si>
  <si>
    <t>D06-D04</t>
  </si>
  <si>
    <t>D06-D05</t>
  </si>
  <si>
    <t>D06-D06</t>
  </si>
  <si>
    <t>D07-D01</t>
  </si>
  <si>
    <t>D07-D02</t>
  </si>
  <si>
    <t>D07-D03</t>
  </si>
  <si>
    <t>D07-D04</t>
  </si>
  <si>
    <t>D07-D05</t>
  </si>
  <si>
    <t>D07-D06</t>
  </si>
  <si>
    <t>D07-D07</t>
  </si>
  <si>
    <t>D07-D08</t>
  </si>
  <si>
    <t>D07-D09</t>
  </si>
  <si>
    <t>D08-D01</t>
  </si>
  <si>
    <t>D08-D02</t>
  </si>
  <si>
    <t>D08-D03</t>
  </si>
  <si>
    <t>D08-D04</t>
  </si>
  <si>
    <t>D08-D05</t>
  </si>
  <si>
    <t>D08-D06</t>
  </si>
  <si>
    <t>D08-D07</t>
  </si>
  <si>
    <t>D08-D08</t>
  </si>
  <si>
    <t>D08-D09</t>
  </si>
  <si>
    <t>D08-D10</t>
  </si>
  <si>
    <t>D08-D11</t>
  </si>
  <si>
    <t>D08-D12</t>
  </si>
  <si>
    <t>D08-D13</t>
  </si>
  <si>
    <t>D08-D14</t>
  </si>
  <si>
    <t>D09-D01</t>
  </si>
  <si>
    <t>D09-D02</t>
  </si>
  <si>
    <t>D09-D03</t>
  </si>
  <si>
    <t>D09-D04</t>
  </si>
  <si>
    <t>D09-D05</t>
  </si>
  <si>
    <t>D09-D06</t>
  </si>
  <si>
    <t>D09-D07</t>
  </si>
  <si>
    <t>D09-D08</t>
  </si>
  <si>
    <t>D09-D09</t>
  </si>
  <si>
    <t>D09-D10</t>
  </si>
  <si>
    <t>D10-D01</t>
  </si>
  <si>
    <t>D10-D02</t>
  </si>
  <si>
    <t>D10-D03</t>
  </si>
  <si>
    <t>D10-D04</t>
  </si>
  <si>
    <t>D10-D05</t>
  </si>
  <si>
    <t>D10-D06</t>
  </si>
  <si>
    <t>D10-D07</t>
  </si>
  <si>
    <t>D10-D08</t>
  </si>
  <si>
    <t>D10-D09</t>
  </si>
  <si>
    <t>D10-D10</t>
  </si>
  <si>
    <t>D10-D11</t>
  </si>
  <si>
    <t>D10-D12</t>
  </si>
  <si>
    <t>D10-D13</t>
  </si>
  <si>
    <t>D10-D14</t>
  </si>
  <si>
    <t>D10-D15</t>
  </si>
  <si>
    <t>D10-D16</t>
  </si>
  <si>
    <t>D10-D17</t>
  </si>
  <si>
    <t>D10-D18</t>
  </si>
  <si>
    <t>D11-D01</t>
  </si>
  <si>
    <t>D11-D02</t>
  </si>
  <si>
    <t>D11-D03</t>
  </si>
  <si>
    <t>D11-D04</t>
  </si>
  <si>
    <t>D11-D05</t>
  </si>
  <si>
    <t>D11-D06</t>
  </si>
  <si>
    <t>D11-D07</t>
  </si>
  <si>
    <t>D11-D08</t>
  </si>
  <si>
    <t>D11-D09</t>
  </si>
  <si>
    <t>D11-D10</t>
  </si>
  <si>
    <t>D11-D11</t>
  </si>
  <si>
    <t>D11-D12</t>
  </si>
  <si>
    <t>D11-D13</t>
  </si>
  <si>
    <t>D11-D14</t>
  </si>
  <si>
    <t>D11-D15</t>
  </si>
  <si>
    <t>D11-D16</t>
  </si>
  <si>
    <t>D11-D17</t>
  </si>
  <si>
    <t>D11-D18</t>
  </si>
  <si>
    <t>D11-D19</t>
  </si>
  <si>
    <t>D11-D20</t>
  </si>
  <si>
    <t>D11-D21</t>
  </si>
  <si>
    <t>D11-D22</t>
  </si>
  <si>
    <t>D11-D23</t>
  </si>
  <si>
    <t>D01-I01</t>
  </si>
  <si>
    <t>D01-I02</t>
  </si>
  <si>
    <t>D01-I03</t>
  </si>
  <si>
    <t>D01-I04</t>
  </si>
  <si>
    <t>D01-I05</t>
  </si>
  <si>
    <t>D01-I06</t>
  </si>
  <si>
    <t>D01-I07</t>
  </si>
  <si>
    <t>D01-I08</t>
  </si>
  <si>
    <t>D01-I09</t>
  </si>
  <si>
    <t>D01-I10</t>
  </si>
  <si>
    <t>D01-I11</t>
  </si>
  <si>
    <t>D01-I12</t>
  </si>
  <si>
    <t>D01-I13</t>
  </si>
  <si>
    <t>D01-I14</t>
  </si>
  <si>
    <t>D01-I15</t>
  </si>
  <si>
    <t>D01-I16</t>
  </si>
  <si>
    <t>D02-I01</t>
  </si>
  <si>
    <t>D02-I02</t>
  </si>
  <si>
    <t>D02-I03</t>
  </si>
  <si>
    <t>D02-I04</t>
  </si>
  <si>
    <t>D02-I05</t>
  </si>
  <si>
    <t>D02-I06</t>
  </si>
  <si>
    <r>
      <t xml:space="preserve">Contrôle de la mise en production de nouveaux équipements ou d'évolutions de systèmes existants
</t>
    </r>
    <r>
      <rPr>
        <i/>
        <sz val="8"/>
        <rFont val="Arial"/>
        <family val="2"/>
      </rPr>
      <t>Équipements en téléphonie classique : PABX principalement
Avec la ToIP : call server, convertisseur vers la téléphonie classique (gateway), routeurs, commutateurs
S'y ajoutent les équipements destinés aux utilisateurs : terminal téléphonique, télécopie (de plus en plus "multifonction" car couplée à des possibilités d'impression, de lecture optique et de photocopie partagées, ...), télé et visioconférence
Les systèmes fournissent les services de configuration, d'administration, d'annuaire, de facturation et de stockage (répondeur, boîtes vocales, ...), etc.</t>
    </r>
  </si>
  <si>
    <t>La liste des décisions et des mesures de sécurité applicables à l'organisation est-elle formellement établie ?</t>
  </si>
  <si>
    <t xml:space="preserve">Amélioration continue </t>
  </si>
  <si>
    <t>PC portable</t>
  </si>
  <si>
    <t>14B04-03</t>
  </si>
  <si>
    <t>D01-D01</t>
  </si>
  <si>
    <t>D01-D02</t>
  </si>
  <si>
    <t>D01-D03</t>
  </si>
  <si>
    <t>D01-D04</t>
  </si>
  <si>
    <t>D01-D05</t>
  </si>
  <si>
    <t>D01-D06</t>
  </si>
  <si>
    <t>D01-D07</t>
  </si>
  <si>
    <t>D01-D08</t>
  </si>
  <si>
    <t>D01-D09</t>
  </si>
  <si>
    <t>D01-D10</t>
  </si>
  <si>
    <t>D01-D11</t>
  </si>
  <si>
    <t>D01-D12</t>
  </si>
  <si>
    <t>D01-D13</t>
  </si>
  <si>
    <t>D01-D14</t>
  </si>
  <si>
    <t>D01-D15</t>
  </si>
  <si>
    <t>D01-D16</t>
  </si>
  <si>
    <t>D01-D17</t>
  </si>
  <si>
    <t>D01-D18</t>
  </si>
  <si>
    <t>D01-D19</t>
  </si>
  <si>
    <t>D01-D20</t>
  </si>
  <si>
    <t>D01-D21</t>
  </si>
  <si>
    <t>D01-D22</t>
  </si>
  <si>
    <t>D01-D23</t>
  </si>
  <si>
    <t>D01-D24</t>
  </si>
  <si>
    <t>D01-D25</t>
  </si>
  <si>
    <t>D01-D26</t>
  </si>
  <si>
    <t>D01-D27</t>
  </si>
  <si>
    <t>D01-D28</t>
  </si>
  <si>
    <t>D01-D29</t>
  </si>
  <si>
    <t>D01-D30</t>
  </si>
  <si>
    <t>D01-D31</t>
  </si>
  <si>
    <t>D01-D32</t>
  </si>
  <si>
    <t>D01-D33</t>
  </si>
  <si>
    <t>D01-D34</t>
  </si>
  <si>
    <t>D01-D35</t>
  </si>
  <si>
    <t>D01-D36</t>
  </si>
  <si>
    <t>D01-D37</t>
  </si>
  <si>
    <t>D01-D38</t>
  </si>
  <si>
    <t>D01-D39</t>
  </si>
  <si>
    <t>D01-D40</t>
  </si>
  <si>
    <t>D02-D01</t>
  </si>
  <si>
    <t>D02-D02</t>
  </si>
  <si>
    <t>D02-D03</t>
  </si>
  <si>
    <t>D02-D04</t>
  </si>
  <si>
    <t>D02-D05</t>
  </si>
  <si>
    <t>D02-D06</t>
  </si>
  <si>
    <t>D02-D07</t>
  </si>
  <si>
    <t>D02-D08</t>
  </si>
  <si>
    <t>D02-D09</t>
  </si>
  <si>
    <t>D02-D10</t>
  </si>
  <si>
    <t>D02-D11</t>
  </si>
  <si>
    <t>D02-D12</t>
  </si>
  <si>
    <t>D02-D13</t>
  </si>
  <si>
    <t>D02-D14</t>
  </si>
  <si>
    <t>D02-D15</t>
  </si>
  <si>
    <t>D02-D16</t>
  </si>
  <si>
    <t>Classification pour l'ensemble</t>
  </si>
  <si>
    <r>
      <t xml:space="preserve">Contrôle d'accès physique au site et aux bâtiments
</t>
    </r>
    <r>
      <rPr>
        <sz val="10"/>
        <rFont val="Arial"/>
        <family val="2"/>
      </rPr>
      <t>On traite ici du contrôle d'accès à l'ensemble du site ou à l'immeuble, voire à un ensemble d'étages, représentant le "site propre" dans lequel sont situés les locaux sensibles.</t>
    </r>
  </si>
  <si>
    <t>Existe-t-il des facilités permettant au personnel de stocker à proximité immédiate de leurs bureaux des documents courants et vivants requérant un haut degré de protection en ce qui concerne leur conservation ?</t>
  </si>
  <si>
    <t>A-t-on établi une liste des incidents pouvant affecter le bon fonctionnement du réseau étendu et analysé la criticité de chacun d'eux ?</t>
  </si>
  <si>
    <t>A-t-on établi une liste des incidents pouvant affecter le bon fonctionnement du réseau local et analysé la criticité de chacun d'eux ?</t>
  </si>
  <si>
    <t>A-t-on défini les fichiers devant être protégés par des solutions de chiffrement et mis en place de telles solutions au niveau de l'architecture applicative ?</t>
  </si>
  <si>
    <t>Les environnements de développement, de test et d'intégration sont-ils distingués et séparés ?</t>
  </si>
  <si>
    <t>Les environnements de maintenance applicative, de test et d'intégration sont-ils distingués et séparés ?</t>
  </si>
  <si>
    <t>Effectue-t-on un contrôle d'authenticité de l'origine et d'intégrité du contenu lors de la réception sur support d'un module "maintenance" ou d'une nouvelle version du fournisseur de progiciel ?</t>
  </si>
  <si>
    <t>Cette revue comprend-elle une analyse des risques éventuels pouvant naître à cette occasion ?</t>
  </si>
  <si>
    <t>06A02-06</t>
  </si>
  <si>
    <t>L'exploitation a-t-elle reçu une formation spécifique à l'analyse des risques ?</t>
  </si>
  <si>
    <t>06A02-07</t>
  </si>
  <si>
    <t>L'exploitation peut-elle faire appel à un support adapté pour de telles analyses de risques ?</t>
  </si>
  <si>
    <t>06A02-08</t>
  </si>
  <si>
    <r>
      <t xml:space="preserve">Chiffrement des échanges sur le réseau étendu
</t>
    </r>
    <r>
      <rPr>
        <i/>
        <sz val="8"/>
        <rFont val="Arial"/>
        <family val="2"/>
      </rPr>
      <t>Le chiffrement peut être effectué au niveau 2 (modem chiffrant), 3 (IPSEC, alors on parle de VPN) ou au niveau 4-5 (SSL, fonction de l'application utilisée) ou effectué directement par l'application (couche 6-7, par ex. chiffrement avant ou lors de l'envoi), cas vraiment traité par le domaine 09. 
Il peut être systématique sur le "tuyau" (physique ou logique) ou limité à certains flux (en fonction des adresses ou du type, ou autre?), il peut être réalisé sur des systèmes intermédiaires (boîtiers VPN) ou finaux (postes, serveur) ou mixtes.</t>
    </r>
  </si>
  <si>
    <t>A-t-on identifié précisément, pour chacun de ces actifs, les proclamations qu'il permettrait de vérifier et le processus de vérification correspondant ?</t>
  </si>
  <si>
    <t>Uti</t>
  </si>
  <si>
    <t>à une erreur d'utilisation</t>
  </si>
  <si>
    <t>Existe-t-il une installation de détection automatique d'incendie complète pour les locaux sensibles (faux planchers et faux plafonds s'ils existent) ?</t>
  </si>
  <si>
    <t>03D02-02</t>
  </si>
  <si>
    <t>L'installation de détection est-elle composée d'au moins deux types de détecteurs (par exemple : détecteurs de fumée ioniques et optiques) ?</t>
  </si>
  <si>
    <t>03D02-03</t>
  </si>
  <si>
    <t>Navigation dans la base de connaissances</t>
  </si>
  <si>
    <t>T1</t>
  </si>
  <si>
    <t>T2</t>
  </si>
  <si>
    <t>T3</t>
  </si>
  <si>
    <t>Classif</t>
  </si>
  <si>
    <t>Menaces</t>
  </si>
  <si>
    <t>Sélection des scénarios</t>
  </si>
  <si>
    <t>Analyser et évaluer
les risques</t>
  </si>
  <si>
    <t>Expo</t>
  </si>
  <si>
    <t>Processus 3 :</t>
  </si>
  <si>
    <t>A-t-on identifié les supports de stockage réaffectés à d'autres usages après avoir contenu des informations sensibles ?</t>
  </si>
  <si>
    <t>07B01-03</t>
  </si>
  <si>
    <t>09H01-02</t>
  </si>
  <si>
    <t>11A05-01</t>
  </si>
  <si>
    <t>11A05-02</t>
  </si>
  <si>
    <t>11A05-03</t>
  </si>
  <si>
    <t>11A05-04</t>
  </si>
  <si>
    <t>11A05-05</t>
  </si>
  <si>
    <t>11A05-06</t>
  </si>
  <si>
    <t>Conformité à la loi relative à la protection des systèmes informatisés</t>
  </si>
  <si>
    <t>Absence de personnel de partenaire</t>
  </si>
  <si>
    <t>11E02-07</t>
  </si>
  <si>
    <t>11E01</t>
  </si>
  <si>
    <t>11E02</t>
  </si>
  <si>
    <t>11E03</t>
  </si>
  <si>
    <t>11E03-01</t>
  </si>
  <si>
    <t>11E03-02</t>
  </si>
  <si>
    <t>11E03-03</t>
  </si>
  <si>
    <t>11E03-04</t>
  </si>
  <si>
    <t>11E03-05</t>
  </si>
  <si>
    <t>11E03-06</t>
  </si>
  <si>
    <t>11E03-07</t>
  </si>
  <si>
    <t>11E03-08</t>
  </si>
  <si>
    <t>11E03-09</t>
  </si>
  <si>
    <t>La prise de contrôle d'un poste utilisateur nécessite-t-elle l'authentification de l'administrateur ?</t>
  </si>
  <si>
    <t>09A01-02;09A02-01:02;09A04-01:02;09A04-07</t>
  </si>
  <si>
    <t>01A02-12;01A03-01:04</t>
  </si>
  <si>
    <t xml:space="preserve">Teste-t-on régulièrement que les sauvegardes des paramètres de configuration des postes utilisateurs permettent effectivement de reconstituer l'environnement de travail des utilisateurs à partir de postes vierges ou d'une réinstallation complète, dans des temps compatibles avec les exigences des métiers  ?
</t>
  </si>
  <si>
    <t>11D03-04</t>
  </si>
  <si>
    <t>11D03-05</t>
  </si>
  <si>
    <t>11D07-01</t>
  </si>
  <si>
    <t>Assure-t-on, en complément du contrôle d'accès par les issues normales, le contrôle des accès par les autres issues : contrôle des fenêtres accessibles depuis l'extérieur, contrôle des issues de secours, contrôle des accès potentiels par les faux planchers et faux plafonds ?</t>
  </si>
  <si>
    <t>03B03-05</t>
  </si>
  <si>
    <t>03B03-06</t>
  </si>
  <si>
    <t>03B03-07</t>
  </si>
  <si>
    <t>04B03-02</t>
  </si>
  <si>
    <t>04B03-03</t>
  </si>
  <si>
    <t>04B03-04</t>
  </si>
  <si>
    <t>04B03-05</t>
  </si>
  <si>
    <t>04B03-06</t>
  </si>
  <si>
    <t>04B03-07</t>
  </si>
  <si>
    <t>04C01-01</t>
  </si>
  <si>
    <t>A-t-on défini les liens permanents et les échanges de données devant être protégés par des solutions de chiffrement et mis en place de telles solutions au niveau du réseau étendu ?</t>
  </si>
  <si>
    <t>12.3.1</t>
  </si>
  <si>
    <t>04C01-02</t>
  </si>
  <si>
    <t>04C01-03</t>
  </si>
  <si>
    <t>La procédure et les mécanismes de conservation, de distribution et d'échange de clés, et plus généralement de gestion des clés,  offrent-ils des garanties de solidité dignes de confiance et ont-ils été approuvés par le RSSI ?</t>
  </si>
  <si>
    <t>08A04-04</t>
  </si>
  <si>
    <t>Teste-t-on régulièrement la séquence de mise en route de l'installation de secours et sa compatibilité avec les exigences de continuité de service (les tests incluant les délestages ou reconfigurations éventuellement nécessaires) ?</t>
  </si>
  <si>
    <t>03A02-05</t>
  </si>
  <si>
    <t>Un comité relevant des instances dirigeantes est-il chargé d'élaborer les orientations en matière de Protection de la propriété intellectuelle et d'étudier périodiquement les problématiques qui y sont  liées ?</t>
  </si>
  <si>
    <t>La politique relative à la Protection de la propriété intellectuelle est-elle révisée régulièrement ?</t>
  </si>
  <si>
    <t>Programme de formation et de sensibilisation à la Protection de la propriété intellectuelle</t>
  </si>
  <si>
    <r>
      <t>A-t-on pu écarter chaque voie possible comme hautement improbable ou pris des mesures pour rendre hautement improbable une arrivée d'eau intempestive ?
P</t>
    </r>
    <r>
      <rPr>
        <i/>
        <sz val="8"/>
        <rFont val="Arial"/>
        <family val="2"/>
      </rPr>
      <t>ar exemple : systèmes d'extinction d'incendie à pré-action, clapets anti-retour sur les évacuations, contrôle d'humidité indépendant assurant une sécurité, etc.</t>
    </r>
  </si>
  <si>
    <t>Processus de gestion (13 Man)</t>
  </si>
  <si>
    <t>Contrôle-t-on régulièrement la conformité des configurations télécom des postes utilisateurs par rapport à la liste des options autorisées ?</t>
  </si>
  <si>
    <t>Les utilisateurs sont-ils sensibilisés aux risques d'écoute liés à l'utilisation des matériels et services de télécommunication ?</t>
  </si>
  <si>
    <t>Les procédures de contrôle et de sécurité sont-elles documentées ?</t>
  </si>
  <si>
    <t>Ces procédures font-elles l'objet d'une formation donnée à l'ensemble des utilisateurs ?</t>
  </si>
  <si>
    <t>Utilisation de terminaux chiffrants</t>
  </si>
  <si>
    <t>Cette possibilité de chiffrement est-elle diffusée au personnel ?</t>
  </si>
  <si>
    <t>A-t-on analysé les fonctions utilisateurs devant faire l'objet d'une protection des échanges télécom ?</t>
  </si>
  <si>
    <t>A-t-on installé en conséquence des fonctions de chiffrement télécom sur l'ensemble des postes correspondants ?</t>
  </si>
  <si>
    <t>Plan de type A</t>
  </si>
  <si>
    <t>Les procédures d'enregistrement, de traitement des enregistrements et d'analyse des diagnostic ainsi que la disponibilité de l'équipe d'analyse et d'intervention font-elles l'objet d'un audit régulier ?</t>
  </si>
  <si>
    <t>09H</t>
  </si>
  <si>
    <t>09H01-01</t>
  </si>
  <si>
    <t xml:space="preserve">à une absence durable du personnel d'un prestataire </t>
  </si>
  <si>
    <t xml:space="preserve">à une absence durable du personnel (interne) nécessaire </t>
  </si>
  <si>
    <t>Absence de personnel interne</t>
  </si>
  <si>
    <t>AB.P.Pep</t>
  </si>
  <si>
    <t>08A03-06</t>
  </si>
  <si>
    <t>08A03-07</t>
  </si>
  <si>
    <t>08A04-01</t>
  </si>
  <si>
    <t>08A04-02</t>
  </si>
  <si>
    <t>08A04-03</t>
  </si>
  <si>
    <t xml:space="preserve">     Gravité</t>
  </si>
  <si>
    <r>
      <t xml:space="preserve">Le processus d'attribution (ou modification ou retrait) effective d'une autorisation d'accès pour chaque type de local sensible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</si>
  <si>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r>
      <t xml:space="preserve">Les processus qui assurent l'authentification des entités accédées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</si>
  <si>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 xml:space="preserve">  Gravité pour plans</t>
  </si>
  <si>
    <r>
      <t xml:space="preserve">A-t-on désigné pour chaque actif identifié et inventorié un "propriétaire" de cet actif ?
</t>
    </r>
    <r>
      <rPr>
        <i/>
        <sz val="8"/>
        <rFont val="Arial"/>
        <family val="2"/>
      </rPr>
      <t>Un propriétaire est la personne ou l'entité désignée pour assumer la responsabilité du développement, de la maintenance, de l'exploitation, de l'utilisation et de la sécurité de cet actif. Le terme de propriétaire ne signifie pas que la personne ou l'entité détient un droit de propriété sur cet actif.</t>
    </r>
  </si>
  <si>
    <t>En cours d'exploitation, le système dispose-t-il, notamment, d'un mécanisme de contrôle des privilèges empêchant à un utilisateur d'accéder à des contenus de ressources libérées par un autre processus (zones de mémoire, ressources temporaires, etc.) ?</t>
  </si>
  <si>
    <t>Y a-t-il un processus de mise à jour systématique de la table des autorisations d'accès lors de départs de personnel (interne ou externe à l'entreprise) ?</t>
  </si>
  <si>
    <t>03A04-01</t>
  </si>
  <si>
    <t>9.2.3</t>
  </si>
  <si>
    <t>03A04-02</t>
  </si>
  <si>
    <t>Existe-t-il un processus d'audit permettant de détecter, a posteriori, des anomalies dans les processus de contrôle d'accès (audit des procédures et du paramétrage des systèmes de contrôle d'accès, audit des procédures d'exception et d'intervention, etc.) ?</t>
  </si>
  <si>
    <t>Détection des intrusions dans les locaux sensibles</t>
  </si>
  <si>
    <t>03B04-01</t>
  </si>
  <si>
    <t>Procède-t-on à des audits réguliers du document de référence spécifiant les configurations utilisateurs, et de l'application régulière des procédures de contrôle des configurations ?</t>
  </si>
  <si>
    <t>06C</t>
  </si>
  <si>
    <t>Contrôle des droits d'administration</t>
  </si>
  <si>
    <t>06C01-01</t>
  </si>
  <si>
    <t>01A02-06</t>
  </si>
  <si>
    <t>Contrôle de l'application de la politique relative à l'utilisation de moyens cryptologiques</t>
  </si>
  <si>
    <t>L'inhibition accidentelle (panne) ou volontaire (arrêt) d'un équipement de climatisation est-elle détectée et signalée à une équipe d'intervention à même d'agir rapidement ?</t>
  </si>
  <si>
    <t>03A03-07</t>
  </si>
  <si>
    <t>La sécurité de la climatisation (détection de panne ou d'inhibition, procédures d'intervention, etc.) fait-elle l'objet d'un audit régulier ?</t>
  </si>
  <si>
    <t>Les solutions de continuité des services liés au parc de postes utilisateurs sont-elles décrites en détail dans des Plans de Reprise d'Activité (des postes utilisateurs) incluant les règles de déclenchement, les actions à mener, les priorités, les acteurs à mobiliser et leurs coordonnées ?</t>
  </si>
  <si>
    <r>
      <t xml:space="preserve">Les profils permettent-ils également de définir des créneaux horaires et calendaires de travail 
</t>
    </r>
    <r>
      <rPr>
        <i/>
        <sz val="8"/>
        <rFont val="Arial"/>
        <family val="2"/>
      </rPr>
      <t>(par exemple : heures début et fin de journée, week-end, vacances, etc.) ?</t>
    </r>
  </si>
  <si>
    <t xml:space="preserve">Y a-t-il une procédure associée à des automatismes permettant de déclencher l'intervention immédiate d'un personnel spécialisé en cas d'alarme suite à un arrêt du système automatique de contrôle d'accès  ou à sa désactivation ? </t>
  </si>
  <si>
    <t>02C03-03</t>
  </si>
  <si>
    <t>02C03-04</t>
  </si>
  <si>
    <t>02C03-05</t>
  </si>
  <si>
    <t>02C03-06</t>
  </si>
  <si>
    <t>02C03-07</t>
  </si>
  <si>
    <t>02C03-08</t>
  </si>
  <si>
    <t>02C03-09</t>
  </si>
  <si>
    <t>02C03-10</t>
  </si>
  <si>
    <t>02C02-14</t>
  </si>
  <si>
    <t>02C02-15</t>
  </si>
  <si>
    <t>Existe-t-il une procédure d'attribution temporaire de moyen d'accès pour couvrir les cas de perte, d'oubli ou de vol de badges ?</t>
  </si>
  <si>
    <t>Existe-t-il des solutions de secours pour pallier l'indisponibilité de l'environnement de travail (indisponibilité des locaux, de l'alimentation en énergie, de la téléphonie, etc.) ?</t>
  </si>
  <si>
    <t>Indisponibilité accidentelle de l'environnement de travail</t>
  </si>
  <si>
    <t>Indisponibilité des services de télécommunication (voix, télécopies, visioconférences)</t>
  </si>
  <si>
    <t>R01-D</t>
  </si>
  <si>
    <t>Indisponibilité du service du réseau étendu</t>
  </si>
  <si>
    <t>min(03D02;03D03)</t>
  </si>
  <si>
    <t>min(03B01;03B02;03B03)</t>
  </si>
  <si>
    <t>min(03C02;03C03)</t>
  </si>
  <si>
    <t>03A06</t>
  </si>
  <si>
    <t>Prs</t>
  </si>
  <si>
    <t>après modification d'un équipement de réseau</t>
  </si>
  <si>
    <t>Amdertm</t>
  </si>
  <si>
    <t>Amderuf</t>
  </si>
  <si>
    <t>après modification distante d'un équipement de réseau, utilisant une liaison de télémaintenance</t>
  </si>
  <si>
    <t>après modification distante d'un équipement de réseau, utilisant une faille non corrigée</t>
  </si>
  <si>
    <t>Auie</t>
  </si>
  <si>
    <t>Auis</t>
  </si>
  <si>
    <t>ayant connecté un équipement usurpant l'identité d'une entité connectée au réseau étendu</t>
  </si>
  <si>
    <t>par usurpation de l'identité d'un serveur applicatif</t>
  </si>
  <si>
    <t>F19-MA1</t>
  </si>
  <si>
    <t>Vol de courrier</t>
  </si>
  <si>
    <t>Col</t>
  </si>
  <si>
    <t>en cours de collecte ou de diffusion</t>
  </si>
  <si>
    <t>Vol ou photocopie de télécopie</t>
  </si>
  <si>
    <t>F19-MA3</t>
  </si>
  <si>
    <t>F16-MA2</t>
  </si>
  <si>
    <t>L'application de la politique relative à l'utilisation de moyens cryptologiques fait-elle périodiquement l'objet d'un audit?</t>
  </si>
  <si>
    <t>13G02-02</t>
  </si>
  <si>
    <t>13G03</t>
  </si>
  <si>
    <t>13G03-01</t>
  </si>
  <si>
    <t>13G03-02</t>
  </si>
  <si>
    <t>13G03-03</t>
  </si>
  <si>
    <t>Existe-t-il un plan de crise dans tous les établissements précisant, en fonction de divers symptômes, les noms et coordonnées des personnes à prévenir pour qu'elles puissent effectuer un premier diagnostic et, en fonction de ce diagnostic, les responsables de la cellule de crise à rassembler et les actions urgentes à mener ?</t>
  </si>
  <si>
    <t>01A05-02</t>
  </si>
  <si>
    <t>Ce programme inclut-il une formation ou une sensibilisation aux conséquences possibles de non-respect des dispositions légales en matière de Sécurité des personnes et protection de l'environnement ?</t>
  </si>
  <si>
    <t xml:space="preserve">Contrôle de l'application de la politique relative à la Sécurité des personnes et protection de l'environnement </t>
  </si>
  <si>
    <t>13F</t>
  </si>
  <si>
    <t>13F01</t>
  </si>
  <si>
    <t>13F01-01</t>
  </si>
  <si>
    <t>13F01-02</t>
  </si>
  <si>
    <t>13F01-03</t>
  </si>
  <si>
    <t>13F01-05</t>
  </si>
  <si>
    <t>13F01-06</t>
  </si>
  <si>
    <t>13F01-07</t>
  </si>
  <si>
    <t>13F01-08</t>
  </si>
  <si>
    <t>13F01-09</t>
  </si>
  <si>
    <t>13F01-10</t>
  </si>
  <si>
    <t>13F01-11</t>
  </si>
  <si>
    <t>13F01-12</t>
  </si>
  <si>
    <t>13F02</t>
  </si>
  <si>
    <t>13F02-01</t>
  </si>
  <si>
    <t>13F02-02</t>
  </si>
  <si>
    <t>13F02-03</t>
  </si>
  <si>
    <t>13F02-04</t>
  </si>
  <si>
    <t>13F02-05</t>
  </si>
  <si>
    <t>13F02-06</t>
  </si>
  <si>
    <t>13F02-07</t>
  </si>
  <si>
    <t>13F03</t>
  </si>
  <si>
    <t>13F03-01</t>
  </si>
  <si>
    <t>13F03-02</t>
  </si>
  <si>
    <t>13F03-03</t>
  </si>
  <si>
    <t>13F04</t>
  </si>
  <si>
    <t>13F04-01</t>
  </si>
  <si>
    <t>13F04-02</t>
  </si>
  <si>
    <t>13F04-03</t>
  </si>
  <si>
    <t>Existe-t-il une politique et des directives précises en matière de Sécurité des personnes et de protection de l'environnement  ?</t>
  </si>
  <si>
    <t>A-t-on prévu une lutte contre les attaques par dépassement de la mémoire tampon ?</t>
  </si>
  <si>
    <t>10B04-01</t>
  </si>
  <si>
    <t xml:space="preserve">     Expo</t>
  </si>
  <si>
    <t>Traitement des risques : options, plans de réduction et suivi</t>
  </si>
  <si>
    <t>Les paramétrages de sécurité et règles de configuration des postes utilisateurs  font-ils l'objet d'une liste précise tenue à jour?</t>
  </si>
  <si>
    <t>Les équipements et appareils (sondes) assurant la détection de surcharge et le rééquilibrage du réseau ne sont-ils accessibles que par les administrateurs réseau et sont-ils protégés par un contrôle d'accès renforcé ?</t>
  </si>
  <si>
    <t>05A02-09</t>
  </si>
  <si>
    <t>Toute inhibition ou mise à l'arrêt des équipements et appareils (sondes) assurant la détection de surcharge et le rééquilibrage du réseau est-elle signalée à un poste de surveillance et ou aux administrateurs réseau ?</t>
  </si>
  <si>
    <t>05A02-10</t>
  </si>
  <si>
    <t>05A02-11</t>
  </si>
  <si>
    <t>05A02-12</t>
  </si>
  <si>
    <t>05A03-01</t>
  </si>
  <si>
    <t>08H01-01</t>
  </si>
  <si>
    <t>Existe-t-il un service spécialement chargé de l'archivage des fichiers informatiques à conserver sur une longue période ?</t>
  </si>
  <si>
    <t>Ces facilités permettent-elles de protéger les documents importants contre les risques de dégâts des eaux et des inondations ?</t>
  </si>
  <si>
    <t>Ces facilités permettent-elles de protéger les documents importants contre les risques d'incendie (coffres ignifuges) ?</t>
  </si>
  <si>
    <t>dans le circuit de ramassage des corbeilles à papiers</t>
  </si>
  <si>
    <t>Crc</t>
  </si>
  <si>
    <t>Aru</t>
  </si>
  <si>
    <t>ayant accès à des ressources utilisateurs non effacées après utilisation.</t>
  </si>
  <si>
    <t>par captation électro-magnétiques</t>
  </si>
  <si>
    <t>Divulgation de données après captation de données en transit</t>
  </si>
  <si>
    <t>Amer</t>
  </si>
  <si>
    <r>
      <t xml:space="preserve">A-t-on défini les types d'actifs devant être identifiés et inventoriés ?
</t>
    </r>
    <r>
      <rPr>
        <i/>
        <sz val="8"/>
        <rFont val="Arial"/>
        <family val="2"/>
      </rPr>
      <t>Les actifs peuvent être des informations (bases de données, fichiers, contrats et accords, documentation, manuels, procédures, plans, archives, etc.), des logiciels (applications, firmware, middleware, outils et utilitaires, etc.), des équipements matériels (ordinateurs, équipements de réseau, media, etc.), des services et servitudes (énergie, chauffage, climatisation, etc.), des personnes ou du savoir-faire, des actifs intangibles tels que la réputation ou l'image.</t>
    </r>
  </si>
  <si>
    <t>08D01</t>
  </si>
  <si>
    <t>Gestion des archives informatiques</t>
  </si>
  <si>
    <t>Surveillance (en temps réel) du réseau local</t>
  </si>
  <si>
    <t>05D02</t>
  </si>
  <si>
    <t>Analyse (en temps différé) des traces, logs et journaux d'événements sur le réseau local</t>
  </si>
  <si>
    <t>05D03</t>
  </si>
  <si>
    <t>Traitement des incidents du réseau local</t>
  </si>
  <si>
    <t>L'arrêt ou l'interruption des systèmes de sécurité (incendie, dégâts des eaux, contrôle d'accès, détection d'intrusion) déclenchent-ils une alarme auprès d'un centre de surveillance pouvant intervenir rapidement ?</t>
  </si>
  <si>
    <t>Le personnel peut-il disposer, à la demande, de possibilités de stockage sécurisé (en armoire forte) à disponibilité immédiate (dans le bureau ou à proximité immédiate du bureau, à toute  heure) ?</t>
  </si>
  <si>
    <t>09E01-05</t>
  </si>
  <si>
    <t>L'attribution des profils et la mise en oeuvre des mesures de sécurité précédentes font-elles l'objet d'un audit régulier ?</t>
  </si>
  <si>
    <t>06D</t>
  </si>
  <si>
    <t>Procédures d'audit et de contrôle des réseaux</t>
  </si>
  <si>
    <t>06D01-01</t>
  </si>
  <si>
    <t>06D01-02</t>
  </si>
  <si>
    <t>Les procédures de reprise sur incident tiennent-elles compte d'une éventuelle perte de données (en particulier perte de messages) ?</t>
  </si>
  <si>
    <t>04A04-07</t>
  </si>
  <si>
    <t>Audite-t-on régulièrement la capacité des moyens de diagnostic et de reconfiguration à assurer un fonctionnement minimal du réseau étendu satisfaisant en cas d'incident ?</t>
  </si>
  <si>
    <t>04D01-04</t>
  </si>
  <si>
    <t>08A05-03</t>
  </si>
  <si>
    <t>Les solutions de secours sont-elles utilisables pour une durée illimitée ou, à défaut, est-il prévu une deuxième solution venant en remplacement de la première après un temps déterminé ?</t>
  </si>
  <si>
    <t>L'existence, la pertinence et la mise à jour des PRET font-elles l'objet d'un audit régulier ?</t>
  </si>
  <si>
    <t>Les locaux d'archivage sont-ils sous vidéosurveillance quand ils ne sont pas occupés ?</t>
  </si>
  <si>
    <t>A-t-on désigné, pour chaque local sensible ou chaque type de local, un responsable chargé de définir et de maintenir à jour les droits d'accès attribués à chaque catégorie de personnel ?</t>
  </si>
  <si>
    <t>Y a-t-il un processus de retrait rapide et systématique des autorisations d'accès (avec dévalidation du badge dans les systèmes de contrôle d'accès automatique) et de restitution du badge ou de la carte correspondant lors de départs de personnel interne ou externe à l'entreprise, de changements de site de rattachement (si les autorisations dépendent de ce site) ou d'interruption de mission ?</t>
  </si>
  <si>
    <t>02A02-08</t>
  </si>
  <si>
    <t>Existe-t-il une procédure permettant de détecter, a posteriori, des anomalies dans la gestion des autorisations (badge ou carte non restitué, utilisation d'un badge perdu, faux badge, etc.) ?</t>
  </si>
  <si>
    <t>02A03-01</t>
  </si>
  <si>
    <t>9.1.1</t>
  </si>
  <si>
    <t>02A03-02</t>
  </si>
  <si>
    <t>Perte ou inexploitabilité d'archives documentaires</t>
  </si>
  <si>
    <t>D01-I</t>
  </si>
  <si>
    <t>Altération (non détectée) de fichiers de données applicatives</t>
  </si>
  <si>
    <t>D02-I</t>
  </si>
  <si>
    <t>D03-I</t>
  </si>
  <si>
    <t>D06-I</t>
  </si>
  <si>
    <t>07A05</t>
  </si>
  <si>
    <t>07A05-01</t>
  </si>
  <si>
    <t>07A05-02</t>
  </si>
  <si>
    <t>07A05-03</t>
  </si>
  <si>
    <t>07A05-04</t>
  </si>
  <si>
    <t>07A05-05</t>
  </si>
  <si>
    <t>07A05-06</t>
  </si>
  <si>
    <t>07A05-07</t>
  </si>
  <si>
    <t>07A05-08</t>
  </si>
  <si>
    <t>09A05</t>
  </si>
  <si>
    <t>09A05-01</t>
  </si>
  <si>
    <t>09A05-02</t>
  </si>
  <si>
    <t>09A05-03</t>
  </si>
  <si>
    <t>09A05-04</t>
  </si>
  <si>
    <t>09A05-05</t>
  </si>
  <si>
    <t>09A05-06</t>
  </si>
  <si>
    <t>09A05-07</t>
  </si>
  <si>
    <t>09A05-08</t>
  </si>
  <si>
    <t>Vol ou détournement d'archives documentaires</t>
  </si>
  <si>
    <t>Divulgation d'archives documentaires, par erreur ou perte accidentelle</t>
  </si>
  <si>
    <t>F16-ER</t>
  </si>
  <si>
    <t>F16-MA</t>
  </si>
  <si>
    <t>Altération (non détectée) de fichiers bureautiques partagés</t>
  </si>
  <si>
    <t>Perte de document</t>
  </si>
  <si>
    <t>12B01-11</t>
  </si>
  <si>
    <t xml:space="preserve">Contrôle de la conformité des programmes de référence </t>
  </si>
  <si>
    <t>Sécurité des procédures d'exploitation du parc de postes utilisateurs</t>
  </si>
  <si>
    <t>11A02-08</t>
  </si>
  <si>
    <t>11A02-09</t>
  </si>
  <si>
    <t>10A04</t>
  </si>
  <si>
    <t>L'ensemble des procédures et plans de sauvegarde des logiciels fait-il l'objet d'un audit régulier ?</t>
  </si>
  <si>
    <t>08D05-01</t>
  </si>
  <si>
    <r>
      <t xml:space="preserve">A-t-on défini, pour chaque scénario et en accord avec les utilisateurs, un échéancier des services minimum à assurer en fonction du temps ?
</t>
    </r>
    <r>
      <rPr>
        <i/>
        <sz val="8"/>
        <rFont val="Arial"/>
        <family val="2"/>
      </rPr>
      <t>Les pertes d'information, les moyens de les reconstituer et les procédures opérationnelles intérimaires doivent être considérées.</t>
    </r>
  </si>
  <si>
    <r>
      <t xml:space="preserve">Les ressources organisationnelles, techniques et humaines sont-elles suffisantes pour satisfaire les exigences de l'organisation ?
</t>
    </r>
    <r>
      <rPr>
        <i/>
        <sz val="8"/>
        <rFont val="Arial"/>
        <family val="2"/>
      </rPr>
      <t>Il faudra veiller à introduire des moyens permettant de pallier à des défaillances en personnel .</t>
    </r>
  </si>
  <si>
    <r>
      <t>Les mécanismes de signature sont-ils très solidement protégés contre toute violation ou altération ?
S'i</t>
    </r>
    <r>
      <rPr>
        <i/>
        <sz val="8"/>
        <rFont val="Arial"/>
        <family val="2"/>
      </rPr>
      <t>l s'agit d'équipements matériels, ils doivent être protégés physiquement de telle sorte qu'il soit impossible d'accéder aux mécanismes de signature S'il s'agit de solution logicielle, elle doit comporter elle-même un contrôle d'intégrité.</t>
    </r>
  </si>
  <si>
    <r>
      <t xml:space="preserve">A-t-on fait une analyse systématique et approfondie de tous les risques d'incendie ?
</t>
    </r>
    <r>
      <rPr>
        <i/>
        <sz val="8"/>
        <rFont val="Arial"/>
        <family val="2"/>
      </rPr>
      <t xml:space="preserve">Par exemple : court-circuit au niveau du câblage, effet de la foudre, personnel fumant dans les locaux, appareillages électriques courants, échauffement d'équipement, propagation depuis l'extérieur, propagation par les gaines techniques ou la climatisation, etc. </t>
    </r>
  </si>
  <si>
    <t>Ces solutions sont-elles décrites en détail dans des Plans de Reprise de l'Environnement de Travail (PRET) incluant les règles de déclenchement, les actions à mener, les priorités, les acteurs à mobiliser et leurs coordonnées ?</t>
  </si>
  <si>
    <r>
      <t xml:space="preserve">Y a-t-il eu une étude pour analyser les transferts de risque en fonction des divers types de partenaires ?
</t>
    </r>
    <r>
      <rPr>
        <i/>
        <sz val="8"/>
        <rFont val="Arial"/>
        <family val="2"/>
      </rPr>
      <t>Prestataires, fournisseurs, hébergeurs, voire clients.</t>
    </r>
  </si>
  <si>
    <t>Est-ce que les actions préventives ont été mises en œuvre ?</t>
  </si>
  <si>
    <t>Les résultats des mesures préventives mises en place ont-ils été consignés dans un registre ?</t>
  </si>
  <si>
    <t>Est-ce qu'une analyse a été effectuée pour confirmer que les actions préventives évitent les non-conformités ?</t>
  </si>
  <si>
    <t>Communication vers les parties prenantes</t>
  </si>
  <si>
    <t>L'accord des parties prenantes concernées par les actions d'amélioration est-il réalisé ?</t>
  </si>
  <si>
    <r>
      <t xml:space="preserve">Le processus de définition ou de modification de l'authentifiant supportant le contrôle d'accès pour les accès internes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processus de génération évalué ou reconnu publiquement, clés de chiffrement de longueur suffisante, etc.</t>
    </r>
  </si>
  <si>
    <t>01E03-05</t>
  </si>
  <si>
    <t>01E03-06</t>
  </si>
  <si>
    <t>Des mécanismes spécifiques de contrôle d'accès ont-ils été mis en œuvre pour les zones de livraison/chargement depuis l’extérieur du bâtiment ?</t>
  </si>
  <si>
    <t>Pour les zones accessibles au public, a-t-il été mis en œuvre des mesures spécifiques permettant d'isoler les flux du public et les accès aux bâtiments ?</t>
  </si>
  <si>
    <t>02C02-11</t>
  </si>
  <si>
    <t>Est-il interdit de pénétrer dans les locaux sensibles avec des moyens d'enregistrement photo, vidéo ou audio ?</t>
  </si>
  <si>
    <t>03B02-09</t>
  </si>
  <si>
    <t>Feuille de synthèse : Gravité globale des risques</t>
  </si>
  <si>
    <t>Impact</t>
  </si>
  <si>
    <t>Potentialité</t>
  </si>
  <si>
    <t>Conformité à la loi ou aux réglementations relatives à la protection des renseignements personnels</t>
  </si>
  <si>
    <t>Conformité à la loi ou aux réglementations relatives à la propriété intellectuelle</t>
  </si>
  <si>
    <t>Indisponibilité de l'environnement de travail</t>
  </si>
  <si>
    <t>F17-AC</t>
  </si>
  <si>
    <t>Ce plan est-il suivi de manière régulière par la Direction ?</t>
  </si>
  <si>
    <t>Choix et mise en place des indicateurs pour le SMSI</t>
  </si>
  <si>
    <t>12D01-01</t>
  </si>
  <si>
    <t>Existe-t-il une procédure décrivant la manière dont la documentation du Système de Management doit être gérée ?</t>
  </si>
  <si>
    <t>14E01-02</t>
  </si>
  <si>
    <t>Existe-t-il un responsable nommément désigné pour l'application de cette procédure ?</t>
  </si>
  <si>
    <t>14E01-03</t>
  </si>
  <si>
    <t>A-t-on défini une politique et des mesures de protection pour lutter contre des codes exécutables (applets, contrôles activeX, etc.) non autorisés (blocage ou contrôle de l'environnement dans lequel ces codes s'exécutent, contrôle des ressources accessibles par les codes mobiles, authentification de l'émetteur, etc.) ?</t>
  </si>
  <si>
    <t>11D06-08</t>
  </si>
  <si>
    <t>Gestion des moyens d'accès aux fichiers bureautiques</t>
  </si>
  <si>
    <t>11D08-01</t>
  </si>
  <si>
    <t>La liste des formats de fichiers bureautiques dont la lecture doit être assurée est-elle tenue à jour ?</t>
  </si>
  <si>
    <t>11D08-02</t>
  </si>
  <si>
    <t>S'assure-t-on que les moyens matériels et logiciels nécessaires à la lecture de tous le types de fichiers bureautiques archivés sont disponibles ou facilement rendus disponibles ?</t>
  </si>
  <si>
    <t>11D08-03</t>
  </si>
  <si>
    <r>
      <t xml:space="preserve">Les paramètres de l'authentification pour les accès depuis un sous-réseau WiFi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</si>
  <si>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Existe-t-il un audit régulier des paramètres de sécurité de protection des profils et des droits ?</t>
  </si>
  <si>
    <t>14E01</t>
  </si>
  <si>
    <t>14E02</t>
  </si>
  <si>
    <t>14E03</t>
  </si>
  <si>
    <t>14E04</t>
  </si>
  <si>
    <t>14E05</t>
  </si>
  <si>
    <t>14E06</t>
  </si>
  <si>
    <t>Gestion des contrats d'assurance</t>
  </si>
  <si>
    <t>01D05-01</t>
  </si>
  <si>
    <t xml:space="preserve"> Y a-t-il un responsable "Assurances" dans l'entreprise ?</t>
  </si>
  <si>
    <t>01D05-02</t>
  </si>
  <si>
    <t>Le choix des garanties en matière informatique est-il le résultat d'une étude spécifique conduite en commun avec la Direction Informatique (sur la base d'une analyse de risque récente - moins de trois ans) ?</t>
  </si>
  <si>
    <t>01D05-03</t>
  </si>
  <si>
    <t>Y a-t-il une vérification périodique (&gt;1/ an) des contrats d'assurances par le responsable assurance après consultation des responsables des secteurs concernés entraînant un ajustement des garanties avec le courtier ou l'agent d'assurances ?</t>
  </si>
  <si>
    <t>01D05-04</t>
  </si>
  <si>
    <t>Y a-t-il une visite de risque régulière par un inspecteur de la compagnie d'assurances apéritrice, donnant lieu à un rapport écrit et communiqué aux responsables des secteurs concernés ?</t>
  </si>
  <si>
    <t>01D05-05</t>
  </si>
  <si>
    <t>Les responsables des secteurs concernés ont-ils participé à l'étude des limites des garanties (exclusion, franchise, plafond, etc.) figurant dans les contrats souscrits ?</t>
  </si>
  <si>
    <t>01D05-06</t>
  </si>
  <si>
    <t>05A05-08</t>
  </si>
  <si>
    <t>05A06-09</t>
  </si>
  <si>
    <t>05A06-10</t>
  </si>
  <si>
    <t>Ce contrat couvre-t-il toutes les causes usuelles de ce type de sinistre : accidents (pannes, bogues, etc.), erreurs humaines (erreurs de manipulation, erreurs de programmation, etc.), malveillances (fraudes, intrusions, déni de service, y compris par le personnel de l'entreprise ou préposé à son opération ou entretien) ?</t>
  </si>
  <si>
    <t>01D02-04</t>
  </si>
  <si>
    <t>Ce contrat assure-t-il tous les frais (réels) d'investigation et de recherche des causes et des conséquences du sinistre ?</t>
  </si>
  <si>
    <t>01D02-05</t>
  </si>
  <si>
    <t>11C06-01</t>
  </si>
  <si>
    <t>11C06-02</t>
  </si>
  <si>
    <t>11C06-03</t>
  </si>
  <si>
    <t>11C06-04</t>
  </si>
  <si>
    <t>11C06-05</t>
  </si>
  <si>
    <t>11C06-06</t>
  </si>
  <si>
    <t>En cas de télémaintenance, y a-t-il une procédure d'authentification forte du centre de télémaintenance ?</t>
  </si>
  <si>
    <t>06A04-02</t>
  </si>
  <si>
    <t>En cas de télémaintenance, y a-t-il une procédure d'authentification forte de l'agent de maintenance ?</t>
  </si>
  <si>
    <t>06A04-03</t>
  </si>
  <si>
    <t>02D02-11</t>
  </si>
  <si>
    <r>
      <t xml:space="preserve">Les paramètres de l'authentification sont-ils sous contrôle strict ?
</t>
    </r>
    <r>
      <rPr>
        <i/>
        <sz val="8"/>
        <rFont val="Arial"/>
        <family val="2"/>
      </rPr>
      <t>Un contrôle strict requiert que la liste des personnes habilitées à changer les règles de définition des authentifiants, les authentifiants eux-mêmes, les règles de surveillance des tentatives de connexion, etc. soit très limitée, qu'il existe un contrôle d'accès renforcé pour procéder à ces modifications, que les modifications soient journalisées et auditées et qu'il existe un audit général au moins annuel de l'ensemble des paramètres de l'authentification.</t>
    </r>
  </si>
  <si>
    <t>Y a-t-il un mécanisme d'authentification de chaque utilisateur pour toute connexion au réseau local depuis l'extérieur ?</t>
  </si>
  <si>
    <t>Y a-t-il un mécanisme d'authentification de chaque utilisateur pour toute connexion au réseau local depuis un sous-réseau WiFi ?</t>
  </si>
  <si>
    <t>04A05-02</t>
  </si>
  <si>
    <t>La procédure d'attribution d'une autorisation d'accès permanente ou semi-permanente nécessite-t-elle  l'accord formel de la hiérarchie de rattachement ou de l'unité gérante de la prestation externe (à un niveau suffisant) ?</t>
  </si>
  <si>
    <t>02A02-02</t>
  </si>
  <si>
    <t>02A02-03</t>
  </si>
  <si>
    <t xml:space="preserve">Les autorisations sont-elles attribuées nominativement en fonction du profil de son titulaire ? </t>
  </si>
  <si>
    <t>02A02-04</t>
  </si>
  <si>
    <t xml:space="preserve">Ces autorisations d'accès aux sites sont-elles matérialisées par un badge ou une carte ? </t>
  </si>
  <si>
    <t>02A02-05</t>
  </si>
  <si>
    <t>Les badges ou cartes matérialisant les autorisations d'accès aux sites sont-ils personnalisés avec le nom du titulaire et sa photo ?</t>
  </si>
  <si>
    <t>02A02-06</t>
  </si>
  <si>
    <t>Peut-on contrôler à tout moment la liste des autorisations d'accès en cours de validité, avec leur profil de rattachement ?</t>
  </si>
  <si>
    <t>02A02-07</t>
  </si>
  <si>
    <t>M</t>
  </si>
  <si>
    <t>MA.L.Del</t>
  </si>
  <si>
    <t>Ual</t>
  </si>
  <si>
    <t>Uai</t>
  </si>
  <si>
    <t>Una</t>
  </si>
  <si>
    <t>MA.L.Tot</t>
  </si>
  <si>
    <t>Vol</t>
  </si>
  <si>
    <t>Utilise-t-on un système de contrôle d'accès systématique aux locaux sensibles ?</t>
  </si>
  <si>
    <t>03B03-02</t>
  </si>
  <si>
    <t>03B03-03</t>
  </si>
  <si>
    <t>03B03-04</t>
  </si>
  <si>
    <t>11A04-01</t>
  </si>
  <si>
    <t>11A04-02</t>
  </si>
  <si>
    <t>11A04-03</t>
  </si>
  <si>
    <t>11A04-04</t>
  </si>
  <si>
    <t>11A04-05</t>
  </si>
  <si>
    <t>11A04-06</t>
  </si>
  <si>
    <t>Contrôle de la conformité des programmes de référence (Sources et exécutables) des logiciels utilisateurs</t>
  </si>
  <si>
    <t>04A06-05</t>
  </si>
  <si>
    <t>Schéma de navigation dans la base de connaissance</t>
    <phoneticPr fontId="5" type="noConversion"/>
  </si>
  <si>
    <t>Contrôle d'accès au poste de travail</t>
  </si>
  <si>
    <t>11C02</t>
  </si>
  <si>
    <t>01B04</t>
  </si>
  <si>
    <t>Gestion des actifs</t>
  </si>
  <si>
    <t>01C01</t>
  </si>
  <si>
    <t>08D10</t>
  </si>
  <si>
    <t>Maintien des comptes d'accès</t>
  </si>
  <si>
    <t>ER.L</t>
  </si>
  <si>
    <t>ER.P</t>
  </si>
  <si>
    <t>MA.L</t>
  </si>
  <si>
    <t>MA.P</t>
  </si>
  <si>
    <t>S01-D</t>
  </si>
  <si>
    <t>Indisponibilité de service applicatif</t>
  </si>
  <si>
    <t xml:space="preserve">Perte, par destruction, de media support de fichier </t>
  </si>
  <si>
    <t xml:space="preserve">Perte, par disparition, de media support de fichier </t>
  </si>
  <si>
    <t>Inexploitabilité de media support de fichier</t>
  </si>
  <si>
    <t>Perte de fichiers par effacement</t>
  </si>
  <si>
    <t>A-t-on défini les échanges de données ou transactions sensibles devant être protégés par des solutions de scellement et mis en place de telles solutions au niveau applicatif ?</t>
  </si>
  <si>
    <t>09B02-02</t>
  </si>
  <si>
    <t>09B02-03</t>
  </si>
  <si>
    <t>09B02-04</t>
  </si>
  <si>
    <t>09B02-05</t>
  </si>
  <si>
    <r>
      <t xml:space="preserve">Le processus d'attribution (ou modification ou retrait) effectif d'autorisations d'accès au réseau local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sous forme de tables soit strictement sécurisée lors de leur transmission et de leur stockage et qu'il existe un contrôle d'accès renforcé pour pouvoir les modifier, et que ces modifications soient journalisées et auditées.</t>
    </r>
  </si>
  <si>
    <t>09B02-06</t>
  </si>
  <si>
    <t>09B02-07</t>
  </si>
  <si>
    <t>09B02-08</t>
  </si>
  <si>
    <t>09B03-01</t>
  </si>
  <si>
    <t>Existe-t-il un ensemble de procédures couvrant l'attribution de droits d'utilisation à un nouvel agent, le retrait de droits et l'ouverture de droits pour les situations d'urgence ?</t>
  </si>
  <si>
    <t>06A04-04</t>
  </si>
  <si>
    <t>08A05-04</t>
  </si>
  <si>
    <t>max(min(07A01;07A02;08F01);min(08F01;09A01;09A02))</t>
  </si>
  <si>
    <t>max(min(05B01;05B02;05B03;05B07;06C02);min(07A03;07A04;08F02);min(09A03;09A04))</t>
  </si>
  <si>
    <t>Existe-t-il une procédure permettant de détecter, a posteriori, des anomalies dans la gestion des autorisations (badge ou carte non restitué, utilisation d'un badge perdu, faux badge, badge attribué abusivement, etc.) ?</t>
  </si>
  <si>
    <t xml:space="preserve">Contrôle d'accès aux locaux sensibles </t>
  </si>
  <si>
    <t>03B03-01</t>
  </si>
  <si>
    <t xml:space="preserve">Divulgation volontaire de </t>
  </si>
  <si>
    <t>F19-MA</t>
  </si>
  <si>
    <t>courrier (postal) et télécopies</t>
  </si>
  <si>
    <t>max(min(05B08;05B09);11C01)</t>
  </si>
  <si>
    <t>Les mesures de sécurité décidées pour remédier aux nouveaux risques mis en évidence font-elles l'objet de contrôles et de tests formels avant mise en exploitation ?</t>
  </si>
  <si>
    <t>02A02-01</t>
  </si>
  <si>
    <t>Les résultats des tests sont-ils analysés avec le management et les parties prenantes concernées ?</t>
  </si>
  <si>
    <t>01E02-11</t>
  </si>
  <si>
    <t>01E02-12</t>
  </si>
  <si>
    <r>
      <t xml:space="preserve">La conservation et l'utilisation par les équipements de sécurité d'éléments de référence supportant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</si>
  <si>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Les informations d'exploitation utilisées sur une application d'essai sont-elles effacées immédiatement après la fin des essais ?</t>
  </si>
  <si>
    <t>10B04-05</t>
  </si>
  <si>
    <t>Journalise-t-on toute reproduction ou utilisation de données d'exploitation lors des essais afin de créer une trace d'audit ?</t>
  </si>
  <si>
    <t>10B05-01</t>
  </si>
  <si>
    <t>L'impact éventuel des changements de systèmes sur les plans de continuité a-t-il été pris en compte ?</t>
  </si>
  <si>
    <t>12.4.1</t>
  </si>
  <si>
    <t>06C01-05</t>
  </si>
  <si>
    <t>06C01-06</t>
  </si>
  <si>
    <t>06C01-07</t>
  </si>
  <si>
    <t>06C01-08</t>
  </si>
  <si>
    <t>Y a-t-il un processus d'invalidation systématique des droits privilégiés lors de départs ou mutations de personnel ?</t>
  </si>
  <si>
    <t>06C01-09</t>
  </si>
  <si>
    <t>Y a-t-il un audit régulier, au moins une fois par an, de l'ensemble des droits privilégiés attribués ?</t>
  </si>
  <si>
    <t>Authentification et contrôle des droits d'accès des administrateurs et personnels d'exploitation</t>
  </si>
  <si>
    <t>06C02-01</t>
  </si>
  <si>
    <t>06C02-02</t>
  </si>
  <si>
    <t>06C02-03</t>
  </si>
  <si>
    <t>06C02-04</t>
  </si>
  <si>
    <t>Les données sensibles font-elles l'objet d'un autocontrôle formel (par la personne assurant la saisie) ?</t>
  </si>
  <si>
    <t>Ces contrôles additionnels (par fourchettes, cohérence, etc.) sont-ils fortement protégés contre toute altération illicite ?</t>
  </si>
  <si>
    <t>09B03-07</t>
  </si>
  <si>
    <t>A-t-on défini les procédures à appliquer en cas d'erreur de validation ?</t>
  </si>
  <si>
    <t>09B03-08</t>
  </si>
  <si>
    <r>
      <t xml:space="preserve">Les processus de définition et de gestion des droits attribués aux profils sont-ils sous contrôle strict ?
</t>
    </r>
    <r>
      <rPr>
        <i/>
        <sz val="8"/>
        <rFont val="Arial"/>
        <family val="2"/>
      </rPr>
      <t>Un contrôle strict requiert que la liste des personnes habilitées à changer les droits attribués aux profils soit très limitée, que la matérialisation de ces droits sous forme de tables soit strictement sécurisée lors de leur transmission et de leur stockage et qu'il existe un contrôle d'accès renforcé pour pouvoir les modifier, et que les modifications soient journalisées et auditées.</t>
    </r>
  </si>
  <si>
    <t>Ce chiffrement se fait-il de façon systématique (en fonction de la classification) et/ou automatique (en fonction du support) lors de l'écriture sur un support ou lors de la clôture d'une session de l'application ?</t>
  </si>
  <si>
    <t>09C02-03</t>
  </si>
  <si>
    <t>Absence de maintenance applicative ou maintenance applicative impossible</t>
  </si>
  <si>
    <t>Absence de maintenance système ou maintenance système impossible</t>
  </si>
  <si>
    <t>A-t-on analysé les conditions nécessaires à la mise en œuvre de la politique relative à la Vérification de la comptabilité informatisée ?</t>
  </si>
  <si>
    <t>La permanence des moyens nécessaires à l'application de la Vérification de la comptabilité informatisée fait-elle l'objet d'un audit régulier ?</t>
  </si>
  <si>
    <t>Les contrats de maintenance prévoient-ils le remplacement complet des équipements en cas d'endommagement important non susceptible d'être pris en charge par une maintenance curative ?</t>
  </si>
  <si>
    <t>05C01-01</t>
  </si>
  <si>
    <t>05C01-02</t>
  </si>
  <si>
    <t>05C01-03</t>
  </si>
  <si>
    <t>05C01-04</t>
  </si>
  <si>
    <t>05C01-05</t>
  </si>
  <si>
    <t>05C01-06</t>
  </si>
  <si>
    <t>Les issues de secours sont-elles placées sous contrôle permanent opérationnel 24h/24 permettant d'en diagnostiquer l'utilisation en temps réel ?</t>
  </si>
  <si>
    <t>11A02-01</t>
  </si>
  <si>
    <t>Le délai d'intervention des pompiers est-il inférieur à 15 minutes ?</t>
  </si>
  <si>
    <t>03D03-11</t>
  </si>
  <si>
    <t>Procède-t-on régulièrement à des tests des installations d'extinction et à des audits des procédures et des capacités d'intervention pour extinction d'incendie ?</t>
  </si>
  <si>
    <t>04A01-01</t>
  </si>
  <si>
    <t>Y a-t-il une dévalidation automatique de la session de l'utilisateur, en cas d'absence d'échange après un délai défini, nécessitant une nouvelle identification - authentification ?</t>
  </si>
  <si>
    <t>07A04-07</t>
  </si>
  <si>
    <t>Y a-t-il un contrôle systématique du profil du demandeur, de son contexte et de l'adéquation de ce profil et du contexte avec l'accès demandé, en fonction de règles de contrôle d'accès formalisées ?</t>
  </si>
  <si>
    <t>Sauvegarde des configurations logicielles (logiciels de base, de services et/ou paramètres de configuration)</t>
  </si>
  <si>
    <t>Une revue formelle des nouvelles fonctionnalités (ou des changements de fonctionnalités) liées à un changement majeur de système est-elle systématiquement réalisée, avec le concours de la fonction sécurité informatique ?</t>
  </si>
  <si>
    <t>min(03B03;03B04;03B06)</t>
  </si>
  <si>
    <t>A-t-on analysé chaque domaine de sécurité pour déterminer les exigences de continuité de service et en a-t-on déduit, si nécessaire, une architecture de redondance au niveau des points d'interconnexion, des équipements et du maillage du réseau ?</t>
  </si>
  <si>
    <t>05A02-02</t>
  </si>
  <si>
    <t>05A02-03</t>
  </si>
  <si>
    <t>A-t-on vérifié, par une analyse de la charge moyenne et crête de chaque segment de réseau, la compatibilité du réseau et de ses équipements avec cette charge et cette vérification est-elle régulièrement réactualisée ?</t>
  </si>
  <si>
    <t>05A02-04</t>
  </si>
  <si>
    <t>05A02-05</t>
  </si>
  <si>
    <t>Existe-t-il une mesure dynamique de la charge réseau et des outils d'équilibrage (load balancing) ?</t>
  </si>
  <si>
    <t>05A02-06</t>
  </si>
  <si>
    <t>05A02-07</t>
  </si>
  <si>
    <t>Grilles d'élaboration des STATUS-I</t>
  </si>
  <si>
    <t>1. Scénarios de type Disponibilité</t>
  </si>
  <si>
    <t>II = 1</t>
  </si>
  <si>
    <t>II = 2</t>
  </si>
  <si>
    <t>II = 3</t>
  </si>
  <si>
    <t>II = 4</t>
  </si>
  <si>
    <t>P</t>
  </si>
  <si>
    <t>R</t>
  </si>
  <si>
    <t>O</t>
  </si>
  <si>
    <t>A</t>
  </si>
  <si>
    <t>L</t>
  </si>
  <si>
    <t>2. Scénarios de type Intégrité</t>
  </si>
  <si>
    <t>3. Scénarios de type Confidentialité</t>
  </si>
  <si>
    <t>Liste des process</t>
  </si>
  <si>
    <t>en exploitation</t>
  </si>
  <si>
    <t>lors de la diffusion</t>
  </si>
  <si>
    <t>lors du stockage externalisé</t>
  </si>
  <si>
    <t>lors du stockage sur site</t>
  </si>
  <si>
    <t>max(03B04;03B05;03B06)</t>
  </si>
  <si>
    <t>Sécurité des équipements de servitude</t>
  </si>
  <si>
    <t>Tableau T2</t>
  </si>
  <si>
    <t>01B02-04;01B03-02</t>
  </si>
  <si>
    <t>02A03-01:02;02A03-06;02A04-01</t>
  </si>
  <si>
    <t>03B02-08;03B03-01;03B06-01</t>
  </si>
  <si>
    <t>06C01-03:04;06C03-01:02</t>
  </si>
  <si>
    <t>01B02-03:05;01B02-07:08</t>
  </si>
  <si>
    <t>08C04-03;08C07-01</t>
  </si>
  <si>
    <r>
      <t xml:space="preserve">En cas d'inhibition ou de by-pass de la solution de scellement ou de mise en œuvre d'une solution de secours du réseau par une voie non protégée, existe-t-il une procédure permettant d'en alerter immédiatement l'ensemble des utilisateurs ?
</t>
    </r>
    <r>
      <rPr>
        <i/>
        <sz val="8"/>
        <rFont val="Arial"/>
        <family val="2"/>
      </rPr>
      <t>Par exemple par un avertissement lors de l'utilisation de ce réseau demandant la validation active de l'utilisateur.</t>
    </r>
  </si>
  <si>
    <t>Y a-t-il une équipe (hot line) chargée de recueillir les appels liés au réseau étendu et de signaler et d'enregistrer tous les incidents ?</t>
  </si>
  <si>
    <r>
      <t xml:space="preserve">S'est-on assuré que les règles d'accès aux actifs sont cohérentes avec ce partitionnement en zones protégées ?
</t>
    </r>
    <r>
      <rPr>
        <i/>
        <sz val="8"/>
        <rFont val="Arial"/>
        <family val="2"/>
      </rPr>
      <t>Les actifs sont constitués des données, documents et équipements installés dans ces zones ou accessibles depuis ces zones.</t>
    </r>
  </si>
  <si>
    <t>Y-a-t-il un processus de mise à jour systématique des règles de partitionnement pour les zones de bureaux ?</t>
  </si>
  <si>
    <t>03D03-10</t>
  </si>
  <si>
    <t>05B01</t>
  </si>
  <si>
    <t>Gestion des profils d'accès au réseau local de données</t>
  </si>
  <si>
    <t>05B02</t>
  </si>
  <si>
    <t>Gestion des autorisations d'accès et privilèges (attribution, délégation, retrait)</t>
  </si>
  <si>
    <t>05B03</t>
  </si>
  <si>
    <t xml:space="preserve">Libellés des familles de scénarios </t>
  </si>
  <si>
    <t>F</t>
  </si>
  <si>
    <t>IC.E.De</t>
  </si>
  <si>
    <t>IC.E.Se</t>
  </si>
  <si>
    <t>IC.E.Age</t>
  </si>
  <si>
    <t>Pol</t>
  </si>
  <si>
    <t>IF.L</t>
  </si>
  <si>
    <t>IF.L.Exp</t>
  </si>
  <si>
    <t>Emission de faux courriel, par un tiers, avec falsification de signature</t>
  </si>
  <si>
    <t>Emission de fausse télécopie, par un tiers, avec falsification de signature</t>
  </si>
  <si>
    <t>se connectant sur un réseau de stockage</t>
  </si>
  <si>
    <t>F14-MA3</t>
  </si>
  <si>
    <t>Vol de documents rebutés</t>
  </si>
  <si>
    <t>Authentification de l'entité accédante lors des accès entrants depuis le réseau étendu</t>
  </si>
  <si>
    <t>04B03</t>
  </si>
  <si>
    <t>AB.S</t>
  </si>
  <si>
    <t>A-t-on analysé, pour chaque processus de vérification, ce qui pourrait le faire échouer ou affaiblir le niveau de confiance qu'aurait la partie à convaincre dans ce processus ?</t>
  </si>
  <si>
    <t>Ces mesures font-elles l'objet d'une revue périodique de pertinence ?</t>
  </si>
  <si>
    <t>Ces mesures font-elles l'objet d'un audit périodique ?</t>
  </si>
  <si>
    <t>Y a-t-il un responsable en charge de l’élaboration, le suivi et  les tests de ces plans ?</t>
  </si>
  <si>
    <t>01E02-10</t>
  </si>
  <si>
    <t>Ces plans prévoient-ils bien toutes les actions à entreprendre pour assurer la continuité de l'activité entre l'alerte et la mise en œuvre éventuelle des solutions de remplacement prévues par les plans de secours techniques ?</t>
  </si>
  <si>
    <t>Ces plans traitent-ils tous les aspects organisationnels liés à la solution de secours (personnel, logistique, encadrement, etc.) ?</t>
  </si>
  <si>
    <t>Hou</t>
  </si>
  <si>
    <t>pendant les heures ouvrables</t>
  </si>
  <si>
    <t>Gestion des archives documentaires</t>
  </si>
  <si>
    <r>
      <t xml:space="preserve">Procède-t-on régulièrement à des audits de la mise en oeuvre effective des mesures d'évitement et du maintien de leur pertinence ?
</t>
    </r>
    <r>
      <rPr>
        <i/>
        <sz val="8"/>
        <rFont val="Arial"/>
        <family val="2"/>
      </rPr>
      <t>Vérification de l'étude des risques.</t>
    </r>
  </si>
  <si>
    <t>Procède-t-on régulièrement à des tests des installations de détection ?</t>
  </si>
  <si>
    <t>Les critères d'acceptation de risque sont-ils examinés au cas par cas ?</t>
  </si>
  <si>
    <t>14A07</t>
  </si>
  <si>
    <t>Procède-t-on régulièrement à des audits des moyens et procédures garantissant la permanence des accès aux fichiers bureautiques ?</t>
  </si>
  <si>
    <t>12A</t>
  </si>
  <si>
    <t>12A01-01</t>
  </si>
  <si>
    <t>12A01-02</t>
  </si>
  <si>
    <t>Config. logicielle</t>
  </si>
  <si>
    <t>F01-ER4</t>
  </si>
  <si>
    <t>13G01-01:06;13G02-01:02;13G03-01</t>
  </si>
  <si>
    <t>Les actions de ces responsables font-elles l'objet d'un tableau de bord et d'un suivi régulier ?</t>
  </si>
  <si>
    <t>01A01-04</t>
  </si>
  <si>
    <t>08E02</t>
  </si>
  <si>
    <t>Détournement logique de fichiers ou données (téléchargement ou copie)</t>
  </si>
  <si>
    <t>Manipulation ou falsification matérielle d'équipement</t>
  </si>
  <si>
    <t>Terrorisme</t>
  </si>
  <si>
    <t>Vandalisme</t>
  </si>
  <si>
    <t>Indisponibilité</t>
  </si>
  <si>
    <t>Ce système détecte-t-il la présence de personnes en dehors des heures ouvrables ?</t>
  </si>
  <si>
    <t>03B04-04</t>
  </si>
  <si>
    <t>Ce système est-il doublé d'un système de contrôle audio et vidéo permettant à l'équipe de surveillance d'établir un premier diagnostic à distance ?</t>
  </si>
  <si>
    <t>03B04-05</t>
  </si>
  <si>
    <t>03B04-06</t>
  </si>
  <si>
    <t>03B04-07</t>
  </si>
  <si>
    <t>03B04-08</t>
  </si>
  <si>
    <t>03B04-09</t>
  </si>
  <si>
    <t>03B04-10</t>
  </si>
  <si>
    <t>03B05-01</t>
  </si>
  <si>
    <t>max(02C04;02C05)</t>
  </si>
  <si>
    <t>Cli</t>
  </si>
  <si>
    <t>à un arrêt de la climatisation</t>
  </si>
  <si>
    <t>Absence de service : Climatisation</t>
  </si>
  <si>
    <t>min(02A01;02A02;02A03;02A05)</t>
  </si>
  <si>
    <t>min(01E01;01E02)</t>
  </si>
  <si>
    <t>max(07D01;09E01;min(08D06;09E02);min(01E01;01E02))</t>
  </si>
  <si>
    <t>Tve</t>
  </si>
  <si>
    <t>Tvi</t>
  </si>
  <si>
    <t>des vandales ou des terroristes agissant depuis l'intérieur (après intrusion)</t>
  </si>
  <si>
    <t>04B01-04</t>
  </si>
  <si>
    <t>max(06A04;09C01)</t>
  </si>
  <si>
    <t>max(06A02;09C01)</t>
  </si>
  <si>
    <t>MA.L.Ele</t>
  </si>
  <si>
    <t>Captation électromagnétique</t>
  </si>
  <si>
    <t>Ele</t>
  </si>
  <si>
    <t xml:space="preserve">Possibilité de non fonctionnement d'un équipement </t>
  </si>
  <si>
    <t>Non fonctionnement</t>
  </si>
  <si>
    <t>Sous Type</t>
  </si>
  <si>
    <t>Type</t>
  </si>
  <si>
    <t>De</t>
  </si>
  <si>
    <t>Inc</t>
  </si>
  <si>
    <t>Ino</t>
  </si>
  <si>
    <t>Se</t>
  </si>
  <si>
    <t>Age</t>
  </si>
  <si>
    <t>Vir</t>
  </si>
  <si>
    <t>IT</t>
  </si>
  <si>
    <t>Ene</t>
  </si>
  <si>
    <t>Mai</t>
  </si>
  <si>
    <t>Par</t>
  </si>
  <si>
    <t>Gre</t>
  </si>
  <si>
    <t>Pro</t>
  </si>
  <si>
    <t>Del</t>
  </si>
  <si>
    <t>Den</t>
  </si>
  <si>
    <t>Fal</t>
  </si>
  <si>
    <t>Rej</t>
  </si>
  <si>
    <t>Tot</t>
  </si>
  <si>
    <t>Ter</t>
  </si>
  <si>
    <t>Van</t>
  </si>
  <si>
    <t>Incident dû à l'environnement</t>
  </si>
  <si>
    <t>IC.E</t>
  </si>
  <si>
    <t>11E02-06</t>
  </si>
  <si>
    <t>Ce programme a-t-il été approuvé par le responsable ou le répondant en matière de Communication financière?</t>
  </si>
  <si>
    <t>F07-MA3</t>
  </si>
  <si>
    <t>Liste des accès (code_acces)</t>
  </si>
  <si>
    <t>se connectant depuis le réseau interne</t>
  </si>
  <si>
    <t>se connectant, depuis l'extérieur, au réseau local</t>
  </si>
  <si>
    <t>se connectant par un port de télémaintenance</t>
  </si>
  <si>
    <t>Apc</t>
  </si>
  <si>
    <t>se connectant sur le réseau étendu</t>
  </si>
  <si>
    <t>F10-FA1</t>
  </si>
  <si>
    <t>F10-FA2</t>
  </si>
  <si>
    <t>13E04-01</t>
  </si>
  <si>
    <t>13E04-02</t>
  </si>
  <si>
    <t>13E04-03</t>
  </si>
  <si>
    <t>13E04</t>
  </si>
  <si>
    <t>13E03</t>
  </si>
  <si>
    <t xml:space="preserve">Sécurité des personnes et protection de l'environnement </t>
  </si>
  <si>
    <t>Les procédures d'escalade en cas de difficulté de maintenance sont-elles précisées et prévoient-elles l'intervention de spécialistes dans des délais courts compatibles avec la criticité des équipements ?</t>
  </si>
  <si>
    <t>04A03-06</t>
  </si>
  <si>
    <t>Le nombre et la proximité des spécialistes sont-ils précisés et donnent-ils une bonne garantie de maintenance dans des délais acceptables ?</t>
  </si>
  <si>
    <t>04A03-07</t>
  </si>
  <si>
    <t>Existe-t-il une structure de coordination ou une procédure permettant au RSSI de définir le programme d'audit interne annuel ou de participer à sa définition ?</t>
  </si>
  <si>
    <t>01A04-04</t>
  </si>
  <si>
    <t>Contrôle-t-on régulièrement qu'une reprise ou un redémarrage est effectivement possible à partir des sauvegardes réalisées (test complet vérifiant le fonctionnement d'ensemble et l'absence de problème de synchronisme ou de cohérence) ?</t>
  </si>
  <si>
    <t>Dispose-t-on systématiquement de plusieurs générations de fichiers afin de pouvoir s'affranchir d'un manque ou d'un illisible, en organisant par exemple une rotation des supports de sauvegarde ?</t>
  </si>
  <si>
    <t>01E02-03</t>
  </si>
  <si>
    <t>01E02-04</t>
  </si>
  <si>
    <t>01E02-05</t>
  </si>
  <si>
    <t>Les Plans de Continuité d'Activité prévoient-ils les procédures de retour à la normale ?</t>
  </si>
  <si>
    <t>01E02-06</t>
  </si>
  <si>
    <t>01E02-07</t>
  </si>
  <si>
    <t>01E02-08</t>
  </si>
  <si>
    <t>01E02-09</t>
  </si>
  <si>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(distributeur) ?</t>
  </si>
  <si>
    <t>L'authenticité des notes publiées (ou de la Charte) relative aux devoirs et responsabilités du personnel est-elle contrôlée ?</t>
  </si>
  <si>
    <t>01B01-12</t>
  </si>
  <si>
    <t>Existe-t-il, pour chacun de ces responsables, une définition de fonction précisant, en particulier, ses finalités, responsabilités et interfaces avec les autres domaines de sécurité ?</t>
  </si>
  <si>
    <t>E2</t>
  </si>
  <si>
    <t>01A01-03</t>
  </si>
  <si>
    <t>Les conditions d'accès aux archives et les systèmes de sécurité associés font-ils l'objet d'audits réguliers ?</t>
  </si>
  <si>
    <t>08H03-01</t>
  </si>
  <si>
    <t>Protection de l'intégrité des fichiers contenus sur le poste de travail ou sur un serveur de données (disque logique pour le poste de travail)</t>
  </si>
  <si>
    <t>11C05</t>
  </si>
  <si>
    <t>Travail en dehors des locaux de l'entreprise</t>
  </si>
  <si>
    <t>11C06</t>
  </si>
  <si>
    <t>11D01</t>
  </si>
  <si>
    <t xml:space="preserve">S02 </t>
  </si>
  <si>
    <t>Blocage</t>
  </si>
  <si>
    <t>Altération des fonctions des télécommunications</t>
  </si>
  <si>
    <t xml:space="preserve"> de services du réseau étendu</t>
  </si>
  <si>
    <t>09B05-02</t>
  </si>
  <si>
    <t>09B05-03</t>
  </si>
  <si>
    <t>09B05-04</t>
  </si>
  <si>
    <t>09B05-05</t>
  </si>
  <si>
    <t>09C</t>
  </si>
  <si>
    <t>Contrôle de la confidentialité des données</t>
  </si>
  <si>
    <t>09C01-01</t>
  </si>
  <si>
    <t>A-t-on défini les messages ou échanges devant être protégés par des solutions de chiffrement et mis en place de telles solutions au niveau applicatif ?</t>
  </si>
  <si>
    <t>09C01-02</t>
  </si>
  <si>
    <t>07D01-02</t>
  </si>
  <si>
    <t>Cette analyse a-t-elle permis de formaliser les performances minimales à assurer au niveau de chaque système et ces performances minimales ont-elles été acceptées par les utilisateurs (propriétaires d'information) ?</t>
  </si>
  <si>
    <t>07D01-03</t>
  </si>
  <si>
    <t>En a-t-on déduit des architectures de redondance (ex. clusters) ou de réplication (ex. disques miroirs) appropriées pour les serveurs ou équipements concernés ?</t>
  </si>
  <si>
    <t>Les moyens d'intervention sur le réseau étendu (tant de diagnostic que de reconfiguration) couvrent-ils de manière satisfaisante tous les cas de figures analysés et permettent-ils de mettre en œuvre les solutions décidées dans les délais spécifiés ?</t>
  </si>
  <si>
    <t>04A04-04</t>
  </si>
  <si>
    <t>09B03-03</t>
  </si>
  <si>
    <t>09B03-04</t>
  </si>
  <si>
    <t>Existe-t-il un contrôle global sur des séries de saisie (somme, fourchette, min, max., etc.) ?</t>
  </si>
  <si>
    <t>09B03-05</t>
  </si>
  <si>
    <t>La saisie fait-elle l'objet de contrôles de cohérence incorporés au processus de saisie ?</t>
  </si>
  <si>
    <t>09B03-06</t>
  </si>
  <si>
    <t>04A03-04</t>
  </si>
  <si>
    <t>Les pénalités en cas de non tenue des engagements par le titulaire du contrat de maintenance sont-elles réellement dissuasives ?</t>
  </si>
  <si>
    <t>04A03-05</t>
  </si>
  <si>
    <t>13E03-02</t>
  </si>
  <si>
    <t>13E03-03</t>
  </si>
  <si>
    <t>13E03-01</t>
  </si>
  <si>
    <t>Ces contrôles visent-ils l'intégralité du parc d'ordinateurs ?</t>
  </si>
  <si>
    <t>Effacement accidentel de configuration (code, paramétrage, etc.)</t>
  </si>
  <si>
    <t>Ce programme a-t-il été approuvé par le responsable ou le répondant en matière de Sécurité des personnes et protection de l'environnement ?</t>
  </si>
  <si>
    <t>Ces règles obligent-elles à rapporter vers une entité centrale tout incident ou anomalie mettant en cause la sécurité du réseau étendu ?</t>
  </si>
  <si>
    <t>04B01-11</t>
  </si>
  <si>
    <t>Config. Logicielle</t>
  </si>
  <si>
    <t>F01-EA5</t>
  </si>
  <si>
    <t>Existe-t-il une mesure dynamique de la charge du réseau étendu et des outils d'équilibrage (load balancing) ?</t>
  </si>
  <si>
    <t>04A01-06</t>
  </si>
  <si>
    <t>Les outils de monitoring et de reconfiguration du réseau permettent-ils une action en temps réel compatible avec les besoins des utilisateurs ?</t>
  </si>
  <si>
    <t>04A01-07</t>
  </si>
  <si>
    <t>Administration des supports</t>
  </si>
  <si>
    <t>Ce document précise-t-il les devoirs et responsabilités du personnel quant à l'utilisation et la protection des moyens d'authentification (mots de passe, clés, tokens, badges, etc.) mis à sa disposition ?</t>
  </si>
  <si>
    <t>01B01-03</t>
  </si>
  <si>
    <t>Les devoirs et responsabilités du personnel précisent-ils la conduite à tenir lorsque le poste est laissé vacant (fermeture de session, logoff, écran de veille, verrouillage, etc.) ?</t>
  </si>
  <si>
    <t>Les droits et profils ainsi définis sont-ils protégés contre toute altération ou falsification, lors de leur transfert entre les décisionnaires et les personnes en charge de matérialiser ces droits ou lors de leur stockage ?</t>
  </si>
  <si>
    <t>02A01-06</t>
  </si>
  <si>
    <t>Y a-t-il un système de redondance pour les équipements de climatisation les plus critiques ?</t>
  </si>
  <si>
    <t>N°</t>
  </si>
  <si>
    <t>11C03</t>
  </si>
  <si>
    <t>Prise en compte de la confidentialité lors des opérations de maintenance des postes utilisateurs</t>
  </si>
  <si>
    <t>11C04</t>
  </si>
  <si>
    <t>08H02-10</t>
  </si>
  <si>
    <t>A-t-on défini les liens permanents et les échanges de données devant être protégés par des solutions de scellement et mis en place de telles solutions au niveau du réseau étendu ?</t>
  </si>
  <si>
    <t>04C02-02</t>
  </si>
  <si>
    <t>04C02-03</t>
  </si>
  <si>
    <t>04C02-04</t>
  </si>
  <si>
    <t>04C02-05</t>
  </si>
  <si>
    <t>Indisponibilité de services bureautiques communs</t>
  </si>
  <si>
    <t>Serveur</t>
  </si>
  <si>
    <t>08D02</t>
  </si>
  <si>
    <t>08D03</t>
  </si>
  <si>
    <t>Surveillance périmétrique (surveillance des issues et des abords immédiats des locaux sensibles)</t>
  </si>
  <si>
    <t>03B06</t>
  </si>
  <si>
    <t>Surveillance des locaux sensibles</t>
  </si>
  <si>
    <t>03B07</t>
  </si>
  <si>
    <t>Contrôle d'accès au câblage</t>
  </si>
  <si>
    <t>03B08</t>
  </si>
  <si>
    <t>Archives documen-taires</t>
  </si>
  <si>
    <t>Documents personnels</t>
  </si>
  <si>
    <t>Fichiers bureautiques personnels</t>
  </si>
  <si>
    <t>Les tests de relecture comprennent-ils des tests d'authenticité des informations stockées ?</t>
  </si>
  <si>
    <t>08C05-06</t>
  </si>
  <si>
    <t>08C05-07</t>
  </si>
  <si>
    <t>L'ensemble des procédures concernant la vérification des supports d'archivage fait-il l'objet d'un audit régulier ?</t>
  </si>
  <si>
    <t>08C06-01</t>
  </si>
  <si>
    <r>
      <t xml:space="preserve">Equipements mis à la disposition des utilisateurs (PC, imprimantes locales, périphériques, interfaces spécifiques, etc.)
</t>
    </r>
    <r>
      <rPr>
        <b/>
        <sz val="10"/>
        <color indexed="10"/>
        <rFont val="Arial"/>
        <family val="2"/>
      </rPr>
      <t>Nota : Considérer ici la perte massive de ces services et non celle d'un seul utilisateur</t>
    </r>
  </si>
  <si>
    <t xml:space="preserve"> d'équipements mis à la disposition des utilisateurs</t>
  </si>
  <si>
    <t>Y a-t-il un audit régulier, au moins une fois par an, de l'ensemble des systèmes de chiffrement des données échangées et des procédures associées ?</t>
  </si>
  <si>
    <t xml:space="preserve">Contrôle de l'intégrité des échanges </t>
  </si>
  <si>
    <t>04C02-01</t>
  </si>
  <si>
    <t>PR.N.Naa</t>
  </si>
  <si>
    <t>PR.N.Nam</t>
  </si>
  <si>
    <t>Les développements d’applications (et leur mise à jour) inclus dans le périmètre VCI donnent-ils lieu à une documentation conforme aux règles en vigueur ?</t>
  </si>
  <si>
    <t xml:space="preserve">Contrôle de l'application de la politique relative à la Protection des systèmes informatisés </t>
  </si>
  <si>
    <t>L'application de la politique relative à la Protection des systèmes informatisés  fait-elle périodiquement l'objet d'un audit?</t>
  </si>
  <si>
    <t>13E01-09</t>
  </si>
  <si>
    <t>13E01-10</t>
  </si>
  <si>
    <t>13E01-11</t>
  </si>
  <si>
    <r>
      <t xml:space="preserve">Procède-t-on systématiquement, dès la phase de spécification de projets, à une analyse des dysfonctionnements pouvant être induits par l'application ou les applications mises en place ?
</t>
    </r>
    <r>
      <rPr>
        <i/>
        <sz val="8"/>
        <rFont val="Arial"/>
        <family val="2"/>
      </rPr>
      <t xml:space="preserve">Notes : Un projet peut consister en la mise en place d'un progiciel métier, autant que résulter de développements internes. 
Les dysfonctionnements à analyser doivent l'être à deux niveaux : au niveau de l'activité de l'entreprise et de ses processus opérationnels (les fonctionnalités nouvelles ou au contraire supprimées apportent-elles des risques nouveaux ?) et au niveau de l'architecture informatique (infrastructure, systèmes opératoires, middleware, applications, données : cette nouvelle architecture apporte-t-elle des risques nouveaux ?). </t>
    </r>
  </si>
  <si>
    <t>Existe-t-il des revues de projet au cours desquelles ces risques sont présentés, des décisions sont prises quant à leur caractère acceptable ou non, et des mesures de sécurité additionnelles éventuelles nécessaires sont décidées ?</t>
  </si>
  <si>
    <t>08D03-07</t>
  </si>
  <si>
    <t>Les équipements ouverts à la télémaintenance sont-ils protégés contre toute modification des conditions d'accès à la télémaintenance avec émission d'une alarme en cas de violation ?</t>
  </si>
  <si>
    <t>Les modifications de ces procédures d'exploitation sont-elles approuvées par le responsable de l'exploitation ?</t>
  </si>
  <si>
    <t>Effectue-t-on un contrôle d'authenticité de l'origine et d'intégrité du contenu lors de la réception d'un module "maintenance" ou d'une nouvelle version du fournisseur de progiciel ou du constructeur (pour les systèmes opératoires) ?</t>
  </si>
  <si>
    <t>Existe-t-il un recueil regroupant l'ensemble des dispositions légales ou réglementaires relatives à la sécurité des personnes et à la protection de l'environnement  ?</t>
  </si>
  <si>
    <t>11E02-01</t>
  </si>
  <si>
    <t>11E02-02</t>
  </si>
  <si>
    <t>11E02-03</t>
  </si>
  <si>
    <t>11E02-04</t>
  </si>
  <si>
    <t>11E02-05</t>
  </si>
  <si>
    <t>Les outils ou utilitaires sensibles (administration des privilèges, gestion des configurations, sauvegardes, copies, reprises à chaud, etc.) sont-ils recensés de manière exhaustive pour chaque type de profil ?</t>
  </si>
  <si>
    <t>08A02-04</t>
  </si>
  <si>
    <t>Existe-t-il une procédure de gestion des demandes d'ouvertures de connexions interdomaines, et une structure en charge d'analyser ces demandes, d'accorder des autorisations et de définir les règles de filtrage (filtrage sur les adresses, les services demandés, les protocoles, etc.) ?</t>
  </si>
  <si>
    <t>Effacement malveillant généralisé de configurations (programmes, codes, paramétrage, etc.)</t>
  </si>
  <si>
    <t>min(11E02;11E03)</t>
  </si>
  <si>
    <t>01A03-05</t>
  </si>
  <si>
    <t>Existe-t-il un recueil regroupant l'ensemble des dispositions légales ou réglementaires relatives à la Protection des systèmes informatisés  ?</t>
  </si>
  <si>
    <t>04A05-01</t>
  </si>
  <si>
    <t>Procède-t-on, avant toute maintenance à chaud, à une sauvegarde complète des données de production (en synchronisme) permettant de revenir à la situation antérieure en cas de problème ?</t>
  </si>
  <si>
    <t>10B06-04</t>
  </si>
  <si>
    <t>10B06-05</t>
  </si>
  <si>
    <t>Les procédures de maintenance à chaud et leur application font-elles l'objet d'un audit régulier ?</t>
  </si>
  <si>
    <t>11A</t>
  </si>
  <si>
    <t>Contrôle des accès aux zones de bureaux</t>
  </si>
  <si>
    <t>9.2.4</t>
  </si>
  <si>
    <t>04A03-02</t>
  </si>
  <si>
    <r>
      <t xml:space="preserve">Le poste de surveillance a-t-il la possibilité de faire intervenir rapidement un équipe d'intervention ayant les moyens d'action suffisants pour agir ?
</t>
    </r>
    <r>
      <rPr>
        <i/>
        <sz val="8"/>
        <rFont val="Arial"/>
        <family val="2"/>
      </rPr>
      <t>Par exemple : existence de robinets d'arrêt ou de shunts protégés, poste de surveillance disposant de plans à jour des canalisations et des robinets d'arrêt, bâches plastiques pour protéger les équipements, etc.</t>
    </r>
  </si>
  <si>
    <t>Procède-t-on régulièrement à des tests des installations d'évacuation ?</t>
  </si>
  <si>
    <t>Y a-t-il un mécanisme d'authentification de chaque utilisateur avant tout accès à une ressource du réseau local ?</t>
  </si>
  <si>
    <t>A-t-on fait une analyse approfondie des événements ou successions d'événements menés avec des droits d'administration et pouvant avoir un impact sur la sécurité (configuration des systèmes de sécurité, accès à des informations sensibles, utilisation d'outils sensibles, téléchargement ou modification d'outils d'administration, etc.) ?</t>
  </si>
  <si>
    <t>08F03-02</t>
  </si>
  <si>
    <t>08F03-03</t>
  </si>
  <si>
    <t>08F03-04</t>
  </si>
  <si>
    <t>08F03-05</t>
  </si>
  <si>
    <t>08F03-06</t>
  </si>
  <si>
    <t>08F03-07</t>
  </si>
  <si>
    <t>08F03-08</t>
  </si>
  <si>
    <t>08F03-09</t>
  </si>
  <si>
    <t>08G</t>
  </si>
  <si>
    <t>Procédures d'audit et de contrôle des systèmes de traitement de l'information</t>
  </si>
  <si>
    <t>08G01-01</t>
  </si>
  <si>
    <t>Les exigences et les procédures à respecter pour les audits menés sur les systèmes opérationnels ont-elles été édictées par le management ?</t>
  </si>
  <si>
    <t>08G01-02</t>
  </si>
  <si>
    <t>08G01-03</t>
  </si>
  <si>
    <t>08G01-04</t>
  </si>
  <si>
    <t>08G02-01</t>
  </si>
  <si>
    <t>08G02-02</t>
  </si>
  <si>
    <t>08G02-03</t>
  </si>
  <si>
    <t>08H</t>
  </si>
  <si>
    <t>Les risques résiduels, après traitement ou ne donnant pas lieu à des traitements complémentaires, sont-ils présentés pour validation par la Direction ?</t>
  </si>
  <si>
    <t>14A08</t>
  </si>
  <si>
    <t>Sélection des mesures de sécurité et construction d'une déclaration d'applicabilité</t>
  </si>
  <si>
    <t>14A08-01</t>
  </si>
  <si>
    <t>min(12E02;12E03)</t>
  </si>
  <si>
    <t xml:space="preserve">Sécurité de l'architecture </t>
  </si>
  <si>
    <t>07D01-01</t>
  </si>
  <si>
    <t>Cette solution de secours est-elle parfaitement opérationnelle ?</t>
  </si>
  <si>
    <t>A-t-on la garantie formelle de la compatibilité et de la capacité des solutions de secours à assurer une charge opérationnelle suffisante et approuvée par les utilisateurs ?</t>
  </si>
  <si>
    <t>05B</t>
  </si>
  <si>
    <t>Contrôle d'accès au réseau local de "données"</t>
  </si>
  <si>
    <t>05B01-01</t>
  </si>
  <si>
    <t>08D03-04</t>
  </si>
  <si>
    <t>A-t-on défini, pour chaque incident d'exploitation, un délai de résolution et une procédure d'escalade en cas d'insuccès ou de retard des mesures prévues ?</t>
  </si>
  <si>
    <r>
      <t xml:space="preserve">En cas d'inhibition ou de by-pass de la solution de scellement ou de mise en oeuvre d'une solution de secours du réseau par une voie non protégée, existe-t-il une procédure permettant d'en alerter immédiatement l'ensemble des utilisateurs ?
</t>
    </r>
    <r>
      <rPr>
        <i/>
        <sz val="8"/>
        <rFont val="Arial"/>
        <family val="2"/>
      </rPr>
      <t>Par exemple par un avertissement lors de l'utilisation de ce réseau demandant la validation active de l'utilisateur.</t>
    </r>
  </si>
  <si>
    <t>P38</t>
  </si>
  <si>
    <t>P39</t>
  </si>
  <si>
    <t>P40</t>
  </si>
  <si>
    <t>Conformité aux réglementations relatives à la sécurité des personnes et à la protection de l'environnement</t>
  </si>
  <si>
    <t>G01-D</t>
  </si>
  <si>
    <t>Indisponibilité de l'environnemente travail des utilisateurs</t>
  </si>
  <si>
    <t>G02-D</t>
  </si>
  <si>
    <t>F17</t>
  </si>
  <si>
    <r>
      <t xml:space="preserve">Ces copies de sauvegarde de recours sont-elles conservées dans un local sécurisé et protégé des risques accidentels et d'intrusion ?
</t>
    </r>
    <r>
      <rPr>
        <i/>
        <sz val="8"/>
        <rFont val="Arial"/>
        <family val="2"/>
      </rPr>
      <t>Un tel local devrait être protégé par un contrôle d'accès renforcé et, en outre, être protégé contre les risques d'incendie et de dégâts des eaux.</t>
    </r>
  </si>
  <si>
    <t>Paramétrage des systèmes et contrôle de la conformité des configurations systèmes</t>
  </si>
  <si>
    <t>08B02</t>
  </si>
  <si>
    <t>Contrôle de la conformité des configurations applicatives (logiciels et progiciels)</t>
  </si>
  <si>
    <t>08B03</t>
  </si>
  <si>
    <t>Contrôle de la conformité des programmes de référence (Sources et exécutables)</t>
  </si>
  <si>
    <t>Le déclenchement à distance de nouvelles installations sur les postes utilisateurs est-il réservé à une population limitée d'administrateurs spécifiques du parc bureautique ?</t>
  </si>
  <si>
    <r>
      <t xml:space="preserve">A-t-on établi la liste des types d'enregistrements à conserver, associée aux procédures et protections à appliquer jusqu'à leur élimination ?
</t>
    </r>
    <r>
      <rPr>
        <i/>
        <sz val="8"/>
        <rFont val="Arial"/>
        <family val="2"/>
      </rPr>
      <t>Y compris les supports de conservation (papier, microfiches, fichiers) et leur conservation pendant les durées de rétention exigées.</t>
    </r>
  </si>
  <si>
    <t>A-t-on répertorié précisément l'ensemble des équipements de servitude nécessaires aux systèmes d'information et de communication (eau froide, air, alimentations particulières, etc.) ?</t>
  </si>
  <si>
    <r>
      <t xml:space="preserve">Les contrats informatiques conclus avec des tiers contiennent-ils une clause juridique spécifique prenant en compte la réglementation sur la VCI  (mise à disposition de code source, documentation, assistance technique en cas de vérification) ?
</t>
    </r>
    <r>
      <rPr>
        <i/>
        <sz val="8"/>
        <rFont val="Arial"/>
        <family val="2"/>
      </rPr>
      <t>Tiers = fournisseurs de logiciels (système, applications, utilitaires, etc.) concernés par la VCI.</t>
    </r>
  </si>
  <si>
    <t>Divulgation acccidentelle de courriel, par erreur d'adressage</t>
  </si>
  <si>
    <t>F19-ER2</t>
  </si>
  <si>
    <t>L'ensemble des locaux classifiés comme sensibles sont-ils situés tous dans des zones non accessibles par le public ?</t>
  </si>
  <si>
    <t>03B08-02</t>
  </si>
  <si>
    <t>03B08-03</t>
  </si>
  <si>
    <t>L'implantation des locaux sensibles est-elle absente des répertoires téléphoniques ?</t>
  </si>
  <si>
    <t>03C</t>
  </si>
  <si>
    <t>Sécurité contre les dégâts des eaux</t>
  </si>
  <si>
    <t>03C01-01</t>
  </si>
  <si>
    <t>03C01-02</t>
  </si>
  <si>
    <t>03C01-03</t>
  </si>
  <si>
    <t>Contrôle-t-on régulièrement la conformité des configurations matérielles des postes de travail des utilisateurs par rapport à la liste des options autorisées ?</t>
  </si>
  <si>
    <t>L'inhibition du processus de contrôle déclenche-t-elle une alarme auprès d'un responsable ?</t>
  </si>
  <si>
    <t>08C03-07</t>
  </si>
  <si>
    <t>A-t-on un système opérationnel de détection des intrusions dans les locaux de stockage relié à un poste permanent de surveillance  ?</t>
  </si>
  <si>
    <t>05A01-12</t>
  </si>
  <si>
    <t>05A02-01</t>
  </si>
  <si>
    <t>Le système de secours d'alimentation en énergie est-il équipé d'un système de contrôle signalant à une équipe d'intervention toute indisponibilité partielle ou inhibition d'équipement (mise hors service des équipements de secours, réserve de fuel insuffisante, arrêt des systèmes de détection et de commutation, etc.) ?</t>
  </si>
  <si>
    <t>03A03-01</t>
  </si>
  <si>
    <t>Les procédures et les instructions sont-elles régulièrement auditées ?</t>
  </si>
  <si>
    <t>Services applicatifs spécifiques des utilisateurs (développements propres)</t>
  </si>
  <si>
    <t>Services généraux communs</t>
  </si>
  <si>
    <t>G01</t>
  </si>
  <si>
    <t>Contrôle d'accès physique aux zones de bureaux protégées</t>
  </si>
  <si>
    <t>Y-a-t-il un processus de mise à jour systématique de la politique de gestion des droits d'accès ?</t>
  </si>
  <si>
    <t>13G</t>
  </si>
  <si>
    <t>Règles relatives à l'utilisation de moyens cryptologiques</t>
  </si>
  <si>
    <t>Politique et directives relatives à l'utilisation de moyens cryptologiques</t>
  </si>
  <si>
    <t>13G01</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</si>
  <si>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</si>
  <si>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</si>
  <si>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</si>
  <si>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</si>
  <si>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</si>
  <si>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</si>
  <si>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</si>
  <si>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</si>
  <si>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</si>
  <si>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</si>
  <si>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</si>
  <si>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</si>
  <si>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</si>
  <si>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</si>
  <si>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</si>
  <si>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</si>
  <si>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</si>
  <si>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</si>
  <si>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</si>
  <si>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</si>
  <si>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</si>
  <si>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</si>
  <si>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</si>
  <si>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</si>
  <si>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</si>
  <si>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</si>
  <si>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</si>
  <si>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</si>
  <si>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</si>
  <si>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</si>
  <si>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</si>
  <si>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</si>
  <si>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</si>
  <si>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</si>
  <si>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</si>
  <si>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</si>
  <si>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</si>
  <si>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r>
      <t xml:space="preserve">Le processus de définition ou de modification de l'authentifiant supportant le contrôle d'accès pour les accès depuis un sous-réseau WiFi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d'authentifiants fixes (numéro de l'appelant), procédure de call-back.
Dans le cas de certificats ou d'authentification reposant sur des mécanismes cryptologiques, processus de génération évalué ou reconnu publiquement, clés de chiffrement de longueur suffisante, etc.</t>
    </r>
  </si>
  <si>
    <t>A-t-on procédé à une analyse poussée, pour chaque type de système, des fichiers et zones temporaires affectés à des stockages temporaires d'information et des moyens d'accès à ces fichiers et zones temporaires ?</t>
  </si>
  <si>
    <t>07B01-02</t>
  </si>
  <si>
    <r>
      <t xml:space="preserve">L'acceptation de l'identifiant par le contrôle d'accès sortant est-elle systématiquement sujette à une authentification ?
</t>
    </r>
    <r>
      <rPr>
        <i/>
        <sz val="8"/>
        <rFont val="Arial"/>
        <family val="2"/>
      </rPr>
      <t>L'authentification systématique requiert que ce processus soit effectivement mis en oeuvre pour l'ensemble des voies et ports d'accès sortants.</t>
    </r>
  </si>
  <si>
    <t>Les diverses mesures d'évitement de risque de dégât des eaux sont-elles protégées contre une mise hors service et placées sous un contrôle permanent ?</t>
  </si>
  <si>
    <t>03C01-04</t>
  </si>
  <si>
    <t>Le câblage est-il protégé contre les risques courants d'accident  ?
(par exemple par la mise en œuvre de goulottes protégées, encoffrement des chemins de câble….)</t>
  </si>
  <si>
    <t>Les procédures et instructions de sécurité précisent-elles les règles de sécurité relatives à la diffusion de documents sensibles ?</t>
  </si>
  <si>
    <t>Utilisation d'équipements personnels ou externes (n'appartenant pas à l'entreprise)</t>
  </si>
  <si>
    <t>Vol ou destruction malveillante de moyens nécessaires à l'accès aux fichiers</t>
  </si>
  <si>
    <r>
      <t xml:space="preserve">Masquer </t>
    </r>
    <r>
      <rPr>
        <sz val="10"/>
        <rFont val="Wingdings"/>
        <charset val="2"/>
      </rPr>
      <t>è</t>
    </r>
  </si>
  <si>
    <t>Media support de logiciel</t>
  </si>
  <si>
    <t>Type de vulnérabilité</t>
  </si>
  <si>
    <t>Événement</t>
  </si>
  <si>
    <t>Incident logique ou fonctionnel</t>
  </si>
  <si>
    <t>Accident matériel</t>
  </si>
  <si>
    <t>Absence accidentelle de personnel</t>
  </si>
  <si>
    <t>Absence ou indisponibilité accidentelle de service</t>
  </si>
  <si>
    <t>Erreur de conception</t>
  </si>
  <si>
    <t>Erreur de manipulation ou dans le suivi d'une procédure</t>
  </si>
  <si>
    <t>Media sup. programme</t>
  </si>
  <si>
    <t>Perte, par disparition accidentelle, de media support de programme</t>
  </si>
  <si>
    <t>Perte, par destruction accidentelle, de media support de programme</t>
  </si>
  <si>
    <t>F03-MA1</t>
  </si>
  <si>
    <t xml:space="preserve">Type </t>
  </si>
  <si>
    <t>Circonstances</t>
  </si>
  <si>
    <t>Acteur</t>
  </si>
  <si>
    <t xml:space="preserve">Lieux </t>
  </si>
  <si>
    <t>Temps</t>
  </si>
  <si>
    <t>Process</t>
  </si>
  <si>
    <t>Code</t>
  </si>
  <si>
    <t>D01</t>
  </si>
  <si>
    <t>D</t>
  </si>
  <si>
    <t>Media</t>
  </si>
  <si>
    <t>Destruction</t>
  </si>
  <si>
    <t>Méd.</t>
  </si>
  <si>
    <t>AC.E.Inc</t>
  </si>
  <si>
    <t>AC.E.Ino</t>
  </si>
  <si>
    <t>Endommagement</t>
  </si>
  <si>
    <t>Exp</t>
  </si>
  <si>
    <t>09</t>
  </si>
  <si>
    <r>
      <t xml:space="preserve">Le processus de définition ou de modification de l'authentifiant supportant le contrôle d'accès pour les accès externes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d'authentifiants fixes (numéro de l'appelant), procédure de call-back.
Dans le cas de certificats ou d'authentification reposant sur des mécanismes cryptologiques, processus de génération évalué ou reconnu publiquement, clés de chiffrement de longueur suffisante, etc.</t>
    </r>
  </si>
  <si>
    <t>L'accès au poste de travail en lui-même (hors connexion au réseau) est-il protégé par un mot de passe ou un système d'authentification ?</t>
  </si>
  <si>
    <t>11C01-02</t>
  </si>
  <si>
    <t>11C01-03</t>
  </si>
  <si>
    <t>11C01-04</t>
  </si>
  <si>
    <t>Non application</t>
  </si>
  <si>
    <t>Les différentes procédures issues des études faites sont-elles consignées dans un plan de sauvegardes comprenant, pour chaque classe de fichiers, la fréquence, les modalités de constitution et les synchronismes nécessaires ?</t>
  </si>
  <si>
    <t>08D05-05</t>
  </si>
  <si>
    <t>08D05-06</t>
  </si>
  <si>
    <t>Ce plan de contrôle indique-t-il la conduite à tenir en cas d'incident ou d'anomalie ?</t>
  </si>
  <si>
    <t>08D05-07</t>
  </si>
  <si>
    <t>Est-ce que ces méthodes d'évaluation ont été validées par la Direction ?</t>
  </si>
  <si>
    <t>G02</t>
  </si>
  <si>
    <t>Dans les applications, est-il prévu des capteurs d'événements sensibles et l'enregistrement de ces événements (type d'événement, identifiant de l'utilisateur, date et heure,  etc.) ?</t>
  </si>
  <si>
    <t>09G01-03</t>
  </si>
  <si>
    <t>Existe-t-il des moyens permanents d'évacuation des eaux (pompage, voie naturelle, etc.) et une équipe formée pour les mettre en oeuvre ?</t>
  </si>
  <si>
    <t>03C03-02</t>
  </si>
  <si>
    <t>A-t-on analysé les risques liés aux accès de clients ou du public au système d'information (ou à une partie du système d'information) ou aux locaux contenant de l'information et défini en conséquences les mesures de sécurité nécessaires ?</t>
  </si>
  <si>
    <t>6.2.2</t>
  </si>
  <si>
    <t>01C05-03</t>
  </si>
  <si>
    <t>A-t-on analysé les risques liés aux transfert d'informations ou de logiciels avec un tiers, et formalisé contractuellement les procédures, responsabilités et obligations de chacune des parties ?</t>
  </si>
  <si>
    <t>01C05-04</t>
  </si>
  <si>
    <t>01C05-05</t>
  </si>
  <si>
    <t>Tout accès d'un tiers au système d'information ou aux locaux contenant de l'information n'est-il autorisé qu'après la signature d'un accord formel reprenant ces clauses ?</t>
  </si>
  <si>
    <t>01C06-01</t>
  </si>
  <si>
    <r>
      <t xml:space="preserve">En cas d'inhibition ou de by-pass de la solution de chiffrement ou de mise en oeuvre d'une solution de secours du réseau par une voie non protégée, existe-t-il une procédure permettant d'en alerter immédiatement l'ensemble des utilisateurs ?
</t>
    </r>
    <r>
      <rPr>
        <i/>
        <sz val="8"/>
        <rFont val="Arial"/>
        <family val="2"/>
      </rPr>
      <t>Par exemple par un avertissement lors de l'utilisation de ce réseau demandant la validation active de l'utilisateur.</t>
    </r>
  </si>
  <si>
    <t>Les installations de détection automatique sont-elles reliées à un poste permanent de surveillance, équipées d'un système permettant de localiser les détecteurs ayant réagi ?</t>
  </si>
  <si>
    <t>de saisie ou de frappe</t>
  </si>
  <si>
    <r>
      <t xml:space="preserve">Les processus qui assurent l'authentification pour les accès depuis un sous-réseau WiFi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</si>
  <si>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Thèmes</t>
  </si>
  <si>
    <t>Existe-t-il un recueil regroupant l'ensemble des dispositions légales ou réglementaires relatives à la Protection de la propriété intellectuelle ?</t>
  </si>
  <si>
    <t>Politique et directives relatives à la Protection de la propriété intellectuelle</t>
  </si>
  <si>
    <t>Existe-t-il une politique et des directives précises en matière de Protection de la propriété intellectuelle ?</t>
  </si>
  <si>
    <t>06C01-02</t>
  </si>
  <si>
    <t>06C01-03</t>
  </si>
  <si>
    <t>Respect de la législation concernant la Vérification de la Comptabilité Informatisée (VCI)</t>
  </si>
  <si>
    <t>Conserve-t-on les fichiers à caractères permanents ou référentiels (plan comptable, fichiers clients, fournisseurs, tarifs, produits...) conformément à la VCI ?</t>
  </si>
  <si>
    <t>Conserve-t-on les procédures d’exploitation conformément à la réglementation VCI ?</t>
  </si>
  <si>
    <t>Conserve-t-on les applications comptables ou alimentant la comptabilité par l’intermédiaire de fichiers d’interface ?</t>
  </si>
  <si>
    <t>Existe-t-il un référentiel formalisant l'ensemble des règles relatives à la collecte, au traitement et à la présentation des données conduisant à la communication financière ?</t>
  </si>
  <si>
    <t>12C01-07</t>
  </si>
  <si>
    <t>09A01-01</t>
  </si>
  <si>
    <t>09A01-02</t>
  </si>
  <si>
    <t>09A01-03</t>
  </si>
  <si>
    <t>09A01-04</t>
  </si>
  <si>
    <t>09A01-05</t>
  </si>
  <si>
    <t>09A01-06</t>
  </si>
  <si>
    <t>09A01-07</t>
  </si>
  <si>
    <t>09A01-08</t>
  </si>
  <si>
    <t>09A02-01</t>
  </si>
  <si>
    <t>09A02-02</t>
  </si>
  <si>
    <t>Services informatiques et réseaux</t>
  </si>
  <si>
    <t>Plan de type C</t>
  </si>
  <si>
    <t>Plan de type D</t>
  </si>
  <si>
    <t>Si des données personnelles ou sensibles doivent malgré tout être utilisées, prend on le soin de supprimer les détails et contenus sensibles avant de les utiliser (ou de les modifier afin de les rendre anonymes) ?</t>
  </si>
  <si>
    <t>10B04-03</t>
  </si>
  <si>
    <t>Les données sensibles font-elles l'objet d'un contrôle de saisie indépendant (par une autre personne) ?</t>
  </si>
  <si>
    <t>03C02-07</t>
  </si>
  <si>
    <t>La mise hors service des systèmes de détection est-elle signalée par un renvoi systématique à un poste permanent de surveillance ?</t>
  </si>
  <si>
    <t>03C02-08</t>
  </si>
  <si>
    <t>03C02-09</t>
  </si>
  <si>
    <t>Évacuation de l'eau</t>
  </si>
  <si>
    <t>03C03-01</t>
  </si>
  <si>
    <t>Ce (ou ces) document impose-t-il de supprimer l'ensemble des comptes génériques ou par défaut et en établit-il la liste ?</t>
  </si>
  <si>
    <t>06B01-03</t>
  </si>
  <si>
    <t>Toute sortie de support de la médiathèque est-elle contrôlée par une personne ou un service spécialement chargé de la gestion des supports ?</t>
  </si>
  <si>
    <t>Ces profils et l'attribution de droits aux différents profils ont-ils reçu l'approbation des propriétaires d'information et/ou du RSSI ?</t>
  </si>
  <si>
    <t>07A01-06</t>
  </si>
  <si>
    <t>07A01-07</t>
  </si>
  <si>
    <t xml:space="preserve">Les directives en matière de Protection des systèmes informatisés  recouvrent-elles l'ensemble des obligations légales en cette matière  ? </t>
  </si>
  <si>
    <t>Un responsable ou un répondant en matière de Protection des systèmes informatisés  a-t-il été nommé?</t>
  </si>
  <si>
    <t xml:space="preserve">Le responsable ou le répondant en matière de Protection des systèmes informatisés  est-il connu de tous les membres du personnel? </t>
  </si>
  <si>
    <t>La politique relative à la Protection des systèmes informatisés  (ou le cadre de gestion) établit-elle clairement les responsabilités des différents intervenants ?</t>
  </si>
  <si>
    <t>Un comité relevant des instances dirigeantes est-il chargé d'élaborer les orientations en matière de Protection des systèmes informatisés  et d'étudier périodiquement les problématiques qui y sont  liées ?</t>
  </si>
  <si>
    <t xml:space="preserve">Possibilité de disparition d'un moyen nécessaire pour l'accès aux données (clés logiques ou physiques) </t>
  </si>
  <si>
    <t>09B05</t>
  </si>
  <si>
    <t>F20</t>
  </si>
  <si>
    <t>F20-NC</t>
  </si>
  <si>
    <t>Divulgation de courrier ou de courriel</t>
  </si>
  <si>
    <t>F19-ER1</t>
  </si>
  <si>
    <t>L'application de la politique relative à la Sécurité des personnes et à la protection de l'environnement  fait-elle périodiquement l'objet d'un audit?</t>
  </si>
  <si>
    <t xml:space="preserve">Politique et directives relatives à la sécurité des personnes et à la protection de l'environnement </t>
  </si>
  <si>
    <t xml:space="preserve">     Potentialité</t>
  </si>
  <si>
    <t>Réduire</t>
  </si>
  <si>
    <t>Obj_PA</t>
  </si>
  <si>
    <t>Obj_Projets</t>
  </si>
  <si>
    <t>Gravités intrinsèques</t>
  </si>
  <si>
    <t>Gravités actuelles</t>
  </si>
  <si>
    <t>Gravités planifiées</t>
  </si>
  <si>
    <t>Traiter
les risques</t>
  </si>
  <si>
    <t>Risk%actif</t>
  </si>
  <si>
    <t>Risk%event</t>
  </si>
  <si>
    <t>Plans_action</t>
  </si>
  <si>
    <t>Accepter</t>
  </si>
  <si>
    <t>Éviter</t>
  </si>
  <si>
    <t>Transférer</t>
  </si>
  <si>
    <t>Vulnérabilités</t>
  </si>
  <si>
    <t>Services de sécurité</t>
  </si>
  <si>
    <t>A-t-on pris en compte la possibilité de blocage simultané de nombreux comptes ?</t>
  </si>
  <si>
    <t>max(min(07A03;07A04;08C06;08F02);11C01)</t>
  </si>
  <si>
    <t>max(05B03;min(07A03;07A04);11C01)</t>
  </si>
  <si>
    <t>max(min(05B04;05B05;05B06;05B07;06B02);min(07A03;07A04);11C01)</t>
  </si>
  <si>
    <t>Le processus de distribution ou de modification de l'authentifiant garantit-il que seul le titulaire de l'identifiant peut y avoir accès (diffusion initiale confidentielle, changement de mot de passe sous le seul contrôle de l'utilisateur, etc.) ?</t>
  </si>
  <si>
    <t>07A03-02</t>
  </si>
  <si>
    <t>07A03-03</t>
  </si>
  <si>
    <t>07A03-04</t>
  </si>
  <si>
    <t>07A03-05</t>
  </si>
  <si>
    <t>A-t-on analysé les événements ou succession d'événements pouvant être révélateurs de comportements anormaux ou d'actions illicites sur le réseau étendu et en a-t-on déduit des points ou indicateurs de surveillance ?</t>
  </si>
  <si>
    <t>04D01-02</t>
  </si>
  <si>
    <t>Organisation de la sécurité (01 Org)</t>
  </si>
  <si>
    <t>08D07</t>
  </si>
  <si>
    <t>Protection antivirale des serveurs de production</t>
  </si>
  <si>
    <t>08D08</t>
  </si>
  <si>
    <t>A-t-on défini, avec les utilisateurs, les délais maximum admissibles pour le rétablissement de leurs droits, en cas de blocage, accidentel ou non, de leurs de comptes (applicatifs, systèmes ou réseaux) ?</t>
  </si>
  <si>
    <t>08D10-02</t>
  </si>
  <si>
    <t>A-t-on défini la procédure a suivre en cas de blocage de compte ?.</t>
  </si>
  <si>
    <t>08D10-03</t>
  </si>
  <si>
    <t>Cette procédure est-elle connue de tous les utilisateurs ?</t>
  </si>
  <si>
    <t>08D10-04</t>
  </si>
  <si>
    <t>Emploie-t-on un système de détection d'intrusion et d'anomalies sur le réseau étendu ?</t>
  </si>
  <si>
    <t>Toute adjonction à la liste des connexions autorisées d'un domaine et toute modification de l'un de ses paramètres sont-elles journalisées et auditées ?</t>
  </si>
  <si>
    <t>Le niveau de connaissance des membres du personnel en matière de Protection des systèmes informatisés  est-il évalué périodiquement à l'aide de sondages ou autrement?</t>
  </si>
  <si>
    <t>A-t-on établi un plan de traitement des risques ?</t>
  </si>
  <si>
    <t>14B01-02</t>
  </si>
  <si>
    <t>Catégorie : processus de management</t>
  </si>
  <si>
    <t>Procédures et directives</t>
  </si>
  <si>
    <t>Module d'analyse des enjeux et classification des actifs:</t>
  </si>
  <si>
    <t xml:space="preserve">     Classif</t>
  </si>
  <si>
    <t>Classification des actifs</t>
  </si>
  <si>
    <t>Module du diagnostic des services de sécurité (ou d'audit)</t>
  </si>
  <si>
    <t xml:space="preserve">     Domaines 01 Org à 14 MSI </t>
  </si>
  <si>
    <t>Questionnaires relatifs aux domaines (01 à 14) de sécurité MEHARI</t>
  </si>
  <si>
    <t xml:space="preserve">     Thèmes</t>
  </si>
  <si>
    <t>Réseau</t>
  </si>
  <si>
    <t>Ver</t>
  </si>
  <si>
    <t>à un ver</t>
  </si>
  <si>
    <t>IF.L.Ver</t>
  </si>
  <si>
    <t>Existe-t-il un système de pistage intégré dans certains processus sensibles (audit-trail) enregistrant les événements pouvant servir à établir des diagnostics d'anomalies ?</t>
  </si>
  <si>
    <t>09G01-04</t>
  </si>
  <si>
    <t>Y a-t-il un processus de retrait rapide et systématique des autorisations d'accès (avec dévalidation du badge dans les systèmes de contrôle d'accès automatique) et de restitution du badge, de la carte ou de la clé correspondant lors de départs de personnel interne ou externe à l'entreprise, de changements de site de rattachement (si les droits dépendent de ce site) ou d'interruption de mission ?</t>
  </si>
  <si>
    <t>03B02-07</t>
  </si>
  <si>
    <t>03B02-08</t>
  </si>
  <si>
    <t>04A03-01</t>
  </si>
  <si>
    <t>Tous les équipements sont-ils couverts par un contrat de maintenance ?</t>
  </si>
  <si>
    <t>12.4.2</t>
  </si>
  <si>
    <t>10B04-02</t>
  </si>
  <si>
    <t>Utilisation des équipements terminaux</t>
  </si>
  <si>
    <t>Formation et sensibilisation des utilisateurs</t>
  </si>
  <si>
    <t>Les procédures de mise en veille sont-elles expliquées aux utilisateurs lors de l'installation ou du remplacement des équipements ?</t>
  </si>
  <si>
    <t>Des mécanismes de chiffrement des échanges sont-ils réalisables en fonction des besoins de confidentialité déterminés ?</t>
  </si>
  <si>
    <t>Attaque en blocage de comptes</t>
  </si>
  <si>
    <t>MA.L.Blo</t>
  </si>
  <si>
    <t>Blo</t>
  </si>
  <si>
    <t>F14-MA1</t>
  </si>
  <si>
    <t>F14-MA2</t>
  </si>
  <si>
    <t>Vol de listings ou d'états imprimés</t>
  </si>
  <si>
    <t>Vol de documents</t>
  </si>
  <si>
    <t>lors de l'impression sur une imprimante partagée</t>
  </si>
  <si>
    <t xml:space="preserve">Contrôle des configurations utilisateurs mises en œuvre </t>
  </si>
  <si>
    <t>Dans le cas d'accueil de personnes sans autorisation, la procédure garantit-elle que lesdites personnes sont alors accompagnées ?</t>
  </si>
  <si>
    <t>Le système de contrôle d'accès aux zones de bureaux protégés est-il équipé d'un dispositif "anti-retour"  (ou dispositif "anti-pass back") ?</t>
  </si>
  <si>
    <t>Maintient-on un dossier de tous les chemins et baies de câblage et des locaux associés avec leurs caractéristiques ?</t>
  </si>
  <si>
    <t>Possibilité de blocage des comptes utilisateurs</t>
  </si>
  <si>
    <t>Serveur applicatif</t>
  </si>
  <si>
    <t xml:space="preserve">S01 </t>
  </si>
  <si>
    <t>12D01</t>
  </si>
  <si>
    <t>12E01</t>
  </si>
  <si>
    <t xml:space="preserve">Conservation des données et traitements </t>
  </si>
  <si>
    <t>12E02</t>
  </si>
  <si>
    <t>Documentation des données , procédures et traitements liés à la comptabilité</t>
  </si>
  <si>
    <t>SERVICES ET SOUS-SERVICES DE SECURITE</t>
  </si>
  <si>
    <t>01</t>
  </si>
  <si>
    <t>Min</t>
  </si>
  <si>
    <t>05B09-08</t>
  </si>
  <si>
    <t>05C</t>
  </si>
  <si>
    <t>08C04</t>
  </si>
  <si>
    <t>08C05</t>
  </si>
  <si>
    <t>Vérification et rotation des supports d'archivage</t>
  </si>
  <si>
    <t>08C06</t>
  </si>
  <si>
    <t>08C07</t>
  </si>
  <si>
    <t>La mise hors service des installations de détection automatique est-elle signalée par un renvoi systématique à un poste permanent de surveillance ?</t>
  </si>
  <si>
    <t>03D02-05</t>
  </si>
  <si>
    <t>03D02-06</t>
  </si>
  <si>
    <t>Procède-t-on régulièrement à des audits des procédures et des capacités d'intervention  ?</t>
  </si>
  <si>
    <t>03D03-01</t>
  </si>
  <si>
    <t>Le poste de surveillance a-t-il la possibilité de faire intervenir rapidement un équipe d'intervention ayant les moyens d'action suffisants pour agir (diagnostic précis de la situation, extinction manuelle, déclenchement ou validation de l'extinction automatique, appel des secours, etc.) ?</t>
  </si>
  <si>
    <t>03D03-02</t>
  </si>
  <si>
    <t>03D03-03</t>
  </si>
  <si>
    <t>03D03-04</t>
  </si>
  <si>
    <t>Altération (non détectée) de fichiers</t>
  </si>
  <si>
    <t>La mise en production de nouvelles versions de systèmes ou applications n'est-elle possible que par le personnel d'exploitation ?</t>
  </si>
  <si>
    <t>Sécurité des locaux (03 Loc)</t>
  </si>
  <si>
    <t>A-t-on fait une analyse approfondie des événements ou successions d'événements pouvant avoir un impact sur la sécurité (connexions refusées, reconfigurations, évolutions de performances, accès à des informations ou des outils sensibles, etc.) ?</t>
  </si>
  <si>
    <t>08E02-02</t>
  </si>
  <si>
    <t>08E02-03</t>
  </si>
  <si>
    <t>08E02-04</t>
  </si>
  <si>
    <t>5.1.1</t>
  </si>
  <si>
    <t>01A02-02</t>
  </si>
  <si>
    <t>03D01-04</t>
  </si>
  <si>
    <t>03D01-05</t>
  </si>
  <si>
    <t>03D02-01</t>
  </si>
  <si>
    <t>Contrôle des configurations des accès réseaux des postes utilisateurs</t>
  </si>
  <si>
    <t>Onglet</t>
  </si>
  <si>
    <t>Objectif</t>
  </si>
  <si>
    <t xml:space="preserve">Les autorisations accordées sont-elles attribuées nominativement et consignées sur un registre ou enregistrées (avec mention du jour de l'autorisation et sa durée de validité) ? </t>
  </si>
  <si>
    <t>11A02-04</t>
  </si>
  <si>
    <t>11A02-05</t>
  </si>
  <si>
    <t>11A02-06</t>
  </si>
  <si>
    <t>Y a-t-il un enregistrement de toutes les entrées dans les zones protégées ?</t>
  </si>
  <si>
    <t>Y a-t-il également un enregistrement de toutes les sorties des zones protégées ?</t>
  </si>
  <si>
    <t>11A02-07</t>
  </si>
  <si>
    <t>D09-C</t>
  </si>
  <si>
    <t xml:space="preserve">Les directives en matière de sécurité des personnes et de protection de l'environnement  recouvrent-elles l'ensemble des obligations légales en cette matière  ? </t>
  </si>
  <si>
    <t>Existe-t-il une procédure permettant de détecter, a posteriori, des anomalies dans la gestion des autorisations (badge ou carte non restitué, utilisation d'un badge perdu, faux badge, etc.) ou dans l'utilisation de ces autorisations ?</t>
  </si>
  <si>
    <t>11A03-01</t>
  </si>
  <si>
    <t>11A03-02</t>
  </si>
  <si>
    <t>11A03-03</t>
  </si>
  <si>
    <t>11A03-04</t>
  </si>
  <si>
    <t>11A03-05</t>
  </si>
  <si>
    <t>MA.P.Fal</t>
  </si>
  <si>
    <t>MA.P.Ter</t>
  </si>
  <si>
    <t>MA.P.Van</t>
  </si>
  <si>
    <t>01B05-04</t>
  </si>
  <si>
    <t>A-t-on pris en conséquence toutes les mesures nécessaires ?</t>
  </si>
  <si>
    <t>01B05-05</t>
  </si>
  <si>
    <t>R2</t>
  </si>
  <si>
    <t>01B05-06</t>
  </si>
  <si>
    <t>C1</t>
  </si>
  <si>
    <t>Les droits d'accès et profils ainsi définis sont-ils protégés contre toute altération ou falsification, lors de leur transfert entre les décisionnaires et les personnes en charge de matérialiser ces droits ou lors de leur stockage ?</t>
  </si>
  <si>
    <t>Ces responsables assument-ils effectivement cette fonction et en rendent-ils compte au RSSI ?</t>
  </si>
  <si>
    <t>Y a-t-il un audit régulier ou inspections régulières, au moins une fois par an,  tant des catégories de personnes, que des droits attribués et que des processus de gestion eux-mêmes ?</t>
  </si>
  <si>
    <t>Les procédures de surveillance et les procédures de réaction aux intrusions font-elles l'objet d'audits réguliers ?</t>
  </si>
  <si>
    <t>Procède-t-on régulièrement à des tests des installations de détection d'humidité ou de présence d'eau ?</t>
  </si>
  <si>
    <t>L'énergie électrique fournie répond-elle aux exigences spécifiées par les fournisseurs d'équipements avec une marge suffisante ?</t>
  </si>
  <si>
    <t>Existe-t-il une possibilité de déclarer des sites ou des accès distants comme sensibles et, comme tels, requérant une authentification de l'entité accédée ?</t>
  </si>
  <si>
    <t>05B09-02</t>
  </si>
  <si>
    <t>Y a-t-il un mécanisme d'authentification de l'entité appelée avant tout accès sortant vers des sites sensibles depuis le réseau interne ?</t>
  </si>
  <si>
    <t>05B09-03</t>
  </si>
  <si>
    <t>05B09-04</t>
  </si>
  <si>
    <t>05B09-05</t>
  </si>
  <si>
    <t>05B09-06</t>
  </si>
  <si>
    <t>05B09-07</t>
  </si>
  <si>
    <t>Sécurité des données lors des échanges et des communications sur le réseau local</t>
  </si>
  <si>
    <t>Utilise-t-on un outil ou une application de contrôle permettant de journaliser et d'enregistrer les accès aux ressources sensibles (applications, fichiers applicatifs, bases de données, etc.) ?</t>
  </si>
  <si>
    <t>07C01-03</t>
  </si>
  <si>
    <t>07C01-04</t>
  </si>
  <si>
    <t>07C01-05</t>
  </si>
  <si>
    <t>07C01-06</t>
  </si>
  <si>
    <t>01A05-01</t>
  </si>
  <si>
    <r>
      <t xml:space="preserve">L'utilisation de la ligne de télémaintenance est-elle placée sous contrôle strict ?
</t>
    </r>
    <r>
      <rPr>
        <i/>
        <sz val="8"/>
        <rFont val="Arial"/>
        <family val="2"/>
      </rPr>
      <t>Un contrôle strict suppose un enregistrement de l'utilisation de la ligne, de l'agent de maintenance et des actions effectuées et un audit, a posteriori, de la pertinence de ces actions et de leur conformité aux attentes des responsables de la maintenance</t>
    </r>
  </si>
  <si>
    <r>
      <t xml:space="preserve">Teste-t-on régulièrement que les sauvegardes des configurations permettent effectivement de reconstituer à tout moment l'environnement de production  ?
</t>
    </r>
    <r>
      <rPr>
        <i/>
        <sz val="8"/>
        <rFont val="Arial"/>
        <family val="2"/>
      </rPr>
      <t>On prendra en compte, pour ces tests, l'ensemble des sauvegardes (y compris documentation et fichiers de paramétrages) à l'exclusion des éléments ne faisant pas l'objet de sauvegardes.</t>
    </r>
  </si>
  <si>
    <t>Ce système détecte-t-il tout franchissement de clôture, tout forçage d'issue (portes et fenêtres) tout fonctionnement d'issue de secours et tout maintien en ouverture d'une issue normale ?</t>
  </si>
  <si>
    <t>02A04-03</t>
  </si>
  <si>
    <t>Ce système est-il doublé d'un système de contrôle audio et vidéo permettant à l'équipe de surveillance d'établir un premier diagnostic ou une levée de doute à distance ?</t>
  </si>
  <si>
    <t>02A04-04</t>
  </si>
  <si>
    <t>L'authenticité des demandes d'attribution de droits d'accès est-elle vérifiable et vérifiée (contrôle de signature) ?</t>
  </si>
  <si>
    <t>11A02-03</t>
  </si>
  <si>
    <t>A-t-on rédigé, à l'usage des personnels d'exploitation des réseaux, une politique de sécurité spécifique couvrant tous les aspects de la sécurité des systèmes d'information (confidentialité des informations, disponibilité des informations et services, intégrité des informations et configurations, traçabilité, etc.) ?</t>
  </si>
  <si>
    <t>06A01-02</t>
  </si>
  <si>
    <t>Fait-on signer au personnel d'exploitation des réseaux employé par l'entreprise (quel que soit le statut, CDI, CDD, intérimaire, stagiaire, etc.) des clauses de respect de la politique de sécurité ?</t>
  </si>
  <si>
    <t>06A01-03</t>
  </si>
  <si>
    <t>Les procédures et instructions de sécurité précisent-elles les règles de protection applicables aux documents et aux supports d'information situés dans les bureaux (quel que soit la nature du support) ?</t>
  </si>
  <si>
    <t>Les procédures et instructions de sécurité précisent-elles les règles de protection applicables aux micro-ordinateurs portables (rangement, attachement par un câble, etc.) ?</t>
  </si>
  <si>
    <t>02B</t>
  </si>
  <si>
    <t xml:space="preserve">Protection contre les risques environnementaux divers </t>
  </si>
  <si>
    <t>02B01-01</t>
  </si>
  <si>
    <t>02B01-02</t>
  </si>
  <si>
    <t>02B01-03</t>
  </si>
  <si>
    <t>A-t-on pu écarter chaque cas comme hautement improbable ou pris des mesures en conséquence ?</t>
  </si>
  <si>
    <t>Y a-t-il un système de régulation électrique comportant au moins un système d'onduleur pour les équipements sensibles ?</t>
  </si>
  <si>
    <t>03A01-03</t>
  </si>
  <si>
    <t>Y a-t-il des batteries intermédiaires (alimentant un ou plusieurs onduleurs) garantissant une autonomie suffisante pour que les équipements s'arrêtent dans de bonnes conditions ?</t>
  </si>
  <si>
    <t>03A01-04</t>
  </si>
  <si>
    <t>Le système d'alimentation en énergie est-il équipé d'un système de contrôle signalant à une équipe d'intervention toute indisponibilité partielle ou inhibition d'équipement (mise hors service des batteries, charge insuffisante, arrêt de la régulation, etc.) ?</t>
  </si>
  <si>
    <t>03A01-05</t>
  </si>
  <si>
    <t>01E03-02</t>
  </si>
  <si>
    <t>01E03-03</t>
  </si>
  <si>
    <t>01E03-04</t>
  </si>
  <si>
    <t>Procède-t-on à des tests périodiques de violation des règles de contrôle des accès sortants et à des audits techniques spécialisés approfondis ?</t>
  </si>
  <si>
    <t>05B09-01</t>
  </si>
  <si>
    <t>Organisation de la maintenance applicative</t>
  </si>
  <si>
    <t>10A05</t>
  </si>
  <si>
    <t>Modification des progiciels</t>
  </si>
  <si>
    <t>Audite-t-on régulièrement la capacité des moyens de diagnostic et de reconfiguration à assurer un fonctionnement minimal du réseau satisfaisant en cas d'incident ?</t>
  </si>
  <si>
    <t>05A06-01</t>
  </si>
  <si>
    <t>A-t-on déterminé les causes de ces non-conformités potentielles ?</t>
  </si>
  <si>
    <t>Est-ce que les actions préventives ont été déterminées ?</t>
  </si>
  <si>
    <t>Détection des intrusions dans les zones de bureaux protégées</t>
  </si>
  <si>
    <t>11A04</t>
  </si>
  <si>
    <t>05A03-02</t>
  </si>
  <si>
    <t>05A03-03</t>
  </si>
  <si>
    <t>05A03-04</t>
  </si>
  <si>
    <t>Effectue-t-on un contrôle d'authenticité de l'origine et d'intégrité du contenu lors de la réception sur support d'un module "maintenance" ou d'une nouvelle version du fournisseur de progiciel ou du constructeur (pour les systèmes opératoires) ?</t>
  </si>
  <si>
    <t>08B03-06</t>
  </si>
  <si>
    <t>Les utilitaires de scellement sont-ils protégés contre tout usage non autorisé ?</t>
  </si>
  <si>
    <t>08B03-07</t>
  </si>
  <si>
    <t>L'inhibition du système de contrôle automatique des sceaux de protection déclenche-t-elle une alarme auprès d'un responsable ?</t>
  </si>
  <si>
    <t>08B03-08</t>
  </si>
  <si>
    <t>Procède-t-on régulièrement à des audits des procédures de protection des programmes de référence ?</t>
  </si>
  <si>
    <r>
      <t xml:space="preserve">Le protocole d'authentification des administrateurs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</si>
  <si>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11D06-06</t>
  </si>
  <si>
    <t>02A05-03</t>
  </si>
  <si>
    <t xml:space="preserve">A-t-on établi un plan de sauvegarde, couvrant l'ensemble des configurations du réseau local, définissant les objets à sauvegarder et la fréquence des sauvegardes ? </t>
  </si>
  <si>
    <t>05A06-02</t>
  </si>
  <si>
    <t>05A06-03</t>
  </si>
  <si>
    <t>05A06-04</t>
  </si>
  <si>
    <t>05A06-05</t>
  </si>
  <si>
    <t xml:space="preserve">Existe-t-il des contrats de maintenance particuliers pour tous les logiciels systèmes demandant une forte disponibilité dont la maintenance courante ne pourrait s'effectuer dans des délais acceptables ? </t>
  </si>
  <si>
    <t>11D02-04</t>
  </si>
  <si>
    <t>11D03-01</t>
  </si>
  <si>
    <t>11D03-02</t>
  </si>
  <si>
    <t>11D03-03</t>
  </si>
  <si>
    <t>Plan de sauvegardes des données utilisateurs stockées sur serveurs de données</t>
  </si>
  <si>
    <t>11D04-01</t>
  </si>
  <si>
    <t>Les systèmes automatiques de détection d'incendie, de dégâts des eaux ou de régulation d'ambiance sont-ils placés sous contrôle permanent opérationnel 24h/24 permettant de diagnostiquer une panne, une désactivation ou une alarme en temps réel ?</t>
  </si>
  <si>
    <t>08C03-13</t>
  </si>
  <si>
    <t>L'architecture des équipements de réseau permet-elle une adaptation facile aux évolutions de charge (clusters, grappes, etc.) ?</t>
  </si>
  <si>
    <t>05A02-08</t>
  </si>
  <si>
    <t>05A05-06</t>
  </si>
  <si>
    <t>05A05-07</t>
  </si>
  <si>
    <t>un membre du personnel de l'entreprise</t>
  </si>
  <si>
    <t>un membre du personnel non autorisé</t>
  </si>
  <si>
    <t>un membre du personnel de service</t>
  </si>
  <si>
    <t>un utilisateur autorisé</t>
  </si>
  <si>
    <t>un utilisateur autorisé illégitime</t>
  </si>
  <si>
    <t>un utilisateur autorisé légitime</t>
  </si>
  <si>
    <t>un utilisateur non autorisé</t>
  </si>
  <si>
    <t>un visiteur</t>
  </si>
  <si>
    <t>Existe-t-il, pour l'ensemble des applications critiques, une solution palliative étudiée pour faire face à la disparition ou la défaillance du fournisseur (dépôt de la documentation de maintenance ou du code source chez un tiers de confiance, remplacement du logiciel par un progiciel standard, etc.) ?</t>
  </si>
  <si>
    <t>09E03-03</t>
  </si>
  <si>
    <t>09E03-04</t>
  </si>
  <si>
    <t>09E03-05</t>
  </si>
  <si>
    <t>13D01-06</t>
  </si>
  <si>
    <t xml:space="preserve">Plans de Continuité des Processus Applicatifs </t>
  </si>
  <si>
    <t>09E02-01</t>
  </si>
  <si>
    <t>09E02-02</t>
  </si>
  <si>
    <t>Pse</t>
  </si>
  <si>
    <t xml:space="preserve">Accusé de réception </t>
  </si>
  <si>
    <t>09G01</t>
  </si>
  <si>
    <t>Détection des anomalies applicatives</t>
  </si>
  <si>
    <t>09H01</t>
  </si>
  <si>
    <t>10A01</t>
  </si>
  <si>
    <t>10A02</t>
  </si>
  <si>
    <t>Gestion des changements</t>
  </si>
  <si>
    <t>10A03</t>
  </si>
  <si>
    <t>Le local de chaque télécopieur est-il fermé en dehors des heures où le personnel y travaille ?</t>
  </si>
  <si>
    <t>S'assure-t-on que les prestataires ou fournisseurs télécoms signalent et documentent tout incident de sécurité touchant l'information ou les réseaux ?</t>
  </si>
  <si>
    <t>max(11B01;11C01)</t>
  </si>
  <si>
    <t>Feuille de codes de libellés</t>
  </si>
  <si>
    <t>Libellés de types d'actifs</t>
  </si>
  <si>
    <t xml:space="preserve"> de données applicatives</t>
  </si>
  <si>
    <t xml:space="preserve"> bureautiques partagés</t>
  </si>
  <si>
    <t xml:space="preserve"> bureautiques personnels </t>
  </si>
  <si>
    <t xml:space="preserve"> d'archives informatiques</t>
  </si>
  <si>
    <r>
      <t xml:space="preserve">A-t-on fait une analyse systématique et exhaustive de toutes les voies possibles d'arrivée d'eau ?
</t>
    </r>
    <r>
      <rPr>
        <i/>
        <sz val="8"/>
        <rFont val="Arial"/>
        <family val="2"/>
      </rPr>
      <t>Par exemple position des locaux par rapport aux risques d'écoulement naturel en cas de crue ou d'orage violent, d'inondation provenant des étages supérieurs, de rupture ou de fuite de canalisation apparente ou cachée, de mise en  oeuvre  de systèmes d'extinction d'incendie, de remontée d'eau par des voies d'évacuation, de mise en route intempestive d'un système d'humidification automatique, etc.</t>
    </r>
  </si>
  <si>
    <r>
      <t xml:space="preserve">A-t-on fait une analyse approfondie des risques industriels envisageables pour le site considéré ?
</t>
    </r>
    <r>
      <rPr>
        <i/>
        <sz val="8"/>
        <rFont val="Arial"/>
        <family val="2"/>
      </rPr>
      <t xml:space="preserve">Les risques potentiels sont : présence à proximité de site à risques (type Seveso), d'installations internes dangereuses, proximité d'une station services, d'une voie de circulation autorisée aux matières dangereuses ... </t>
    </r>
  </si>
  <si>
    <t>A-t-on effectué un partitionnement des zones de bureaux en zones protégées correspondant à des exigences de sécurité homogènes ?</t>
  </si>
  <si>
    <t>Les prestataires stratégiques font-ils l'objet d'une gestion contractuelle spécifique ?</t>
  </si>
  <si>
    <t>01C02-08</t>
  </si>
  <si>
    <t>Existe-t-il une procédure de contrôle de la pertinence et de la mise à jour des mesures précédentes ?</t>
  </si>
  <si>
    <t>01C03-01</t>
  </si>
  <si>
    <t>Y a-t-il une procédure d'information préliminaire auprès du personnel (interne ou contracté), en ce qui concerne ses devoirs et responsabilités et les exigences de sécurité de la fonction, avant tout changement d'affectation ou embauche ?</t>
  </si>
  <si>
    <t>8.1.1</t>
  </si>
  <si>
    <t>01C03-02</t>
  </si>
  <si>
    <t>04</t>
  </si>
  <si>
    <t>05</t>
  </si>
  <si>
    <t>06</t>
  </si>
  <si>
    <t>04A02-06</t>
  </si>
  <si>
    <t>04A02-07</t>
  </si>
  <si>
    <t>04A02-08</t>
  </si>
  <si>
    <t>04A04-08</t>
  </si>
  <si>
    <t>04A05-09</t>
  </si>
  <si>
    <t>04A05-10</t>
  </si>
  <si>
    <t>05A03-06</t>
  </si>
  <si>
    <t>05A03-07</t>
  </si>
  <si>
    <t>05A03-08</t>
  </si>
  <si>
    <t>Intro</t>
  </si>
  <si>
    <t>max(04A01;04A02)</t>
  </si>
  <si>
    <t>max(04A01;04A05;min(01E01;01E02))</t>
  </si>
  <si>
    <t>max(05A02;05A03)</t>
  </si>
  <si>
    <t>max(05A02;05A06;min(01E01;01E02))</t>
  </si>
  <si>
    <t>04A04-01:07;05A05-01:07;08D04-01:07;08D05-01:13;11D03-01:04;11D04-01:04;11D05-01:05;12C03-01:06</t>
  </si>
  <si>
    <t>01E02-08:11;04A05-04:05;05A06-04:05;08D04-05;08D05-09;08D06-07:08;09E02-09;10A02-07;11D03-03;11D07-07:08;12C03-04;12C04-07:08</t>
  </si>
  <si>
    <t>S'assure-t-on que les prestataires ou fournisseurs ont effectivement prévu les dispositions nécessaires pour être à même d'assurer les prestations de services convenues ?</t>
  </si>
  <si>
    <t>Ce document ou cette procédure imposent-ils la mise en place d'un dispositif de synchronisation avec un référentiel de temps précis ?</t>
  </si>
  <si>
    <t>Les réseaux de stockage sont-ils isolés, physiquement ou logiquement, des autres réseaux de données ?</t>
  </si>
  <si>
    <t>La mise à jour des procédures citées dans le plan de secours fait-elle l'objet d'un audit régulier ?</t>
  </si>
  <si>
    <t>Y a-t-il une revue régulière de ces incidents ou des dysfonctionnements avec les prestataires ou fournisseurs concernés ?</t>
  </si>
  <si>
    <t>12A06</t>
  </si>
  <si>
    <t>12A06-01</t>
  </si>
  <si>
    <t>12A06-02</t>
  </si>
  <si>
    <t>12A06-03</t>
  </si>
  <si>
    <t>12A06-04</t>
  </si>
  <si>
    <t>12A06-05</t>
  </si>
  <si>
    <t>12A06-06</t>
  </si>
  <si>
    <t>Gestion des prestataires ou fournisseurs de services télécoms</t>
  </si>
  <si>
    <t>S'assure-t-on régulièrement que les services de sécurité mis en œuvre par des prestataires ou fournisseurs de services télécoms sont effectivement assurés par lesdits prestataires ou fournisseurs ?</t>
  </si>
  <si>
    <t>S'assure-t-on que les prestataires ou fournisseurs de services télécoms ont effectivement prévu les dispositions nécessaires pour être à même d'assurer les prestations de services convenues ?</t>
  </si>
  <si>
    <t xml:space="preserve">A-t-on établi un plan de sauvegarde, couvrant l'ensemble des configurations du réseau étendu, définissant les objets à sauvegarder et la fréquence des sauvegardes ? </t>
  </si>
  <si>
    <t>Ce plan de sauvegarde est-il traduit en automatismes de production ?</t>
  </si>
  <si>
    <t>04A05-03</t>
  </si>
  <si>
    <t>09E02-03</t>
  </si>
  <si>
    <t>09E02-04</t>
  </si>
  <si>
    <t>09E02-05</t>
  </si>
  <si>
    <t>A-t-on prévu les instructions et la formation à donner aux personnels ?</t>
  </si>
  <si>
    <t>09E02-06</t>
  </si>
  <si>
    <t>09E02-07</t>
  </si>
  <si>
    <t>09E02-09</t>
  </si>
  <si>
    <t>07A01-02</t>
  </si>
  <si>
    <t>07A01-03</t>
  </si>
  <si>
    <t>07A01-04</t>
  </si>
  <si>
    <t>07A01-05</t>
  </si>
  <si>
    <t>13D04-03</t>
  </si>
  <si>
    <t>Les possibilités et modalités de relève distante avec mot de passe sont-elles expliquées au personnel et affichées à proximité immédiate des télécopieurs ?</t>
  </si>
  <si>
    <t>A-t-on analysé, avec les utilisateurs, les contrôles qu'il serait souhaitable de faire pour vérifier la cohérence des données après traitement par les processus applicatifs (introduction de variables de contrôle, ratios, évolution et comparaison avant et après traitements, etc.) et a-t-on mis en place les contrôles correspondants dans les applications ?</t>
  </si>
  <si>
    <t>Les procédures opérationnelles d'exploitation sont-elles rendues disponibles à toute personne en ayant besoin ?</t>
  </si>
  <si>
    <t>06A05-04</t>
  </si>
  <si>
    <t>F19</t>
  </si>
  <si>
    <t>Non conformités</t>
  </si>
  <si>
    <t>Non conformité à la législation ou aux réglements relatifs</t>
  </si>
  <si>
    <t xml:space="preserve"> à la protection des renseignements personnels</t>
  </si>
  <si>
    <t xml:space="preserve"> à la communication financière</t>
  </si>
  <si>
    <t xml:space="preserve"> à la vérification de la comptabilité informatisée</t>
  </si>
  <si>
    <t xml:space="preserve"> à la protection des systèmes informatisés</t>
  </si>
  <si>
    <t xml:space="preserve"> à la protection de la propriété intellectuelle</t>
  </si>
  <si>
    <t xml:space="preserve"> à la sécurité des personnes et à la protection de l'environnement</t>
  </si>
  <si>
    <t>à l'application de procédures inadéquates</t>
  </si>
  <si>
    <t>Api</t>
  </si>
  <si>
    <t>Naa</t>
  </si>
  <si>
    <t>Nam</t>
  </si>
  <si>
    <t>Nav</t>
  </si>
  <si>
    <t>à la non application de procédures, par manque de moyens</t>
  </si>
  <si>
    <t>à la non application de procédures, par méconnaissance</t>
  </si>
  <si>
    <t>à la non application volontaire de procédures</t>
  </si>
  <si>
    <t>Procédures non conformes</t>
  </si>
  <si>
    <t>PR.N</t>
  </si>
  <si>
    <t>Procédures inadéquates</t>
  </si>
  <si>
    <t>La procédure d'attribution d'un droit d'accès permanent à une zone protégée nécessite-t-elle l'accord formel du responsable de la zone protégée ?</t>
  </si>
  <si>
    <t>11A02-02</t>
  </si>
  <si>
    <t>L'impact éventuel des changements de systèmes sur les plans de continuité est-il pris en compte ?</t>
  </si>
  <si>
    <t>06A02-15</t>
  </si>
  <si>
    <t xml:space="preserve">Les directives en matière d'utilisation de moyens cryptologiques recouvrent-elles l'ensemble des obligations légales en cette matière  ? </t>
  </si>
  <si>
    <t>Existe-t-il une procédure de mise à jour des notes d'organisation relatives à la sécurité des systèmes d'information en fonction des évolutions de structures ou à intervalles planifiés ?</t>
  </si>
  <si>
    <t>01A03-01</t>
  </si>
  <si>
    <t>13.1.1</t>
  </si>
  <si>
    <t>01A03-02</t>
  </si>
  <si>
    <t>01A03-03</t>
  </si>
  <si>
    <t>E3</t>
  </si>
  <si>
    <t>01A03-04</t>
  </si>
  <si>
    <t>Ce contrat couvre-t-il toutes les causes possibles de perte de personnes clés : accidents (avion, automobile, etc.), maladies, départs volontaires individuels ou groupés ?</t>
  </si>
  <si>
    <t>01D04-03</t>
  </si>
  <si>
    <r>
      <t xml:space="preserve">Les plans de continuité sont-ils remis à jour  régulièrement ?
Cette mise à jour devrait être déclenchée pour tenir compte </t>
    </r>
    <r>
      <rPr>
        <i/>
        <sz val="8"/>
        <rFont val="Arial"/>
        <family val="2"/>
      </rPr>
      <t>des changements de personnels concernés, des évolutions techniques et des résultats des tests effectués.</t>
    </r>
  </si>
  <si>
    <t>Procédures inappliquées par manque de moyens</t>
  </si>
  <si>
    <t>Procédures inappliquées par méconnaissance</t>
  </si>
  <si>
    <t>03B07-05</t>
  </si>
  <si>
    <t>03B08-01</t>
  </si>
  <si>
    <t xml:space="preserve">Continuité de la fourniture de l'énergie </t>
  </si>
  <si>
    <t>03A03</t>
  </si>
  <si>
    <t>Sécurité de la climatisation</t>
  </si>
  <si>
    <t>03A04</t>
  </si>
  <si>
    <t>Qualité du câblage</t>
  </si>
  <si>
    <t>03A05</t>
  </si>
  <si>
    <t>Protection contre la foudre</t>
  </si>
  <si>
    <t>Y a-t-il au moins une fois par an une revue de Direction du SMSI intégrant l'ensemble des éléments de pilotage du SMSI (résultats de l'analyse de risques, tableaux de bords, résultats d'audit, etc.) et permettant de prendre les décisions relatives à la politique de mise en oeuvre du SMSI (évolution de la PSSI, du périmètre du SMSI, du programme d'audit, des exigences à prendre en compte, de l'affectation des ressources, etc.) ?</t>
  </si>
  <si>
    <t>01D05</t>
  </si>
  <si>
    <t>Base de référence des scénarios</t>
  </si>
  <si>
    <t>Si les solutions de secours incluent des livraisons de matériels, qui ne peuvent être déclenchés lors des tests, existe-t-il un contrat d'engagement de livraison des matériels de remplacement dans des délais fixés et prévus au plan de secours, par le constructeur ou un tiers (leaser, broker, autres) ?</t>
  </si>
  <si>
    <t>R1</t>
  </si>
  <si>
    <t>01A01-05</t>
  </si>
  <si>
    <t xml:space="preserve">La démarche de sécurité est-elle clairement reconnue et soutenue par la Direction Générale ? </t>
  </si>
  <si>
    <t>01A02-01</t>
  </si>
  <si>
    <t>Tableau des vulnérabilités intrinsèques</t>
  </si>
  <si>
    <t>A-t-on fait une recherche systématique des Points Singuliers de Vulnérabilité ("Single Point of Failure") afin de s'assurer que des équipements, en particulier de servitude, (alimentation en énergie, climatisation, etc.) n'en introduisent pas ou ne détruisent pas les redondances prévues au niveau des équipements ou de l'architecture ?</t>
  </si>
  <si>
    <t>Existe-t-il un archivage (sur disque, cassette, Disque Optique Numérique, etc.) de tous les éléments ayant permis de détecter une anomalie ou un incident ?</t>
  </si>
  <si>
    <t>13D02-07</t>
  </si>
  <si>
    <t>13D02-08</t>
  </si>
  <si>
    <t>13D03</t>
  </si>
  <si>
    <t>13D03-01</t>
  </si>
  <si>
    <t>13D03-02</t>
  </si>
  <si>
    <t>13D03-03</t>
  </si>
  <si>
    <t>13D04</t>
  </si>
  <si>
    <t>13D04-01</t>
  </si>
  <si>
    <t>13D04-02</t>
  </si>
  <si>
    <t xml:space="preserve">Sécurité des télécopies </t>
  </si>
  <si>
    <t>Sécurité des télécopies (traditionnelles)</t>
  </si>
  <si>
    <t>Effacement malveillant total de configurations et sauvegardes (code, paramétrage, etc.)</t>
  </si>
  <si>
    <t>R02-D</t>
  </si>
  <si>
    <t>03A03-05</t>
  </si>
  <si>
    <t>03A03-06</t>
  </si>
  <si>
    <t>Les mécanismes de chiffrement des échanges, leur paramétrage et les procédures associées font-ils l'objet d'audits réguliers ?</t>
  </si>
  <si>
    <t>09C02-01</t>
  </si>
  <si>
    <t>09C02-02</t>
  </si>
  <si>
    <r>
      <t xml:space="preserve">Procède-t-on régulièrement à des audits de la sécurité du câblage ?
</t>
    </r>
    <r>
      <rPr>
        <i/>
        <sz val="8"/>
        <rFont val="Arial"/>
        <family val="2"/>
      </rPr>
      <t>Utilisation effective des contrôles d'accès aux gaines techniques, audit des droits attribués et des procédures d'intervention sur violation de droits, inspection des locaux dans lesquels des équipements parasites pourraient être branchés.</t>
    </r>
  </si>
  <si>
    <t>Processus de gestion de la conformité à la loi ou à la réglementation</t>
  </si>
  <si>
    <t>Courrier postal
Fax</t>
  </si>
  <si>
    <t>Services systèmes Communs (Systèmes, périfs, etc.)</t>
  </si>
  <si>
    <t>Y a-t-il un contrôle systématique des droits de l'administrateur, de son contexte et de l'adéquation de ces droits et du contexte avec l'accès demandé, en fonction de règles de contrôle d'accès formalisées ?</t>
  </si>
  <si>
    <t>06C02-05</t>
  </si>
  <si>
    <t>06C02-06</t>
  </si>
  <si>
    <t>06C02-07</t>
  </si>
  <si>
    <t>06C02-08</t>
  </si>
  <si>
    <t>Existe-t-il un audit régulier des procédures d'attribution de profils privilégiés et des paramètres de sécurité de protection des profils et des droits ?</t>
  </si>
  <si>
    <t>06C03-01</t>
  </si>
  <si>
    <t>03B06-06</t>
  </si>
  <si>
    <t>Existe-t-il un enregistrement de la vidéosurveillance, conservé sur une longue période ?</t>
  </si>
  <si>
    <t>03B06-07</t>
  </si>
  <si>
    <t>Le système de surveillance des locaux sensibles est-il lui-même sous contrôle (alarme en cas d'inhibition, auto-surveillance des caméras, etc.) ?</t>
  </si>
  <si>
    <t>03B06-08</t>
  </si>
  <si>
    <t>Les procédures de surveillance et les procédures de réaction aux comportements anormaux font-ils l'objet d'audits réguliers ?</t>
  </si>
  <si>
    <t>03B07-01</t>
  </si>
  <si>
    <t xml:space="preserve">L'accès physique au câblage est-il protégé (gaines spécifiques non facilement accessibles ou fermées à clé) ? </t>
  </si>
  <si>
    <t>03B07-02</t>
  </si>
  <si>
    <t>L'intégralité des chemins de câbles est-elle placée sous surveillance vidéo avec alerte en cas de présence (pour signaler au personnel de surveillance de rester en veille sur l'écran correspondant) ?</t>
  </si>
  <si>
    <t>03B07-03</t>
  </si>
  <si>
    <t>03B07-04</t>
  </si>
  <si>
    <t>Les câbles sont-ils étiquetés individuellement et à chaque extrémité ?</t>
  </si>
  <si>
    <t>03A04-03</t>
  </si>
  <si>
    <t>Effacement par erreur de configuration (code, paramétrage, etc.)</t>
  </si>
  <si>
    <t>Ce programme est-il offert aux personnes qui traitent des informations visées par les dispositions légales en matière de Communication financière?</t>
  </si>
  <si>
    <t>Perte de référence</t>
  </si>
  <si>
    <t>à un incendie</t>
  </si>
  <si>
    <t>à une inondation</t>
  </si>
  <si>
    <t>à une surcharge électrique</t>
  </si>
  <si>
    <t>à une pollution</t>
  </si>
  <si>
    <t>à un incident d'exploitation</t>
  </si>
  <si>
    <r>
      <t xml:space="preserve">Chiffrement des échanges sur le réseau local
</t>
    </r>
    <r>
      <rPr>
        <i/>
        <sz val="8"/>
        <rFont val="Arial"/>
        <family val="2"/>
      </rPr>
      <t>Le chiffrement peut être effectué au niveau 3 (IPSEC, alors on parle de VPN) ou au niveau 4-5 (SSL, fonction de l'application utilisée) ou effectué directement par l'application (couche 6-7, par ex. chiffrement avant ou lors de l'envoi), cas vraiment traité par le domaine 09.
Il peut être systématique sur le "tuyau" (physique ou logique) ou limité à certains flux (en fonction des adresses ou du type, ou autre?), il peut être réalisé sur des systèmes intermédiaires (boîtiers VPN) ou finaux (postes, serveur) ou mixtes.</t>
    </r>
  </si>
  <si>
    <t>Y a-t-il une équipe (hot line) chargée de recueillir les appels et de signaler et d'enregistrer tous les incidents ?</t>
  </si>
  <si>
    <r>
      <t xml:space="preserve">Les droits d'accès au réseau local et aux diverses parties de ce réseau sont-ils définis par rapport à des "profils" métiers regroupant des "rôles" ou des "fonctions" dans l'organisation (un profil définissant les droits dont disposent les titulaires de ce profil) ?
</t>
    </r>
    <r>
      <rPr>
        <i/>
        <sz val="8"/>
        <rFont val="Arial"/>
        <family val="2"/>
      </rPr>
      <t>Nota : La notion de profil peut, dans certaines circonstances, être remplacée par une notion de "groupe". Par ailleurs les droits attribués éventuellement à des partenaires doivent être pris en compte.
Les profils d'accès doivent comprendre les profils d'accès à chaque partitionnement du réseau, depuis un poste connecté directement sur le réseau et depuis les diverses possibilités prévues de connexion depuis l'extérieur du réseau (postes nomades, télétravail, partenaires, etc.).</t>
    </r>
  </si>
  <si>
    <t>Cotation finale</t>
  </si>
  <si>
    <t>Communication financière</t>
  </si>
  <si>
    <t>Vérification de la comptabilité informatisée</t>
  </si>
  <si>
    <t>Protection des systèmes informatisés</t>
  </si>
  <si>
    <t>Sécurité des personnes et protection de l'environnement</t>
  </si>
  <si>
    <t>K1</t>
  </si>
  <si>
    <t>Système de management de la sécurité de l'information</t>
  </si>
  <si>
    <t>Cotation actuelle</t>
  </si>
  <si>
    <t>se connectant directement au poste de travail</t>
  </si>
  <si>
    <r>
      <t xml:space="preserve">Ces procédures sont-elles contrôlées et les anomalies éventuelles documentées et corrigées en temps réel ?
</t>
    </r>
    <r>
      <rPr>
        <i/>
        <sz val="8"/>
        <rFont val="Arial"/>
        <family val="2"/>
      </rPr>
      <t>La réactivité de la chaîne de managers concernés doit supprimer les procédures d'exception pouvant résulter de retards dans les processus concernés.</t>
    </r>
  </si>
  <si>
    <r>
      <t xml:space="preserve">A-t-on analysé la criticité des différentes activités pour mettre en évidence les besoins de continuité de service ?
</t>
    </r>
    <r>
      <rPr>
        <i/>
        <sz val="8"/>
        <rFont val="Arial"/>
        <family val="2"/>
      </rPr>
      <t>Une analyse approfondie suppose que l'on établisse une liste de scénarios d'incidents et qu'on en analyse toutes les conséquences prévisibles.</t>
    </r>
  </si>
  <si>
    <t>11B01-09</t>
  </si>
  <si>
    <t>11B02-01</t>
  </si>
  <si>
    <t>11B02-02</t>
  </si>
  <si>
    <t>11B02-03</t>
  </si>
  <si>
    <t>11B02-04</t>
  </si>
  <si>
    <t>11B02-05</t>
  </si>
  <si>
    <t>11B03-01</t>
  </si>
  <si>
    <t>11B03-02</t>
  </si>
  <si>
    <t>11B03-03</t>
  </si>
  <si>
    <t>11B03-04</t>
  </si>
  <si>
    <t>11B03-05</t>
  </si>
  <si>
    <t>11B03-06</t>
  </si>
  <si>
    <t>11B03-07</t>
  </si>
  <si>
    <t>11C05-06</t>
  </si>
  <si>
    <t>11C05-07</t>
  </si>
  <si>
    <t>11C05-08</t>
  </si>
  <si>
    <t>A-t-on, pour chacun des domaines, défini une liste strictement limitée des liaisons et des protocoles autorisés pour communiquer de manière standard d'un domaine à un autre, et a-t-on, par défaut, fermé tous les autres protocoles (politique "rien sauf") ?</t>
  </si>
  <si>
    <r>
      <t xml:space="preserve">A-t-on effectué un partitionnement du réseau local en séparant du réseau strictement interne les zones de communication avec l'extérieur (DMZ) ?
</t>
    </r>
    <r>
      <rPr>
        <i/>
        <sz val="8"/>
        <rFont val="Arial"/>
        <family val="2"/>
      </rPr>
      <t>Une DMZ, ou zone démilitarisée, est une zone d'échange avec l'extérieur isolée du réseau interne par un pare-feu.</t>
    </r>
  </si>
  <si>
    <t>Cette  politique est-elle documentée, revue régulièrement et approuvée par les responsables concernés ?</t>
  </si>
  <si>
    <t xml:space="preserve">Les autorisations sont-elles attribuées à chaque utilisateur uniquement en fonction de son (ou ses) profil ? </t>
  </si>
  <si>
    <t>08D04-05</t>
  </si>
  <si>
    <t>08D04-06</t>
  </si>
  <si>
    <t>08D04-07</t>
  </si>
  <si>
    <t>Procède-t-on régulièrement à des tests de relecture des sauvegardes  ?</t>
  </si>
  <si>
    <t>08D04-08</t>
  </si>
  <si>
    <t>L'application des règles d'appartenance au réseau étendu par l'ensemble des entités autorisées à se connecter au réseau étendu est-elle régulièrement auditée ?</t>
  </si>
  <si>
    <t>05B05-01</t>
  </si>
  <si>
    <t>05B05-02</t>
  </si>
  <si>
    <t>05B05-03</t>
  </si>
  <si>
    <t>05B05-04</t>
  </si>
  <si>
    <t>05B05-05</t>
  </si>
  <si>
    <t>05B05-06</t>
  </si>
  <si>
    <t>F01-EM4</t>
  </si>
  <si>
    <t>08A04-06</t>
  </si>
  <si>
    <t>Les mesures de sécurité décidées pour remédier aux nouveaux risques mis en évidence font-elles l'objet de contrôles formels avant mise en production ?</t>
  </si>
  <si>
    <t>S'est-on assuré, dans ce cas, que les équipements de servitude (alimentation en énergie, climatisation, etc.) n'introduisaient pas de vulnérabilité supplémentaire ou ne détruisaient pas les redondances prévues au niveau des équipements ou de l'architecture ?</t>
  </si>
  <si>
    <t>07D01-06</t>
  </si>
  <si>
    <t>Les règles établissant les critères de connexion au réseau étendu définissent-elles les mesures de sécurité physique devant protéger les équipements de réseau et le câblage ?</t>
  </si>
  <si>
    <t>04B01-05</t>
  </si>
  <si>
    <t>Détournement de programmes</t>
  </si>
  <si>
    <t>F12-MA1</t>
  </si>
  <si>
    <t>F12-MA3</t>
  </si>
  <si>
    <t>Divulgation de programmes, par vol de media support de fichiers de programmes</t>
  </si>
  <si>
    <t>L'existence, la pertinence et la mise à jour des plans de reprise d'activité des postes utilisateurs font-elles l'objet d'un audit régulier ?</t>
  </si>
  <si>
    <t>Tableau T3</t>
  </si>
  <si>
    <t>à une panne d'équipement</t>
  </si>
  <si>
    <t>Perte de documents</t>
  </si>
  <si>
    <t>Perte de données en transit ou de messages</t>
  </si>
  <si>
    <t>Perte de courriels (en cours d'envoi ou de réception)</t>
  </si>
  <si>
    <t>Perte de documents en transit (en cours d'envoi ou de réception)</t>
  </si>
  <si>
    <t>Conservation et protection des documents courants importants</t>
  </si>
  <si>
    <t>Courrier</t>
  </si>
  <si>
    <t>effacement</t>
  </si>
  <si>
    <t>vol</t>
  </si>
  <si>
    <t>Lof</t>
  </si>
  <si>
    <t>dans le local du courrier</t>
  </si>
  <si>
    <t>dans le local de télécopie</t>
  </si>
  <si>
    <t>F11</t>
  </si>
  <si>
    <t>F12</t>
  </si>
  <si>
    <t>F12-ER</t>
  </si>
  <si>
    <t>F01</t>
  </si>
  <si>
    <t>F02</t>
  </si>
  <si>
    <t>F04</t>
  </si>
  <si>
    <t>F05</t>
  </si>
  <si>
    <t>F05-ER</t>
  </si>
  <si>
    <t>F05-MA</t>
  </si>
  <si>
    <t>F06</t>
  </si>
  <si>
    <t>F07</t>
  </si>
  <si>
    <t>F08</t>
  </si>
  <si>
    <t>F08-AC</t>
  </si>
  <si>
    <t>F08-ER</t>
  </si>
  <si>
    <t>F08-MA</t>
  </si>
  <si>
    <t>F09</t>
  </si>
  <si>
    <t>F09-ER</t>
  </si>
  <si>
    <r>
      <t xml:space="preserve">Amélioration continue </t>
    </r>
    <r>
      <rPr>
        <i/>
        <strike/>
        <sz val="9"/>
        <color indexed="12"/>
        <rFont val="Arial Narrow"/>
        <family val="2"/>
      </rPr>
      <t/>
    </r>
  </si>
  <si>
    <t>L'ensemble des procédures de contrôle de la mise en production fait-il l'objet d'un audit régulier ?</t>
  </si>
  <si>
    <t>06A03-01</t>
  </si>
  <si>
    <t>Conserve-t-on une trace de toute opération de maintenance ?</t>
  </si>
  <si>
    <t>06A03-02</t>
  </si>
  <si>
    <t>La non application des procédures ci-dessus doit-elle obligatoirement faire l'objet d'une dérogation  formelle signée par un membre de la Direction ?</t>
  </si>
  <si>
    <t>06A03-06</t>
  </si>
  <si>
    <t>L'ensemble des procédures de contrôle de la maintenance fait-il l'objet d'un audit régulier ?</t>
  </si>
  <si>
    <t>06A04-01</t>
  </si>
  <si>
    <t>Surveillance des actions d'administration du parc de postes utilisateurs</t>
  </si>
  <si>
    <t xml:space="preserve"> écrits ou imprimés détenus par les utilisateurs</t>
  </si>
  <si>
    <t>Peo</t>
  </si>
  <si>
    <t>à la perte ou à l'oubli</t>
  </si>
  <si>
    <t>Liste des temps (code_temps)</t>
  </si>
  <si>
    <t>en l'absence de l'utilisateur</t>
  </si>
  <si>
    <t>en dehors des heures ouvrables</t>
  </si>
  <si>
    <t>13.1.2</t>
  </si>
  <si>
    <t>01C04-07</t>
  </si>
  <si>
    <t xml:space="preserve">Le personnel ayant des responsabilités dans le domaine de la sécurité reçoit-il une formation particulière adaptée ? </t>
  </si>
  <si>
    <t>08D09</t>
  </si>
  <si>
    <t>Pour la récupération des données chiffrées, la gestion des clés prévoit-elle la récupération des clés perdues ou altérées ?</t>
  </si>
  <si>
    <t>08D04-01</t>
  </si>
  <si>
    <t xml:space="preserve">A-t-on établi un plan de sauvegarde, couvrant l'ensemble des programmes et définissant les objets à sauvegarder et la fréquence des sauvegardes ? </t>
  </si>
  <si>
    <t>08D04-02</t>
  </si>
  <si>
    <t>08D04-03</t>
  </si>
  <si>
    <t xml:space="preserve">Ce plan couvre-t-il également les paramètres de configuration des applications ? </t>
  </si>
  <si>
    <t>08D04-04</t>
  </si>
  <si>
    <t>Les systèmes d'information sont-ils couverts par un contrat d'assurance couvrant les dommages matériels (Dommage incendie, accident et risques divers, Bris de machine, Tous risques informatiques, "Tous Risques Sauf", Périls dénommés, etc.) ?</t>
  </si>
  <si>
    <t>01D01-02</t>
  </si>
  <si>
    <t>06A02-09</t>
  </si>
  <si>
    <t>06A02-10</t>
  </si>
  <si>
    <t>Les paramétrages de sécurité et règles de configuration sont-ils contrôlés avant toute mise en exploitation d'une nouvelle version ?</t>
  </si>
  <si>
    <t>06A02-11</t>
  </si>
  <si>
    <t>Les dérogations au processus d'analyse de risque préalable et aux contrôles des paramètres de sécurité font-elles l'objet de procédures strictes avec signature d'un responsable de niveau élevé ?</t>
  </si>
  <si>
    <t>06A02-12</t>
  </si>
  <si>
    <t>05B02-01</t>
  </si>
  <si>
    <t>Surveillance, en temps différé, des traces, logs et journaux</t>
  </si>
  <si>
    <t>08E03</t>
  </si>
  <si>
    <t>F18</t>
  </si>
  <si>
    <t>Applicatif</t>
  </si>
  <si>
    <t>Engagement du personnel - clauses contractuelles</t>
  </si>
  <si>
    <t>01C02</t>
  </si>
  <si>
    <t>01C03</t>
  </si>
  <si>
    <t>Procédure d'habilitation du personnel</t>
  </si>
  <si>
    <t>01C04</t>
  </si>
  <si>
    <t>Sensibilisation et formation à la sécurité</t>
  </si>
  <si>
    <t>01C05</t>
  </si>
  <si>
    <t>Gestion des tierces parties</t>
  </si>
  <si>
    <t>01C06</t>
  </si>
  <si>
    <t>Enregistrement des personnes</t>
  </si>
  <si>
    <t>01A01</t>
  </si>
  <si>
    <t>01A02</t>
  </si>
  <si>
    <t>01A03</t>
  </si>
  <si>
    <t>01A04</t>
  </si>
  <si>
    <t>01A05</t>
  </si>
  <si>
    <t>Gestion de crise liée à la sécurité de l'information</t>
  </si>
  <si>
    <t>01B01</t>
  </si>
  <si>
    <t>Chiffrement des échanges (ponctuel ou en totalité)</t>
  </si>
  <si>
    <t>09C02</t>
  </si>
  <si>
    <t>Chiffrement des données stockées</t>
  </si>
  <si>
    <t>09C03</t>
  </si>
  <si>
    <t>Contrôle de la mise en production de nouveaux systèmes ou d'évolutions de systèmes existants</t>
  </si>
  <si>
    <t>08A05</t>
  </si>
  <si>
    <t>08A06</t>
  </si>
  <si>
    <t>IF.L.Vir</t>
  </si>
  <si>
    <t>Moyen d'accès</t>
  </si>
  <si>
    <t>Libellés des événements</t>
  </si>
  <si>
    <t>Famille de scénarios</t>
  </si>
  <si>
    <t>à un virus</t>
  </si>
  <si>
    <t>Pollution accidentelle de fichiers</t>
  </si>
  <si>
    <t>Pollution malveillante de fichiers</t>
  </si>
  <si>
    <t>au vieillissement</t>
  </si>
  <si>
    <t>à un dégât des eaux</t>
  </si>
  <si>
    <t>Dans le cas d'utilisation des données d'exploitation, les procédures de contrôle d'accès qui s'appliquent aux applications en exploitation s'appliquent-elles également aux applications d'essais ?</t>
  </si>
  <si>
    <t>10B04-04</t>
  </si>
  <si>
    <t>Altération, par erreur de procédure, de configuration</t>
  </si>
  <si>
    <t>min(12A02;12B02)</t>
  </si>
  <si>
    <t>min(12E01;12E02)</t>
  </si>
  <si>
    <t>Les contrats de maintenance et les procédures de maintenance associées font-ils l'objet d'un audit régulier ?</t>
  </si>
  <si>
    <t>04A04-01</t>
  </si>
  <si>
    <t>04A04-02</t>
  </si>
  <si>
    <t xml:space="preserve">A-t-on établi, pour chaque incident critique, la solution à mettre en oeuvre et les opérations à mener par le personnel d'exploitation ? </t>
  </si>
  <si>
    <t>04A04-03</t>
  </si>
  <si>
    <t>Ce système détecte-t-il tout forçage d'issue (portes et fenêtres), tout fonctionnement d'issue de secours et tout maintien en ouverture d'une issue normale ?</t>
  </si>
  <si>
    <t>04B01-14</t>
  </si>
  <si>
    <t>Procède-t-on régulièrement à une revue des connexions autorisées (standards et non standards ) et de leur pertinence ?</t>
  </si>
  <si>
    <t>04B02-01</t>
  </si>
  <si>
    <t>Y a-t-il un mécanisme d'authentification et de contrôle d'accès de l'entité accédante avant tout accès au réseau local depuis le réseau étendu ?</t>
  </si>
  <si>
    <t>04B02-02</t>
  </si>
  <si>
    <t>04B02-03</t>
  </si>
  <si>
    <t>04B02-04</t>
  </si>
  <si>
    <t>Le responsable sécurité des systèmes d'information est-il informé des résultats synthétiques des audits non spécifiques de la sécurité des systèmes d'information et peut-il avoir accès aux rapports détaillés correspondants ?</t>
  </si>
  <si>
    <t>01A04-06</t>
  </si>
  <si>
    <t>01A04-07</t>
  </si>
  <si>
    <t>Garantie d'origine, signature, électronique</t>
  </si>
  <si>
    <t>max(07C02;08F03)</t>
  </si>
  <si>
    <t>max(08B02;08B03)</t>
  </si>
  <si>
    <t>F09-AC1</t>
  </si>
  <si>
    <t>F09-AC2</t>
  </si>
  <si>
    <t>Altération accidentelle (non détectée) de programmes</t>
  </si>
  <si>
    <t>F09-MA1</t>
  </si>
  <si>
    <t>F09-MA2</t>
  </si>
  <si>
    <t>Altération malveillante (non détectée) de programmes</t>
  </si>
  <si>
    <t>F09-ME1</t>
  </si>
  <si>
    <t>F09-ME2</t>
  </si>
  <si>
    <t>Echange malveillant (non détecté) de media support de programmes</t>
  </si>
  <si>
    <t>Indisponibilité du service de publication sur un site web interne ou public</t>
  </si>
  <si>
    <t>F01-EM3</t>
  </si>
  <si>
    <t>Effacement malveillant total de fichiers et fichiers de sauvegarde</t>
  </si>
  <si>
    <t>Sécurité des procédures d'exploitation</t>
  </si>
  <si>
    <t>06A01-01</t>
  </si>
  <si>
    <t>Dispose-t-on d'un moyen sûr d'enregistrer les départs des visiteurs (conservation de la carte d'identité par exemple) ?</t>
  </si>
  <si>
    <t>13A02-06</t>
  </si>
  <si>
    <t>13A02-07</t>
  </si>
  <si>
    <t>13A02-08</t>
  </si>
  <si>
    <t>13A02-09</t>
  </si>
  <si>
    <t>13A02-10</t>
  </si>
  <si>
    <t>13A03</t>
  </si>
  <si>
    <t>L'application de la politique relative à la Prp fait-elle périodiquement l'objet d'un audit?</t>
  </si>
  <si>
    <t>Est-il prévu des sanctions en cas de non application de la politique ou de non-conformité ?</t>
  </si>
  <si>
    <t>Libellé</t>
  </si>
  <si>
    <t>Services appelés</t>
  </si>
  <si>
    <t>A1</t>
  </si>
  <si>
    <t>Rôles et structures</t>
  </si>
  <si>
    <t>A2</t>
  </si>
  <si>
    <t>B1</t>
  </si>
  <si>
    <t>B2</t>
  </si>
  <si>
    <t>Risques divers</t>
  </si>
  <si>
    <t>Architecture réseaux et systèmes</t>
  </si>
  <si>
    <t>Contrôles des échanges</t>
  </si>
  <si>
    <t>D1</t>
  </si>
  <si>
    <t>Contrôle d'accès logique</t>
  </si>
  <si>
    <t>D2</t>
  </si>
  <si>
    <t>Les devoirs et responsabilités du management dans le domaine de la protection de l'information et des ressources de l'entreprise sont-ils précisés dans une note ou document communiqué à l'ensemble des managers ?</t>
  </si>
  <si>
    <t>01B01-09</t>
  </si>
  <si>
    <t>Ce schéma de classification définit-il le marquage des différents types de ressources en fonction de leur classification ?</t>
  </si>
  <si>
    <t>7.2.2</t>
  </si>
  <si>
    <t>01B03-03</t>
  </si>
  <si>
    <t>A-t-on effectué une classification des informations (documents, données, fichiers, bases de données, etc.) en fonction de l'impact qu'un sinistre touchant ces informations aurait sur l'entreprise ?</t>
  </si>
  <si>
    <t>7.2.1</t>
  </si>
  <si>
    <t>01B03-04</t>
  </si>
  <si>
    <t>Cette classification a-t-elle été effectuée pour chacun des critères de Disponibilité, Intégrité et Confidentialité ?</t>
  </si>
  <si>
    <t>01B03-05</t>
  </si>
  <si>
    <t>A-t-on effectué une classification des ressources sensibles (systèmes informatiques, équipements télécoms et divers, locaux, etc.) en fonction de l'impact qu'un sinistre touchant ces ressources aurait sur l'entreprise ?</t>
  </si>
  <si>
    <t>01B03-06</t>
  </si>
  <si>
    <t>01B03-07</t>
  </si>
  <si>
    <t>Existe-t-il des règles concernant la sortie des actifs (autorisations préalables, personnes autorisées, enregistrement de la sortie et de la rentrée, effacement des données inutiles, etc.) ?</t>
  </si>
  <si>
    <t>01B05</t>
  </si>
  <si>
    <t>Questionnaire d'audit : Protection des postes de travail utilisateurs</t>
  </si>
  <si>
    <t>Ces accès sont-ils enregistrés de manière sécurisée ?</t>
  </si>
  <si>
    <t>08H02-09</t>
  </si>
  <si>
    <t>Le transfert des archives ou d'une copie au demandeur est-il assuré de manière sécurisée ?</t>
  </si>
  <si>
    <t>Les locaux d'archivage sont-ils équipés de détection et d'extinction incendie adaptée, de détection de dégâts des eaux et de moyens d'évacuation ?</t>
  </si>
  <si>
    <t>08H03-02</t>
  </si>
  <si>
    <t>Les locaux d'archivage sont-ils équipés de contrôle d'accès renforcé et de détection d'intrusion ?</t>
  </si>
  <si>
    <t>08H03-03</t>
  </si>
  <si>
    <t>08H03-04</t>
  </si>
  <si>
    <t>08H03-05</t>
  </si>
  <si>
    <t>Les supports d'archives sont-ils marqués sans référence à leur contenu ?</t>
  </si>
  <si>
    <t>08H03-06</t>
  </si>
  <si>
    <t>Les tables permettant d'associer un contenu à un numéro d'archive sont-elles rendues inaccessibles au personnel gérant les supports d'archive ?</t>
  </si>
  <si>
    <t>08H03-07</t>
  </si>
  <si>
    <t>Directives générales relatives à la protection de l'information</t>
  </si>
  <si>
    <t>Le responsable sécurité des systèmes d'information est-il informé des résultats des audits sur les aspects touchant à la sécurité des systèmes d'information ?</t>
  </si>
  <si>
    <t>01A04-05</t>
  </si>
  <si>
    <r>
      <t xml:space="preserve">A-t-on établi une politique de sécurité et des recommandations relatives au travail en dehors des locaux de l'entreprise ?
</t>
    </r>
    <r>
      <rPr>
        <i/>
        <sz val="8"/>
        <rFont val="Arial"/>
        <family val="2"/>
      </rPr>
      <t>Les recommandations et directives devraient traiter des précautions à prendre aussi bien dans des situations de travail à domicile, qu'en déplacement ou dans les transports publics et couvrir la protection des micro-ordinateurs portables, l'utilisation du pare-feux et de l'antivirus à jour, les connexions à des réseaux publics ou tiers, les précautions à prendre concernant les documents écrits, les messageries instantanées et les conversations téléphoniques et orales.</t>
    </r>
  </si>
  <si>
    <t>L'application des règles de sécurité relatives à l'impression et à la diffusion des documents sensibles est-elle régulièrement auditée ?</t>
  </si>
  <si>
    <t>Les procédures de gestion des clés révoquées garantissent-elles que les systèmes de contrôle prennent en compte ces révocations en temps réel ?</t>
  </si>
  <si>
    <t>G02-I</t>
  </si>
  <si>
    <t>05D03-07</t>
  </si>
  <si>
    <t>05D03-08</t>
  </si>
  <si>
    <t>13.2.1</t>
  </si>
  <si>
    <t>06A</t>
  </si>
  <si>
    <t>Ces listes sont-elles protégées contre toute modification illicite par un processus de scellement de grande robustesse ?</t>
  </si>
  <si>
    <t>Les droits accordés aux utilisateurs les empêchent-ils de modifier par eux-mêmes les configurations systèmes (ajouts de matériels ou de logiciels) ?</t>
  </si>
  <si>
    <t>La fonction RSSI est-elle impliquée, directement ou au moins à titre de contrôle, dans les processus de prise en compte de la sécurité dans les projets ?</t>
  </si>
  <si>
    <t>10A02-01</t>
  </si>
  <si>
    <t>12.5.1</t>
  </si>
  <si>
    <t>10A02-02</t>
  </si>
  <si>
    <t>A-t-on envisagé, lors des études de risques, les possibilités de fuite d'information par des canaux cachés et mis en place des contrôles adaptés ?</t>
  </si>
  <si>
    <t>10A01-05</t>
  </si>
  <si>
    <t>10A01-06</t>
  </si>
  <si>
    <t>10A01-07</t>
  </si>
  <si>
    <t>Est-ce que ces évaluations ont été mises en œuvre ?</t>
  </si>
  <si>
    <t>Est-ce que ces évaluations sont suivies de manière régulière par la Direction ?</t>
  </si>
  <si>
    <r>
      <t xml:space="preserve">Les paramètres de contrôle de la gestion des droits attribués au personnel de développement sont-ils sous contrôle strict ?
</t>
    </r>
    <r>
      <rPr>
        <i/>
        <sz val="8"/>
        <rFont val="Arial"/>
        <family val="2"/>
      </rPr>
      <t>Un contrôle strict requiert que la liste des personnes habilitées à changer les profils par projets attribués au personnel de développement et les paramètres de contrôle d'accès aux environnements et objets de développement soit très limitée, qu'il existe un contrôle d'accès renforcé pour pouvoir les modifier, et que les modifications soient journalisées et auditées.</t>
    </r>
  </si>
  <si>
    <t>A-t-on défini et mis en place des solutions de scellement ou de contrôle d'intégrité pour les échanges avec des utilisateurs se connectant depuis l'extérieur (nomades, prestataires autorisés à se connecter au réseau, etc.) ?</t>
  </si>
  <si>
    <t>05C04-02</t>
  </si>
  <si>
    <t>05C04-03</t>
  </si>
  <si>
    <t>05C04-04</t>
  </si>
  <si>
    <t>05C04-05</t>
  </si>
  <si>
    <t>01B02-13</t>
  </si>
  <si>
    <t>Existe-t-il une procédure de contrôle ou d'audit de l'authenticité et de la pertinence des règles de protection de l'information et des ressources du système d'information diffusées à l'ensemble du personnel ?</t>
  </si>
  <si>
    <t>Classification des ressources</t>
  </si>
  <si>
    <t>01B03-01</t>
  </si>
  <si>
    <t>09A02-03</t>
  </si>
  <si>
    <t>09A02-04</t>
  </si>
  <si>
    <t>09A02-05</t>
  </si>
  <si>
    <t>09A02-06</t>
  </si>
  <si>
    <t>09A02-07</t>
  </si>
  <si>
    <t>08H02-08</t>
  </si>
  <si>
    <t>08D03-10</t>
  </si>
  <si>
    <t>Les procédures de maintenance applicative imposent-elles une validation formelle, par les utilisateurs, de la couverture des tests fonctionnels ?</t>
  </si>
  <si>
    <t>10B05-11</t>
  </si>
  <si>
    <r>
      <t xml:space="preserve">Les paramètres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</si>
  <si>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Protection des réseaux de stockage</t>
  </si>
  <si>
    <t>Existe-t-il une cartographie des liaisons et des équipements de communication en place ?</t>
  </si>
  <si>
    <t>05A01-06</t>
  </si>
  <si>
    <t>05A01-07</t>
  </si>
  <si>
    <t>La sécurité propre de ces équipements de filtrage fait-elle l'objet d'un suivi permanent par un expert et d'une veille technologique ?</t>
  </si>
  <si>
    <t>05A01-08</t>
  </si>
  <si>
    <t>05A01-09</t>
  </si>
  <si>
    <t>Contrôle-t-on également que les utilisateurs ne possèdent pas les droits d'administration nécessaires à l'installation de nouveaux matériels ou logiciels ?</t>
  </si>
  <si>
    <t>Les processus de contrôle font-ils eux-mêmes l'objet d'un audit régulier ?</t>
  </si>
  <si>
    <t>Les clauses de respect de la politique de sécurité signées par le personnel des entreprises contractées sont-elles conservées de manière sûre (au moins dans une armoire fermée à clé) ?</t>
  </si>
  <si>
    <t>Les décisions de changements majeurs des équipements et systèmes font-elles l'objet de procédures de contrôle (enregistrement, planification, approbation formelle, communication à l'ensemble des personnes concernées, etc.) ?</t>
  </si>
  <si>
    <t>Non conformité de processus relatifs à la protection des personnes et de l'environnement</t>
  </si>
  <si>
    <t>min(13C01;13C02)</t>
  </si>
  <si>
    <t>04A02-04</t>
  </si>
  <si>
    <t>04A02-05</t>
  </si>
  <si>
    <t>A-t-on procédé a une analyse spécifique des appels systèmes privilégiés que l'on souhaite journaliser et des paramètres concernant ces appels à conserver ?</t>
  </si>
  <si>
    <t>07C02-02</t>
  </si>
  <si>
    <t xml:space="preserve">Divulgation de media support de fichiers </t>
  </si>
  <si>
    <t xml:space="preserve">Divulgation d'informations, par perte accidentelle, de media support de fichiers </t>
  </si>
  <si>
    <t>07C02-06</t>
  </si>
  <si>
    <t>07C02-07</t>
  </si>
  <si>
    <t>07C02-08</t>
  </si>
  <si>
    <t>07C02-09</t>
  </si>
  <si>
    <t>07D</t>
  </si>
  <si>
    <t>A-t-on analysé les événements ou successions d'événements pouvant être révélateurs de comportements anormaux ou d'actions illicites et en a-t-on déduit des points ou indicateurs de surveillance ?</t>
  </si>
  <si>
    <t>05D01-02</t>
  </si>
  <si>
    <t>05D01-03</t>
  </si>
  <si>
    <t>Emploie-t-on un système de détection d'intrusion et d'anomalies ?</t>
  </si>
  <si>
    <t>05D01-04</t>
  </si>
  <si>
    <t>Existe-t-il une (ou plusieurs) application capable d'analyser les divers diagnostics individuels d'anomalies et de déclencher une alerte à destination du personnel d'exploitation ?</t>
  </si>
  <si>
    <t>05D01-05</t>
  </si>
  <si>
    <t>10A03-01</t>
  </si>
  <si>
    <t>Lorsque le développement logiciel est sous-traité, a-t-on pris soin de régler les questions d'accord de licence et de propriété intellectuelle du code développé ?</t>
  </si>
  <si>
    <t>10A03-02</t>
  </si>
  <si>
    <t>10A03-03</t>
  </si>
  <si>
    <t>10A03-04</t>
  </si>
  <si>
    <t>10A03-05</t>
  </si>
  <si>
    <t>10B05-02</t>
  </si>
  <si>
    <t>Tous ces contrôles, s'ils existent, sont-ils intégrés dans un processus opérationnel d'alerte et de  traitement des erreurs ?</t>
  </si>
  <si>
    <t>Contrôles permanents (vraisemblance, ...) sur les traitements</t>
  </si>
  <si>
    <t>09B05-01</t>
  </si>
  <si>
    <t>Le processus de contrôle fait-il l'objet d'un audit régulier ?</t>
  </si>
  <si>
    <t>09B04-01</t>
  </si>
  <si>
    <t>Ce programme a-t-il été approuvé par le responsable ou le répondant en matière de PRP?</t>
  </si>
  <si>
    <t>Ce programme est-il adapté aux tâches accomplies?</t>
  </si>
  <si>
    <t xml:space="preserve">L'affectation de profil et de tâches au personnel de maintenance applicative est-elle faite de manière individuelle et nominative ? </t>
  </si>
  <si>
    <t>10B05-03</t>
  </si>
  <si>
    <t>08D03-05</t>
  </si>
  <si>
    <t>Les moyens de diagnostic nécessaires à l'intervention du personnel d'exploitation sont-ils protégés contre toute inhibition ou altération non justifiées ?</t>
  </si>
  <si>
    <t>08D03-06</t>
  </si>
  <si>
    <t>S'assure-t-on régulièrement de l'efficacité réelle des procédures et des moyens de surveillance et de diagnostic du bon fonctionnement des applications ?</t>
  </si>
  <si>
    <t>08D03-08</t>
  </si>
  <si>
    <t>08D03-09</t>
  </si>
  <si>
    <t>08H02-02</t>
  </si>
  <si>
    <t>04A</t>
  </si>
  <si>
    <t>04B</t>
  </si>
  <si>
    <t>Contrôle des connexions sur le réseau étendu</t>
  </si>
  <si>
    <t>04C</t>
  </si>
  <si>
    <t>Sécurité des données lors des échanges et des communications</t>
  </si>
  <si>
    <t>04D</t>
  </si>
  <si>
    <t>Contrôle, détection et traitement des incidents sur le réseau étendu</t>
  </si>
  <si>
    <r>
      <t xml:space="preserve">Les automatismes de production assurant les sauvegardes sont-ils protégés par des mécanismes de haute sécurité contre toute modification illicite ou indue ?
</t>
    </r>
    <r>
      <rPr>
        <i/>
        <sz val="8"/>
        <rFont val="Arial"/>
        <family val="2"/>
      </rPr>
      <t>Un tel mécanisme pourrait être un scellement électronique ou tout système de détection de modification équivalent.</t>
    </r>
  </si>
  <si>
    <t>03C02-04</t>
  </si>
  <si>
    <r>
      <t xml:space="preserve">La transmission entre le poste appelant et les équipements de sécurité d'éléments de référence supports de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</si>
  <si>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un contrôle effectif de l'identité du demandeur ?</t>
  </si>
  <si>
    <t>Sécurité des données</t>
  </si>
  <si>
    <t>Gestion des supports</t>
  </si>
  <si>
    <t>F1</t>
  </si>
  <si>
    <t>Plan de secours</t>
  </si>
  <si>
    <t>F2</t>
  </si>
  <si>
    <t>Sauvegarde</t>
  </si>
  <si>
    <t>F3</t>
  </si>
  <si>
    <t>Maintenance</t>
  </si>
  <si>
    <t>G1</t>
  </si>
  <si>
    <t>Projets et développements</t>
  </si>
  <si>
    <t>H1</t>
  </si>
  <si>
    <t xml:space="preserve">Divulgation de fichiers </t>
  </si>
  <si>
    <t>Inexploitabilité</t>
  </si>
  <si>
    <t>Fichier</t>
  </si>
  <si>
    <t>Effacement</t>
  </si>
  <si>
    <t>ER.P.Pro</t>
  </si>
  <si>
    <t>Ua</t>
  </si>
  <si>
    <t>Listings ou états imprimés des applications informatiques</t>
  </si>
  <si>
    <t>D09</t>
  </si>
  <si>
    <t>Données et informations publiées sur des sites publics ou internes</t>
  </si>
  <si>
    <t>R01</t>
  </si>
  <si>
    <t>R02</t>
  </si>
  <si>
    <t>S01</t>
  </si>
  <si>
    <t>Environnement de travail des utilisateurs</t>
  </si>
  <si>
    <t>Non conformité à la loi ou à la réglementation</t>
  </si>
  <si>
    <t>C01</t>
  </si>
  <si>
    <t>C02</t>
  </si>
  <si>
    <t>C03</t>
  </si>
  <si>
    <t>C04</t>
  </si>
  <si>
    <t>Divulgation</t>
  </si>
  <si>
    <t>Sti</t>
  </si>
  <si>
    <t>Ste</t>
  </si>
  <si>
    <t xml:space="preserve">Divulgation, par erreur, de fichiers </t>
  </si>
  <si>
    <t xml:space="preserve">Détournement de fichiers </t>
  </si>
  <si>
    <r>
      <t xml:space="preserve">En cas d'inhibition ou de by-pass de la solution de chiffrement ou de mise en œuvre d'une solution de secours du réseau par une voie non protégée, existe-t-il une procédure permettant d'en alerter immédiatement l'ensemble des utilisateurs ?
</t>
    </r>
    <r>
      <rPr>
        <i/>
        <sz val="8"/>
        <rFont val="Arial"/>
        <family val="2"/>
      </rPr>
      <t>Par exemple, par un avertissement lors de l'utilisation de ce réseau demandant la validation active de l'utilisateur.</t>
    </r>
  </si>
  <si>
    <t>08E01</t>
  </si>
  <si>
    <t>Existe-t-il un système permettant de détecter toute modification ou suppression d'un enregistrement passé et de déclencher une alerte immédiate auprès d'un responsable ?</t>
  </si>
  <si>
    <t>06C03-04</t>
  </si>
  <si>
    <t>Existe-t-il une synthèse de ces enregistrements permettant à la hiérarchie de détecter des comportements anormaux ?</t>
  </si>
  <si>
    <t>06C03-05</t>
  </si>
  <si>
    <t>Existe-t-il un système permettant de détecter toute modification des paramètres d'enregistrement et de déclencher une alerte immédiate auprès d'un responsable ?</t>
  </si>
  <si>
    <t>06C03-06</t>
  </si>
  <si>
    <t>Toute inhibition du système d'enregistrement et de traitement des enregistrements déclenche-t-elle une alarme auprès d'un responsable ?</t>
  </si>
  <si>
    <t>06C03-07</t>
  </si>
  <si>
    <t>06C03-08</t>
  </si>
  <si>
    <t>06C03-09</t>
  </si>
  <si>
    <t>Les procédures d'attribution et de personnalisation des moyens de chiffrement et de protection des fichiers bureautiques garantissent-ils des possibilités d'accès aux fichiers, même en cas d'absence ou de départ de leurs propriétaires ?</t>
  </si>
  <si>
    <t>11D08-04</t>
  </si>
  <si>
    <t>11D08-05</t>
  </si>
  <si>
    <t>12B</t>
  </si>
  <si>
    <t>Protection de la propriété intellectuelle</t>
  </si>
  <si>
    <t>12B01-01</t>
  </si>
  <si>
    <t>12B01-02</t>
  </si>
  <si>
    <t>12B01-03</t>
  </si>
  <si>
    <t>12B01-04</t>
  </si>
  <si>
    <t>Existe-t-il une procédure obligeant les utilisateurs à utiliser ce service d'archivage pour tout fichier devant être conservé sur une longue période ?</t>
  </si>
  <si>
    <t>08H02-01</t>
  </si>
  <si>
    <t>Existe-t-il une possibilité de déclarer des serveurs comme sensibles et, comme tels, requérant une authentification du serveur auquel on se connecte ?</t>
  </si>
  <si>
    <t>S03-D</t>
  </si>
  <si>
    <t>Les exigences et les procédures à respecter pour les accès aux archives ont-elles été édictées par le management ?</t>
  </si>
  <si>
    <t>Indisponibilité de services d'interface ou de terminaux mis à la disposition des utilisateurs (PC, imprimantes locales, périphériques, interfaces spécifiques, etc.)</t>
  </si>
  <si>
    <t xml:space="preserve">S03 </t>
  </si>
  <si>
    <t>07B01-08</t>
  </si>
  <si>
    <t xml:space="preserve">Manipulation malveillante </t>
  </si>
  <si>
    <t>Ere</t>
  </si>
  <si>
    <t>Erl</t>
  </si>
  <si>
    <t>lors d'échanges sur le réseau étendu</t>
  </si>
  <si>
    <t>lors d'échanges sur le réseau local</t>
  </si>
  <si>
    <t>lors d'accès au réseau depuis l'extérieur</t>
  </si>
  <si>
    <t>Are</t>
  </si>
  <si>
    <t>Tie</t>
  </si>
  <si>
    <t>Erreur de saisie ou de frappe</t>
  </si>
  <si>
    <t>Effacement volontaire direct de supports logiques ou physiques</t>
  </si>
  <si>
    <t>Falsification logique (données ou fonctions)</t>
  </si>
  <si>
    <t>Possibilité d'échange de media support de données</t>
  </si>
  <si>
    <t>Fichier support de données</t>
  </si>
  <si>
    <t>ISO 27002</t>
  </si>
  <si>
    <t>02A05-01:03</t>
  </si>
  <si>
    <r>
      <t xml:space="preserve">Les processus de définition et de gestion des règles de filtrage des accès sortants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</si>
  <si>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r>
      <t xml:space="preserve">Les processus de définition et de gestion des règles de filtrage des accès sont-ils sous contrôle strict ?
</t>
    </r>
    <r>
      <rPr>
        <i/>
        <sz val="8"/>
        <rFont val="Arial"/>
        <family val="2"/>
      </rPr>
      <t>Un contrôle strict requiert que la liste des personnes habilitées à changer les paramètres de sécurité du filtrage des accès soit très limitée, qu'il existe un contrôle d'accès renforcé pour pouvoir les modifier, et que les modifications soient journalisées et auditées.</t>
    </r>
  </si>
  <si>
    <t xml:space="preserve">Tout utilisateur est-il tenu informé, lors de son enregistrement, des droits acquis de ce fait et des devoirs liés à toute attribution droits (acquise dès son enregistrement ou qu'il pourra recevoir par la suite) ? </t>
  </si>
  <si>
    <t>01C06-06</t>
  </si>
  <si>
    <t>01D</t>
  </si>
  <si>
    <t xml:space="preserve">Assurances </t>
  </si>
  <si>
    <t>01D01-01</t>
  </si>
  <si>
    <t>Les procédures d'enregistrement des actions privilégiées et de traitement de ces enregistrements font-elles l'objet d'un audit régulier ?</t>
  </si>
  <si>
    <t>06C04-01</t>
  </si>
  <si>
    <t>13D</t>
  </si>
  <si>
    <t>13D01-01</t>
  </si>
  <si>
    <t>13D01-02</t>
  </si>
  <si>
    <t>13D01-03</t>
  </si>
  <si>
    <t>13D01-04</t>
  </si>
  <si>
    <t>13D01-05</t>
  </si>
  <si>
    <t>06D01-03</t>
  </si>
  <si>
    <t>Les auditeurs sont-ils indépendants des activités concernées ?</t>
  </si>
  <si>
    <t>06D01-04</t>
  </si>
  <si>
    <t>Les opérations d'audit réalisées pour les données critiques sont-elles enregistrées ?</t>
  </si>
  <si>
    <t>06D01-05</t>
  </si>
  <si>
    <t>06D02-01</t>
  </si>
  <si>
    <t>Les cartons d'archives sont-ils marqués sans référence à leur contenu ?</t>
  </si>
  <si>
    <t>Les tables permettant d'associer un contenu à un numéro d'archive sont-elles rendues inaccessibles au personnel gérant physiquement les cartons d'archive ?</t>
  </si>
  <si>
    <t>Le demandeur d'une archive est-il authentifié par une procédure reconnue comme "forte" ?</t>
  </si>
  <si>
    <t>Les archives sont-elles protégées contre tout détournement pendant leur transport entre le local d'archivage et la remise au demandeur ?</t>
  </si>
  <si>
    <t>11C</t>
  </si>
  <si>
    <t>des vandales ou des terroristes agissant depuis l'extérieur</t>
  </si>
  <si>
    <t>F06-MA2</t>
  </si>
  <si>
    <t>Destruction malveillante de système hôte</t>
  </si>
  <si>
    <t>à un acte terroriste</t>
  </si>
  <si>
    <t>11C01-01</t>
  </si>
  <si>
    <t>Les documents correspondants sont-ils stockés dans des coffres ignifuges, eux-mêmes placés dans des salles équipées de détection et d'extinction incendie adaptée, de détection de dégâts des eaux et de moyens d'évacuation ?</t>
  </si>
  <si>
    <t>02D07-14</t>
  </si>
  <si>
    <t>La délivrance d'une archive est-elle enregistrée et tracée ?</t>
  </si>
  <si>
    <t>Existe-t-il une procédure spécfique pour la destruction des archives ?</t>
  </si>
  <si>
    <r>
      <t xml:space="preserve">La transmission entre le poste appelant et les équipements de sécurité d'éléments de référence supportant l'authentification (mots de passe, numéro d'appelant, etc.)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</si>
  <si>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Procède-t-on régulièrement à des audits de la mise en oeuvre effective des mesures d'évitement et du maintien de leur pertinence (vérification de l'étude des risques) ?</t>
  </si>
  <si>
    <t>03C02-01</t>
  </si>
  <si>
    <t>Existe-t-il des détecteurs d'humidité à proximité des ressources sensibles (en particulier dans les faux planchers le cas échéant), reliés à un poste permanent de surveillance ?</t>
  </si>
  <si>
    <t>03C02-02</t>
  </si>
  <si>
    <t>La limitation des privilèges accordés aux équipes d'exploitation les empêche-t-elle de modifier les outils ou les utilitaires de l'exploitation ou, à défaut, existe-t-il un contrôle de toute modification avec alerte auprès d'un responsable  ?</t>
  </si>
  <si>
    <t>06C04-06</t>
  </si>
  <si>
    <t>Existe-t-il un Comité d'audit chargé de choisir les auditeurs externes, d'en fixer la rémunération et d'en superviser les activités ?</t>
  </si>
  <si>
    <t>12C01-05</t>
  </si>
  <si>
    <t>12C01-06</t>
  </si>
  <si>
    <t>Devoirs et responsabilités du personnel et du management</t>
  </si>
  <si>
    <t>L'équipe de surveillance et d'intervention a-t-elle été dimensionnée en envisageant l'hypothèse d'alarmes multiples ?</t>
  </si>
  <si>
    <t>03C02-06</t>
  </si>
  <si>
    <t>La permanence des moyens nécessaires à l'application de la politique de sécurité des personnes et de protection de l'environnement  fait-elle l'objet d'un audit régulier ?</t>
  </si>
  <si>
    <r>
      <t xml:space="preserve">Ces solutions sont-elles décrites en détail dans un (ou plusieurs) Plan de Reprise d'Activité formel et complet ?
</t>
    </r>
    <r>
      <rPr>
        <i/>
        <sz val="8"/>
        <rFont val="Arial"/>
        <family val="2"/>
      </rPr>
      <t>Un plan de reprise d'activité complet doit comprendre les règles de déclenchement, les actions à mener, les priorités, les acteurs à mobiliser et leurs coordonnées, ainsi que les conditions de retour à la normale.</t>
    </r>
  </si>
  <si>
    <t>Ces règles couvrent-elles l'organisation nécessaire au sein de chaque entité connectée ?</t>
  </si>
  <si>
    <t>Si les solutions de secours incluent des livraisons de matériels, qui ne peuvent être déclenchés lors des tests, existe-t-il un contrat d'engagement de livraison des matériels de remplacement dans des délais fixés et prévus au plan de secours, par le constructeur ou un tiers (revendeur, loueur, fournisseur, autres) ?</t>
  </si>
  <si>
    <t>Existe-t-il une structure en charge de vérifier l'application des règles et la suppression des droits spécifiques quand le besoin a disparu ou quand les conditions exigées ne sont plus remplies ?</t>
  </si>
  <si>
    <t>Services du réseau étendu</t>
  </si>
  <si>
    <t>Services du réseau local</t>
  </si>
  <si>
    <t xml:space="preserve">Services télécom </t>
  </si>
  <si>
    <t>Processus transverses</t>
  </si>
  <si>
    <t>Archives patrimoniales ou documentaires</t>
  </si>
  <si>
    <t>Contrôles permanents  (vraisemblance, ...) sur les traitements</t>
  </si>
  <si>
    <t>F06-MA1</t>
  </si>
  <si>
    <t>Endommagement malveillant de système hôte</t>
  </si>
  <si>
    <t>à du vandalisme</t>
  </si>
  <si>
    <t>Existe-t-il une procédure de contrôle de l'authenticité et de la pertinence des règles de sécurité diffusées à l'ensemble du personnel ?</t>
  </si>
  <si>
    <t>01C02-01</t>
  </si>
  <si>
    <t>F10-MA</t>
  </si>
  <si>
    <t>Endommagement accidentel de système hôte</t>
  </si>
  <si>
    <t>Indisponibilité de longue durée, destruction ou perte accidentelles de système hôte</t>
  </si>
  <si>
    <t>Indisponibilité temporaire accidentelle de système hôte</t>
  </si>
  <si>
    <t>Les procédures et instructions de sécurité précisent-elles les règles de sécurité relatives à l'impression de documents sensibles ?</t>
  </si>
  <si>
    <t>La conformité des sceaux est-elle contrôlée automatiquement par l'application ?</t>
  </si>
  <si>
    <t>09B01-03</t>
  </si>
  <si>
    <t>09B01-04</t>
  </si>
  <si>
    <t>09B01-05</t>
  </si>
  <si>
    <t>09B01-06</t>
  </si>
  <si>
    <t>09B01-07</t>
  </si>
  <si>
    <t>09B01-08</t>
  </si>
  <si>
    <t>Les procédures et instructions de sécurité précisent-elles les règles de sécurité relatives à la gestion de documents sensibles lors de déplacement en dehors de l'entreprise ?</t>
  </si>
  <si>
    <t>Ces contrôles ont-ils lieu également pendant les heures ouvrables, en l'absence des occupants des bureaux ?</t>
  </si>
  <si>
    <t>08F02-06</t>
  </si>
  <si>
    <t>Existe-t-il un programme de sensibilisation et de formation en matière de Protection de la propriété intellectuelle?</t>
  </si>
  <si>
    <t>Les badges ou cartes matérialisant les autorisations d'accès aux locaux sensibles sont-ils personnalisés avec le nom du titulaire et sa photo ?</t>
  </si>
  <si>
    <t>03B02-05</t>
  </si>
  <si>
    <t>03B02-06</t>
  </si>
  <si>
    <t>Conformité à la loi ou aux réglementations relatives à la communication financière</t>
  </si>
  <si>
    <t>Conformité à la loi ou aux réglementations relatives à la vérification de la comptabilité informatisée</t>
  </si>
  <si>
    <t>C06</t>
  </si>
  <si>
    <t>Existe-t-il une politique et des directives précises en matière de Communication financière ?</t>
  </si>
  <si>
    <t>Un responsable ou un répondant en matière de Communication financière a-t-il été nommé?</t>
  </si>
  <si>
    <t>Un comité relevant des instances dirigeantes est-il chargé d'élaborer les orientations en matière de Communication financière et d'étudier périodiquement les problématiques qui y sont  liées ?</t>
  </si>
  <si>
    <t>La politique relative à la Communication financière est-elle révisée régulièrement ?</t>
  </si>
  <si>
    <t>Programme de formation et de sensibilisation à la Communication financière</t>
  </si>
  <si>
    <t>Existe-t-il un programme de sensibilisation et de formation en matière de Communication financière?</t>
  </si>
  <si>
    <t>Tout changement dans les relations contractuelles (obligations diverses, niveaux de service, etc.) fait-il l'objet d'une analyse des risques induits potentiels ?</t>
  </si>
  <si>
    <t>06A07-01</t>
  </si>
  <si>
    <t>06A07-02</t>
  </si>
  <si>
    <t>Le niveau de connaissance des membres du personnel en matière de Sécurité des personnes et de protection de l'environnement  est-il évalué périodiquement à l'aide de sondages ou autrement?</t>
  </si>
  <si>
    <t xml:space="preserve">A-t-on analysé les conditions nécessaires à la mise en œuvre de la politique relative à la Sécurité des personnes et à la protection de l'environnement </t>
  </si>
  <si>
    <t>A-t-on effectué un partitionnement du réseau local en domaines de sécurité correspondant à des exigences de sécurité homogènes et à des espaces de confiance à l'intérieur desquels les contrôles peuvent être adaptés ?</t>
  </si>
  <si>
    <t>05A01-03</t>
  </si>
  <si>
    <t>L'ordre d'exécution des traitements a-t-il été validé et a-t-on prévu leur enchaînement après l'échec d'un traitement antérieur ?</t>
  </si>
  <si>
    <t>10B03-04</t>
  </si>
  <si>
    <t>Toute opération de maintenance doit-elle être conclue par une vérification systématique des paramètres de sécurité (tels que définis lors de la mise en production) ?</t>
  </si>
  <si>
    <t>06A03-03</t>
  </si>
  <si>
    <t>Disparition, par vol ou destruction malveillante, de document</t>
  </si>
  <si>
    <t>F10</t>
  </si>
  <si>
    <t>Altération de données individuellement sensibles ou de données en transit</t>
  </si>
  <si>
    <t>F10-ER</t>
  </si>
  <si>
    <t>Altération de données individuellement sensibles par erreur</t>
  </si>
  <si>
    <t>Existe-t-il des procédures formelles d'enregistrement et de révocation des personnes ?</t>
  </si>
  <si>
    <t>11.2.1</t>
  </si>
  <si>
    <t>01C06-02</t>
  </si>
  <si>
    <t xml:space="preserve">A-t-on analysé les conditions nécessaires à la mise en œuvre de la politique relative à la Protection des systèmes informatisés </t>
  </si>
  <si>
    <t>La permanence des moyens nécessaires à l'application de la Protection des systèmes informatisés  fait-elle l'objet d'un audit régulier ?</t>
  </si>
  <si>
    <t>A-t-on mis en place un service de signature électronique ?</t>
  </si>
  <si>
    <t>Existe-t-il un service spécialement chargé de l'archivage des documents à conserver sur une longue période ?</t>
  </si>
  <si>
    <t>Existe-t-il une procédure obligeant les utilisateurs à utiliser ce service d'archivage pour toute pièce devant être conservée sur une longue période ?</t>
  </si>
  <si>
    <t>03A02-04</t>
  </si>
  <si>
    <t>01C06-03</t>
  </si>
  <si>
    <t>Y a-t-il un mécanisme d'authentification de l'application à laquelle on se connecte avant tout accès à une application sensible depuis le réseau interne ?</t>
  </si>
  <si>
    <t>05A04</t>
  </si>
  <si>
    <t>Vérifie-t-on régulièrement l'adéquation des systèmes de régulation d'énergie (capacités des batteries, en particulier) avec les exigences des systèmes (autonomie nécessaire pour assurer un arrêt propre) ?</t>
  </si>
  <si>
    <t>C2</t>
  </si>
  <si>
    <t>03A01-06</t>
  </si>
  <si>
    <t>Continuité de la fourniture de l'énergie</t>
  </si>
  <si>
    <t>03A02-01</t>
  </si>
  <si>
    <t>A-t-on établi une politique documentée établissant les exigences de continuité dans la fourniture électrique (et les fluides en général) ?</t>
  </si>
  <si>
    <t>03A02-02</t>
  </si>
  <si>
    <t>14A08-02</t>
  </si>
  <si>
    <t xml:space="preserve">     Services</t>
  </si>
  <si>
    <t>Panne d'équipement</t>
  </si>
  <si>
    <t>AC.M.Equ</t>
  </si>
  <si>
    <t>ER.P.Peo</t>
  </si>
  <si>
    <t>ER.P.Prs</t>
  </si>
  <si>
    <t>Res</t>
  </si>
  <si>
    <t>lors de la remise en service après intervention</t>
  </si>
  <si>
    <t>Le plan de conservation des données et informations, dont la documentation, est-il conforme aux règles en vigueur (durée et nature des supports) ?</t>
  </si>
  <si>
    <t>Lors d’acquisition de société prévoit-on une clause de garantie sur les obligations en matière de VCI ?</t>
  </si>
  <si>
    <t>Existe-t-il une procédure de contrôle du plan de sauvegarde des documents techniques d’exploitation, des données et traitements et des versions des différents éléments sauvegardés ?</t>
  </si>
  <si>
    <t>13A</t>
  </si>
  <si>
    <t>13A01-01</t>
  </si>
  <si>
    <t>13A01-02</t>
  </si>
  <si>
    <t xml:space="preserve">Paramétrage des équipements et contrôle de la conformité des configurations </t>
  </si>
  <si>
    <t>12B01-08</t>
  </si>
  <si>
    <t>12B01-09</t>
  </si>
  <si>
    <t>12B02</t>
  </si>
  <si>
    <t>12B02-01</t>
  </si>
  <si>
    <t>12B02-02</t>
  </si>
  <si>
    <t>12B02-03</t>
  </si>
  <si>
    <t>12B02-04</t>
  </si>
  <si>
    <t>12B02-05</t>
  </si>
  <si>
    <t>12B02-06</t>
  </si>
  <si>
    <t>12B02-07</t>
  </si>
  <si>
    <t>12B02-08</t>
  </si>
  <si>
    <t>12C01-08</t>
  </si>
  <si>
    <t>12C02</t>
  </si>
  <si>
    <t>Ce document ou cette procédure impose-t-elle la mise en place d'un dispositif de synchronisation avec un référentiel de temps précis ?</t>
  </si>
  <si>
    <t>Existe-t-il un programme de sensibilisation et de formation en matière de Sécurité des personnes et de protection de l'environnement ?</t>
  </si>
  <si>
    <t>13A03-03</t>
  </si>
  <si>
    <t>13A04-01</t>
  </si>
  <si>
    <t>13A04-02</t>
  </si>
  <si>
    <t>13A04-03</t>
  </si>
  <si>
    <t>13D01-07</t>
  </si>
  <si>
    <t>13D01-08</t>
  </si>
  <si>
    <t>13D01-09</t>
  </si>
  <si>
    <t>13D01-10</t>
  </si>
  <si>
    <t>13D01-11</t>
  </si>
  <si>
    <t>13D01-12</t>
  </si>
  <si>
    <t>13D02</t>
  </si>
  <si>
    <t>13D02-01</t>
  </si>
  <si>
    <t>13D02-02</t>
  </si>
  <si>
    <t>13D02-03</t>
  </si>
  <si>
    <t>13D02-04</t>
  </si>
  <si>
    <t>13D02-05</t>
  </si>
  <si>
    <t>13D02-06</t>
  </si>
  <si>
    <t>03D03</t>
  </si>
  <si>
    <t>Extinction d'incendie</t>
  </si>
  <si>
    <t>A-t-on souscrit une garantie "Responsabilité Civile" incluant les conséquences de sinistres informatiques (RC professionnelle, RC produit) ?</t>
  </si>
  <si>
    <t>01D03-02</t>
  </si>
  <si>
    <t>Les contrats de maintenance logiciel prévoient-ils la mise à disposition périodique de nouvelles versions  prenant en compte toutes les corrections apportées au produit ?</t>
  </si>
  <si>
    <t>08D02-04</t>
  </si>
  <si>
    <t>06B01-04</t>
  </si>
  <si>
    <t>02</t>
  </si>
  <si>
    <t>03</t>
  </si>
  <si>
    <t xml:space="preserve">Sécurité physique des supports stockés sur site </t>
  </si>
  <si>
    <t>Y a-t-il un audit régulier, au moins une fois par an, de l'ensemble des profils ou des autorisations attribués aux utilisateurs et des procédures de gestion des profils attribués ?</t>
  </si>
  <si>
    <t>07A03-01</t>
  </si>
  <si>
    <t>Existe-t-il une solution de secours pour pallier l'indisponibilité de tout équipement ou de toute liaison critique du réseau étendu ?</t>
  </si>
  <si>
    <t>Ces plans sont-ils testés de manière opérationnelle au moins une fois par an ?</t>
  </si>
  <si>
    <t>max(03B07;05C01;09C01)</t>
  </si>
  <si>
    <t>max(min(06C01;06C02);09C01)</t>
  </si>
  <si>
    <t>min(06A01;06C03)</t>
  </si>
  <si>
    <t>Organisation de la maintenance des équipements</t>
  </si>
  <si>
    <t>12E</t>
  </si>
  <si>
    <t>12E01-01</t>
  </si>
  <si>
    <t>12E01-02</t>
  </si>
  <si>
    <t>12E01-03</t>
  </si>
  <si>
    <t>12E01-04</t>
  </si>
  <si>
    <t>12E01-05</t>
  </si>
  <si>
    <t>12E01-06</t>
  </si>
  <si>
    <t>12E01-07</t>
  </si>
  <si>
    <t>12E02-01</t>
  </si>
  <si>
    <t>12E02-02</t>
  </si>
  <si>
    <t>12E02-03</t>
  </si>
  <si>
    <t>12E02-04</t>
  </si>
  <si>
    <t>12E02-05</t>
  </si>
  <si>
    <t>12E02-06</t>
  </si>
  <si>
    <t>12E03-01</t>
  </si>
  <si>
    <t>12E03-02</t>
  </si>
  <si>
    <t>12E03-03</t>
  </si>
  <si>
    <t>12E03-04</t>
  </si>
  <si>
    <t>12E03-05</t>
  </si>
  <si>
    <t>12E03-06</t>
  </si>
  <si>
    <t>12E03-07</t>
  </si>
  <si>
    <t>12E03-08</t>
  </si>
  <si>
    <t>12E03-09</t>
  </si>
  <si>
    <t>Les mécanismes de scellement, leur paramétrage et les procédures associées font-ils l'objet d'audits réguliers ?</t>
  </si>
  <si>
    <t>09B02-01</t>
  </si>
  <si>
    <t>Ces procédures impliquent-elles fortement la gestion du personnel et la hiérarchie ?</t>
  </si>
  <si>
    <t>Non conformité de processus relatifs à la protection des renseignements personnels</t>
  </si>
  <si>
    <t>Existe-t-il une installation électrique de secours capable d'assurer la continuité du service des équipements critiques (s'appuyant sur un groupe électrogène associé à une réserve de carburant suffisante ou sur des arrivées indépendantes d'énergie) ?</t>
  </si>
  <si>
    <t>03A02-03</t>
  </si>
  <si>
    <t>A-t-on étudié les synchronismes nécessaires entre différentes sauvegardes, toutes plates-formes confondues, pour assurer le bon fonctionnement de la reprise des applications et la cohérence des données nécessaire à cette reprise ?</t>
  </si>
  <si>
    <t>08D05-04</t>
  </si>
  <si>
    <t>Ce système centralise-t-il et prend-il en compte aussi bien les incidents détectés par l'exploitation que ceux signalés par les utilisateurs ?</t>
  </si>
  <si>
    <t>04D03-05</t>
  </si>
  <si>
    <t>Ce système permet-il un suivi et une relance automatiques des actions nécessaires ?</t>
  </si>
  <si>
    <t>04D03-06</t>
  </si>
  <si>
    <t>Ce système incorpore-t-il une typologie des incidents avec élaboration de statistiques et de tableau de bord des incidents à destination du RSSI ?</t>
  </si>
  <si>
    <t>04D03-07</t>
  </si>
  <si>
    <t>04D03-08</t>
  </si>
  <si>
    <t xml:space="preserve">     Grilles IP</t>
  </si>
  <si>
    <t>Date</t>
  </si>
  <si>
    <t xml:space="preserve">     Scénarios</t>
  </si>
  <si>
    <t xml:space="preserve">     Risk%Actif</t>
  </si>
  <si>
    <t xml:space="preserve">     Risk%event</t>
  </si>
  <si>
    <t>07A04-02</t>
  </si>
  <si>
    <t>07A04-03</t>
  </si>
  <si>
    <t>07A04-04</t>
  </si>
  <si>
    <t>07A04-05</t>
  </si>
  <si>
    <t>Programme de formation et de sensibilisation aux contraintes de la Vérification de la comptabilité informatisée</t>
  </si>
  <si>
    <t>13C04-01</t>
  </si>
  <si>
    <t>13C04-02</t>
  </si>
  <si>
    <t>13C04-03</t>
  </si>
  <si>
    <t>13C05-01</t>
  </si>
  <si>
    <t>13C05-02</t>
  </si>
  <si>
    <t>13C05-03</t>
  </si>
  <si>
    <t>13B03-01</t>
  </si>
  <si>
    <t>13B03-02</t>
  </si>
  <si>
    <t>13B03-03</t>
  </si>
  <si>
    <t>13B04-01</t>
  </si>
  <si>
    <t>13B04-02</t>
  </si>
  <si>
    <t>13B04-03</t>
  </si>
  <si>
    <t>13A03-01</t>
  </si>
  <si>
    <t>13A03-02</t>
  </si>
  <si>
    <t>Les procédures d'enregistrement, de traitement des enregistrements et d'analyse des synthèses ainsi que la disponibilité de l'équipe d'analyse et d'intervention font-elles l'objet d'un audit régulier ?</t>
  </si>
  <si>
    <t>04D03-01</t>
  </si>
  <si>
    <t>04D03-02</t>
  </si>
  <si>
    <r>
      <t xml:space="preserve">A-t-on pu évaluer chaque risque comme hautement improbable ou pris des mesures pour rendre hautement improbable un début d'incendie ou sa propagation ?
</t>
    </r>
    <r>
      <rPr>
        <i/>
        <sz val="8"/>
        <rFont val="Arial"/>
        <family val="2"/>
      </rPr>
      <t>Par exemple : protection des câbles dans des goulottes adaptées, séparation des câblages de signaux et d'énergie, protection des locaux et des équipements contre la foudre, interdiction de fumer, poubelles anti-feu, matériaux incombustibles, protection des circuits électriques par des disjoncteurs différentiels, détection incendie dans les locaux mitoyens et dans les gaines techniques, etc.</t>
    </r>
  </si>
  <si>
    <r>
      <t xml:space="preserve">Procède-t-on régulièrement à des audits électriques suite à des évolutions de configuration électrique ?
</t>
    </r>
    <r>
      <rPr>
        <i/>
        <sz val="8"/>
        <rFont val="Arial"/>
        <family val="2"/>
      </rPr>
      <t>Par exemple : vérification des points chauds par caméra infrarouge , …</t>
    </r>
  </si>
  <si>
    <t>02C02-12</t>
  </si>
  <si>
    <t>02C02-13</t>
  </si>
  <si>
    <t>Existe-t-il une procédure et des moyens permettant aux personnes n'ayant pas d'autorisations d'appeler afin de pouvoir pénétrer dans les zones protégées ?</t>
  </si>
  <si>
    <t>Ces sanctions sont-elles communiquées au personnel ?</t>
  </si>
  <si>
    <r>
      <t xml:space="preserve">Le processus d'authentification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</si>
  <si>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La mise hors service ou le by-pass de la solution de scellement sont-ils immédiatement détectés et signalés à une équipe permanente ou d'astreinte capable d'engendrer une réaction immédiate ?</t>
  </si>
  <si>
    <t>04C02-06</t>
  </si>
  <si>
    <t>04C02-07</t>
  </si>
  <si>
    <t>max(min(07A03;07A04;08F02;08C06);min(09A03;09A04);10B02)</t>
  </si>
  <si>
    <t>max(min(03B03;03B04);10B02)</t>
  </si>
  <si>
    <t>max(08C07;10B02)</t>
  </si>
  <si>
    <t>max(08C03;10B02)</t>
  </si>
  <si>
    <t>max(08C04;10B02)</t>
  </si>
  <si>
    <r>
      <t xml:space="preserve">Le processus d'authentification est-il un processus reconnu comme "fort" ?
</t>
    </r>
    <r>
      <rPr>
        <i/>
        <sz val="8"/>
        <rFont val="Arial"/>
        <family val="2"/>
      </rPr>
      <t>Les seuls processus qui soient reconnus comme forts, c'est-à-dire observables sans divulguer d'information et pratiquement inviolables sont basés sur des algorithmes cryptologiques.</t>
    </r>
  </si>
  <si>
    <t>max(08H03;09C02)</t>
  </si>
  <si>
    <t>Une note précisant les obligations légales, réglementaires ou contractuelles a-t-elle été diffusée à l'ensemble des collaborateurs ?</t>
  </si>
  <si>
    <t>6.1.5</t>
  </si>
  <si>
    <t>02C04</t>
  </si>
  <si>
    <t>02C05</t>
  </si>
  <si>
    <t>02D01</t>
  </si>
  <si>
    <t>02D02</t>
  </si>
  <si>
    <t>02D03</t>
  </si>
  <si>
    <t>02D04</t>
  </si>
  <si>
    <t>02D05</t>
  </si>
  <si>
    <t>02D06</t>
  </si>
  <si>
    <t>02D07</t>
  </si>
  <si>
    <t>01E03</t>
  </si>
  <si>
    <t>Ce plan identifie-t-il l'ensemble des actions à engager, les ressources, les responsabilités, les échéances et les priorités appropriées ?</t>
  </si>
  <si>
    <t>14B01-03</t>
  </si>
  <si>
    <t>Ce plan a-t-il été validé par la Direction ?</t>
  </si>
  <si>
    <t>L'équipe de surveillance et d'intervention a-t-elle été dimensionnée en envisageant l'hypothèse d'alarmes multiples déclenchées volontairement ?</t>
  </si>
  <si>
    <t>02A04-07</t>
  </si>
  <si>
    <t>Existe-t-il un cahier de consigne précis détaillant, pour chaque cas d'alerte envisagé, la conduite à tenir ?</t>
  </si>
  <si>
    <t>02A04-08</t>
  </si>
  <si>
    <t>Le système de détection d'intrusion est-il lui-même sous contrôle (alarme en cas d'inhibition, auto-surveillance des caméras, etc.) ?</t>
  </si>
  <si>
    <t>02A04-09</t>
  </si>
  <si>
    <t>Les points de contrôle de la détection d'intrusions et les procédures de réaction aux intrusions font-ils l'objet d'audits réguliers ?</t>
  </si>
  <si>
    <t>02A05-01</t>
  </si>
  <si>
    <t>En cas de mutualisation des moyens de secours utilisés, y a-t-il un nombre d'adhérents limité et connu ?</t>
  </si>
  <si>
    <t>Le cas de défaillance ou d'indisponibilité du moyen de secours a-t-il été envisagé et y a-t-il un back-up de deuxième niveau ?</t>
  </si>
  <si>
    <t>13B</t>
  </si>
  <si>
    <t>13B01-01</t>
  </si>
  <si>
    <t>13B01-02</t>
  </si>
  <si>
    <t>13B01-03</t>
  </si>
  <si>
    <t>13B01-04</t>
  </si>
  <si>
    <t>13B01-05</t>
  </si>
  <si>
    <t>13B01-06</t>
  </si>
  <si>
    <t>Toute inhibition du système d'enregistrement et de traitement des enregistrements déclenche-t-elle une alarme auprès de l'équipe de surveillance ?</t>
  </si>
  <si>
    <t>04D02-08</t>
  </si>
  <si>
    <t>04D02-09</t>
  </si>
  <si>
    <t>04D02-10</t>
  </si>
  <si>
    <t>Les règles concernant la protection des informations et des ressources sont-elles rendues facilement accessibles à l'ensemble du personnel (Intranet, par exemple) et régulièrement mises à jour en fonction des exigences business ?</t>
  </si>
  <si>
    <t>Les clauses de respect de la politique de sécurité signées par le personnel sont-elles conservées de manière sûre (au moins dans une armoire fermée à clé)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</si>
  <si>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t>
  </si>
  <si>
    <r>
      <t xml:space="preserve">Les fichiers sensibles contenus éventuellement sur le poste de travail ou sur un disque logique de fichiers partagés hébergé sur un serveur de données sont-ils protégés par un mécanisme d'interdiction d'écriture et/ou de contrôle d'intégrité ? 
</t>
    </r>
    <r>
      <rPr>
        <i/>
        <sz val="8"/>
        <rFont val="Arial"/>
        <family val="2"/>
      </rPr>
      <t>Nota : un tel mécanisme peut autoriser la création de copies de travail modifiables tout en garantissant l'intégrité de l'original.</t>
    </r>
  </si>
  <si>
    <t>Organisation et pilotage de la sécurité générale</t>
  </si>
  <si>
    <t>14E</t>
  </si>
  <si>
    <t>Documentation</t>
  </si>
  <si>
    <t>Engagements du personnel, clauses contractuelles</t>
  </si>
  <si>
    <t>01C01-01</t>
  </si>
  <si>
    <t>Une note précisant les devoirs et responsabilités du personnel, a-t-elle été diffusée à l'ensemble des collaborateurs (y compris les intérimaires, stagiaires, etc.) de telle sorte qu'ils ne puissent nier en avoir eu connaissance ?</t>
  </si>
  <si>
    <t>01C01-02</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</si>
  <si>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t>
    </r>
  </si>
  <si>
    <t>Existe-t-il un document définissant les règles générales à appliquer en ce qui concerne la protection du réseau interne vis-à-vis de l'extérieur, les conditions requises pour accéder depuis l'extérieur au réseau interne et réciproquement et les cloisonnements internes entre sous-réseaux ?</t>
  </si>
  <si>
    <t>01B02-03</t>
  </si>
  <si>
    <t>Divulgation de listings ou d'états imprimés</t>
  </si>
  <si>
    <t>D06-C</t>
  </si>
  <si>
    <t>Divulgation de données après consultation ou captation</t>
  </si>
  <si>
    <t>D07-C</t>
  </si>
  <si>
    <t>Divulgation de courriels en cours d'envoi ou de réception</t>
  </si>
  <si>
    <t>D08-C</t>
  </si>
  <si>
    <t>Divulgation de courrier ou de télécopie en cours d'envoi ou de réception</t>
  </si>
  <si>
    <t>Divulgation d'archive documentaire</t>
  </si>
  <si>
    <t>D10-C</t>
  </si>
  <si>
    <t>Divulgation d'archive informatique</t>
  </si>
  <si>
    <t>05C01-07</t>
  </si>
  <si>
    <t>05C02-01</t>
  </si>
  <si>
    <t>05C02-02</t>
  </si>
  <si>
    <t>05C02-03</t>
  </si>
  <si>
    <t>05C02-04</t>
  </si>
  <si>
    <t>05C02-05</t>
  </si>
  <si>
    <t>05C02-06</t>
  </si>
  <si>
    <t>F01-EA4</t>
  </si>
  <si>
    <t>07D02-01</t>
  </si>
  <si>
    <t>07D02-02</t>
  </si>
  <si>
    <t>Cette analyse a-t-elle permis de formaliser les exigences minimales à assurer au niveau de chaque système et ces exigences minimales ont-elles été acceptées par les utilisateurs (propriétaires d'information) ?</t>
  </si>
  <si>
    <t>07D02-03</t>
  </si>
  <si>
    <t xml:space="preserve">Question </t>
  </si>
  <si>
    <t>08A</t>
  </si>
  <si>
    <t>08A01-01</t>
  </si>
  <si>
    <t>08A01-02</t>
  </si>
  <si>
    <t>Analyse-t-on, avec les responsables utilisateurs, l'impact de ces dysfonctionnements et leur potentialité, en prenant en compte les mesures de sécurité déjà en place et les mesures additionnelles ou spécifiques prévues dans les spécifications du projet ?</t>
  </si>
  <si>
    <t>10A01-03</t>
  </si>
  <si>
    <t>10A01-04</t>
  </si>
  <si>
    <t>L'ensemble des exigences réglementaires, contractuelles, et légales a-t-il été explicitement identifié et son application par l'organisation figure-t-elle dans un document tenu à jour ?</t>
  </si>
  <si>
    <t>15.1.1</t>
  </si>
  <si>
    <t>01B02-11</t>
  </si>
  <si>
    <t>Les moyens et solutions de sécurité mis à disposition des responsables et des utilisateurs sont-ils cohérents avec les directives précédentes ?</t>
  </si>
  <si>
    <t>01B02-12</t>
  </si>
  <si>
    <t>Ces clauses précisent-elles que le devoir de respect de la politique de sécurité s'applique en général à toute information quel qu'en soit le support (papier, magnétique, optique, etc.) ?</t>
  </si>
  <si>
    <t>06A01-04</t>
  </si>
  <si>
    <t>06A01-05</t>
  </si>
  <si>
    <r>
      <t xml:space="preserve">Chiffrement des échanges 
</t>
    </r>
    <r>
      <rPr>
        <i/>
        <sz val="8"/>
        <rFont val="Arial"/>
        <family val="2"/>
      </rPr>
      <t xml:space="preserve">On traite ici du chiffrement effectué directement par l'application (couche 6-7, par ex. chiffrement avant ou lors de l'envoi). </t>
    </r>
  </si>
  <si>
    <t>01E01-02</t>
  </si>
  <si>
    <t>un membre du personnel d'exploitation</t>
  </si>
  <si>
    <t>un membre du personnel de maintenance</t>
  </si>
  <si>
    <t>un membre  du personnel autorisé</t>
  </si>
  <si>
    <t>Reconfiguration matérielle</t>
  </si>
  <si>
    <t>09E02</t>
  </si>
  <si>
    <t>max(11C01;11C03;11C04)</t>
  </si>
  <si>
    <t>Plans de Continuité des processus applicatifs</t>
  </si>
  <si>
    <t>09E03</t>
  </si>
  <si>
    <t>Gestion des applications critiques (vis-à-vis de la permanence de la maintenance)</t>
  </si>
  <si>
    <t>09F01</t>
  </si>
  <si>
    <t>09F02</t>
  </si>
  <si>
    <t>10B01</t>
  </si>
  <si>
    <t>Sécurité des processus des développements applicatifs</t>
  </si>
  <si>
    <t>10B02</t>
  </si>
  <si>
    <t>Protection de la confidentialité des développements applicatifs</t>
  </si>
  <si>
    <t>10B03</t>
  </si>
  <si>
    <t>10B04</t>
  </si>
  <si>
    <t>Protection des données d'essai</t>
  </si>
  <si>
    <t>10B05</t>
  </si>
  <si>
    <t>Sécurité de la maintenance applicative</t>
  </si>
  <si>
    <t>10B06</t>
  </si>
  <si>
    <t xml:space="preserve">Maintenance à chaud </t>
  </si>
  <si>
    <t>11A01</t>
  </si>
  <si>
    <t>11A02</t>
  </si>
  <si>
    <t>Gestion des autorisations d'accès aux zones de bureaux protégées</t>
  </si>
  <si>
    <t>11A03</t>
  </si>
  <si>
    <t>à une saturation malveillante d'équipements informatiques ou réseaux</t>
  </si>
  <si>
    <t>Saturation malveillante d'équipements informatiques ou réseaux</t>
  </si>
  <si>
    <t>MA.L.Sam</t>
  </si>
  <si>
    <t>Plan de sauvegardes des données utilisateurs (bureautiques) stockées sur les postes de travail</t>
  </si>
  <si>
    <t>11D06</t>
  </si>
  <si>
    <t>11D07</t>
  </si>
  <si>
    <t>Existe-t-il un document définissant les règles générales à appliquer en ce qui concerne la protection des sites vis-à-vis de l'extérieur, les conditions requises pour accéder à chaque site depuis l'extérieur et la protection des locaux sensibles ?</t>
  </si>
  <si>
    <t>01B02-02</t>
  </si>
  <si>
    <t>messages ou données en transit</t>
  </si>
  <si>
    <t>ouvert sur le poste de travail</t>
  </si>
  <si>
    <t>max(04C01;04C02;09B02;09C01)</t>
  </si>
  <si>
    <t>Existe-t-il une (ou plusieurs) application capable d'analyser les divers diagnostics individuels d'anomalies sur le réseau étendu et de déclencher une alerte à destination du personnel d'exploitation ?</t>
  </si>
  <si>
    <t>04D01-05</t>
  </si>
  <si>
    <t>04D01-06</t>
  </si>
  <si>
    <t>08A08-05</t>
  </si>
  <si>
    <t>08A08-06</t>
  </si>
  <si>
    <t>01D03-06</t>
  </si>
  <si>
    <t>01D04-01</t>
  </si>
  <si>
    <t>01D04-02</t>
  </si>
  <si>
    <t>Gestion des autorisations d'accès aux locaux sensibles</t>
  </si>
  <si>
    <t>03B03</t>
  </si>
  <si>
    <t>Contrôle des accès aux locaux sensibles</t>
  </si>
  <si>
    <t>03B04</t>
  </si>
  <si>
    <t>Ce programme tient-il compte des problématiques en matière de Protection de la propriété intellectuelle propres à l'utilisation des systèmes informatiques et de télécommunication?</t>
  </si>
  <si>
    <t>Ce programme inclut-il une formation ou une sensibilisation aux conséquences possibles de non-respect des dispositions légales en matière de Protection de la propriété intellectuelle?</t>
  </si>
  <si>
    <t>Le niveau de connaissance des membres du personnel en matière de Protection de la propriété intellectuelle est-il évalué périodiquement à l'aide de sondages ou autrement?</t>
  </si>
  <si>
    <t>A-t-on analysé les conditions nécessaires à la mise en œuvre de la politique relative à la Protection de la propriété intellectuelle</t>
  </si>
  <si>
    <t xml:space="preserve">L'ensemble des données utilisateurs (stockées sur serveur de données) est-il systématiquement sauvegardé ? </t>
  </si>
  <si>
    <t>11D04-02</t>
  </si>
  <si>
    <t>La fréquence des sauvegardes a-t-elle été communiquée aux utilisateurs ?</t>
  </si>
  <si>
    <t>11D04-03</t>
  </si>
  <si>
    <t>Les installations sont-elles faites avec un souci de protection physique (accès protégé, absence de vue directe externe sur les équipements, absence de menaces physiques diverses, conditions climatiques, protection contre la foudre, protection contre la poussière, etc.) ?</t>
  </si>
  <si>
    <t>9.2.1</t>
  </si>
  <si>
    <t>06A02-04</t>
  </si>
  <si>
    <t>12A01</t>
  </si>
  <si>
    <t>12A02</t>
  </si>
  <si>
    <t>12B01</t>
  </si>
  <si>
    <t>12C01</t>
  </si>
  <si>
    <t>Tableau T1</t>
  </si>
  <si>
    <r>
      <t xml:space="preserve">Le processus d'attribution (ou modification ou retrait) effective d'une autorisation d'accès est-il documenté et strictement contrôlé ?
</t>
    </r>
    <r>
      <rPr>
        <i/>
        <sz val="8"/>
        <rFont val="Arial"/>
        <family val="2"/>
      </rPr>
      <t>Un contrôle strict requiert une reconnaissance formelle de la signature (électronique ou non) du demandeur, que la matérialisation du profil attribué aux utilisateurs soit strictement sécurisée, que chaque opération soit enregistrée (avec mention du jour de la remise du badge et sa durée de validité), qu'il existe un contrôle d'accès renforcé pour pouvoir modifier ces enregistrements, et que ces modifications soient journalisées et auditées.</t>
    </r>
  </si>
  <si>
    <t>max(min(03B01;03B02;03B03);08C02;11C01;11C04)</t>
  </si>
  <si>
    <t>max(11B01;11C01;11C04)</t>
  </si>
  <si>
    <t>max(11C01;11C03)</t>
  </si>
  <si>
    <t>max(min(03B03;03B04);11C01)</t>
  </si>
  <si>
    <t>max(08C07;11C01)</t>
  </si>
  <si>
    <t>max(08C03;11C01)</t>
  </si>
  <si>
    <t>max(08C04;11C01)</t>
  </si>
  <si>
    <r>
      <t xml:space="preserve">Ce système permet-il de garantir que toute personne est contrôlée ?
</t>
    </r>
    <r>
      <rPr>
        <i/>
        <sz val="8"/>
        <rFont val="Arial"/>
        <family val="2"/>
      </rPr>
      <t>Un contrôle efficace suppose un sas, un système de tourniquet ou un gardien ne permettant le passage que d'une personne à la fois, pour les piétons et, pour les véhicules entrant sur un site, un gardien contrôlant toutes les personnes présentes dans le véhicule</t>
    </r>
  </si>
  <si>
    <r>
      <t xml:space="preserve">A-t-on fait une analyse approfondie des risques environnementaux envisageables pour le site considéré ?
</t>
    </r>
    <r>
      <rPr>
        <i/>
        <sz val="8"/>
        <rFont val="Arial"/>
        <family val="2"/>
      </rPr>
      <t>Les risques potentiels sont : Avalanche, Cyclone, Tempête, Inondations, Feu de forêt, Mouvement de terrain, Séisme, Volcan,  Risque rupture de barrage, Inondations, crues torrentielles, rupture de barrage ou de digue, Glissement de terrain, chute de blocs, écroulement, ravinement , sécheresse.</t>
    </r>
  </si>
  <si>
    <t>Contrôle d'accès au site ou à l'immeuble</t>
  </si>
  <si>
    <t xml:space="preserve">L'ensemble des données utilisateurs (stockées sur les postes de travail) est-il systématiquement sauvegardé (à l'initiative des utilisateurs, à fréquence fixe ou à l'occasion d'une connexion au réseau interne) ? </t>
  </si>
  <si>
    <t>11D05-03</t>
  </si>
  <si>
    <t>Gestion de la documentation</t>
  </si>
  <si>
    <t>14E01-01</t>
  </si>
  <si>
    <t>Possibilité de perte des moyens nécessaires à la connexion au service</t>
  </si>
  <si>
    <t>Equipement matériel</t>
  </si>
  <si>
    <t xml:space="preserve">Possibilité de destruction d'un équipement </t>
  </si>
  <si>
    <t>Ces règles établissant les critères de connexion au réseau étendu définissent-elles les mesures de sécurité logique devant protéger les équipements de réseau et les équipements de sécurité ?</t>
  </si>
  <si>
    <t>04B01-06</t>
  </si>
  <si>
    <t>04B01-07</t>
  </si>
  <si>
    <t>Ces règles précisent-elles les contrôles à effectuer sur les configurations des équipements de réseau ?</t>
  </si>
  <si>
    <t>04B01-08</t>
  </si>
  <si>
    <t>max(09B05;10B05)</t>
  </si>
  <si>
    <t>max(09B05;10B06)</t>
  </si>
  <si>
    <t>max(09B05;08D03)</t>
  </si>
  <si>
    <t>Niveau actuel</t>
  </si>
  <si>
    <t>08A03-04</t>
  </si>
  <si>
    <t>08A03-05</t>
  </si>
  <si>
    <t>Cette version de référence est-elle protégée contre toute altération ou modification illicite (support signé conservé par un responsable de haut rang, scellement électronique, etc.) ?</t>
  </si>
  <si>
    <t>08B03-03</t>
  </si>
  <si>
    <t>Cette protection est-elle considérée comme inviolable (scellement par un algorithme cryptographique approuvé par le RSSI) ?</t>
  </si>
  <si>
    <t>S'assure-t-on régulièrement que les services de sécurité mis en œuvre par des prestataires ou fournisseurs de services de gestion ou d'administration du parc de postes utilisateurs sont effectivement assurés par lesdits prestataires ou fournisseurs ?</t>
  </si>
  <si>
    <t>S'assure-t-on que les prestataires ou fournisseurs de services de gestion ou d'administration du parc de postes utilisateurs ont effectivement prévu les dispositions nécessaires pour être à même d'assurer les prestations de services convenues ?</t>
  </si>
  <si>
    <t>Le respect des clauses de sécurité, par les prestataires ou fournisseurs, fait-il l'objet de revues régulières ?</t>
  </si>
  <si>
    <t>S'assure-t-on que les prestataires ou fournisseurs de services de gestion ou d'administration du parc de postes utilisateurs signalent et documentent tout incident de sécurité touchant l'information ou les réseaux ?</t>
  </si>
  <si>
    <t>Y a-t-il un système support de la gestion des incidents ?</t>
  </si>
  <si>
    <t>04D03-04</t>
  </si>
  <si>
    <t>Services informatiques et télécom</t>
  </si>
  <si>
    <t xml:space="preserve">Service du réseau étendu </t>
  </si>
  <si>
    <t xml:space="preserve">Service du réseau local </t>
  </si>
  <si>
    <t>Services applicatifs</t>
  </si>
  <si>
    <t>S04</t>
  </si>
  <si>
    <t>S05</t>
  </si>
  <si>
    <t>S06</t>
  </si>
  <si>
    <t>Existe-t-il une procédure ou directive précisant les modalités d'envoi et de réception de télécopies sensibles ?</t>
  </si>
  <si>
    <t>Le local d'émission et de réception des télécopies est-il protégé contre les risques d'incendie et contre les dégâts des eaux (détection automatique avec alerte auprès d'une équipe de surveillance) ?</t>
  </si>
  <si>
    <t>Le circuit de distribution des télécopies assure-t-il que seul le service destinataire peut y avoir accès (casiers fermés à clé, distribution directe et remise en main propre, etc.) ?</t>
  </si>
  <si>
    <t>Le mode de relève distante avec mot de passe est-il obligatoire pour l'envoi ou la réception de télécopies sensible ou important ?</t>
  </si>
  <si>
    <t>Services de publication sur site web</t>
  </si>
  <si>
    <t>Les procédures opérationnelles d'exploitation sont-elles documentées et maintenues à jour ?</t>
  </si>
  <si>
    <t>06A05-03</t>
  </si>
  <si>
    <t>Protection des documents et supports amovibles</t>
  </si>
  <si>
    <t>Divulgation de documents, de listings ou d'états imprimés</t>
  </si>
  <si>
    <t>F15</t>
  </si>
  <si>
    <t>Divulgation de courriels, de courriers ou de télécopies</t>
  </si>
  <si>
    <t>Type de dommage subi</t>
  </si>
  <si>
    <t>LIBELLÉ</t>
  </si>
  <si>
    <t>Ce contrat couvre-t-il toutes les causes possibles de sinistre : accidents touchant du matériel, des programmes ou des données (pannes, bogues, risques divers, etc.), erreurs humaines (erreurs de manipulation, erreurs de programmation, etc.), malveillances (fraudes, intrusions, déni de service, y compris par le personnel de l'entreprise ou préposé à son opération ou entretien) ?</t>
  </si>
  <si>
    <t>01D03-03</t>
  </si>
  <si>
    <t>01D03-04</t>
  </si>
  <si>
    <t>01D03-05</t>
  </si>
  <si>
    <t>Cette analyse a-t-elle permis de formaliser les performances minimales à assurer au niveau des systèmes d'information et ces performances minimales ont-elles été acceptées par les utilisateurs (propriétaires d'information) ?</t>
  </si>
  <si>
    <t>01E01-03</t>
  </si>
  <si>
    <t>07D01-07</t>
  </si>
  <si>
    <t>Procède-t-on régulièrement à des tests visant à démontrer la capacité des éléments de sécurité à assurer les performances minimales en cas d'incident ou de panne ?</t>
  </si>
  <si>
    <t>D03-C</t>
  </si>
  <si>
    <t>05C02-07</t>
  </si>
  <si>
    <t>05C03-01</t>
  </si>
  <si>
    <t>A-t-on défini et mis en place des solutions de chiffrement pour les échanges avec des utilisateurs se connectant depuis l'extérieur (nomades, prestataires autorisés à se connecter au réseau, etc.) ?</t>
  </si>
  <si>
    <t>05C03-02</t>
  </si>
  <si>
    <t>05C03-03</t>
  </si>
  <si>
    <t>05C03-04</t>
  </si>
  <si>
    <t>05C03-05</t>
  </si>
  <si>
    <t>La politique relative à la Protection des systèmes informatisés  est-elle révisée régulièrement ?</t>
  </si>
  <si>
    <t xml:space="preserve">Programme de formation et de sensibilisation à la Protection des systèmes informatisés </t>
  </si>
  <si>
    <t>Existe-t-il un programme de sensibilisation et de formation en matière de Protection des systèmes informatisés ?</t>
  </si>
  <si>
    <t>max(min(02C01;02C02;02C03;11B01);11C01)</t>
  </si>
  <si>
    <t>max(02C06;11B01;11C01)</t>
  </si>
  <si>
    <t>max(min(02C01;02C02;02C03);11C02)</t>
  </si>
  <si>
    <t>max(02C06;11C02)</t>
  </si>
  <si>
    <t>&gt;</t>
  </si>
  <si>
    <t>max(08C07;09C02)</t>
  </si>
  <si>
    <t>03B01</t>
  </si>
  <si>
    <t>Gestion des droits d'accès aux locaux sensibles</t>
  </si>
  <si>
    <t>03B02</t>
  </si>
  <si>
    <t>Toute opération de maintenance doit-elle être conclue par une vérification systématique des paramètres de contrôle de l'administration des équipements (profil nécessaire, type d'authentification, suppression des login standards, etc.) ?</t>
  </si>
  <si>
    <t>06A03-05</t>
  </si>
  <si>
    <t xml:space="preserve">Détection des intrusions dans les locaux sensibles </t>
  </si>
  <si>
    <t>03B05</t>
  </si>
  <si>
    <t>13C02</t>
  </si>
  <si>
    <t>13C02-01</t>
  </si>
  <si>
    <t>13C02-02</t>
  </si>
  <si>
    <t>13C02-03</t>
  </si>
  <si>
    <t>13C02-04</t>
  </si>
  <si>
    <t>13C02-05</t>
  </si>
  <si>
    <t>13C02-06</t>
  </si>
  <si>
    <t>13C02-07</t>
  </si>
  <si>
    <t>13C02-08</t>
  </si>
  <si>
    <t>13C02-09</t>
  </si>
  <si>
    <t>13C02-10</t>
  </si>
  <si>
    <t>13C02-11</t>
  </si>
  <si>
    <t>13C03</t>
  </si>
  <si>
    <r>
      <t xml:space="preserve">Les moyens de destruction offerts au personnel offrent-ils une garantie forte que les documents détruits ne peuvent pas être reconstitués ?
</t>
    </r>
    <r>
      <rPr>
        <i/>
        <sz val="8"/>
        <rFont val="Arial"/>
        <family val="2"/>
      </rPr>
      <t>Pour cela, une déchiqueteuse doit être à coupe croisée.</t>
    </r>
  </si>
  <si>
    <t>La politique relative à la Sécurité des personnes et à la protection de l'environnement  est-elle révisée régulièrement ?</t>
  </si>
  <si>
    <t xml:space="preserve">Programme de formation et de sensibilisation à la Sécurité des personnes et à la protection de l'environnement </t>
  </si>
  <si>
    <t>Ces contrats prévoient-ils des engagements d'intervention dont la durée maximale est compatible avec les impératifs de disponibilité ?</t>
  </si>
  <si>
    <t>08D02-06</t>
  </si>
  <si>
    <t>08D02-07</t>
  </si>
  <si>
    <t>Ces contrats prévoient-ils les conditions d'escalade en cas de difficulté d'intervention ?</t>
  </si>
  <si>
    <t>08D02-08</t>
  </si>
  <si>
    <t>08D02-09</t>
  </si>
  <si>
    <t>08D03-01</t>
  </si>
  <si>
    <t>Le niveau de connaissance des membres du personnel en matière de Communication financière est-il évalué périodiquement à l'aide de sondages ou autrement?</t>
  </si>
  <si>
    <t>03A04-05</t>
  </si>
  <si>
    <t>La qualité et la protection des câblages font-elles l'objet d'un audit régulier ?</t>
  </si>
  <si>
    <t>03A04-06</t>
  </si>
  <si>
    <t>La mise à jour des plans de câblage fait-elle l'objet d'un audit régulier ?</t>
  </si>
  <si>
    <t>03A05-01</t>
  </si>
  <si>
    <t>L'immeuble est-il protégé par un paratonnerre ?</t>
  </si>
  <si>
    <t>03A05-02</t>
  </si>
  <si>
    <t>Les circuits électriques et le câblage sont-ils protégés contre les surtensions et contre la foudre par des équipements spéciaux ?</t>
  </si>
  <si>
    <t xml:space="preserve">Les directives en matière de Communication financière recouvrent-elles l'ensemble des obligations légales en cette matière ? </t>
  </si>
  <si>
    <t>La politique relative à la Communication financière (ou le cadre de gestion) établit-elle clairement les responsabilités des différents intervenants  ?</t>
  </si>
  <si>
    <t>Existe-t-il un programme de sensibilisation et de formation en matière de Vérification de la comptabilité informatisée?</t>
  </si>
  <si>
    <t>Ce programme a-t-il été approuvé par le responsable ou le répondant en matière de Vérification de la comptabilité informatisée?</t>
  </si>
  <si>
    <t>A-t-on identifié précisément les scénarios de sinistre pouvant affecter l'ensemble du parc des postes utilisateurs et analysé, pour chaque scénario, ses conséquences en termes de services rendus impossibles aux utilisateurs ?</t>
  </si>
  <si>
    <t>Un responsable ou un répondant en matière de sécurité des personnes et de protection de l'environnement  a-t-il été nommé?</t>
  </si>
  <si>
    <t xml:space="preserve">Le responsable ou le répondant en matière de Sécurité des personnes et de protection de l'environnement  est-il connu de tous les membres du personnel? </t>
  </si>
  <si>
    <t>La politique relative à la Sécurité des personnes et à la protection de l'environnement  (ou le cadre de gestion) établit-elle clairement les responsabilités des différents intervenants ?</t>
  </si>
  <si>
    <r>
      <t xml:space="preserve">Les locaux sensibles contenant des systèmes de traitement de l'information sont-ils exempts de toute indication extérieure sur leur contenu ?
</t>
    </r>
    <r>
      <rPr>
        <i/>
        <sz val="8"/>
        <rFont val="Arial"/>
        <family val="2"/>
      </rPr>
      <t>Absence de signalisation particulière.</t>
    </r>
  </si>
  <si>
    <r>
      <t xml:space="preserve">A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</si>
  <si>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Existe-t-il une politique et des directives précises en matière de Protection des systèmes informatisés  ?</t>
  </si>
  <si>
    <t>Ce programme tient-il compte des problématiques en matière de PRP propres à l'utilisation des systèmes informatiques et de télécommunication?</t>
  </si>
  <si>
    <t>Ce programme inclut-il une formation ou une sensibilisation aux conséquences possibles de non-respect des dispositions légales en matière de PRP?</t>
  </si>
  <si>
    <t>Le niveau de connaissance des membres du personnel en matière de PRP est-il évalué périodiquement à l'aide de sondages ou autrement?</t>
  </si>
  <si>
    <t>07D01-04</t>
  </si>
  <si>
    <t>07D01-05</t>
  </si>
  <si>
    <t>Accident grave d'environnement</t>
  </si>
  <si>
    <t>IC.E.Pol</t>
  </si>
  <si>
    <t>Gestion des attributions de droits privilégiés sur les postes utilisateurs (droits d'administrateur)</t>
  </si>
  <si>
    <t>Partitionnement des zones de bureaux en zones protégées</t>
  </si>
  <si>
    <t>11D07-07</t>
  </si>
  <si>
    <t>11D07-08</t>
  </si>
  <si>
    <t>11D07-09</t>
  </si>
  <si>
    <t>11D07-10</t>
  </si>
  <si>
    <t>11D07-11</t>
  </si>
  <si>
    <t>11E</t>
  </si>
  <si>
    <t>11E01-01</t>
  </si>
  <si>
    <t>11E01-02</t>
  </si>
  <si>
    <t>11E01-03</t>
  </si>
  <si>
    <t>11E01-04</t>
  </si>
  <si>
    <t>11E01-05</t>
  </si>
  <si>
    <t>11E01-06</t>
  </si>
  <si>
    <t>11E01-07</t>
  </si>
  <si>
    <t>Authentification de l'application lors des accès à des applications sensibles</t>
  </si>
  <si>
    <t>Existe-t-il une possibilité de déclarer des applications comme sensibles et, comme telles, requérant une authentification de l'application à laquelle on se connecte ?</t>
  </si>
  <si>
    <t>Détournement d'archives par usurpation de l'identité d'une personne autorisée pour demander la sortie d'une archive</t>
  </si>
  <si>
    <t>Archives informatiques</t>
  </si>
  <si>
    <t>max(05C03;05C04)</t>
  </si>
  <si>
    <t>max(05C01;05C02;09B02;09C01)</t>
  </si>
  <si>
    <t>13C04</t>
  </si>
  <si>
    <t>13C05</t>
  </si>
  <si>
    <r>
      <t xml:space="preserve">Devoirs et responsabilités du personnel et du management
</t>
    </r>
    <r>
      <rPr>
        <i/>
        <sz val="8"/>
        <rFont val="Arial"/>
        <family val="2"/>
      </rPr>
      <t>Il s'agit de tous les personnels internes comme externes (sous-traitants, stagiaires, etc) associés à l'activité de l'entreprise.</t>
    </r>
  </si>
  <si>
    <r>
      <t xml:space="preserve">A-t-on défini et documenté, pour chaque actif, les règles d'utilisation acceptables ?
</t>
    </r>
    <r>
      <rPr>
        <i/>
        <sz val="8"/>
        <rFont val="Arial"/>
        <family val="2"/>
      </rPr>
      <t>Ceci implique, en particulier, de définir l'usage privé qu'un collaborateur peut faire d'un actif de l'entreprise.</t>
    </r>
  </si>
  <si>
    <r>
      <t xml:space="preserve">Y a-t-il un recueil d'informations lors de l'affectation de personnels à des tâches sensibles ?
</t>
    </r>
    <r>
      <rPr>
        <i/>
        <sz val="8"/>
        <rFont val="Arial"/>
        <family val="2"/>
      </rPr>
      <t>Nota : il peut également s'agir d'un entretien ouvert destiné à éviter de placer du personnel dans une position de conflit d'intérêt.</t>
    </r>
  </si>
  <si>
    <t>Les diverses mesures d'évitement de risque d'incendie sont-elles protégées contre une mise hors service et placées sous un contrôle permanent ?</t>
  </si>
  <si>
    <t>09F02-02</t>
  </si>
  <si>
    <t>La conformité des numéros et séquences est-elle contrôlée automatiquement par l'application ou par le middleware utilisé ?</t>
  </si>
  <si>
    <t>09F02-03</t>
  </si>
  <si>
    <t>09F02-04</t>
  </si>
  <si>
    <t>09F02-05</t>
  </si>
  <si>
    <t>09F02-06</t>
  </si>
  <si>
    <t>09F02-07</t>
  </si>
  <si>
    <t>Les mécanismes de numérotation et du contrôle associé, leur paramétrage et les procédures associées font-ils l'objet d'audits réguliers ?</t>
  </si>
  <si>
    <t>Accusé de réception</t>
  </si>
  <si>
    <t>09F03-01</t>
  </si>
  <si>
    <t>09F03-02</t>
  </si>
  <si>
    <t>09F03-03</t>
  </si>
  <si>
    <t>09F03-04</t>
  </si>
  <si>
    <t>Le système d'accusé de réception est-il protégé contre des interventions malveillantes ?</t>
  </si>
  <si>
    <t>09F03-05</t>
  </si>
  <si>
    <t>Existe-t-il une procédure consignant la conduite à tenir en cas d'alerte ou d'anomalie constatée ?</t>
  </si>
  <si>
    <t>09F03-06</t>
  </si>
  <si>
    <t>Procède-t-on régulièrement à des audits du système d'accusé de réception ?</t>
  </si>
  <si>
    <t>09G</t>
  </si>
  <si>
    <t>Détection et gestion des incidents et anomalies applicatifs</t>
  </si>
  <si>
    <t>09G01-01</t>
  </si>
  <si>
    <t>09G01-02</t>
  </si>
  <si>
    <t>Effacement malveillant de configuration (code, paramétrage, etc.)</t>
  </si>
  <si>
    <t>F01-EM5</t>
  </si>
  <si>
    <t>F03</t>
  </si>
  <si>
    <t>Existe-t-il un document définissant les règles générales à appliquer en ce qui concerne les développements informatiques et la prise en compte de la sécurité dans la gestion des projets ?</t>
  </si>
  <si>
    <t>01B02-07</t>
  </si>
  <si>
    <t>11A01-02</t>
  </si>
  <si>
    <t>11A01-03</t>
  </si>
  <si>
    <t>11A01-04</t>
  </si>
  <si>
    <r>
      <t xml:space="preserve">L'emplacement physique où doivent se trouver les documents approuvés est-il clairement identifié ?
</t>
    </r>
    <r>
      <rPr>
        <i/>
        <sz val="8"/>
        <rFont val="Arial"/>
        <family val="2"/>
      </rPr>
      <t>Par exemple, un répertoire partagé sur un serveur.</t>
    </r>
  </si>
  <si>
    <t>L'exécution de cette procédure est-elle régulièrement vérifiée par les responsables ?</t>
  </si>
  <si>
    <t>Y a-t-il un processus de mise à jour systématique de la table des autorisations d'accès lors de changements de fonctions ?</t>
  </si>
  <si>
    <t>Ce programme inclut-il une formation ou une sensibilisation aux conséquences possibles de non-respect des dispositions légales en matière de vérification de la comptabilité informatisée ?</t>
  </si>
  <si>
    <t>Ce programme tient-il compte des problématiques en matière de Vérification de la comptabilité informatisée propres à l'utilisation des systèmes informatiques et de télécommunication ?</t>
  </si>
  <si>
    <t>Ce programme est-il adapté aux tâches accomplies ?</t>
  </si>
  <si>
    <t>Existe-t-il un archivage (sur disque, cassette, DON, etc.) de tous ces enregistrements, conservés sur une longue période et de manière infalsifiable ?</t>
  </si>
  <si>
    <t>07C01-08</t>
  </si>
  <si>
    <t>07C01-09</t>
  </si>
  <si>
    <t>07C02-01</t>
  </si>
  <si>
    <t>05B07-07</t>
  </si>
  <si>
    <t>Les procédures de développement imposent-elles qu'une personne ne soit jamais seule responsable d'une tâche ?</t>
  </si>
  <si>
    <t>10B01-09</t>
  </si>
  <si>
    <t>Les procédures de développement imposent-elles, pour les fonctions sensibles, une vérification du code par une équipe indépendante ?</t>
  </si>
  <si>
    <t>10B01-10</t>
  </si>
  <si>
    <t>Les procédures de développement imposent-elles une validation formelle, par les utilisateurs, de la couverture des tests fonctionnels ?</t>
  </si>
  <si>
    <t>10B01-11</t>
  </si>
  <si>
    <t>09G01-06</t>
  </si>
  <si>
    <t>Existe-t-il une application capable d'analyser les diagnostics individuels enregistrés et donnant lieu à un tableau de bord transmis à une structure ad hoc ?</t>
  </si>
  <si>
    <t>09G01-07</t>
  </si>
  <si>
    <t>09G01-08</t>
  </si>
  <si>
    <t>09G01-09</t>
  </si>
  <si>
    <t>Les paramètres définissant les éléments à enregistrer et les analyses de diagnostic effectuées sur ces éléments sont-ils strictement protégés (droits limités et authentification forte) contre tout changement illicite ?</t>
  </si>
  <si>
    <t>09G01-10</t>
  </si>
  <si>
    <t>09G01-11</t>
  </si>
  <si>
    <r>
      <t xml:space="preserve">La solution de scellement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</si>
  <si>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Y a-t-il un système supportant la gestion des incidents ?</t>
  </si>
  <si>
    <t>14D03-01</t>
  </si>
  <si>
    <t>14D03-02</t>
  </si>
  <si>
    <t>14D03-03</t>
  </si>
  <si>
    <t>14D03-04</t>
  </si>
  <si>
    <t>14D03-05</t>
  </si>
  <si>
    <t>14D03-06</t>
  </si>
  <si>
    <t>14D04</t>
  </si>
  <si>
    <t>14D04-01</t>
  </si>
  <si>
    <t>14D04-02</t>
  </si>
  <si>
    <t>14E02-01</t>
  </si>
  <si>
    <t>14E02-02</t>
  </si>
  <si>
    <t>14E03-01</t>
  </si>
  <si>
    <t>14E03-02</t>
  </si>
  <si>
    <t>14E04-01</t>
  </si>
  <si>
    <t>14E04-02</t>
  </si>
  <si>
    <t>14E05-01</t>
  </si>
  <si>
    <t>14E05-02</t>
  </si>
  <si>
    <t>14E06-01</t>
  </si>
  <si>
    <t>14E06-02</t>
  </si>
  <si>
    <t>La mise en production de nouvelles versions d'équipements ou de logiciels n'est-elle possible que par le personnel d'exploitation ?</t>
  </si>
  <si>
    <t>06A02-13</t>
  </si>
  <si>
    <t>La mise en production de nouvelles versions d'équipements ou de logiciels n'est-elle possible que selon un processus de validation et d'autorisation défini ?</t>
  </si>
  <si>
    <t>06A02-14</t>
  </si>
  <si>
    <t>Pna</t>
  </si>
  <si>
    <t>D02</t>
  </si>
  <si>
    <t>MA.P.Vol</t>
  </si>
  <si>
    <t>D03</t>
  </si>
  <si>
    <t>Bur</t>
  </si>
  <si>
    <t>Abs</t>
  </si>
  <si>
    <t>Hho</t>
  </si>
  <si>
    <t>Ext</t>
  </si>
  <si>
    <t>Equ</t>
  </si>
  <si>
    <t>04B02-05</t>
  </si>
  <si>
    <t>CLASSIFICATION DES DONNÉES</t>
  </si>
  <si>
    <t>Le système dispose-t-il d'une fonction automatique de surveillance en temps réel en cas d'accumulation d'événements anormaux (par exemple tentatives infructueuses de connexion sur des ports non ouverts, etc.) ?</t>
  </si>
  <si>
    <t>04D01-03</t>
  </si>
  <si>
    <t>14B02</t>
  </si>
  <si>
    <t>14B02-01</t>
  </si>
  <si>
    <t>14B02-02</t>
  </si>
  <si>
    <t>14B02-03</t>
  </si>
  <si>
    <t>14B02-04</t>
  </si>
  <si>
    <t>14B02-05</t>
  </si>
  <si>
    <t>14B03</t>
  </si>
  <si>
    <t>14B03-01</t>
  </si>
  <si>
    <t>14B03-02</t>
  </si>
  <si>
    <t>14B03-03</t>
  </si>
  <si>
    <t>14B03-04</t>
  </si>
  <si>
    <t>14B03-05</t>
  </si>
  <si>
    <t>14B03-06</t>
  </si>
  <si>
    <t>14B04</t>
  </si>
  <si>
    <t>14B04-01</t>
  </si>
  <si>
    <t>14B04-02</t>
  </si>
  <si>
    <t>14B04-04</t>
  </si>
  <si>
    <t>14B04-05</t>
  </si>
  <si>
    <t>14B05</t>
  </si>
  <si>
    <t>14B05-01</t>
  </si>
  <si>
    <t>14C03</t>
  </si>
  <si>
    <t>14C03-01</t>
  </si>
  <si>
    <t>14C03-02</t>
  </si>
  <si>
    <t>14C03-03</t>
  </si>
  <si>
    <t>14C03-04</t>
  </si>
  <si>
    <t>14C03-05</t>
  </si>
  <si>
    <t>14C03-06</t>
  </si>
  <si>
    <t>14C03-07</t>
  </si>
  <si>
    <t>14D02</t>
  </si>
  <si>
    <t>14D02-02</t>
  </si>
  <si>
    <t>14D02-03</t>
  </si>
  <si>
    <t>14D02-04</t>
  </si>
  <si>
    <t>14D02-05</t>
  </si>
  <si>
    <t>14D02-06</t>
  </si>
  <si>
    <t>14D02-07</t>
  </si>
  <si>
    <t>14D02-08</t>
  </si>
  <si>
    <t>14D03</t>
  </si>
  <si>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droits délégués ne doivent plus être autorisés à la personne qui les a délégués. Cette dernière doit cependant avoir la possibilité de les reprendre, en annulant ou en suspendant la délégation.</t>
    </r>
  </si>
  <si>
    <t xml:space="preserve">Y a-t-il une répétition de la procédure d'authentification en cours de session pour les transactions jugées sensibles ? </t>
  </si>
  <si>
    <t>07A04-06</t>
  </si>
  <si>
    <t>Les applications sensibles disposent-elles d'une fonction automatique de surveillance en temps réel en cas d'accumulation d'événements anormaux (par exemple tentatives infructueuses de connexion sur des stations voisines ou tentatives infructueuses de transactions sensibles) ?</t>
  </si>
  <si>
    <t>09G01-05</t>
  </si>
  <si>
    <t>Existe-t-il un archivage de tous ces éléments de diagnostic ?</t>
  </si>
  <si>
    <t>Les devoirs et responsabilités du management lors de la cessation ou d'un changement d'activité d'un collaborateur (interne ou sous contrat) sont-ils définis et précisés dans une procédure ou document communiqué à l'ensemble des managers ?</t>
  </si>
  <si>
    <t>8.3.1</t>
  </si>
  <si>
    <t>01B01-10</t>
  </si>
  <si>
    <t>11.1.1</t>
  </si>
  <si>
    <t>05B01-02</t>
  </si>
  <si>
    <t>11.2.2</t>
  </si>
  <si>
    <t>05B01-03</t>
  </si>
  <si>
    <t>05B01-04</t>
  </si>
  <si>
    <t>Cette procédure garantit-elle que l'émetteur de la demande a les habilitations requises ?</t>
  </si>
  <si>
    <t>02D07-15</t>
  </si>
  <si>
    <t>02D07-16</t>
  </si>
  <si>
    <t>Référence</t>
  </si>
  <si>
    <t>A-t-on analysé les exigences de continuité de service du réseau étendu et en a-t-on déduit, si nécessaire, une architecture de redondance au niveau des points d'interconnexion, des équipements ou du maillage du réseau ?</t>
  </si>
  <si>
    <t>04A01-02</t>
  </si>
  <si>
    <t>04A01-03</t>
  </si>
  <si>
    <t>Protection des postes de travail utilisateurs (11 Mic)</t>
  </si>
  <si>
    <t>La procédure d'attribution d'autorisations d'accès au réseau local nécessite-t-elle  l'accord formel de la hiérarchie (à un niveau suffisant) ou de l'organisme gestionnaire de la prestation en cas de droits attribués à des partenaires ?</t>
  </si>
  <si>
    <t>05B02-02</t>
  </si>
  <si>
    <t xml:space="preserve">Les autorisations sont-elles attribuées nominativement en fonction du seul profil des utilisateurs ? </t>
  </si>
  <si>
    <t>05B02-03</t>
  </si>
  <si>
    <t>05B02-04</t>
  </si>
  <si>
    <t>05B02-05</t>
  </si>
  <si>
    <t>05B02-06</t>
  </si>
  <si>
    <t>Y a-t-il une dévalidation automatique de l'identifiant de l'utilisateur, en cas d'absence de trafic après un délai défini, nécessitant une nouvelle identification - authentification ?</t>
  </si>
  <si>
    <t>05B07-08</t>
  </si>
  <si>
    <t>Pour les connexions qui l'exigent, y a-t-il une identification de l'équipement appelant (adresse MAC, adresse IP, etc.) en association avec des règles de contrôle d'accès ?</t>
  </si>
  <si>
    <t>05B07-09</t>
  </si>
  <si>
    <t>05B07-10</t>
  </si>
  <si>
    <t>Divulgation de fichiers bureautiques partagés</t>
  </si>
  <si>
    <t>08A07</t>
  </si>
  <si>
    <t>08A08</t>
  </si>
  <si>
    <t>08A09</t>
  </si>
  <si>
    <t>Dissuasives
EFF-DISS</t>
  </si>
  <si>
    <t>Préventives
EFF-PREV</t>
  </si>
  <si>
    <t>Confinement
EFF-CONF</t>
  </si>
  <si>
    <t>Palliatives
EFF-PALL</t>
  </si>
  <si>
    <t>La mise à jour des procédures citées dans le plan de secours des postes utilisateurs font-elles l'objet d'un audit régulier ?</t>
  </si>
  <si>
    <t xml:space="preserve">Protection des systèmes informatisés </t>
  </si>
  <si>
    <t>08H02-03</t>
  </si>
  <si>
    <t>Les demandes d'extraction d'archives ne peuvent-elles provenir que du propriétaire désigné ?</t>
  </si>
  <si>
    <t>08H02-04</t>
  </si>
  <si>
    <t>La demande du propriétaire fait-elle l'objet d'un contrôle d'authenticité ?</t>
  </si>
  <si>
    <t>08H02-05</t>
  </si>
  <si>
    <t>Ce contrôle est-il considéré comme "fort" ?</t>
  </si>
  <si>
    <t>08H02-06</t>
  </si>
  <si>
    <t>08H02-07</t>
  </si>
  <si>
    <t>Ces règles et mesures générales sont-elles facilement accessibles au personnel en cas de besoin (intranet par exemple) et a-t-on communiqué sur cette possibilité ?</t>
  </si>
  <si>
    <t>01C04-06</t>
  </si>
  <si>
    <t xml:space="preserve">Ces règles précisent-elles les processus de reporting des incidents et des anomalies constatées et les comportements adaptés ? </t>
  </si>
  <si>
    <t>Les paramètres de ces contrôles (valeurs de fourchettes, etc.) sont-ils dans des tables séparées du code de l'application et facilement vérifiables ?</t>
  </si>
  <si>
    <t>Continuité de service de l'environnement de travail</t>
  </si>
  <si>
    <t>11D01-01</t>
  </si>
  <si>
    <t>Tous les matériels sont-ils couverts par un contrat de maintenance (micro-ordinateurs, périphériques, etc.) ?</t>
  </si>
  <si>
    <t>11D01-02</t>
  </si>
  <si>
    <t>11D01-03</t>
  </si>
  <si>
    <t>Ces contrats de maintenance prévoient-ils explicitement la mise à disposition d'un matériel équivalent ?</t>
  </si>
  <si>
    <t>11D01-04</t>
  </si>
  <si>
    <t>11D01-05</t>
  </si>
  <si>
    <t>11D02-01</t>
  </si>
  <si>
    <t>Existe-t-il des contrats de maintenance pour tous les produits logiciels installés sur les postes utilisateurs ?</t>
  </si>
  <si>
    <t>11D02-02</t>
  </si>
  <si>
    <t>11D02-03</t>
  </si>
  <si>
    <t xml:space="preserve">L'utilisation de la ligne de télémaintenance nécessite-t-elle l'agrément préalable (à chaque utilisation) de l'exploitation (après que le constructeur ou l'éditeur ait envoyé une demande spécifiant la nature, la date et l'heure de l'intervention) ? </t>
  </si>
  <si>
    <t>06A04-06</t>
  </si>
  <si>
    <t>Les équipements ouverts à la télémaintenance sont-ils protégés contre toute inhibition ou modification des conditions d'accès à la télémaintenance avec émission d'une alarme en cas de violation ?</t>
  </si>
  <si>
    <t>06A04-07</t>
  </si>
  <si>
    <r>
      <t xml:space="preserve">Les mécanismes de chiffrement sont-ils réalisés par des composants électroniques très solidement protégés, au niveau physique, contre toute violation ou altération ?
</t>
    </r>
    <r>
      <rPr>
        <i/>
        <sz val="8"/>
        <rFont val="Arial"/>
        <family val="2"/>
      </rPr>
      <t>Il s'agit ici de boîtiers de chiffrement protégés physiquement de telle sorte qu'il soit impossible d'accéder aux mécanismes de chiffrement ou de carte à microprocesseur dont l'algorithme de chiffrement est contenu dans le microprocesseur et protégé physiquement et logiquement.</t>
    </r>
  </si>
  <si>
    <t>Altération de services de publication sur sites web publics ou internes</t>
  </si>
  <si>
    <t>S01-C</t>
  </si>
  <si>
    <t>06B01</t>
  </si>
  <si>
    <t>L'application de la politique relative à la Protection de la propriété intellectuelle fait-elle périodiquement l'objet d'un audit?</t>
  </si>
  <si>
    <t xml:space="preserve">Les directives en matière de Protection de la propriété intellectuelle recouvrent-elles l'ensemble des obligations légales en cette matière  ? </t>
  </si>
  <si>
    <t>La politique relative à la Protection de la propriété intellectuelle (ou le cadre de gestion) établit-elle clairement les responsabilités des différents intervenants ?</t>
  </si>
  <si>
    <t>Les devoirs et responsabilités du personnel quant à l'utilisation et la protection des biens et ressources de l'entreprise sont-ils précisés dans une note ou document mis à la disposition du management ?</t>
  </si>
  <si>
    <t>01B01-05</t>
  </si>
  <si>
    <t>Ces notes précisent-elles ce qui est toléré et les limites à ne pas dépasser (usage des biens de l'entreprise à des fins personnelles, par exemple) ?</t>
  </si>
  <si>
    <t>01B01-06</t>
  </si>
  <si>
    <t>Ces notes précisent-elles la conduite à tenir en cas de dépassement ou d'abus ?</t>
  </si>
  <si>
    <t>01B01-07</t>
  </si>
  <si>
    <t>Le processus disciplinaire en cas de manquement aux règles de sécurité ou de violation de procédure est-il formalisé ?</t>
  </si>
  <si>
    <t>8.2.3</t>
  </si>
  <si>
    <t>01B01-08</t>
  </si>
  <si>
    <t>08C02</t>
  </si>
  <si>
    <t>09A01</t>
  </si>
  <si>
    <t>Gestion des profils d'accès aux données applicatives</t>
  </si>
  <si>
    <t>09A02</t>
  </si>
  <si>
    <t>Gestion des autorisations d'accès aux données applicatives (attribution, délégation, retrait)</t>
  </si>
  <si>
    <t>09A03</t>
  </si>
  <si>
    <t>09A04</t>
  </si>
  <si>
    <t>09B01</t>
  </si>
  <si>
    <t>Scellement des données sensibles</t>
  </si>
  <si>
    <t>09B02</t>
  </si>
  <si>
    <t xml:space="preserve">Protection de l'intégrité des données échangées </t>
  </si>
  <si>
    <t>09B03</t>
  </si>
  <si>
    <t>Contrôle de la saisie des données</t>
  </si>
  <si>
    <t>09B04</t>
  </si>
  <si>
    <t>09C01</t>
  </si>
  <si>
    <t>13B01</t>
  </si>
  <si>
    <t>13C01</t>
  </si>
  <si>
    <t>13D01</t>
  </si>
  <si>
    <t>13E01</t>
  </si>
  <si>
    <t>Question</t>
  </si>
  <si>
    <t>R-V1</t>
  </si>
  <si>
    <t>R-V2</t>
  </si>
  <si>
    <t>R-V3</t>
  </si>
  <si>
    <t>R-V4</t>
  </si>
  <si>
    <t>Max</t>
  </si>
  <si>
    <t>Typ</t>
  </si>
  <si>
    <t>Commentaires</t>
  </si>
  <si>
    <t>01A</t>
  </si>
  <si>
    <t>Rôles et structures de la sécurité</t>
  </si>
  <si>
    <t>01A01-01</t>
  </si>
  <si>
    <t>Config. Équipement</t>
  </si>
  <si>
    <t>min(06C01;06C02)</t>
  </si>
  <si>
    <t>max(min(07A01;07A02;07A03;07A04);08B01)</t>
  </si>
  <si>
    <t>max(min(07A01;07A02);min(09A01;09A02);10B02)</t>
  </si>
  <si>
    <t>Divulgation de programme de service applicatif</t>
  </si>
  <si>
    <t>F11-ER1</t>
  </si>
  <si>
    <t>F11-ER2</t>
  </si>
  <si>
    <t>13A01-03</t>
  </si>
  <si>
    <t>Cette politique a-t-elle été approuvée par les instances dirigeantes?</t>
  </si>
  <si>
    <t>Divulgation, par erreur, de programmes</t>
  </si>
  <si>
    <t>F11-MA1</t>
  </si>
  <si>
    <t>F11-MA2</t>
  </si>
  <si>
    <t>Existe-t-il un système cohérent de numérotation des documents prenant en compte les diverses versions ?</t>
  </si>
  <si>
    <t>Les modifications sont-elles synthétisées dans une section historique des modifications ?</t>
  </si>
  <si>
    <t>Mise à disposition de la documentation</t>
  </si>
  <si>
    <t>11D</t>
  </si>
  <si>
    <t>Protection des actifs ayant valeur de preuve</t>
  </si>
  <si>
    <t>01B05-01</t>
  </si>
  <si>
    <t>A-t-on identifié et répertorié les actifs susceptibles d'être utilisés comme éléments de preuve ?</t>
  </si>
  <si>
    <t>01B05-02</t>
  </si>
  <si>
    <t>01B05-03</t>
  </si>
  <si>
    <t>6.2.1</t>
  </si>
  <si>
    <t>01C05-02</t>
  </si>
  <si>
    <t>Toute inhibition du système d'alerte déclenche-t-elle une alarme auprès de l'équipe de surveillance ?</t>
  </si>
  <si>
    <t>05D01-09</t>
  </si>
  <si>
    <t>05D01-10</t>
  </si>
  <si>
    <t>Les procédures de surveillance du réseau et de détection d'anomalies et la disponibilité de l'équipe de surveillance font-elles l'objet d'un audit régulier ?</t>
  </si>
  <si>
    <t>05D02-01</t>
  </si>
  <si>
    <t>Fait-on signer au personnel d'exploitation des systèmes d'information employé par l'entreprise (quel que soit le statut, CDI, CDD, intérimaire, stagiaire, etc.) des clauses de respect de la politique de sécurité ?</t>
  </si>
  <si>
    <t>08A01-03</t>
  </si>
  <si>
    <t xml:space="preserve">Contrôle de la télémaintenance </t>
  </si>
  <si>
    <t xml:space="preserve"> de services du réseau local</t>
  </si>
  <si>
    <t>Pep</t>
  </si>
  <si>
    <t>Indisponibilité du service du réseau local</t>
  </si>
  <si>
    <t>Altération du service du réseau étendu</t>
  </si>
  <si>
    <t>R01-I</t>
  </si>
  <si>
    <t>F09-AC3</t>
  </si>
  <si>
    <t>Altération ou inhibition accidentelle (non détectée) des fonctions de sécurité</t>
  </si>
  <si>
    <t>F09-MA3</t>
  </si>
  <si>
    <t>Altération ou inhibition malveillante (non détectée) des fonctions de sécurité</t>
  </si>
  <si>
    <t>par modification ou non réactivation après intervention des paramètres de sécurité</t>
  </si>
  <si>
    <t>Config. Sécurité</t>
  </si>
  <si>
    <t>min(07C02;08F03)</t>
  </si>
  <si>
    <t>min(08F01;08F02)</t>
  </si>
  <si>
    <t>R02-I</t>
  </si>
  <si>
    <t>Altération du service du réseau local</t>
  </si>
  <si>
    <t>Altération de services applicatifs</t>
  </si>
  <si>
    <t>S02-I</t>
  </si>
  <si>
    <t>Altération de services bureautiques communs</t>
  </si>
  <si>
    <t>S04-I</t>
  </si>
  <si>
    <t>Altération de services systèmes communs</t>
  </si>
  <si>
    <t>S05-I</t>
  </si>
  <si>
    <t>05D03-06</t>
  </si>
  <si>
    <t>Fic.eff</t>
  </si>
  <si>
    <t>Fic.pol</t>
  </si>
  <si>
    <t>Fic.alt</t>
  </si>
  <si>
    <t>Duplication</t>
  </si>
  <si>
    <t xml:space="preserve">Paramétrage des équipements de réseau et contrôle de la conformité des configurations </t>
  </si>
  <si>
    <t>06B02</t>
  </si>
  <si>
    <t>Ce programme est-il offert aux personnes qui traitent des informations visées par les dispositions légales en matière de PRP?</t>
  </si>
  <si>
    <t>01B01-04</t>
  </si>
  <si>
    <t>Toute opération de maintenance doit-elle être conclue par un contrôle systématique des paramètres d'enregistrement des événements de sécurité (événements à enregistrer, contextes des événements à enregistrer, durée de rétention, etc.) ?</t>
  </si>
  <si>
    <t>03A04-04</t>
  </si>
  <si>
    <r>
      <t xml:space="preserve">Les codes sources, objets et la documentation font-ils l'objet d'une procédure de gestion d'accès stricte précisant, en fonction des phases de développement, les profils ayant accès à ces éléments ainsi que les conditions de stockage et de contrôle d'accès correspondantes ?
</t>
    </r>
    <r>
      <rPr>
        <i/>
        <sz val="8"/>
        <rFont val="Arial"/>
        <family val="2"/>
      </rPr>
      <t>Une procédure et des conditions de gestion d'accès strictes doivent permettre de garantir que tout accès au code ou à la documentation est fait par une personne autorisée dans des conditions autorisées.</t>
    </r>
  </si>
  <si>
    <t>A-t-on défini un schéma de classification permettant d'attribuer aux informations et ressources un niveau de classification reflétant le besoin de protection de ces informations ou ressources en fonction du contexte de l'entreprise et prenant en compte les critères Disponibilité, Intégrité, Confidentialité ?</t>
  </si>
  <si>
    <t>01B03-02</t>
  </si>
  <si>
    <r>
      <t xml:space="preserve">Les règles spécifiant les accès à journaliser et enregistrer couvrent-elles les éléments essentiels pour une investigation en cas d'anomalie ?
</t>
    </r>
    <r>
      <rPr>
        <i/>
        <sz val="8"/>
        <rFont val="Arial"/>
        <family val="2"/>
      </rPr>
      <t>Ces règles devraient spécifier pour chaque type d'accès (système, SGBD, etc.) les éléments fondamentaux à enregistrer, par exemple l'identifiant, le service ou l'application demandée, la date et l'heure, le point d'appel s'il est connu, etc.</t>
    </r>
  </si>
  <si>
    <t>Processus métiers</t>
  </si>
  <si>
    <t>La mise hors service des systèmes d'évacuation de l'eau est-elle signalée par un renvoi systématique à un poste permanent de surveillance ?</t>
  </si>
  <si>
    <t>03C03-03</t>
  </si>
  <si>
    <t>03C03-04</t>
  </si>
  <si>
    <t>03D</t>
  </si>
  <si>
    <t>Sécurité incendie</t>
  </si>
  <si>
    <t>03D01-01</t>
  </si>
  <si>
    <t>03D01-02</t>
  </si>
  <si>
    <t>03D01-03</t>
  </si>
  <si>
    <t>Effacement par erreur de fichiers</t>
  </si>
  <si>
    <t>Effacement accidentel de fichiers</t>
  </si>
  <si>
    <t>Effacement malveillant de fichiers</t>
  </si>
  <si>
    <t xml:space="preserve">Perte, par destruction accidentelle, de media support de fichiers </t>
  </si>
  <si>
    <t xml:space="preserve">Perte, par disparition accidentelle, de media support de fichiers </t>
  </si>
  <si>
    <t>08D06-14</t>
  </si>
  <si>
    <t>La mise à jour des procédures citées dans le plan de secours font-elles l'objet d'un audit régulier ?</t>
  </si>
  <si>
    <t>08D07-01</t>
  </si>
  <si>
    <t>08D07-02</t>
  </si>
  <si>
    <t>Le poste de travail est-il équipé d'un système d'effacement réel et efficace des fichiers temporaires créés sur le disque local ou sur un disque partagé ?</t>
  </si>
  <si>
    <t>Garantie d'origine, signature électronique</t>
  </si>
  <si>
    <t>09F01-01</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</si>
  <si>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présenter un caractère biométrique.</t>
    </r>
  </si>
  <si>
    <t>Est-ce qu'une analyse est effectuée pour confirmer que les actions réduisent effectivement les non-conformités ?</t>
  </si>
  <si>
    <t>Actions de prévention des non-conformités</t>
  </si>
  <si>
    <t>A-t-on identifié les non-conformités potentielles ?</t>
  </si>
  <si>
    <t>Toute opération de maintenance doit-elle se terminer par un contrôle systématique des paramètres de sécurité (tels que définis lors de la mise en production) ?</t>
  </si>
  <si>
    <t>Toute opération de maintenance doit-elle se terminer par un contrôle systématique des paramètres d'enregistrement des événements de sécurité (événements à enregistrer, contextes des événements à enregistrer, durée de rétention, etc.) ?</t>
  </si>
  <si>
    <t>Toute opération de maintenance doit-elle se terminer par un contrôle systématique des paramètres de contrôle de l'administration système (profil nécessaire, type d'authentification, suppression des login standards, etc.) ?</t>
  </si>
  <si>
    <t>Tous les états et rapports sensibles sont-ils imprimés dans des locaux protégés contre des intrusions ?</t>
  </si>
  <si>
    <t>Garde-t-on une trace des tâches effectuées par chaque membre du personnel de maintenance ?</t>
  </si>
  <si>
    <t>Les procédures de maintenance applicative imposent-elles qu'une personne ne soit jamais seule responsable d'une tâche ?</t>
  </si>
  <si>
    <t>10B05-09</t>
  </si>
  <si>
    <t>Les procédures de maintenance applicative imposent-elles, pour les fonctions sensibles, une vérification du code par une équipe indépendante ?</t>
  </si>
  <si>
    <t>10B05-10</t>
  </si>
  <si>
    <r>
      <t xml:space="preserve">L'acceptation de l'identifiant par le système est-elle systématiquement sujette à une authentification ?
</t>
    </r>
    <r>
      <rPr>
        <i/>
        <sz val="8"/>
        <rFont val="Arial"/>
        <family val="2"/>
      </rPr>
      <t>L'authentification systématique requiert que ce processus soit effectivement mis en oeuvre pour l'ensemble des sous-systèmes (moniteur de télétraitement, SGBD, traitements par lots, etc.) et pour toutes les demandes d'accès en provenance des applications ainsi que pour toutes les voies et ports d'accès, y compris depuis des ports réservés tels que la télémaintenance éventuelle.</t>
    </r>
  </si>
  <si>
    <t>Les règles spécifiant les accès aux procédures privilégiées à journaliser et enregistrer ont-elles été approuvées par les propriétaires d'information ou le RSSI ?</t>
  </si>
  <si>
    <t>07C02-05</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</si>
  <si>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(carte à jeton), soit à présenter un caractère biométrique.</t>
    </r>
  </si>
  <si>
    <r>
      <t xml:space="preserve">Le processus de connexion (login) est-il sécurisé ?
</t>
    </r>
    <r>
      <rPr>
        <i/>
        <sz val="8"/>
        <rFont val="Arial"/>
        <family val="2"/>
      </rPr>
      <t xml:space="preserve">Un processus de connexion sécurisé ne devrait donner aucune information avant achèvement satisfaisant du processus, ne pas afficher le mot de passe ou l'authentifiant, afficher la date et l'heure de la dernière connexion, afficher les éventuelles tentatives de connexion ayant échoué, etc. </t>
    </r>
  </si>
  <si>
    <t xml:space="preserve">Vol de media support de fichiers </t>
  </si>
  <si>
    <t xml:space="preserve">Inexploitabilité accidentelle de media support de fichiers </t>
  </si>
  <si>
    <t>Non conformité de processus relatifs à la protection des systèmes informatisés</t>
  </si>
  <si>
    <t>08D06-13</t>
  </si>
  <si>
    <r>
      <t xml:space="preserve">Tout identifiant reconnu par le système correspond-il à une personne physique unique et identifiable, directement ou indirectement ?
</t>
    </r>
    <r>
      <rPr>
        <i/>
        <sz val="8"/>
        <rFont val="Arial"/>
        <family val="2"/>
      </rPr>
      <t>Nota : Dans le cas où une application en appelle une autre ou déclenche un appel système, il se peut que l'application ne transfère pas au système cible l'identifiant ayant initialisé la demande. Le lien entre cet appel et l'identifiant et la personne d'origine doit cependant rester possible a posteriori.</t>
    </r>
  </si>
  <si>
    <t>A-t-on défini différents profils au niveau de l'exploitation des systèmes (administration et gestion des configurations, administration des équipements de sécurité, monitoring, audit et investigation, etc.) ?</t>
  </si>
  <si>
    <r>
      <t xml:space="preserve">Contrôle de la mise en production de nouveaux systèmes ou d'évolutions de systèmes existants
</t>
    </r>
    <r>
      <rPr>
        <i/>
        <sz val="8"/>
        <rFont val="Arial"/>
        <family val="2"/>
      </rPr>
      <t>Les systèmes englobent les systèmes opératoires, les progiciels applicatifs et les logiciels des couches intermédiaires associés)</t>
    </r>
  </si>
  <si>
    <t>Les résultats des actions correctives sont-ils consignés pour revue ultérieure ?</t>
  </si>
  <si>
    <t>09B04-03</t>
  </si>
  <si>
    <t>09B04-04</t>
  </si>
  <si>
    <t>09B04-05</t>
  </si>
  <si>
    <r>
      <t xml:space="preserve">La solution de chiffrement offre-t-elle des garanties de solidité dignes de confiance et a-t-elle été approuvée par le RSSI ?
</t>
    </r>
    <r>
      <rPr>
        <i/>
        <sz val="8"/>
        <rFont val="Arial"/>
        <family val="2"/>
      </rPr>
      <t>Une longueur de clés suffisante est un des paramètres à prendre en compte (en fonction de l'algorithme) mais bien d'autres paramètres également. La recommandation d'un organisme officiel peut être un facteur de confiance.</t>
    </r>
  </si>
  <si>
    <t>07A</t>
  </si>
  <si>
    <t>07A01-01</t>
  </si>
  <si>
    <t>13A01</t>
  </si>
  <si>
    <t>13A02</t>
  </si>
  <si>
    <t>Programme de formation et de sensibilisation à la PRP</t>
  </si>
  <si>
    <t>Contrôle de l'installation de nouvelles versions de progiciels ou systèmes sur les postes utilisateurs</t>
  </si>
  <si>
    <t>07A02-05</t>
  </si>
  <si>
    <t>07A02-06</t>
  </si>
  <si>
    <t>07A02-07</t>
  </si>
  <si>
    <t>Les mécanismes de signature, leur paramétrage et les procédures associées font-ils l'objet d'audits réguliers ?</t>
  </si>
  <si>
    <t>Individualisation des messages empêchant leur duplication (numérotation, séquencement, ... )</t>
  </si>
  <si>
    <t>09F02-01</t>
  </si>
  <si>
    <t>10B05-04</t>
  </si>
  <si>
    <t>10B05-05</t>
  </si>
  <si>
    <t>10B05-06</t>
  </si>
  <si>
    <t>10B05-07</t>
  </si>
  <si>
    <t>10B05-08</t>
  </si>
  <si>
    <r>
      <t xml:space="preserve">Les mécanismes de scellement sont-ils réalisés par des composants électroniques très solidement protégés, au niveau physique, contre toute violation ou altération ?
</t>
    </r>
    <r>
      <rPr>
        <i/>
        <sz val="8"/>
        <rFont val="Arial"/>
        <family val="2"/>
      </rPr>
      <t>Il s'agit ici de boîtiers de scellement protégés physiquement de telle sorte qu'il soit impossible d'accéder aux mécanismes de scellement ou de carte à microprocesseur dont l'algorithme de chiffrement est contenu dans le microprocesseur et protégé physiquement et logiquement.</t>
    </r>
  </si>
  <si>
    <r>
      <t>Chaque domaine est-il isolé des autres domaines par des mesures spécifiques de sécurité (routeur filtrant, firewall, portail,</t>
    </r>
    <r>
      <rPr>
        <b/>
        <sz val="8"/>
        <rFont val="Arial"/>
        <family val="2"/>
      </rPr>
      <t xml:space="preserve"> </t>
    </r>
    <r>
      <rPr>
        <sz val="8"/>
        <rFont val="Arial"/>
        <family val="2"/>
      </rPr>
      <t>etc.) ?</t>
    </r>
  </si>
  <si>
    <r>
      <t>Existe-t-il une solution de secours</t>
    </r>
    <r>
      <rPr>
        <strike/>
        <sz val="8"/>
        <rFont val="Arial"/>
        <family val="2"/>
      </rPr>
      <t xml:space="preserve"> </t>
    </r>
    <r>
      <rPr>
        <sz val="8"/>
        <rFont val="Arial"/>
        <family val="2"/>
      </rPr>
      <t>pour pallier l'indisponibilité de tout équipement ou de toute liaison critique ?</t>
    </r>
  </si>
  <si>
    <t>11A05</t>
  </si>
  <si>
    <t>Les courants forts et faibles sont-ils bien séparés dans des chemins de câbles différents ?</t>
  </si>
  <si>
    <t>Existe-t-il des détecteurs de fuite d'eau à l'étage supérieur à proximité des  locaux abritant des ressources sensibles, reliés à un poste permanent de surveillance  ?</t>
  </si>
  <si>
    <t>Authentification du serveur lors des accès à des serveurs sensibles</t>
  </si>
  <si>
    <t>Possibilité que les procédures appliquées soient inefficientes (vis-à-vis des obligations légales, réglementaires ou contractuelles)</t>
  </si>
  <si>
    <t>Pro.inf</t>
  </si>
  <si>
    <t xml:space="preserve">Code </t>
  </si>
  <si>
    <r>
      <t xml:space="preserve">Ces clauses précisent-elles, quand cela est nécessaire et juridiquement possible, que le devoir de respect de la politique de sécurité s'applique sans limitation de durée ?
</t>
    </r>
    <r>
      <rPr>
        <i/>
        <sz val="8"/>
        <rFont val="Arial"/>
        <family val="2"/>
      </rPr>
      <t>En particulier, pour les clauses touchant à la confidentialité, les clauses de non divulgation peuvent (et souvent doivent) s'étendre au delà du contrat de travail ou du contrat liant l'entreprise à son sous-traitant ou partenaire.</t>
    </r>
  </si>
  <si>
    <t>A-t-on vérifié, par un contrôle indépendant, l'adéquation des directives correspondantes à l'ensemble des dispositions légales ou réglementaires ?</t>
  </si>
  <si>
    <t>13A01-13</t>
  </si>
  <si>
    <t>A-t-on analysé, avec les utilisateurs, les contrôles qu'il serait souhaitable de faire pour vérifier la pertinence des données entrées, modifiées ou en sortie d'applications (cadrage par rapport à des fourchettes, ratios entre données entrées indépendamment, contrôles de cohérence, évolution et comparaison avec des statistiques, etc.) et a-t-on mis en place les contrôles correspondants dans les applications ?</t>
  </si>
  <si>
    <t>09B04-02</t>
  </si>
  <si>
    <r>
      <t xml:space="preserve">L'acceptation de l'identifiant par le contrôle d'accès au réseau local est-elle systématiquement sujette à une authentification ?
</t>
    </r>
    <r>
      <rPr>
        <i/>
        <sz val="8"/>
        <rFont val="Arial"/>
        <family val="2"/>
      </rPr>
      <t>L'authentification systématique requiert que ce processus soit effectivement mis en oeuvre pour l'ensemble des voies et ports d'accès (accès interne, tous types d'accès depuis l'extérieur, y compris les ports réservés tels que la télémaintenance éventuelle).</t>
    </r>
  </si>
  <si>
    <t>Perte ou oubli de document ou de media</t>
  </si>
  <si>
    <t>La politique relative à la Prp (ou le cadre de gestion) établit-elle clairement les responsabilités des différents intervenants : responsable de la PRP (RPRP), responsable de la sécurité des informations numériques, vérificateur interne, etc.?</t>
  </si>
  <si>
    <t>La politique relative à la Prp est-elle révisée régulièrement ?</t>
  </si>
  <si>
    <t>13A01-12</t>
  </si>
  <si>
    <t>Existe-t-il une politique et des directives précises en matière de PRP ?</t>
  </si>
  <si>
    <t>A-t-on défini les transactions sensibles devant être protégés par des solutions de contrôle de numérotation ou de séquencement et mis en place de telles solutions au niveau applicatif (ou éventuellement au niveau réseau) ?</t>
  </si>
  <si>
    <t>04A02-03</t>
  </si>
  <si>
    <t>05A07-01</t>
  </si>
  <si>
    <t>05A07-02</t>
  </si>
  <si>
    <t>Ces procédures sont-elles mises en oeuvre systématiquement et automatiquement par les systèmes à chaque libération logique de ressource ?</t>
  </si>
  <si>
    <t>07B01-07</t>
  </si>
  <si>
    <t>L'inhibition de ces procédures se traduit-elle par une alerte auprès d'un responsable de l'exploitation ?</t>
  </si>
  <si>
    <t>Locaux</t>
  </si>
  <si>
    <t>Tableau d'Impact Intrinsèque</t>
  </si>
  <si>
    <t>Données et informations</t>
  </si>
  <si>
    <t>Fichiers de données ou bases de données applicatives</t>
  </si>
  <si>
    <t>Fichiers bureautiques partagés</t>
  </si>
  <si>
    <t>Données publiées (web ou interne)</t>
  </si>
  <si>
    <t>CLASSIFICATION DES SERVICES</t>
  </si>
  <si>
    <t>F06-MA3</t>
  </si>
  <si>
    <t>Y a-t-il un mécanisme d'authentification de l'entité accédée avant tout accès sortant depuis le réseau interne par le réseau étendu ?</t>
  </si>
  <si>
    <t>Y a-t-il une formation spécifique et un entraînement régulier du personnel d'intervention ?</t>
  </si>
  <si>
    <t>03D03-05</t>
  </si>
  <si>
    <t>Tout identifiant reconnu par le système correspond-il à une personne physique unique et identifiable, directement ou indirectement ?</t>
  </si>
  <si>
    <t>05B07-03</t>
  </si>
  <si>
    <t>Tous les comptes génériques ou par défaut ont-ils été supprimés ?</t>
  </si>
  <si>
    <t>05B07-04</t>
  </si>
  <si>
    <t>05B07-05</t>
  </si>
  <si>
    <t>Y a-t-il un contrôle systématique du contexte du demandeur d'accès (réseau local, réseau étendu, liaison externe, nature de la liaison utilisée et protocoles) ?</t>
  </si>
  <si>
    <t>05B07-06</t>
  </si>
  <si>
    <t>L'authentification fait-elle appel à des moyens infalsifiables détenus par l'utilisateur (badge, carte à puce ou reconnaissance biométrique, par exemple) ?</t>
  </si>
  <si>
    <t>La connexion au réseau depuis l'extérieur est-elle impossible en dehors du contrôle d'intégrité ?</t>
  </si>
  <si>
    <t>05D</t>
  </si>
  <si>
    <t>Paramétrage des équipements et contrôle de la conformité des configurations</t>
  </si>
  <si>
    <t xml:space="preserve">Politique et directives relatives à la Protection des systèmes informatisés </t>
  </si>
  <si>
    <t>A-t-on défini, au sein de la production informatique, des profils correspondant à chaque type d'activité (administration systèmes, administration d'équipement de sécurité, pilotage de la production, opérations de gestion de supports et sauvegardes, etc.) ?</t>
  </si>
  <si>
    <t>08F01-02</t>
  </si>
  <si>
    <t>08F01-03</t>
  </si>
  <si>
    <t>08F01-04</t>
  </si>
  <si>
    <t>08F01-05</t>
  </si>
  <si>
    <t>08F01-06</t>
  </si>
  <si>
    <t>08F01-07</t>
  </si>
  <si>
    <t>08F02-01</t>
  </si>
  <si>
    <t>08F02-02</t>
  </si>
  <si>
    <t>08F02-03</t>
  </si>
  <si>
    <t>08F02-04</t>
  </si>
  <si>
    <t>08F02-05</t>
  </si>
  <si>
    <t>Ces procédures sont-elles protégées contre des altérations illicites ?</t>
  </si>
  <si>
    <t>06A05-06</t>
  </si>
  <si>
    <t>L'authenticité et la pertinence des procédures opérationnelles font-elles l'objet d'un audit régulier ?</t>
  </si>
  <si>
    <t>06A06-01</t>
  </si>
  <si>
    <t>06A06-02</t>
  </si>
  <si>
    <t>06A06-03</t>
  </si>
  <si>
    <t>06A06-04</t>
  </si>
  <si>
    <t>06A06-05</t>
  </si>
  <si>
    <t>06A06-06</t>
  </si>
  <si>
    <t>Les dirigeants certifient-ils l'efficacité des procédures et des contrôles mis en oeuvre pour assurer la sécurité de la communication financière ?</t>
  </si>
  <si>
    <t>12C01-04</t>
  </si>
  <si>
    <t>05A01-04</t>
  </si>
  <si>
    <t>Ces partitionnements sont-ils documentés et tenus à jour ?</t>
  </si>
  <si>
    <t>05A01-05</t>
  </si>
  <si>
    <t>Y a-t-il un audit régulier, au moins une fois par an, de l'ensemble des systèmes de scellement des données échangées et des procédures associées ?</t>
  </si>
  <si>
    <t>04D01-01</t>
  </si>
  <si>
    <t>01B02</t>
  </si>
  <si>
    <t>Gestion des procédures opérationnelles d'exploitation informatique</t>
  </si>
  <si>
    <t>Fait-elle référence aux exigences de l'organisation vis-à-vis de critères tels que la Disponibilité, l'Intégrité et la Confidentialité ?</t>
  </si>
  <si>
    <t>14A02-04</t>
  </si>
  <si>
    <t>Fait-elle référence aux exigences légales et réglementaires ?</t>
  </si>
  <si>
    <t>14A02-05</t>
  </si>
  <si>
    <t>Trouve-t-on dans cette politique un engagement à utiliser des critères précis pour évaluer les risques ?</t>
  </si>
  <si>
    <t>14A02-06</t>
  </si>
  <si>
    <t>Disparition de document</t>
  </si>
  <si>
    <t>Disparition ou inexploitabilité accidentelle de document</t>
  </si>
  <si>
    <t>Les conclusions de ces revues prennent-elles en compte les propositions et retours d'expérience des parties concernées ?</t>
  </si>
  <si>
    <t>Les intervenants extérieurs travaillant dans les locaux de l'entreprise à des tâches sensibles ont-ils été habilités par un organisme officiel ?</t>
  </si>
  <si>
    <t>01C03-04</t>
  </si>
  <si>
    <t>Sensibilisation et  formation à la sécurité</t>
  </si>
  <si>
    <t>01C04-01</t>
  </si>
  <si>
    <t>Moyen d'accès aux données</t>
  </si>
  <si>
    <t>Possibilité de destruction de media support de logiciel</t>
  </si>
  <si>
    <t>Possible inexploitabilité de media support de logiciel</t>
  </si>
  <si>
    <t>Code type</t>
  </si>
  <si>
    <t>AC.E</t>
  </si>
  <si>
    <t>AC.M</t>
  </si>
  <si>
    <t>Impose-t-on contractuellement à toute société prestataire pouvant avoir accès ou favoriser l'accès à des informations ou à des ressources sensibles, que ses collaborateurs signent un engagement personnel de respect des clauses de sécurité spécifiées ?</t>
  </si>
  <si>
    <t>01C01-06</t>
  </si>
  <si>
    <t>Le management a-t-il la responsabilité de s'assurer que le personnel, le personnel sous contrat ou les tiers respectent les politiques et procédures de sécurité de l'organisation ?</t>
  </si>
  <si>
    <t>8.2.1</t>
  </si>
  <si>
    <t>01C01-07</t>
  </si>
  <si>
    <t>La déclaration d'applicabilité décrit-elle les mesures déjà en place ?</t>
  </si>
  <si>
    <t>14A08-03</t>
  </si>
  <si>
    <t>14B</t>
  </si>
  <si>
    <t>14B01</t>
  </si>
  <si>
    <t>Formulation d'un plan de traitement des risques</t>
  </si>
  <si>
    <t>14B01-01</t>
  </si>
  <si>
    <t>Teste-t-on régulièrement la capacité du système de secours à assurer la charge prévue (les délestages éventuels ayant été effectués) ?</t>
  </si>
  <si>
    <t xml:space="preserve">Méd </t>
  </si>
  <si>
    <t>en médiathèque</t>
  </si>
  <si>
    <t>dans les bureaux</t>
  </si>
  <si>
    <t>dans le circuit de distribution</t>
  </si>
  <si>
    <t>dans les locaux d'archives</t>
  </si>
  <si>
    <t>V1</t>
  </si>
  <si>
    <t>V2</t>
  </si>
  <si>
    <t>La politique de sécurité précise-t-elle qu'il est strictement interdit de posséder sur son poste tout logiciel non accompagné d'une licence en règle ?</t>
  </si>
  <si>
    <t>15.1.2</t>
  </si>
  <si>
    <t>Existe-t-il un audit régulier des profils privilégiés effectivement attribués ?</t>
  </si>
  <si>
    <t>08F02-07</t>
  </si>
  <si>
    <t>08F03-01</t>
  </si>
  <si>
    <t>12E03</t>
  </si>
  <si>
    <t>Gestion des procédures opérationnelles d'exploitation des télécommunications</t>
  </si>
  <si>
    <t>La pertinence des règles d'appartenance au réseau étendu est-elle régulièrement auditée ?</t>
  </si>
  <si>
    <t>05B04-04</t>
  </si>
  <si>
    <t>Cette politique de sécurité est-elle revue à intervalles réguliers ou lors de changements significatifs, afin d'assurer le maintien de sa pertinence et de son efficacité ?</t>
  </si>
  <si>
    <t>5.1.2</t>
  </si>
  <si>
    <t>01A02-03</t>
  </si>
  <si>
    <t>6.1.2</t>
  </si>
  <si>
    <t>Altération (non détectée) de fichiers bureautiques personnels</t>
  </si>
  <si>
    <t>D07-I</t>
  </si>
  <si>
    <t>Altération de courriels en cours d'envoi ou de réception</t>
  </si>
  <si>
    <t>D08-I</t>
  </si>
  <si>
    <t>Altération de télécopies en cours d'envoi ou de réception</t>
  </si>
  <si>
    <t>D10-I</t>
  </si>
  <si>
    <t>Altération d'archives informatiques</t>
  </si>
  <si>
    <t>Altération de données publiées sur des sites publics ou internes</t>
  </si>
  <si>
    <t>Divulgation de fichiers de données applicatives</t>
  </si>
  <si>
    <t>D01-C</t>
  </si>
  <si>
    <t>D02-C</t>
  </si>
  <si>
    <t>12A02-01</t>
  </si>
  <si>
    <t>12A02-02</t>
  </si>
  <si>
    <t>12A02-03</t>
  </si>
  <si>
    <t>12A02-04</t>
  </si>
  <si>
    <t>12A02-05</t>
  </si>
  <si>
    <t>12A02-06</t>
  </si>
  <si>
    <t>12A02-07</t>
  </si>
  <si>
    <t>12A02-08</t>
  </si>
  <si>
    <t>12A02-09</t>
  </si>
  <si>
    <t>12A02-10</t>
  </si>
  <si>
    <t>Cette structure a-t-elle la capacité à alerter sans délai la Direction Générale en cas de problème grave ?</t>
  </si>
  <si>
    <t>01A02-05</t>
  </si>
  <si>
    <t>12B01-05</t>
  </si>
  <si>
    <t>12B01-06</t>
  </si>
  <si>
    <t>12B01-07</t>
  </si>
  <si>
    <t>12C</t>
  </si>
  <si>
    <t>12C01-01</t>
  </si>
  <si>
    <t>En particulier tout réseau sans fil (Wlan) est-il considéré comme un domaine distinct strictement isolé du reste du réseau (par firewall, routeur filtrant, etc.) ?</t>
  </si>
  <si>
    <t>Peut-on contrôler à tout moment, pour tous les utilisateurs, les habilitations, autorisations et privilèges en cours ?</t>
  </si>
  <si>
    <t>07A02-08</t>
  </si>
  <si>
    <t>La mise en production de nouvelles versions de systèmes ou applications n'est-elle possible que selon un processus de validation et d'autorisation défini ?</t>
  </si>
  <si>
    <t>08A05-01</t>
  </si>
  <si>
    <t>08A05-02</t>
  </si>
  <si>
    <t>La capacité des moyens de destruction offerts au personnel est-elle compatible avec le volume moyen des documents à détruire ?</t>
  </si>
  <si>
    <t>L'ensemble des procédures et moyens de destruction fait-il l'objet d'audits réguliers ?</t>
  </si>
  <si>
    <t>messages ou transactions en attente de traitement</t>
  </si>
  <si>
    <t>courrier électronique en cours d'envoi ou de réception</t>
  </si>
  <si>
    <t>D06a</t>
  </si>
  <si>
    <t>D06b</t>
  </si>
  <si>
    <t>données (individuellement) sensibles</t>
  </si>
  <si>
    <t>En cas de répétition de tentatives infructueuses d'authentification, existe-t-il un processus déclenchant une dévalidation automatique de l'identifiant de l'utilisateur, éventuellement du terminal lui-même, ou un ralentissement du processus d'authentification empêchant toute routine automatique de tentative de connexion ?</t>
  </si>
  <si>
    <t>07A03-08</t>
  </si>
  <si>
    <t>07A03-09</t>
  </si>
  <si>
    <t>07A03-10</t>
  </si>
  <si>
    <t>07A03-11</t>
  </si>
  <si>
    <t>07A04-01</t>
  </si>
  <si>
    <r>
      <t xml:space="preserve">Les droits d'accès permanents ou pour une durée déterminée aux locaux sensibles sont-ils définis par rapport à des "profils" types prenant en compte la fonction et le statut du personnel ?
</t>
    </r>
    <r>
      <rPr>
        <i/>
        <sz val="8"/>
        <rFont val="Arial"/>
        <family val="2"/>
      </rPr>
      <t>Ces profils peuvent concerner le personnel d'exploitation informatique ou télécom, le personnel des services généraux ou de sécurité, les pompiers, les prestataires de maintenance ou d'entretien, les fournisseurs de services, les stagiaires, les visiteurs, etc...</t>
    </r>
  </si>
  <si>
    <t>Existe-t-il des procédures d'effacement physique des résidus sensibles (en mémoire centrale ou sur support) ?</t>
  </si>
  <si>
    <t>07B01-06</t>
  </si>
  <si>
    <t>09H01-03</t>
  </si>
  <si>
    <t>L'ensemble des procédures et plans de sauvegarde de données fait-il l'objet d'un audit régulier ?</t>
  </si>
  <si>
    <t>Analyse et spécification des exigences de sécurité</t>
  </si>
  <si>
    <t>Les règles d'appartenance au réseau étendu et les contrôles effectués permettent-ils d'accorder la même confiance aux utilisateurs du réseau étendu qu'aux utilisateurs locaux ?</t>
  </si>
  <si>
    <t>05B04-03</t>
  </si>
  <si>
    <t>La fonction sécurité a-t-elle défini et diffusé à l'audit interne (ou à la structure chargée des audits internes) un Référentiel d'audit de la SSI décrivant, en particulier, les obligations de chaque catégorie de personnel, les directives incontournables et les recommandations ?</t>
  </si>
  <si>
    <t>01A04-02</t>
  </si>
  <si>
    <t>Chaque incident réseau majeur fait-il l'objet d'un suivi spécifique (nature et description, priorité, solutions techniques, études en cours, délai prévu de résolution, etc.) ?</t>
  </si>
  <si>
    <t>Questions</t>
  </si>
  <si>
    <t>05A</t>
  </si>
  <si>
    <t>Sécurité de l'architecture du réseau local</t>
  </si>
  <si>
    <t>05A01-01</t>
  </si>
  <si>
    <t>05A01-02</t>
  </si>
  <si>
    <t>La structure chargée d'analyser ces éléments de synthèse (ou éventuellement les journaux des incidents, et événements liés à la sécurité) a-t-elle l'obligation de le faire à période fixe et déterminée et a-t-elle la disponibilité suffisante  ?</t>
  </si>
  <si>
    <t>04D02-05</t>
  </si>
  <si>
    <t>12A02-11</t>
  </si>
  <si>
    <t>12A02-12</t>
  </si>
  <si>
    <t>12A02-13</t>
  </si>
  <si>
    <t>12A02-14</t>
  </si>
  <si>
    <t>12A02-15</t>
  </si>
  <si>
    <t>12A02-16</t>
  </si>
  <si>
    <t>12A03</t>
  </si>
  <si>
    <t>12A03-01</t>
  </si>
  <si>
    <t>12A03-02</t>
  </si>
  <si>
    <t>12A03-03</t>
  </si>
  <si>
    <t>12A03-04</t>
  </si>
  <si>
    <t>12A03-05</t>
  </si>
  <si>
    <t>12A03-06</t>
  </si>
  <si>
    <t>12A04</t>
  </si>
  <si>
    <t>12A04-01</t>
  </si>
  <si>
    <t>12A04-02</t>
  </si>
  <si>
    <t>12A04-03</t>
  </si>
  <si>
    <t>12A04-04</t>
  </si>
  <si>
    <t>05B03-06</t>
  </si>
  <si>
    <t>Divulgation de fichiers bureautiques personnels</t>
  </si>
  <si>
    <t>D04-C</t>
  </si>
  <si>
    <t>D11-D</t>
  </si>
  <si>
    <t>D05-C</t>
  </si>
  <si>
    <t>max(09B01;09C02)</t>
  </si>
  <si>
    <t xml:space="preserve">Possibilité de pollution (lente) des données du fichier </t>
  </si>
  <si>
    <t>Cette équipe (hot line) est-elle accessible en permanence?</t>
  </si>
  <si>
    <t>04D03-03</t>
  </si>
  <si>
    <t>La méthode permet-elle de réduire la potentialité des scénarios en fonction des mesures de sécurité en place (ou prévues) ?</t>
  </si>
  <si>
    <t>14A05-04</t>
  </si>
  <si>
    <t>14A05-05</t>
  </si>
  <si>
    <t>Le niveau de gravité des risques est-il déterminé par les valeur d'impact et de potentialité de chaque scénario ?</t>
  </si>
  <si>
    <t>14A05-06</t>
  </si>
  <si>
    <t>La méthode fournit-elle les éléments permettant de classer le niveau de gravité de chaque scénario de risque ?</t>
  </si>
  <si>
    <t>14A06</t>
  </si>
  <si>
    <t>Sélection des options de traitement des risques</t>
  </si>
  <si>
    <t>14A06-01</t>
  </si>
  <si>
    <t>14A06-02</t>
  </si>
  <si>
    <r>
      <t xml:space="preserve">La procédure de gestion des changements inclut-elle l'obligation de tests de non régression ?
</t>
    </r>
    <r>
      <rPr>
        <i/>
        <sz val="8"/>
        <rFont val="Arial"/>
        <family val="2"/>
      </rPr>
      <t>On appelle test de non régression, un test cherchant à vérifier que les modifications apportées n'affectent pas les caractéristiques et les performances des autres fonctions de l'application.</t>
    </r>
  </si>
  <si>
    <t>L'impact des changements apportés dans les applications sur les plans de continuité est-il pris en compte ?</t>
  </si>
  <si>
    <t>Mesures cryptographiques</t>
  </si>
  <si>
    <t>Gestion des clés</t>
  </si>
  <si>
    <t>10B04-01:05</t>
  </si>
  <si>
    <t>Ces documents de référence sont-ils protégés contre tout accès indu ou illicite, par des mécanismes forts ?</t>
  </si>
  <si>
    <t>08B02-06</t>
  </si>
  <si>
    <t>L'intégrité des configurations applicatives par rapport aux configurations théoriquement attendues est-elle testée très régulièrement (hebdomadairement) ?</t>
  </si>
  <si>
    <t>08B02-07</t>
  </si>
  <si>
    <t>08B02-08</t>
  </si>
  <si>
    <t>08B03-01</t>
  </si>
  <si>
    <t>La production informatique gère-t-elle une version de référence pour chaque produit mis en exploitation (source et exécutable) ?</t>
  </si>
  <si>
    <t>08B03-02</t>
  </si>
  <si>
    <t>Matériel utilisateur laissé sans surveillance</t>
  </si>
  <si>
    <t>Les serveurs de production (incluant la bureautique et la messagerie) sont ils pourvus de dispositifs de protection contre les virus et contre les codes malveillants ?</t>
  </si>
  <si>
    <t>08D07-03</t>
  </si>
  <si>
    <t>08D07-04</t>
  </si>
  <si>
    <t>08D07-05</t>
  </si>
  <si>
    <t>08D07-06</t>
  </si>
  <si>
    <t>Existe-t-il une cellule de crise pouvant être mise en place très rapidement en cas d'alerte ou de détection d'infection ?</t>
  </si>
  <si>
    <t>08D07-07</t>
  </si>
  <si>
    <t>Gestion des systèmes critiques (vis-à-vis de la permanence de la maintenance)</t>
  </si>
  <si>
    <t>08D08-01</t>
  </si>
  <si>
    <t>08D08-02</t>
  </si>
  <si>
    <t>Existe-t-il, pour l'ensemble des systèmes critiques, une solution palliative étudiée pour faire face à la disparition ou la défaillance du fournisseur (dépôt de la documentation de maintenance ou du code source chez un tiers de confiance, remplacement du système par des systèmes standards, etc.) ?</t>
  </si>
  <si>
    <t>08D08-03</t>
  </si>
  <si>
    <t>08D08-04</t>
  </si>
  <si>
    <t>08D08-05</t>
  </si>
  <si>
    <t>Procède-t-on régulièrement à une revue des systèmes pouvant être critiques et des solutions palliatives prévues ?</t>
  </si>
  <si>
    <t>08D09-01</t>
  </si>
  <si>
    <t>08D09-02</t>
  </si>
  <si>
    <t>08D09-03</t>
  </si>
  <si>
    <t>08D10-01</t>
  </si>
  <si>
    <t>Les mises à jour automatiques des logiciels sont-elles rendues impossibles ?</t>
  </si>
  <si>
    <t>À l'occasion de modification des systèmes d'exploitation, procède-t-on à une revue et à des tests de l'impact de ces modifications sur les applications ?</t>
  </si>
  <si>
    <t>Procède-t-on à des audits réguliers des procédures d'exception et d'escalade en cas de difficulté ou de problème d'installation ?</t>
  </si>
  <si>
    <t>08B01-09</t>
  </si>
  <si>
    <t>08B02-01</t>
  </si>
  <si>
    <t>08B02-02</t>
  </si>
  <si>
    <t>Ce document est-il mis à jour à chaque changement de version de référence ?</t>
  </si>
  <si>
    <t>08B02-03</t>
  </si>
  <si>
    <t>08B02-04</t>
  </si>
  <si>
    <t>08B02-05</t>
  </si>
  <si>
    <t>02A05-02</t>
  </si>
  <si>
    <t>08E02-05</t>
  </si>
  <si>
    <t>09C01-05</t>
  </si>
  <si>
    <t>09C01-06</t>
  </si>
  <si>
    <t>12B01-10</t>
  </si>
  <si>
    <t xml:space="preserve">Est-il possible de contrôler, en cas de besoin, la conformité de l'architecture et des configurations des équipements ? </t>
  </si>
  <si>
    <t>AB.S.Maa</t>
  </si>
  <si>
    <t>AB.S.Mas</t>
  </si>
  <si>
    <t>Absence de maintenance applicative ou maintenance app. impossible</t>
  </si>
  <si>
    <t>08E02-06</t>
  </si>
  <si>
    <t>08E02-07</t>
  </si>
  <si>
    <t>08E02-08</t>
  </si>
  <si>
    <t>Les enregistrements ou les synthèses sont-ils conservés sur une longue durée ?</t>
  </si>
  <si>
    <t>08E02-09</t>
  </si>
  <si>
    <t>08E03-01</t>
  </si>
  <si>
    <t>08E03-02</t>
  </si>
  <si>
    <t>08E03-03</t>
  </si>
  <si>
    <t>08E03-04</t>
  </si>
  <si>
    <t>08E03-05</t>
  </si>
  <si>
    <t>08E03-06</t>
  </si>
  <si>
    <t>08E03-07</t>
  </si>
  <si>
    <t>08E03-08</t>
  </si>
  <si>
    <t>Chaque incident système ou applicatif majeur fait-il l'objet d'un suivi spécifique (nature et description, priorité, solutions techniques, études en cours, délai prévu de résolution, etc.) ?</t>
  </si>
  <si>
    <t>08F</t>
  </si>
  <si>
    <t>08F01-01</t>
  </si>
  <si>
    <t>Le système de détection d'intrusion est-il lui-même sous contrôle (alarme en cas d'arrêt, auto-surveillance des caméras, etc.) ?</t>
  </si>
  <si>
    <t>Le système de surveillance des locaux sensibles est-il lui-même sous contrôle (alarme en cas d'arrêt, auto-surveillance des caméras, etc.) ?</t>
  </si>
  <si>
    <t>Cloisonnement des réseaux</t>
  </si>
  <si>
    <t>Système de gestion des mots de passe</t>
  </si>
  <si>
    <t>A-t-on défini des procédures spécifiques de contrôle pour chaque type de prestataire extérieur au service amené à  intervenir dans les bureaux (consultants, sociétés de maintenance, personnel de nettoyage, etc.) : port d'un badge spécifique, présence d'un accompagnateur, autorisation préalable indiquant le nom de l'intervenant, etc. ?</t>
  </si>
  <si>
    <t>Existe-t-il une application capable d'analyser ces enregistrements ainsi que les mesures de performances, d'en déduire des statistiques, un tableau de bord et des diagnostics d'anomalies examinés par une structure ad hoc ?</t>
  </si>
  <si>
    <t>04D02-04</t>
  </si>
  <si>
    <t xml:space="preserve">Les locaux contenant les systèmes électroniques de détection et de traitement des alarmes sont-ils protégés en permanence par un système de contrôle d'accès et par un système de détection d'intrusion en dehors des heures d'exploitation ? </t>
  </si>
  <si>
    <r>
      <t xml:space="preserve">Les mêmes clauses sont-elles rendues obligatoires pour le personnel des entreprises intervenant dans l'exploitation des systèmes ?
</t>
    </r>
    <r>
      <rPr>
        <i/>
        <sz val="8"/>
        <rFont val="Arial"/>
        <family val="2"/>
      </rPr>
      <t>En pratique, cela conduit à faire obligation auxdites entreprises de les faire signer individuellement, et dans les mêmes conditions, à son personnel.</t>
    </r>
  </si>
  <si>
    <r>
      <t xml:space="preserve">À défaut, s'il s'agit de mots de passe, les règles imposées peuvent-elles être considérées comme très strictes ?
</t>
    </r>
    <r>
      <rPr>
        <i/>
        <sz val="8"/>
        <rFont val="Arial"/>
        <family val="2"/>
      </rPr>
      <t>Des règles très strictes supposent des mots de passe non triviaux, des mélanges de différents types de caractères avec une longueur importante (10 caractères ou +). Il est souhaitable que de telles règles soient élaborées en accord avec le RSSI.</t>
    </r>
  </si>
  <si>
    <t>Maintenance à chaud</t>
  </si>
  <si>
    <t>10B06-01</t>
  </si>
  <si>
    <t>08D05-08</t>
  </si>
  <si>
    <t>08D05-09</t>
  </si>
  <si>
    <t>08D05-10</t>
  </si>
  <si>
    <t>08D05-11</t>
  </si>
  <si>
    <t>Synchronisation des horloges</t>
  </si>
  <si>
    <t>01C06-01:06</t>
  </si>
  <si>
    <t>Gestion des privilèges</t>
  </si>
  <si>
    <t>A-t-on identifié précisément les scénarios de sinistre pouvant affecter l'infrastructure et les services informatiques et analysé, pour chaque scénario, ses conséquences en termes de services non rendus aux utilisateurs ?</t>
  </si>
  <si>
    <t xml:space="preserve">Lors de la conception ou de la mise en oeuvre des applications, procède t-on à une étude détaillée des défaillances de traitement pouvant donner lieu à des pertes d'intégrité ? </t>
  </si>
  <si>
    <t>10B03-02</t>
  </si>
  <si>
    <t>Conserve-t-on les applications de nature analytique ou budgétaire utilisées pour déterminer les charges et les produits ?</t>
  </si>
  <si>
    <t>Tient-on à jour un inventaire des applications et documentations susceptibles d’être contrôlées dans le cadre d’une VCI ?</t>
  </si>
  <si>
    <t>Surveillance des zones de bureaux protégées</t>
  </si>
  <si>
    <t>11B01</t>
  </si>
  <si>
    <t>11B02</t>
  </si>
  <si>
    <t>11B03</t>
  </si>
  <si>
    <t>11C01-05</t>
  </si>
  <si>
    <t>Le poste de travail est-il protégé contre toute introduction de logiciel par d'autres personnes que les administrateurs du poste ?</t>
  </si>
  <si>
    <t>11C01-06</t>
  </si>
  <si>
    <t>11C01-07</t>
  </si>
  <si>
    <t>09C01-03</t>
  </si>
  <si>
    <t>09C01-04</t>
  </si>
  <si>
    <r>
      <t xml:space="preserve">A-t-on rédigé une politique de sécurité spécifique à l'usage du personnel d'exploitation des télécommunications ?
</t>
    </r>
    <r>
      <rPr>
        <i/>
        <sz val="8"/>
        <rFont val="Arial"/>
        <family val="2"/>
      </rPr>
      <t>Cette politique devrait traiter de la protection de l'information, mais aussi de la protection des biens et procédés et des comportements interdits.</t>
    </r>
  </si>
  <si>
    <r>
      <t xml:space="preserve">La signature de ces clauses constitue-t-elle un engagement formel du signataire ?
</t>
    </r>
    <r>
      <rPr>
        <i/>
        <sz val="8"/>
        <rFont val="Arial"/>
        <family val="2"/>
      </rPr>
      <t>Pour qu'il s'agisse d'un engagement formel, il est souhaitable que le signataire reconnaisse explicitement en avoir pris connaissance et les accepter.</t>
    </r>
  </si>
  <si>
    <r>
      <t xml:space="preserve">L'utilisation de la ligne de télémaintenance est-elle placée sous contrôle strict ?
</t>
    </r>
    <r>
      <rPr>
        <i/>
        <sz val="8"/>
        <rFont val="Arial"/>
        <family val="2"/>
      </rPr>
      <t>Un contrôle strict suppose un enregistrement de l'utilisation de la ligne, de l'agent de maintenance et des actions effectuées et un audit, a posteriori, de la pertinence de ces actions et de leur conformité aux attentes des responsables de la maintenance.</t>
    </r>
  </si>
  <si>
    <t>A-t-on défini les transactions sensibles devant être protégés par des solutions de signature électronique et mis en place de telles solutions au niveau applicatif ?</t>
  </si>
  <si>
    <t>09F01-02</t>
  </si>
  <si>
    <t>La conformité des signatures est-elle contrôlée automatiquement par l'application ?</t>
  </si>
  <si>
    <t>09F01-03</t>
  </si>
  <si>
    <t>09F01-04</t>
  </si>
  <si>
    <t>09F01-05</t>
  </si>
  <si>
    <t>09F01-06</t>
  </si>
  <si>
    <t>Procède-t-on régulièrement à une revue des applications pouvant être critiques et des solutions palliatives prévues ?</t>
  </si>
  <si>
    <t>09F</t>
  </si>
  <si>
    <t>Contrôle de l'émission et de la réception de données</t>
  </si>
  <si>
    <t>Approche de l'analyse des risques et des métriques associées</t>
  </si>
  <si>
    <t>14A03-01</t>
  </si>
  <si>
    <t>14A03-02</t>
  </si>
  <si>
    <t>14A03-03</t>
  </si>
  <si>
    <t>Existe-t-il, dans les contrats d'embauche ou dans le règlement intérieur, une clause précisant l'obligation de respecter l'ensemble des règles de sécurité en vigueur ?</t>
  </si>
  <si>
    <t>01C01-03</t>
  </si>
  <si>
    <t>Procède-t-on à des audits réguliers de l'utilisation des moyens de chiffrement et d'effacement par les utilisateurs ?</t>
  </si>
  <si>
    <t>11C03-01</t>
  </si>
  <si>
    <t>11A01-01</t>
  </si>
  <si>
    <t>F14-ER1</t>
  </si>
  <si>
    <t>F14-ER2</t>
  </si>
  <si>
    <t>Divulgation de documents, par erreur ou perte accidentelle</t>
  </si>
  <si>
    <t>Divulgation de listings ou d'états imprimés, par erreur ou perte accidentelle</t>
  </si>
  <si>
    <t>Utilise-t-on une société spécialisée dans le stockage des supports d'archives ou de sauvegardes externalisées offrant des garanties contractuelles de sécurité ?</t>
  </si>
  <si>
    <t>08C04-02</t>
  </si>
  <si>
    <r>
      <t xml:space="preserve">A-t-on établi une politique de sécurité et des recommandations relatives au télétravail (avec connexion au réseau de l'entreprise) ?
</t>
    </r>
    <r>
      <rPr>
        <i/>
        <sz val="8"/>
        <rFont val="Arial"/>
        <family val="2"/>
      </rPr>
      <t>Les recommandations et directives devraient traiter des précautions et moyens à prendre et couvrir la sécurité des connexions au réseau d'entreprise (authentification renforcée, VPN, etc.), la restriction éventuelle des autorisations d'accès, les précautions à prendre concernant l'utilisation du poste personnel par d'autres personnes que le titulaire du poste (famille, amis, etc.), etc.</t>
    </r>
  </si>
  <si>
    <t>min(07A01;07A02;08F01)</t>
  </si>
  <si>
    <t>max(11C01;11C04)</t>
  </si>
  <si>
    <t>Echange malveillant (non détecté) de media support de fichiers</t>
  </si>
  <si>
    <t>09D01</t>
  </si>
  <si>
    <t>Enregistrements de Très Haute Sécurité (THS)</t>
  </si>
  <si>
    <t>Ces clauses précisent-elles que le personnel a l'obligation de ne pas favoriser les actions qui pourraient être menées par d'autres personnes au détriment de la sécurité ?</t>
  </si>
  <si>
    <t>06A01-06</t>
  </si>
  <si>
    <t>06A01-07</t>
  </si>
  <si>
    <t>06A01-08</t>
  </si>
  <si>
    <t>Le personnel d'exploitation suit-il systématiquement une formation à la sécurité adaptée à sa fonction ?</t>
  </si>
  <si>
    <t>06A01-09</t>
  </si>
  <si>
    <t>06A01-10</t>
  </si>
  <si>
    <t>06A01-11</t>
  </si>
  <si>
    <t>Ramassage des corbeilles à papier et destruction des documents</t>
  </si>
  <si>
    <t>Sécurité du courrier</t>
  </si>
  <si>
    <t>S02-D</t>
  </si>
  <si>
    <t xml:space="preserve"> de services bureautiques communs</t>
  </si>
  <si>
    <t>L'ensemble des sauvegardes et fichiers de configuration permettant de reconstituer l'environnement de production est-il également sauvegardé en dehors du site de production (sauvegardes de recours) ?</t>
  </si>
  <si>
    <t>05A06-06</t>
  </si>
  <si>
    <t>05A06-07</t>
  </si>
  <si>
    <t>05A06-08</t>
  </si>
  <si>
    <t>Existe-t-il une revue régulière de la charte des devoirs et responsabilités du personnel (ou des notes correspondantes) ?</t>
  </si>
  <si>
    <t>01B02-01</t>
  </si>
  <si>
    <t>Les utilisateurs n'ont-ils accès qu'à des copies d'archives, le service des archives conservant toujours une version de l'archive originale ?</t>
  </si>
  <si>
    <t>Individualisation des messages empêchant leur duplication (numérotation, séquencement,...)</t>
  </si>
  <si>
    <t>09F03</t>
  </si>
  <si>
    <t>à une incapacité de la maintenance système (panne non réparable ou défaillance du partenaire)</t>
  </si>
  <si>
    <t>F18-AR</t>
  </si>
  <si>
    <t>IF.L.Lsp</t>
  </si>
  <si>
    <t>ER.L.Lin</t>
  </si>
  <si>
    <t>Lin</t>
  </si>
  <si>
    <t>Lsp</t>
  </si>
  <si>
    <t>à un bug bloquant dans un logiciel inerne</t>
  </si>
  <si>
    <t>à un bug bloquant dans un logiciel système ou un progiciel</t>
  </si>
  <si>
    <t>F18-BL</t>
  </si>
  <si>
    <t>Sam</t>
  </si>
  <si>
    <t>09A03-03</t>
  </si>
  <si>
    <t>09A03-04</t>
  </si>
  <si>
    <t>09A03-05</t>
  </si>
  <si>
    <t>09A03-06</t>
  </si>
  <si>
    <t>09A03-07</t>
  </si>
  <si>
    <t>09A03-08</t>
  </si>
  <si>
    <t>09A04-01</t>
  </si>
  <si>
    <t>09A04-02</t>
  </si>
  <si>
    <t xml:space="preserve">Protection des données du poste de travail </t>
  </si>
  <si>
    <t xml:space="preserve">Les éléments du processus de chiffrement sont-ils fortement protégés contre toute altération, modification ou arrêt ? </t>
  </si>
  <si>
    <t>Le processus ou les directives concernant le chiffrement des fichiers s'étend-il aux messages électroniques et à leurs pièces jointes ?</t>
  </si>
  <si>
    <t>Le processus ou les directives concernant le chiffrement des fichiers s'étend-il aux informations contenues dans les carnets d'adresses électroniques ?</t>
  </si>
  <si>
    <t>Existe-t-il des contrats de maintenance pour tous les produits logiciels provenant de sources externes installés (logiciels systèmes, middleware)?</t>
  </si>
  <si>
    <t>Les utilisateurs ont-ils reçu une formation à l'utilisation des moyens de chiffrement et d'effacement des informations à supprimer, leur indiquant, en particulier, les conditions à respecter pour que ce chiffrement ne puisse être contourné ?</t>
  </si>
  <si>
    <t>Existe-t-il une procédure décrivant en détail les opérations à effectuer, avant de faire appel à la maintenance, pour empêcher que celle-ci ait accès aux informations sensibles éventuellement contenues sur le poste de travail (effacement physique des zones sensibles, effacement des fichiers temporaires, conservation du disque, etc.) ?</t>
  </si>
  <si>
    <t xml:space="preserve">Les éléments du processus de contrôle d'intégrité sont-ils fortement protégés contre toute altération, modification ou arrêt ? </t>
  </si>
  <si>
    <t>Le processus ou les directives concernant le contrôle d'intégrité des fichiers s'étend-il aux messages électroniques et à leurs pièces jointes ?</t>
  </si>
  <si>
    <t>Le processus ou les directives concernant le contrôle d'intégrité des fichiers s'étend-il informations contenues dans les carnets d'adresses électroniques ?</t>
  </si>
  <si>
    <t>La permanence des moyens nécessaires à l'application de la Protection de la propriété intellectuelle fait-elle l'objet d'un audit régulier ?</t>
  </si>
  <si>
    <t>Contrôle de l'application de la politique relative à la Protection de la propriété intellectuelle</t>
  </si>
  <si>
    <t>max(09B05;min(07A01;07A02;08F01);min(09A01;09A02))</t>
  </si>
  <si>
    <t>max(09B05;min(07A03;07A04;08F02);min(09A03;09A04))</t>
  </si>
  <si>
    <t>La connexion au réseau depuis l'extérieur est-elle impossible en dehors du chiffrement ?</t>
  </si>
  <si>
    <t>05C04-01</t>
  </si>
  <si>
    <t>E1</t>
  </si>
  <si>
    <t>08B03-04</t>
  </si>
  <si>
    <t>Y a-t-il un contrôle automatique du sceau de protection (ou à défaut d'une signature déposée) à chaque nouvelle installation ?</t>
  </si>
  <si>
    <t>08B03-05</t>
  </si>
  <si>
    <t>Contrôle des accès aux résidus</t>
  </si>
  <si>
    <t>02B01</t>
  </si>
  <si>
    <t>08H02</t>
  </si>
  <si>
    <t>08H01</t>
  </si>
  <si>
    <t>Gestion des accès aux archives</t>
  </si>
  <si>
    <t>Gestion des moyens d'accès aux données applicatives</t>
  </si>
  <si>
    <t>11D08</t>
  </si>
  <si>
    <t>F06-AC3</t>
  </si>
  <si>
    <t>à une défaillance ou à une indisponibilité de moyens de servitude</t>
  </si>
  <si>
    <t xml:space="preserve">Les données sensibles stockées sur support amovible sont-elles chiffrées ? </t>
  </si>
  <si>
    <t>12A01-05</t>
  </si>
  <si>
    <t>12A01-06</t>
  </si>
  <si>
    <t>12A01-07</t>
  </si>
  <si>
    <t>12A01-08</t>
  </si>
  <si>
    <t>12A01-09</t>
  </si>
  <si>
    <t>09A04-03</t>
  </si>
  <si>
    <t>09A04-04</t>
  </si>
  <si>
    <t>à un manque d'alimentation en énergie (défaut externe)</t>
  </si>
  <si>
    <t>08</t>
  </si>
  <si>
    <t>6.1.3</t>
  </si>
  <si>
    <t>01A02-07</t>
  </si>
  <si>
    <t>01A02-08</t>
  </si>
  <si>
    <t>01A02-09</t>
  </si>
  <si>
    <t>Le management de l'entreprise est-il impliqué dans l'organisation de la sécurité de l'information et, en particulier dans l'élaboration et l'approbation de la politique de sécurité, la définition des responsabilités, l'allocation de ressources et le contrôle de l'efficacité des mesures prises ?</t>
  </si>
  <si>
    <t>6.1.1</t>
  </si>
  <si>
    <t>01A02-10</t>
  </si>
  <si>
    <t xml:space="preserve">Cet identifiant correspond-il à une personne physique unique et identifiable, directement ou indirectement ?
</t>
  </si>
  <si>
    <t>05B08-03</t>
  </si>
  <si>
    <t>05B08-04</t>
  </si>
  <si>
    <t>A-t-on défini, dans une politique de sécurité relative aux accès sortants, des règles définissant les types d'accès sortants autorisés (type de réseau externe, nature de la liaison utilisée et protocoles) en fonction des types de sous-réseaux internes ?</t>
  </si>
  <si>
    <t>05B08-05</t>
  </si>
  <si>
    <t>Les managers s'assurent-ils et doivent-ils rendre compte, de la conformité du comportement de leurs collaborateurs aux politiques et standards en vigueur ?</t>
  </si>
  <si>
    <t>15.2.1</t>
  </si>
  <si>
    <t>01B01-13</t>
  </si>
  <si>
    <t>A-t-on défini et mis en place des moyens de contrôle relatifs à l'usage d'équipements personnels ? (paramétrages spécifiques des systèmes d'exploitation, systèmes de filtrage, etc...)</t>
  </si>
  <si>
    <t xml:space="preserve">Les procédures et protocoles d'échange de conventions secrètes, de stockage, etc. ont-elles été approuvées par le RSSI ou un organisme spécialisé ? </t>
  </si>
  <si>
    <t>06A04-05</t>
  </si>
  <si>
    <t>07A03-06</t>
  </si>
  <si>
    <t>07A03-07</t>
  </si>
  <si>
    <t>Les moyens d'intervention sur le réseau local (tant de diagnostic que de reconfiguration) couvrent-ils de manière satisfaisante tous les cas de figures analysés et permettent-ils de mettre en œuvre les solutions décidées dans les délais spécifiés ?</t>
  </si>
  <si>
    <t>05A05-04</t>
  </si>
  <si>
    <t>A-t-on défini, pour chaque incident critique du réseau local, un délai de résolution et une procédure d'escalade en cas d'insuccès ou de retard des mesures prévues ?</t>
  </si>
  <si>
    <t>05A05-05</t>
  </si>
  <si>
    <t>Disparition de moyens nécessaires à l'accès aux fichiers</t>
  </si>
  <si>
    <t>Disparition accidentelle de moyens nécessaires à l'accès aux fichiers</t>
  </si>
  <si>
    <t>Ser</t>
  </si>
  <si>
    <t>Listings</t>
  </si>
  <si>
    <t>F07-AC2</t>
  </si>
  <si>
    <t>Gestion des attributions de droits privilégiés sur les systèmes (droits d'administrateur)</t>
  </si>
  <si>
    <t>08F02</t>
  </si>
  <si>
    <t>08F03</t>
  </si>
  <si>
    <t>08G01</t>
  </si>
  <si>
    <t>08G02</t>
  </si>
  <si>
    <t>Pre</t>
  </si>
  <si>
    <t>Elaboration de plans d'action</t>
  </si>
  <si>
    <t>Gr 1</t>
  </si>
  <si>
    <t>Gr 2</t>
  </si>
  <si>
    <t>12A05</t>
  </si>
  <si>
    <t>12A05-01</t>
  </si>
  <si>
    <t>12A05-02</t>
  </si>
  <si>
    <t>12A05-03</t>
  </si>
  <si>
    <t>12A05-04</t>
  </si>
  <si>
    <t>12A05-05</t>
  </si>
  <si>
    <t>12A05-06</t>
  </si>
  <si>
    <t>Le choix des garanties en matière informatique (exclusions, franchises, etc.) est-il le résultat d'une étude spécifique conduite en commun avec la Direction Informatique et remise à jour régulièrement ?</t>
  </si>
  <si>
    <t>01D01-09</t>
  </si>
  <si>
    <t>Les fournisseurs disposent-ils d'un centre technique de support garantissant une assistance téléphonique rapide et compétente ?</t>
  </si>
  <si>
    <t>Les moyens de diagnostic et de pilotage et de reconfiguration du réseau sont-ils protégés contre toute inhibition intempestive ou malveillante ?</t>
  </si>
  <si>
    <t>A-t-on mis en place une dévalidation automatique de l'utilisateur appelant, en cas de tentatives multiples infructueuses, avec nécessité d'intervention de l'administrateur pour revalider le poste ou l'utilisateur ?</t>
  </si>
  <si>
    <t>05B03-07</t>
  </si>
  <si>
    <t>05B03-08</t>
  </si>
  <si>
    <t>05B03-09</t>
  </si>
  <si>
    <t>05B03-10</t>
  </si>
  <si>
    <t>01A01-02</t>
  </si>
  <si>
    <t>08A03</t>
  </si>
  <si>
    <t>08A04</t>
  </si>
  <si>
    <t>04A01</t>
  </si>
  <si>
    <t>Foudroiement</t>
  </si>
  <si>
    <t>AC.E.Fou</t>
  </si>
  <si>
    <t>Fou</t>
  </si>
  <si>
    <t>Plans de Reprise d'Activité des postes utilisateurs</t>
  </si>
  <si>
    <t xml:space="preserve">Le responsable en matière de PRP est-il connu de tous les membres du personnel? </t>
  </si>
  <si>
    <t>Un responsable en matière de PRP (RPRP) a-t-il été nommé?</t>
  </si>
  <si>
    <t>Conformité des processus</t>
  </si>
  <si>
    <t>Critère
DICE</t>
  </si>
  <si>
    <t>C01-E</t>
  </si>
  <si>
    <t>C02-E</t>
  </si>
  <si>
    <t>C03-E</t>
  </si>
  <si>
    <t>C04-E</t>
  </si>
  <si>
    <t>C05-E</t>
  </si>
  <si>
    <t>C06-E</t>
  </si>
  <si>
    <t>Efficience</t>
  </si>
  <si>
    <t>Exposition naturelle décidée</t>
  </si>
  <si>
    <t>Exposition naturelle résultante</t>
  </si>
  <si>
    <t>A-t-on fait une analyse exhaustive de toutes les situations de travail ou d'échanges professionnels utilisant des équipements n'appartenant pas à l'entreprise ?</t>
  </si>
  <si>
    <t>6.1.4</t>
  </si>
  <si>
    <t>Les moyens de contrôle sont-ils protégés contre toute tentative de désactivation ou de contournement ?</t>
  </si>
  <si>
    <t>Les procédures et les moyens de contrôle font-ils l'objet d'audit régulier ?</t>
  </si>
  <si>
    <t xml:space="preserve">Indisponibilité, endommagement ou perte de système </t>
  </si>
  <si>
    <t>F06-AC4</t>
  </si>
  <si>
    <t>Indisponibilité massive</t>
  </si>
  <si>
    <t>Y a-t-il, avant tout accès sortant, un contrôle des règles définies dans la politique de sécurité ?</t>
  </si>
  <si>
    <t>05B08-06</t>
  </si>
  <si>
    <t>05B08-07</t>
  </si>
  <si>
    <t>05B08-08</t>
  </si>
  <si>
    <t>Protection des renseignements personnels</t>
  </si>
  <si>
    <t>Contrôle de l'application de la politique relative à la Prp</t>
  </si>
  <si>
    <t>05A04-01</t>
  </si>
  <si>
    <t>Tous les équipements du réseau local sont-ils couverts par un contrat de maintenance ?</t>
  </si>
  <si>
    <t>05A04-02</t>
  </si>
  <si>
    <t>05A04-03</t>
  </si>
  <si>
    <t>05A04-04</t>
  </si>
  <si>
    <t>05A04-05</t>
  </si>
  <si>
    <t>05A04-06</t>
  </si>
  <si>
    <t>05A04-07</t>
  </si>
  <si>
    <t>05A05-01</t>
  </si>
  <si>
    <t>05A05-02</t>
  </si>
  <si>
    <t>05A05-03</t>
  </si>
  <si>
    <t>Les devoirs et responsabilités imposés au personnel sont-ils imposés contractuellement (par le biais de conditions générales ou de clauses spécifiques) à tout prestataire intervenant au profit de l'entreprise et pouvant, de ce fait, avoir accès ou favoriser l'accès à des informations ou à des ressources sensibles ?</t>
  </si>
  <si>
    <t>01C01-05</t>
  </si>
  <si>
    <t>A-t-on analysé les conditions nécessaires à la mise en œuvre de la politique relative à la Communication financière ?</t>
  </si>
  <si>
    <t>Ce référentiel fait-il l'objet d'une mise à jour annuelle ?</t>
  </si>
  <si>
    <t>13B01-08</t>
  </si>
  <si>
    <t>13B01-09</t>
  </si>
  <si>
    <t>13B01-10</t>
  </si>
  <si>
    <t>13B01-11</t>
  </si>
  <si>
    <t>13B01-12</t>
  </si>
  <si>
    <t>13B01-13</t>
  </si>
  <si>
    <t>13B01-14</t>
  </si>
  <si>
    <t>13B01-15</t>
  </si>
  <si>
    <t>13B02</t>
  </si>
  <si>
    <t>13B02-01</t>
  </si>
  <si>
    <t>13B02-02</t>
  </si>
  <si>
    <t>13B02-03</t>
  </si>
  <si>
    <t>13B02-04</t>
  </si>
  <si>
    <t>13B02-05</t>
  </si>
  <si>
    <t>13B02-06</t>
  </si>
  <si>
    <t>13B02-07</t>
  </si>
  <si>
    <t>13B02-09</t>
  </si>
  <si>
    <t>13B03</t>
  </si>
  <si>
    <t>13B04</t>
  </si>
  <si>
    <t>Politique et directives relatives à la PRP</t>
  </si>
  <si>
    <t>Politique et directives relatives à la Communication financière</t>
  </si>
  <si>
    <t>13C01-08</t>
  </si>
  <si>
    <t>13C03-01</t>
  </si>
  <si>
    <t>13C03-02</t>
  </si>
  <si>
    <t>13C03-03</t>
  </si>
  <si>
    <t>13C03-04</t>
  </si>
  <si>
    <t>13C03-05</t>
  </si>
  <si>
    <t>13C03-06</t>
  </si>
  <si>
    <t>13C03-07</t>
  </si>
  <si>
    <t>13C03-09</t>
  </si>
  <si>
    <t xml:space="preserve">Existe-t-il des contrats de maintenance particuliers pour tous les logiciels (systèmes ou middleware) demandant une disponibilité telle que la maintenance courante ne pourrait s'effectuer dans des délais acceptables ? </t>
  </si>
  <si>
    <t>Ces tables font-elles l'objet d'un processus de sauvegarde ?</t>
  </si>
  <si>
    <t>08H03-08</t>
  </si>
  <si>
    <t>04A06-01</t>
  </si>
  <si>
    <t>04A06-02</t>
  </si>
  <si>
    <t>04A06-03</t>
  </si>
  <si>
    <t>Y a-t-il une surveillance périmétrique complète et cohérente de l'environnement immédiat des locaux sensibles, par vidéosurveillance ou surveillance visuelle directe ?</t>
  </si>
  <si>
    <t>03B05-02</t>
  </si>
  <si>
    <t>03B05-03</t>
  </si>
  <si>
    <t>En cas d'alerte, l'équipe de surveillance a-t-elle la possibilité d'envoyer sans délai une équipe d'intervention pour vérifier l'alerte et agir en conséquence ?</t>
  </si>
  <si>
    <t>03B05-04</t>
  </si>
  <si>
    <t>03B05-05</t>
  </si>
  <si>
    <t>03B05-06</t>
  </si>
  <si>
    <t>Existe-t-il un enregistrement de la vidéosurveillance, conservé sur une logue période ?</t>
  </si>
  <si>
    <t>03B05-07</t>
  </si>
  <si>
    <t>Le système de surveillance périmétrique est-il lui-même sous contrôle (alarme en cas d'inhibition, auto surveillance des caméras, etc.) ?</t>
  </si>
  <si>
    <t>03B05-08</t>
  </si>
  <si>
    <t>03B06-01</t>
  </si>
  <si>
    <t>05A01-10</t>
  </si>
  <si>
    <t>Existe-t-il une structure en charge de la vérification de l'application des règles définies et de la suppression des droits spécifiques quand le besoin a disparu ou quand les conditions ne sont plus remplies ?</t>
  </si>
  <si>
    <t>05A01-11</t>
  </si>
  <si>
    <t>08A02</t>
  </si>
  <si>
    <t>Procède-t-on à des tests périodiques de pénétration du réseau et à des audits techniques spécialisés approfondis ?</t>
  </si>
  <si>
    <t>15.2.2</t>
  </si>
  <si>
    <t>05B08-01</t>
  </si>
  <si>
    <t>Tout accès sortant requiert-il la présentation d'un identifiant reconnu par le système ?</t>
  </si>
  <si>
    <t>05B08-02</t>
  </si>
  <si>
    <t>05B01-05</t>
  </si>
  <si>
    <t>05B01-06</t>
  </si>
  <si>
    <t>05B01-07</t>
  </si>
  <si>
    <t>05B01-08</t>
  </si>
  <si>
    <t>Y a-t-il un audit régulier, au moins une fois par an, de l'ensemble des droits attribués à chaque profil et des procédures de gestion des profils ?</t>
  </si>
  <si>
    <t>11.2.4</t>
  </si>
  <si>
    <t>Le domaine 10 de Méhari est vu d'un point de vue particulier que l'on pourrait résumer ainsi : le problème de sécurité pouvant venir des développements et de la maintenance applicative est celui de l'introduction de failles de sécurité à l'occasion de ces développements ou de la maintenance. L'assurance qualité des développements, qui vise à s'assurer que les besoins sont bien spécifiés, qu'ils sont effectués conformément à une méthode de développement normalisée, que les spécifications sont bien remplies, que l'application fonctionne correctement, etc., ne fait pas partie de ce domaine de sécurité.</t>
  </si>
  <si>
    <t>10A</t>
  </si>
  <si>
    <t>Gr 3</t>
  </si>
  <si>
    <t>Gr 4</t>
  </si>
  <si>
    <t>08D05</t>
  </si>
  <si>
    <t>11D04</t>
  </si>
  <si>
    <t>DOMAINES</t>
  </si>
  <si>
    <t>SERVICES</t>
  </si>
  <si>
    <t>SOUS-SERVICES</t>
  </si>
  <si>
    <t>Divulgation de courriels, de courriers ou de télécopies, par erreur ou perte accidentelle</t>
  </si>
  <si>
    <t>Vol de courriels, de courriers ou de télécopies</t>
  </si>
  <si>
    <t>F15-ER</t>
  </si>
  <si>
    <t>F15-MA</t>
  </si>
  <si>
    <t>F16</t>
  </si>
  <si>
    <t>Divulgation d'archives documentaires</t>
  </si>
  <si>
    <t>Des solutions de secours existent-elles en cas d'indisponibilité de compétences stratégiques ?</t>
  </si>
  <si>
    <t>01C02-03</t>
  </si>
  <si>
    <t>Les partenaires ou prestataires stratégiques sont-ils régulièrement identifiés ?</t>
  </si>
  <si>
    <t>01C02-04</t>
  </si>
  <si>
    <t>Des solutions de secours existent-elles en cas d'indisponibilité de partenaires ou prestataires stratégiques ?</t>
  </si>
  <si>
    <t>01C02-05</t>
  </si>
  <si>
    <t>01C02-06</t>
  </si>
  <si>
    <t>Le personnel stratégique fait-il l'objet d'une gestion de carrière spécifique ?</t>
  </si>
  <si>
    <t>01C02-07</t>
  </si>
  <si>
    <t>Captation</t>
  </si>
  <si>
    <t>01B02-05</t>
  </si>
  <si>
    <r>
      <t xml:space="preserve">Le protocole d'authentification des administrateurs réseaux ou possesseurs de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</si>
  <si>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t>01B02-06</t>
  </si>
  <si>
    <r>
      <t xml:space="preserve">Existe-t-il un document (ou un ensemble de documents) ou une procédure opérationnelle spécifiant l'ensemble des paramètres de sécurité des équipements de réseau ?
</t>
    </r>
    <r>
      <rPr>
        <i/>
        <sz val="8"/>
        <rFont val="Arial"/>
        <family val="2"/>
      </rPr>
      <t>Un tel document doit découler de la politique de protection des réseaux et décrire l'ensemble des règles de filtrage décidées. Il devait également contenir les références des versions de systèmes pour pouvoir vérifier l'état des mises à jour.</t>
    </r>
  </si>
  <si>
    <t>Procède-t-on à des audits réguliers des procédures d'exception et d'escalade en cas de difficulté ?</t>
  </si>
  <si>
    <t>Contrôle-t-on la conformité des configurations des équipements réseau des postes de travail des utilisateurs par rapport à ce document de référence ?</t>
  </si>
  <si>
    <r>
      <t xml:space="preserve">L'utilisation des outils et des résultats d'audit est-elle délimitée ?
</t>
    </r>
    <r>
      <rPr>
        <i/>
        <sz val="8"/>
        <rFont val="Arial"/>
        <family val="2"/>
      </rPr>
      <t>Une telle délimitation est particulièrement recommandée s'il s'agit d'intervenants externes.</t>
    </r>
  </si>
  <si>
    <r>
      <t xml:space="preserve">Les mêmes clauses sont-elles rendues obligatoires pour le personnel des entreprises intervenant dans l'exploitation des réseaux ?
</t>
    </r>
    <r>
      <rPr>
        <i/>
        <sz val="8"/>
        <rFont val="Arial"/>
        <family val="2"/>
      </rPr>
      <t>En pratique, cela conduit à faire obligation auxdites entreprises de les faire signer individuellement, et dans les mêmes conditions, à son personnel.</t>
    </r>
  </si>
  <si>
    <t>Une revue formelle des nouvelles fonctionnalités (ou des changements de fonctionnalités) liées à un changement majeur de logiciel ou d'équipement est-elle systématiquement réalisée, avec le concours de la fonction sécurité informatique ?</t>
  </si>
  <si>
    <t>Les moyens informatiques utilisés pour le travail en dehors des locaux de l'entreprise (micro-ordinateurs portables) sont-ils exclusivement des moyens de l'entreprise, configurés spécifiquement (en particulier s'ils permettent la connexion au réseau interne) ?</t>
  </si>
  <si>
    <t>11C05-05</t>
  </si>
  <si>
    <t>La configuration des moyens informatiques utilisés pour le travail en dehors des locaux de l'entreprise (micro-ordinateurs portables) est-elle régulièrement contrôlée ?</t>
  </si>
  <si>
    <t>Évite-t-on au maximum de modifier les progiciels ?</t>
  </si>
  <si>
    <t>En cas de modification de progiciels applique-t-on un contrôle strict de ces modifications ?</t>
  </si>
  <si>
    <r>
      <t xml:space="preserve">A-t-on pour défini, pour ces environnements, des droits d'accès distincts en fonction des profils et des projets ?
</t>
    </r>
    <r>
      <rPr>
        <i/>
        <sz val="8"/>
        <rFont val="Arial"/>
        <family val="2"/>
      </rPr>
      <t>Le principe étant qu'il soit nécessaire d'avoir le bon profil pour le bon projet pour avoir accès à l'environnement correspondant.</t>
    </r>
  </si>
  <si>
    <t>F02-AC1</t>
  </si>
  <si>
    <t>F02-AC2</t>
  </si>
  <si>
    <t xml:space="preserve"> de services applicatifs</t>
  </si>
  <si>
    <t>F03-AC1</t>
  </si>
  <si>
    <t>F03-AC2</t>
  </si>
  <si>
    <t>Mesures à améliorer</t>
  </si>
  <si>
    <t>F04-AC1</t>
  </si>
  <si>
    <t>F04-AC2</t>
  </si>
  <si>
    <t>Les niveaux de services ont-ils été inclus dans un contrat de service (que ces services soient assurés en interne ou par un prestataire externe) ?</t>
  </si>
  <si>
    <r>
      <t xml:space="preserve">A-t-on défini l'ensemble des clauses de sécurité que devrait comprendre tout accord signé avec un tiers impliquant un accès au système d'information ou aux locaux contenant de l'information ?
</t>
    </r>
    <r>
      <rPr>
        <i/>
        <sz val="8"/>
        <rFont val="Arial"/>
        <family val="2"/>
      </rPr>
      <t>Le système d'information incluant les divers supports d'information ou moyens de traitement, transport et  communication de l'information.</t>
    </r>
  </si>
  <si>
    <t>Existe-t-il un document définissant les règles générales à appliquer en ce qui concerne la protection des moyens et supports de stockage, de traitement et de transport de l'information (équipements de réseau et de travail, systèmes, applications, données, media, etc.) et les conditions requises pour l'attribution, la gestion et le contrôle des droits d'accès ?</t>
  </si>
  <si>
    <t>01B02-04</t>
  </si>
  <si>
    <t>Ces règles sont-elles établies en fonction du niveau de classification des ressources concernées ?</t>
  </si>
  <si>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 clés de chiffrement de longueur suffisante, processus de génération évalué ou reconnu publiquement, etc.</t>
    </r>
  </si>
  <si>
    <t>Existe-t-il un programme de sensibilisation du personnel aux risques d'accident, d'erreur et de malveillance relatifs au traitement de l'information ?</t>
  </si>
  <si>
    <t>8.2.2</t>
  </si>
  <si>
    <t>01C04-02</t>
  </si>
  <si>
    <t>Ce programme de sensibilisation touche-t-il l'ensemble du personnel et est-il réactivé régulièrement ?</t>
  </si>
  <si>
    <t>01C04-03</t>
  </si>
  <si>
    <t xml:space="preserve">Cette procédure permet-elle de respecter les délais maximum admissibles en cas de bocages isolés de quelques comptes (attaque en déni de service) ? </t>
  </si>
  <si>
    <t>08D10-05</t>
  </si>
  <si>
    <t>08D10-06</t>
  </si>
  <si>
    <t>Questions ou services support du scoring</t>
  </si>
  <si>
    <t>Disparition</t>
  </si>
  <si>
    <t xml:space="preserve">Vol physique </t>
  </si>
  <si>
    <t>Les procédures de développement imposent-elles une validation formelle, par la fonction sécurité, de la couverture des tests relatifs aux fonctions ou dispositifs de sécurité ?</t>
  </si>
  <si>
    <t>10B01-12</t>
  </si>
  <si>
    <t>10B01-13</t>
  </si>
  <si>
    <t>10B01-14</t>
  </si>
  <si>
    <t>10B02-01</t>
  </si>
  <si>
    <r>
      <t xml:space="preserve">Ces analyses sont-elles réactualisées régulièrement ?
</t>
    </r>
    <r>
      <rPr>
        <i/>
        <sz val="8"/>
        <rFont val="Arial"/>
        <family val="2"/>
      </rPr>
      <t>Il conviendra d'effectuer une veille technologique afin d'éclairer l'analyse sur l'existence de nouveaux équipements, ou de nouvelles vulnérabilités.</t>
    </r>
  </si>
  <si>
    <r>
      <t xml:space="preserve">Le processus d'authentification des applications sensibles auxquelles on se connecte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</si>
  <si>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La mise hors service ou le contournement de la solution de scellement sont-ils immédiatement détectés et signalés à une équipe permanente ou disponible sur appel (astreinte) capable d'engendrer une réaction immédiate ?</t>
  </si>
  <si>
    <t>Existe-t-il une incitation à la saisie sans erreur (prime individuelle ou de service, pénalité pour le travail comportant trop d'erreurs, etc.) ?</t>
  </si>
  <si>
    <t>Contrôles permanents (vraisemblance, ...) sur les données</t>
  </si>
  <si>
    <t>Contrôle de la mise en production de nouveaux logiciels ou matériels ou d'évolutions de logiciels ou matériels</t>
  </si>
  <si>
    <t>06A03</t>
  </si>
  <si>
    <t xml:space="preserve">Contrôle des opérations de maintenance </t>
  </si>
  <si>
    <t>06A04</t>
  </si>
  <si>
    <r>
      <t xml:space="preserve">Des accords de service sont-ils négociés avec les services informatiques, considérés comme dépositaires des données ?
</t>
    </r>
    <r>
      <rPr>
        <i/>
        <sz val="8"/>
        <rFont val="Arial"/>
        <family val="2"/>
      </rPr>
      <t>Chaque accord doit édicter ces exigences : contenu des archives, durée de rétention, pérennité, traçabilité, imputabilité, intégrité, confidentialité, procédures et délai de remise à disposition, contraintes d'administration, etc.
Une distinction claire doit être établie entre le contenu des archives, sous responsabilité du propriétaire des données, et le contenant (sur supports informatisés, disques, cartouches, etc.) dont la direction informatique concernée a la charge.</t>
    </r>
  </si>
  <si>
    <r>
      <t xml:space="preserve">La conservation et l'utilisation par les équipements de sécurité d'éléments de référence supportant l'authentification (éléments secrets) font-elles appel à des mécanismes qui en garantissent l'inviolabilité et l'authenticité ?
</t>
    </r>
    <r>
      <rPr>
        <i/>
        <sz val="8"/>
        <rFont val="Arial"/>
        <family val="2"/>
      </rPr>
      <t>Dans le cas d'authentification faisant appel à des procédés cryptologiques, les mécanismes de modification et de stockage des éléments de base (des clés publiques, en particulier) doivent présenter des garanties de solidité au même titre que le protocole d'authentification.</t>
    </r>
  </si>
  <si>
    <t>Ce programme est-il offert à l'ensemble du personnel concerné ?</t>
  </si>
  <si>
    <t>Le niveau de connaissance des membres du personnel en matière de vérification de la comptabilité informatisée est-il évalué périodiquement à l'aide de sondages ou autrement ?</t>
  </si>
  <si>
    <t>Ce programme est-il révisé au moins tous les cinq ans ?</t>
  </si>
  <si>
    <t>L'application de ce programme fait-elle l'objet d'un audit périodique ?</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</si>
  <si>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(clé, carte à puce, etc.) soit à frapper un code qui change à chaque instant (jeton, comme, par exemple, un jeton de type RSA SecureID), soit à présenter un caractère biométrique.</t>
    </r>
  </si>
  <si>
    <t>Tout accès aux applications requiert-il la présentation d'un identifiant reconnu par lesdites applications ?</t>
  </si>
  <si>
    <t>Y a-t-il une dévalidation automatique de la session de l'utilisateur, en cas d'absence d'échange pendant un délai défini, nécessitant une nouvelle identification - authentification ?</t>
  </si>
  <si>
    <t>A-t-on décrit la procédure de retrait des documents obsolètes ?</t>
  </si>
  <si>
    <t>Les personnes habilitées à mettre à jour les documents sont-elles clairement identifiées ?</t>
  </si>
  <si>
    <t>Est-il clairement indiqué que toute modification doit faire l'objet d'une nouvelle approbation ?</t>
  </si>
  <si>
    <t>Identification et gestion des versions des documents</t>
  </si>
  <si>
    <t>Toute inhibition du système d'alerte lié au réseau étendu déclenche-t-elle une alarme auprès de l'équipe de surveillance ?</t>
  </si>
  <si>
    <t>04D01-09</t>
  </si>
  <si>
    <t>Prise en compte de la sécurité dans les relations avec le personnel d'exploitation (salariés et prestataires)</t>
  </si>
  <si>
    <t>06A02</t>
  </si>
  <si>
    <t>max(min(03B01;03B02;03B03);08B03;08C02;09B05)</t>
  </si>
  <si>
    <t>S01-I</t>
  </si>
  <si>
    <t>A-t-on effectué une classification des programmes et traitements sensibles en fonction de l'impact qu'un sinistre touchant ces ressources aurait sur l'entreprise ?</t>
  </si>
  <si>
    <t>01B03-08</t>
  </si>
  <si>
    <t>01B03-09</t>
  </si>
  <si>
    <t>Ces diverses classifications sont-elles rendues facilement accessibles au personnel concerné en cas de besoin ?</t>
  </si>
  <si>
    <t>01B03-10</t>
  </si>
  <si>
    <t>Existe-t-il une procédure de revue périodique des classifications et l'application de cette procédure est-elle contrôlée ?</t>
  </si>
  <si>
    <t>Gestion des "actifs" (assets)</t>
  </si>
  <si>
    <r>
      <t>La transmission entre équipements d'éléments de référence supportant l'authentification (éléments secrets, clés secrètes ou publiques, etc.)</t>
    </r>
    <r>
      <rPr>
        <strike/>
        <sz val="8"/>
        <rFont val="Arial"/>
        <family val="2"/>
      </rPr>
      <t xml:space="preserve"> </t>
    </r>
    <r>
      <rPr>
        <sz val="8"/>
        <rFont val="Arial"/>
        <family val="2"/>
      </rPr>
      <t xml:space="preserve">fait-elle appel à des mécanismes qui en garantissent l'inviolabilité et l'authenticité ?
</t>
    </r>
    <r>
      <rPr>
        <i/>
        <sz val="8"/>
        <rFont val="Arial"/>
        <family val="2"/>
      </rPr>
      <t>Dans le cas d'authentification faisant appel à des procédés cryptologiques, les mécanismes de transmission des éléments de base (éléments secrets, clés publiques, etc.) doivent présenter des garanties de solidité au même titre que le protocole d'authentification.</t>
    </r>
  </si>
  <si>
    <t>Fait-on signer au personnel d'exploitation des télécommunications employé par l'entreprise (quel que soit le statut, CDI, CDD, intérimaire, stagiaire, etc.) des clauses de respect de la politique de sécurité ?</t>
  </si>
  <si>
    <t>Les utilisateurs ont-ils la possibilité de déclencher eux-mêmes une sauvegarde en cas de besoin ?</t>
  </si>
  <si>
    <t>11D05-04</t>
  </si>
  <si>
    <t>11D05-05</t>
  </si>
  <si>
    <t>11D05-06</t>
  </si>
  <si>
    <t>11D06-01</t>
  </si>
  <si>
    <r>
      <t xml:space="preserve">A-t-on installé une déchiqueteuse de capacité suffisante à coté de chaque photocopieur et de chaque imprimante partagée ?
</t>
    </r>
    <r>
      <rPr>
        <i/>
        <sz val="8"/>
        <rFont val="Arial"/>
        <family val="2"/>
      </rPr>
      <t>Nota : La capacité nécessaire devrait prendre en compte l'épaisseur maximale que peuvent couramment atteindre les documents photocopiés.</t>
    </r>
  </si>
  <si>
    <t>Ce comité, s'il existe,  est-il composé notamment du RPRP et de représentants de la direction, de la sécurité, de l'audit, de l'informatique, des affaires juridiques, de la gestion documentaire et des utilisateurs?</t>
  </si>
  <si>
    <t>A-t-on défini pour chaque cas d'alerte, la réaction attendue de l'équipe d'intervention et sa disponibilité est-elle suffisante pour faire face à cette attente ?</t>
  </si>
  <si>
    <t>Contrôle de la conformité des configurations utilisateurs</t>
  </si>
  <si>
    <t>A-t-on un système opérationnel de détection des intrusions dans les locaux sensibles relié à un poste permanent de surveillance  ?</t>
  </si>
  <si>
    <t>03B04-02</t>
  </si>
  <si>
    <t>Cette procédure indique-t-elle que tout document doit posséder un propriétaire ?</t>
  </si>
  <si>
    <t>14E01-04</t>
  </si>
  <si>
    <t>Cette procédure est-elle largement diffusée à tous les services concernés ?</t>
  </si>
  <si>
    <t>Approbation des documents</t>
  </si>
  <si>
    <t>Le processus d'approbation de chaque document est-il défini ?</t>
  </si>
  <si>
    <t>Mises à jour</t>
  </si>
  <si>
    <t>Existe-t-il un programme de sensibilisation et de formation en matière de PRP?</t>
  </si>
  <si>
    <t>13A02-01</t>
  </si>
  <si>
    <t>13A02-02</t>
  </si>
  <si>
    <t>13A02-03</t>
  </si>
  <si>
    <t>13A02-04</t>
  </si>
  <si>
    <t>13A02-05</t>
  </si>
  <si>
    <t>A-t-on défini un niveau de classification de la documentation avec pour chaque niveau les droits des divers utilisateurs ?</t>
  </si>
  <si>
    <t>Les moyens mis en œuvre pour diffuser les documents respectent-ils ces droits d'accès ?</t>
  </si>
  <si>
    <t>Retrait des documents qui ne sont plus valides</t>
  </si>
  <si>
    <t>Cette politique indique-t-elle que la PRP doit être prise en considération dans le développement des projets liés aux technologies de l'information?</t>
  </si>
  <si>
    <t>L’existence de ce programme est-elle rappelée périodiquement aux membres du personnel par le moyen de l'affichage, de communiqués, etc.?</t>
  </si>
  <si>
    <t>Ce programme est-il révisé au moins tous les cinq ans?</t>
  </si>
  <si>
    <t>L'application de ce programme fait-elle l'objet d'un audit périodique?</t>
  </si>
  <si>
    <t>06C01</t>
  </si>
  <si>
    <t xml:space="preserve">Gestion des droits privilégiés sur les équipements de réseau </t>
  </si>
  <si>
    <t>06C02</t>
  </si>
  <si>
    <t>06C03</t>
  </si>
  <si>
    <t>Surveillance des actions d'administration des réseaux</t>
  </si>
  <si>
    <t>06C04</t>
  </si>
  <si>
    <t>Contrôle des outils et utilitaires de l'exploitation</t>
  </si>
  <si>
    <t>Fonctionnement des contrôles d'audit</t>
  </si>
  <si>
    <t>Protection des outils et résultats d'audit</t>
  </si>
  <si>
    <t>08A01-04</t>
  </si>
  <si>
    <t>08A01-05</t>
  </si>
  <si>
    <t>08A01-06</t>
  </si>
  <si>
    <t>08A01-07</t>
  </si>
  <si>
    <t>08A01-08</t>
  </si>
  <si>
    <t>08A01-09</t>
  </si>
  <si>
    <t>08A01-10</t>
  </si>
  <si>
    <t>08A01-11</t>
  </si>
  <si>
    <t>08A02-01</t>
  </si>
  <si>
    <t>08A02-02</t>
  </si>
  <si>
    <t>Chaque personnel de l'exploitation se voit-il attribuer un profil particulier ?</t>
  </si>
  <si>
    <t>08A02-03</t>
  </si>
  <si>
    <t>L'application de la politique relative à la Communication financière fait-elle périodiquement l'objet d'un audit?</t>
  </si>
  <si>
    <t>Fin</t>
  </si>
  <si>
    <t>Disponibilité</t>
  </si>
  <si>
    <t>Intégrité</t>
  </si>
  <si>
    <t>Confidentialité</t>
  </si>
  <si>
    <t>max(09B05;min(07A03;07A04;08F02);min(09A03;09A04);09B01;09C02)</t>
  </si>
  <si>
    <t>F06-AC1</t>
  </si>
  <si>
    <t>F06-AC2</t>
  </si>
  <si>
    <t xml:space="preserve">Sûreté de fonctionnement des éléments d'architecture du réseau étendu </t>
  </si>
  <si>
    <t>04A02</t>
  </si>
  <si>
    <t>04A03</t>
  </si>
  <si>
    <t>max(05C03;09C01)</t>
  </si>
  <si>
    <t>Toute opération de maintenance doit-elle être conclue par un contrôle systématique des paramètres de contrôle de l'administration système (profil nécessaire, type d'authentification, suppression des login standards, etc.) ?</t>
  </si>
  <si>
    <t>08A05-05</t>
  </si>
  <si>
    <t>La mise en oeuvre effective de ces contrôles fait-elle l'objet d'un audit régulier ?</t>
  </si>
  <si>
    <t>08A06-01</t>
  </si>
  <si>
    <t>Possibilité de duplication (et divulgation) de media support de données</t>
  </si>
  <si>
    <t>Med.ine</t>
  </si>
  <si>
    <t>Med.dup</t>
  </si>
  <si>
    <t>Med.ech</t>
  </si>
  <si>
    <t>Dtr.per</t>
  </si>
  <si>
    <t>Possibilité de duplication (et divulgation) de données en transit, messages, écrans</t>
  </si>
  <si>
    <t>Dtr.alt</t>
  </si>
  <si>
    <t>Cle.dis</t>
  </si>
  <si>
    <t>Non maintien en opération</t>
  </si>
  <si>
    <t>10A02-03</t>
  </si>
  <si>
    <t>10A04-01</t>
  </si>
  <si>
    <t>10A04-02</t>
  </si>
  <si>
    <t>10A04-03</t>
  </si>
  <si>
    <t>Assurance Responsabilité Civile (RC)</t>
  </si>
  <si>
    <t>Accès aux zones de transfert (livraison ou chargement)  ou aux zones accessibles au public</t>
  </si>
  <si>
    <t xml:space="preserve">Sélection des mesures de réduction des risques </t>
  </si>
  <si>
    <t>14A07-01</t>
  </si>
  <si>
    <t>14A07-02</t>
  </si>
  <si>
    <t>Les risques résiduels après traitement du risque sont-ils identifiés ?</t>
  </si>
  <si>
    <t>14A07-03</t>
  </si>
  <si>
    <t>01C04-08</t>
  </si>
  <si>
    <t>Existe-t-il un tableau de bord de la mise en oeuvre effective des actions de sensibilisation et de formation ?</t>
  </si>
  <si>
    <t>01C04-09</t>
  </si>
  <si>
    <t>A-t-on défini les méthodes d'évaluation de l'efficacité des mesures sélectionnées (indicateur, audit, etc.) ?</t>
  </si>
  <si>
    <t>A-t-on défini la manière dont le résultat de ces évaluations doit être interprété (échelle, seuil minimum ou maximum, moyenne, objectif de qualité de service, etc.) ?</t>
  </si>
  <si>
    <t>Est-ce que ces évaluations sont comparables et reproductibles ?</t>
  </si>
  <si>
    <t>05D01-06</t>
  </si>
  <si>
    <t>05D01-07</t>
  </si>
  <si>
    <t>05D01-08</t>
  </si>
  <si>
    <t>I</t>
  </si>
  <si>
    <t>Procède-t-on régulièrement à des tests de relecture des sauvegardes et sauvegardes de recours ?</t>
  </si>
  <si>
    <t>04A05-08</t>
  </si>
  <si>
    <t>L'ensemble des procédures et plans de sauvegarde des fichiers de configuration fait-il l'objet d'un audit régulier ?</t>
  </si>
  <si>
    <t xml:space="preserve">A-t-on pris les moyens pour que la non-conformité ne se reproduise plus ? </t>
  </si>
  <si>
    <t>Mise hors service malveillante</t>
  </si>
  <si>
    <t>par effacement ou polllution massive de la configuration du système hôte</t>
  </si>
  <si>
    <t>09A04-05</t>
  </si>
  <si>
    <t>09A04-06</t>
  </si>
  <si>
    <t>09A04-07</t>
  </si>
  <si>
    <t>La documentation est-elle conservée sur le support (papier ou informatique) exigé par la réglementation ?</t>
  </si>
  <si>
    <t>L’accès au code source du programme est-il possible ?</t>
  </si>
  <si>
    <r>
      <t xml:space="preserve">Les paramètres de contrôle de la gestion des droits attribués au personnel de maintenance applicative sont-ils sous contrôle strict ?
</t>
    </r>
    <r>
      <rPr>
        <i/>
        <sz val="8"/>
        <rFont val="Arial"/>
        <family val="2"/>
      </rPr>
      <t>Un contrôle strict requiert que la liste des personnes habilitées à changer les profils par projets attribués au personnel de maintenance applicative et les paramètres de contrôle d'accès aux environnements et objets de développement soit très limitée, qu'il existe un contrôle d'accès renforcé pour pouvoir les modifier, et que les modifications soient journalisées et auditées.</t>
    </r>
  </si>
  <si>
    <t>Les visiteurs et prestataires occasionnels sont-ils accompagnés en permanence (aller, retour à l'accueil, déplacements intermédiaires) ?</t>
  </si>
  <si>
    <t>Le respect des conventions de service relatives à la maintenance fait-il l'objet d'un audit régulier ?</t>
  </si>
  <si>
    <t>10A05-01</t>
  </si>
  <si>
    <t>10A05-02</t>
  </si>
  <si>
    <t>En particulier a-t-on obtenu le consentement de l'éditeur pour effectuer ces modifications ?</t>
  </si>
  <si>
    <t>Existe-t-il une procédure de gestion des demandes d'autorisation de rattachement au réseau étendu émanant des entités, et une structure en charge de l'analyse de ces demandes et de l'autorisation correspondante ?</t>
  </si>
  <si>
    <t>04B01-12</t>
  </si>
  <si>
    <t>04B01-13</t>
  </si>
  <si>
    <t>Surveillance des actions d'administration des systèmes</t>
  </si>
  <si>
    <t>Libellés des lieux</t>
  </si>
  <si>
    <t>dans les locaux de l'exploitation</t>
  </si>
  <si>
    <t>en dehors de l'entreprise</t>
  </si>
  <si>
    <t>Existe-t-il un suivi du niveau de satisfaction et d'adhésion du personnel aux actions de sensibilisation et de formation à la sécurité des systèmes d'information ?</t>
  </si>
  <si>
    <t>Gestion des tierces parties (partenaires, prestataires, clients, public, etc.)</t>
  </si>
  <si>
    <t>01C05-01</t>
  </si>
  <si>
    <t>A-t-on analysé les risques liés aux accès de personnel tiers (prestataires) au système d'information ou aux locaux contenant de l'information et défini en conséquences les mesures de sécurité nécessaires ?</t>
  </si>
  <si>
    <t>05D02-05</t>
  </si>
  <si>
    <t>05D02-06</t>
  </si>
  <si>
    <t>05D02-07</t>
  </si>
  <si>
    <t>05D02-08</t>
  </si>
  <si>
    <t>05D02-09</t>
  </si>
  <si>
    <t>05D02-10</t>
  </si>
  <si>
    <t>05D03-01</t>
  </si>
  <si>
    <t>05D03-02</t>
  </si>
  <si>
    <t>Cette équipe (hot line) est-elle accessible en permanence ?</t>
  </si>
  <si>
    <t>05D03-03</t>
  </si>
  <si>
    <t>05D03-04</t>
  </si>
  <si>
    <t>05D03-05</t>
  </si>
  <si>
    <r>
      <t xml:space="preserve">Tout identifiant reconnu par les applications correspond-il à une personne physique unique et identifiable, directement ou indirectement ?
</t>
    </r>
    <r>
      <rPr>
        <i/>
        <sz val="8"/>
        <rFont val="Arial"/>
        <family val="2"/>
      </rPr>
      <t>Nota : Dans le cas où une application en appelle une autre ou déclenche un appel système, il se peut que l'application ne transfère pas au système cible l'identifiant ayant initialisé la demande. Le lien entre cet appel et l'identifiant et la personne d'origine doit cependant rester possible a posteriori.</t>
    </r>
  </si>
  <si>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(leaser, broker, autres) ?</t>
  </si>
  <si>
    <t>08D06-10</t>
  </si>
  <si>
    <t>Pour le cas de défaillance ou d'indisponibilité du moyen de secours, est-il prévu une solution de remplacement (back-up de deuxième niveau) ?</t>
  </si>
  <si>
    <t>08D06-11</t>
  </si>
  <si>
    <t>Cette solution (back-up de deuxième niveau) a-t-elle été testée ?</t>
  </si>
  <si>
    <t>08D06-12</t>
  </si>
  <si>
    <t>A-t-on défini les actions à mener par le personnel informatique, pour prévenir, détecter et corriger les attaques par des codes malveillants (virus, spyware, autres) ?</t>
  </si>
  <si>
    <t>Utilise-t-on, sur les serveurs de production, des antivirus provenant de plusieurs fournisseurs ?</t>
  </si>
  <si>
    <t>Les produits antivirus sont-ils régulièrement (quotidiennement) et automatiquement mis à jour ?</t>
  </si>
  <si>
    <t>L'activation et la mise à jour des antivirus sur les serveurs font-elles l'objet d'un audit régulier ?</t>
  </si>
  <si>
    <t>Est-on abonné à une centrale d'alerte permettant d'être prévenu  et d'anticiper certaines attaques massives pour lesquelles les antivirus ne sont pas encore à jour ?</t>
  </si>
  <si>
    <t xml:space="preserve">Les directives en matière de Prp recouvrent-elles l'ensemble des obligations légales en matière de PRP, dont celles qui ont trait à  la collecte de tels renseignements, à leur accès, à leur communication, à leur utilisation, à leur conservation et à leur destruction? </t>
  </si>
  <si>
    <t>A-t-on défini, au sein de l'exploitation des télécommunications, des profils correspondant à chaque type d'activité (administration systèmes, administration d'équipement de sécurité, pilotage de la production, opérations de gestion de supports et sauvegardes, etc.) ?</t>
  </si>
  <si>
    <t>Tous les états et rapports sensibles sont-ils protégés contre les risques de détournement d'état en cours d'élaboration ?</t>
  </si>
  <si>
    <t>Tous les états et rapports sensibles sont-ils protégés contre les risques de détournement d'état en attente de diffusion ?</t>
  </si>
  <si>
    <t>Les procédures de diffusion des états et rapports imprimés assurent-elles une protection contre les vols (casiers fermés à clé, conteneurs sécurisés pendant le transport) ?</t>
  </si>
  <si>
    <t>Les procédures de diffusion des états et rapports imprimés assurent-elles une protection contre les consultations indiscrètes ?</t>
  </si>
  <si>
    <t>Les procédures de diffusion des états et rapports imprimés prévoient-elles une authentification du destinataire avant remise des états et rapports ?</t>
  </si>
  <si>
    <r>
      <t xml:space="preserve">Les règles spécifiant les appels systèmes sensibles à journaliser et enregistrer couvrent-elles les éléments essentiels pour une investigation en cas d'anomalie ?
</t>
    </r>
    <r>
      <rPr>
        <i/>
        <sz val="8"/>
        <rFont val="Arial"/>
        <family val="2"/>
      </rPr>
      <t>Ces règles devraient spécifier pour chaque type d'appel (consultation, création, modification, destruction, etc.) les éléments fondamentaux à enregistrer, par exemple la nature de l'événement, l'identifiant, le service système demandé, date et heure,  etc.</t>
    </r>
  </si>
  <si>
    <t>Les systèmes automatiques de contrôle d'accès au site sont-ils placés sous contrôle permanent opérationnel 24h/24 permettant de diagnostiquer une panne, une désactivation ou l'utilisation d'issues de secours en temps réel ?</t>
  </si>
  <si>
    <t>02A03-07</t>
  </si>
  <si>
    <t>Les règles spécifiant les accès à journaliser et enregistrer sont-elles décrites et validées (formalisées) ?</t>
  </si>
  <si>
    <t>Informations écrites ou imprimées détenues par les utilisateurs, archives personnelles</t>
  </si>
  <si>
    <t>Utilise-t-on un outil ou une application de contrôle permettant de journaliser et d'enregistrer les appels systèmes sensibles (utilitaires sensibles nécessitant des droits privilégiés, accès aux fichiers de sécurité, administration de paramètres de sécurité, etc.) ?</t>
  </si>
  <si>
    <t>07C02-03</t>
  </si>
  <si>
    <t>07C02-04</t>
  </si>
  <si>
    <t>Les droits accordés aux utilisateurs dès leur enregistrement (services communs, messagerie, etc.) ont-ils été approuvés par les propriétaires des ressources concernées ?</t>
  </si>
  <si>
    <t>01C06-05</t>
  </si>
  <si>
    <t>A-t-on mis en place une dévalidation automatique du poste ou de l'utilisateur appelant, en cas de tentatives multiples infructueuses, avec nécessité d'intervention de l'administrateur pour revalider le poste ou l'utilisateur ?</t>
  </si>
  <si>
    <t>05B05-07</t>
  </si>
  <si>
    <t>05B05-08</t>
  </si>
  <si>
    <t>05B05-09</t>
  </si>
  <si>
    <t>05B05-10</t>
  </si>
  <si>
    <t>05B06-01</t>
  </si>
  <si>
    <t>Tout sous-réseau WiFi est-il isolé du réseau local par un pare-feu ?</t>
  </si>
  <si>
    <t>05B06-02</t>
  </si>
  <si>
    <t>05B06-03</t>
  </si>
  <si>
    <t>05B06-04</t>
  </si>
  <si>
    <t>05B06-05</t>
  </si>
  <si>
    <t>05B06-06</t>
  </si>
  <si>
    <t>05B06-07</t>
  </si>
  <si>
    <t>05B06-08</t>
  </si>
  <si>
    <t>05B06-09</t>
  </si>
  <si>
    <t>05B06-10</t>
  </si>
  <si>
    <t>05B06-11</t>
  </si>
  <si>
    <t>05B07-01</t>
  </si>
  <si>
    <t>Tout accès au réseau local requiert-il la présentation d'un identifiant reconnu par le système ?</t>
  </si>
  <si>
    <t>05B07-02</t>
  </si>
  <si>
    <t>Les fournisseurs disposent-ils d'un centre technique de support logiciel garantissant une assistance téléphonique rapide et compétente ?</t>
  </si>
  <si>
    <t>08D02-03</t>
  </si>
  <si>
    <t>Media support de données</t>
  </si>
  <si>
    <t>Possibilité d'effacement du fichier support de données</t>
  </si>
  <si>
    <t>Possibilité de destruction de media support de données</t>
  </si>
  <si>
    <t>Possible inexploitabilité de media support de données</t>
  </si>
  <si>
    <t>D10</t>
  </si>
  <si>
    <t>Perte de données applicatives</t>
  </si>
  <si>
    <t xml:space="preserve">Perte de données bureautiques partagées </t>
  </si>
  <si>
    <t>Perte de données bureautiques personnelles</t>
  </si>
  <si>
    <t>Perte d'archives informatiques</t>
  </si>
  <si>
    <t>F05-1</t>
  </si>
  <si>
    <t>Indisponibilité ou perte de données publiées sur des sites publics ou internes</t>
  </si>
  <si>
    <t>Le système de contrôle d'accès est-il considéré comme "fort" ?</t>
  </si>
  <si>
    <t>Les accès aux locaux d'impression sont-ils réservés aux personnes d'un même service partageant les mêmes droits ?</t>
  </si>
  <si>
    <r>
      <t xml:space="preserve">A-t-on rédigé une politique de sécurité spécifique à l'usage du personnel d'exploitation des systèmes d'information ?
</t>
    </r>
    <r>
      <rPr>
        <i/>
        <sz val="8"/>
        <rFont val="Arial"/>
        <family val="2"/>
      </rPr>
      <t>Cette politique devrait traiter de la protection de l'information, mais aussi de la protection des biens et procédés et des comportements interdits.</t>
    </r>
  </si>
  <si>
    <t>L'équipe de surveillance est-elle dégagée de toute tâche opérationnelle et toute alarme est-elle immédiatement détectée et traitée en toute priorité ?</t>
  </si>
  <si>
    <t>02A04-05</t>
  </si>
  <si>
    <t>En cas d'alerte du système de détection d'intrusion, l'équipe de surveillance a-t-elle la possibilité d'envoyer sans délai une équipe d'intervention pour vérifier l'alerte et agir en conséquence ?</t>
  </si>
  <si>
    <t>02A04-06</t>
  </si>
  <si>
    <t>11D06-07</t>
  </si>
  <si>
    <t>02C01-01</t>
  </si>
  <si>
    <t>02C01-02</t>
  </si>
  <si>
    <t>02C01-03</t>
  </si>
  <si>
    <t>02C01-04</t>
  </si>
  <si>
    <t>02C01-05</t>
  </si>
  <si>
    <t>02C02-01</t>
  </si>
  <si>
    <t>02C02-02</t>
  </si>
  <si>
    <t>02C02-03</t>
  </si>
  <si>
    <t>02C02-04</t>
  </si>
  <si>
    <t>02C02-05</t>
  </si>
  <si>
    <t>02C02-06</t>
  </si>
  <si>
    <t>02C02-07</t>
  </si>
  <si>
    <t>02C03-01</t>
  </si>
  <si>
    <t>02C03-02</t>
  </si>
  <si>
    <t>02C04-01</t>
  </si>
  <si>
    <t>02C04-02</t>
  </si>
  <si>
    <t>02C04-03</t>
  </si>
  <si>
    <t>02C04-04</t>
  </si>
  <si>
    <t>02C04-05</t>
  </si>
  <si>
    <t>02C04-06</t>
  </si>
  <si>
    <t>02C04-07</t>
  </si>
  <si>
    <t>02C05-01</t>
  </si>
  <si>
    <t>02C05-02</t>
  </si>
  <si>
    <t>02C05-03</t>
  </si>
  <si>
    <t>02C05-04</t>
  </si>
  <si>
    <t>02C05-05</t>
  </si>
  <si>
    <t>02C05-06</t>
  </si>
  <si>
    <t>02C05-07</t>
  </si>
  <si>
    <t>02D01-01</t>
  </si>
  <si>
    <t>02D01-02</t>
  </si>
  <si>
    <t>02D01-03</t>
  </si>
  <si>
    <t>Equipements mis à la disposition des utilisateurs (PC, imprimantes locales, périphériques, interfaces spécifiques, etc.)</t>
  </si>
  <si>
    <t>Y a-t-il un système de climatisation créant une ambiance (température, hygrométrie, poussières) conforme aux prescriptions des constructeurs des matériels installés ?</t>
  </si>
  <si>
    <t>03A03-02</t>
  </si>
  <si>
    <t>Un comité relevant des instances dirigeantes est-il chargé d'élaborer les orientations en matière de PRP et d'étudier périodiquement les problématiques qui y sont  liées ?</t>
  </si>
  <si>
    <t>13E01-03</t>
  </si>
  <si>
    <t>13E01-04</t>
  </si>
  <si>
    <r>
      <t xml:space="preserve">La conservation et l'utilisation par les équipements de sécurité d'éléments de référence supportant l'authentification (éléments secrets ) font-elles appel à des mécanismes qui en garantissent l'inviolabilité et l'authenticité ?
</t>
    </r>
    <r>
      <rPr>
        <i/>
        <sz val="8"/>
        <rFont val="Arial"/>
        <family val="2"/>
      </rPr>
      <t>Dans le cas d'authentification faisant appel à des procédés cryptologiques, les mécanismes de modification et de stockage des éléments de base (des clés publiques, en particulier) doivent présenter des garanties de solidité au même titre que le protocole d'authentification.</t>
    </r>
  </si>
  <si>
    <t>Les procédures de gestion des clés révoquées garantissent-elles que les systèmes de contrôle testent systématiquement que les clés ne sont pas révoquées ?</t>
  </si>
  <si>
    <t>04B02-06</t>
  </si>
  <si>
    <t>04B02-07</t>
  </si>
  <si>
    <t>04B03-01</t>
  </si>
  <si>
    <t>Est-il possible de modifier les niveaux de potentialité en fonction des changements dans l'environnement de l'organisation ?</t>
  </si>
  <si>
    <t>14D02-01</t>
  </si>
  <si>
    <t>Un plan d'action intégrant toutes les actions correctives a-t-il été élaboré ?</t>
  </si>
  <si>
    <t>Les nouvelles fonctionnalités (ou changements de fonctionnalités) liées à un nouveau système ou à une nouvelle version sont-elles systématiquement décrites dans une documentation (obligatoire avant tout passage en production) ?</t>
  </si>
  <si>
    <t>08A04-05</t>
  </si>
  <si>
    <t>11D07-02</t>
  </si>
  <si>
    <t>11D07-03</t>
  </si>
  <si>
    <t>11D07-04</t>
  </si>
  <si>
    <t>11D07-05</t>
  </si>
  <si>
    <t>11D07-06</t>
  </si>
  <si>
    <t>A-t-on défini, pour chaque incident critique du réseau étendu, un délai de résolution et une procédure d'escalade en cas d'insuccès ou de retard des mesures prévues ?</t>
  </si>
  <si>
    <t>04A04-05</t>
  </si>
  <si>
    <t>Les locaux sensibles sont-ils protégés par une installation d'extinction automatique (ambiance, faux planchers, faux plafonds) ?</t>
  </si>
  <si>
    <t>03D03-07</t>
  </si>
  <si>
    <t>Les installations d'extinction automatique sont-elles vérifiées périodiquement conformément aux règles par un installateur ou vérificateur agréé et font-elles l'objet d'une maintenance régulière ?</t>
  </si>
  <si>
    <t>03D03-08</t>
  </si>
  <si>
    <t>08B01</t>
  </si>
  <si>
    <t>Procède-t-on régulièrement à un audit des conditions requises et de l'application des règles, dans  chaque entité autorisée à faire partie du réseau étendu ?</t>
  </si>
  <si>
    <t>Les outils d'administration et de reconfiguration du réseau permettent-ils une action en temps réel compatible avec les besoins des utilisateurs ?</t>
  </si>
  <si>
    <t>A-t-on la garantie formelle de la compatibilité et de la capacité des solutions de secours à assurer une charge opérationnelle suffisante et approuvée par l'ensemble des entités connectées ?</t>
  </si>
  <si>
    <t>C</t>
  </si>
  <si>
    <t>MA.L.Vol</t>
  </si>
  <si>
    <t>D05</t>
  </si>
  <si>
    <t>Per</t>
  </si>
  <si>
    <t>Vis</t>
  </si>
  <si>
    <t>Pa</t>
  </si>
  <si>
    <t>AC.M.Ser</t>
  </si>
  <si>
    <t>AV.P.Gre</t>
  </si>
  <si>
    <t>S03</t>
  </si>
  <si>
    <t>Dégât des eaux</t>
  </si>
  <si>
    <t>Incendie</t>
  </si>
  <si>
    <t>Inondation</t>
  </si>
  <si>
    <t>Dégât dû à la pollution</t>
  </si>
  <si>
    <t>Surcharge électrique</t>
  </si>
  <si>
    <t>Incident d'exploitation</t>
  </si>
  <si>
    <t>Virus</t>
  </si>
  <si>
    <t>Dégât dû au vieillissement</t>
  </si>
  <si>
    <t>Panne d'équipement informatique ou télécom</t>
  </si>
  <si>
    <t>Panne d'équipement de servitude</t>
  </si>
  <si>
    <t>Absence de service : Énergie</t>
  </si>
  <si>
    <t>Les points de contrôle de la détection d'intrusion et les procédures de réaction aux intrusions font-ils l'objet d'audits réguliers ?</t>
  </si>
  <si>
    <t xml:space="preserve">Pour les zones de bureaux protégées, utilise-t-on un système complémentaire de vidéosurveillance cohérent et complet contrôlant les mouvements de personnes à l'intérieur de ces zones et permettant de détecter des anomalies dans les comportements ? </t>
  </si>
  <si>
    <t>D01-D</t>
  </si>
  <si>
    <t>D02-D</t>
  </si>
  <si>
    <t>D03-D</t>
  </si>
  <si>
    <t>D04-D</t>
  </si>
  <si>
    <t>D06-D</t>
  </si>
  <si>
    <t>D07-D</t>
  </si>
  <si>
    <t>D08-D</t>
  </si>
  <si>
    <t>D09-D</t>
  </si>
  <si>
    <t>D10-D</t>
  </si>
  <si>
    <t>14C01-04</t>
  </si>
  <si>
    <t>14C01-05</t>
  </si>
  <si>
    <t>Des indicateurs permettant de détecter ou prévenir des incidents de sécurité sont-ils en place ?</t>
  </si>
  <si>
    <t>14C01-06</t>
  </si>
  <si>
    <t xml:space="preserve">Les revues vérifiant l'efficacité et l'application du SMSI sont-elles planifiées et effectuées régulièrement ? </t>
  </si>
  <si>
    <t>14C01-07</t>
  </si>
  <si>
    <t>Ces contrôles font-ils l'objet d'un audit régulier ?</t>
  </si>
  <si>
    <t>08C</t>
  </si>
  <si>
    <t>Gestion des supports informatiques de données et programmes</t>
  </si>
  <si>
    <t>08C01-01</t>
  </si>
  <si>
    <t>A-t-on analysé les conséquences de la disparition d'un fournisseur d'équipement, de solution logicielle ou de service réseau (en cas de panne, de bug ou de nécessité d'évolution) et en a-t-on déduit une liste de points critiques ?</t>
  </si>
  <si>
    <t>Les procédures d'attribution et de personnalisation des moyens de chiffrement et de protection des fichiers garantissent-ils des possibilités d'accès aux fichiers, même en cas d'absence ou de départ de leurs propriétaires ?</t>
  </si>
  <si>
    <t>Les moyens de recouvrement de clés d'accès ou de clés de chiffrement sont-ils protégés contre toute disparition accidentelle ou malveillante ?</t>
  </si>
  <si>
    <t>Imp</t>
  </si>
  <si>
    <t>Dif</t>
  </si>
  <si>
    <t xml:space="preserve">Compte ou moyen d'accès au service </t>
  </si>
  <si>
    <t>En cas d'alerte, l'équipe de surveillance a-t-elle la possibilité d'envoyer sans délai une équipe d'intervention pour vérifier l'alerte ou agir en conséquence ?</t>
  </si>
  <si>
    <t>03B06-04</t>
  </si>
  <si>
    <t>03B06-05</t>
  </si>
  <si>
    <t>La surveillance des locaux est-elle également en service pendant le nettoyage des locaux sensibles ?</t>
  </si>
  <si>
    <t>01A02-04</t>
  </si>
  <si>
    <t xml:space="preserve">L'ensemble des extincteurs mobiles est-il régulièrement contrôlé par un organisme compétent (remplissage, modes d'emploi, adéquation aux risques, localisations, etc.) ? </t>
  </si>
  <si>
    <t>03D03-06</t>
  </si>
  <si>
    <t>A-t-on identifié les équipements critiques pour l'exploitation et la tenue des performances annoncées et, pour ceux-ci, les délais de remise en service souhaitable et les délais maximum tolérables en cas de défaillance ?</t>
  </si>
  <si>
    <t>04A03-03</t>
  </si>
  <si>
    <t>En a-t-on déduit des clauses particulières et adaptées à ces exigences dans les contrats de maintenance ?</t>
  </si>
  <si>
    <t>stocké sur le poste de travail</t>
  </si>
  <si>
    <t>Protection de la confidentialité des données de l'environnement de travail personnel stockées sur support amovible</t>
  </si>
  <si>
    <t>Stm</t>
  </si>
  <si>
    <t>stocké sur media amovible</t>
  </si>
  <si>
    <t>à une panne d'équipement informatique ou de télécommunication</t>
  </si>
  <si>
    <t>D11</t>
  </si>
  <si>
    <t>12C02-01</t>
  </si>
  <si>
    <t>12C02-02</t>
  </si>
  <si>
    <t>12C02-03</t>
  </si>
  <si>
    <t>12C02-04</t>
  </si>
  <si>
    <t>12C02-05</t>
  </si>
  <si>
    <t>12C02-06</t>
  </si>
  <si>
    <t>12C02-07</t>
  </si>
  <si>
    <t>12C02-08</t>
  </si>
  <si>
    <t>12C03</t>
  </si>
  <si>
    <t>12C03-01</t>
  </si>
  <si>
    <t>12C03-02</t>
  </si>
  <si>
    <t>12C03-03</t>
  </si>
  <si>
    <t>12C03-04</t>
  </si>
  <si>
    <t>12C03-05</t>
  </si>
  <si>
    <t>12C03-06</t>
  </si>
  <si>
    <t>12C03-07</t>
  </si>
  <si>
    <t>12C04</t>
  </si>
  <si>
    <t>12C04-01</t>
  </si>
  <si>
    <t>12C04-02</t>
  </si>
  <si>
    <t>12C04-03</t>
  </si>
  <si>
    <t>12C04-04</t>
  </si>
  <si>
    <t>12C04-05</t>
  </si>
  <si>
    <t xml:space="preserve">Existe-t-il des contrats de maintenance particuliers pour tous les équipements demandant une forte disponibilité dont la réparation ou le remplacement ne pourrait s'effectuer dans des délais acceptables ? </t>
  </si>
  <si>
    <t xml:space="preserve">Organisation de la maintenance des équipements </t>
  </si>
  <si>
    <t>Procédures inappliquées volontairement</t>
  </si>
  <si>
    <t>PR.N.Api</t>
  </si>
  <si>
    <t>Non conformité de processus relatifs à la communication financière</t>
  </si>
  <si>
    <t>Non conformité de processus relatifs à la vérification de la comptabilité informatisée</t>
  </si>
  <si>
    <t>Non conformité de processus relatifs à la protection de la propriété intellectuelle</t>
  </si>
  <si>
    <t>07B01-04</t>
  </si>
  <si>
    <t>Les utilitaires permettant d'accéder aux résidus sensibles (fichiers ou zones de stockage temporaires) sont-ils réservés aux seules équipes systèmes et requièrent-ils une authentification forte avant usage ?</t>
  </si>
  <si>
    <t>07B01-05</t>
  </si>
  <si>
    <t>Absence de service : locaux</t>
  </si>
  <si>
    <t>Conflit social avec grève</t>
  </si>
  <si>
    <t>VULNÉRABILITÉ</t>
  </si>
  <si>
    <t>Courrier postal et télécopies</t>
  </si>
  <si>
    <t>min(08F02;07A03;07A04)</t>
  </si>
  <si>
    <t>Ce document est-il régulièrement mis à jour en fonction de l'état des connaissances, en relation avec un organisme expert (audits spécialisés, abonnement à un centre de service, consultation régulière des avis des CERTs, etc.) ?</t>
  </si>
  <si>
    <t>06B02-03</t>
  </si>
  <si>
    <t>Ces procédures permettent-elles d'identifier rapidement des failles de sécurité et des incidents ?</t>
  </si>
  <si>
    <r>
      <t xml:space="preserve">La mise en oeuvre effective des mesures de sécurité spécifiques du projet fait-elle l'objet d'un suivi formel tout au long du cycle de vie du projet ?
</t>
    </r>
    <r>
      <rPr>
        <i/>
        <sz val="8"/>
        <rFont val="Arial"/>
        <family val="2"/>
      </rPr>
      <t>La formalisation du suivi peut consister en un point obligatoire de l'ordre du jour lors des revues de projet, au moins aux étapes clés et/ou être matérialisée par des fiches de sécurité établies en fonction des décisions prises, des évolutions quant aux choix de solutions et de l'état d'avancement de la mise en oeuvre.</t>
    </r>
  </si>
  <si>
    <t xml:space="preserve">Existe-t-il une ressource, formée à l'analyse des risques des projets, pouvant assister le responsable du projet de développement dans la démarche d'analyse de risque ? </t>
  </si>
  <si>
    <t>Toute demande de changement relative à une application fait-elle l'objet d'une procédure de revue formelle (demandeur, justification, processus de décision) ?</t>
  </si>
  <si>
    <t>Procède-t-on à des contrôles fréquents visant à vérifier que les logiciels installés sont conformes aux logiciels déclarés ou qu'ils possèdent une licence en règle ?</t>
  </si>
  <si>
    <t>02D03-01</t>
  </si>
  <si>
    <t>02D03-02</t>
  </si>
  <si>
    <t>02D03-03</t>
  </si>
  <si>
    <t>02D03-04</t>
  </si>
  <si>
    <t>02D03-05</t>
  </si>
  <si>
    <t>02D03-06</t>
  </si>
  <si>
    <t>02D04-01</t>
  </si>
  <si>
    <t>02D04-02</t>
  </si>
  <si>
    <t>02D04-03</t>
  </si>
  <si>
    <t>02D04-04</t>
  </si>
  <si>
    <t>02D04-05</t>
  </si>
  <si>
    <t>02D04-06</t>
  </si>
  <si>
    <t>02D04-07</t>
  </si>
  <si>
    <t>02D05-01</t>
  </si>
  <si>
    <t>02D05-02</t>
  </si>
  <si>
    <t>A-t-on défini les scénarios contre lesquels les enregistrements de très haute sécurité devaient intervenir et a-t-on vérifié que la protection physique des supports d'enregistrements était adaptée à ces scénarios ?</t>
  </si>
  <si>
    <t>09D02-01</t>
  </si>
  <si>
    <t>09D02-02</t>
  </si>
  <si>
    <t>Ce chiffrement se fait-il de façon systématique lors de tout transfert ou téléchargement de fichiers déclenché par les applications concernées ?</t>
  </si>
  <si>
    <t>09C02-04</t>
  </si>
  <si>
    <t>09C02-05</t>
  </si>
  <si>
    <t>09C02-06</t>
  </si>
  <si>
    <t>09C02-07</t>
  </si>
  <si>
    <t>La Direction Générale a-t-elle fait évaluer la qualité du contrôle interne pour s'assurer de l'adéquation des procédures et du contrôle interne supportant la production des états financiers vis à vis de la réglementation ?</t>
  </si>
  <si>
    <t>12C01-02</t>
  </si>
  <si>
    <t>12C01-03</t>
  </si>
  <si>
    <t>max(min(03B01;03B02;03B03);08C02;09B01;09C02)</t>
  </si>
  <si>
    <t>Act</t>
  </si>
  <si>
    <t>Stp</t>
  </si>
  <si>
    <t>La mise hors service ou le contournement de la solution de contrôle de numérotation sont-ils immédiatement détectés et signalés à une équipe permanente ou disponible sur appel (astreinte) capable d'engendrer une réaction immédiate ?</t>
  </si>
  <si>
    <t>Y a-t-il alerte en cas d'absence d'accusé de réception pour les messages sensibles ?</t>
  </si>
  <si>
    <r>
      <t xml:space="preserve">L'accusé de réception n'est-il bien émis qu'après prise en compte effective du message par l'application cible ?
</t>
    </r>
    <r>
      <rPr>
        <i/>
        <sz val="8"/>
        <rFont val="Arial"/>
        <family val="2"/>
      </rPr>
      <t>Un accusé de réception ne devrait pas être émis tant que le message est en attente de traitement sur le système cible.</t>
    </r>
  </si>
  <si>
    <t>Le système de diagnostic d'anomalie émet-il une alarme en temps réel à une structure permanente ou disponible sur appel (astreinte), chargée et capable de réagir sans délai ?</t>
  </si>
  <si>
    <t>L'exploitation peut-elle faire appel à une ressource spécialisée pour de telles analyses de risques ?</t>
  </si>
  <si>
    <t>Existe-t-il une procédure de dérogation aux directives décrites dans ce référentiel d'audit et cette procédure est-elle auditable ?</t>
  </si>
  <si>
    <t>01A04-03</t>
  </si>
  <si>
    <t>08D04</t>
  </si>
  <si>
    <t>Sauvegarde des données applicatives</t>
  </si>
  <si>
    <t>Listings rebutés</t>
  </si>
  <si>
    <t>Gr = 1</t>
  </si>
  <si>
    <t>Gr = 2</t>
  </si>
  <si>
    <t>Gr = 3</t>
  </si>
  <si>
    <t>Gr = 4</t>
  </si>
  <si>
    <t>Le local de tri et de dispatching du courrier (arrivée et départ) est-il protégé contre les risques d'incendie et contre les dégâts des eaux (détection automatique avec alerte auprès d'une équipe de surveillance) ?</t>
  </si>
  <si>
    <t>Le circuit de distribution du courrier assure-t-il que seul le service destinataire peut y avoir accès (casiers fermés à clé, distribution directe et remise en main propre, etc.) ?</t>
  </si>
  <si>
    <t>Procède-t-on, avant toute maintenance à chaud, à une sauvegarde complète de l'environnement de production (systèmes et applicatifs) permettant de revenir à la situation antérieure en cas de problème ?</t>
  </si>
  <si>
    <t>10B06-03</t>
  </si>
  <si>
    <t>Main</t>
  </si>
  <si>
    <t>Actifs de type Services</t>
  </si>
  <si>
    <t xml:space="preserve">Actifs de type Données et informations </t>
  </si>
  <si>
    <t>Fichiers bureautiques personnels (gérés dans environnement personnel)</t>
  </si>
  <si>
    <t>Données échangées, écrans applicatifs, données individuellement sensibles</t>
  </si>
  <si>
    <t>Saturation bloquante pour cause externe (ver)</t>
  </si>
  <si>
    <t>Absence volontaire de personnel</t>
  </si>
  <si>
    <t>Les mises à jour de ces plans sont-elles régulièrement auditées (au moins une fois par an) ?</t>
  </si>
  <si>
    <t>02A</t>
  </si>
  <si>
    <t>02A01-01</t>
  </si>
  <si>
    <t>Les droits permanents ou semi-permanents (pour une durée déterminée) d'accès à chaque site ou immeuble (ou aux étages propres) sont-ils définis par rapport à des "profils" types (personnel en CDI, CDD, personnels temporaires, stagiaires, prestataires, fournisseurs de services, etc.) et/ou au métier de chaque type de personnel ?</t>
  </si>
  <si>
    <t>02A01-02</t>
  </si>
  <si>
    <t>Y a -t-il une liste, tenue à jour, de ces profils et des personnes responsables de la gestion des droits de chacun d'entre eux ?</t>
  </si>
  <si>
    <t>02A01-03</t>
  </si>
  <si>
    <t>Les droits attribués aux différents profils et  leurs conditions de validité sont-ils validés par le responsable de la sécurité du site ou le responsable de la sécurité générale ?</t>
  </si>
  <si>
    <t>07D01</t>
  </si>
  <si>
    <t>Sûreté de fonctionnement des éléments d'architecture</t>
  </si>
  <si>
    <t>07D02</t>
  </si>
  <si>
    <t>Isolement des systèmes sensibles</t>
  </si>
  <si>
    <t>08A01</t>
  </si>
  <si>
    <t>Les procédures de surveillance du réseau étendu et de détection d'anomalies et la disponibilité de l'équipe de surveillance font-elles l'objet d'un audit régulier ?</t>
  </si>
  <si>
    <t>04D02-01</t>
  </si>
  <si>
    <t>A-t-on fait une analyse approfondie des événements ou succession d'événements sur le réseau étendu pouvant avoir un impact sur la sécurité (connexions refusées, reroutages, reconfigurations, évolutions de performances, accès à des informations ou des outils sensibles, etc.) ?</t>
  </si>
  <si>
    <t>04D02-02</t>
  </si>
  <si>
    <t>Enregistre-t-on ces événements ainsi que tous les paramètres utiles à leur analyse ultérieure ?</t>
  </si>
  <si>
    <t>04D02-03</t>
  </si>
  <si>
    <t>06A02-03;08A01-01;08A03-03;12A01-01;12A02-03</t>
  </si>
  <si>
    <t>06A02-01;08A03-01;11A01-01;12A02-01</t>
  </si>
  <si>
    <t xml:space="preserve">Authentification de l'utilisateur ou de l'entité demandant un accès au réseau local depuis l'extérieur
(depuis le Réseau Téléphonique Commuté, X25, RNIS, ADSL, Internet, etc.) </t>
  </si>
  <si>
    <t xml:space="preserve">Authentification de l'utilisateur ou de l'entité demandant un accès au réseau local depuis un point d'accès interne 
Ce mécanisme correspond à l'authentification réalisée sous Windows par un contrôleur de domaine </t>
  </si>
  <si>
    <t>Authentification de l'utilisateur ou de l'entité demandant un accès au réseau local depuis un site distant via le réseau étendu</t>
  </si>
  <si>
    <t>Authentification de l'utilisateur ou de l'entité demandant un accès au réseau local depuis un sous-réseau WiFi</t>
  </si>
  <si>
    <r>
      <t xml:space="preserve">L'activité des auditeurs est-elle délimitée ?
</t>
    </r>
    <r>
      <rPr>
        <i/>
        <sz val="8"/>
        <rFont val="Arial"/>
        <family val="2"/>
      </rPr>
      <t>Une telle délimitation est particulièrement recommandée s'il s'agit d'intervenants externes.</t>
    </r>
  </si>
  <si>
    <t>Questionnaire d'audit : Organisation de la sécurité</t>
  </si>
  <si>
    <t>Organisation de la maintenance du logiciel (système, logiciel de couche intermédiaire et progiciel applicatif)</t>
  </si>
  <si>
    <t>min(06C02;06C03)</t>
  </si>
  <si>
    <t>La maintenance "à chaud" faite directement dans l'environnement de production fait-elle l'objet d'une procédure de déclenchement formelle incluant, en particulier, l'accord formel du Directeur de la production et du responsable du domaine applicatif (ou propriétaire des données) concerné ?</t>
  </si>
  <si>
    <t>10B06-02</t>
  </si>
  <si>
    <t>Sauvegarde des informations</t>
  </si>
  <si>
    <t>Gestion de la sécurité des réseaux</t>
  </si>
  <si>
    <t>Manipulation des supports</t>
  </si>
  <si>
    <t>max(08A03;08B03;09B05;10B01)</t>
  </si>
  <si>
    <t>max(08A03;08B03;09B05;10B05)</t>
  </si>
  <si>
    <t>max(08A05;09C02)</t>
  </si>
  <si>
    <t>max(08A05;08E02)</t>
  </si>
  <si>
    <t>05B06</t>
  </si>
  <si>
    <t>05B07</t>
  </si>
  <si>
    <t>Filtrage général des accès au réseau local</t>
  </si>
  <si>
    <t>05B08</t>
  </si>
  <si>
    <t>Contrôle du routage des accès sortants</t>
  </si>
  <si>
    <t>05B09</t>
  </si>
  <si>
    <t>A-t-on procédé, avec les utilisateurs, à une étude préliminaire afin d'identifier  les scénarios que les sauvegardes doivent permettre de surmonter ?</t>
  </si>
  <si>
    <t>08D05-02</t>
  </si>
  <si>
    <t>08D05-03</t>
  </si>
  <si>
    <t>07C01</t>
  </si>
  <si>
    <t>Enregistrement des accès aux ressources sensibles</t>
  </si>
  <si>
    <t>07C02</t>
  </si>
  <si>
    <t xml:space="preserve">Enregistrement des appels aux procédures privilégiées </t>
  </si>
  <si>
    <t>La gestion des droits d'accès aux objets de développement et les procédures et mécanismes de protection font-ils régulièrement l'objet d'un audit ?</t>
  </si>
  <si>
    <t>Sécurité relative aux traitements internes des applications</t>
  </si>
  <si>
    <t>10B03-01</t>
  </si>
  <si>
    <t>Mise au rebut ou recyclage sécurisé(e) du matériel</t>
  </si>
  <si>
    <t>Plan de Reprise d'Activité (PRA) du réseau étendu</t>
  </si>
  <si>
    <t>Gestion des fournisseurs critiques vis-à-vis de la permanence de la maintenance</t>
  </si>
  <si>
    <t>04B01</t>
  </si>
  <si>
    <t>Profils de sécurité des entités connectées au réseau étendu</t>
  </si>
  <si>
    <t>04B02</t>
  </si>
  <si>
    <t>04D01-10</t>
  </si>
  <si>
    <t>En particulier s'est-on assurer que l'utilisation des fonctions "Ajouter", "Modifier", "Supprimer" ne pouvait pas entraîner des pertes d'intégrité (intégrité référentiel, etc …) ?</t>
  </si>
  <si>
    <t>10B03-03</t>
  </si>
  <si>
    <t>08D03-02</t>
  </si>
  <si>
    <t>08D03-03</t>
  </si>
  <si>
    <t>Les échanges de commandes et de données lors de la télémaintenance sont-ils protégés par un contrôle d'intégrité (scellement) ?</t>
  </si>
  <si>
    <t>Les supports informatiques devant avoir une durée de conservation longue (archives) sont-ils vérifiés régulièrement (en fonction de la périodicité de mise à jour et de la classification des informations) ?</t>
  </si>
  <si>
    <t>Les supports informatiques devant avoir une durée de conservation longue (archives) sont-ils recopiés sur des supports neufs périodiquement avec tenue à jour d'un inventaire, ou avec redondance des supports ?</t>
  </si>
  <si>
    <r>
      <t xml:space="preserve">Les règles concernant les audits menés sur les systèmes opérationnels, les procédures et responsabilités associées, sont-elles définies et documentées ?
</t>
    </r>
    <r>
      <rPr>
        <i/>
        <sz val="8"/>
        <rFont val="Arial"/>
        <family val="2"/>
      </rPr>
      <t>Les limites à apporter concernent les types d'accès aux programmes et aux données, les contrôles et les traitements admis, l'effacement des données sensibles obtenues, le marquage de certaines opérations, ... ainsi que l'habilitation des personnes réalisant l'audit.</t>
    </r>
  </si>
  <si>
    <t>L'interruption du service de contrôle d'accès au poste de travail est-elle détectée dynamiquement lors de la connexion au réseau d'entreprise ?</t>
  </si>
  <si>
    <t>A-t-on fait une analyse exhaustive de toutes les possibilités de connexion de périphériques externes au Système d'Information de l'entreprise (ports USB, bluetooth, etc...) ?</t>
  </si>
  <si>
    <t>Equipement réseau</t>
  </si>
  <si>
    <t>08C07-02</t>
  </si>
  <si>
    <t>08C07-03</t>
  </si>
  <si>
    <t>08C07-04</t>
  </si>
  <si>
    <t>08C07-05</t>
  </si>
  <si>
    <t>08D</t>
  </si>
  <si>
    <t>Continuité de fonctionnement</t>
  </si>
  <si>
    <t>08D01-01</t>
  </si>
  <si>
    <t>Tous les matériels sont-ils couverts par un contrat de maintenance ?</t>
  </si>
  <si>
    <t>08D01-02</t>
  </si>
  <si>
    <t xml:space="preserve">Existe-t-il des contrats de maintenance particuliers pour tous les matériels demandant une forte disponibilité dont la réparation ou le remplacement ne pourrait s'effectuer dans des délais acceptables ? </t>
  </si>
  <si>
    <t>08D01-03</t>
  </si>
  <si>
    <t>Les moyens nécessaires à l'archivage des données sont-ils connus et financés sur le long terme ?</t>
  </si>
  <si>
    <t>Existe-t-il, pour les données sensibles, un moyen d'imputer les données saisies ou modifiées à leur auteur ?</t>
  </si>
  <si>
    <t>Des exigences contractuelles relatives à la sécurité du code ont-elles été formalisées ?</t>
  </si>
  <si>
    <r>
      <t xml:space="preserve">A-t-on établi, pour chaque application, une liste des incidents pouvant intervenir en cours d'exploitation et a-t-on analysé, pour chacun d'eux, la criticité des conséquences possibles ? 
</t>
    </r>
    <r>
      <rPr>
        <i/>
        <sz val="8"/>
        <rFont val="Arial"/>
        <family val="2"/>
      </rPr>
      <t>Les conséquences critiques peuvent être la cohérence des données ou  la continuité du service.</t>
    </r>
  </si>
  <si>
    <r>
      <t xml:space="preserve">Teste-t-on régulièrement que les sauvegardes des programmes (sources et/ou exécutables) permettent effectivement de reconstituer à tout moment l'environnement de production  ?
</t>
    </r>
    <r>
      <rPr>
        <i/>
        <sz val="8"/>
        <rFont val="Arial"/>
        <family val="2"/>
      </rPr>
      <t>On prendra en compte, pour ces tests, l'ensemble des sauvegardes (y compris documentation et fichiers de paramétrages) à l'exclusion des éléments ne faisant pas l'objet de sauvegardes.</t>
    </r>
  </si>
  <si>
    <t>Tous les domaines concernés par la sécurité ont-ils un responsable désigné [sécurité informatique et télécom, sécurité générale de l'environnement de travail (documents, télécopie, téléphone), sécurité physique générale des sites et locaux] ou un interlocuteur privilégié [DRH pour les actions de sensibilisation, la formation, les contrats de travail,  la gestion des comptes utilisateurs et des droits d'accès divers, le traitement (punitif) des opérations délictueuses ou illicites et  la négligence interne] ?</t>
  </si>
  <si>
    <t>Organisation et pilotage de la sécurité des systèmes d'information</t>
  </si>
  <si>
    <r>
      <t xml:space="preserve">A-t-on analysé les conséquences de la disparition d'un fournisseur (en cas de panne, de bogue ou de nécessité d'évolution) pour en déduire une liste de systèmes critiques ?
</t>
    </r>
    <r>
      <rPr>
        <i/>
        <sz val="8"/>
        <rFont val="Arial"/>
        <family val="2"/>
      </rPr>
      <t>Ceci vaut aussi bien pour les fournisseurs de matériel que de logiciels ou de services.</t>
    </r>
  </si>
  <si>
    <t>L'organisation des tâches au sein des équipes de développement et l'application des règles de séparation des tâches et de contrôle font-elles régulièrement l'objet d'un audit ?</t>
  </si>
  <si>
    <t>L'organisation a-t-elle mis en place des procédures de revue et de contrôle du SMSI ?</t>
  </si>
  <si>
    <t>14C01-02</t>
  </si>
  <si>
    <t>Tru</t>
  </si>
  <si>
    <t>lors de traitements utilisateurs</t>
  </si>
  <si>
    <t>Tde</t>
  </si>
  <si>
    <t>lors de tests de développement</t>
  </si>
  <si>
    <t>Authentification de l'entité accédée lors des accès sortants vers des sites sensibles</t>
  </si>
  <si>
    <t>Existe-t-il un document précisant les exigences, les responsabilités et les procédures à appliquer afin de protéger les archives importantes pour l'organisation ?</t>
  </si>
  <si>
    <t>15.1.3</t>
  </si>
  <si>
    <t>01B02-10</t>
  </si>
  <si>
    <t>Les échanges de commandes et de données lors de la télémaintenance sont-ils protégés par chiffrement ?</t>
  </si>
  <si>
    <t>Services bureautiques communs (serveurs de données, gestionnaires de documents, imprimantes partagées, etc.)</t>
  </si>
  <si>
    <t>Sécurité des projets et développements applicatifs</t>
  </si>
  <si>
    <t>En cas de matériel de télécommunication spécifique (téléphone, système de visio ou d'audio conférence, etc.), les configurations correspondantes sont-elles protégées contre toute modification faite par les utilisateurs ?</t>
  </si>
  <si>
    <r>
      <t xml:space="preserve">Existe-t-il un document (ou un ensemble de documents) ou une procédure opérationnelle spécifiant l'ensemble des paramètres de sécurité des systèmes ?
</t>
    </r>
    <r>
      <rPr>
        <i/>
        <sz val="8"/>
        <rFont val="Arial"/>
        <family val="2"/>
      </rPr>
      <t>Un tel document doit découler de la politique de sécurité et décrire l'ensemble des règles de filtrage décidées. Il devait également contenir les références des versions de systèmes pour pouvoir vérifier l'état des mises à jour.</t>
    </r>
  </si>
  <si>
    <r>
      <t xml:space="preserve">Les versions de systèmes et les correctifs à apporter, ainsi que les paramétrages, sont-ils régulièrement mis à jour en fonction de l'état des connaissances ?
</t>
    </r>
    <r>
      <rPr>
        <i/>
        <sz val="8"/>
        <rFont val="Arial"/>
        <family val="2"/>
      </rPr>
      <t>Ceci devrait se faire en relation avec un organisme expert (audits spécialisés, abonnement à un centre de service, consultation régulière des avis des CERTs, etc.).</t>
    </r>
  </si>
  <si>
    <r>
      <t xml:space="preserve">A-t-on établi une liste des logiciels de télécommunication autorisés sur les postes de travail des utilisateurs ?
</t>
    </r>
    <r>
      <rPr>
        <i/>
        <sz val="8"/>
        <rFont val="Arial"/>
        <family val="2"/>
      </rPr>
      <t>Cette liste devrait comprendre les versions de référence autorisées et éventuellement les options de paramétrage</t>
    </r>
  </si>
  <si>
    <t>Contrôle-t-on régulièrement la conformité des configurations logicielles des postes de travail des utilisateurs par rapport à la liste des options autorisées ?</t>
  </si>
  <si>
    <r>
      <t xml:space="preserve">Ces contrats prévoient-ils des clauses spécifiques lorsque l'indisponibilité du matériel dépasse la durée fixée au contrat (pénalités, remplacement du matériel, etc.) ? 
</t>
    </r>
    <r>
      <rPr>
        <i/>
        <sz val="8"/>
        <rFont val="Arial"/>
        <family val="2"/>
      </rPr>
      <t>Il est souhaitable que ces clauses soient générales et couvrent tous les cas sans exception (difficulté technique, grève du personnel, etc.).</t>
    </r>
  </si>
  <si>
    <t>Y a-t-il un audit régulier, au moins une fois par an, de l'ensemble des profils ou des autorisations attribués au personnel et des procédures de gestion des profils attribués ?</t>
  </si>
  <si>
    <t>09A03-01</t>
  </si>
  <si>
    <t>09A03-02</t>
  </si>
  <si>
    <r>
      <t xml:space="preserve">A-t-on mis en place un service dédié à la collecte et au traitement des messages indésirables ?
</t>
    </r>
    <r>
      <rPr>
        <i/>
        <sz val="8"/>
        <rFont val="Arial"/>
        <family val="2"/>
      </rPr>
      <t>Les messages indésirables (spams, virus, fausses alertes de virus, etc...) doivent être immédiatement envoyés à ce service, qui évaluera la menace et mettra en place les contre-mesures : filtrage spécifique, information interne, etc...</t>
    </r>
  </si>
  <si>
    <t>Ces profils et l'attribution de droits d'accès aux différents profils, en fonction du contexte, ont-ils reçu l'approbation des propriétaires d'information et du RSSI ?</t>
  </si>
  <si>
    <t>Y a-t-il un processus d'annulation systématique des droits privilégiés lors de changement de fonction ou de mutation de personnel ?</t>
  </si>
  <si>
    <t>A-t-on examiné les conséquences de ces modifications sur la maintenance assurée par l'éditeur ?</t>
  </si>
  <si>
    <t>10B</t>
  </si>
  <si>
    <t>Sécurité des processus de développement et de maintenance</t>
  </si>
  <si>
    <t>10B01-01</t>
  </si>
  <si>
    <t>Les actions de ce programme font-elles l'objet d'une évaluation et d'une analyse de leurs résultats ?</t>
  </si>
  <si>
    <t>Détection et réactions aux incidents</t>
  </si>
  <si>
    <t>A-t-on mis en œuvre les procédures et mesures permettant de détecter et réagir rapidement aux incidents de sécurité ?</t>
  </si>
  <si>
    <t>14C</t>
  </si>
  <si>
    <t>Mise sous Contrôle du système de management</t>
  </si>
  <si>
    <t>14C01</t>
  </si>
  <si>
    <t>Contrôle de l'exécution des procédures et des mesures de sécurité</t>
  </si>
  <si>
    <t>14C01-01</t>
  </si>
  <si>
    <t>Y a-t-il un audit régulier, au moins une fois par an, de l'ensemble des droits attribués à chaque profil d'accès et des procédures de gestion des profils ?</t>
  </si>
  <si>
    <t>03A06-05</t>
  </si>
  <si>
    <t>La sécurité des équipements de servitude (détection de panne ou d'inhibition, procédures d'intervention, etc.) fait-elle l'objet d'un audit régulier ?</t>
  </si>
  <si>
    <t>03B</t>
  </si>
  <si>
    <t>Contrôle d'accès aux locaux sensibles (hors zones de bureaux)</t>
  </si>
  <si>
    <t>03B01-01</t>
  </si>
  <si>
    <t>9.1.2</t>
  </si>
  <si>
    <t>03B01-02</t>
  </si>
  <si>
    <t>A-t-on recensé et classifié tous les types de locaux sensibles ?</t>
  </si>
  <si>
    <r>
      <t xml:space="preserve">A-t-on fait une étude avec l'ensemble des utilisateurs afin de définir pour chaque fichier la durée maximale admissible entre deux sauvegardes ?
</t>
    </r>
    <r>
      <rPr>
        <i/>
        <sz val="8"/>
        <rFont val="Arial"/>
        <family val="2"/>
      </rPr>
      <t>Cette étude qui se base sur la capacité de reconstitution des informations perdues permet de définir le cycle de sauvegarde minimum.</t>
    </r>
  </si>
  <si>
    <t>Les accès aux archives, par le personnel de gestion des archives, fait-il lui-même l'objet d'une authentification forte ?</t>
  </si>
  <si>
    <t>Les locaux d'archivage sont-ils sous vidéosurveillance permanente ?</t>
  </si>
  <si>
    <t>09A02-08</t>
  </si>
  <si>
    <t>Authentification de l'utilisateur ou de l'entité demandant un accès</t>
  </si>
  <si>
    <t>09A03-09</t>
  </si>
  <si>
    <t>09A03-10</t>
  </si>
  <si>
    <t>09B03-09</t>
  </si>
  <si>
    <t>Les paramètres de ces contrôles sont-ils dans des tables séparées du code de l'application et facilement vérifiables ?</t>
  </si>
  <si>
    <t>01D03</t>
  </si>
  <si>
    <t>01D04</t>
  </si>
  <si>
    <t>Assurance Perte de Personnages clés</t>
  </si>
  <si>
    <t>01E01</t>
  </si>
  <si>
    <t>Prise en compte des besoins de continuité de l'activité</t>
  </si>
  <si>
    <t>01E02</t>
  </si>
  <si>
    <t>Plans de continuité de l'activité</t>
  </si>
  <si>
    <t>02A01</t>
  </si>
  <si>
    <r>
      <t xml:space="preserve">A-t-on établi une liste des logiciels autorisés sur les postes de travail des utilisateurs ?
</t>
    </r>
    <r>
      <rPr>
        <i/>
        <sz val="8"/>
        <rFont val="Arial"/>
        <family val="2"/>
      </rPr>
      <t>Cette liste devrait comprendre les versions de référence autorisées et éventuellement les options de paramétrage.</t>
    </r>
  </si>
  <si>
    <r>
      <t xml:space="preserve">A-t-on établi une liste des matériels additionnels autorisés sur les postes de travail des utilisateurs ?
</t>
    </r>
    <r>
      <rPr>
        <i/>
        <sz val="8"/>
        <rFont val="Arial"/>
        <family val="2"/>
      </rPr>
      <t>Cette liste devrait comprendre les versions de référence autorisées et éventuellement les options de paramétrage.</t>
    </r>
  </si>
  <si>
    <r>
      <t xml:space="preserve">Le site est-il complètement clos par une enceinte difficile à franchir ?
</t>
    </r>
    <r>
      <rPr>
        <i/>
        <sz val="8"/>
        <rFont val="Arial"/>
        <family val="2"/>
      </rPr>
      <t>S'il s'agit d'un immeuble sur la voie publique, pour être considéré comme clos, toutes les fenêtres du rez-de-chaussée doivent être bloquées fermées et toutes les voies d'accès doivent être prises en compte (garages ou sous-sols, toiture, etc.).</t>
    </r>
  </si>
  <si>
    <t>Existe-t-il un document définissant les procédures de sécurité additionnelles à appliquer en ce qui concerne l'informatique mobile et le télétravail ?</t>
  </si>
  <si>
    <t>01B02-09</t>
  </si>
  <si>
    <t>Les outils ou utilitaires sensibles d'un profil ne sont-ils utilisables que par les titulaires du profil correspondant, après authentification individuelle forte (carte à puce, jeton, etc.) ?</t>
  </si>
  <si>
    <t>08A02-05</t>
  </si>
  <si>
    <t>08A02-06</t>
  </si>
  <si>
    <t>08A02-07</t>
  </si>
  <si>
    <t>08A02-08</t>
  </si>
  <si>
    <t>07A04</t>
  </si>
  <si>
    <t>Filtrage des accès et gestion des associations</t>
  </si>
  <si>
    <t>07B01</t>
  </si>
  <si>
    <t>A-t-on introduit, dans les règles de définition des droits d'accès (qui déterminent les droits attribués à un profil), des paramètres variables en fonction du contexte, en particulier la localisation du poste du demandeur (réseau interne, étendu, externe), la nature de la connexion utilisée (LAN, LS, Internet, type de protocoles, etc.) ou la classification du sous-réseau demandé ?</t>
  </si>
  <si>
    <t>Les profils d'accès permettent-ils également de définir des créneaux horaires et des calendriers de travail (heures début et fin de journée, week-end, vacances, etc.) ?</t>
  </si>
  <si>
    <r>
      <t xml:space="preserve">Les processus de définition et de gestion des droits attribués aux profils sont-ils sous contrôle strict ?
</t>
    </r>
    <r>
      <rPr>
        <i/>
        <sz val="8"/>
        <rFont val="Arial"/>
        <family val="2"/>
      </rPr>
      <t>Un contrôle strict requiert que la liste des personnes habilitées à changer les droits attribués aux profils d'accès soit très limitée, que la matérialisation de ces droits sous forme de tables soit strictement sécurisée lors de leur transmission et de leur stockage et qu'il existe un contrôle d'accès renforcé pour pouvoir les modifier, et que les modifications soient journalisées et auditées.</t>
    </r>
  </si>
  <si>
    <r>
      <t xml:space="preserve">Le processus d'authentification des entités sensibles accédées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</si>
  <si>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t>min(08D06;09E02)</t>
  </si>
  <si>
    <t>max(07D01;08D01)</t>
  </si>
  <si>
    <t>Gestion et traitement des incidents systèmes et applicatifs</t>
  </si>
  <si>
    <t>08F01</t>
  </si>
  <si>
    <t>La protection des circuits et des équipements contre la foudre fait-elle l'objet d'un audit régulier ?</t>
  </si>
  <si>
    <t>03A06-01</t>
  </si>
  <si>
    <t>03A06-02</t>
  </si>
  <si>
    <t>Ces équipements sont-ils couverts par un contrat de maintenance adapté aux exigences du service attendu ?</t>
  </si>
  <si>
    <t>03A06-03</t>
  </si>
  <si>
    <t xml:space="preserve">Possibilité de perte de données en transit ou messages </t>
  </si>
  <si>
    <t>Usurpation</t>
  </si>
  <si>
    <t>Faux message émis par un membre du personnel usurpant l'identité d'une personne (ou d'un serveur) accréditée avec falsification de signature</t>
  </si>
  <si>
    <t>Ecran</t>
  </si>
  <si>
    <t>Message</t>
  </si>
  <si>
    <t>Transaction</t>
  </si>
  <si>
    <t>Rejeu</t>
  </si>
  <si>
    <t>Courrier papier</t>
  </si>
  <si>
    <t>Services de publication d'informations sur un site web interne ou public</t>
  </si>
  <si>
    <t>Pollution</t>
  </si>
  <si>
    <t>Un comité relevant des instances dirigeantes est-il chargé d'élaborer les orientations en matière de Sécurité des personnes et de protection de l'environnement  et d'étudier périodiquement les problématiques qui y sont  liées ?</t>
  </si>
  <si>
    <t>08A07-07</t>
  </si>
  <si>
    <t>08A07-08</t>
  </si>
  <si>
    <t>08A07-09</t>
  </si>
  <si>
    <t>08A07-10</t>
  </si>
  <si>
    <t>L'ensemble des procédures de gestion de la télémaintenance fait-il l'objet d'un audit régulier ?</t>
  </si>
  <si>
    <t>08A08-01</t>
  </si>
  <si>
    <t>08A08-02</t>
  </si>
  <si>
    <t>08A08-03</t>
  </si>
  <si>
    <t>08A08-04</t>
  </si>
  <si>
    <t>Applicabilité de la politique relative à la Prp</t>
  </si>
  <si>
    <t>Applicabilité de la politique relative à la Communication financière</t>
  </si>
  <si>
    <t>Applicabilité de la politique relative à la Vérification de la comptabilité informatisée</t>
  </si>
  <si>
    <t>Applicabilité de la politique relative à la Protection de la propriété intellectuelle</t>
  </si>
  <si>
    <t xml:space="preserve">Applicabilité de la politique relative à la Protection des systèmes informatisés </t>
  </si>
  <si>
    <t xml:space="preserve">Applicabilité de la politique relative à la Sécurité des personnes et protection de l'environnement </t>
  </si>
  <si>
    <t>à une attaque en déni de service (par ex. par tentatives malveillantes répétées de login)</t>
  </si>
  <si>
    <t>max(min(07A03;07A04;08F02);min(09A03;09A04))</t>
  </si>
  <si>
    <t>à une impossibilité d'accéder aux locaux (cause externe)</t>
  </si>
  <si>
    <t>08E01-06</t>
  </si>
  <si>
    <t>08E01-07</t>
  </si>
  <si>
    <t>08E01-08</t>
  </si>
  <si>
    <t>08E01-09</t>
  </si>
  <si>
    <t>08C03-02</t>
  </si>
  <si>
    <t>08C03-03</t>
  </si>
  <si>
    <t>05A03-05</t>
  </si>
  <si>
    <t>14A</t>
  </si>
  <si>
    <t>Planification du système de management</t>
  </si>
  <si>
    <t>14A01</t>
  </si>
  <si>
    <t>Définition du périmètre du SMSI</t>
  </si>
  <si>
    <t>Ce contrat couvre-t-il tous les frais supplémentaires d'exploitation et de fonctionnement (prise en charge des frais et dépenses qui continuent à courir, des frais exposés pour éviter ou limiter l'arrêt de l'activité) ?</t>
  </si>
  <si>
    <t>01D01-06</t>
  </si>
  <si>
    <t xml:space="preserve">Existe-t-il des contrats de maintenance particuliers pour tous les logiciels (systèmes, middleware et progiciels) demandant une disponibilité telle que la maintenance courante ne pourrait s'effectuer dans des délais acceptables ? </t>
  </si>
  <si>
    <t>08D02-05</t>
  </si>
  <si>
    <t>Existe-t-il une procédure et une clause contractuelle vis-à-vis du personnel de maintenance (interne et externe), spécifiant que tout support ayant contenu des informations sensibles doit être détruit en cas de mise au rebut ?</t>
  </si>
  <si>
    <t>06A07-03</t>
  </si>
  <si>
    <t>Existe-t-il une procédure de vérification de l'intégrité des systèmes après intervention de la maintenance (absence de logiciel espion, absence de cheval de Troie, etc.) ?</t>
  </si>
  <si>
    <t>06A07-04</t>
  </si>
  <si>
    <t>06A07-05</t>
  </si>
  <si>
    <t>Les procédures ci-dessus font-elles l'objet d'un audit régulier ?</t>
  </si>
  <si>
    <t>06A08-01</t>
  </si>
  <si>
    <t>06A08-02</t>
  </si>
  <si>
    <t>06A08-03</t>
  </si>
  <si>
    <t>06B</t>
  </si>
  <si>
    <t>Paramétrage et contrôle des configurations matérielles et logicielles</t>
  </si>
  <si>
    <t>06B01-01</t>
  </si>
  <si>
    <t>06B01-02</t>
  </si>
  <si>
    <t>S04-D</t>
  </si>
  <si>
    <t>Indisponibilité de service systèmes communs : messagerie, archivage, impression, édition, etc.</t>
  </si>
  <si>
    <t xml:space="preserve"> de services systèmes communs</t>
  </si>
  <si>
    <t xml:space="preserve">Serveur </t>
  </si>
  <si>
    <t>S05-D</t>
  </si>
  <si>
    <t xml:space="preserve"> de services de publication d'informations sur un site web interne ou public</t>
  </si>
  <si>
    <t>F07-ER2</t>
  </si>
  <si>
    <t>F07-MA2</t>
  </si>
  <si>
    <t>F07-AC1</t>
  </si>
  <si>
    <t>Localisation des locaux sensibles</t>
  </si>
  <si>
    <t>03C01</t>
  </si>
  <si>
    <t>Prévention des risques de dégâts des eaux</t>
  </si>
  <si>
    <t>03C02</t>
  </si>
  <si>
    <t>Détection des dégâts des eaux</t>
  </si>
  <si>
    <t>03C03</t>
  </si>
  <si>
    <t>03D01</t>
  </si>
  <si>
    <t>Prévention des risques d'incendie</t>
  </si>
  <si>
    <t>03D02</t>
  </si>
  <si>
    <t>Détection d'incendie</t>
  </si>
  <si>
    <t>Utilise-t-on des contrôles d'accès applicatifs permettant de limiter la visibilité et l'accès aux informations les plus sensibles ?</t>
  </si>
  <si>
    <t>09A04-08</t>
  </si>
  <si>
    <t>09A04-09</t>
  </si>
  <si>
    <t>09A04-10</t>
  </si>
  <si>
    <t>09B</t>
  </si>
  <si>
    <t>Contrôle de l'intégrité des données</t>
  </si>
  <si>
    <t>09B01-01</t>
  </si>
  <si>
    <t>A-t-on défini les fichiers sensibles devant être protégés par des solutions de scellement et mis en place de telles solutions au niveau applicatif ?</t>
  </si>
  <si>
    <t>09B01-02</t>
  </si>
  <si>
    <t>14A04-05</t>
  </si>
  <si>
    <t>14A04-06</t>
  </si>
  <si>
    <t>La méthode permet-elle d'effectuer l'identification des actifs en liaison avec les propriétaires de données et de processus ?</t>
  </si>
  <si>
    <t>14A05</t>
  </si>
  <si>
    <t>Analyse et évaluation des risques</t>
  </si>
  <si>
    <t>14A05-01</t>
  </si>
  <si>
    <t>14A05-02</t>
  </si>
  <si>
    <t>Existe-t-il un programme de formation du personnel aux règles et mesures générales de protection de l'information ?</t>
  </si>
  <si>
    <t>01C04-04</t>
  </si>
  <si>
    <t>La méthode fournit-elle les éléments permettant d'évaluer la potentialité de chaque scénario de risque ?</t>
  </si>
  <si>
    <t>14A05-03</t>
  </si>
  <si>
    <t>09E02-10</t>
  </si>
  <si>
    <t>09E03-01</t>
  </si>
  <si>
    <t>09E03-02</t>
  </si>
  <si>
    <t>min(03A01;03A04)</t>
  </si>
  <si>
    <t>Les règles concernant le retour à l'entreprise ou à l'organisation des biens confiés au personnel, lors de cessation ou de changement d'activité, sont-elles clairement définies et précisées au management ?</t>
  </si>
  <si>
    <t>8.3.2</t>
  </si>
  <si>
    <t>01B04-06</t>
  </si>
  <si>
    <t>Les procédures de contrôle de la circulation des visiteurs et des prestataires occasionnels font-elles régulièrement l'objet d'un audit ?</t>
  </si>
  <si>
    <t>11B</t>
  </si>
  <si>
    <t>11B01-01</t>
  </si>
  <si>
    <t>08C01-02</t>
  </si>
  <si>
    <t>La sortie des supports de la médiathèque est-elle systématiquement enregistrée (date et heure, personne responsable du média, etc.) ?</t>
  </si>
  <si>
    <t>08C01-03</t>
  </si>
  <si>
    <t>04A06-04</t>
  </si>
  <si>
    <t>Tableau des événements : types et exposition naturelle</t>
  </si>
  <si>
    <t>Existe-t-il un comité ou une structure regroupant l'ensemble des responsables de sécurité, tous domaines confondus, en charge de coordonner les diverses actions et de prendre toute décision transverse, et se réunissant régulièrement ?</t>
  </si>
  <si>
    <t>03D02-04</t>
  </si>
  <si>
    <t>max(02C03;02D02)</t>
  </si>
  <si>
    <t>max(02A02;02C03;02D02)</t>
  </si>
  <si>
    <t>max(02D02;min(02C01;02C02;02C03))</t>
  </si>
  <si>
    <t>max(02D02;min(02C01;02C02;02C06))</t>
  </si>
  <si>
    <t>max(11B01;11C04)</t>
  </si>
  <si>
    <t>max(min(08F02;07A03;07A04);11C01;11C04)</t>
  </si>
  <si>
    <t>F07-ER1</t>
  </si>
  <si>
    <t>F07-MA1</t>
  </si>
  <si>
    <t>Perte de données ou de documents en transit</t>
  </si>
  <si>
    <t>AB.P</t>
  </si>
  <si>
    <t>AB.P.Per</t>
  </si>
  <si>
    <t>AB.S.Ene</t>
  </si>
  <si>
    <t>AB.S.Loc</t>
  </si>
  <si>
    <t>min(03B03;03B04)</t>
  </si>
  <si>
    <t>MA.L.Rej</t>
  </si>
  <si>
    <t>Rejeu de transaction</t>
  </si>
  <si>
    <t>Destruction logique totale (fichiers et leurs sauvegardes)</t>
  </si>
  <si>
    <t>Actifs de type Processus de management</t>
  </si>
  <si>
    <t>Effacement généralisé par erreur de programmes</t>
  </si>
  <si>
    <t>Postes de travail</t>
  </si>
  <si>
    <t>Inexploitabilité accidentelle de media support de programmes</t>
  </si>
  <si>
    <t>Divulgation de données</t>
  </si>
  <si>
    <t>Divulgation de données après consultation</t>
  </si>
  <si>
    <r>
      <t xml:space="preserve">A-t-on défini, pour chaque scénario et en accord avec les utilisateurs, un échéancier des services minimum à assurer en fonction du temps ?
</t>
    </r>
    <r>
      <rPr>
        <i/>
        <sz val="8"/>
        <rFont val="Arial"/>
        <family val="2"/>
      </rPr>
      <t>Les services à assurer sont à considérer qualitativement et quantitativement (pourcentage du parc à remettre en opération)</t>
    </r>
  </si>
  <si>
    <r>
      <t xml:space="preserve">Y a-t-il un processus strictement contrôlé (voir ci-dessus) permettant de déléguer ses propres autorisations, en tout ou en partie, à une personne de son choix, pour une période déterminée (en cas d'absence) ?
</t>
    </r>
    <r>
      <rPr>
        <i/>
        <sz val="8"/>
        <rFont val="Arial"/>
        <family val="2"/>
      </rPr>
      <t>Dans ce cas, les autorisations déléguées ne doivent plus être autorisées à la personne qui les a déléguées. Cette dernière doit cependant avoir la possibilité de les reprendre, en annulant ou en suspendant la délégation.</t>
    </r>
  </si>
  <si>
    <t>Les paramétrages de sécurité et règles de configuration (suppression de tout compte générique, changement de tout mot de passe générique, fermeture de tout port non explicitement demandé et autorisé, paramétrages du contrôle des droits et de l'authentification, contrôles des tables de routage, etc.) font-ils l'objet d'une liste précise tenue à jour ?</t>
  </si>
  <si>
    <t>L'application des mesures correspondantes est-elle contrôlée ?</t>
  </si>
  <si>
    <t>Cette convention de service prévoit-elle les conditions d'escalade en cas de difficulté d'intervention et les possibilités et conditions d'appel aux meilleurs spécialistes ?</t>
  </si>
  <si>
    <t>10A04-04</t>
  </si>
  <si>
    <t>10A04-05</t>
  </si>
  <si>
    <t>Ce programme tient-il compte des problématiques en matière de Communication financière propres à l'utilisation des systèmes informatiques et de télécommunication?</t>
  </si>
  <si>
    <t>Ce programme inclut-il une formation ou une sensibilisation aux conséquences possibles de non-respect des dispositions légales en matière de Communication financière?</t>
  </si>
  <si>
    <t>01B04-01</t>
  </si>
  <si>
    <t>7.1.1</t>
  </si>
  <si>
    <t>01B04-02</t>
  </si>
  <si>
    <t>Tient-on à jour un inventaire des types d'actifs tels qu'identifiés et définis ci-dessus ?</t>
  </si>
  <si>
    <t>01B04-03</t>
  </si>
  <si>
    <t>7.1.2</t>
  </si>
  <si>
    <t>01B04-04</t>
  </si>
  <si>
    <t>01B04-05</t>
  </si>
  <si>
    <t>La méthode permet-elle de décrire précisément les scénarios exploitant les menaces et les vulnérabilités ?</t>
  </si>
  <si>
    <t>Les paramétrages de sécurité et règles de configuration (suppression de tout compte générique, changement de tout mot de passe générique, fermeture de tout port non explicitement demandé et autorisé, paramétrages du contrôle des droits et de l'authentification, etc.) font-ils l'objet d'une liste précise tenue à jour ?</t>
  </si>
  <si>
    <t>01C01-01:05</t>
  </si>
  <si>
    <t>Relations avec les autorités</t>
  </si>
  <si>
    <t>01C05-04:05</t>
  </si>
  <si>
    <t>01B04-01:02</t>
  </si>
  <si>
    <t>Classification des informations</t>
  </si>
  <si>
    <t>Sélection</t>
  </si>
  <si>
    <t>01C03-02:04</t>
  </si>
  <si>
    <t>8.1.3</t>
  </si>
  <si>
    <t>01C01-01:02</t>
  </si>
  <si>
    <t>Pendant la durée du contrat</t>
  </si>
  <si>
    <t>Responsabilités de la direction</t>
  </si>
  <si>
    <r>
      <t xml:space="preserve">Un contrôle des procédures édictées pour les archivages est-il effectué régulièrement et toute déviation est-elle remontée aux propriétaires des données ?
</t>
    </r>
    <r>
      <rPr>
        <i/>
        <sz val="8"/>
        <rFont val="Arial"/>
        <family val="2"/>
      </rPr>
      <t>Ces contrôles doivent aussi chercher à éliminer les possibilités de fraudes  impliquant des employés chargés des opérations ou pouvant avoir accès aux supports et aux contenus.</t>
    </r>
  </si>
  <si>
    <r>
      <t xml:space="preserve">L'organisation dispose-t-elle d'éléments permettant de sélectionner les mesures de sécurité les plus appropriées ?
</t>
    </r>
    <r>
      <rPr>
        <i/>
        <sz val="8"/>
        <rFont val="Arial"/>
        <family val="2"/>
      </rPr>
      <t>La méthode utilisée doit permettre de proposer des axes d'amélioration pour chaque situation de risque et d'optimiser les mesures à prendre en fonction des objectifs et des contraintes de l'organisation</t>
    </r>
  </si>
  <si>
    <r>
      <t>Déploiement du système de management</t>
    </r>
    <r>
      <rPr>
        <b/>
        <strike/>
        <sz val="10"/>
        <rFont val="Arial"/>
        <family val="2"/>
      </rPr>
      <t xml:space="preserve"> </t>
    </r>
  </si>
  <si>
    <t xml:space="preserve">A-t-on fait le choix d'une méthode d'appréciation des risques conforme aux exigences de l'organisation ? </t>
  </si>
  <si>
    <t>Plans de Reprise de l'Environnement de Travail (PRET)</t>
  </si>
  <si>
    <r>
      <t xml:space="preserve">Les modifications résultant des évolutions technologiques et réglementaires, pouvant affecter le contenu comme les supports d'archivage, sont-elles prises en compte, documentées et acceptées par la Direction ?
</t>
    </r>
    <r>
      <rPr>
        <i/>
        <sz val="8"/>
        <rFont val="Arial"/>
        <family val="2"/>
      </rPr>
      <t>Ces évolutions sont inévitables sur le long terme et leur prise en compte doit respecter toutes les règles externes afin de garantir la conformité des données aux originaux.</t>
    </r>
  </si>
  <si>
    <t>A-t-on établi une politique de gestion des droits d'accès aux données et à l'information s'appuyant sur une analyse préalable des exigences de sécurité, basées sur les enjeux de l'activité ?</t>
  </si>
  <si>
    <t>Est-il possible d'introduire, dans les règles de définition des droits d'accès (qui déterminent les droits attribués à un profil), des paramètres variables en fonction du contexte tels que la localisation du demandeur ou les réseaux utilisés, ou en fonction des moyens utilisés (protocoles, chiffrement, etc.) ou de la classification des ressources accédées ?</t>
  </si>
  <si>
    <t xml:space="preserve">Y a-t-il un processus de mise à jour systématique de la table des autorisations d'accès lors de départs de personnel (interne ou externe à l'entreprise) ? </t>
  </si>
  <si>
    <t>MinV1</t>
  </si>
  <si>
    <t>MinV2</t>
  </si>
  <si>
    <t>MinV3</t>
  </si>
  <si>
    <t>MinV4</t>
  </si>
  <si>
    <t>MaxV1</t>
  </si>
  <si>
    <t>MaxV2</t>
  </si>
  <si>
    <t>MaxV3</t>
  </si>
  <si>
    <t>MaxV4</t>
  </si>
  <si>
    <t>Les procédures et les instructions relatives à la sécurité de la messagerie électronique et des échanges électroniques d'information sont-elles régulièrement auditées ?</t>
  </si>
  <si>
    <t>Données en transit, messages, écrans</t>
  </si>
  <si>
    <t>La procédure permettant de redonner un authentifiant à un utilisateur qui a perdu le sien (mot de passe, jeton d'authentification, etc.) permet-elle de neutraliser instantanément l'ancien authentifiant ?</t>
  </si>
  <si>
    <t>Indisponibilité de services d'interfADe ou de terminaux mis à la disposition des utilisateurs (PC, imprimantes locales, périphériques, interfADes spécifiques, etc.)</t>
  </si>
  <si>
    <r>
      <t xml:space="preserve">Les exigences d'archivage externes (légales et réglementaires) et internes sont-elles définies et prises en compte par l'entité propriétaire des données et acceptées par la direction de l'entité au plus haut niveau ?
</t>
    </r>
    <r>
      <rPr>
        <i/>
        <sz val="8"/>
        <rFont val="Arial"/>
        <family val="2"/>
      </rPr>
      <t>Les conséquences (juridiques, financières, d'image) d'un non respect (partiel ou total) des exigences d'archivage doivent être avalisées par la Direction Générale.</t>
    </r>
  </si>
  <si>
    <t>Les clauses contractuelles ou une procédure annexe précisent-elles les conditions de rappel ou de restitution des supports stockés garantissant que la personne à laquelle sont restitués les supports en a bien l'autorisation, ceci même en cas de procédure d'urgence ?</t>
  </si>
  <si>
    <t>08C04-05</t>
  </si>
  <si>
    <t>08C04-06</t>
  </si>
  <si>
    <t>08C04-07</t>
  </si>
  <si>
    <t>Procède-t-on périodiquement à un audit des clauses contractuelles régissant les rapports avec la société assurant le stockage externe des archives et sauvegardes ?</t>
  </si>
  <si>
    <t>08C05-01</t>
  </si>
  <si>
    <t>08C05-02</t>
  </si>
  <si>
    <t>08C05-03</t>
  </si>
  <si>
    <t xml:space="preserve">Vérifie-t-on régulièrement la compatibilité technique des supports archivés avec les moyens de restitution opérationnels ? </t>
  </si>
  <si>
    <t>08C05-04</t>
  </si>
  <si>
    <r>
      <t>La méthode retenue comporte-t-elle des métriques précises conduisant à une estimation rationnelle et reproductible des risques ?
La gravité de c</t>
    </r>
    <r>
      <rPr>
        <i/>
        <sz val="8"/>
        <rFont val="Arial"/>
        <family val="2"/>
      </rPr>
      <t>haque risque analysé étant située dans une échelle précédemment établie.</t>
    </r>
  </si>
  <si>
    <t>Plan de sauvegardes des données utilisateurs stockées sur les postes de travail</t>
  </si>
  <si>
    <t>11D05-01</t>
  </si>
  <si>
    <t>11D05-02</t>
  </si>
  <si>
    <t>13E</t>
  </si>
  <si>
    <t>13E01-01</t>
  </si>
  <si>
    <t>13E01-02</t>
  </si>
  <si>
    <t>Les procédures de détection d'anomalies et la disponibilité de l'équipe de surveillance font-elles l'objet d'un audit régulier ?</t>
  </si>
  <si>
    <t>06A02-05</t>
  </si>
  <si>
    <t xml:space="preserve">Existe-t-il une procédure garantissant, en cas de mise au rebut, la non divulgation des informations sensibles jusqu'à la destruction de leur support ? </t>
  </si>
  <si>
    <t>07B01-09</t>
  </si>
  <si>
    <t>Ces règles précisent-elles les contrôles à effectuer sur les configurations des postes utilisateurs ?</t>
  </si>
  <si>
    <t>04B01-09</t>
  </si>
  <si>
    <t>Ces règles définissent-elles les mesures nécessaires pour la gestion des anomalies et incidents ?</t>
  </si>
  <si>
    <t>04B01-10</t>
  </si>
  <si>
    <t>Les paramètres définissant les alarmes sont-ils strictement protégés (droits limités et authentification forte) contre tout changement illicite ?</t>
  </si>
  <si>
    <t>04D01-08</t>
  </si>
  <si>
    <r>
      <t xml:space="preserve">Ce périmètre intègre-t-il les processus et les actifs dont l'importance est reconnue comme vitale pour l'organisation ?
</t>
    </r>
    <r>
      <rPr>
        <i/>
        <sz val="8"/>
        <rFont val="Arial"/>
        <family val="2"/>
      </rPr>
      <t>Ce périmètre doit préciser les sites, les unités organisationnelles et les activités concernées ainsi que les interfaces externes. 
Toute exclusion du champ du SMSI doit être documentée et justifiée.</t>
    </r>
  </si>
  <si>
    <t>Panne d'équipement de servitude (alimentation électrique, alimentation en fluide, etc.)</t>
  </si>
  <si>
    <t>Effacement volontaire ou pollution massive de configurations systèmes</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</si>
  <si>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(jeton d'authentification), soit à présenter un caractère biométrique.</t>
    </r>
  </si>
  <si>
    <t>Les paramètres définissant les éléments à enregistrer et les synthèses effectuées sur ces éléments sont-ils strictement protégés (droits limités et authentification forte) contre tout changement illicite ?</t>
  </si>
  <si>
    <t>04D02-07</t>
  </si>
  <si>
    <t>Y a-t-il un enregistrement des visiteurs et prestataires occasionnels permettant de vérifier a posteriori la réalité et l'objet de la visite et a-t-on mis en place une procédure permettant de détecter des abus éventuels ?</t>
  </si>
  <si>
    <t>Procède-t-on périodiquement à des tests de relecture des supports d'archivage ?</t>
  </si>
  <si>
    <t>08C05-05</t>
  </si>
  <si>
    <t>Les clauses contractuelles signées avec la société assurant la prestation de stockage externalisé assurent-elles un haut niveau de sécurité du stockage (authentification forte pour les accès, contrôle des issues annexes et de secours, détection d'intrusion, télésurveillance, protection contre les risques naturels, équipe d'intervention, etc.) ?</t>
  </si>
  <si>
    <t>08C04-03</t>
  </si>
  <si>
    <t xml:space="preserve">Lors du transfert de données sensibles sur support informatique pour stockage externe, existe-t-il une procédure imposant des conteneurs haute sécurité  et des convoyeurs accrédités par l'entreprise ? </t>
  </si>
  <si>
    <t>08C04-04</t>
  </si>
  <si>
    <t>04D01-07</t>
  </si>
  <si>
    <t>06A05</t>
  </si>
  <si>
    <t>Gestion des procédures opérationnelles d'exploitation des réseaux</t>
  </si>
  <si>
    <t>06A06</t>
  </si>
  <si>
    <t>06A07</t>
  </si>
  <si>
    <t>Prise en compte de la confidentialité lors des opérations de maintenance sur les équipements de réseau</t>
  </si>
  <si>
    <t>06A08</t>
  </si>
  <si>
    <t>Gestion des contrats de services réseaux</t>
  </si>
  <si>
    <t>Dispose-t-on systématiquement de plusieurs générations de fichiers de sauvegardes afin de pouvoir s'affranchir d'un manque ou d'un illisible, en organisant par exemple une rotation des supports de sauvegarde ?</t>
  </si>
  <si>
    <t>11D04-04</t>
  </si>
  <si>
    <t>Conserve-t-on systématiquement un jeu de sauvegardes trimestrielles ou semestrielles, afin de pouvoir servir d'archives de secours ?</t>
  </si>
  <si>
    <t>11D04-05</t>
  </si>
  <si>
    <t>Assure-t-on une veille technologique en matière de sécurité (participation à des cercles, associations, congrès...) ?</t>
  </si>
  <si>
    <t>01A02-12</t>
  </si>
  <si>
    <t>Y a-t-il un processus d'annulation systématique des droits privilégiés lors de départs de personnel ?</t>
  </si>
  <si>
    <t>La permanence des moyens nécessaires à l'application de la Communication financière fait-elle l'objet d'un audit régulier ?</t>
  </si>
  <si>
    <t>Contrôle de l'application de la politique relative à la Communication financière</t>
  </si>
  <si>
    <t>A-t-on fait une recherche systématique des Points Singuliers de Vulnérabilité ("Single Point of Failure") afin de s'assurer que des équipements, en particulier de servitude, (alimentation en énergie, climatisation, etc.) n'en introduisaient pas ou ne détruisaient pas les redondances prévues au niveau des équipements ou de l'architecture ?</t>
  </si>
  <si>
    <t>25 mars 2010</t>
  </si>
  <si>
    <t>13A01-04</t>
  </si>
  <si>
    <t>13A01-05</t>
  </si>
  <si>
    <t>13A01-06</t>
  </si>
  <si>
    <t>13A01-07</t>
  </si>
  <si>
    <t>13A01-08</t>
  </si>
  <si>
    <t>13A01-09</t>
  </si>
  <si>
    <t>13A01-10</t>
  </si>
  <si>
    <t>13A01-11</t>
  </si>
  <si>
    <t>13A04</t>
  </si>
  <si>
    <t>Y a-t-il un système soutenant la gestion des incidents ?</t>
  </si>
  <si>
    <t>ACTIF</t>
  </si>
  <si>
    <t>MENACE</t>
  </si>
  <si>
    <t>Création de faux (messages ou données)</t>
  </si>
  <si>
    <t>MA.L.Fau</t>
  </si>
  <si>
    <t>Fau</t>
  </si>
  <si>
    <t>création de faux</t>
  </si>
  <si>
    <t>falsification de</t>
  </si>
  <si>
    <t>08H03</t>
  </si>
  <si>
    <t>Gestion de la sécurité des archives</t>
  </si>
  <si>
    <t>Courriel</t>
  </si>
  <si>
    <t>max(min(07A01;07A02);min(09A01;09A02))</t>
  </si>
  <si>
    <t>Mal</t>
  </si>
  <si>
    <t>Mac</t>
  </si>
  <si>
    <t>à une erreur de procédure</t>
  </si>
  <si>
    <t>lors d'une opération de maintenance</t>
  </si>
  <si>
    <t>lors d'une opération de maintenance logicielle</t>
  </si>
  <si>
    <t>07A01</t>
  </si>
  <si>
    <t>Gestion des profils d'accès (droits et privilèges accordés en fonction des profils de fonction)</t>
  </si>
  <si>
    <t>07A02</t>
  </si>
  <si>
    <t>07A03</t>
  </si>
  <si>
    <t>Les visiteurs sont-ils accueillis dans une zone spécifiquement délimitée et ne contenant que des locaux d'accueil, salles de réunions ou zones accessibles au public ?</t>
  </si>
  <si>
    <t>Ces procédures permettent-elles de garantir que l'intervention correspond bien à un besoin exprimé et que le domaine d'intervention est confiné au seul besoin ?</t>
  </si>
  <si>
    <t>A-t-on défini pour chaque cas d'alerte, la réaction attendue de l'équipe de surveillance et sa disponibilité est-elle suffisante pour faire face à cette attente ?</t>
  </si>
  <si>
    <t>04D02-06</t>
  </si>
  <si>
    <t>Effacement généralisé accidentel de configuration (programmes, codes, paramétrage, etc.)</t>
  </si>
  <si>
    <t>F01-ER5</t>
  </si>
  <si>
    <t>Effacement généralisé, par erreur, de configurations (programmes, codes, paramétrage, etc.)</t>
  </si>
  <si>
    <t>F01-EM6</t>
  </si>
  <si>
    <t>13E02</t>
  </si>
  <si>
    <t>Eq.des</t>
  </si>
  <si>
    <t>Eq.hs</t>
  </si>
  <si>
    <t>La permanence des moyens nécessaires à l'application de la Prp fait-elle l'objet d'un audit régulier ?</t>
  </si>
  <si>
    <t xml:space="preserve">Divulgation d'informations, par vol de media support de fichiers </t>
  </si>
  <si>
    <t>pendant le transport entre sites</t>
  </si>
  <si>
    <t>F12-MA2</t>
  </si>
  <si>
    <t xml:space="preserve">Divulgation d'informations, par vol de PC portable contenant des fichiers </t>
  </si>
  <si>
    <t>Document</t>
  </si>
  <si>
    <t>F13</t>
  </si>
  <si>
    <t>F13-MA1</t>
  </si>
  <si>
    <t>F13-MA2</t>
  </si>
  <si>
    <t>F14</t>
  </si>
  <si>
    <t>Divulgation de documents</t>
  </si>
  <si>
    <t>max(10B04;09C02)</t>
  </si>
  <si>
    <t>max(min(07A03;07A04;08F02);min(09A03;09A04;08F02);09B01;09C02)</t>
  </si>
  <si>
    <t>min(07A01;07A02)</t>
  </si>
  <si>
    <t>max(08C03;09C02)</t>
  </si>
  <si>
    <t>max(08C04;09C02)</t>
  </si>
  <si>
    <t>max(min(03B03;03B04);09C02)</t>
  </si>
  <si>
    <t>S02</t>
  </si>
  <si>
    <t>D04</t>
  </si>
  <si>
    <t>Perte</t>
  </si>
  <si>
    <t>D07</t>
  </si>
  <si>
    <t>Transfert</t>
  </si>
  <si>
    <t>MA.L.Fal</t>
  </si>
  <si>
    <t>D08</t>
  </si>
  <si>
    <t>Loc</t>
  </si>
  <si>
    <t>A-t-on fait une analyse approfondie des événements ou succession d'événements pouvant avoir un impact sur la sécurité (connexions refusées, reroutages, reconfigurations, évolutions de performances, accès à des informations ou des outils sensibles, etc.) ?</t>
  </si>
  <si>
    <t>05D02-02</t>
  </si>
  <si>
    <t>05D02-03</t>
  </si>
  <si>
    <t>05D02-04</t>
  </si>
  <si>
    <t>Existe-t-il des détecteurs d'eau à proximité des ressources sensibles (en particulier dans les faux planchers le cas échéant), reliés à un poste permanent de surveillance ?</t>
  </si>
  <si>
    <t>03C02-03</t>
  </si>
  <si>
    <t>max(08B02;08B03;09B05)</t>
  </si>
  <si>
    <t>max(min(07A01;07A02;07A03;07A04);08B02;08B03;09B05)</t>
  </si>
  <si>
    <t>max(08B03;09B05)</t>
  </si>
  <si>
    <t>La documentation est elle mise à jour conformément à une règle de suivi des mises à jour précise (numérotation des versions de documents) ?</t>
  </si>
  <si>
    <t>D06</t>
  </si>
  <si>
    <t>Données</t>
  </si>
  <si>
    <t>Les responsabilités et les procédures sont-elles établies afin de fournir rapidement des solutions effectives aux incidents de sécurité ?</t>
  </si>
  <si>
    <t>01A02-13</t>
  </si>
  <si>
    <t>Ces directives sont-elles explicites quant à l'interdiction d'utiliser des logiciels sans licence en règle et aux limitations de copie des logiciels, des enregistrements (vidéo, audio) commerciaux et des documents ?</t>
  </si>
  <si>
    <t>Précise-t-elle de façon très claire et concise les engagements de la Direction de l'organisation en matière de sécurité de l'information ?</t>
  </si>
  <si>
    <t>Les objectifs de réduction et de gestion des risques sont-ils clairement établis ?</t>
  </si>
  <si>
    <t>La méthode permet-elle d'analyser les exigences de sécurité de l'information pour chaque actif, en fonction de l'activité et du respect des lois en vigueur  ?</t>
  </si>
  <si>
    <t>La méthode d'analyse des risques permet-elle d'identifier les actifs de support attachés à chaque processus opérationnel et chaque actif primaire ?</t>
  </si>
  <si>
    <t>La méthode permet-elle de distinguer les menaces ainsi que leurs conséquences par rapport aux objectifs de sécurité (ex. Disponibilité, Intégrité, et Confidentialité) ?</t>
  </si>
  <si>
    <t>La méthode permet-elle d'évaluer précisément les impacts sur l'activité pour chaque scénario (affectant un critère et un actif précis) ?</t>
  </si>
  <si>
    <t>La méthode d'analyse des risques permet-elle de déterminer les niveaux de réduction d'impact en fonction des mesures de sécurité en place (ou prévues) ?</t>
  </si>
  <si>
    <t>Les mesures de sécurité différées ou non retenues sont-elles documentées ?</t>
  </si>
  <si>
    <t>Un programme de formation et de sensibilisation pour les différents acteurs de la sécurité au sein de l'organisation est-il défini ?</t>
  </si>
  <si>
    <t>Ces procédures permettent-elles aux responsables de déterminer si les procédures ou mesures de sécurité déléguées sont exécutées de façon conforme ?</t>
  </si>
  <si>
    <t>S'assure-t-on que les prestataires ou fournisseurs signalent et documentent tout incident de sécurité touchant l'information ou les systèmes ?</t>
  </si>
  <si>
    <t>Existe-t-il une procédure d'effacement des données avant mise au rebut ou recyclage des supports ?</t>
  </si>
  <si>
    <t>06D01</t>
  </si>
  <si>
    <t>06D02</t>
  </si>
  <si>
    <r>
      <t xml:space="preserve">Conserve-t-on une documentation complète comprenant l’ensemble des systèmes informatiques comptables ?
</t>
    </r>
    <r>
      <rPr>
        <i/>
        <sz val="8"/>
        <rFont val="Arial"/>
        <family val="2"/>
      </rPr>
      <t>La documentation doit comprendre les dossiers suivants : étude de l’organisation informatique, inventaire et description des matériels utilisés, conception générale, spécifications fonctionnelles, réalisation informatique (description des chaînes de traitement, description des données et traitements, code source), maintenance, paramétrage, documentation utilisateur, documentation d'exploitation, procédures de contrôle interne, plan d'archivage.</t>
    </r>
  </si>
  <si>
    <t>Les états et rapports imprimés sont-ils "marqués" anonymement à l'exclusion de toute classification ?</t>
  </si>
  <si>
    <t>L'ensemble des procédures de diffusion des états et rapports imprimés sensibles fait-il l'objet d'un audit régulier ?</t>
  </si>
  <si>
    <t>Gestion des prestataires ou fournisseurs de service liés à la production informatique</t>
  </si>
  <si>
    <t>S'assure-t-on régulièrement que les services de sécurité devant être mis en œuvre par les prestataires ou fournisseurs de services le sont effectivement ?</t>
  </si>
  <si>
    <r>
      <t xml:space="preserve">Les processus qui assurent le filtrage des accès aux objets de développement (documentation et codes)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</si>
  <si>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Si les solutions de secours incluent des livraisons de matériels, qui ne peuvent être déclenchées lors des tests, existe-t-il un contrat d'engagement de livraison des matériels de remplacement dans des délais fixés et prévus au plan de secours, par le constructeur ou un tiers (revendeur, loueur ou fournisseur d'équipement) ?</t>
  </si>
  <si>
    <t>L'existence, la pertinence et la mise à jour des plans de reprise d'activité des services informatiques font-elles l'objet d'un audit régulier ?</t>
  </si>
  <si>
    <r>
      <t xml:space="preserve">Cette authentification forte est-elle la règle aussi bien pour la connexion des administrateurs au système de supervision des machines virtuelles du réseau qu'entre ce système et les équipements de réseau ?
</t>
    </r>
    <r>
      <rPr>
        <i/>
        <sz val="8"/>
        <rFont val="Arial"/>
        <family val="2"/>
      </rPr>
      <t>Si l'administrateur se connecte à un hyperviseur de gestion du réseau (genre HP OpenView, IBM TIVOLI, Unicenter de CA, Patrol de BMC ou Bull OpenMaster) avec une authentification éventuellement forte et un contrôle d'accès réel, il faut également que le contrôle soit effectif, avec la même robustesse, au niveau des différents objets à administrer (en évitant, par ex. en snmp les mots de passe en clair, les groupes community et public par défaut, les accès par telnet ou SQL simple) pour éviter des actions malveillantes directes sur les équipements.</t>
    </r>
  </si>
  <si>
    <t>Enregistre-t-on ces événements (journalisation) ainsi que tous les paramètres utiles à leur analyse ultérieure ?</t>
  </si>
  <si>
    <t>Les outils ou utilitaires sensibles de l'exploitation du réseau (administration des privilèges, gestion des configurations, sauvegardes, copies, reprises à chaud, etc.) sont-ils recensés de manière exhaustive pour chaque type de profil de personnel d'exploitation ?</t>
  </si>
  <si>
    <t>Nota : Les cases grisées correspondent à des cas dans lesquels il n'y a généralement pas de classification à effectuer et pour lesquels il n'y a pas de scénario de risque dans la base Méhari.</t>
  </si>
  <si>
    <t>Existe-t-il un document décrivant la politique de sécurité des systèmes d'information et, en particulier, les principes d'organisation, de gestion et de pilotage de la sécurité (rôles et responsabilités) ainsi que les principes fondamentaux structurant le management de la sécurité de l'information ?</t>
  </si>
  <si>
    <t>A-t-on défini dans le détail la structure et l'organisation de la gestion de la sécurité : RSSI et correspondants ou responsables locaux, rôles et responsabilités respectifs et vis-à-vis des responsables opérationnels, et cette structure est-elle opérationnelle ?</t>
  </si>
  <si>
    <r>
      <t xml:space="preserve">Les mécanismes de scellement sont-ils très solidement protégés contre toute violation ou altération ?
</t>
    </r>
    <r>
      <rPr>
        <i/>
        <sz val="8"/>
        <rFont val="Arial"/>
        <family val="2"/>
      </rPr>
      <t>S'il s'agit de boîtiers de scellement matériels, ils doivent être protégés physiquement de telle sorte qu'il soit impossible d'accéder aux mécanismes de scellement. S'il s'agit de solution logicielle, elle doit comporter elle-même un contrôle d'intégrité.</t>
    </r>
  </si>
  <si>
    <t>02D05-05</t>
  </si>
  <si>
    <t>02D05-06</t>
  </si>
  <si>
    <t>02D05-07</t>
  </si>
  <si>
    <t>02D06-01</t>
  </si>
  <si>
    <t>02D06-02</t>
  </si>
  <si>
    <t>02D06-03</t>
  </si>
  <si>
    <t>02D06-04</t>
  </si>
  <si>
    <t>02D06-05</t>
  </si>
  <si>
    <t>02D06-06</t>
  </si>
  <si>
    <t>02D07-01</t>
  </si>
  <si>
    <t>02D07-02</t>
  </si>
  <si>
    <t>02D07-03</t>
  </si>
  <si>
    <t>02D07-04</t>
  </si>
  <si>
    <t>02D07-05</t>
  </si>
  <si>
    <t>02D07-06</t>
  </si>
  <si>
    <t>02D07-07</t>
  </si>
  <si>
    <t>02D07-08</t>
  </si>
  <si>
    <t>02C02-08</t>
  </si>
  <si>
    <t>02C02-09</t>
  </si>
  <si>
    <t>02C02-10</t>
  </si>
  <si>
    <t>02C04-08</t>
  </si>
  <si>
    <t>02C06</t>
  </si>
  <si>
    <t>02C06-01</t>
  </si>
  <si>
    <t>02C06-02</t>
  </si>
  <si>
    <t>02C06-03</t>
  </si>
  <si>
    <t>02C06-04</t>
  </si>
  <si>
    <t>02C06-05</t>
  </si>
  <si>
    <t>02C06-06</t>
  </si>
  <si>
    <t>02C06-07</t>
  </si>
  <si>
    <t>02C06-08</t>
  </si>
  <si>
    <t xml:space="preserve">Protection de l'information écrite </t>
  </si>
  <si>
    <t>02D07-09</t>
  </si>
  <si>
    <t>02D07-10</t>
  </si>
  <si>
    <t>02D07-11</t>
  </si>
  <si>
    <t>02D07-12</t>
  </si>
  <si>
    <t>02D07-13</t>
  </si>
  <si>
    <t>01E03-01</t>
  </si>
  <si>
    <t>Les procédures de sauvegarde et de conservation des données offrent-elles des garanties de conformité aux régulations et aux engagements de l'organisation en ce qui concerne la confidentialité et l'intégrité ?</t>
  </si>
  <si>
    <t>08D05-12</t>
  </si>
  <si>
    <t>08D05-13</t>
  </si>
  <si>
    <t>08D05-14</t>
  </si>
  <si>
    <t>08D06-01</t>
  </si>
  <si>
    <t>Med.dIs</t>
  </si>
  <si>
    <t xml:space="preserve">Possibilité de duplication ou diffusion (et divulgation) de fichier support de données </t>
  </si>
  <si>
    <t>Fic.dif</t>
  </si>
  <si>
    <t>Dtr.div</t>
  </si>
  <si>
    <t>Divulgation de logiciel</t>
  </si>
  <si>
    <t>Cfl.pol</t>
  </si>
  <si>
    <t>Inefficience</t>
  </si>
  <si>
    <r>
      <t xml:space="preserve">Le processus de création ou de modification d'un 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réemployer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</si>
  <si>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t>Sécurité de l'architecture du réseau étendu et continuité du service</t>
  </si>
  <si>
    <t xml:space="preserve">Questionnaire d'audit : Sécurité des Sites </t>
  </si>
  <si>
    <t>Questionnaire d'audit : Exploitation des réseaux</t>
  </si>
  <si>
    <t>Questionnaire d'audit : Sécurité des Systèmes et de leur architecture</t>
  </si>
  <si>
    <t>Organisation de la gestion des archives informatiques</t>
  </si>
  <si>
    <t>08H01-02</t>
  </si>
  <si>
    <t>08H01-03</t>
  </si>
  <si>
    <t>08H01-04</t>
  </si>
  <si>
    <t>08H01-05</t>
  </si>
  <si>
    <t>Procède-t-on régulièrement à des tests de relecture des archives</t>
  </si>
  <si>
    <t>05A07-03</t>
  </si>
  <si>
    <t>05A07-04</t>
  </si>
  <si>
    <t>05A07-05</t>
  </si>
  <si>
    <t>En cas d'autorisation d'accès au site sur présentation d'un badge ou d'une carte, a-t-on la possibilité immédiate d'en vérifier l'authenticité et la validité ?</t>
  </si>
  <si>
    <t>02A03-06</t>
  </si>
  <si>
    <t>Pollution accidentelle de programmes</t>
  </si>
  <si>
    <t>F01-PM2</t>
  </si>
  <si>
    <t>Pollution malveillante de programmes</t>
  </si>
  <si>
    <t>C05</t>
  </si>
  <si>
    <t>Dis</t>
  </si>
  <si>
    <t>Nombre de scénarios</t>
  </si>
  <si>
    <t>Bug bloquant dans un logiciel système ou un progiciel</t>
  </si>
  <si>
    <t>Bug bloquant dû à une erreur de conception ou d'écriture de programme (interne)</t>
  </si>
  <si>
    <t>Les utilisateurs ont-ils reçu une formation à l'utilisation des moyens de contrôle d'intégrité, leur indiquant, en particulier, les conditions à respecter pour que ce contrôle ne puisse être contourné ?</t>
  </si>
  <si>
    <t>11C04-06</t>
  </si>
  <si>
    <r>
      <t xml:space="preserve">La transmission entre l'utilisateur et les systèmes cibles d'éléments de référence supportant l'authentification fait-elle appel à des mécanismes qui en garantissent l'inviolabilité et l'authenticité ?
</t>
    </r>
    <r>
      <rPr>
        <i/>
        <sz val="8"/>
        <rFont val="Arial"/>
        <family val="2"/>
      </rPr>
      <t>La transmission d'un mot de passe doit être chiffrée ou utiliser un algorithme qui introduise un aléa à chaque transmission.
Dans le cas d'authentification faisant appel à des procédés cryptologiques, le mécanisme doit présenter des garanties de solidité validées par un organisme de référence.</t>
    </r>
  </si>
  <si>
    <t>La procédure permettant de redonner un authentifiant à un utilisateur qui a perdu le sien (mot de passe, jeton, etc.) permet-elle de neutraliser instantanément l'ancien authentifiant ?</t>
  </si>
  <si>
    <t>Tout accès à un système requiert-il la présentation d'un identifiant reconnu par ledit système ?</t>
  </si>
  <si>
    <t>Possibilité d'altération de données en transit ou messages</t>
  </si>
  <si>
    <t>J1</t>
  </si>
  <si>
    <t>Gestion de la conformité</t>
  </si>
  <si>
    <t>04A05-04</t>
  </si>
  <si>
    <t>04A05-05</t>
  </si>
  <si>
    <t>02D01-04</t>
  </si>
  <si>
    <t>02D01-05</t>
  </si>
  <si>
    <t>02D02-01</t>
  </si>
  <si>
    <t>02D02-02</t>
  </si>
  <si>
    <t>02D02-03</t>
  </si>
  <si>
    <t>02D02-04</t>
  </si>
  <si>
    <t>02D02-05</t>
  </si>
  <si>
    <t>02D02-06</t>
  </si>
  <si>
    <t>02D02-07</t>
  </si>
  <si>
    <t>02D02-08</t>
  </si>
  <si>
    <t>02D02-09</t>
  </si>
  <si>
    <t>02D02-10</t>
  </si>
  <si>
    <t>03A</t>
  </si>
  <si>
    <t>Qualité de la fourniture de l'énergie</t>
  </si>
  <si>
    <t>03A01-01</t>
  </si>
  <si>
    <t>9.2.2</t>
  </si>
  <si>
    <t>03A01-02</t>
  </si>
  <si>
    <t>Existe-t-il un recueil regroupant l'ensemble des dispositions légales ou réglementaires relatives à la protection des renseignements personnels ?</t>
  </si>
  <si>
    <t>Les équipements et appareils (sondes) assurant la détection de surcharge et le rééquilibrage du réseau étendu ne sont-ils accessibles que par les administrateurs réseau et sont-ils protégés par un contrôle d'accès renforcé ?</t>
  </si>
  <si>
    <t>04A01-08</t>
  </si>
  <si>
    <t>F03-MA2</t>
  </si>
  <si>
    <t>Vol de media support de programmes</t>
  </si>
  <si>
    <t xml:space="preserve">Prévention :  </t>
  </si>
  <si>
    <t xml:space="preserve">Dissuasion :  </t>
  </si>
  <si>
    <t xml:space="preserve">Confinement :  </t>
  </si>
  <si>
    <t xml:space="preserve">Palliation :  </t>
  </si>
  <si>
    <t>Décision</t>
  </si>
  <si>
    <t>F01-EA1</t>
  </si>
  <si>
    <t>F01-EA2</t>
  </si>
  <si>
    <t>F01-EM1</t>
  </si>
  <si>
    <t>F01-EM2</t>
  </si>
  <si>
    <t>F01-ER1</t>
  </si>
  <si>
    <t>F01-ER2</t>
  </si>
  <si>
    <t>Effacement accidentel de programmes</t>
  </si>
  <si>
    <t>Effacement malveillant de programmes</t>
  </si>
  <si>
    <t>Effacement par erreur de programmes</t>
  </si>
  <si>
    <t>F01-PA1</t>
  </si>
  <si>
    <t>F01-PM1</t>
  </si>
  <si>
    <t>F01-PA2</t>
  </si>
  <si>
    <t>Services à améliorer</t>
  </si>
  <si>
    <t>Maa</t>
  </si>
  <si>
    <t>à une incapacité de la maintenance applicative (panne non réparable ou défaillance du partenaire)</t>
  </si>
  <si>
    <t>Mas</t>
  </si>
  <si>
    <t>11C04-04</t>
  </si>
  <si>
    <t>11C04-05</t>
  </si>
  <si>
    <t>Authentification de l'entité accédée lors des accès sortants vers d'autres entités par le réseau étendu</t>
  </si>
  <si>
    <t>04C01</t>
  </si>
  <si>
    <t>Chiffrement des échanges sur le réseau étendu</t>
  </si>
  <si>
    <t>04C02</t>
  </si>
  <si>
    <t>Tient-on à jour en permanence un inventaire des logiciels officiellement installés et déclarés sur chaque poste de travail ?</t>
  </si>
  <si>
    <t>Les moyens de diagnostic et de pilotage et de reconfiguration du réseau étendu sont-ils protégés contre toute inhibition intempestive ou malveillante ?</t>
  </si>
  <si>
    <t>04A04-06</t>
  </si>
  <si>
    <t>Altération accidentelle (non détectée) de fichiers</t>
  </si>
  <si>
    <t>Altération malveillante (non détectée) de fichiers</t>
  </si>
  <si>
    <t>Des revues d'évaluation des risques sont-elles réalisées régulièrement ?</t>
  </si>
  <si>
    <t>En cas de développement portant sur une application confidentielle, a-t-on mis en place des profils permettant de limiter la diffusion d'information confidentielle aux seules personnes en ayant réellement besoin ?</t>
  </si>
  <si>
    <t>10B02-04</t>
  </si>
  <si>
    <t>12.4.3</t>
  </si>
  <si>
    <t>10B02-05</t>
  </si>
  <si>
    <t>10B02-06</t>
  </si>
  <si>
    <t>R3</t>
  </si>
  <si>
    <t>10B02-07</t>
  </si>
  <si>
    <t>10B02-08</t>
  </si>
  <si>
    <t>Un enregistrement structuré des observations et des incidents de sécurité significatifs est-il réalisé ?</t>
  </si>
  <si>
    <t>14D</t>
  </si>
  <si>
    <t>F06-MA4</t>
  </si>
  <si>
    <t>Les systèmes automatiques de contrôle d'accès aux locaux de stockage sont-ils placés sous contrôle permanent opérationnel 24h/24 permettant de diagnostiquer une panne, une désactivation ou l'utilisation d'issues de secours en temps réel ?</t>
  </si>
  <si>
    <t>08C03-06</t>
  </si>
  <si>
    <r>
      <t xml:space="preserve">Le processus de présentation par l'utilisateur de son authentifiant garantit-il son inviolabilité ?
</t>
    </r>
    <r>
      <rPr>
        <i/>
        <sz val="8"/>
        <rFont val="Arial"/>
        <family val="2"/>
      </rPr>
      <t>La frappe d'un mot de passe sera toujours un point faible notable. Les seuls processus qui soient observables sans divulguer d'information consistent soit à introduire un objet contenant un secret (carte à puce) soit à frapper un code qui change à chaque instant (jeton d'authentification), soit à présenter un caractère biométrique.</t>
    </r>
  </si>
  <si>
    <t>Y a-t-il un contrôle systématique du profil du demandeur d'accès, de son contexte et de l'adéquation de ce profil et du contexte avec l'accès demandé ?</t>
  </si>
  <si>
    <t>Teste-t-on régulièrement que les sauvegardes des programmes (sources et/ou exécutables), de leur documentation et de leur paramétrage permettent effectivement de reconstituer à tout moment l'environnement de production  ?</t>
  </si>
  <si>
    <t>Les décisions de changement s'appuient-elles sur des analyses de la capacité des nouveaux équipements et systèmes à assurer la charge  requise en fonction des évolutions des demandes prévisibles ?</t>
  </si>
  <si>
    <t>06A02-03</t>
  </si>
  <si>
    <t>12A04-05</t>
  </si>
  <si>
    <t>12A04-06</t>
  </si>
  <si>
    <t>L'ensemble des sauvegardes et fichiers de configuration permettant de reconstituer l'environnement de production du réseau étendu est-il également sauvegardé en dehors du site de production (sauvegardes de recours) ?</t>
  </si>
  <si>
    <t>04A05-06</t>
  </si>
  <si>
    <t>04A05-07</t>
  </si>
  <si>
    <t>Services de télécommunication (voix, télécopies, visioconférence, etc.)</t>
  </si>
  <si>
    <t>Catégorie : Service</t>
  </si>
  <si>
    <t>Type d'actif secondaire</t>
  </si>
  <si>
    <t>05B04</t>
  </si>
  <si>
    <t>Ces règles et mesures générales couvrent-elles l'ensemble des domaines concernés (documents, micro-informatique, accès aux locaux, systèmes et applications, téléphone et fax, comportements en réunion ou à l'extérieur, etc.) ?</t>
  </si>
  <si>
    <t>01C04-05</t>
  </si>
  <si>
    <t>14C02</t>
  </si>
  <si>
    <t>Grilles d'élaboration des STATUS-P</t>
  </si>
  <si>
    <t>1. Scénarios de type Accident</t>
  </si>
  <si>
    <t>E X P O  = 1</t>
  </si>
  <si>
    <t>E X P O  = 2</t>
  </si>
  <si>
    <t>E X P O  = 3</t>
  </si>
  <si>
    <t>E X P O  = 4</t>
  </si>
  <si>
    <t>S</t>
  </si>
  <si>
    <t>V</t>
  </si>
  <si>
    <t>2. Scénarios de type Erreur</t>
  </si>
  <si>
    <t>3. Scénarios de type action Volontaire</t>
  </si>
  <si>
    <t>N</t>
  </si>
  <si>
    <t xml:space="preserve">  Confinement</t>
  </si>
  <si>
    <t>Les courriers sensibles au départ sont-ils rendus banalisés (double enveloppe, le degré de classification n'étant indiqué que sur l'enveloppe interne) ?</t>
  </si>
  <si>
    <t>Les courriers importants envoyés le sont-ils systématiquement en recommandé avec avis de réception ?</t>
  </si>
  <si>
    <t>L'application des consignes et procédures de sécurisation du courrier est-elle régulièrement auditée ?</t>
  </si>
  <si>
    <t>Ces procédures de Très Haute Sécurité emploient-elles des moyens permettant de reconstituer les données en cas d'erreur ou d'impossibilité de lecture de quelques secteurs ?</t>
  </si>
  <si>
    <t>09D01-04</t>
  </si>
  <si>
    <t>Responsabilités et procédures</t>
  </si>
  <si>
    <t>01E01-01:02</t>
  </si>
  <si>
    <t>Les compétences stratégiques sont-elles régulièrement identifiées ?</t>
  </si>
  <si>
    <t>01C02-02</t>
  </si>
  <si>
    <t>Y a-t-il un audit régulier, au moins une fois par an, de l'application effective des procédures de signature des clauses de confidentialité par le personnel d'exploitation (directement employé par l'entreprise ou par l'intermédiaire d'une société prestataire) ?</t>
  </si>
  <si>
    <t>06A02-01</t>
  </si>
  <si>
    <t xml:space="preserve">Les données sensibles contenues éventuellement sur le poste de travail ou sur un disque logique de données partagées hébergé sur un serveur de données sont-elles chiffrées ? </t>
  </si>
  <si>
    <t>11C02-02</t>
  </si>
  <si>
    <t>09C02-08</t>
  </si>
  <si>
    <t>08H03-09</t>
  </si>
  <si>
    <t>Les conditions de stockage des archives et les systèmes de sécurité associés font-ils l'objet d'audits réguliers ?</t>
  </si>
  <si>
    <t>09A</t>
  </si>
  <si>
    <t>Contrôle d'accès applicatif</t>
  </si>
  <si>
    <t>Courrier électronique</t>
  </si>
  <si>
    <t>à une erreur de l'exploitation</t>
  </si>
  <si>
    <t>Ces procédures sont-elles destinées à détecter rapidement des anomalies dans les résultats des traitements ?</t>
  </si>
  <si>
    <t>14C01-03</t>
  </si>
  <si>
    <t>Les décisions de changements majeurs des équipements et systèmes font-elles l'objet de procédures de contrôle (enregistrement, planning, approbation formelle, communication à l'ensemble des personnes concernées, etc.) ?</t>
  </si>
  <si>
    <t>10.1.2</t>
  </si>
  <si>
    <t>06A02-02</t>
  </si>
  <si>
    <r>
      <t xml:space="preserve">Existe-t-il un système opérationnel de détection de présence en dehors des heures de travail dans les zones de bureaux protégées relié à un poste permanent de surveillance  ?
</t>
    </r>
    <r>
      <rPr>
        <i/>
        <sz val="8"/>
        <rFont val="Arial"/>
        <family val="2"/>
      </rPr>
      <t>Ce système devrait contrôler la présence de personnes (détecteur volumétrique) etc. Il peut également s'agir d'un système de vidéosurveillance relayé à un poste de garde permanent.</t>
    </r>
  </si>
  <si>
    <t>Les locaux de stockage de ces documents sont-ils équipés de contrôle d'accès renforcé et de détection d'intrusion ?</t>
  </si>
  <si>
    <t>L'arrêt des systèmes de sécurité (incendie, dégâts des eaux, contrôle d'accès, détection d'intrusion) déclenchent-ils une alarme auprès d'un centre de surveillance pouvant intervenir rapidement ?</t>
  </si>
  <si>
    <t>Les procédures et instructions de sécurité précisent-elles également les règles de protection applicables aux tablettes, assistants numériques personnels (PDA ou ANP), téléphones pouvant contenir des informations sensibles ?</t>
  </si>
  <si>
    <t>Les services de sécurité contrôlent-ils très régulièrement (rondes quotidiennes) l'application des règles de rangement des documents et supports amovibles divers situés dans les bureaux ?</t>
  </si>
  <si>
    <t>L'intégralité du contenu des corbeilles à papier est-il soumis à une procédure de destruction sécurisée ?</t>
  </si>
  <si>
    <t>10A03-01:05</t>
  </si>
  <si>
    <t>Gestion des vulnérabilités techniques</t>
  </si>
  <si>
    <t>12.6.1</t>
  </si>
  <si>
    <t>Les règles d'appartenance au réseau étendu exigent-elles l'authentification de chaque utilisateur avant tout accès sortant empruntant le réseau étendu ?</t>
  </si>
  <si>
    <t>05B04-02</t>
  </si>
  <si>
    <t>Messagerie électronique</t>
  </si>
  <si>
    <t>min(05B08;05B09)</t>
  </si>
  <si>
    <t>Système général de déclaration et de gestion des incidents</t>
  </si>
  <si>
    <t>Organisation des audits et du programme d'audit</t>
  </si>
  <si>
    <t>Gestion du personnel et des partenaires ou prestataires stratégiques</t>
  </si>
  <si>
    <t>Analyse des risques environnementaux divers</t>
  </si>
  <si>
    <t>Conservation et protection des documents importants à conserver sur une longue période</t>
  </si>
  <si>
    <r>
      <t xml:space="preserve">Les processus qui assurent l'enregistrement des connexions et applications appelées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d'enregistrement (y compris des processus visant à détecter les tentatives de modification et les processus de réaction à ces tentatives de modification).</t>
    </r>
  </si>
  <si>
    <t xml:space="preserve">Existe-t-il une convention (ou entente) de service particulière pour tous les logiciels demandant une forte disponibilité et dont la maintenance courante ne pourrait s'effectuer dans des délais acceptables ? </t>
  </si>
  <si>
    <t>L'impact éventuel des changements de systèmes sur les plans de continuité d'activité a-t-il été pris en compte ?</t>
  </si>
  <si>
    <r>
      <t xml:space="preserve">Les utilisateurs sont-ils informés des risques liés à l'utilisation malveillante, localement ou à distance, de leurs équipements terminaux ?
</t>
    </r>
    <r>
      <rPr>
        <i/>
        <sz val="8"/>
        <rFont val="Arial"/>
        <family val="2"/>
      </rPr>
      <t>Ainsi que de l'utilisation des équipements d'autres collègues à leur insu</t>
    </r>
  </si>
  <si>
    <t>Gestion des attributions de droits privilégiés sur les équipements et les systèmes (droits d'administrateur)</t>
  </si>
  <si>
    <t>La procédure permettant de redonner un authentifiant à un utilisateur qui a perdu le sien (mot de passe, jeton d'authentification, etc.) permet-elle un contrôle effectif de l'identité du demandeur ?</t>
  </si>
  <si>
    <t>Plans de Reprise d'Activité des services informatiques</t>
  </si>
  <si>
    <t>Sauvegardes de secours (recours) externalisées</t>
  </si>
  <si>
    <t>Détection et traitement (en temps réel) des anomalies et incidents d'exploitation</t>
  </si>
  <si>
    <t>Externalisation du développement logiciel (développement en sous-traitance)</t>
  </si>
  <si>
    <t xml:space="preserve">Contrôle de la conformité des configurations utilisateurs </t>
  </si>
  <si>
    <t xml:space="preserve">Contrôle des licences des logiciels et progiciels </t>
  </si>
  <si>
    <t>Protection de la confidentialité des données contenues sur le poste de travail ou sur un serveur de données (disque logique pour le poste de travail)</t>
  </si>
  <si>
    <t>Sécurité de la messagerie électronique (courriels) et des échanges électroniques d'information</t>
  </si>
  <si>
    <r>
      <t xml:space="preserve">La solution de signature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</si>
  <si>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r>
      <t xml:space="preserve">Y a-t-il un audit régulier, au moins une fois par an, de l'ensemble des autorisations d'accès en cours de validité à chaque zone protégée ?
</t>
    </r>
    <r>
      <rPr>
        <i/>
        <sz val="8"/>
        <rFont val="Arial"/>
        <family val="2"/>
      </rPr>
      <t>Cet audit devrait également analyser la pertinence de ces autorisations.</t>
    </r>
  </si>
  <si>
    <t>Gestion des attributions de droits privilégiés sur les équipements et lessystèmes (droits d'administrateur)</t>
  </si>
  <si>
    <t>Surveillance des actions d'administration des équipements et des systèmes</t>
  </si>
  <si>
    <t>min(11A03;13D01)</t>
  </si>
  <si>
    <t>min(11A03;13D04)</t>
  </si>
  <si>
    <t>max(02D02;11C06)</t>
  </si>
  <si>
    <t>Equipement partagé</t>
  </si>
  <si>
    <t>F06-AC5</t>
  </si>
  <si>
    <t>Indisponibilité temporaire accidentelle</t>
  </si>
  <si>
    <t>à une attaque en blocage de comptes</t>
  </si>
  <si>
    <t>max(01E03;11D07)</t>
  </si>
  <si>
    <t>max(min(11B01;11E01);11C01)</t>
  </si>
  <si>
    <t>12D01-05</t>
  </si>
  <si>
    <t>12D01-06</t>
  </si>
  <si>
    <t>12D02</t>
  </si>
  <si>
    <t>12D02-01</t>
  </si>
  <si>
    <t>12D02-02</t>
  </si>
  <si>
    <t>12D02-03</t>
  </si>
  <si>
    <t>12D02-04</t>
  </si>
  <si>
    <t>12D02-05</t>
  </si>
  <si>
    <t>12D03</t>
  </si>
  <si>
    <t>12D03-01</t>
  </si>
  <si>
    <t>12D03-02</t>
  </si>
  <si>
    <t>12D03-03</t>
  </si>
  <si>
    <t>12D03-04</t>
  </si>
  <si>
    <t>04C, 05C, 12D03</t>
  </si>
  <si>
    <t xml:space="preserve"> d'archives patrimoniales ou documentaires ou de documents importants à conserver sur une longue période</t>
  </si>
  <si>
    <t>min(02D06;02D07)</t>
  </si>
  <si>
    <t>L'organisation des tâches au sein de la maintenance applicative et l'application des règles de séparation des tâches et de contrôle font-elles régulièrement l'objet d'un audit ?</t>
  </si>
  <si>
    <t>Conserve-t-on, lors des opérations de maintenance à chaud, une trace de toutes les opérations effectuées et commandes lancées, afin d'être capable de mener des investigations, voire de faire marche arrière, dans le cas où la séquence d'opérations s'est mal terminée ?</t>
  </si>
  <si>
    <t>12E01-08</t>
  </si>
  <si>
    <t>Le processus d'authentification est-il permanent (carte à puce) ?</t>
  </si>
  <si>
    <t>Si le processus d'authentification n'est pas permanent, doit-il être réinitialisé après une courte période d'inactivité ?</t>
  </si>
  <si>
    <t>11B01-10</t>
  </si>
  <si>
    <t>Le transfert entre les locaux de la production et les locaux de stockage des supports sur site est-il strictement contrôlé (procédures spécifiques, accompagnement ou conteneur sécurisé, etc.) ?</t>
  </si>
  <si>
    <t>Les transferts de médias entre sites (internes ou externes) sont-ils strictement contrôlés (procédures spécifiques, accompagnement ou conteneur sécurisé, etc.) ?</t>
  </si>
  <si>
    <t>Les médias en transit sont-ils "marqués" anonymement à l'exclusion de toute classification ?</t>
  </si>
  <si>
    <t>Toute anomalie ou perte de média est-elle immédiatement signalée ?</t>
  </si>
  <si>
    <t>Les règles spécifiant les appels aux procédures privilégiées à journaliser et enregistrer sont-elles décrites et validées (formalisées)   ?</t>
  </si>
  <si>
    <t>La mise hors service ou l'arrêt de tout équipement de redondance ou de tout système de détection nécessaire à une intervention manuelle ou à une reconfiguration automatique sont-elles détectées et déclenchent-elles une alarme auprès d'un responsable de l'exploitation ?</t>
  </si>
  <si>
    <t>Est-il interdit d'ajouter ou de créer des outils ou utilitaires sans avoir obtenu une autorisation formelle ?</t>
  </si>
  <si>
    <t>La limitation des privilèges accordés aux équipes d'exploitation les empêche-t-elle de modifier les outils ou les utilitaires de l'exploitation ou, à défaut, existe-t-il un contrôle pour toute modification avec alerte auprès d'un responsable  ?</t>
  </si>
  <si>
    <t xml:space="preserve">Le Plan de déclenchement de crise est-il en phase avec ce plan de continuité des activités global ? </t>
  </si>
  <si>
    <t>Ces plans sont-ils régulièrement testés en vraie grandeur (avec toute la volumétrie réelle) et actualisés (au moins une fois par an) ?</t>
  </si>
  <si>
    <t>A-t-on analysé les conséquences de la disparition d'un fournisseur de logiciel applicatif (en cas de bogue ou de nécessité d'évolution) et en a-t-on déduit une liste d'applications critiques ?</t>
  </si>
  <si>
    <r>
      <t xml:space="preserve">Le processus d'attribution (ou modification ou retrait)  de droits privilégiés à un individu est-il strictement contrôlé ?
</t>
    </r>
    <r>
      <rPr>
        <i/>
        <sz val="8"/>
        <rFont val="Arial"/>
        <family val="2"/>
      </rPr>
      <t>Un contrôle strict requiert une reconnaissance formelle de la signature (électronique ou non) du demandeur, qu'il existe un contrôle d'accès très renforcé pour pouvoir attribuer ou modifier de tels droits, et que les modifications d'attributions de droits privilégiés soient journalisées et auditées.</t>
    </r>
  </si>
  <si>
    <t>Périmètre de sécurité physique</t>
  </si>
  <si>
    <t>Sécurisation des bureaux, des salles et des équipements</t>
  </si>
  <si>
    <t>03B08-01:03</t>
  </si>
  <si>
    <t>Protection contre les menaces extérieures et environnementales</t>
  </si>
  <si>
    <t>Travail dans les zones sécurisées</t>
  </si>
  <si>
    <t>Le périmètre du SMSI résulte t-il d'une étude préalable des attentes de la direction de l'organisation et des parties prenantes ?</t>
  </si>
  <si>
    <t>14A01-02</t>
  </si>
  <si>
    <t>14A02</t>
  </si>
  <si>
    <t>13E01-05</t>
  </si>
  <si>
    <t>13E01-06</t>
  </si>
  <si>
    <t>13E01-07</t>
  </si>
  <si>
    <t>13E01-08</t>
  </si>
  <si>
    <t>09C03-01</t>
  </si>
  <si>
    <t>09C03-02</t>
  </si>
  <si>
    <t>Contrôle-t-on régulièrement le rayonnement des matériels supportant ces applications sensibles ?</t>
  </si>
  <si>
    <t>09D</t>
  </si>
  <si>
    <t>12</t>
  </si>
  <si>
    <t>13</t>
  </si>
  <si>
    <r>
      <t xml:space="preserve">Conserve-t-on les données élémentaires de comptabilité conformément à la réglementation VCI ?
</t>
    </r>
    <r>
      <rPr>
        <i/>
        <sz val="8"/>
        <rFont val="Arial"/>
        <family val="2"/>
      </rPr>
      <t>Les données élémentaires sont des données non agrégées, prises en compte dès leur origine, par exemple : fichiers historiques des mouvements (commandes, factures, stocks...), pièces justificatives, bordereaux de saisie, données permanentes, mouvements de mise à jour des fichiers...</t>
    </r>
  </si>
  <si>
    <t>Les résultats de ces actions sont-ils consignés dans un registre ?</t>
  </si>
  <si>
    <t>14D01-04</t>
  </si>
  <si>
    <t>Est-ce qu'une analyse est effectuée pour confirmer que les actions contribuent à l'amélioration de l'efficacité du SMSI ?</t>
  </si>
  <si>
    <t>Actions de correction des non-conformités</t>
  </si>
  <si>
    <t>A-t-on planifié les actions correctives nécessaires ?</t>
  </si>
  <si>
    <t>A-t-on déterminé les causes de ces non-conformités ?</t>
  </si>
  <si>
    <t>Est-ce que les actions correctives ont été mises en œuvre ?</t>
  </si>
  <si>
    <t>Séparation des tâches</t>
  </si>
  <si>
    <t>Dimensionnement</t>
  </si>
  <si>
    <t xml:space="preserve">Les autorisations sont-elles attribuées nominativement (par individu) en fonction du seul profil des utilisateurs ? </t>
  </si>
  <si>
    <r>
      <t xml:space="preserve">A-t-on analysé la sensibilité des systèmes généraux (en fonction des applications et des données traitées, y compris des systèmes généraux périphériques tels que systèmes ou robots de sauvegarde, serveurs d'impression ou équipement central d'impression, etc.) pour mettre en évidence leurs exigences de sécurité ?
</t>
    </r>
    <r>
      <rPr>
        <i/>
        <sz val="8"/>
        <rFont val="Arial"/>
        <family val="2"/>
      </rPr>
      <t>Une analyse approfondie suppose que l'on établisse une liste de scénarios d'incidents (D, I, C) et qu'on en analyse toutes les conséquences prévisibles.</t>
    </r>
  </si>
  <si>
    <t>Ces plans prennent-ils en compte tous les aspects organisationnels liés aux moyens à mettre en œuvre pour assurer la continuité entre la détection d'incident et la reprise effective des processus applicatifs (personnel, logistique, encadrement, etc.) ?</t>
  </si>
  <si>
    <r>
      <t xml:space="preserve">Le processus de création ou de modification de l'authentifiant vérifie-t-il le respect d'un ensemble de règles permettant d'avoir confiance dans sa solidité intrinsèque ?
</t>
    </r>
    <r>
      <rPr>
        <i/>
        <sz val="8"/>
        <rFont val="Arial"/>
        <family val="2"/>
      </rPr>
      <t>Dans le cas de mots de passe : longueur suffisante (8 caractères ou +), mélange obligatoire de types de caractères, changement fréquent (&lt;1 mois), impossibilité de réutiliser un mot de passe ancien, test de non trivialité fait en relation avec un dictionnaire, interdiction des "standards systèmes", des prénoms, de l'anagramme de l'identifiant, de dates, etc.
Dans le cas de certificats ou d'authentification reposant sur des mécanismes cryptologiques utilisant des clés de chiffrement : longueur de clé suffisante, processus de génération évalué ou reconnu publiquement, etc.</t>
    </r>
  </si>
  <si>
    <r>
      <t xml:space="preserve">Les paramètres de définition et de gestion des règles d'enregistrement des appels aux procédures privilégiées sont-ils sous contrôle strict ?
</t>
    </r>
    <r>
      <rPr>
        <i/>
        <sz val="8"/>
        <rFont val="Arial"/>
        <family val="2"/>
      </rPr>
      <t>Un contrôle strict requiert que la liste des personnes habilitées à changer les paramètres d'enregistrement soit très limitée, qu'il existe un contrôle d'accès renforcé pour pouvoir les modifier, et que les modifications soient journalisées et auditées.</t>
    </r>
  </si>
  <si>
    <r>
      <t xml:space="preserve">Les ressources organisationnelles et humaines sont-elles éduquées afin de pouvoir satisfaire les exigences de l'organisation ?
</t>
    </r>
    <r>
      <rPr>
        <i/>
        <sz val="8"/>
        <rFont val="Arial"/>
        <family val="2"/>
      </rPr>
      <t>Il faudra veiller à former tous les acteurs concernés.</t>
    </r>
  </si>
  <si>
    <t>Existe-t-il au moins une procédure d'alerte, diffusée à l'ensemble du personnel, qui permette, directement ou indirectement (par le personnel de surveillance), de joindre les personnes ad hoc aptes à déclencher le plan de crise ?</t>
  </si>
  <si>
    <t>01A05-03</t>
  </si>
  <si>
    <t>Le plan de crise décrit-il en détail les situations de crise majeure ayant trait aux systèmes d'information et inclut-il les aspects spécifiques à ce domaine ?</t>
  </si>
  <si>
    <t>01A05-04</t>
  </si>
  <si>
    <t>14D01</t>
  </si>
  <si>
    <t>14D01-01</t>
  </si>
  <si>
    <t>Les améliorations du SMSI identifiées sont-elles effectivement mises en œuvre ?</t>
  </si>
  <si>
    <t>14D01-02</t>
  </si>
  <si>
    <t>Est-ce que la Direction effectue une revue de ces actions ?</t>
  </si>
  <si>
    <t>14D01-03</t>
  </si>
  <si>
    <t>05A01</t>
  </si>
  <si>
    <t>Tout arrêt du système d'enregistrement et de traitement des enregistrements déclenche-t-elle une alarme auprès de l'équipe de surveillance ?</t>
  </si>
  <si>
    <t>Pour le cas de défaillance ou d'indisponibilité du moyen de secours, est-il prévu une solution de remplacement (secours de deuxième niveau) ?</t>
  </si>
  <si>
    <t>Cette solution (secours de deuxième niveau) a-t-elle été testée ?</t>
  </si>
  <si>
    <t>Existe-t-il pour chaque archive ou domaine d'archives un "propriétaire" désigné ?</t>
  </si>
  <si>
    <r>
      <t>À défaut, s'il s'agit de mots de passe, les règles imposées peuvent-elles être considérées comme très strictes</t>
    </r>
    <r>
      <rPr>
        <strike/>
        <sz val="8"/>
        <rFont val="Arial"/>
        <family val="2"/>
      </rPr>
      <t xml:space="preserve"> </t>
    </r>
    <r>
      <rPr>
        <sz val="8"/>
        <rFont val="Arial"/>
        <family val="2"/>
      </rPr>
      <t xml:space="preserve">?
</t>
    </r>
    <r>
      <rPr>
        <i/>
        <sz val="8"/>
        <rFont val="Arial"/>
        <family val="2"/>
      </rPr>
      <t>Des règles très strictes supposent des mots de passe non triviaux, des mélanges de différents types de caractères avec une longueur importante (10 caractères ou +). Il est souhaitable que de telles règles soient élaborées en accord avec le RSSI.</t>
    </r>
  </si>
  <si>
    <r>
      <t xml:space="preserve">En cas de maintenance applicative confiée à l'éditeur ou une société de services informatiques, les conditions ci-dessus sont-elles imposées contractuellement au partenaire ou sous-traitant ?
</t>
    </r>
    <r>
      <rPr>
        <i/>
        <sz val="8"/>
        <rFont val="Arial"/>
        <family val="2"/>
      </rPr>
      <t xml:space="preserve">Note : lorsque la maintenance est assurée par l'éditeur et/ou se trouve délocalisée dans un pays tiers et lointain, les garanties accordées quant au respect des conditions de maintenance devront être examinées avec circonspection. </t>
    </r>
  </si>
  <si>
    <t>La production informatique gère-t-elle une version de référence pour chaque produit installé sur les postes utilisateurs (source et exécutable) ?</t>
  </si>
  <si>
    <t>Y a-t-il un contrôle automatique du sceau de protection (ou à défaut d'une signature déposée) à chaque nouvelle installation sur un poste utilisateur ?</t>
  </si>
  <si>
    <t xml:space="preserve">Protection des postes de travail </t>
  </si>
  <si>
    <t>Sécurité physique des supports externalisés (stockés dans un site externe)</t>
  </si>
  <si>
    <t>Existe-t-il des contrats de maintenance pour tous les produits logiciels provenant de sources externes installés (logiciels systèmes, middleware, progiciels applicatifs) ?</t>
  </si>
  <si>
    <t>Les moyens nécessaires à l'intervention du personnel d'exploitation pour résoudre tout incident critique d'exploitation sont-ils protégés contre toute inhibition ou altération non justifiées ?</t>
  </si>
  <si>
    <t xml:space="preserve">Ce plan couvre-t-il également les paramètres de configuration des logiciels systèmes et des logiciels de couches intermédiaires ? </t>
  </si>
  <si>
    <r>
      <t xml:space="preserve">À défaut, s'il s'agit de mots de passe, les règles imposées peuvent-elles être considérées comme très strictes ?
</t>
    </r>
    <r>
      <rPr>
        <i/>
        <sz val="8"/>
        <rFont val="Arial"/>
        <family val="2"/>
      </rPr>
      <t>Des règles très strictes supposent des mots de passe non triviaux et testés comme tels avant acceptation, des mélanges de différents types de caractères avec une longueur importante (10 caractères ou +). Il est souhaitable que de telles règles soient élaborées en accord avec le RSSI.</t>
    </r>
  </si>
  <si>
    <t>Existe-t-il une politique de sécurité propre à la messagerie électronique (courriel) définissant les précautions d'emploi et mesures de sécurité à mettre en oeuvre ?</t>
  </si>
  <si>
    <r>
      <t xml:space="preserve">Cette politique précise-t-elle les règles concernant l'utilisation d'adresse de courriel sur des espaces publics (site internet, forum, etc...) ?
</t>
    </r>
    <r>
      <rPr>
        <i/>
        <sz val="8"/>
        <rFont val="Arial"/>
        <family val="2"/>
      </rPr>
      <t>Il conviendra par exemple d'utiliser des alias et non pas des adresses de boîte aux lettres personnelle.</t>
    </r>
  </si>
  <si>
    <t>Existe-t-il une politique de sécurité propre aux autres échanges électroniques d'information (conférence téléphonique, travail coopératif, partage de documents, services FTP, messagerie instantanée, etc.) définissant les précautions d'emploi et mesures de sécurité à mettre en oeuvre ?</t>
  </si>
  <si>
    <t>A-t-on mis en place un service de messagerie électronique chiffrée ?</t>
  </si>
  <si>
    <t>Surveillance (en temps réel) du réseau étendu</t>
  </si>
  <si>
    <t>04D02</t>
  </si>
  <si>
    <t>Analyse (en temps différé) des traces, logs et journaux d'événements sur le réseau étendu</t>
  </si>
  <si>
    <t>04D03</t>
  </si>
  <si>
    <t>Traitement des incidents du réseau étendu</t>
  </si>
  <si>
    <t>Gestion des droits d'accès au site ou à l'immeuble</t>
  </si>
  <si>
    <t>L'inhibition accidentelle (panne) ou volontaire (arrêt) d'un équipement de servitude est-elle détectée et signalée à une équipe d'intervention à même d'agir rapidement ?</t>
  </si>
  <si>
    <t>Le poste de travail est-il protégé contre toute utilisation par d'autres personnes que les titulaires du poste (en particulier en cas d'absence momentanée du titulaire, au-delà d'une durée tolérable, 10' par exemple) ?</t>
  </si>
  <si>
    <t>11C01-08</t>
  </si>
  <si>
    <t>11C02-01</t>
  </si>
  <si>
    <t>Existe-t-il un document définissant les règles générales à appliquer au quotidien dans la gestion de l'environnement de travail (documents, bureau propre, micro-informatique, téléphone, fax, etc.) ?</t>
  </si>
  <si>
    <t>01B02-08</t>
  </si>
  <si>
    <t>L'ensemble des procédures concernant la politique d'archivage fait-il l'objet d'un audit régulier ?</t>
  </si>
  <si>
    <t>Gestion des moyens d'accès aux fichiers de données</t>
  </si>
  <si>
    <t>A-t-on établi une politique de gestion des droits d'accès au réseau local s'appuyant sur une analyse préalable des exigences de sécurité, basées sur les enjeux de l'activité ?</t>
  </si>
  <si>
    <r>
      <t>A défaut, s'il s'agit de mots de passe, les règles imposées peuvent-elles être considérées comme très strictes</t>
    </r>
    <r>
      <rPr>
        <strike/>
        <sz val="8"/>
        <rFont val="Arial"/>
        <family val="2"/>
      </rPr>
      <t xml:space="preserve"> </t>
    </r>
    <r>
      <rPr>
        <sz val="8"/>
        <rFont val="Arial"/>
        <family val="2"/>
      </rPr>
      <t xml:space="preserve">?
</t>
    </r>
    <r>
      <rPr>
        <i/>
        <sz val="8"/>
        <rFont val="Arial"/>
        <family val="2"/>
      </rPr>
      <t>Des règles très strictes supposent des mots de passe non triviaux, des mélanges de différents types de caractères avec une longueur importante (10 caractères ou +). Il est souhaitable que de telles règles soient élaborées en accord avec le RSSI.</t>
    </r>
  </si>
  <si>
    <t>En cas de développements confiés à des sociétés de services informatiques ou de progiciels, les conditions ci-dessus sont-elles imposées contractuellement à l'éditeur, au partenaire ou au sous-traitant ?</t>
  </si>
  <si>
    <t>Dans le cadre d'essais, évite-t-on d'utiliser les bases de données de production contenant des informations personnelles ou tout autre information sensible ?</t>
  </si>
  <si>
    <r>
      <t xml:space="preserve">Le plan de sauvegarde est-il mis à jour à chaque changement de contexte d'exploitation ?
</t>
    </r>
    <r>
      <rPr>
        <i/>
        <sz val="8"/>
        <rFont val="Arial"/>
        <family val="2"/>
      </rPr>
      <t>On veillera, en particulier, à ce qu'il soit bien mis à jour à chaque création ou modification d'applications.</t>
    </r>
  </si>
  <si>
    <r>
      <t xml:space="preserve">Les solutions de protection des accès aux données stockées sur les réseaux de stockage (SAN) offrent-elles des garanties de solidité dignes de confiance ?
</t>
    </r>
    <r>
      <rPr>
        <i/>
        <sz val="8"/>
        <rFont val="Arial"/>
        <family val="2"/>
      </rPr>
      <t>Un processus cryptographique avec une longueur de clés suffisante pour l'authentification forte ou le chiffrement des données est un des paramètres à prendre en compte, mais bien d'autres paramètres également. La recommandation d'un organisme officiel peut être un facteur de confiance. A défaut la solution devrait être approuvée par le RSSI.</t>
    </r>
  </si>
  <si>
    <t>Les mécanismes de chiffrement des données stockées, leur paramétrage et les procédures associées (en particulier la gestion et la protection des clés) font-ils l'objet d'audits réguliers ?</t>
  </si>
  <si>
    <t>Procède-t-on régulièrement à une revue des points pouvant être critiques et des solutions palliatives prévues ?</t>
  </si>
  <si>
    <t>04B01-01</t>
  </si>
  <si>
    <t>Exploitation des télécommunications (12 Ext)</t>
  </si>
  <si>
    <t>06B01-06</t>
  </si>
  <si>
    <t>10.1.1</t>
  </si>
  <si>
    <t>06A05-02</t>
  </si>
  <si>
    <t>02A02</t>
  </si>
  <si>
    <t>Gestion des autorisations d'accès au site ou à l'immeuble</t>
  </si>
  <si>
    <t>02A03</t>
  </si>
  <si>
    <t>Y a-t-il un système de redondance ou une possibilité de remplacement rapide pour les équipements de servitude les plus critiques ?</t>
  </si>
  <si>
    <t>03A06-04</t>
  </si>
  <si>
    <t>05B04-01</t>
  </si>
  <si>
    <t>Existe-t-il des processus, régulièrement mis en oeuvre, d'analyse des risques, liés à l'information, pouvant conduire à une interruption des activités de l'entreprise, débouchant sur une définition des exigences de sécurité, des responsabilités, des procédures à appliquer et moyens à mettre en oeuvre afin de permettre l'élaboration des plans de continuité ?</t>
  </si>
  <si>
    <t>14.1.1</t>
  </si>
  <si>
    <t>Plans de Continuité de l'Activité</t>
  </si>
  <si>
    <t>01E02-01</t>
  </si>
  <si>
    <t>A-t-on déduit, d'une analyse de criticité, des Plans de Continuité d'Activité (PCA) pour chaque activité critique ?</t>
  </si>
  <si>
    <t>14.1.3</t>
  </si>
  <si>
    <t>01E02-02</t>
  </si>
  <si>
    <t>01D01</t>
  </si>
  <si>
    <t>Assurance des dommages matériels</t>
  </si>
  <si>
    <t>01D02</t>
  </si>
  <si>
    <t>Assurance des dommages immatériels</t>
  </si>
  <si>
    <t xml:space="preserve">L'utilisation de la ligne de télémaintenance nécessite-t-elle l'agrément de l'exploitation  (après que le constructeur ou l'éditeur ait envoyé une demande spécifiant la nature, la date et l'heure de l'intervention) ? </t>
  </si>
  <si>
    <t>08A07-06</t>
  </si>
  <si>
    <t>La typologie et la description des incidents sont-elles enregistrées dans une base permettant un enrichissement progressif ainsi qu'un accès sélectif facile pour effectuer le traitement et le suivi des divers incidents ?</t>
  </si>
  <si>
    <t>13.2.2</t>
  </si>
  <si>
    <t>01A03-06</t>
  </si>
  <si>
    <t>Prise en compte de la sécurité dans les projets et développements</t>
  </si>
  <si>
    <t>10A01-01</t>
  </si>
  <si>
    <t>12.1.1</t>
  </si>
  <si>
    <t>10A01-02</t>
  </si>
  <si>
    <t>Existe-t-il un ensemble de procédures couvrant l'attribution de droits d'utilisation à un nouvel opérateur, le retrait de droits, l'ouverture de droits pour les situations d'urgence ?</t>
  </si>
  <si>
    <t>08A07-04</t>
  </si>
  <si>
    <t>08A07-05</t>
  </si>
  <si>
    <t>La liste des formats de fichiers de données dont la lecture doit être assurée est-elle tenue à jour ?</t>
  </si>
  <si>
    <t>Contrôle de la circulation des visiteurs et des prestataires occasionnels amenés à intervenir dans les bureaux</t>
  </si>
  <si>
    <t>03A05-03</t>
  </si>
  <si>
    <t>Existe-t-il une procédure décrivant en détail les opérations à mener, avant appel à la maintenance, pour empêcher que celle-ci ait accès aux données opérationnelles de production (déconnexion des baies de disque et cartouches, effacement des données opérationnelles, etc.) ?</t>
  </si>
  <si>
    <t>08A06-02</t>
  </si>
  <si>
    <t>08A06-03</t>
  </si>
  <si>
    <t>08A06-04</t>
  </si>
  <si>
    <t>08A06-05</t>
  </si>
  <si>
    <t>08A07-01</t>
  </si>
  <si>
    <t>08A07-02</t>
  </si>
  <si>
    <t>08A07-03</t>
  </si>
  <si>
    <r>
      <t>Existe-t-il un document définissant les règles à appliquer en ce qui concerne l'exploitation des  ressources informatiques (réseaux, serveurs, etc.)</t>
    </r>
    <r>
      <rPr>
        <b/>
        <sz val="8"/>
        <rFont val="Arial"/>
        <family val="2"/>
      </rPr>
      <t>,</t>
    </r>
    <r>
      <rPr>
        <sz val="8"/>
        <rFont val="Arial"/>
        <family val="2"/>
      </rPr>
      <t xml:space="preserve"> des services de communication électronique et des réseaux sans fil ?</t>
    </r>
  </si>
  <si>
    <t>Procède-t-on régulièrement à des tests de relecture des sauvegardes des données applicatives ?</t>
  </si>
  <si>
    <t>Catégorie : données</t>
  </si>
  <si>
    <t>Moyens de servitude</t>
  </si>
  <si>
    <t>09E01</t>
  </si>
  <si>
    <t xml:space="preserve"> de services de télécommunication (voix, télécopies, visioconférence, etc.)</t>
  </si>
  <si>
    <t>Equipement télécom</t>
  </si>
  <si>
    <t>La définition du plan de crise s'est-elle accompagnée de la mise en place des moyens logistiques correspondants (salle équipée, moyens de communication, etc.) ?</t>
  </si>
  <si>
    <t>01A05-05</t>
  </si>
  <si>
    <t>Existe-t-il des outils ou des procédures permettant la mise à jour du plan de crise et cette mise à jour est-elle auditée ?</t>
  </si>
  <si>
    <t>01B</t>
  </si>
  <si>
    <t>Référentiel de sécurité</t>
  </si>
  <si>
    <t>01B01-01</t>
  </si>
  <si>
    <t>Les niveaux des garanties et des franchises permettent-ils de garantir la survie de l'entreprise en cas de sinistre ?</t>
  </si>
  <si>
    <t>01D01-10</t>
  </si>
  <si>
    <t>Les niveaux des garanties et des franchises permettent-ils de garantir qu'un sinistre pourrait être supporté sans conséquences graves pour l'entreprise  ?</t>
  </si>
  <si>
    <t>01D02-01</t>
  </si>
  <si>
    <t>Y a-t-il un recueil d'informations à l'embauche de personnel pouvant être amené à travailler sur des tâches sensibles ?</t>
  </si>
  <si>
    <t>8.1.2</t>
  </si>
  <si>
    <t>01C03-03</t>
  </si>
  <si>
    <t>Organisation de la maintenance du matériel mis à la disposition du personnel</t>
  </si>
  <si>
    <t>11D02</t>
  </si>
  <si>
    <t>11D03</t>
  </si>
  <si>
    <t>Plans de sauvegardes des configurations utilisateurs</t>
  </si>
  <si>
    <t>Plan de sauvegardes des données utilisateurs (bureautiques) stockées sur serveur de données</t>
  </si>
  <si>
    <t>11D05</t>
  </si>
  <si>
    <t>F18-BC</t>
  </si>
  <si>
    <t>Blocage de comptes nécessaires à l'utilisation</t>
  </si>
  <si>
    <t>La méthode permet-elle d'évaluer précisément les vulnérabilités en fonction des mesures de sécurité en vigueur ?</t>
  </si>
  <si>
    <t>14A04-04</t>
  </si>
  <si>
    <t>Protection des impressions sur imprimantes partagées</t>
  </si>
  <si>
    <t>13E02-01</t>
  </si>
  <si>
    <t>13E02-02</t>
  </si>
  <si>
    <t>13E02-03</t>
  </si>
  <si>
    <t>13E02-04</t>
  </si>
  <si>
    <t>13E02-05</t>
  </si>
  <si>
    <t>13E02-06</t>
  </si>
  <si>
    <t>13E02-07</t>
  </si>
  <si>
    <t xml:space="preserve">Surveillance, en temps différé, des traces, logs et journaux </t>
  </si>
  <si>
    <t>08E02-01</t>
  </si>
  <si>
    <t>AV.P</t>
  </si>
  <si>
    <t>08D06</t>
  </si>
  <si>
    <t>Plans de Reprise d'Activité</t>
  </si>
  <si>
    <t>Procède-t-on régulièrement à un audit des procédures associées aux systèmes de détection et de reconfiguration ?</t>
  </si>
  <si>
    <t>04A02-01</t>
  </si>
  <si>
    <t>04A02-02</t>
  </si>
  <si>
    <t>09F01-07</t>
  </si>
  <si>
    <t>Le système dispose-t-il d'une fonction automatique de surveillance en temps réel en cas d'accumulation d'événements anormaux (par exemple tentatives infructueuses de connexion sur stations voisines ou sur des transactions sensibles) ?</t>
  </si>
  <si>
    <t>08E01-03</t>
  </si>
  <si>
    <t>Existe-t-il une application capable d'analyser les diagnostics individuels d'anomalie et de déclencher une alerte à destination du personnel d'exploitation ?</t>
  </si>
  <si>
    <t>08E01-04</t>
  </si>
  <si>
    <t>08E01-05</t>
  </si>
  <si>
    <t>A-t-on défini, pour chaque cas d'alerte, la réaction attendue de l'équipe d'intervention et sa disponibilité est-elle suffisante pour faire face à cette attente ?</t>
  </si>
  <si>
    <t>Ce contrat couvre-t-il tous les frais supplémentaires engagés par l'entreprise pour rétablir son image auprès de ses clients ou partenaires ?</t>
  </si>
  <si>
    <t>F01-EA3</t>
  </si>
  <si>
    <t>Effacement accidentel généralisé de programmes</t>
  </si>
  <si>
    <t>F01-ER3</t>
  </si>
  <si>
    <t>Ce contrat couvre-t-il toutes les causes usuelles de ce type de sinistre : accidents (incendie, dégâts des eaux, foudre, etc.), erreurs humaines, sabotage et vandalisme (y compris par le personnel de l'entreprise ou préposé à son opération ou entretien) ?</t>
  </si>
  <si>
    <t>01D01-04</t>
  </si>
  <si>
    <t>Ce contrat assure-t-il tous les frais (réels) de réinitialisation des systèmes d'information touchés par le sinistre (frais d'installation, de redémarrage et de test des systèmes de remplacement, frais de reconstitution des données et des supports, etc.) ?</t>
  </si>
  <si>
    <t>01D01-05</t>
  </si>
  <si>
    <t>Ce contrat couvre-t-il tous les frais supplémentaires de fonctionnement engendrés par cette perte  ?</t>
  </si>
  <si>
    <t>01D04-04</t>
  </si>
  <si>
    <t>01D04-05</t>
  </si>
  <si>
    <t>01D04-06</t>
  </si>
  <si>
    <t>01D04-07</t>
  </si>
  <si>
    <t>01D04-08</t>
  </si>
  <si>
    <t>01E</t>
  </si>
  <si>
    <t>Continuité de l'activité</t>
  </si>
  <si>
    <t>01E01-01</t>
  </si>
  <si>
    <t>14.1.2</t>
  </si>
  <si>
    <t>01D01-07</t>
  </si>
  <si>
    <t>Ce contrat couvre-t-il globalement la perte d'exploitation engendrée par le sinistre ?</t>
  </si>
  <si>
    <t>01D01-08</t>
  </si>
  <si>
    <t>09D02</t>
  </si>
  <si>
    <r>
      <t xml:space="preserve">Cette architecture et sa mise en oeuvre en cas d'incident ou de panne garantissent-ils la satisfaction des performances minimales ?
</t>
    </r>
    <r>
      <rPr>
        <i/>
        <sz val="8"/>
        <rFont val="Arial"/>
        <family val="2"/>
      </rPr>
      <t>Une telle garantie suppose, soit que les systèmes à tolérance de panne soient entièrement automatiques, soit que les systèmes de détection et les capacités de réaction du personnel à même de procéder aux reconfigurations manuelles aient été spécifiés avec cet objectif.</t>
    </r>
  </si>
  <si>
    <t>Possibilité de disparition de media support de données</t>
  </si>
  <si>
    <r>
      <t xml:space="preserve">Le processus d'attribution (ou modification ou retrait) effectif d'autorisations à un individu (directement ou par le biais de profils) est-il strictement contrôlé ?
</t>
    </r>
    <r>
      <rPr>
        <i/>
        <sz val="8"/>
        <rFont val="Arial"/>
        <family val="2"/>
      </rPr>
      <t>Un contrôle strict requiert une identification formelle du demandeur (reconnaissance de sa signature, signature électronique, etc.), que la matérialisation des profils attribués aux utilisateurs (par exemple sous forme de tables) soit strictement sécurisée lors de leur transmission et de leur stockage et qu'il existe un contrôle d'accès renforcé pour pouvoir les modifier, et que ces modifications soient journalisées et auditées.</t>
    </r>
  </si>
  <si>
    <t>Protection des états et rapports imprimés sensibles</t>
  </si>
  <si>
    <t>Les états et rapports imprimés sensibles rebutés sont-ils détruits de manière sécurisée rendant impossible leur exploitation ?</t>
  </si>
  <si>
    <r>
      <t xml:space="preserve">Les droits d'accès aux différentes applications et données applicatives sont-elles définies par rapport à des "profils" métiers regroupant des "rôles" ou des "fonctions" dans l'organisation (un profil définissant les droits dont disposent les titulaires de ce profil) ?
</t>
    </r>
    <r>
      <rPr>
        <i/>
        <sz val="8"/>
        <rFont val="Arial"/>
        <family val="2"/>
      </rPr>
      <t>Nota : La notion de profil peut, dans certaines circonstances, être remplacée par une notion de "groupe".</t>
    </r>
  </si>
  <si>
    <t>A-t-on analysé les événements ou successions d'événements pouvant être révélateurs de comportements anormaux ou d'actions illicites et a-t-on mis en place des points ou indicateurs de surveillance en conséquence ?</t>
  </si>
  <si>
    <t>08E01-02</t>
  </si>
  <si>
    <r>
      <t xml:space="preserve">Les processus qui assurent les contrôles permanents sur les traitements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</si>
  <si>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La solution de chiffrement offre-t-elle des garanties de solidité dignes de confiance et a-t-elle été approuvée par le RSSI ?
</t>
    </r>
    <r>
      <rPr>
        <i/>
        <sz val="8"/>
        <rFont val="Arial"/>
        <family val="2"/>
      </rPr>
      <t>Une longueur de clés suffisante est un des paramètres à prendre en compte, mais bien d'autres paramètres également. La recommandation d'un organisme officiel peut être un facteur de confiance.</t>
    </r>
  </si>
  <si>
    <t>La mise hors service ou le contournement de la solution de chiffrement sont-ils immédiatement détectés et signalés à une équipe permanente ou disponible sur appel (astreinte) capable d'engendrer une réaction immédiate ?</t>
  </si>
  <si>
    <r>
      <t xml:space="preserve">Les tests effectués permettent-ils de garantir la capacité de la solution de secours à assurer, en pleine charge opérationnelle, les services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</si>
  <si>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A-t-on défini, au sein de l'équipe de gestion des postes utilisateurs, des profils correspondant à chaque type d'activité (assistance, installation, maintenance, etc.) ?</t>
  </si>
  <si>
    <t>Les exigences et les procédures à respecter pour les audits menés sur les réseaux ont-elles été édictées par les responsables ?</t>
  </si>
  <si>
    <t>A-t-on établi une politique de gestion des droits d'accès aux systèmes s'appuyant sur une analyse préalable des exigences de sécurité, basées sur les enjeux de l'activité ?</t>
  </si>
  <si>
    <r>
      <t xml:space="preserve">Les droits d'accès aux différentes parties du SI (applications, bases de données, systèmes, équipements etc.) sont-ils définis par rapport à des "profils" métiers regroupant des "rôles" ou des "fonctions" dans l'organisation (un profil définissant les droits dont disposent les titulaires de ce profil) ?
</t>
    </r>
    <r>
      <rPr>
        <i/>
        <sz val="8"/>
        <rFont val="Arial"/>
        <family val="2"/>
      </rPr>
      <t>Nota : La notion de profil peut, dans certaines circonstances, être remplacée par une notion de "groupe".</t>
    </r>
  </si>
  <si>
    <t>Organisation de la maintenance du logiciel utilisateur (système d'exploitation et applications)</t>
  </si>
  <si>
    <r>
      <t xml:space="preserve">Les automatismes de production assurant les sauvegardes des configurations utilisateurs sont-ils protégés par des mécanismes de haute sécurité contre toute modification illicite ou indue ?
</t>
    </r>
    <r>
      <rPr>
        <i/>
        <sz val="8"/>
        <rFont val="Arial"/>
        <family val="2"/>
      </rPr>
      <t>Un tel mécanisme pourrait être un scellement électronique ou tout système de détection de modification équivalent.</t>
    </r>
  </si>
  <si>
    <t>Les procédures de sauvegarde des données utilisateurs font-elles l'objet d'un audit régulier ?</t>
  </si>
  <si>
    <t>A-t-on défini une politique afin de lutter contre les risques d'attaque par des codes malveillants (virus, chevaux de Troie, vers, etc.) : interdiction d'utiliser des logiciels non préalablement autorisés, mesures de protection lors de la récupération de fichiers via des réseaux externes, revues de logiciels installés ?</t>
  </si>
  <si>
    <t>Les postes de travail sont-ils pourvus de dispositifs de protection contre les virus et les codes malveillants ?</t>
  </si>
  <si>
    <t>A-t-on défini les actions à mener par l'équipe d'assistance aux utilisateurs en cas d'attaque par des codes malveillants (alerte, actions de confinement, déclenchement de processus de gestion de crise, etc.) ?</t>
  </si>
  <si>
    <r>
      <t xml:space="preserve">Les processus qui assurent la gestion du marquage des supports sont-ils sous contrôle strict ?
</t>
    </r>
    <r>
      <rPr>
        <i/>
        <sz val="8"/>
        <rFont val="Arial"/>
        <family val="2"/>
      </rPr>
      <t>Un contrôle strict requiert que le logiciel applicatif éventuellement utilisé ait été validé et subisse régulièrement un test d'intégrité (sceau) et qu'il existe un audit au moins annuel des procédures et processus de gestion du marquage des supports (y compris de la gestion des anomalies détectées).
Cela suppose également qu'il existe un document rappelant l'ensemble des exigences concernant le marquage des supports.</t>
    </r>
  </si>
  <si>
    <t>L'équipe d'assistance aux utilisateurs a-t-elle la possibilité d'effectuer à tout moment une analyse complète de l'ensemble du parc des postes utilisateurs ?</t>
  </si>
  <si>
    <t>L'activation et la mise à jour des antivirus sur les postes utilisateurs font-elles l'objet d'un audit régulier ?</t>
  </si>
  <si>
    <r>
      <t xml:space="preserve">Les mêmes clauses sont-elles rendues obligatoires pour le personnel des entreprises intervenant dans l'exploitation des télécommunications ?
</t>
    </r>
    <r>
      <rPr>
        <i/>
        <sz val="8"/>
        <rFont val="Arial"/>
        <family val="2"/>
      </rPr>
      <t>En pratique, cela conduit à faire obligation aux dites entreprises de les faire signer individuellement, et dans les mêmes conditions, à son personnel.</t>
    </r>
  </si>
  <si>
    <t>Ces plans sont-ils testés au moins une fois par an ?</t>
  </si>
  <si>
    <t>08D06-08</t>
  </si>
  <si>
    <t>08D06-09</t>
  </si>
  <si>
    <t>L'arrêt ou l'inhibition des systèmes de sécurité (incendie, dégâts des eaux, contrôle d'accès, détection d'intrusion) déclenchent-ils une alarme auprès d'un centre de surveillance pouvant intervenir rapidement ?</t>
  </si>
  <si>
    <t>Les outils ou utilitaires sensibles d'un profil d'exploitation ne sont-ils utilisables que par les titulaires du profil correspondant, après authentification individuelle forte (carte à puce, jeton d'authentification, etc.) ?</t>
  </si>
  <si>
    <t>Est-il interdit d'ajouter ou de créer des outils ou utilitaires d'exploitation de réseau sans autorisation formelle ?</t>
  </si>
  <si>
    <r>
      <t xml:space="preserve">Les paramètres des contrôles permanents sont-ils sous contrôle strict ?
</t>
    </r>
    <r>
      <rPr>
        <i/>
        <sz val="8"/>
        <rFont val="Arial"/>
        <family val="2"/>
      </rPr>
      <t>Un contrôle strict requiert que la liste des personnes habilitées à changer les paramètres de contrôle soit très limitée, qu'il existe un contrôle d'accès renforcé pour pouvoir les modifier, et que les modifications soient journalisées et auditées.</t>
    </r>
  </si>
  <si>
    <r>
      <t xml:space="preserve">Est-ce que la mise en œuvre des exigences organisationnelles du SMSI, ainsi que la mise en œuvre des différents plans d'actions, font partie du périmètre du programme d'Audit?
</t>
    </r>
    <r>
      <rPr>
        <i/>
        <sz val="8"/>
        <rFont val="Arial"/>
        <family val="2"/>
      </rPr>
      <t>Par exemple pour les exigences organisationnelles : la déclinaison d'une analyse de risques, d'une PSSI, d'un plan documentaire SMSI,etc.
Par exemple pour les différents plans d'actions : les actions décidées suite à l'analyse de risques, de la mise en place de la PSSI ou des différents Audit.</t>
    </r>
  </si>
  <si>
    <r>
      <t xml:space="preserve">Ces revues d'évaluation des risques permettent-elles de vérifier l'efficacité des mesures de sécurité mises en place ?
</t>
    </r>
    <r>
      <rPr>
        <i/>
        <sz val="8"/>
        <rFont val="Arial"/>
        <family val="2"/>
      </rPr>
      <t>Ces mesures peuvent être organisationnelles ou techniques.</t>
    </r>
  </si>
  <si>
    <t>Amélioration du système de management</t>
  </si>
  <si>
    <r>
      <t xml:space="preserve">Les non-conformités dans l'application du SMSI sont-elles identifiées régulièrement ?
</t>
    </r>
    <r>
      <rPr>
        <i/>
        <sz val="8"/>
        <rFont val="Arial"/>
        <family val="2"/>
      </rPr>
      <t>Tant en ce qui concerne les politiques de sécurité, les processus et les procédures que les contrôles eux-mêmes.</t>
    </r>
  </si>
  <si>
    <t xml:space="preserve">L'ensemble des sauvegardes de données est-il également stocké en dehors du site de production (sauvegardes de secours) ? </t>
  </si>
  <si>
    <t>Procède-t-on régulièrement à des tests de relecture des sauvegardes de secours ?</t>
  </si>
  <si>
    <t>Existe-t-il, parmi le personnel d'exploitation, une équipe permanente ou disponible sur appel (astreinte) capable de réagir en cas d'alerte de la détection d'anomalie ?</t>
  </si>
  <si>
    <t>Tout arrêt du système d'alerte déclenche-t-elle une alarme auprès de l'équipe de surveillance ?</t>
  </si>
  <si>
    <t>Commentaire</t>
  </si>
  <si>
    <t>S'assure-t-on que les prestataires ou fournisseurs de services réseaux signalent et documentent tout incident de sécurité touchant l'information ou les réseaux ?</t>
  </si>
  <si>
    <t>06A08-01:03</t>
  </si>
  <si>
    <t>Existe-t-il une procédure décrivant en détail les opérations à mener, avant appel à la maintenance, pour empêcher que le personnel de maintenance ait accès aux données critiques (clés de chiffrement ou de protection de réseau, configurations des équipements de sécurité, etc.) ?</t>
  </si>
  <si>
    <r>
      <t xml:space="preserve">Les membres de ce comité d'audit sont-ils totalement indépendants ?
</t>
    </r>
    <r>
      <rPr>
        <i/>
        <sz val="8"/>
        <rFont val="Arial"/>
        <family val="2"/>
      </rPr>
      <t>C'est-à-dire qu'ils n'exercent aucun pouvoir opérationnel au sein de la société, ne sont affiliés à aucune personne exerçant des pouvoirs dans la société, et ne reçoivent de la société d'autre rémunération que celle liée à leur fonction dans le comité d'audit.</t>
    </r>
  </si>
  <si>
    <r>
      <t xml:space="preserve">L'application du référentiel permet-elle de tracer toute information émise ?
</t>
    </r>
    <r>
      <rPr>
        <i/>
        <sz val="8"/>
        <rFont val="Arial"/>
        <family val="2"/>
      </rPr>
      <t>Par exemple de pouvoir remonter la chaîne de l'information pour identifier les données (faits générateurs, écritures comptables, ...) et décisions à l'origine de l'information.</t>
    </r>
  </si>
  <si>
    <t>Ce programme est-il offert aux personnes qui traitent des informations visées par les dispositions légales en matière de vérification de la comptabilité informatisée ?</t>
  </si>
  <si>
    <t>Ces paramétrages sont-ils régulièrement mis à jour en fonction de l'état des connaissances, en relation avec un organisme expert (audits spécialisés, abonnement à un centre de service, consultation régulière des avis des CERTs, etc.) ?</t>
  </si>
  <si>
    <t>06B01-05</t>
  </si>
  <si>
    <t>Ces documents de référence (ou des copies des paramètres installés, considérées comme des références) sont-ils protégés contre toute altération indue ou illicite, par des mécanismes forts (sceau électronique) ?</t>
  </si>
  <si>
    <r>
      <t xml:space="preserve">A-t-on défini, pour chaque scénario et en accord avec les utilisateurs, un échéancier des services informatiques minimum à assurer en fonction du temps ?
</t>
    </r>
    <r>
      <rPr>
        <i/>
        <sz val="8"/>
        <rFont val="Arial"/>
        <family val="2"/>
      </rPr>
      <t>Les pertes d'information, les moyens de les reconstituer et les procédures opérationnelles intérimaires doivent être considérées.</t>
    </r>
  </si>
  <si>
    <t>09B03-02</t>
  </si>
  <si>
    <t>Ce contrat couvre-t-il l'ensemble des systèmes informatiques et de télécommunication, leur câblage et les installations de servitudes associées ?</t>
  </si>
  <si>
    <t>01D01-03</t>
  </si>
  <si>
    <r>
      <t xml:space="preserve">Les ressources organisationnelles, techniques et humaines sont-elles suffisantes pour satisfaire les exigences de continuité informatique de l'organisation ?
</t>
    </r>
    <r>
      <rPr>
        <i/>
        <sz val="8"/>
        <rFont val="Arial"/>
        <family val="2"/>
      </rPr>
      <t>Il faudra veiller à introduire des moyens permettant de pallier à des défaillances en personnel.</t>
    </r>
  </si>
  <si>
    <r>
      <t xml:space="preserve">Les ressources organisationnelles et humaines sont-elles formées afin de pouvoir satisfaire les exigences de continuité informatique de l'organisation ?
</t>
    </r>
    <r>
      <rPr>
        <i/>
        <sz val="8"/>
        <rFont val="Arial"/>
        <family val="2"/>
      </rPr>
      <t>Il faudra veiller à former tous les acteurs concernés.</t>
    </r>
  </si>
  <si>
    <r>
      <t xml:space="preserve">Les tests effectués permettent-ils de garantir la capacité des personnels et des systèmes de secours à assurer, en pleine charge opérationnelle, les services informatiques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</si>
  <si>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t>L'ensemble des sauvegardes de logiciels et fichiers de configuration permettant de reconstituer l'environnement de production est-il également sauvegardé en dehors du site de production (sauvegardes de secours) ?</t>
  </si>
  <si>
    <t>Toute inhibition du système d'enregistrement et de traitement des enregistrements d'actions menées sur les configurations du parc des postes utilisateurs déclenche-t-elle une alarme auprès d'un responsable ?</t>
  </si>
  <si>
    <r>
      <t xml:space="preserve">La planification de ces revues prend-elle en compte les changements dans l'environnement de sécurité de l'information ?
</t>
    </r>
    <r>
      <rPr>
        <i/>
        <sz val="8"/>
        <rFont val="Arial"/>
        <family val="2"/>
      </rPr>
      <t>Par exemple les changements dans l'organisation, les technologies, les menaces, les processus, les exigences de l'activité et réglementaires.</t>
    </r>
  </si>
  <si>
    <t>02C06-01:04;03B01-01;03B01-07;03B03-01</t>
  </si>
  <si>
    <t>03A01-01:03;03A02-01:02;03A03-01;03A03-03</t>
  </si>
  <si>
    <t>11B02-01;11B02-03</t>
  </si>
  <si>
    <t>Possibilité de non maintien en opération d'un équipement</t>
  </si>
  <si>
    <t>Eq.mo</t>
  </si>
  <si>
    <t>Possibilité d'altération des configurations logicielles (logiciels et paramétrages)</t>
  </si>
  <si>
    <t>Possibilité d'effacement de configurations logicielles</t>
  </si>
  <si>
    <t>Cfl.bug</t>
  </si>
  <si>
    <t>Cfl.eff</t>
  </si>
  <si>
    <t>Cfl.alt</t>
  </si>
  <si>
    <t>Med.des</t>
  </si>
  <si>
    <t>Med.dis</t>
  </si>
  <si>
    <t>Possibilité de disparition de media support de logiciel</t>
  </si>
  <si>
    <t>Possibilité de non fonctionnement intrinsèque d'un logiciel (bug)</t>
  </si>
  <si>
    <t>Défaut d'autorisation</t>
  </si>
  <si>
    <t>Possibilité de blocage par défaut d'autorisation (défaut de licence)</t>
  </si>
  <si>
    <t>Cfl.lic</t>
  </si>
  <si>
    <t>Cpt.blo</t>
  </si>
  <si>
    <t>Cpt.dis</t>
  </si>
  <si>
    <t>Ser.hs</t>
  </si>
  <si>
    <t>Loc.ina</t>
  </si>
  <si>
    <r>
      <t xml:space="preserve">Le système de gestion d'incidents est-il strictement contrôlé vis-à-vis de toute modification illicite ou indue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</si>
  <si>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Maintient-on des contacts avec les autorités pouvant être concernées par la sécurité de l'information et les situations de crise (Police, Services de renseignements, Administration judiciaire, Pompiers, Services publics, etc....) ?</t>
  </si>
  <si>
    <t>01A02-11</t>
  </si>
  <si>
    <t>09E01-03</t>
  </si>
  <si>
    <t>09E01-04</t>
  </si>
  <si>
    <t>Disponibilité des données</t>
  </si>
  <si>
    <t>A-t-on défini, au sein de l'exploitation des réseaux, des profils correspondant à chaque type d'activité (administration d'équipements, administration d'équipement de sécurité, pilotage réseau, opérations de gestion de supports et sauvegardes, etc.) ?</t>
  </si>
  <si>
    <t>06C01-04</t>
  </si>
  <si>
    <t>A-t-on défini, pour chaque profil, les droits privilégiés nécessaires ?</t>
  </si>
  <si>
    <t>Mesures (formules littérales)</t>
  </si>
  <si>
    <t xml:space="preserve">  Type AEM</t>
  </si>
  <si>
    <t xml:space="preserve">  Dissuasion</t>
  </si>
  <si>
    <t xml:space="preserve">  Prévention</t>
  </si>
  <si>
    <t xml:space="preserve">  Palliation</t>
  </si>
  <si>
    <t>Con</t>
  </si>
  <si>
    <t>lors de la connexion au service</t>
  </si>
  <si>
    <t>Processus de connexion</t>
  </si>
  <si>
    <t>F09-FC</t>
  </si>
  <si>
    <t xml:space="preserve">Altération de service par falsification du processus de connexion au serveur </t>
  </si>
  <si>
    <t>12.2.1</t>
  </si>
  <si>
    <t>Les modifications de ces procédures sont-elles approuvées par le management ?</t>
  </si>
  <si>
    <t>06A05-05</t>
  </si>
  <si>
    <t>A-t-on un système opérationnel (automatique ou gardiennage) de contrôle d'accès systématique (piétons et véhicules) au site ?</t>
  </si>
  <si>
    <t>02A03-03</t>
  </si>
  <si>
    <t>02A03-04</t>
  </si>
  <si>
    <t>Un tel système, s'il repose sur un badge, permet-il de garantir qu'un même badge n'est pas réutilisé par une deuxième personne (par exemple en mémorisant l'entrée et en empêchant toute réutilisation sans avoir auparavant badgé pour ressortir) ?</t>
  </si>
  <si>
    <t>02A03-05</t>
  </si>
  <si>
    <t>Détournement de télécopie par transfert de numéro de télécopie (transfert de ligne)</t>
  </si>
  <si>
    <t>04C01-04</t>
  </si>
  <si>
    <t>04C01-05</t>
  </si>
  <si>
    <t>L'authentification, pour le contrôle d'accès aux locaux de stockage des supports de production, fait-elle appel à des moyens infalsifiables détenus par l'utilisateur (carte à puce ou reconnaissance biométrique, par exemple) ?</t>
  </si>
  <si>
    <t>Procède-t-on périodiquement à un audit des mesures de sécurité utilisées par la société assurant le stockage externe des archives et sauvegardes ?</t>
  </si>
  <si>
    <t>Les entrées/sorties de supports de la "médiathèque" sont-elles contrôlées (automatiquement ou indirectement) en rapport avec la planification de la production  ?</t>
  </si>
  <si>
    <t>Le programme d'audit annuel a-t-il été présenté et validé par la Direction ?</t>
  </si>
  <si>
    <r>
      <t xml:space="preserve">Les fichiers soutenant la gestion des supports sont-ils sous contrôle strict ?
</t>
    </r>
    <r>
      <rPr>
        <i/>
        <sz val="8"/>
        <rFont val="Arial"/>
        <family val="2"/>
      </rPr>
      <t>Un contrôle strict requiert que la liste des personnes habilitées à accéder aux fichiers soit très limitée, qu'il existe un contrôle d'accès renforcé pour pouvoir les modifier, et que les modifications soient journalisées et auditées.</t>
    </r>
  </si>
  <si>
    <r>
      <t xml:space="preserve">Les fichiers soutenant le marquage anonyme des supports (fichiers faisant le lien entre un numéro de support et un contenu) sont-ils sous contrôle strict ?
</t>
    </r>
    <r>
      <rPr>
        <i/>
        <sz val="8"/>
        <rFont val="Arial"/>
        <family val="2"/>
      </rPr>
      <t>Un contrôle strict requiert que la liste des personnes habilitées à accéder aux fichiers soit très limitée, qu'il existe un contrôle d'accès renforcé pour pouvoir y accéder et les modifier, et que les modifications soient journalisées et auditées.</t>
    </r>
  </si>
  <si>
    <t>Le cas de défaillance ou d'indisponibilité d'un moyen de secours a-t-il été envisagé et y a-t-il, pour chacun, une solution de secours de deuxième niveau ?</t>
  </si>
  <si>
    <t>Les zones de déchargement sont elles conçues de telle sorte que les livraisons/chargement puissent être effectués sans que le personnel de livraison ait accès aux autres parties du bâtiment ou du site ?</t>
  </si>
  <si>
    <t>A-t-on établi une politique de gestion des droits d'accès aux zones de bureaux s'appuyant sur une analyse préalable des exigences de sécurité, basées sur les enjeux de l'activité ?</t>
  </si>
  <si>
    <t>Le mécanisme employé comporte-t-il en outre une procédure d'authentification forte (à deux facteurs) du détenteur de ce moyen ?</t>
  </si>
  <si>
    <t>06A06-03:05;08A09-03:05;11A05-03:05;12A06-03:05</t>
  </si>
  <si>
    <t>06A06-06;08A09-06;11A05-06;12A06-06</t>
  </si>
  <si>
    <t>08A05, 08D07, 09B, 09C, 09D, 09F, 09H, 11B, 11C, 11D06</t>
  </si>
  <si>
    <t>02D, 08A07</t>
  </si>
  <si>
    <t>Ces contrats prévoient-ils des engagements d'intervention dont la durée maximale est fixée au contrat et compatible avec les impératifs de disponibilité ?</t>
  </si>
  <si>
    <t>08D01-04</t>
  </si>
  <si>
    <t>Ces contrats prévoient-ils des horaires et jours d'intervention (24h/24, 7j/7, par exemple ) compatibles avec les impératifs de disponibilité ?</t>
  </si>
  <si>
    <t>08D01-05</t>
  </si>
  <si>
    <t>08D01-06</t>
  </si>
  <si>
    <t>08D01-07</t>
  </si>
  <si>
    <t>08D01-08</t>
  </si>
  <si>
    <t>Les contrats de maintenance, le choix des prestataires et les procédures de maintenance associées font-ils l'objet d'un audit régulier ?</t>
  </si>
  <si>
    <t>08D02-01</t>
  </si>
  <si>
    <t>08D02-02</t>
  </si>
  <si>
    <t>L'intégrité des configurations par rapport aux configurations théoriquement attendues est-elle testée très régulièrement (au moins hebdomadairement, si ce n'est à chaque initialisation du système) ?</t>
  </si>
  <si>
    <t>06B01-07</t>
  </si>
  <si>
    <t>Procède-t-on à des audits réguliers de la liste des paramètres de sécurité spécifiés ?</t>
  </si>
  <si>
    <t>06B01-08</t>
  </si>
  <si>
    <t>06B01-09</t>
  </si>
  <si>
    <t>Les systèmes de développement et de test sont-ils séparés des systèmes opérationnels ?</t>
  </si>
  <si>
    <t>06B02-01</t>
  </si>
  <si>
    <t>A-t-on clairement défini les rôles respectifs des responsables de la sécurité, des responsables opérationnels et des responsables fonctionnels de domaines (propriétaires ou détenteurs d'information) dans la prise de décision finale, ainsi que les processus d'arbitrage ?</t>
  </si>
  <si>
    <t>A-t-on défini dans le détail un mode de pilotage global de la sécurité des systèmes d'information : tableau de bord (contenu et périodicité), structure de pilotage et d'orientation, types de rapports ?</t>
  </si>
  <si>
    <t>Établit-on annuellement un plan de sécurité des systèmes d'information regroupant l'ensemble des plans d'action, moyens à mettre en oeuvre, échéancier, budget ?</t>
  </si>
  <si>
    <t>Y a-t-il un système de déclaration des incidents auprès des correspondants du RSSI avec une synthèse de ces incidents transmise au RSSI ?</t>
  </si>
  <si>
    <t>Le système de déclaration et de gestion des incidents inclut-il tous les incidents (exploitation, développement, maintenance, utilisation du SI) physiques, logiques ou organisationnels ?</t>
  </si>
  <si>
    <t>Le système de déclaration et de gestion des incidents inclut-il les tentatives d'actions malveillantes ou non autorisées n'ayant pas abouti ?</t>
  </si>
  <si>
    <t>Le système de déclaration et de gestion des incidents s'applique-t-il à l'ensemble des structures et des personnels de l'entreprise (y compris les filiales) ?</t>
  </si>
  <si>
    <t>Le programme d'audit annuel relatif à la sécurité des systèmes d'information fait-il l'objet d'un tableau de bord et d'un suivi régulier ?</t>
  </si>
  <si>
    <t>Ces solutions de secours (concernant le personnel interne ou les prestataires) permettent-elles de garantir une poursuite de l'activité de l'entreprise sans perturbation majeure ?</t>
  </si>
  <si>
    <t>A-t-on prévu les instructions et la formation à donner aux personnels pour la mise en œuvre des plans de continuité ?</t>
  </si>
  <si>
    <r>
      <t xml:space="preserve">La réalisation de ces plans permet-elle de rendre supportable (impact limité à 2) tout dysfonctionnement critique ?
</t>
    </r>
    <r>
      <rPr>
        <i/>
        <sz val="8"/>
        <rFont val="Arial"/>
        <family val="2"/>
      </rPr>
      <t>Question destinée à ne pas surévaluer l'efficacité de ce service.</t>
    </r>
  </si>
  <si>
    <r>
      <t xml:space="preserve">Le processus d'authentification des serveurs sensibles accédés est-il un processus reconnu comme "fort" ?
</t>
    </r>
    <r>
      <rPr>
        <i/>
        <sz val="8"/>
        <rFont val="Arial"/>
        <family val="2"/>
      </rPr>
      <t>Un simple mot de passe sera toujours un point faible notable. Les seuls processus qui soient reconnus comme forts, c'est-à-dire observables sans divulguer d'information et pratiquement inviolables sont basés sur des algorithmes cryptologiques.</t>
    </r>
  </si>
  <si>
    <r>
      <t xml:space="preserve">La conservation et l'utilisation par les équipements de sécurité d'éléments de référence supports de l'authentification (mots de passe, numéro d'appelant, etc.)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</si>
  <si>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Conformité avec les politiques et les normes de sécurité</t>
  </si>
  <si>
    <t>L'exploitation des télécommunications gère-t-elle une version de référence pour chaque produit mis en exploitation (source et exécutable) ?</t>
  </si>
  <si>
    <r>
      <t>Les contrats de maintenance prévoient-ils le remplacement complet des équipements en cas d'endommagement important non susceptible d'être pris en charge par une maintenance curative ?
L</t>
    </r>
    <r>
      <rPr>
        <i/>
        <sz val="8"/>
        <rFont val="Arial"/>
        <family val="2"/>
      </rPr>
      <t>'attention doit être portée sur la confidentialité des données stockées sur disque pour les équipements remplacés</t>
    </r>
  </si>
  <si>
    <t>A-t-on défini dans le détail le mode de gestion de la sécurité et les processus de prise de décision : méthodologie (audit de vulnérabilité, analyse de risque, etc.), outils associés, acteurs (animateur, support, formation, expertise, conseils, etc.) ?</t>
  </si>
  <si>
    <t>02D06-07</t>
  </si>
  <si>
    <t>S'assure-t-on régulièrement de la capacité à exploiter ces documents sur le long terme ?</t>
  </si>
  <si>
    <t>02D01-06</t>
  </si>
  <si>
    <t>Les conditions de stockage des documents courants importants font-elles l'objet d'audits réguliers ?</t>
  </si>
  <si>
    <t>à un foudroiement</t>
  </si>
  <si>
    <t>min(02D01;02D06)</t>
  </si>
  <si>
    <t>11B02-06</t>
  </si>
  <si>
    <t>Y a-t-il une procédure ou des automatismes permettant de déclencher l'intervention immédiate d'un personnel spécialisé en cas d'alarme d'arrêt du système de contrôle d'accès automatique (ou d'utilisation d'issue de secours) ?</t>
  </si>
  <si>
    <t>02A03-08</t>
  </si>
  <si>
    <t>Contrôle, détection et traitement des incidents du réseau local</t>
  </si>
  <si>
    <t>05D01-01</t>
  </si>
  <si>
    <t>12C05-02</t>
  </si>
  <si>
    <t>12C05-03</t>
  </si>
  <si>
    <t>12C05-04</t>
  </si>
  <si>
    <t>12C05-05</t>
  </si>
  <si>
    <t>Le système de contrôle d'accès garantit-il un contrôle exhaustif de toute personne entrant dans les locaux (sas ne permettant le passage que d'une personne à la fois, processus interdisant l'utilisation du même badge par plusieurs personnes, etc.) ?</t>
  </si>
  <si>
    <t>08C03-04</t>
  </si>
  <si>
    <t>08C03-05</t>
  </si>
  <si>
    <t>9.2.6</t>
  </si>
  <si>
    <t>11C03-02</t>
  </si>
  <si>
    <r>
      <t xml:space="preserve">Les processus qui assurent la gestion des supports sont-ils sous contrôle strict ?
</t>
    </r>
    <r>
      <rPr>
        <i/>
        <sz val="8"/>
        <rFont val="Arial"/>
        <family val="2"/>
      </rPr>
      <t>Un contrôle strict requiert que le logiciel applicatif éventuellement utilisé ait été validé et subisse régulièrement un test d'intégrité (sceau) et qu'il existe un audit au moins annuel des procédures et processus de gestion des supports (y compris de la gestion des anomalies détectées lors de la gestion des supports).
Cela suppose également qu'il existe un document rappelant l'ensemble des exigences concernant la gestion des supports.</t>
    </r>
  </si>
  <si>
    <t>Questionnaire d'audit : Sécurité applicative</t>
  </si>
  <si>
    <t>Questionnaire d'audit : Sécurité des projets et développements applicatifs</t>
  </si>
  <si>
    <t>Questionnaire d'audit : Processus de gestion</t>
  </si>
  <si>
    <t>Vérifie-t-on régulièrement l'existence des moyens d'exploitation des archives (matériels, logiciels compatibles, etc.)</t>
  </si>
  <si>
    <t>08H01-06</t>
  </si>
  <si>
    <t>08H01-07</t>
  </si>
  <si>
    <t>08H01-08</t>
  </si>
  <si>
    <t>08H01-09</t>
  </si>
  <si>
    <t>08H01-10</t>
  </si>
  <si>
    <t>08H01-11</t>
  </si>
  <si>
    <t>Plan de Reprise d'Activité des postes utilisateurs</t>
  </si>
  <si>
    <t>Existe-t-il une procédure précisant la conduite à tenir en cas d'erreur ou d'alerte ?</t>
  </si>
  <si>
    <t>08C07-01</t>
  </si>
  <si>
    <t>10B01-02</t>
  </si>
  <si>
    <t>10B01-03</t>
  </si>
  <si>
    <t>Garde-t-on une trace des tâches effectuées par chaque membre du personnel de développement ?</t>
  </si>
  <si>
    <t>10B01-04</t>
  </si>
  <si>
    <t>10B01-05</t>
  </si>
  <si>
    <t>10B01-06</t>
  </si>
  <si>
    <t>10B01-07</t>
  </si>
  <si>
    <t>10B01-08</t>
  </si>
  <si>
    <t>06D02-02</t>
  </si>
  <si>
    <t>Les résultats d'audit sont-ils protégés contre toute modification ou divulgation ?</t>
  </si>
  <si>
    <t>06D02-03</t>
  </si>
  <si>
    <t>06C03-02</t>
  </si>
  <si>
    <t>06C03-03</t>
  </si>
  <si>
    <t>11C03-03</t>
  </si>
  <si>
    <t>11C03-04</t>
  </si>
  <si>
    <t>Les procédures ci-dessus sont-elles obligatoires en toute circonstance et les dérogations éventuelles doivent-elles être signées par un membre de la Direction ?</t>
  </si>
  <si>
    <t>11C03-05</t>
  </si>
  <si>
    <t>11C04-01</t>
  </si>
  <si>
    <t>11C04-02</t>
  </si>
  <si>
    <t>11C04-03</t>
  </si>
  <si>
    <t>Les données stockées via les réseaux de stockage (SAN) sont-elles chiffrées avant leur transmission sur ces réseaux ?</t>
  </si>
  <si>
    <t>05B07-10;06B01-06:08;08B01-06:08;08B02-06:08;11A02-05:06;12B01-07:09</t>
  </si>
  <si>
    <t>Attaque en blocage de compte</t>
  </si>
  <si>
    <t>Authentification et contrôle des droits d'accès des administrateurs et personnels d'exploitation des réseaux</t>
  </si>
  <si>
    <t>Contrôle des outils et utilitaires de l'exploitation du réseau</t>
  </si>
  <si>
    <t>Prise en compte de la confidentialité lors des opérations de maintenance sur les systèmes en production</t>
  </si>
  <si>
    <t>Gestion des prestataires ou fournisseurs de services liés à la production informatique</t>
  </si>
  <si>
    <t>Procédures et plans de reprise des applications sur incidents d'exploitation</t>
  </si>
  <si>
    <r>
      <t xml:space="preserve">Les fichiers soutenant la gestion des rotations et prélèvements sont-ils sous contrôle strict ?
</t>
    </r>
    <r>
      <rPr>
        <i/>
        <sz val="8"/>
        <rFont val="Arial"/>
        <family val="2"/>
      </rPr>
      <t>Un contrôle strict requiert que la liste des personnes habilitées à accéder aux fichiers soit très limitée, qu'il existe un contrôle d'accès renforcé pour pouvoir les modifier, et que les modifications soient journalisées et auditées.</t>
    </r>
  </si>
  <si>
    <r>
      <t xml:space="preserve">Les personnes susceptibles de travailler en dehors des locaux de l'entreprise reçoivent-elles une sensibilisation et une formation sur les mesures à appliquer pour protéger les documents utilisés, leurs systèmes et les données qu'ils contiennent ?
</t>
    </r>
    <r>
      <rPr>
        <i/>
        <sz val="8"/>
        <rFont val="Arial"/>
        <family val="2"/>
      </rPr>
      <t>Ces protections concernent la sécurité physique et logique contre le vol mais aussi les indiscrétions ou les accès non autorisés par la famille tout autant qu'en public.</t>
    </r>
  </si>
  <si>
    <t>En cas de développement portant sur une application confidentielle, existe-t-il des procédures particulières de gestion de la documentation ?</t>
  </si>
  <si>
    <t>10B02-03</t>
  </si>
  <si>
    <t>Ce recueil fait-il l'objet d'une mise à jour annuelle ?</t>
  </si>
  <si>
    <t>Les procédures de développement imposent-elles une analyse de la confidentialité des applications développées permettant d'obtenir une classification des objets mis en oeuvre au cours des développements (documentation, code source, code objet, notes d'étude, etc.) ?</t>
  </si>
  <si>
    <t>10B02-02</t>
  </si>
  <si>
    <t>Ce partitionnement des zones de bureaux et les cloisonnements correspondants séparent-ils les espaces internes protégés des zones d'accueil et de réunion, où sont reçues des personnes externes aux entités protégées ?</t>
  </si>
  <si>
    <t>11A01-05</t>
  </si>
  <si>
    <t>11A01-06</t>
  </si>
  <si>
    <t>Utilise-t-on un système automatique d'authentification et de contrôle d'accès systématique aux zones protégées ?</t>
  </si>
  <si>
    <t>11A01-07</t>
  </si>
  <si>
    <t>10B05-13</t>
  </si>
  <si>
    <t>10B05-14</t>
  </si>
  <si>
    <t>10B05-12</t>
  </si>
  <si>
    <t>Sauvegarde des configurations logicielles (logiciels de base et applicatifs et paramètres de configuration)</t>
  </si>
  <si>
    <t xml:space="preserve">A-t-on établi un plan de sauvegarde, couvrant l'ensemble des configurations et définissant les objets à sauvegarder et la fréquence des sauvegardes ? </t>
  </si>
  <si>
    <t xml:space="preserve">Ce plan couvre-t-il également les paramètres de configuration des équipements de télécommunication ? </t>
  </si>
  <si>
    <t>12C04-06</t>
  </si>
  <si>
    <t>12C04-07</t>
  </si>
  <si>
    <t>12C04-08</t>
  </si>
  <si>
    <t>12C04-09</t>
  </si>
  <si>
    <t>12C04-10</t>
  </si>
  <si>
    <t>12C04-11</t>
  </si>
  <si>
    <t>12C04-12</t>
  </si>
  <si>
    <t>12C04-13</t>
  </si>
  <si>
    <t>12C04-14</t>
  </si>
  <si>
    <t>12C05</t>
  </si>
  <si>
    <t>12C05-01</t>
  </si>
  <si>
    <t xml:space="preserve">Les mécanismes de sécurité des accès aux données sont-ils très solidement protégés contre toute violation ou altération ?
</t>
  </si>
  <si>
    <t>08C06-08</t>
  </si>
  <si>
    <t>08C06-09</t>
  </si>
  <si>
    <t>08C06-10</t>
  </si>
  <si>
    <t>Y a-t-il des automates analysant la présence de borne non déclarée de réseau sans fil (WiFi) ?</t>
  </si>
  <si>
    <t>06B02-08</t>
  </si>
  <si>
    <t>La configuration des postes utilisateurs les empêche-t-elle de modifier les configurations et d'installer des logiciels systèmes ?</t>
  </si>
  <si>
    <t>06B02-09</t>
  </si>
  <si>
    <t>09D02-03</t>
  </si>
  <si>
    <t>09D02-04</t>
  </si>
  <si>
    <t>09D02-05</t>
  </si>
  <si>
    <t>Est-ce que le programme d'audit est suivi par un ensemble d'indicateurs présentés en revue de Direction ?</t>
  </si>
  <si>
    <t xml:space="preserve">Revue des risques et des mesures de sécurité </t>
  </si>
  <si>
    <t>Les locaux de stockage des supports de production sont-ils protégés contre tout risque accidentel (détection et extinction incendie, protection contre les dégâts des eaux, etc.) ?</t>
  </si>
  <si>
    <t>08C03-11</t>
  </si>
  <si>
    <t>Ces revues conduisent-elles à la révision des plans de sécurité chaque fois que nécessaire ?</t>
  </si>
  <si>
    <t>Le périmètre et les objectifs de la politique de management de la sécurité sont-ils revus régulièrement ?</t>
  </si>
  <si>
    <t>08C06-02</t>
  </si>
  <si>
    <t>Les réseaux de stockage sont-ils protégés par un pare-feu ne laissant passer que les flux de stockage et les flux d'administration ?</t>
  </si>
  <si>
    <t>08C06-03</t>
  </si>
  <si>
    <t>08C06-04</t>
  </si>
  <si>
    <t>Les protocoles de stockage de données comportent-ils une protection contre le rejeu ?</t>
  </si>
  <si>
    <t>08C06-05</t>
  </si>
  <si>
    <t>08C06-06</t>
  </si>
  <si>
    <t>Altération accidentelle (non détectée) de configuration (code, paramétrage, etc.)</t>
  </si>
  <si>
    <t>F09-AC4</t>
  </si>
  <si>
    <t>F09-MA4</t>
  </si>
  <si>
    <t>Altération malveillante (non détectée) de configurations (code, paramétrage, etc.)</t>
  </si>
  <si>
    <t>Le personnel a-t-il la possibilité d'annuler une impression en attente de traitement, si nécessaire ?</t>
  </si>
  <si>
    <t>Les postes de travail sont-ils équipés d'un système d'effacement empêchant effectivement de relire toute donnée effacée sur le disque local ou sur un disque partagé ?</t>
  </si>
  <si>
    <r>
      <t xml:space="preserve">Existe-t-il un système opérationnel de détection de forçage d'issues dans les zones de bureaux protégées relié à un poste permanent de surveillance  ?
</t>
    </r>
    <r>
      <rPr>
        <i/>
        <sz val="8"/>
        <rFont val="Arial"/>
        <family val="2"/>
      </rPr>
      <t>Ce système devrait contrôler le forçage d'issue (portes et fenêtres), l'actionnement ou le maintien ouvert d'une issue de secours, etc...</t>
    </r>
  </si>
  <si>
    <r>
      <t xml:space="preserve">Les processus de définition et de gestion des droits attribués aux profils sont-ils sous contrôle strict ?
</t>
    </r>
    <r>
      <rPr>
        <i/>
        <sz val="8"/>
        <rFont val="Arial"/>
        <family val="2"/>
      </rPr>
      <t>Un contrôle strict requiert que la liste des personnes habilitées à changer les droits attribués aux profils soit très limitée, que la matérialisation de ces droits (sous forme de tables par exemple) soit strictement sécurisée et qu'il existe un contrôle d'accès renforcé pour pouvoir les modifier, et que les modifications soient journalisées et auditées.</t>
    </r>
  </si>
  <si>
    <r>
      <t xml:space="preserve">La communication sur les actions correctives et les améliorations est-elle effectuée vers toutes les parties concernées ? 
</t>
    </r>
    <r>
      <rPr>
        <i/>
        <sz val="8"/>
        <rFont val="Arial"/>
        <family val="2"/>
      </rPr>
      <t>Cette communication doit être suffisamment précise et détaillée.</t>
    </r>
  </si>
  <si>
    <t>max(min(07A01;07A02;08F01);min(09A01;09A02))</t>
  </si>
  <si>
    <t>03C02-05</t>
  </si>
  <si>
    <t>max(min(07A03;07A04;08F02);min(09A03;09A04);09C02)</t>
  </si>
  <si>
    <t>max(09C02;10B05)</t>
  </si>
  <si>
    <t>Perte accidentelle de données en transit</t>
  </si>
  <si>
    <t>Perte de données en transit par erreur</t>
  </si>
  <si>
    <t>Destruction malveillante de données en transit</t>
  </si>
  <si>
    <t>Perte accidentelle de documents en transit</t>
  </si>
  <si>
    <t>Perte de documents en transit par erreur</t>
  </si>
  <si>
    <t>Destruction malveillante de documents en transit</t>
  </si>
  <si>
    <t>08C01</t>
  </si>
  <si>
    <t>un tiers non autorisé</t>
  </si>
  <si>
    <t>D06c</t>
  </si>
  <si>
    <t xml:space="preserve">Indisponibilité </t>
  </si>
  <si>
    <t>Définition de la politique du SMSI</t>
  </si>
  <si>
    <t>14A02-01</t>
  </si>
  <si>
    <t>Ce document de référence est-il protégé contre toute altération indue ou illicite, par des mécanismes forts (sceau électronique) ?</t>
  </si>
  <si>
    <t>06B02-04</t>
  </si>
  <si>
    <t>06B02-05</t>
  </si>
  <si>
    <t>06B02-06</t>
  </si>
  <si>
    <t>06B02-07</t>
  </si>
  <si>
    <t>08C06-07</t>
  </si>
  <si>
    <t>01A02-12;01A03-04;04D03-08;05D03-08;08E03-08</t>
  </si>
  <si>
    <t>01A03-06;02D06-01:02;08H01-04</t>
  </si>
  <si>
    <t>01B02-09;08H01-04:06</t>
  </si>
  <si>
    <t>02D05-03</t>
  </si>
  <si>
    <t>02D05-04</t>
  </si>
  <si>
    <r>
      <t xml:space="preserve">Les processus qui assurent l'authentification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l'authentification (y compris des processus visant à détecter les tentatives de violation et les processus de réaction à ces tentatives de violation).</t>
    </r>
  </si>
  <si>
    <t>Actifs de type Processus de gestion</t>
  </si>
  <si>
    <t>Existe-t-il un document décrivant l'ensemble des paramètres à contrôler sur les postes utilisateurs concernant leurs possibilités de connexion externe (modem, WiFi, ...) ?</t>
  </si>
  <si>
    <t>06B02-02</t>
  </si>
  <si>
    <t>Mise en place d'un plan de formation et de sensibilisation</t>
  </si>
  <si>
    <t>Ce programme est-il effectivement mis en œuvre ?</t>
  </si>
  <si>
    <t xml:space="preserve"> de données publiées sur des sites publics ou internes</t>
  </si>
  <si>
    <t>Libellés des types d'acteurs</t>
  </si>
  <si>
    <t>un membre du personnel de développement</t>
  </si>
  <si>
    <r>
      <t xml:space="preserve">Projets :
</t>
    </r>
    <r>
      <rPr>
        <sz val="10"/>
        <color indexed="10"/>
        <rFont val="Arial"/>
        <family val="2"/>
      </rPr>
      <t>Cellules de travail pour évaluation de la synthèse des projets</t>
    </r>
  </si>
  <si>
    <t>Un droit d'accès permettant de vérifier la qualité des travaux réalisés en sous-traitance a-t-il été prévu ?</t>
  </si>
  <si>
    <t>A-t-on prévu des essais préalables à l'installation d'une nouvelle application en vue de détecter les codes malveillants éventuels ?</t>
  </si>
  <si>
    <t>A-t-on pris des dispositions relatives au dépôt sécurisé du code source et de tous les documents d'accompagnement en cas de manquement du tiers ?</t>
  </si>
  <si>
    <t>La maintenance applicative dispose-t-elle d'un centre technique de support logiciel garantissant une assistance immédiate en cas de difficulté ou de bogue ?</t>
  </si>
  <si>
    <t>08E01-01</t>
  </si>
  <si>
    <t xml:space="preserve">Les éléments du processus de chiffrement sont-ils fortement protégés contre toute altération, modification ou inhibition ? </t>
  </si>
  <si>
    <t>11C02-03</t>
  </si>
  <si>
    <t>Les procédures de développement imposent-elles une séparation stricte des tâches entre spécification détaillée, conception, test unitaire et intégration, avec attribution au personnel de développement, pour chaque projet, de profils spécifiques caractéristiques du type de tâche ?</t>
  </si>
  <si>
    <t>L'affectation de profil et de tâches au personnel de développement est-elle faite de manière individuelle et nominative ?</t>
  </si>
  <si>
    <t>06B01-03;08B01-04;12B01-05</t>
  </si>
  <si>
    <t>Organisation de la maintenance du logiciel utilisateurs (système d'exploitation et applications)</t>
  </si>
  <si>
    <t>Contrôles permanents  (vraisemblance, ...) sur les données</t>
  </si>
  <si>
    <t>Dispositif anti-rayonnement électromagnétique</t>
  </si>
  <si>
    <t>Organisation de la maintenance du logiciel (système et services attachés)</t>
  </si>
  <si>
    <t>04C01-01;05C01-01;05C03-01;08C06-05;09C01-01;09C02-01;09F01-01;11C01-01</t>
  </si>
  <si>
    <t>04C01-03;05C01-03;05C03-03;08D03-10;09C01-03;09C02-05;09F01-04</t>
  </si>
  <si>
    <t>10A02-05:07</t>
  </si>
  <si>
    <t>10A05-01:04</t>
  </si>
  <si>
    <t>09D01-03</t>
  </si>
  <si>
    <t>Existe-t-il un archivage (sur disque, cassette, DON, etc.) de tous les éléments ayant permis de détecter une anomalie ou un incident ?</t>
  </si>
  <si>
    <t>Procède-t-on à des audits réguliers de l'utilisation des moyens de contrôle d'intégrité par les utilisateurs ?</t>
  </si>
  <si>
    <t>11C05-01</t>
  </si>
  <si>
    <t>11C05-02</t>
  </si>
  <si>
    <t>11C05-03</t>
  </si>
  <si>
    <t>11C05-04</t>
  </si>
  <si>
    <t xml:space="preserve">Pour les locaux sensibles, utilise-t-on un système complémentaire de vidéosurveillance cohérent et complet contrôlant tous les mouvements de personnes à l'intérieur des locaux sensibles et permettant de détecter des anomalies dans les comportements ? </t>
  </si>
  <si>
    <t>03B06-02</t>
  </si>
  <si>
    <t>Sécurité des systèmes et de leur architecture (07 Sys)</t>
  </si>
  <si>
    <t>Production informatique (08 Exs)</t>
  </si>
  <si>
    <t>Sécurité applicative (09 App)</t>
  </si>
  <si>
    <t>Sécurité des projets et développements applicatifs (10 Dev)</t>
  </si>
  <si>
    <r>
      <t xml:space="preserve">Conserve-t-on les systèmes opérationnels possédant un lien direct ou indirect avec le système comptable ?
</t>
    </r>
    <r>
      <rPr>
        <i/>
        <sz val="8"/>
        <rFont val="Arial"/>
        <family val="2"/>
      </rPr>
      <t>Les systèmes possédant un lien direct ou indirect avec le système comptable sont-ils maintenus afin de pouvoir apporter la preuve de la véridicité des données ?</t>
    </r>
  </si>
  <si>
    <t>Ces contrats prévoient-ils des horaires et jours d'intervention (24h/24, 7j/7, par exemple ) compatibles avec les exigences de disponibilité ?</t>
  </si>
  <si>
    <t>Ces contrats prévoient-ils des engagements d'intervention dont la durée maximale est compatible avec les exigences de disponibilité ?</t>
  </si>
  <si>
    <t xml:space="preserve">A-t-on établi, pour chaque incident d'exploitation, les moyens de diagnostic correspondants ? </t>
  </si>
  <si>
    <t xml:space="preserve">A-t-on établi, pour chaque incident critique d'exploitation, la solution à mettre en oeuvre ainsi que les opérations à mener par le personnel d'exploitation ? </t>
  </si>
  <si>
    <t>S'assure-t-on régulièrement de la mise à jour de la documentation d'exploitation correspondante ?</t>
  </si>
  <si>
    <t>Documentation des données, procédures et traitements liés à la comptabilité</t>
  </si>
  <si>
    <t>08C, 08H</t>
  </si>
  <si>
    <t>I1</t>
  </si>
  <si>
    <t>Gestion des audits</t>
  </si>
  <si>
    <t>06D, 08G</t>
  </si>
  <si>
    <t>02A, 02C, 03B</t>
  </si>
  <si>
    <t>Protection des documents et des informations écrites</t>
  </si>
  <si>
    <t xml:space="preserve">Procédures d'exploitation </t>
  </si>
  <si>
    <t>Détection et gestion des incidents</t>
  </si>
  <si>
    <t>04D, 05D, 06C03, 07C, 08E, 08F03, 09G, 11E03, 12E03</t>
  </si>
  <si>
    <t>Thème</t>
  </si>
  <si>
    <t>Type de plan</t>
  </si>
  <si>
    <t>Plan de type E</t>
  </si>
  <si>
    <t>Plan de type B</t>
  </si>
  <si>
    <t>Le processus de chiffrement est-il appliqué quelque soit le type de support (disque externe, clé USB, PDA, etc.)</t>
  </si>
  <si>
    <t>Gestion des prestataires ou fournisseurs de services liés aux réseaux</t>
  </si>
  <si>
    <t>08C01-07</t>
  </si>
  <si>
    <t>08C01-08</t>
  </si>
  <si>
    <t>08C01-09</t>
  </si>
  <si>
    <t>08C02-01</t>
  </si>
  <si>
    <t>Les supports magnétiques sont-ils "marqués" anonymement à l'exclusion de toute classification ?</t>
  </si>
  <si>
    <t>08C02-02</t>
  </si>
  <si>
    <t>08C02-03</t>
  </si>
  <si>
    <t>Sécurité physique des supports stockés sur site</t>
  </si>
  <si>
    <t>08C03-01</t>
  </si>
  <si>
    <t>Utilise-t-on un système automatique de contrôle d'accès systématique aux locaux de stockage des supports de production sur site ?</t>
  </si>
  <si>
    <t>02A01-04</t>
  </si>
  <si>
    <t>Les profils permettent-ils également de définir des créneaux horaires et calendaires de travail (heures début et fin de journée, week-end, vacances, etc.) ?</t>
  </si>
  <si>
    <t>02A01-05</t>
  </si>
  <si>
    <t>03A01</t>
  </si>
  <si>
    <t xml:space="preserve">Qualité de la fourniture de l'énergie </t>
  </si>
  <si>
    <t>03A02</t>
  </si>
  <si>
    <t>L'accès aux équipements de stockage fait-il l'objet d'une authentification forte des éléments autorisés (serveurs et stations d'administration) ?</t>
  </si>
  <si>
    <t>10A05-03</t>
  </si>
  <si>
    <t>Sécurité des réseaux de stockage (SAN : Storage Area Network)</t>
  </si>
  <si>
    <t>Enregistrement de Très Haute Sécurité</t>
  </si>
  <si>
    <t>09D01-01</t>
  </si>
  <si>
    <t>Applique-t-on des procédures spécifiques de sécurité vérifiant que chaque donnée enregistrée peut être relue ?</t>
  </si>
  <si>
    <t>09D01-02</t>
  </si>
  <si>
    <t>Existe-t-il des procédures ou une architecture de Très Haute Sécurité enregistrant chaque donnée avec redondance  (disques RAID, mirroring, etc.) ?</t>
  </si>
  <si>
    <t>Y a-t-il une procédure ou des automatismes permettant de déclencher l'intervention immédiate d'un personnel spécialisé en cas d'alarme (du système de contrôle d'accès automatique ou d'une détection d'incident) ?</t>
  </si>
  <si>
    <t>08C04-01</t>
  </si>
  <si>
    <t>Y a-t-il un audit régulier, au moins une fois par an, de l'ensemble des droits attribués aux diverses catégories de personnes et de la pertinence de ces droits d'accès ?</t>
  </si>
  <si>
    <t>02A04</t>
  </si>
  <si>
    <t>Détection des intrusions sur le site ou dans l'immeuble</t>
  </si>
  <si>
    <t>02A05</t>
  </si>
  <si>
    <t>E</t>
  </si>
  <si>
    <t>min(07C01;07C02)</t>
  </si>
  <si>
    <t>min(08E02;08E03)</t>
  </si>
  <si>
    <t>Vérifie-t-on régulièrement la capacité du système de climatisation à assurer sa fonction dans les pires conditions climatiques envisageables ?</t>
  </si>
  <si>
    <t>03A03-03</t>
  </si>
  <si>
    <t>Sécurité des sites (02 Sit)</t>
  </si>
  <si>
    <t>02C</t>
  </si>
  <si>
    <t>02D</t>
  </si>
  <si>
    <t>02C01</t>
  </si>
  <si>
    <t>02C02</t>
  </si>
  <si>
    <t>02C03</t>
  </si>
  <si>
    <t>Réseau étendu intersites (04 Wan)</t>
  </si>
  <si>
    <t>Réseau local (05 Lan)</t>
  </si>
  <si>
    <t>Exploitation des réseaux (06 Exr)</t>
  </si>
  <si>
    <r>
      <t xml:space="preserve">Ces contrats prévoient-ils des clauses spécifiques lorsque l'indisponibilité du système dépasse la durée fixée au contrat (pénalités, remplacement du matériel, etc.) ? 
</t>
    </r>
    <r>
      <rPr>
        <i/>
        <sz val="8"/>
        <rFont val="Arial"/>
        <family val="2"/>
      </rPr>
      <t xml:space="preserve">Il est souhaitable que ces clauses soient générales et couvrent tous les cas sans exception (difficulté technique, grève du personnel, etc.) </t>
    </r>
  </si>
  <si>
    <r>
      <t xml:space="preserve">Contrôle-t-on le bon respect des contraintes liées aux migrations de systèmes ou d'applications ?
</t>
    </r>
    <r>
      <rPr>
        <i/>
        <sz val="8"/>
        <rFont val="Arial"/>
        <family val="2"/>
      </rPr>
      <t>En cas de migrations l’entreprise doit être capable de fournir soit des copies de l’historique de chaque fichier de données, soit une conversion et un historique de la compatibilité des fichiers de données avec le nouveau système. Il n’est donc pas nécessaire de conserver l’ancien système en état de marche.</t>
    </r>
  </si>
  <si>
    <t xml:space="preserve">L’ensemble des documents, données et traitements soumis au droit de contrôle est-il consultable sur le territoire national ? </t>
  </si>
  <si>
    <r>
      <t xml:space="preserve">La documentation liée à ce programme est-elle conservée et utilisée ?
</t>
    </r>
    <r>
      <rPr>
        <i/>
        <sz val="8"/>
        <rFont val="Arial"/>
        <family val="2"/>
      </rPr>
      <t>Par exemple programmes annuels, fiches de participation et d'évaluation, contenu des cours, compétences acquises, etc.</t>
    </r>
  </si>
  <si>
    <t>Sensibilisation et formation à la sécurité, Gestion des ressources humaines</t>
  </si>
  <si>
    <t>Gestion de la sécurité de l'information (14 Msi)</t>
  </si>
  <si>
    <t>S'assure-t-on que les moyens matériels et logiciels nécessaires à la lecture de tous les types de fichiers sont disponibles ou facilement rendus disponibles ?</t>
  </si>
  <si>
    <t>Possibilité de diffusion de fichier de logiciel</t>
  </si>
  <si>
    <t>Possibilité d'inaccessibilité des locaux</t>
  </si>
  <si>
    <t>6 octobre 2010</t>
  </si>
  <si>
    <r>
      <t xml:space="preserve">A-t-on analysé la criticité des différents systèmes généraux (hors architecture applicative, mais y compris des systèmes généraux périphériques tels que systèmes ou robots de sauvegarde, serveurs d'impression ou équipement central d'impression, etc.) pour mettre en évidence les besoins de continuité de service ?
</t>
    </r>
    <r>
      <rPr>
        <i/>
        <sz val="8"/>
        <rFont val="Arial"/>
        <family val="2"/>
      </rPr>
      <t>Une analyse approfondie suppose que l'on établisse une liste de scénarios de panne ou d'incidents et qu'on en analyse toutes les conséquences prévisibles.</t>
    </r>
  </si>
  <si>
    <t>Les procédures de maintenance applicative imposent-elles une validation formelle, par la fonction sécurité, de la couverture des tests relatifs aux fonctions ou dispositifs de sécurité ?</t>
  </si>
  <si>
    <t>01C</t>
  </si>
  <si>
    <t xml:space="preserve">Gestion des ressources humaines </t>
  </si>
  <si>
    <t>Un responsable ou un répondant en matière de Protection de la propriété intellectuelle a-t-il été nommé ?</t>
  </si>
  <si>
    <t xml:space="preserve">Le responsable ou le répondant en matière de Protection de la propriété intellectuelle est-il connu de tous les membres du personnel ? </t>
  </si>
  <si>
    <t>L'application de la politique relative à la Vérification de la comptabilité informatisée fait-elle périodiquement l'objet d'un audit ?</t>
  </si>
  <si>
    <t>Le système de contrôle d'accès garantit-il un contrôle exhaustif de toute personne entrant dans les locaux de stockage (sas ne permettant le passage que d'une personne à la fois, processus interdisant l'utilisation du même badge par plusieurs personnes, etc.) ?</t>
  </si>
  <si>
    <t>Les solutions de continuité des services informatiques sont-elles décrites en détail dans des Plans de Reprise d'Activité incluant les règles de déclenchement, les actions à mener, les priorités, les acteurs à mobiliser et leurs coordonnées ?</t>
  </si>
  <si>
    <t>08D06-07</t>
  </si>
  <si>
    <r>
      <t xml:space="preserve">Existe-t-il un service spécialement chargé de la conservation et de la protection des documents importants devant être conservés sur une longue période ?
</t>
    </r>
    <r>
      <rPr>
        <i/>
        <sz val="8"/>
        <rFont val="Arial"/>
        <family val="2"/>
      </rPr>
      <t>Documents originaux importants, éléments pouvant servir de preuve ou de justificatifs, etc.</t>
    </r>
  </si>
  <si>
    <t>05D01</t>
  </si>
  <si>
    <t>Toute anomalie ou perte de média est-elle immédiatement suivie d'une enquête ?</t>
  </si>
  <si>
    <t>Zones sécurisées</t>
  </si>
  <si>
    <t xml:space="preserve">     T1, T2 et T3</t>
  </si>
  <si>
    <t>Ces moyens temporaires ne donnent-ils accès qu'à une zone strictement limitée ?</t>
  </si>
  <si>
    <t>Y a-t-il un mécanisme d'authentification du serveur auquel on se connecte avant tout accès à un serveur sensible ?</t>
  </si>
  <si>
    <r>
      <t xml:space="preserve">A-t-on défini, pour ces environnements, des droits d'accès distincts en fonction des profils et des projets ?
</t>
    </r>
    <r>
      <rPr>
        <i/>
        <sz val="8"/>
        <rFont val="Arial"/>
        <family val="2"/>
      </rPr>
      <t xml:space="preserve">Le principe étant qu'il soit nécessaire d'avoir le bon profil pour le bon projet pour avoir accès à l'environnement correspondant. </t>
    </r>
  </si>
  <si>
    <t>12D</t>
  </si>
  <si>
    <t>13B02-08</t>
  </si>
  <si>
    <t>13C03-08</t>
  </si>
  <si>
    <t>12A01-03</t>
  </si>
  <si>
    <t>12A01-04</t>
  </si>
  <si>
    <t>10 01</t>
  </si>
  <si>
    <t xml:space="preserve">     Obj_PA</t>
  </si>
  <si>
    <t xml:space="preserve">     Obj_Projets</t>
  </si>
  <si>
    <t>Objectifs par projets</t>
  </si>
  <si>
    <t>Récapitulatif des objectifs issus des plans d'action</t>
  </si>
  <si>
    <t>La procédure d'attribution de droits privilégiés nécessite-t-elle  l'accord formel de la hiérarchie (ou du responsable de la prestation pour un prestataire) à un niveau suffisant ?</t>
  </si>
  <si>
    <t>La procédure d'attribution de droits privilégiés n'est-elle attribuée qu'en fonction du profil du titulaire ?</t>
  </si>
  <si>
    <t>La collecte de preuves est-elle réalisée chaque fois qu'une action juridique doit être envisagée ?</t>
  </si>
  <si>
    <t>13.2.3</t>
  </si>
  <si>
    <t>01A03-07</t>
  </si>
  <si>
    <t>La mise en place et la tenue à jour du système de gestion des incidents font-elles l'objet d'un tableau de bord et d'un suivi régulier, se traduisant par des plans d'action ?</t>
  </si>
  <si>
    <t>01A04-01</t>
  </si>
  <si>
    <t>Contrôle de l'intégrité des échanges sur le réseau étendu</t>
  </si>
  <si>
    <t>04D01</t>
  </si>
  <si>
    <t xml:space="preserve">  Sélection directe</t>
  </si>
  <si>
    <t>Sélection vulnérabilité</t>
  </si>
  <si>
    <t>Sélection résultante</t>
  </si>
  <si>
    <t>Partitionnement du réseau local en domaines de sécurité</t>
  </si>
  <si>
    <t>05A02</t>
  </si>
  <si>
    <t>Sûreté de fonctionnement des éléments d'architecture du réseau local</t>
  </si>
  <si>
    <t>05A03</t>
  </si>
  <si>
    <t>Organisation de la maintenance des équipements du réseau local</t>
  </si>
  <si>
    <t>05A05</t>
  </si>
  <si>
    <t>Services généraux</t>
  </si>
  <si>
    <t>Sécurité du câblage</t>
  </si>
  <si>
    <t>03A04-01:04</t>
  </si>
  <si>
    <t>Maintenance du matériel</t>
  </si>
  <si>
    <t>9.2.5</t>
  </si>
  <si>
    <t>Procède-t-on périodiquement à un audit des procédures de gestion des supports (transport et restitution) ?</t>
  </si>
  <si>
    <t xml:space="preserve">A-t-on établi un plan de sauvegarde, couvrant l'ensemble des paramètres de configuration des postes utilisateurs ? </t>
  </si>
  <si>
    <t>Procédures et plans de reprise du réseau local sur incidents</t>
  </si>
  <si>
    <t>05A06</t>
  </si>
  <si>
    <t>Plan de sauvegarde des configurations du réseau local</t>
  </si>
  <si>
    <t>05A07</t>
  </si>
  <si>
    <t>Plan de Reprise d'Activité (PRA) du réseau local</t>
  </si>
  <si>
    <t>Arret de fonctionnement</t>
  </si>
  <si>
    <t>à un conflit social avec le personnel d'exploitation</t>
  </si>
  <si>
    <t>Arret de fonctionnement ou blocage</t>
  </si>
  <si>
    <t>Niveau cible</t>
  </si>
  <si>
    <t>Obj</t>
  </si>
  <si>
    <t>min(08D07;11D06)</t>
  </si>
  <si>
    <t>min(07C02;08E02)</t>
  </si>
  <si>
    <t>min(07C01;08E02)</t>
  </si>
  <si>
    <t>max(07A02;09A02)</t>
  </si>
  <si>
    <t>min(07A03;07A04)</t>
  </si>
  <si>
    <t>min(08F02;08F03)</t>
  </si>
  <si>
    <t>Services systèmes communs : messagerie, archivage, impression, édition,  etc.</t>
  </si>
  <si>
    <t>08D06-02</t>
  </si>
  <si>
    <t>08D06-03</t>
  </si>
  <si>
    <t>A-t-on défini et mis en place, en conséquence et pour faire face à chaque scénario retenu, une solution de secours respectant les demandes des utilisateurs ?</t>
  </si>
  <si>
    <t>08D06-04</t>
  </si>
  <si>
    <t>08D06-05</t>
  </si>
  <si>
    <t>08D06-06</t>
  </si>
  <si>
    <r>
      <t xml:space="preserve">Authentification de l'utilisateur ou de l'entité demandant un accès au réseau local depuis un point d'accès interne 
</t>
    </r>
    <r>
      <rPr>
        <i/>
        <sz val="8"/>
        <rFont val="Arial"/>
        <family val="2"/>
      </rPr>
      <t>Ce mécanisme correspond à l'authentification réalisée sous Windows par un contrôleur de domaine.</t>
    </r>
  </si>
  <si>
    <t>A-t-on défini les liens permanents et les échanges de données devant être protégés par des solutions de chiffrement et mis en place de telles solutions au niveau du réseau local ?</t>
  </si>
  <si>
    <t>Les procédures de maintenance applicative imposent-elles une séparation stricte des tâches entre spécification détaillée, conception, test unitaire et intégration, avec attribution au personnel de maintenance, pour chaque projet, de profils spécifiques caractéristiques du type de tâche ?</t>
  </si>
  <si>
    <r>
      <t xml:space="preserve">En a-t-on déduit une politique de sécurité relative à l'utilisation d'équipements personnels dans le cadre du travail ?
</t>
    </r>
    <r>
      <rPr>
        <i/>
        <sz val="8"/>
        <rFont val="Arial"/>
        <family val="2"/>
      </rPr>
      <t>Les directives devraient traiter de l'introduction et de l'utilisation d'équipements personnels tels que ordinateurs portables, assistants numériques personnels (ANP ou PDA), disques externes, supports optiques, clés USB, etc.</t>
    </r>
  </si>
  <si>
    <t xml:space="preserve">Eléments permanents et de paramétrage de la méthode </t>
  </si>
  <si>
    <r>
      <t xml:space="preserve">Le protocole d'authentification du personnel de maintenance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</si>
  <si>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r>
      <t xml:space="preserve">Le système de gestion d'incidents est-il strictement contrôlé vis-à-vis de toute modification illicite ou injustifiée ?
</t>
    </r>
    <r>
      <rPr>
        <i/>
        <sz val="8"/>
        <rFont val="Arial"/>
        <family val="2"/>
      </rPr>
      <t>Un contrôle strict requiert une protection renforcée pour pouvoir modifier un enregistrement et un audit de toute modification des enregistrements ou un contrôle par scellement électronique de toute modification.</t>
    </r>
  </si>
  <si>
    <t>Tout arrêt du système d'enregistrement et de traitement des enregistrements déclenche-t-elle une alarme auprès d'un responsable ?</t>
  </si>
  <si>
    <r>
      <t xml:space="preserve">Les outils d'audit sont-ils protégés afin d'éviter toute utilisation injustifiée ou malveillante ?
</t>
    </r>
    <r>
      <rPr>
        <i/>
        <sz val="8"/>
        <rFont val="Arial"/>
        <family val="2"/>
      </rPr>
      <t>Ceci s'applique, en particulier, aux tests de pénétration et aux évaluations de vulnérabilité.</t>
    </r>
  </si>
  <si>
    <t>lors d'une opération de maintenance matérielle</t>
  </si>
  <si>
    <t>Mam</t>
  </si>
  <si>
    <t>lors d'une opération de maintenance à chaud</t>
  </si>
  <si>
    <t>Le personnel dispose-t-il de moyens de destruction sécurisée des documents sensibles à détruire (déchiqueteuse, procédure de ramassage spéciale ) ?</t>
  </si>
  <si>
    <t>Le local de tri et de répartition du courrier (arrivée et départ) est-il fermé à clé en dehors des heures où le personnel y travaille ?</t>
  </si>
  <si>
    <t>Dans les services utilisateurs, les courriers non clos en attente (de distribution ou de départ) sont-ils tenus à l'abri de toute indiscrétion ?</t>
  </si>
  <si>
    <t>Existe-t-il une procédure obligeant les utilisateurs à utiliser ce service pour tout document ayant valeur de preuve ou constituant un original important ?</t>
  </si>
  <si>
    <t>Les conditions de stockage correspondants et les systèmes de sécurité associés font-ils l'objet d'audits réguliers ?</t>
  </si>
  <si>
    <t>Organisation de la maintenance du matériel (équipements) en exploitation</t>
  </si>
  <si>
    <t>Sécurité physique des médias en transit</t>
  </si>
  <si>
    <t>Un cahier des charges concernant les règles d'archivage est-il établi et tenu à jour par chaque propriétaire de données à archiver ?</t>
  </si>
  <si>
    <t>S'assure-t-on régulièrement des possibilités réelles de restauration des données et de reprise du service en cas d'incident d'exploitation ?</t>
  </si>
  <si>
    <r>
      <t xml:space="preserve">Les automatismes de production assurant les sauvegardes sont-ils protégés par des mécanismes de haute sécurité contre toute modification illicite ou injustifiée ?
</t>
    </r>
    <r>
      <rPr>
        <i/>
        <sz val="8"/>
        <rFont val="Arial"/>
        <family val="2"/>
      </rPr>
      <t>Un tel mécanisme pourrait être un scellement électronique ou tout système de détection de modification équivalent.</t>
    </r>
  </si>
  <si>
    <r>
      <t xml:space="preserve">Les automatismes de production assurant les sauvegardes sont-ils strictement contrôlés vis-à-vis de toute modification illicite ou injustifiée ?
</t>
    </r>
    <r>
      <rPr>
        <i/>
        <sz val="8"/>
        <rFont val="Arial"/>
        <family val="2"/>
      </rPr>
      <t>Un contrôle strict requiert une protection renforcée pour pouvoir modifier ces automatismes et un enregistrement et un audit de toute modification des automatismes de sauvegarde ou un contrôle par scellement électronique de toute modification.</t>
    </r>
  </si>
  <si>
    <t>13C01-03</t>
  </si>
  <si>
    <t>13C01-04</t>
  </si>
  <si>
    <t>13C01-05</t>
  </si>
  <si>
    <r>
      <t xml:space="preserve">Le protocole d'authentification du personnel de développement détenant des droits privilégiés est-il considéré comme "fort" ?
</t>
    </r>
    <r>
      <rPr>
        <i/>
        <sz val="8"/>
        <rFont val="Arial"/>
        <family val="2"/>
      </rPr>
      <t>Un protocole d'authentification est considéré comme fort s'il n'est pas susceptible d'être mis en brèche par une observation ou une écoute de réseau, ni mis en défaut par des outils de spécialistes (en particulier des outils de craquage de mots de passe). Il s'agit de protocole s'appuyant généralement sur des procédés cryptologiques.</t>
    </r>
  </si>
  <si>
    <r>
      <t>Cette équipe est-elle disponible en permanence ou sur appel (sous</t>
    </r>
    <r>
      <rPr>
        <strike/>
        <sz val="8"/>
        <rFont val="Arial"/>
        <family val="2"/>
      </rPr>
      <t xml:space="preserve"> </t>
    </r>
    <r>
      <rPr>
        <sz val="8"/>
        <rFont val="Arial"/>
        <family val="2"/>
      </rPr>
      <t>astreinte) et capable d'engendrer une réaction immédiate ?</t>
    </r>
  </si>
  <si>
    <t>Ces contrats prévoient-ils des engagements d'intervention dont la durée maximale est fixée au contrat et compatible avec les exigences de disponibilité ?</t>
  </si>
  <si>
    <t>Possibilité d'indisponibilité de moyens de servitude nécessaires</t>
  </si>
  <si>
    <t>Erreur matérielle ou de comportement du personnel</t>
  </si>
  <si>
    <t>Malveillance menée par voie logique ou fonctionnelle</t>
  </si>
  <si>
    <t>Malveillance menée par voie physique</t>
  </si>
  <si>
    <t>Arc</t>
  </si>
  <si>
    <t>La mise hors service ou le contournement de la solution de signature sont-ils immédiatement détectés et signalés à une équipe permanente ou disponible sur appel (astreinte) capable d'engendrer une réaction immédiate ?</t>
  </si>
  <si>
    <r>
      <t xml:space="preserve">La solution de contrôle de numérotation ou de séquencement offre-t-elle des garanties de solidité dignes de confiance et a-t-elle été approuvée par le RSSI ?
</t>
    </r>
    <r>
      <rPr>
        <i/>
        <sz val="8"/>
        <rFont val="Arial"/>
        <family val="2"/>
      </rPr>
      <t>La recommandation d'un organisme officiel peut être un facteur de confiance.</t>
    </r>
  </si>
  <si>
    <t>max(05B03;min(07A03;07A04);09C02)</t>
  </si>
  <si>
    <t>Accès</t>
  </si>
  <si>
    <t>Ain</t>
  </si>
  <si>
    <t>Atm</t>
  </si>
  <si>
    <t>Aerl</t>
  </si>
  <si>
    <t>Asan</t>
  </si>
  <si>
    <t>Aem</t>
  </si>
  <si>
    <t>La mise hors service ou le by-pass de la solution de chiffrement sont-ils immédiatement détectés et signalés à une équipe permanente ou d'astreinte capable d'engendrer une réaction immédiate ?</t>
  </si>
  <si>
    <t>04C01-06</t>
  </si>
  <si>
    <t>04C01-07</t>
  </si>
  <si>
    <t>Gestion des supports amovibles</t>
  </si>
  <si>
    <t>Mise au rebut des supports</t>
  </si>
  <si>
    <t>max(07A05;09A05)</t>
  </si>
  <si>
    <t>Gr. 1</t>
  </si>
  <si>
    <t>Gr. 2</t>
  </si>
  <si>
    <t>Gr. 3</t>
  </si>
  <si>
    <t>Gr. 4</t>
  </si>
  <si>
    <t>Les procédures d'enregistrement des actions privilégiées sur le parc des postes utilisateurs et de traitement de ces enregistrements font-elles l'objet d'un audit régulier ?</t>
  </si>
  <si>
    <t>Gestion des prestataires ou fournisseurs de services de gestion et d'administration du parc de postes utilisateurs</t>
  </si>
  <si>
    <t>Gestion des moyens nécessaires à l'accès aux fichiers bureautiques</t>
  </si>
  <si>
    <t>Les procédures de transfert de médias sont-elles régulièrement auditées ?</t>
  </si>
  <si>
    <t xml:space="preserve">Sécurité physique des médias en transit </t>
  </si>
  <si>
    <t>09F01-08</t>
  </si>
  <si>
    <t>Peut-on contrôler à tout moment la liste des profils et l'ensemble des droits attribués à chaque profil ?</t>
  </si>
  <si>
    <t>07A01-08</t>
  </si>
  <si>
    <t>07A02-01</t>
  </si>
  <si>
    <t>La procédure d'attribution des autorisations d'accès nécessite-t-elle  l'accord formel de la hiérarchie (à un niveau suffisant) ?</t>
  </si>
  <si>
    <t>07A02-02</t>
  </si>
  <si>
    <t>07A02-03</t>
  </si>
  <si>
    <t>07A02-04</t>
  </si>
  <si>
    <t>Existe-t-il une procédure permettant de détecter, a posteriori, des anomalies dans les processus de contrôle d'accès (audit des procédures et du paramétrage des systèmes de contrôle d'accès, audit des procédures d'exception et d'intervention, etc.) ?</t>
  </si>
  <si>
    <t xml:space="preserve">Détection des intrusions sur le site ou dans l'immeuble </t>
  </si>
  <si>
    <t>02A04-01</t>
  </si>
  <si>
    <t>A-t-on un système opérationnel de détection des intrusions sur le site relié à un poste permanent de surveillance  ?</t>
  </si>
  <si>
    <t>02A04-02</t>
  </si>
  <si>
    <t>06C04-04</t>
  </si>
  <si>
    <t>Cette interdiction est-elle régulièrement contrôlée par un automatisme avec alerte auprès d'un responsable ?</t>
  </si>
  <si>
    <t>06C04-05</t>
  </si>
  <si>
    <t>Existe-t-il un plan regroupant l'ensemble des solutions de secours pour pallier tous les arrêts des processus critiques et applications sensibles ?</t>
  </si>
  <si>
    <t>09E02-08</t>
  </si>
  <si>
    <t>13B01-07</t>
  </si>
  <si>
    <t>13C</t>
  </si>
  <si>
    <t>13C01-01</t>
  </si>
  <si>
    <t>13C01-02</t>
  </si>
  <si>
    <t>13C01-06</t>
  </si>
  <si>
    <t>13C01-07</t>
  </si>
  <si>
    <t>Les décisions d'évolution de version des progiciels utilisateurs font-elles l'objet de procédures de contrôle (enregistrement, planning, approbation formelle, communication à l'ensemble des personnes concernées, etc.) ?</t>
  </si>
  <si>
    <t>Les nouvelles versions sont-elles testées sur sites pilotes avant généralisation à l'ensemble du parc ?</t>
  </si>
  <si>
    <t>Les paramétrages de sécurité et règles de configuration sont-ils contrôlés après toute évolution de configuration des postes utilisateurs ?</t>
  </si>
  <si>
    <t>L'impact éventuel des évolutions de configuration des postes utilisateurs sur les plans de continuité a-t-il été pris en compte ?</t>
  </si>
  <si>
    <t>L'ensemble des procédures de contrôle des configurations utilisateurs fait-il l'objet d'un audit régulier ?</t>
  </si>
  <si>
    <t>Existe-t-il une procédure qui permette à un administrateur autorisé d'accéder au poste de travail en cas de départ ou de disparition de son titulaire ?</t>
  </si>
  <si>
    <t>Procède-t-on à des audits réguliers des procédures et des services de contrôle d'accès ?</t>
  </si>
  <si>
    <t>Les devoirs et responsabilités du personnel quant à l'utilisation, la conservation et l'archivage des informations et à la protection du secret sont-ils précisés dans une note ou document mis à la disposition du management ?</t>
  </si>
  <si>
    <t>01B01-02</t>
  </si>
  <si>
    <t>Ces règles ont-elles été validées par la Direction Juridique (en particulier pour les enregistrements contenant des données à caractère personnel) ?</t>
  </si>
  <si>
    <t>07C01-07</t>
  </si>
  <si>
    <t>14A02-07</t>
  </si>
  <si>
    <t>Cette politique a-t-elle été approuvée par la Direction de l'organisation  ?</t>
  </si>
  <si>
    <t>14A02-08</t>
  </si>
  <si>
    <t>La direction de l'organisation a-t-elle provisionné les ressources et moyens nécessaires sur le long terme ?</t>
  </si>
  <si>
    <t>14A03</t>
  </si>
  <si>
    <t>La méthode permet-elle de positionner les dysfonctionnements redoutés sur une échelle de niveaux applicable à toute l'organisation ?</t>
  </si>
  <si>
    <t>14A03-04</t>
  </si>
  <si>
    <t>14A04</t>
  </si>
  <si>
    <t>Identification des risques</t>
  </si>
  <si>
    <t>14A04-01</t>
  </si>
  <si>
    <t>14A04-02</t>
  </si>
  <si>
    <t>14A04-03</t>
  </si>
  <si>
    <t>Existe-t-il, pour tout point critique, une solution palliative pour faire face à la disparition ou la défaillance du fournisseur (dépôt de la documentation de maintenance chez un tiers de confiance, remplacement de l'équipement, du logiciel ou du service par des solutions du marché, etc.) ?</t>
  </si>
  <si>
    <t>A-t-on l'assurance que cette solution palliative pourra être rendue opérationnelle dans des délais compatibles avec la poursuite de l'activité et acceptés par les utilisateurs ?</t>
  </si>
  <si>
    <t>A-t-on prévu des variantes de la solution de base au cas où celle-ci rencontrerait des difficultés imprévues ?</t>
  </si>
  <si>
    <t>11B01-02</t>
  </si>
  <si>
    <t>11B01-03</t>
  </si>
  <si>
    <t>11B01-04</t>
  </si>
  <si>
    <t>11B01-05</t>
  </si>
  <si>
    <t>11B01-06</t>
  </si>
  <si>
    <t>11B01-07</t>
  </si>
  <si>
    <t>11B01-08</t>
  </si>
  <si>
    <t>L'ensemble des procédures et paramètres de sécurité de la protection des accès aux résidus fait-il l'objet d'un audit régulier ?</t>
  </si>
  <si>
    <t>07C</t>
  </si>
  <si>
    <t>Gestion et enregistrement des traces</t>
  </si>
  <si>
    <t>07C01-01</t>
  </si>
  <si>
    <t>A-t-on procédé a une analyse spécifique des accès à journaliser et des paramètres concernant ces accès à conserver ?</t>
  </si>
  <si>
    <t>07C01-02</t>
  </si>
  <si>
    <t>Le personnel a-t-il la possibilité de détruire les éléments imprimés à rebuter de manière sécurisée  ?</t>
  </si>
  <si>
    <t>Cette politique impose-t-elle que les message émis avec une haute importance soient systématiquement assortis d'un accusé de réception contrôlé par l'émetteur ?</t>
  </si>
  <si>
    <t>Les imprimantes partagées sont-elles situées dans des locaux à accès contrôlé ?</t>
  </si>
  <si>
    <t>L'ensemble des mesures de protection des impressions sur imprimante partagée fait-il l'objet d'un audit régulier ?</t>
  </si>
  <si>
    <t>Les utilisateurs sont-ils sensibilisés et formés aux sauvegardes des données éventuellement stockées sur leur poste de travail ?</t>
  </si>
  <si>
    <t>Protection des postes utilisateurs contre des codes malveillants ou des codes exécutables non autorisés</t>
  </si>
  <si>
    <t xml:space="preserve">Utilise-t-on des moyens de lutte contre le rayonnement des matériels supportant des applications très sensibles (matériel Tempest, blindage des câbles, installation de "cages de faraday", etc.) ? </t>
  </si>
  <si>
    <t>A-t-on déduit d'une analyse de criticité une architecture de redondance ou de systèmes miroirs au niveau des serveurs ou équipements pouvant être critiques ?</t>
  </si>
  <si>
    <t>Possibilité de pollution des configurations logicielles</t>
  </si>
  <si>
    <t>Organisation interne</t>
  </si>
  <si>
    <t>En complément du contrôle d'accès par les issues normales, assure-t-on un contrôle d'accès par les autres issues (fenêtres accessibles depuis l'extérieur, issues de secours, accès potentiels par les faux planchers et faux plafonds,... ) ?</t>
  </si>
  <si>
    <t>La mise hors service ou l'arrêt de tout équipement de redondance ou de tout système de détection nécessaire à une intervention manuelle sont-elles détectées et déclenchent-elles une alarme auprès d'un responsable de l'exploitation ?</t>
  </si>
  <si>
    <t>A-t-on déduit d'une analyse de criticité des Plans de Continuité pour chaque processus applicatif critique ?</t>
  </si>
  <si>
    <t>Ces plans de continuité sont-ils en phase avec les Plans de Reprise d'Activités (back-up) des matériels et systèmes utilisés par le processus ou l'application ?</t>
  </si>
  <si>
    <t>Les systèmes automatiques de contrôle d'accès aux zones protégées sont-ils placés sous contrôle permanent opérationnel 24h/24 permettant de diagnostiquer une panne ou une désactivation en temps réel ?</t>
  </si>
  <si>
    <t>La mise au rebut des supports est-elle systématiquement enregistrée (date et heure, personne responsable du média, etc.) ?</t>
  </si>
  <si>
    <t>08C01-04</t>
  </si>
  <si>
    <t>08C01-05</t>
  </si>
  <si>
    <t>La restitution des supports après utilisation par la production est-elle contrôlée par cette personne ou ce service ?</t>
  </si>
  <si>
    <t>08C01-06</t>
  </si>
  <si>
    <t>14A01-01</t>
  </si>
  <si>
    <r>
      <t xml:space="preserve">La méthode d'analyse du risque permet-elle d'évaluer les modes de traitement des risques appropriés pour l'organisation ? 
</t>
    </r>
    <r>
      <rPr>
        <i/>
        <sz val="8"/>
        <rFont val="Arial"/>
        <family val="2"/>
      </rPr>
      <t>Selon  l'une des options : Accepter, Éviter, Transférer ou Réduire le risque et en fonction des critères établis.</t>
    </r>
  </si>
  <si>
    <r>
      <t xml:space="preserve">Les versions de systèmes et les correctifs à apporter, ainsi que les paramétrages, sont-ils régulièrement mis à jour en fonction de l'état des connaissances ?
</t>
    </r>
    <r>
      <rPr>
        <i/>
        <sz val="8"/>
        <rFont val="Arial"/>
        <family val="2"/>
      </rPr>
      <t xml:space="preserve">Ceci devrait se faire en relation avec un organisme expert (audits spécialisés, abonnement à un centre de service, consultation régulière des avis des CERTs, etc.) </t>
    </r>
  </si>
  <si>
    <r>
      <t xml:space="preserve">Le produit anti-virus est-il régulièrement et automatiquement mis à jour ? 
</t>
    </r>
    <r>
      <rPr>
        <i/>
        <sz val="8"/>
        <rFont val="Arial"/>
        <family val="2"/>
      </rPr>
      <t>Avec internet, l'instantanéité de la menace oblige à un contrôle de disponibilité d'une mise à jour au minimum quotidiennement.</t>
    </r>
  </si>
  <si>
    <r>
      <t xml:space="preserve">A-t-on l'assurance que les capacités et disponibilités de l'équipe de maintenance lui permette de répondre de manière satisfaisante aux demandes de maintenance des utilisateurs ? 
</t>
    </r>
    <r>
      <rPr>
        <i/>
        <sz val="8"/>
        <rFont val="Arial"/>
        <family val="2"/>
      </rPr>
      <t>Il convient de prendre en compte les périodes de week-end ou de congés.</t>
    </r>
  </si>
  <si>
    <t>10A05-04</t>
  </si>
  <si>
    <t>Contrôles d'accès physiques (sites, bâtiments et locaux)</t>
  </si>
  <si>
    <t>02B, 03A, 03C, 03D</t>
  </si>
  <si>
    <t>Contrôle d'accès aux systèmes</t>
  </si>
  <si>
    <t>01C04-01:05</t>
  </si>
  <si>
    <t>Processus disciplinaire</t>
  </si>
  <si>
    <r>
      <t xml:space="preserve">La procédure et les mécanismes de conservation, de distribution, et plus généralement de gestion des clés,  offrent-ils des garanties de solidité dignes de confiance et ont-ils été approuvés par le RSSI ?
</t>
    </r>
    <r>
      <rPr>
        <i/>
        <sz val="8"/>
        <rFont val="Arial"/>
        <family val="2"/>
      </rPr>
      <t>La possibilité de devoir récupérer ces informations sur un autre système matériel ou une autre version du système d'opération ou de l'application doit être anticipée.</t>
    </r>
  </si>
  <si>
    <r>
      <t xml:space="preserve">Les processus qui assurent les contrôles permanents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contrôle (y compris des processus visant à détecter les tentatives de modification et les processus de réaction à ces tentatives de modification).</t>
    </r>
  </si>
  <si>
    <r>
      <t xml:space="preserve">Les décisions de changements majeurs des équipements et systèmes font-elles l'objet de procédures de contrôle (enregistrement, planning, approbation formelle, communication à l'ensemble des personnes concernées, etc.) ?
</t>
    </r>
    <r>
      <rPr>
        <i/>
        <sz val="8"/>
        <rFont val="Arial"/>
        <family val="2"/>
      </rPr>
      <t xml:space="preserve">La séparation éventuelle (physique ou logique, par VLAN) des flux de données et de "voix" doit être analysée lors du passage à la ToIP et réévaluée en fonction des charges observée, de même en ce qui concerne les possibilités d'interconnexion entre les deux réseaux  </t>
    </r>
  </si>
  <si>
    <r>
      <t xml:space="preserve">Les installations sont-elles faites avec un souci de protection physique ?
</t>
    </r>
    <r>
      <rPr>
        <i/>
        <sz val="8"/>
        <rFont val="Arial"/>
        <family val="2"/>
      </rPr>
      <t>Accès protégé, absence de vue directe externe sur les équipements, absence de menaces physiques diverses, continuité de l'alimentation électrique, conditions climatiques, protection contre la foudre, protection contre la poussière, etc.</t>
    </r>
  </si>
  <si>
    <r>
      <t xml:space="preserve">Ces autorisations sont-elles limitées dans le temps (durée de validité) ?
</t>
    </r>
    <r>
      <rPr>
        <i/>
        <sz val="8"/>
        <rFont val="Arial"/>
        <family val="2"/>
      </rPr>
      <t>La durée de validité peut être définie en fonction du profil.</t>
    </r>
  </si>
  <si>
    <t>A-t-on mis en place une procédure de retrait des droits systématique en cas de départ ?</t>
  </si>
  <si>
    <t>A-t-on mis en place une procédure de retrait des droits systématique en cas de changement de fonction ou de mutation ?</t>
  </si>
  <si>
    <t>Les manquants éventuels font-ils systématiquement l'objet d'une procédure de recherche avec établissement d'un tableau de suivi faisant partie du tableau de bord de l'exploitation ?</t>
  </si>
  <si>
    <t>04A02-01;05A03-01;06A03-01;06A07-01:02;08A04-01;08A05-01:02;08D01-01;11D01-01;12A03-01;12C01-01</t>
  </si>
  <si>
    <t>06A07-01;08A05-01:02;08C01-05;11C03-01</t>
  </si>
  <si>
    <t>06A05-01:04;08A08-01:04;12A05-01:04</t>
  </si>
  <si>
    <t>Ces mesures de protection sont-elles adaptées à la sensibilité maximale des informations (stockage intermédiaire en armoires fortes et remise en main propre pour les informations très sensibles ) ?</t>
  </si>
  <si>
    <t>08A09-01</t>
  </si>
  <si>
    <t>02D02-01;08C01-01:05;08C03-11</t>
  </si>
  <si>
    <t>07B01-08;08C01-04</t>
  </si>
  <si>
    <t>04D01-09;04D02-06;04D02-08:09;05D01-09;05D02-06;05D02-08:09;07C01-07:08;07C02-07:08</t>
  </si>
  <si>
    <t>06C03-01:07;08F03-01:07;11E03-01:09;12E03-01:09</t>
  </si>
  <si>
    <t>L'attribution des profils d'administration et la mise en oeuvre des mesures de sécurité précédentes font-elles l'objet d'un audit régulier ?</t>
  </si>
  <si>
    <t>08A03-01</t>
  </si>
  <si>
    <t>08A03-02</t>
  </si>
  <si>
    <t>08A03-03</t>
  </si>
  <si>
    <t>V3</t>
  </si>
  <si>
    <t>V4</t>
  </si>
  <si>
    <t>max(04C01;09C01;09F02)</t>
  </si>
  <si>
    <t>D11-I</t>
  </si>
  <si>
    <t>Compte applicatif</t>
  </si>
  <si>
    <t>Configuration logicielle</t>
  </si>
  <si>
    <t>Altération</t>
  </si>
  <si>
    <t>D et I</t>
  </si>
  <si>
    <t>D et C</t>
  </si>
  <si>
    <t>Procède-t-on régulièrement à des audits des moyens et procédures garantissant la permanence des accès aux fichiers de données ?</t>
  </si>
  <si>
    <t>09E</t>
  </si>
  <si>
    <t>09E01-01</t>
  </si>
  <si>
    <t>09E01-02</t>
  </si>
  <si>
    <r>
      <t xml:space="preserve">Le rapport d'évaluation a-t-il été approuvé par les auditeurs externes (ou les commissaires aux comptes, en France) ?
</t>
    </r>
    <r>
      <rPr>
        <i/>
        <sz val="8"/>
        <rFont val="Arial"/>
        <family val="2"/>
      </rPr>
      <t>Cette approbation implique que les auditeurs doivent obtenir tous les éléments nécessaires en temps voulu pour les contrôler.</t>
    </r>
  </si>
  <si>
    <r>
      <t xml:space="preserve">L'exploitation a-t-elle reçu une formation spécifique à l'analyse des risques liés aux télécommunications ?
</t>
    </r>
    <r>
      <rPr>
        <i/>
        <sz val="8"/>
        <rFont val="Arial"/>
        <family val="2"/>
      </rPr>
      <t>Qu'il s'agisse de continuité de service comme de confidentialité et d'intégrité des échanges et des données</t>
    </r>
  </si>
  <si>
    <t>Toute opération de maintenance doit-elle être conclue par un contrôle systématique des configurations physiques ou enregistrées et des paramètres de sécurité (tels que définis lors de la mise en production) ?</t>
  </si>
  <si>
    <t>Le personnel est-il régulièrement sensibilisé à la nécessité de protéger les documents et autres supports sensibles ?</t>
  </si>
  <si>
    <t>03B01-03</t>
  </si>
  <si>
    <t>03B01-04</t>
  </si>
  <si>
    <t>03B01-05</t>
  </si>
  <si>
    <t>03B01-06</t>
  </si>
  <si>
    <t>03B01-07</t>
  </si>
  <si>
    <t>03B02-01</t>
  </si>
  <si>
    <t>La procédure d'attribution d'une autorisation d'accès, permanente ou pour une durée déterminée, nécessite-t-elle  l'accord formel de la hiérarchie de rattachement ou de l'unité gérante de la prestation externe (à un niveau suffisant) ?</t>
  </si>
  <si>
    <t>03B02-02</t>
  </si>
  <si>
    <t>03B02-03</t>
  </si>
  <si>
    <t xml:space="preserve">Les autorisations sont-elles attribuées nominativement en fonction du profil de son titulaire et matérialisées par un badge ou une carte, voire une clé ? </t>
  </si>
  <si>
    <t>03B02-04</t>
  </si>
  <si>
    <t>06C04-02</t>
  </si>
  <si>
    <t>06C04-03</t>
  </si>
  <si>
    <t>A-t-on fait une analyse approfondie des événements ou successions d'événements menés avec des droits d'administration sur le parc de postes utilisateurs et pouvant avoir un impact sur la sécurité ?</t>
  </si>
  <si>
    <r>
      <t xml:space="preserve">A-t-on identifié précisément les scénarios de sinistre pouvant affecter l'infrastructure et les services de télécommunication et analysé, pour chaque scénario, ses conséquences en termes de services non rendus aux utilisateurs ?
</t>
    </r>
    <r>
      <rPr>
        <i/>
        <sz val="8"/>
        <rFont val="Arial"/>
        <family val="2"/>
      </rPr>
      <t>Avec la ToIP, s'ajoute le besoin de continuité de l'alimentation électrique et de reconfiguration des équipements terminaux</t>
    </r>
  </si>
  <si>
    <t>06A02-02;08A03-02;11A01-01;12A02-01:02</t>
  </si>
  <si>
    <t>06A02-04:05;06A02-08:11;08A03-05:06;08A03-09:12;11A01-04:06;12A02-05:06;12A02-09:12</t>
  </si>
  <si>
    <t>06A02-04:05;06A02-13:14;08A03-04:06;08A03-13:15;08B03-01;10B01-03;11A04-01;12A02-14:15</t>
  </si>
  <si>
    <t>08A03-03:04;10A02-01:03</t>
  </si>
  <si>
    <r>
      <t>Les mécanismes de scellement sont-ils très solidement protégés contre toute violation ou altération ?
S'i</t>
    </r>
    <r>
      <rPr>
        <i/>
        <sz val="8"/>
        <rFont val="Arial"/>
        <family val="2"/>
      </rPr>
      <t>l s'agit de boîtiers de scellement matériels, ils doivent être protégés physiquement de telle sorte qu'il soit impossible d'accéder aux mécanismes de scellement. S'il s'agit de solution logicielle, elle doit comporter elle-même un contrôle d'intégrité.</t>
    </r>
  </si>
  <si>
    <t>Sélection d'actifs</t>
  </si>
  <si>
    <t>Versions et commentaires</t>
  </si>
  <si>
    <t>08A09-02</t>
  </si>
  <si>
    <t>08A09-03</t>
  </si>
  <si>
    <t>08A09-04</t>
  </si>
  <si>
    <t>08A09-05</t>
  </si>
  <si>
    <t>08A09-06</t>
  </si>
  <si>
    <t>08B</t>
  </si>
  <si>
    <t>Contrôle des configurations matérielles et logicielles</t>
  </si>
  <si>
    <t>08B01-01</t>
  </si>
  <si>
    <t>08B01-02</t>
  </si>
  <si>
    <t>08B01-03</t>
  </si>
  <si>
    <t>08B01-04</t>
  </si>
  <si>
    <t>08B01-05</t>
  </si>
  <si>
    <t>Les documents de référence sont-ils protégés contre tout accès indu ou illicite, par des mécanismes forts ?</t>
  </si>
  <si>
    <t>08B01-06</t>
  </si>
  <si>
    <t>08B01-07</t>
  </si>
  <si>
    <t>Procède-t-on à des audits réguliers des paramètres de sécurité spécifiés ?</t>
  </si>
  <si>
    <t>08B01-08</t>
  </si>
  <si>
    <t>Contrôle-t-on de manière globale le mouvement des visiteurs et des prestataires occasionnels (bon horodaté à l'arrivée et au départ, signature de la personne visitée, etc.) ?</t>
  </si>
  <si>
    <t>Les enregistrements ou les synthèses sont-ils protégés contre toute altération ou destruction ?</t>
  </si>
  <si>
    <t>L'entreprise est-elle assurée par un contrat couvrant la perte de personnes clés pour l'activité de l'entreprise ?</t>
  </si>
  <si>
    <r>
      <t xml:space="preserve">La conservation et l'utilisation par l'utilisateur (ou par des systèmes représentant l'utilisateur) ou par les systèmes cibles d'éléments de référence supportant l'authentification font-elles appel à des mécanismes qui en garantissent l'inviolabilité et l'authenticité ?
</t>
    </r>
    <r>
      <rPr>
        <i/>
        <sz val="8"/>
        <rFont val="Arial"/>
        <family val="2"/>
      </rPr>
      <t>Dans le cas de mots de passe, ils doivent être stockés chiffrés et un contrôle d'accès préliminaire à l'utilisation de ces éléments par l'utilisateur doit être effectué.
Dans le cas d'authentification faisant appel à des procédés cryptologiques, le mécanisme doit présenter des garanties de solidité validées par un organisme de référence.</t>
    </r>
  </si>
  <si>
    <t xml:space="preserve">     Plans_action</t>
  </si>
  <si>
    <t>Est-il possible d'introduire, dans les règles de définition des droits d'accès (qui déterminent les droits attribués à un profil), des paramètres variables en fonction du contexte tels que la localisation du demandeur ou les réseaux utilisés, ou en fonction des moyens utilisés (protocoles, chiffrement, etc.) ou de la classification des ressources auxquelles les droits donnent accès ?</t>
  </si>
  <si>
    <t>Les profils permettent-ils également de définir des créneaux horaires et des calendriers de travail (heures début et fin de journée, week-end, vacances, etc.) ?</t>
  </si>
  <si>
    <t>Cfl.dif</t>
  </si>
  <si>
    <t>Le processus de distribution ou de changement de l'authentifiant garantit-il que seul le titulaire de l'identifiant peut y avoir accès (diffusion initiale confidentielle, changement de mot de passe sous le seul contrôle de l'utilisateur, etc.) ?</t>
  </si>
  <si>
    <t>Système général de déclaration et de gestion des incidents</t>
    <phoneticPr fontId="20" type="noConversion"/>
  </si>
  <si>
    <t>Directives générales relatives à la protection de l'information</t>
    <phoneticPr fontId="20" type="noConversion"/>
  </si>
  <si>
    <r>
      <t xml:space="preserve">Les paramètres de définition et de gestion des règles d'enregistrement des connexions (login) et applications appelées sont-ils sous contrôle strict ?
</t>
    </r>
    <r>
      <rPr>
        <i/>
        <sz val="8"/>
        <rFont val="Arial"/>
        <family val="2"/>
      </rPr>
      <t>Un contrôle strict requiert que la liste des personnes habilitées à changer les paramètres de définition et de gestion des règles d'enregistrement des login et applications appelées soit très limitée, qu'il existe un contrôle d'accès renforcé pour pouvoir les modifier, et que les modifications soient journalisées et auditées.</t>
    </r>
  </si>
  <si>
    <t>Ces plans de continuité prévoient-ils bien toutes les actions à entreprendre pour assurer la continuité des processus applicatifs entre l'alerte et la mise en oeuvre effective des solutions de remplacement prévues par les PRA (Plans de Reprise d'Activité des services informatiques) ?</t>
  </si>
  <si>
    <r>
      <t xml:space="preserve">En a-t-on déduit des mesures d'isolement (physique et logique) appropriées pour les serveurs ou équipements concernés ?
</t>
    </r>
    <r>
      <rPr>
        <i/>
        <sz val="8"/>
        <rFont val="Arial"/>
        <family val="2"/>
      </rPr>
      <t>Ces mesures peuvent couvrir la séparation des centres hébergeant des serveurs sensibles d'autres serveurs et/ou des applications sur différents serveurs.</t>
    </r>
  </si>
  <si>
    <r>
      <t xml:space="preserve">Les processus qui assurent l'enregistrement des appels systèmes sensibles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d'enregistrement (y compris des processus visant à détecter les tentatives de modification et les processus de réaction à ces tentatives de modification).</t>
    </r>
  </si>
  <si>
    <t>La politique de sécurité interdit-elle formellement d'emporter en dehors de l'entreprise des documents classifiés comme importants ou ayant valeur de preuve ?</t>
  </si>
  <si>
    <t>AB.S.Cli</t>
  </si>
  <si>
    <t>Absence de service : Impossibilité d'accès aux locaux</t>
  </si>
  <si>
    <t>Les procédures opérationnelles d'exploitation découlent-elles d'une étude de l'ensemble des cas à couvrir par ces procédures (cas normaux de fonctionnement et incidents) ?</t>
  </si>
  <si>
    <t>Les procédures opérationnelles d'exploitation sont-elles expliquées et rendues disponibles à toute personne en ayant besoin ?</t>
  </si>
  <si>
    <r>
      <t xml:space="preserve">Un inventaire précis des équipements est-il tenu à jour par les responsables concernés ?
</t>
    </r>
    <r>
      <rPr>
        <i/>
        <sz val="8"/>
        <rFont val="Arial"/>
        <family val="2"/>
      </rPr>
      <t>Spécialement dans le cas de la ToIP lors des déplacements d'équipements terminaux et de leur configuration (numéros d'appels de secours programmés en particulier)</t>
    </r>
  </si>
  <si>
    <r>
      <t xml:space="preserve">Existe-t-il un document (ou un ensemble de documents) ou une procédure opérationnelle spécifiant l'ensemble des  configurations et des paramètres de sécurité des équipements et systèmes ?
</t>
    </r>
    <r>
      <rPr>
        <i/>
        <sz val="8"/>
        <rFont val="Arial"/>
        <family val="2"/>
      </rPr>
      <t>Un tel document doit découler de la politique de sécurité et décrire l'ensemble des règles de filtrage décidées. Il devrait également contenir les références des versions de systèmes pour pouvoir vérifier l'état des mises à jour.</t>
    </r>
  </si>
  <si>
    <t>Ce document (ou cette procédure) impose-t-il la mise en place d'un dispositif de synchronisation avec un référentiel de temps précis ?</t>
  </si>
  <si>
    <t>Procède-t-on à des audits réguliers des configurations et des paramètres de sécurité spécifiés ?</t>
  </si>
  <si>
    <r>
      <t xml:space="preserve">Existe-t-il un document (ou un ensemble de documents) ou une procédure opérationnelle décrivant l'ensemble des paramètres de sécurité des applications ?
</t>
    </r>
    <r>
      <rPr>
        <i/>
        <sz val="8"/>
        <rFont val="Arial"/>
        <family val="2"/>
      </rPr>
      <t>Ces paramètres doivent dépendre de l'architecture de sécurité applicative retenue.</t>
    </r>
  </si>
  <si>
    <t>Tran</t>
  </si>
  <si>
    <t>Echange</t>
  </si>
  <si>
    <t>Possibilité d'altération du fichier support de données</t>
  </si>
  <si>
    <r>
      <t xml:space="preserve">Les niveaux de services ont-ils été identifiés pour chaque service réseau ?
</t>
    </r>
    <r>
      <rPr>
        <i/>
        <sz val="8"/>
        <rFont val="Arial"/>
        <family val="2"/>
      </rPr>
      <t>Les niveaux de services comprennent non seulement le service rendu aux utilisateurs, mais les dispositifs de sécurité nécessaires et les obligations des parties prenantes.</t>
    </r>
  </si>
  <si>
    <t>Les environnements de développement et de test sont-ils séparés des environnements opérationnels ?</t>
  </si>
  <si>
    <t>Ce contrôle est-il fait systématiquement à chaque connexion au réseau ?</t>
  </si>
  <si>
    <t>Y a-t-il des automates analysant systématiquement l'utilisation du réseau de télécommunication pour transmettre des données ?</t>
  </si>
  <si>
    <t>A-t-on établi une politique de gestion des droits privilégiés sur les équipements de réseau s'appuyant sur une analyse préalable des exigences de sécurité, basées sur les enjeux de l'activité ?</t>
  </si>
  <si>
    <t>Y a-t-il un processus de suppression systématique des droits privilégiés lors de départs ou mutations de personnel ?</t>
  </si>
  <si>
    <t>05C01</t>
  </si>
  <si>
    <t>Chiffrement des échanges sur le réseau local</t>
  </si>
  <si>
    <t>05C02</t>
  </si>
  <si>
    <t>Protection de l'intégrité des échanges sur le réseau local</t>
  </si>
  <si>
    <t>05C03</t>
  </si>
  <si>
    <t xml:space="preserve">Chiffrement des échanges lors des accès distants au réseau local
</t>
  </si>
  <si>
    <t>05C04</t>
  </si>
  <si>
    <t>Protection de l'intégrité des échanges lors des accès distants au réseau local</t>
  </si>
  <si>
    <r>
      <t xml:space="preserve">Les tests effectués permettent-ils de garantir la capacité des personnels et des systèmes de secours à assurer, en pleine charge opérationnelle, les services minimum demandés par les utilisateurs ?
</t>
    </r>
    <r>
      <rPr>
        <i/>
        <sz val="8"/>
        <rFont val="Arial"/>
        <family val="2"/>
      </rPr>
      <t>Les tests requis pour obtenir cette garantie reposent généralement sur des essais en vraie grandeur impliquant l'ensemble des utilisateurs et pour chaque variante de scénario. Les résultats des tests doivent être consignés et analysés afin d'améliorer les capacités de l'organisation à répondre aux situations envisagées.</t>
    </r>
  </si>
  <si>
    <r>
      <t xml:space="preserve">A-t-on analysé les conséquences de la disparition d'un fournisseur (en cas de panne, de bug ou de nécessité d'évolution) pour en déduire une liste de systèmes critiques ?
</t>
    </r>
    <r>
      <rPr>
        <i/>
        <sz val="8"/>
        <rFont val="Arial"/>
        <family val="2"/>
      </rPr>
      <t>Ceci vaut aussi bien pour les fournisseurs de matériel que de logiciels ou de services</t>
    </r>
  </si>
  <si>
    <r>
      <t>Les mécanismes de numérotation et de contrôle de numérotation sont-ils très solidement protégés contre toute violation ou altération ?
S'i</t>
    </r>
    <r>
      <rPr>
        <i/>
        <sz val="8"/>
        <rFont val="Arial"/>
        <family val="2"/>
      </rPr>
      <t>l s'agit d'équipements matériels, ils doivent être protégés physiquement de telle sorte qu'il soit impossible d'accéder aux mécanismes internes. S'il s'agit de solution logicielle, elle doit comporter elle-même un contrôle d'intégrité.</t>
    </r>
  </si>
  <si>
    <r>
      <t xml:space="preserve">Y a-t-il une procédure imposant l'envoi d'un accusé de réception pour tous les messages sensibles ?
</t>
    </r>
    <r>
      <rPr>
        <i/>
        <sz val="8"/>
        <rFont val="Arial"/>
        <family val="2"/>
      </rPr>
      <t>Nota : dans certains cas, les contrôles peuvent être basés sur une signature.</t>
    </r>
  </si>
  <si>
    <r>
      <t xml:space="preserve">Les processus qui assurent le filtrage des accès sont-ils sous contrôle strict ?
</t>
    </r>
    <r>
      <rPr>
        <i/>
        <sz val="8"/>
        <rFont val="Arial"/>
        <family val="2"/>
      </rPr>
      <t>Un contrôle strict requiert que le logiciel correspondant ait été validé et subisse régulièrement un test d'intégrité (sceau) et qu'il existe un audit au moins annuel des procédures et processus de filtrage d'accès (y compris des processus visant à détecter les tentatives de modification et les processus de réaction à ces tentatives de modification).</t>
    </r>
  </si>
  <si>
    <t>Ce programme est-il construit à partir d'une analyse des compétences en sécurité nécessaires aux différents acteurs de l'organisation ?</t>
  </si>
  <si>
    <r>
      <t>Les mécanismes de chiffrement sont-ils très solidement protégés contre toute violation ou altération ?
S'i</t>
    </r>
    <r>
      <rPr>
        <i/>
        <sz val="8"/>
        <rFont val="Arial"/>
        <family val="2"/>
      </rPr>
      <t>l s'agit de boîtiers de chiffrement matériels, ils doivent être protégés physiquement de telle sorte qu'il soit impossible d'accéder aux mécanismes de chiffrement. S'il s'agit de solution logicielle, elle doit comporter elle-même un contrôle d'intégrité.</t>
    </r>
  </si>
  <si>
    <r>
      <t xml:space="preserve">Ces contrats prévoient-ils des clauses spécifiques lorsque l'indisponibilité du matériel dépasse la durée fixée au contrat (pénalités, remplacement du matériel, etc.) ? 
</t>
    </r>
    <r>
      <rPr>
        <i/>
        <sz val="8"/>
        <rFont val="Arial"/>
        <family val="2"/>
      </rPr>
      <t xml:space="preserve">Il est souhaitable que ces clauses soient générales et couvrent tous les cas sans exception (difficulté technique, grève du personnel, etc.) </t>
    </r>
  </si>
  <si>
    <t>Les Plans de Continuité des processus applicatifs prévoient-ils les procédures de retour à la normale ?</t>
  </si>
  <si>
    <r>
      <t xml:space="preserve">Les règles concernant les audits menés sur les réseaux, les procédures et responsabilités associées, sont-elles définies et documentées ?
</t>
    </r>
    <r>
      <rPr>
        <i/>
        <sz val="8"/>
        <rFont val="Arial"/>
        <family val="2"/>
      </rPr>
      <t>Les limites à apporter concernent les types d'accès aux équipements, les contrôles et les traitements admis, l'effacement des données sensibles obtenues, le marquage de certaines opérations, ... ainsi que l'habilitation des personnes réalisant l'audit.</t>
    </r>
  </si>
  <si>
    <r>
      <t xml:space="preserve">Les outils d'audit sont-ils protégés afin d'éviter toute utilisation indue ou malveillante ?
</t>
    </r>
    <r>
      <rPr>
        <i/>
        <sz val="8"/>
        <rFont val="Arial"/>
        <family val="2"/>
      </rPr>
      <t>Ceci s'applique, en particulier, aux tests de pénétration et aux évaluations de vulnérabilité.</t>
    </r>
  </si>
  <si>
    <t xml:space="preserve">Tient-on à jour les versions de chaque logiciel ? </t>
  </si>
  <si>
    <t>10A02-04</t>
  </si>
  <si>
    <t>Tient-on à jour les documentations de l'ensemble des logiciels ?</t>
  </si>
  <si>
    <t>10A02-05</t>
  </si>
  <si>
    <t>10A02-06</t>
  </si>
  <si>
    <t>10A02-07</t>
  </si>
  <si>
    <t>Pilotage du programme d'audit</t>
  </si>
  <si>
    <t>14C02-01</t>
  </si>
  <si>
    <t>14C02-02</t>
  </si>
  <si>
    <t>Est-ce que toutes les conclusions des Audits sont présentées en revues de Direction ?</t>
  </si>
  <si>
    <t>14C02-03</t>
  </si>
  <si>
    <t>Est-ce que toutes les conclusions des Audits font l'objet d'une proposition de plan de réduction des risques présentée en Direction ?</t>
  </si>
  <si>
    <t>14C02-04</t>
  </si>
  <si>
    <t>08C03-08</t>
  </si>
  <si>
    <t>Les locaux de stockage des supports de production sur site sont-ils placés sous une surveillance permanente (télésurveillance du local lui-même) ?</t>
  </si>
  <si>
    <t>08C03-09</t>
  </si>
  <si>
    <t>08C03-10</t>
  </si>
  <si>
    <t>A-t-on défini les liens permanents et les échanges de données devant être protégés par des solutions de scellement et mis en place de telles solutions au niveau du réseau local ?</t>
  </si>
  <si>
    <t>Existe-t-il, parmi le personnel d'exploitation, une équipe permanente ou disponible sur appel (astreinte) capable de réagir en cas d'alerte de la surveillance réseau ?</t>
  </si>
  <si>
    <t>Prise en compte de la sécurité dans les relations avec le personnel d'exploitation (salariés et prestataires ou fournisseurs)</t>
  </si>
  <si>
    <t>Les procédures opérationnelles d'exploitation des réseaux découlent-elles d'une étude de l'ensemble des cas à couvrir par ces procédures (cas normaux de fonctionnement et incidents) ?</t>
  </si>
  <si>
    <t>Les modifications de ces procédures sont-elles approuvées par les responsables concernés ?</t>
  </si>
  <si>
    <t>S'assure-t-on régulièrement que les services de sécurité mis en œuvre par des prestataires ou fournisseurs de services réseaux sont effectivement assurés par lesdits prestataires ou fournisseurs ?</t>
  </si>
  <si>
    <t>S'assure-t-on que les prestataires ou fournisseurs de services réseaux ont effectivement prévu les dispositions nécessaires pour être à même d'assurer les prestations de services convenues ?</t>
  </si>
  <si>
    <t>Y a-t-il une liste indiquant l'ensemble des personnes ayant des autorisations d'accès au réseau local ?</t>
  </si>
  <si>
    <t>05B02-07</t>
  </si>
  <si>
    <t>Y a-t-il un audit régulier, au moins une fois par an, de l'ensemble des autorisations d'accès au réseau local attribuées au personnel ou à des partenaires ?</t>
  </si>
  <si>
    <t>05B03-01</t>
  </si>
  <si>
    <t>05B03-02</t>
  </si>
  <si>
    <t>11.2.3</t>
  </si>
  <si>
    <t>05B03-03</t>
  </si>
  <si>
    <t>05B03-04</t>
  </si>
  <si>
    <t>05B03-05</t>
  </si>
  <si>
    <t>A-t-on défini avec les utilisateurs le processus à mettre en œuvre en cas de bocage simultané de nombreux comptes ?</t>
  </si>
  <si>
    <t>08D10-07</t>
  </si>
  <si>
    <t>Les mesures relatives aux maintien des comptes utilisateurs font-elles l'objet d'un audit régulier ?</t>
  </si>
  <si>
    <t>08E</t>
  </si>
  <si>
    <t>Gestion et traitement des incidents</t>
  </si>
  <si>
    <r>
      <t xml:space="preserve">Le processus d'attribution (ou modification ou retrait) effectif d'autorisations à un individu (directement ou par le biais de profils) est-il strictement contrôlé ?
</t>
    </r>
    <r>
      <rPr>
        <i/>
        <sz val="8"/>
        <rFont val="Arial"/>
        <family val="2"/>
      </rPr>
      <t>Un contrôle strict requiert une reconnaissance formelle de la signature (électronique ou non) du demandeur, que la matérialisation des profils attribués aux utilisateurs sous forme de tables soit strictement sécurisée et qu'il existe un contrôle d'accès renforcé pour pouvoir les modifier, et que ces modifications soient journalisées et auditées.</t>
    </r>
  </si>
  <si>
    <t>Perte de télécopie dû à un transfert de poste malveillant</t>
  </si>
  <si>
    <t>12D01-02</t>
  </si>
  <si>
    <t>12D01-03</t>
  </si>
  <si>
    <t>12D01-04</t>
  </si>
  <si>
    <t>Les règles spécifiant les accès à journaliser et enregistrer ont-elles été approuvées par les propriétaires d'information ou le RSSI ?</t>
  </si>
  <si>
    <r>
      <t xml:space="preserve">Authentification de l'utilisateur ou de l'entité demandant un accès au réseau local depuis l'extérieur
</t>
    </r>
    <r>
      <rPr>
        <i/>
        <sz val="8"/>
        <rFont val="Arial"/>
        <family val="2"/>
      </rPr>
      <t xml:space="preserve">(depuis le Réseau Téléphonique Commuté, X25, RNIS, ADSL, Internet, etc.) </t>
    </r>
  </si>
  <si>
    <t>La politique du SMSI résulte-t-elle d'une étude préalable des attentes de toutes les parties prenantes ?</t>
  </si>
  <si>
    <t>14A02-02</t>
  </si>
  <si>
    <t>14A02-03</t>
  </si>
  <si>
    <t>Les locaux de stockage des supports de production sont-ils surveillés et régulés en température et hygrométrie, en accord avec les spécifications des fournisseurs ?</t>
  </si>
  <si>
    <t>08C03-12</t>
  </si>
  <si>
    <t>02C01-01;05B01-01;06C01-01;07A01-01;09A01-01</t>
  </si>
  <si>
    <t>05B01-02;05B02-03;06C01-03;06C01-07;07A01-02;07A02-03;08F01-01;08F01-05;09A01-02;09A02-03;11E01-01;11E01-05;12E01-01;12E01-05</t>
  </si>
  <si>
    <t>05B01-08;05B02-04:05;05B02-07;06C01-08:09;06C02-07;07A01-08;07A02-04:05;07A02-08;08F01-06:07;08F02-06;09A01-08;09A02-04:05;09A02-08;11E01-06:07;12E01-06:08</t>
  </si>
  <si>
    <t>01B01-03;11B01-08</t>
  </si>
  <si>
    <t>01B02-02;05A01-02:06</t>
  </si>
  <si>
    <t>07A03-01:09;09A03-01:08</t>
  </si>
  <si>
    <t>08A02-03:07</t>
  </si>
  <si>
    <t>11B02-01:02;11B02-04;11B03-04</t>
  </si>
  <si>
    <r>
      <t>Les délais d'archivage et de restitution en cas de besoins sont-ils conformes aux attentes des utilisateurs ?
À</t>
    </r>
    <r>
      <rPr>
        <i/>
        <sz val="8"/>
        <rFont val="Arial"/>
        <family val="2"/>
      </rPr>
      <t xml:space="preserve"> défaut, les utilisateurs conserveront leurs documents à archiver.</t>
    </r>
  </si>
  <si>
    <t>Services techniques</t>
  </si>
  <si>
    <t xml:space="preserve">Les locaux dans lesquels il serait possible d'effectuer un branchement parasite d'équipement sur les réseaux WAN et LAN sont-ils placés sous vidéosurveillance dès qu'une personne y pénètre ? </t>
  </si>
  <si>
    <t xml:space="preserve">Localisation des locaux sensibles </t>
  </si>
  <si>
    <t>Ces règles précisent-elles les filtrages à mettre en place pour contrôler les accès entrants aussi bien que pour les accès sortants ?</t>
  </si>
  <si>
    <t>Existe-t-il, parmi le personnel d'exploitation, une équipe permanente ou disponible sur appel (astreinte) capable de réagir en cas d'alerte de la surveillance du réseau étendu ?</t>
  </si>
  <si>
    <t>Y a-t-il un processus de mise à jour systématique de la table des autorisations d'accès au réseau local lors de départs de personnel interne ?</t>
  </si>
  <si>
    <t>Y a-t-il un processus de mise à jour systématique de la table des autorisations d'accès au réseau local lors de changements de fonctions (fin de mission ou de mandat de personnel externe ou mutation interne) ?</t>
  </si>
  <si>
    <t>03B06-03</t>
  </si>
  <si>
    <t>max(min(05B04;05B05;05B06;05B07;06B02);min(07A03;07A04))</t>
  </si>
  <si>
    <t>max(04B02;min(05B04;05B05;05B06;05B07);min(07A03;07A04;08F02);min(09A03;09A04))</t>
  </si>
  <si>
    <t>max(min(07B01;08A05);09C02)</t>
  </si>
  <si>
    <t>min(08D05;08D09)</t>
  </si>
  <si>
    <t>min(11D04;08D09)</t>
  </si>
  <si>
    <t>08A03-08</t>
  </si>
  <si>
    <t>08A03-09</t>
  </si>
  <si>
    <t>08A03-10</t>
  </si>
  <si>
    <t>08A03-11</t>
  </si>
  <si>
    <t>08A03-12</t>
  </si>
  <si>
    <t>08A03-13</t>
  </si>
  <si>
    <t>08A03-14</t>
  </si>
  <si>
    <t>08A03-15</t>
  </si>
  <si>
    <t>08A03-16</t>
  </si>
  <si>
    <t>08A06-06</t>
  </si>
  <si>
    <t>08A06-07</t>
  </si>
  <si>
    <t>08A06-08</t>
  </si>
  <si>
    <t>08A06-09</t>
  </si>
  <si>
    <t>08A06-10</t>
  </si>
  <si>
    <t>La mise hors service ou le contournement des dispositifs de sécurité sont-ils immédiatement détectés et signalés à une équipe responsable ?</t>
  </si>
  <si>
    <t>A-t-on fait une analyse approfondie des événements ou successions d'événements menés avec des droits d'administration et pouvant avoir un impact sur la sécurité des réseaux (configuration des systèmes de sécurité, accès à des informations sensibles, utilisation d'outils sensibles, téléchargement ou modification d'outils d'administration, etc.) ?</t>
  </si>
  <si>
    <t>Description et navigation entre les onglets du fichier de la base de connaissance.
Si la politique de sécurité de votre organisation interdit l'utilisation de macros, il ne sera pas possible d'utiliser les masques ci-dessous.</t>
  </si>
  <si>
    <t>6.1.4; 12.6.1</t>
  </si>
  <si>
    <t>16.1.1; 16.1.2</t>
  </si>
  <si>
    <t>18.2.1; 12.6.1</t>
  </si>
  <si>
    <t>16.1.2</t>
  </si>
  <si>
    <t>16.1.6</t>
  </si>
  <si>
    <t>16.1.7</t>
  </si>
  <si>
    <t>12.7.1</t>
  </si>
  <si>
    <t>9.3.1</t>
  </si>
  <si>
    <t>11.2.8</t>
  </si>
  <si>
    <t>7.2.3</t>
  </si>
  <si>
    <t>7.3.1</t>
  </si>
  <si>
    <t>18.2.2</t>
  </si>
  <si>
    <t>13.1.3</t>
  </si>
  <si>
    <t>8.2.2; 13.2.1</t>
  </si>
  <si>
    <t>9.1.2; 13.2.1</t>
  </si>
  <si>
    <t>11.2.9; 13.2.1</t>
  </si>
  <si>
    <t>6.2.1; 13.2.1</t>
  </si>
  <si>
    <t>18.1.3</t>
  </si>
  <si>
    <t>8.2.3; 18.1.1</t>
  </si>
  <si>
    <t>8.2.1; 8.2.2</t>
  </si>
  <si>
    <t>8.1.4</t>
  </si>
  <si>
    <t>11.2.5</t>
  </si>
  <si>
    <t>7.1.1; 13.2.4</t>
  </si>
  <si>
    <t>13.2.4</t>
  </si>
  <si>
    <t>13.2.4; 15.1.1</t>
  </si>
  <si>
    <t>16.1.3</t>
  </si>
  <si>
    <t>13.2.2; 15.1.1</t>
  </si>
  <si>
    <t>15.1.1; 15.1.2</t>
  </si>
  <si>
    <t>17.1.1</t>
  </si>
  <si>
    <t>17.1.2</t>
  </si>
  <si>
    <t>17.1.2; 17.1.3</t>
  </si>
  <si>
    <t>11.1.6</t>
  </si>
  <si>
    <t>11.1.4</t>
  </si>
  <si>
    <t>11.1.2</t>
  </si>
  <si>
    <t xml:space="preserve">Politiques de sécurité </t>
  </si>
  <si>
    <t>Orientations de la direction en matière de sécurité de l'information</t>
  </si>
  <si>
    <t>Politiques de sécurité de l'information</t>
  </si>
  <si>
    <t xml:space="preserve">Revue des politiques de sécurité de l’information </t>
  </si>
  <si>
    <t xml:space="preserve">Organisation de la sécurité de l'information </t>
  </si>
  <si>
    <t>Fonctions et responsabilités liées à la sécurité de l'information</t>
  </si>
  <si>
    <t>Relations avec des groupes de travail spécialisés</t>
  </si>
  <si>
    <t>La sécurité de l'information dans la gestion de projet</t>
  </si>
  <si>
    <t>Appareils mobiles et télétravail</t>
  </si>
  <si>
    <t>Politique en matière d'appareils mobiles</t>
  </si>
  <si>
    <t xml:space="preserve">Télétravail </t>
  </si>
  <si>
    <t xml:space="preserve">Sécurité des ressources humaines </t>
  </si>
  <si>
    <t>Avant l'embauche</t>
  </si>
  <si>
    <t>Sélection des candidats</t>
  </si>
  <si>
    <t>Termes et conditions d’embauche</t>
  </si>
  <si>
    <t>Sensibilisation, apprentissage et formation à la sécurité de l’information</t>
  </si>
  <si>
    <t>Rupture, terme ou modification du contrat de travail</t>
  </si>
  <si>
    <t xml:space="preserve">Achèvement ou modification des responsabilités associées au contrat de travail </t>
  </si>
  <si>
    <t xml:space="preserve">Gestion des actifs </t>
  </si>
  <si>
    <t>Responsabilités relatives aux actifs</t>
  </si>
  <si>
    <t>Inventaire des actifs</t>
  </si>
  <si>
    <t>Propriété des actifs</t>
  </si>
  <si>
    <t>Utilisation correcte des actifs</t>
  </si>
  <si>
    <t>Restitution des actifs</t>
  </si>
  <si>
    <t>Classification de l'information</t>
  </si>
  <si>
    <t>Marquage des informations</t>
  </si>
  <si>
    <t>Manipulation des actifs</t>
  </si>
  <si>
    <t xml:space="preserve">Transfert physique des supports </t>
  </si>
  <si>
    <t xml:space="preserve">Contrôle d'accès </t>
  </si>
  <si>
    <t>Exigences métier en matière de contrôle d'accès</t>
  </si>
  <si>
    <t>Politique de contrôle d’accès</t>
  </si>
  <si>
    <t>Politique relative à l'utilisation de services en réseau</t>
  </si>
  <si>
    <t>Gestion de l’accès utilisateur</t>
  </si>
  <si>
    <t>Enregistrement et désinscription des utilisateurs</t>
  </si>
  <si>
    <t>Provisionnement des accès utilisateurs</t>
  </si>
  <si>
    <t>Gestion des informations secrètes d'authentification des utilisateurs</t>
  </si>
  <si>
    <t>Revue des droits d’accès utilisateurs</t>
  </si>
  <si>
    <t>Suppression ou adaptation des droits d'accès</t>
  </si>
  <si>
    <t>Responsabilités des utilisateurs</t>
  </si>
  <si>
    <t>Utilisation d'informations secrètes d'authentification</t>
  </si>
  <si>
    <t>Contrôle de l'accès au système et à l’information</t>
  </si>
  <si>
    <t>9.4.1</t>
  </si>
  <si>
    <t>Restriction d’accès à l’information</t>
  </si>
  <si>
    <t>9.4.2</t>
  </si>
  <si>
    <t>Sécuriser les procédures de connexion</t>
  </si>
  <si>
    <t>9.4.3</t>
  </si>
  <si>
    <t>9.4.4</t>
  </si>
  <si>
    <t>Utilisation de programmes utilitaires à privilèges</t>
  </si>
  <si>
    <t>9.4.5</t>
  </si>
  <si>
    <t xml:space="preserve">Contrôle d’accès au code source du programme </t>
  </si>
  <si>
    <t xml:space="preserve">Cryptographie </t>
  </si>
  <si>
    <t>Politique d’utilisation des mesures cryptographiques</t>
  </si>
  <si>
    <t xml:space="preserve">Sécurité physique et environnementale </t>
  </si>
  <si>
    <t>Contrôles physiques des accès</t>
  </si>
  <si>
    <t>11.1.3</t>
  </si>
  <si>
    <t>11.1.5</t>
  </si>
  <si>
    <t>Zones de livraison et de chargement</t>
  </si>
  <si>
    <t>Matériels</t>
  </si>
  <si>
    <t>Emplacement et protection du matériel</t>
  </si>
  <si>
    <t>Sortie des actifs</t>
  </si>
  <si>
    <t>11.2.6</t>
  </si>
  <si>
    <t>Sécurité du matériel et des actifs hors des locaux</t>
  </si>
  <si>
    <t>11.2.7</t>
  </si>
  <si>
    <t>11.2.9</t>
  </si>
  <si>
    <t xml:space="preserve">Politique du bureau propre et de l’écran vide </t>
  </si>
  <si>
    <t xml:space="preserve">Sécurité liée à l'exploitation </t>
  </si>
  <si>
    <t>Procédures et responsabilités liées à l’exploitation</t>
  </si>
  <si>
    <t>Procédures d’exploitation documentées</t>
  </si>
  <si>
    <t>12.1.2</t>
  </si>
  <si>
    <t>12.1.3</t>
  </si>
  <si>
    <t>12.1.4</t>
  </si>
  <si>
    <t>Séparation des environnements de développement, de test et d'exploitation</t>
  </si>
  <si>
    <t>Protection contre les logiciels malveillants</t>
  </si>
  <si>
    <t>Mesures contre les logiciels malveillants</t>
  </si>
  <si>
    <t>Journalisation et surveillance</t>
  </si>
  <si>
    <t>Journalisation des événements</t>
  </si>
  <si>
    <t>Protection de l’information journalisée</t>
  </si>
  <si>
    <t>Journaux administrateur et opérateur</t>
  </si>
  <si>
    <t>12.4.4</t>
  </si>
  <si>
    <t>Maîtrise des logiciels en exploitation</t>
  </si>
  <si>
    <t>Installation de logiciels sur des systèmes en exploitation</t>
  </si>
  <si>
    <t>12.6.2</t>
  </si>
  <si>
    <t>Restrictions liées à l'installation de logiciels</t>
  </si>
  <si>
    <t>Considérations sur l’audit des systèmes d’information</t>
  </si>
  <si>
    <t xml:space="preserve">Mesures relatives à l’audit des systèmes d’information </t>
  </si>
  <si>
    <t xml:space="preserve">Sécurité des communications </t>
  </si>
  <si>
    <t>Contrôle des réseaux</t>
  </si>
  <si>
    <t>Sécurité des services de réseau</t>
  </si>
  <si>
    <t>Transfert de l'information</t>
  </si>
  <si>
    <t>Politiques et procédures de transfert de l'information</t>
  </si>
  <si>
    <t>Accords en matière de transfert d'information</t>
  </si>
  <si>
    <t xml:space="preserve">Engagements de confidentialité ou de non-divulgation </t>
  </si>
  <si>
    <t xml:space="preserve">Acquisition, développement et maintenance des systèmes d’information </t>
  </si>
  <si>
    <t>Exigences de sécurité applicables aux systèmes d’information</t>
  </si>
  <si>
    <t>Sécurisation des services d'application sur les réseaux publics</t>
  </si>
  <si>
    <t>Protection des transactions liées aux services d'application</t>
  </si>
  <si>
    <t>Sécurité des processus de développement et d’assistance technique</t>
  </si>
  <si>
    <t>14.2.1</t>
  </si>
  <si>
    <t>Politique de développement sécurisé</t>
  </si>
  <si>
    <t>14.2.2</t>
  </si>
  <si>
    <t>Procédures de contrôle des changements</t>
  </si>
  <si>
    <t>14.2.3</t>
  </si>
  <si>
    <t>Revue technique des applications après changement apporté à la plateforme d’exploitation</t>
  </si>
  <si>
    <t>14.2.4</t>
  </si>
  <si>
    <t>Restrictions relatives aux changements apportés aux progiciels</t>
  </si>
  <si>
    <t>14.2.5</t>
  </si>
  <si>
    <t>Procédures de développement des systèmes</t>
  </si>
  <si>
    <t>14.2.6</t>
  </si>
  <si>
    <t>Environnement de développement sécurisé</t>
  </si>
  <si>
    <t>14.2.7</t>
  </si>
  <si>
    <t>Développement externalisé</t>
  </si>
  <si>
    <t>14.2.8</t>
  </si>
  <si>
    <t>Phase de test de la sécurité du système</t>
  </si>
  <si>
    <t>14.2.9</t>
  </si>
  <si>
    <t>Test de conformité du système</t>
  </si>
  <si>
    <t>Données de test</t>
  </si>
  <si>
    <t>14.3.1</t>
  </si>
  <si>
    <t xml:space="preserve">Protection des données de test </t>
  </si>
  <si>
    <t xml:space="preserve">Relations avec les fournisseurs </t>
  </si>
  <si>
    <t>Sécurité dans les relations avec les fournisseurs</t>
  </si>
  <si>
    <t>Politique de sécurité de l'information dans les relations avec les fournisseurs</t>
  </si>
  <si>
    <t>Sécurité dans les accords conclus avec les fournisseurs</t>
  </si>
  <si>
    <t>chaîne d'approvisionnement informatique</t>
  </si>
  <si>
    <t>Gestion de la prestation du service</t>
  </si>
  <si>
    <t>Surveillance et revue des services des fournisseurs</t>
  </si>
  <si>
    <t xml:space="preserve">Gestion des changements apportés dans les services des fournisseurs </t>
  </si>
  <si>
    <t xml:space="preserve">Gestion des incidents liés à la sécurité de l’information </t>
  </si>
  <si>
    <t>Gestion des incidents liés à la sécurité de l’information et améliorations</t>
  </si>
  <si>
    <t>16.1.1</t>
  </si>
  <si>
    <t>Signalement des événements liés à la sécurité de l’information</t>
  </si>
  <si>
    <t>Signalement des failles liées à la sécurité de l’information</t>
  </si>
  <si>
    <t>16.1.4</t>
  </si>
  <si>
    <t>Appréciation des événements liés à la sécurité de l'information et prise de décision</t>
  </si>
  <si>
    <t>16.1.5</t>
  </si>
  <si>
    <t>Réponse aux incidents liés à la sécurité de l’information</t>
  </si>
  <si>
    <t>Tirer des enseignements des incidents liés à la sécurité de l’information</t>
  </si>
  <si>
    <t>Recueil de preuves</t>
  </si>
  <si>
    <t xml:space="preserve">Aspects de la sécurité de l’information dans la gestion de la continuité de l’activité </t>
  </si>
  <si>
    <t>Continuité de la sécurité de l'information</t>
  </si>
  <si>
    <t>Organisation de la continuité de la sécurité de l'information</t>
  </si>
  <si>
    <t>Mise en oeuvre de la continuité de la sécurité de l'information</t>
  </si>
  <si>
    <t>17.1.3</t>
  </si>
  <si>
    <t>Vérifier, revoir et évaluer la continuité de la sécurité de l'information</t>
  </si>
  <si>
    <t>Redondances</t>
  </si>
  <si>
    <t>17.2.1</t>
  </si>
  <si>
    <t xml:space="preserve">Disponibilité des moyens de traitement de l’information </t>
  </si>
  <si>
    <t xml:space="preserve">Conformité </t>
  </si>
  <si>
    <t>Conformité aux obligations légales et réglementaires</t>
  </si>
  <si>
    <t>18.1.1</t>
  </si>
  <si>
    <t>Identification de la législation et des exigences contractuelles applicables</t>
  </si>
  <si>
    <t>18.1.2</t>
  </si>
  <si>
    <t>Droits de propriété intellectuelle (DPI)</t>
  </si>
  <si>
    <t>Protection de l’information documentée</t>
  </si>
  <si>
    <t>18.1.4</t>
  </si>
  <si>
    <t>Protection de la vie privée et protection des données à caractère personnel</t>
  </si>
  <si>
    <t>18.1.5</t>
  </si>
  <si>
    <t>Réglementation relative aux mesures cryptographiques</t>
  </si>
  <si>
    <t>Revue de la sécurité de l’information</t>
  </si>
  <si>
    <t>18.2.1</t>
  </si>
  <si>
    <t>Revue indépendante de la sécurité de l’information</t>
  </si>
  <si>
    <t>18.2.3</t>
  </si>
  <si>
    <t>Examen de la conformité technique</t>
  </si>
  <si>
    <t>01A02-02;01A02-08</t>
  </si>
  <si>
    <t>01A02-03:07;01A02-09;01C03-01</t>
  </si>
  <si>
    <t>06C01-03:06;08F01-01:04;11E01-01:04;11E02-01:04;12E01-01:04;12E02-01:04</t>
  </si>
  <si>
    <t>01B02-06;10A01-01:06;10A02-01;10A02-05</t>
  </si>
  <si>
    <t>01B02-08;11B02-01;11B02-03;11C01-01;11D05-01</t>
  </si>
  <si>
    <t>01B01-05;01B04-04</t>
  </si>
  <si>
    <t>01B03-01:04;01B03-10</t>
  </si>
  <si>
    <t>01B01-04;01B02-10:11</t>
  </si>
  <si>
    <t>01B02-05;05B02-01:07</t>
  </si>
  <si>
    <t>07A02-01:07</t>
  </si>
  <si>
    <t>01B01-02;07A03-01:05;07A03-08:09</t>
  </si>
  <si>
    <t>07A01-04:05;07A03-03:07;07A04-04:06;09A01-04;09A04-05:06</t>
  </si>
  <si>
    <t>06B01-07:09;10B01-04:10</t>
  </si>
  <si>
    <t>08D07-01:02;11D06-01;11D06-05;11D06-07</t>
  </si>
  <si>
    <t>04D01-01:03;04D01-08;04D02-01:02;04D03-01:05;05D01-01:03;05D01-08;05D02-01:02;05D03-01:05;07C01-01:02;07C01-05:07;07C02-01:02;07C02-05:07</t>
  </si>
  <si>
    <t>01A01-02:04;01A03-07;06A01-01:05;08B01-03;08B02-04;09G01-02;12B01-04</t>
  </si>
  <si>
    <t>08A02-01:05;08A03-01:02;08A03-04:06;11A01-01:06</t>
  </si>
  <si>
    <t>01A04-01:06;06D01-01:04;08G01-01:04</t>
  </si>
  <si>
    <t>11C05-01;11C05-04:06</t>
  </si>
  <si>
    <t>10A01-01:03;10A02-01;10A03-01:02</t>
  </si>
  <si>
    <t>10A01-05:07;10A02-06;10A04-01;10B01-01;10B01-08:12;10B03-01</t>
  </si>
  <si>
    <t>10A02-05:06;10B01-09:12;10B04-01;10B05-04</t>
  </si>
  <si>
    <t>01C01-05;01C05-01:05</t>
  </si>
  <si>
    <t>04A06-01:02;05A07-01:02;08A09-01:03;11A05-01:04</t>
  </si>
  <si>
    <t>04D01-01:03;05D01-01:03;08E01-01:05;09G01-01:08</t>
  </si>
  <si>
    <t>04D03-01:06;05D03-01:06;08E03-01:06</t>
  </si>
  <si>
    <t>01E01-03;01E02-01:05;01E02-08:11;04A05-01:05;05A06-01:05;08D04-05;08D05-09;08D06-01:08;09E02-01:09;10A02-07;11D03-03;11D07-01:08;12C03-04;12C04-01:08</t>
  </si>
  <si>
    <t>05A06-01:05</t>
  </si>
  <si>
    <t>3 = Inadmissible</t>
  </si>
  <si>
    <t>Gravité des risques</t>
  </si>
  <si>
    <t>Convention de couleur</t>
  </si>
  <si>
    <t>1 = Faible</t>
  </si>
  <si>
    <t>4 = Insupportable</t>
  </si>
  <si>
    <t>2 = Toléré</t>
  </si>
  <si>
    <t>11.1.2; 11.1.5</t>
  </si>
  <si>
    <t>15.1.3; 17.1.2</t>
  </si>
  <si>
    <t>12.4.1; 16.1.4</t>
  </si>
  <si>
    <t>12.4.1; 16.1.5</t>
  </si>
  <si>
    <t>16.1.1; 16.1.5</t>
  </si>
  <si>
    <t>17.1.2; 17.2.1</t>
  </si>
  <si>
    <t>17.1.2; 17.1.3; 17.2.1</t>
  </si>
  <si>
    <t>9.1.1; 9.2.5</t>
  </si>
  <si>
    <t>9.1.2; 9.2.3; 9.2.5</t>
  </si>
  <si>
    <t>9.1.2; 9.2.5</t>
  </si>
  <si>
    <t xml:space="preserve">12.4.1; </t>
  </si>
  <si>
    <t>; 16.1.5</t>
  </si>
  <si>
    <t>12.5.1; 14.2.9</t>
  </si>
  <si>
    <t>12.1.1; 15.2.1</t>
  </si>
  <si>
    <t>11.2.4; 11.2.7</t>
  </si>
  <si>
    <t>12.1.4; 18.2.3</t>
  </si>
  <si>
    <t>6.1.2; 9.2.3;  9.2.5; 13.1.1</t>
  </si>
  <si>
    <t>6.1.2; 13.1.1</t>
  </si>
  <si>
    <t>9.2.3; 9.2.5</t>
  </si>
  <si>
    <t>12.4.3; 13.1.1</t>
  </si>
  <si>
    <t>9.2.3; 9.2.5; 9.4.1</t>
  </si>
  <si>
    <t>9.2.2; 9.2.5</t>
  </si>
  <si>
    <t>9.2.4; 9.4.3</t>
  </si>
  <si>
    <t>9.2.4; 9.4.2;  9.4.3</t>
  </si>
  <si>
    <t>9.4.2;  9.4.3</t>
  </si>
  <si>
    <t>12.4.1; 12.4.2</t>
  </si>
  <si>
    <t xml:space="preserve"> 9.4.4; 12.6.2</t>
  </si>
  <si>
    <t xml:space="preserve"> 9.4.4</t>
  </si>
  <si>
    <t>12.1.2; 12.6.2</t>
  </si>
  <si>
    <t>12.1.3; 12.6.2</t>
  </si>
  <si>
    <t>11.2.1; 14.2.2</t>
  </si>
  <si>
    <t>12.5.1; 12.6.2; 14.2.2</t>
  </si>
  <si>
    <t>12.5.1; 12.6.2; 14.2.9</t>
  </si>
  <si>
    <t>15.1.3; 15.2.1</t>
  </si>
  <si>
    <t>8.3.1; 8.3.2</t>
  </si>
  <si>
    <t>8.3.1; 11.2.7</t>
  </si>
  <si>
    <t>12.3.1; 17.1.2; 17.1.3</t>
  </si>
  <si>
    <t>6.1.2; 9.2.3; 9.2.5</t>
  </si>
  <si>
    <t>16.1.7; 18.1.3</t>
  </si>
  <si>
    <t xml:space="preserve"> 9.4.3</t>
  </si>
  <si>
    <t>6.1.5; 14.1.1; 14.2.5</t>
  </si>
  <si>
    <t xml:space="preserve">6.1.5; 14.2.6
</t>
  </si>
  <si>
    <t>6.1.5; 14.2.6</t>
  </si>
  <si>
    <t xml:space="preserve"> 14.2.6</t>
  </si>
  <si>
    <t>6.1.5; 14.2.2; 14.2.5</t>
  </si>
  <si>
    <t>6.1.5; 14.2.3; 14.2.8</t>
  </si>
  <si>
    <t>14.2.3; 14.2.6</t>
  </si>
  <si>
    <t>14.2.3; 17.1.2; 17.1.3</t>
  </si>
  <si>
    <t>14.2.5; 14.2.7</t>
  </si>
  <si>
    <t>14.2.4; 14.2.6</t>
  </si>
  <si>
    <t>12.1.4; 14.2.1</t>
  </si>
  <si>
    <t>12.1.4; 14.2.1; 14.2.6</t>
  </si>
  <si>
    <t>12.1.4; 14.2.1; 14.2.8</t>
  </si>
  <si>
    <t>14.2.1; 14.2.8</t>
  </si>
  <si>
    <t xml:space="preserve"> 9.4.5; 14.2.1</t>
  </si>
  <si>
    <t>14.2.8; 14.3.1</t>
  </si>
  <si>
    <t>12.1.2; 12.1.3; 12.6.2</t>
  </si>
  <si>
    <t>12.6.2; 14.2.9</t>
  </si>
  <si>
    <t>6.2.1; 6.2.2; 11.2.6</t>
  </si>
  <si>
    <t>6.2.1; 11.2.6</t>
  </si>
  <si>
    <t>6.2.1; 10.1.1</t>
  </si>
  <si>
    <t>6.2.1; 12.3.1</t>
  </si>
  <si>
    <t>12.1.2; 12.1.3</t>
  </si>
  <si>
    <t>Base de connaissances Méhari Expert</t>
  </si>
  <si>
    <t>Date:</t>
  </si>
  <si>
    <t>etc.</t>
  </si>
  <si>
    <t>MEHARI Expert 2010 avec les liens d'ISO 27002:2013</t>
  </si>
  <si>
    <t>Version de Mehari :</t>
  </si>
  <si>
    <t>Organisation:</t>
  </si>
  <si>
    <t>Commanditaire:</t>
  </si>
  <si>
    <t>Chef de projet:</t>
  </si>
  <si>
    <t>Éditeur:</t>
  </si>
  <si>
    <t>Comité de pilotage:</t>
  </si>
  <si>
    <t>Chef d'audit / praticien:</t>
  </si>
  <si>
    <t>Objectifs:</t>
  </si>
  <si>
    <t>Analyse précédente:</t>
  </si>
  <si>
    <t>Étape/analyse suivante:</t>
  </si>
  <si>
    <t>Sélection des praticiens</t>
  </si>
  <si>
    <t>Analyse de risque</t>
  </si>
  <si>
    <t>Contexte et objectifs</t>
  </si>
  <si>
    <t>Étapes de l'étude</t>
  </si>
  <si>
    <t>Date de fin:</t>
  </si>
  <si>
    <t>Date de début:</t>
  </si>
  <si>
    <t>Responsable:</t>
  </si>
  <si>
    <t>Collaborateurs:</t>
  </si>
  <si>
    <t>Analyse des enjeux et classification des actifs</t>
  </si>
  <si>
    <t>Exposition aux événements</t>
  </si>
  <si>
    <t>Questionnaires d'audit</t>
  </si>
  <si>
    <t>Échelle utilisée dans cette analyse des risques pour les conséquences des dysfonctionnements:</t>
  </si>
  <si>
    <t>Tableau créé par:</t>
  </si>
  <si>
    <t>Niveau 1
Non significatif</t>
  </si>
  <si>
    <t>Niveau 2 
Important</t>
  </si>
  <si>
    <t>Niveau 3 
Très grave</t>
  </si>
  <si>
    <t>Niveau 4 
Vital</t>
  </si>
  <si>
    <t>Perte d'image (clients, public)</t>
  </si>
  <si>
    <t>Amendes et pénalités</t>
  </si>
  <si>
    <t>Retards sur les offres et/ou des activités</t>
  </si>
  <si>
    <t>Actions en justice et poursuites</t>
  </si>
  <si>
    <t>Niveau maximal de dysfonctionnements</t>
  </si>
  <si>
    <t>Évaluation financière de perte résultant</t>
  </si>
  <si>
    <t>Créer votre classeur</t>
  </si>
  <si>
    <t>Classeur</t>
  </si>
  <si>
    <t>Avertissement important:</t>
  </si>
  <si>
    <t>Edition 1-3 : Rectification de formules dans feuille Obj_proj et quelques corrections de présentation et d'erreurs typographiques</t>
  </si>
  <si>
    <t xml:space="preserve">Edition 2-1 : Ajout de capacités de sélection pour les scénarios 
Rectification de quelques formules dans feuille scénarios </t>
  </si>
  <si>
    <t>Edition 2-11: Correction de quelques erreurs</t>
  </si>
  <si>
    <t>Edition 2-14: Introduction : périmètre, automatismes T1-T2-T3, SOA
Introduction d'une possibilité de décider de la confinabilité des scénarios</t>
  </si>
  <si>
    <t>30 mars 2012</t>
  </si>
  <si>
    <t>25 août 2011</t>
  </si>
  <si>
    <t>Administration &amp; politique d'ensemble</t>
  </si>
  <si>
    <t>Classification des activités sélectionnées</t>
  </si>
  <si>
    <t>Sélection si 1</t>
  </si>
  <si>
    <t>Analyse des enjeux et activité de classification des actifs remplis par:</t>
  </si>
  <si>
    <t>Périmètre initial des activités</t>
  </si>
  <si>
    <t>Étendue</t>
  </si>
  <si>
    <t>Gestionnaires consultés</t>
  </si>
  <si>
    <t>Date de début</t>
  </si>
  <si>
    <t>Date de fin</t>
  </si>
  <si>
    <t>Examiné par le comité de pilotage</t>
  </si>
  <si>
    <t>Approuvé par le conseil d'administration</t>
  </si>
  <si>
    <t xml:space="preserve">date de réunion </t>
  </si>
  <si>
    <t>nom de l'auditeur ou praticien, fonction, contact</t>
  </si>
  <si>
    <t>gestionnaires fonctionnels, nom, fonction, contact</t>
  </si>
  <si>
    <t>nom du gestionnaire des risques, fonction, contact</t>
  </si>
  <si>
    <t xml:space="preserve">       Le niveau de classification est une valeur de 1 à 4, le maximum dans chaque colonne est automatiquement copié dans la section "classification"
 et reproduit dans le "tableau d'impact intrinsèque" (onglet: Classif) pour chaque type de données et critères (D, I ou C).</t>
  </si>
  <si>
    <t>Critères de classification:
   D : Disponibilité
   I : Intégrité
   C : Confidentialité</t>
  </si>
  <si>
    <t>Date de la décision de réglage de l'exposition naturelle:</t>
  </si>
  <si>
    <t>Exposition naturelle (standard CLUSIF)</t>
  </si>
  <si>
    <t>nom de l'auditeur, fonction, contact</t>
  </si>
  <si>
    <t>gestionnaire audité , nom, fonction, contact</t>
  </si>
  <si>
    <t>date de diagnostic</t>
  </si>
  <si>
    <t>étenude et limites, variante de l'actif (par exemple site, plate-forme, gestionnaire de processus, OS, ...)</t>
  </si>
  <si>
    <t>11.4.2; 11.4.5</t>
  </si>
  <si>
    <t>10.8.1; 10.7.3</t>
  </si>
  <si>
    <t>10.7.3; 10.8.1; 7.2.2</t>
  </si>
  <si>
    <t>10.8.1; 11.4.1; 10.7.3</t>
  </si>
  <si>
    <t>10.7.3</t>
  </si>
  <si>
    <t>10.8.1; 11.3.3; 10.7.3</t>
  </si>
  <si>
    <t>10.8.1; 11.7.1</t>
  </si>
  <si>
    <t>7.1.3</t>
  </si>
  <si>
    <t>9.2.7</t>
  </si>
  <si>
    <t>6.1.5; 8.1.3</t>
  </si>
  <si>
    <t>10.8.2</t>
  </si>
  <si>
    <t>6.2.3</t>
  </si>
  <si>
    <t xml:space="preserve"> 6.2.3; 15.1.5</t>
  </si>
  <si>
    <t>14.1.5</t>
  </si>
  <si>
    <t>6.1.6</t>
  </si>
  <si>
    <t>6.1.7</t>
  </si>
  <si>
    <t>13.2.1; 13.1.1</t>
  </si>
  <si>
    <t>6.1.8</t>
  </si>
  <si>
    <t>13.1.1; 13.2.1</t>
  </si>
  <si>
    <t>11.3.1</t>
  </si>
  <si>
    <t>11.3.2</t>
  </si>
  <si>
    <t>15.1.5</t>
  </si>
  <si>
    <t>11.4.2</t>
  </si>
  <si>
    <t>9.1.6</t>
  </si>
  <si>
    <t>9.1.4</t>
  </si>
  <si>
    <t>10.7.1</t>
  </si>
  <si>
    <t>9.1.5</t>
  </si>
  <si>
    <t>9.1.2; 9.1.5</t>
  </si>
  <si>
    <t>9.1.3</t>
  </si>
  <si>
    <t xml:space="preserve">4. Scénarios de type Efficacité </t>
  </si>
  <si>
    <t>TOTAL</t>
  </si>
  <si>
    <t>DICE</t>
  </si>
  <si>
    <t>Intrinsic 10*Impact +Pot</t>
  </si>
  <si>
    <t>Current 10*Impact +Pot</t>
  </si>
  <si>
    <t>Emi</t>
    <phoneticPr fontId="15" type="noConversion"/>
  </si>
  <si>
    <t>Emi</t>
    <phoneticPr fontId="15" type="noConversion"/>
  </si>
  <si>
    <t>Emi</t>
  </si>
  <si>
    <t>Code famille</t>
  </si>
  <si>
    <t xml:space="preserve">  Impact</t>
  </si>
  <si>
    <t xml:space="preserve">  Exposition naturelle</t>
  </si>
  <si>
    <t xml:space="preserve">  Gravité</t>
  </si>
  <si>
    <t xml:space="preserve">  Confinable</t>
  </si>
  <si>
    <t xml:space="preserve">  Confinabilité</t>
  </si>
  <si>
    <t xml:space="preserve">  Potentialité</t>
  </si>
  <si>
    <t xml:space="preserve"> Potentialité</t>
  </si>
  <si>
    <t xml:space="preserve">  Risque Accepté (A) ou Transferé (T) </t>
  </si>
  <si>
    <t>min(08A03;08A04)</t>
  </si>
  <si>
    <t>jj/mm/aaaa</t>
  </si>
  <si>
    <t>nom et fonction du praticien</t>
  </si>
  <si>
    <t>Nombre de scénarios (D, I, C):</t>
  </si>
  <si>
    <t>Efficacité (E):</t>
  </si>
  <si>
    <t>créé à partir de la feuille des scénarios le:</t>
  </si>
  <si>
    <t xml:space="preserve">créé à partir de la feuille des scénarios le: </t>
  </si>
  <si>
    <t xml:space="preserve">     ISO 27002</t>
  </si>
  <si>
    <t>Correspondance et scoring ISO 27002 : 2013</t>
  </si>
  <si>
    <t>date de la déclaration d'applicabilité</t>
  </si>
  <si>
    <t>nom du praticien/auditeur, fonction, contact</t>
  </si>
  <si>
    <t>approuvé par le gestionnaire, nom, fonction, contact</t>
  </si>
  <si>
    <t>date de déclaration du scoring</t>
  </si>
  <si>
    <t>09H02-01:04</t>
  </si>
  <si>
    <t>09H01-01;09H01-03;09H01-05;09H01-08;09H01-10</t>
  </si>
  <si>
    <t>09H01-02;09H01-06;09H01-09;10A01-01:03</t>
  </si>
  <si>
    <t>10B01-05;10B01-08:11;10B02-01:04</t>
  </si>
  <si>
    <t>Mesure de qualité (de 0 à 4)</t>
  </si>
  <si>
    <t>Thèmes de sécurité Mehari</t>
  </si>
  <si>
    <t>09H02</t>
  </si>
  <si>
    <t>09H03</t>
  </si>
  <si>
    <t xml:space="preserve">Déploiement du système de management </t>
  </si>
  <si>
    <t>Contrôle d'accès physique au site et aux bâtiments</t>
  </si>
  <si>
    <t>Protection contre les risques environnementaux divers</t>
  </si>
  <si>
    <t>Contrôle  des accès aux zones de bureaux</t>
  </si>
  <si>
    <t>Protection de l'information écrite</t>
  </si>
  <si>
    <t>Protection des données du poste de travail</t>
  </si>
  <si>
    <t>Protection des postes de travail</t>
  </si>
  <si>
    <t>Contrôles d'accès sur le réseau local de "données"</t>
  </si>
  <si>
    <t xml:space="preserve">Contrôle d'accès aux systèmes </t>
  </si>
  <si>
    <t>Protection des transactions de services d'application</t>
  </si>
  <si>
    <t>10.5.1</t>
  </si>
  <si>
    <t>14.1.5; 17.1.3</t>
  </si>
  <si>
    <t>11.4.6</t>
  </si>
  <si>
    <t>11.4.7</t>
  </si>
  <si>
    <t>12.3.2</t>
  </si>
  <si>
    <t>10.10.2</t>
  </si>
  <si>
    <t>10.10.3</t>
  </si>
  <si>
    <t>10.10.1</t>
  </si>
  <si>
    <t>10.10.5</t>
  </si>
  <si>
    <t>11.4.5</t>
  </si>
  <si>
    <t>11.4.5; 11.4.6</t>
  </si>
  <si>
    <t>11.4.3</t>
  </si>
  <si>
    <t>10.3.1</t>
  </si>
  <si>
    <t>12.4.1; 10.3.2</t>
  </si>
  <si>
    <t>10.3.2</t>
  </si>
  <si>
    <t>11.4.4; 10.3.2</t>
  </si>
  <si>
    <t>12.4.1; 6.1.4</t>
  </si>
  <si>
    <t>11.4.4</t>
  </si>
  <si>
    <t>10.2.1</t>
  </si>
  <si>
    <t>10.2.2</t>
  </si>
  <si>
    <t>10.2.3</t>
  </si>
  <si>
    <t>9.2.6; 9.2.4</t>
  </si>
  <si>
    <t>10.6.2</t>
  </si>
  <si>
    <t>10.10.6</t>
  </si>
  <si>
    <t>10.1.4; 15.2.2</t>
  </si>
  <si>
    <t>10.1.4</t>
  </si>
  <si>
    <t>10.1.3; 10.6.1; 11.2.2</t>
  </si>
  <si>
    <t>10.1.3; 10.6.1</t>
  </si>
  <si>
    <t>10.1.3</t>
  </si>
  <si>
    <t>10.10.4; 10.6.1</t>
  </si>
  <si>
    <t>10.10.4</t>
  </si>
  <si>
    <t>15.3.1</t>
  </si>
  <si>
    <t>15.3.2</t>
  </si>
  <si>
    <t>11.5.6</t>
  </si>
  <si>
    <t>11.5.3</t>
  </si>
  <si>
    <t>11.2.3; 11.5.3</t>
  </si>
  <si>
    <t>11.5.1; 11.5.3</t>
  </si>
  <si>
    <t>11.5.2</t>
  </si>
  <si>
    <t>11.5.5</t>
  </si>
  <si>
    <t>10.7.2</t>
  </si>
  <si>
    <t>10.10.1; 10.10.3</t>
  </si>
  <si>
    <t>10.10.3; 10.10.1</t>
  </si>
  <si>
    <t>11.6.2</t>
  </si>
  <si>
    <t>11.5.4</t>
  </si>
  <si>
    <t>9.2.1; 12.5.1</t>
  </si>
  <si>
    <t>12.4.1; 12.5.1</t>
  </si>
  <si>
    <t>9.2.4; 9.2.6</t>
  </si>
  <si>
    <t>10.7.4</t>
  </si>
  <si>
    <t>10.7.4; 12.6.1</t>
  </si>
  <si>
    <t>10.7.4; 15.2.2</t>
  </si>
  <si>
    <t>10.7.1; 10.7.2</t>
  </si>
  <si>
    <t>10.7.1; 9.2.6</t>
  </si>
  <si>
    <t>10.8.3</t>
  </si>
  <si>
    <t>10.5.1; 14.1.5</t>
  </si>
  <si>
    <t>10.4.1</t>
  </si>
  <si>
    <t>10.1.3; 11.2.2</t>
  </si>
  <si>
    <t>13.2.3; 15.1.3</t>
  </si>
  <si>
    <t>11.2.2; 11.6.1</t>
  </si>
  <si>
    <t>11.6.1</t>
  </si>
  <si>
    <t>11.5.2; 11.6.1</t>
  </si>
  <si>
    <t>12.2.3</t>
  </si>
  <si>
    <t>12.2.1; 12.2.4</t>
  </si>
  <si>
    <t>14.1.4</t>
  </si>
  <si>
    <t>10.9.1</t>
  </si>
  <si>
    <t>09H01-04</t>
  </si>
  <si>
    <t>09H01-05</t>
  </si>
  <si>
    <t>09H01-06</t>
  </si>
  <si>
    <t>09H01-07</t>
  </si>
  <si>
    <t>09H01-08</t>
  </si>
  <si>
    <t>09H01-09</t>
  </si>
  <si>
    <t>09H01-10</t>
  </si>
  <si>
    <t>09H01-11</t>
  </si>
  <si>
    <t>09H02-01</t>
  </si>
  <si>
    <t>09H02-02</t>
  </si>
  <si>
    <t>09H02-03</t>
  </si>
  <si>
    <t>09H02-04</t>
  </si>
  <si>
    <t>09H02-05</t>
  </si>
  <si>
    <t>09H02-06</t>
  </si>
  <si>
    <t>09H03-01</t>
  </si>
  <si>
    <t>09H03-02</t>
  </si>
  <si>
    <t>09H03-03</t>
  </si>
  <si>
    <t>09H03-04</t>
  </si>
  <si>
    <t>09H03-05</t>
  </si>
  <si>
    <t>12.5.4</t>
  </si>
  <si>
    <t>12.5.2</t>
  </si>
  <si>
    <t>12.5.2; 14.1.5</t>
  </si>
  <si>
    <t>12.5.5</t>
  </si>
  <si>
    <t>12.5.3</t>
  </si>
  <si>
    <t>12.2.2</t>
  </si>
  <si>
    <t>10.1.2; 10.3.1</t>
  </si>
  <si>
    <t>9.2.5; 11.7.1; 11.7.2</t>
  </si>
  <si>
    <t>11.7.2</t>
  </si>
  <si>
    <t>9.2.5; 11.71</t>
  </si>
  <si>
    <t>6.1.4; 11.7.2</t>
  </si>
  <si>
    <t>11.7.1; 12.3.1</t>
  </si>
  <si>
    <t>10.8.4</t>
  </si>
  <si>
    <t>10.8.5</t>
  </si>
  <si>
    <t>10.5.1; 11.7.1</t>
  </si>
  <si>
    <t>10.4.2</t>
  </si>
  <si>
    <t>10.3.2; 11.4.4</t>
  </si>
  <si>
    <t>6.1.4; 12.4.1</t>
  </si>
  <si>
    <t>15.1.4</t>
  </si>
  <si>
    <r>
      <t xml:space="preserve">Communication financière
</t>
    </r>
    <r>
      <rPr>
        <sz val="8"/>
        <rFont val="Arial"/>
        <family val="2"/>
      </rPr>
      <t>Il s'agit notamment de la Loi de Sécurité Financière ou loi Mer en France et du Sarbanes Oxley Act aux États Unis</t>
    </r>
  </si>
  <si>
    <t>Récapitulé de la qualité des services de sécurité</t>
  </si>
  <si>
    <t>Tableau du scoring ISO 27002:2013 suite au diagnostic des services Mehari</t>
  </si>
  <si>
    <t>Module d'analyse de risque (identification, évaluation et classification des risques)</t>
  </si>
  <si>
    <t>Traitement des risques:
Plans_d'action
Obj_PA
Obj_Projets</t>
  </si>
  <si>
    <t xml:space="preserve">     Vulnérabilités</t>
  </si>
  <si>
    <t>Tableau de la probabilité intrinsèque des menaces (ou exposition naturelle)</t>
  </si>
  <si>
    <t>Tableau des scénarios de risque incluant les formules d'évaluation des risques</t>
  </si>
  <si>
    <t>Affichage de la gravité des scénarios basé sur l'actif en cause</t>
  </si>
  <si>
    <t>Affichage de la gravité des scénarios basé sur l'origine ou événement considéré</t>
  </si>
  <si>
    <t>Plans de réduction des risques sélectionnés</t>
  </si>
  <si>
    <t>Onglet utilisé pour la sélection des plans de réduction des risques</t>
  </si>
  <si>
    <t>Onglet utilisé pour la sélection des projets de réduction des risques</t>
  </si>
  <si>
    <t>Tableaux d’Impact et de Potentialité des scénarios</t>
  </si>
  <si>
    <t>Tavleau de la Gravité en fonction de  l’Impact et de la Potentialité</t>
  </si>
  <si>
    <t>Cet onglet et les suivants sont fournis par la méthode</t>
  </si>
  <si>
    <t>Listings ou états imprimés</t>
  </si>
  <si>
    <t>Fonction (descriptif)</t>
  </si>
  <si>
    <t>Equipements mis à la disposition des utilisateurs</t>
  </si>
  <si>
    <t>nom et fonction</t>
  </si>
  <si>
    <t>Classification de la conformité aux lois et règlements relatifs à:</t>
  </si>
  <si>
    <t>Processus ou activités métier,
Services communs</t>
  </si>
  <si>
    <t>Tmax</t>
  </si>
  <si>
    <t>Tmin</t>
  </si>
  <si>
    <t>IndG</t>
  </si>
  <si>
    <t xml:space="preserve">Seuils Max et Min en cas de réponses décimaux aux questionnaires 
</t>
  </si>
  <si>
    <t>Si la réponse est inférieure à Tmax, et si en même temps il y a un Max indiqué pour la question, ce Max appliquera</t>
  </si>
  <si>
    <t>Si la réponse est inférieure à Tmin, et si en même temps il y a un Min indiqué pour la question, ce Min appliquera</t>
  </si>
  <si>
    <t>Ces chiffres peuvent être modifiés</t>
  </si>
  <si>
    <t>A-t-on analysé et ainsi défini les protections et l’assurance nécessaires par les exigences de sécurité spécifiques pour rendre l'information disponible sur les réseaux publics?</t>
  </si>
  <si>
    <t>L'authentification, le contrôle des droits et les mécanismes de journalisation sont-elles spécifiquement imposées pour les opérations administratives?</t>
  </si>
  <si>
    <t>L'intégrité des transactions critiques est-elle protégée par l'utilisation des signatures électroniques?</t>
  </si>
  <si>
    <r>
      <t xml:space="preserve">Sécurisation des services d'application sur les réseaux publics
</t>
    </r>
    <r>
      <rPr>
        <i/>
        <sz val="8"/>
        <rFont val="Arial"/>
        <family val="2"/>
      </rPr>
      <t xml:space="preserve">Les informations impliquées dans les services d'application passant sur des réseaux publics doivent être protégées contre les activités frauduleuses, disputes contractuelles et divulgation et  modification non autorisée </t>
    </r>
  </si>
  <si>
    <r>
      <t xml:space="preserve">Les échanges nécessitant une protection en rapport avec le système de classification sont-ils adoptés par l'organisation?
</t>
    </r>
    <r>
      <rPr>
        <i/>
        <sz val="8"/>
        <rFont val="Arial"/>
        <family val="2"/>
      </rPr>
      <t>Chiffrement, signature, autorisation d'accès, de modification, de déni de service, non répudiation.</t>
    </r>
  </si>
  <si>
    <t>Fichier de données</t>
  </si>
  <si>
    <t>Fichier de programme</t>
  </si>
  <si>
    <t>Enjeux</t>
  </si>
  <si>
    <t>Tableaux de classification</t>
  </si>
  <si>
    <r>
      <t xml:space="preserve">Questionnaire d'audit : Gestion de la sécurité de l'Information
</t>
    </r>
    <r>
      <rPr>
        <sz val="14"/>
        <color rgb="FFFF0000"/>
        <rFont val="Arial"/>
        <family val="2"/>
      </rPr>
      <t>Ce questionnaire vérifie que l'organisation réalise effectivement une démarche de management et de réduction continue des risques ou de SMSI.
Il est recommandé de l'intégrer dans le processus complet de traitement de risque MEHARI et nécessaire de l'associer avec le domaine 01 (Organisation).</t>
    </r>
  </si>
  <si>
    <r>
      <rPr>
        <b/>
        <sz val="14"/>
        <color rgb="FFFF0000"/>
        <rFont val="Arial"/>
        <family val="2"/>
      </rPr>
      <t>Questionnaire d'audit : Exploitation des télécommunications</t>
    </r>
    <r>
      <rPr>
        <b/>
        <sz val="12"/>
        <rFont val="Arial"/>
        <family val="2"/>
      </rPr>
      <t xml:space="preserve">
</t>
    </r>
    <r>
      <rPr>
        <i/>
        <sz val="8"/>
        <rFont val="Arial"/>
        <family val="2"/>
      </rPr>
      <t>L'architecture et l'exploitation pour la "voix" sont souvent effectuées par une entité différente que pour les réseaux de "données"</t>
    </r>
  </si>
  <si>
    <r>
      <t>Questionnaire d'audit : Sécurité des Locaux</t>
    </r>
    <r>
      <rPr>
        <sz val="14"/>
        <color rgb="FFFF0000"/>
        <rFont val="Arial"/>
        <family val="2"/>
      </rPr>
      <t xml:space="preserve"> </t>
    </r>
  </si>
  <si>
    <r>
      <rPr>
        <b/>
        <sz val="14"/>
        <color rgb="FFFF0000"/>
        <rFont val="Arial"/>
        <family val="2"/>
      </rPr>
      <t xml:space="preserve">Questionnaire d'audit : Réseau Étendu Intersites </t>
    </r>
    <r>
      <rPr>
        <b/>
        <sz val="12"/>
        <rFont val="Arial"/>
        <family val="2"/>
      </rPr>
      <t xml:space="preserve">
</t>
    </r>
    <r>
      <rPr>
        <sz val="8"/>
        <rFont val="Arial"/>
        <family val="2"/>
      </rPr>
      <t>Le réseau étendu est vu, ici, comme le réseau reliant des sites, à priori distants. C'est l'architecture de communication entre unités gérant leur propre réseau local (LAN). Les connexions de postes nomades sont supposées être assurées au niveau des réseaux locaux.</t>
    </r>
  </si>
  <si>
    <r>
      <rPr>
        <b/>
        <sz val="14"/>
        <color rgb="FFFF0000"/>
        <rFont val="Arial"/>
        <family val="2"/>
      </rPr>
      <t>Questionnaire d'audit : Réseau Local (LAN)</t>
    </r>
    <r>
      <rPr>
        <b/>
        <sz val="12"/>
        <rFont val="Arial"/>
        <family val="2"/>
      </rPr>
      <t xml:space="preserve">
</t>
    </r>
    <r>
      <rPr>
        <sz val="8"/>
        <rFont val="Arial"/>
        <family val="2"/>
      </rPr>
      <t>Le réseau local est vu, ici, comme le réseau reliant les différents serveurs et postes utilisateurs du site. Les connexions de postes nomades sont supposées assurées sur ce réseau.</t>
    </r>
  </si>
  <si>
    <r>
      <t>Questionnaire d'audit : Production Informatique</t>
    </r>
    <r>
      <rPr>
        <sz val="14"/>
        <color rgb="FFFF0000"/>
        <rFont val="Arial"/>
        <family val="2"/>
      </rPr>
      <t xml:space="preserve"> </t>
    </r>
  </si>
  <si>
    <t>Type de dommage</t>
  </si>
  <si>
    <t>Actif support</t>
  </si>
  <si>
    <t>Type d'actif</t>
  </si>
  <si>
    <t>Gravité</t>
  </si>
  <si>
    <r>
      <t xml:space="preserve">Tableau des événements
</t>
    </r>
    <r>
      <rPr>
        <sz val="11"/>
        <rFont val="Arial"/>
        <family val="2"/>
      </rPr>
      <t>Nombre de scénarios par type d'actif et niveau de gravité</t>
    </r>
  </si>
  <si>
    <t>Contrôle de sécurité</t>
  </si>
  <si>
    <r>
      <t xml:space="preserve">Clause
          </t>
    </r>
    <r>
      <rPr>
        <b/>
        <sz val="11"/>
        <rFont val="Arial"/>
        <family val="2"/>
      </rPr>
      <t xml:space="preserve">Catégorie </t>
    </r>
  </si>
  <si>
    <t xml:space="preserve">  Type DICE</t>
  </si>
  <si>
    <t>Nombre de scénarios sélectionnés</t>
  </si>
  <si>
    <t>Valeurs calculées (courant)</t>
  </si>
  <si>
    <t>Valeurs décidées (mode expert)</t>
  </si>
  <si>
    <t>Mesures de sécurité</t>
  </si>
  <si>
    <t>Valeurs intrinsèques</t>
  </si>
  <si>
    <t>Projets</t>
  </si>
  <si>
    <t>Sécurité des services et transactions des applications</t>
  </si>
  <si>
    <r>
      <t xml:space="preserve">La migration des services existants des réseaux privés vers ceux publics est-elle organisée avec les parties liées?
</t>
    </r>
    <r>
      <rPr>
        <i/>
        <sz val="8"/>
        <rFont val="Arial"/>
        <family val="2"/>
      </rPr>
      <t>L’attention aux propriétaires de risque et tous les utilisateurs doit être proéminente et les questions relatives aux exigences de la direction sont centrales à la décision</t>
    </r>
  </si>
  <si>
    <r>
      <t xml:space="preserve">Les niveaux de classification des actifs et services d'information ont-ils reçus une attention particulière ?
</t>
    </r>
    <r>
      <rPr>
        <i/>
        <sz val="8"/>
        <rFont val="Arial"/>
        <family val="2"/>
      </rPr>
      <t>La valeur des informations d'identification personnelle et des éléments stratégiques pour l'organisation doit être soigneusement établie (voir feuilles T1 à T3)</t>
    </r>
  </si>
  <si>
    <r>
      <t xml:space="preserve">Les accords de niveau de service pour la permanence et la continuité du service ont-ils été négociés avec les fournisseurs de services ?
</t>
    </r>
    <r>
      <rPr>
        <i/>
        <sz val="8"/>
        <rFont val="Arial"/>
        <family val="2"/>
      </rPr>
      <t>Ceci est très important dans le cas des services obtenus sur le Cloud ​​et les pénalités appropriées devraient être clairement comprises par l'organisation (par exemple dans le cas d'interruption par le fournisseur (erreur, accident, grève, faillite, prise de contrôle, ...)), y compris la capacité de récupérer les données propriétaires</t>
    </r>
  </si>
  <si>
    <r>
      <t>La protection et la vérification des transactions sont-elles gérées de façon appropriée?
Incluant</t>
    </r>
    <r>
      <rPr>
        <i/>
        <sz val="8"/>
        <rFont val="Arial"/>
        <family val="2"/>
      </rPr>
      <t xml:space="preserve"> les informations de paiement fournies par le client, l'intégrité, la confidentialité, la protection contre la reproduction, accusé de réception, non-répudiation, etc. pour se prémunir contre la fraude</t>
    </r>
  </si>
  <si>
    <r>
      <t xml:space="preserve">Les accords de niveau de service concernant la confidentialité des informations sont-ils traités et/ou stockés par le fournisseur de service?
</t>
    </r>
    <r>
      <rPr>
        <i/>
        <sz val="8"/>
        <rFont val="Arial"/>
        <family val="2"/>
      </rPr>
      <t>Les moyens de contrôle des accords et de réaction rapide devraient être garantis pour l'organisation.</t>
    </r>
  </si>
  <si>
    <r>
      <t xml:space="preserve">Les protections aux risques de sécurité associés à l'accès au web sont-elles intégrées à l'application?
</t>
    </r>
    <r>
      <rPr>
        <i/>
        <sz val="8"/>
        <rFont val="Arial"/>
        <family val="2"/>
      </rPr>
      <t>OWASP référence 10 menaces importantes comme les attaques par injection, cross-site scripting et Request Forgery, sessions brisées, références insécurisées d'objets directs et stockage cryptographique, mauvaise configuration de la sécurité, échec de restriction d'accès par URL, protection insuffisante de la couche de transport, redirections et transferts non validés)</t>
    </r>
  </si>
  <si>
    <r>
      <t xml:space="preserve">La probabilité d'attaques et de menaces sont-elles été spécifiquement analysées pour les services d'application?
</t>
    </r>
    <r>
      <rPr>
        <i/>
        <sz val="8"/>
        <rFont val="Arial"/>
        <family val="2"/>
      </rPr>
      <t>Une attention particulière au niveau des paramètres d'exposition naturelle dans la feuille Expo est nécessaire, d'abord les cyber-attaques</t>
    </r>
  </si>
  <si>
    <r>
      <t>Les niveaux de confiance mutuelle (d’une identité à autre, l'autorisation, le niveau de confiance requis dans l'intégrité et la confidentialité des données échangées) sont-ils considérés en ce qui concerne les exigences?</t>
    </r>
    <r>
      <rPr>
        <i/>
        <sz val="8"/>
        <rFont val="Arial"/>
        <family val="2"/>
      </rPr>
      <t xml:space="preserve">
La qualité des services de sécurité de 09A à 09G ci-dessus doit être adaptée aux exigences du service d'application</t>
    </r>
  </si>
  <si>
    <t>Y a-t-il une revue régulière, au moins une fois par année, des services d'application et des solutions correctives envisagées?
Cette revue doit également imliquer les applications et des données d’ombre sur les réseaux publics</t>
  </si>
  <si>
    <t>Les exigences spécifiques de protection de sécurité sont-elles définies et utilisées pour les transactions critiques liées à l’application?
La conformité avec les exigences légales et réglementaires est impérative.</t>
  </si>
  <si>
    <r>
      <t xml:space="preserve">Le non divulgation des transactions critiques est-elle protégée à l'aide de solides contrôles cryptographiques?
</t>
    </r>
    <r>
      <rPr>
        <i/>
        <sz val="8"/>
        <rFont val="Arial"/>
        <family val="2"/>
      </rPr>
      <t>Les informations d'authentification secrètes de toutes les parties doivent être valides et vérifiées, les voies de communication entre elles doivent être cryptées, les protocoles utilisés fixés, et le stockage des détails de transaction situés dans un environnement protégé.</t>
    </r>
  </si>
  <si>
    <t>Le service d'une autorité de confiance est-il protégé pendant tout le processus de gestion de certificat/signature de bout-en-bout?</t>
  </si>
  <si>
    <t>Les administrateurs et utilisateurs sont-ils formés sur leurs activités, droits et responsabilités et conscients des risques liée aux applications en réseau?</t>
  </si>
  <si>
    <r>
      <t xml:space="preserve">Y a-t-il une revue régulière, au moins une fois par année, des transactions de services et solutions correctives envisagées?
</t>
    </r>
    <r>
      <rPr>
        <i/>
        <sz val="8"/>
        <rFont val="Arial"/>
        <family val="2"/>
      </rPr>
      <t>Cette revue doit également impliquer les nouvelles menaces et vulnérabilités des applications et des données sur les réseaux publics</t>
    </r>
  </si>
  <si>
    <r>
      <rPr>
        <sz val="8"/>
        <rFont val="Arial"/>
        <family val="2"/>
      </rPr>
      <t>Y a-t-il des politiques pour l'utilisation des différents types de services de messagerie électronique, en fonction des exigences de sécurité de l'entreprise?</t>
    </r>
    <r>
      <rPr>
        <i/>
        <sz val="8"/>
        <rFont val="Arial"/>
        <family val="2"/>
      </rPr>
      <t xml:space="preserve">
Exemples: mails, réseaux sociaux, échange de données électroniques, messagerie instantanée, partage de fichiers ...</t>
    </r>
  </si>
  <si>
    <t>Des processus d'approbation et d'autorisation, basés sur des politiques sont-ils en place avant l’utilisation de ces services?</t>
  </si>
  <si>
    <t>Des niveaux plus forts d'authentification sont-ils mis en place pour contrôler l'accès aux réseaux accessibles au public?</t>
  </si>
  <si>
    <r>
      <rPr>
        <sz val="8"/>
        <rFont val="Arial"/>
        <family val="2"/>
      </rPr>
      <t>Les administrateurs et utilisateurs sont-ils formés sur les opérations, les droits et responsabilités et conscients des risques liés à la messagerie électronique?</t>
    </r>
    <r>
      <rPr>
        <i/>
        <sz val="8"/>
        <rFont val="Arial"/>
        <family val="2"/>
      </rPr>
      <t xml:space="preserve">
Des sessions de formation et des messages de sensibilisation doivent être régulièrement organisés.</t>
    </r>
  </si>
  <si>
    <t>Légende : 
   D Disponibilité
   I Intégrité
   C Confidentialité
   E Efficience (des processus de gestion,  vis-à-vis de la conformité aux législations ou aux règlements).</t>
  </si>
  <si>
    <t>Sélection
menace</t>
  </si>
  <si>
    <t>Sélection 
actif</t>
  </si>
  <si>
    <t>Lignes utilisées pour la sélection de scénarios</t>
  </si>
  <si>
    <t>Présentation par niveau de gravité</t>
  </si>
  <si>
    <t>aa mm</t>
  </si>
  <si>
    <t>Besoins basés
 sur scénarios</t>
  </si>
  <si>
    <t>Thèmes de sécurité Mehari : regroupement des services et sous-services en 
10 centres d’intérêts et 18 axes de représentation</t>
  </si>
  <si>
    <t>Graphs</t>
  </si>
  <si>
    <t>Nombre de scénarios 
par niveau de gravité</t>
  </si>
  <si>
    <t>Analyse des risques: 
Evénements,
Risques par actifs
ou événements</t>
  </si>
  <si>
    <t>Feuilles de questionnaires: 
de 01Org à 14 Msi
+ Thèmes &amp; Scoring ISO 27001</t>
  </si>
  <si>
    <t>Toutes les feuilles de calcul sont protégées.
Ainsi, les cellules verrouillées seront protégées aussi!</t>
  </si>
  <si>
    <t>Télécopie</t>
  </si>
  <si>
    <t>Données résiduelles</t>
  </si>
  <si>
    <t>Données en transit</t>
  </si>
  <si>
    <t>lors de l'émission ou de la réception</t>
  </si>
  <si>
    <t xml:space="preserve">Domaine 1 : </t>
  </si>
  <si>
    <t>Domaine 2 :</t>
  </si>
  <si>
    <t xml:space="preserve">Domaine 3 : </t>
  </si>
  <si>
    <t xml:space="preserve">Domaine 4 : </t>
  </si>
  <si>
    <t>Domaine 5</t>
  </si>
  <si>
    <t xml:space="preserve">Domaine 6 : </t>
  </si>
  <si>
    <t xml:space="preserve">Domaine 7 : </t>
  </si>
  <si>
    <t xml:space="preserve">Domaine 8 : </t>
  </si>
  <si>
    <t xml:space="preserve">Domaine 9 : </t>
  </si>
  <si>
    <t xml:space="preserve">Domaine 10 : </t>
  </si>
  <si>
    <t>Domaine 11 :</t>
  </si>
  <si>
    <t xml:space="preserve">Domaine 12 : </t>
  </si>
  <si>
    <t>Domaine 13 :</t>
  </si>
  <si>
    <t xml:space="preserve">Domaine 14 : </t>
  </si>
  <si>
    <t>Domaine 15 :</t>
  </si>
  <si>
    <t>Processus 1 :</t>
  </si>
  <si>
    <t>Processus 2 :</t>
  </si>
  <si>
    <t>Grilles d'acceptabilité des risques, évaluation de l'impact et de la potentialité</t>
  </si>
  <si>
    <t>Tableaux de classification: 
T1, T2, T3 et Classif</t>
  </si>
  <si>
    <t>D01-C01</t>
  </si>
  <si>
    <t>D01-C02</t>
  </si>
  <si>
    <t>D01-C03</t>
  </si>
  <si>
    <t>D01-C04</t>
  </si>
  <si>
    <t>D01-C05</t>
  </si>
  <si>
    <t>D01-C06</t>
  </si>
  <si>
    <t>D01-C07</t>
  </si>
  <si>
    <t>D01-C08</t>
  </si>
  <si>
    <t>D01-C09</t>
  </si>
  <si>
    <t>D01-C10</t>
  </si>
  <si>
    <t>D01-C11</t>
  </si>
  <si>
    <t>D01-C12</t>
  </si>
  <si>
    <t>D01-C13</t>
  </si>
  <si>
    <t>D01-C14</t>
  </si>
  <si>
    <t>D01-C15</t>
  </si>
  <si>
    <t>D01-C16</t>
  </si>
  <si>
    <t>D01-C17</t>
  </si>
  <si>
    <t>D01-C18</t>
  </si>
  <si>
    <t>D01-C19</t>
  </si>
  <si>
    <t>D01-C20</t>
  </si>
  <si>
    <t>Les dysfonctionnements associés à chaque activité sont à lister par ailleurs aux fins d'audit futur.
Le guide de l'analyse des enjeux contient des éléments d'exemple pour remplir les cellules ci-dessus.</t>
  </si>
  <si>
    <t>Cette feuille permet à votre organisation de conserver un historique de vos travaux</t>
  </si>
  <si>
    <t>Types d'actifs  -&gt;</t>
  </si>
  <si>
    <t>Critères de classification:</t>
  </si>
  <si>
    <t xml:space="preserve">   D : Disponibilité</t>
  </si>
  <si>
    <t xml:space="preserve">   I : Intégrité</t>
  </si>
  <si>
    <t xml:space="preserve">   C : Confidentialité</t>
  </si>
  <si>
    <t xml:space="preserve">       Le niveau de classification est une valeur de 1 à 4, le maximum dans chaque colonne est automatiquement copié dans la section "classification"</t>
  </si>
  <si>
    <t xml:space="preserve"> et reproduit dans le "tableau d'impact intrinsèque" (onglet: Classif) pour chaque type de données et critères (D, I ou C).</t>
  </si>
  <si>
    <t>LE SEUL CRITERE DE CLASSIFICATION EST :
E : Efficience (des processus de management pour être conforme aux exigences légales, réglementaires ou contractuelles, dans le domaine considéré</t>
  </si>
  <si>
    <t>DdA</t>
  </si>
  <si>
    <t>Nombre de scénarios exclus</t>
  </si>
  <si>
    <r>
      <t xml:space="preserve">Panorama des gravités de scénarios
</t>
    </r>
    <r>
      <rPr>
        <b/>
        <sz val="10"/>
        <rFont val="Arial"/>
        <family val="2"/>
      </rPr>
      <t>Nombre de scénarios par type d'actif, critères et niveau de gravité</t>
    </r>
  </si>
  <si>
    <t>Objectif de niveau de qualité issu de la feuille plans_action</t>
  </si>
  <si>
    <t>Besoin de type A</t>
  </si>
  <si>
    <t>Besoin de type B</t>
  </si>
  <si>
    <t>Besoin de type E</t>
  </si>
  <si>
    <t>Besoin de type D</t>
  </si>
  <si>
    <t>Besoin de type C</t>
  </si>
  <si>
    <t>Date cible des projets :</t>
  </si>
  <si>
    <t>10B07</t>
  </si>
  <si>
    <t>10B07-01</t>
  </si>
  <si>
    <t>10B07-02</t>
  </si>
  <si>
    <t>10B07-03</t>
  </si>
  <si>
    <t>10B07-04</t>
  </si>
  <si>
    <t>10B07-05</t>
  </si>
  <si>
    <t>10B07-06</t>
  </si>
  <si>
    <t>Tableau de synthèse des risques, intrinsèques, actuels ou réduits, en fonction de l'option choisie</t>
  </si>
  <si>
    <t>Légende</t>
  </si>
  <si>
    <t>Risques de gravité 3 : Inadmissibles</t>
  </si>
  <si>
    <t>Risques de gravité 4 : Insupportables</t>
  </si>
  <si>
    <t>Risques de gravité  2 : Tolérés</t>
  </si>
  <si>
    <t>Risques de gravité 1 : non significatifs</t>
  </si>
  <si>
    <t>04A01, 05A01 à 05A02, 07D, 09E01</t>
  </si>
  <si>
    <t>10A, 10B</t>
  </si>
  <si>
    <t>04A04, 05A05, 08D04 à 08D05, 08D09, 11D03 à 11D05, 11D07 à 11D08, 12C03</t>
  </si>
  <si>
    <t>01E, 04A05, 05A06, 08D06, 09E02, 12C04</t>
  </si>
  <si>
    <t>04A02, 04A06, 05A03, 05A07, 08D01 à 08D02, 08D08, 09E03, 11D01 à 11D02, 12C01 à 12C02, 12C05</t>
  </si>
  <si>
    <t>04A03, 05A04, 06A, 06B, 06C04, 08A01 à 08A04, 08A06, 08A08 à 08A09, 08B, 08D03, 08D10, 11A, 12A, 12B, 12D01</t>
  </si>
  <si>
    <t>04B, 05B, 06C01 à 06C02, 07A, 07B, 08F01 à 08F02, 09A, 11E01 à 11E02, 12E01 à 12E02</t>
  </si>
  <si>
    <t>01B, 01C, 12D02, 13A01 à 13A02, 13B01 à 13B02, 13C01 à 13C03, 13D01 à 13D02, 13E01 à 13E02, 13F01 à 13F02, 13G01 à 13G02</t>
  </si>
  <si>
    <t>01A, 01D, 13A03 à 13A04, 13B03 à 13B04, 13C04 à 13C05, 13D03 à 13D04, 13E03 à 13E04, 13F03 à 13F04, 13G03</t>
  </si>
  <si>
    <t xml:space="preserve"> Ces boutons permettent de sélectionner plusieurs étapes du management de risque</t>
  </si>
  <si>
    <t>intrinsèque: en l'absence de tout service de sécurité</t>
  </si>
  <si>
    <t>actuelle: tenant compte des services de sécurité actuels</t>
  </si>
  <si>
    <t>à la date choisie: tenant compte des projets de sécurité achevés</t>
  </si>
  <si>
    <t xml:space="preserve">préconisée:   tenant compte des cellules de décision à 1 dans la feuille plans _action </t>
  </si>
  <si>
    <t>intrinsèque( rappel)</t>
  </si>
  <si>
    <t>Chantale Pineault
Jean-Philippe Jouas
Jean-Louis Roule
Dominique Buc
Arvid Grotting
Georges Jahchan
Gilles Gouin
Jean-Louis Martin
Annabelle Travers-Viaud
Olivier Corbier
Bachir Benyammi</t>
  </si>
  <si>
    <r>
      <t xml:space="preserve">L'organisation se conforme-elle à une politique de développement sécurisé pour le cycle de vie des logiciels d'application?
</t>
    </r>
    <r>
      <rPr>
        <i/>
        <sz val="8"/>
        <rFont val="Arial"/>
        <family val="2"/>
      </rPr>
      <t>La politique inclut la sécurité dans la conception du développement de logiciels,  la méthodologie, les techniques de programmation, la sensibilisation des développeurs et la capacité à éviter et corriger les vulnérabilités</t>
    </r>
    <r>
      <rPr>
        <sz val="8"/>
        <rFont val="Arial"/>
        <family val="2"/>
      </rPr>
      <t xml:space="preserve">
</t>
    </r>
  </si>
  <si>
    <t>Responsable</t>
  </si>
  <si>
    <t>Une valeur de 1, en F.1, indique que les questions liées à l'évaluation du scoring seront en couleur jaune dans les questionnaires  --&gt;</t>
  </si>
  <si>
    <t>Commentaires sur la décision concernant la DdA</t>
  </si>
  <si>
    <t>Sélection des plans</t>
  </si>
  <si>
    <t>Présentation au comité de pilotage</t>
  </si>
  <si>
    <t>Accord du comité de direction</t>
  </si>
  <si>
    <t>Décision de lancer l'analyse des risques</t>
  </si>
  <si>
    <t>Priorités et exigences</t>
  </si>
  <si>
    <t>Étendue et limites</t>
  </si>
  <si>
    <t>Lancement du traitement des risques</t>
  </si>
  <si>
    <t>Etablissement des projets</t>
  </si>
  <si>
    <t>Politique de sécurité</t>
  </si>
  <si>
    <t>Principaux documents et résultats obtenus dans l'étude:</t>
  </si>
  <si>
    <t>État du diagnostic</t>
  </si>
  <si>
    <r>
      <t>L'identification de toutes ces exigences est-elle également appliquée aux produits, services et applications externalisés, achetés ou loués?
C</t>
    </r>
    <r>
      <rPr>
        <i/>
        <sz val="8"/>
        <rFont val="Arial"/>
        <family val="2"/>
      </rPr>
      <t>es évaluations et les considérations de maintenance et de test sont nécessaires avant la signature de contrats.</t>
    </r>
  </si>
  <si>
    <t>Les exigences sont-elles également appliquées aux équipements  (y compris  systèmes, autres logiciels, bases de données, stockage, réseau), aux opérateurs et aux utilisateurs (pilotes et de test)  associés aux activités de développement?</t>
  </si>
  <si>
    <r>
      <t>Les besoins de protection  (en disponibilité, intégrité et confidentialité)  des actifs informationnels mis en œuvre par les applications sont-ils définis?
Les é</t>
    </r>
    <r>
      <rPr>
        <i/>
        <sz val="8"/>
        <rFont val="Arial"/>
        <family val="2"/>
      </rPr>
      <t>quipements mobiles doivent être spécialement inclus dans cette analyse</t>
    </r>
  </si>
  <si>
    <r>
      <t xml:space="preserve">Mène-t-on une identification des exigences de sécurité auprès de toutes les parties prenantes dès le début de la conception?
</t>
    </r>
    <r>
      <rPr>
        <i/>
        <sz val="8"/>
        <rFont val="Arial"/>
        <family val="2"/>
      </rPr>
      <t>En considérant les conséquences  des menaces, des vulnérabilités et de la non-conformité aux lois et règlements tant sur le business et l'image que pour des parties prenantes externes (clients, fournisseurs, employés, partenaires, environnement de développement, ...)</t>
    </r>
  </si>
  <si>
    <r>
      <t xml:space="preserve">Les exigences de sécurité sont-elles documentées et examinées par toutes les parties prenantes? 
</t>
    </r>
    <r>
      <rPr>
        <i/>
        <sz val="8"/>
        <rFont val="Arial"/>
        <family val="2"/>
      </rPr>
      <t>La capacité des équipes de développement à respecter  ces exigences doit être vérifiée lors de points de contrôle établis tout au long des travaux.</t>
    </r>
  </si>
  <si>
    <t>Indiquez, dans chaque colonne de projet, les objectifs de qualité pour chaque service
 et, ligne 4, la date visée en format "aa mm"</t>
  </si>
  <si>
    <t>Qualité de service finale</t>
  </si>
  <si>
    <t>Besoin  / Plans-action</t>
  </si>
  <si>
    <t>26/05+/2016</t>
  </si>
  <si>
    <t>MEHARI™ Expert - avec support de l'ISO 27002:2013</t>
  </si>
  <si>
    <t>Licence</t>
  </si>
  <si>
    <t>Licence adaptée de la licence publique Creative Commons 
Attribution - Partage dans les mêmes conditions 4.0 International</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</si>
  <si>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</si>
  <si>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</si>
  <si>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</si>
  <si>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</si>
  <si>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</si>
  <si>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</si>
  <si>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</si>
  <si>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</si>
  <si>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</si>
  <si>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r>
      <t>Œuvre sous licence</t>
    </r>
    <r>
      <rPr>
        <sz val="10"/>
        <color rgb="FF333333"/>
        <rFont val="Arial"/>
        <family val="2"/>
      </rPr>
      <t> signifie  toute base de connaissances, documentation associée, dossier technique ou toute autre œuvre pour laquelle le Donneur de licence a recours à la présente Licence.</t>
    </r>
  </si>
  <si>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</si>
  <si>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r>
      <t>Donneur de licence</t>
    </r>
    <r>
      <rPr>
        <sz val="10"/>
        <color rgb="FF333333"/>
        <rFont val="Arial"/>
        <family val="2"/>
      </rPr>
      <t> signifie un individu ou une entité octroyant la présente Licence et les droits accordés par elle.</t>
    </r>
  </si>
  <si>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</si>
  <si>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</si>
  <si>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</si>
  <si>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c.</t>
  </si>
  <si>
    <t>d.</t>
  </si>
  <si>
    <t>e.</t>
  </si>
  <si>
    <t>f.</t>
  </si>
  <si>
    <t>g.</t>
  </si>
  <si>
    <t>h.</t>
  </si>
  <si>
    <t>i.</t>
  </si>
  <si>
    <t>j.</t>
  </si>
  <si>
    <t>k.</t>
  </si>
  <si>
    <t>l.</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</si>
  <si>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</si>
  <si>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</si>
  <si>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</si>
  <si>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</si>
  <si>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</si>
  <si>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</si>
  <si>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</si>
  <si>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</si>
  <si>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</si>
  <si>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</si>
  <si>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</si>
  <si>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</si>
  <si>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</si>
  <si>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</si>
  <si>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</si>
  <si>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</si>
  <si>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</si>
  <si>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</si>
  <si>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</si>
  <si>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</si>
  <si>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</si>
  <si>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</si>
  <si>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</si>
  <si>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</si>
  <si>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</si>
  <si>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</si>
  <si>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</si>
  <si>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</si>
  <si>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</si>
  <si>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</si>
  <si>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</si>
  <si>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</si>
  <si>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</si>
  <si>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</si>
  <si>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</si>
  <si>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</si>
  <si>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</si>
  <si>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</si>
  <si>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</si>
  <si>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</si>
  <si>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</si>
  <si>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b. </t>
  </si>
  <si>
    <t>Vous devez respecter les conditions de l’Article 3(a) si Vous Partagez la totalité ou une partie substantielle du contenu des bases de données.</t>
  </si>
  <si>
    <t xml:space="preserve">c. </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</si>
  <si>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</si>
  <si>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</si>
  <si>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</si>
  <si>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</si>
  <si>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</si>
  <si>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</si>
  <si>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</si>
  <si>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</si>
  <si>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</si>
  <si>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</si>
  <si>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</si>
  <si>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</si>
  <si>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</si>
  <si>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 xml:space="preserve">d. </t>
  </si>
  <si>
    <t>Article 7 – Autres termes et conditions.</t>
  </si>
  <si>
    <t>Tous arrangements, ententes ou accords relatifs à l’Œuvre sous licence non mentionnés dans la présente Licence sont séparés et indépendants des termes et conditions de la présente Licence.</t>
  </si>
  <si>
    <t>Sauf accord exprès, le Donneur de licence n’est lié par aucune modification des termes de Votre part.</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</si>
  <si>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</si>
  <si>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</si>
  <si>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</si>
  <si>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</si>
  <si>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</si>
  <si>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 xml:space="preserve">Collaborateurs et examinateurs
du Groupe de travail mixte
Clusif/Clusiq 
</t>
  </si>
  <si>
    <t>Club de la Sécurité de l'Information du Québec
http://www.clusif.ca</t>
  </si>
  <si>
    <t>MEHARI est une marque déposée par le CLUSIF
La présente base de connaissances est diffusée sous les termes et conditions de la "Licence d'attribution et de partage de MEHARI ou d'oeuvre dérivée de MEHARI", incluse dans ce dossier</t>
  </si>
  <si>
    <t>Licence d'attribution et de partage de MEHARI 
ou d'oeuvre dérivée de MEHARI</t>
  </si>
  <si>
    <t>i. conserver un suivi des modifications précédentes,</t>
  </si>
  <si>
    <t>ii. tenir informé le Donneur de licence des modifications apportées,</t>
  </si>
  <si>
    <t>B. Indiquer si Vous avez modifié l’Œuvre sous licence, et, dans ce cas :</t>
  </si>
  <si>
    <t>iii. indiquer l’Œuvre originale dont l’Œuvre sous Licence est issue</t>
  </si>
  <si>
    <t>iv. mentionner que le Clusif a été le créateur et le premier développeur de la méthode MEHARI dont est issue l’Œuvre sous Licence ; et</t>
  </si>
  <si>
    <t>Club de la Sécurité de l'Information Français
http://www.clusif.fr</t>
  </si>
  <si>
    <t>MEHARI est une méthode de management des risques conçue et développée par le CLUSIF</t>
  </si>
  <si>
    <t xml:space="preserve">la présente version a été élaborée par le CLUSIQ en vertu d’un accord de partenariat conclu entre le CLUSIF et le CLUSIQ </t>
  </si>
  <si>
    <t>Licenced'attribution et de partage de MEHARI ou d'oeuvre dérivée de MEHARI</t>
  </si>
  <si>
    <t>Edition 3-1 : Correspondence avec le standard ISO 27002:2013
Ajout de la feuille : Classeur</t>
  </si>
  <si>
    <t>Edition 4-1 : Incorporation de la "Licence d'attribution et de partage de MEHARI ou d'oeuvre dérivée de MEHARI",  à la base de connaissance</t>
  </si>
  <si>
    <t>Edition 4-2 : Reprise de la numérotation des éditions</t>
  </si>
  <si>
    <t>Édition 4-2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</si>
</sst>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 [$€]_-;\-* #,##0.00\ [$€]_-;_-* &quot;-&quot;??\ [$€]_-;_-@_-"/>
    <numFmt numFmtId="165" formatCode="0.0"/>
    <numFmt numFmtId="166" formatCode="[$-40C]d\ mmmm\ yyyy;@"/>
  </numFmts>
  <fonts count="107" x14ac:knownFonts="1">
    <font>
      <sz val="10"/>
      <name val="Arial"/>
    </font>
    <font>
      <sz val="11"/>
      <color theme="1"/>
      <name val="Calibri"/>
      <family val="2"/>
      <scheme val="minor"/>
    </font>
    <font>
      <sz val="10"/>
      <name val="Arial"/>
      <family val="2"/>
    </font>
    <font>
      <sz val="9"/>
      <name val="Arial"/>
      <family val="2"/>
    </font>
    <font>
      <b/>
      <sz val="9"/>
      <name val="Arial"/>
      <family val="2"/>
    </font>
    <font>
      <sz val="8"/>
      <name val="Arial"/>
      <family val="2"/>
    </font>
    <font>
      <b/>
      <sz val="14"/>
      <name val="Arial"/>
      <family val="2"/>
    </font>
    <font>
      <b/>
      <i/>
      <sz val="10"/>
      <name val="Arial"/>
      <family val="2"/>
    </font>
    <font>
      <b/>
      <i/>
      <sz val="9"/>
      <name val="Arial"/>
      <family val="2"/>
    </font>
    <font>
      <b/>
      <i/>
      <sz val="8"/>
      <name val="Arial"/>
      <family val="2"/>
    </font>
    <font>
      <sz val="9"/>
      <color indexed="10"/>
      <name val="Arial"/>
      <family val="2"/>
    </font>
    <font>
      <sz val="8"/>
      <color indexed="10"/>
      <name val="Arial"/>
      <family val="2"/>
    </font>
    <font>
      <b/>
      <sz val="9"/>
      <color indexed="10"/>
      <name val="Arial"/>
      <family val="2"/>
    </font>
    <font>
      <b/>
      <sz val="10"/>
      <name val="Arial"/>
      <family val="2"/>
    </font>
    <font>
      <sz val="10"/>
      <color indexed="10"/>
      <name val="Arial"/>
      <family val="2"/>
    </font>
    <font>
      <b/>
      <sz val="14"/>
      <color indexed="10"/>
      <name val="Arial"/>
      <family val="2"/>
    </font>
    <font>
      <sz val="10"/>
      <name val="Arial Narrow"/>
      <family val="2"/>
    </font>
    <font>
      <sz val="10"/>
      <color indexed="10"/>
      <name val="Arial Narrow"/>
      <family val="2"/>
    </font>
    <font>
      <sz val="9"/>
      <name val="Arial"/>
      <family val="2"/>
    </font>
    <font>
      <sz val="10"/>
      <name val="Arial"/>
      <family val="2"/>
    </font>
    <font>
      <sz val="8"/>
      <name val="Arial"/>
      <family val="2"/>
    </font>
    <font>
      <u/>
      <sz val="10"/>
      <color indexed="12"/>
      <name val="Arial"/>
      <family val="2"/>
    </font>
    <font>
      <sz val="10"/>
      <name val="Helv"/>
    </font>
    <font>
      <sz val="8"/>
      <name val="Helv"/>
    </font>
    <font>
      <b/>
      <sz val="8"/>
      <name val="Arial Narrow"/>
      <family val="2"/>
    </font>
    <font>
      <b/>
      <sz val="12"/>
      <color indexed="8"/>
      <name val="Arial"/>
      <family val="2"/>
    </font>
    <font>
      <sz val="10"/>
      <color indexed="10"/>
      <name val="Arial"/>
      <family val="2"/>
    </font>
    <font>
      <b/>
      <sz val="8"/>
      <name val="Arial"/>
      <family val="2"/>
    </font>
    <font>
      <sz val="11"/>
      <name val="Arial"/>
      <family val="2"/>
    </font>
    <font>
      <b/>
      <sz val="11"/>
      <name val="Arial"/>
      <family val="2"/>
    </font>
    <font>
      <sz val="10"/>
      <name val="MS Sans Serif"/>
      <family val="2"/>
    </font>
    <font>
      <b/>
      <sz val="12"/>
      <name val="Arial"/>
      <family val="2"/>
    </font>
    <font>
      <sz val="8"/>
      <name val="Arial Narrow"/>
      <family val="2"/>
    </font>
    <font>
      <b/>
      <sz val="10"/>
      <color indexed="10"/>
      <name val="Arial"/>
      <family val="2"/>
    </font>
    <font>
      <sz val="9"/>
      <name val="Comic Sans MS"/>
      <family val="4"/>
    </font>
    <font>
      <sz val="9"/>
      <color indexed="10"/>
      <name val="Comic Sans MS"/>
      <family val="4"/>
    </font>
    <font>
      <b/>
      <sz val="10"/>
      <color indexed="8"/>
      <name val="Arial"/>
      <family val="2"/>
    </font>
    <font>
      <sz val="10"/>
      <name val="Comic Sans MS"/>
      <family val="4"/>
    </font>
    <font>
      <b/>
      <sz val="10"/>
      <name val="Comic Sans MS"/>
      <family val="4"/>
    </font>
    <font>
      <b/>
      <sz val="12"/>
      <name val="Comic Sans MS"/>
      <family val="4"/>
    </font>
    <font>
      <sz val="8"/>
      <name val="Comic Sans MS"/>
      <family val="4"/>
    </font>
    <font>
      <b/>
      <sz val="8"/>
      <name val="Comic Sans MS"/>
      <family val="4"/>
    </font>
    <font>
      <sz val="10"/>
      <name val="Arial"/>
      <family val="2"/>
    </font>
    <font>
      <sz val="8"/>
      <color indexed="10"/>
      <name val="Arial"/>
      <family val="2"/>
    </font>
    <font>
      <sz val="8"/>
      <color indexed="9"/>
      <name val="Arial"/>
      <family val="2"/>
    </font>
    <font>
      <sz val="8"/>
      <color indexed="81"/>
      <name val="Tahoma"/>
      <family val="2"/>
    </font>
    <font>
      <b/>
      <sz val="9"/>
      <color indexed="10"/>
      <name val="Wingdings"/>
      <charset val="2"/>
    </font>
    <font>
      <sz val="10"/>
      <name val="Wingdings"/>
      <charset val="2"/>
    </font>
    <font>
      <sz val="11"/>
      <color indexed="9"/>
      <name val="Calibri"/>
      <family val="2"/>
    </font>
    <font>
      <b/>
      <sz val="11"/>
      <color indexed="8"/>
      <name val="Calibri"/>
      <family val="2"/>
    </font>
    <font>
      <b/>
      <sz val="10"/>
      <name val="Arial Narrow"/>
      <family val="2"/>
    </font>
    <font>
      <i/>
      <sz val="8"/>
      <name val="Arial Narrow"/>
      <family val="2"/>
    </font>
    <font>
      <i/>
      <sz val="8"/>
      <name val="Arial"/>
      <family val="2"/>
    </font>
    <font>
      <sz val="12"/>
      <name val="Arial"/>
      <family val="2"/>
    </font>
    <font>
      <i/>
      <strike/>
      <sz val="9"/>
      <color indexed="12"/>
      <name val="Arial Narrow"/>
      <family val="2"/>
    </font>
    <font>
      <b/>
      <sz val="8"/>
      <color indexed="81"/>
      <name val="Tahoma"/>
      <family val="2"/>
    </font>
    <font>
      <strike/>
      <sz val="8"/>
      <name val="Arial"/>
      <family val="2"/>
    </font>
    <font>
      <sz val="10"/>
      <name val="Arial"/>
      <family val="2"/>
    </font>
    <font>
      <b/>
      <strike/>
      <sz val="10"/>
      <name val="Arial"/>
      <family val="2"/>
    </font>
    <font>
      <b/>
      <sz val="12"/>
      <color indexed="10"/>
      <name val="Arial"/>
      <family val="2"/>
    </font>
    <font>
      <strike/>
      <sz val="10"/>
      <name val="Arial"/>
      <family val="2"/>
    </font>
    <font>
      <sz val="10"/>
      <name val="Arial"/>
      <family val="2"/>
    </font>
    <font>
      <sz val="10"/>
      <color indexed="8"/>
      <name val="Arial"/>
      <family val="2"/>
    </font>
    <font>
      <sz val="12"/>
      <color indexed="8"/>
      <name val="Arial"/>
      <family val="2"/>
    </font>
    <font>
      <i/>
      <sz val="10"/>
      <name val="Arial"/>
      <family val="2"/>
    </font>
    <font>
      <sz val="10"/>
      <name val="Arial"/>
      <family val="2"/>
    </font>
    <font>
      <sz val="14"/>
      <name val="Arial"/>
      <family val="2"/>
    </font>
    <font>
      <sz val="14"/>
      <color indexed="9"/>
      <name val="Arial"/>
      <family val="2"/>
    </font>
    <font>
      <sz val="16"/>
      <name val="Arial"/>
      <family val="2"/>
    </font>
    <font>
      <i/>
      <sz val="10"/>
      <color indexed="8"/>
      <name val="Arial"/>
      <family val="2"/>
    </font>
    <font>
      <sz val="9"/>
      <name val="Arial"/>
      <family val="2"/>
    </font>
    <font>
      <sz val="10"/>
      <name val="Arial"/>
      <family val="2"/>
    </font>
    <font>
      <sz val="10"/>
      <color rgb="FF000000"/>
      <name val="Arial"/>
      <family val="2"/>
    </font>
    <font>
      <b/>
      <sz val="10"/>
      <name val="Arial"/>
      <family val="2"/>
    </font>
    <font>
      <sz val="8"/>
      <name val="Calibri"/>
      <family val="2"/>
      <scheme val="minor"/>
    </font>
    <font>
      <b/>
      <sz val="9"/>
      <color indexed="81"/>
      <name val="Tahoma"/>
      <family val="2"/>
    </font>
    <font>
      <b/>
      <sz val="10"/>
      <color theme="1"/>
      <name val="Arial"/>
      <family val="2"/>
    </font>
    <font>
      <b/>
      <sz val="11"/>
      <color rgb="FFFF0000"/>
      <name val="Arial"/>
      <family val="2"/>
    </font>
    <font>
      <sz val="9"/>
      <color indexed="81"/>
      <name val="Tahoma"/>
      <family val="2"/>
    </font>
    <font>
      <b/>
      <sz val="10"/>
      <color rgb="FFFF0000"/>
      <name val="Arial"/>
      <family val="2"/>
    </font>
    <font>
      <b/>
      <sz val="9"/>
      <color rgb="FFFF0000"/>
      <name val="Arial"/>
      <family val="2"/>
    </font>
    <font>
      <strike/>
      <sz val="8"/>
      <name val="Arial Narrow"/>
      <family val="2"/>
    </font>
    <font>
      <sz val="8"/>
      <color rgb="FFFF0000"/>
      <name val="Arial"/>
      <family val="2"/>
    </font>
    <font>
      <b/>
      <sz val="10"/>
      <color indexed="9"/>
      <name val="Arial"/>
      <family val="2"/>
    </font>
    <font>
      <b/>
      <sz val="11"/>
      <color indexed="9"/>
      <name val="Arial"/>
      <family val="2"/>
    </font>
    <font>
      <sz val="11"/>
      <color indexed="9"/>
      <name val="Arial"/>
      <family val="2"/>
    </font>
    <font>
      <b/>
      <sz val="14"/>
      <color rgb="FFFF0000"/>
      <name val="Arial"/>
      <family val="2"/>
    </font>
    <font>
      <sz val="14"/>
      <color rgb="FFFF0000"/>
      <name val="Arial"/>
      <family val="2"/>
    </font>
    <font>
      <b/>
      <sz val="14"/>
      <color rgb="FFFF0000"/>
      <name val="Comic Sans MS"/>
      <family val="4"/>
    </font>
    <font>
      <sz val="10"/>
      <color indexed="9"/>
      <name val="Arial"/>
      <family val="2"/>
    </font>
    <font>
      <b/>
      <sz val="9"/>
      <name val="Arial Narrow"/>
      <family val="2"/>
    </font>
    <font>
      <sz val="9"/>
      <color indexed="81"/>
      <name val="Arial"/>
      <family val="2"/>
    </font>
    <font>
      <b/>
      <sz val="9"/>
      <color indexed="81"/>
      <name val="Arial"/>
      <family val="2"/>
    </font>
    <font>
      <u/>
      <sz val="10"/>
      <color theme="11"/>
      <name val="Arial"/>
      <family val="2"/>
    </font>
    <font>
      <u/>
      <sz val="10"/>
      <name val="Arial"/>
      <family val="2"/>
    </font>
    <font>
      <b/>
      <sz val="15"/>
      <color rgb="FF333333"/>
      <name val="Arial"/>
      <family val="2"/>
    </font>
    <font>
      <b/>
      <sz val="10"/>
      <color rgb="FF333333"/>
      <name val="Arial"/>
      <family val="2"/>
    </font>
    <font>
      <sz val="10"/>
      <color rgb="FF333333"/>
      <name val="Arial"/>
      <family val="2"/>
    </font>
    <font>
      <b/>
      <sz val="10"/>
      <color rgb="FF222222"/>
      <name val="Arial"/>
      <family val="2"/>
    </font>
    <font>
      <sz val="10"/>
      <color rgb="FF222222"/>
      <name val="Arial"/>
      <family val="2"/>
    </font>
    <font>
      <sz val="10"/>
      <color rgb="FF111111"/>
      <name val="Arial"/>
      <family val="2"/>
    </font>
    <font>
      <i/>
      <sz val="10"/>
      <color rgb="FF333333"/>
      <name val="Arial"/>
      <family val="2"/>
    </font>
    <font>
      <u/>
      <sz val="10"/>
      <color rgb="FF333333"/>
      <name val="Arial"/>
      <family val="2"/>
    </font>
    <font>
      <u/>
      <sz val="10"/>
      <color rgb="FFFF0000"/>
      <name val="Arial"/>
      <family val="2"/>
    </font>
    <font>
      <b/>
      <i/>
      <sz val="8"/>
      <color rgb="FF333333"/>
      <name val="Arial"/>
      <family val="2"/>
    </font>
    <font>
      <b/>
      <sz val="10"/>
      <color rgb="FF0070C0"/>
      <name val="Arial"/>
      <family val="2"/>
    </font>
    <font>
      <b/>
      <sz val="11"/>
      <color rgb="FF0070C0"/>
      <name val="Arial"/>
      <family val="2"/>
    </font>
  </fonts>
  <fills count="53">
    <fill>
      <patternFill patternType="none"/>
    </fill>
    <fill>
      <patternFill patternType="gray125"/>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9"/>
        <bgColor indexed="64"/>
      </patternFill>
    </fill>
    <fill>
      <patternFill patternType="solid">
        <fgColor indexed="42"/>
        <bgColor indexed="64"/>
      </patternFill>
    </fill>
    <fill>
      <patternFill patternType="solid">
        <fgColor indexed="10"/>
        <bgColor indexed="64"/>
      </patternFill>
    </fill>
    <fill>
      <patternFill patternType="solid">
        <fgColor indexed="51"/>
        <bgColor indexed="64"/>
      </patternFill>
    </fill>
    <fill>
      <patternFill patternType="solid">
        <fgColor indexed="9"/>
        <bgColor indexed="64"/>
      </patternFill>
    </fill>
    <fill>
      <patternFill patternType="solid">
        <fgColor indexed="43"/>
        <bgColor indexed="64"/>
      </patternFill>
    </fill>
    <fill>
      <patternFill patternType="solid">
        <fgColor indexed="44"/>
        <bgColor indexed="64"/>
      </patternFill>
    </fill>
    <fill>
      <patternFill patternType="solid">
        <fgColor indexed="46"/>
        <bgColor indexed="64"/>
      </patternFill>
    </fill>
    <fill>
      <patternFill patternType="solid">
        <fgColor indexed="42"/>
        <bgColor indexed="27"/>
      </patternFill>
    </fill>
    <fill>
      <patternFill patternType="solid">
        <fgColor indexed="54"/>
        <bgColor indexed="64"/>
      </patternFill>
    </fill>
    <fill>
      <patternFill patternType="solid">
        <fgColor indexed="9"/>
        <bgColor indexed="26"/>
      </patternFill>
    </fill>
    <fill>
      <patternFill patternType="solid">
        <fgColor indexed="29"/>
        <bgColor indexed="64"/>
      </patternFill>
    </fill>
    <fill>
      <patternFill patternType="solid">
        <fgColor indexed="49"/>
        <bgColor indexed="40"/>
      </patternFill>
    </fill>
    <fill>
      <patternFill patternType="solid">
        <fgColor indexed="22"/>
        <bgColor indexed="55"/>
      </patternFill>
    </fill>
    <fill>
      <patternFill patternType="solid">
        <fgColor indexed="52"/>
        <bgColor indexed="64"/>
      </patternFill>
    </fill>
    <fill>
      <patternFill patternType="solid">
        <fgColor rgb="FFFF0000"/>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theme="0"/>
        <bgColor rgb="FFEAEAEA"/>
      </patternFill>
    </fill>
    <fill>
      <patternFill patternType="solid">
        <fgColor theme="9" tint="0.39997558519241921"/>
        <bgColor indexed="64"/>
      </patternFill>
    </fill>
    <fill>
      <patternFill patternType="solid">
        <fgColor rgb="FFCCFFCC"/>
        <bgColor indexed="64"/>
      </patternFill>
    </fill>
    <fill>
      <patternFill patternType="solid">
        <fgColor indexed="54"/>
        <bgColor indexed="23"/>
      </patternFill>
    </fill>
    <fill>
      <patternFill patternType="solid">
        <fgColor rgb="FF33CCCC"/>
        <bgColor indexed="64"/>
      </patternFill>
    </fill>
    <fill>
      <patternFill patternType="solid">
        <fgColor rgb="FF33CCCC"/>
        <bgColor indexed="26"/>
      </patternFill>
    </fill>
    <fill>
      <patternFill patternType="solid">
        <fgColor rgb="FFCCFFFF"/>
        <bgColor indexed="64"/>
      </patternFill>
    </fill>
    <fill>
      <patternFill patternType="solid">
        <fgColor rgb="FFCCFFFF"/>
        <bgColor indexed="26"/>
      </patternFill>
    </fill>
    <fill>
      <patternFill patternType="solid">
        <fgColor theme="0" tint="-0.249977111117893"/>
        <bgColor indexed="64"/>
      </patternFill>
    </fill>
    <fill>
      <patternFill patternType="solid">
        <fgColor rgb="FFFFFF99"/>
        <bgColor indexed="64"/>
      </patternFill>
    </fill>
    <fill>
      <patternFill patternType="solid">
        <fgColor rgb="FF66CCFF"/>
        <bgColor indexed="64"/>
      </patternFill>
    </fill>
    <fill>
      <patternFill patternType="solid">
        <fgColor rgb="FFFF9900"/>
        <bgColor indexed="64"/>
      </patternFill>
    </fill>
    <fill>
      <patternFill patternType="solid">
        <fgColor rgb="FF33CCCC"/>
        <bgColor indexed="23"/>
      </patternFill>
    </fill>
    <fill>
      <patternFill patternType="solid">
        <fgColor rgb="FFCCFFCC"/>
        <bgColor indexed="26"/>
      </patternFill>
    </fill>
    <fill>
      <patternFill patternType="solid">
        <fgColor rgb="FFCCFFFF"/>
        <bgColor rgb="FFEAEAEA"/>
      </patternFill>
    </fill>
    <fill>
      <patternFill patternType="solid">
        <fgColor rgb="FFFFFFFF"/>
        <bgColor rgb="FFEAEAEA"/>
      </patternFill>
    </fill>
    <fill>
      <patternFill patternType="solid">
        <fgColor rgb="FFCCFFFF"/>
        <bgColor rgb="FF000000"/>
      </patternFill>
    </fill>
    <fill>
      <patternFill patternType="solid">
        <fgColor rgb="FFCCFFCC"/>
        <bgColor indexed="23"/>
      </patternFill>
    </fill>
    <fill>
      <patternFill patternType="solid">
        <fgColor rgb="FFCCFFCC"/>
        <bgColor indexed="27"/>
      </patternFill>
    </fill>
    <fill>
      <patternFill patternType="solid">
        <fgColor rgb="FF92D050"/>
        <bgColor indexed="64"/>
      </patternFill>
    </fill>
    <fill>
      <patternFill patternType="solid">
        <fgColor rgb="FFFFCC00"/>
        <bgColor indexed="64"/>
      </patternFill>
    </fill>
    <fill>
      <patternFill patternType="solid">
        <fgColor theme="8" tint="0.59999389629810485"/>
        <bgColor indexed="64"/>
      </patternFill>
    </fill>
    <fill>
      <patternFill patternType="solid">
        <fgColor theme="9" tint="0.39994506668294322"/>
        <bgColor indexed="64"/>
      </patternFill>
    </fill>
  </fills>
  <borders count="199">
    <border>
      <left/>
      <right/>
      <top/>
      <bottom/>
      <diagonal/>
    </border>
    <border>
      <left/>
      <right/>
      <top style="thin">
        <color indexed="49"/>
      </top>
      <bottom style="double">
        <color indexed="49"/>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medium">
        <color auto="1"/>
      </left>
      <right/>
      <top/>
      <bottom/>
      <diagonal/>
    </border>
    <border>
      <left style="medium">
        <color auto="1"/>
      </left>
      <right/>
      <top/>
      <bottom style="medium">
        <color auto="1"/>
      </bottom>
      <diagonal/>
    </border>
    <border>
      <left style="thin">
        <color indexed="8"/>
      </left>
      <right/>
      <top style="thin">
        <color indexed="8"/>
      </top>
      <bottom style="thin">
        <color indexed="8"/>
      </bottom>
      <diagonal/>
    </border>
    <border>
      <left/>
      <right/>
      <top style="thin">
        <color auto="1"/>
      </top>
      <bottom style="thin">
        <color auto="1"/>
      </bottom>
      <diagonal/>
    </border>
    <border>
      <left style="thin">
        <color indexed="8"/>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top style="thin">
        <color auto="1"/>
      </top>
      <bottom style="thin">
        <color indexed="8"/>
      </bottom>
      <diagonal/>
    </border>
    <border>
      <left style="thin">
        <color indexed="8"/>
      </left>
      <right/>
      <top style="thin">
        <color auto="1"/>
      </top>
      <bottom style="thin">
        <color auto="1"/>
      </bottom>
      <diagonal/>
    </border>
    <border>
      <left style="thin">
        <color auto="1"/>
      </left>
      <right/>
      <top style="thin">
        <color indexed="8"/>
      </top>
      <bottom style="thin">
        <color indexed="8"/>
      </bottom>
      <diagonal/>
    </border>
    <border>
      <left style="medium">
        <color auto="1"/>
      </left>
      <right/>
      <top style="medium">
        <color auto="1"/>
      </top>
      <bottom/>
      <diagonal/>
    </border>
    <border>
      <left/>
      <right/>
      <top/>
      <bottom style="thin">
        <color auto="1"/>
      </bottom>
      <diagonal/>
    </border>
    <border>
      <left/>
      <right/>
      <top style="thin">
        <color indexed="8"/>
      </top>
      <bottom style="thin">
        <color auto="1"/>
      </bottom>
      <diagonal/>
    </border>
    <border>
      <left style="thin">
        <color auto="1"/>
      </left>
      <right/>
      <top style="thin">
        <color indexed="8"/>
      </top>
      <bottom style="thin">
        <color auto="1"/>
      </bottom>
      <diagonal/>
    </border>
    <border>
      <left/>
      <right/>
      <top style="thin">
        <color indexed="8"/>
      </top>
      <bottom/>
      <diagonal/>
    </border>
    <border>
      <left style="thin">
        <color auto="1"/>
      </left>
      <right/>
      <top style="thin">
        <color indexed="8"/>
      </top>
      <bottom/>
      <diagonal/>
    </border>
    <border>
      <left style="thin">
        <color indexed="8"/>
      </left>
      <right/>
      <top/>
      <bottom/>
      <diagonal/>
    </border>
    <border>
      <left style="thin">
        <color auto="1"/>
      </left>
      <right style="medium">
        <color auto="1"/>
      </right>
      <top style="thin">
        <color auto="1"/>
      </top>
      <bottom style="thin">
        <color auto="1"/>
      </bottom>
      <diagonal/>
    </border>
    <border>
      <left/>
      <right style="thin">
        <color indexed="8"/>
      </right>
      <top style="thin">
        <color indexed="8"/>
      </top>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indexed="8"/>
      </left>
      <right/>
      <top style="thin">
        <color indexed="8"/>
      </top>
      <bottom/>
      <diagonal/>
    </border>
    <border>
      <left style="thin">
        <color auto="1"/>
      </left>
      <right/>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diagonal/>
    </border>
    <border>
      <left style="hair">
        <color auto="1"/>
      </left>
      <right style="hair">
        <color auto="1"/>
      </right>
      <top style="thin">
        <color indexed="8"/>
      </top>
      <bottom style="thin">
        <color indexed="8"/>
      </bottom>
      <diagonal/>
    </border>
    <border>
      <left style="hair">
        <color auto="1"/>
      </left>
      <right style="hair">
        <color auto="1"/>
      </right>
      <top style="thin">
        <color indexed="8"/>
      </top>
      <bottom/>
      <diagonal/>
    </border>
    <border>
      <left style="hair">
        <color auto="1"/>
      </left>
      <right style="hair">
        <color auto="1"/>
      </right>
      <top/>
      <bottom style="thin">
        <color auto="1"/>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style="thin">
        <color indexed="8"/>
      </right>
      <top/>
      <bottom style="medium">
        <color indexed="8"/>
      </bottom>
      <diagonal/>
    </border>
    <border>
      <left style="thin">
        <color indexed="8"/>
      </left>
      <right style="thin">
        <color indexed="8"/>
      </right>
      <top/>
      <bottom/>
      <diagonal/>
    </border>
    <border>
      <left style="medium">
        <color indexed="8"/>
      </left>
      <right/>
      <top/>
      <bottom/>
      <diagonal/>
    </border>
    <border>
      <left style="thin">
        <color indexed="8"/>
      </left>
      <right style="medium">
        <color indexed="8"/>
      </right>
      <top style="thin">
        <color indexed="8"/>
      </top>
      <bottom/>
      <diagonal/>
    </border>
    <border>
      <left style="thin">
        <color indexed="8"/>
      </left>
      <right style="medium">
        <color indexed="8"/>
      </right>
      <top/>
      <bottom/>
      <diagonal/>
    </border>
    <border>
      <left style="thin">
        <color indexed="8"/>
      </left>
      <right/>
      <top/>
      <bottom style="medium">
        <color indexed="8"/>
      </bottom>
      <diagonal/>
    </border>
    <border>
      <left style="thin">
        <color indexed="8"/>
      </left>
      <right style="medium">
        <color indexed="8"/>
      </right>
      <top/>
      <bottom style="medium">
        <color indexed="8"/>
      </bottom>
      <diagonal/>
    </border>
    <border>
      <left style="medium">
        <color indexed="8"/>
      </left>
      <right style="thin">
        <color indexed="8"/>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thin">
        <color indexed="8"/>
      </right>
      <top/>
      <bottom/>
      <diagonal/>
    </border>
    <border>
      <left/>
      <right style="thin">
        <color auto="1"/>
      </right>
      <top style="thin">
        <color auto="1"/>
      </top>
      <bottom/>
      <diagonal/>
    </border>
    <border>
      <left/>
      <right style="thin">
        <color auto="1"/>
      </right>
      <top/>
      <bottom/>
      <diagonal/>
    </border>
    <border>
      <left/>
      <right style="thin">
        <color auto="1"/>
      </right>
      <top style="thin">
        <color indexed="8"/>
      </top>
      <bottom style="thin">
        <color indexed="8"/>
      </bottom>
      <diagonal/>
    </border>
    <border>
      <left/>
      <right style="thin">
        <color auto="1"/>
      </right>
      <top style="thin">
        <color indexed="8"/>
      </top>
      <bottom/>
      <diagonal/>
    </border>
    <border>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style="thin">
        <color auto="1"/>
      </left>
      <right/>
      <top style="thin">
        <color auto="1"/>
      </top>
      <bottom/>
      <diagonal/>
    </border>
    <border>
      <left/>
      <right/>
      <top style="thin">
        <color auto="1"/>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style="thin">
        <color indexed="8"/>
      </top>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style="medium">
        <color indexed="8"/>
      </bottom>
      <diagonal/>
    </border>
    <border>
      <left style="medium">
        <color auto="1"/>
      </left>
      <right style="medium">
        <color auto="1"/>
      </right>
      <top style="medium">
        <color auto="1"/>
      </top>
      <bottom style="medium">
        <color auto="1"/>
      </bottom>
      <diagonal/>
    </border>
    <border>
      <left/>
      <right style="thin">
        <color indexed="8"/>
      </right>
      <top/>
      <bottom style="thin">
        <color indexed="8"/>
      </bottom>
      <diagonal/>
    </border>
    <border>
      <left/>
      <right style="hair">
        <color indexed="8"/>
      </right>
      <top style="hair">
        <color indexed="8"/>
      </top>
      <bottom style="hair">
        <color indexed="8"/>
      </bottom>
      <diagonal/>
    </border>
    <border>
      <left style="medium">
        <color indexed="8"/>
      </left>
      <right style="thin">
        <color indexed="8"/>
      </right>
      <top/>
      <bottom style="thin">
        <color indexed="8"/>
      </bottom>
      <diagonal/>
    </border>
    <border>
      <left style="medium">
        <color indexed="8"/>
      </left>
      <right/>
      <top/>
      <bottom style="thin">
        <color indexed="8"/>
      </bottom>
      <diagonal/>
    </border>
    <border>
      <left/>
      <right style="thin">
        <color indexed="8"/>
      </right>
      <top style="thin">
        <color indexed="8"/>
      </top>
      <bottom style="thin">
        <color indexed="8"/>
      </bottom>
      <diagonal/>
    </border>
    <border>
      <left style="hair">
        <color indexed="8"/>
      </left>
      <right/>
      <top style="hair">
        <color indexed="8"/>
      </top>
      <bottom style="hair">
        <color indexed="8"/>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n">
        <color indexed="8"/>
      </right>
      <top style="medium">
        <color indexed="8"/>
      </top>
      <bottom/>
      <diagonal/>
    </border>
    <border>
      <left/>
      <right style="thin">
        <color indexed="8"/>
      </right>
      <top/>
      <bottom style="medium">
        <color indexed="8"/>
      </bottom>
      <diagonal/>
    </border>
    <border>
      <left style="thin">
        <color indexed="8"/>
      </left>
      <right style="thin">
        <color indexed="8"/>
      </right>
      <top style="medium">
        <color indexed="8"/>
      </top>
      <bottom/>
      <diagonal/>
    </border>
    <border>
      <left/>
      <right/>
      <top/>
      <bottom style="hair">
        <color indexed="8"/>
      </bottom>
      <diagonal/>
    </border>
    <border>
      <left/>
      <right/>
      <top style="hair">
        <color indexed="8"/>
      </top>
      <bottom style="hair">
        <color indexed="8"/>
      </bottom>
      <diagonal/>
    </border>
    <border>
      <left/>
      <right/>
      <top style="medium">
        <color auto="1"/>
      </top>
      <bottom/>
      <diagonal/>
    </border>
    <border>
      <left style="medium">
        <color indexed="8"/>
      </left>
      <right style="thin">
        <color indexed="8"/>
      </right>
      <top/>
      <bottom/>
      <diagonal/>
    </border>
    <border>
      <left style="thin">
        <color rgb="FF000000"/>
      </left>
      <right style="thin">
        <color rgb="FF000000"/>
      </right>
      <top style="thin">
        <color rgb="FF000000"/>
      </top>
      <bottom style="thin">
        <color rgb="FF000000"/>
      </bottom>
      <diagonal/>
    </border>
    <border>
      <left/>
      <right style="thin">
        <color auto="1"/>
      </right>
      <top style="thin">
        <color indexed="8"/>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medium">
        <color auto="1"/>
      </left>
      <right style="thin">
        <color auto="1"/>
      </right>
      <top style="thin">
        <color indexed="8"/>
      </top>
      <bottom/>
      <diagonal/>
    </border>
    <border>
      <left style="medium">
        <color auto="1"/>
      </left>
      <right style="thin">
        <color auto="1"/>
      </right>
      <top/>
      <bottom style="medium">
        <color auto="1"/>
      </bottom>
      <diagonal/>
    </border>
    <border>
      <left style="thin">
        <color indexed="8"/>
      </left>
      <right style="thin">
        <color indexed="8"/>
      </right>
      <top style="thin">
        <color auto="1"/>
      </top>
      <bottom/>
      <diagonal/>
    </border>
    <border>
      <left style="hair">
        <color auto="1"/>
      </left>
      <right style="hair">
        <color auto="1"/>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8"/>
      </right>
      <top/>
      <bottom style="thin">
        <color auto="1"/>
      </bottom>
      <diagonal/>
    </border>
    <border>
      <left/>
      <right/>
      <top style="thin">
        <color indexed="8"/>
      </top>
      <bottom/>
      <diagonal/>
    </border>
    <border>
      <left style="thin">
        <color auto="1"/>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style="medium">
        <color auto="1"/>
      </bottom>
      <diagonal/>
    </border>
    <border>
      <left style="medium">
        <color auto="1"/>
      </left>
      <right style="medium">
        <color auto="1"/>
      </right>
      <top/>
      <bottom style="medium">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8"/>
      </left>
      <right style="medium">
        <color indexed="8"/>
      </right>
      <top/>
      <bottom style="thin">
        <color indexed="8"/>
      </bottom>
      <diagonal/>
    </border>
    <border>
      <left/>
      <right/>
      <top style="medium">
        <color auto="1"/>
      </top>
      <bottom style="medium">
        <color auto="1"/>
      </bottom>
      <diagonal/>
    </border>
    <border>
      <left style="thin">
        <color auto="1"/>
      </left>
      <right/>
      <top style="thin">
        <color auto="1"/>
      </top>
      <bottom style="thin">
        <color auto="1"/>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right style="thin">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8"/>
      </left>
      <right/>
      <top style="thin">
        <color auto="1"/>
      </top>
      <bottom style="thin">
        <color indexed="8"/>
      </bottom>
      <diagonal/>
    </border>
    <border>
      <left/>
      <right/>
      <top style="thin">
        <color auto="1"/>
      </top>
      <bottom style="thin">
        <color indexed="8"/>
      </bottom>
      <diagonal/>
    </border>
    <border>
      <left/>
      <right style="thin">
        <color auto="1"/>
      </right>
      <top style="thin">
        <color auto="1"/>
      </top>
      <bottom style="thin">
        <color indexed="8"/>
      </bottom>
      <diagonal/>
    </border>
    <border>
      <left/>
      <right style="thin">
        <color indexed="8"/>
      </right>
      <top style="thin">
        <color auto="1"/>
      </top>
      <bottom style="thin">
        <color indexed="8"/>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diagonal/>
    </border>
    <border>
      <left/>
      <right style="medium">
        <color auto="1"/>
      </right>
      <top/>
      <bottom/>
      <diagonal/>
    </border>
    <border>
      <left/>
      <right style="medium">
        <color auto="1"/>
      </right>
      <top/>
      <bottom style="thin">
        <color auto="1"/>
      </bottom>
      <diagonal/>
    </border>
    <border>
      <left style="thin">
        <color auto="1"/>
      </left>
      <right style="medium">
        <color auto="1"/>
      </right>
      <top style="thin">
        <color auto="1"/>
      </top>
      <bottom/>
      <diagonal/>
    </border>
    <border>
      <left style="medium">
        <color auto="1"/>
      </left>
      <right style="medium">
        <color indexed="8"/>
      </right>
      <top style="thin">
        <color indexed="8"/>
      </top>
      <bottom/>
      <diagonal/>
    </border>
    <border>
      <left style="medium">
        <color auto="1"/>
      </left>
      <right style="medium">
        <color indexed="8"/>
      </right>
      <top/>
      <bottom style="thin">
        <color indexed="8"/>
      </bottom>
      <diagonal/>
    </border>
    <border>
      <left/>
      <right/>
      <top/>
      <bottom style="medium">
        <color auto="1"/>
      </bottom>
      <diagonal/>
    </border>
    <border>
      <left/>
      <right style="medium">
        <color auto="1"/>
      </right>
      <top/>
      <bottom style="thin">
        <color auto="1"/>
      </bottom>
      <diagonal/>
    </border>
    <border>
      <left/>
      <right style="thin">
        <color auto="1"/>
      </right>
      <top style="thin">
        <color auto="1"/>
      </top>
      <bottom style="medium">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medium">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indexed="8"/>
      </left>
      <right style="thin">
        <color indexed="8"/>
      </right>
      <top style="thin">
        <color indexed="8"/>
      </top>
      <bottom/>
      <diagonal/>
    </border>
    <border>
      <left/>
      <right style="thin">
        <color indexed="8"/>
      </right>
      <top style="thin">
        <color auto="1"/>
      </top>
      <bottom style="thin">
        <color auto="1"/>
      </bottom>
      <diagonal/>
    </border>
    <border>
      <left/>
      <right/>
      <top style="thin">
        <color auto="1"/>
      </top>
      <bottom style="medium">
        <color auto="1"/>
      </bottom>
      <diagonal/>
    </border>
    <border>
      <left/>
      <right style="thin">
        <color indexed="8"/>
      </right>
      <top style="thin">
        <color indexed="8"/>
      </top>
      <bottom style="medium">
        <color auto="1"/>
      </bottom>
      <diagonal/>
    </border>
    <border>
      <left/>
      <right style="thin">
        <color indexed="8"/>
      </right>
      <top/>
      <bottom style="medium">
        <color auto="1"/>
      </bottom>
      <diagonal/>
    </border>
    <border>
      <left/>
      <right style="thin">
        <color indexed="8"/>
      </right>
      <top/>
      <bottom style="thin">
        <color indexed="8"/>
      </bottom>
      <diagonal/>
    </border>
    <border>
      <left/>
      <right/>
      <top style="thin">
        <color auto="1"/>
      </top>
      <bottom/>
      <diagonal/>
    </border>
    <border>
      <left style="medium">
        <color auto="1"/>
      </left>
      <right style="medium">
        <color auto="1"/>
      </right>
      <top style="medium">
        <color auto="1"/>
      </top>
      <bottom/>
      <diagonal/>
    </border>
    <border>
      <left style="thin">
        <color indexed="8"/>
      </left>
      <right style="thin">
        <color indexed="8"/>
      </right>
      <top style="thin">
        <color indexed="8"/>
      </top>
      <bottom style="medium">
        <color indexed="8"/>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indexed="8"/>
      </bottom>
      <diagonal/>
    </border>
    <border>
      <left/>
      <right/>
      <top style="thin">
        <color indexed="8"/>
      </top>
      <bottom style="thin">
        <color indexed="8"/>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indexed="8"/>
      </top>
      <bottom/>
      <diagonal/>
    </border>
    <border>
      <left/>
      <right style="thin">
        <color indexed="8"/>
      </right>
      <top style="thin">
        <color indexed="8"/>
      </top>
      <bottom/>
      <diagonal/>
    </border>
    <border>
      <left/>
      <right/>
      <top style="thin">
        <color auto="1"/>
      </top>
      <bottom style="thin">
        <color auto="1"/>
      </bottom>
      <diagonal/>
    </border>
    <border>
      <left/>
      <right/>
      <top style="thin">
        <color auto="1"/>
      </top>
      <bottom style="thin">
        <color indexed="8"/>
      </bottom>
      <diagonal/>
    </border>
    <border>
      <left style="thin">
        <color indexed="8"/>
      </left>
      <right style="thin">
        <color indexed="8"/>
      </right>
      <top/>
      <bottom style="thin">
        <color indexed="8"/>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style="thin">
        <color rgb="FF000000"/>
      </top>
      <bottom/>
      <diagonal/>
    </border>
    <border>
      <left style="thin">
        <color rgb="FF000000"/>
      </left>
      <right style="thin">
        <color rgb="FF000000"/>
      </right>
      <top/>
      <bottom style="thin">
        <color rgb="FF000000"/>
      </bottom>
      <diagonal/>
    </border>
    <border>
      <left style="thin">
        <color auto="1"/>
      </left>
      <right/>
      <top style="medium">
        <color auto="1"/>
      </top>
      <bottom style="thin">
        <color auto="1"/>
      </bottom>
      <diagonal/>
    </border>
    <border>
      <left/>
      <right/>
      <top style="medium">
        <color auto="1"/>
      </top>
      <bottom style="thin">
        <color auto="1"/>
      </bottom>
      <diagonal/>
    </border>
  </borders>
  <cellStyleXfs count="33">
    <xf numFmtId="164" fontId="0" fillId="0" borderId="0">
      <alignment vertical="center" wrapText="1"/>
    </xf>
    <xf numFmtId="164" fontId="48" fillId="2" borderId="0" applyNumberFormat="0" applyBorder="0" applyAlignment="0" applyProtection="0"/>
    <xf numFmtId="164" fontId="48" fillId="3" borderId="0" applyNumberFormat="0" applyBorder="0" applyAlignment="0" applyProtection="0"/>
    <xf numFmtId="164" fontId="48" fillId="4" borderId="0" applyNumberFormat="0" applyBorder="0" applyAlignment="0" applyProtection="0"/>
    <xf numFmtId="164" fontId="48" fillId="5" borderId="0" applyNumberFormat="0" applyBorder="0" applyAlignment="0" applyProtection="0"/>
    <xf numFmtId="164" fontId="48" fillId="2" borderId="0" applyNumberFormat="0" applyBorder="0" applyAlignment="0" applyProtection="0"/>
    <xf numFmtId="164" fontId="48" fillId="6" borderId="0" applyNumberFormat="0" applyBorder="0" applyAlignment="0" applyProtection="0"/>
    <xf numFmtId="164" fontId="19" fillId="0" borderId="0" applyFont="0" applyFill="0" applyBorder="0" applyAlignment="0" applyProtection="0">
      <alignment vertical="center" wrapText="1"/>
    </xf>
    <xf numFmtId="164" fontId="21" fillId="0" borderId="0" applyNumberFormat="0" applyFill="0" applyBorder="0" applyAlignment="0" applyProtection="0">
      <alignment vertical="top"/>
      <protection locked="0"/>
    </xf>
    <xf numFmtId="164" fontId="22" fillId="0" borderId="0"/>
    <xf numFmtId="164" fontId="19"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30" fillId="0" borderId="0"/>
    <xf numFmtId="164" fontId="19" fillId="0" borderId="0">
      <alignment vertical="center" wrapText="1"/>
    </xf>
    <xf numFmtId="164" fontId="19" fillId="0" borderId="0"/>
    <xf numFmtId="164" fontId="49" fillId="0" borderId="1" applyNumberFormat="0" applyFill="0" applyAlignment="0" applyProtection="0"/>
    <xf numFmtId="164" fontId="2" fillId="0" borderId="0"/>
    <xf numFmtId="164" fontId="93" fillId="0" borderId="0" applyNumberFormat="0" applyFill="0" applyBorder="0" applyAlignment="0" applyProtection="0">
      <alignment vertical="center" wrapText="1"/>
    </xf>
    <xf numFmtId="164" fontId="93" fillId="0" borderId="0" applyNumberFormat="0" applyFill="0" applyBorder="0" applyAlignment="0" applyProtection="0">
      <alignment vertical="center" wrapText="1"/>
    </xf>
    <xf numFmtId="164" fontId="93" fillId="0" borderId="0" applyNumberFormat="0" applyFill="0" applyBorder="0" applyAlignment="0" applyProtection="0">
      <alignment vertical="center" wrapText="1"/>
    </xf>
    <xf numFmtId="164" fontId="93" fillId="0" borderId="0" applyNumberFormat="0" applyFill="0" applyBorder="0" applyAlignment="0" applyProtection="0">
      <alignment vertical="center" wrapText="1"/>
    </xf>
    <xf numFmtId="164" fontId="93" fillId="0" borderId="0" applyNumberFormat="0" applyFill="0" applyBorder="0" applyAlignment="0" applyProtection="0">
      <alignment vertical="center" wrapText="1"/>
    </xf>
    <xf numFmtId="164" fontId="93" fillId="0" borderId="0" applyNumberFormat="0" applyFill="0" applyBorder="0" applyAlignment="0" applyProtection="0">
      <alignment vertical="center" wrapText="1"/>
    </xf>
    <xf numFmtId="164" fontId="2" fillId="0" borderId="0">
      <alignment vertical="center" wrapText="1"/>
    </xf>
    <xf numFmtId="0" fontId="2" fillId="0" borderId="0">
      <alignment vertical="center" wrapText="1"/>
    </xf>
    <xf numFmtId="0" fontId="1" fillId="0" borderId="0"/>
    <xf numFmtId="0" fontId="2" fillId="0" borderId="0"/>
    <xf numFmtId="0" fontId="1" fillId="0" borderId="0"/>
  </cellStyleXfs>
  <cellXfs count="2181">
    <xf numFmtId="164" fontId="0" fillId="0" borderId="0" xfId="0">
      <alignment vertical="center" wrapText="1"/>
    </xf>
    <xf numFmtId="164" fontId="16" fillId="0" borderId="10" xfId="16" applyFont="1" applyBorder="1" applyAlignment="1">
      <alignment vertical="top"/>
    </xf>
    <xf numFmtId="164" fontId="0" fillId="0" borderId="0" xfId="0" applyAlignment="1">
      <alignment vertical="center"/>
    </xf>
    <xf numFmtId="164" fontId="13" fillId="0" borderId="0" xfId="0" applyFont="1" applyAlignment="1">
      <alignment vertical="center"/>
    </xf>
    <xf numFmtId="164" fontId="6" fillId="0" borderId="0" xfId="0" applyFont="1" applyAlignment="1">
      <alignment vertical="center"/>
    </xf>
    <xf numFmtId="164" fontId="16" fillId="0" borderId="10" xfId="16" applyFont="1" applyBorder="1" applyAlignment="1"/>
    <xf numFmtId="164" fontId="2" fillId="0" borderId="0" xfId="16" applyFont="1" applyBorder="1" applyAlignment="1">
      <alignment vertical="top"/>
    </xf>
    <xf numFmtId="164" fontId="2" fillId="0" borderId="0" xfId="0" applyFont="1">
      <alignment vertical="center" wrapText="1"/>
    </xf>
    <xf numFmtId="164" fontId="2" fillId="0" borderId="0" xfId="16" applyFont="1" applyBorder="1" applyAlignment="1"/>
    <xf numFmtId="164" fontId="5" fillId="0" borderId="0" xfId="0" applyFont="1" applyFill="1" applyBorder="1">
      <alignment vertical="center" wrapText="1"/>
    </xf>
    <xf numFmtId="0" fontId="2" fillId="0" borderId="0" xfId="14" applyNumberFormat="1"/>
    <xf numFmtId="0" fontId="31" fillId="31" borderId="152" xfId="14" applyNumberFormat="1" applyFont="1" applyFill="1" applyBorder="1" applyAlignment="1" applyProtection="1">
      <alignment horizontal="left" vertical="center"/>
    </xf>
    <xf numFmtId="0" fontId="31" fillId="31" borderId="152" xfId="14" applyNumberFormat="1" applyFont="1" applyFill="1" applyBorder="1" applyAlignment="1" applyProtection="1">
      <alignment horizontal="center" vertical="center" wrapText="1"/>
    </xf>
    <xf numFmtId="0" fontId="31" fillId="31" borderId="151" xfId="14" applyNumberFormat="1" applyFont="1" applyFill="1" applyBorder="1" applyAlignment="1" applyProtection="1">
      <alignment horizontal="center" vertical="center" wrapText="1"/>
    </xf>
    <xf numFmtId="0" fontId="0" fillId="0" borderId="74" xfId="14" applyNumberFormat="1" applyFont="1" applyBorder="1" applyAlignment="1">
      <alignment vertical="top" wrapText="1"/>
    </xf>
    <xf numFmtId="0" fontId="0" fillId="0" borderId="162" xfId="14" applyNumberFormat="1" applyFont="1" applyBorder="1" applyAlignment="1">
      <alignment vertical="top" wrapText="1"/>
    </xf>
    <xf numFmtId="0" fontId="0" fillId="0" borderId="163" xfId="14" applyNumberFormat="1" applyFont="1" applyBorder="1" applyAlignment="1">
      <alignment vertical="top" wrapText="1"/>
    </xf>
    <xf numFmtId="0" fontId="88" fillId="0" borderId="0" xfId="15" applyNumberFormat="1" applyFont="1"/>
    <xf numFmtId="0" fontId="37" fillId="0" borderId="0" xfId="15" applyNumberFormat="1" applyFont="1"/>
    <xf numFmtId="0" fontId="37" fillId="0" borderId="0" xfId="15" applyNumberFormat="1" applyFont="1" applyAlignment="1">
      <alignment horizontal="center"/>
    </xf>
    <xf numFmtId="0" fontId="2" fillId="0" borderId="0" xfId="15" applyNumberFormat="1"/>
    <xf numFmtId="0" fontId="38" fillId="0" borderId="0" xfId="15" applyNumberFormat="1" applyFont="1"/>
    <xf numFmtId="0" fontId="39" fillId="0" borderId="0" xfId="15" applyNumberFormat="1" applyFont="1"/>
    <xf numFmtId="0" fontId="40" fillId="0" borderId="0" xfId="15" applyNumberFormat="1" applyFont="1"/>
    <xf numFmtId="0" fontId="41" fillId="0" borderId="0" xfId="15" applyNumberFormat="1" applyFont="1" applyAlignment="1">
      <alignment horizontal="right"/>
    </xf>
    <xf numFmtId="0" fontId="41" fillId="0" borderId="0" xfId="15" applyNumberFormat="1" applyFont="1" applyAlignment="1">
      <alignment horizontal="center"/>
    </xf>
    <xf numFmtId="0" fontId="40" fillId="0" borderId="3" xfId="15" applyNumberFormat="1" applyFont="1" applyBorder="1" applyAlignment="1">
      <alignment horizontal="center"/>
    </xf>
    <xf numFmtId="0" fontId="2" fillId="0" borderId="0" xfId="15" applyNumberFormat="1" applyFont="1"/>
    <xf numFmtId="0" fontId="40" fillId="0" borderId="0" xfId="15" applyNumberFormat="1" applyFont="1" applyAlignment="1">
      <alignment horizontal="center"/>
    </xf>
    <xf numFmtId="0" fontId="26" fillId="0" borderId="0" xfId="15" applyNumberFormat="1" applyFont="1"/>
    <xf numFmtId="0" fontId="2" fillId="0" borderId="0" xfId="15" applyNumberFormat="1" applyAlignment="1"/>
    <xf numFmtId="0" fontId="39" fillId="0" borderId="0" xfId="15" applyNumberFormat="1" applyFont="1" applyAlignment="1">
      <alignment vertical="center"/>
    </xf>
    <xf numFmtId="0" fontId="37" fillId="0" borderId="0" xfId="15" applyNumberFormat="1" applyFont="1" applyAlignment="1">
      <alignment vertical="center"/>
    </xf>
    <xf numFmtId="0" fontId="37" fillId="0" borderId="0" xfId="15" applyNumberFormat="1" applyFont="1" applyAlignment="1">
      <alignment horizontal="center" vertical="center"/>
    </xf>
    <xf numFmtId="0" fontId="2" fillId="0" borderId="0" xfId="15" applyNumberFormat="1" applyAlignment="1">
      <alignment vertical="center"/>
    </xf>
    <xf numFmtId="0" fontId="40" fillId="0" borderId="2" xfId="15" applyNumberFormat="1" applyFont="1" applyBorder="1" applyAlignment="1">
      <alignment horizontal="center"/>
    </xf>
    <xf numFmtId="0" fontId="5" fillId="0" borderId="0" xfId="0" applyNumberFormat="1" applyFont="1" applyAlignment="1">
      <alignment horizontal="center" vertical="center" wrapText="1"/>
    </xf>
    <xf numFmtId="0" fontId="13" fillId="0" borderId="0" xfId="0" applyNumberFormat="1" applyFont="1" applyAlignment="1">
      <alignment horizontal="center"/>
    </xf>
    <xf numFmtId="0" fontId="13" fillId="0" borderId="0" xfId="0" applyNumberFormat="1" applyFont="1" applyAlignment="1">
      <alignment horizontal="center" vertical="center" wrapText="1"/>
    </xf>
    <xf numFmtId="0" fontId="2" fillId="0" borderId="0" xfId="15" applyNumberFormat="1" applyFill="1"/>
    <xf numFmtId="0" fontId="19" fillId="0" borderId="0" xfId="15" applyNumberFormat="1" applyFont="1" applyFill="1"/>
    <xf numFmtId="0" fontId="2" fillId="0" borderId="0" xfId="0" applyNumberFormat="1" applyFont="1">
      <alignment vertical="center" wrapText="1"/>
    </xf>
    <xf numFmtId="0" fontId="0" fillId="0" borderId="0" xfId="0" applyNumberFormat="1">
      <alignment vertical="center" wrapText="1"/>
    </xf>
    <xf numFmtId="0" fontId="13" fillId="11" borderId="3" xfId="15" applyNumberFormat="1" applyFont="1" applyFill="1" applyBorder="1" applyAlignment="1">
      <alignment horizontal="center"/>
    </xf>
    <xf numFmtId="0" fontId="13" fillId="13" borderId="3" xfId="15" applyNumberFormat="1" applyFont="1" applyFill="1" applyBorder="1" applyAlignment="1">
      <alignment horizontal="center"/>
    </xf>
    <xf numFmtId="0" fontId="36" fillId="12" borderId="3" xfId="15" applyNumberFormat="1" applyFont="1" applyFill="1" applyBorder="1" applyAlignment="1">
      <alignment horizontal="center"/>
    </xf>
    <xf numFmtId="0" fontId="2" fillId="25" borderId="3" xfId="0" quotePrefix="1" applyNumberFormat="1" applyFont="1" applyFill="1" applyBorder="1">
      <alignment vertical="center" wrapText="1"/>
    </xf>
    <xf numFmtId="0" fontId="13" fillId="0" borderId="3" xfId="15" applyNumberFormat="1" applyFont="1" applyFill="1" applyBorder="1" applyAlignment="1">
      <alignment horizontal="center"/>
    </xf>
    <xf numFmtId="0" fontId="2" fillId="26" borderId="3" xfId="0" quotePrefix="1" applyNumberFormat="1" applyFont="1" applyFill="1" applyBorder="1">
      <alignment vertical="center" wrapText="1"/>
    </xf>
    <xf numFmtId="0" fontId="2" fillId="27" borderId="3" xfId="0" quotePrefix="1" applyNumberFormat="1" applyFont="1" applyFill="1" applyBorder="1">
      <alignment vertical="center" wrapText="1"/>
    </xf>
    <xf numFmtId="0" fontId="2" fillId="0" borderId="3" xfId="0" quotePrefix="1" applyNumberFormat="1" applyFont="1" applyBorder="1">
      <alignment vertical="center" wrapText="1"/>
    </xf>
    <xf numFmtId="0" fontId="31" fillId="0" borderId="0" xfId="15" applyNumberFormat="1" applyFont="1" applyFill="1" applyAlignment="1">
      <alignment horizontal="center"/>
    </xf>
    <xf numFmtId="0" fontId="37" fillId="0" borderId="0" xfId="15" applyNumberFormat="1" applyFont="1" applyFill="1"/>
    <xf numFmtId="0" fontId="0" fillId="0" borderId="0" xfId="0" applyNumberFormat="1" applyFill="1" applyBorder="1" applyAlignment="1">
      <alignment horizontal="center" vertical="center" wrapText="1"/>
    </xf>
    <xf numFmtId="0" fontId="0" fillId="0" borderId="0" xfId="0" applyNumberFormat="1" applyFill="1" applyBorder="1">
      <alignment vertical="center" wrapText="1"/>
    </xf>
    <xf numFmtId="0" fontId="7" fillId="31" borderId="82" xfId="0" applyNumberFormat="1" applyFont="1" applyFill="1" applyBorder="1" applyAlignment="1">
      <alignment vertical="center"/>
    </xf>
    <xf numFmtId="0" fontId="7" fillId="31" borderId="74" xfId="0" applyNumberFormat="1" applyFont="1" applyFill="1" applyBorder="1" applyAlignment="1">
      <alignment vertical="center"/>
    </xf>
    <xf numFmtId="0" fontId="7" fillId="31" borderId="74" xfId="0" applyNumberFormat="1" applyFont="1" applyFill="1" applyBorder="1" applyAlignment="1">
      <alignment horizontal="left" vertical="center" wrapText="1"/>
    </xf>
    <xf numFmtId="0" fontId="7" fillId="31" borderId="15" xfId="0" applyNumberFormat="1" applyFont="1" applyFill="1" applyBorder="1" applyAlignment="1">
      <alignment vertical="center"/>
    </xf>
    <xf numFmtId="0" fontId="7" fillId="31" borderId="3" xfId="0" applyNumberFormat="1" applyFont="1" applyFill="1" applyBorder="1" applyAlignment="1">
      <alignment horizontal="center" vertical="center" wrapText="1"/>
    </xf>
    <xf numFmtId="0" fontId="7" fillId="0" borderId="57" xfId="0" applyNumberFormat="1" applyFont="1" applyBorder="1" applyAlignment="1">
      <alignment vertical="center"/>
    </xf>
    <xf numFmtId="0" fontId="7" fillId="0" borderId="0" xfId="0" applyNumberFormat="1" applyFont="1" applyBorder="1">
      <alignment vertical="center" wrapText="1"/>
    </xf>
    <xf numFmtId="0" fontId="2" fillId="0" borderId="0" xfId="0" applyNumberFormat="1" applyFont="1" applyBorder="1">
      <alignment vertical="center" wrapText="1"/>
    </xf>
    <xf numFmtId="0" fontId="2" fillId="0" borderId="59" xfId="0" applyNumberFormat="1" applyFont="1" applyBorder="1" applyAlignment="1">
      <alignment horizontal="center" vertical="center" wrapText="1"/>
    </xf>
    <xf numFmtId="0" fontId="2" fillId="28" borderId="59" xfId="0" applyNumberFormat="1" applyFont="1" applyFill="1" applyBorder="1" applyAlignment="1">
      <alignment horizontal="center" vertical="center" wrapText="1"/>
    </xf>
    <xf numFmtId="0" fontId="2" fillId="0" borderId="129" xfId="0" applyNumberFormat="1" applyFont="1" applyBorder="1">
      <alignment vertical="center" wrapText="1"/>
    </xf>
    <xf numFmtId="0" fontId="2" fillId="0" borderId="41" xfId="0" applyNumberFormat="1" applyFont="1" applyBorder="1">
      <alignment vertical="center" wrapText="1"/>
    </xf>
    <xf numFmtId="0" fontId="2" fillId="0" borderId="42" xfId="0" applyNumberFormat="1" applyFont="1" applyBorder="1">
      <alignment vertical="center" wrapText="1"/>
    </xf>
    <xf numFmtId="0" fontId="2" fillId="0" borderId="43" xfId="0" applyNumberFormat="1" applyFont="1" applyBorder="1">
      <alignment vertical="center" wrapText="1"/>
    </xf>
    <xf numFmtId="0" fontId="2" fillId="0" borderId="42" xfId="0" applyNumberFormat="1" applyFont="1" applyBorder="1" applyAlignment="1">
      <alignment horizontal="center" vertical="center" wrapText="1"/>
    </xf>
    <xf numFmtId="0" fontId="2" fillId="0" borderId="44" xfId="0" applyNumberFormat="1" applyFont="1" applyBorder="1" applyAlignment="1">
      <alignment horizontal="center" vertical="center" wrapText="1"/>
    </xf>
    <xf numFmtId="0" fontId="2" fillId="28" borderId="44" xfId="0" applyNumberFormat="1" applyFont="1" applyFill="1" applyBorder="1" applyAlignment="1" applyProtection="1">
      <alignment horizontal="center" vertical="center" wrapText="1"/>
      <protection locked="0"/>
    </xf>
    <xf numFmtId="0" fontId="2" fillId="0" borderId="77" xfId="0" applyNumberFormat="1" applyFont="1" applyBorder="1">
      <alignment vertical="center" wrapText="1"/>
    </xf>
    <xf numFmtId="0" fontId="2" fillId="0" borderId="45" xfId="0" applyNumberFormat="1" applyFont="1" applyBorder="1">
      <alignment vertical="center" wrapText="1"/>
    </xf>
    <xf numFmtId="0" fontId="2" fillId="0" borderId="2" xfId="0" applyNumberFormat="1" applyFont="1" applyBorder="1">
      <alignment vertical="center" wrapText="1"/>
    </xf>
    <xf numFmtId="0" fontId="2" fillId="0" borderId="12" xfId="0" applyNumberFormat="1" applyFont="1" applyBorder="1">
      <alignment vertical="center" wrapText="1"/>
    </xf>
    <xf numFmtId="0" fontId="2" fillId="0" borderId="2" xfId="0" applyNumberFormat="1" applyFont="1" applyBorder="1" applyAlignment="1">
      <alignment horizontal="center" vertical="center" wrapText="1"/>
    </xf>
    <xf numFmtId="0" fontId="2" fillId="0" borderId="46" xfId="0" applyNumberFormat="1" applyFont="1" applyBorder="1" applyAlignment="1">
      <alignment horizontal="center" vertical="center" wrapText="1"/>
    </xf>
    <xf numFmtId="0" fontId="2" fillId="28" borderId="46" xfId="0" applyNumberFormat="1" applyFont="1" applyFill="1" applyBorder="1" applyAlignment="1" applyProtection="1">
      <alignment horizontal="center" vertical="center" wrapText="1"/>
      <protection locked="0"/>
    </xf>
    <xf numFmtId="0" fontId="2" fillId="0" borderId="76" xfId="0" applyNumberFormat="1" applyFont="1" applyBorder="1">
      <alignment vertical="center" wrapText="1"/>
    </xf>
    <xf numFmtId="0" fontId="2" fillId="0" borderId="74" xfId="0" applyNumberFormat="1" applyFont="1" applyBorder="1">
      <alignment vertical="center" wrapText="1"/>
    </xf>
    <xf numFmtId="0" fontId="2" fillId="0" borderId="75" xfId="0" applyNumberFormat="1" applyFont="1" applyBorder="1" applyAlignment="1">
      <alignment horizontal="center" vertical="center" wrapText="1"/>
    </xf>
    <xf numFmtId="0" fontId="2" fillId="28" borderId="75" xfId="0" applyNumberFormat="1" applyFont="1" applyFill="1" applyBorder="1" applyAlignment="1" applyProtection="1">
      <alignment horizontal="center" vertical="center" wrapText="1"/>
      <protection locked="0"/>
    </xf>
    <xf numFmtId="0" fontId="2" fillId="0" borderId="47" xfId="0" applyNumberFormat="1" applyFont="1" applyBorder="1">
      <alignment vertical="center" wrapText="1"/>
    </xf>
    <xf numFmtId="0" fontId="2" fillId="0" borderId="48" xfId="0" applyNumberFormat="1" applyFont="1" applyBorder="1">
      <alignment vertical="center" wrapText="1"/>
    </xf>
    <xf numFmtId="0" fontId="2" fillId="0" borderId="49" xfId="0" applyNumberFormat="1" applyFont="1" applyBorder="1">
      <alignment vertical="center" wrapText="1"/>
    </xf>
    <xf numFmtId="0" fontId="2" fillId="0" borderId="48" xfId="0" applyNumberFormat="1" applyFont="1" applyBorder="1" applyAlignment="1">
      <alignment horizontal="center" vertical="center" wrapText="1"/>
    </xf>
    <xf numFmtId="0" fontId="2" fillId="0" borderId="50" xfId="0" applyNumberFormat="1" applyFont="1" applyBorder="1" applyAlignment="1">
      <alignment horizontal="center" vertical="center" wrapText="1"/>
    </xf>
    <xf numFmtId="0" fontId="2" fillId="28" borderId="50" xfId="0" applyNumberFormat="1" applyFont="1" applyFill="1" applyBorder="1" applyAlignment="1" applyProtection="1">
      <alignment horizontal="center" vertical="center" wrapText="1"/>
      <protection locked="0"/>
    </xf>
    <xf numFmtId="0" fontId="2" fillId="0" borderId="51" xfId="0" applyNumberFormat="1" applyFont="1" applyBorder="1">
      <alignment vertical="center" wrapText="1"/>
    </xf>
    <xf numFmtId="0" fontId="2" fillId="0" borderId="52" xfId="0" applyNumberFormat="1" applyFont="1" applyBorder="1" applyAlignment="1">
      <alignment vertical="center" wrapText="1"/>
    </xf>
    <xf numFmtId="0" fontId="14" fillId="0" borderId="77" xfId="0" applyNumberFormat="1" applyFont="1" applyBorder="1">
      <alignment vertical="center" wrapText="1"/>
    </xf>
    <xf numFmtId="0" fontId="14" fillId="0" borderId="0" xfId="0" applyNumberFormat="1" applyFont="1">
      <alignment vertical="center" wrapText="1"/>
    </xf>
    <xf numFmtId="0" fontId="2" fillId="0" borderId="14" xfId="0" applyNumberFormat="1" applyFont="1" applyBorder="1">
      <alignment vertical="center" wrapText="1"/>
    </xf>
    <xf numFmtId="0" fontId="2" fillId="0" borderId="34" xfId="0" applyNumberFormat="1" applyFont="1" applyBorder="1">
      <alignment vertical="center" wrapText="1"/>
    </xf>
    <xf numFmtId="0" fontId="2" fillId="0" borderId="14" xfId="0" applyNumberFormat="1" applyFont="1" applyBorder="1" applyAlignment="1">
      <alignment horizontal="center" vertical="center" wrapText="1"/>
    </xf>
    <xf numFmtId="0" fontId="2" fillId="0" borderId="58" xfId="0" applyNumberFormat="1" applyFont="1" applyBorder="1" applyAlignment="1">
      <alignment horizontal="center" vertical="center" wrapText="1"/>
    </xf>
    <xf numFmtId="0" fontId="2" fillId="28" borderId="58" xfId="0" applyNumberFormat="1" applyFont="1" applyFill="1" applyBorder="1" applyAlignment="1" applyProtection="1">
      <alignment horizontal="center" vertical="center" wrapText="1"/>
      <protection locked="0"/>
    </xf>
    <xf numFmtId="0" fontId="2" fillId="0" borderId="52" xfId="0" applyNumberFormat="1" applyFont="1" applyBorder="1">
      <alignment vertical="center" wrapText="1"/>
    </xf>
    <xf numFmtId="0" fontId="2" fillId="0" borderId="53" xfId="0" applyNumberFormat="1" applyFont="1" applyBorder="1">
      <alignment vertical="center" wrapText="1"/>
    </xf>
    <xf numFmtId="0" fontId="2" fillId="0" borderId="52" xfId="0" applyNumberFormat="1" applyFont="1" applyBorder="1" applyAlignment="1">
      <alignment horizontal="center" vertical="center" wrapText="1"/>
    </xf>
    <xf numFmtId="0" fontId="2" fillId="0" borderId="54" xfId="0" applyNumberFormat="1" applyFont="1" applyBorder="1" applyAlignment="1">
      <alignment horizontal="center" vertical="center" wrapText="1"/>
    </xf>
    <xf numFmtId="0" fontId="2" fillId="28" borderId="54" xfId="0" applyNumberFormat="1" applyFont="1" applyFill="1" applyBorder="1" applyAlignment="1" applyProtection="1">
      <alignment horizontal="center" vertical="center" wrapText="1"/>
      <protection locked="0"/>
    </xf>
    <xf numFmtId="0" fontId="2" fillId="28" borderId="59" xfId="0" applyNumberFormat="1" applyFont="1" applyFill="1" applyBorder="1" applyAlignment="1" applyProtection="1">
      <alignment horizontal="center" vertical="center" wrapText="1"/>
      <protection locked="0"/>
    </xf>
    <xf numFmtId="0" fontId="7" fillId="0" borderId="63" xfId="0" applyNumberFormat="1" applyFont="1" applyBorder="1" applyAlignment="1">
      <alignment vertical="center"/>
    </xf>
    <xf numFmtId="0" fontId="7" fillId="0" borderId="64" xfId="0" applyNumberFormat="1" applyFont="1" applyBorder="1">
      <alignment vertical="center" wrapText="1"/>
    </xf>
    <xf numFmtId="0" fontId="2" fillId="0" borderId="64" xfId="0" applyNumberFormat="1" applyFont="1" applyBorder="1">
      <alignment vertical="center" wrapText="1"/>
    </xf>
    <xf numFmtId="0" fontId="2" fillId="0" borderId="62" xfId="0" applyNumberFormat="1" applyFont="1" applyBorder="1">
      <alignment vertical="center" wrapText="1"/>
    </xf>
    <xf numFmtId="0" fontId="2" fillId="0" borderId="55" xfId="0" applyNumberFormat="1" applyFont="1" applyBorder="1" applyAlignment="1">
      <alignment vertical="center" wrapText="1"/>
    </xf>
    <xf numFmtId="0" fontId="2" fillId="0" borderId="55" xfId="0" applyNumberFormat="1" applyFont="1" applyBorder="1">
      <alignment vertical="center" wrapText="1"/>
    </xf>
    <xf numFmtId="0" fontId="2" fillId="0" borderId="60" xfId="0" applyNumberFormat="1" applyFont="1" applyBorder="1">
      <alignment vertical="center" wrapText="1"/>
    </xf>
    <xf numFmtId="0" fontId="2" fillId="0" borderId="55" xfId="0" applyNumberFormat="1" applyFont="1" applyBorder="1" applyAlignment="1">
      <alignment horizontal="center" vertical="center" wrapText="1"/>
    </xf>
    <xf numFmtId="0" fontId="2" fillId="0" borderId="61" xfId="0" applyNumberFormat="1" applyFont="1" applyBorder="1" applyAlignment="1">
      <alignment horizontal="center" vertical="center" wrapText="1"/>
    </xf>
    <xf numFmtId="0" fontId="2" fillId="28" borderId="61" xfId="0" applyNumberFormat="1" applyFont="1" applyFill="1" applyBorder="1" applyAlignment="1" applyProtection="1">
      <alignment horizontal="center" vertical="center" wrapText="1"/>
      <protection locked="0"/>
    </xf>
    <xf numFmtId="0" fontId="2" fillId="0" borderId="78" xfId="0" applyNumberFormat="1" applyFont="1" applyBorder="1">
      <alignment vertical="center" wrapText="1"/>
    </xf>
    <xf numFmtId="0" fontId="3" fillId="0" borderId="0" xfId="0" applyNumberFormat="1" applyFont="1">
      <alignment vertical="center" wrapText="1"/>
    </xf>
    <xf numFmtId="0" fontId="0" fillId="0" borderId="0" xfId="0" applyNumberFormat="1" applyAlignment="1">
      <alignment horizontal="center" vertical="center" wrapText="1"/>
    </xf>
    <xf numFmtId="0" fontId="86" fillId="36" borderId="152" xfId="13" applyNumberFormat="1" applyFont="1" applyFill="1" applyBorder="1" applyAlignment="1" applyProtection="1">
      <alignment horizontal="left" vertical="center"/>
    </xf>
    <xf numFmtId="0" fontId="6" fillId="36" borderId="152" xfId="13" applyNumberFormat="1" applyFont="1" applyFill="1" applyBorder="1" applyAlignment="1" applyProtection="1">
      <alignment horizontal="center" vertical="center"/>
    </xf>
    <xf numFmtId="0" fontId="6" fillId="36" borderId="151" xfId="13" applyNumberFormat="1" applyFont="1" applyFill="1" applyBorder="1" applyAlignment="1" applyProtection="1">
      <alignment horizontal="center" vertical="center"/>
    </xf>
    <xf numFmtId="0" fontId="32" fillId="0" borderId="0" xfId="13" applyNumberFormat="1" applyFont="1" applyBorder="1" applyAlignment="1" applyProtection="1">
      <alignment horizontal="center"/>
    </xf>
    <xf numFmtId="0" fontId="2" fillId="0" borderId="0" xfId="13" applyNumberFormat="1" applyFill="1"/>
    <xf numFmtId="0" fontId="2" fillId="0" borderId="0" xfId="13" applyNumberFormat="1" applyFill="1" applyProtection="1">
      <protection locked="0"/>
    </xf>
    <xf numFmtId="0" fontId="13" fillId="31" borderId="152" xfId="13" applyNumberFormat="1" applyFont="1" applyFill="1" applyBorder="1" applyAlignment="1" applyProtection="1">
      <alignment horizontal="left"/>
    </xf>
    <xf numFmtId="0" fontId="5" fillId="31" borderId="152" xfId="13" applyNumberFormat="1" applyFont="1" applyFill="1" applyBorder="1" applyAlignment="1" applyProtection="1">
      <alignment horizontal="left" vertical="top" wrapText="1"/>
    </xf>
    <xf numFmtId="0" fontId="27" fillId="31" borderId="141" xfId="13" applyNumberFormat="1" applyFont="1" applyFill="1" applyBorder="1" applyAlignment="1" applyProtection="1">
      <alignment vertical="center" wrapText="1"/>
    </xf>
    <xf numFmtId="0" fontId="32" fillId="31" borderId="0" xfId="13" applyNumberFormat="1" applyFont="1" applyFill="1" applyBorder="1" applyAlignment="1" applyProtection="1">
      <alignment horizontal="center"/>
    </xf>
    <xf numFmtId="0" fontId="29" fillId="31" borderId="3" xfId="13" applyNumberFormat="1" applyFont="1" applyFill="1" applyBorder="1" applyAlignment="1" applyProtection="1">
      <alignment horizontal="center"/>
      <protection locked="0"/>
    </xf>
    <xf numFmtId="0" fontId="0" fillId="31" borderId="179" xfId="0" applyNumberFormat="1" applyFill="1" applyBorder="1" applyAlignment="1">
      <alignment vertical="center" wrapText="1"/>
    </xf>
    <xf numFmtId="0" fontId="27" fillId="31" borderId="152" xfId="13" applyNumberFormat="1" applyFont="1" applyFill="1" applyBorder="1" applyAlignment="1" applyProtection="1">
      <alignment horizontal="center"/>
    </xf>
    <xf numFmtId="0" fontId="2" fillId="0" borderId="0" xfId="13" applyNumberFormat="1" applyFont="1" applyFill="1" applyAlignment="1" applyProtection="1">
      <protection locked="0"/>
    </xf>
    <xf numFmtId="0" fontId="27" fillId="31" borderId="152" xfId="13" applyNumberFormat="1" applyFont="1" applyFill="1" applyBorder="1" applyAlignment="1" applyProtection="1">
      <alignment horizontal="center" vertical="center"/>
    </xf>
    <xf numFmtId="0" fontId="5" fillId="31" borderId="152" xfId="13" applyNumberFormat="1" applyFont="1" applyFill="1" applyBorder="1" applyAlignment="1" applyProtection="1">
      <alignment horizontal="left" vertical="center"/>
    </xf>
    <xf numFmtId="0" fontId="13" fillId="31" borderId="141" xfId="13" applyNumberFormat="1" applyFont="1" applyFill="1" applyBorder="1" applyAlignment="1" applyProtection="1">
      <alignment horizontal="left" vertical="center"/>
    </xf>
    <xf numFmtId="0" fontId="0" fillId="0" borderId="0" xfId="0" applyNumberFormat="1" applyFill="1" applyProtection="1">
      <alignment vertical="center" wrapText="1"/>
      <protection locked="0"/>
    </xf>
    <xf numFmtId="0" fontId="2" fillId="0" borderId="0" xfId="13" applyNumberFormat="1" applyFill="1" applyAlignment="1" applyProtection="1">
      <protection locked="0"/>
    </xf>
    <xf numFmtId="0" fontId="84" fillId="19" borderId="152" xfId="13" applyNumberFormat="1" applyFont="1" applyFill="1" applyBorder="1" applyAlignment="1" applyProtection="1">
      <alignment horizontal="left" vertical="center"/>
    </xf>
    <xf numFmtId="0" fontId="84" fillId="33" borderId="152" xfId="13" applyNumberFormat="1" applyFont="1" applyFill="1" applyBorder="1" applyAlignment="1" applyProtection="1">
      <alignment horizontal="left" vertical="center"/>
    </xf>
    <xf numFmtId="0" fontId="85" fillId="33" borderId="151" xfId="13" applyNumberFormat="1" applyFont="1" applyFill="1" applyBorder="1" applyAlignment="1" applyProtection="1">
      <alignment horizontal="left" vertical="center"/>
    </xf>
    <xf numFmtId="0" fontId="0" fillId="0" borderId="152" xfId="0" applyNumberFormat="1" applyBorder="1" applyAlignment="1" applyProtection="1">
      <alignment vertical="center" wrapText="1"/>
    </xf>
    <xf numFmtId="0" fontId="2" fillId="0" borderId="152" xfId="0" applyNumberFormat="1" applyFont="1" applyBorder="1" applyAlignment="1" applyProtection="1">
      <alignment vertical="center" wrapText="1"/>
    </xf>
    <xf numFmtId="0" fontId="2" fillId="0" borderId="152" xfId="0" applyNumberFormat="1" applyFont="1" applyBorder="1" applyProtection="1">
      <alignment vertical="center" wrapText="1"/>
    </xf>
    <xf numFmtId="0" fontId="2" fillId="0" borderId="152" xfId="0" applyNumberFormat="1" applyFont="1" applyBorder="1" applyProtection="1">
      <alignment vertical="center" wrapText="1"/>
      <protection locked="0"/>
    </xf>
    <xf numFmtId="0" fontId="2" fillId="0" borderId="0" xfId="13" applyNumberFormat="1" applyProtection="1">
      <protection locked="0"/>
    </xf>
    <xf numFmtId="0" fontId="0" fillId="0" borderId="0" xfId="0" applyNumberFormat="1" applyProtection="1">
      <alignment vertical="center" wrapText="1"/>
      <protection locked="0"/>
    </xf>
    <xf numFmtId="0" fontId="2" fillId="0" borderId="0" xfId="13" applyNumberFormat="1"/>
    <xf numFmtId="0" fontId="28" fillId="0" borderId="152" xfId="12" applyNumberFormat="1" applyFont="1" applyFill="1" applyBorder="1" applyAlignment="1" applyProtection="1">
      <alignment horizontal="center"/>
    </xf>
    <xf numFmtId="0" fontId="13" fillId="0" borderId="152" xfId="12" applyNumberFormat="1" applyFont="1" applyFill="1" applyBorder="1" applyAlignment="1" applyProtection="1">
      <alignment horizontal="left" vertical="top"/>
    </xf>
    <xf numFmtId="0" fontId="13" fillId="0" borderId="151" xfId="12" applyNumberFormat="1" applyFont="1" applyFill="1" applyBorder="1" applyAlignment="1" applyProtection="1">
      <alignment vertical="top" wrapText="1"/>
    </xf>
    <xf numFmtId="0" fontId="0" fillId="0" borderId="0" xfId="0" applyNumberFormat="1" applyBorder="1">
      <alignment vertical="center" wrapText="1"/>
    </xf>
    <xf numFmtId="0" fontId="2" fillId="0" borderId="0" xfId="12" applyNumberFormat="1" applyProtection="1">
      <protection locked="0"/>
    </xf>
    <xf numFmtId="0" fontId="2" fillId="0" borderId="0" xfId="12" applyNumberFormat="1"/>
    <xf numFmtId="0" fontId="2" fillId="0" borderId="152" xfId="12" applyNumberFormat="1" applyFont="1" applyFill="1" applyBorder="1" applyAlignment="1" applyProtection="1">
      <alignment horizontal="left" vertical="top" wrapText="1"/>
    </xf>
    <xf numFmtId="0" fontId="2" fillId="0" borderId="151" xfId="12" applyNumberFormat="1" applyFont="1" applyFill="1" applyBorder="1" applyAlignment="1" applyProtection="1">
      <alignment vertical="top" wrapText="1"/>
    </xf>
    <xf numFmtId="0" fontId="2" fillId="0" borderId="0" xfId="12" applyNumberFormat="1" applyFont="1" applyProtection="1">
      <protection locked="0"/>
    </xf>
    <xf numFmtId="0" fontId="0" fillId="0" borderId="0" xfId="0" applyNumberFormat="1" applyProtection="1">
      <alignment vertical="center" wrapText="1"/>
    </xf>
    <xf numFmtId="0" fontId="28" fillId="0" borderId="152" xfId="12" applyNumberFormat="1" applyFont="1" applyFill="1" applyBorder="1" applyAlignment="1" applyProtection="1">
      <alignment horizontal="center" vertical="top"/>
    </xf>
    <xf numFmtId="0" fontId="2" fillId="0" borderId="152" xfId="12" applyNumberFormat="1" applyFont="1" applyFill="1" applyBorder="1" applyAlignment="1" applyProtection="1">
      <alignment horizontal="left" vertical="top"/>
    </xf>
    <xf numFmtId="0" fontId="28" fillId="0" borderId="152" xfId="12" applyNumberFormat="1" applyFont="1" applyBorder="1" applyAlignment="1" applyProtection="1"/>
    <xf numFmtId="0" fontId="28" fillId="0" borderId="152" xfId="13" applyNumberFormat="1" applyFont="1" applyFill="1" applyBorder="1" applyAlignment="1" applyProtection="1">
      <alignment horizontal="center" vertical="top"/>
    </xf>
    <xf numFmtId="0" fontId="28" fillId="0" borderId="152" xfId="13" applyNumberFormat="1" applyFont="1" applyFill="1" applyBorder="1" applyAlignment="1" applyProtection="1">
      <alignment horizontal="center"/>
    </xf>
    <xf numFmtId="0" fontId="84" fillId="19" borderId="151" xfId="13" applyNumberFormat="1" applyFont="1" applyFill="1" applyBorder="1" applyAlignment="1" applyProtection="1">
      <alignment horizontal="left" vertical="center"/>
    </xf>
    <xf numFmtId="0" fontId="28" fillId="0" borderId="152" xfId="12" applyNumberFormat="1" applyFont="1" applyBorder="1" applyAlignment="1" applyProtection="1">
      <alignment horizontal="center"/>
    </xf>
    <xf numFmtId="0" fontId="29" fillId="0" borderId="152" xfId="13" applyNumberFormat="1" applyFont="1" applyFill="1" applyBorder="1" applyAlignment="1" applyProtection="1">
      <alignment horizontal="center"/>
    </xf>
    <xf numFmtId="0" fontId="28" fillId="0" borderId="152" xfId="13" applyNumberFormat="1" applyFont="1" applyBorder="1" applyAlignment="1" applyProtection="1"/>
    <xf numFmtId="0" fontId="29" fillId="0" borderId="152" xfId="12" applyNumberFormat="1" applyFont="1" applyFill="1" applyBorder="1" applyAlignment="1" applyProtection="1">
      <alignment horizontal="center"/>
    </xf>
    <xf numFmtId="0" fontId="83" fillId="19" borderId="151" xfId="13" applyNumberFormat="1" applyFont="1" applyFill="1" applyBorder="1" applyAlignment="1" applyProtection="1">
      <alignment horizontal="left" vertical="center"/>
    </xf>
    <xf numFmtId="0" fontId="28" fillId="0" borderId="152" xfId="19" applyNumberFormat="1" applyFont="1" applyBorder="1" applyAlignment="1" applyProtection="1"/>
    <xf numFmtId="0" fontId="19" fillId="0" borderId="0" xfId="19" applyNumberFormat="1" applyFont="1" applyProtection="1">
      <protection locked="0"/>
    </xf>
    <xf numFmtId="0" fontId="19" fillId="0" borderId="0" xfId="19" applyNumberFormat="1" applyFont="1"/>
    <xf numFmtId="0" fontId="29" fillId="0" borderId="152" xfId="13" applyNumberFormat="1" applyFont="1" applyFill="1" applyBorder="1" applyAlignment="1" applyProtection="1">
      <alignment horizontal="left" vertical="center"/>
    </xf>
    <xf numFmtId="0" fontId="2" fillId="0" borderId="0" xfId="12" applyNumberFormat="1" applyBorder="1" applyProtection="1">
      <protection locked="0"/>
    </xf>
    <xf numFmtId="0" fontId="2" fillId="0" borderId="0" xfId="12" applyNumberFormat="1" applyBorder="1"/>
    <xf numFmtId="0" fontId="28" fillId="0" borderId="3" xfId="12" applyNumberFormat="1" applyFont="1" applyBorder="1" applyAlignment="1" applyProtection="1"/>
    <xf numFmtId="0" fontId="2" fillId="0" borderId="3" xfId="0" applyNumberFormat="1" applyFont="1" applyBorder="1" applyAlignment="1" applyProtection="1">
      <alignment vertical="center" wrapText="1"/>
    </xf>
    <xf numFmtId="0" fontId="2" fillId="0" borderId="3" xfId="0" applyNumberFormat="1" applyFont="1" applyBorder="1" applyProtection="1">
      <alignment vertical="center" wrapText="1"/>
    </xf>
    <xf numFmtId="0" fontId="2" fillId="0" borderId="3" xfId="0" applyNumberFormat="1" applyFont="1" applyBorder="1" applyProtection="1">
      <alignment vertical="center" wrapText="1"/>
      <protection locked="0"/>
    </xf>
    <xf numFmtId="0" fontId="28" fillId="0" borderId="152" xfId="12" applyNumberFormat="1" applyFont="1" applyFill="1" applyBorder="1" applyAlignment="1" applyProtection="1">
      <alignment horizontal="left" vertical="top"/>
    </xf>
    <xf numFmtId="0" fontId="5" fillId="0" borderId="93" xfId="12" applyNumberFormat="1" applyFont="1" applyFill="1" applyBorder="1" applyAlignment="1" applyProtection="1">
      <alignment horizontal="left" vertical="top"/>
    </xf>
    <xf numFmtId="0" fontId="84" fillId="19" borderId="152" xfId="12" applyNumberFormat="1" applyFont="1" applyFill="1" applyBorder="1" applyAlignment="1" applyProtection="1">
      <alignment horizontal="left" vertical="center"/>
    </xf>
    <xf numFmtId="0" fontId="84" fillId="19" borderId="151" xfId="12" applyNumberFormat="1" applyFont="1" applyFill="1" applyBorder="1" applyAlignment="1" applyProtection="1">
      <alignment horizontal="left" vertical="center"/>
    </xf>
    <xf numFmtId="0" fontId="29" fillId="0" borderId="152" xfId="12" applyNumberFormat="1" applyFont="1" applyFill="1" applyBorder="1" applyAlignment="1" applyProtection="1">
      <alignment horizontal="left" vertical="top"/>
    </xf>
    <xf numFmtId="0" fontId="28" fillId="0" borderId="152" xfId="13" applyNumberFormat="1" applyFont="1" applyFill="1" applyBorder="1" applyAlignment="1" applyProtection="1"/>
    <xf numFmtId="0" fontId="28" fillId="0" borderId="31" xfId="13" applyNumberFormat="1" applyFont="1" applyFill="1" applyBorder="1" applyAlignment="1" applyProtection="1"/>
    <xf numFmtId="0" fontId="2" fillId="0" borderId="31" xfId="12" applyNumberFormat="1" applyFont="1" applyFill="1" applyBorder="1" applyAlignment="1" applyProtection="1">
      <alignment horizontal="left" vertical="top"/>
    </xf>
    <xf numFmtId="0" fontId="2" fillId="0" borderId="33" xfId="12" applyNumberFormat="1" applyFont="1" applyFill="1" applyBorder="1" applyAlignment="1" applyProtection="1">
      <alignment vertical="top" wrapText="1"/>
    </xf>
    <xf numFmtId="0" fontId="0" fillId="0" borderId="159" xfId="0" applyNumberFormat="1" applyBorder="1">
      <alignment vertical="center" wrapText="1"/>
    </xf>
    <xf numFmtId="0" fontId="2" fillId="0" borderId="31" xfId="0" applyNumberFormat="1" applyFont="1" applyBorder="1" applyAlignment="1" applyProtection="1">
      <alignment vertical="center" wrapText="1"/>
    </xf>
    <xf numFmtId="0" fontId="2" fillId="0" borderId="31" xfId="0" applyNumberFormat="1" applyFont="1" applyBorder="1" applyProtection="1">
      <alignment vertical="center" wrapText="1"/>
    </xf>
    <xf numFmtId="0" fontId="2" fillId="0" borderId="31" xfId="0" applyNumberFormat="1" applyFont="1" applyBorder="1" applyProtection="1">
      <alignment vertical="center" wrapText="1"/>
      <protection locked="0"/>
    </xf>
    <xf numFmtId="0" fontId="5" fillId="0" borderId="0" xfId="13" applyNumberFormat="1" applyFont="1" applyFill="1" applyAlignment="1" applyProtection="1"/>
    <xf numFmtId="0" fontId="0" fillId="0" borderId="0" xfId="0" applyNumberFormat="1" applyAlignment="1" applyProtection="1">
      <alignment vertical="center" wrapText="1"/>
    </xf>
    <xf numFmtId="0" fontId="5" fillId="0" borderId="0" xfId="13" applyNumberFormat="1" applyFont="1" applyAlignment="1" applyProtection="1"/>
    <xf numFmtId="0" fontId="2" fillId="0" borderId="0" xfId="13" applyNumberFormat="1" applyAlignment="1" applyProtection="1">
      <alignment horizontal="center"/>
    </xf>
    <xf numFmtId="0" fontId="32" fillId="0" borderId="0" xfId="13" applyNumberFormat="1" applyFont="1" applyAlignment="1" applyProtection="1">
      <alignment horizontal="center"/>
    </xf>
    <xf numFmtId="0" fontId="86" fillId="36" borderId="3" xfId="13" applyNumberFormat="1" applyFont="1" applyFill="1" applyBorder="1" applyAlignment="1" applyProtection="1">
      <alignment horizontal="left" vertical="center"/>
    </xf>
    <xf numFmtId="0" fontId="6" fillId="36" borderId="3" xfId="13" applyNumberFormat="1" applyFont="1" applyFill="1" applyBorder="1" applyAlignment="1" applyProtection="1">
      <alignment horizontal="center" vertical="center"/>
    </xf>
    <xf numFmtId="0" fontId="32" fillId="0" borderId="0" xfId="13" applyNumberFormat="1" applyFont="1" applyFill="1" applyBorder="1" applyAlignment="1" applyProtection="1">
      <alignment horizontal="center"/>
    </xf>
    <xf numFmtId="0" fontId="2" fillId="0" borderId="0" xfId="12" applyNumberFormat="1" applyBorder="1" applyAlignment="1"/>
    <xf numFmtId="0" fontId="2" fillId="29" borderId="0" xfId="13" applyNumberFormat="1" applyFill="1" applyBorder="1"/>
    <xf numFmtId="0" fontId="13" fillId="31" borderId="3" xfId="13" applyNumberFormat="1" applyFont="1" applyFill="1" applyBorder="1" applyAlignment="1" applyProtection="1">
      <alignment horizontal="left"/>
    </xf>
    <xf numFmtId="0" fontId="5" fillId="31" borderId="3" xfId="13" applyNumberFormat="1" applyFont="1" applyFill="1" applyBorder="1" applyAlignment="1" applyProtection="1">
      <alignment horizontal="left" vertical="top" wrapText="1"/>
    </xf>
    <xf numFmtId="0" fontId="27" fillId="31" borderId="3" xfId="13" applyNumberFormat="1" applyFont="1" applyFill="1" applyBorder="1" applyAlignment="1" applyProtection="1">
      <alignment vertical="center" wrapText="1"/>
    </xf>
    <xf numFmtId="0" fontId="29" fillId="31" borderId="3" xfId="13" applyNumberFormat="1" applyFont="1" applyFill="1" applyBorder="1" applyAlignment="1" applyProtection="1">
      <alignment horizontal="center"/>
    </xf>
    <xf numFmtId="0" fontId="29" fillId="31" borderId="3" xfId="13" applyNumberFormat="1" applyFont="1" applyFill="1" applyBorder="1" applyAlignment="1" applyProtection="1">
      <alignment horizontal="center" vertical="center"/>
    </xf>
    <xf numFmtId="0" fontId="5" fillId="31" borderId="3" xfId="13" applyNumberFormat="1" applyFont="1" applyFill="1" applyBorder="1" applyAlignment="1" applyProtection="1">
      <alignment horizontal="left" vertical="center"/>
    </xf>
    <xf numFmtId="0" fontId="13" fillId="31" borderId="3" xfId="13" applyNumberFormat="1" applyFont="1" applyFill="1" applyBorder="1" applyAlignment="1" applyProtection="1">
      <alignment horizontal="left" vertical="center"/>
    </xf>
    <xf numFmtId="0" fontId="84" fillId="19" borderId="3" xfId="13" applyNumberFormat="1" applyFont="1" applyFill="1" applyBorder="1" applyAlignment="1" applyProtection="1">
      <alignment horizontal="left" vertical="center"/>
    </xf>
    <xf numFmtId="0" fontId="84" fillId="33" borderId="3" xfId="13" applyNumberFormat="1" applyFont="1" applyFill="1" applyBorder="1" applyAlignment="1" applyProtection="1">
      <alignment horizontal="left" vertical="center"/>
    </xf>
    <xf numFmtId="0" fontId="84" fillId="33" borderId="29" xfId="13" applyNumberFormat="1" applyFont="1" applyFill="1" applyBorder="1" applyAlignment="1" applyProtection="1">
      <alignment horizontal="left" vertical="center"/>
    </xf>
    <xf numFmtId="0" fontId="32" fillId="0" borderId="145" xfId="12" applyNumberFormat="1" applyFont="1" applyBorder="1" applyAlignment="1" applyProtection="1">
      <alignment horizontal="center"/>
    </xf>
    <xf numFmtId="0" fontId="2" fillId="0" borderId="0" xfId="13" applyNumberFormat="1" applyBorder="1"/>
    <xf numFmtId="0" fontId="28" fillId="0" borderId="3" xfId="12" applyNumberFormat="1" applyFont="1" applyFill="1" applyBorder="1" applyAlignment="1" applyProtection="1">
      <alignment horizontal="center"/>
    </xf>
    <xf numFmtId="0" fontId="13" fillId="0" borderId="3" xfId="12" applyNumberFormat="1" applyFont="1" applyFill="1" applyBorder="1" applyAlignment="1" applyProtection="1">
      <alignment horizontal="left" vertical="top"/>
    </xf>
    <xf numFmtId="0" fontId="13" fillId="0" borderId="29" xfId="12" applyNumberFormat="1" applyFont="1" applyFill="1" applyBorder="1" applyAlignment="1" applyProtection="1">
      <alignment vertical="top" wrapText="1"/>
    </xf>
    <xf numFmtId="0" fontId="2" fillId="0" borderId="3" xfId="12" applyNumberFormat="1" applyFont="1" applyFill="1" applyBorder="1" applyAlignment="1" applyProtection="1">
      <alignment horizontal="left" vertical="top" wrapText="1"/>
    </xf>
    <xf numFmtId="0" fontId="2" fillId="0" borderId="29" xfId="12" applyNumberFormat="1" applyFont="1" applyFill="1" applyBorder="1" applyAlignment="1" applyProtection="1">
      <alignment vertical="top" wrapText="1"/>
    </xf>
    <xf numFmtId="0" fontId="28" fillId="0" borderId="3" xfId="12" applyNumberFormat="1" applyFont="1" applyFill="1" applyBorder="1" applyAlignment="1" applyProtection="1">
      <alignment horizontal="center" vertical="top"/>
    </xf>
    <xf numFmtId="0" fontId="2" fillId="0" borderId="3" xfId="12" applyNumberFormat="1" applyFont="1" applyFill="1" applyBorder="1" applyAlignment="1" applyProtection="1">
      <alignment horizontal="left" vertical="top"/>
    </xf>
    <xf numFmtId="0" fontId="84" fillId="33" borderId="3" xfId="12" applyNumberFormat="1" applyFont="1" applyFill="1" applyBorder="1" applyAlignment="1" applyProtection="1">
      <alignment vertical="top"/>
    </xf>
    <xf numFmtId="0" fontId="84" fillId="33" borderId="29" xfId="12" applyNumberFormat="1" applyFont="1" applyFill="1" applyBorder="1" applyAlignment="1" applyProtection="1">
      <alignment vertical="top"/>
    </xf>
    <xf numFmtId="0" fontId="28" fillId="0" borderId="3" xfId="13" applyNumberFormat="1" applyFont="1" applyFill="1" applyBorder="1" applyAlignment="1" applyProtection="1">
      <alignment horizontal="center" vertical="top"/>
    </xf>
    <xf numFmtId="0" fontId="28" fillId="0" borderId="3" xfId="13" applyNumberFormat="1" applyFont="1" applyFill="1" applyBorder="1" applyAlignment="1" applyProtection="1">
      <alignment horizontal="center"/>
    </xf>
    <xf numFmtId="0" fontId="84" fillId="19" borderId="29" xfId="13" applyNumberFormat="1" applyFont="1" applyFill="1" applyBorder="1" applyAlignment="1" applyProtection="1">
      <alignment horizontal="left" vertical="center"/>
    </xf>
    <xf numFmtId="0" fontId="28" fillId="0" borderId="3" xfId="12" applyNumberFormat="1" applyFont="1" applyBorder="1" applyAlignment="1" applyProtection="1">
      <alignment horizontal="center"/>
    </xf>
    <xf numFmtId="0" fontId="29" fillId="0" borderId="3" xfId="13" applyNumberFormat="1" applyFont="1" applyFill="1" applyBorder="1" applyAlignment="1" applyProtection="1">
      <alignment horizontal="center"/>
    </xf>
    <xf numFmtId="0" fontId="28" fillId="0" borderId="3" xfId="13" applyNumberFormat="1" applyFont="1" applyBorder="1" applyAlignment="1" applyProtection="1"/>
    <xf numFmtId="0" fontId="29" fillId="0" borderId="3" xfId="12" applyNumberFormat="1" applyFont="1" applyFill="1" applyBorder="1" applyAlignment="1" applyProtection="1">
      <alignment horizontal="center"/>
    </xf>
    <xf numFmtId="0" fontId="83" fillId="19" borderId="29" xfId="13" applyNumberFormat="1" applyFont="1" applyFill="1" applyBorder="1" applyAlignment="1" applyProtection="1">
      <alignment horizontal="left" vertical="center"/>
    </xf>
    <xf numFmtId="0" fontId="28" fillId="0" borderId="3" xfId="19" applyNumberFormat="1" applyFont="1" applyBorder="1" applyAlignment="1" applyProtection="1"/>
    <xf numFmtId="0" fontId="19" fillId="0" borderId="0" xfId="19" applyNumberFormat="1" applyFont="1" applyBorder="1"/>
    <xf numFmtId="0" fontId="29" fillId="0" borderId="3" xfId="13" applyNumberFormat="1" applyFont="1" applyFill="1" applyBorder="1" applyAlignment="1" applyProtection="1">
      <alignment horizontal="left" vertical="center"/>
    </xf>
    <xf numFmtId="0" fontId="2" fillId="0" borderId="29" xfId="12" applyNumberFormat="1" applyFont="1" applyFill="1" applyBorder="1" applyAlignment="1" applyProtection="1">
      <alignment horizontal="left" vertical="top"/>
    </xf>
    <xf numFmtId="0" fontId="84" fillId="19" borderId="3" xfId="12" applyNumberFormat="1" applyFont="1" applyFill="1" applyBorder="1" applyAlignment="1" applyProtection="1">
      <alignment horizontal="left" vertical="center"/>
    </xf>
    <xf numFmtId="0" fontId="84" fillId="19" borderId="29" xfId="12" applyNumberFormat="1" applyFont="1" applyFill="1" applyBorder="1" applyAlignment="1" applyProtection="1">
      <alignment horizontal="left" vertical="center"/>
    </xf>
    <xf numFmtId="0" fontId="29" fillId="0" borderId="3" xfId="12" applyNumberFormat="1" applyFont="1" applyFill="1" applyBorder="1" applyAlignment="1" applyProtection="1">
      <alignment horizontal="left" vertical="top"/>
    </xf>
    <xf numFmtId="0" fontId="28" fillId="0" borderId="3" xfId="13" applyNumberFormat="1" applyFont="1" applyFill="1" applyBorder="1" applyAlignment="1" applyProtection="1"/>
    <xf numFmtId="0" fontId="32" fillId="0" borderId="161" xfId="12" applyNumberFormat="1" applyFont="1" applyBorder="1" applyAlignment="1" applyProtection="1">
      <alignment horizontal="center"/>
    </xf>
    <xf numFmtId="0" fontId="28" fillId="0" borderId="0" xfId="13" applyNumberFormat="1" applyFont="1" applyFill="1" applyBorder="1" applyAlignment="1" applyProtection="1"/>
    <xf numFmtId="0" fontId="5" fillId="0" borderId="0" xfId="13" applyNumberFormat="1" applyFont="1" applyFill="1" applyBorder="1" applyAlignment="1" applyProtection="1"/>
    <xf numFmtId="0" fontId="28" fillId="0" borderId="0" xfId="13" applyNumberFormat="1" applyFont="1" applyBorder="1" applyAlignment="1" applyProtection="1"/>
    <xf numFmtId="0" fontId="5" fillId="0" borderId="0" xfId="13" applyNumberFormat="1" applyFont="1" applyBorder="1" applyAlignment="1" applyProtection="1"/>
    <xf numFmtId="0" fontId="86" fillId="36" borderId="22" xfId="0" applyNumberFormat="1" applyFont="1" applyFill="1" applyBorder="1" applyAlignment="1">
      <alignment vertical="top"/>
    </xf>
    <xf numFmtId="0" fontId="0" fillId="36" borderId="72" xfId="0" applyNumberFormat="1" applyFill="1" applyBorder="1" applyAlignment="1">
      <alignment vertical="center" wrapText="1"/>
    </xf>
    <xf numFmtId="0" fontId="0" fillId="36" borderId="73" xfId="0" applyNumberFormat="1" applyFill="1" applyBorder="1" applyAlignment="1">
      <alignment vertical="center" wrapText="1"/>
    </xf>
    <xf numFmtId="0" fontId="0" fillId="36" borderId="66" xfId="0" applyNumberFormat="1" applyFill="1" applyBorder="1" applyAlignment="1">
      <alignment vertical="center" wrapText="1"/>
    </xf>
    <xf numFmtId="0" fontId="12" fillId="0" borderId="0" xfId="0" applyNumberFormat="1" applyFont="1" applyFill="1" applyBorder="1" applyAlignment="1" applyProtection="1">
      <alignment horizontal="center" vertical="center" wrapText="1"/>
      <protection locked="0"/>
    </xf>
    <xf numFmtId="0" fontId="3" fillId="0" borderId="0" xfId="0" applyNumberFormat="1" applyFont="1" applyFill="1">
      <alignment vertical="center" wrapText="1"/>
    </xf>
    <xf numFmtId="0" fontId="0" fillId="0" borderId="0" xfId="0" applyNumberFormat="1" applyFill="1" applyBorder="1" applyAlignment="1">
      <alignment vertical="center" wrapText="1"/>
    </xf>
    <xf numFmtId="0" fontId="12" fillId="0" borderId="0" xfId="0" applyNumberFormat="1" applyFont="1" applyFill="1" applyAlignment="1">
      <alignment vertical="center"/>
    </xf>
    <xf numFmtId="0" fontId="0" fillId="0" borderId="0" xfId="0" applyNumberFormat="1" applyFill="1">
      <alignment vertical="center" wrapText="1"/>
    </xf>
    <xf numFmtId="0" fontId="33" fillId="0" borderId="0" xfId="0" applyNumberFormat="1" applyFont="1" applyFill="1" applyBorder="1" applyAlignment="1" applyProtection="1">
      <alignment horizontal="center" vertical="center" wrapText="1"/>
      <protection locked="0"/>
    </xf>
    <xf numFmtId="0" fontId="4" fillId="31" borderId="3" xfId="0" applyNumberFormat="1" applyFont="1" applyFill="1" applyBorder="1" applyAlignment="1">
      <alignment horizontal="center" vertical="center" wrapText="1"/>
    </xf>
    <xf numFmtId="0" fontId="4" fillId="31" borderId="98" xfId="0" applyNumberFormat="1" applyFont="1" applyFill="1" applyBorder="1" applyAlignment="1">
      <alignment horizontal="center" vertical="center" wrapText="1"/>
    </xf>
    <xf numFmtId="0" fontId="4" fillId="31" borderId="99" xfId="0" applyNumberFormat="1" applyFont="1" applyFill="1" applyBorder="1" applyAlignment="1">
      <alignment horizontal="center" vertical="center" wrapText="1"/>
    </xf>
    <xf numFmtId="0" fontId="4" fillId="31" borderId="20" xfId="0" applyNumberFormat="1" applyFont="1" applyFill="1" applyBorder="1" applyAlignment="1">
      <alignment horizontal="center" vertical="center" wrapText="1"/>
    </xf>
    <xf numFmtId="0" fontId="27" fillId="31" borderId="13" xfId="0" applyNumberFormat="1" applyFont="1" applyFill="1" applyBorder="1" applyAlignment="1">
      <alignment horizontal="center" vertical="center" wrapText="1"/>
    </xf>
    <xf numFmtId="0" fontId="27" fillId="31" borderId="36" xfId="0" applyNumberFormat="1" applyFont="1" applyFill="1" applyBorder="1" applyAlignment="1">
      <alignment horizontal="center" vertical="center" wrapText="1"/>
    </xf>
    <xf numFmtId="0" fontId="27" fillId="31" borderId="8" xfId="0" applyNumberFormat="1" applyFont="1" applyFill="1" applyBorder="1" applyAlignment="1">
      <alignment horizontal="center" vertical="center" wrapText="1"/>
    </xf>
    <xf numFmtId="0" fontId="27" fillId="31" borderId="6" xfId="0" applyNumberFormat="1" applyFont="1" applyFill="1" applyBorder="1" applyAlignment="1">
      <alignment horizontal="center" vertical="center" wrapText="1"/>
    </xf>
    <xf numFmtId="0" fontId="29" fillId="11" borderId="15" xfId="0" applyNumberFormat="1" applyFont="1" applyFill="1" applyBorder="1" applyAlignment="1">
      <alignment vertical="top"/>
    </xf>
    <xf numFmtId="0" fontId="29" fillId="11" borderId="16" xfId="0" applyNumberFormat="1" applyFont="1" applyFill="1" applyBorder="1" applyAlignment="1">
      <alignment vertical="top"/>
    </xf>
    <xf numFmtId="0" fontId="29" fillId="11" borderId="0" xfId="0" applyNumberFormat="1" applyFont="1" applyFill="1" applyBorder="1" applyAlignment="1">
      <alignment vertical="top"/>
    </xf>
    <xf numFmtId="0" fontId="29" fillId="11" borderId="0" xfId="0" applyNumberFormat="1" applyFont="1" applyFill="1" applyBorder="1" applyAlignment="1">
      <alignment horizontal="center" vertical="top"/>
    </xf>
    <xf numFmtId="0" fontId="19" fillId="11" borderId="23" xfId="0" applyNumberFormat="1" applyFont="1" applyFill="1" applyBorder="1" applyAlignment="1">
      <alignment vertical="top"/>
    </xf>
    <xf numFmtId="0" fontId="29" fillId="11" borderId="40" xfId="0" applyNumberFormat="1" applyFont="1" applyFill="1" applyBorder="1" applyAlignment="1">
      <alignment vertical="top"/>
    </xf>
    <xf numFmtId="0" fontId="29" fillId="11" borderId="9" xfId="0" applyNumberFormat="1" applyFont="1" applyFill="1" applyBorder="1" applyAlignment="1">
      <alignment vertical="top"/>
    </xf>
    <xf numFmtId="0" fontId="19" fillId="11" borderId="35" xfId="0" applyNumberFormat="1" applyFont="1" applyFill="1" applyBorder="1" applyAlignment="1">
      <alignment vertical="top"/>
    </xf>
    <xf numFmtId="0" fontId="29" fillId="11" borderId="13" xfId="0" applyNumberFormat="1" applyFont="1" applyFill="1" applyBorder="1" applyAlignment="1">
      <alignment vertical="top"/>
    </xf>
    <xf numFmtId="0" fontId="29" fillId="11" borderId="36" xfId="0" applyNumberFormat="1" applyFont="1" applyFill="1" applyBorder="1" applyAlignment="1">
      <alignment vertical="top"/>
    </xf>
    <xf numFmtId="0" fontId="19" fillId="11" borderId="13" xfId="0" applyNumberFormat="1" applyFont="1" applyFill="1" applyBorder="1" applyAlignment="1">
      <alignment vertical="top"/>
    </xf>
    <xf numFmtId="0" fontId="19" fillId="11" borderId="6" xfId="0" applyNumberFormat="1" applyFont="1" applyFill="1" applyBorder="1" applyAlignment="1">
      <alignment vertical="top"/>
    </xf>
    <xf numFmtId="0" fontId="29" fillId="11" borderId="8" xfId="0" applyNumberFormat="1" applyFont="1" applyFill="1" applyBorder="1" applyAlignment="1">
      <alignment vertical="top"/>
    </xf>
    <xf numFmtId="0" fontId="13" fillId="18" borderId="57" xfId="0" applyNumberFormat="1" applyFont="1" applyFill="1" applyBorder="1" applyAlignment="1">
      <alignment vertical="top"/>
    </xf>
    <xf numFmtId="0" fontId="3" fillId="11" borderId="20" xfId="0" applyNumberFormat="1" applyFont="1" applyFill="1" applyBorder="1" applyAlignment="1">
      <alignment horizontal="right" vertical="top" wrapText="1"/>
    </xf>
    <xf numFmtId="0" fontId="3" fillId="11" borderId="13" xfId="0" applyNumberFormat="1" applyFont="1" applyFill="1" applyBorder="1" applyAlignment="1">
      <alignment vertical="top" wrapText="1"/>
    </xf>
    <xf numFmtId="0" fontId="3" fillId="11" borderId="3" xfId="0" applyNumberFormat="1" applyFont="1" applyFill="1" applyBorder="1" applyAlignment="1" applyProtection="1">
      <alignment horizontal="center" vertical="top" wrapText="1"/>
      <protection locked="0"/>
    </xf>
    <xf numFmtId="0" fontId="3" fillId="11" borderId="0" xfId="0" applyNumberFormat="1" applyFont="1" applyFill="1" applyBorder="1" applyAlignment="1">
      <alignment vertical="top" wrapText="1"/>
    </xf>
    <xf numFmtId="0" fontId="3" fillId="11" borderId="37" xfId="0" applyNumberFormat="1" applyFont="1" applyFill="1" applyBorder="1" applyAlignment="1">
      <alignment horizontal="center" vertical="top" wrapText="1"/>
    </xf>
    <xf numFmtId="0" fontId="3" fillId="11" borderId="67" xfId="0" applyNumberFormat="1" applyFont="1" applyFill="1" applyBorder="1" applyAlignment="1" applyProtection="1">
      <alignment horizontal="center" vertical="top" wrapText="1"/>
      <protection locked="0"/>
    </xf>
    <xf numFmtId="0" fontId="3" fillId="11" borderId="18" xfId="0" applyNumberFormat="1" applyFont="1" applyFill="1" applyBorder="1" applyAlignment="1">
      <alignment vertical="top" wrapText="1"/>
    </xf>
    <xf numFmtId="0" fontId="0" fillId="11" borderId="26" xfId="0" applyNumberFormat="1" applyFill="1" applyBorder="1" applyAlignment="1">
      <alignment vertical="center" wrapText="1"/>
    </xf>
    <xf numFmtId="0" fontId="0" fillId="11" borderId="65" xfId="0" applyNumberFormat="1" applyFill="1" applyBorder="1" applyAlignment="1">
      <alignment vertical="center" wrapText="1"/>
    </xf>
    <xf numFmtId="0" fontId="13" fillId="18" borderId="83" xfId="0" applyNumberFormat="1" applyFont="1" applyFill="1" applyBorder="1" applyAlignment="1">
      <alignment vertical="top"/>
    </xf>
    <xf numFmtId="0" fontId="3" fillId="11" borderId="6" xfId="0" applyNumberFormat="1" applyFont="1" applyFill="1" applyBorder="1" applyAlignment="1">
      <alignment horizontal="right" vertical="top" wrapText="1"/>
    </xf>
    <xf numFmtId="0" fontId="4" fillId="11" borderId="8" xfId="0" applyNumberFormat="1" applyFont="1" applyFill="1" applyBorder="1" applyAlignment="1">
      <alignment vertical="top" wrapText="1"/>
    </xf>
    <xf numFmtId="0" fontId="3" fillId="11" borderId="71" xfId="0" applyNumberFormat="1" applyFont="1" applyFill="1" applyBorder="1" applyAlignment="1" applyProtection="1">
      <alignment horizontal="center" vertical="top" wrapText="1"/>
      <protection locked="0"/>
    </xf>
    <xf numFmtId="0" fontId="3" fillId="11" borderId="67" xfId="0" applyNumberFormat="1" applyFont="1" applyFill="1" applyBorder="1" applyAlignment="1" applyProtection="1">
      <alignment vertical="top" wrapText="1"/>
      <protection locked="0"/>
    </xf>
    <xf numFmtId="0" fontId="29" fillId="11" borderId="16" xfId="0" applyNumberFormat="1" applyFont="1" applyFill="1" applyBorder="1" applyAlignment="1" applyProtection="1">
      <alignment horizontal="center" vertical="top"/>
      <protection locked="0"/>
    </xf>
    <xf numFmtId="0" fontId="29" fillId="11" borderId="17" xfId="0" applyNumberFormat="1" applyFont="1" applyFill="1" applyBorder="1" applyAlignment="1">
      <alignment vertical="top"/>
    </xf>
    <xf numFmtId="0" fontId="29" fillId="11" borderId="38" xfId="0" applyNumberFormat="1" applyFont="1" applyFill="1" applyBorder="1" applyAlignment="1">
      <alignment vertical="top"/>
    </xf>
    <xf numFmtId="0" fontId="29" fillId="11" borderId="68" xfId="0" applyNumberFormat="1" applyFont="1" applyFill="1" applyBorder="1" applyAlignment="1" applyProtection="1">
      <alignment vertical="top"/>
      <protection locked="0"/>
    </xf>
    <xf numFmtId="0" fontId="29" fillId="11" borderId="21" xfId="0" applyNumberFormat="1" applyFont="1" applyFill="1" applyBorder="1" applyAlignment="1">
      <alignment vertical="top"/>
    </xf>
    <xf numFmtId="0" fontId="29" fillId="11" borderId="25" xfId="0" applyNumberFormat="1" applyFont="1" applyFill="1" applyBorder="1" applyAlignment="1">
      <alignment vertical="top"/>
    </xf>
    <xf numFmtId="0" fontId="29" fillId="11" borderId="8" xfId="0" applyNumberFormat="1" applyFont="1" applyFill="1" applyBorder="1" applyAlignment="1" applyProtection="1">
      <alignment vertical="top"/>
      <protection locked="0"/>
    </xf>
    <xf numFmtId="0" fontId="29" fillId="11" borderId="19" xfId="0" applyNumberFormat="1" applyFont="1" applyFill="1" applyBorder="1" applyAlignment="1">
      <alignment vertical="top"/>
    </xf>
    <xf numFmtId="0" fontId="29" fillId="11" borderId="70" xfId="0" applyNumberFormat="1" applyFont="1" applyFill="1" applyBorder="1" applyAlignment="1" applyProtection="1">
      <alignment vertical="top"/>
      <protection locked="0"/>
    </xf>
    <xf numFmtId="0" fontId="13" fillId="18" borderId="95" xfId="0" applyNumberFormat="1" applyFont="1" applyFill="1" applyBorder="1" applyAlignment="1">
      <alignment vertical="top"/>
    </xf>
    <xf numFmtId="0" fontId="10" fillId="11" borderId="37" xfId="0" applyNumberFormat="1" applyFont="1" applyFill="1" applyBorder="1" applyAlignment="1">
      <alignment horizontal="center" vertical="top" wrapText="1"/>
    </xf>
    <xf numFmtId="0" fontId="0" fillId="18" borderId="0" xfId="0" applyNumberFormat="1" applyFill="1" applyBorder="1" applyAlignment="1">
      <alignment vertical="center" wrapText="1"/>
    </xf>
    <xf numFmtId="0" fontId="3" fillId="18" borderId="17" xfId="0" applyNumberFormat="1" applyFont="1" applyFill="1" applyBorder="1" applyAlignment="1">
      <alignment vertical="top" wrapText="1"/>
    </xf>
    <xf numFmtId="0" fontId="3" fillId="18" borderId="2" xfId="0" applyNumberFormat="1" applyFont="1" applyFill="1" applyBorder="1" applyAlignment="1" applyProtection="1">
      <alignment horizontal="center" vertical="top" wrapText="1"/>
      <protection locked="0"/>
    </xf>
    <xf numFmtId="0" fontId="3" fillId="0" borderId="0" xfId="0" applyNumberFormat="1" applyFont="1" applyFill="1" applyProtection="1">
      <alignment vertical="center" wrapText="1"/>
      <protection locked="0"/>
    </xf>
    <xf numFmtId="0" fontId="3" fillId="11" borderId="13" xfId="0" applyNumberFormat="1" applyFont="1" applyFill="1" applyBorder="1" applyAlignment="1" applyProtection="1">
      <alignment horizontal="center" vertical="top" wrapText="1"/>
      <protection locked="0"/>
    </xf>
    <xf numFmtId="0" fontId="19" fillId="11" borderId="13" xfId="0" applyNumberFormat="1" applyFont="1" applyFill="1" applyBorder="1" applyAlignment="1" applyProtection="1">
      <alignment vertical="top"/>
      <protection locked="0"/>
    </xf>
    <xf numFmtId="0" fontId="29" fillId="11" borderId="23" xfId="0" applyNumberFormat="1" applyFont="1" applyFill="1" applyBorder="1" applyAlignment="1">
      <alignment vertical="top"/>
    </xf>
    <xf numFmtId="0" fontId="0" fillId="11" borderId="24" xfId="0" applyNumberFormat="1" applyFill="1" applyBorder="1" applyAlignment="1">
      <alignment vertical="center" wrapText="1"/>
    </xf>
    <xf numFmtId="0" fontId="4" fillId="11" borderId="13" xfId="0" applyNumberFormat="1" applyFont="1" applyFill="1" applyBorder="1" applyAlignment="1">
      <alignment vertical="top" wrapText="1"/>
    </xf>
    <xf numFmtId="0" fontId="29" fillId="11" borderId="0" xfId="0" applyNumberFormat="1" applyFont="1" applyFill="1" applyBorder="1" applyAlignment="1" applyProtection="1">
      <alignment horizontal="center" vertical="top"/>
      <protection locked="0"/>
    </xf>
    <xf numFmtId="0" fontId="3" fillId="11" borderId="26" xfId="0" applyNumberFormat="1" applyFont="1" applyFill="1" applyBorder="1" applyAlignment="1">
      <alignment vertical="top" wrapText="1"/>
    </xf>
    <xf numFmtId="0" fontId="3" fillId="11" borderId="39" xfId="0" applyNumberFormat="1" applyFont="1" applyFill="1" applyBorder="1" applyAlignment="1">
      <alignment horizontal="center" vertical="top" wrapText="1"/>
    </xf>
    <xf numFmtId="0" fontId="3" fillId="11" borderId="69" xfId="0" applyNumberFormat="1" applyFont="1" applyFill="1" applyBorder="1" applyAlignment="1" applyProtection="1">
      <alignment horizontal="center" vertical="top" wrapText="1"/>
      <protection locked="0"/>
    </xf>
    <xf numFmtId="0" fontId="3" fillId="11" borderId="27" xfId="0" applyNumberFormat="1" applyFont="1" applyFill="1" applyBorder="1" applyAlignment="1">
      <alignment vertical="top" wrapText="1"/>
    </xf>
    <xf numFmtId="0" fontId="3" fillId="11" borderId="23" xfId="0" applyNumberFormat="1" applyFont="1" applyFill="1" applyBorder="1" applyAlignment="1">
      <alignment vertical="top" wrapText="1"/>
    </xf>
    <xf numFmtId="0" fontId="3" fillId="11" borderId="40" xfId="0" applyNumberFormat="1" applyFont="1" applyFill="1" applyBorder="1" applyAlignment="1">
      <alignment horizontal="center" vertical="top" wrapText="1"/>
    </xf>
    <xf numFmtId="0" fontId="3" fillId="11" borderId="9" xfId="0" applyNumberFormat="1" applyFont="1" applyFill="1" applyBorder="1" applyAlignment="1" applyProtection="1">
      <alignment horizontal="center" vertical="top" wrapText="1"/>
      <protection locked="0"/>
    </xf>
    <xf numFmtId="0" fontId="3" fillId="11" borderId="9" xfId="0" applyNumberFormat="1" applyFont="1" applyFill="1" applyBorder="1" applyAlignment="1" applyProtection="1">
      <alignment vertical="top" wrapText="1"/>
      <protection locked="0"/>
    </xf>
    <xf numFmtId="0" fontId="29" fillId="11" borderId="28" xfId="0" applyNumberFormat="1" applyFont="1" applyFill="1" applyBorder="1" applyAlignment="1">
      <alignment vertical="top"/>
    </xf>
    <xf numFmtId="0" fontId="29" fillId="11" borderId="28" xfId="0" applyNumberFormat="1" applyFont="1" applyFill="1" applyBorder="1" applyAlignment="1" applyProtection="1">
      <alignment horizontal="center" vertical="top"/>
      <protection locked="0"/>
    </xf>
    <xf numFmtId="0" fontId="29" fillId="11" borderId="8" xfId="0" applyNumberFormat="1" applyFont="1" applyFill="1" applyBorder="1" applyAlignment="1" applyProtection="1">
      <alignment horizontal="center" vertical="top"/>
      <protection locked="0"/>
    </xf>
    <xf numFmtId="0" fontId="0" fillId="11" borderId="30" xfId="0" applyNumberFormat="1" applyFill="1" applyBorder="1" applyAlignment="1">
      <alignment vertical="center" wrapText="1"/>
    </xf>
    <xf numFmtId="0" fontId="19" fillId="0" borderId="0" xfId="18" applyNumberFormat="1" applyFill="1">
      <alignment vertical="center" wrapText="1"/>
    </xf>
    <xf numFmtId="0" fontId="29" fillId="11" borderId="15" xfId="18" applyNumberFormat="1" applyFont="1" applyFill="1" applyBorder="1" applyAlignment="1">
      <alignment vertical="center"/>
    </xf>
    <xf numFmtId="0" fontId="29" fillId="11" borderId="0" xfId="18" applyNumberFormat="1" applyFont="1" applyFill="1" applyBorder="1" applyAlignment="1">
      <alignment vertical="top"/>
    </xf>
    <xf numFmtId="0" fontId="29" fillId="11" borderId="0" xfId="18" applyNumberFormat="1" applyFont="1" applyFill="1" applyBorder="1" applyAlignment="1" applyProtection="1">
      <alignment horizontal="center" vertical="top"/>
      <protection locked="0"/>
    </xf>
    <xf numFmtId="0" fontId="19" fillId="11" borderId="13" xfId="18" applyNumberFormat="1" applyFont="1" applyFill="1" applyBorder="1" applyAlignment="1">
      <alignment vertical="top"/>
    </xf>
    <xf numFmtId="0" fontId="29" fillId="11" borderId="36" xfId="18" applyNumberFormat="1" applyFont="1" applyFill="1" applyBorder="1" applyAlignment="1">
      <alignment vertical="top"/>
    </xf>
    <xf numFmtId="0" fontId="29" fillId="11" borderId="8" xfId="18" applyNumberFormat="1" applyFont="1" applyFill="1" applyBorder="1" applyAlignment="1" applyProtection="1">
      <alignment vertical="top"/>
      <protection locked="0"/>
    </xf>
    <xf numFmtId="0" fontId="19" fillId="11" borderId="6" xfId="18" applyNumberFormat="1" applyFont="1" applyFill="1" applyBorder="1" applyAlignment="1">
      <alignment vertical="top"/>
    </xf>
    <xf numFmtId="0" fontId="29" fillId="11" borderId="13" xfId="18" applyNumberFormat="1" applyFont="1" applyFill="1" applyBorder="1" applyAlignment="1">
      <alignment vertical="top"/>
    </xf>
    <xf numFmtId="0" fontId="19" fillId="11" borderId="13" xfId="18" applyNumberFormat="1" applyFont="1" applyFill="1" applyBorder="1" applyAlignment="1" applyProtection="1">
      <alignment vertical="top"/>
      <protection locked="0"/>
    </xf>
    <xf numFmtId="0" fontId="13" fillId="18" borderId="95" xfId="18" applyNumberFormat="1" applyFont="1" applyFill="1" applyBorder="1" applyAlignment="1">
      <alignment vertical="top"/>
    </xf>
    <xf numFmtId="0" fontId="3" fillId="11" borderId="20" xfId="18" applyNumberFormat="1" applyFont="1" applyFill="1" applyBorder="1" applyAlignment="1">
      <alignment horizontal="right" vertical="top" wrapText="1"/>
    </xf>
    <xf numFmtId="0" fontId="3" fillId="11" borderId="3" xfId="18" applyNumberFormat="1" applyFont="1" applyFill="1" applyBorder="1" applyAlignment="1" applyProtection="1">
      <alignment horizontal="center" vertical="top" wrapText="1"/>
      <protection locked="0"/>
    </xf>
    <xf numFmtId="0" fontId="3" fillId="11" borderId="0" xfId="18" applyNumberFormat="1" applyFont="1" applyFill="1" applyBorder="1" applyAlignment="1">
      <alignment vertical="top" wrapText="1"/>
    </xf>
    <xf numFmtId="0" fontId="3" fillId="11" borderId="37" xfId="18" applyNumberFormat="1" applyFont="1" applyFill="1" applyBorder="1" applyAlignment="1">
      <alignment horizontal="center" vertical="top" wrapText="1"/>
    </xf>
    <xf numFmtId="0" fontId="3" fillId="11" borderId="67" xfId="18" applyNumberFormat="1" applyFont="1" applyFill="1" applyBorder="1" applyAlignment="1" applyProtection="1">
      <alignment horizontal="center" vertical="top" wrapText="1"/>
      <protection locked="0"/>
    </xf>
    <xf numFmtId="0" fontId="3" fillId="11" borderId="18" xfId="18" applyNumberFormat="1" applyFont="1" applyFill="1" applyBorder="1" applyAlignment="1">
      <alignment vertical="top" wrapText="1"/>
    </xf>
    <xf numFmtId="0" fontId="13" fillId="18" borderId="57" xfId="18" applyNumberFormat="1" applyFont="1" applyFill="1" applyBorder="1" applyAlignment="1">
      <alignment vertical="top"/>
    </xf>
    <xf numFmtId="0" fontId="19" fillId="11" borderId="26" xfId="18" applyNumberFormat="1" applyFill="1" applyBorder="1" applyAlignment="1">
      <alignment vertical="center" wrapText="1"/>
    </xf>
    <xf numFmtId="0" fontId="19" fillId="11" borderId="30" xfId="18" applyNumberFormat="1" applyFill="1" applyBorder="1" applyAlignment="1">
      <alignment vertical="center" wrapText="1"/>
    </xf>
    <xf numFmtId="0" fontId="19" fillId="11" borderId="0" xfId="18" applyNumberFormat="1" applyFill="1" applyBorder="1" applyAlignment="1">
      <alignment vertical="center" wrapText="1"/>
    </xf>
    <xf numFmtId="0" fontId="3" fillId="11" borderId="6" xfId="18" applyNumberFormat="1" applyFont="1" applyFill="1" applyBorder="1" applyAlignment="1">
      <alignment horizontal="right" vertical="top" wrapText="1"/>
    </xf>
    <xf numFmtId="0" fontId="3" fillId="11" borderId="67" xfId="18" applyNumberFormat="1" applyFont="1" applyFill="1" applyBorder="1" applyAlignment="1" applyProtection="1">
      <alignment vertical="top" wrapText="1"/>
      <protection locked="0"/>
    </xf>
    <xf numFmtId="0" fontId="19" fillId="11" borderId="23" xfId="18" applyNumberFormat="1" applyFill="1" applyBorder="1" applyAlignment="1">
      <alignment vertical="center" wrapText="1"/>
    </xf>
    <xf numFmtId="0" fontId="19" fillId="11" borderId="9" xfId="18" applyNumberFormat="1" applyFill="1" applyBorder="1" applyAlignment="1">
      <alignment vertical="center" wrapText="1"/>
    </xf>
    <xf numFmtId="0" fontId="29" fillId="11" borderId="15" xfId="0" applyNumberFormat="1" applyFont="1" applyFill="1" applyBorder="1" applyAlignment="1">
      <alignment vertical="center"/>
    </xf>
    <xf numFmtId="0" fontId="3" fillId="11" borderId="72" xfId="0" applyNumberFormat="1" applyFont="1" applyFill="1" applyBorder="1" applyAlignment="1">
      <alignment vertical="top" wrapText="1"/>
    </xf>
    <xf numFmtId="0" fontId="3" fillId="11" borderId="103" xfId="0" applyNumberFormat="1" applyFont="1" applyFill="1" applyBorder="1" applyAlignment="1">
      <alignment horizontal="center" vertical="top" wrapText="1"/>
    </xf>
    <xf numFmtId="0" fontId="3" fillId="11" borderId="66" xfId="0" applyNumberFormat="1" applyFont="1" applyFill="1" applyBorder="1" applyAlignment="1" applyProtection="1">
      <alignment horizontal="center" vertical="top" wrapText="1"/>
      <protection locked="0"/>
    </xf>
    <xf numFmtId="0" fontId="3" fillId="11" borderId="35" xfId="0" applyNumberFormat="1" applyFont="1" applyFill="1" applyBorder="1" applyAlignment="1">
      <alignment vertical="top" wrapText="1"/>
    </xf>
    <xf numFmtId="0" fontId="29" fillId="0" borderId="3" xfId="0" applyNumberFormat="1" applyFont="1" applyFill="1" applyBorder="1" applyAlignment="1">
      <alignment vertical="top"/>
    </xf>
    <xf numFmtId="0" fontId="29" fillId="0" borderId="3" xfId="0" applyNumberFormat="1" applyFont="1" applyFill="1" applyBorder="1" applyAlignment="1">
      <alignment horizontal="center" vertical="center" wrapText="1"/>
    </xf>
    <xf numFmtId="0" fontId="29" fillId="29" borderId="3" xfId="0" applyNumberFormat="1" applyFont="1" applyFill="1" applyBorder="1" applyAlignment="1">
      <alignment horizontal="center" vertical="center" wrapText="1"/>
    </xf>
    <xf numFmtId="0" fontId="0" fillId="0" borderId="3" xfId="0" applyNumberFormat="1" applyFill="1" applyBorder="1">
      <alignment vertical="center" wrapText="1"/>
    </xf>
    <xf numFmtId="0" fontId="13" fillId="0" borderId="0" xfId="0" applyNumberFormat="1" applyFont="1" applyFill="1" applyAlignment="1">
      <alignment vertical="top" wrapText="1"/>
    </xf>
    <xf numFmtId="0" fontId="3" fillId="0" borderId="0" xfId="0" applyNumberFormat="1" applyFont="1" applyFill="1" applyAlignment="1">
      <alignment horizontal="center" vertical="center" wrapText="1"/>
    </xf>
    <xf numFmtId="0" fontId="3" fillId="0" borderId="0" xfId="0" applyNumberFormat="1" applyFont="1" applyFill="1" applyAlignment="1">
      <alignment horizontal="center"/>
    </xf>
    <xf numFmtId="0" fontId="31" fillId="0" borderId="0" xfId="0" applyNumberFormat="1" applyFont="1" applyAlignment="1">
      <alignment vertical="center"/>
    </xf>
    <xf numFmtId="0" fontId="31" fillId="0" borderId="0" xfId="0" applyNumberFormat="1" applyFont="1">
      <alignment vertical="center" wrapText="1"/>
    </xf>
    <xf numFmtId="0" fontId="31" fillId="0" borderId="0" xfId="0" applyNumberFormat="1" applyFont="1" applyProtection="1">
      <alignment vertical="center" wrapText="1"/>
      <protection locked="0"/>
    </xf>
    <xf numFmtId="0" fontId="15" fillId="31" borderId="42" xfId="0" applyNumberFormat="1" applyFont="1" applyFill="1" applyBorder="1" applyAlignment="1">
      <alignment horizontal="left" vertical="top"/>
    </xf>
    <xf numFmtId="0" fontId="7" fillId="31" borderId="45" xfId="0" applyNumberFormat="1" applyFont="1" applyFill="1" applyBorder="1" applyAlignment="1">
      <alignment vertical="center"/>
    </xf>
    <xf numFmtId="0" fontId="7" fillId="31" borderId="2" xfId="0" applyNumberFormat="1" applyFont="1" applyFill="1" applyBorder="1" applyAlignment="1">
      <alignment vertical="center" wrapText="1"/>
    </xf>
    <xf numFmtId="0" fontId="7" fillId="31" borderId="2" xfId="0" applyNumberFormat="1" applyFont="1" applyFill="1" applyBorder="1" applyAlignment="1">
      <alignment vertical="center"/>
    </xf>
    <xf numFmtId="0" fontId="7" fillId="31" borderId="2" xfId="0" applyNumberFormat="1" applyFont="1" applyFill="1" applyBorder="1" applyAlignment="1">
      <alignment horizontal="center" vertical="center"/>
    </xf>
    <xf numFmtId="0" fontId="7" fillId="31" borderId="46" xfId="0" applyNumberFormat="1" applyFont="1" applyFill="1" applyBorder="1" applyAlignment="1">
      <alignment horizontal="center" vertical="center"/>
    </xf>
    <xf numFmtId="0" fontId="3" fillId="0" borderId="2" xfId="0" applyNumberFormat="1" applyFont="1" applyBorder="1">
      <alignment vertical="center" wrapText="1"/>
    </xf>
    <xf numFmtId="0" fontId="0" fillId="0" borderId="2" xfId="0" applyNumberFormat="1" applyBorder="1" applyAlignment="1">
      <alignment horizontal="center" vertical="center" wrapText="1"/>
    </xf>
    <xf numFmtId="0" fontId="0" fillId="0" borderId="46" xfId="0" applyNumberFormat="1" applyBorder="1" applyAlignment="1">
      <alignment horizontal="center" vertical="center" wrapText="1"/>
    </xf>
    <xf numFmtId="0" fontId="3" fillId="0" borderId="45" xfId="0" applyNumberFormat="1" applyFont="1" applyBorder="1" applyAlignment="1">
      <alignment vertical="center" wrapText="1"/>
    </xf>
    <xf numFmtId="0" fontId="3" fillId="0" borderId="2" xfId="0" applyNumberFormat="1" applyFont="1" applyBorder="1" applyAlignment="1">
      <alignment vertical="center" wrapText="1"/>
    </xf>
    <xf numFmtId="0" fontId="0" fillId="0" borderId="0" xfId="0" applyNumberFormat="1" applyAlignment="1" applyProtection="1">
      <alignment vertical="center"/>
      <protection locked="0"/>
    </xf>
    <xf numFmtId="0" fontId="3" fillId="0" borderId="48" xfId="0" applyNumberFormat="1" applyFont="1" applyBorder="1">
      <alignment vertical="center" wrapText="1"/>
    </xf>
    <xf numFmtId="0" fontId="0" fillId="0" borderId="48" xfId="0" applyNumberFormat="1" applyBorder="1" applyAlignment="1">
      <alignment horizontal="center" vertical="center" wrapText="1"/>
    </xf>
    <xf numFmtId="0" fontId="0" fillId="0" borderId="50" xfId="0" applyNumberFormat="1" applyBorder="1" applyAlignment="1">
      <alignment horizontal="center" vertical="center" wrapText="1"/>
    </xf>
    <xf numFmtId="0" fontId="3" fillId="0" borderId="0" xfId="0" applyNumberFormat="1" applyFont="1" applyProtection="1">
      <alignment vertical="center" wrapText="1"/>
      <protection locked="0"/>
    </xf>
    <xf numFmtId="0" fontId="0" fillId="0" borderId="0" xfId="0" applyNumberFormat="1" applyAlignment="1" applyProtection="1">
      <alignment horizontal="center" vertical="center" wrapText="1"/>
      <protection locked="0"/>
    </xf>
    <xf numFmtId="0" fontId="3" fillId="0" borderId="0" xfId="0" applyNumberFormat="1" applyFont="1" applyFill="1" applyProtection="1">
      <alignment vertical="center" wrapText="1"/>
    </xf>
    <xf numFmtId="0" fontId="2" fillId="0" borderId="3" xfId="16" applyNumberFormat="1" applyFont="1" applyFill="1" applyBorder="1" applyAlignment="1" applyProtection="1">
      <alignment horizontal="right" vertical="center" wrapText="1"/>
    </xf>
    <xf numFmtId="0" fontId="2" fillId="0" borderId="0" xfId="16" applyNumberFormat="1" applyFont="1" applyAlignment="1" applyProtection="1">
      <alignment vertical="center"/>
      <protection locked="0"/>
    </xf>
    <xf numFmtId="0" fontId="2" fillId="0" borderId="3" xfId="16" applyNumberFormat="1" applyFont="1" applyBorder="1" applyAlignment="1" applyProtection="1">
      <alignment horizontal="right" vertical="top" wrapText="1"/>
      <protection locked="0"/>
    </xf>
    <xf numFmtId="0" fontId="2" fillId="0" borderId="0" xfId="16" applyNumberFormat="1" applyFont="1" applyProtection="1">
      <protection locked="0"/>
    </xf>
    <xf numFmtId="0" fontId="2" fillId="0" borderId="0" xfId="16" applyNumberFormat="1" applyAlignment="1">
      <alignment vertical="top" wrapText="1"/>
    </xf>
    <xf numFmtId="0" fontId="2" fillId="0" borderId="0" xfId="16" applyNumberFormat="1"/>
    <xf numFmtId="0" fontId="2" fillId="0" borderId="0" xfId="16" applyNumberFormat="1" applyProtection="1">
      <protection locked="0"/>
    </xf>
    <xf numFmtId="0" fontId="2" fillId="0" borderId="0" xfId="16" applyNumberFormat="1" applyAlignment="1" applyProtection="1">
      <alignment vertical="center"/>
      <protection locked="0"/>
    </xf>
    <xf numFmtId="0" fontId="2" fillId="0" borderId="0" xfId="16" applyNumberFormat="1" applyAlignment="1">
      <alignment vertical="center"/>
    </xf>
    <xf numFmtId="0" fontId="2" fillId="0" borderId="0" xfId="16" applyNumberFormat="1" applyAlignment="1" applyProtection="1">
      <alignment vertical="top"/>
      <protection locked="0"/>
    </xf>
    <xf numFmtId="0" fontId="2" fillId="0" borderId="0" xfId="16" applyNumberFormat="1" applyAlignment="1">
      <alignment vertical="top"/>
    </xf>
    <xf numFmtId="0" fontId="2" fillId="0" borderId="0" xfId="16" applyNumberFormat="1" applyAlignment="1" applyProtection="1">
      <alignment vertical="top" wrapText="1"/>
      <protection locked="0"/>
    </xf>
    <xf numFmtId="0" fontId="13" fillId="28" borderId="3" xfId="16" applyNumberFormat="1" applyFont="1" applyFill="1" applyBorder="1" applyAlignment="1" applyProtection="1">
      <alignment horizontal="right"/>
    </xf>
    <xf numFmtId="0" fontId="2" fillId="0" borderId="3" xfId="16" applyNumberFormat="1" applyBorder="1" applyProtection="1"/>
    <xf numFmtId="0" fontId="2" fillId="0" borderId="3" xfId="16" applyNumberFormat="1" applyBorder="1" applyAlignment="1" applyProtection="1">
      <alignment horizontal="center"/>
    </xf>
    <xf numFmtId="0" fontId="2" fillId="0" borderId="0" xfId="16" applyNumberFormat="1" applyProtection="1"/>
    <xf numFmtId="0" fontId="13" fillId="28" borderId="3" xfId="16" applyNumberFormat="1" applyFont="1" applyFill="1" applyBorder="1" applyAlignment="1" applyProtection="1">
      <alignment horizontal="right" vertical="top" wrapText="1"/>
    </xf>
    <xf numFmtId="0" fontId="2" fillId="0" borderId="0" xfId="16" applyNumberFormat="1" applyBorder="1" applyProtection="1"/>
    <xf numFmtId="0" fontId="2" fillId="0" borderId="0" xfId="16" applyNumberFormat="1" applyAlignment="1" applyProtection="1">
      <alignment horizontal="center"/>
      <protection locked="0"/>
    </xf>
    <xf numFmtId="0" fontId="2" fillId="0" borderId="3" xfId="16" applyNumberFormat="1" applyFont="1" applyFill="1" applyBorder="1" applyAlignment="1" applyProtection="1">
      <alignment horizontal="right" vertical="top" wrapText="1"/>
      <protection locked="0"/>
    </xf>
    <xf numFmtId="0" fontId="2" fillId="0" borderId="0" xfId="16" applyNumberFormat="1" applyFont="1" applyAlignment="1" applyProtection="1">
      <alignment horizontal="center"/>
      <protection locked="0"/>
    </xf>
    <xf numFmtId="0" fontId="86" fillId="0" borderId="169" xfId="0" applyNumberFormat="1" applyFont="1" applyFill="1" applyBorder="1" applyAlignment="1">
      <alignment vertical="center"/>
    </xf>
    <xf numFmtId="0" fontId="3" fillId="0" borderId="0" xfId="0" applyNumberFormat="1" applyFont="1" applyFill="1" applyAlignment="1">
      <alignment horizontal="center" vertical="center"/>
    </xf>
    <xf numFmtId="0" fontId="6" fillId="0" borderId="16" xfId="0" applyNumberFormat="1" applyFont="1" applyFill="1" applyBorder="1" applyAlignment="1">
      <alignment vertical="center" wrapText="1"/>
    </xf>
    <xf numFmtId="0" fontId="6" fillId="0" borderId="0" xfId="0" applyNumberFormat="1" applyFont="1" applyFill="1" applyBorder="1" applyAlignment="1">
      <alignment vertical="center" wrapText="1"/>
    </xf>
    <xf numFmtId="0" fontId="3" fillId="0" borderId="0" xfId="0" applyNumberFormat="1" applyFont="1" applyFill="1" applyBorder="1">
      <alignment vertical="center" wrapText="1"/>
    </xf>
    <xf numFmtId="0" fontId="0" fillId="0" borderId="16" xfId="0" applyNumberFormat="1" applyFill="1" applyBorder="1">
      <alignment vertical="center" wrapText="1"/>
    </xf>
    <xf numFmtId="0" fontId="34" fillId="0" borderId="16" xfId="0" applyNumberFormat="1" applyFont="1" applyFill="1" applyBorder="1" applyAlignment="1" applyProtection="1">
      <alignment horizontal="center" vertical="top" wrapText="1"/>
      <protection locked="0"/>
    </xf>
    <xf numFmtId="0" fontId="7" fillId="31" borderId="132" xfId="0" applyNumberFormat="1" applyFont="1" applyFill="1" applyBorder="1" applyAlignment="1">
      <alignment vertical="top" wrapText="1"/>
    </xf>
    <xf numFmtId="0" fontId="0" fillId="0" borderId="0" xfId="0" applyNumberFormat="1" applyFill="1" applyAlignment="1">
      <alignment horizontal="center" vertical="center" wrapText="1"/>
    </xf>
    <xf numFmtId="0" fontId="8" fillId="31" borderId="0" xfId="0" applyNumberFormat="1" applyFont="1" applyFill="1">
      <alignment vertical="center" wrapText="1"/>
    </xf>
    <xf numFmtId="0" fontId="7" fillId="31" borderId="14" xfId="0" applyNumberFormat="1" applyFont="1" applyFill="1" applyBorder="1" applyAlignment="1">
      <alignment vertical="center" wrapText="1"/>
    </xf>
    <xf numFmtId="0" fontId="7" fillId="31" borderId="2" xfId="0" applyNumberFormat="1" applyFont="1" applyFill="1" applyBorder="1">
      <alignment vertical="center" wrapText="1"/>
    </xf>
    <xf numFmtId="0" fontId="7" fillId="31" borderId="134" xfId="0" applyNumberFormat="1" applyFont="1" applyFill="1" applyBorder="1">
      <alignment vertical="center" wrapText="1"/>
    </xf>
    <xf numFmtId="0" fontId="4" fillId="31" borderId="3" xfId="0" applyNumberFormat="1" applyFont="1" applyFill="1" applyBorder="1" applyAlignment="1">
      <alignment horizontal="left" textRotation="90" wrapText="1"/>
    </xf>
    <xf numFmtId="0" fontId="4" fillId="31" borderId="3" xfId="0" applyNumberFormat="1" applyFont="1" applyFill="1" applyBorder="1" applyAlignment="1">
      <alignment horizontal="center" textRotation="90" wrapText="1"/>
    </xf>
    <xf numFmtId="0" fontId="4" fillId="31" borderId="3" xfId="0" applyNumberFormat="1" applyFont="1" applyFill="1" applyBorder="1" applyAlignment="1" applyProtection="1">
      <alignment horizontal="center" textRotation="90" wrapText="1"/>
      <protection locked="0"/>
    </xf>
    <xf numFmtId="0" fontId="80" fillId="31" borderId="3" xfId="0" applyNumberFormat="1" applyFont="1" applyFill="1" applyBorder="1" applyAlignment="1" applyProtection="1">
      <alignment horizontal="center" textRotation="90" wrapText="1"/>
      <protection locked="0"/>
    </xf>
    <xf numFmtId="0" fontId="3" fillId="0" borderId="0" xfId="0" applyNumberFormat="1" applyFont="1" applyFill="1" applyBorder="1" applyAlignment="1">
      <alignment horizontal="center" vertical="center" wrapText="1"/>
    </xf>
    <xf numFmtId="0" fontId="13" fillId="18" borderId="152" xfId="0" applyNumberFormat="1" applyFont="1" applyFill="1" applyBorder="1" applyAlignment="1">
      <alignment horizontal="center" vertical="center"/>
    </xf>
    <xf numFmtId="0" fontId="13" fillId="18" borderId="151" xfId="0" applyNumberFormat="1" applyFont="1" applyFill="1" applyBorder="1" applyAlignment="1">
      <alignment horizontal="center" vertical="center"/>
    </xf>
    <xf numFmtId="0" fontId="29" fillId="18" borderId="16" xfId="0" applyNumberFormat="1" applyFont="1" applyFill="1" applyBorder="1" applyAlignment="1">
      <alignment vertical="top"/>
    </xf>
    <xf numFmtId="0" fontId="29" fillId="18" borderId="17" xfId="0" applyNumberFormat="1" applyFont="1" applyFill="1" applyBorder="1" applyAlignment="1">
      <alignment vertical="top"/>
    </xf>
    <xf numFmtId="0" fontId="29" fillId="18" borderId="140" xfId="0" applyNumberFormat="1" applyFont="1" applyFill="1" applyBorder="1" applyAlignment="1">
      <alignment vertical="top"/>
    </xf>
    <xf numFmtId="0" fontId="29" fillId="18" borderId="16" xfId="0" applyNumberFormat="1" applyFont="1" applyFill="1" applyBorder="1" applyAlignment="1">
      <alignment vertical="center"/>
    </xf>
    <xf numFmtId="0" fontId="29" fillId="18" borderId="80" xfId="0" applyNumberFormat="1" applyFont="1" applyFill="1" applyBorder="1" applyAlignment="1">
      <alignment vertical="top"/>
    </xf>
    <xf numFmtId="0" fontId="29" fillId="18" borderId="135" xfId="0" applyNumberFormat="1" applyFont="1" applyFill="1" applyBorder="1" applyAlignment="1">
      <alignment vertical="top"/>
    </xf>
    <xf numFmtId="0" fontId="29" fillId="18" borderId="136" xfId="0" applyNumberFormat="1" applyFont="1" applyFill="1" applyBorder="1" applyAlignment="1">
      <alignment vertical="top"/>
    </xf>
    <xf numFmtId="0" fontId="29" fillId="18" borderId="137" xfId="0" applyNumberFormat="1" applyFont="1" applyFill="1" applyBorder="1" applyAlignment="1">
      <alignment vertical="top"/>
    </xf>
    <xf numFmtId="0" fontId="3" fillId="0" borderId="152" xfId="0" applyNumberFormat="1" applyFont="1" applyFill="1" applyBorder="1">
      <alignment vertical="center" wrapText="1"/>
    </xf>
    <xf numFmtId="0" fontId="3" fillId="0" borderId="151" xfId="0" applyNumberFormat="1" applyFont="1" applyFill="1" applyBorder="1" applyAlignment="1">
      <alignment horizontal="center" vertical="center" wrapText="1"/>
    </xf>
    <xf numFmtId="0" fontId="3" fillId="0" borderId="132" xfId="0" applyNumberFormat="1" applyFont="1" applyFill="1" applyBorder="1" applyAlignment="1">
      <alignment horizontal="center" vertical="center" wrapText="1"/>
    </xf>
    <xf numFmtId="0" fontId="3" fillId="0" borderId="2" xfId="0" applyNumberFormat="1" applyFont="1" applyFill="1" applyBorder="1" applyAlignment="1">
      <alignment vertical="top" wrapText="1"/>
    </xf>
    <xf numFmtId="0" fontId="3" fillId="0" borderId="12" xfId="0" applyNumberFormat="1" applyFont="1" applyFill="1" applyBorder="1" applyAlignment="1">
      <alignment vertical="top" wrapText="1"/>
    </xf>
    <xf numFmtId="0" fontId="3" fillId="0" borderId="134" xfId="0" applyNumberFormat="1" applyFont="1" applyFill="1" applyBorder="1" applyAlignment="1">
      <alignment vertical="top" wrapText="1"/>
    </xf>
    <xf numFmtId="0" fontId="3" fillId="0" borderId="140" xfId="0" applyNumberFormat="1" applyFont="1" applyFill="1" applyBorder="1" applyAlignment="1">
      <alignment vertical="top" wrapText="1"/>
    </xf>
    <xf numFmtId="0" fontId="3" fillId="0" borderId="133" xfId="0" applyNumberFormat="1" applyFont="1" applyBorder="1" applyAlignment="1" applyProtection="1">
      <alignment horizontal="center" vertical="center" wrapText="1"/>
      <protection locked="0"/>
    </xf>
    <xf numFmtId="0" fontId="3" fillId="0" borderId="16" xfId="0" applyNumberFormat="1" applyFont="1" applyFill="1" applyBorder="1" applyAlignment="1">
      <alignment horizontal="center" vertical="center" wrapText="1"/>
    </xf>
    <xf numFmtId="0" fontId="3" fillId="0" borderId="15" xfId="0" applyNumberFormat="1" applyFont="1" applyFill="1" applyBorder="1" applyAlignment="1">
      <alignment vertical="top" wrapText="1"/>
    </xf>
    <xf numFmtId="0" fontId="7" fillId="0" borderId="2" xfId="0" applyNumberFormat="1" applyFont="1" applyFill="1" applyBorder="1">
      <alignment vertical="center" wrapText="1"/>
    </xf>
    <xf numFmtId="0" fontId="7" fillId="0" borderId="134" xfId="0" applyNumberFormat="1" applyFont="1" applyFill="1" applyBorder="1">
      <alignment vertical="center" wrapText="1"/>
    </xf>
    <xf numFmtId="0" fontId="7" fillId="0" borderId="140" xfId="0" applyNumberFormat="1" applyFont="1" applyFill="1" applyBorder="1">
      <alignment vertical="center" wrapText="1"/>
    </xf>
    <xf numFmtId="0" fontId="29" fillId="18" borderId="2" xfId="0" applyNumberFormat="1" applyFont="1" applyFill="1" applyBorder="1" applyAlignment="1">
      <alignment vertical="top"/>
    </xf>
    <xf numFmtId="0" fontId="29" fillId="18" borderId="134" xfId="0" applyNumberFormat="1" applyFont="1" applyFill="1" applyBorder="1" applyAlignment="1">
      <alignment vertical="top"/>
    </xf>
    <xf numFmtId="0" fontId="34" fillId="0" borderId="2" xfId="0" applyNumberFormat="1" applyFont="1" applyFill="1" applyBorder="1" applyAlignment="1" applyProtection="1">
      <alignment horizontal="center" vertical="top" wrapText="1"/>
      <protection locked="0"/>
    </xf>
    <xf numFmtId="0" fontId="34" fillId="0" borderId="2" xfId="0" applyNumberFormat="1" applyFont="1" applyBorder="1" applyAlignment="1" applyProtection="1">
      <alignment horizontal="center" vertical="center" wrapText="1"/>
      <protection locked="0"/>
    </xf>
    <xf numFmtId="0" fontId="34" fillId="0" borderId="2" xfId="0" applyNumberFormat="1" applyFont="1" applyBorder="1" applyAlignment="1" applyProtection="1">
      <alignment horizontal="center" vertical="top" wrapText="1"/>
      <protection locked="0"/>
    </xf>
    <xf numFmtId="0" fontId="3" fillId="0" borderId="34" xfId="0" applyNumberFormat="1" applyFont="1" applyFill="1" applyBorder="1" applyAlignment="1">
      <alignment vertical="top" wrapText="1"/>
    </xf>
    <xf numFmtId="0" fontId="29" fillId="18" borderId="26" xfId="0" applyNumberFormat="1" applyFont="1" applyFill="1" applyBorder="1" applyAlignment="1">
      <alignment vertical="top"/>
    </xf>
    <xf numFmtId="0" fontId="0" fillId="0" borderId="2" xfId="0" applyNumberFormat="1" applyFill="1" applyBorder="1">
      <alignment vertical="center" wrapText="1"/>
    </xf>
    <xf numFmtId="0" fontId="0" fillId="0" borderId="134" xfId="0" applyNumberFormat="1" applyFill="1" applyBorder="1">
      <alignment vertical="center" wrapText="1"/>
    </xf>
    <xf numFmtId="0" fontId="70" fillId="0" borderId="152" xfId="0" applyNumberFormat="1" applyFont="1" applyFill="1" applyBorder="1" applyAlignment="1">
      <alignment horizontal="left" vertical="center" wrapText="1"/>
    </xf>
    <xf numFmtId="0" fontId="3" fillId="0" borderId="131" xfId="0" applyNumberFormat="1" applyFont="1" applyFill="1" applyBorder="1" applyAlignment="1">
      <alignment vertical="top" wrapText="1"/>
    </xf>
    <xf numFmtId="0" fontId="3" fillId="0" borderId="131" xfId="0" applyNumberFormat="1" applyFont="1" applyBorder="1" applyAlignment="1">
      <alignment vertical="top" wrapText="1"/>
    </xf>
    <xf numFmtId="0" fontId="3" fillId="0" borderId="116" xfId="0" applyNumberFormat="1" applyFont="1" applyFill="1" applyBorder="1" applyAlignment="1">
      <alignment horizontal="center" vertical="center" wrapText="1"/>
    </xf>
    <xf numFmtId="0" fontId="29" fillId="18" borderId="15" xfId="0" applyNumberFormat="1" applyFont="1" applyFill="1" applyBorder="1" applyAlignment="1">
      <alignment vertical="top"/>
    </xf>
    <xf numFmtId="0" fontId="3" fillId="0" borderId="3" xfId="0" applyNumberFormat="1" applyFont="1" applyFill="1" applyBorder="1" applyAlignment="1">
      <alignment vertical="top" wrapText="1"/>
    </xf>
    <xf numFmtId="0" fontId="13" fillId="18" borderId="152" xfId="0" applyNumberFormat="1" applyFont="1" applyFill="1" applyBorder="1" applyAlignment="1">
      <alignment horizontal="center" vertical="center" wrapText="1"/>
    </xf>
    <xf numFmtId="0" fontId="13" fillId="18" borderId="151" xfId="0" applyNumberFormat="1" applyFont="1" applyFill="1" applyBorder="1" applyAlignment="1">
      <alignment horizontal="center" vertical="center" wrapText="1"/>
    </xf>
    <xf numFmtId="0" fontId="3" fillId="18" borderId="2" xfId="0" applyNumberFormat="1" applyFont="1" applyFill="1" applyBorder="1" applyAlignment="1">
      <alignment vertical="top" wrapText="1"/>
    </xf>
    <xf numFmtId="0" fontId="3" fillId="18" borderId="12" xfId="0" applyNumberFormat="1" applyFont="1" applyFill="1" applyBorder="1" applyAlignment="1">
      <alignment vertical="top" wrapText="1"/>
    </xf>
    <xf numFmtId="0" fontId="3" fillId="18" borderId="134" xfId="0" applyNumberFormat="1" applyFont="1" applyFill="1" applyBorder="1" applyAlignment="1">
      <alignment vertical="top" wrapText="1"/>
    </xf>
    <xf numFmtId="0" fontId="3" fillId="18" borderId="140" xfId="0" applyNumberFormat="1" applyFont="1" applyFill="1" applyBorder="1" applyAlignment="1">
      <alignment vertical="top" wrapText="1"/>
    </xf>
    <xf numFmtId="0" fontId="0" fillId="0" borderId="151" xfId="0" applyNumberFormat="1" applyFont="1" applyFill="1" applyBorder="1" applyAlignment="1">
      <alignment horizontal="center" vertical="center" wrapText="1"/>
    </xf>
    <xf numFmtId="0" fontId="3" fillId="0" borderId="151" xfId="0" applyNumberFormat="1" applyFont="1" applyBorder="1" applyAlignment="1">
      <alignment horizontal="center" vertical="center"/>
    </xf>
    <xf numFmtId="0" fontId="10" fillId="0" borderId="2" xfId="0" applyNumberFormat="1" applyFont="1" applyFill="1" applyBorder="1" applyAlignment="1">
      <alignment vertical="top" wrapText="1"/>
    </xf>
    <xf numFmtId="0" fontId="10" fillId="0" borderId="140" xfId="0" applyNumberFormat="1" applyFont="1" applyFill="1" applyBorder="1" applyAlignment="1">
      <alignment vertical="top" wrapText="1"/>
    </xf>
    <xf numFmtId="0" fontId="13" fillId="18" borderId="152" xfId="18" applyNumberFormat="1" applyFont="1" applyFill="1" applyBorder="1" applyAlignment="1">
      <alignment horizontal="center" vertical="center" wrapText="1"/>
    </xf>
    <xf numFmtId="0" fontId="13" fillId="18" borderId="151" xfId="18" applyNumberFormat="1" applyFont="1" applyFill="1" applyBorder="1" applyAlignment="1">
      <alignment horizontal="center" vertical="center" wrapText="1"/>
    </xf>
    <xf numFmtId="0" fontId="29" fillId="18" borderId="16" xfId="18" applyNumberFormat="1" applyFont="1" applyFill="1" applyBorder="1" applyAlignment="1">
      <alignment vertical="center"/>
    </xf>
    <xf numFmtId="0" fontId="3" fillId="18" borderId="2" xfId="18" applyNumberFormat="1" applyFont="1" applyFill="1" applyBorder="1" applyAlignment="1">
      <alignment vertical="top" wrapText="1"/>
    </xf>
    <xf numFmtId="0" fontId="3" fillId="18" borderId="12" xfId="18" applyNumberFormat="1" applyFont="1" applyFill="1" applyBorder="1" applyAlignment="1">
      <alignment vertical="top" wrapText="1"/>
    </xf>
    <xf numFmtId="0" fontId="3" fillId="18" borderId="134" xfId="18" applyNumberFormat="1" applyFont="1" applyFill="1" applyBorder="1" applyAlignment="1">
      <alignment vertical="top" wrapText="1"/>
    </xf>
    <xf numFmtId="0" fontId="3" fillId="18" borderId="140" xfId="18" applyNumberFormat="1" applyFont="1" applyFill="1" applyBorder="1" applyAlignment="1">
      <alignment vertical="top" wrapText="1"/>
    </xf>
    <xf numFmtId="0" fontId="3" fillId="0" borderId="151" xfId="18" applyNumberFormat="1" applyFont="1" applyFill="1" applyBorder="1" applyAlignment="1">
      <alignment horizontal="center" vertical="center" wrapText="1"/>
    </xf>
    <xf numFmtId="0" fontId="3" fillId="0" borderId="132" xfId="18" applyNumberFormat="1" applyFont="1" applyFill="1" applyBorder="1" applyAlignment="1">
      <alignment horizontal="center" vertical="center" wrapText="1"/>
    </xf>
    <xf numFmtId="0" fontId="3" fillId="0" borderId="2" xfId="18" applyNumberFormat="1" applyFont="1" applyFill="1" applyBorder="1" applyAlignment="1">
      <alignment vertical="top" wrapText="1"/>
    </xf>
    <xf numFmtId="0" fontId="3" fillId="0" borderId="12" xfId="18" applyNumberFormat="1" applyFont="1" applyFill="1" applyBorder="1" applyAlignment="1">
      <alignment vertical="top" wrapText="1"/>
    </xf>
    <xf numFmtId="0" fontId="3" fillId="0" borderId="134" xfId="18" applyNumberFormat="1" applyFont="1" applyFill="1" applyBorder="1" applyAlignment="1">
      <alignment vertical="top" wrapText="1"/>
    </xf>
    <xf numFmtId="0" fontId="3" fillId="0" borderId="140" xfId="18" applyNumberFormat="1" applyFont="1" applyFill="1" applyBorder="1" applyAlignment="1">
      <alignment vertical="top" wrapText="1"/>
    </xf>
    <xf numFmtId="0" fontId="3" fillId="0" borderId="15" xfId="18" applyNumberFormat="1" applyFont="1" applyFill="1" applyBorder="1" applyAlignment="1">
      <alignment vertical="top" wrapText="1"/>
    </xf>
    <xf numFmtId="0" fontId="7" fillId="0" borderId="2" xfId="18" applyNumberFormat="1" applyFont="1" applyFill="1" applyBorder="1">
      <alignment vertical="center" wrapText="1"/>
    </xf>
    <xf numFmtId="0" fontId="7" fillId="0" borderId="134" xfId="18" applyNumberFormat="1" applyFont="1" applyFill="1" applyBorder="1">
      <alignment vertical="center" wrapText="1"/>
    </xf>
    <xf numFmtId="0" fontId="7" fillId="0" borderId="140" xfId="18" applyNumberFormat="1" applyFont="1" applyFill="1" applyBorder="1">
      <alignment vertical="center" wrapText="1"/>
    </xf>
    <xf numFmtId="0" fontId="3" fillId="0" borderId="151" xfId="18" applyNumberFormat="1" applyFont="1" applyBorder="1" applyAlignment="1">
      <alignment horizontal="center" vertical="center"/>
    </xf>
    <xf numFmtId="0" fontId="3" fillId="18" borderId="2" xfId="18" applyNumberFormat="1" applyFont="1" applyFill="1" applyBorder="1" applyAlignment="1" applyProtection="1">
      <alignment vertical="top" wrapText="1"/>
      <protection locked="0"/>
    </xf>
    <xf numFmtId="0" fontId="3" fillId="18" borderId="2" xfId="18" applyNumberFormat="1" applyFont="1" applyFill="1" applyBorder="1" applyAlignment="1" applyProtection="1">
      <alignment vertical="center" wrapText="1"/>
      <protection locked="0"/>
    </xf>
    <xf numFmtId="0" fontId="3" fillId="0" borderId="0" xfId="0" applyNumberFormat="1" applyFont="1" applyFill="1" applyBorder="1" applyAlignment="1">
      <alignment vertical="top" wrapText="1"/>
    </xf>
    <xf numFmtId="0" fontId="28" fillId="0" borderId="0" xfId="0" applyNumberFormat="1" applyFont="1">
      <alignment vertical="center" wrapText="1"/>
    </xf>
    <xf numFmtId="0" fontId="5" fillId="0" borderId="0" xfId="17" applyNumberFormat="1" applyFont="1" applyFill="1" applyBorder="1" applyAlignment="1">
      <alignment horizontal="center" vertical="top" wrapText="1"/>
    </xf>
    <xf numFmtId="0" fontId="5" fillId="0" borderId="0" xfId="0" applyNumberFormat="1" applyFont="1" applyFill="1" applyBorder="1" applyAlignment="1">
      <alignment vertical="top" wrapText="1"/>
    </xf>
    <xf numFmtId="0" fontId="5" fillId="0" borderId="0" xfId="17" applyNumberFormat="1" applyFont="1" applyFill="1" applyBorder="1" applyAlignment="1">
      <alignment horizontal="left" vertical="top" wrapText="1"/>
    </xf>
    <xf numFmtId="0" fontId="5" fillId="0" borderId="0" xfId="0" applyNumberFormat="1" applyFont="1" applyFill="1">
      <alignment vertical="center" wrapText="1"/>
    </xf>
    <xf numFmtId="0" fontId="5" fillId="0" borderId="0" xfId="0" applyNumberFormat="1" applyFont="1" applyFill="1" applyAlignment="1">
      <alignment vertical="top" wrapText="1"/>
    </xf>
    <xf numFmtId="0" fontId="6" fillId="0" borderId="0" xfId="19" applyNumberFormat="1" applyFont="1" applyAlignment="1">
      <alignment wrapText="1"/>
    </xf>
    <xf numFmtId="0" fontId="0" fillId="0" borderId="0" xfId="19" applyNumberFormat="1" applyFont="1" applyAlignment="1">
      <alignment wrapText="1"/>
    </xf>
    <xf numFmtId="0" fontId="19" fillId="0" borderId="0" xfId="19" applyNumberFormat="1" applyFont="1" applyAlignment="1">
      <alignment horizontal="center" wrapText="1"/>
    </xf>
    <xf numFmtId="0" fontId="19" fillId="0" borderId="0" xfId="19" applyNumberFormat="1" applyFont="1" applyAlignment="1">
      <alignment wrapText="1"/>
    </xf>
    <xf numFmtId="0" fontId="29" fillId="0" borderId="0" xfId="19" applyNumberFormat="1" applyFont="1" applyAlignment="1">
      <alignment wrapText="1"/>
    </xf>
    <xf numFmtId="0" fontId="73" fillId="0" borderId="0" xfId="19" applyNumberFormat="1" applyFont="1" applyAlignment="1">
      <alignment wrapText="1"/>
    </xf>
    <xf numFmtId="0" fontId="13" fillId="0" borderId="0" xfId="19" applyNumberFormat="1" applyFont="1" applyAlignment="1">
      <alignment wrapText="1"/>
    </xf>
    <xf numFmtId="0" fontId="42" fillId="0" borderId="0" xfId="19" applyNumberFormat="1" applyFont="1" applyAlignment="1">
      <alignment wrapText="1"/>
    </xf>
    <xf numFmtId="0" fontId="0" fillId="0" borderId="0" xfId="19" applyNumberFormat="1" applyFont="1" applyBorder="1" applyAlignment="1">
      <alignment wrapText="1"/>
    </xf>
    <xf numFmtId="0" fontId="0" fillId="0" borderId="0" xfId="19" applyNumberFormat="1" applyFont="1" applyBorder="1" applyAlignment="1">
      <alignment vertical="center" wrapText="1"/>
    </xf>
    <xf numFmtId="0" fontId="3" fillId="0" borderId="0" xfId="19" applyNumberFormat="1" applyFont="1" applyBorder="1" applyAlignment="1">
      <alignment vertical="top" wrapText="1"/>
    </xf>
    <xf numFmtId="0" fontId="3" fillId="0" borderId="0" xfId="19" applyNumberFormat="1" applyFont="1" applyFill="1" applyBorder="1" applyAlignment="1">
      <alignment vertical="top" wrapText="1"/>
    </xf>
    <xf numFmtId="0" fontId="3" fillId="0" borderId="0" xfId="19" applyNumberFormat="1" applyFont="1" applyBorder="1" applyAlignment="1">
      <alignment horizontal="left" vertical="top" wrapText="1"/>
    </xf>
    <xf numFmtId="0" fontId="71" fillId="0" borderId="0" xfId="19" applyNumberFormat="1" applyFont="1" applyFill="1" applyBorder="1" applyAlignment="1" applyProtection="1">
      <alignment horizontal="center" wrapText="1"/>
      <protection locked="0"/>
    </xf>
    <xf numFmtId="0" fontId="19" fillId="0" borderId="0" xfId="19" applyNumberFormat="1" applyFont="1" applyAlignment="1" applyProtection="1">
      <alignment wrapText="1"/>
      <protection locked="0"/>
    </xf>
    <xf numFmtId="0" fontId="3" fillId="0" borderId="3" xfId="19" applyNumberFormat="1" applyFont="1" applyFill="1" applyBorder="1" applyAlignment="1">
      <alignment vertical="top" wrapText="1"/>
    </xf>
    <xf numFmtId="0" fontId="13" fillId="0" borderId="0" xfId="19" applyNumberFormat="1" applyFont="1" applyBorder="1" applyAlignment="1">
      <alignment wrapText="1"/>
    </xf>
    <xf numFmtId="0" fontId="13" fillId="0" borderId="0" xfId="19" applyNumberFormat="1" applyFont="1" applyBorder="1" applyAlignment="1">
      <alignment vertical="center" wrapText="1"/>
    </xf>
    <xf numFmtId="0" fontId="4" fillId="0" borderId="0" xfId="19" applyNumberFormat="1" applyFont="1" applyBorder="1" applyAlignment="1">
      <alignment vertical="top" wrapText="1"/>
    </xf>
    <xf numFmtId="0" fontId="13" fillId="0" borderId="0" xfId="19" applyNumberFormat="1" applyFont="1" applyAlignment="1" applyProtection="1">
      <alignment wrapText="1"/>
      <protection locked="0"/>
    </xf>
    <xf numFmtId="0" fontId="19" fillId="0" borderId="0" xfId="19" applyNumberFormat="1" applyFont="1" applyBorder="1" applyAlignment="1">
      <alignment wrapText="1"/>
    </xf>
    <xf numFmtId="0" fontId="19" fillId="0" borderId="0" xfId="19" applyNumberFormat="1" applyFont="1" applyBorder="1" applyAlignment="1">
      <alignment vertical="center" wrapText="1"/>
    </xf>
    <xf numFmtId="0" fontId="71" fillId="0" borderId="0" xfId="19" applyNumberFormat="1" applyFont="1" applyFill="1" applyBorder="1" applyAlignment="1">
      <alignment wrapText="1"/>
    </xf>
    <xf numFmtId="0" fontId="19" fillId="0" borderId="0" xfId="19" applyNumberFormat="1" applyFont="1" applyBorder="1" applyAlignment="1">
      <alignment vertical="top" wrapText="1"/>
    </xf>
    <xf numFmtId="0" fontId="19" fillId="0" borderId="0" xfId="19" applyNumberFormat="1" applyFont="1" applyBorder="1" applyAlignment="1">
      <alignment horizontal="left" vertical="top" wrapText="1"/>
    </xf>
    <xf numFmtId="0" fontId="2" fillId="0" borderId="0" xfId="13" applyNumberFormat="1" applyFont="1" applyFill="1" applyProtection="1">
      <protection locked="0"/>
    </xf>
    <xf numFmtId="0" fontId="2" fillId="0" borderId="0" xfId="13" applyNumberFormat="1" applyFont="1" applyProtection="1">
      <protection locked="0"/>
    </xf>
    <xf numFmtId="0" fontId="2" fillId="0" borderId="0" xfId="13" applyNumberFormat="1" applyFont="1"/>
    <xf numFmtId="0" fontId="5" fillId="31" borderId="29" xfId="13" applyNumberFormat="1" applyFont="1" applyFill="1" applyBorder="1" applyAlignment="1" applyProtection="1">
      <alignment vertical="top" wrapText="1"/>
    </xf>
    <xf numFmtId="0" fontId="27" fillId="31" borderId="3" xfId="13" applyNumberFormat="1" applyFont="1" applyFill="1" applyBorder="1" applyAlignment="1" applyProtection="1">
      <alignment horizontal="center"/>
    </xf>
    <xf numFmtId="0" fontId="27" fillId="31" borderId="3" xfId="13" applyNumberFormat="1" applyFont="1" applyFill="1" applyBorder="1" applyAlignment="1" applyProtection="1">
      <alignment horizontal="center" vertical="center"/>
    </xf>
    <xf numFmtId="0" fontId="13" fillId="31" borderId="29" xfId="13" applyNumberFormat="1" applyFont="1" applyFill="1" applyBorder="1" applyAlignment="1" applyProtection="1">
      <alignment horizontal="left" vertical="center"/>
    </xf>
    <xf numFmtId="0" fontId="13" fillId="31" borderId="165" xfId="13" applyNumberFormat="1" applyFont="1" applyFill="1" applyBorder="1" applyAlignment="1" applyProtection="1">
      <alignment horizontal="center" vertical="center"/>
    </xf>
    <xf numFmtId="0" fontId="13" fillId="31" borderId="166" xfId="13" applyNumberFormat="1" applyFont="1" applyFill="1" applyBorder="1" applyAlignment="1" applyProtection="1">
      <alignment horizontal="center" vertical="center"/>
    </xf>
    <xf numFmtId="0" fontId="2" fillId="0" borderId="0" xfId="12" applyNumberFormat="1" applyFont="1"/>
    <xf numFmtId="0" fontId="2" fillId="0" borderId="29" xfId="12" applyNumberFormat="1" applyFont="1" applyBorder="1" applyProtection="1"/>
    <xf numFmtId="0" fontId="2" fillId="0" borderId="0" xfId="19" applyNumberFormat="1" applyFont="1" applyProtection="1">
      <protection locked="0"/>
    </xf>
    <xf numFmtId="0" fontId="2" fillId="0" borderId="0" xfId="19" applyNumberFormat="1" applyFont="1"/>
    <xf numFmtId="0" fontId="2" fillId="0" borderId="0" xfId="12" applyNumberFormat="1" applyFont="1" applyBorder="1" applyProtection="1">
      <protection locked="0"/>
    </xf>
    <xf numFmtId="0" fontId="2" fillId="0" borderId="0" xfId="12" applyNumberFormat="1" applyFont="1" applyBorder="1"/>
    <xf numFmtId="0" fontId="5" fillId="0" borderId="0" xfId="13" applyNumberFormat="1" applyFont="1" applyFill="1" applyAlignment="1" applyProtection="1">
      <alignment horizontal="left"/>
    </xf>
    <xf numFmtId="0" fontId="2" fillId="0" borderId="0" xfId="13" applyNumberFormat="1" applyFont="1" applyAlignment="1" applyProtection="1">
      <alignment horizontal="center"/>
    </xf>
    <xf numFmtId="0" fontId="5" fillId="0" borderId="0" xfId="13" applyNumberFormat="1" applyFont="1" applyAlignment="1" applyProtection="1">
      <alignment horizontal="center"/>
    </xf>
    <xf numFmtId="0" fontId="5" fillId="0" borderId="0" xfId="13" applyNumberFormat="1" applyFont="1" applyAlignment="1" applyProtection="1">
      <alignment horizontal="center" vertical="center"/>
    </xf>
    <xf numFmtId="0" fontId="5" fillId="0" borderId="0" xfId="13" applyNumberFormat="1" applyFont="1" applyAlignment="1" applyProtection="1">
      <alignment horizontal="left"/>
    </xf>
    <xf numFmtId="0" fontId="31" fillId="0" borderId="143" xfId="11" applyNumberFormat="1" applyFont="1" applyFill="1" applyBorder="1" applyAlignment="1" applyProtection="1">
      <alignment horizontal="center" vertical="top"/>
      <protection locked="0"/>
    </xf>
    <xf numFmtId="0" fontId="31" fillId="0" borderId="144" xfId="11" applyNumberFormat="1" applyFont="1" applyFill="1" applyBorder="1" applyAlignment="1" applyProtection="1">
      <alignment horizontal="center" vertical="top"/>
      <protection locked="0"/>
    </xf>
    <xf numFmtId="0" fontId="32" fillId="0" borderId="144" xfId="10" applyNumberFormat="1" applyFont="1" applyFill="1" applyBorder="1" applyAlignment="1">
      <alignment horizontal="center" vertical="top" wrapText="1"/>
    </xf>
    <xf numFmtId="0" fontId="32" fillId="0" borderId="144" xfId="10" applyNumberFormat="1" applyFont="1" applyFill="1" applyBorder="1" applyAlignment="1">
      <alignment vertical="top" wrapText="1"/>
    </xf>
    <xf numFmtId="0" fontId="2" fillId="0" borderId="169" xfId="11" applyNumberFormat="1" applyFont="1" applyFill="1" applyBorder="1" applyProtection="1">
      <protection locked="0"/>
    </xf>
    <xf numFmtId="0" fontId="2" fillId="0" borderId="0" xfId="11" applyNumberFormat="1" applyFont="1" applyFill="1" applyProtection="1">
      <protection locked="0"/>
    </xf>
    <xf numFmtId="0" fontId="2" fillId="0" borderId="0" xfId="11" applyNumberFormat="1" applyFont="1" applyFill="1"/>
    <xf numFmtId="0" fontId="27" fillId="31" borderId="3" xfId="11" applyNumberFormat="1" applyFont="1" applyFill="1" applyBorder="1" applyAlignment="1">
      <alignment horizontal="center" vertical="top" wrapText="1"/>
    </xf>
    <xf numFmtId="0" fontId="27" fillId="31" borderId="3" xfId="10" applyNumberFormat="1" applyFont="1" applyFill="1" applyBorder="1" applyAlignment="1">
      <alignment horizontal="left" vertical="top" wrapText="1"/>
    </xf>
    <xf numFmtId="0" fontId="27" fillId="31" borderId="168" xfId="19" applyNumberFormat="1" applyFont="1" applyFill="1" applyBorder="1" applyAlignment="1" applyProtection="1">
      <alignment horizontal="center" vertical="center"/>
      <protection locked="0"/>
    </xf>
    <xf numFmtId="0" fontId="27" fillId="31" borderId="168" xfId="11" applyNumberFormat="1" applyFont="1" applyFill="1" applyBorder="1" applyAlignment="1">
      <alignment horizontal="center" vertical="center" wrapText="1"/>
    </xf>
    <xf numFmtId="0" fontId="27" fillId="31" borderId="168" xfId="10" applyNumberFormat="1" applyFont="1" applyFill="1" applyBorder="1" applyAlignment="1" applyProtection="1">
      <alignment vertical="top" wrapText="1"/>
      <protection locked="0"/>
    </xf>
    <xf numFmtId="0" fontId="13" fillId="0" borderId="3" xfId="10" applyNumberFormat="1" applyFont="1" applyFill="1" applyBorder="1" applyAlignment="1">
      <alignment horizontal="left" vertical="top" wrapText="1"/>
    </xf>
    <xf numFmtId="0" fontId="0" fillId="0" borderId="3" xfId="19" applyNumberFormat="1" applyFont="1" applyFill="1" applyBorder="1" applyAlignment="1" applyProtection="1">
      <alignment horizontal="center" vertical="center"/>
      <protection locked="0"/>
    </xf>
    <xf numFmtId="0" fontId="0" fillId="0" borderId="3" xfId="11" applyNumberFormat="1" applyFont="1" applyFill="1" applyBorder="1" applyAlignment="1" applyProtection="1">
      <alignment horizontal="center" vertical="center"/>
      <protection locked="0"/>
    </xf>
    <xf numFmtId="0" fontId="9" fillId="0" borderId="3" xfId="10" applyNumberFormat="1" applyFont="1" applyFill="1" applyBorder="1" applyAlignment="1">
      <alignment horizontal="center" vertical="top" wrapText="1"/>
    </xf>
    <xf numFmtId="0" fontId="9" fillId="0" borderId="3" xfId="10" applyNumberFormat="1" applyFont="1" applyFill="1" applyBorder="1" applyAlignment="1">
      <alignment vertical="top" wrapText="1"/>
    </xf>
    <xf numFmtId="0" fontId="32" fillId="0" borderId="3" xfId="10" applyNumberFormat="1" applyFont="1" applyFill="1" applyBorder="1" applyAlignment="1" applyProtection="1">
      <alignment horizontal="center" vertical="center" wrapText="1"/>
      <protection locked="0"/>
    </xf>
    <xf numFmtId="0" fontId="5" fillId="0" borderId="3" xfId="10" applyNumberFormat="1" applyFont="1" applyBorder="1" applyAlignment="1">
      <alignment horizontal="center" vertical="top" wrapText="1"/>
    </xf>
    <xf numFmtId="0" fontId="5" fillId="0" borderId="3" xfId="10" applyNumberFormat="1" applyFont="1" applyBorder="1" applyAlignment="1">
      <alignment vertical="top" wrapText="1"/>
    </xf>
    <xf numFmtId="0" fontId="9" fillId="0" borderId="3" xfId="10" applyNumberFormat="1" applyFont="1" applyBorder="1" applyAlignment="1">
      <alignment horizontal="center" vertical="top" wrapText="1"/>
    </xf>
    <xf numFmtId="0" fontId="9" fillId="0" borderId="3" xfId="10" applyNumberFormat="1" applyFont="1" applyBorder="1" applyAlignment="1">
      <alignment vertical="top" wrapText="1"/>
    </xf>
    <xf numFmtId="0" fontId="32" fillId="0" borderId="3" xfId="11" applyNumberFormat="1" applyFont="1" applyFill="1" applyBorder="1" applyAlignment="1" applyProtection="1">
      <alignment horizontal="center" vertical="center" wrapText="1"/>
      <protection locked="0"/>
    </xf>
    <xf numFmtId="0" fontId="24" fillId="0" borderId="3" xfId="10" applyNumberFormat="1" applyFont="1" applyFill="1" applyBorder="1" applyAlignment="1" applyProtection="1">
      <alignment horizontal="center" vertical="center" wrapText="1"/>
      <protection locked="0"/>
    </xf>
    <xf numFmtId="0" fontId="32" fillId="0" borderId="3" xfId="11" applyNumberFormat="1" applyFont="1" applyFill="1" applyBorder="1" applyAlignment="1" applyProtection="1">
      <alignment horizontal="center" vertical="center"/>
      <protection locked="0"/>
    </xf>
    <xf numFmtId="0" fontId="32" fillId="0" borderId="3" xfId="10" applyNumberFormat="1" applyFont="1" applyFill="1" applyBorder="1" applyAlignment="1" applyProtection="1">
      <alignment horizontal="center" vertical="center"/>
      <protection locked="0"/>
    </xf>
    <xf numFmtId="0" fontId="16" fillId="0" borderId="3" xfId="11" applyNumberFormat="1" applyFont="1" applyFill="1" applyBorder="1" applyAlignment="1" applyProtection="1">
      <alignment horizontal="center" vertical="center"/>
      <protection locked="0"/>
    </xf>
    <xf numFmtId="0" fontId="13" fillId="20" borderId="3" xfId="10" applyNumberFormat="1" applyFont="1" applyFill="1" applyBorder="1" applyAlignment="1">
      <alignment horizontal="left" vertical="top" wrapText="1"/>
    </xf>
    <xf numFmtId="0" fontId="51" fillId="0" borderId="3" xfId="11" applyNumberFormat="1" applyFont="1" applyFill="1" applyBorder="1" applyAlignment="1" applyProtection="1">
      <alignment horizontal="center" vertical="center"/>
      <protection locked="0"/>
    </xf>
    <xf numFmtId="0" fontId="60" fillId="0" borderId="3" xfId="11" applyNumberFormat="1" applyFont="1" applyFill="1" applyBorder="1" applyAlignment="1" applyProtection="1">
      <alignment horizontal="center" vertical="center"/>
      <protection locked="0"/>
    </xf>
    <xf numFmtId="0" fontId="60" fillId="0" borderId="0" xfId="11" applyNumberFormat="1" applyFont="1" applyFill="1" applyProtection="1">
      <protection locked="0"/>
    </xf>
    <xf numFmtId="0" fontId="61" fillId="0" borderId="0" xfId="19" applyNumberFormat="1" applyFont="1" applyProtection="1">
      <protection locked="0"/>
    </xf>
    <xf numFmtId="0" fontId="60" fillId="0" borderId="0" xfId="11" applyNumberFormat="1" applyFont="1" applyFill="1"/>
    <xf numFmtId="0" fontId="19" fillId="0" borderId="0" xfId="11" applyNumberFormat="1" applyFont="1" applyFill="1" applyAlignment="1">
      <alignment horizontal="center" vertical="top" wrapText="1"/>
    </xf>
    <xf numFmtId="0" fontId="19" fillId="0" borderId="0" xfId="11" applyNumberFormat="1" applyFont="1" applyFill="1" applyAlignment="1">
      <alignment vertical="top" wrapText="1"/>
    </xf>
    <xf numFmtId="0" fontId="19" fillId="0" borderId="0" xfId="11" applyNumberFormat="1" applyFont="1" applyFill="1" applyAlignment="1" applyProtection="1">
      <alignment vertical="top"/>
      <protection locked="0"/>
    </xf>
    <xf numFmtId="0" fontId="86" fillId="36" borderId="107" xfId="10" applyNumberFormat="1" applyFont="1" applyFill="1" applyBorder="1" applyAlignment="1">
      <alignment horizontal="left" vertical="top"/>
    </xf>
    <xf numFmtId="0" fontId="31" fillId="36" borderId="107" xfId="10" applyNumberFormat="1" applyFont="1" applyFill="1" applyBorder="1"/>
    <xf numFmtId="0" fontId="31" fillId="0" borderId="0" xfId="11" applyNumberFormat="1" applyFont="1" applyFill="1" applyBorder="1" applyAlignment="1" applyProtection="1">
      <alignment horizontal="center" vertical="top"/>
      <protection locked="0"/>
    </xf>
    <xf numFmtId="0" fontId="31" fillId="0" borderId="0" xfId="10" applyNumberFormat="1" applyFont="1" applyFill="1" applyBorder="1"/>
    <xf numFmtId="0" fontId="27" fillId="0" borderId="0" xfId="10" applyNumberFormat="1" applyFont="1" applyFill="1" applyBorder="1" applyAlignment="1">
      <alignment vertical="top"/>
    </xf>
    <xf numFmtId="0" fontId="44" fillId="0" borderId="0" xfId="11" applyNumberFormat="1" applyFont="1" applyFill="1" applyAlignment="1">
      <alignment vertical="top" wrapText="1"/>
    </xf>
    <xf numFmtId="0" fontId="19" fillId="0" borderId="0" xfId="10" applyNumberFormat="1" applyFont="1" applyFill="1" applyBorder="1" applyProtection="1">
      <protection locked="0"/>
    </xf>
    <xf numFmtId="0" fontId="19" fillId="0" borderId="0" xfId="19" applyNumberFormat="1" applyFont="1" applyFill="1" applyProtection="1">
      <protection locked="0"/>
    </xf>
    <xf numFmtId="0" fontId="19" fillId="0" borderId="0" xfId="19" applyNumberFormat="1" applyFont="1" applyFill="1" applyBorder="1" applyProtection="1">
      <protection locked="0"/>
    </xf>
    <xf numFmtId="0" fontId="19" fillId="0" borderId="0" xfId="19" applyNumberFormat="1" applyFont="1" applyFill="1" applyBorder="1"/>
    <xf numFmtId="0" fontId="27" fillId="31" borderId="107" xfId="11" applyNumberFormat="1" applyFont="1" applyFill="1" applyBorder="1" applyAlignment="1">
      <alignment horizontal="center" vertical="top" wrapText="1"/>
    </xf>
    <xf numFmtId="0" fontId="27" fillId="31" borderId="107" xfId="10" applyNumberFormat="1" applyFont="1" applyFill="1" applyBorder="1" applyAlignment="1">
      <alignment horizontal="left" vertical="top" wrapText="1"/>
    </xf>
    <xf numFmtId="0" fontId="27" fillId="31" borderId="109" xfId="19" applyNumberFormat="1" applyFont="1" applyFill="1" applyBorder="1" applyAlignment="1" applyProtection="1">
      <alignment horizontal="center" vertical="center"/>
      <protection locked="0"/>
    </xf>
    <xf numFmtId="0" fontId="27" fillId="31" borderId="3" xfId="19" applyNumberFormat="1" applyFont="1" applyFill="1" applyBorder="1" applyAlignment="1" applyProtection="1">
      <alignment horizontal="center" vertical="center"/>
      <protection locked="0"/>
    </xf>
    <xf numFmtId="0" fontId="27" fillId="31" borderId="3" xfId="11" applyNumberFormat="1" applyFont="1" applyFill="1" applyBorder="1" applyAlignment="1">
      <alignment horizontal="center" vertical="center" wrapText="1"/>
    </xf>
    <xf numFmtId="0" fontId="42" fillId="0" borderId="0" xfId="19" applyNumberFormat="1" applyFont="1" applyFill="1" applyBorder="1" applyProtection="1">
      <protection locked="0"/>
    </xf>
    <xf numFmtId="0" fontId="42" fillId="0" borderId="0" xfId="19" applyNumberFormat="1" applyFont="1" applyFill="1" applyBorder="1"/>
    <xf numFmtId="0" fontId="13" fillId="0" borderId="107" xfId="10" applyNumberFormat="1" applyFont="1" applyFill="1" applyBorder="1" applyAlignment="1">
      <alignment horizontal="left" vertical="top" wrapText="1"/>
    </xf>
    <xf numFmtId="0" fontId="5" fillId="0" borderId="113" xfId="19" applyNumberFormat="1" applyFont="1" applyFill="1" applyBorder="1" applyAlignment="1" applyProtection="1">
      <alignment horizontal="center" vertical="center"/>
      <protection locked="0"/>
    </xf>
    <xf numFmtId="0" fontId="5" fillId="0" borderId="111" xfId="19" applyNumberFormat="1" applyFont="1" applyFill="1" applyBorder="1" applyAlignment="1" applyProtection="1">
      <alignment horizontal="center" vertical="center"/>
      <protection locked="0"/>
    </xf>
    <xf numFmtId="0" fontId="5" fillId="0" borderId="111" xfId="10" applyNumberFormat="1" applyFont="1" applyFill="1" applyBorder="1" applyAlignment="1" applyProtection="1">
      <alignment horizontal="center" vertical="center"/>
      <protection locked="0"/>
    </xf>
    <xf numFmtId="0" fontId="9" fillId="0" borderId="107" xfId="10" applyNumberFormat="1" applyFont="1" applyBorder="1" applyAlignment="1">
      <alignment horizontal="center" vertical="top" wrapText="1"/>
    </xf>
    <xf numFmtId="0" fontId="9" fillId="0" borderId="107" xfId="10" applyNumberFormat="1" applyFont="1" applyBorder="1" applyAlignment="1">
      <alignment vertical="top" wrapText="1"/>
    </xf>
    <xf numFmtId="0" fontId="5" fillId="0" borderId="113" xfId="19" applyNumberFormat="1" applyFont="1" applyBorder="1" applyAlignment="1" applyProtection="1">
      <alignment horizontal="center" vertical="center"/>
      <protection locked="0"/>
    </xf>
    <xf numFmtId="0" fontId="5" fillId="0" borderId="111" xfId="10" applyNumberFormat="1" applyFont="1" applyBorder="1" applyAlignment="1" applyProtection="1">
      <alignment horizontal="center" vertical="center" wrapText="1"/>
      <protection locked="0"/>
    </xf>
    <xf numFmtId="0" fontId="42" fillId="0" borderId="0" xfId="19" applyNumberFormat="1" applyFont="1" applyBorder="1" applyProtection="1">
      <protection locked="0"/>
    </xf>
    <xf numFmtId="0" fontId="42" fillId="0" borderId="0" xfId="19" applyNumberFormat="1" applyFont="1" applyBorder="1"/>
    <xf numFmtId="0" fontId="5" fillId="0" borderId="107" xfId="11" applyNumberFormat="1" applyFont="1" applyBorder="1" applyAlignment="1">
      <alignment vertical="top" wrapText="1"/>
    </xf>
    <xf numFmtId="0" fontId="13" fillId="0" borderId="107" xfId="11" applyNumberFormat="1" applyFont="1" applyBorder="1" applyAlignment="1">
      <alignment vertical="top" wrapText="1"/>
    </xf>
    <xf numFmtId="0" fontId="5" fillId="0" borderId="0" xfId="10" applyNumberFormat="1" applyFont="1" applyBorder="1" applyAlignment="1">
      <alignment horizontal="center" vertical="top" wrapText="1"/>
    </xf>
    <xf numFmtId="0" fontId="5" fillId="0" borderId="0" xfId="10" applyNumberFormat="1" applyFont="1" applyBorder="1" applyAlignment="1">
      <alignment vertical="top" wrapText="1"/>
    </xf>
    <xf numFmtId="0" fontId="32" fillId="0" borderId="0" xfId="10" applyNumberFormat="1" applyFont="1" applyFill="1" applyBorder="1" applyAlignment="1" applyProtection="1">
      <alignment horizontal="center" vertical="top" wrapText="1"/>
      <protection locked="0"/>
    </xf>
    <xf numFmtId="0" fontId="42" fillId="0" borderId="0" xfId="11" applyNumberFormat="1" applyFont="1" applyFill="1" applyAlignment="1" applyProtection="1">
      <alignment vertical="top"/>
      <protection locked="0"/>
    </xf>
    <xf numFmtId="0" fontId="32" fillId="0" borderId="0" xfId="10" applyNumberFormat="1" applyFont="1" applyBorder="1" applyAlignment="1">
      <alignment horizontal="center" vertical="top" wrapText="1"/>
    </xf>
    <xf numFmtId="0" fontId="32" fillId="0" borderId="0" xfId="10" applyNumberFormat="1" applyFont="1" applyBorder="1" applyAlignment="1">
      <alignment horizontal="center" vertical="top"/>
    </xf>
    <xf numFmtId="0" fontId="32" fillId="0" borderId="0" xfId="10" applyNumberFormat="1" applyFont="1" applyBorder="1" applyAlignment="1">
      <alignment vertical="top" wrapText="1"/>
    </xf>
    <xf numFmtId="0" fontId="32" fillId="0" borderId="0" xfId="10" applyNumberFormat="1" applyFont="1" applyBorder="1" applyAlignment="1" applyProtection="1">
      <alignment vertical="top" wrapText="1"/>
      <protection locked="0"/>
    </xf>
    <xf numFmtId="0" fontId="42" fillId="0" borderId="0" xfId="19" applyNumberFormat="1" applyFont="1" applyProtection="1">
      <protection locked="0"/>
    </xf>
    <xf numFmtId="0" fontId="5" fillId="27" borderId="3" xfId="19" applyNumberFormat="1" applyFont="1" applyFill="1" applyBorder="1" applyProtection="1"/>
    <xf numFmtId="0" fontId="0" fillId="0" borderId="3" xfId="19" applyNumberFormat="1" applyFont="1" applyBorder="1" applyAlignment="1" applyProtection="1">
      <alignment wrapText="1"/>
      <protection locked="0"/>
    </xf>
    <xf numFmtId="0" fontId="5" fillId="0" borderId="0" xfId="10" applyNumberFormat="1" applyFont="1" applyFill="1" applyBorder="1"/>
    <xf numFmtId="0" fontId="5" fillId="0" borderId="0" xfId="10" applyNumberFormat="1" applyFont="1" applyFill="1" applyBorder="1" applyAlignment="1">
      <alignment horizontal="center"/>
    </xf>
    <xf numFmtId="0" fontId="5" fillId="0" borderId="0" xfId="10" applyNumberFormat="1" applyFont="1" applyFill="1" applyBorder="1" applyAlignment="1">
      <alignment horizontal="center" vertical="top"/>
    </xf>
    <xf numFmtId="0" fontId="5" fillId="0" borderId="0" xfId="10" applyNumberFormat="1" applyFont="1" applyFill="1" applyBorder="1" applyAlignment="1">
      <alignment vertical="top" wrapText="1"/>
    </xf>
    <xf numFmtId="0" fontId="2" fillId="0" borderId="3" xfId="19" applyNumberFormat="1" applyFont="1" applyBorder="1" applyAlignment="1" applyProtection="1">
      <alignment wrapText="1"/>
      <protection locked="0"/>
    </xf>
    <xf numFmtId="0" fontId="42" fillId="0" borderId="0" xfId="10" applyNumberFormat="1" applyFont="1" applyFill="1" applyBorder="1" applyAlignment="1">
      <alignment horizontal="center" vertical="top"/>
    </xf>
    <xf numFmtId="0" fontId="42" fillId="0" borderId="0" xfId="10" applyNumberFormat="1" applyFont="1" applyFill="1" applyBorder="1" applyAlignment="1">
      <alignment vertical="top" wrapText="1"/>
    </xf>
    <xf numFmtId="0" fontId="31" fillId="0" borderId="0" xfId="11" applyNumberFormat="1" applyFont="1" applyFill="1" applyBorder="1"/>
    <xf numFmtId="0" fontId="53" fillId="0" borderId="0" xfId="11" applyNumberFormat="1" applyFont="1" applyFill="1" applyBorder="1"/>
    <xf numFmtId="0" fontId="19" fillId="0" borderId="0" xfId="11" applyNumberFormat="1" applyFont="1" applyFill="1" applyBorder="1" applyProtection="1">
      <protection locked="0"/>
    </xf>
    <xf numFmtId="0" fontId="19" fillId="0" borderId="0" xfId="19" applyNumberFormat="1" applyFont="1" applyBorder="1" applyProtection="1">
      <protection locked="0"/>
    </xf>
    <xf numFmtId="0" fontId="27" fillId="31" borderId="3" xfId="11" applyNumberFormat="1" applyFont="1" applyFill="1" applyBorder="1" applyAlignment="1">
      <alignment horizontal="left" vertical="top" wrapText="1"/>
    </xf>
    <xf numFmtId="0" fontId="42" fillId="0" borderId="3" xfId="19" applyNumberFormat="1" applyFont="1" applyBorder="1"/>
    <xf numFmtId="0" fontId="13" fillId="0" borderId="3" xfId="11" applyNumberFormat="1" applyFont="1" applyFill="1" applyBorder="1" applyAlignment="1">
      <alignment horizontal="left" vertical="top" wrapText="1"/>
    </xf>
    <xf numFmtId="0" fontId="13" fillId="0" borderId="7" xfId="11" applyNumberFormat="1" applyFont="1" applyFill="1" applyBorder="1" applyAlignment="1">
      <alignment horizontal="left" vertical="top" wrapText="1"/>
    </xf>
    <xf numFmtId="0" fontId="5" fillId="0" borderId="80" xfId="19" applyNumberFormat="1" applyFont="1" applyBorder="1" applyAlignment="1" applyProtection="1">
      <alignment horizontal="center" vertical="center"/>
      <protection locked="0"/>
    </xf>
    <xf numFmtId="0" fontId="5" fillId="0" borderId="74" xfId="19" applyNumberFormat="1" applyFont="1" applyBorder="1" applyAlignment="1" applyProtection="1">
      <alignment horizontal="center" vertical="center"/>
      <protection locked="0"/>
    </xf>
    <xf numFmtId="0" fontId="5" fillId="0" borderId="74" xfId="11" applyNumberFormat="1" applyFont="1" applyBorder="1" applyAlignment="1" applyProtection="1">
      <alignment horizontal="center" vertical="center"/>
      <protection locked="0"/>
    </xf>
    <xf numFmtId="0" fontId="19" fillId="0" borderId="3" xfId="19" applyNumberFormat="1" applyFont="1" applyBorder="1"/>
    <xf numFmtId="0" fontId="9" fillId="0" borderId="3" xfId="11" applyNumberFormat="1" applyFont="1" applyFill="1" applyBorder="1" applyAlignment="1" applyProtection="1">
      <alignment horizontal="center" vertical="top" wrapText="1"/>
      <protection locked="0"/>
    </xf>
    <xf numFmtId="0" fontId="9" fillId="0" borderId="3" xfId="11" applyNumberFormat="1" applyFont="1" applyFill="1" applyBorder="1" applyAlignment="1" applyProtection="1">
      <alignment vertical="top" wrapText="1"/>
      <protection locked="0"/>
    </xf>
    <xf numFmtId="0" fontId="5" fillId="0" borderId="111" xfId="11" applyNumberFormat="1" applyFont="1" applyBorder="1" applyAlignment="1" applyProtection="1">
      <alignment horizontal="center" vertical="center"/>
      <protection locked="0"/>
    </xf>
    <xf numFmtId="0" fontId="5" fillId="0" borderId="3" xfId="11" applyNumberFormat="1" applyFont="1" applyBorder="1" applyAlignment="1">
      <alignment vertical="top" wrapText="1"/>
    </xf>
    <xf numFmtId="0" fontId="5" fillId="0" borderId="111" xfId="11" applyNumberFormat="1" applyFont="1" applyFill="1" applyBorder="1" applyAlignment="1" applyProtection="1">
      <alignment horizontal="center" vertical="center" wrapText="1"/>
      <protection locked="0"/>
    </xf>
    <xf numFmtId="0" fontId="5" fillId="0" borderId="111" xfId="11" applyNumberFormat="1" applyFont="1" applyBorder="1" applyAlignment="1" applyProtection="1">
      <alignment horizontal="center" vertical="center" wrapText="1"/>
      <protection locked="0"/>
    </xf>
    <xf numFmtId="0" fontId="16" fillId="0" borderId="0" xfId="19" applyNumberFormat="1" applyFont="1" applyBorder="1" applyProtection="1">
      <protection locked="0"/>
    </xf>
    <xf numFmtId="0" fontId="16" fillId="0" borderId="0" xfId="19" applyNumberFormat="1" applyFont="1" applyBorder="1"/>
    <xf numFmtId="0" fontId="16" fillId="0" borderId="3" xfId="19" applyNumberFormat="1" applyFont="1" applyBorder="1"/>
    <xf numFmtId="0" fontId="5" fillId="0" borderId="111" xfId="19" applyNumberFormat="1" applyFont="1" applyBorder="1" applyAlignment="1" applyProtection="1">
      <alignment horizontal="center" vertical="center"/>
      <protection locked="0"/>
    </xf>
    <xf numFmtId="0" fontId="42" fillId="0" borderId="0" xfId="19" applyNumberFormat="1" applyFont="1" applyFill="1"/>
    <xf numFmtId="0" fontId="13" fillId="0" borderId="3" xfId="11" applyNumberFormat="1" applyFont="1" applyBorder="1" applyAlignment="1">
      <alignment vertical="top" wrapText="1"/>
    </xf>
    <xf numFmtId="0" fontId="52" fillId="0" borderId="111" xfId="11" applyNumberFormat="1" applyFont="1" applyFill="1" applyBorder="1" applyAlignment="1" applyProtection="1">
      <alignment horizontal="center" vertical="center"/>
      <protection locked="0"/>
    </xf>
    <xf numFmtId="0" fontId="5" fillId="0" borderId="111" xfId="11" applyNumberFormat="1" applyFont="1" applyFill="1" applyBorder="1" applyAlignment="1" applyProtection="1">
      <alignment horizontal="center" vertical="center"/>
      <protection locked="0"/>
    </xf>
    <xf numFmtId="0" fontId="5" fillId="0" borderId="111" xfId="19" applyNumberFormat="1" applyFont="1" applyBorder="1" applyAlignment="1" applyProtection="1">
      <alignment horizontal="center" vertical="center" wrapText="1"/>
      <protection locked="0"/>
    </xf>
    <xf numFmtId="0" fontId="42" fillId="0" borderId="0" xfId="19" applyNumberFormat="1" applyFont="1"/>
    <xf numFmtId="0" fontId="5" fillId="0" borderId="111" xfId="11" applyNumberFormat="1" applyFont="1" applyBorder="1" applyAlignment="1" applyProtection="1">
      <alignment horizontal="center" vertical="center" wrapText="1"/>
    </xf>
    <xf numFmtId="0" fontId="19" fillId="0" borderId="0" xfId="11" applyNumberFormat="1" applyFont="1" applyBorder="1" applyAlignment="1">
      <alignment horizontal="center" vertical="top"/>
    </xf>
    <xf numFmtId="0" fontId="19" fillId="0" borderId="0" xfId="11" applyNumberFormat="1" applyFont="1" applyBorder="1"/>
    <xf numFmtId="0" fontId="32" fillId="0" borderId="0" xfId="10" applyNumberFormat="1" applyFont="1" applyBorder="1" applyAlignment="1" applyProtection="1">
      <alignment horizontal="center" vertical="top" wrapText="1"/>
      <protection locked="0"/>
    </xf>
    <xf numFmtId="0" fontId="42" fillId="0" borderId="0" xfId="11" applyNumberFormat="1" applyFont="1" applyBorder="1" applyAlignment="1" applyProtection="1">
      <alignment vertical="top"/>
      <protection locked="0"/>
    </xf>
    <xf numFmtId="0" fontId="42" fillId="0" borderId="0" xfId="11" applyNumberFormat="1" applyFont="1" applyBorder="1"/>
    <xf numFmtId="0" fontId="5" fillId="0" borderId="0" xfId="11" applyNumberFormat="1" applyFont="1" applyBorder="1" applyAlignment="1">
      <alignment vertical="top" wrapText="1"/>
    </xf>
    <xf numFmtId="0" fontId="19" fillId="0" borderId="0" xfId="11" applyNumberFormat="1" applyFont="1" applyBorder="1" applyProtection="1">
      <protection locked="0"/>
    </xf>
    <xf numFmtId="0" fontId="19" fillId="0" borderId="0" xfId="11" applyNumberFormat="1" applyFont="1" applyBorder="1" applyAlignment="1" applyProtection="1">
      <alignment vertical="top"/>
      <protection locked="0"/>
    </xf>
    <xf numFmtId="0" fontId="19" fillId="0" borderId="0" xfId="11" applyNumberFormat="1" applyFont="1" applyAlignment="1">
      <alignment horizontal="center" vertical="top"/>
    </xf>
    <xf numFmtId="0" fontId="19" fillId="0" borderId="0" xfId="11" applyNumberFormat="1" applyFont="1"/>
    <xf numFmtId="0" fontId="42" fillId="0" borderId="0" xfId="11" applyNumberFormat="1" applyFont="1" applyAlignment="1" applyProtection="1">
      <alignment vertical="top"/>
      <protection locked="0"/>
    </xf>
    <xf numFmtId="0" fontId="42" fillId="0" borderId="0" xfId="11" applyNumberFormat="1" applyFont="1"/>
    <xf numFmtId="0" fontId="5" fillId="0" borderId="0" xfId="11" applyNumberFormat="1" applyFont="1" applyAlignment="1">
      <alignment vertical="top" wrapText="1"/>
    </xf>
    <xf numFmtId="0" fontId="19" fillId="0" borderId="0" xfId="11" applyNumberFormat="1" applyFont="1" applyProtection="1">
      <protection locked="0"/>
    </xf>
    <xf numFmtId="0" fontId="19" fillId="0" borderId="0" xfId="11" applyNumberFormat="1" applyFont="1" applyAlignment="1" applyProtection="1">
      <alignment vertical="top"/>
      <protection locked="0"/>
    </xf>
    <xf numFmtId="0" fontId="6" fillId="36" borderId="107" xfId="10" applyNumberFormat="1" applyFont="1" applyFill="1" applyBorder="1" applyAlignment="1">
      <alignment wrapText="1"/>
    </xf>
    <xf numFmtId="0" fontId="31" fillId="0" borderId="107" xfId="11" applyNumberFormat="1" applyFont="1" applyFill="1" applyBorder="1" applyAlignment="1" applyProtection="1">
      <alignment horizontal="center" vertical="center"/>
      <protection locked="0"/>
    </xf>
    <xf numFmtId="0" fontId="31" fillId="0" borderId="107" xfId="10" applyNumberFormat="1" applyFont="1" applyFill="1" applyBorder="1" applyAlignment="1">
      <alignment vertical="center"/>
    </xf>
    <xf numFmtId="0" fontId="5" fillId="0" borderId="107" xfId="10" applyNumberFormat="1" applyFont="1" applyFill="1" applyBorder="1" applyAlignment="1">
      <alignment vertical="center" wrapText="1"/>
    </xf>
    <xf numFmtId="0" fontId="5" fillId="0" borderId="107" xfId="10" applyNumberFormat="1" applyFont="1" applyFill="1" applyBorder="1" applyAlignment="1">
      <alignment horizontal="center" vertical="center" wrapText="1"/>
    </xf>
    <xf numFmtId="0" fontId="44" fillId="0" borderId="107" xfId="11" applyNumberFormat="1" applyFont="1" applyFill="1" applyBorder="1" applyAlignment="1">
      <alignment vertical="center" wrapText="1"/>
    </xf>
    <xf numFmtId="0" fontId="19" fillId="0" borderId="107" xfId="19" applyNumberFormat="1" applyFont="1" applyFill="1" applyBorder="1" applyAlignment="1" applyProtection="1">
      <alignment vertical="center" wrapText="1"/>
      <protection locked="0"/>
    </xf>
    <xf numFmtId="0" fontId="19" fillId="0" borderId="107" xfId="19" applyNumberFormat="1" applyFont="1" applyFill="1" applyBorder="1" applyAlignment="1" applyProtection="1">
      <alignment vertical="center"/>
      <protection locked="0"/>
    </xf>
    <xf numFmtId="0" fontId="27" fillId="31" borderId="107" xfId="19" applyNumberFormat="1" applyFont="1" applyFill="1" applyBorder="1" applyAlignment="1" applyProtection="1">
      <alignment horizontal="center" vertical="center"/>
      <protection locked="0"/>
    </xf>
    <xf numFmtId="0" fontId="27" fillId="31" borderId="107" xfId="11" applyNumberFormat="1" applyFont="1" applyFill="1" applyBorder="1" applyAlignment="1">
      <alignment horizontal="center" vertical="center" wrapText="1"/>
    </xf>
    <xf numFmtId="0" fontId="13" fillId="20" borderId="107" xfId="10" applyNumberFormat="1" applyFont="1" applyFill="1" applyBorder="1" applyAlignment="1">
      <alignment horizontal="left" vertical="top" wrapText="1"/>
    </xf>
    <xf numFmtId="0" fontId="13" fillId="20" borderId="107" xfId="11" applyNumberFormat="1" applyFont="1" applyFill="1" applyBorder="1" applyAlignment="1">
      <alignment horizontal="left" vertical="top" wrapText="1"/>
    </xf>
    <xf numFmtId="0" fontId="9" fillId="0" borderId="107" xfId="11" applyNumberFormat="1" applyFont="1" applyFill="1" applyBorder="1" applyAlignment="1" applyProtection="1">
      <alignment horizontal="center" vertical="top" wrapText="1"/>
      <protection locked="0"/>
    </xf>
    <xf numFmtId="0" fontId="9" fillId="0" borderId="107" xfId="11" applyNumberFormat="1" applyFont="1" applyFill="1" applyBorder="1" applyAlignment="1" applyProtection="1">
      <alignment vertical="top" wrapText="1"/>
      <protection locked="0"/>
    </xf>
    <xf numFmtId="0" fontId="42" fillId="0" borderId="0" xfId="19" applyNumberFormat="1" applyFont="1" applyFill="1" applyProtection="1">
      <protection locked="0"/>
    </xf>
    <xf numFmtId="0" fontId="16" fillId="0" borderId="0" xfId="19" applyNumberFormat="1" applyFont="1" applyProtection="1">
      <protection locked="0"/>
    </xf>
    <xf numFmtId="0" fontId="16" fillId="0" borderId="0" xfId="19" applyNumberFormat="1" applyFont="1"/>
    <xf numFmtId="0" fontId="19" fillId="0" borderId="0" xfId="10" applyNumberFormat="1" applyFont="1" applyBorder="1" applyAlignment="1">
      <alignment horizontal="center" vertical="top"/>
    </xf>
    <xf numFmtId="0" fontId="19" fillId="0" borderId="0" xfId="10" applyNumberFormat="1" applyFont="1" applyBorder="1" applyAlignment="1">
      <alignment vertical="top" wrapText="1"/>
    </xf>
    <xf numFmtId="0" fontId="19" fillId="0" borderId="0" xfId="11" applyNumberFormat="1" applyFont="1" applyAlignment="1" applyProtection="1">
      <alignment vertical="center"/>
      <protection locked="0"/>
    </xf>
    <xf numFmtId="0" fontId="5" fillId="0" borderId="0" xfId="10" applyNumberFormat="1" applyFont="1" applyBorder="1" applyAlignment="1">
      <alignment vertical="center"/>
    </xf>
    <xf numFmtId="0" fontId="5" fillId="0" borderId="0" xfId="10" applyNumberFormat="1" applyFont="1" applyBorder="1" applyAlignment="1">
      <alignment horizontal="center" vertical="center"/>
    </xf>
    <xf numFmtId="0" fontId="5" fillId="0" borderId="0" xfId="10" applyNumberFormat="1" applyFont="1" applyBorder="1" applyAlignment="1">
      <alignment vertical="center" wrapText="1"/>
    </xf>
    <xf numFmtId="0" fontId="5" fillId="0" borderId="0" xfId="10" applyNumberFormat="1" applyFont="1" applyBorder="1" applyAlignment="1">
      <alignment horizontal="center" vertical="center" wrapText="1"/>
    </xf>
    <xf numFmtId="0" fontId="5" fillId="0" borderId="0" xfId="10" applyNumberFormat="1" applyFont="1" applyBorder="1" applyAlignment="1">
      <alignment horizontal="left" vertical="center" wrapText="1"/>
    </xf>
    <xf numFmtId="0" fontId="19" fillId="0" borderId="0" xfId="19" applyNumberFormat="1" applyFont="1" applyAlignment="1" applyProtection="1">
      <alignment vertical="center" wrapText="1"/>
      <protection locked="0"/>
    </xf>
    <xf numFmtId="0" fontId="19" fillId="0" borderId="0" xfId="19" applyNumberFormat="1" applyFont="1" applyAlignment="1" applyProtection="1">
      <alignment vertical="center"/>
      <protection locked="0"/>
    </xf>
    <xf numFmtId="0" fontId="32" fillId="0" borderId="0" xfId="10" applyNumberFormat="1" applyFont="1" applyBorder="1" applyAlignment="1" applyProtection="1">
      <alignment horizontal="center" vertical="center" wrapText="1"/>
      <protection locked="0"/>
    </xf>
    <xf numFmtId="0" fontId="42" fillId="0" borderId="0" xfId="11" applyNumberFormat="1" applyFont="1" applyAlignment="1" applyProtection="1">
      <alignment vertical="center"/>
      <protection locked="0"/>
    </xf>
    <xf numFmtId="0" fontId="31" fillId="0" borderId="3" xfId="11" applyNumberFormat="1" applyFont="1" applyFill="1" applyBorder="1" applyAlignment="1" applyProtection="1">
      <alignment horizontal="center" vertical="top"/>
      <protection locked="0"/>
    </xf>
    <xf numFmtId="0" fontId="31" fillId="0" borderId="3" xfId="10" applyNumberFormat="1" applyFont="1" applyFill="1" applyBorder="1" applyAlignment="1">
      <alignment horizontal="left" vertical="top" wrapText="1"/>
    </xf>
    <xf numFmtId="0" fontId="44" fillId="0" borderId="3" xfId="11" applyNumberFormat="1" applyFont="1" applyFill="1" applyBorder="1" applyAlignment="1">
      <alignment vertical="top" wrapText="1"/>
    </xf>
    <xf numFmtId="0" fontId="19" fillId="0" borderId="3" xfId="10" applyNumberFormat="1" applyFont="1" applyFill="1" applyBorder="1" applyProtection="1">
      <protection locked="0"/>
    </xf>
    <xf numFmtId="0" fontId="27" fillId="31" borderId="104" xfId="19" applyNumberFormat="1" applyFont="1" applyFill="1" applyBorder="1" applyAlignment="1" applyProtection="1">
      <alignment horizontal="center" vertical="center"/>
      <protection locked="0"/>
    </xf>
    <xf numFmtId="0" fontId="27" fillId="31" borderId="104" xfId="11" applyNumberFormat="1" applyFont="1" applyFill="1" applyBorder="1" applyAlignment="1">
      <alignment horizontal="center" vertical="center" wrapText="1"/>
    </xf>
    <xf numFmtId="0" fontId="5" fillId="0" borderId="3" xfId="19" applyNumberFormat="1" applyFont="1" applyFill="1" applyBorder="1" applyAlignment="1" applyProtection="1">
      <alignment horizontal="center" vertical="center"/>
      <protection locked="0"/>
    </xf>
    <xf numFmtId="0" fontId="5" fillId="0" borderId="84" xfId="19" applyNumberFormat="1" applyFont="1" applyFill="1" applyBorder="1" applyAlignment="1" applyProtection="1">
      <alignment horizontal="center" vertical="center"/>
      <protection locked="0"/>
    </xf>
    <xf numFmtId="0" fontId="5" fillId="0" borderId="2" xfId="19" applyNumberFormat="1" applyFont="1" applyFill="1" applyBorder="1" applyAlignment="1" applyProtection="1">
      <alignment horizontal="center" vertical="center"/>
      <protection locked="0"/>
    </xf>
    <xf numFmtId="0" fontId="5" fillId="0" borderId="2" xfId="10" applyNumberFormat="1" applyFont="1" applyBorder="1" applyAlignment="1" applyProtection="1">
      <alignment horizontal="center" vertical="center"/>
      <protection locked="0"/>
    </xf>
    <xf numFmtId="0" fontId="9" fillId="0" borderId="3" xfId="10" applyNumberFormat="1" applyFont="1" applyFill="1" applyBorder="1" applyAlignment="1">
      <alignment horizontal="left" vertical="top" wrapText="1"/>
    </xf>
    <xf numFmtId="0" fontId="5" fillId="0" borderId="3" xfId="19" applyNumberFormat="1" applyFont="1" applyBorder="1" applyAlignment="1" applyProtection="1">
      <alignment horizontal="center" vertical="center"/>
      <protection locked="0"/>
    </xf>
    <xf numFmtId="0" fontId="56" fillId="0" borderId="2" xfId="10" applyNumberFormat="1" applyFont="1" applyFill="1" applyBorder="1" applyAlignment="1" applyProtection="1">
      <alignment horizontal="center" vertical="center" wrapText="1"/>
      <protection locked="0"/>
    </xf>
    <xf numFmtId="0" fontId="57" fillId="0" borderId="0" xfId="19" applyNumberFormat="1" applyFont="1" applyProtection="1">
      <protection locked="0"/>
    </xf>
    <xf numFmtId="0" fontId="57" fillId="0" borderId="0" xfId="19" applyNumberFormat="1" applyFont="1"/>
    <xf numFmtId="0" fontId="5" fillId="0" borderId="2" xfId="10" applyNumberFormat="1" applyFont="1" applyFill="1" applyBorder="1" applyAlignment="1" applyProtection="1">
      <alignment horizontal="center" vertical="center" wrapText="1"/>
      <protection locked="0"/>
    </xf>
    <xf numFmtId="0" fontId="27" fillId="0" borderId="2" xfId="19" applyNumberFormat="1" applyFont="1" applyFill="1" applyBorder="1" applyAlignment="1" applyProtection="1">
      <alignment horizontal="center" vertical="center"/>
      <protection locked="0"/>
    </xf>
    <xf numFmtId="0" fontId="19" fillId="0" borderId="0" xfId="10" applyNumberFormat="1" applyFont="1" applyProtection="1">
      <protection locked="0"/>
    </xf>
    <xf numFmtId="0" fontId="19" fillId="0" borderId="0" xfId="10" applyNumberFormat="1" applyFont="1"/>
    <xf numFmtId="0" fontId="5" fillId="0" borderId="2" xfId="19" applyNumberFormat="1" applyFont="1" applyBorder="1" applyAlignment="1" applyProtection="1">
      <alignment horizontal="center" vertical="center"/>
      <protection locked="0"/>
    </xf>
    <xf numFmtId="0" fontId="5" fillId="0" borderId="0" xfId="19" applyNumberFormat="1" applyFont="1" applyProtection="1">
      <protection locked="0"/>
    </xf>
    <xf numFmtId="0" fontId="5" fillId="0" borderId="0" xfId="19" applyNumberFormat="1" applyFont="1"/>
    <xf numFmtId="0" fontId="56" fillId="0" borderId="2" xfId="10" applyNumberFormat="1" applyFont="1" applyBorder="1" applyAlignment="1" applyProtection="1">
      <alignment horizontal="center" vertical="center"/>
      <protection locked="0"/>
    </xf>
    <xf numFmtId="0" fontId="9" fillId="0" borderId="2" xfId="0" applyNumberFormat="1" applyFont="1" applyFill="1" applyBorder="1" applyAlignment="1" applyProtection="1">
      <alignment horizontal="center" vertical="top" wrapText="1"/>
    </xf>
    <xf numFmtId="0" fontId="27" fillId="0" borderId="3" xfId="11" applyNumberFormat="1" applyFont="1" applyFill="1" applyBorder="1" applyAlignment="1">
      <alignment vertical="top" wrapText="1"/>
    </xf>
    <xf numFmtId="0" fontId="5" fillId="0" borderId="3" xfId="11" applyNumberFormat="1" applyFont="1" applyFill="1" applyBorder="1" applyAlignment="1">
      <alignment vertical="top" wrapText="1"/>
    </xf>
    <xf numFmtId="0" fontId="19" fillId="0" borderId="0" xfId="10" applyNumberFormat="1" applyFont="1" applyAlignment="1">
      <alignment horizontal="center" vertical="top"/>
    </xf>
    <xf numFmtId="0" fontId="19" fillId="0" borderId="0" xfId="10" applyNumberFormat="1" applyFont="1" applyAlignment="1">
      <alignment vertical="top" wrapText="1"/>
    </xf>
    <xf numFmtId="0" fontId="19" fillId="0" borderId="0" xfId="19" applyNumberFormat="1" applyFont="1" applyFill="1" applyAlignment="1" applyProtection="1">
      <alignment horizontal="center" vertical="top"/>
      <protection locked="0"/>
    </xf>
    <xf numFmtId="0" fontId="32" fillId="0" borderId="0" xfId="10" applyNumberFormat="1" applyFont="1"/>
    <xf numFmtId="0" fontId="32" fillId="0" borderId="0" xfId="10" applyNumberFormat="1" applyFont="1" applyAlignment="1">
      <alignment horizontal="center"/>
    </xf>
    <xf numFmtId="0" fontId="32" fillId="0" borderId="0" xfId="10" applyNumberFormat="1" applyFont="1" applyAlignment="1">
      <alignment vertical="top" wrapText="1"/>
    </xf>
    <xf numFmtId="0" fontId="16" fillId="0" borderId="0" xfId="10" applyNumberFormat="1" applyFont="1" applyProtection="1">
      <protection locked="0"/>
    </xf>
    <xf numFmtId="0" fontId="0" fillId="0" borderId="6" xfId="19" applyNumberFormat="1" applyFont="1" applyBorder="1" applyAlignment="1" applyProtection="1">
      <alignment wrapText="1"/>
      <protection locked="0"/>
    </xf>
    <xf numFmtId="0" fontId="2" fillId="0" borderId="6" xfId="19" applyNumberFormat="1" applyFont="1" applyBorder="1" applyAlignment="1" applyProtection="1">
      <alignment wrapText="1"/>
      <protection locked="0"/>
    </xf>
    <xf numFmtId="0" fontId="42" fillId="0" borderId="0" xfId="10" applyNumberFormat="1" applyFont="1" applyAlignment="1">
      <alignment horizontal="center" vertical="top"/>
    </xf>
    <xf numFmtId="0" fontId="42" fillId="0" borderId="0" xfId="10" applyNumberFormat="1" applyFont="1" applyAlignment="1">
      <alignment vertical="top" wrapText="1"/>
    </xf>
    <xf numFmtId="0" fontId="42" fillId="0" borderId="0" xfId="19" applyNumberFormat="1" applyFont="1" applyFill="1" applyAlignment="1" applyProtection="1">
      <alignment horizontal="center" vertical="top"/>
      <protection locked="0"/>
    </xf>
    <xf numFmtId="0" fontId="5" fillId="0" borderId="0" xfId="10" applyNumberFormat="1" applyFont="1"/>
    <xf numFmtId="0" fontId="5" fillId="0" borderId="0" xfId="10" applyNumberFormat="1" applyFont="1" applyAlignment="1">
      <alignment horizontal="center"/>
    </xf>
    <xf numFmtId="0" fontId="5" fillId="0" borderId="0" xfId="10" applyNumberFormat="1" applyFont="1" applyAlignment="1">
      <alignment vertical="top" wrapText="1"/>
    </xf>
    <xf numFmtId="0" fontId="5" fillId="0" borderId="0" xfId="10" applyNumberFormat="1" applyFont="1" applyBorder="1" applyAlignment="1" applyProtection="1">
      <alignment horizontal="center" vertical="top" wrapText="1"/>
      <protection locked="0"/>
    </xf>
    <xf numFmtId="0" fontId="32" fillId="0" borderId="0" xfId="11" applyNumberFormat="1" applyFont="1" applyFill="1" applyAlignment="1" applyProtection="1">
      <alignment vertical="top"/>
      <protection locked="0"/>
    </xf>
    <xf numFmtId="0" fontId="51" fillId="0" borderId="0" xfId="11" applyNumberFormat="1" applyFont="1" applyFill="1" applyBorder="1" applyAlignment="1" applyProtection="1">
      <alignment vertical="top"/>
      <protection locked="0"/>
    </xf>
    <xf numFmtId="0" fontId="16" fillId="0" borderId="0" xfId="11" applyNumberFormat="1" applyFont="1" applyFill="1" applyAlignment="1" applyProtection="1">
      <alignment vertical="top"/>
      <protection locked="0"/>
    </xf>
    <xf numFmtId="0" fontId="86" fillId="36" borderId="107" xfId="11" applyNumberFormat="1" applyFont="1" applyFill="1" applyBorder="1" applyAlignment="1">
      <alignment horizontal="left" vertical="top"/>
    </xf>
    <xf numFmtId="0" fontId="31" fillId="36" borderId="107" xfId="11" applyNumberFormat="1" applyFont="1" applyFill="1" applyBorder="1"/>
    <xf numFmtId="0" fontId="31" fillId="0" borderId="0" xfId="11" applyNumberFormat="1" applyFont="1" applyFill="1"/>
    <xf numFmtId="0" fontId="44" fillId="0" borderId="0" xfId="11" applyNumberFormat="1" applyFont="1" applyFill="1" applyBorder="1" applyAlignment="1">
      <alignment vertical="top" wrapText="1"/>
    </xf>
    <xf numFmtId="0" fontId="19" fillId="0" borderId="0" xfId="11" applyNumberFormat="1" applyFont="1" applyFill="1" applyProtection="1">
      <protection locked="0"/>
    </xf>
    <xf numFmtId="0" fontId="27" fillId="31" borderId="107" xfId="11" applyNumberFormat="1" applyFont="1" applyFill="1" applyBorder="1" applyAlignment="1">
      <alignment horizontal="left" vertical="top" wrapText="1"/>
    </xf>
    <xf numFmtId="0" fontId="13" fillId="0" borderId="107" xfId="11" applyNumberFormat="1" applyFont="1" applyFill="1" applyBorder="1" applyAlignment="1">
      <alignment horizontal="left" vertical="top" wrapText="1"/>
    </xf>
    <xf numFmtId="0" fontId="13" fillId="0" borderId="108" xfId="11" applyNumberFormat="1" applyFont="1" applyFill="1" applyBorder="1" applyAlignment="1">
      <alignment horizontal="left" vertical="top" wrapText="1"/>
    </xf>
    <xf numFmtId="0" fontId="5" fillId="0" borderId="107" xfId="19" applyNumberFormat="1" applyFont="1" applyFill="1" applyBorder="1" applyAlignment="1" applyProtection="1">
      <alignment horizontal="center" vertical="center"/>
      <protection locked="0"/>
    </xf>
    <xf numFmtId="0" fontId="5" fillId="0" borderId="107" xfId="11" applyNumberFormat="1" applyFont="1" applyBorder="1" applyAlignment="1" applyProtection="1">
      <alignment horizontal="center" vertical="center"/>
      <protection locked="0"/>
    </xf>
    <xf numFmtId="0" fontId="9" fillId="0" borderId="107" xfId="11" applyNumberFormat="1" applyFont="1" applyFill="1" applyBorder="1" applyAlignment="1">
      <alignment horizontal="center" vertical="top"/>
    </xf>
    <xf numFmtId="0" fontId="9" fillId="0" borderId="108" xfId="11" applyNumberFormat="1" applyFont="1" applyFill="1" applyBorder="1" applyAlignment="1">
      <alignment horizontal="left" vertical="top" wrapText="1"/>
    </xf>
    <xf numFmtId="0" fontId="5" fillId="0" borderId="107" xfId="19" applyNumberFormat="1" applyFont="1" applyBorder="1" applyAlignment="1" applyProtection="1">
      <alignment horizontal="center" vertical="center"/>
      <protection locked="0"/>
    </xf>
    <xf numFmtId="0" fontId="5" fillId="0" borderId="108" xfId="11" applyNumberFormat="1" applyFont="1" applyBorder="1" applyAlignment="1">
      <alignment vertical="top" wrapText="1"/>
    </xf>
    <xf numFmtId="0" fontId="5" fillId="0" borderId="107" xfId="11" applyNumberFormat="1" applyFont="1" applyFill="1" applyBorder="1" applyAlignment="1" applyProtection="1">
      <alignment horizontal="center" vertical="center" wrapText="1"/>
      <protection locked="0"/>
    </xf>
    <xf numFmtId="0" fontId="5" fillId="0" borderId="107" xfId="11" applyNumberFormat="1" applyFont="1" applyBorder="1" applyAlignment="1" applyProtection="1">
      <alignment horizontal="center" vertical="center" wrapText="1"/>
      <protection locked="0"/>
    </xf>
    <xf numFmtId="0" fontId="27" fillId="0" borderId="107" xfId="19" applyNumberFormat="1" applyFont="1" applyFill="1" applyBorder="1" applyAlignment="1" applyProtection="1">
      <alignment horizontal="center" vertical="center"/>
      <protection locked="0"/>
    </xf>
    <xf numFmtId="0" fontId="13" fillId="0" borderId="108" xfId="11" applyNumberFormat="1" applyFont="1" applyBorder="1" applyAlignment="1">
      <alignment vertical="top" wrapText="1"/>
    </xf>
    <xf numFmtId="0" fontId="5" fillId="0" borderId="107" xfId="11" applyNumberFormat="1" applyFont="1" applyFill="1" applyBorder="1" applyAlignment="1" applyProtection="1">
      <alignment horizontal="center" vertical="center"/>
      <protection locked="0"/>
    </xf>
    <xf numFmtId="0" fontId="52" fillId="0" borderId="107" xfId="11" applyNumberFormat="1" applyFont="1" applyFill="1" applyBorder="1" applyAlignment="1" applyProtection="1">
      <alignment horizontal="center" vertical="center"/>
      <protection locked="0"/>
    </xf>
    <xf numFmtId="0" fontId="5" fillId="0" borderId="117" xfId="11" applyNumberFormat="1" applyFont="1" applyBorder="1" applyAlignment="1">
      <alignment vertical="top" wrapText="1"/>
    </xf>
    <xf numFmtId="0" fontId="5" fillId="0" borderId="123" xfId="11" applyNumberFormat="1" applyFont="1" applyBorder="1" applyAlignment="1">
      <alignment vertical="top" wrapText="1"/>
    </xf>
    <xf numFmtId="0" fontId="13" fillId="0" borderId="3" xfId="11" applyNumberFormat="1" applyFont="1" applyFill="1" applyBorder="1" applyAlignment="1">
      <alignment horizontal="left" vertical="top"/>
    </xf>
    <xf numFmtId="0" fontId="13" fillId="0" borderId="3" xfId="0" applyNumberFormat="1" applyFont="1" applyFill="1" applyBorder="1" applyAlignment="1">
      <alignment vertical="center"/>
    </xf>
    <xf numFmtId="0" fontId="5" fillId="0" borderId="124" xfId="19" applyNumberFormat="1" applyFont="1" applyBorder="1" applyAlignment="1" applyProtection="1">
      <alignment horizontal="center" vertical="center"/>
      <protection locked="0"/>
    </xf>
    <xf numFmtId="0" fontId="5" fillId="0" borderId="107" xfId="0" applyNumberFormat="1" applyFont="1" applyBorder="1" applyAlignment="1" applyProtection="1">
      <alignment horizontal="center" vertical="center"/>
      <protection locked="0"/>
    </xf>
    <xf numFmtId="0" fontId="9" fillId="0" borderId="3" xfId="11" applyNumberFormat="1" applyFont="1" applyFill="1" applyBorder="1" applyAlignment="1">
      <alignment horizontal="left" vertical="center" wrapText="1"/>
    </xf>
    <xf numFmtId="0" fontId="27" fillId="0" borderId="3" xfId="0" applyNumberFormat="1" applyFont="1" applyFill="1" applyBorder="1">
      <alignment vertical="center" wrapText="1"/>
    </xf>
    <xf numFmtId="0" fontId="5" fillId="0" borderId="3" xfId="11" applyNumberFormat="1" applyFont="1" applyFill="1" applyBorder="1" applyAlignment="1">
      <alignment horizontal="left" vertical="center" wrapText="1"/>
    </xf>
    <xf numFmtId="0" fontId="5" fillId="0" borderId="3" xfId="0" applyNumberFormat="1" applyFont="1" applyFill="1" applyBorder="1">
      <alignment vertical="center" wrapText="1"/>
    </xf>
    <xf numFmtId="0" fontId="5" fillId="0" borderId="3" xfId="0" applyNumberFormat="1" applyFont="1" applyFill="1" applyBorder="1" applyAlignment="1">
      <alignment horizontal="left" vertical="center" wrapText="1"/>
    </xf>
    <xf numFmtId="0" fontId="52" fillId="0" borderId="3" xfId="0" applyNumberFormat="1" applyFont="1" applyFill="1" applyBorder="1">
      <alignment vertical="center" wrapText="1"/>
    </xf>
    <xf numFmtId="0" fontId="5" fillId="0" borderId="3" xfId="19" applyNumberFormat="1" applyFont="1" applyFill="1" applyBorder="1" applyAlignment="1">
      <alignment wrapText="1"/>
    </xf>
    <xf numFmtId="0" fontId="42" fillId="0" borderId="0" xfId="11" applyNumberFormat="1" applyFont="1" applyAlignment="1">
      <alignment horizontal="center" vertical="top"/>
    </xf>
    <xf numFmtId="0" fontId="16" fillId="0" borderId="0" xfId="11" applyNumberFormat="1" applyFont="1"/>
    <xf numFmtId="0" fontId="32" fillId="0" borderId="0" xfId="11" applyNumberFormat="1" applyFont="1" applyBorder="1" applyAlignment="1">
      <alignment vertical="top" wrapText="1"/>
    </xf>
    <xf numFmtId="0" fontId="42" fillId="0" borderId="0" xfId="11" applyNumberFormat="1" applyFont="1" applyProtection="1">
      <protection locked="0"/>
    </xf>
    <xf numFmtId="0" fontId="86" fillId="36" borderId="3" xfId="11" applyNumberFormat="1" applyFont="1" applyFill="1" applyBorder="1" applyAlignment="1">
      <alignment horizontal="left" vertical="top"/>
    </xf>
    <xf numFmtId="0" fontId="31" fillId="36" borderId="3" xfId="11" applyNumberFormat="1" applyFont="1" applyFill="1" applyBorder="1"/>
    <xf numFmtId="0" fontId="31" fillId="0" borderId="3" xfId="11" applyNumberFormat="1" applyFont="1" applyFill="1" applyBorder="1" applyAlignment="1" applyProtection="1">
      <alignment horizontal="center" vertical="center"/>
      <protection locked="0"/>
    </xf>
    <xf numFmtId="0" fontId="31" fillId="0" borderId="0" xfId="11" applyNumberFormat="1" applyFont="1" applyFill="1" applyBorder="1" applyAlignment="1" applyProtection="1">
      <alignment horizontal="center" vertical="center"/>
      <protection locked="0"/>
    </xf>
    <xf numFmtId="0" fontId="31" fillId="0" borderId="0" xfId="11" applyNumberFormat="1" applyFont="1" applyFill="1" applyAlignment="1">
      <alignment horizontal="center" vertical="center"/>
    </xf>
    <xf numFmtId="0" fontId="53" fillId="0" borderId="0" xfId="11" applyNumberFormat="1" applyFont="1" applyFill="1" applyAlignment="1">
      <alignment horizontal="center" vertical="center"/>
    </xf>
    <xf numFmtId="0" fontId="44" fillId="0" borderId="0" xfId="11" applyNumberFormat="1" applyFont="1" applyFill="1" applyBorder="1" applyAlignment="1">
      <alignment horizontal="center" vertical="center" wrapText="1"/>
    </xf>
    <xf numFmtId="0" fontId="19" fillId="0" borderId="0" xfId="11" applyNumberFormat="1" applyFont="1" applyFill="1" applyAlignment="1" applyProtection="1">
      <alignment horizontal="center" vertical="center"/>
      <protection locked="0"/>
    </xf>
    <xf numFmtId="0" fontId="27" fillId="31" borderId="106" xfId="19" applyNumberFormat="1" applyFont="1" applyFill="1" applyBorder="1" applyAlignment="1" applyProtection="1">
      <alignment horizontal="center" vertical="center"/>
      <protection locked="0"/>
    </xf>
    <xf numFmtId="0" fontId="5" fillId="0" borderId="2" xfId="11" applyNumberFormat="1" applyFont="1" applyBorder="1" applyAlignment="1" applyProtection="1">
      <alignment horizontal="center" vertical="center"/>
      <protection locked="0"/>
    </xf>
    <xf numFmtId="0" fontId="5" fillId="0" borderId="84" xfId="19" applyNumberFormat="1" applyFont="1" applyBorder="1" applyAlignment="1" applyProtection="1">
      <alignment horizontal="center" vertical="center"/>
      <protection locked="0"/>
    </xf>
    <xf numFmtId="0" fontId="5" fillId="0" borderId="2" xfId="11" applyNumberFormat="1" applyFont="1" applyFill="1" applyBorder="1" applyAlignment="1" applyProtection="1">
      <alignment horizontal="center" vertical="center" wrapText="1"/>
      <protection locked="0"/>
    </xf>
    <xf numFmtId="0" fontId="5" fillId="0" borderId="2" xfId="11" applyNumberFormat="1" applyFont="1" applyBorder="1" applyAlignment="1" applyProtection="1">
      <alignment horizontal="center" vertical="center" wrapText="1"/>
      <protection locked="0"/>
    </xf>
    <xf numFmtId="0" fontId="5" fillId="0" borderId="2" xfId="11" applyNumberFormat="1" applyFont="1" applyFill="1" applyBorder="1" applyAlignment="1" applyProtection="1">
      <alignment horizontal="center" vertical="center"/>
      <protection locked="0"/>
    </xf>
    <xf numFmtId="0" fontId="52" fillId="0" borderId="2" xfId="11" applyNumberFormat="1" applyFont="1" applyFill="1" applyBorder="1" applyAlignment="1" applyProtection="1">
      <alignment horizontal="center" vertical="center"/>
      <protection locked="0"/>
    </xf>
    <xf numFmtId="0" fontId="2" fillId="0" borderId="0" xfId="11" applyNumberFormat="1" applyFont="1" applyProtection="1">
      <protection locked="0"/>
    </xf>
    <xf numFmtId="0" fontId="2" fillId="0" borderId="0" xfId="11" applyNumberFormat="1" applyFont="1"/>
    <xf numFmtId="0" fontId="5" fillId="0" borderId="2" xfId="19" applyNumberFormat="1" applyFont="1" applyBorder="1" applyAlignment="1" applyProtection="1">
      <alignment horizontal="center" vertical="center" wrapText="1"/>
      <protection locked="0"/>
    </xf>
    <xf numFmtId="0" fontId="5" fillId="0" borderId="30" xfId="19" applyNumberFormat="1" applyFont="1" applyBorder="1" applyAlignment="1" applyProtection="1">
      <alignment horizontal="center" vertical="center"/>
      <protection locked="0"/>
    </xf>
    <xf numFmtId="0" fontId="5" fillId="0" borderId="14" xfId="11" applyNumberFormat="1" applyFont="1" applyFill="1" applyBorder="1" applyAlignment="1" applyProtection="1">
      <alignment horizontal="center" vertical="center"/>
      <protection locked="0"/>
    </xf>
    <xf numFmtId="0" fontId="5" fillId="0" borderId="14" xfId="19" applyNumberFormat="1" applyFont="1" applyBorder="1" applyAlignment="1" applyProtection="1">
      <alignment horizontal="center" vertical="center" wrapText="1"/>
      <protection locked="0"/>
    </xf>
    <xf numFmtId="0" fontId="5" fillId="0" borderId="106" xfId="19" applyNumberFormat="1" applyFont="1" applyBorder="1" applyAlignment="1" applyProtection="1">
      <alignment horizontal="center" vertical="center"/>
      <protection locked="0"/>
    </xf>
    <xf numFmtId="0" fontId="5" fillId="0" borderId="3" xfId="11" applyNumberFormat="1" applyFont="1" applyFill="1" applyBorder="1" applyAlignment="1" applyProtection="1">
      <alignment horizontal="center" vertical="center"/>
      <protection locked="0"/>
    </xf>
    <xf numFmtId="0" fontId="5" fillId="0" borderId="3" xfId="19" applyNumberFormat="1" applyFont="1" applyBorder="1" applyAlignment="1" applyProtection="1">
      <alignment horizontal="center" vertical="center" wrapText="1"/>
      <protection locked="0"/>
    </xf>
    <xf numFmtId="0" fontId="5" fillId="0" borderId="0" xfId="10" applyNumberFormat="1" applyFont="1" applyFill="1" applyBorder="1" applyAlignment="1" applyProtection="1">
      <alignment horizontal="center" vertical="top" wrapText="1"/>
      <protection locked="0"/>
    </xf>
    <xf numFmtId="0" fontId="5" fillId="0" borderId="0" xfId="19" applyNumberFormat="1" applyFont="1" applyBorder="1" applyAlignment="1" applyProtection="1">
      <alignment horizontal="center" vertical="center"/>
      <protection locked="0"/>
    </xf>
    <xf numFmtId="0" fontId="5" fillId="0" borderId="0" xfId="19" applyNumberFormat="1" applyFont="1" applyFill="1" applyBorder="1" applyAlignment="1" applyProtection="1">
      <alignment horizontal="center" vertical="center"/>
      <protection locked="0"/>
    </xf>
    <xf numFmtId="0" fontId="32" fillId="0" borderId="0" xfId="11" applyNumberFormat="1" applyFont="1" applyBorder="1" applyAlignment="1">
      <alignment horizontal="center" vertical="center" wrapText="1"/>
    </xf>
    <xf numFmtId="0" fontId="5" fillId="0" borderId="0" xfId="11" applyNumberFormat="1" applyFont="1" applyBorder="1" applyAlignment="1">
      <alignment horizontal="center" vertical="center" wrapText="1"/>
    </xf>
    <xf numFmtId="0" fontId="5" fillId="0" borderId="0" xfId="11" applyNumberFormat="1" applyFont="1" applyBorder="1" applyAlignment="1" applyProtection="1">
      <alignment horizontal="center" vertical="center"/>
      <protection locked="0"/>
    </xf>
    <xf numFmtId="0" fontId="5" fillId="0" borderId="0" xfId="0" applyNumberFormat="1" applyFont="1" applyBorder="1" applyAlignment="1">
      <alignment horizontal="center" vertical="center" wrapText="1"/>
    </xf>
    <xf numFmtId="0" fontId="5" fillId="0" borderId="0" xfId="11" applyNumberFormat="1" applyFont="1" applyBorder="1" applyAlignment="1" applyProtection="1">
      <alignment horizontal="center" vertical="center" wrapText="1"/>
      <protection locked="0"/>
    </xf>
    <xf numFmtId="0" fontId="32" fillId="0" borderId="0" xfId="10" applyNumberFormat="1" applyFont="1" applyBorder="1" applyAlignment="1">
      <alignment horizontal="center" vertical="center" wrapText="1"/>
    </xf>
    <xf numFmtId="0" fontId="5" fillId="0" borderId="0" xfId="19" applyNumberFormat="1" applyFont="1" applyBorder="1" applyAlignment="1" applyProtection="1">
      <alignment horizontal="center" vertical="center" wrapText="1"/>
      <protection locked="0"/>
    </xf>
    <xf numFmtId="0" fontId="16" fillId="0" borderId="0" xfId="11" applyNumberFormat="1" applyFont="1" applyBorder="1" applyAlignment="1">
      <alignment horizontal="center" vertical="center" wrapText="1"/>
    </xf>
    <xf numFmtId="0" fontId="16" fillId="0" borderId="0" xfId="11" applyNumberFormat="1" applyFont="1" applyBorder="1" applyAlignment="1">
      <alignment horizontal="center" vertical="center"/>
    </xf>
    <xf numFmtId="0" fontId="32" fillId="0" borderId="0" xfId="11" applyNumberFormat="1" applyFont="1" applyBorder="1" applyAlignment="1">
      <alignment horizontal="center" vertical="center"/>
    </xf>
    <xf numFmtId="0" fontId="5" fillId="0" borderId="0" xfId="11" applyNumberFormat="1" applyFont="1" applyFill="1" applyBorder="1" applyAlignment="1" applyProtection="1">
      <alignment horizontal="center" vertical="center"/>
      <protection locked="0"/>
    </xf>
    <xf numFmtId="0" fontId="42" fillId="0" borderId="0" xfId="11" applyNumberFormat="1" applyFont="1" applyFill="1" applyAlignment="1" applyProtection="1">
      <alignment horizontal="center" vertical="center"/>
      <protection locked="0"/>
    </xf>
    <xf numFmtId="0" fontId="42" fillId="0" borderId="0" xfId="11" applyNumberFormat="1" applyFont="1" applyAlignment="1">
      <alignment horizontal="center" vertical="center"/>
    </xf>
    <xf numFmtId="0" fontId="19" fillId="0" borderId="0" xfId="11" applyNumberFormat="1" applyFont="1" applyAlignment="1" applyProtection="1">
      <alignment horizontal="center" vertical="center"/>
      <protection locked="0"/>
    </xf>
    <xf numFmtId="0" fontId="31" fillId="36" borderId="3" xfId="11" applyNumberFormat="1" applyFont="1" applyFill="1" applyBorder="1" applyAlignment="1">
      <alignment horizontal="justify"/>
    </xf>
    <xf numFmtId="0" fontId="19" fillId="0" borderId="0" xfId="19" applyNumberFormat="1" applyFont="1" applyFill="1" applyAlignment="1" applyProtection="1">
      <alignment horizontal="center" vertical="center"/>
      <protection locked="0"/>
    </xf>
    <xf numFmtId="0" fontId="19" fillId="0" borderId="0" xfId="19" applyNumberFormat="1" applyFont="1" applyFill="1"/>
    <xf numFmtId="0" fontId="27" fillId="31" borderId="8" xfId="19" applyNumberFormat="1" applyFont="1" applyFill="1" applyBorder="1" applyAlignment="1" applyProtection="1">
      <alignment horizontal="center" vertical="center"/>
      <protection locked="0"/>
    </xf>
    <xf numFmtId="0" fontId="5" fillId="0" borderId="84" xfId="19" applyNumberFormat="1" applyFont="1" applyFill="1" applyBorder="1" applyAlignment="1" applyProtection="1">
      <alignment horizontal="center" vertical="center" wrapText="1"/>
      <protection locked="0"/>
    </xf>
    <xf numFmtId="0" fontId="5" fillId="0" borderId="105" xfId="19" applyNumberFormat="1" applyFont="1" applyFill="1" applyBorder="1" applyAlignment="1" applyProtection="1">
      <alignment horizontal="center" vertical="center" wrapText="1"/>
      <protection locked="0"/>
    </xf>
    <xf numFmtId="0" fontId="32" fillId="0" borderId="105" xfId="11" applyNumberFormat="1" applyFont="1" applyFill="1" applyBorder="1" applyAlignment="1" applyProtection="1">
      <alignment horizontal="center" vertical="center" wrapText="1"/>
      <protection locked="0"/>
    </xf>
    <xf numFmtId="0" fontId="27" fillId="0" borderId="105" xfId="19" applyNumberFormat="1" applyFont="1" applyFill="1" applyBorder="1" applyAlignment="1" applyProtection="1">
      <alignment horizontal="center" vertical="center" wrapText="1"/>
      <protection locked="0"/>
    </xf>
    <xf numFmtId="0" fontId="5" fillId="0" borderId="14" xfId="19" applyNumberFormat="1" applyFont="1" applyFill="1" applyBorder="1" applyAlignment="1" applyProtection="1">
      <alignment horizontal="center" vertical="center" wrapText="1"/>
      <protection locked="0"/>
    </xf>
    <xf numFmtId="0" fontId="32" fillId="0" borderId="14" xfId="11" applyNumberFormat="1" applyFont="1" applyFill="1" applyBorder="1" applyAlignment="1" applyProtection="1">
      <alignment horizontal="center" vertical="center" wrapText="1"/>
      <protection locked="0"/>
    </xf>
    <xf numFmtId="0" fontId="5" fillId="0" borderId="8" xfId="19" applyNumberFormat="1" applyFont="1" applyBorder="1" applyAlignment="1" applyProtection="1">
      <alignment horizontal="center" vertical="center"/>
      <protection locked="0"/>
    </xf>
    <xf numFmtId="0" fontId="5" fillId="0" borderId="3" xfId="19" applyNumberFormat="1" applyFont="1" applyFill="1" applyBorder="1" applyAlignment="1" applyProtection="1">
      <alignment horizontal="center" vertical="center" wrapText="1"/>
      <protection locked="0"/>
    </xf>
    <xf numFmtId="0" fontId="52" fillId="0" borderId="0" xfId="11" applyNumberFormat="1" applyFont="1" applyFill="1" applyAlignment="1">
      <alignment horizontal="center" vertical="top"/>
    </xf>
    <xf numFmtId="0" fontId="57" fillId="0" borderId="0" xfId="11" applyNumberFormat="1" applyFont="1" applyFill="1" applyAlignment="1">
      <alignment horizontal="justify"/>
    </xf>
    <xf numFmtId="0" fontId="5" fillId="0" borderId="0" xfId="19" applyNumberFormat="1" applyFont="1" applyFill="1" applyBorder="1" applyAlignment="1" applyProtection="1">
      <alignment horizontal="left" vertical="center" wrapText="1"/>
      <protection locked="0"/>
    </xf>
    <xf numFmtId="0" fontId="32" fillId="0" borderId="0" xfId="11" applyNumberFormat="1" applyFont="1" applyFill="1" applyBorder="1" applyAlignment="1">
      <alignment horizontal="left" vertical="center" wrapText="1"/>
    </xf>
    <xf numFmtId="0" fontId="5" fillId="0" borderId="0" xfId="11" applyNumberFormat="1" applyFont="1" applyFill="1" applyBorder="1" applyAlignment="1">
      <alignment horizontal="center" vertical="center" wrapText="1"/>
    </xf>
    <xf numFmtId="0" fontId="5" fillId="0" borderId="0" xfId="11" applyNumberFormat="1" applyFont="1" applyFill="1" applyBorder="1" applyAlignment="1">
      <alignment horizontal="left" vertical="center" wrapText="1"/>
    </xf>
    <xf numFmtId="0" fontId="32" fillId="0" borderId="0" xfId="11" applyNumberFormat="1" applyFont="1" applyFill="1" applyBorder="1" applyAlignment="1" applyProtection="1">
      <alignment horizontal="left" vertical="center" wrapText="1"/>
      <protection locked="0"/>
    </xf>
    <xf numFmtId="0" fontId="19" fillId="0" borderId="0" xfId="11" applyNumberFormat="1" applyFont="1" applyFill="1" applyAlignment="1">
      <alignment horizontal="center" vertical="top"/>
    </xf>
    <xf numFmtId="0" fontId="19" fillId="0" borderId="0" xfId="11" applyNumberFormat="1" applyFont="1" applyFill="1" applyAlignment="1">
      <alignment horizontal="justify"/>
    </xf>
    <xf numFmtId="0" fontId="5" fillId="0" borderId="0" xfId="19" applyNumberFormat="1" applyFont="1" applyFill="1" applyBorder="1" applyAlignment="1" applyProtection="1">
      <alignment horizontal="center" vertical="center" wrapText="1"/>
      <protection locked="0"/>
    </xf>
    <xf numFmtId="0" fontId="32" fillId="0" borderId="0" xfId="11" applyNumberFormat="1" applyFont="1" applyFill="1" applyBorder="1" applyAlignment="1">
      <alignment horizontal="center" vertical="center" wrapText="1"/>
    </xf>
    <xf numFmtId="0" fontId="32" fillId="0" borderId="0" xfId="11" applyNumberFormat="1" applyFont="1" applyFill="1" applyBorder="1" applyAlignment="1" applyProtection="1">
      <alignment horizontal="center" vertical="center" wrapText="1"/>
      <protection locked="0"/>
    </xf>
    <xf numFmtId="0" fontId="19" fillId="0" borderId="0" xfId="19" applyNumberFormat="1" applyFont="1" applyFill="1" applyBorder="1" applyAlignment="1" applyProtection="1">
      <alignment horizontal="center" vertical="center"/>
      <protection locked="0"/>
    </xf>
    <xf numFmtId="0" fontId="19" fillId="0" borderId="0" xfId="11" applyNumberFormat="1" applyFont="1" applyFill="1" applyBorder="1" applyAlignment="1">
      <alignment horizontal="center" vertical="center"/>
    </xf>
    <xf numFmtId="0" fontId="19" fillId="0" borderId="0" xfId="11" applyNumberFormat="1" applyFont="1" applyFill="1" applyBorder="1" applyAlignment="1" applyProtection="1">
      <alignment horizontal="center" vertical="center"/>
      <protection locked="0"/>
    </xf>
    <xf numFmtId="0" fontId="19" fillId="0" borderId="0" xfId="19" applyNumberFormat="1" applyFont="1" applyBorder="1" applyAlignment="1" applyProtection="1">
      <alignment horizontal="center" vertical="center"/>
      <protection locked="0"/>
    </xf>
    <xf numFmtId="0" fontId="19" fillId="0" borderId="0" xfId="11" applyNumberFormat="1" applyFont="1" applyFill="1" applyAlignment="1">
      <alignment horizontal="center" vertical="center"/>
    </xf>
    <xf numFmtId="0" fontId="19" fillId="0" borderId="0" xfId="19" applyNumberFormat="1" applyFont="1" applyAlignment="1" applyProtection="1">
      <alignment horizontal="center" vertical="center"/>
      <protection locked="0"/>
    </xf>
    <xf numFmtId="0" fontId="5" fillId="0" borderId="0" xfId="11" applyNumberFormat="1" applyFont="1" applyFill="1" applyBorder="1" applyAlignment="1" applyProtection="1">
      <alignment horizontal="center" vertical="center" wrapText="1"/>
      <protection locked="0"/>
    </xf>
    <xf numFmtId="0" fontId="32" fillId="0" borderId="0" xfId="11" applyNumberFormat="1" applyFont="1" applyFill="1" applyAlignment="1" applyProtection="1">
      <alignment horizontal="center" vertical="center"/>
      <protection locked="0"/>
    </xf>
    <xf numFmtId="0" fontId="42" fillId="0" borderId="0" xfId="11" applyNumberFormat="1" applyFont="1" applyFill="1" applyAlignment="1">
      <alignment horizontal="center" vertical="center"/>
    </xf>
    <xf numFmtId="0" fontId="51" fillId="0" borderId="0" xfId="11" applyNumberFormat="1" applyFont="1" applyFill="1" applyBorder="1" applyAlignment="1" applyProtection="1">
      <alignment horizontal="center" vertical="center"/>
      <protection locked="0"/>
    </xf>
    <xf numFmtId="0" fontId="57" fillId="0" borderId="0" xfId="11" applyNumberFormat="1" applyFont="1" applyFill="1" applyAlignment="1">
      <alignment horizontal="center" vertical="center"/>
    </xf>
    <xf numFmtId="0" fontId="16" fillId="0" borderId="0" xfId="11" applyNumberFormat="1" applyFont="1" applyFill="1" applyAlignment="1" applyProtection="1">
      <alignment horizontal="center" vertical="center"/>
      <protection locked="0"/>
    </xf>
    <xf numFmtId="0" fontId="27" fillId="31" borderId="3" xfId="11" applyNumberFormat="1" applyFont="1" applyFill="1" applyBorder="1" applyAlignment="1">
      <alignment vertical="top" wrapText="1"/>
    </xf>
    <xf numFmtId="0" fontId="5" fillId="0" borderId="105" xfId="11" applyNumberFormat="1" applyFont="1" applyFill="1" applyBorder="1" applyAlignment="1" applyProtection="1">
      <alignment horizontal="center" vertical="center" wrapText="1"/>
      <protection locked="0"/>
    </xf>
    <xf numFmtId="0" fontId="13" fillId="0" borderId="0" xfId="11" applyNumberFormat="1" applyFont="1" applyFill="1" applyBorder="1" applyAlignment="1" applyProtection="1">
      <alignment horizontal="center" vertical="top"/>
      <protection locked="0"/>
    </xf>
    <xf numFmtId="0" fontId="19" fillId="0" borderId="0" xfId="11" applyNumberFormat="1" applyFont="1" applyFill="1"/>
    <xf numFmtId="0" fontId="16" fillId="0" borderId="0" xfId="11" applyNumberFormat="1" applyFont="1" applyFill="1" applyAlignment="1">
      <alignment horizontal="center" vertical="center"/>
    </xf>
    <xf numFmtId="0" fontId="42" fillId="0" borderId="0" xfId="19" applyNumberFormat="1" applyFont="1" applyAlignment="1" applyProtection="1">
      <alignment horizontal="center" vertical="center"/>
      <protection locked="0"/>
    </xf>
    <xf numFmtId="0" fontId="42" fillId="0" borderId="0" xfId="11" applyNumberFormat="1" applyFont="1" applyFill="1" applyAlignment="1">
      <alignment horizontal="center" vertical="top"/>
    </xf>
    <xf numFmtId="0" fontId="42" fillId="0" borderId="0" xfId="11" applyNumberFormat="1" applyFont="1" applyFill="1"/>
    <xf numFmtId="0" fontId="42" fillId="0" borderId="0" xfId="19" applyNumberFormat="1" applyFont="1" applyFill="1" applyAlignment="1" applyProtection="1">
      <alignment horizontal="center" vertical="center"/>
      <protection locked="0"/>
    </xf>
    <xf numFmtId="0" fontId="19" fillId="0" borderId="0" xfId="11" applyNumberFormat="1" applyFont="1" applyFill="1" applyAlignment="1" applyProtection="1">
      <alignment horizontal="center" vertical="center" wrapText="1"/>
      <protection locked="0"/>
    </xf>
    <xf numFmtId="0" fontId="27" fillId="31" borderId="104" xfId="11" applyNumberFormat="1" applyFont="1" applyFill="1" applyBorder="1" applyAlignment="1">
      <alignment horizontal="center" vertical="top" wrapText="1"/>
    </xf>
    <xf numFmtId="0" fontId="27" fillId="31" borderId="104" xfId="11" applyNumberFormat="1" applyFont="1" applyFill="1" applyBorder="1" applyAlignment="1">
      <alignment vertical="top" wrapText="1"/>
    </xf>
    <xf numFmtId="0" fontId="13" fillId="0" borderId="104" xfId="11" applyNumberFormat="1" applyFont="1" applyFill="1" applyBorder="1" applyAlignment="1">
      <alignment horizontal="left" vertical="top" wrapText="1"/>
    </xf>
    <xf numFmtId="0" fontId="5" fillId="0" borderId="104" xfId="19" applyNumberFormat="1" applyFont="1" applyBorder="1" applyAlignment="1" applyProtection="1">
      <alignment horizontal="center" vertical="center"/>
      <protection locked="0"/>
    </xf>
    <xf numFmtId="0" fontId="5" fillId="0" borderId="104" xfId="11" applyNumberFormat="1" applyFont="1" applyBorder="1" applyAlignment="1" applyProtection="1">
      <alignment horizontal="center" vertical="center" wrapText="1"/>
      <protection locked="0"/>
    </xf>
    <xf numFmtId="0" fontId="9" fillId="0" borderId="104" xfId="11" applyNumberFormat="1" applyFont="1" applyFill="1" applyBorder="1" applyAlignment="1" applyProtection="1">
      <alignment horizontal="center" vertical="top" wrapText="1"/>
      <protection locked="0"/>
    </xf>
    <xf numFmtId="0" fontId="9" fillId="0" borderId="104" xfId="11" applyNumberFormat="1" applyFont="1" applyFill="1" applyBorder="1" applyAlignment="1" applyProtection="1">
      <alignment vertical="top" wrapText="1"/>
      <protection locked="0"/>
    </xf>
    <xf numFmtId="0" fontId="5" fillId="0" borderId="104" xfId="11" applyNumberFormat="1" applyFont="1" applyBorder="1" applyAlignment="1">
      <alignment vertical="top" wrapText="1"/>
    </xf>
    <xf numFmtId="0" fontId="5" fillId="0" borderId="104" xfId="11" applyNumberFormat="1" applyFont="1" applyFill="1" applyBorder="1" applyAlignment="1" applyProtection="1">
      <alignment horizontal="center" vertical="center" wrapText="1"/>
      <protection locked="0"/>
    </xf>
    <xf numFmtId="0" fontId="27" fillId="0" borderId="104" xfId="19" applyNumberFormat="1" applyFont="1" applyBorder="1" applyAlignment="1" applyProtection="1">
      <alignment horizontal="center" vertical="center"/>
      <protection locked="0"/>
    </xf>
    <xf numFmtId="0" fontId="13" fillId="0" borderId="104" xfId="11" applyNumberFormat="1" applyFont="1" applyBorder="1" applyAlignment="1">
      <alignment vertical="top" wrapText="1"/>
    </xf>
    <xf numFmtId="0" fontId="5" fillId="0" borderId="104" xfId="11" applyNumberFormat="1" applyFont="1" applyBorder="1" applyAlignment="1" applyProtection="1">
      <alignment horizontal="center" vertical="center"/>
      <protection locked="0"/>
    </xf>
    <xf numFmtId="0" fontId="52" fillId="0" borderId="104" xfId="11" applyNumberFormat="1" applyFont="1" applyFill="1" applyBorder="1" applyAlignment="1" applyProtection="1">
      <alignment horizontal="center" vertical="center"/>
      <protection locked="0"/>
    </xf>
    <xf numFmtId="0" fontId="2" fillId="27" borderId="3" xfId="19" applyNumberFormat="1" applyFont="1" applyFill="1" applyBorder="1" applyProtection="1"/>
    <xf numFmtId="0" fontId="2" fillId="27" borderId="3" xfId="19" applyNumberFormat="1" applyFont="1" applyFill="1" applyBorder="1" applyAlignment="1" applyProtection="1">
      <alignment horizontal="left"/>
    </xf>
    <xf numFmtId="0" fontId="27" fillId="0" borderId="0" xfId="11" applyNumberFormat="1" applyFont="1" applyBorder="1" applyAlignment="1">
      <alignment horizontal="center" vertical="center" wrapText="1"/>
    </xf>
    <xf numFmtId="0" fontId="19" fillId="0" borderId="0" xfId="11" applyNumberFormat="1" applyFont="1" applyAlignment="1">
      <alignment horizontal="center" vertical="center"/>
    </xf>
    <xf numFmtId="0" fontId="13" fillId="0" borderId="0" xfId="11" applyNumberFormat="1" applyFont="1" applyAlignment="1">
      <alignment horizontal="center" vertical="center"/>
    </xf>
    <xf numFmtId="0" fontId="19" fillId="0" borderId="0" xfId="11" applyNumberFormat="1" applyFont="1" applyAlignment="1" applyProtection="1">
      <alignment horizontal="center" vertical="center" wrapText="1"/>
      <protection locked="0"/>
    </xf>
    <xf numFmtId="0" fontId="44" fillId="0" borderId="0" xfId="11" applyNumberFormat="1" applyFont="1" applyFill="1" applyAlignment="1">
      <alignment horizontal="center" vertical="center" wrapText="1"/>
    </xf>
    <xf numFmtId="0" fontId="42" fillId="0" borderId="0" xfId="11" applyNumberFormat="1" applyFont="1" applyFill="1" applyAlignment="1" applyProtection="1">
      <alignment horizontal="center" vertical="center" wrapText="1"/>
      <protection locked="0"/>
    </xf>
    <xf numFmtId="0" fontId="13" fillId="0" borderId="3" xfId="11" applyNumberFormat="1" applyFont="1" applyFill="1" applyBorder="1" applyAlignment="1">
      <alignment vertical="top"/>
    </xf>
    <xf numFmtId="0" fontId="0" fillId="0" borderId="3" xfId="19" applyNumberFormat="1" applyFont="1" applyBorder="1" applyAlignment="1" applyProtection="1">
      <alignment horizontal="center" vertical="center"/>
      <protection locked="0"/>
    </xf>
    <xf numFmtId="0" fontId="0" fillId="0" borderId="3" xfId="11" applyNumberFormat="1" applyFont="1" applyBorder="1" applyAlignment="1" applyProtection="1">
      <alignment horizontal="center" vertical="center" wrapText="1"/>
      <protection locked="0"/>
    </xf>
    <xf numFmtId="0" fontId="5" fillId="0" borderId="3" xfId="11" applyNumberFormat="1" applyFont="1" applyBorder="1" applyAlignment="1" applyProtection="1">
      <alignment horizontal="center" vertical="center" wrapText="1"/>
      <protection locked="0"/>
    </xf>
    <xf numFmtId="0" fontId="5" fillId="0" borderId="0" xfId="11" applyNumberFormat="1" applyFont="1" applyAlignment="1" applyProtection="1">
      <alignment vertical="top" wrapText="1"/>
      <protection locked="0"/>
    </xf>
    <xf numFmtId="0" fontId="5" fillId="0" borderId="0" xfId="11" applyNumberFormat="1" applyFont="1" applyAlignment="1">
      <alignment horizontal="center" vertical="center" wrapText="1"/>
    </xf>
    <xf numFmtId="0" fontId="5" fillId="0" borderId="0" xfId="11" applyNumberFormat="1" applyFont="1" applyAlignment="1" applyProtection="1">
      <alignment horizontal="center" vertical="center" wrapText="1"/>
      <protection locked="0"/>
    </xf>
    <xf numFmtId="0" fontId="57" fillId="0" borderId="0" xfId="11" applyNumberFormat="1" applyFont="1" applyAlignment="1">
      <alignment horizontal="center" vertical="center"/>
    </xf>
    <xf numFmtId="0" fontId="5" fillId="0" borderId="0" xfId="11" applyNumberFormat="1" applyFont="1" applyAlignment="1" applyProtection="1">
      <alignment horizontal="center" vertical="center"/>
      <protection locked="0"/>
    </xf>
    <xf numFmtId="0" fontId="31" fillId="0" borderId="3" xfId="11" applyNumberFormat="1" applyFont="1" applyFill="1" applyBorder="1" applyAlignment="1">
      <alignment horizontal="center" vertical="center"/>
    </xf>
    <xf numFmtId="0" fontId="27" fillId="0" borderId="3" xfId="11" applyNumberFormat="1" applyFont="1" applyFill="1" applyBorder="1" applyAlignment="1">
      <alignment horizontal="center" vertical="center"/>
    </xf>
    <xf numFmtId="0" fontId="44" fillId="0" borderId="3" xfId="11" applyNumberFormat="1" applyFont="1" applyFill="1" applyBorder="1" applyAlignment="1">
      <alignment horizontal="center" vertical="center" wrapText="1"/>
    </xf>
    <xf numFmtId="0" fontId="42" fillId="0" borderId="3" xfId="19" applyNumberFormat="1" applyFont="1" applyFill="1" applyBorder="1" applyAlignment="1" applyProtection="1">
      <alignment horizontal="center" vertical="center"/>
      <protection locked="0"/>
    </xf>
    <xf numFmtId="0" fontId="19" fillId="0" borderId="3" xfId="19" applyNumberFormat="1" applyFont="1" applyBorder="1" applyAlignment="1" applyProtection="1">
      <alignment horizontal="center" vertical="center"/>
      <protection locked="0"/>
    </xf>
    <xf numFmtId="0" fontId="9" fillId="0" borderId="3" xfId="11" applyNumberFormat="1" applyFont="1" applyBorder="1" applyAlignment="1" applyProtection="1">
      <alignment horizontal="center" vertical="top" wrapText="1"/>
      <protection locked="0"/>
    </xf>
    <xf numFmtId="0" fontId="9" fillId="0" borderId="3" xfId="11" applyNumberFormat="1" applyFont="1" applyBorder="1" applyAlignment="1" applyProtection="1">
      <alignment vertical="top" wrapText="1"/>
      <protection locked="0"/>
    </xf>
    <xf numFmtId="0" fontId="42" fillId="0" borderId="3" xfId="19" applyNumberFormat="1" applyFont="1" applyBorder="1" applyAlignment="1" applyProtection="1">
      <alignment horizontal="center" vertical="center"/>
      <protection locked="0"/>
    </xf>
    <xf numFmtId="0" fontId="5" fillId="0" borderId="0" xfId="11" applyNumberFormat="1" applyFont="1" applyAlignment="1">
      <alignment horizontal="center" vertical="top"/>
    </xf>
    <xf numFmtId="0" fontId="5" fillId="0" borderId="0" xfId="11" applyNumberFormat="1" applyFont="1"/>
    <xf numFmtId="0" fontId="5" fillId="0" borderId="0" xfId="11" applyNumberFormat="1" applyFont="1" applyAlignment="1">
      <alignment horizontal="center" vertical="center"/>
    </xf>
    <xf numFmtId="0" fontId="5" fillId="0" borderId="0" xfId="11" applyNumberFormat="1" applyFont="1" applyBorder="1" applyAlignment="1">
      <alignment horizontal="center" vertical="center"/>
    </xf>
    <xf numFmtId="0" fontId="52" fillId="0" borderId="0" xfId="11" applyNumberFormat="1" applyFont="1" applyFill="1" applyBorder="1" applyAlignment="1" applyProtection="1">
      <alignment horizontal="center" vertical="center"/>
      <protection locked="0"/>
    </xf>
    <xf numFmtId="0" fontId="5" fillId="0" borderId="3" xfId="11" applyNumberFormat="1" applyFont="1" applyFill="1" applyBorder="1" applyAlignment="1">
      <alignment horizontal="center" vertical="center"/>
    </xf>
    <xf numFmtId="0" fontId="13" fillId="20" borderId="3" xfId="11" applyNumberFormat="1" applyFont="1" applyFill="1" applyBorder="1" applyAlignment="1">
      <alignment horizontal="left" vertical="top" wrapText="1"/>
    </xf>
    <xf numFmtId="0" fontId="5" fillId="0" borderId="3" xfId="11" applyNumberFormat="1" applyFont="1" applyBorder="1" applyAlignment="1">
      <alignment horizontal="center" vertical="top" wrapText="1"/>
    </xf>
    <xf numFmtId="0" fontId="3" fillId="0" borderId="3" xfId="19" applyNumberFormat="1" applyFont="1" applyBorder="1" applyAlignment="1" applyProtection="1">
      <alignment horizontal="center" vertical="center"/>
      <protection locked="0"/>
    </xf>
    <xf numFmtId="0" fontId="13" fillId="0" borderId="3" xfId="11" applyNumberFormat="1" applyFont="1" applyBorder="1" applyAlignment="1">
      <alignment horizontal="center" vertical="top" wrapText="1"/>
    </xf>
    <xf numFmtId="0" fontId="57" fillId="0" borderId="3" xfId="19" applyNumberFormat="1" applyFont="1" applyBorder="1" applyAlignment="1" applyProtection="1">
      <alignment horizontal="center" vertical="center"/>
      <protection locked="0"/>
    </xf>
    <xf numFmtId="0" fontId="5" fillId="0" borderId="0" xfId="11" applyNumberFormat="1" applyFont="1" applyAlignment="1">
      <alignment horizontal="center" vertical="top" wrapText="1"/>
    </xf>
    <xf numFmtId="0" fontId="13" fillId="0" borderId="0" xfId="19" applyNumberFormat="1" applyFont="1" applyAlignment="1" applyProtection="1">
      <alignment horizontal="center" vertical="center"/>
      <protection locked="0"/>
    </xf>
    <xf numFmtId="0" fontId="31" fillId="0" borderId="0" xfId="11" applyNumberFormat="1" applyFont="1" applyProtection="1">
      <protection locked="0"/>
    </xf>
    <xf numFmtId="0" fontId="42" fillId="0" borderId="0" xfId="19" applyNumberFormat="1" applyFont="1" applyAlignment="1" applyProtection="1"/>
    <xf numFmtId="0" fontId="27" fillId="0" borderId="0" xfId="11" applyNumberFormat="1" applyFont="1" applyBorder="1" applyAlignment="1" applyProtection="1">
      <alignment vertical="top" wrapText="1"/>
      <protection locked="0"/>
    </xf>
    <xf numFmtId="0" fontId="2" fillId="0" borderId="3" xfId="19" applyNumberFormat="1" applyFont="1" applyBorder="1" applyAlignment="1" applyProtection="1">
      <alignment horizontal="center" vertical="center"/>
      <protection locked="0"/>
    </xf>
    <xf numFmtId="0" fontId="19" fillId="0" borderId="0" xfId="0" applyNumberFormat="1" applyFont="1" applyAlignment="1" applyProtection="1">
      <alignment vertical="center"/>
    </xf>
    <xf numFmtId="0" fontId="19" fillId="0" borderId="0" xfId="19" applyNumberFormat="1" applyFont="1" applyAlignment="1" applyProtection="1"/>
    <xf numFmtId="0" fontId="27" fillId="0" borderId="3" xfId="11" applyNumberFormat="1" applyFont="1" applyBorder="1" applyAlignment="1" applyProtection="1">
      <alignment horizontal="center" vertical="center" wrapText="1"/>
      <protection locked="0"/>
    </xf>
    <xf numFmtId="0" fontId="27" fillId="0" borderId="0" xfId="11" applyNumberFormat="1" applyFont="1" applyAlignment="1" applyProtection="1">
      <alignment vertical="top" wrapText="1"/>
      <protection locked="0"/>
    </xf>
    <xf numFmtId="0" fontId="5" fillId="0" borderId="0" xfId="11" applyNumberFormat="1" applyFont="1" applyBorder="1" applyAlignment="1" applyProtection="1">
      <alignment horizontal="center" vertical="top" wrapText="1"/>
      <protection locked="0"/>
    </xf>
    <xf numFmtId="0" fontId="13" fillId="0" borderId="0" xfId="19" applyNumberFormat="1" applyFont="1" applyProtection="1">
      <protection locked="0"/>
    </xf>
    <xf numFmtId="0" fontId="13" fillId="0" borderId="0" xfId="19" applyNumberFormat="1" applyFont="1"/>
    <xf numFmtId="0" fontId="9" fillId="0" borderId="3" xfId="11" applyNumberFormat="1" applyFont="1" applyFill="1" applyBorder="1" applyAlignment="1" applyProtection="1">
      <alignment horizontal="left" vertical="top" wrapText="1"/>
      <protection locked="0"/>
    </xf>
    <xf numFmtId="0" fontId="19" fillId="0" borderId="0" xfId="0" applyNumberFormat="1" applyFont="1" applyProtection="1">
      <alignment vertical="center" wrapText="1"/>
      <protection locked="0"/>
    </xf>
    <xf numFmtId="0" fontId="19" fillId="0" borderId="0" xfId="19" applyNumberFormat="1" applyFont="1" applyAlignment="1" applyProtection="1">
      <alignment vertical="top" wrapText="1"/>
      <protection locked="0"/>
    </xf>
    <xf numFmtId="0" fontId="3" fillId="0" borderId="4" xfId="19" applyNumberFormat="1" applyFont="1" applyBorder="1" applyAlignment="1" applyProtection="1">
      <alignment horizontal="center" vertical="center"/>
      <protection locked="0"/>
    </xf>
    <xf numFmtId="0" fontId="5" fillId="0" borderId="4" xfId="11" applyNumberFormat="1" applyFont="1" applyBorder="1" applyAlignment="1" applyProtection="1">
      <alignment horizontal="center" vertical="center" wrapText="1"/>
      <protection locked="0"/>
    </xf>
    <xf numFmtId="0" fontId="19" fillId="0" borderId="0" xfId="11" applyNumberFormat="1" applyFont="1" applyAlignment="1">
      <alignment horizontal="center" vertical="top" wrapText="1"/>
    </xf>
    <xf numFmtId="0" fontId="19" fillId="0" borderId="0" xfId="11" applyNumberFormat="1" applyFont="1" applyAlignment="1">
      <alignment vertical="top" wrapText="1"/>
    </xf>
    <xf numFmtId="0" fontId="0" fillId="0" borderId="0" xfId="0" applyNumberFormat="1" applyFill="1" applyBorder="1" applyProtection="1">
      <alignment vertical="center" wrapText="1"/>
    </xf>
    <xf numFmtId="0" fontId="7" fillId="31" borderId="82" xfId="0" applyNumberFormat="1" applyFont="1" applyFill="1" applyBorder="1" applyAlignment="1" applyProtection="1">
      <alignment vertical="center"/>
    </xf>
    <xf numFmtId="0" fontId="7" fillId="31" borderId="74" xfId="0" applyNumberFormat="1" applyFont="1" applyFill="1" applyBorder="1" applyAlignment="1" applyProtection="1">
      <alignment vertical="center" wrapText="1"/>
    </xf>
    <xf numFmtId="0" fontId="7" fillId="31" borderId="15" xfId="0" applyNumberFormat="1" applyFont="1" applyFill="1" applyBorder="1" applyAlignment="1" applyProtection="1">
      <alignment vertical="center"/>
    </xf>
    <xf numFmtId="0" fontId="7" fillId="31" borderId="3" xfId="0" applyNumberFormat="1" applyFont="1" applyFill="1" applyBorder="1" applyAlignment="1" applyProtection="1">
      <alignment vertical="center"/>
    </xf>
    <xf numFmtId="0" fontId="7" fillId="31" borderId="3" xfId="0" applyNumberFormat="1" applyFont="1" applyFill="1" applyBorder="1" applyAlignment="1" applyProtection="1">
      <alignment horizontal="center" vertical="center" wrapText="1"/>
    </xf>
    <xf numFmtId="0" fontId="13" fillId="31" borderId="3" xfId="0" applyNumberFormat="1" applyFont="1" applyFill="1" applyBorder="1" applyAlignment="1" applyProtection="1">
      <alignment horizontal="center" vertical="center" wrapText="1"/>
    </xf>
    <xf numFmtId="0" fontId="0" fillId="0" borderId="111" xfId="0" applyNumberFormat="1" applyBorder="1" applyAlignment="1" applyProtection="1">
      <alignment horizontal="center" vertical="center" wrapText="1"/>
    </xf>
    <xf numFmtId="0" fontId="0" fillId="0" borderId="111" xfId="0" applyNumberFormat="1" applyBorder="1" applyAlignment="1" applyProtection="1">
      <alignment horizontal="center" vertical="center" wrapText="1"/>
      <protection locked="0"/>
    </xf>
    <xf numFmtId="0" fontId="0" fillId="0" borderId="129" xfId="0" applyNumberFormat="1" applyBorder="1" applyProtection="1">
      <alignment vertical="center" wrapText="1"/>
      <protection locked="0"/>
    </xf>
    <xf numFmtId="0" fontId="0" fillId="0" borderId="77" xfId="0" applyNumberFormat="1" applyBorder="1" applyProtection="1">
      <alignment vertical="center" wrapText="1"/>
      <protection locked="0"/>
    </xf>
    <xf numFmtId="0" fontId="3" fillId="0" borderId="82" xfId="0" applyNumberFormat="1" applyFont="1" applyBorder="1" applyAlignment="1">
      <alignment vertical="center" wrapText="1"/>
    </xf>
    <xf numFmtId="0" fontId="3" fillId="0" borderId="76" xfId="0" applyNumberFormat="1" applyFont="1" applyBorder="1" applyAlignment="1">
      <alignment vertical="center" wrapText="1"/>
    </xf>
    <xf numFmtId="0" fontId="2" fillId="0" borderId="14" xfId="0" applyNumberFormat="1" applyFont="1" applyBorder="1" applyAlignment="1">
      <alignment vertical="center" wrapText="1"/>
    </xf>
    <xf numFmtId="0" fontId="0" fillId="0" borderId="178" xfId="0" applyNumberFormat="1" applyBorder="1" applyAlignment="1" applyProtection="1">
      <alignment horizontal="center" vertical="center" wrapText="1"/>
    </xf>
    <xf numFmtId="0" fontId="0" fillId="0" borderId="178" xfId="0" applyNumberFormat="1" applyBorder="1" applyAlignment="1" applyProtection="1">
      <alignment horizontal="center" vertical="center" wrapText="1"/>
      <protection locked="0"/>
    </xf>
    <xf numFmtId="0" fontId="0" fillId="0" borderId="78" xfId="0" applyNumberFormat="1" applyBorder="1" applyProtection="1">
      <alignment vertical="center" wrapText="1"/>
      <protection locked="0"/>
    </xf>
    <xf numFmtId="0" fontId="2" fillId="0" borderId="0" xfId="0" applyNumberFormat="1" applyFont="1" applyProtection="1">
      <alignment vertical="center" wrapText="1"/>
      <protection locked="0"/>
    </xf>
    <xf numFmtId="0" fontId="2" fillId="0" borderId="0" xfId="16" applyNumberFormat="1" applyFont="1" applyAlignment="1" applyProtection="1">
      <alignment vertical="top" wrapText="1"/>
    </xf>
    <xf numFmtId="0" fontId="2" fillId="0" borderId="0" xfId="16" applyNumberFormat="1" applyFont="1" applyAlignment="1" applyProtection="1">
      <alignment vertical="top"/>
    </xf>
    <xf numFmtId="0" fontId="86" fillId="7" borderId="3" xfId="9" applyNumberFormat="1" applyFont="1" applyFill="1" applyBorder="1" applyAlignment="1">
      <alignment horizontal="center" vertical="center" wrapText="1"/>
    </xf>
    <xf numFmtId="0" fontId="13" fillId="31" borderId="3" xfId="9" applyNumberFormat="1" applyFont="1" applyFill="1" applyBorder="1" applyAlignment="1">
      <alignment horizontal="center" vertical="center" wrapText="1"/>
    </xf>
    <xf numFmtId="0" fontId="13" fillId="31" borderId="143" xfId="9" applyNumberFormat="1" applyFont="1" applyFill="1" applyBorder="1" applyAlignment="1">
      <alignment horizontal="center" vertical="center" wrapText="1"/>
    </xf>
    <xf numFmtId="0" fontId="2" fillId="31" borderId="0" xfId="9" applyNumberFormat="1" applyFont="1" applyFill="1" applyBorder="1"/>
    <xf numFmtId="0" fontId="2" fillId="0" borderId="0" xfId="9" applyNumberFormat="1" applyFont="1" applyProtection="1"/>
    <xf numFmtId="0" fontId="2" fillId="0" borderId="0" xfId="9" applyNumberFormat="1" applyFont="1"/>
    <xf numFmtId="0" fontId="13" fillId="31" borderId="165" xfId="9" applyNumberFormat="1" applyFont="1" applyFill="1" applyBorder="1" applyAlignment="1">
      <alignment horizontal="center" vertical="center" wrapText="1"/>
    </xf>
    <xf numFmtId="0" fontId="13" fillId="31" borderId="5" xfId="9" applyNumberFormat="1" applyFont="1" applyFill="1" applyBorder="1" applyAlignment="1">
      <alignment horizontal="center" vertical="center"/>
    </xf>
    <xf numFmtId="0" fontId="13" fillId="31" borderId="18" xfId="9" applyNumberFormat="1" applyFont="1" applyFill="1" applyBorder="1" applyAlignment="1">
      <alignment horizontal="center" vertical="center" textRotation="90"/>
    </xf>
    <xf numFmtId="0" fontId="13" fillId="31" borderId="168" xfId="9" applyNumberFormat="1" applyFont="1" applyFill="1" applyBorder="1" applyAlignment="1">
      <alignment horizontal="center" vertical="center" wrapText="1"/>
    </xf>
    <xf numFmtId="0" fontId="13" fillId="31" borderId="168" xfId="9" applyNumberFormat="1" applyFont="1" applyFill="1" applyBorder="1" applyAlignment="1">
      <alignment horizontal="center" vertical="center"/>
    </xf>
    <xf numFmtId="0" fontId="2" fillId="8" borderId="5" xfId="9" applyNumberFormat="1" applyFont="1" applyFill="1" applyBorder="1" applyAlignment="1">
      <alignment vertical="top" wrapText="1"/>
    </xf>
    <xf numFmtId="0" fontId="2" fillId="8" borderId="5" xfId="9" applyNumberFormat="1" applyFont="1" applyFill="1" applyBorder="1" applyAlignment="1">
      <alignment horizontal="center" vertical="top" wrapText="1"/>
    </xf>
    <xf numFmtId="0" fontId="13" fillId="8" borderId="165" xfId="9" applyNumberFormat="1" applyFont="1" applyFill="1" applyBorder="1" applyAlignment="1">
      <alignment horizontal="center" vertical="top"/>
    </xf>
    <xf numFmtId="0" fontId="2" fillId="0" borderId="0" xfId="9" applyNumberFormat="1" applyFont="1" applyFill="1" applyBorder="1"/>
    <xf numFmtId="0" fontId="5" fillId="0" borderId="0" xfId="9" applyNumberFormat="1" applyFont="1" applyFill="1" applyBorder="1" applyProtection="1"/>
    <xf numFmtId="0" fontId="2" fillId="0" borderId="0" xfId="9" applyNumberFormat="1" applyFont="1" applyFill="1"/>
    <xf numFmtId="0" fontId="7" fillId="34" borderId="143" xfId="9" applyNumberFormat="1" applyFont="1" applyFill="1" applyBorder="1" applyAlignment="1">
      <alignment vertical="top" wrapText="1"/>
    </xf>
    <xf numFmtId="0" fontId="2" fillId="34" borderId="144" xfId="9" applyNumberFormat="1" applyFont="1" applyFill="1" applyBorder="1" applyAlignment="1">
      <alignment vertical="top" wrapText="1"/>
    </xf>
    <xf numFmtId="0" fontId="2" fillId="34" borderId="144" xfId="9" applyNumberFormat="1" applyFont="1" applyFill="1" applyBorder="1" applyAlignment="1" applyProtection="1">
      <alignment vertical="top" wrapText="1"/>
      <protection locked="0"/>
    </xf>
    <xf numFmtId="0" fontId="7" fillId="34" borderId="144" xfId="9" applyNumberFormat="1" applyFont="1" applyFill="1" applyBorder="1" applyAlignment="1">
      <alignment vertical="top" wrapText="1"/>
    </xf>
    <xf numFmtId="0" fontId="2" fillId="0" borderId="144" xfId="9" applyNumberFormat="1" applyFont="1" applyFill="1" applyBorder="1"/>
    <xf numFmtId="0" fontId="21" fillId="14" borderId="9" xfId="8" applyNumberFormat="1" applyFill="1" applyBorder="1" applyAlignment="1" applyProtection="1">
      <alignment horizontal="center" vertical="top"/>
      <protection locked="0"/>
    </xf>
    <xf numFmtId="0" fontId="2" fillId="0" borderId="0" xfId="9" applyNumberFormat="1" applyFont="1" applyFill="1" applyBorder="1" applyProtection="1">
      <protection hidden="1"/>
    </xf>
    <xf numFmtId="0" fontId="5" fillId="0" borderId="0" xfId="9" applyNumberFormat="1" applyFont="1" applyFill="1" applyBorder="1" applyProtection="1">
      <protection hidden="1"/>
    </xf>
    <xf numFmtId="0" fontId="2" fillId="0" borderId="0" xfId="9" applyNumberFormat="1" applyFont="1" applyFill="1" applyProtection="1">
      <protection locked="0"/>
    </xf>
    <xf numFmtId="0" fontId="7" fillId="35" borderId="143" xfId="9" applyNumberFormat="1" applyFont="1" applyFill="1" applyBorder="1" applyAlignment="1" applyProtection="1">
      <alignment vertical="top" wrapText="1"/>
    </xf>
    <xf numFmtId="0" fontId="2" fillId="37" borderId="74" xfId="9" applyNumberFormat="1" applyFont="1" applyFill="1" applyBorder="1" applyAlignment="1" applyProtection="1">
      <alignment horizontal="center" vertical="center"/>
    </xf>
    <xf numFmtId="0" fontId="2" fillId="0" borderId="0" xfId="9" applyNumberFormat="1" applyFont="1" applyBorder="1" applyProtection="1"/>
    <xf numFmtId="0" fontId="13" fillId="36" borderId="173" xfId="9" applyNumberFormat="1" applyFont="1" applyFill="1" applyBorder="1" applyAlignment="1" applyProtection="1">
      <alignment horizontal="center" vertical="top"/>
    </xf>
    <xf numFmtId="0" fontId="13" fillId="36" borderId="163" xfId="9" applyNumberFormat="1" applyFont="1" applyFill="1" applyBorder="1" applyAlignment="1" applyProtection="1">
      <alignment horizontal="center" vertical="top"/>
    </xf>
    <xf numFmtId="0" fontId="2" fillId="0" borderId="159" xfId="9" applyNumberFormat="1" applyFont="1" applyFill="1" applyBorder="1" applyAlignment="1" applyProtection="1">
      <alignment horizontal="center" vertical="center"/>
    </xf>
    <xf numFmtId="0" fontId="2" fillId="0" borderId="159" xfId="9" applyNumberFormat="1" applyFont="1" applyBorder="1" applyAlignment="1" applyProtection="1">
      <alignment vertical="center"/>
    </xf>
    <xf numFmtId="0" fontId="2" fillId="0" borderId="0" xfId="9" applyNumberFormat="1" applyFont="1" applyAlignment="1" applyProtection="1">
      <alignment vertical="center"/>
    </xf>
    <xf numFmtId="0" fontId="2" fillId="0" borderId="0" xfId="9" applyNumberFormat="1" applyFont="1" applyProtection="1">
      <protection locked="0"/>
    </xf>
    <xf numFmtId="0" fontId="2" fillId="0" borderId="0" xfId="9" applyNumberFormat="1" applyFont="1" applyAlignment="1" applyProtection="1">
      <alignment vertical="top"/>
      <protection locked="0"/>
    </xf>
    <xf numFmtId="0" fontId="2" fillId="0" borderId="0" xfId="9" applyNumberFormat="1" applyFont="1" applyAlignment="1" applyProtection="1">
      <alignment horizontal="center" vertical="top"/>
      <protection locked="0"/>
    </xf>
    <xf numFmtId="0" fontId="2" fillId="0" borderId="0" xfId="9" applyNumberFormat="1" applyFont="1" applyProtection="1">
      <protection hidden="1"/>
    </xf>
    <xf numFmtId="0" fontId="2" fillId="0" borderId="0" xfId="9" applyNumberFormat="1" applyFont="1" applyAlignment="1">
      <alignment vertical="center"/>
    </xf>
    <xf numFmtId="0" fontId="2" fillId="0" borderId="0" xfId="9" applyNumberFormat="1" applyFont="1" applyAlignment="1" applyProtection="1">
      <alignment vertical="center"/>
      <protection hidden="1"/>
    </xf>
    <xf numFmtId="0" fontId="2" fillId="0" borderId="0" xfId="9" applyNumberFormat="1" applyFont="1" applyAlignment="1">
      <alignment vertical="top"/>
    </xf>
    <xf numFmtId="0" fontId="2" fillId="0" borderId="0" xfId="9" applyNumberFormat="1" applyFont="1" applyAlignment="1">
      <alignment horizontal="center" vertical="top"/>
    </xf>
    <xf numFmtId="0" fontId="2" fillId="0" borderId="0" xfId="9" applyNumberFormat="1" applyFont="1" applyAlignment="1">
      <alignment horizontal="center"/>
    </xf>
    <xf numFmtId="0" fontId="13" fillId="31" borderId="7" xfId="9" applyNumberFormat="1" applyFont="1" applyFill="1" applyBorder="1" applyAlignment="1">
      <alignment horizontal="center" vertical="center" wrapText="1"/>
    </xf>
    <xf numFmtId="0" fontId="13" fillId="31" borderId="7" xfId="9" applyNumberFormat="1" applyFont="1" applyFill="1" applyBorder="1" applyAlignment="1">
      <alignment horizontal="center" vertical="center"/>
    </xf>
    <xf numFmtId="0" fontId="13" fillId="31" borderId="145" xfId="9" applyNumberFormat="1" applyFont="1" applyFill="1" applyBorder="1" applyAlignment="1">
      <alignment horizontal="center" vertical="center" wrapText="1"/>
    </xf>
    <xf numFmtId="0" fontId="7" fillId="34" borderId="144" xfId="9" applyNumberFormat="1" applyFont="1" applyFill="1" applyBorder="1" applyAlignment="1">
      <alignment horizontal="center" vertical="top" wrapText="1"/>
    </xf>
    <xf numFmtId="0" fontId="2" fillId="34" borderId="144" xfId="9" applyNumberFormat="1" applyFont="1" applyFill="1" applyBorder="1" applyAlignment="1" applyProtection="1">
      <alignment horizontal="center" vertical="top" wrapText="1"/>
      <protection locked="0"/>
    </xf>
    <xf numFmtId="0" fontId="2" fillId="0" borderId="144" xfId="9" applyNumberFormat="1" applyFont="1" applyFill="1" applyBorder="1" applyProtection="1">
      <protection hidden="1"/>
    </xf>
    <xf numFmtId="0" fontId="2" fillId="37" borderId="115" xfId="9" applyNumberFormat="1" applyFont="1" applyFill="1" applyBorder="1" applyAlignment="1" applyProtection="1">
      <alignment horizontal="center" vertical="center"/>
    </xf>
    <xf numFmtId="0" fontId="2" fillId="31" borderId="0" xfId="9" applyNumberFormat="1" applyFont="1" applyFill="1" applyBorder="1" applyProtection="1"/>
    <xf numFmtId="0" fontId="5" fillId="31" borderId="0" xfId="9" applyNumberFormat="1" applyFont="1" applyFill="1" applyBorder="1" applyProtection="1"/>
    <xf numFmtId="0" fontId="5" fillId="0" borderId="0" xfId="9" applyNumberFormat="1" applyFont="1"/>
    <xf numFmtId="0" fontId="27" fillId="8" borderId="165" xfId="9" applyNumberFormat="1" applyFont="1" applyFill="1" applyBorder="1" applyAlignment="1">
      <alignment horizontal="center" vertical="center"/>
    </xf>
    <xf numFmtId="0" fontId="5" fillId="0" borderId="0" xfId="9" applyNumberFormat="1" applyFont="1" applyFill="1"/>
    <xf numFmtId="0" fontId="5" fillId="0" borderId="0" xfId="9" applyNumberFormat="1" applyFont="1" applyFill="1" applyProtection="1">
      <protection locked="0"/>
    </xf>
    <xf numFmtId="0" fontId="2" fillId="0" borderId="0" xfId="9" applyNumberFormat="1" applyFont="1" applyBorder="1" applyProtection="1">
      <protection locked="0"/>
    </xf>
    <xf numFmtId="0" fontId="13" fillId="38" borderId="165" xfId="9" applyNumberFormat="1" applyFont="1" applyFill="1" applyBorder="1" applyAlignment="1">
      <alignment horizontal="center" vertical="center" wrapText="1"/>
    </xf>
    <xf numFmtId="0" fontId="13" fillId="7" borderId="165" xfId="9" applyNumberFormat="1" applyFont="1" applyFill="1" applyBorder="1" applyAlignment="1">
      <alignment horizontal="center" vertical="center" wrapText="1"/>
    </xf>
    <xf numFmtId="0" fontId="13" fillId="7" borderId="166" xfId="9" applyNumberFormat="1" applyFont="1" applyFill="1" applyBorder="1" applyAlignment="1">
      <alignment horizontal="center" vertical="center" wrapText="1"/>
    </xf>
    <xf numFmtId="0" fontId="13" fillId="38" borderId="31" xfId="9" applyNumberFormat="1" applyFont="1" applyFill="1" applyBorder="1" applyAlignment="1">
      <alignment horizontal="center" vertical="center" wrapText="1"/>
    </xf>
    <xf numFmtId="0" fontId="13" fillId="7" borderId="31" xfId="9" applyNumberFormat="1" applyFont="1" applyFill="1" applyBorder="1" applyAlignment="1">
      <alignment horizontal="center" vertical="center" wrapText="1"/>
    </xf>
    <xf numFmtId="0" fontId="13" fillId="7" borderId="32" xfId="9" applyNumberFormat="1" applyFont="1" applyFill="1" applyBorder="1" applyAlignment="1">
      <alignment horizontal="center" vertical="center" wrapText="1"/>
    </xf>
    <xf numFmtId="0" fontId="7" fillId="37" borderId="0" xfId="9" applyNumberFormat="1" applyFont="1" applyFill="1" applyBorder="1" applyAlignment="1" applyProtection="1">
      <alignment horizontal="left" vertical="center" wrapText="1"/>
    </xf>
    <xf numFmtId="0" fontId="7" fillId="37" borderId="26" xfId="9" applyNumberFormat="1" applyFont="1" applyFill="1" applyBorder="1" applyAlignment="1" applyProtection="1">
      <alignment horizontal="left" vertical="center" wrapText="1"/>
    </xf>
    <xf numFmtId="0" fontId="7" fillId="37" borderId="26" xfId="9" applyNumberFormat="1" applyFont="1" applyFill="1" applyBorder="1" applyAlignment="1" applyProtection="1">
      <alignment horizontal="right" vertical="center"/>
    </xf>
    <xf numFmtId="0" fontId="2" fillId="20" borderId="74" xfId="9" applyNumberFormat="1" applyFont="1" applyFill="1" applyBorder="1" applyAlignment="1" applyProtection="1">
      <alignment horizontal="center" vertical="center"/>
      <protection locked="0"/>
    </xf>
    <xf numFmtId="0" fontId="2" fillId="0" borderId="0" xfId="9" applyNumberFormat="1" applyFont="1" applyBorder="1" applyAlignment="1">
      <alignment vertical="center"/>
    </xf>
    <xf numFmtId="0" fontId="7" fillId="37" borderId="116" xfId="9" applyNumberFormat="1" applyFont="1" applyFill="1" applyBorder="1" applyAlignment="1" applyProtection="1">
      <alignment horizontal="right" vertical="center"/>
    </xf>
    <xf numFmtId="0" fontId="7" fillId="37" borderId="6" xfId="9" applyNumberFormat="1" applyFont="1" applyFill="1" applyBorder="1" applyAlignment="1" applyProtection="1">
      <alignment horizontal="right" vertical="center"/>
    </xf>
    <xf numFmtId="0" fontId="2" fillId="0" borderId="0" xfId="9" applyNumberFormat="1" applyFont="1" applyAlignment="1" applyProtection="1">
      <alignment horizontal="center" vertical="center"/>
      <protection locked="0"/>
    </xf>
    <xf numFmtId="0" fontId="2" fillId="0" borderId="0" xfId="9" applyNumberFormat="1" applyFont="1" applyAlignment="1" applyProtection="1">
      <alignment horizontal="center" vertical="center"/>
      <protection hidden="1"/>
    </xf>
    <xf numFmtId="0" fontId="5" fillId="0" borderId="0" xfId="9" applyNumberFormat="1" applyFont="1" applyAlignment="1" applyProtection="1">
      <alignment vertical="top"/>
      <protection locked="0"/>
    </xf>
    <xf numFmtId="0" fontId="5" fillId="0" borderId="0" xfId="9" applyNumberFormat="1" applyFont="1" applyAlignment="1" applyProtection="1">
      <alignment horizontal="center" vertical="top"/>
      <protection locked="0"/>
    </xf>
    <xf numFmtId="0" fontId="5" fillId="0" borderId="0" xfId="9" applyNumberFormat="1" applyFont="1" applyAlignment="1">
      <alignment vertical="top"/>
    </xf>
    <xf numFmtId="0" fontId="5" fillId="0" borderId="0" xfId="9" applyNumberFormat="1" applyFont="1" applyAlignment="1">
      <alignment horizontal="center" vertical="top"/>
    </xf>
    <xf numFmtId="0" fontId="5" fillId="0" borderId="0" xfId="9" applyNumberFormat="1" applyFont="1" applyAlignment="1">
      <alignment horizontal="center"/>
    </xf>
    <xf numFmtId="0" fontId="2" fillId="0" borderId="0" xfId="0" applyNumberFormat="1" applyFont="1" applyFill="1" applyBorder="1">
      <alignment vertical="center" wrapText="1"/>
    </xf>
    <xf numFmtId="0" fontId="2" fillId="0" borderId="3" xfId="0" applyNumberFormat="1" applyFont="1" applyBorder="1" applyAlignment="1">
      <alignment vertical="center" wrapText="1"/>
    </xf>
    <xf numFmtId="0" fontId="69" fillId="36" borderId="3" xfId="0" applyNumberFormat="1" applyFont="1" applyFill="1" applyBorder="1" applyProtection="1">
      <alignment vertical="center" wrapText="1"/>
    </xf>
    <xf numFmtId="0" fontId="69" fillId="0" borderId="3" xfId="0" applyNumberFormat="1" applyFont="1" applyFill="1" applyBorder="1" applyAlignment="1" applyProtection="1">
      <alignment horizontal="center" vertical="center" wrapText="1"/>
    </xf>
    <xf numFmtId="0" fontId="62" fillId="37" borderId="3" xfId="0" applyNumberFormat="1" applyFont="1" applyFill="1" applyBorder="1" applyProtection="1">
      <alignment vertical="center" wrapText="1"/>
    </xf>
    <xf numFmtId="0" fontId="0" fillId="36" borderId="3" xfId="0" applyNumberFormat="1" applyFill="1" applyBorder="1" applyProtection="1">
      <alignment vertical="center" wrapText="1"/>
      <protection locked="0"/>
    </xf>
    <xf numFmtId="0" fontId="2" fillId="36" borderId="3" xfId="0" applyNumberFormat="1" applyFont="1" applyFill="1" applyBorder="1" applyProtection="1">
      <alignment vertical="center" wrapText="1"/>
      <protection locked="0"/>
    </xf>
    <xf numFmtId="0" fontId="2" fillId="36" borderId="3" xfId="0" applyNumberFormat="1" applyFont="1" applyFill="1" applyBorder="1" applyAlignment="1">
      <alignment vertical="center" wrapText="1"/>
    </xf>
    <xf numFmtId="0" fontId="62" fillId="37" borderId="3" xfId="0" applyNumberFormat="1" applyFont="1" applyFill="1" applyBorder="1" applyProtection="1">
      <alignment vertical="center" wrapText="1"/>
      <protection locked="0"/>
    </xf>
    <xf numFmtId="0" fontId="2" fillId="36" borderId="3" xfId="0" applyNumberFormat="1" applyFont="1" applyFill="1" applyBorder="1" applyAlignment="1" applyProtection="1">
      <alignment horizontal="center" vertical="center" wrapText="1"/>
      <protection locked="0"/>
    </xf>
    <xf numFmtId="0" fontId="0" fillId="36" borderId="3" xfId="0" applyNumberFormat="1" applyFill="1" applyBorder="1">
      <alignment vertical="center" wrapText="1"/>
    </xf>
    <xf numFmtId="0" fontId="62" fillId="0" borderId="3" xfId="0" applyNumberFormat="1" applyFont="1" applyFill="1" applyBorder="1" applyAlignment="1" applyProtection="1">
      <alignment horizontal="left" vertical="center" wrapText="1"/>
      <protection locked="0"/>
    </xf>
    <xf numFmtId="0" fontId="0" fillId="0" borderId="3" xfId="0" applyNumberFormat="1" applyFill="1" applyBorder="1" applyAlignment="1" applyProtection="1">
      <alignment horizontal="center" vertical="center" wrapText="1"/>
      <protection locked="0"/>
    </xf>
    <xf numFmtId="0" fontId="2" fillId="36" borderId="3" xfId="0" applyNumberFormat="1" applyFont="1" applyFill="1" applyBorder="1">
      <alignment vertical="center" wrapText="1"/>
    </xf>
    <xf numFmtId="0" fontId="0" fillId="0" borderId="3" xfId="0" applyNumberFormat="1" applyFill="1" applyBorder="1" applyAlignment="1" applyProtection="1">
      <alignment horizontal="left" vertical="center" wrapText="1"/>
      <protection locked="0"/>
    </xf>
    <xf numFmtId="0" fontId="62" fillId="20" borderId="3" xfId="0" applyNumberFormat="1" applyFont="1" applyFill="1" applyBorder="1" applyAlignment="1" applyProtection="1">
      <alignment horizontal="right" vertical="center" wrapText="1"/>
      <protection locked="0"/>
    </xf>
    <xf numFmtId="0" fontId="31" fillId="0" borderId="0" xfId="0" applyNumberFormat="1" applyFont="1" applyFill="1" applyAlignment="1" applyProtection="1">
      <alignment vertical="center"/>
      <protection locked="0"/>
    </xf>
    <xf numFmtId="0" fontId="0" fillId="0" borderId="0" xfId="0" applyNumberFormat="1" applyFill="1" applyAlignment="1" applyProtection="1"/>
    <xf numFmtId="0" fontId="2" fillId="36" borderId="3" xfId="0" applyNumberFormat="1" applyFont="1" applyFill="1" applyBorder="1" applyAlignment="1" applyProtection="1">
      <alignment horizontal="right"/>
      <protection locked="0"/>
    </xf>
    <xf numFmtId="0" fontId="0" fillId="36" borderId="3" xfId="0" applyNumberFormat="1" applyFill="1" applyBorder="1" applyAlignment="1" applyProtection="1">
      <alignment horizontal="right"/>
      <protection locked="0"/>
    </xf>
    <xf numFmtId="0" fontId="0" fillId="0" borderId="3" xfId="0" applyNumberFormat="1" applyFill="1" applyBorder="1" applyAlignment="1" applyProtection="1">
      <protection locked="0"/>
    </xf>
    <xf numFmtId="0" fontId="13" fillId="31" borderId="3" xfId="0" applyNumberFormat="1" applyFont="1" applyFill="1" applyBorder="1">
      <alignment vertical="center" wrapText="1"/>
    </xf>
    <xf numFmtId="0" fontId="13" fillId="31" borderId="3" xfId="0" applyNumberFormat="1" applyFont="1" applyFill="1" applyBorder="1" applyAlignment="1">
      <alignment horizontal="center" vertical="center" wrapText="1"/>
    </xf>
    <xf numFmtId="0" fontId="0" fillId="0" borderId="80" xfId="0" applyNumberFormat="1" applyFont="1" applyFill="1" applyBorder="1" applyAlignment="1" applyProtection="1">
      <alignment wrapText="1"/>
      <protection locked="0"/>
    </xf>
    <xf numFmtId="0" fontId="0" fillId="0" borderId="74" xfId="0" applyNumberFormat="1" applyFont="1" applyFill="1" applyBorder="1" applyAlignment="1" applyProtection="1">
      <alignment wrapText="1"/>
      <protection locked="0"/>
    </xf>
    <xf numFmtId="0" fontId="0" fillId="0" borderId="74" xfId="0" applyNumberFormat="1" applyFont="1" applyFill="1" applyBorder="1" applyAlignment="1" applyProtection="1">
      <alignment horizontal="justify" wrapText="1"/>
      <protection locked="0"/>
    </xf>
    <xf numFmtId="0" fontId="0" fillId="0" borderId="84" xfId="0" applyNumberFormat="1" applyFont="1" applyFill="1" applyBorder="1" applyAlignment="1" applyProtection="1">
      <alignment wrapText="1"/>
      <protection locked="0"/>
    </xf>
    <xf numFmtId="0" fontId="0" fillId="0" borderId="2" xfId="0" applyNumberFormat="1" applyFont="1" applyFill="1" applyBorder="1" applyAlignment="1" applyProtection="1">
      <alignment wrapText="1"/>
      <protection locked="0"/>
    </xf>
    <xf numFmtId="0" fontId="0" fillId="0" borderId="2" xfId="0" applyNumberFormat="1" applyFont="1" applyFill="1" applyBorder="1" applyAlignment="1" applyProtection="1">
      <alignment horizontal="justify" wrapText="1"/>
      <protection locked="0"/>
    </xf>
    <xf numFmtId="0" fontId="14" fillId="0" borderId="2" xfId="0" applyNumberFormat="1" applyFont="1" applyFill="1" applyBorder="1" applyAlignment="1" applyProtection="1">
      <alignment horizontal="justify" wrapText="1"/>
      <protection locked="0"/>
    </xf>
    <xf numFmtId="0" fontId="0" fillId="0" borderId="2" xfId="0" applyNumberFormat="1" applyFill="1" applyBorder="1" applyAlignment="1" applyProtection="1">
      <alignment wrapText="1"/>
      <protection locked="0"/>
    </xf>
    <xf numFmtId="0" fontId="0" fillId="0" borderId="0" xfId="0" applyNumberFormat="1" applyFill="1" applyAlignment="1" applyProtection="1">
      <alignment vertical="top" wrapText="1"/>
      <protection locked="0"/>
    </xf>
    <xf numFmtId="0" fontId="0" fillId="0" borderId="0" xfId="0" applyNumberFormat="1" applyFont="1" applyFill="1" applyBorder="1" applyAlignment="1" applyProtection="1">
      <alignment horizontal="justify" wrapText="1"/>
      <protection locked="0"/>
    </xf>
    <xf numFmtId="0" fontId="19" fillId="0" borderId="0" xfId="15" applyNumberFormat="1" applyFont="1" applyFill="1" applyBorder="1"/>
    <xf numFmtId="0" fontId="31" fillId="0" borderId="0" xfId="15" applyNumberFormat="1" applyFont="1" applyFill="1" applyBorder="1" applyAlignment="1">
      <alignment horizontal="center"/>
    </xf>
    <xf numFmtId="0" fontId="13" fillId="0" borderId="0" xfId="0" applyNumberFormat="1" applyFont="1" applyFill="1" applyAlignment="1">
      <alignment vertical="center"/>
    </xf>
    <xf numFmtId="0" fontId="13" fillId="0" borderId="0" xfId="0" applyNumberFormat="1" applyFont="1" applyFill="1">
      <alignment vertical="center" wrapText="1"/>
    </xf>
    <xf numFmtId="0" fontId="13" fillId="0" borderId="0" xfId="15" applyNumberFormat="1" applyFont="1" applyFill="1" applyBorder="1" applyAlignment="1">
      <alignment horizontal="center"/>
    </xf>
    <xf numFmtId="0" fontId="36" fillId="0" borderId="0" xfId="15" applyNumberFormat="1" applyFont="1" applyFill="1" applyBorder="1" applyAlignment="1">
      <alignment horizontal="center"/>
    </xf>
    <xf numFmtId="0" fontId="0" fillId="0" borderId="0" xfId="0" applyNumberFormat="1" applyFill="1" applyAlignment="1">
      <alignment vertical="center" wrapText="1"/>
    </xf>
    <xf numFmtId="0" fontId="68" fillId="14" borderId="0" xfId="0" applyNumberFormat="1" applyFont="1" applyFill="1" applyAlignment="1">
      <alignment vertical="center"/>
    </xf>
    <xf numFmtId="0" fontId="66" fillId="14" borderId="0" xfId="0" applyNumberFormat="1" applyFont="1" applyFill="1" applyAlignment="1">
      <alignment vertical="center"/>
    </xf>
    <xf numFmtId="0" fontId="0" fillId="14" borderId="0" xfId="0" applyNumberFormat="1" applyFill="1">
      <alignment vertical="center" wrapText="1"/>
    </xf>
    <xf numFmtId="0" fontId="59" fillId="14" borderId="0" xfId="0" applyNumberFormat="1" applyFont="1" applyFill="1" applyAlignment="1">
      <alignment vertical="center" wrapText="1"/>
    </xf>
    <xf numFmtId="0" fontId="2" fillId="14" borderId="0" xfId="0" applyNumberFormat="1" applyFont="1" applyFill="1">
      <alignment vertical="center" wrapText="1"/>
    </xf>
    <xf numFmtId="0" fontId="13" fillId="39" borderId="79" xfId="8" applyNumberFormat="1" applyFont="1" applyFill="1" applyBorder="1" applyAlignment="1" applyProtection="1">
      <alignment horizontal="center" vertical="center" wrapText="1"/>
    </xf>
    <xf numFmtId="0" fontId="6" fillId="0" borderId="0" xfId="0" applyNumberFormat="1" applyFont="1" applyAlignment="1">
      <alignment horizontal="center" vertical="center" wrapText="1"/>
    </xf>
    <xf numFmtId="0" fontId="13" fillId="14" borderId="0" xfId="0" applyNumberFormat="1" applyFont="1" applyFill="1">
      <alignment vertical="center" wrapText="1"/>
    </xf>
    <xf numFmtId="0" fontId="31" fillId="40" borderId="79" xfId="8" applyNumberFormat="1" applyFont="1" applyFill="1" applyBorder="1" applyAlignment="1" applyProtection="1">
      <alignment horizontal="center" vertical="center" wrapText="1"/>
    </xf>
    <xf numFmtId="0" fontId="66" fillId="14" borderId="0" xfId="0" applyNumberFormat="1" applyFont="1" applyFill="1" applyAlignment="1">
      <alignment horizontal="center" vertical="center" wrapText="1"/>
    </xf>
    <xf numFmtId="0" fontId="31" fillId="14" borderId="0" xfId="0" applyNumberFormat="1" applyFont="1" applyFill="1">
      <alignment vertical="center" wrapText="1"/>
    </xf>
    <xf numFmtId="0" fontId="31" fillId="41" borderId="79" xfId="8" applyNumberFormat="1" applyFont="1" applyFill="1" applyBorder="1" applyAlignment="1" applyProtection="1">
      <alignment horizontal="center" vertical="center" wrapText="1"/>
    </xf>
    <xf numFmtId="0" fontId="13" fillId="14" borderId="0" xfId="0" applyNumberFormat="1" applyFont="1" applyFill="1" applyAlignment="1">
      <alignment horizontal="right" vertical="center"/>
    </xf>
    <xf numFmtId="0" fontId="13" fillId="14" borderId="0" xfId="0" applyNumberFormat="1" applyFont="1" applyFill="1" applyAlignment="1">
      <alignment horizontal="center" vertical="center"/>
    </xf>
    <xf numFmtId="0" fontId="31" fillId="40" borderId="79" xfId="8" applyNumberFormat="1" applyFont="1" applyFill="1" applyBorder="1" applyAlignment="1" applyProtection="1">
      <alignment vertical="center" wrapText="1"/>
    </xf>
    <xf numFmtId="0" fontId="15" fillId="8" borderId="79" xfId="0" applyNumberFormat="1" applyFont="1" applyFill="1" applyBorder="1" applyAlignment="1">
      <alignment vertical="center" wrapText="1"/>
    </xf>
    <xf numFmtId="0" fontId="15" fillId="8" borderId="79" xfId="0" applyNumberFormat="1" applyFont="1" applyFill="1" applyBorder="1" applyAlignment="1">
      <alignment horizontal="center" vertical="center" wrapText="1"/>
    </xf>
    <xf numFmtId="0" fontId="53" fillId="0" borderId="0" xfId="0" applyNumberFormat="1" applyFont="1">
      <alignment vertical="center" wrapText="1"/>
    </xf>
    <xf numFmtId="0" fontId="31" fillId="32" borderId="79" xfId="8" applyNumberFormat="1" applyFont="1" applyFill="1" applyBorder="1" applyAlignment="1" applyProtection="1">
      <alignment vertical="center" wrapText="1"/>
    </xf>
    <xf numFmtId="0" fontId="53" fillId="14" borderId="0" xfId="0" applyNumberFormat="1" applyFont="1" applyFill="1">
      <alignment vertical="center" wrapText="1"/>
    </xf>
    <xf numFmtId="0" fontId="0" fillId="14" borderId="79" xfId="0" applyNumberFormat="1" applyFill="1" applyBorder="1">
      <alignment vertical="center" wrapText="1"/>
    </xf>
    <xf numFmtId="0" fontId="13" fillId="14" borderId="0" xfId="0" applyNumberFormat="1" applyFont="1" applyFill="1" applyAlignment="1">
      <alignment vertical="top"/>
    </xf>
    <xf numFmtId="0" fontId="13" fillId="14" borderId="0" xfId="0" applyNumberFormat="1" applyFont="1" applyFill="1" applyBorder="1" applyAlignment="1">
      <alignment vertical="top"/>
    </xf>
    <xf numFmtId="0" fontId="0" fillId="14" borderId="0" xfId="0" applyNumberFormat="1" applyFill="1" applyBorder="1" applyAlignment="1">
      <alignment vertical="center" wrapText="1"/>
    </xf>
    <xf numFmtId="0" fontId="59" fillId="14" borderId="0" xfId="0" applyNumberFormat="1" applyFont="1" applyFill="1" applyBorder="1" applyAlignment="1">
      <alignment horizontal="center" vertical="top" wrapText="1"/>
    </xf>
    <xf numFmtId="0" fontId="6" fillId="14" borderId="0" xfId="0" applyNumberFormat="1" applyFont="1" applyFill="1" applyBorder="1" applyAlignment="1">
      <alignment horizontal="center" vertical="top" wrapText="1"/>
    </xf>
    <xf numFmtId="0" fontId="25" fillId="0" borderId="3" xfId="0" applyNumberFormat="1" applyFont="1" applyFill="1" applyBorder="1" applyAlignment="1">
      <alignment horizontal="center" vertical="center"/>
    </xf>
    <xf numFmtId="0" fontId="31" fillId="14" borderId="3" xfId="0" applyNumberFormat="1" applyFont="1" applyFill="1" applyBorder="1" applyAlignment="1">
      <alignment horizontal="center" vertical="center" wrapText="1"/>
    </xf>
    <xf numFmtId="0" fontId="13" fillId="0" borderId="3" xfId="0" applyNumberFormat="1" applyFont="1" applyBorder="1">
      <alignment vertical="center" wrapText="1"/>
    </xf>
    <xf numFmtId="0" fontId="3" fillId="0" borderId="3" xfId="0" applyNumberFormat="1" applyFont="1" applyFill="1" applyBorder="1" applyAlignment="1">
      <alignment horizontal="left" vertical="center" wrapText="1"/>
    </xf>
    <xf numFmtId="0" fontId="28" fillId="21" borderId="3" xfId="8" applyNumberFormat="1" applyFont="1" applyFill="1" applyBorder="1" applyAlignment="1" applyProtection="1">
      <alignment vertical="center" wrapText="1"/>
    </xf>
    <xf numFmtId="0" fontId="3" fillId="21" borderId="3" xfId="0" applyNumberFormat="1" applyFont="1" applyFill="1" applyBorder="1" applyAlignment="1">
      <alignment horizontal="left" vertical="center" wrapText="1"/>
    </xf>
    <xf numFmtId="0" fontId="76" fillId="7" borderId="3" xfId="8" applyNumberFormat="1" applyFont="1" applyFill="1" applyBorder="1" applyAlignment="1" applyProtection="1">
      <alignment horizontal="left" vertical="center" wrapText="1"/>
    </xf>
    <xf numFmtId="0" fontId="3" fillId="7" borderId="3" xfId="0" applyNumberFormat="1" applyFont="1" applyFill="1" applyBorder="1" applyAlignment="1">
      <alignment horizontal="left" vertical="center" wrapText="1"/>
    </xf>
    <xf numFmtId="0" fontId="36" fillId="15" borderId="3" xfId="8" applyNumberFormat="1" applyFont="1" applyFill="1" applyBorder="1" applyAlignment="1" applyProtection="1">
      <alignment vertical="center"/>
    </xf>
    <xf numFmtId="0" fontId="3" fillId="0" borderId="3" xfId="0" applyNumberFormat="1" applyFont="1" applyBorder="1" applyAlignment="1">
      <alignment vertical="center" wrapText="1"/>
    </xf>
    <xf numFmtId="0" fontId="13" fillId="9" borderId="3" xfId="8" applyNumberFormat="1" applyFont="1" applyFill="1" applyBorder="1" applyAlignment="1" applyProtection="1">
      <alignment vertical="center"/>
    </xf>
    <xf numFmtId="0" fontId="36" fillId="9" borderId="3" xfId="8" applyNumberFormat="1" applyFont="1" applyFill="1" applyBorder="1" applyAlignment="1" applyProtection="1">
      <alignment vertical="center"/>
    </xf>
    <xf numFmtId="0" fontId="13" fillId="16" borderId="3" xfId="8" applyNumberFormat="1" applyFont="1" applyFill="1" applyBorder="1" applyAlignment="1" applyProtection="1">
      <alignment vertical="center"/>
    </xf>
    <xf numFmtId="0" fontId="0" fillId="16" borderId="67" xfId="0" applyNumberFormat="1" applyFill="1" applyBorder="1">
      <alignment vertical="center" wrapText="1"/>
    </xf>
    <xf numFmtId="0" fontId="0" fillId="16" borderId="9" xfId="0" applyNumberFormat="1" applyFill="1" applyBorder="1">
      <alignment vertical="center" wrapText="1"/>
    </xf>
    <xf numFmtId="0" fontId="0" fillId="11" borderId="0" xfId="0" applyNumberFormat="1" applyFill="1" applyBorder="1" applyAlignment="1">
      <alignment vertical="center" wrapText="1"/>
    </xf>
    <xf numFmtId="0" fontId="19" fillId="0" borderId="3" xfId="0" applyNumberFormat="1" applyFont="1" applyBorder="1" applyAlignment="1">
      <alignment vertical="center" wrapText="1"/>
    </xf>
    <xf numFmtId="0" fontId="0" fillId="11" borderId="23" xfId="0" applyNumberFormat="1" applyFill="1" applyBorder="1" applyAlignment="1">
      <alignment vertical="center" wrapText="1"/>
    </xf>
    <xf numFmtId="0" fontId="0" fillId="11" borderId="9" xfId="0" applyNumberFormat="1" applyFill="1" applyBorder="1" applyAlignment="1">
      <alignment vertical="center" wrapText="1"/>
    </xf>
    <xf numFmtId="0" fontId="0" fillId="17" borderId="67" xfId="0" applyNumberFormat="1" applyFill="1" applyBorder="1">
      <alignment vertical="center" wrapText="1"/>
    </xf>
    <xf numFmtId="0" fontId="13" fillId="17" borderId="3" xfId="8" applyNumberFormat="1" applyFont="1" applyFill="1" applyBorder="1" applyAlignment="1" applyProtection="1">
      <alignment vertical="center"/>
    </xf>
    <xf numFmtId="0" fontId="0" fillId="20" borderId="0" xfId="0" applyNumberFormat="1" applyFill="1">
      <alignment vertical="center" wrapText="1"/>
    </xf>
    <xf numFmtId="0" fontId="77" fillId="29" borderId="0" xfId="0" applyNumberFormat="1" applyFont="1" applyFill="1" applyBorder="1">
      <alignment vertical="center" wrapText="1"/>
    </xf>
    <xf numFmtId="0" fontId="29" fillId="29" borderId="0" xfId="0" applyNumberFormat="1" applyFont="1" applyFill="1" applyBorder="1">
      <alignment vertical="center" wrapText="1"/>
    </xf>
    <xf numFmtId="0" fontId="72" fillId="30" borderId="0" xfId="0" applyNumberFormat="1" applyFont="1" applyFill="1" applyBorder="1">
      <alignment vertical="center" wrapText="1"/>
    </xf>
    <xf numFmtId="0" fontId="0" fillId="29" borderId="0" xfId="0" applyNumberFormat="1" applyFill="1" applyBorder="1">
      <alignment vertical="center" wrapText="1"/>
    </xf>
    <xf numFmtId="0" fontId="2" fillId="29" borderId="0" xfId="0" applyNumberFormat="1" applyFont="1" applyFill="1" applyBorder="1">
      <alignment vertical="center" wrapText="1"/>
    </xf>
    <xf numFmtId="0" fontId="0" fillId="29" borderId="0" xfId="0" applyNumberFormat="1" applyFill="1" applyBorder="1" applyAlignment="1">
      <alignment horizontal="center" vertical="center" wrapText="1"/>
    </xf>
    <xf numFmtId="0" fontId="13" fillId="29" borderId="0" xfId="0" applyNumberFormat="1" applyFont="1" applyFill="1" applyBorder="1">
      <alignment vertical="center" wrapText="1"/>
    </xf>
    <xf numFmtId="0" fontId="13" fillId="29" borderId="0" xfId="0" applyNumberFormat="1" applyFont="1" applyFill="1" applyBorder="1" applyAlignment="1">
      <alignment vertical="top"/>
    </xf>
    <xf numFmtId="0" fontId="0" fillId="29" borderId="0" xfId="0" applyNumberFormat="1" applyFill="1" applyBorder="1" applyAlignment="1">
      <alignment vertical="center" wrapText="1"/>
    </xf>
    <xf numFmtId="0" fontId="2" fillId="14" borderId="0" xfId="0" applyNumberFormat="1" applyFont="1" applyFill="1" applyAlignment="1">
      <alignment vertical="center" wrapText="1"/>
    </xf>
    <xf numFmtId="0" fontId="0" fillId="14" borderId="0" xfId="0" applyNumberFormat="1" applyFill="1" applyAlignment="1">
      <alignment vertical="center" wrapText="1"/>
    </xf>
    <xf numFmtId="165" fontId="2" fillId="0" borderId="0" xfId="0" applyNumberFormat="1" applyFont="1" applyBorder="1">
      <alignment vertical="center" wrapText="1"/>
    </xf>
    <xf numFmtId="165" fontId="2" fillId="0" borderId="56" xfId="0" applyNumberFormat="1" applyFont="1" applyBorder="1" applyAlignment="1">
      <alignment horizontal="center" vertical="center" wrapText="1"/>
    </xf>
    <xf numFmtId="165" fontId="2" fillId="0" borderId="43" xfId="0" applyNumberFormat="1" applyFont="1" applyBorder="1">
      <alignment vertical="center" wrapText="1"/>
    </xf>
    <xf numFmtId="165" fontId="2" fillId="0" borderId="42" xfId="0" applyNumberFormat="1" applyFont="1" applyBorder="1" applyAlignment="1">
      <alignment horizontal="center" vertical="center" wrapText="1"/>
    </xf>
    <xf numFmtId="165" fontId="2" fillId="0" borderId="12" xfId="0" applyNumberFormat="1" applyFont="1" applyBorder="1">
      <alignment vertical="center" wrapText="1"/>
    </xf>
    <xf numFmtId="165" fontId="2" fillId="0" borderId="2" xfId="0" applyNumberFormat="1" applyFont="1" applyBorder="1" applyAlignment="1">
      <alignment horizontal="center" vertical="center" wrapText="1"/>
    </xf>
    <xf numFmtId="165" fontId="2" fillId="0" borderId="15" xfId="0" applyNumberFormat="1" applyFont="1" applyBorder="1">
      <alignment vertical="center" wrapText="1"/>
    </xf>
    <xf numFmtId="165" fontId="2" fillId="0" borderId="74" xfId="0" applyNumberFormat="1" applyFont="1" applyBorder="1" applyAlignment="1">
      <alignment horizontal="center" vertical="center" wrapText="1"/>
    </xf>
    <xf numFmtId="165" fontId="2" fillId="0" borderId="49" xfId="0" applyNumberFormat="1" applyFont="1" applyBorder="1">
      <alignment vertical="center" wrapText="1"/>
    </xf>
    <xf numFmtId="165" fontId="2" fillId="0" borderId="48" xfId="0" applyNumberFormat="1" applyFont="1" applyBorder="1" applyAlignment="1">
      <alignment horizontal="center" vertical="center" wrapText="1"/>
    </xf>
    <xf numFmtId="165" fontId="2" fillId="0" borderId="34" xfId="0" applyNumberFormat="1" applyFont="1" applyBorder="1">
      <alignment vertical="center" wrapText="1"/>
    </xf>
    <xf numFmtId="165" fontId="2" fillId="0" borderId="14" xfId="0" applyNumberFormat="1" applyFont="1" applyBorder="1" applyAlignment="1">
      <alignment horizontal="center" vertical="center" wrapText="1"/>
    </xf>
    <xf numFmtId="165" fontId="2" fillId="0" borderId="53" xfId="0" applyNumberFormat="1" applyFont="1" applyBorder="1">
      <alignment vertical="center" wrapText="1"/>
    </xf>
    <xf numFmtId="165" fontId="2" fillId="0" borderId="52" xfId="0" applyNumberFormat="1" applyFont="1" applyBorder="1" applyAlignment="1">
      <alignment horizontal="center" vertical="center" wrapText="1"/>
    </xf>
    <xf numFmtId="165" fontId="32" fillId="31" borderId="0" xfId="13" applyNumberFormat="1" applyFont="1" applyFill="1" applyBorder="1" applyAlignment="1" applyProtection="1">
      <alignment horizontal="center"/>
    </xf>
    <xf numFmtId="165" fontId="0" fillId="0" borderId="124" xfId="0" applyNumberFormat="1" applyBorder="1" applyAlignment="1" applyProtection="1">
      <alignment vertical="center" wrapText="1"/>
    </xf>
    <xf numFmtId="165" fontId="0" fillId="0" borderId="152" xfId="0" applyNumberFormat="1" applyBorder="1" applyAlignment="1" applyProtection="1">
      <alignment vertical="center" wrapText="1"/>
    </xf>
    <xf numFmtId="165" fontId="0" fillId="0" borderId="0" xfId="0" applyNumberFormat="1" applyBorder="1">
      <alignment vertical="center" wrapText="1"/>
    </xf>
    <xf numFmtId="165" fontId="32" fillId="0" borderId="145" xfId="12" applyNumberFormat="1" applyFont="1" applyBorder="1" applyAlignment="1" applyProtection="1">
      <alignment horizontal="center"/>
    </xf>
    <xf numFmtId="165" fontId="13" fillId="31" borderId="145" xfId="13" applyNumberFormat="1" applyFont="1" applyFill="1" applyBorder="1" applyAlignment="1" applyProtection="1">
      <alignment horizontal="center" vertical="center"/>
    </xf>
    <xf numFmtId="165" fontId="13" fillId="31" borderId="165" xfId="13" applyNumberFormat="1" applyFont="1" applyFill="1" applyBorder="1" applyAlignment="1" applyProtection="1">
      <alignment horizontal="center" vertical="center"/>
    </xf>
    <xf numFmtId="165" fontId="0" fillId="0" borderId="3" xfId="19" applyNumberFormat="1" applyFont="1" applyFill="1" applyBorder="1" applyAlignment="1" applyProtection="1">
      <alignment horizontal="center" vertical="center"/>
      <protection locked="0"/>
    </xf>
    <xf numFmtId="165" fontId="0" fillId="0" borderId="3" xfId="11" applyNumberFormat="1" applyFont="1" applyFill="1" applyBorder="1" applyAlignment="1" applyProtection="1">
      <alignment horizontal="center" vertical="center"/>
      <protection locked="0"/>
    </xf>
    <xf numFmtId="165" fontId="5" fillId="0" borderId="111" xfId="19" applyNumberFormat="1" applyFont="1" applyFill="1" applyBorder="1" applyAlignment="1" applyProtection="1">
      <alignment horizontal="center" vertical="center"/>
      <protection locked="0"/>
    </xf>
    <xf numFmtId="165" fontId="5" fillId="0" borderId="74" xfId="19" applyNumberFormat="1" applyFont="1" applyBorder="1" applyAlignment="1" applyProtection="1">
      <alignment horizontal="center" vertical="center"/>
      <protection locked="0"/>
    </xf>
    <xf numFmtId="165" fontId="5" fillId="0" borderId="111" xfId="11" applyNumberFormat="1" applyFont="1" applyBorder="1" applyAlignment="1" applyProtection="1">
      <alignment horizontal="center" vertical="center"/>
      <protection locked="0"/>
    </xf>
    <xf numFmtId="165" fontId="5" fillId="0" borderId="111" xfId="19" applyNumberFormat="1" applyFont="1" applyBorder="1" applyAlignment="1" applyProtection="1">
      <alignment horizontal="center" vertical="center"/>
      <protection locked="0"/>
    </xf>
    <xf numFmtId="165" fontId="5" fillId="0" borderId="84" xfId="19" applyNumberFormat="1" applyFont="1" applyFill="1" applyBorder="1" applyAlignment="1" applyProtection="1">
      <alignment horizontal="center" vertical="center"/>
      <protection locked="0"/>
    </xf>
    <xf numFmtId="165" fontId="5" fillId="0" borderId="2" xfId="19" applyNumberFormat="1" applyFont="1" applyFill="1" applyBorder="1" applyAlignment="1" applyProtection="1">
      <alignment horizontal="center" vertical="center"/>
      <protection locked="0"/>
    </xf>
    <xf numFmtId="165" fontId="5" fillId="0" borderId="107" xfId="19" applyNumberFormat="1" applyFont="1" applyFill="1" applyBorder="1" applyAlignment="1" applyProtection="1">
      <alignment horizontal="center" vertical="center"/>
      <protection locked="0"/>
    </xf>
    <xf numFmtId="165" fontId="5" fillId="0" borderId="105" xfId="19" applyNumberFormat="1" applyFont="1" applyFill="1" applyBorder="1" applyAlignment="1" applyProtection="1">
      <alignment horizontal="center" vertical="center" wrapText="1"/>
      <protection locked="0"/>
    </xf>
    <xf numFmtId="165" fontId="5" fillId="0" borderId="104" xfId="19" applyNumberFormat="1" applyFont="1" applyBorder="1" applyAlignment="1" applyProtection="1">
      <alignment horizontal="center" vertical="center"/>
      <protection locked="0"/>
    </xf>
    <xf numFmtId="165" fontId="0" fillId="0" borderId="3" xfId="19" applyNumberFormat="1" applyFont="1" applyBorder="1" applyAlignment="1" applyProtection="1">
      <alignment horizontal="center" vertical="center"/>
      <protection locked="0"/>
    </xf>
    <xf numFmtId="165" fontId="5" fillId="0" borderId="3" xfId="11" applyNumberFormat="1" applyFont="1" applyBorder="1" applyAlignment="1" applyProtection="1">
      <alignment horizontal="center" vertical="center" wrapText="1"/>
      <protection locked="0"/>
    </xf>
    <xf numFmtId="165" fontId="3" fillId="0" borderId="3" xfId="19" applyNumberFormat="1" applyFont="1" applyBorder="1" applyAlignment="1" applyProtection="1">
      <alignment horizontal="center" vertical="center"/>
      <protection locked="0"/>
    </xf>
    <xf numFmtId="165" fontId="2" fillId="0" borderId="3" xfId="19" applyNumberFormat="1" applyFont="1" applyBorder="1" applyAlignment="1" applyProtection="1">
      <alignment horizontal="center" vertical="center"/>
      <protection locked="0"/>
    </xf>
    <xf numFmtId="165" fontId="13" fillId="31" borderId="3" xfId="9" applyNumberFormat="1" applyFont="1" applyFill="1" applyBorder="1" applyAlignment="1">
      <alignment horizontal="center" vertical="center" wrapText="1"/>
    </xf>
    <xf numFmtId="165" fontId="13" fillId="8" borderId="165" xfId="9" applyNumberFormat="1" applyFont="1" applyFill="1" applyBorder="1" applyAlignment="1">
      <alignment horizontal="center" vertical="top"/>
    </xf>
    <xf numFmtId="165" fontId="7" fillId="34" borderId="144" xfId="9" applyNumberFormat="1" applyFont="1" applyFill="1" applyBorder="1" applyAlignment="1">
      <alignment vertical="top" wrapText="1"/>
    </xf>
    <xf numFmtId="165" fontId="7" fillId="34" borderId="144" xfId="9" applyNumberFormat="1" applyFont="1" applyFill="1" applyBorder="1" applyAlignment="1">
      <alignment horizontal="center" vertical="top" wrapText="1"/>
    </xf>
    <xf numFmtId="165" fontId="27" fillId="8" borderId="165" xfId="9" applyNumberFormat="1" applyFont="1" applyFill="1" applyBorder="1" applyAlignment="1">
      <alignment horizontal="center" vertical="center"/>
    </xf>
    <xf numFmtId="165" fontId="0" fillId="0" borderId="0" xfId="0" applyNumberFormat="1">
      <alignment vertical="center" wrapText="1"/>
    </xf>
    <xf numFmtId="165" fontId="62" fillId="36" borderId="3" xfId="0" applyNumberFormat="1" applyFont="1" applyFill="1" applyBorder="1" applyAlignment="1" applyProtection="1">
      <alignment horizontal="center" vertical="center" wrapText="1"/>
      <protection locked="0"/>
    </xf>
    <xf numFmtId="165" fontId="2" fillId="36" borderId="3" xfId="0" applyNumberFormat="1" applyFont="1" applyFill="1" applyBorder="1" applyAlignment="1" applyProtection="1">
      <alignment horizontal="center" vertical="center" wrapText="1"/>
      <protection locked="0"/>
    </xf>
    <xf numFmtId="165" fontId="62" fillId="0" borderId="3" xfId="0" applyNumberFormat="1" applyFont="1" applyFill="1" applyBorder="1" applyAlignment="1" applyProtection="1">
      <alignment horizontal="left" vertical="center" wrapText="1"/>
      <protection locked="0"/>
    </xf>
    <xf numFmtId="165" fontId="0" fillId="0" borderId="3" xfId="0" applyNumberFormat="1" applyFill="1" applyBorder="1" applyAlignment="1" applyProtection="1">
      <alignment horizontal="center" vertical="center" wrapText="1"/>
      <protection locked="0"/>
    </xf>
    <xf numFmtId="165" fontId="59" fillId="14" borderId="0" xfId="0" applyNumberFormat="1" applyFont="1" applyFill="1" applyAlignment="1">
      <alignment vertical="center" wrapText="1"/>
    </xf>
    <xf numFmtId="165" fontId="0" fillId="14" borderId="0" xfId="0" applyNumberFormat="1" applyFill="1">
      <alignment vertical="center" wrapText="1"/>
    </xf>
    <xf numFmtId="165" fontId="13" fillId="39" borderId="79" xfId="8" applyNumberFormat="1" applyFont="1" applyFill="1" applyBorder="1" applyAlignment="1" applyProtection="1">
      <alignment horizontal="center" vertical="center" wrapText="1"/>
    </xf>
    <xf numFmtId="165" fontId="13" fillId="14" borderId="0" xfId="0" applyNumberFormat="1" applyFont="1" applyFill="1">
      <alignment vertical="center" wrapText="1"/>
    </xf>
    <xf numFmtId="165" fontId="29" fillId="0" borderId="0" xfId="0" applyNumberFormat="1" applyFont="1">
      <alignment vertical="center" wrapText="1"/>
    </xf>
    <xf numFmtId="165" fontId="0" fillId="16" borderId="66" xfId="0" applyNumberFormat="1" applyFill="1" applyBorder="1">
      <alignment vertical="center" wrapText="1"/>
    </xf>
    <xf numFmtId="165" fontId="0" fillId="16" borderId="67" xfId="0" applyNumberFormat="1" applyFill="1" applyBorder="1">
      <alignment vertical="center" wrapText="1"/>
    </xf>
    <xf numFmtId="0" fontId="2" fillId="0" borderId="0" xfId="19" applyNumberFormat="1" applyFont="1" applyFill="1" applyBorder="1" applyAlignment="1">
      <alignment wrapText="1"/>
    </xf>
    <xf numFmtId="0" fontId="29" fillId="0" borderId="0" xfId="19" applyNumberFormat="1" applyFont="1" applyFill="1" applyBorder="1" applyAlignment="1">
      <alignment wrapText="1"/>
    </xf>
    <xf numFmtId="0" fontId="71" fillId="0" borderId="0" xfId="19" applyNumberFormat="1" applyFont="1" applyBorder="1" applyAlignment="1">
      <alignment horizontal="center" vertical="center" wrapText="1"/>
    </xf>
    <xf numFmtId="0" fontId="13" fillId="31" borderId="143" xfId="9" applyNumberFormat="1" applyFont="1" applyFill="1" applyBorder="1" applyAlignment="1">
      <alignment horizontal="center" vertical="center" wrapText="1"/>
    </xf>
    <xf numFmtId="0" fontId="13" fillId="31" borderId="3" xfId="9"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wrapText="1"/>
    </xf>
    <xf numFmtId="0" fontId="0" fillId="0" borderId="0" xfId="0" applyNumberFormat="1" applyFill="1" applyBorder="1" applyAlignment="1">
      <alignment vertical="center" wrapText="1"/>
    </xf>
    <xf numFmtId="0" fontId="13" fillId="31" borderId="3" xfId="16" applyNumberFormat="1" applyFont="1" applyFill="1" applyBorder="1" applyAlignment="1" applyProtection="1">
      <alignment horizontal="center" vertical="center" wrapText="1"/>
    </xf>
    <xf numFmtId="0" fontId="13" fillId="31" borderId="29" xfId="16" applyNumberFormat="1" applyFont="1" applyFill="1" applyBorder="1" applyAlignment="1" applyProtection="1">
      <alignment horizontal="center" vertical="center" wrapText="1"/>
    </xf>
    <xf numFmtId="0" fontId="25" fillId="10" borderId="3" xfId="16" applyNumberFormat="1" applyFont="1" applyFill="1" applyBorder="1" applyAlignment="1" applyProtection="1">
      <alignment horizontal="left" vertical="center"/>
    </xf>
    <xf numFmtId="0" fontId="25" fillId="22" borderId="3" xfId="16" applyNumberFormat="1" applyFont="1" applyFill="1" applyBorder="1" applyAlignment="1" applyProtection="1">
      <alignment horizontal="center" vertical="center"/>
    </xf>
    <xf numFmtId="0" fontId="2" fillId="0" borderId="29" xfId="16" applyNumberFormat="1" applyBorder="1" applyProtection="1">
      <protection locked="0"/>
    </xf>
    <xf numFmtId="0" fontId="16" fillId="0" borderId="3" xfId="16" applyNumberFormat="1" applyFont="1" applyBorder="1" applyProtection="1"/>
    <xf numFmtId="0" fontId="2" fillId="0" borderId="3" xfId="16" applyNumberFormat="1" applyBorder="1" applyAlignment="1" applyProtection="1">
      <alignment vertical="top" wrapText="1"/>
    </xf>
    <xf numFmtId="0" fontId="2" fillId="0" borderId="3" xfId="16" applyNumberFormat="1" applyFont="1" applyBorder="1" applyAlignment="1" applyProtection="1">
      <alignment vertical="top" wrapText="1"/>
    </xf>
    <xf numFmtId="0" fontId="3" fillId="0" borderId="3" xfId="16" applyNumberFormat="1" applyFont="1" applyBorder="1" applyAlignment="1" applyProtection="1">
      <alignment horizontal="center"/>
    </xf>
    <xf numFmtId="165" fontId="2" fillId="0" borderId="3" xfId="16" applyNumberFormat="1" applyFill="1" applyBorder="1" applyAlignment="1" applyProtection="1">
      <alignment horizontal="center"/>
    </xf>
    <xf numFmtId="165" fontId="25" fillId="22" borderId="3" xfId="16" applyNumberFormat="1" applyFont="1" applyFill="1" applyBorder="1" applyAlignment="1" applyProtection="1">
      <alignment horizontal="center" vertical="center"/>
    </xf>
    <xf numFmtId="0" fontId="16" fillId="0" borderId="3" xfId="16" applyNumberFormat="1" applyFont="1" applyBorder="1" applyAlignment="1" applyProtection="1">
      <alignment vertical="top"/>
    </xf>
    <xf numFmtId="0" fontId="17" fillId="0" borderId="3" xfId="16" applyNumberFormat="1" applyFont="1" applyBorder="1" applyProtection="1"/>
    <xf numFmtId="0" fontId="26" fillId="0" borderId="3" xfId="16" applyNumberFormat="1" applyFont="1" applyBorder="1" applyAlignment="1" applyProtection="1">
      <alignment vertical="top" wrapText="1"/>
    </xf>
    <xf numFmtId="0" fontId="25" fillId="22" borderId="3" xfId="16" applyNumberFormat="1" applyFont="1" applyFill="1" applyBorder="1" applyAlignment="1" applyProtection="1">
      <alignment horizontal="left" vertical="center"/>
    </xf>
    <xf numFmtId="0" fontId="19" fillId="0" borderId="3" xfId="16" applyNumberFormat="1" applyFont="1" applyBorder="1" applyProtection="1"/>
    <xf numFmtId="0" fontId="19" fillId="0" borderId="3" xfId="16" applyNumberFormat="1" applyFont="1" applyBorder="1" applyAlignment="1" applyProtection="1">
      <alignment wrapText="1"/>
    </xf>
    <xf numFmtId="0" fontId="2" fillId="0" borderId="31" xfId="16" applyNumberFormat="1" applyBorder="1" applyProtection="1"/>
    <xf numFmtId="0" fontId="2" fillId="0" borderId="31" xfId="16" applyNumberFormat="1" applyBorder="1" applyAlignment="1" applyProtection="1">
      <alignment vertical="top" wrapText="1"/>
    </xf>
    <xf numFmtId="0" fontId="2" fillId="0" borderId="33" xfId="16" applyNumberFormat="1" applyBorder="1" applyProtection="1">
      <protection locked="0"/>
    </xf>
    <xf numFmtId="0" fontId="13" fillId="34" borderId="3" xfId="13" applyNumberFormat="1" applyFont="1" applyFill="1" applyBorder="1" applyAlignment="1" applyProtection="1">
      <alignment horizontal="left" vertical="center"/>
    </xf>
    <xf numFmtId="165" fontId="13" fillId="42" borderId="145" xfId="13" applyNumberFormat="1" applyFont="1" applyFill="1" applyBorder="1" applyAlignment="1" applyProtection="1">
      <alignment horizontal="center" vertical="center"/>
    </xf>
    <xf numFmtId="0" fontId="13" fillId="42" borderId="145" xfId="13" applyNumberFormat="1" applyFont="1" applyFill="1" applyBorder="1" applyAlignment="1" applyProtection="1">
      <alignment horizontal="center" vertical="center"/>
    </xf>
    <xf numFmtId="0" fontId="13" fillId="34" borderId="29" xfId="13" applyNumberFormat="1" applyFont="1" applyFill="1" applyBorder="1" applyAlignment="1" applyProtection="1">
      <alignment horizontal="center"/>
    </xf>
    <xf numFmtId="0" fontId="2" fillId="0" borderId="3" xfId="21" applyNumberFormat="1" applyFont="1" applyBorder="1" applyAlignment="1" applyProtection="1">
      <alignment horizontal="left" vertical="center" wrapText="1"/>
    </xf>
    <xf numFmtId="0" fontId="13" fillId="0" borderId="3" xfId="21" applyNumberFormat="1" applyFont="1" applyBorder="1" applyAlignment="1" applyProtection="1">
      <alignment horizontal="left" vertical="center" wrapText="1"/>
    </xf>
    <xf numFmtId="0" fontId="13" fillId="0" borderId="29" xfId="21" applyNumberFormat="1" applyFont="1" applyBorder="1" applyAlignment="1" applyProtection="1">
      <alignment horizontal="left" vertical="center" wrapText="1"/>
    </xf>
    <xf numFmtId="165" fontId="14" fillId="0" borderId="3" xfId="12" applyNumberFormat="1" applyFont="1" applyBorder="1" applyAlignment="1" applyProtection="1"/>
    <xf numFmtId="0" fontId="14" fillId="0" borderId="3" xfId="12" applyNumberFormat="1" applyFont="1" applyBorder="1" applyAlignment="1" applyProtection="1"/>
    <xf numFmtId="0" fontId="2" fillId="0" borderId="3" xfId="12" applyNumberFormat="1" applyFont="1" applyBorder="1" applyAlignment="1" applyProtection="1"/>
    <xf numFmtId="0" fontId="13" fillId="0" borderId="3" xfId="12" applyNumberFormat="1" applyFont="1" applyBorder="1" applyAlignment="1" applyProtection="1">
      <alignment horizontal="center" vertical="center"/>
    </xf>
    <xf numFmtId="0" fontId="2" fillId="0" borderId="29" xfId="21" applyNumberFormat="1" applyFont="1" applyBorder="1" applyAlignment="1" applyProtection="1">
      <alignment horizontal="left" vertical="center" wrapText="1"/>
    </xf>
    <xf numFmtId="0" fontId="2" fillId="0" borderId="29" xfId="21" applyNumberFormat="1" applyFont="1" applyBorder="1" applyAlignment="1" applyProtection="1">
      <alignment horizontal="left" vertical="top" wrapText="1"/>
    </xf>
    <xf numFmtId="0" fontId="13" fillId="0" borderId="3" xfId="12" applyNumberFormat="1" applyFont="1" applyBorder="1" applyAlignment="1" applyProtection="1">
      <alignment horizontal="left"/>
    </xf>
    <xf numFmtId="0" fontId="13" fillId="0" borderId="29" xfId="12" applyNumberFormat="1" applyFont="1" applyBorder="1" applyAlignment="1" applyProtection="1">
      <alignment vertical="top"/>
    </xf>
    <xf numFmtId="0" fontId="2" fillId="0" borderId="3" xfId="12" applyNumberFormat="1" applyFont="1" applyBorder="1" applyAlignment="1" applyProtection="1">
      <alignment horizontal="left" vertical="top"/>
    </xf>
    <xf numFmtId="0" fontId="2" fillId="0" borderId="29" xfId="12" applyNumberFormat="1" applyFont="1" applyBorder="1" applyAlignment="1" applyProtection="1">
      <alignment horizontal="left" vertical="top" wrapText="1"/>
    </xf>
    <xf numFmtId="0" fontId="2" fillId="0" borderId="3" xfId="11" applyNumberFormat="1" applyFont="1" applyBorder="1" applyAlignment="1" applyProtection="1">
      <alignment horizontal="left" vertical="center" wrapText="1"/>
    </xf>
    <xf numFmtId="0" fontId="13" fillId="34" borderId="3" xfId="13" applyNumberFormat="1" applyFont="1" applyFill="1" applyBorder="1" applyAlignment="1" applyProtection="1">
      <alignment horizontal="left" vertical="center" wrapText="1"/>
    </xf>
    <xf numFmtId="0" fontId="29" fillId="34" borderId="3" xfId="13" applyNumberFormat="1" applyFont="1" applyFill="1" applyBorder="1" applyAlignment="1" applyProtection="1">
      <alignment horizontal="left" vertical="center"/>
    </xf>
    <xf numFmtId="0" fontId="29" fillId="34" borderId="3" xfId="13" applyNumberFormat="1" applyFont="1" applyFill="1" applyBorder="1" applyAlignment="1" applyProtection="1">
      <alignment horizontal="left" vertical="center" wrapText="1"/>
    </xf>
    <xf numFmtId="0" fontId="29" fillId="34" borderId="3" xfId="12" applyNumberFormat="1" applyFont="1" applyFill="1" applyBorder="1" applyAlignment="1" applyProtection="1">
      <alignment horizontal="left" vertical="center"/>
    </xf>
    <xf numFmtId="0" fontId="13" fillId="31" borderId="167" xfId="0" applyNumberFormat="1" applyFont="1" applyFill="1" applyBorder="1" applyAlignment="1" applyProtection="1">
      <alignment horizontal="center" vertical="center" wrapText="1"/>
    </xf>
    <xf numFmtId="0" fontId="6" fillId="0" borderId="0" xfId="13" applyNumberFormat="1" applyFont="1" applyFill="1" applyBorder="1" applyAlignment="1" applyProtection="1">
      <alignment horizontal="center" vertical="center"/>
      <protection locked="0"/>
    </xf>
    <xf numFmtId="0" fontId="5" fillId="0" borderId="0" xfId="13" applyNumberFormat="1" applyFont="1" applyFill="1" applyBorder="1" applyAlignment="1" applyProtection="1">
      <alignment horizontal="center"/>
      <protection locked="0"/>
    </xf>
    <xf numFmtId="0" fontId="5" fillId="0" borderId="0" xfId="13" applyNumberFormat="1" applyFont="1" applyFill="1" applyBorder="1" applyAlignment="1" applyProtection="1">
      <alignment horizontal="center" vertical="center"/>
      <protection locked="0"/>
    </xf>
    <xf numFmtId="0" fontId="5" fillId="0" borderId="0" xfId="13" applyNumberFormat="1" applyFont="1" applyFill="1" applyBorder="1" applyAlignment="1" applyProtection="1">
      <alignment horizontal="left" vertical="center"/>
      <protection locked="0"/>
    </xf>
    <xf numFmtId="0" fontId="5" fillId="0" borderId="0" xfId="13" applyNumberFormat="1" applyFont="1" applyFill="1" applyBorder="1" applyAlignment="1" applyProtection="1">
      <alignment wrapText="1"/>
      <protection locked="0"/>
    </xf>
    <xf numFmtId="0" fontId="5" fillId="0" borderId="0" xfId="13" applyNumberFormat="1" applyFont="1" applyFill="1" applyBorder="1" applyAlignment="1" applyProtection="1">
      <alignment horizontal="center" vertical="center" wrapText="1"/>
      <protection locked="0"/>
    </xf>
    <xf numFmtId="165" fontId="31" fillId="0" borderId="0" xfId="13" applyNumberFormat="1" applyFont="1" applyFill="1" applyBorder="1" applyAlignment="1" applyProtection="1">
      <alignment horizontal="center" vertical="center"/>
      <protection locked="0"/>
    </xf>
    <xf numFmtId="165" fontId="5" fillId="0" borderId="0" xfId="13" applyNumberFormat="1" applyFont="1" applyFill="1" applyBorder="1" applyAlignment="1" applyProtection="1">
      <alignment horizontal="center"/>
      <protection locked="0"/>
    </xf>
    <xf numFmtId="0" fontId="2" fillId="0" borderId="0" xfId="0" applyNumberFormat="1" applyFont="1" applyFill="1" applyBorder="1" applyProtection="1">
      <alignment vertical="center" wrapText="1"/>
      <protection locked="0"/>
    </xf>
    <xf numFmtId="0" fontId="2" fillId="0" borderId="29" xfId="16" applyNumberFormat="1" applyBorder="1" applyProtection="1"/>
    <xf numFmtId="0" fontId="2" fillId="0" borderId="0" xfId="16" applyNumberFormat="1" applyFont="1" applyAlignment="1" applyProtection="1">
      <alignment vertical="top" wrapText="1"/>
      <protection locked="0"/>
    </xf>
    <xf numFmtId="0" fontId="86" fillId="7" borderId="3" xfId="9" applyNumberFormat="1" applyFont="1" applyFill="1" applyBorder="1" applyAlignment="1" applyProtection="1">
      <alignment horizontal="center" vertical="center" wrapText="1"/>
    </xf>
    <xf numFmtId="0" fontId="13" fillId="31" borderId="165" xfId="9" applyNumberFormat="1" applyFont="1" applyFill="1" applyBorder="1" applyAlignment="1" applyProtection="1">
      <alignment horizontal="center" vertical="center" wrapText="1"/>
    </xf>
    <xf numFmtId="0" fontId="13" fillId="31" borderId="7" xfId="9" applyNumberFormat="1" applyFont="1" applyFill="1" applyBorder="1" applyAlignment="1" applyProtection="1">
      <alignment horizontal="center" vertical="center" wrapText="1"/>
    </xf>
    <xf numFmtId="0" fontId="7" fillId="34" borderId="143" xfId="9" applyNumberFormat="1" applyFont="1" applyFill="1" applyBorder="1" applyAlignment="1" applyProtection="1">
      <alignment horizontal="center" vertical="top" wrapText="1"/>
    </xf>
    <xf numFmtId="0" fontId="13" fillId="7" borderId="165" xfId="9" applyNumberFormat="1" applyFont="1" applyFill="1" applyBorder="1" applyAlignment="1" applyProtection="1">
      <alignment horizontal="left" vertical="center" wrapText="1"/>
    </xf>
    <xf numFmtId="0" fontId="13" fillId="7" borderId="31" xfId="9" applyNumberFormat="1" applyFont="1" applyFill="1" applyBorder="1" applyAlignment="1" applyProtection="1">
      <alignment horizontal="left" vertical="center" wrapText="1"/>
    </xf>
    <xf numFmtId="0" fontId="7" fillId="36" borderId="6" xfId="0" applyNumberFormat="1" applyFont="1" applyFill="1" applyBorder="1" applyAlignment="1" applyProtection="1">
      <alignment vertical="center" wrapText="1"/>
    </xf>
    <xf numFmtId="0" fontId="79" fillId="0" borderId="0" xfId="0" applyNumberFormat="1" applyFont="1" applyBorder="1" applyAlignment="1" applyProtection="1">
      <alignment horizontal="left" vertical="center" wrapText="1"/>
    </xf>
    <xf numFmtId="0" fontId="2" fillId="0" borderId="0" xfId="9" applyNumberFormat="1" applyFont="1" applyBorder="1" applyAlignment="1" applyProtection="1">
      <alignment vertical="center"/>
      <protection locked="0"/>
    </xf>
    <xf numFmtId="0" fontId="19" fillId="31" borderId="3" xfId="19" applyNumberFormat="1" applyFont="1" applyFill="1" applyBorder="1" applyAlignment="1" applyProtection="1">
      <alignment wrapText="1"/>
    </xf>
    <xf numFmtId="0" fontId="19" fillId="31" borderId="3" xfId="19" applyNumberFormat="1" applyFont="1" applyFill="1" applyBorder="1" applyAlignment="1" applyProtection="1">
      <alignment vertical="center" wrapText="1"/>
    </xf>
    <xf numFmtId="0" fontId="13" fillId="31" borderId="3" xfId="19" applyNumberFormat="1" applyFont="1" applyFill="1" applyBorder="1" applyAlignment="1" applyProtection="1">
      <alignment vertical="top" wrapText="1"/>
    </xf>
    <xf numFmtId="0" fontId="8" fillId="0" borderId="0" xfId="19" applyNumberFormat="1" applyFont="1" applyFill="1" applyBorder="1" applyAlignment="1" applyProtection="1">
      <alignment vertical="center" wrapText="1"/>
    </xf>
    <xf numFmtId="0" fontId="6" fillId="0" borderId="166" xfId="19" applyNumberFormat="1" applyFont="1" applyFill="1" applyBorder="1" applyAlignment="1" applyProtection="1">
      <alignment wrapText="1"/>
    </xf>
    <xf numFmtId="0" fontId="6" fillId="0" borderId="164" xfId="19" applyNumberFormat="1" applyFont="1" applyFill="1" applyBorder="1" applyAlignment="1" applyProtection="1">
      <alignment horizontal="center" vertical="center" wrapText="1"/>
    </xf>
    <xf numFmtId="0" fontId="8" fillId="0" borderId="165" xfId="19" applyNumberFormat="1" applyFont="1" applyFill="1" applyBorder="1" applyAlignment="1" applyProtection="1">
      <alignment vertical="center" wrapText="1"/>
    </xf>
    <xf numFmtId="0" fontId="13" fillId="31" borderId="3" xfId="19" applyNumberFormat="1" applyFont="1" applyFill="1" applyBorder="1" applyAlignment="1" applyProtection="1">
      <alignment horizontal="right" vertical="top" wrapText="1"/>
    </xf>
    <xf numFmtId="0" fontId="8" fillId="31" borderId="3" xfId="19" applyNumberFormat="1" applyFont="1" applyFill="1" applyBorder="1" applyAlignment="1" applyProtection="1">
      <alignment horizontal="left" vertical="top" wrapText="1"/>
    </xf>
    <xf numFmtId="0" fontId="7" fillId="31" borderId="3" xfId="19" applyNumberFormat="1" applyFont="1" applyFill="1" applyBorder="1" applyAlignment="1" applyProtection="1">
      <alignment horizontal="center" vertical="center" wrapText="1"/>
    </xf>
    <xf numFmtId="0" fontId="13" fillId="31" borderId="3" xfId="19" applyNumberFormat="1" applyFont="1" applyFill="1" applyBorder="1" applyAlignment="1" applyProtection="1">
      <alignment horizontal="center" wrapText="1"/>
    </xf>
    <xf numFmtId="0" fontId="19" fillId="31" borderId="29" xfId="19" applyNumberFormat="1" applyFont="1" applyFill="1" applyBorder="1" applyAlignment="1" applyProtection="1">
      <alignment horizontal="center" wrapText="1"/>
    </xf>
    <xf numFmtId="0" fontId="13" fillId="34" borderId="29" xfId="13" applyNumberFormat="1" applyFont="1" applyFill="1" applyBorder="1" applyAlignment="1" applyProtection="1">
      <alignment horizontal="left" vertical="center"/>
    </xf>
    <xf numFmtId="0" fontId="2" fillId="0" borderId="3" xfId="0" applyNumberFormat="1" applyFont="1" applyBorder="1" applyAlignment="1" applyProtection="1">
      <alignment wrapText="1"/>
    </xf>
    <xf numFmtId="0" fontId="2" fillId="0" borderId="3" xfId="0" applyNumberFormat="1" applyFont="1" applyBorder="1" applyAlignment="1" applyProtection="1">
      <alignment horizontal="left" vertical="top" wrapText="1"/>
    </xf>
    <xf numFmtId="0" fontId="2" fillId="0" borderId="3" xfId="19" applyNumberFormat="1" applyFont="1" applyFill="1" applyBorder="1" applyAlignment="1" applyProtection="1">
      <alignment horizontal="center" wrapText="1"/>
      <protection locked="0"/>
    </xf>
    <xf numFmtId="0" fontId="2" fillId="0" borderId="29" xfId="19" applyNumberFormat="1" applyFont="1" applyBorder="1" applyAlignment="1" applyProtection="1">
      <alignment wrapText="1"/>
      <protection locked="0"/>
    </xf>
    <xf numFmtId="0" fontId="2" fillId="0" borderId="3" xfId="0" applyNumberFormat="1" applyFont="1" applyBorder="1" applyAlignment="1" applyProtection="1">
      <alignment horizontal="left" vertical="center" wrapText="1"/>
    </xf>
    <xf numFmtId="0" fontId="13" fillId="0" borderId="29" xfId="19" applyNumberFormat="1" applyFont="1" applyBorder="1" applyAlignment="1" applyProtection="1">
      <alignment wrapText="1"/>
      <protection locked="0"/>
    </xf>
    <xf numFmtId="0" fontId="2" fillId="0" borderId="3" xfId="19" applyNumberFormat="1" applyFont="1" applyFill="1" applyBorder="1" applyAlignment="1" applyProtection="1">
      <alignment horizontal="left" vertical="top" wrapText="1"/>
    </xf>
    <xf numFmtId="0" fontId="2" fillId="0" borderId="29" xfId="19" applyNumberFormat="1" applyFont="1" applyFill="1" applyBorder="1" applyAlignment="1" applyProtection="1">
      <alignment horizontal="left" vertical="top" wrapText="1"/>
      <protection locked="0"/>
    </xf>
    <xf numFmtId="0" fontId="2" fillId="0" borderId="3" xfId="0" applyNumberFormat="1" applyFont="1" applyFill="1" applyBorder="1" applyAlignment="1" applyProtection="1">
      <alignment wrapText="1"/>
    </xf>
    <xf numFmtId="0" fontId="2" fillId="0" borderId="3" xfId="0" applyNumberFormat="1" applyFont="1" applyFill="1" applyBorder="1" applyAlignment="1" applyProtection="1">
      <alignment vertical="center" wrapText="1"/>
    </xf>
    <xf numFmtId="0" fontId="2" fillId="0" borderId="3" xfId="0" applyNumberFormat="1" applyFont="1" applyFill="1" applyBorder="1" applyAlignment="1" applyProtection="1">
      <alignment horizontal="left" vertical="top" wrapText="1"/>
    </xf>
    <xf numFmtId="0" fontId="2" fillId="0" borderId="29" xfId="19" applyNumberFormat="1" applyFont="1" applyFill="1" applyBorder="1" applyAlignment="1" applyProtection="1">
      <alignment wrapText="1"/>
      <protection locked="0"/>
    </xf>
    <xf numFmtId="0" fontId="2" fillId="0" borderId="3" xfId="0" applyNumberFormat="1" applyFont="1" applyFill="1" applyBorder="1" applyAlignment="1" applyProtection="1">
      <alignment horizontal="left" vertical="center" wrapText="1"/>
    </xf>
    <xf numFmtId="0" fontId="13" fillId="0" borderId="29" xfId="19" applyNumberFormat="1" applyFont="1" applyFill="1" applyBorder="1" applyAlignment="1" applyProtection="1">
      <alignment wrapText="1"/>
      <protection locked="0"/>
    </xf>
    <xf numFmtId="0" fontId="2" fillId="0" borderId="31" xfId="0" applyNumberFormat="1" applyFont="1" applyBorder="1" applyAlignment="1" applyProtection="1">
      <alignment wrapText="1"/>
    </xf>
    <xf numFmtId="0" fontId="2" fillId="0" borderId="31" xfId="0" applyNumberFormat="1" applyFont="1" applyBorder="1" applyAlignment="1" applyProtection="1">
      <alignment horizontal="left" vertical="top" wrapText="1"/>
    </xf>
    <xf numFmtId="0" fontId="13" fillId="0" borderId="33" xfId="19" applyNumberFormat="1" applyFont="1" applyBorder="1" applyAlignment="1" applyProtection="1">
      <alignment wrapText="1"/>
      <protection locked="0"/>
    </xf>
    <xf numFmtId="0" fontId="59" fillId="14" borderId="0" xfId="0" applyNumberFormat="1" applyFont="1" applyFill="1" applyAlignment="1">
      <alignment horizontal="center" vertical="center" wrapText="1"/>
    </xf>
    <xf numFmtId="0" fontId="7" fillId="0" borderId="3" xfId="16" applyNumberFormat="1" applyFont="1" applyFill="1" applyBorder="1" applyAlignment="1" applyProtection="1">
      <alignment horizontal="left"/>
    </xf>
    <xf numFmtId="0" fontId="13" fillId="18" borderId="139" xfId="0" applyNumberFormat="1" applyFont="1" applyFill="1" applyBorder="1" applyAlignment="1">
      <alignment vertical="top"/>
    </xf>
    <xf numFmtId="0" fontId="7" fillId="0" borderId="0" xfId="0" applyNumberFormat="1" applyFont="1">
      <alignment vertical="center" wrapText="1"/>
    </xf>
    <xf numFmtId="0" fontId="0" fillId="0" borderId="0" xfId="0" applyNumberFormat="1" applyAlignment="1">
      <alignment horizontal="center" wrapText="1"/>
    </xf>
    <xf numFmtId="0" fontId="2" fillId="0" borderId="0" xfId="0" applyNumberFormat="1" applyFont="1" applyAlignment="1">
      <alignment vertical="center"/>
    </xf>
    <xf numFmtId="0" fontId="0" fillId="0" borderId="0" xfId="0" applyNumberFormat="1" applyAlignment="1">
      <alignment vertical="center"/>
    </xf>
    <xf numFmtId="0" fontId="19" fillId="28" borderId="0" xfId="15" applyNumberFormat="1" applyFont="1" applyFill="1"/>
    <xf numFmtId="0" fontId="31" fillId="28" borderId="3" xfId="15" applyNumberFormat="1" applyFont="1" applyFill="1" applyBorder="1" applyAlignment="1">
      <alignment horizontal="center"/>
    </xf>
    <xf numFmtId="0"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vertical="center" wrapText="1"/>
    </xf>
    <xf numFmtId="0" fontId="2" fillId="0" borderId="0" xfId="0" applyNumberFormat="1" applyFont="1" applyFill="1" applyBorder="1" applyAlignment="1">
      <alignment vertical="center"/>
    </xf>
    <xf numFmtId="0" fontId="7" fillId="0" borderId="3" xfId="16" applyNumberFormat="1" applyFont="1" applyFill="1" applyBorder="1" applyAlignment="1" applyProtection="1">
      <alignment horizontal="left"/>
    </xf>
    <xf numFmtId="0" fontId="6" fillId="0" borderId="181" xfId="0" applyNumberFormat="1" applyFont="1" applyFill="1" applyBorder="1" applyAlignment="1">
      <alignment vertical="center" wrapText="1"/>
    </xf>
    <xf numFmtId="0" fontId="29" fillId="18" borderId="181" xfId="0" applyNumberFormat="1" applyFont="1" applyFill="1" applyBorder="1" applyAlignment="1">
      <alignment vertical="top"/>
    </xf>
    <xf numFmtId="0" fontId="29" fillId="18" borderId="182" xfId="0" applyNumberFormat="1" applyFont="1" applyFill="1" applyBorder="1" applyAlignment="1">
      <alignment vertical="top"/>
    </xf>
    <xf numFmtId="0" fontId="3" fillId="0" borderId="175" xfId="0" applyNumberFormat="1" applyFont="1" applyFill="1" applyBorder="1" applyAlignment="1">
      <alignment vertical="top" wrapText="1"/>
    </xf>
    <xf numFmtId="0" fontId="3" fillId="0" borderId="175" xfId="18" applyNumberFormat="1" applyFont="1" applyFill="1" applyBorder="1" applyAlignment="1">
      <alignment vertical="top" wrapText="1"/>
    </xf>
    <xf numFmtId="0" fontId="3" fillId="0" borderId="3" xfId="0" applyNumberFormat="1" applyFont="1" applyFill="1" applyBorder="1" applyAlignment="1">
      <alignment horizontal="center" vertical="center" wrapText="1"/>
    </xf>
    <xf numFmtId="0" fontId="0" fillId="0" borderId="3" xfId="0" applyNumberFormat="1" applyBorder="1" applyAlignment="1" applyProtection="1">
      <alignment horizontal="center" vertical="center" wrapText="1"/>
    </xf>
    <xf numFmtId="0" fontId="2" fillId="0" borderId="3" xfId="16" applyNumberFormat="1" applyFill="1" applyBorder="1" applyAlignment="1" applyProtection="1">
      <alignment horizontal="center"/>
    </xf>
    <xf numFmtId="0" fontId="25" fillId="10" borderId="3" xfId="16" applyNumberFormat="1" applyFont="1" applyFill="1" applyBorder="1" applyAlignment="1" applyProtection="1">
      <alignment horizontal="center" vertical="center"/>
    </xf>
    <xf numFmtId="0" fontId="63" fillId="10" borderId="3" xfId="16" applyNumberFormat="1" applyFont="1" applyFill="1" applyBorder="1" applyAlignment="1" applyProtection="1">
      <alignment horizontal="center" vertical="center"/>
    </xf>
    <xf numFmtId="0" fontId="77" fillId="31" borderId="126" xfId="16" applyNumberFormat="1" applyFont="1" applyFill="1" applyBorder="1" applyAlignment="1" applyProtection="1">
      <alignment horizontal="center" vertical="center"/>
    </xf>
    <xf numFmtId="0" fontId="2" fillId="26" borderId="118" xfId="16" applyNumberFormat="1" applyFill="1" applyBorder="1" applyProtection="1"/>
    <xf numFmtId="0" fontId="2" fillId="26" borderId="120" xfId="16" applyNumberFormat="1" applyFill="1" applyBorder="1" applyProtection="1"/>
    <xf numFmtId="0" fontId="4" fillId="31" borderId="3" xfId="16" applyNumberFormat="1" applyFont="1" applyFill="1" applyBorder="1" applyAlignment="1" applyProtection="1">
      <alignment horizontal="center" vertical="center"/>
    </xf>
    <xf numFmtId="0" fontId="3" fillId="0" borderId="3" xfId="16" applyNumberFormat="1" applyFont="1" applyBorder="1" applyProtection="1"/>
    <xf numFmtId="0" fontId="19" fillId="0" borderId="3" xfId="0" applyNumberFormat="1" applyFont="1" applyBorder="1" applyAlignment="1" applyProtection="1">
      <alignment horizontal="center" vertical="center" wrapText="1"/>
    </xf>
    <xf numFmtId="0" fontId="46" fillId="0" borderId="3" xfId="0" applyNumberFormat="1" applyFont="1" applyFill="1" applyBorder="1" applyProtection="1">
      <alignment vertical="center" wrapText="1"/>
    </xf>
    <xf numFmtId="0" fontId="3" fillId="0" borderId="3" xfId="16" applyNumberFormat="1" applyFont="1" applyBorder="1" applyAlignment="1" applyProtection="1">
      <alignment vertical="top" wrapText="1"/>
    </xf>
    <xf numFmtId="0" fontId="33" fillId="0" borderId="3" xfId="0" applyNumberFormat="1" applyFont="1" applyBorder="1" applyProtection="1">
      <alignment vertical="center" wrapText="1"/>
    </xf>
    <xf numFmtId="0" fontId="19" fillId="0" borderId="3" xfId="16" applyNumberFormat="1" applyFont="1" applyBorder="1" applyAlignment="1" applyProtection="1">
      <alignment vertical="top" wrapText="1"/>
    </xf>
    <xf numFmtId="0" fontId="2" fillId="0" borderId="3" xfId="16" applyNumberFormat="1" applyFont="1" applyFill="1" applyBorder="1" applyAlignment="1" applyProtection="1">
      <alignment horizontal="right" vertical="top" wrapText="1"/>
    </xf>
    <xf numFmtId="0" fontId="27" fillId="31" borderId="180" xfId="13" applyNumberFormat="1" applyFont="1" applyFill="1" applyBorder="1" applyAlignment="1" applyProtection="1">
      <alignment vertical="center" wrapText="1"/>
    </xf>
    <xf numFmtId="0" fontId="3" fillId="18" borderId="131" xfId="0" applyNumberFormat="1" applyFont="1" applyFill="1" applyBorder="1" applyAlignment="1">
      <alignment horizontal="center" vertical="top" wrapText="1"/>
    </xf>
    <xf numFmtId="0" fontId="3" fillId="18" borderId="34" xfId="0" applyNumberFormat="1" applyFont="1" applyFill="1" applyBorder="1" applyAlignment="1">
      <alignment horizontal="center" vertical="top" wrapText="1"/>
    </xf>
    <xf numFmtId="165" fontId="13" fillId="0" borderId="0" xfId="0" applyNumberFormat="1" applyFont="1">
      <alignment vertical="center" wrapText="1"/>
    </xf>
    <xf numFmtId="0" fontId="3" fillId="0" borderId="3" xfId="0" applyNumberFormat="1" applyFont="1" applyFill="1" applyBorder="1" applyAlignment="1">
      <alignment horizontal="center" vertical="center"/>
    </xf>
    <xf numFmtId="0" fontId="3" fillId="0" borderId="14" xfId="0" applyNumberFormat="1" applyFont="1" applyFill="1" applyBorder="1" applyAlignment="1">
      <alignment horizontal="center" vertical="center"/>
    </xf>
    <xf numFmtId="0" fontId="33" fillId="0" borderId="3" xfId="8" applyNumberFormat="1" applyFont="1" applyFill="1" applyBorder="1" applyAlignment="1" applyProtection="1">
      <alignment horizontal="center" vertical="center" wrapText="1"/>
    </xf>
    <xf numFmtId="0" fontId="33" fillId="0" borderId="3" xfId="0" applyNumberFormat="1" applyFont="1" applyBorder="1" applyAlignment="1" applyProtection="1">
      <alignment horizontal="center" vertical="center" wrapText="1"/>
    </xf>
    <xf numFmtId="0" fontId="7" fillId="0" borderId="3" xfId="16" applyNumberFormat="1" applyFont="1" applyFill="1" applyBorder="1" applyAlignment="1" applyProtection="1">
      <alignment horizontal="center" vertical="center"/>
    </xf>
    <xf numFmtId="0" fontId="2" fillId="0" borderId="3" xfId="16" applyNumberFormat="1" applyBorder="1" applyAlignment="1" applyProtection="1">
      <alignment horizontal="center" vertical="center"/>
    </xf>
    <xf numFmtId="0" fontId="19" fillId="0" borderId="3" xfId="16" applyNumberFormat="1" applyFont="1" applyBorder="1" applyAlignment="1" applyProtection="1">
      <alignment horizontal="center" vertical="center"/>
    </xf>
    <xf numFmtId="0" fontId="2" fillId="0" borderId="3" xfId="16" applyNumberFormat="1" applyFill="1" applyBorder="1" applyAlignment="1" applyProtection="1">
      <alignment horizontal="center" vertical="center"/>
    </xf>
    <xf numFmtId="0" fontId="19" fillId="0" borderId="3" xfId="16" applyNumberFormat="1" applyFont="1" applyFill="1" applyBorder="1" applyAlignment="1" applyProtection="1">
      <alignment horizontal="center" vertical="center"/>
    </xf>
    <xf numFmtId="0" fontId="2" fillId="8" borderId="3" xfId="16" applyNumberFormat="1" applyFill="1" applyBorder="1" applyAlignment="1" applyProtection="1">
      <alignment horizontal="center" vertical="center"/>
    </xf>
    <xf numFmtId="0" fontId="14" fillId="8" borderId="3" xfId="16" applyNumberFormat="1" applyFont="1" applyFill="1" applyBorder="1" applyAlignment="1" applyProtection="1">
      <alignment horizontal="center" vertical="center"/>
    </xf>
    <xf numFmtId="0" fontId="2" fillId="8" borderId="3" xfId="16" applyNumberFormat="1" applyFont="1" applyFill="1" applyBorder="1" applyAlignment="1" applyProtection="1">
      <alignment horizontal="center" vertical="center"/>
    </xf>
    <xf numFmtId="0" fontId="3" fillId="0" borderId="3" xfId="16" applyNumberFormat="1" applyFont="1" applyFill="1" applyBorder="1" applyAlignment="1" applyProtection="1">
      <alignment horizontal="center" vertical="center"/>
    </xf>
    <xf numFmtId="0" fontId="14" fillId="0" borderId="3" xfId="16" applyNumberFormat="1" applyFont="1" applyFill="1" applyBorder="1" applyAlignment="1" applyProtection="1">
      <alignment horizontal="center" vertical="center"/>
    </xf>
    <xf numFmtId="0" fontId="64" fillId="0" borderId="3" xfId="16" applyNumberFormat="1" applyFont="1" applyFill="1" applyBorder="1" applyAlignment="1" applyProtection="1">
      <alignment horizontal="center" vertical="center"/>
    </xf>
    <xf numFmtId="0" fontId="65" fillId="0" borderId="3" xfId="16" applyNumberFormat="1" applyFont="1" applyFill="1" applyBorder="1" applyAlignment="1" applyProtection="1">
      <alignment horizontal="center" vertical="center"/>
    </xf>
    <xf numFmtId="0" fontId="13" fillId="0" borderId="3" xfId="16" applyNumberFormat="1" applyFont="1" applyFill="1" applyBorder="1" applyAlignment="1" applyProtection="1">
      <alignment horizontal="center" vertical="center"/>
    </xf>
    <xf numFmtId="0" fontId="13" fillId="0" borderId="3" xfId="16" applyNumberFormat="1" applyFont="1" applyBorder="1" applyAlignment="1" applyProtection="1">
      <alignment horizontal="center" vertical="center"/>
    </xf>
    <xf numFmtId="0" fontId="2" fillId="0" borderId="0" xfId="16" applyNumberFormat="1" applyAlignment="1" applyProtection="1">
      <alignment horizontal="center" vertical="center"/>
      <protection locked="0"/>
    </xf>
    <xf numFmtId="0" fontId="2" fillId="0" borderId="0" xfId="16" applyNumberFormat="1" applyAlignment="1" applyProtection="1">
      <alignment horizontal="center" vertical="center"/>
    </xf>
    <xf numFmtId="0" fontId="29" fillId="0" borderId="0" xfId="16" applyNumberFormat="1" applyFont="1" applyBorder="1" applyAlignment="1" applyProtection="1">
      <alignment horizontal="center" vertical="center" wrapText="1"/>
    </xf>
    <xf numFmtId="0" fontId="0" fillId="14" borderId="0" xfId="0" applyNumberFormat="1" applyFill="1" applyAlignment="1">
      <alignment horizontal="center" vertical="top" wrapText="1"/>
    </xf>
    <xf numFmtId="0" fontId="29" fillId="18" borderId="187" xfId="0" applyNumberFormat="1" applyFont="1" applyFill="1" applyBorder="1" applyAlignment="1">
      <alignment vertical="top"/>
    </xf>
    <xf numFmtId="0" fontId="3" fillId="0" borderId="133" xfId="0" applyNumberFormat="1" applyFont="1" applyFill="1" applyBorder="1" applyAlignment="1">
      <alignment vertical="top" wrapText="1"/>
    </xf>
    <xf numFmtId="0" fontId="3" fillId="0" borderId="188" xfId="0" applyNumberFormat="1" applyFont="1" applyFill="1" applyBorder="1" applyAlignment="1">
      <alignment vertical="top" wrapText="1"/>
    </xf>
    <xf numFmtId="0" fontId="3" fillId="0" borderId="186" xfId="0" applyNumberFormat="1" applyFont="1" applyFill="1" applyBorder="1" applyAlignment="1">
      <alignment vertical="top" wrapText="1"/>
    </xf>
    <xf numFmtId="0" fontId="3" fillId="18" borderId="133" xfId="0" applyNumberFormat="1" applyFont="1" applyFill="1" applyBorder="1" applyAlignment="1">
      <alignment vertical="top" wrapText="1"/>
    </xf>
    <xf numFmtId="0" fontId="3" fillId="18" borderId="133" xfId="18" applyNumberFormat="1" applyFont="1" applyFill="1" applyBorder="1" applyAlignment="1">
      <alignment vertical="top" wrapText="1"/>
    </xf>
    <xf numFmtId="0" fontId="3" fillId="0" borderId="133" xfId="18" applyNumberFormat="1" applyFont="1" applyFill="1" applyBorder="1" applyAlignment="1">
      <alignment vertical="top" wrapText="1"/>
    </xf>
    <xf numFmtId="0" fontId="29" fillId="18" borderId="162" xfId="0" applyNumberFormat="1" applyFont="1" applyFill="1" applyBorder="1" applyAlignment="1">
      <alignment vertical="top"/>
    </xf>
    <xf numFmtId="0" fontId="3" fillId="0" borderId="135" xfId="0" applyNumberFormat="1" applyFont="1" applyFill="1" applyBorder="1" applyAlignment="1">
      <alignment horizontal="center" vertical="center" wrapText="1"/>
    </xf>
    <xf numFmtId="0" fontId="3" fillId="0" borderId="162" xfId="0" applyNumberFormat="1" applyFont="1" applyFill="1" applyBorder="1" applyAlignment="1">
      <alignment vertical="top" wrapText="1"/>
    </xf>
    <xf numFmtId="0" fontId="3" fillId="0" borderId="137" xfId="0" applyNumberFormat="1" applyFont="1" applyFill="1" applyBorder="1" applyAlignment="1">
      <alignment horizontal="center" vertical="center" wrapText="1"/>
    </xf>
    <xf numFmtId="0" fontId="13" fillId="18" borderId="137" xfId="0" applyNumberFormat="1" applyFont="1" applyFill="1" applyBorder="1" applyAlignment="1">
      <alignment horizontal="center" vertical="center"/>
    </xf>
    <xf numFmtId="0" fontId="0" fillId="0" borderId="162" xfId="0" applyNumberFormat="1" applyFont="1" applyFill="1" applyBorder="1">
      <alignment vertical="center" wrapText="1"/>
    </xf>
    <xf numFmtId="0" fontId="5" fillId="0" borderId="162" xfId="0" applyNumberFormat="1" applyFont="1" applyFill="1" applyBorder="1" applyAlignment="1">
      <alignment vertical="top" wrapText="1"/>
    </xf>
    <xf numFmtId="0" fontId="0" fillId="0" borderId="162" xfId="0" applyNumberFormat="1" applyFont="1" applyFill="1" applyBorder="1" applyAlignment="1">
      <alignment vertical="top" wrapText="1"/>
    </xf>
    <xf numFmtId="0" fontId="3" fillId="18" borderId="135" xfId="0" applyNumberFormat="1" applyFont="1" applyFill="1" applyBorder="1" applyAlignment="1">
      <alignment vertical="top" wrapText="1"/>
    </xf>
    <xf numFmtId="0" fontId="3" fillId="18" borderId="162" xfId="0" applyNumberFormat="1" applyFont="1" applyFill="1" applyBorder="1" applyAlignment="1">
      <alignment vertical="top" wrapText="1"/>
    </xf>
    <xf numFmtId="0" fontId="3" fillId="18" borderId="137" xfId="0" applyNumberFormat="1" applyFont="1" applyFill="1" applyBorder="1" applyAlignment="1">
      <alignment vertical="top" wrapText="1"/>
    </xf>
    <xf numFmtId="0" fontId="0" fillId="0" borderId="137" xfId="0" applyNumberFormat="1" applyFont="1" applyFill="1" applyBorder="1" applyAlignment="1">
      <alignment horizontal="center" vertical="center" wrapText="1"/>
    </xf>
    <xf numFmtId="0" fontId="13" fillId="18" borderId="137" xfId="0" applyNumberFormat="1" applyFont="1" applyFill="1" applyBorder="1" applyAlignment="1">
      <alignment horizontal="center" vertical="center" wrapText="1"/>
    </xf>
    <xf numFmtId="0" fontId="3" fillId="0" borderId="162" xfId="0" applyNumberFormat="1" applyFont="1" applyFill="1" applyBorder="1" applyAlignment="1">
      <alignment vertical="center" wrapText="1"/>
    </xf>
    <xf numFmtId="0" fontId="3" fillId="0" borderId="137" xfId="0" applyNumberFormat="1" applyFont="1" applyBorder="1" applyAlignment="1">
      <alignment horizontal="center" vertical="center"/>
    </xf>
    <xf numFmtId="0" fontId="3" fillId="18" borderId="135" xfId="18" applyNumberFormat="1" applyFont="1" applyFill="1" applyBorder="1" applyAlignment="1">
      <alignment vertical="top" wrapText="1"/>
    </xf>
    <xf numFmtId="0" fontId="3" fillId="18" borderId="162" xfId="18" applyNumberFormat="1" applyFont="1" applyFill="1" applyBorder="1" applyAlignment="1">
      <alignment vertical="top" wrapText="1"/>
    </xf>
    <xf numFmtId="0" fontId="13" fillId="18" borderId="137" xfId="18" applyNumberFormat="1" applyFont="1" applyFill="1" applyBorder="1" applyAlignment="1">
      <alignment horizontal="center" vertical="center" wrapText="1"/>
    </xf>
    <xf numFmtId="0" fontId="3" fillId="0" borderId="135" xfId="18" applyNumberFormat="1" applyFont="1" applyFill="1" applyBorder="1" applyAlignment="1">
      <alignment horizontal="center" vertical="center" wrapText="1"/>
    </xf>
    <xf numFmtId="0" fontId="3" fillId="0" borderId="162" xfId="18" applyNumberFormat="1" applyFont="1" applyFill="1" applyBorder="1" applyAlignment="1">
      <alignment vertical="top" wrapText="1"/>
    </xf>
    <xf numFmtId="0" fontId="3" fillId="0" borderId="137" xfId="18" applyNumberFormat="1" applyFont="1" applyFill="1" applyBorder="1" applyAlignment="1">
      <alignment horizontal="center" vertical="center" wrapText="1"/>
    </xf>
    <xf numFmtId="0" fontId="3" fillId="0" borderId="162" xfId="18" applyNumberFormat="1" applyFont="1" applyFill="1" applyBorder="1" applyAlignment="1">
      <alignment vertical="center" wrapText="1"/>
    </xf>
    <xf numFmtId="0" fontId="3" fillId="0" borderId="137" xfId="18" applyNumberFormat="1" applyFont="1" applyBorder="1" applyAlignment="1">
      <alignment horizontal="center" vertical="center"/>
    </xf>
    <xf numFmtId="0" fontId="36" fillId="18" borderId="57" xfId="8" applyNumberFormat="1" applyFont="1" applyFill="1" applyBorder="1" applyAlignment="1" applyProtection="1">
      <alignment vertical="top" wrapText="1"/>
    </xf>
    <xf numFmtId="0" fontId="36" fillId="18" borderId="57" xfId="8" applyNumberFormat="1" applyFont="1" applyFill="1" applyBorder="1" applyAlignment="1" applyProtection="1">
      <alignment vertical="center" wrapText="1"/>
    </xf>
    <xf numFmtId="0" fontId="36" fillId="18" borderId="76" xfId="8" applyNumberFormat="1" applyFont="1" applyFill="1" applyBorder="1" applyAlignment="1" applyProtection="1">
      <alignment vertical="top" wrapText="1"/>
    </xf>
    <xf numFmtId="0" fontId="36" fillId="18" borderId="2" xfId="8" applyNumberFormat="1" applyFont="1" applyFill="1" applyBorder="1" applyAlignment="1" applyProtection="1">
      <alignment vertical="top" wrapText="1"/>
    </xf>
    <xf numFmtId="1" fontId="2" fillId="0" borderId="0" xfId="13" applyNumberFormat="1" applyFill="1" applyBorder="1" applyAlignment="1" applyProtection="1"/>
    <xf numFmtId="1" fontId="18" fillId="0" borderId="0" xfId="13" applyNumberFormat="1" applyFont="1" applyFill="1" applyBorder="1" applyAlignment="1" applyProtection="1">
      <alignment textRotation="90"/>
    </xf>
    <xf numFmtId="1" fontId="0" fillId="31" borderId="3" xfId="0" applyNumberFormat="1" applyFill="1" applyBorder="1" applyAlignment="1" applyProtection="1">
      <alignment vertical="center" textRotation="90" wrapText="1"/>
    </xf>
    <xf numFmtId="1" fontId="0" fillId="0" borderId="0" xfId="0" applyNumberFormat="1">
      <alignment vertical="center" wrapText="1"/>
    </xf>
    <xf numFmtId="1" fontId="0" fillId="0" borderId="0" xfId="0" applyNumberFormat="1" applyBorder="1" applyAlignment="1" applyProtection="1">
      <alignment vertical="center" wrapText="1"/>
    </xf>
    <xf numFmtId="1" fontId="2" fillId="0" borderId="0" xfId="13" applyNumberFormat="1" applyBorder="1" applyAlignment="1" applyProtection="1"/>
    <xf numFmtId="1" fontId="11" fillId="0" borderId="0" xfId="12" applyNumberFormat="1" applyFont="1" applyFill="1" applyBorder="1" applyAlignment="1" applyProtection="1">
      <alignment horizontal="center"/>
    </xf>
    <xf numFmtId="164" fontId="2" fillId="14" borderId="179" xfId="9" applyFont="1" applyFill="1" applyBorder="1" applyAlignment="1" applyProtection="1">
      <alignment vertical="top" wrapText="1"/>
      <protection locked="0"/>
    </xf>
    <xf numFmtId="164" fontId="2" fillId="20" borderId="191" xfId="9" applyFont="1" applyFill="1" applyBorder="1" applyAlignment="1" applyProtection="1">
      <alignment vertical="top" wrapText="1"/>
      <protection locked="0"/>
    </xf>
    <xf numFmtId="0" fontId="50" fillId="31" borderId="143" xfId="9" applyNumberFormat="1" applyFont="1" applyFill="1" applyBorder="1" applyAlignment="1">
      <alignment horizontal="center" vertical="center" wrapText="1"/>
    </xf>
    <xf numFmtId="0" fontId="2" fillId="37" borderId="174" xfId="9" applyNumberFormat="1" applyFont="1" applyFill="1" applyBorder="1" applyAlignment="1" applyProtection="1">
      <alignment horizontal="center" vertical="center"/>
    </xf>
    <xf numFmtId="0" fontId="2" fillId="34" borderId="144" xfId="9" applyNumberFormat="1" applyFont="1" applyFill="1" applyBorder="1" applyAlignment="1" applyProtection="1">
      <alignment horizontal="center" vertical="top" wrapText="1"/>
    </xf>
    <xf numFmtId="0" fontId="16" fillId="0" borderId="3" xfId="16" applyNumberFormat="1" applyFont="1" applyBorder="1" applyAlignment="1" applyProtection="1">
      <alignment vertical="center"/>
    </xf>
    <xf numFmtId="0" fontId="2" fillId="0" borderId="3" xfId="16" applyNumberFormat="1" applyFont="1" applyBorder="1" applyAlignment="1" applyProtection="1">
      <alignment vertical="center" wrapText="1"/>
    </xf>
    <xf numFmtId="0" fontId="2" fillId="0" borderId="29" xfId="16" applyNumberFormat="1" applyBorder="1" applyAlignment="1" applyProtection="1">
      <alignment vertical="center"/>
      <protection locked="0"/>
    </xf>
    <xf numFmtId="0" fontId="19" fillId="0" borderId="3" xfId="16" applyNumberFormat="1" applyFont="1" applyBorder="1" applyAlignment="1" applyProtection="1">
      <alignment vertical="center"/>
    </xf>
    <xf numFmtId="0" fontId="19" fillId="0" borderId="3" xfId="16" applyNumberFormat="1" applyFont="1" applyBorder="1" applyAlignment="1" applyProtection="1">
      <alignment vertical="center" wrapText="1"/>
    </xf>
    <xf numFmtId="0" fontId="3" fillId="0" borderId="3" xfId="16" applyNumberFormat="1" applyFont="1" applyBorder="1" applyAlignment="1" applyProtection="1">
      <alignment vertical="center"/>
    </xf>
    <xf numFmtId="0" fontId="2" fillId="0" borderId="3" xfId="16" applyNumberFormat="1" applyBorder="1" applyAlignment="1" applyProtection="1">
      <alignment vertical="center" wrapText="1"/>
    </xf>
    <xf numFmtId="0" fontId="0" fillId="17" borderId="164" xfId="0" applyNumberFormat="1" applyFill="1" applyBorder="1">
      <alignment vertical="center" wrapText="1"/>
    </xf>
    <xf numFmtId="0" fontId="0" fillId="17" borderId="194" xfId="0" applyNumberFormat="1" applyFill="1" applyBorder="1">
      <alignment vertical="center" wrapText="1"/>
    </xf>
    <xf numFmtId="166" fontId="3" fillId="0" borderId="3" xfId="0" applyNumberFormat="1" applyFont="1" applyFill="1" applyBorder="1" applyAlignment="1">
      <alignment horizontal="center" vertical="center"/>
    </xf>
    <xf numFmtId="0" fontId="3" fillId="0" borderId="152" xfId="0" applyNumberFormat="1" applyFont="1" applyFill="1" applyBorder="1" applyAlignment="1">
      <alignment horizontal="left" vertical="center" wrapText="1"/>
    </xf>
    <xf numFmtId="0" fontId="13" fillId="11" borderId="6" xfId="8" applyNumberFormat="1" applyFont="1" applyFill="1" applyBorder="1" applyAlignment="1" applyProtection="1">
      <alignment vertical="center" wrapText="1"/>
    </xf>
    <xf numFmtId="0" fontId="36" fillId="17" borderId="6" xfId="8" applyNumberFormat="1" applyFont="1" applyFill="1" applyBorder="1" applyAlignment="1" applyProtection="1">
      <alignment vertical="center"/>
    </xf>
    <xf numFmtId="0" fontId="0" fillId="14" borderId="0" xfId="0" applyNumberFormat="1" applyFill="1" applyAlignment="1">
      <alignment vertical="center" wrapText="1"/>
    </xf>
    <xf numFmtId="164" fontId="2" fillId="0" borderId="0" xfId="0" applyFont="1" applyAlignment="1">
      <alignment vertical="center"/>
    </xf>
    <xf numFmtId="0" fontId="0" fillId="0" borderId="56" xfId="0" applyNumberFormat="1" applyFont="1" applyFill="1" applyBorder="1" applyAlignment="1" applyProtection="1">
      <alignment horizontal="center" vertical="center"/>
    </xf>
    <xf numFmtId="0" fontId="0" fillId="0" borderId="0" xfId="0" applyNumberFormat="1" applyFont="1" applyFill="1" applyBorder="1" applyAlignment="1" applyProtection="1">
      <alignment horizontal="center" vertical="center"/>
    </xf>
    <xf numFmtId="0" fontId="90" fillId="31" borderId="3" xfId="16" applyNumberFormat="1" applyFont="1" applyFill="1" applyBorder="1" applyAlignment="1" applyProtection="1">
      <alignment horizontal="center" vertical="center"/>
    </xf>
    <xf numFmtId="0" fontId="7" fillId="28" borderId="164" xfId="9" applyNumberFormat="1" applyFont="1" applyFill="1" applyBorder="1" applyAlignment="1" applyProtection="1">
      <alignment horizontal="center"/>
    </xf>
    <xf numFmtId="0" fontId="2" fillId="0" borderId="9" xfId="9" applyNumberFormat="1" applyFont="1" applyFill="1" applyBorder="1" applyAlignment="1" applyProtection="1">
      <alignment horizontal="center" vertical="top" wrapText="1"/>
      <protection locked="0"/>
    </xf>
    <xf numFmtId="0" fontId="2" fillId="0" borderId="175" xfId="9" applyNumberFormat="1" applyFont="1" applyFill="1" applyBorder="1" applyAlignment="1" applyProtection="1">
      <alignment horizontal="center" vertical="top" wrapText="1"/>
      <protection locked="0"/>
    </xf>
    <xf numFmtId="0" fontId="2" fillId="0" borderId="3" xfId="9" applyNumberFormat="1" applyFont="1" applyFill="1" applyBorder="1" applyAlignment="1" applyProtection="1">
      <alignment horizontal="center" vertical="top" wrapText="1"/>
      <protection locked="0"/>
    </xf>
    <xf numFmtId="0" fontId="13" fillId="8" borderId="5" xfId="9" applyNumberFormat="1" applyFont="1" applyFill="1" applyBorder="1" applyAlignment="1">
      <alignment horizontal="right" vertical="top" wrapText="1"/>
    </xf>
    <xf numFmtId="0" fontId="2" fillId="43" borderId="74" xfId="9" applyNumberFormat="1" applyFont="1" applyFill="1" applyBorder="1" applyAlignment="1" applyProtection="1">
      <alignment vertical="top" wrapText="1"/>
    </xf>
    <xf numFmtId="0" fontId="2" fillId="32" borderId="9" xfId="9" applyNumberFormat="1" applyFont="1" applyFill="1" applyBorder="1" applyAlignment="1" applyProtection="1">
      <alignment horizontal="center" vertical="top" wrapText="1"/>
    </xf>
    <xf numFmtId="0" fontId="7" fillId="8" borderId="5" xfId="9" applyNumberFormat="1" applyFont="1" applyFill="1" applyBorder="1" applyAlignment="1">
      <alignment horizontal="right" vertical="top" wrapText="1"/>
    </xf>
    <xf numFmtId="0" fontId="7" fillId="44" borderId="0" xfId="0" applyNumberFormat="1" applyFont="1" applyFill="1" applyAlignment="1">
      <alignment horizontal="left" vertical="center" wrapText="1"/>
    </xf>
    <xf numFmtId="0" fontId="7" fillId="44" borderId="195" xfId="0" applyNumberFormat="1" applyFont="1" applyFill="1" applyBorder="1" applyAlignment="1">
      <alignment horizontal="left" vertical="center" wrapText="1"/>
    </xf>
    <xf numFmtId="0" fontId="7" fillId="46" borderId="150" xfId="0" applyNumberFormat="1" applyFont="1" applyFill="1" applyBorder="1">
      <alignment vertical="center" wrapText="1"/>
    </xf>
    <xf numFmtId="0" fontId="7" fillId="44" borderId="195" xfId="0" applyNumberFormat="1" applyFont="1" applyFill="1" applyBorder="1" applyAlignment="1">
      <alignment horizontal="right" vertical="center"/>
    </xf>
    <xf numFmtId="0" fontId="0" fillId="45" borderId="196" xfId="0" applyNumberFormat="1" applyFill="1" applyBorder="1" applyAlignment="1" applyProtection="1">
      <alignment horizontal="center" vertical="center"/>
      <protection locked="0"/>
    </xf>
    <xf numFmtId="0" fontId="7" fillId="44" borderId="150" xfId="0" applyNumberFormat="1" applyFont="1" applyFill="1" applyBorder="1" applyAlignment="1">
      <alignment horizontal="right" vertical="center"/>
    </xf>
    <xf numFmtId="0" fontId="79" fillId="0" borderId="0" xfId="0" applyNumberFormat="1" applyFont="1" applyAlignment="1">
      <alignment horizontal="left" vertical="center" wrapText="1"/>
    </xf>
    <xf numFmtId="0" fontId="13" fillId="7" borderId="0" xfId="9" applyNumberFormat="1" applyFont="1" applyFill="1" applyBorder="1" applyAlignment="1">
      <alignment horizontal="left" vertical="center" wrapText="1"/>
    </xf>
    <xf numFmtId="0" fontId="13" fillId="7" borderId="18" xfId="9" applyNumberFormat="1" applyFont="1" applyFill="1" applyBorder="1" applyAlignment="1">
      <alignment horizontal="left" vertical="center" wrapText="1"/>
    </xf>
    <xf numFmtId="0" fontId="2" fillId="37" borderId="0" xfId="9" applyNumberFormat="1" applyFont="1" applyFill="1" applyBorder="1" applyAlignment="1" applyProtection="1">
      <alignment horizontal="center" vertical="center"/>
    </xf>
    <xf numFmtId="0" fontId="2" fillId="0" borderId="0" xfId="9" applyNumberFormat="1" applyFont="1" applyFill="1" applyBorder="1" applyAlignment="1" applyProtection="1">
      <alignment horizontal="center" vertical="center"/>
    </xf>
    <xf numFmtId="0" fontId="2" fillId="0" borderId="0" xfId="9" applyNumberFormat="1" applyFont="1" applyBorder="1" applyAlignment="1" applyProtection="1">
      <alignment vertical="center"/>
    </xf>
    <xf numFmtId="0" fontId="13" fillId="7" borderId="0" xfId="9" applyNumberFormat="1" applyFont="1" applyFill="1" applyBorder="1" applyAlignment="1" applyProtection="1">
      <alignment horizontal="left" vertical="center" wrapText="1"/>
    </xf>
    <xf numFmtId="0" fontId="13" fillId="7" borderId="0" xfId="9" applyNumberFormat="1" applyFont="1" applyFill="1" applyBorder="1" applyAlignment="1">
      <alignment horizontal="center" vertical="center" wrapText="1"/>
    </xf>
    <xf numFmtId="0" fontId="13" fillId="32" borderId="18" xfId="9" applyNumberFormat="1" applyFont="1" applyFill="1" applyBorder="1" applyAlignment="1">
      <alignment horizontal="center" vertical="center" wrapText="1"/>
    </xf>
    <xf numFmtId="0" fontId="13" fillId="32" borderId="0" xfId="9" applyNumberFormat="1" applyFont="1" applyFill="1" applyBorder="1" applyAlignment="1">
      <alignment horizontal="center" vertical="center" wrapText="1"/>
    </xf>
    <xf numFmtId="0" fontId="0" fillId="20" borderId="74" xfId="9" applyNumberFormat="1" applyFont="1" applyFill="1" applyBorder="1" applyAlignment="1" applyProtection="1">
      <alignment horizontal="center" vertical="center"/>
      <protection locked="0"/>
    </xf>
    <xf numFmtId="0" fontId="13" fillId="46" borderId="0" xfId="0" applyNumberFormat="1" applyFont="1" applyFill="1" applyAlignment="1">
      <alignment horizontal="left" vertical="center" wrapText="1"/>
    </xf>
    <xf numFmtId="0" fontId="13" fillId="46" borderId="18" xfId="0" applyNumberFormat="1" applyFont="1" applyFill="1" applyBorder="1" applyAlignment="1">
      <alignment horizontal="left" vertical="center" wrapText="1"/>
    </xf>
    <xf numFmtId="0" fontId="0" fillId="44" borderId="0" xfId="0" applyNumberFormat="1" applyFill="1" applyAlignment="1">
      <alignment horizontal="center" vertical="center"/>
    </xf>
    <xf numFmtId="0" fontId="2" fillId="0" borderId="3" xfId="16" applyNumberFormat="1" applyFill="1" applyBorder="1" applyAlignment="1" applyProtection="1">
      <alignment horizontal="center" vertical="top"/>
      <protection locked="0"/>
    </xf>
    <xf numFmtId="0" fontId="2" fillId="0" borderId="29" xfId="16" applyNumberFormat="1" applyFill="1" applyBorder="1" applyProtection="1"/>
    <xf numFmtId="0" fontId="2" fillId="0" borderId="3" xfId="16" applyNumberFormat="1" applyFill="1" applyBorder="1" applyAlignment="1" applyProtection="1">
      <alignment horizontal="center" vertical="center"/>
      <protection locked="0"/>
    </xf>
    <xf numFmtId="0" fontId="0" fillId="0" borderId="46" xfId="0" applyNumberFormat="1" applyFill="1" applyBorder="1" applyAlignment="1" applyProtection="1">
      <alignment horizontal="center" vertical="center" wrapText="1"/>
      <protection locked="0"/>
    </xf>
    <xf numFmtId="0" fontId="0" fillId="0" borderId="78" xfId="0" applyNumberFormat="1" applyFill="1" applyBorder="1" applyAlignment="1" applyProtection="1">
      <alignment horizontal="center" vertical="center" wrapText="1"/>
      <protection locked="0"/>
    </xf>
    <xf numFmtId="0" fontId="0" fillId="0" borderId="75" xfId="0" applyNumberFormat="1" applyFill="1" applyBorder="1" applyAlignment="1" applyProtection="1">
      <alignment horizontal="center" vertical="center" wrapText="1"/>
      <protection locked="0"/>
    </xf>
    <xf numFmtId="0" fontId="31" fillId="32" borderId="3" xfId="11" applyNumberFormat="1" applyFont="1" applyFill="1" applyBorder="1" applyAlignment="1" applyProtection="1">
      <alignment vertical="top"/>
    </xf>
    <xf numFmtId="0" fontId="31" fillId="32" borderId="3" xfId="11" applyNumberFormat="1" applyFont="1" applyFill="1" applyBorder="1" applyAlignment="1" applyProtection="1">
      <alignment horizontal="center" vertical="center"/>
      <protection locked="0"/>
    </xf>
    <xf numFmtId="0" fontId="5" fillId="32" borderId="3" xfId="11" applyNumberFormat="1" applyFont="1" applyFill="1" applyBorder="1" applyAlignment="1" applyProtection="1">
      <alignment horizontal="center" vertical="center" wrapText="1"/>
    </xf>
    <xf numFmtId="0" fontId="27" fillId="32" borderId="3" xfId="11" applyNumberFormat="1" applyFont="1" applyFill="1" applyBorder="1" applyAlignment="1" applyProtection="1">
      <alignment horizontal="center" vertical="center" wrapText="1"/>
    </xf>
    <xf numFmtId="0" fontId="5" fillId="32" borderId="3" xfId="11" applyNumberFormat="1" applyFont="1" applyFill="1" applyBorder="1" applyAlignment="1" applyProtection="1">
      <alignment horizontal="center" vertical="center"/>
    </xf>
    <xf numFmtId="0" fontId="2" fillId="32" borderId="3" xfId="11" applyNumberFormat="1" applyFont="1" applyFill="1" applyBorder="1" applyAlignment="1" applyProtection="1">
      <alignment horizontal="center" vertical="center"/>
    </xf>
    <xf numFmtId="0" fontId="5" fillId="32" borderId="3" xfId="11" applyNumberFormat="1" applyFont="1" applyFill="1" applyBorder="1" applyAlignment="1">
      <alignment horizontal="center" vertical="center" wrapText="1"/>
    </xf>
    <xf numFmtId="0" fontId="27" fillId="32" borderId="3" xfId="10" applyNumberFormat="1" applyFont="1" applyFill="1" applyBorder="1" applyAlignment="1" applyProtection="1">
      <alignment horizontal="center" vertical="center" wrapText="1"/>
    </xf>
    <xf numFmtId="0" fontId="5" fillId="32" borderId="3" xfId="10" applyNumberFormat="1" applyFont="1" applyFill="1" applyBorder="1" applyAlignment="1" applyProtection="1">
      <alignment horizontal="center" vertical="center" wrapText="1"/>
    </xf>
    <xf numFmtId="0" fontId="5" fillId="32" borderId="3" xfId="10" applyNumberFormat="1" applyFont="1" applyFill="1" applyBorder="1" applyAlignment="1" applyProtection="1">
      <alignment horizontal="center" vertical="center"/>
    </xf>
    <xf numFmtId="0" fontId="2" fillId="32" borderId="3" xfId="19" applyNumberFormat="1" applyFont="1" applyFill="1" applyBorder="1" applyAlignment="1" applyProtection="1">
      <alignment horizontal="center" vertical="center"/>
    </xf>
    <xf numFmtId="0" fontId="5" fillId="32" borderId="3" xfId="0" applyNumberFormat="1" applyFont="1" applyFill="1" applyBorder="1" applyAlignment="1">
      <alignment horizontal="center" vertical="center" wrapText="1"/>
    </xf>
    <xf numFmtId="0" fontId="3" fillId="0" borderId="3" xfId="19" applyNumberFormat="1" applyFont="1" applyFill="1" applyBorder="1" applyAlignment="1" applyProtection="1">
      <alignment horizontal="center" vertical="center"/>
      <protection locked="0"/>
    </xf>
    <xf numFmtId="0" fontId="2" fillId="32" borderId="2" xfId="11" applyNumberFormat="1" applyFont="1" applyFill="1" applyBorder="1" applyAlignment="1" applyProtection="1">
      <alignment horizontal="center" vertical="center" wrapText="1"/>
    </xf>
    <xf numFmtId="0" fontId="5" fillId="32" borderId="2" xfId="11" applyNumberFormat="1" applyFont="1" applyFill="1" applyBorder="1" applyAlignment="1" applyProtection="1">
      <alignment horizontal="center" vertical="center" wrapText="1"/>
    </xf>
    <xf numFmtId="0" fontId="13" fillId="32" borderId="2" xfId="11" applyNumberFormat="1" applyFont="1" applyFill="1" applyBorder="1" applyAlignment="1" applyProtection="1">
      <alignment horizontal="center" vertical="center" wrapText="1"/>
    </xf>
    <xf numFmtId="0" fontId="27" fillId="32" borderId="2" xfId="11" applyNumberFormat="1" applyFont="1" applyFill="1" applyBorder="1" applyAlignment="1" applyProtection="1">
      <alignment horizontal="center" vertical="center" wrapText="1"/>
    </xf>
    <xf numFmtId="0" fontId="5" fillId="32" borderId="2" xfId="11" applyNumberFormat="1" applyFont="1" applyFill="1" applyBorder="1" applyAlignment="1" applyProtection="1">
      <alignment horizontal="center" vertical="center"/>
    </xf>
    <xf numFmtId="0" fontId="2" fillId="32" borderId="2" xfId="11" applyNumberFormat="1" applyFont="1" applyFill="1" applyBorder="1" applyAlignment="1" applyProtection="1">
      <alignment horizontal="center" vertical="center"/>
    </xf>
    <xf numFmtId="0" fontId="5" fillId="32" borderId="96" xfId="0" applyNumberFormat="1" applyFont="1" applyFill="1" applyBorder="1" applyAlignment="1">
      <alignment horizontal="center" vertical="center" wrapText="1"/>
    </xf>
    <xf numFmtId="0" fontId="5" fillId="32" borderId="2" xfId="11" applyNumberFormat="1" applyFont="1" applyFill="1" applyBorder="1" applyAlignment="1">
      <alignment horizontal="center" vertical="center" wrapText="1"/>
    </xf>
    <xf numFmtId="0" fontId="56" fillId="32" borderId="2" xfId="11" applyNumberFormat="1" applyFont="1" applyFill="1" applyBorder="1" applyAlignment="1" applyProtection="1">
      <alignment horizontal="center" vertical="center" wrapText="1"/>
    </xf>
    <xf numFmtId="0" fontId="2" fillId="32" borderId="2" xfId="0" applyNumberFormat="1" applyFont="1" applyFill="1" applyBorder="1" applyAlignment="1" applyProtection="1">
      <alignment horizontal="center" vertical="center" wrapText="1"/>
    </xf>
    <xf numFmtId="0" fontId="5" fillId="32" borderId="2" xfId="0" applyNumberFormat="1" applyFont="1" applyFill="1" applyBorder="1" applyAlignment="1" applyProtection="1">
      <alignment horizontal="center" vertical="center" wrapText="1"/>
    </xf>
    <xf numFmtId="0" fontId="5" fillId="32" borderId="2" xfId="10" applyNumberFormat="1" applyFont="1" applyFill="1" applyBorder="1" applyAlignment="1" applyProtection="1">
      <alignment horizontal="center" vertical="center" wrapText="1"/>
    </xf>
    <xf numFmtId="0" fontId="5" fillId="32" borderId="14" xfId="10" applyNumberFormat="1" applyFont="1" applyFill="1" applyBorder="1" applyAlignment="1" applyProtection="1">
      <alignment horizontal="center" vertical="center" wrapText="1"/>
    </xf>
    <xf numFmtId="0" fontId="56" fillId="32" borderId="3" xfId="11" applyNumberFormat="1" applyFont="1" applyFill="1" applyBorder="1" applyAlignment="1" applyProtection="1">
      <alignment horizontal="center" vertical="center" wrapText="1"/>
    </xf>
    <xf numFmtId="0" fontId="27" fillId="32" borderId="3" xfId="11" applyNumberFormat="1" applyFont="1" applyFill="1" applyBorder="1" applyAlignment="1">
      <alignment horizontal="center" vertical="center" wrapText="1"/>
    </xf>
    <xf numFmtId="0" fontId="27" fillId="32" borderId="104" xfId="11" applyNumberFormat="1" applyFont="1" applyFill="1" applyBorder="1" applyAlignment="1">
      <alignment horizontal="center" vertical="center" wrapText="1"/>
    </xf>
    <xf numFmtId="0" fontId="5" fillId="32" borderId="104" xfId="11" applyNumberFormat="1" applyFont="1" applyFill="1" applyBorder="1" applyAlignment="1">
      <alignment horizontal="center" vertical="center" wrapText="1"/>
    </xf>
    <xf numFmtId="0" fontId="5" fillId="32" borderId="104" xfId="0" applyNumberFormat="1" applyFont="1" applyFill="1" applyBorder="1" applyAlignment="1">
      <alignment horizontal="center" vertical="center" wrapText="1"/>
    </xf>
    <xf numFmtId="0" fontId="5" fillId="32" borderId="104" xfId="11" applyNumberFormat="1" applyFont="1" applyFill="1" applyBorder="1" applyAlignment="1" applyProtection="1">
      <alignment horizontal="center" vertical="center" wrapText="1"/>
    </xf>
    <xf numFmtId="0" fontId="24" fillId="32" borderId="105" xfId="11" applyNumberFormat="1" applyFont="1" applyFill="1" applyBorder="1" applyAlignment="1">
      <alignment horizontal="center" vertical="center" wrapText="1"/>
    </xf>
    <xf numFmtId="0" fontId="5" fillId="32" borderId="105" xfId="11" applyNumberFormat="1" applyFont="1" applyFill="1" applyBorder="1" applyAlignment="1">
      <alignment horizontal="center" vertical="center" wrapText="1"/>
    </xf>
    <xf numFmtId="0" fontId="32" fillId="32" borderId="105" xfId="11" applyNumberFormat="1" applyFont="1" applyFill="1" applyBorder="1" applyAlignment="1">
      <alignment horizontal="center" vertical="center" wrapText="1"/>
    </xf>
    <xf numFmtId="0" fontId="16" fillId="32" borderId="105" xfId="11" applyNumberFormat="1" applyFont="1" applyFill="1" applyBorder="1" applyAlignment="1">
      <alignment horizontal="center" vertical="center" wrapText="1"/>
    </xf>
    <xf numFmtId="0" fontId="5" fillId="32" borderId="105" xfId="11" applyNumberFormat="1" applyFont="1" applyFill="1" applyBorder="1" applyAlignment="1" applyProtection="1">
      <alignment horizontal="center" vertical="center" wrapText="1"/>
    </xf>
    <xf numFmtId="0" fontId="32" fillId="32" borderId="14" xfId="11" applyNumberFormat="1" applyFont="1" applyFill="1" applyBorder="1" applyAlignment="1">
      <alignment horizontal="center" vertical="center" wrapText="1"/>
    </xf>
    <xf numFmtId="0" fontId="5" fillId="32" borderId="14" xfId="11" applyNumberFormat="1" applyFont="1" applyFill="1" applyBorder="1" applyAlignment="1">
      <alignment horizontal="center" vertical="center" wrapText="1"/>
    </xf>
    <xf numFmtId="0" fontId="32" fillId="32" borderId="3" xfId="11" applyNumberFormat="1" applyFont="1" applyFill="1" applyBorder="1" applyAlignment="1">
      <alignment horizontal="center" vertical="center" wrapText="1"/>
    </xf>
    <xf numFmtId="0" fontId="27" fillId="32" borderId="2" xfId="11" applyNumberFormat="1" applyFont="1" applyFill="1" applyBorder="1" applyAlignment="1">
      <alignment horizontal="center" vertical="center" wrapText="1"/>
    </xf>
    <xf numFmtId="0" fontId="32" fillId="32" borderId="2" xfId="11" applyNumberFormat="1" applyFont="1" applyFill="1" applyBorder="1" applyAlignment="1">
      <alignment horizontal="center" vertical="center" wrapText="1"/>
    </xf>
    <xf numFmtId="0" fontId="16" fillId="32" borderId="2" xfId="11" applyNumberFormat="1" applyFont="1" applyFill="1" applyBorder="1" applyAlignment="1">
      <alignment horizontal="center" vertical="center"/>
    </xf>
    <xf numFmtId="0" fontId="32" fillId="32" borderId="2" xfId="11" applyNumberFormat="1" applyFont="1" applyFill="1" applyBorder="1" applyAlignment="1">
      <alignment horizontal="center" vertical="center"/>
    </xf>
    <xf numFmtId="0" fontId="81" fillId="32" borderId="2" xfId="11" applyNumberFormat="1" applyFont="1" applyFill="1" applyBorder="1" applyAlignment="1">
      <alignment horizontal="center" vertical="center" wrapText="1"/>
    </xf>
    <xf numFmtId="0" fontId="2" fillId="32" borderId="2" xfId="11" applyNumberFormat="1" applyFont="1" applyFill="1" applyBorder="1" applyAlignment="1">
      <alignment horizontal="center" vertical="center"/>
    </xf>
    <xf numFmtId="0" fontId="2" fillId="32" borderId="2" xfId="19" applyNumberFormat="1" applyFont="1" applyFill="1" applyBorder="1" applyAlignment="1">
      <alignment horizontal="center" vertical="center"/>
    </xf>
    <xf numFmtId="0" fontId="5" fillId="32" borderId="2" xfId="19" applyNumberFormat="1" applyFont="1" applyFill="1" applyBorder="1" applyAlignment="1">
      <alignment horizontal="center" vertical="center" wrapText="1"/>
    </xf>
    <xf numFmtId="0" fontId="32" fillId="32" borderId="2" xfId="10" applyNumberFormat="1" applyFont="1" applyFill="1" applyBorder="1" applyAlignment="1">
      <alignment horizontal="center" vertical="center" wrapText="1"/>
    </xf>
    <xf numFmtId="0" fontId="5" fillId="32" borderId="2" xfId="10" applyNumberFormat="1" applyFont="1" applyFill="1" applyBorder="1" applyAlignment="1">
      <alignment horizontal="center" vertical="center" wrapText="1"/>
    </xf>
    <xf numFmtId="0" fontId="16" fillId="32" borderId="2" xfId="11" applyNumberFormat="1" applyFont="1" applyFill="1" applyBorder="1" applyAlignment="1">
      <alignment horizontal="center" vertical="center" wrapText="1"/>
    </xf>
    <xf numFmtId="0" fontId="32" fillId="32" borderId="14" xfId="10" applyNumberFormat="1" applyFont="1" applyFill="1" applyBorder="1" applyAlignment="1">
      <alignment horizontal="center" vertical="center" wrapText="1"/>
    </xf>
    <xf numFmtId="0" fontId="5" fillId="32" borderId="14" xfId="10" applyNumberFormat="1" applyFont="1" applyFill="1" applyBorder="1" applyAlignment="1">
      <alignment horizontal="center" vertical="center" wrapText="1"/>
    </xf>
    <xf numFmtId="0" fontId="32" fillId="32" borderId="3" xfId="10" applyNumberFormat="1" applyFont="1" applyFill="1" applyBorder="1" applyAlignment="1">
      <alignment horizontal="center" vertical="center" wrapText="1"/>
    </xf>
    <xf numFmtId="0" fontId="5" fillId="32" borderId="3" xfId="10" applyNumberFormat="1" applyFont="1" applyFill="1" applyBorder="1" applyAlignment="1">
      <alignment horizontal="center" vertical="center" wrapText="1"/>
    </xf>
    <xf numFmtId="0" fontId="50" fillId="32" borderId="107" xfId="11" applyNumberFormat="1" applyFont="1" applyFill="1" applyBorder="1" applyAlignment="1">
      <alignment horizontal="center" vertical="center" wrapText="1"/>
    </xf>
    <xf numFmtId="0" fontId="5" fillId="32" borderId="107" xfId="11" applyNumberFormat="1" applyFont="1" applyFill="1" applyBorder="1" applyAlignment="1">
      <alignment horizontal="center" vertical="center" wrapText="1"/>
    </xf>
    <xf numFmtId="0" fontId="24" fillId="32" borderId="107" xfId="11" applyNumberFormat="1" applyFont="1" applyFill="1" applyBorder="1" applyAlignment="1">
      <alignment horizontal="center" vertical="center" wrapText="1"/>
    </xf>
    <xf numFmtId="0" fontId="32" fillId="32" borderId="107" xfId="11" applyNumberFormat="1" applyFont="1" applyFill="1" applyBorder="1" applyAlignment="1">
      <alignment horizontal="center" vertical="center" wrapText="1"/>
    </xf>
    <xf numFmtId="0" fontId="5" fillId="32" borderId="107" xfId="0" applyNumberFormat="1" applyFont="1" applyFill="1" applyBorder="1" applyAlignment="1">
      <alignment horizontal="center" vertical="center" wrapText="1"/>
    </xf>
    <xf numFmtId="0" fontId="16" fillId="32" borderId="107" xfId="11" applyNumberFormat="1" applyFont="1" applyFill="1" applyBorder="1" applyAlignment="1">
      <alignment horizontal="center" vertical="center" wrapText="1"/>
    </xf>
    <xf numFmtId="0" fontId="16" fillId="32" borderId="107" xfId="11" applyNumberFormat="1" applyFont="1" applyFill="1" applyBorder="1" applyAlignment="1">
      <alignment horizontal="center" vertical="center"/>
    </xf>
    <xf numFmtId="0" fontId="32" fillId="32" borderId="107" xfId="0" applyNumberFormat="1" applyFont="1" applyFill="1" applyBorder="1" applyAlignment="1">
      <alignment horizontal="center" vertical="center"/>
    </xf>
    <xf numFmtId="0" fontId="32" fillId="32" borderId="107" xfId="0" applyNumberFormat="1" applyFont="1" applyFill="1" applyBorder="1" applyAlignment="1">
      <alignment horizontal="center" vertical="center" wrapText="1"/>
    </xf>
    <xf numFmtId="0" fontId="74" fillId="32" borderId="107" xfId="0" applyNumberFormat="1" applyFont="1" applyFill="1" applyBorder="1" applyAlignment="1">
      <alignment horizontal="center" vertical="center"/>
    </xf>
    <xf numFmtId="0" fontId="2" fillId="0" borderId="107" xfId="19" applyNumberFormat="1" applyFont="1" applyBorder="1" applyAlignment="1" applyProtection="1">
      <alignment horizontal="center" vertical="center"/>
      <protection locked="0"/>
    </xf>
    <xf numFmtId="0" fontId="74" fillId="0" borderId="107" xfId="0" applyNumberFormat="1" applyFont="1" applyBorder="1" applyAlignment="1" applyProtection="1">
      <alignment horizontal="center" vertical="center"/>
      <protection locked="0"/>
    </xf>
    <xf numFmtId="0" fontId="51" fillId="32" borderId="2" xfId="10" applyNumberFormat="1" applyFont="1" applyFill="1" applyBorder="1" applyAlignment="1">
      <alignment horizontal="center" vertical="center" wrapText="1"/>
    </xf>
    <xf numFmtId="0" fontId="24" fillId="32" borderId="2" xfId="10" applyNumberFormat="1" applyFont="1" applyFill="1" applyBorder="1" applyAlignment="1">
      <alignment horizontal="center" vertical="center" wrapText="1"/>
    </xf>
    <xf numFmtId="0" fontId="32" fillId="32" borderId="2" xfId="10" applyNumberFormat="1" applyFont="1" applyFill="1" applyBorder="1" applyAlignment="1">
      <alignment horizontal="center" vertical="center"/>
    </xf>
    <xf numFmtId="0" fontId="32" fillId="32" borderId="12" xfId="10" applyNumberFormat="1" applyFont="1" applyFill="1" applyBorder="1" applyAlignment="1">
      <alignment horizontal="center" vertical="center" wrapText="1"/>
    </xf>
    <xf numFmtId="0" fontId="5" fillId="32" borderId="110" xfId="0" applyNumberFormat="1" applyFont="1" applyFill="1" applyBorder="1" applyAlignment="1">
      <alignment horizontal="center" vertical="center" wrapText="1"/>
    </xf>
    <xf numFmtId="0" fontId="5" fillId="32" borderId="84" xfId="10" applyNumberFormat="1" applyFont="1" applyFill="1" applyBorder="1" applyAlignment="1">
      <alignment horizontal="center" vertical="center" wrapText="1"/>
    </xf>
    <xf numFmtId="0" fontId="5" fillId="32" borderId="74" xfId="10" applyNumberFormat="1" applyFont="1" applyFill="1" applyBorder="1" applyAlignment="1">
      <alignment horizontal="center" vertical="center" wrapText="1"/>
    </xf>
    <xf numFmtId="0" fontId="82" fillId="32" borderId="2" xfId="10" applyNumberFormat="1" applyFont="1" applyFill="1" applyBorder="1" applyAlignment="1">
      <alignment horizontal="center" vertical="center" wrapText="1"/>
    </xf>
    <xf numFmtId="0" fontId="24" fillId="32" borderId="111" xfId="10" applyNumberFormat="1" applyFont="1" applyFill="1" applyBorder="1" applyAlignment="1">
      <alignment horizontal="center" vertical="center" wrapText="1"/>
    </xf>
    <xf numFmtId="0" fontId="32" fillId="32" borderId="111" xfId="10" applyNumberFormat="1" applyFont="1" applyFill="1" applyBorder="1" applyAlignment="1">
      <alignment horizontal="center" vertical="center" wrapText="1"/>
    </xf>
    <xf numFmtId="0" fontId="5" fillId="32" borderId="111" xfId="10" applyNumberFormat="1" applyFont="1" applyFill="1" applyBorder="1" applyAlignment="1">
      <alignment horizontal="center" vertical="center" wrapText="1"/>
    </xf>
    <xf numFmtId="0" fontId="32" fillId="32" borderId="111" xfId="11" applyNumberFormat="1" applyFont="1" applyFill="1" applyBorder="1" applyAlignment="1">
      <alignment horizontal="center" vertical="center" wrapText="1"/>
    </xf>
    <xf numFmtId="0" fontId="5" fillId="32" borderId="111" xfId="11" applyNumberFormat="1" applyFont="1" applyFill="1" applyBorder="1" applyAlignment="1">
      <alignment horizontal="center" vertical="center" wrapText="1"/>
    </xf>
    <xf numFmtId="0" fontId="16" fillId="32" borderId="111" xfId="19" applyNumberFormat="1" applyFont="1" applyFill="1" applyBorder="1" applyAlignment="1">
      <alignment horizontal="center" vertical="center"/>
    </xf>
    <xf numFmtId="0" fontId="5" fillId="32" borderId="111" xfId="19" applyNumberFormat="1" applyFont="1" applyFill="1" applyBorder="1" applyAlignment="1">
      <alignment horizontal="center" vertical="center" wrapText="1"/>
    </xf>
    <xf numFmtId="0" fontId="5" fillId="32" borderId="111" xfId="11" applyNumberFormat="1" applyFont="1" applyFill="1" applyBorder="1" applyAlignment="1">
      <alignment horizontal="center" vertical="center"/>
    </xf>
    <xf numFmtId="0" fontId="2" fillId="32" borderId="111" xfId="19" applyNumberFormat="1" applyFont="1" applyFill="1" applyBorder="1" applyAlignment="1">
      <alignment horizontal="center" vertical="center"/>
    </xf>
    <xf numFmtId="0" fontId="5" fillId="32" borderId="111" xfId="19" applyNumberFormat="1" applyFont="1" applyFill="1" applyBorder="1" applyAlignment="1">
      <alignment horizontal="center" vertical="center"/>
    </xf>
    <xf numFmtId="0" fontId="32" fillId="32" borderId="111" xfId="10" applyNumberFormat="1" applyFont="1" applyFill="1" applyBorder="1" applyAlignment="1">
      <alignment horizontal="center" vertical="center"/>
    </xf>
    <xf numFmtId="0" fontId="32" fillId="32" borderId="111" xfId="11" applyNumberFormat="1" applyFont="1" applyFill="1" applyBorder="1" applyAlignment="1">
      <alignment horizontal="center" vertical="center"/>
    </xf>
    <xf numFmtId="0" fontId="16" fillId="32" borderId="111" xfId="11" applyNumberFormat="1" applyFont="1" applyFill="1" applyBorder="1" applyAlignment="1">
      <alignment horizontal="center" vertical="center"/>
    </xf>
    <xf numFmtId="0" fontId="5" fillId="32" borderId="114" xfId="11" applyNumberFormat="1" applyFont="1" applyFill="1" applyBorder="1" applyAlignment="1">
      <alignment horizontal="center" vertical="center" wrapText="1"/>
    </xf>
    <xf numFmtId="0" fontId="32" fillId="32" borderId="112" xfId="11" applyNumberFormat="1" applyFont="1" applyFill="1" applyBorder="1" applyAlignment="1">
      <alignment horizontal="center" vertical="center" wrapText="1"/>
    </xf>
    <xf numFmtId="0" fontId="5" fillId="32" borderId="107" xfId="0" applyNumberFormat="1" applyFont="1" applyFill="1" applyBorder="1" applyAlignment="1">
      <alignment horizontal="center" vertical="center"/>
    </xf>
    <xf numFmtId="0" fontId="5" fillId="32" borderId="113" xfId="11" applyNumberFormat="1" applyFont="1" applyFill="1" applyBorder="1" applyAlignment="1">
      <alignment horizontal="center" vertical="center" wrapText="1"/>
    </xf>
    <xf numFmtId="0" fontId="5" fillId="32" borderId="74" xfId="11" applyNumberFormat="1" applyFont="1" applyFill="1" applyBorder="1" applyAlignment="1">
      <alignment horizontal="center" vertical="center" wrapText="1"/>
    </xf>
    <xf numFmtId="0" fontId="5" fillId="32" borderId="111" xfId="11" applyNumberFormat="1" applyFont="1" applyFill="1" applyBorder="1" applyAlignment="1" applyProtection="1">
      <alignment horizontal="center" vertical="center" wrapText="1"/>
    </xf>
    <xf numFmtId="0" fontId="27" fillId="31" borderId="3" xfId="19" applyNumberFormat="1" applyFont="1" applyFill="1" applyBorder="1" applyAlignment="1" applyProtection="1">
      <alignment horizontal="center" vertical="center"/>
    </xf>
    <xf numFmtId="165" fontId="5" fillId="0" borderId="74" xfId="19" applyNumberFormat="1" applyFont="1" applyBorder="1" applyAlignment="1" applyProtection="1">
      <alignment horizontal="center" vertical="center"/>
    </xf>
    <xf numFmtId="165" fontId="5" fillId="0" borderId="111" xfId="11" applyNumberFormat="1" applyFont="1" applyBorder="1" applyAlignment="1" applyProtection="1">
      <alignment horizontal="center" vertical="center"/>
    </xf>
    <xf numFmtId="0" fontId="5" fillId="0" borderId="111" xfId="11" applyNumberFormat="1" applyFont="1" applyBorder="1" applyAlignment="1" applyProtection="1">
      <alignment horizontal="center" vertical="center"/>
    </xf>
    <xf numFmtId="0" fontId="5" fillId="0" borderId="111" xfId="10" applyNumberFormat="1" applyFont="1" applyBorder="1" applyAlignment="1" applyProtection="1">
      <alignment horizontal="center" vertical="center" wrapText="1"/>
    </xf>
    <xf numFmtId="0" fontId="5" fillId="0" borderId="111" xfId="19" applyNumberFormat="1" applyFont="1" applyBorder="1" applyAlignment="1" applyProtection="1">
      <alignment horizontal="center" vertical="center"/>
    </xf>
    <xf numFmtId="0" fontId="5" fillId="0" borderId="111" xfId="19" applyNumberFormat="1" applyFont="1" applyFill="1" applyBorder="1" applyAlignment="1" applyProtection="1">
      <alignment horizontal="center" vertical="center"/>
    </xf>
    <xf numFmtId="0" fontId="52" fillId="0" borderId="111" xfId="11" applyNumberFormat="1" applyFont="1" applyFill="1" applyBorder="1" applyAlignment="1" applyProtection="1">
      <alignment horizontal="center" vertical="center"/>
    </xf>
    <xf numFmtId="0" fontId="42" fillId="0" borderId="0" xfId="11" applyNumberFormat="1" applyFont="1" applyBorder="1" applyAlignment="1" applyProtection="1">
      <alignment vertical="top"/>
    </xf>
    <xf numFmtId="0" fontId="19" fillId="0" borderId="0" xfId="11" applyNumberFormat="1" applyFont="1" applyBorder="1" applyAlignment="1" applyProtection="1">
      <alignment vertical="top"/>
    </xf>
    <xf numFmtId="0" fontId="19" fillId="0" borderId="0" xfId="11" applyNumberFormat="1" applyFont="1" applyAlignment="1" applyProtection="1">
      <alignment vertical="top"/>
    </xf>
    <xf numFmtId="0" fontId="42" fillId="0" borderId="0" xfId="11" applyNumberFormat="1" applyFont="1" applyAlignment="1" applyProtection="1">
      <alignment vertical="top"/>
    </xf>
    <xf numFmtId="0" fontId="27" fillId="32" borderId="74" xfId="11" applyNumberFormat="1" applyFont="1" applyFill="1" applyBorder="1" applyAlignment="1">
      <alignment horizontal="center" vertical="center" wrapText="1"/>
    </xf>
    <xf numFmtId="0" fontId="27" fillId="32" borderId="111" xfId="11" applyNumberFormat="1" applyFont="1" applyFill="1" applyBorder="1" applyAlignment="1">
      <alignment horizontal="center" vertical="center" wrapText="1"/>
    </xf>
    <xf numFmtId="0" fontId="2" fillId="32" borderId="111" xfId="11" applyNumberFormat="1" applyFont="1" applyFill="1" applyBorder="1" applyAlignment="1">
      <alignment horizontal="center" vertical="center"/>
    </xf>
    <xf numFmtId="165" fontId="5" fillId="0" borderId="111" xfId="19" applyNumberFormat="1" applyFont="1" applyFill="1" applyBorder="1" applyAlignment="1" applyProtection="1">
      <alignment horizontal="center" vertical="center"/>
    </xf>
    <xf numFmtId="0" fontId="42" fillId="0" borderId="0" xfId="11" applyNumberFormat="1" applyFont="1" applyFill="1" applyAlignment="1" applyProtection="1">
      <alignment vertical="top"/>
    </xf>
    <xf numFmtId="0" fontId="31" fillId="32" borderId="0" xfId="11" applyNumberFormat="1" applyFont="1" applyFill="1" applyBorder="1" applyAlignment="1" applyProtection="1">
      <alignment horizontal="left" vertical="top"/>
    </xf>
    <xf numFmtId="0" fontId="31" fillId="32" borderId="0" xfId="11" applyNumberFormat="1" applyFont="1" applyFill="1" applyBorder="1" applyAlignment="1" applyProtection="1">
      <alignment horizontal="center" vertical="top"/>
      <protection locked="0"/>
    </xf>
    <xf numFmtId="0" fontId="5" fillId="32" borderId="111" xfId="10" applyNumberFormat="1" applyFont="1" applyFill="1" applyBorder="1" applyAlignment="1">
      <alignment horizontal="center" vertical="center"/>
    </xf>
    <xf numFmtId="165" fontId="2" fillId="32" borderId="145" xfId="12" applyNumberFormat="1" applyFont="1" applyFill="1" applyBorder="1" applyAlignment="1" applyProtection="1">
      <alignment horizontal="center" vertical="top" shrinkToFit="1"/>
    </xf>
    <xf numFmtId="165" fontId="14" fillId="32" borderId="3" xfId="12" applyNumberFormat="1" applyFont="1" applyFill="1" applyBorder="1" applyAlignment="1" applyProtection="1"/>
    <xf numFmtId="0" fontId="14" fillId="32" borderId="3" xfId="12" applyNumberFormat="1" applyFont="1" applyFill="1" applyBorder="1" applyAlignment="1" applyProtection="1"/>
    <xf numFmtId="0" fontId="2" fillId="32" borderId="3" xfId="12" applyNumberFormat="1" applyFont="1" applyFill="1" applyBorder="1" applyAlignment="1" applyProtection="1"/>
    <xf numFmtId="0" fontId="2" fillId="32" borderId="3" xfId="12" applyNumberFormat="1" applyFont="1" applyFill="1" applyBorder="1" applyAlignment="1" applyProtection="1">
      <alignment horizontal="center" vertical="center"/>
    </xf>
    <xf numFmtId="165" fontId="2" fillId="32" borderId="3" xfId="12" applyNumberFormat="1" applyFont="1" applyFill="1" applyBorder="1" applyAlignment="1" applyProtection="1">
      <alignment horizontal="center"/>
    </xf>
    <xf numFmtId="0" fontId="2" fillId="32" borderId="3" xfId="12" applyNumberFormat="1" applyFont="1" applyFill="1" applyBorder="1" applyAlignment="1" applyProtection="1">
      <alignment horizontal="center"/>
    </xf>
    <xf numFmtId="0" fontId="2" fillId="32" borderId="3" xfId="13" applyNumberFormat="1" applyFont="1" applyFill="1" applyBorder="1" applyAlignment="1" applyProtection="1">
      <alignment horizontal="center" vertical="center"/>
    </xf>
    <xf numFmtId="0" fontId="13" fillId="32" borderId="3" xfId="12" applyNumberFormat="1" applyFont="1" applyFill="1" applyBorder="1" applyAlignment="1" applyProtection="1">
      <alignment horizontal="center" vertical="center"/>
    </xf>
    <xf numFmtId="0" fontId="2" fillId="32" borderId="145" xfId="12" applyNumberFormat="1" applyFont="1" applyFill="1" applyBorder="1" applyAlignment="1" applyProtection="1">
      <alignment horizontal="center" vertical="top" shrinkToFit="1"/>
    </xf>
    <xf numFmtId="0" fontId="29" fillId="32" borderId="145" xfId="13" applyNumberFormat="1" applyFont="1" applyFill="1" applyBorder="1" applyAlignment="1" applyProtection="1">
      <alignment horizontal="center" vertical="center" wrapText="1"/>
    </xf>
    <xf numFmtId="0" fontId="29" fillId="32" borderId="3" xfId="13" applyNumberFormat="1" applyFont="1" applyFill="1" applyBorder="1" applyAlignment="1" applyProtection="1">
      <alignment horizontal="center" vertical="center" wrapText="1"/>
    </xf>
    <xf numFmtId="0" fontId="29" fillId="47" borderId="145" xfId="13" applyNumberFormat="1" applyFont="1" applyFill="1" applyBorder="1" applyAlignment="1" applyProtection="1">
      <alignment horizontal="center" vertical="center"/>
    </xf>
    <xf numFmtId="0" fontId="2" fillId="32" borderId="3" xfId="13" applyNumberFormat="1" applyFont="1" applyFill="1" applyBorder="1" applyAlignment="1" applyProtection="1">
      <alignment horizontal="center"/>
    </xf>
    <xf numFmtId="0" fontId="2" fillId="32" borderId="145" xfId="13" applyNumberFormat="1" applyFont="1" applyFill="1" applyBorder="1" applyAlignment="1" applyProtection="1">
      <alignment horizontal="center" vertical="top" shrinkToFit="1"/>
    </xf>
    <xf numFmtId="0" fontId="29" fillId="32" borderId="3" xfId="13" applyNumberFormat="1" applyFont="1" applyFill="1" applyBorder="1" applyAlignment="1" applyProtection="1">
      <alignment horizontal="center" vertical="center"/>
    </xf>
    <xf numFmtId="0" fontId="2" fillId="32" borderId="145" xfId="12" applyNumberFormat="1" applyFont="1" applyFill="1" applyBorder="1" applyAlignment="1" applyProtection="1">
      <alignment horizontal="center" shrinkToFit="1"/>
    </xf>
    <xf numFmtId="0" fontId="2" fillId="32" borderId="145" xfId="13" applyNumberFormat="1" applyFont="1" applyFill="1" applyBorder="1" applyAlignment="1" applyProtection="1">
      <alignment horizontal="center" vertical="center" shrinkToFit="1"/>
    </xf>
    <xf numFmtId="0" fontId="2" fillId="32" borderId="3" xfId="12" applyNumberFormat="1" applyFont="1" applyFill="1" applyBorder="1" applyAlignment="1" applyProtection="1">
      <alignment horizontal="center" vertical="top"/>
    </xf>
    <xf numFmtId="0" fontId="2" fillId="32" borderId="3" xfId="12" applyNumberFormat="1" applyFont="1" applyFill="1" applyBorder="1" applyAlignment="1" applyProtection="1">
      <alignment vertical="top"/>
    </xf>
    <xf numFmtId="0" fontId="89" fillId="32" borderId="3" xfId="12" applyNumberFormat="1" applyFont="1" applyFill="1" applyBorder="1" applyAlignment="1" applyProtection="1">
      <alignment horizontal="center"/>
    </xf>
    <xf numFmtId="0" fontId="28" fillId="32" borderId="145" xfId="12" applyNumberFormat="1" applyFont="1" applyFill="1" applyBorder="1" applyAlignment="1" applyProtection="1">
      <alignment vertical="center"/>
    </xf>
    <xf numFmtId="0" fontId="28" fillId="32" borderId="3" xfId="12" applyNumberFormat="1" applyFont="1" applyFill="1" applyBorder="1" applyAlignment="1" applyProtection="1">
      <alignment vertical="center"/>
    </xf>
    <xf numFmtId="0" fontId="2" fillId="32" borderId="31" xfId="13" applyNumberFormat="1" applyFont="1" applyFill="1" applyBorder="1" applyAlignment="1" applyProtection="1">
      <alignment horizontal="center"/>
    </xf>
    <xf numFmtId="0" fontId="2" fillId="32" borderId="31" xfId="12" applyNumberFormat="1" applyFont="1" applyFill="1" applyBorder="1" applyAlignment="1" applyProtection="1">
      <alignment horizontal="center" vertical="center"/>
    </xf>
    <xf numFmtId="0" fontId="2" fillId="32" borderId="31" xfId="13" applyNumberFormat="1" applyFont="1" applyFill="1" applyBorder="1" applyAlignment="1" applyProtection="1">
      <alignment horizontal="center" vertical="center"/>
    </xf>
    <xf numFmtId="0" fontId="2" fillId="32" borderId="3" xfId="21" applyNumberFormat="1" applyFont="1" applyFill="1" applyBorder="1" applyAlignment="1" applyProtection="1">
      <alignment horizontal="left" vertical="center" wrapText="1"/>
    </xf>
    <xf numFmtId="0" fontId="13" fillId="32" borderId="3" xfId="21" applyNumberFormat="1" applyFont="1" applyFill="1" applyBorder="1" applyAlignment="1" applyProtection="1">
      <alignment horizontal="left" vertical="center" wrapText="1"/>
    </xf>
    <xf numFmtId="0" fontId="13" fillId="32" borderId="29" xfId="21" applyNumberFormat="1" applyFont="1" applyFill="1" applyBorder="1" applyAlignment="1" applyProtection="1">
      <alignment horizontal="left" vertical="center" wrapText="1"/>
    </xf>
    <xf numFmtId="0" fontId="2" fillId="32" borderId="29" xfId="21" applyNumberFormat="1" applyFont="1" applyFill="1" applyBorder="1" applyAlignment="1" applyProtection="1">
      <alignment horizontal="left" vertical="center" wrapText="1"/>
    </xf>
    <xf numFmtId="0" fontId="2" fillId="32" borderId="31" xfId="21" applyNumberFormat="1" applyFont="1" applyFill="1" applyBorder="1" applyAlignment="1" applyProtection="1">
      <alignment horizontal="left" vertical="center" wrapText="1"/>
    </xf>
    <xf numFmtId="0" fontId="2" fillId="32" borderId="33" xfId="21" applyNumberFormat="1" applyFont="1" applyFill="1" applyBorder="1" applyAlignment="1" applyProtection="1">
      <alignment horizontal="left" vertical="center" wrapText="1"/>
    </xf>
    <xf numFmtId="0" fontId="14" fillId="32" borderId="74" xfId="14" applyNumberFormat="1" applyFont="1" applyFill="1" applyBorder="1" applyAlignment="1" applyProtection="1">
      <alignment horizontal="left" vertical="top" wrapText="1"/>
    </xf>
    <xf numFmtId="165" fontId="2" fillId="32" borderId="152" xfId="14" applyNumberFormat="1" applyFill="1" applyBorder="1" applyAlignment="1" applyProtection="1">
      <alignment horizontal="center"/>
    </xf>
    <xf numFmtId="165" fontId="2" fillId="32" borderId="151" xfId="14" applyNumberFormat="1" applyFill="1" applyBorder="1" applyAlignment="1" applyProtection="1">
      <alignment horizontal="center"/>
    </xf>
    <xf numFmtId="0" fontId="14" fillId="32" borderId="162" xfId="14" applyNumberFormat="1" applyFont="1" applyFill="1" applyBorder="1" applyAlignment="1" applyProtection="1">
      <alignment horizontal="left" vertical="top" wrapText="1"/>
    </xf>
    <xf numFmtId="165" fontId="2" fillId="32" borderId="3" xfId="14" applyNumberFormat="1" applyFill="1" applyBorder="1" applyAlignment="1" applyProtection="1">
      <alignment horizontal="center"/>
    </xf>
    <xf numFmtId="165" fontId="2" fillId="32" borderId="29" xfId="14" applyNumberFormat="1" applyFill="1" applyBorder="1" applyAlignment="1" applyProtection="1">
      <alignment horizontal="center"/>
    </xf>
    <xf numFmtId="0" fontId="14" fillId="32" borderId="31" xfId="14" applyNumberFormat="1" applyFont="1" applyFill="1" applyBorder="1" applyAlignment="1" applyProtection="1">
      <alignment horizontal="left" vertical="top" wrapText="1"/>
    </xf>
    <xf numFmtId="165" fontId="2" fillId="32" borderId="31" xfId="14" applyNumberFormat="1" applyFill="1" applyBorder="1" applyAlignment="1" applyProtection="1">
      <alignment horizontal="center"/>
    </xf>
    <xf numFmtId="165" fontId="2" fillId="32" borderId="33" xfId="14" applyNumberFormat="1" applyFill="1" applyBorder="1" applyAlignment="1" applyProtection="1">
      <alignment horizontal="center"/>
    </xf>
    <xf numFmtId="0" fontId="7" fillId="31" borderId="29" xfId="19" applyNumberFormat="1" applyFont="1" applyFill="1" applyBorder="1" applyAlignment="1" applyProtection="1">
      <alignment horizontal="center" wrapText="1"/>
    </xf>
    <xf numFmtId="0" fontId="3" fillId="32" borderId="2" xfId="0" applyNumberFormat="1" applyFont="1" applyFill="1" applyBorder="1" applyAlignment="1">
      <alignment horizontal="center" vertical="center" wrapText="1"/>
    </xf>
    <xf numFmtId="0" fontId="34" fillId="32" borderId="2" xfId="0" applyNumberFormat="1" applyFont="1" applyFill="1" applyBorder="1" applyAlignment="1">
      <alignment horizontal="center" vertical="center" wrapText="1"/>
    </xf>
    <xf numFmtId="0" fontId="34" fillId="32" borderId="2" xfId="0" applyNumberFormat="1" applyFont="1" applyFill="1" applyBorder="1" applyAlignment="1">
      <alignment horizontal="center" vertical="top" wrapText="1"/>
    </xf>
    <xf numFmtId="0" fontId="35" fillId="32" borderId="2" xfId="0" applyNumberFormat="1" applyFont="1" applyFill="1" applyBorder="1" applyAlignment="1">
      <alignment horizontal="center" vertical="top" wrapText="1"/>
    </xf>
    <xf numFmtId="0" fontId="34" fillId="32" borderId="2" xfId="0" applyNumberFormat="1" applyFont="1" applyFill="1" applyBorder="1" applyAlignment="1" applyProtection="1">
      <alignment horizontal="center" vertical="top" wrapText="1"/>
    </xf>
    <xf numFmtId="0" fontId="34" fillId="32" borderId="2" xfId="18" applyNumberFormat="1" applyFont="1" applyFill="1" applyBorder="1" applyAlignment="1">
      <alignment horizontal="center" vertical="center" wrapText="1"/>
    </xf>
    <xf numFmtId="0" fontId="3" fillId="32" borderId="2" xfId="18" applyNumberFormat="1" applyFont="1" applyFill="1" applyBorder="1" applyAlignment="1">
      <alignment horizontal="center" vertical="center" wrapText="1"/>
    </xf>
    <xf numFmtId="0" fontId="3" fillId="48" borderId="2" xfId="18" applyNumberFormat="1" applyFont="1" applyFill="1" applyBorder="1" applyAlignment="1">
      <alignment horizontal="center" vertical="center" wrapText="1"/>
    </xf>
    <xf numFmtId="0" fontId="3" fillId="48" borderId="2" xfId="18" applyNumberFormat="1" applyFont="1" applyFill="1" applyBorder="1" applyAlignment="1">
      <alignment vertical="top" wrapText="1"/>
    </xf>
    <xf numFmtId="0" fontId="3" fillId="48" borderId="2" xfId="18" applyNumberFormat="1" applyFont="1" applyFill="1" applyBorder="1" applyAlignment="1" applyProtection="1">
      <alignment vertical="top" wrapText="1"/>
    </xf>
    <xf numFmtId="0" fontId="13" fillId="32" borderId="3" xfId="0" applyNumberFormat="1" applyFont="1" applyFill="1" applyBorder="1" applyAlignment="1" applyProtection="1">
      <alignment horizontal="right" vertical="top" wrapText="1"/>
    </xf>
    <xf numFmtId="0" fontId="34" fillId="0" borderId="16" xfId="0" applyNumberFormat="1" applyFont="1" applyFill="1" applyBorder="1" applyAlignment="1" applyProtection="1">
      <alignment horizontal="center" vertical="center"/>
      <protection locked="0"/>
    </xf>
    <xf numFmtId="0" fontId="29" fillId="18" borderId="16" xfId="0" applyNumberFormat="1" applyFont="1" applyFill="1" applyBorder="1" applyAlignment="1">
      <alignment horizontal="center" vertical="center"/>
    </xf>
    <xf numFmtId="0" fontId="34" fillId="0" borderId="133" xfId="0" applyNumberFormat="1" applyFont="1" applyBorder="1" applyAlignment="1" applyProtection="1">
      <alignment horizontal="center" vertical="center" wrapText="1"/>
      <protection locked="0"/>
    </xf>
    <xf numFmtId="0" fontId="34" fillId="0" borderId="133" xfId="18" applyNumberFormat="1" applyFont="1" applyBorder="1" applyAlignment="1" applyProtection="1">
      <alignment horizontal="center" vertical="center" wrapText="1"/>
      <protection locked="0"/>
    </xf>
    <xf numFmtId="0" fontId="3" fillId="0" borderId="133" xfId="18" applyNumberFormat="1" applyFont="1" applyBorder="1" applyAlignment="1" applyProtection="1">
      <alignment horizontal="center" vertical="center" wrapText="1"/>
      <protection locked="0"/>
    </xf>
    <xf numFmtId="0" fontId="3" fillId="18" borderId="133" xfId="18" applyNumberFormat="1" applyFont="1" applyFill="1" applyBorder="1" applyAlignment="1" applyProtection="1">
      <alignment horizontal="center" vertical="center" wrapText="1"/>
      <protection locked="0"/>
    </xf>
    <xf numFmtId="0" fontId="3" fillId="0" borderId="30" xfId="0" applyNumberFormat="1" applyFont="1" applyBorder="1" applyAlignment="1" applyProtection="1">
      <alignment horizontal="center" vertical="center" wrapText="1"/>
      <protection locked="0"/>
    </xf>
    <xf numFmtId="0" fontId="29" fillId="32" borderId="3" xfId="0" applyNumberFormat="1" applyFont="1" applyFill="1" applyBorder="1" applyAlignment="1" applyProtection="1">
      <alignment horizontal="center" vertical="center" wrapText="1"/>
    </xf>
    <xf numFmtId="0" fontId="29" fillId="32" borderId="152" xfId="0" applyNumberFormat="1" applyFont="1" applyFill="1" applyBorder="1" applyAlignment="1" applyProtection="1">
      <alignment horizontal="center" vertical="center" wrapText="1"/>
    </xf>
    <xf numFmtId="0" fontId="5" fillId="32" borderId="135" xfId="0" applyNumberFormat="1" applyFont="1" applyFill="1" applyBorder="1">
      <alignment vertical="center" wrapText="1"/>
    </xf>
    <xf numFmtId="0" fontId="5" fillId="32" borderId="136" xfId="17" applyNumberFormat="1" applyFont="1" applyFill="1" applyBorder="1" applyAlignment="1">
      <alignment horizontal="left" vertical="top" wrapText="1"/>
    </xf>
    <xf numFmtId="0" fontId="5" fillId="32" borderId="137" xfId="17" applyNumberFormat="1" applyFont="1" applyFill="1" applyBorder="1" applyAlignment="1">
      <alignment horizontal="left" vertical="top" wrapText="1"/>
    </xf>
    <xf numFmtId="0" fontId="5" fillId="32" borderId="136" xfId="0" applyNumberFormat="1" applyFont="1" applyFill="1" applyBorder="1">
      <alignment vertical="center" wrapText="1"/>
    </xf>
    <xf numFmtId="0" fontId="5" fillId="32" borderId="137" xfId="0" applyNumberFormat="1" applyFont="1" applyFill="1" applyBorder="1">
      <alignment vertical="center" wrapText="1"/>
    </xf>
    <xf numFmtId="0" fontId="5" fillId="32" borderId="135" xfId="17" applyNumberFormat="1" applyFont="1" applyFill="1" applyBorder="1" applyAlignment="1">
      <alignment horizontal="left" vertical="top" wrapText="1"/>
    </xf>
    <xf numFmtId="0" fontId="5" fillId="32" borderId="136" xfId="0" applyNumberFormat="1" applyFont="1" applyFill="1" applyBorder="1" applyAlignment="1">
      <alignment vertical="top" wrapText="1"/>
    </xf>
    <xf numFmtId="0" fontId="5" fillId="32" borderId="135" xfId="0" applyNumberFormat="1" applyFont="1" applyFill="1" applyBorder="1" applyAlignment="1">
      <alignment vertical="top" wrapText="1"/>
    </xf>
    <xf numFmtId="0" fontId="5" fillId="32" borderId="135" xfId="0" applyNumberFormat="1" applyFont="1" applyFill="1" applyBorder="1" applyAlignment="1">
      <alignment vertical="center" wrapText="1"/>
    </xf>
    <xf numFmtId="0" fontId="5" fillId="32" borderId="136" xfId="0" applyNumberFormat="1" applyFont="1" applyFill="1" applyBorder="1" applyAlignment="1">
      <alignment vertical="center" wrapText="1"/>
    </xf>
    <xf numFmtId="0" fontId="5" fillId="32" borderId="136" xfId="17" applyNumberFormat="1" applyFont="1" applyFill="1" applyBorder="1" applyAlignment="1">
      <alignment horizontal="left" vertical="center" wrapText="1"/>
    </xf>
    <xf numFmtId="0" fontId="27" fillId="32" borderId="135" xfId="17" applyNumberFormat="1" applyFont="1" applyFill="1" applyBorder="1" applyAlignment="1">
      <alignment horizontal="left" vertical="top" wrapText="1"/>
    </xf>
    <xf numFmtId="0" fontId="27" fillId="48" borderId="135" xfId="0" applyNumberFormat="1" applyFont="1" applyFill="1" applyBorder="1" applyAlignment="1">
      <alignment vertical="top"/>
    </xf>
    <xf numFmtId="0" fontId="27" fillId="48" borderId="136" xfId="0" applyNumberFormat="1" applyFont="1" applyFill="1" applyBorder="1" applyAlignment="1">
      <alignment vertical="top"/>
    </xf>
    <xf numFmtId="0" fontId="27" fillId="48" borderId="137" xfId="0" applyNumberFormat="1" applyFont="1" applyFill="1" applyBorder="1" applyAlignment="1">
      <alignment vertical="top"/>
    </xf>
    <xf numFmtId="0" fontId="5" fillId="32" borderId="137" xfId="0" applyNumberFormat="1" applyFont="1" applyFill="1" applyBorder="1" applyAlignment="1">
      <alignment vertical="top" wrapText="1"/>
    </xf>
    <xf numFmtId="0" fontId="56" fillId="32" borderId="137" xfId="17" applyNumberFormat="1" applyFont="1" applyFill="1" applyBorder="1" applyAlignment="1">
      <alignment horizontal="left" vertical="top" wrapText="1"/>
    </xf>
    <xf numFmtId="0" fontId="56" fillId="32" borderId="136" xfId="17" applyNumberFormat="1" applyFont="1" applyFill="1" applyBorder="1" applyAlignment="1">
      <alignment horizontal="left" vertical="top" wrapText="1"/>
    </xf>
    <xf numFmtId="0" fontId="56" fillId="32" borderId="136" xfId="0" applyNumberFormat="1" applyFont="1" applyFill="1" applyBorder="1">
      <alignment vertical="center" wrapText="1"/>
    </xf>
    <xf numFmtId="0" fontId="5" fillId="32" borderId="135" xfId="18" applyNumberFormat="1" applyFont="1" applyFill="1" applyBorder="1">
      <alignment vertical="center" wrapText="1"/>
    </xf>
    <xf numFmtId="0" fontId="5" fillId="32" borderId="136" xfId="18" applyNumberFormat="1" applyFont="1" applyFill="1" applyBorder="1">
      <alignment vertical="center" wrapText="1"/>
    </xf>
    <xf numFmtId="0" fontId="5" fillId="32" borderId="136" xfId="18" applyNumberFormat="1" applyFont="1" applyFill="1" applyBorder="1" applyAlignment="1">
      <alignment vertical="top" wrapText="1"/>
    </xf>
    <xf numFmtId="0" fontId="5" fillId="32" borderId="135" xfId="18" applyNumberFormat="1" applyFont="1" applyFill="1" applyBorder="1" applyAlignment="1">
      <alignment vertical="top" wrapText="1"/>
    </xf>
    <xf numFmtId="0" fontId="5" fillId="32" borderId="135" xfId="18" applyNumberFormat="1" applyFont="1" applyFill="1" applyBorder="1" applyAlignment="1">
      <alignment vertical="center" wrapText="1"/>
    </xf>
    <xf numFmtId="0" fontId="5" fillId="32" borderId="136" xfId="18" applyNumberFormat="1" applyFont="1" applyFill="1" applyBorder="1" applyAlignment="1">
      <alignment vertical="center" wrapText="1"/>
    </xf>
    <xf numFmtId="0" fontId="5" fillId="32" borderId="137" xfId="18" applyNumberFormat="1" applyFont="1" applyFill="1" applyBorder="1">
      <alignment vertical="center" wrapText="1"/>
    </xf>
    <xf numFmtId="165" fontId="0" fillId="31" borderId="0" xfId="0" applyNumberFormat="1" applyFont="1" applyFill="1" applyBorder="1" applyAlignment="1" applyProtection="1">
      <alignment vertical="center" textRotation="90" wrapText="1"/>
    </xf>
    <xf numFmtId="0" fontId="0" fillId="31" borderId="0" xfId="0" applyNumberFormat="1" applyFont="1" applyFill="1" applyBorder="1" applyAlignment="1" applyProtection="1">
      <alignment vertical="center" textRotation="90" wrapText="1"/>
    </xf>
    <xf numFmtId="0" fontId="2" fillId="0" borderId="152" xfId="0" applyNumberFormat="1" applyFont="1" applyFill="1" applyBorder="1" applyAlignment="1" applyProtection="1">
      <alignment horizontal="center" vertical="center" textRotation="90" wrapText="1"/>
      <protection locked="0"/>
    </xf>
    <xf numFmtId="0" fontId="2" fillId="0" borderId="152" xfId="13" applyNumberFormat="1" applyFill="1" applyBorder="1" applyAlignment="1" applyProtection="1">
      <alignment horizontal="center" vertical="center" textRotation="90"/>
      <protection locked="0"/>
    </xf>
    <xf numFmtId="0" fontId="18" fillId="0" borderId="152" xfId="13" applyNumberFormat="1" applyFont="1" applyFill="1" applyBorder="1" applyAlignment="1" applyProtection="1">
      <alignment textRotation="90"/>
      <protection locked="0"/>
    </xf>
    <xf numFmtId="0" fontId="13" fillId="0" borderId="152" xfId="0" applyNumberFormat="1" applyFont="1" applyFill="1" applyBorder="1" applyAlignment="1" applyProtection="1">
      <alignment horizontal="center" vertical="center" wrapText="1"/>
      <protection locked="0"/>
    </xf>
    <xf numFmtId="0" fontId="2" fillId="0" borderId="152" xfId="13" applyNumberFormat="1" applyBorder="1" applyProtection="1">
      <protection locked="0"/>
    </xf>
    <xf numFmtId="0" fontId="2" fillId="0" borderId="150" xfId="13" applyNumberFormat="1" applyFill="1" applyBorder="1" applyAlignment="1" applyProtection="1">
      <alignment horizontal="center" vertical="center" textRotation="90"/>
      <protection locked="0"/>
    </xf>
    <xf numFmtId="0" fontId="3" fillId="0" borderId="152" xfId="13" applyNumberFormat="1" applyFont="1" applyFill="1" applyBorder="1" applyAlignment="1" applyProtection="1">
      <alignment textRotation="90"/>
      <protection locked="0"/>
    </xf>
    <xf numFmtId="0" fontId="2" fillId="32" borderId="29" xfId="12" applyNumberFormat="1" applyFont="1" applyFill="1" applyBorder="1" applyProtection="1"/>
    <xf numFmtId="0" fontId="29" fillId="32" borderId="29" xfId="13" applyNumberFormat="1" applyFont="1" applyFill="1" applyBorder="1" applyAlignment="1" applyProtection="1">
      <alignment horizontal="center"/>
    </xf>
    <xf numFmtId="0" fontId="2" fillId="32" borderId="29" xfId="13" applyNumberFormat="1" applyFont="1" applyFill="1" applyBorder="1" applyProtection="1"/>
    <xf numFmtId="0" fontId="29" fillId="32" borderId="29" xfId="13" applyNumberFormat="1" applyFont="1" applyFill="1" applyBorder="1" applyAlignment="1" applyProtection="1">
      <alignment horizontal="center" vertical="center" wrapText="1"/>
    </xf>
    <xf numFmtId="0" fontId="2" fillId="32" borderId="29" xfId="19" applyNumberFormat="1" applyFont="1" applyFill="1" applyBorder="1" applyProtection="1"/>
    <xf numFmtId="0" fontId="2" fillId="32" borderId="33" xfId="13" applyNumberFormat="1" applyFont="1" applyFill="1" applyBorder="1" applyProtection="1"/>
    <xf numFmtId="0" fontId="5" fillId="0" borderId="2" xfId="0" applyNumberFormat="1" applyFont="1" applyFill="1" applyBorder="1" applyAlignment="1" applyProtection="1">
      <alignment horizontal="left" vertical="top" wrapText="1"/>
    </xf>
    <xf numFmtId="0" fontId="13" fillId="0" borderId="0" xfId="16" applyNumberFormat="1" applyFont="1" applyAlignment="1" applyProtection="1">
      <alignment horizontal="center" vertical="center"/>
      <protection locked="0"/>
    </xf>
    <xf numFmtId="0" fontId="13" fillId="28" borderId="0" xfId="16" applyNumberFormat="1" applyFont="1" applyFill="1" applyAlignment="1" applyProtection="1">
      <alignment horizontal="center" vertical="center"/>
      <protection locked="0"/>
    </xf>
    <xf numFmtId="0" fontId="13" fillId="28" borderId="0" xfId="16" applyNumberFormat="1" applyFont="1" applyFill="1" applyAlignment="1" applyProtection="1">
      <alignment horizontal="center"/>
      <protection locked="0"/>
    </xf>
    <xf numFmtId="0" fontId="13" fillId="25" borderId="0" xfId="16" applyNumberFormat="1" applyFont="1" applyFill="1" applyAlignment="1" applyProtection="1">
      <alignment horizontal="center" vertical="center"/>
      <protection locked="0"/>
    </xf>
    <xf numFmtId="0" fontId="13" fillId="49" borderId="0" xfId="16" applyNumberFormat="1" applyFont="1" applyFill="1" applyAlignment="1" applyProtection="1">
      <alignment horizontal="center" vertical="center"/>
      <protection locked="0"/>
    </xf>
    <xf numFmtId="0" fontId="13" fillId="26" borderId="0" xfId="16" applyNumberFormat="1" applyFont="1" applyFill="1" applyAlignment="1" applyProtection="1">
      <alignment horizontal="center" vertical="center"/>
      <protection locked="0"/>
    </xf>
    <xf numFmtId="0" fontId="0" fillId="0" borderId="0" xfId="0" applyNumberFormat="1" applyAlignment="1" applyProtection="1">
      <alignment vertical="center" wrapText="1"/>
    </xf>
    <xf numFmtId="1" fontId="2" fillId="20" borderId="74" xfId="9" applyNumberFormat="1" applyFont="1" applyFill="1" applyBorder="1" applyAlignment="1" applyProtection="1">
      <alignment horizontal="center" vertical="top"/>
      <protection locked="0"/>
    </xf>
    <xf numFmtId="1" fontId="2" fillId="20" borderId="162" xfId="9" applyNumberFormat="1" applyFont="1" applyFill="1" applyBorder="1" applyAlignment="1" applyProtection="1">
      <alignment horizontal="center" vertical="top"/>
      <protection locked="0"/>
    </xf>
    <xf numFmtId="1" fontId="7" fillId="34" borderId="144" xfId="9" applyNumberFormat="1" applyFont="1" applyFill="1" applyBorder="1" applyAlignment="1">
      <alignment vertical="top" wrapText="1"/>
    </xf>
    <xf numFmtId="1" fontId="2" fillId="20" borderId="170" xfId="9" applyNumberFormat="1" applyFont="1" applyFill="1" applyBorder="1" applyAlignment="1" applyProtection="1">
      <alignment horizontal="center" vertical="top"/>
      <protection locked="0"/>
    </xf>
    <xf numFmtId="1" fontId="2" fillId="20" borderId="3" xfId="9" applyNumberFormat="1" applyFont="1" applyFill="1" applyBorder="1" applyAlignment="1" applyProtection="1">
      <alignment horizontal="center" vertical="top"/>
      <protection locked="0"/>
    </xf>
    <xf numFmtId="0" fontId="28" fillId="0" borderId="152" xfId="12" applyNumberFormat="1" applyFont="1" applyFill="1" applyBorder="1" applyAlignment="1" applyProtection="1">
      <alignment horizontal="center" wrapText="1"/>
    </xf>
    <xf numFmtId="0" fontId="0" fillId="0" borderId="0" xfId="0" applyNumberFormat="1" applyBorder="1" applyAlignment="1">
      <alignment vertical="center" wrapText="1"/>
    </xf>
    <xf numFmtId="0" fontId="2" fillId="0" borderId="152" xfId="0" applyNumberFormat="1" applyFont="1" applyBorder="1" applyAlignment="1" applyProtection="1">
      <alignment vertical="center" wrapText="1"/>
      <protection locked="0"/>
    </xf>
    <xf numFmtId="0" fontId="2" fillId="0" borderId="0" xfId="12" applyNumberFormat="1" applyAlignment="1" applyProtection="1">
      <alignment wrapText="1"/>
      <protection locked="0"/>
    </xf>
    <xf numFmtId="0" fontId="2" fillId="0" borderId="0" xfId="12" applyNumberFormat="1" applyAlignment="1">
      <alignment wrapText="1"/>
    </xf>
    <xf numFmtId="0" fontId="13" fillId="49" borderId="0" xfId="16" applyNumberFormat="1" applyFont="1" applyFill="1" applyAlignment="1" applyProtection="1">
      <alignment horizontal="center" vertical="center"/>
    </xf>
    <xf numFmtId="0" fontId="13" fillId="50" borderId="0" xfId="16" applyNumberFormat="1" applyFont="1" applyFill="1" applyAlignment="1" applyProtection="1">
      <alignment horizontal="center" vertical="center"/>
    </xf>
    <xf numFmtId="0" fontId="13" fillId="25" borderId="0" xfId="16" applyNumberFormat="1" applyFont="1" applyFill="1" applyAlignment="1" applyProtection="1">
      <alignment horizontal="center" vertical="center"/>
    </xf>
    <xf numFmtId="0" fontId="13" fillId="0" borderId="0" xfId="16" applyNumberFormat="1" applyFont="1" applyFill="1" applyAlignment="1" applyProtection="1">
      <alignment horizontal="center" vertical="center"/>
    </xf>
    <xf numFmtId="0" fontId="13" fillId="28" borderId="0" xfId="16" applyNumberFormat="1" applyFont="1" applyFill="1" applyAlignment="1" applyProtection="1">
      <alignment horizontal="center" vertical="center"/>
    </xf>
    <xf numFmtId="0" fontId="13" fillId="28" borderId="0" xfId="16" applyNumberFormat="1" applyFont="1" applyFill="1" applyAlignment="1" applyProtection="1">
      <alignment horizontal="center"/>
    </xf>
    <xf numFmtId="164" fontId="13" fillId="0" borderId="0" xfId="0" applyFont="1" applyAlignment="1" applyProtection="1">
      <alignment vertical="center"/>
    </xf>
    <xf numFmtId="164" fontId="0" fillId="0" borderId="0" xfId="0" applyAlignment="1" applyProtection="1">
      <alignment vertical="center"/>
    </xf>
    <xf numFmtId="0" fontId="62" fillId="0" borderId="3" xfId="0" applyNumberFormat="1" applyFont="1" applyFill="1" applyBorder="1" applyAlignment="1" applyProtection="1">
      <alignment horizontal="left" vertical="center" wrapText="1"/>
      <protection locked="0"/>
    </xf>
    <xf numFmtId="0" fontId="13" fillId="34" borderId="29" xfId="13" applyNumberFormat="1" applyFont="1" applyFill="1" applyBorder="1" applyAlignment="1" applyProtection="1">
      <alignment horizontal="left" vertical="center"/>
    </xf>
    <xf numFmtId="0" fontId="6" fillId="0" borderId="3" xfId="19" applyNumberFormat="1" applyFont="1" applyFill="1" applyBorder="1" applyAlignment="1" applyProtection="1">
      <alignment horizontal="center" vertical="center"/>
      <protection locked="0"/>
    </xf>
    <xf numFmtId="1" fontId="2" fillId="14" borderId="7" xfId="9" applyNumberFormat="1" applyFont="1" applyFill="1" applyBorder="1" applyAlignment="1" applyProtection="1">
      <alignment horizontal="center" vertical="top"/>
      <protection locked="0"/>
    </xf>
    <xf numFmtId="1" fontId="2" fillId="14" borderId="3" xfId="9" applyNumberFormat="1" applyFont="1" applyFill="1" applyBorder="1" applyAlignment="1" applyProtection="1">
      <alignment horizontal="center" vertical="top"/>
      <protection locked="0"/>
    </xf>
    <xf numFmtId="1" fontId="7" fillId="34" borderId="144" xfId="9" applyNumberFormat="1" applyFont="1" applyFill="1" applyBorder="1" applyAlignment="1">
      <alignment horizontal="center" vertical="top" wrapText="1"/>
    </xf>
    <xf numFmtId="165" fontId="13" fillId="51" borderId="3" xfId="13" applyNumberFormat="1" applyFont="1" applyFill="1" applyBorder="1" applyAlignment="1" applyProtection="1">
      <alignment horizontal="center" vertical="center"/>
    </xf>
    <xf numFmtId="165" fontId="2" fillId="51" borderId="3" xfId="19" applyNumberFormat="1" applyFont="1" applyFill="1" applyBorder="1" applyAlignment="1" applyProtection="1">
      <alignment horizontal="center" vertical="center" wrapText="1"/>
    </xf>
    <xf numFmtId="165" fontId="2" fillId="51" borderId="3" xfId="19" quotePrefix="1" applyNumberFormat="1" applyFont="1" applyFill="1" applyBorder="1" applyAlignment="1" applyProtection="1">
      <alignment horizontal="center" vertical="center" wrapText="1"/>
    </xf>
    <xf numFmtId="165" fontId="2" fillId="51" borderId="31" xfId="19" applyNumberFormat="1" applyFont="1" applyFill="1" applyBorder="1" applyAlignment="1" applyProtection="1">
      <alignment horizontal="center" vertical="center" wrapText="1"/>
    </xf>
    <xf numFmtId="0" fontId="62" fillId="0" borderId="152" xfId="0" applyNumberFormat="1" applyFont="1" applyFill="1" applyBorder="1" applyAlignment="1" applyProtection="1">
      <alignment horizontal="left" vertical="center" wrapText="1"/>
      <protection locked="0"/>
    </xf>
    <xf numFmtId="0" fontId="0" fillId="0" borderId="152" xfId="0" applyNumberFormat="1" applyFill="1" applyBorder="1" applyAlignment="1" applyProtection="1">
      <alignment horizontal="center" vertical="center" wrapText="1"/>
      <protection locked="0"/>
    </xf>
    <xf numFmtId="0" fontId="0" fillId="0" borderId="152" xfId="0" applyNumberFormat="1" applyFill="1" applyBorder="1" applyAlignment="1" applyProtection="1">
      <alignment horizontal="left" vertical="center" wrapText="1"/>
      <protection locked="0"/>
    </xf>
    <xf numFmtId="0" fontId="2" fillId="36" borderId="152" xfId="0" applyNumberFormat="1" applyFont="1" applyFill="1" applyBorder="1">
      <alignment vertical="center" wrapText="1"/>
    </xf>
    <xf numFmtId="165" fontId="0" fillId="0" borderId="152" xfId="0" applyNumberFormat="1" applyFill="1" applyBorder="1" applyAlignment="1" applyProtection="1">
      <alignment horizontal="center" vertical="center" wrapText="1"/>
      <protection locked="0"/>
    </xf>
    <xf numFmtId="0" fontId="0" fillId="0" borderId="3" xfId="0" applyNumberFormat="1" applyFill="1" applyBorder="1" applyProtection="1">
      <alignment vertical="center" wrapText="1"/>
      <protection locked="0"/>
    </xf>
    <xf numFmtId="0" fontId="2" fillId="0" borderId="3" xfId="0" applyNumberFormat="1" applyFont="1" applyFill="1" applyBorder="1" applyProtection="1">
      <alignment vertical="center" wrapText="1"/>
      <protection locked="0"/>
    </xf>
    <xf numFmtId="0" fontId="2" fillId="0" borderId="152" xfId="0" applyNumberFormat="1" applyFont="1" applyFill="1" applyBorder="1" applyProtection="1">
      <alignment vertical="center" wrapText="1"/>
      <protection locked="0"/>
    </xf>
    <xf numFmtId="0" fontId="0" fillId="0" borderId="152" xfId="0" applyNumberFormat="1" applyFill="1" applyBorder="1" applyProtection="1">
      <alignment vertical="center" wrapText="1"/>
      <protection locked="0"/>
    </xf>
    <xf numFmtId="0" fontId="0" fillId="0" borderId="3" xfId="0" applyNumberFormat="1" applyFont="1" applyFill="1" applyBorder="1" applyAlignment="1" applyProtection="1">
      <alignment horizontal="justify" wrapText="1"/>
      <protection locked="0"/>
    </xf>
    <xf numFmtId="0" fontId="64" fillId="0" borderId="0" xfId="10" applyNumberFormat="1" applyFont="1" applyAlignment="1">
      <alignment vertical="top" wrapText="1"/>
    </xf>
    <xf numFmtId="0" fontId="7" fillId="0" borderId="3" xfId="16" applyNumberFormat="1" applyFont="1" applyFill="1" applyBorder="1" applyAlignment="1" applyProtection="1">
      <alignment horizontal="left"/>
    </xf>
    <xf numFmtId="0" fontId="2" fillId="0" borderId="0" xfId="13" applyNumberFormat="1" applyFill="1" applyAlignment="1" applyProtection="1">
      <alignment horizontal="center" vertical="center"/>
      <protection locked="0"/>
    </xf>
    <xf numFmtId="0" fontId="18" fillId="0" borderId="152" xfId="13" applyNumberFormat="1" applyFont="1" applyFill="1" applyBorder="1" applyAlignment="1" applyProtection="1">
      <alignment horizontal="center" vertical="center" textRotation="90"/>
      <protection locked="0"/>
    </xf>
    <xf numFmtId="0" fontId="3" fillId="0" borderId="152" xfId="13" applyNumberFormat="1" applyFont="1" applyFill="1" applyBorder="1" applyAlignment="1" applyProtection="1">
      <alignment horizontal="center" vertical="center" textRotation="90"/>
      <protection locked="0"/>
    </xf>
    <xf numFmtId="0" fontId="18" fillId="0" borderId="150" xfId="13" applyNumberFormat="1" applyFont="1" applyFill="1" applyBorder="1" applyAlignment="1" applyProtection="1">
      <alignment horizontal="center" vertical="center" textRotation="90"/>
      <protection locked="0"/>
    </xf>
    <xf numFmtId="0" fontId="2" fillId="0" borderId="152" xfId="0" applyNumberFormat="1" applyFont="1" applyBorder="1" applyAlignment="1" applyProtection="1">
      <alignment horizontal="center" vertical="center" wrapText="1"/>
      <protection locked="0"/>
    </xf>
    <xf numFmtId="0" fontId="2" fillId="0" borderId="152" xfId="13" applyNumberFormat="1" applyFont="1" applyBorder="1" applyAlignment="1" applyProtection="1">
      <alignment horizontal="center" vertical="center"/>
      <protection locked="0"/>
    </xf>
    <xf numFmtId="0" fontId="2" fillId="0" borderId="150" xfId="13" applyNumberFormat="1" applyFont="1" applyBorder="1" applyAlignment="1" applyProtection="1">
      <alignment horizontal="center" vertical="center"/>
      <protection locked="0"/>
    </xf>
    <xf numFmtId="0" fontId="2" fillId="0" borderId="152" xfId="13" applyNumberFormat="1" applyFill="1" applyBorder="1" applyAlignment="1" applyProtection="1">
      <alignment horizontal="center" vertical="center"/>
    </xf>
    <xf numFmtId="0" fontId="2" fillId="0" borderId="152" xfId="12" applyNumberFormat="1" applyFont="1" applyBorder="1" applyAlignment="1" applyProtection="1">
      <alignment horizontal="center" vertical="center"/>
      <protection locked="0"/>
    </xf>
    <xf numFmtId="0" fontId="2" fillId="0" borderId="150" xfId="12" applyNumberFormat="1" applyFont="1" applyBorder="1" applyAlignment="1" applyProtection="1">
      <alignment horizontal="center" vertical="center"/>
      <protection locked="0"/>
    </xf>
    <xf numFmtId="0" fontId="2" fillId="0" borderId="152" xfId="12" applyNumberFormat="1" applyFill="1" applyBorder="1" applyAlignment="1" applyProtection="1">
      <alignment horizontal="center" vertical="center"/>
    </xf>
    <xf numFmtId="0" fontId="2" fillId="0" borderId="152" xfId="12" applyNumberFormat="1" applyFont="1" applyBorder="1" applyAlignment="1" applyProtection="1">
      <alignment horizontal="center" vertical="center" wrapText="1"/>
      <protection locked="0"/>
    </xf>
    <xf numFmtId="0" fontId="2" fillId="0" borderId="150" xfId="12" applyNumberFormat="1" applyFont="1" applyBorder="1" applyAlignment="1" applyProtection="1">
      <alignment horizontal="center" vertical="center" wrapText="1"/>
      <protection locked="0"/>
    </xf>
    <xf numFmtId="0" fontId="2" fillId="0" borderId="152" xfId="12" applyNumberFormat="1" applyFill="1" applyBorder="1" applyAlignment="1" applyProtection="1">
      <alignment horizontal="center" vertical="center" wrapText="1"/>
    </xf>
    <xf numFmtId="0" fontId="2" fillId="0" borderId="152" xfId="19" applyNumberFormat="1" applyFont="1" applyBorder="1" applyAlignment="1" applyProtection="1">
      <alignment horizontal="center" vertical="center"/>
      <protection locked="0"/>
    </xf>
    <xf numFmtId="0" fontId="2" fillId="0" borderId="150" xfId="19" applyNumberFormat="1" applyFont="1" applyBorder="1" applyAlignment="1" applyProtection="1">
      <alignment horizontal="center" vertical="center"/>
      <protection locked="0"/>
    </xf>
    <xf numFmtId="0" fontId="2" fillId="0" borderId="3" xfId="0" applyNumberFormat="1" applyFont="1" applyBorder="1" applyAlignment="1" applyProtection="1">
      <alignment horizontal="center" vertical="center" wrapText="1"/>
      <protection locked="0"/>
    </xf>
    <xf numFmtId="0" fontId="2" fillId="0" borderId="3" xfId="12" applyNumberFormat="1" applyFont="1" applyBorder="1" applyAlignment="1" applyProtection="1">
      <alignment horizontal="center" vertical="center"/>
      <protection locked="0"/>
    </xf>
    <xf numFmtId="0" fontId="2" fillId="0" borderId="152" xfId="12" applyNumberFormat="1" applyFont="1" applyFill="1" applyBorder="1" applyAlignment="1" applyProtection="1">
      <alignment horizontal="center" vertical="center"/>
    </xf>
    <xf numFmtId="0" fontId="2" fillId="0" borderId="150" xfId="12" applyNumberFormat="1" applyFont="1" applyFill="1" applyBorder="1" applyAlignment="1" applyProtection="1">
      <alignment horizontal="center" vertical="center"/>
    </xf>
    <xf numFmtId="0" fontId="2" fillId="0" borderId="152" xfId="0" applyNumberFormat="1" applyFont="1" applyBorder="1" applyAlignment="1" applyProtection="1">
      <alignment horizontal="center" vertical="center" wrapText="1"/>
    </xf>
    <xf numFmtId="0" fontId="2" fillId="0" borderId="31" xfId="0" applyNumberFormat="1" applyFont="1" applyBorder="1" applyAlignment="1" applyProtection="1">
      <alignment horizontal="center" vertical="center" wrapText="1"/>
      <protection locked="0"/>
    </xf>
    <xf numFmtId="0" fontId="2" fillId="0" borderId="31" xfId="13" applyNumberFormat="1" applyFont="1" applyBorder="1" applyAlignment="1" applyProtection="1">
      <alignment horizontal="center" vertical="center"/>
      <protection locked="0"/>
    </xf>
    <xf numFmtId="0" fontId="2" fillId="0" borderId="32" xfId="13" applyNumberFormat="1" applyFont="1" applyBorder="1" applyAlignment="1" applyProtection="1">
      <alignment horizontal="center" vertical="center"/>
      <protection locked="0"/>
    </xf>
    <xf numFmtId="0" fontId="2" fillId="0" borderId="0" xfId="13" applyNumberFormat="1" applyAlignment="1" applyProtection="1">
      <alignment horizontal="center" vertical="center"/>
      <protection locked="0"/>
    </xf>
    <xf numFmtId="0" fontId="2" fillId="0" borderId="152" xfId="13" applyNumberFormat="1" applyBorder="1" applyAlignment="1" applyProtection="1">
      <alignment horizontal="center" vertical="center"/>
      <protection locked="0"/>
    </xf>
    <xf numFmtId="0" fontId="2" fillId="14" borderId="7" xfId="9" applyNumberFormat="1" applyFont="1" applyFill="1" applyBorder="1" applyAlignment="1" applyProtection="1">
      <alignment vertical="top" wrapText="1"/>
      <protection locked="0"/>
    </xf>
    <xf numFmtId="0" fontId="2" fillId="14" borderId="7" xfId="9" applyNumberFormat="1" applyFont="1" applyFill="1" applyBorder="1" applyAlignment="1" applyProtection="1">
      <alignment vertical="top"/>
      <protection locked="0"/>
    </xf>
    <xf numFmtId="0" fontId="94" fillId="14" borderId="9" xfId="8" applyNumberFormat="1" applyFont="1" applyFill="1" applyBorder="1" applyAlignment="1" applyProtection="1">
      <alignment horizontal="left" vertical="top"/>
      <protection locked="0"/>
    </xf>
    <xf numFmtId="0" fontId="2" fillId="14" borderId="9" xfId="9" applyNumberFormat="1" applyFont="1" applyFill="1" applyBorder="1" applyAlignment="1" applyProtection="1">
      <alignment horizontal="left" vertical="top" wrapText="1"/>
      <protection locked="0"/>
    </xf>
    <xf numFmtId="1" fontId="2" fillId="0" borderId="3" xfId="16" applyNumberFormat="1" applyBorder="1" applyAlignment="1" applyProtection="1">
      <alignment horizontal="center"/>
    </xf>
    <xf numFmtId="1" fontId="2" fillId="23" borderId="3" xfId="16" applyNumberFormat="1" applyFill="1" applyBorder="1" applyAlignment="1" applyProtection="1">
      <alignment horizontal="center"/>
    </xf>
    <xf numFmtId="1" fontId="0" fillId="0" borderId="3" xfId="16" applyNumberFormat="1" applyFont="1" applyFill="1" applyBorder="1" applyAlignment="1" applyProtection="1">
      <alignment horizontal="center"/>
    </xf>
    <xf numFmtId="0" fontId="16" fillId="0" borderId="3" xfId="16" applyNumberFormat="1" applyFont="1" applyBorder="1" applyAlignment="1" applyProtection="1"/>
    <xf numFmtId="0" fontId="17" fillId="0" borderId="3" xfId="16" applyNumberFormat="1" applyFont="1" applyBorder="1" applyAlignment="1" applyProtection="1"/>
    <xf numFmtId="1" fontId="7" fillId="0" borderId="3" xfId="16" applyNumberFormat="1" applyFont="1" applyFill="1" applyBorder="1" applyAlignment="1" applyProtection="1">
      <alignment horizontal="left"/>
    </xf>
    <xf numFmtId="1" fontId="2" fillId="0" borderId="3" xfId="16" applyNumberFormat="1" applyBorder="1" applyAlignment="1" applyProtection="1">
      <alignment horizontal="center" vertical="top"/>
    </xf>
    <xf numFmtId="1" fontId="2" fillId="0" borderId="3" xfId="16" applyNumberFormat="1" applyBorder="1" applyAlignment="1" applyProtection="1">
      <alignment horizontal="center" vertical="center"/>
    </xf>
    <xf numFmtId="1" fontId="2" fillId="23" borderId="3" xfId="16" applyNumberFormat="1" applyFill="1" applyBorder="1" applyAlignment="1" applyProtection="1">
      <alignment horizontal="center" vertical="center"/>
    </xf>
    <xf numFmtId="0" fontId="3" fillId="0" borderId="139" xfId="0" applyNumberFormat="1" applyFont="1" applyFill="1" applyBorder="1">
      <alignment vertical="center" wrapText="1"/>
    </xf>
    <xf numFmtId="0" fontId="4" fillId="32" borderId="2" xfId="0" applyNumberFormat="1" applyFont="1" applyFill="1" applyBorder="1" applyAlignment="1">
      <alignment horizontal="center" vertical="center" wrapText="1"/>
    </xf>
    <xf numFmtId="0" fontId="10" fillId="32" borderId="2" xfId="0" applyNumberFormat="1" applyFont="1" applyFill="1" applyBorder="1" applyAlignment="1">
      <alignment horizontal="center" vertical="center" wrapText="1"/>
    </xf>
    <xf numFmtId="0" fontId="3" fillId="32" borderId="2" xfId="0" applyNumberFormat="1" applyFont="1" applyFill="1" applyBorder="1" applyAlignment="1" applyProtection="1">
      <alignment horizontal="center" vertical="center"/>
    </xf>
    <xf numFmtId="0" fontId="3" fillId="0" borderId="2" xfId="0" applyNumberFormat="1" applyFont="1" applyBorder="1" applyAlignment="1" applyProtection="1">
      <alignment horizontal="center" vertical="center"/>
      <protection locked="0"/>
    </xf>
    <xf numFmtId="0" fontId="3" fillId="0" borderId="2" xfId="0" applyNumberFormat="1" applyFont="1" applyBorder="1" applyAlignment="1" applyProtection="1">
      <alignment horizontal="center" vertical="center" wrapText="1"/>
      <protection locked="0"/>
    </xf>
    <xf numFmtId="0" fontId="3" fillId="32" borderId="134" xfId="0" applyNumberFormat="1" applyFont="1" applyFill="1" applyBorder="1" applyAlignment="1">
      <alignment horizontal="center" vertical="center" wrapText="1"/>
    </xf>
    <xf numFmtId="0" fontId="10" fillId="32" borderId="2" xfId="17" applyNumberFormat="1" applyFont="1" applyFill="1" applyBorder="1" applyAlignment="1">
      <alignment horizontal="center" vertical="center" wrapText="1"/>
    </xf>
    <xf numFmtId="0" fontId="12" fillId="0" borderId="2" xfId="0" applyNumberFormat="1" applyFont="1" applyBorder="1" applyAlignment="1" applyProtection="1">
      <alignment horizontal="center" vertical="center" wrapText="1"/>
      <protection locked="0"/>
    </xf>
    <xf numFmtId="0" fontId="4" fillId="18" borderId="139" xfId="0" applyNumberFormat="1" applyFont="1" applyFill="1" applyBorder="1" applyAlignment="1">
      <alignment vertical="top"/>
    </xf>
    <xf numFmtId="0" fontId="3" fillId="32" borderId="2" xfId="0" applyNumberFormat="1" applyFont="1" applyFill="1" applyBorder="1" applyAlignment="1">
      <alignment horizontal="center" vertical="top" wrapText="1"/>
    </xf>
    <xf numFmtId="0" fontId="10" fillId="32" borderId="2" xfId="0" applyNumberFormat="1" applyFont="1" applyFill="1" applyBorder="1" applyAlignment="1">
      <alignment horizontal="center" vertical="top" wrapText="1"/>
    </xf>
    <xf numFmtId="0" fontId="3" fillId="32" borderId="2" xfId="0" applyNumberFormat="1" applyFont="1" applyFill="1" applyBorder="1" applyAlignment="1" applyProtection="1">
      <alignment horizontal="center" vertical="top"/>
    </xf>
    <xf numFmtId="0" fontId="3" fillId="0" borderId="2" xfId="0" applyNumberFormat="1" applyFont="1" applyBorder="1" applyAlignment="1" applyProtection="1">
      <alignment horizontal="center" vertical="top"/>
      <protection locked="0"/>
    </xf>
    <xf numFmtId="0" fontId="10" fillId="0" borderId="2" xfId="0" applyNumberFormat="1" applyFont="1" applyBorder="1" applyAlignment="1" applyProtection="1">
      <alignment horizontal="center" vertical="center"/>
      <protection locked="0"/>
    </xf>
    <xf numFmtId="0" fontId="3" fillId="32" borderId="2" xfId="0" applyNumberFormat="1" applyFont="1" applyFill="1" applyBorder="1" applyAlignment="1" applyProtection="1">
      <alignment horizontal="center" vertical="center" wrapText="1"/>
    </xf>
    <xf numFmtId="0" fontId="3" fillId="0" borderId="2" xfId="0" applyNumberFormat="1" applyFont="1" applyFill="1" applyBorder="1" applyAlignment="1" applyProtection="1">
      <alignment horizontal="center" vertical="center" wrapText="1"/>
      <protection locked="0"/>
    </xf>
    <xf numFmtId="0" fontId="3" fillId="0" borderId="139" xfId="0" applyNumberFormat="1" applyFont="1" applyFill="1" applyBorder="1" applyAlignment="1">
      <alignment vertical="top" wrapText="1"/>
    </xf>
    <xf numFmtId="0" fontId="3" fillId="18" borderId="139" xfId="0" applyNumberFormat="1" applyFont="1" applyFill="1" applyBorder="1" applyAlignment="1">
      <alignment vertical="top" wrapText="1"/>
    </xf>
    <xf numFmtId="0" fontId="3" fillId="32" borderId="2" xfId="0" applyNumberFormat="1" applyFont="1" applyFill="1" applyBorder="1" applyAlignment="1" applyProtection="1">
      <alignment horizontal="center" vertical="top" wrapText="1"/>
    </xf>
    <xf numFmtId="0" fontId="3" fillId="0" borderId="2" xfId="0" applyNumberFormat="1" applyFont="1" applyFill="1" applyBorder="1" applyAlignment="1" applyProtection="1">
      <alignment horizontal="center" vertical="top" wrapText="1"/>
      <protection locked="0"/>
    </xf>
    <xf numFmtId="0" fontId="3" fillId="18" borderId="139" xfId="18" applyNumberFormat="1" applyFont="1" applyFill="1" applyBorder="1" applyAlignment="1">
      <alignment vertical="top" wrapText="1"/>
    </xf>
    <xf numFmtId="0" fontId="3" fillId="32" borderId="2" xfId="18" applyNumberFormat="1" applyFont="1" applyFill="1" applyBorder="1" applyAlignment="1">
      <alignment horizontal="center" vertical="top" wrapText="1"/>
    </xf>
    <xf numFmtId="0" fontId="10" fillId="32" borderId="2" xfId="18" applyNumberFormat="1" applyFont="1" applyFill="1" applyBorder="1" applyAlignment="1">
      <alignment horizontal="center" vertical="top" wrapText="1"/>
    </xf>
    <xf numFmtId="0" fontId="3" fillId="32" borderId="2" xfId="18" applyNumberFormat="1" applyFont="1" applyFill="1" applyBorder="1" applyAlignment="1" applyProtection="1">
      <alignment horizontal="center" vertical="top" wrapText="1"/>
    </xf>
    <xf numFmtId="0" fontId="3" fillId="0" borderId="2" xfId="18" applyNumberFormat="1" applyFont="1" applyFill="1" applyBorder="1" applyAlignment="1" applyProtection="1">
      <alignment horizontal="center" vertical="top" wrapText="1"/>
      <protection locked="0"/>
    </xf>
    <xf numFmtId="0" fontId="3" fillId="0" borderId="2" xfId="18" applyNumberFormat="1" applyFont="1" applyBorder="1" applyAlignment="1" applyProtection="1">
      <alignment horizontal="center" vertical="center" wrapText="1"/>
      <protection locked="0"/>
    </xf>
    <xf numFmtId="0" fontId="3" fillId="0" borderId="139" xfId="18" applyNumberFormat="1" applyFont="1" applyFill="1" applyBorder="1">
      <alignment vertical="center" wrapText="1"/>
    </xf>
    <xf numFmtId="0" fontId="10" fillId="32" borderId="2" xfId="18" applyNumberFormat="1" applyFont="1" applyFill="1" applyBorder="1" applyAlignment="1">
      <alignment horizontal="center" vertical="center" wrapText="1"/>
    </xf>
    <xf numFmtId="0" fontId="3" fillId="32" borderId="2" xfId="18" applyNumberFormat="1" applyFont="1" applyFill="1" applyBorder="1" applyAlignment="1" applyProtection="1">
      <alignment horizontal="center" vertical="center"/>
    </xf>
    <xf numFmtId="0" fontId="3" fillId="0" borderId="2" xfId="18" applyNumberFormat="1" applyFont="1" applyBorder="1" applyAlignment="1" applyProtection="1">
      <alignment horizontal="center" vertical="center"/>
      <protection locked="0"/>
    </xf>
    <xf numFmtId="0" fontId="13" fillId="0" borderId="152" xfId="0" applyNumberFormat="1" applyFont="1" applyBorder="1">
      <alignment vertical="center" wrapText="1"/>
    </xf>
    <xf numFmtId="0" fontId="103" fillId="14" borderId="0" xfId="8" applyNumberFormat="1" applyFont="1" applyFill="1" applyBorder="1" applyAlignment="1" applyProtection="1">
      <alignment horizontal="center" vertical="top" wrapText="1"/>
    </xf>
    <xf numFmtId="0" fontId="13" fillId="0" borderId="3" xfId="0" applyNumberFormat="1" applyFont="1" applyFill="1" applyBorder="1" applyAlignment="1">
      <alignment horizontal="center" vertical="center"/>
    </xf>
    <xf numFmtId="0" fontId="13" fillId="18" borderId="3" xfId="0" applyNumberFormat="1" applyFont="1" applyFill="1" applyBorder="1" applyAlignment="1">
      <alignment horizontal="center" vertical="center"/>
    </xf>
    <xf numFmtId="164" fontId="2" fillId="0" borderId="0" xfId="28">
      <alignment vertical="center" wrapText="1"/>
    </xf>
    <xf numFmtId="164" fontId="2" fillId="0" borderId="0" xfId="28" applyFont="1" applyAlignment="1">
      <alignment horizontal="center" vertical="top" wrapText="1"/>
    </xf>
    <xf numFmtId="49" fontId="98" fillId="0" borderId="0" xfId="28" applyNumberFormat="1" applyFont="1" applyAlignment="1">
      <alignment vertical="top" wrapText="1"/>
    </xf>
    <xf numFmtId="164" fontId="96" fillId="0" borderId="0" xfId="28" applyFont="1" applyAlignment="1">
      <alignment vertical="center"/>
    </xf>
    <xf numFmtId="49" fontId="2" fillId="0" borderId="0" xfId="28" applyNumberFormat="1">
      <alignment vertical="center" wrapText="1"/>
    </xf>
    <xf numFmtId="49" fontId="2" fillId="0" borderId="0" xfId="28" applyNumberFormat="1" applyFont="1" applyAlignment="1">
      <alignment horizontal="center" vertical="center" wrapText="1"/>
    </xf>
    <xf numFmtId="164" fontId="98" fillId="0" borderId="0" xfId="28" applyFont="1">
      <alignment vertical="center" wrapText="1"/>
    </xf>
    <xf numFmtId="49" fontId="97" fillId="0" borderId="0" xfId="28" applyNumberFormat="1" applyFont="1" applyAlignment="1">
      <alignment horizontal="left" vertical="center" wrapText="1" indent="2"/>
    </xf>
    <xf numFmtId="49" fontId="97" fillId="0" borderId="0" xfId="28" applyNumberFormat="1" applyFont="1" applyAlignment="1">
      <alignment horizontal="left" vertical="center" wrapText="1" indent="3"/>
    </xf>
    <xf numFmtId="49" fontId="102" fillId="0" borderId="0" xfId="28" applyNumberFormat="1" applyFont="1" applyAlignment="1">
      <alignment horizontal="left" vertical="center" wrapText="1" indent="2"/>
    </xf>
    <xf numFmtId="49" fontId="102" fillId="0" borderId="0" xfId="28" applyNumberFormat="1" applyFont="1" applyAlignment="1">
      <alignment horizontal="left" vertical="center" wrapText="1" indent="3"/>
    </xf>
    <xf numFmtId="49" fontId="97" fillId="0" borderId="0" xfId="28" applyNumberFormat="1" applyFont="1" applyAlignment="1">
      <alignment horizontal="left" vertical="top" wrapText="1" indent="2"/>
    </xf>
    <xf numFmtId="164" fontId="97" fillId="0" borderId="0" xfId="28" applyFont="1" applyAlignment="1">
      <alignment vertical="center"/>
    </xf>
    <xf numFmtId="49" fontId="97" fillId="0" borderId="0" xfId="28" applyNumberFormat="1" applyFont="1" applyAlignment="1">
      <alignment horizontal="left" vertical="center" wrapText="1" indent="4"/>
    </xf>
    <xf numFmtId="49" fontId="2" fillId="0" borderId="0" xfId="28" applyNumberFormat="1" applyAlignment="1">
      <alignment horizontal="left" vertical="center" wrapText="1" indent="2"/>
    </xf>
    <xf numFmtId="164" fontId="2" fillId="0" borderId="0" xfId="28" applyFont="1" applyAlignment="1">
      <alignment vertical="top" wrapText="1"/>
    </xf>
    <xf numFmtId="49" fontId="2" fillId="0" borderId="0" xfId="28" applyNumberFormat="1" applyFont="1" applyAlignment="1">
      <alignment vertical="top" wrapText="1"/>
    </xf>
    <xf numFmtId="164" fontId="13" fillId="0" borderId="0" xfId="28" applyFont="1" applyAlignment="1">
      <alignment horizontal="center" vertical="top" wrapText="1"/>
    </xf>
    <xf numFmtId="49" fontId="98" fillId="0" borderId="0" xfId="28" applyNumberFormat="1" applyFont="1" applyAlignment="1">
      <alignment horizontal="left" vertical="top" wrapText="1"/>
    </xf>
    <xf numFmtId="49" fontId="98" fillId="0" borderId="0" xfId="28" applyNumberFormat="1" applyFont="1" applyAlignment="1">
      <alignment horizontal="left" vertical="center" wrapText="1"/>
    </xf>
    <xf numFmtId="49" fontId="2" fillId="0" borderId="0" xfId="28" applyNumberFormat="1" applyAlignment="1">
      <alignment horizontal="left" vertical="center" wrapText="1" indent="1"/>
    </xf>
    <xf numFmtId="49" fontId="97" fillId="0" borderId="0" xfId="28" applyNumberFormat="1" applyFont="1" applyAlignment="1">
      <alignment horizontal="left" vertical="top" wrapText="1"/>
    </xf>
    <xf numFmtId="49" fontId="2" fillId="0" borderId="0" xfId="28" applyNumberFormat="1" applyFont="1" applyAlignment="1">
      <alignment horizontal="left" vertical="top" wrapText="1"/>
    </xf>
    <xf numFmtId="49" fontId="97" fillId="0" borderId="0" xfId="28" applyNumberFormat="1" applyFont="1" applyAlignment="1">
      <alignment horizontal="left" vertical="center" wrapText="1"/>
    </xf>
    <xf numFmtId="164" fontId="105" fillId="52" borderId="152" xfId="8" applyFont="1" applyFill="1" applyBorder="1" applyAlignment="1" applyProtection="1">
      <alignment horizontal="center" vertical="center" wrapText="1"/>
    </xf>
    <xf numFmtId="164" fontId="106" fillId="52" borderId="152" xfId="8" applyFont="1" applyFill="1" applyBorder="1" applyAlignment="1" applyProtection="1">
      <alignment horizontal="center" vertical="center" wrapText="1"/>
    </xf>
    <xf numFmtId="165" fontId="0" fillId="9" borderId="73" xfId="0" applyNumberFormat="1" applyFill="1" applyBorder="1" applyAlignment="1">
      <alignment vertical="center" wrapText="1"/>
    </xf>
    <xf numFmtId="165" fontId="0" fillId="9" borderId="0" xfId="0" applyNumberFormat="1" applyFill="1" applyBorder="1" applyAlignment="1">
      <alignment vertical="center" wrapText="1"/>
    </xf>
    <xf numFmtId="165" fontId="0" fillId="9" borderId="23" xfId="0" applyNumberFormat="1" applyFill="1" applyBorder="1" applyAlignment="1">
      <alignment vertical="center" wrapText="1"/>
    </xf>
    <xf numFmtId="165" fontId="0" fillId="16" borderId="73" xfId="0" applyNumberFormat="1" applyFill="1" applyBorder="1" applyAlignment="1">
      <alignment vertical="center" wrapText="1"/>
    </xf>
    <xf numFmtId="165" fontId="0" fillId="16" borderId="0" xfId="0" applyNumberFormat="1" applyFill="1" applyBorder="1" applyAlignment="1">
      <alignment vertical="center" wrapText="1"/>
    </xf>
    <xf numFmtId="0" fontId="0" fillId="16" borderId="0" xfId="0" applyNumberFormat="1" applyFill="1" applyBorder="1" applyAlignment="1">
      <alignment vertical="center" wrapText="1"/>
    </xf>
    <xf numFmtId="0" fontId="0" fillId="16" borderId="23" xfId="0" applyNumberFormat="1" applyFill="1" applyBorder="1" applyAlignment="1">
      <alignment vertical="center" wrapText="1"/>
    </xf>
    <xf numFmtId="0" fontId="2" fillId="16" borderId="72" xfId="0" applyNumberFormat="1" applyFont="1" applyFill="1" applyBorder="1" applyAlignment="1">
      <alignment vertical="center" wrapText="1"/>
    </xf>
    <xf numFmtId="0" fontId="19" fillId="16" borderId="18" xfId="0" applyNumberFormat="1" applyFont="1" applyFill="1" applyBorder="1" applyAlignment="1">
      <alignment vertical="center" wrapText="1"/>
    </xf>
    <xf numFmtId="0" fontId="19" fillId="16" borderId="35" xfId="0" applyNumberFormat="1" applyFont="1" applyFill="1" applyBorder="1" applyAlignment="1">
      <alignment vertical="center" wrapText="1"/>
    </xf>
    <xf numFmtId="0" fontId="36" fillId="17" borderId="6" xfId="8" applyNumberFormat="1" applyFont="1" applyFill="1" applyBorder="1" applyAlignment="1" applyProtection="1">
      <alignment vertical="center"/>
    </xf>
    <xf numFmtId="0" fontId="19" fillId="17" borderId="8" xfId="0" applyNumberFormat="1" applyFont="1" applyFill="1" applyBorder="1" applyAlignment="1">
      <alignment vertical="center" wrapText="1"/>
    </xf>
    <xf numFmtId="0" fontId="2" fillId="17" borderId="166" xfId="0" applyNumberFormat="1" applyFont="1" applyFill="1" applyBorder="1" applyAlignment="1">
      <alignment vertical="center" wrapText="1"/>
    </xf>
    <xf numFmtId="0" fontId="0" fillId="17" borderId="18" xfId="0" applyNumberFormat="1" applyFill="1" applyBorder="1" applyAlignment="1">
      <alignment vertical="center" wrapText="1"/>
    </xf>
    <xf numFmtId="0" fontId="0" fillId="17" borderId="193" xfId="0" applyNumberFormat="1" applyFill="1" applyBorder="1" applyAlignment="1">
      <alignment vertical="center" wrapText="1"/>
    </xf>
    <xf numFmtId="0" fontId="0" fillId="11" borderId="73" xfId="0" applyNumberFormat="1" applyFill="1" applyBorder="1" applyAlignment="1">
      <alignment vertical="center" wrapText="1"/>
    </xf>
    <xf numFmtId="0" fontId="0" fillId="11" borderId="0" xfId="0" applyNumberFormat="1" applyFill="1" applyBorder="1" applyAlignment="1">
      <alignment vertical="center" wrapText="1"/>
    </xf>
    <xf numFmtId="0" fontId="0" fillId="11" borderId="23" xfId="0" applyNumberFormat="1" applyFill="1" applyBorder="1" applyAlignment="1">
      <alignment vertical="center" wrapText="1"/>
    </xf>
    <xf numFmtId="0" fontId="13" fillId="15" borderId="6" xfId="0" applyNumberFormat="1" applyFont="1" applyFill="1" applyBorder="1" applyAlignment="1">
      <alignment horizontal="left" vertical="center" wrapText="1"/>
    </xf>
    <xf numFmtId="0" fontId="0" fillId="0" borderId="8" xfId="0" applyNumberFormat="1" applyBorder="1" applyAlignment="1">
      <alignment horizontal="left" vertical="center" wrapText="1"/>
    </xf>
    <xf numFmtId="0" fontId="13" fillId="9" borderId="6" xfId="0" applyNumberFormat="1" applyFont="1" applyFill="1" applyBorder="1" applyAlignment="1">
      <alignment vertical="center" wrapText="1"/>
    </xf>
    <xf numFmtId="0" fontId="13" fillId="9" borderId="8" xfId="0" applyNumberFormat="1" applyFont="1" applyFill="1" applyBorder="1" applyAlignment="1">
      <alignment vertical="center" wrapText="1"/>
    </xf>
    <xf numFmtId="0" fontId="2" fillId="29" borderId="166" xfId="0" applyNumberFormat="1" applyFont="1" applyFill="1" applyBorder="1" applyAlignment="1">
      <alignment horizontal="left" vertical="top" wrapText="1"/>
    </xf>
    <xf numFmtId="0" fontId="2" fillId="29" borderId="176" xfId="0" applyNumberFormat="1" applyFont="1" applyFill="1" applyBorder="1" applyAlignment="1">
      <alignment horizontal="left" vertical="top" wrapText="1"/>
    </xf>
    <xf numFmtId="0" fontId="2" fillId="29" borderId="164" xfId="0" applyNumberFormat="1" applyFont="1" applyFill="1" applyBorder="1" applyAlignment="1">
      <alignment horizontal="left" vertical="top" wrapText="1"/>
    </xf>
    <xf numFmtId="0" fontId="2" fillId="29" borderId="18" xfId="0" applyNumberFormat="1" applyFont="1" applyFill="1" applyBorder="1" applyAlignment="1">
      <alignment horizontal="left" vertical="top" wrapText="1"/>
    </xf>
    <xf numFmtId="0" fontId="2" fillId="29" borderId="0" xfId="0" applyNumberFormat="1" applyFont="1" applyFill="1" applyBorder="1" applyAlignment="1">
      <alignment horizontal="left" vertical="top" wrapText="1"/>
    </xf>
    <xf numFmtId="0" fontId="2" fillId="29" borderId="67" xfId="0" applyNumberFormat="1" applyFont="1" applyFill="1" applyBorder="1" applyAlignment="1">
      <alignment horizontal="left" vertical="top" wrapText="1"/>
    </xf>
    <xf numFmtId="0" fontId="2" fillId="29" borderId="184" xfId="0" applyNumberFormat="1" applyFont="1" applyFill="1" applyBorder="1" applyAlignment="1">
      <alignment horizontal="left" vertical="top" wrapText="1"/>
    </xf>
    <xf numFmtId="0" fontId="2" fillId="29" borderId="183" xfId="0" applyNumberFormat="1" applyFont="1" applyFill="1" applyBorder="1" applyAlignment="1">
      <alignment horizontal="left" vertical="top" wrapText="1"/>
    </xf>
    <xf numFmtId="0" fontId="2" fillId="29" borderId="185" xfId="0" applyNumberFormat="1" applyFont="1" applyFill="1" applyBorder="1" applyAlignment="1">
      <alignment horizontal="left" vertical="top" wrapText="1"/>
    </xf>
    <xf numFmtId="0" fontId="13" fillId="29" borderId="3" xfId="0" applyNumberFormat="1" applyFont="1" applyFill="1" applyBorder="1" applyAlignment="1">
      <alignment horizontal="center" vertical="center" wrapText="1"/>
    </xf>
    <xf numFmtId="0" fontId="28" fillId="0" borderId="3" xfId="0" applyNumberFormat="1" applyFont="1" applyBorder="1" applyAlignment="1">
      <alignment horizontal="center" vertical="center" wrapText="1"/>
    </xf>
    <xf numFmtId="0" fontId="29" fillId="0" borderId="3" xfId="0" applyNumberFormat="1" applyFont="1" applyBorder="1" applyAlignment="1">
      <alignment horizontal="center" vertical="center" wrapText="1"/>
    </xf>
    <xf numFmtId="0" fontId="2" fillId="9" borderId="72" xfId="0" applyNumberFormat="1" applyFont="1" applyFill="1" applyBorder="1" applyAlignment="1">
      <alignment vertical="center" wrapText="1"/>
    </xf>
    <xf numFmtId="0" fontId="0" fillId="9" borderId="18" xfId="0" applyNumberFormat="1" applyFill="1" applyBorder="1" applyAlignment="1">
      <alignment vertical="center" wrapText="1"/>
    </xf>
    <xf numFmtId="0" fontId="0" fillId="9" borderId="35" xfId="0" applyNumberFormat="1" applyFill="1" applyBorder="1" applyAlignment="1">
      <alignment vertical="center" wrapText="1"/>
    </xf>
    <xf numFmtId="0" fontId="2" fillId="15" borderId="72" xfId="0" applyNumberFormat="1" applyFont="1" applyFill="1" applyBorder="1" applyAlignment="1">
      <alignment vertical="center" wrapText="1"/>
    </xf>
    <xf numFmtId="0" fontId="0" fillId="15" borderId="18" xfId="0" applyNumberFormat="1" applyFill="1" applyBorder="1" applyAlignment="1">
      <alignment vertical="center" wrapText="1"/>
    </xf>
    <xf numFmtId="0" fontId="0" fillId="15" borderId="35" xfId="0" applyNumberFormat="1" applyFill="1" applyBorder="1" applyAlignment="1">
      <alignment vertical="center" wrapText="1"/>
    </xf>
    <xf numFmtId="165" fontId="0" fillId="15" borderId="66" xfId="0" applyNumberFormat="1" applyFill="1" applyBorder="1" applyAlignment="1">
      <alignment vertical="center" wrapText="1"/>
    </xf>
    <xf numFmtId="165" fontId="0" fillId="15" borderId="67" xfId="0" applyNumberFormat="1" applyFill="1" applyBorder="1" applyAlignment="1">
      <alignment vertical="center" wrapText="1"/>
    </xf>
    <xf numFmtId="165" fontId="0" fillId="15" borderId="9" xfId="0" applyNumberFormat="1" applyFill="1" applyBorder="1" applyAlignment="1">
      <alignment vertical="center" wrapText="1"/>
    </xf>
    <xf numFmtId="0" fontId="71" fillId="17" borderId="176" xfId="0" applyNumberFormat="1" applyFont="1" applyFill="1" applyBorder="1" applyAlignment="1">
      <alignment vertical="center" wrapText="1"/>
    </xf>
    <xf numFmtId="0" fontId="0" fillId="17" borderId="0" xfId="0" applyNumberFormat="1" applyFill="1" applyBorder="1" applyAlignment="1">
      <alignment vertical="center" wrapText="1"/>
    </xf>
    <xf numFmtId="0" fontId="0" fillId="17" borderId="192" xfId="0" applyNumberFormat="1" applyFill="1" applyBorder="1" applyAlignment="1">
      <alignment vertical="center" wrapText="1"/>
    </xf>
    <xf numFmtId="0" fontId="13" fillId="16" borderId="6" xfId="0" applyNumberFormat="1" applyFont="1" applyFill="1" applyBorder="1" applyAlignment="1">
      <alignment horizontal="left" vertical="center" wrapText="1"/>
    </xf>
    <xf numFmtId="0" fontId="0" fillId="0" borderId="8" xfId="0" applyNumberFormat="1" applyBorder="1" applyAlignment="1">
      <alignment vertical="center" wrapText="1"/>
    </xf>
    <xf numFmtId="0" fontId="13" fillId="11" borderId="6" xfId="8" applyNumberFormat="1" applyFont="1" applyFill="1" applyBorder="1" applyAlignment="1" applyProtection="1">
      <alignment vertical="center" wrapText="1"/>
    </xf>
    <xf numFmtId="0" fontId="13" fillId="0" borderId="8" xfId="0" applyNumberFormat="1" applyFont="1" applyBorder="1" applyAlignment="1">
      <alignment vertical="center" wrapText="1"/>
    </xf>
    <xf numFmtId="0" fontId="2" fillId="11" borderId="72" xfId="0" applyNumberFormat="1" applyFont="1" applyFill="1" applyBorder="1" applyAlignment="1">
      <alignment vertical="center" wrapText="1"/>
    </xf>
    <xf numFmtId="0" fontId="0" fillId="11" borderId="18" xfId="0" applyNumberFormat="1" applyFill="1" applyBorder="1" applyAlignment="1">
      <alignment vertical="center" wrapText="1"/>
    </xf>
    <xf numFmtId="0" fontId="0" fillId="11" borderId="35" xfId="0" applyNumberFormat="1" applyFill="1" applyBorder="1" applyAlignment="1">
      <alignment vertical="center" wrapText="1"/>
    </xf>
    <xf numFmtId="0" fontId="0" fillId="11" borderId="66" xfId="0" applyNumberFormat="1" applyFill="1" applyBorder="1" applyAlignment="1">
      <alignment vertical="center" wrapText="1"/>
    </xf>
    <xf numFmtId="0" fontId="0" fillId="11" borderId="67" xfId="0" applyNumberFormat="1" applyFill="1" applyBorder="1" applyAlignment="1">
      <alignment vertical="center" wrapText="1"/>
    </xf>
    <xf numFmtId="0" fontId="0" fillId="11" borderId="9" xfId="0" applyNumberFormat="1" applyFill="1" applyBorder="1" applyAlignment="1">
      <alignment vertical="center" wrapText="1"/>
    </xf>
    <xf numFmtId="165" fontId="0" fillId="15" borderId="73" xfId="0" applyNumberFormat="1" applyFill="1" applyBorder="1" applyAlignment="1">
      <alignment vertical="center" wrapText="1"/>
    </xf>
    <xf numFmtId="165" fontId="0" fillId="15" borderId="0" xfId="0" applyNumberFormat="1" applyFill="1" applyBorder="1" applyAlignment="1">
      <alignment vertical="center" wrapText="1"/>
    </xf>
    <xf numFmtId="165" fontId="0" fillId="15" borderId="23" xfId="0" applyNumberFormat="1" applyFill="1" applyBorder="1" applyAlignment="1">
      <alignment vertical="center" wrapText="1"/>
    </xf>
    <xf numFmtId="165" fontId="0" fillId="9" borderId="66" xfId="0" applyNumberFormat="1" applyFill="1" applyBorder="1" applyAlignment="1">
      <alignment vertical="center" wrapText="1"/>
    </xf>
    <xf numFmtId="165" fontId="0" fillId="9" borderId="67" xfId="0" applyNumberFormat="1" applyFill="1" applyBorder="1" applyAlignment="1">
      <alignment vertical="center" wrapText="1"/>
    </xf>
    <xf numFmtId="165" fontId="0" fillId="9" borderId="9" xfId="0" applyNumberFormat="1" applyFill="1" applyBorder="1" applyAlignment="1">
      <alignment vertical="center" wrapText="1"/>
    </xf>
    <xf numFmtId="49" fontId="2" fillId="0" borderId="0" xfId="28" applyNumberFormat="1" applyAlignment="1">
      <alignment vertical="top" wrapText="1"/>
    </xf>
    <xf numFmtId="164" fontId="95" fillId="0" borderId="0" xfId="28" applyFont="1" applyAlignment="1">
      <alignment horizontal="center" vertical="top" wrapText="1"/>
    </xf>
    <xf numFmtId="164" fontId="104" fillId="0" borderId="0" xfId="28" applyFont="1" applyAlignment="1">
      <alignment horizontal="center" vertical="center" wrapText="1"/>
    </xf>
    <xf numFmtId="164" fontId="2" fillId="0" borderId="0" xfId="28" applyFont="1" applyAlignment="1">
      <alignment horizontal="left" vertical="top" wrapText="1"/>
    </xf>
    <xf numFmtId="164" fontId="2" fillId="0" borderId="0" xfId="28" applyAlignment="1">
      <alignment horizontal="left" vertical="top" wrapText="1"/>
    </xf>
    <xf numFmtId="49" fontId="2" fillId="0" borderId="0" xfId="28" applyNumberFormat="1" applyFont="1" applyAlignment="1">
      <alignment vertical="top" wrapText="1"/>
    </xf>
    <xf numFmtId="49" fontId="13" fillId="0" borderId="0" xfId="28" applyNumberFormat="1" applyFont="1" applyAlignment="1">
      <alignment vertical="center" wrapText="1"/>
    </xf>
    <xf numFmtId="164" fontId="97" fillId="0" borderId="0" xfId="28" applyFont="1" applyAlignment="1">
      <alignment vertical="center" wrapText="1"/>
    </xf>
    <xf numFmtId="164" fontId="2" fillId="0" borderId="0" xfId="28" applyAlignment="1">
      <alignment vertical="center" wrapText="1"/>
    </xf>
    <xf numFmtId="0" fontId="6" fillId="0" borderId="0" xfId="8" applyNumberFormat="1" applyFont="1" applyFill="1" applyBorder="1" applyAlignment="1" applyProtection="1">
      <alignment horizontal="center" vertical="center" wrapText="1"/>
    </xf>
    <xf numFmtId="0" fontId="6" fillId="41" borderId="118" xfId="8" applyNumberFormat="1" applyFont="1" applyFill="1" applyBorder="1" applyAlignment="1" applyProtection="1">
      <alignment horizontal="center" vertical="center" wrapText="1"/>
    </xf>
    <xf numFmtId="0" fontId="6" fillId="41" borderId="119" xfId="8" applyNumberFormat="1" applyFont="1" applyFill="1" applyBorder="1" applyAlignment="1" applyProtection="1">
      <alignment horizontal="center" vertical="center" wrapText="1"/>
    </xf>
    <xf numFmtId="0" fontId="6" fillId="41" borderId="11" xfId="8" applyNumberFormat="1" applyFont="1" applyFill="1" applyBorder="1" applyAlignment="1" applyProtection="1">
      <alignment horizontal="center" vertical="center" wrapText="1"/>
    </xf>
    <xf numFmtId="0" fontId="6" fillId="41" borderId="121" xfId="8" applyNumberFormat="1" applyFont="1" applyFill="1" applyBorder="1" applyAlignment="1" applyProtection="1">
      <alignment horizontal="center" vertical="center" wrapText="1"/>
    </xf>
    <xf numFmtId="0" fontId="59" fillId="14" borderId="159" xfId="0" applyNumberFormat="1" applyFont="1" applyFill="1" applyBorder="1" applyAlignment="1">
      <alignment horizontal="center" vertical="center"/>
    </xf>
    <xf numFmtId="0" fontId="66" fillId="14" borderId="0" xfId="0" applyNumberFormat="1" applyFont="1" applyFill="1" applyAlignment="1">
      <alignment vertical="center" textRotation="90" wrapText="1"/>
    </xf>
    <xf numFmtId="0" fontId="0" fillId="14" borderId="0" xfId="0" applyNumberFormat="1" applyFill="1" applyAlignment="1">
      <alignment vertical="center" wrapText="1"/>
    </xf>
    <xf numFmtId="165" fontId="67" fillId="12" borderId="86" xfId="0" applyNumberFormat="1" applyFont="1" applyFill="1" applyBorder="1" applyAlignment="1">
      <alignment horizontal="center" vertical="center" wrapText="1"/>
    </xf>
    <xf numFmtId="0" fontId="67" fillId="12" borderId="87" xfId="0" applyNumberFormat="1" applyFont="1" applyFill="1" applyBorder="1" applyAlignment="1">
      <alignment horizontal="center" vertical="center" wrapText="1"/>
    </xf>
    <xf numFmtId="0" fontId="67" fillId="12" borderId="88" xfId="0" applyNumberFormat="1" applyFont="1" applyFill="1" applyBorder="1" applyAlignment="1">
      <alignment horizontal="center" vertical="center" wrapText="1"/>
    </xf>
    <xf numFmtId="165" fontId="6" fillId="39" borderId="86" xfId="8" applyNumberFormat="1" applyFont="1" applyFill="1" applyBorder="1" applyAlignment="1" applyProtection="1">
      <alignment horizontal="center" vertical="center" wrapText="1"/>
    </xf>
    <xf numFmtId="0" fontId="6" fillId="39" borderId="87" xfId="8" applyNumberFormat="1" applyFont="1" applyFill="1" applyBorder="1" applyAlignment="1" applyProtection="1">
      <alignment horizontal="center" vertical="center" wrapText="1"/>
    </xf>
    <xf numFmtId="0" fontId="6" fillId="39" borderId="88" xfId="8" applyNumberFormat="1" applyFont="1" applyFill="1" applyBorder="1" applyAlignment="1" applyProtection="1">
      <alignment horizontal="center" vertical="center" wrapText="1"/>
    </xf>
    <xf numFmtId="164" fontId="6" fillId="28" borderId="126" xfId="0" applyFont="1" applyFill="1" applyBorder="1" applyAlignment="1">
      <alignment horizontal="center" vertical="center" wrapText="1"/>
    </xf>
    <xf numFmtId="164" fontId="6" fillId="28" borderId="130" xfId="0" applyFont="1" applyFill="1" applyBorder="1" applyAlignment="1">
      <alignment horizontal="center" vertical="center" wrapText="1"/>
    </xf>
    <xf numFmtId="164" fontId="6" fillId="28" borderId="128" xfId="0" applyFont="1" applyFill="1" applyBorder="1" applyAlignment="1">
      <alignment horizontal="center" vertical="center" wrapText="1"/>
    </xf>
    <xf numFmtId="0" fontId="15" fillId="8" borderId="86" xfId="0" applyNumberFormat="1" applyFont="1" applyFill="1" applyBorder="1" applyAlignment="1">
      <alignment horizontal="center" vertical="center" wrapText="1"/>
    </xf>
    <xf numFmtId="0" fontId="15" fillId="8" borderId="87" xfId="0" applyNumberFormat="1" applyFont="1" applyFill="1" applyBorder="1" applyAlignment="1">
      <alignment horizontal="center" vertical="center" wrapText="1"/>
    </xf>
    <xf numFmtId="0" fontId="15" fillId="8" borderId="88" xfId="0" applyNumberFormat="1" applyFont="1" applyFill="1" applyBorder="1" applyAlignment="1">
      <alignment horizontal="center" vertical="center" wrapText="1"/>
    </xf>
    <xf numFmtId="165" fontId="31" fillId="32" borderId="126" xfId="8" applyNumberFormat="1" applyFont="1" applyFill="1" applyBorder="1" applyAlignment="1" applyProtection="1">
      <alignment horizontal="center" vertical="center" wrapText="1"/>
    </xf>
    <xf numFmtId="0" fontId="31" fillId="32" borderId="127" xfId="8" applyNumberFormat="1" applyFont="1" applyFill="1" applyBorder="1" applyAlignment="1" applyProtection="1">
      <alignment horizontal="center" vertical="center" wrapText="1"/>
    </xf>
    <xf numFmtId="0" fontId="31" fillId="32" borderId="128" xfId="8" applyNumberFormat="1" applyFont="1" applyFill="1" applyBorder="1" applyAlignment="1" applyProtection="1">
      <alignment horizontal="center" vertical="center" wrapText="1"/>
    </xf>
    <xf numFmtId="0" fontId="31" fillId="32" borderId="126" xfId="8" applyNumberFormat="1" applyFont="1" applyFill="1" applyBorder="1" applyAlignment="1" applyProtection="1">
      <alignment horizontal="center" vertical="center" wrapText="1"/>
    </xf>
    <xf numFmtId="0" fontId="67" fillId="12" borderId="86" xfId="0" applyNumberFormat="1" applyFont="1" applyFill="1" applyBorder="1" applyAlignment="1">
      <alignment horizontal="center" vertical="center" wrapText="1"/>
    </xf>
    <xf numFmtId="0" fontId="2" fillId="32" borderId="187" xfId="0" applyNumberFormat="1" applyFont="1" applyFill="1" applyBorder="1" applyAlignment="1" applyProtection="1">
      <alignment vertical="top" wrapText="1"/>
    </xf>
    <xf numFmtId="164" fontId="0" fillId="32" borderId="187" xfId="0" applyFill="1" applyBorder="1" applyAlignment="1" applyProtection="1">
      <alignment vertical="top" wrapText="1"/>
    </xf>
    <xf numFmtId="0" fontId="86" fillId="37" borderId="85" xfId="0" applyNumberFormat="1" applyFont="1" applyFill="1" applyBorder="1" applyAlignment="1" applyProtection="1">
      <alignment horizontal="center" vertical="center"/>
    </xf>
    <xf numFmtId="0" fontId="86" fillId="37" borderId="93" xfId="0" applyNumberFormat="1" applyFont="1" applyFill="1" applyBorder="1" applyAlignment="1" applyProtection="1">
      <alignment horizontal="center" vertical="center"/>
    </xf>
    <xf numFmtId="0" fontId="86" fillId="37" borderId="81" xfId="0" applyNumberFormat="1" applyFont="1" applyFill="1" applyBorder="1" applyAlignment="1" applyProtection="1">
      <alignment horizontal="center" vertical="center"/>
    </xf>
    <xf numFmtId="0" fontId="62" fillId="0" borderId="3" xfId="0" applyNumberFormat="1" applyFont="1" applyFill="1" applyBorder="1" applyAlignment="1" applyProtection="1">
      <alignment horizontal="left" vertical="center" wrapText="1"/>
      <protection locked="0"/>
    </xf>
    <xf numFmtId="165" fontId="62" fillId="0" borderId="3" xfId="0" applyNumberFormat="1" applyFont="1" applyFill="1" applyBorder="1" applyAlignment="1" applyProtection="1">
      <alignment horizontal="left" vertical="center" wrapText="1"/>
      <protection locked="0"/>
    </xf>
    <xf numFmtId="0" fontId="62" fillId="0" borderId="3" xfId="0" applyNumberFormat="1" applyFont="1" applyFill="1" applyBorder="1" applyAlignment="1" applyProtection="1">
      <alignment horizontal="center" vertical="center" wrapText="1"/>
      <protection locked="0"/>
    </xf>
    <xf numFmtId="165" fontId="0" fillId="0" borderId="3" xfId="0" applyNumberFormat="1" applyBorder="1" applyAlignment="1" applyProtection="1">
      <alignment vertical="center" wrapText="1"/>
      <protection locked="0"/>
    </xf>
    <xf numFmtId="0" fontId="0" fillId="0" borderId="3" xfId="0" applyNumberFormat="1" applyBorder="1" applyAlignment="1" applyProtection="1">
      <alignment vertical="center" wrapText="1"/>
      <protection locked="0"/>
    </xf>
    <xf numFmtId="0" fontId="0" fillId="0" borderId="92" xfId="0" applyNumberFormat="1" applyFont="1" applyFill="1" applyBorder="1" applyAlignment="1" applyProtection="1">
      <alignment vertical="center" wrapText="1"/>
    </xf>
    <xf numFmtId="0" fontId="0" fillId="0" borderId="92" xfId="0" applyNumberFormat="1" applyFill="1" applyBorder="1" applyAlignment="1" applyProtection="1">
      <alignment vertical="center" wrapText="1"/>
    </xf>
    <xf numFmtId="0" fontId="13" fillId="31" borderId="143" xfId="9" applyNumberFormat="1" applyFont="1" applyFill="1" applyBorder="1" applyAlignment="1">
      <alignment horizontal="center" vertical="center" wrapText="1"/>
    </xf>
    <xf numFmtId="0" fontId="13" fillId="31" borderId="144" xfId="9" applyNumberFormat="1" applyFont="1" applyFill="1" applyBorder="1" applyAlignment="1">
      <alignment horizontal="center" vertical="center" wrapText="1"/>
    </xf>
    <xf numFmtId="0" fontId="50" fillId="31" borderId="143" xfId="9" applyNumberFormat="1" applyFont="1" applyFill="1" applyBorder="1" applyAlignment="1">
      <alignment horizontal="center" vertical="center" wrapText="1"/>
    </xf>
    <xf numFmtId="0" fontId="50" fillId="31" borderId="144" xfId="9" applyNumberFormat="1" applyFont="1" applyFill="1" applyBorder="1" applyAlignment="1">
      <alignment horizontal="center" vertical="center" wrapText="1"/>
    </xf>
    <xf numFmtId="0" fontId="50" fillId="31" borderId="145" xfId="9" applyNumberFormat="1" applyFont="1" applyFill="1" applyBorder="1" applyAlignment="1">
      <alignment horizontal="center" vertical="center" wrapText="1"/>
    </xf>
    <xf numFmtId="0" fontId="79" fillId="0" borderId="0" xfId="0" applyNumberFormat="1" applyFont="1" applyBorder="1" applyAlignment="1">
      <alignment vertical="center" wrapText="1"/>
    </xf>
    <xf numFmtId="0" fontId="2" fillId="0" borderId="35" xfId="9" applyNumberFormat="1" applyFont="1" applyFill="1" applyBorder="1" applyAlignment="1" applyProtection="1">
      <alignment horizontal="left" vertical="center"/>
      <protection locked="0"/>
    </xf>
    <xf numFmtId="0" fontId="2" fillId="0" borderId="169" xfId="9" applyNumberFormat="1" applyFont="1" applyFill="1" applyBorder="1" applyAlignment="1" applyProtection="1">
      <alignment horizontal="left" vertical="center"/>
      <protection locked="0"/>
    </xf>
    <xf numFmtId="0" fontId="2" fillId="20" borderId="6" xfId="9" applyNumberFormat="1" applyFont="1" applyFill="1" applyBorder="1" applyAlignment="1" applyProtection="1">
      <alignment horizontal="left" vertical="center"/>
      <protection locked="0"/>
    </xf>
    <xf numFmtId="0" fontId="2" fillId="20" borderId="125" xfId="9" applyNumberFormat="1" applyFont="1" applyFill="1" applyBorder="1" applyAlignment="1" applyProtection="1">
      <alignment horizontal="left" vertical="center"/>
      <protection locked="0"/>
    </xf>
    <xf numFmtId="0" fontId="13" fillId="7" borderId="3" xfId="9" applyNumberFormat="1" applyFont="1" applyFill="1" applyBorder="1" applyAlignment="1">
      <alignment horizontal="left" vertical="center" wrapText="1"/>
    </xf>
    <xf numFmtId="0" fontId="13" fillId="7" borderId="31" xfId="9" applyNumberFormat="1" applyFont="1" applyFill="1" applyBorder="1" applyAlignment="1">
      <alignment horizontal="left" vertical="center" wrapText="1"/>
    </xf>
    <xf numFmtId="0" fontId="2" fillId="31" borderId="144" xfId="16" applyNumberFormat="1" applyFont="1" applyFill="1" applyBorder="1" applyAlignment="1"/>
    <xf numFmtId="0" fontId="2" fillId="31" borderId="145" xfId="16" applyNumberFormat="1" applyFont="1" applyFill="1" applyBorder="1" applyAlignment="1"/>
    <xf numFmtId="0" fontId="13" fillId="31" borderId="145" xfId="9" applyNumberFormat="1" applyFont="1" applyFill="1" applyBorder="1" applyAlignment="1">
      <alignment horizontal="center" vertical="center" wrapText="1"/>
    </xf>
    <xf numFmtId="0" fontId="79" fillId="0" borderId="0" xfId="0" applyNumberFormat="1" applyFont="1">
      <alignment vertical="center" wrapText="1"/>
    </xf>
    <xf numFmtId="0" fontId="0" fillId="45" borderId="197" xfId="0" applyNumberFormat="1" applyFill="1" applyBorder="1" applyAlignment="1" applyProtection="1">
      <alignment horizontal="left" vertical="center"/>
      <protection locked="0"/>
    </xf>
    <xf numFmtId="0" fontId="0" fillId="45" borderId="198" xfId="0" applyNumberFormat="1" applyFill="1" applyBorder="1" applyAlignment="1" applyProtection="1">
      <alignment horizontal="left" vertical="center"/>
      <protection locked="0"/>
    </xf>
    <xf numFmtId="0" fontId="0" fillId="45" borderId="150" xfId="0" applyNumberFormat="1" applyFill="1" applyBorder="1" applyAlignment="1" applyProtection="1">
      <alignment horizontal="left" vertical="center"/>
      <protection locked="0"/>
    </xf>
    <xf numFmtId="0" fontId="0" fillId="45" borderId="189" xfId="0" applyNumberFormat="1" applyFill="1" applyBorder="1" applyAlignment="1" applyProtection="1">
      <alignment horizontal="left" vertical="center"/>
      <protection locked="0"/>
    </xf>
    <xf numFmtId="0" fontId="2" fillId="0" borderId="0" xfId="0" applyNumberFormat="1" applyFont="1" applyAlignment="1">
      <alignment vertical="center" wrapText="1"/>
    </xf>
    <xf numFmtId="0" fontId="13" fillId="7" borderId="143" xfId="9" applyNumberFormat="1" applyFont="1" applyFill="1" applyBorder="1" applyAlignment="1">
      <alignment horizontal="left" vertical="center" wrapText="1"/>
    </xf>
    <xf numFmtId="0" fontId="13" fillId="7" borderId="144" xfId="9" applyNumberFormat="1" applyFont="1" applyFill="1" applyBorder="1" applyAlignment="1">
      <alignment horizontal="left" vertical="center" wrapText="1"/>
    </xf>
    <xf numFmtId="0" fontId="13" fillId="7" borderId="171" xfId="9" applyNumberFormat="1" applyFont="1" applyFill="1" applyBorder="1" applyAlignment="1">
      <alignment horizontal="left" vertical="center" wrapText="1"/>
    </xf>
    <xf numFmtId="0" fontId="13" fillId="7" borderId="32" xfId="9" applyNumberFormat="1" applyFont="1" applyFill="1" applyBorder="1" applyAlignment="1">
      <alignment horizontal="left" vertical="center" wrapText="1"/>
    </xf>
    <xf numFmtId="0" fontId="13" fillId="7" borderId="172" xfId="9" applyNumberFormat="1" applyFont="1" applyFill="1" applyBorder="1" applyAlignment="1">
      <alignment horizontal="left" vertical="center" wrapText="1"/>
    </xf>
    <xf numFmtId="0" fontId="13" fillId="7" borderId="161" xfId="9" applyNumberFormat="1" applyFont="1" applyFill="1" applyBorder="1" applyAlignment="1">
      <alignment horizontal="left" vertical="center" wrapText="1"/>
    </xf>
    <xf numFmtId="0" fontId="33" fillId="0" borderId="0" xfId="9" applyNumberFormat="1" applyFont="1" applyBorder="1" applyAlignment="1">
      <alignment vertical="center" wrapText="1"/>
    </xf>
    <xf numFmtId="0" fontId="33" fillId="0" borderId="0" xfId="0" applyNumberFormat="1" applyFont="1" applyBorder="1" applyAlignment="1">
      <alignment vertical="center" wrapText="1"/>
    </xf>
    <xf numFmtId="0" fontId="13" fillId="31" borderId="3" xfId="9" applyNumberFormat="1" applyFont="1" applyFill="1" applyBorder="1" applyAlignment="1">
      <alignment horizontal="center" vertical="center" wrapText="1"/>
    </xf>
    <xf numFmtId="0" fontId="2" fillId="31" borderId="3" xfId="16" applyNumberFormat="1" applyFont="1" applyFill="1" applyBorder="1" applyAlignment="1"/>
    <xf numFmtId="0" fontId="33" fillId="0" borderId="0" xfId="16" applyNumberFormat="1" applyFont="1" applyBorder="1" applyAlignment="1" applyProtection="1">
      <alignment wrapText="1"/>
    </xf>
    <xf numFmtId="0" fontId="2" fillId="0" borderId="0" xfId="16" applyNumberFormat="1" applyFont="1" applyAlignment="1" applyProtection="1">
      <alignment wrapText="1"/>
    </xf>
    <xf numFmtId="0" fontId="0" fillId="0" borderId="0" xfId="0" applyNumberFormat="1" applyAlignment="1" applyProtection="1">
      <alignment vertical="center" wrapText="1"/>
    </xf>
    <xf numFmtId="0" fontId="86" fillId="36" borderId="3" xfId="16" applyNumberFormat="1" applyFont="1" applyFill="1" applyBorder="1" applyAlignment="1" applyProtection="1">
      <alignment horizontal="left" vertical="center"/>
    </xf>
    <xf numFmtId="0" fontId="7" fillId="0" borderId="3" xfId="16" applyNumberFormat="1" applyFont="1" applyFill="1" applyBorder="1" applyAlignment="1" applyProtection="1">
      <alignment horizontal="left"/>
    </xf>
    <xf numFmtId="165" fontId="7" fillId="0" borderId="3" xfId="16" applyNumberFormat="1" applyFont="1" applyFill="1" applyBorder="1" applyAlignment="1" applyProtection="1">
      <alignment horizontal="left"/>
    </xf>
    <xf numFmtId="0" fontId="2" fillId="51" borderId="0" xfId="0" applyNumberFormat="1" applyFont="1" applyFill="1" applyBorder="1" applyAlignment="1" applyProtection="1">
      <alignment horizontal="left" vertical="top" wrapText="1"/>
    </xf>
    <xf numFmtId="0" fontId="2" fillId="0" borderId="2" xfId="0" applyNumberFormat="1" applyFont="1" applyBorder="1" applyAlignment="1">
      <alignment vertical="center" wrapText="1"/>
    </xf>
    <xf numFmtId="0" fontId="86" fillId="36" borderId="3" xfId="0" applyNumberFormat="1" applyFont="1" applyFill="1" applyBorder="1" applyAlignment="1" applyProtection="1">
      <alignment horizontal="left" vertical="top"/>
    </xf>
    <xf numFmtId="0" fontId="2" fillId="0" borderId="74" xfId="0" applyNumberFormat="1" applyFont="1" applyBorder="1" applyAlignment="1">
      <alignment vertical="center" wrapText="1"/>
    </xf>
    <xf numFmtId="0" fontId="3" fillId="0" borderId="45" xfId="0" applyNumberFormat="1" applyFont="1" applyBorder="1" applyAlignment="1">
      <alignment vertical="center" wrapText="1"/>
    </xf>
    <xf numFmtId="0" fontId="0" fillId="0" borderId="45" xfId="0" applyNumberFormat="1" applyBorder="1" applyAlignment="1">
      <alignment vertical="center" wrapText="1"/>
    </xf>
    <xf numFmtId="0" fontId="3" fillId="0" borderId="76" xfId="0" applyNumberFormat="1" applyFont="1" applyBorder="1" applyAlignment="1">
      <alignment vertical="center" wrapText="1"/>
    </xf>
    <xf numFmtId="0" fontId="3" fillId="0" borderId="82" xfId="0" applyNumberFormat="1" applyFont="1" applyBorder="1" applyAlignment="1">
      <alignment vertical="center" wrapText="1"/>
    </xf>
    <xf numFmtId="0" fontId="2" fillId="0" borderId="14" xfId="0" applyNumberFormat="1" applyFont="1" applyBorder="1" applyAlignment="1">
      <alignment vertical="center" wrapText="1"/>
    </xf>
    <xf numFmtId="0" fontId="2" fillId="0" borderId="48" xfId="0" applyNumberFormat="1" applyFont="1" applyBorder="1" applyAlignment="1">
      <alignment vertical="center" wrapText="1"/>
    </xf>
    <xf numFmtId="0" fontId="3" fillId="0" borderId="47" xfId="0" applyNumberFormat="1" applyFont="1" applyBorder="1" applyAlignment="1">
      <alignment vertical="center" wrapText="1"/>
    </xf>
    <xf numFmtId="0" fontId="86" fillId="36" borderId="3" xfId="11" applyNumberFormat="1" applyFont="1" applyFill="1" applyBorder="1" applyAlignment="1">
      <alignment horizontal="left" vertical="top" wrapText="1"/>
    </xf>
    <xf numFmtId="0" fontId="31" fillId="32" borderId="150" xfId="11" applyNumberFormat="1" applyFont="1" applyFill="1" applyBorder="1" applyAlignment="1" applyProtection="1">
      <alignment horizontal="center" vertical="center"/>
    </xf>
    <xf numFmtId="0" fontId="31" fillId="32" borderId="186" xfId="11" applyNumberFormat="1" applyFont="1" applyFill="1" applyBorder="1" applyAlignment="1" applyProtection="1">
      <alignment horizontal="center" vertical="center"/>
    </xf>
    <xf numFmtId="0" fontId="31" fillId="0" borderId="150" xfId="11" applyNumberFormat="1" applyFont="1" applyFill="1" applyBorder="1" applyAlignment="1" applyProtection="1">
      <alignment horizontal="center" vertical="center"/>
    </xf>
    <xf numFmtId="0" fontId="31" fillId="0" borderId="186" xfId="11" applyNumberFormat="1" applyFont="1" applyFill="1" applyBorder="1" applyAlignment="1" applyProtection="1">
      <alignment horizontal="center" vertical="center"/>
    </xf>
    <xf numFmtId="0" fontId="31" fillId="36" borderId="3" xfId="11" applyNumberFormat="1" applyFont="1" applyFill="1" applyBorder="1" applyAlignment="1" applyProtection="1">
      <alignment horizontal="left" vertical="center" wrapText="1"/>
      <protection locked="0"/>
    </xf>
    <xf numFmtId="0" fontId="42" fillId="36" borderId="3" xfId="0" applyNumberFormat="1" applyFont="1" applyFill="1" applyBorder="1" applyAlignment="1">
      <alignment horizontal="left" vertical="center"/>
    </xf>
    <xf numFmtId="0" fontId="31" fillId="32" borderId="193" xfId="11" applyNumberFormat="1" applyFont="1" applyFill="1" applyBorder="1" applyAlignment="1" applyProtection="1">
      <alignment horizontal="center" vertical="center"/>
    </xf>
    <xf numFmtId="0" fontId="31" fillId="32" borderId="192" xfId="11" applyNumberFormat="1" applyFont="1" applyFill="1" applyBorder="1" applyAlignment="1" applyProtection="1">
      <alignment horizontal="center" vertical="center"/>
    </xf>
    <xf numFmtId="0" fontId="31" fillId="36" borderId="104" xfId="11" applyNumberFormat="1" applyFont="1" applyFill="1" applyBorder="1" applyAlignment="1">
      <alignment horizontal="left" vertical="top" wrapText="1"/>
    </xf>
    <xf numFmtId="0" fontId="42" fillId="36" borderId="104" xfId="0" applyNumberFormat="1" applyFont="1" applyFill="1" applyBorder="1" applyAlignment="1">
      <alignment vertical="center" wrapText="1"/>
    </xf>
    <xf numFmtId="0" fontId="31" fillId="32" borderId="193" xfId="11" applyNumberFormat="1" applyFont="1" applyFill="1" applyBorder="1" applyAlignment="1" applyProtection="1">
      <alignment horizontal="center" vertical="top"/>
    </xf>
    <xf numFmtId="0" fontId="31" fillId="32" borderId="192" xfId="11" applyNumberFormat="1" applyFont="1" applyFill="1" applyBorder="1" applyAlignment="1" applyProtection="1">
      <alignment horizontal="center" vertical="top"/>
    </xf>
    <xf numFmtId="0" fontId="52" fillId="0" borderId="3" xfId="10" applyNumberFormat="1" applyFont="1" applyBorder="1" applyAlignment="1">
      <alignment horizontal="left" vertical="top" wrapText="1"/>
    </xf>
    <xf numFmtId="0" fontId="86" fillId="36" borderId="3" xfId="10" applyNumberFormat="1" applyFont="1" applyFill="1" applyBorder="1" applyAlignment="1">
      <alignment horizontal="left" vertical="top" wrapText="1"/>
    </xf>
    <xf numFmtId="0" fontId="31" fillId="32" borderId="150" xfId="11" applyNumberFormat="1" applyFont="1" applyFill="1" applyBorder="1" applyAlignment="1" applyProtection="1">
      <alignment horizontal="center" vertical="top"/>
    </xf>
    <xf numFmtId="0" fontId="31" fillId="32" borderId="186" xfId="11" applyNumberFormat="1" applyFont="1" applyFill="1" applyBorder="1" applyAlignment="1" applyProtection="1">
      <alignment horizontal="center" vertical="top"/>
    </xf>
    <xf numFmtId="0" fontId="31" fillId="36" borderId="3" xfId="11" applyNumberFormat="1" applyFont="1" applyFill="1" applyBorder="1" applyAlignment="1">
      <alignment horizontal="left" vertical="top" wrapText="1"/>
    </xf>
    <xf numFmtId="0" fontId="42" fillId="36" borderId="3" xfId="0" applyNumberFormat="1" applyFont="1" applyFill="1" applyBorder="1" applyAlignment="1">
      <alignment vertical="center" wrapText="1"/>
    </xf>
    <xf numFmtId="0" fontId="86" fillId="36" borderId="143" xfId="10" applyNumberFormat="1" applyFont="1" applyFill="1" applyBorder="1" applyAlignment="1">
      <alignment horizontal="left" vertical="top" wrapText="1"/>
    </xf>
    <xf numFmtId="0" fontId="31" fillId="32" borderId="189" xfId="11" applyNumberFormat="1" applyFont="1" applyFill="1" applyBorder="1" applyAlignment="1" applyProtection="1">
      <alignment horizontal="center" vertical="top"/>
    </xf>
    <xf numFmtId="0" fontId="29" fillId="34" borderId="3" xfId="13" applyNumberFormat="1" applyFont="1" applyFill="1" applyBorder="1" applyAlignment="1" applyProtection="1">
      <alignment horizontal="left" vertical="center"/>
    </xf>
    <xf numFmtId="0" fontId="29" fillId="34" borderId="29" xfId="13" applyNumberFormat="1" applyFont="1" applyFill="1" applyBorder="1" applyAlignment="1" applyProtection="1">
      <alignment horizontal="left" vertical="center"/>
    </xf>
    <xf numFmtId="0" fontId="86" fillId="36" borderId="118" xfId="13" applyNumberFormat="1" applyFont="1" applyFill="1" applyBorder="1" applyAlignment="1" applyProtection="1">
      <alignment horizontal="left" vertical="center"/>
    </xf>
    <xf numFmtId="0" fontId="86" fillId="36" borderId="94" xfId="13" applyNumberFormat="1" applyFont="1" applyFill="1" applyBorder="1" applyAlignment="1" applyProtection="1">
      <alignment horizontal="left" vertical="center"/>
    </xf>
    <xf numFmtId="0" fontId="86" fillId="36" borderId="119" xfId="13" applyNumberFormat="1" applyFont="1" applyFill="1" applyBorder="1" applyAlignment="1" applyProtection="1">
      <alignment horizontal="left" vertical="center"/>
    </xf>
    <xf numFmtId="0" fontId="13" fillId="34" borderId="3" xfId="13" applyNumberFormat="1" applyFont="1" applyFill="1" applyBorder="1" applyAlignment="1" applyProtection="1">
      <alignment horizontal="left" vertical="center"/>
    </xf>
    <xf numFmtId="0" fontId="13" fillId="34" borderId="29" xfId="13" applyNumberFormat="1" applyFont="1" applyFill="1" applyBorder="1" applyAlignment="1" applyProtection="1">
      <alignment horizontal="left" vertical="center"/>
    </xf>
    <xf numFmtId="0" fontId="13" fillId="31" borderId="3" xfId="13" applyNumberFormat="1" applyFont="1" applyFill="1" applyBorder="1" applyAlignment="1" applyProtection="1">
      <alignment horizontal="left"/>
    </xf>
    <xf numFmtId="0" fontId="13" fillId="31" borderId="29" xfId="13" applyNumberFormat="1" applyFont="1" applyFill="1" applyBorder="1" applyAlignment="1" applyProtection="1">
      <alignment horizontal="left"/>
    </xf>
    <xf numFmtId="0" fontId="29" fillId="34" borderId="3" xfId="13" applyNumberFormat="1" applyFont="1" applyFill="1" applyBorder="1" applyAlignment="1" applyProtection="1">
      <alignment horizontal="left" vertical="center" wrapText="1"/>
    </xf>
    <xf numFmtId="0" fontId="29" fillId="34" borderId="29" xfId="13" applyNumberFormat="1" applyFont="1" applyFill="1" applyBorder="1" applyAlignment="1" applyProtection="1">
      <alignment horizontal="left" vertical="center" wrapText="1"/>
    </xf>
    <xf numFmtId="0" fontId="29" fillId="34" borderId="3" xfId="12" applyNumberFormat="1" applyFont="1" applyFill="1" applyBorder="1" applyAlignment="1" applyProtection="1">
      <alignment horizontal="left" vertical="center"/>
    </xf>
    <xf numFmtId="0" fontId="29" fillId="34" borderId="29" xfId="12" applyNumberFormat="1" applyFont="1" applyFill="1" applyBorder="1" applyAlignment="1" applyProtection="1">
      <alignment horizontal="left" vertical="center"/>
    </xf>
    <xf numFmtId="0" fontId="86" fillId="36" borderId="150" xfId="14" applyNumberFormat="1" applyFont="1" applyFill="1" applyBorder="1" applyAlignment="1">
      <alignment horizontal="left" vertical="center" wrapText="1"/>
    </xf>
    <xf numFmtId="0" fontId="86" fillId="36" borderId="125" xfId="14" applyNumberFormat="1" applyFont="1" applyFill="1" applyBorder="1" applyAlignment="1">
      <alignment horizontal="left" vertical="center" wrapText="1"/>
    </xf>
    <xf numFmtId="0" fontId="86" fillId="36" borderId="124" xfId="14" applyNumberFormat="1" applyFont="1" applyFill="1" applyBorder="1" applyAlignment="1">
      <alignment horizontal="left" vertical="center" wrapText="1"/>
    </xf>
    <xf numFmtId="0" fontId="2" fillId="0" borderId="35" xfId="14" applyNumberFormat="1" applyFill="1" applyBorder="1" applyAlignment="1">
      <alignment horizontal="center"/>
    </xf>
    <xf numFmtId="0" fontId="2" fillId="0" borderId="160" xfId="14" applyNumberFormat="1" applyFill="1" applyBorder="1" applyAlignment="1">
      <alignment horizontal="center"/>
    </xf>
    <xf numFmtId="0" fontId="86" fillId="36" borderId="165" xfId="19" applyNumberFormat="1" applyFont="1" applyFill="1" applyBorder="1" applyAlignment="1" applyProtection="1">
      <alignment vertical="center" wrapText="1"/>
    </xf>
    <xf numFmtId="0" fontId="31" fillId="31" borderId="3" xfId="19" applyNumberFormat="1" applyFont="1" applyFill="1" applyBorder="1" applyAlignment="1" applyProtection="1">
      <alignment horizontal="left" vertical="top" wrapText="1"/>
    </xf>
    <xf numFmtId="0" fontId="4" fillId="31" borderId="18" xfId="0" applyNumberFormat="1" applyFont="1" applyFill="1" applyBorder="1" applyAlignment="1">
      <alignment horizontal="center" textRotation="90" wrapText="1"/>
    </xf>
    <xf numFmtId="0" fontId="4" fillId="31" borderId="35" xfId="0" applyNumberFormat="1" applyFont="1" applyFill="1" applyBorder="1" applyAlignment="1">
      <alignment horizontal="center" textRotation="90" wrapText="1"/>
    </xf>
    <xf numFmtId="0" fontId="27" fillId="0" borderId="133" xfId="17" applyNumberFormat="1" applyFont="1" applyFill="1" applyBorder="1" applyAlignment="1">
      <alignment horizontal="center" vertical="top" wrapText="1"/>
    </xf>
    <xf numFmtId="0" fontId="27" fillId="0" borderId="136" xfId="17" applyNumberFormat="1" applyFont="1" applyFill="1" applyBorder="1" applyAlignment="1">
      <alignment horizontal="center" vertical="top" wrapText="1"/>
    </xf>
    <xf numFmtId="0" fontId="27" fillId="0" borderId="134" xfId="17" applyNumberFormat="1" applyFont="1" applyFill="1" applyBorder="1" applyAlignment="1">
      <alignment horizontal="center" vertical="top" wrapText="1"/>
    </xf>
    <xf numFmtId="0" fontId="13" fillId="31" borderId="82" xfId="17" applyNumberFormat="1" applyFont="1" applyFill="1" applyBorder="1" applyAlignment="1">
      <alignment horizontal="center" vertical="top" wrapText="1"/>
    </xf>
    <xf numFmtId="0" fontId="13" fillId="31" borderId="74" xfId="17" applyNumberFormat="1" applyFont="1" applyFill="1" applyBorder="1" applyAlignment="1">
      <alignment horizontal="center" vertical="top" wrapText="1"/>
    </xf>
    <xf numFmtId="0" fontId="13" fillId="31" borderId="75" xfId="17" applyNumberFormat="1" applyFont="1" applyFill="1" applyBorder="1" applyAlignment="1">
      <alignment horizontal="center" vertical="top" wrapText="1"/>
    </xf>
    <xf numFmtId="0" fontId="13" fillId="31" borderId="135" xfId="17" applyNumberFormat="1" applyFont="1" applyFill="1" applyBorder="1" applyAlignment="1">
      <alignment horizontal="center" vertical="center" wrapText="1"/>
    </xf>
    <xf numFmtId="0" fontId="13" fillId="31" borderId="136" xfId="17"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0" fontId="0" fillId="0" borderId="28" xfId="0" applyNumberFormat="1" applyFont="1" applyFill="1" applyBorder="1" applyAlignment="1">
      <alignment horizontal="center" vertical="center" wrapText="1"/>
    </xf>
    <xf numFmtId="0" fontId="12" fillId="31" borderId="5" xfId="0" applyNumberFormat="1" applyFont="1" applyFill="1" applyBorder="1" applyAlignment="1">
      <alignment horizontal="center" textRotation="90" wrapText="1"/>
    </xf>
    <xf numFmtId="0" fontId="12" fillId="31" borderId="7" xfId="0" applyNumberFormat="1" applyFont="1" applyFill="1" applyBorder="1" applyAlignment="1">
      <alignment horizontal="center" textRotation="90" wrapText="1"/>
    </xf>
    <xf numFmtId="0" fontId="13" fillId="31" borderId="137" xfId="17" applyNumberFormat="1" applyFont="1" applyFill="1" applyBorder="1" applyAlignment="1">
      <alignment horizontal="center" vertical="center" wrapText="1"/>
    </xf>
    <xf numFmtId="0" fontId="4" fillId="0" borderId="0" xfId="0" applyNumberFormat="1" applyFont="1" applyFill="1" applyBorder="1" applyAlignment="1">
      <alignment vertical="center" wrapText="1"/>
    </xf>
    <xf numFmtId="0" fontId="13" fillId="31" borderId="7" xfId="0" applyNumberFormat="1" applyFont="1" applyFill="1" applyBorder="1" applyAlignment="1">
      <alignment horizontal="center" vertical="center" wrapText="1"/>
    </xf>
    <xf numFmtId="0" fontId="13" fillId="31" borderId="3" xfId="0" applyNumberFormat="1" applyFont="1" applyFill="1" applyBorder="1" applyAlignment="1">
      <alignment horizontal="center" vertical="center" wrapText="1"/>
    </xf>
    <xf numFmtId="0" fontId="79" fillId="31" borderId="7" xfId="0" applyNumberFormat="1" applyFont="1" applyFill="1" applyBorder="1" applyAlignment="1">
      <alignment horizontal="center" vertical="center" wrapText="1"/>
    </xf>
    <xf numFmtId="0" fontId="79" fillId="31" borderId="3" xfId="0" applyNumberFormat="1" applyFont="1" applyFill="1" applyBorder="1" applyAlignment="1">
      <alignment horizontal="center" vertical="center" wrapText="1"/>
    </xf>
    <xf numFmtId="0" fontId="4" fillId="31" borderId="67" xfId="0" applyNumberFormat="1" applyFont="1" applyFill="1" applyBorder="1" applyAlignment="1">
      <alignment horizontal="center" textRotation="90" wrapText="1"/>
    </xf>
    <xf numFmtId="0" fontId="4" fillId="31" borderId="9" xfId="0" applyNumberFormat="1" applyFont="1" applyFill="1" applyBorder="1" applyAlignment="1">
      <alignment horizontal="center" textRotation="90" wrapText="1"/>
    </xf>
    <xf numFmtId="0" fontId="7" fillId="31" borderId="153" xfId="0" applyNumberFormat="1" applyFont="1" applyFill="1" applyBorder="1" applyAlignment="1">
      <alignment horizontal="center" vertical="center" wrapText="1"/>
    </xf>
    <xf numFmtId="0" fontId="7" fillId="31" borderId="154" xfId="0" applyNumberFormat="1" applyFont="1" applyFill="1" applyBorder="1" applyAlignment="1">
      <alignment horizontal="center" vertical="center" wrapText="1"/>
    </xf>
    <xf numFmtId="0" fontId="7" fillId="31" borderId="155" xfId="0" applyNumberFormat="1" applyFont="1" applyFill="1" applyBorder="1" applyAlignment="1">
      <alignment horizontal="center" vertical="center" wrapText="1"/>
    </xf>
    <xf numFmtId="0" fontId="7" fillId="31" borderId="146" xfId="0" applyNumberFormat="1" applyFont="1" applyFill="1" applyBorder="1" applyAlignment="1">
      <alignment horizontal="center" vertical="top" wrapText="1"/>
    </xf>
    <xf numFmtId="0" fontId="7" fillId="31" borderId="147" xfId="0" applyNumberFormat="1" applyFont="1" applyFill="1" applyBorder="1" applyAlignment="1">
      <alignment horizontal="center" vertical="top" wrapText="1"/>
    </xf>
    <xf numFmtId="0" fontId="7" fillId="31" borderId="148" xfId="0" applyNumberFormat="1" applyFont="1" applyFill="1" applyBorder="1" applyAlignment="1">
      <alignment horizontal="center" vertical="top" wrapText="1"/>
    </xf>
    <xf numFmtId="0" fontId="7" fillId="31" borderId="189" xfId="0" applyNumberFormat="1" applyFont="1" applyFill="1" applyBorder="1" applyAlignment="1">
      <alignment horizontal="center" vertical="top" wrapText="1"/>
    </xf>
    <xf numFmtId="0" fontId="7" fillId="31" borderId="125" xfId="0" applyNumberFormat="1" applyFont="1" applyFill="1" applyBorder="1" applyAlignment="1">
      <alignment horizontal="center" vertical="top" wrapText="1"/>
    </xf>
    <xf numFmtId="0" fontId="7" fillId="31" borderId="124" xfId="0" applyNumberFormat="1" applyFont="1" applyFill="1" applyBorder="1" applyAlignment="1">
      <alignment horizontal="center" vertical="top" wrapText="1"/>
    </xf>
    <xf numFmtId="0" fontId="7" fillId="31" borderId="156" xfId="0" applyNumberFormat="1" applyFont="1" applyFill="1" applyBorder="1" applyAlignment="1">
      <alignment horizontal="center" vertical="center" wrapText="1"/>
    </xf>
    <xf numFmtId="0" fontId="7" fillId="31" borderId="142" xfId="0" applyNumberFormat="1" applyFont="1" applyFill="1" applyBorder="1" applyAlignment="1">
      <alignment horizontal="center" vertical="center" wrapText="1"/>
    </xf>
    <xf numFmtId="0" fontId="12" fillId="31" borderId="138" xfId="0" applyNumberFormat="1" applyFont="1" applyFill="1" applyBorder="1" applyAlignment="1" applyProtection="1">
      <alignment horizontal="center" textRotation="90" wrapText="1"/>
      <protection locked="0"/>
    </xf>
    <xf numFmtId="0" fontId="12" fillId="31" borderId="124" xfId="0" applyNumberFormat="1" applyFont="1" applyFill="1" applyBorder="1" applyAlignment="1" applyProtection="1">
      <alignment horizontal="center" textRotation="90" wrapText="1"/>
      <protection locked="0"/>
    </xf>
    <xf numFmtId="0" fontId="4" fillId="31" borderId="5" xfId="0" applyNumberFormat="1" applyFont="1" applyFill="1" applyBorder="1" applyAlignment="1">
      <alignment horizontal="center" textRotation="90" wrapText="1"/>
    </xf>
    <xf numFmtId="0" fontId="4" fillId="31" borderId="7" xfId="0" applyNumberFormat="1" applyFont="1" applyFill="1" applyBorder="1" applyAlignment="1">
      <alignment horizontal="center" textRotation="90" wrapText="1"/>
    </xf>
    <xf numFmtId="0" fontId="7" fillId="31" borderId="190" xfId="0" applyNumberFormat="1" applyFont="1" applyFill="1" applyBorder="1" applyAlignment="1">
      <alignment horizontal="center" vertical="center" wrapText="1"/>
    </xf>
    <xf numFmtId="0" fontId="7" fillId="31" borderId="149" xfId="0" applyNumberFormat="1" applyFont="1" applyFill="1" applyBorder="1" applyAlignment="1">
      <alignment horizontal="center" vertical="center" wrapText="1"/>
    </xf>
    <xf numFmtId="0" fontId="13" fillId="31" borderId="152" xfId="0" applyNumberFormat="1" applyFont="1" applyFill="1" applyBorder="1" applyAlignment="1">
      <alignment horizontal="center" vertical="center" wrapText="1"/>
    </xf>
    <xf numFmtId="0" fontId="13" fillId="31" borderId="151" xfId="0" applyNumberFormat="1" applyFont="1" applyFill="1" applyBorder="1" applyAlignment="1">
      <alignment horizontal="center" vertical="center" wrapText="1"/>
    </xf>
    <xf numFmtId="0" fontId="0" fillId="31" borderId="151" xfId="0" applyNumberFormat="1" applyFont="1" applyFill="1" applyBorder="1" applyAlignment="1">
      <alignment horizontal="center" vertical="center" wrapText="1"/>
    </xf>
    <xf numFmtId="0" fontId="7" fillId="31" borderId="135" xfId="0" applyNumberFormat="1" applyFont="1" applyFill="1" applyBorder="1" applyAlignment="1">
      <alignment horizontal="center" vertical="top" wrapText="1"/>
    </xf>
    <xf numFmtId="0" fontId="7" fillId="31" borderId="162" xfId="0" applyNumberFormat="1" applyFont="1" applyFill="1" applyBorder="1" applyAlignment="1">
      <alignment horizontal="center" vertical="top" wrapText="1"/>
    </xf>
    <xf numFmtId="0" fontId="7" fillId="31" borderId="137" xfId="0" applyNumberFormat="1" applyFont="1" applyFill="1" applyBorder="1" applyAlignment="1">
      <alignment horizontal="center" vertical="top" wrapText="1"/>
    </xf>
    <xf numFmtId="0" fontId="7" fillId="31" borderId="137" xfId="0" applyNumberFormat="1" applyFont="1" applyFill="1" applyBorder="1" applyAlignment="1">
      <alignment horizontal="center" vertical="center" wrapText="1"/>
    </xf>
    <xf numFmtId="0" fontId="7" fillId="31" borderId="135" xfId="0" applyNumberFormat="1" applyFont="1" applyFill="1" applyBorder="1" applyAlignment="1">
      <alignment horizontal="center" vertical="center" wrapText="1"/>
    </xf>
    <xf numFmtId="0" fontId="7" fillId="31" borderId="162" xfId="0" applyNumberFormat="1" applyFont="1" applyFill="1" applyBorder="1" applyAlignment="1">
      <alignment horizontal="center" vertical="center" wrapText="1"/>
    </xf>
    <xf numFmtId="0" fontId="7" fillId="31" borderId="157" xfId="0" applyNumberFormat="1" applyFont="1" applyFill="1" applyBorder="1" applyAlignment="1">
      <alignment horizontal="center" vertical="center" wrapText="1"/>
    </xf>
    <xf numFmtId="0" fontId="7" fillId="31" borderId="158" xfId="0" applyNumberFormat="1" applyFont="1" applyFill="1" applyBorder="1" applyAlignment="1">
      <alignment horizontal="center" vertical="center" wrapText="1"/>
    </xf>
    <xf numFmtId="0" fontId="29" fillId="0" borderId="120" xfId="16" applyNumberFormat="1" applyFont="1" applyBorder="1" applyAlignment="1" applyProtection="1">
      <alignment horizontal="center" vertical="center" wrapText="1"/>
    </xf>
    <xf numFmtId="164" fontId="0" fillId="0" borderId="0" xfId="0" applyAlignment="1">
      <alignment vertical="center" wrapText="1"/>
    </xf>
    <xf numFmtId="0" fontId="13" fillId="28" borderId="0" xfId="16" applyNumberFormat="1" applyFont="1" applyFill="1" applyAlignment="1" applyProtection="1">
      <alignment horizontal="center" vertical="top"/>
    </xf>
    <xf numFmtId="0" fontId="2" fillId="0" borderId="0" xfId="16" applyNumberFormat="1" applyAlignment="1" applyProtection="1">
      <alignment vertical="top" wrapText="1"/>
    </xf>
    <xf numFmtId="0" fontId="13" fillId="0" borderId="0" xfId="16" applyNumberFormat="1" applyFont="1" applyAlignment="1" applyProtection="1">
      <alignment horizontal="left"/>
      <protection locked="0"/>
    </xf>
    <xf numFmtId="164" fontId="0" fillId="0" borderId="0" xfId="0" applyAlignment="1">
      <alignment horizontal="left"/>
    </xf>
    <xf numFmtId="0" fontId="2" fillId="26" borderId="0" xfId="16" applyNumberFormat="1" applyFill="1" applyBorder="1" applyAlignment="1" applyProtection="1"/>
    <xf numFmtId="164" fontId="0" fillId="0" borderId="0" xfId="0" applyBorder="1" applyAlignment="1"/>
    <xf numFmtId="164" fontId="0" fillId="0" borderId="154" xfId="0" applyBorder="1" applyAlignment="1"/>
    <xf numFmtId="0" fontId="2" fillId="26" borderId="154" xfId="16" applyNumberFormat="1" applyFont="1" applyFill="1" applyBorder="1" applyAlignment="1" applyProtection="1">
      <alignment vertical="top" wrapText="1"/>
    </xf>
    <xf numFmtId="164" fontId="0" fillId="0" borderId="0" xfId="0" applyBorder="1" applyAlignment="1">
      <alignment vertical="center" wrapText="1"/>
    </xf>
    <xf numFmtId="164" fontId="0" fillId="0" borderId="154" xfId="0" applyBorder="1" applyAlignment="1">
      <alignment vertical="center" wrapText="1"/>
    </xf>
    <xf numFmtId="0" fontId="31" fillId="31" borderId="3" xfId="16" applyNumberFormat="1" applyFont="1" applyFill="1" applyBorder="1" applyAlignment="1" applyProtection="1">
      <alignment horizontal="center" vertical="center"/>
    </xf>
    <xf numFmtId="0" fontId="86" fillId="36" borderId="166" xfId="16" applyNumberFormat="1" applyFont="1" applyFill="1" applyBorder="1" applyAlignment="1" applyProtection="1">
      <alignment horizontal="center" vertical="center" wrapText="1"/>
    </xf>
    <xf numFmtId="0" fontId="86" fillId="36" borderId="164" xfId="16" applyNumberFormat="1" applyFont="1" applyFill="1" applyBorder="1" applyAlignment="1" applyProtection="1">
      <alignment horizontal="center" vertical="center" wrapText="1"/>
    </xf>
    <xf numFmtId="0" fontId="86" fillId="36" borderId="184" xfId="16" applyNumberFormat="1" applyFont="1" applyFill="1" applyBorder="1" applyAlignment="1" applyProtection="1">
      <alignment horizontal="center" vertical="center" wrapText="1"/>
    </xf>
    <xf numFmtId="0" fontId="86" fillId="36" borderId="185" xfId="16" applyNumberFormat="1" applyFont="1" applyFill="1" applyBorder="1" applyAlignment="1" applyProtection="1">
      <alignment horizontal="center" vertical="center" wrapText="1"/>
    </xf>
    <xf numFmtId="0" fontId="2" fillId="0" borderId="18" xfId="16" applyNumberFormat="1" applyFont="1" applyBorder="1" applyAlignment="1" applyProtection="1">
      <alignment horizontal="left" vertical="center"/>
      <protection locked="0"/>
    </xf>
    <xf numFmtId="0" fontId="2" fillId="0" borderId="0" xfId="16" applyNumberFormat="1" applyFont="1" applyBorder="1" applyAlignment="1" applyProtection="1">
      <alignment horizontal="left" vertical="center"/>
      <protection locked="0"/>
    </xf>
    <xf numFmtId="0" fontId="2" fillId="26" borderId="120" xfId="16" applyNumberFormat="1" applyFill="1" applyBorder="1" applyAlignment="1" applyProtection="1"/>
    <xf numFmtId="0" fontId="0" fillId="26" borderId="120" xfId="0" applyNumberFormat="1" applyFill="1" applyBorder="1" applyAlignment="1" applyProtection="1"/>
    <xf numFmtId="0" fontId="0" fillId="26" borderId="11" xfId="0" applyNumberFormat="1" applyFill="1" applyBorder="1" applyAlignment="1" applyProtection="1"/>
    <xf numFmtId="0" fontId="2" fillId="26" borderId="121" xfId="16" applyNumberFormat="1" applyFont="1" applyFill="1" applyBorder="1" applyAlignment="1" applyProtection="1">
      <alignment vertical="top" wrapText="1"/>
    </xf>
    <xf numFmtId="164" fontId="0" fillId="0" borderId="159" xfId="0" applyBorder="1" applyAlignment="1">
      <alignment vertical="center" wrapText="1"/>
    </xf>
    <xf numFmtId="164" fontId="0" fillId="0" borderId="121" xfId="0" applyBorder="1" applyAlignment="1">
      <alignment vertical="center" wrapText="1"/>
    </xf>
    <xf numFmtId="0" fontId="13" fillId="28" borderId="0" xfId="16" applyNumberFormat="1" applyFont="1" applyFill="1" applyAlignment="1" applyProtection="1">
      <alignment horizontal="center" vertical="top"/>
      <protection locked="0"/>
    </xf>
    <xf numFmtId="0" fontId="2" fillId="0" borderId="0" xfId="16" applyNumberFormat="1" applyAlignment="1" applyProtection="1">
      <alignment vertical="top" wrapText="1"/>
      <protection locked="0"/>
    </xf>
    <xf numFmtId="0" fontId="13" fillId="25" borderId="18" xfId="0" quotePrefix="1" applyNumberFormat="1" applyFont="1" applyFill="1" applyBorder="1" applyAlignment="1">
      <alignment vertical="center" wrapText="1"/>
    </xf>
    <xf numFmtId="0" fontId="13" fillId="25" borderId="0" xfId="0" quotePrefix="1" applyNumberFormat="1" applyFont="1" applyFill="1" applyBorder="1" applyAlignment="1">
      <alignment vertical="center" wrapText="1"/>
    </xf>
    <xf numFmtId="0" fontId="2" fillId="26" borderId="18" xfId="0" quotePrefix="1" applyNumberFormat="1" applyFont="1" applyFill="1" applyBorder="1" applyAlignment="1">
      <alignment vertical="center" wrapText="1"/>
    </xf>
    <xf numFmtId="0" fontId="2" fillId="26" borderId="0" xfId="0" quotePrefix="1" applyNumberFormat="1" applyFont="1" applyFill="1" applyBorder="1" applyAlignment="1">
      <alignment vertical="center" wrapText="1"/>
    </xf>
    <xf numFmtId="0" fontId="2" fillId="0" borderId="18" xfId="0" quotePrefix="1" applyNumberFormat="1" applyFont="1" applyBorder="1" applyAlignment="1" applyProtection="1">
      <alignment vertical="center" wrapText="1"/>
    </xf>
    <xf numFmtId="0" fontId="2" fillId="0" borderId="0" xfId="0" quotePrefix="1" applyNumberFormat="1" applyFont="1" applyBorder="1" applyAlignment="1" applyProtection="1">
      <alignment vertical="center" wrapText="1"/>
    </xf>
    <xf numFmtId="0" fontId="2" fillId="49" borderId="18" xfId="0" quotePrefix="1" applyNumberFormat="1" applyFont="1" applyFill="1" applyBorder="1" applyAlignment="1">
      <alignment vertical="center" wrapText="1"/>
    </xf>
    <xf numFmtId="0" fontId="2" fillId="49" borderId="0" xfId="0" quotePrefix="1" applyNumberFormat="1" applyFont="1" applyFill="1" applyBorder="1" applyAlignment="1">
      <alignment vertical="center" wrapText="1"/>
    </xf>
    <xf numFmtId="0" fontId="28" fillId="26" borderId="118" xfId="16" applyNumberFormat="1" applyFont="1" applyFill="1" applyBorder="1" applyAlignment="1" applyProtection="1">
      <alignment horizontal="center" vertical="center" wrapText="1"/>
    </xf>
    <xf numFmtId="0" fontId="28" fillId="26" borderId="94" xfId="16" applyNumberFormat="1" applyFont="1" applyFill="1" applyBorder="1" applyAlignment="1" applyProtection="1">
      <alignment horizontal="center" vertical="center" wrapText="1"/>
    </xf>
    <xf numFmtId="164" fontId="0" fillId="0" borderId="94" xfId="0" applyBorder="1" applyAlignment="1">
      <alignment vertical="center" wrapText="1"/>
    </xf>
    <xf numFmtId="164" fontId="0" fillId="0" borderId="119" xfId="0" applyBorder="1" applyAlignment="1">
      <alignment vertical="center" wrapText="1"/>
    </xf>
    <xf numFmtId="0" fontId="28" fillId="26" borderId="120" xfId="16" applyNumberFormat="1" applyFont="1" applyFill="1" applyBorder="1" applyAlignment="1" applyProtection="1">
      <alignment horizontal="center" vertical="center" wrapText="1"/>
    </xf>
    <xf numFmtId="0" fontId="28" fillId="26" borderId="0" xfId="16" applyNumberFormat="1" applyFont="1" applyFill="1" applyBorder="1" applyAlignment="1" applyProtection="1">
      <alignment horizontal="center" vertical="center" wrapText="1"/>
    </xf>
    <xf numFmtId="0" fontId="28" fillId="26" borderId="11" xfId="16" applyNumberFormat="1" applyFont="1" applyFill="1" applyBorder="1" applyAlignment="1" applyProtection="1">
      <alignment horizontal="center" vertical="center" wrapText="1"/>
    </xf>
    <xf numFmtId="0" fontId="28" fillId="26" borderId="159" xfId="16" applyNumberFormat="1" applyFont="1" applyFill="1" applyBorder="1" applyAlignment="1" applyProtection="1">
      <alignment horizontal="center" vertical="center" wrapText="1"/>
    </xf>
    <xf numFmtId="0" fontId="2" fillId="26" borderId="94" xfId="16" applyNumberFormat="1" applyFill="1" applyBorder="1" applyAlignment="1" applyProtection="1"/>
    <xf numFmtId="164" fontId="0" fillId="0" borderId="94" xfId="0" applyBorder="1" applyAlignment="1"/>
    <xf numFmtId="164" fontId="0" fillId="0" borderId="119" xfId="0" applyBorder="1" applyAlignment="1"/>
    <xf numFmtId="0" fontId="3" fillId="0" borderId="2" xfId="0" applyNumberFormat="1" applyFont="1" applyBorder="1" applyAlignment="1">
      <alignment vertical="center" wrapText="1"/>
    </xf>
    <xf numFmtId="0" fontId="3" fillId="0" borderId="48" xfId="0" applyNumberFormat="1" applyFont="1" applyBorder="1" applyAlignment="1">
      <alignment vertical="center" wrapText="1"/>
    </xf>
    <xf numFmtId="0" fontId="77" fillId="31" borderId="177" xfId="16" applyNumberFormat="1" applyFont="1" applyFill="1" applyBorder="1" applyAlignment="1" applyProtection="1">
      <alignment horizontal="center" vertical="center"/>
    </xf>
    <xf numFmtId="0" fontId="77" fillId="31" borderId="122" xfId="16" applyNumberFormat="1" applyFont="1" applyFill="1" applyBorder="1" applyAlignment="1" applyProtection="1">
      <alignment horizontal="center" vertical="center"/>
    </xf>
    <xf numFmtId="0" fontId="29" fillId="0" borderId="118" xfId="16" applyNumberFormat="1" applyFont="1" applyBorder="1" applyAlignment="1" applyProtection="1">
      <alignment horizontal="center" vertical="center" wrapText="1"/>
    </xf>
    <xf numFmtId="0" fontId="29" fillId="0" borderId="94" xfId="16" applyNumberFormat="1" applyFont="1" applyBorder="1" applyAlignment="1" applyProtection="1">
      <alignment horizontal="center" vertical="center" wrapText="1"/>
    </xf>
    <xf numFmtId="0" fontId="29" fillId="0" borderId="119" xfId="16" applyNumberFormat="1" applyFont="1" applyBorder="1" applyAlignment="1" applyProtection="1">
      <alignment horizontal="center" vertical="center" wrapText="1"/>
    </xf>
    <xf numFmtId="0" fontId="29" fillId="0" borderId="11" xfId="16" applyNumberFormat="1" applyFont="1" applyBorder="1" applyAlignment="1" applyProtection="1">
      <alignment horizontal="center" vertical="center" wrapText="1"/>
    </xf>
    <xf numFmtId="0" fontId="29" fillId="0" borderId="159" xfId="16" applyNumberFormat="1" applyFont="1" applyBorder="1" applyAlignment="1" applyProtection="1">
      <alignment horizontal="center" vertical="center" wrapText="1"/>
    </xf>
    <xf numFmtId="0" fontId="29" fillId="0" borderId="121" xfId="16" applyNumberFormat="1" applyFont="1" applyBorder="1" applyAlignment="1" applyProtection="1">
      <alignment horizontal="center" vertical="center" wrapText="1"/>
    </xf>
    <xf numFmtId="0" fontId="15" fillId="36" borderId="41" xfId="0" applyNumberFormat="1" applyFont="1" applyFill="1" applyBorder="1" applyAlignment="1">
      <alignment horizontal="left" vertical="top" wrapText="1"/>
    </xf>
    <xf numFmtId="0" fontId="0" fillId="36" borderId="42" xfId="0" applyNumberFormat="1" applyFill="1" applyBorder="1" applyAlignment="1">
      <alignment vertical="center" wrapText="1"/>
    </xf>
    <xf numFmtId="0" fontId="31" fillId="31" borderId="42" xfId="0" applyNumberFormat="1" applyFont="1" applyFill="1" applyBorder="1" applyAlignment="1">
      <alignment horizontal="center" vertical="center" wrapText="1"/>
    </xf>
    <xf numFmtId="0" fontId="31" fillId="31" borderId="44" xfId="0" applyNumberFormat="1" applyFont="1" applyFill="1" applyBorder="1" applyAlignment="1">
      <alignment horizontal="center" vertical="center" wrapText="1"/>
    </xf>
    <xf numFmtId="0" fontId="33" fillId="0" borderId="0" xfId="0" applyNumberFormat="1" applyFont="1" applyFill="1" applyBorder="1" applyAlignment="1">
      <alignment horizontal="right" vertical="center" wrapText="1"/>
    </xf>
    <xf numFmtId="0" fontId="0" fillId="0" borderId="0" xfId="0" applyNumberFormat="1" applyFill="1" applyBorder="1" applyAlignment="1">
      <alignment horizontal="right" vertical="center" wrapText="1"/>
    </xf>
    <xf numFmtId="0" fontId="0" fillId="0" borderId="0" xfId="0" applyNumberFormat="1" applyFill="1" applyBorder="1" applyAlignment="1">
      <alignment vertical="center" wrapText="1"/>
    </xf>
    <xf numFmtId="0" fontId="29" fillId="32" borderId="14" xfId="0" applyNumberFormat="1" applyFont="1" applyFill="1" applyBorder="1" applyAlignment="1">
      <alignment horizontal="center" vertical="center" wrapText="1"/>
    </xf>
    <xf numFmtId="0" fontId="29" fillId="32" borderId="56" xfId="0" applyNumberFormat="1" applyFont="1" applyFill="1" applyBorder="1" applyAlignment="1">
      <alignment horizontal="center" vertical="center" wrapText="1"/>
    </xf>
    <xf numFmtId="0" fontId="29" fillId="32" borderId="74" xfId="0" applyNumberFormat="1" applyFont="1" applyFill="1" applyBorder="1" applyAlignment="1">
      <alignment horizontal="center" vertical="center" wrapText="1"/>
    </xf>
    <xf numFmtId="0" fontId="29" fillId="11" borderId="14" xfId="0" applyNumberFormat="1" applyFont="1" applyFill="1" applyBorder="1" applyAlignment="1">
      <alignment horizontal="center" vertical="center" wrapText="1"/>
    </xf>
    <xf numFmtId="0" fontId="0" fillId="11" borderId="56" xfId="0" applyNumberFormat="1" applyFill="1" applyBorder="1" applyAlignment="1">
      <alignment vertical="center" wrapText="1"/>
    </xf>
    <xf numFmtId="0" fontId="0" fillId="11" borderId="74" xfId="0" applyNumberFormat="1" applyFill="1" applyBorder="1" applyAlignment="1">
      <alignment vertical="center" wrapText="1"/>
    </xf>
    <xf numFmtId="0" fontId="0" fillId="0" borderId="56" xfId="0" applyNumberFormat="1" applyBorder="1" applyAlignment="1">
      <alignment vertical="center" wrapText="1"/>
    </xf>
    <xf numFmtId="0" fontId="0" fillId="0" borderId="74" xfId="0" applyNumberFormat="1" applyBorder="1" applyAlignment="1">
      <alignment vertical="center" wrapText="1"/>
    </xf>
    <xf numFmtId="0" fontId="29" fillId="24" borderId="14" xfId="0" applyNumberFormat="1" applyFont="1" applyFill="1" applyBorder="1" applyAlignment="1">
      <alignment horizontal="center" vertical="center" wrapText="1"/>
    </xf>
    <xf numFmtId="0" fontId="29" fillId="12" borderId="14" xfId="0" applyNumberFormat="1" applyFont="1" applyFill="1" applyBorder="1" applyAlignment="1">
      <alignment horizontal="center" vertical="center" wrapText="1"/>
    </xf>
    <xf numFmtId="0" fontId="29" fillId="12" borderId="56" xfId="0" applyNumberFormat="1" applyFont="1" applyFill="1" applyBorder="1" applyAlignment="1">
      <alignment horizontal="center" vertical="center" wrapText="1"/>
    </xf>
    <xf numFmtId="0" fontId="29" fillId="12" borderId="74" xfId="0" applyNumberFormat="1" applyFont="1" applyFill="1" applyBorder="1" applyAlignment="1">
      <alignment horizontal="center" vertical="center" wrapText="1"/>
    </xf>
    <xf numFmtId="0" fontId="29" fillId="11" borderId="14" xfId="18" applyNumberFormat="1" applyFont="1" applyFill="1" applyBorder="1" applyAlignment="1">
      <alignment horizontal="center" vertical="center" wrapText="1"/>
    </xf>
    <xf numFmtId="0" fontId="19" fillId="11" borderId="56" xfId="18" applyNumberFormat="1" applyFill="1" applyBorder="1" applyAlignment="1">
      <alignment vertical="center" wrapText="1"/>
    </xf>
    <xf numFmtId="0" fontId="19" fillId="11" borderId="74" xfId="18" applyNumberFormat="1" applyFill="1" applyBorder="1" applyAlignment="1">
      <alignment vertical="center" wrapText="1"/>
    </xf>
    <xf numFmtId="0" fontId="19" fillId="0" borderId="56" xfId="18" applyNumberFormat="1" applyBorder="1" applyAlignment="1">
      <alignment vertical="center" wrapText="1"/>
    </xf>
    <xf numFmtId="0" fontId="19" fillId="0" borderId="74" xfId="18" applyNumberFormat="1" applyBorder="1" applyAlignment="1">
      <alignment vertical="center" wrapText="1"/>
    </xf>
    <xf numFmtId="0" fontId="29" fillId="24" borderId="14" xfId="18" applyNumberFormat="1" applyFont="1" applyFill="1" applyBorder="1" applyAlignment="1">
      <alignment horizontal="center" vertical="center" wrapText="1"/>
    </xf>
    <xf numFmtId="0" fontId="29" fillId="12" borderId="14" xfId="18" applyNumberFormat="1" applyFont="1" applyFill="1" applyBorder="1" applyAlignment="1">
      <alignment horizontal="center" vertical="center" wrapText="1"/>
    </xf>
    <xf numFmtId="0" fontId="29" fillId="32" borderId="14" xfId="18" applyNumberFormat="1" applyFont="1" applyFill="1" applyBorder="1" applyAlignment="1">
      <alignment horizontal="center" vertical="center" wrapText="1"/>
    </xf>
    <xf numFmtId="0" fontId="29" fillId="32" borderId="56" xfId="18" applyNumberFormat="1" applyFont="1" applyFill="1" applyBorder="1" applyAlignment="1">
      <alignment horizontal="center" vertical="center" wrapText="1"/>
    </xf>
    <xf numFmtId="0" fontId="29" fillId="32" borderId="74" xfId="18" applyNumberFormat="1" applyFont="1" applyFill="1" applyBorder="1" applyAlignment="1">
      <alignment horizontal="center" vertical="center" wrapText="1"/>
    </xf>
    <xf numFmtId="0" fontId="0" fillId="12" borderId="56" xfId="0" applyNumberFormat="1" applyFill="1" applyBorder="1" applyAlignment="1">
      <alignment vertical="center" wrapText="1"/>
    </xf>
    <xf numFmtId="0" fontId="0" fillId="12" borderId="74" xfId="0" applyNumberFormat="1" applyFill="1" applyBorder="1" applyAlignment="1">
      <alignment vertical="center" wrapText="1"/>
    </xf>
    <xf numFmtId="0" fontId="13" fillId="31" borderId="100" xfId="0" applyNumberFormat="1" applyFont="1" applyFill="1" applyBorder="1" applyAlignment="1">
      <alignment horizontal="center" vertical="center" wrapText="1"/>
    </xf>
    <xf numFmtId="0" fontId="13" fillId="31" borderId="101" xfId="0" applyNumberFormat="1" applyFont="1" applyFill="1" applyBorder="1" applyAlignment="1">
      <alignment horizontal="center" vertical="center" wrapText="1"/>
    </xf>
    <xf numFmtId="0" fontId="4" fillId="31" borderId="25" xfId="0" applyNumberFormat="1" applyFont="1" applyFill="1" applyBorder="1" applyAlignment="1">
      <alignment horizontal="center" vertical="center" wrapText="1"/>
    </xf>
    <xf numFmtId="0" fontId="4" fillId="31" borderId="24" xfId="0" applyNumberFormat="1" applyFont="1" applyFill="1" applyBorder="1" applyAlignment="1">
      <alignment horizontal="center" vertical="center" wrapText="1"/>
    </xf>
    <xf numFmtId="0" fontId="4" fillId="31" borderId="97" xfId="0" applyNumberFormat="1" applyFont="1" applyFill="1" applyBorder="1" applyAlignment="1">
      <alignment horizontal="center" vertical="center" wrapText="1"/>
    </xf>
    <xf numFmtId="0" fontId="29" fillId="24" borderId="14" xfId="0" applyNumberFormat="1" applyFont="1" applyFill="1" applyBorder="1" applyAlignment="1" applyProtection="1">
      <alignment horizontal="center" vertical="center" wrapText="1"/>
    </xf>
    <xf numFmtId="0" fontId="0" fillId="0" borderId="56" xfId="0" applyNumberFormat="1" applyBorder="1" applyAlignment="1" applyProtection="1">
      <alignment vertical="center" wrapText="1"/>
    </xf>
    <xf numFmtId="0" fontId="0" fillId="0" borderId="74" xfId="0" applyNumberFormat="1" applyBorder="1" applyAlignment="1" applyProtection="1">
      <alignment vertical="center" wrapText="1"/>
    </xf>
    <xf numFmtId="0" fontId="0" fillId="0" borderId="56" xfId="0" applyNumberFormat="1" applyBorder="1">
      <alignment vertical="center" wrapText="1"/>
    </xf>
    <xf numFmtId="0" fontId="0" fillId="0" borderId="74" xfId="0" applyNumberFormat="1" applyBorder="1">
      <alignment vertical="center" wrapText="1"/>
    </xf>
    <xf numFmtId="0" fontId="29" fillId="32" borderId="102" xfId="0" applyNumberFormat="1" applyFont="1" applyFill="1" applyBorder="1" applyAlignment="1">
      <alignment horizontal="center" vertical="center" wrapText="1"/>
    </xf>
    <xf numFmtId="0" fontId="29" fillId="11" borderId="56" xfId="0" applyNumberFormat="1" applyFont="1" applyFill="1" applyBorder="1" applyAlignment="1">
      <alignment horizontal="center" vertical="center" wrapText="1"/>
    </xf>
    <xf numFmtId="0" fontId="29" fillId="24" borderId="56" xfId="0" applyNumberFormat="1" applyFont="1" applyFill="1" applyBorder="1" applyAlignment="1">
      <alignment horizontal="center" vertical="center" wrapText="1"/>
    </xf>
    <xf numFmtId="1" fontId="13" fillId="31" borderId="3" xfId="0" applyNumberFormat="1" applyFont="1" applyFill="1" applyBorder="1" applyAlignment="1" applyProtection="1">
      <alignment horizontal="center"/>
    </xf>
    <xf numFmtId="165" fontId="27" fillId="31" borderId="3" xfId="13" applyNumberFormat="1" applyFont="1" applyFill="1" applyBorder="1" applyAlignment="1" applyProtection="1">
      <alignment horizontal="center" vertical="center" wrapText="1"/>
    </xf>
    <xf numFmtId="0" fontId="84" fillId="33" borderId="152" xfId="12" applyNumberFormat="1" applyFont="1" applyFill="1" applyBorder="1" applyAlignment="1" applyProtection="1">
      <alignment horizontal="left" vertical="top"/>
    </xf>
    <xf numFmtId="0" fontId="84" fillId="33" borderId="151" xfId="12" applyNumberFormat="1" applyFont="1" applyFill="1" applyBorder="1" applyAlignment="1" applyProtection="1">
      <alignment horizontal="left" vertical="top"/>
    </xf>
    <xf numFmtId="0" fontId="33" fillId="0" borderId="0" xfId="13" applyNumberFormat="1" applyFont="1" applyFill="1" applyAlignment="1" applyProtection="1">
      <alignment wrapText="1"/>
      <protection locked="0"/>
    </xf>
    <xf numFmtId="0" fontId="14" fillId="0" borderId="0" xfId="0" applyNumberFormat="1" applyFont="1" applyFill="1" applyAlignment="1" applyProtection="1">
      <protection locked="0"/>
    </xf>
    <xf numFmtId="0" fontId="12" fillId="31" borderId="152" xfId="0" applyNumberFormat="1" applyFont="1" applyFill="1" applyBorder="1" applyAlignment="1" applyProtection="1">
      <alignment horizontal="center" vertical="center" textRotation="90" wrapText="1"/>
    </xf>
    <xf numFmtId="0" fontId="3" fillId="31" borderId="152" xfId="0" applyNumberFormat="1" applyFont="1" applyFill="1" applyBorder="1" applyAlignment="1">
      <alignment horizontal="center" vertical="center" wrapText="1"/>
    </xf>
    <xf numFmtId="0" fontId="43" fillId="0" borderId="0" xfId="13" applyNumberFormat="1" applyFont="1" applyFill="1" applyAlignment="1" applyProtection="1">
      <alignment horizontal="center" vertical="center" wrapText="1"/>
      <protection locked="0"/>
    </xf>
    <xf numFmtId="0" fontId="0" fillId="0" borderId="0" xfId="0" applyNumberFormat="1" applyFill="1" applyAlignment="1" applyProtection="1">
      <alignment horizontal="center" vertical="center" wrapText="1"/>
      <protection locked="0"/>
    </xf>
    <xf numFmtId="0" fontId="31" fillId="31" borderId="3" xfId="13" applyNumberFormat="1" applyFont="1" applyFill="1" applyBorder="1" applyAlignment="1" applyProtection="1">
      <alignment horizontal="center" wrapText="1"/>
      <protection locked="0"/>
    </xf>
    <xf numFmtId="0" fontId="2" fillId="32" borderId="165" xfId="13" applyNumberFormat="1" applyFont="1" applyFill="1" applyBorder="1" applyAlignment="1" applyProtection="1">
      <alignment horizontal="center" vertical="center" textRotation="90" wrapText="1"/>
    </xf>
    <xf numFmtId="0" fontId="0" fillId="32" borderId="179" xfId="13" applyNumberFormat="1" applyFont="1" applyFill="1" applyBorder="1" applyAlignment="1" applyProtection="1">
      <alignment horizontal="center" vertical="center" textRotation="90" wrapText="1"/>
    </xf>
    <xf numFmtId="0" fontId="2" fillId="32" borderId="192" xfId="13" applyNumberFormat="1" applyFont="1" applyFill="1" applyBorder="1" applyAlignment="1" applyProtection="1">
      <alignment wrapText="1"/>
    </xf>
    <xf numFmtId="164" fontId="0" fillId="0" borderId="192" xfId="0" applyBorder="1" applyAlignment="1">
      <alignment wrapText="1"/>
    </xf>
    <xf numFmtId="0" fontId="2" fillId="0" borderId="91" xfId="0" applyNumberFormat="1" applyFont="1" applyBorder="1" applyAlignment="1">
      <alignment vertical="center" wrapText="1"/>
    </xf>
    <xf numFmtId="0" fontId="2" fillId="0" borderId="56" xfId="0" applyNumberFormat="1" applyFont="1" applyBorder="1" applyAlignment="1">
      <alignment vertical="center" wrapText="1"/>
    </xf>
    <xf numFmtId="0" fontId="2" fillId="0" borderId="55" xfId="0" applyNumberFormat="1" applyFont="1" applyBorder="1" applyAlignment="1">
      <alignment vertical="center" wrapText="1"/>
    </xf>
    <xf numFmtId="0" fontId="2" fillId="0" borderId="42" xfId="0" applyNumberFormat="1" applyFont="1" applyBorder="1" applyAlignment="1">
      <alignment vertical="center" wrapText="1"/>
    </xf>
    <xf numFmtId="0" fontId="15" fillId="36" borderId="3" xfId="0" applyNumberFormat="1" applyFont="1" applyFill="1" applyBorder="1" applyAlignment="1">
      <alignment horizontal="left" vertical="top"/>
    </xf>
    <xf numFmtId="0" fontId="0" fillId="36" borderId="3" xfId="0" applyNumberFormat="1" applyFill="1" applyBorder="1" applyAlignment="1">
      <alignment vertical="center" wrapText="1"/>
    </xf>
    <xf numFmtId="0" fontId="2" fillId="0" borderId="89" xfId="0" applyNumberFormat="1" applyFont="1" applyBorder="1" applyAlignment="1">
      <alignment vertical="center" wrapText="1"/>
    </xf>
    <xf numFmtId="0" fontId="2" fillId="0" borderId="65" xfId="0" applyNumberFormat="1" applyFont="1" applyBorder="1" applyAlignment="1">
      <alignment vertical="center" wrapText="1"/>
    </xf>
    <xf numFmtId="0" fontId="2" fillId="0" borderId="90" xfId="0" applyNumberFormat="1" applyFont="1" applyBorder="1" applyAlignment="1">
      <alignment vertical="center" wrapText="1"/>
    </xf>
    <xf numFmtId="0" fontId="31" fillId="0" borderId="0" xfId="15" applyNumberFormat="1" applyFont="1" applyFill="1" applyAlignment="1">
      <alignment horizontal="center"/>
    </xf>
    <xf numFmtId="0" fontId="86" fillId="0" borderId="0" xfId="15" applyNumberFormat="1" applyFont="1" applyFill="1" applyAlignment="1">
      <alignment horizontal="center"/>
    </xf>
    <xf numFmtId="0" fontId="41" fillId="0" borderId="0" xfId="15" applyNumberFormat="1" applyFont="1" applyAlignment="1">
      <alignment horizontal="center"/>
    </xf>
    <xf numFmtId="0" fontId="27" fillId="0" borderId="0" xfId="0" applyNumberFormat="1" applyFont="1" applyAlignment="1">
      <alignment horizontal="center" vertical="center" wrapText="1"/>
    </xf>
    <xf numFmtId="0" fontId="3" fillId="18" borderId="131" xfId="0" applyNumberFormat="1" applyFont="1" applyFill="1" applyBorder="1" applyAlignment="1">
      <alignment horizontal="center" vertical="center" wrapText="1"/>
    </xf>
    <xf numFmtId="14" fontId="79" fillId="14" borderId="0" xfId="0" applyNumberFormat="1" applyFont="1" applyFill="1" applyAlignment="1">
      <alignment horizontal="center" vertical="top"/>
    </xf>
  </cellXfs>
  <cellStyles count="33">
    <cellStyle name="Accent1" xfId="1" builtinId="29" customBuiltin="1"/>
    <cellStyle name="Accent2" xfId="2" builtinId="33" customBuiltin="1"/>
    <cellStyle name="Accent3" xfId="3" builtinId="37" customBuiltin="1"/>
    <cellStyle name="Accent4" xfId="4" builtinId="41" customBuiltin="1"/>
    <cellStyle name="Accent5" xfId="5" builtinId="45" customBuiltin="1"/>
    <cellStyle name="Accent6" xfId="6" builtinId="49" customBuiltin="1"/>
    <cellStyle name="Euro" xfId="7"/>
    <cellStyle name="Lien hypertexte" xfId="8" builtinId="8"/>
    <cellStyle name="Lien hypertexte visité" xfId="22" builtinId="9" hidden="1"/>
    <cellStyle name="Lien hypertexte visité" xfId="23" builtinId="9" hidden="1"/>
    <cellStyle name="Lien hypertexte visité" xfId="24" builtinId="9" hidden="1"/>
    <cellStyle name="Lien hypertexte visité" xfId="25" builtinId="9" hidden="1"/>
    <cellStyle name="Lien hypertexte visité" xfId="26" builtinId="9" hidden="1"/>
    <cellStyle name="Lien hypertexte visité" xfId="27" builtinId="9" hidden="1"/>
    <cellStyle name="Normal" xfId="0" builtinId="0" customBuiltin="1"/>
    <cellStyle name="Normal 2" xfId="29"/>
    <cellStyle name="Normal 3" xfId="30"/>
    <cellStyle name="Normal 4" xfId="31"/>
    <cellStyle name="Normal 5" xfId="32"/>
    <cellStyle name="Normal 6" xfId="28"/>
    <cellStyle name="Normal_09Appli" xfId="21"/>
    <cellStyle name="Normal_Classif_DGEP" xfId="9"/>
    <cellStyle name="Normal_DB_audit_2009_10à13_draftpréfinal - remOC_jpj" xfId="10"/>
    <cellStyle name="Normal_DB_audit_2009_draft_06_2009" xfId="11"/>
    <cellStyle name="Normal_DB_Mehari_2006_travJPJ" xfId="12"/>
    <cellStyle name="Normal_DB_Mehari_2007_2SI" xfId="13"/>
    <cellStyle name="Normal_DB_Mehari_2007-2" xfId="14"/>
    <cellStyle name="Normal_DB_Mehari_2008-1" xfId="15"/>
    <cellStyle name="Normal_DB_Mehari_2009-Classif_v1" xfId="16"/>
    <cellStyle name="Normal_DB_SCEN" xfId="17"/>
    <cellStyle name="Normal_DB-Mehari_2009_V00" xfId="18"/>
    <cellStyle name="Normal_MEHARI_audit_2007" xfId="19"/>
    <cellStyle name="Total" xfId="20" builtinId="25" customBuiltin="1"/>
  </cellStyles>
  <dxfs count="306">
    <dxf>
      <fill>
        <patternFill>
          <bgColor rgb="FFFF0000"/>
        </patternFill>
      </fill>
    </dxf>
    <dxf>
      <fill>
        <patternFill>
          <bgColor rgb="FFFFCC00"/>
        </patternFill>
      </fill>
    </dxf>
    <dxf>
      <fill>
        <patternFill>
          <bgColor rgb="FFCCFFCC"/>
        </patternFill>
      </fill>
    </dxf>
    <dxf>
      <fill>
        <patternFill>
          <bgColor rgb="FFFF0000"/>
        </patternFill>
      </fill>
    </dxf>
    <dxf>
      <fill>
        <patternFill>
          <bgColor rgb="FFFFCC00"/>
        </patternFill>
      </fill>
    </dxf>
    <dxf>
      <fill>
        <patternFill>
          <bgColor rgb="FFCCFFCC"/>
        </patternFill>
      </fill>
    </dxf>
    <dxf>
      <font>
        <color rgb="FF9C0006"/>
      </font>
      <fill>
        <patternFill>
          <bgColor rgb="FFFFC7CE"/>
        </patternFill>
      </fill>
    </dxf>
    <dxf>
      <font>
        <color rgb="FF9C0006"/>
      </font>
      <fill>
        <patternFill>
          <bgColor rgb="FFFFC7CE"/>
        </patternFill>
      </fill>
    </dxf>
    <dxf>
      <fill>
        <patternFill>
          <bgColor indexed="10"/>
        </patternFill>
      </fill>
    </dxf>
    <dxf>
      <fill>
        <patternFill>
          <bgColor indexed="42"/>
        </patternFill>
      </fill>
    </dxf>
    <dxf>
      <fill>
        <patternFill>
          <bgColor indexed="10"/>
        </patternFill>
      </fill>
    </dxf>
    <dxf>
      <fill>
        <patternFill>
          <bgColor indexed="42"/>
        </patternFill>
      </fill>
    </dxf>
    <dxf>
      <font>
        <b/>
        <i val="0"/>
        <condense val="0"/>
        <extend val="0"/>
        <color auto="1"/>
      </font>
      <fill>
        <patternFill>
          <bgColor indexed="10"/>
        </patternFill>
      </fill>
    </dxf>
    <dxf>
      <font>
        <b/>
        <i val="0"/>
        <condense val="0"/>
        <extend val="0"/>
        <color auto="1"/>
      </font>
      <fill>
        <patternFill>
          <bgColor indexed="10"/>
        </patternFill>
      </fill>
    </dxf>
    <dxf>
      <font>
        <b/>
        <i val="0"/>
        <condense val="0"/>
        <extend val="0"/>
        <color auto="1"/>
      </font>
      <fill>
        <patternFill>
          <bgColor indexed="10"/>
        </patternFill>
      </fill>
    </dxf>
    <dxf>
      <font>
        <b/>
        <i val="0"/>
        <condense val="0"/>
        <extend val="0"/>
        <color auto="1"/>
      </font>
      <fill>
        <patternFill>
          <fgColor rgb="FFFFC000"/>
          <bgColor rgb="FFFFC000"/>
        </patternFill>
      </fill>
    </dxf>
    <dxf>
      <font>
        <b/>
        <i val="0"/>
        <condense val="0"/>
        <extend val="0"/>
        <color auto="1"/>
      </font>
      <fill>
        <patternFill>
          <bgColor indexed="10"/>
        </patternFill>
      </fill>
    </dxf>
    <dxf>
      <font>
        <b/>
        <i val="0"/>
        <condense val="0"/>
        <extend val="0"/>
      </font>
      <fill>
        <patternFill>
          <bgColor indexed="51"/>
        </patternFill>
      </fill>
    </dxf>
    <dxf>
      <font>
        <b/>
        <i val="0"/>
        <condense val="0"/>
        <extend val="0"/>
        <color auto="1"/>
      </font>
      <fill>
        <patternFill>
          <fgColor rgb="FFFFC000"/>
          <bgColor rgb="FFFFC000"/>
        </patternFill>
      </fill>
    </dxf>
    <dxf>
      <font>
        <b/>
        <i val="0"/>
        <condense val="0"/>
        <extend val="0"/>
        <color auto="1"/>
      </font>
      <fill>
        <patternFill>
          <bgColor indexed="10"/>
        </patternFill>
      </fill>
    </dxf>
    <dxf>
      <font>
        <b/>
        <i val="0"/>
        <condense val="0"/>
        <extend val="0"/>
      </font>
      <fill>
        <patternFill>
          <bgColor indexed="51"/>
        </patternFill>
      </fill>
    </dxf>
    <dxf>
      <fill>
        <patternFill>
          <bgColor indexed="50"/>
        </patternFill>
      </fill>
    </dxf>
    <dxf>
      <fill>
        <patternFill>
          <bgColor indexed="42"/>
        </patternFill>
      </fill>
    </dxf>
    <dxf>
      <fill>
        <patternFill>
          <bgColor indexed="52"/>
        </patternFill>
      </fill>
    </dxf>
    <dxf>
      <fill>
        <patternFill>
          <bgColor indexed="42"/>
        </patternFill>
      </fill>
    </dxf>
    <dxf>
      <fill>
        <patternFill>
          <bgColor indexed="10"/>
        </patternFill>
      </fill>
    </dxf>
    <dxf>
      <fill>
        <patternFill>
          <bgColor indexed="42"/>
        </patternFill>
      </fill>
    </dxf>
    <dxf>
      <fill>
        <patternFill>
          <bgColor indexed="42"/>
        </patternFill>
      </fill>
    </dxf>
    <dxf>
      <fill>
        <patternFill>
          <bgColor indexed="52"/>
        </patternFill>
      </fill>
    </dxf>
    <dxf>
      <fill>
        <patternFill>
          <bgColor indexed="10"/>
        </patternFill>
      </fill>
    </dxf>
    <dxf>
      <fill>
        <patternFill>
          <bgColor indexed="42"/>
        </patternFill>
      </fill>
    </dxf>
    <dxf>
      <fill>
        <patternFill>
          <bgColor indexed="52"/>
        </patternFill>
      </fill>
    </dxf>
    <dxf>
      <fill>
        <patternFill>
          <bgColor indexed="10"/>
        </patternFill>
      </fill>
    </dxf>
    <dxf>
      <fill>
        <patternFill>
          <bgColor indexed="42"/>
        </patternFill>
      </fill>
    </dxf>
    <dxf>
      <fill>
        <patternFill>
          <bgColor indexed="52"/>
        </patternFill>
      </fill>
    </dxf>
    <dxf>
      <fill>
        <patternFill>
          <bgColor indexed="10"/>
        </patternFill>
      </fill>
    </dxf>
    <dxf>
      <font>
        <b/>
        <i val="0"/>
        <condense val="0"/>
        <extend val="0"/>
        <color auto="1"/>
      </font>
      <fill>
        <patternFill patternType="solid">
          <fgColor indexed="16"/>
          <bgColor indexed="51"/>
        </patternFill>
      </fill>
    </dxf>
    <dxf>
      <font>
        <b val="0"/>
        <condense val="0"/>
        <extend val="0"/>
        <color indexed="9"/>
      </font>
      <fill>
        <patternFill patternType="solid">
          <fgColor indexed="16"/>
          <bgColor indexed="10"/>
        </patternFill>
      </fill>
    </dxf>
    <dxf>
      <fill>
        <patternFill>
          <bgColor indexed="42"/>
        </patternFill>
      </fill>
    </dxf>
    <dxf>
      <font>
        <b/>
        <i val="0"/>
        <condense val="0"/>
        <extend val="0"/>
        <color indexed="9"/>
      </font>
      <fill>
        <patternFill patternType="solid">
          <fgColor indexed="61"/>
          <bgColor indexed="10"/>
        </patternFill>
      </fill>
    </dxf>
    <dxf>
      <font>
        <b/>
        <i val="0"/>
        <condense val="0"/>
        <extend val="0"/>
        <color auto="1"/>
      </font>
      <fill>
        <patternFill patternType="solid">
          <fgColor indexed="16"/>
          <bgColor indexed="51"/>
        </patternFill>
      </fill>
    </dxf>
    <dxf>
      <font>
        <b/>
        <i val="0"/>
        <condense val="0"/>
        <extend val="0"/>
        <color indexed="9"/>
      </font>
      <fill>
        <patternFill patternType="solid">
          <fgColor indexed="61"/>
          <bgColor indexed="25"/>
        </patternFill>
      </fill>
    </dxf>
    <dxf>
      <font>
        <b/>
        <i val="0"/>
        <condense val="0"/>
        <extend val="0"/>
        <color indexed="9"/>
      </font>
      <fill>
        <patternFill patternType="solid">
          <fgColor indexed="16"/>
          <bgColor indexed="10"/>
        </patternFill>
      </fill>
    </dxf>
    <dxf>
      <font>
        <b val="0"/>
        <condense val="0"/>
        <extend val="0"/>
        <color indexed="9"/>
      </font>
      <fill>
        <patternFill patternType="solid">
          <fgColor indexed="16"/>
          <bgColor indexed="10"/>
        </patternFill>
      </fill>
    </dxf>
    <dxf>
      <fill>
        <patternFill>
          <bgColor indexed="42"/>
        </patternFill>
      </fill>
    </dxf>
    <dxf>
      <fill>
        <patternFill>
          <bgColor indexed="52"/>
        </patternFill>
      </fill>
    </dxf>
    <dxf>
      <fill>
        <patternFill>
          <bgColor indexed="10"/>
        </patternFill>
      </fill>
    </dxf>
    <dxf>
      <fill>
        <patternFill>
          <bgColor indexed="42"/>
        </patternFill>
      </fill>
    </dxf>
    <dxf>
      <fill>
        <patternFill>
          <bgColor indexed="52"/>
        </patternFill>
      </fill>
    </dxf>
    <dxf>
      <fill>
        <patternFill>
          <bgColor indexed="10"/>
        </patternFill>
      </fill>
    </dxf>
    <dxf>
      <font>
        <b/>
        <i val="0"/>
        <condense val="0"/>
        <extend val="0"/>
        <color indexed="9"/>
      </font>
      <fill>
        <patternFill>
          <bgColor indexed="10"/>
        </patternFill>
      </fill>
    </dxf>
    <dxf>
      <font>
        <b/>
        <i val="0"/>
        <condense val="0"/>
        <extend val="0"/>
        <color indexed="9"/>
      </font>
      <fill>
        <patternFill>
          <bgColor indexed="61"/>
        </patternFill>
      </fill>
    </dxf>
    <dxf>
      <font>
        <condense val="0"/>
        <extend val="0"/>
        <color indexed="9"/>
      </font>
      <fill>
        <patternFill>
          <bgColor indexed="10"/>
        </patternFill>
      </fill>
    </dxf>
    <dxf>
      <fill>
        <patternFill patternType="solid">
          <fgColor indexed="60"/>
          <bgColor indexed="10"/>
        </patternFill>
      </fill>
    </dxf>
    <dxf>
      <font>
        <b val="0"/>
        <condense val="0"/>
        <extend val="0"/>
        <color indexed="0"/>
      </font>
      <fill>
        <patternFill patternType="solid">
          <fgColor indexed="13"/>
          <bgColor indexed="51"/>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24994659260841701"/>
        </patternFill>
      </fill>
    </dxf>
    <dxf>
      <fill>
        <patternFill>
          <bgColor theme="9" tint="0.39994506668294322"/>
        </patternFill>
      </fill>
    </dxf>
    <dxf>
      <fill>
        <patternFill>
          <bgColor rgb="FFFFFF00"/>
        </patternFill>
      </fill>
    </dxf>
    <dxf>
      <fill>
        <patternFill>
          <bgColor rgb="FF92D050"/>
        </patternFill>
      </fill>
    </dxf>
    <dxf>
      <fill>
        <patternFill>
          <bgColor theme="9" tint="0.39994506668294322"/>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theme="9" tint="0.39994506668294322"/>
        </patternFill>
      </fill>
    </dxf>
    <dxf>
      <fill>
        <patternFill>
          <bgColor rgb="FFFFFF00"/>
        </patternFill>
      </fill>
    </dxf>
    <dxf>
      <fill>
        <patternFill>
          <bgColor theme="9" tint="-0.24994659260841701"/>
        </patternFill>
      </fill>
    </dxf>
    <dxf>
      <fill>
        <patternFill>
          <bgColor rgb="FFFFFF00"/>
        </patternFill>
      </fill>
    </dxf>
    <dxf>
      <fill>
        <patternFill>
          <bgColor theme="9" tint="-0.24994659260841701"/>
        </patternFill>
      </fill>
    </dxf>
    <dxf>
      <fill>
        <patternFill>
          <bgColor theme="9"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indexed="13"/>
        </patternFill>
      </fill>
    </dxf>
    <dxf>
      <fill>
        <patternFill>
          <bgColor indexed="13"/>
        </patternFill>
      </fill>
    </dxf>
    <dxf>
      <fill>
        <patternFill>
          <bgColor indexed="13"/>
        </patternFill>
      </fill>
    </dxf>
    <dxf>
      <fill>
        <patternFill>
          <bgColor rgb="FFFFFF00"/>
        </patternFill>
      </fill>
    </dxf>
    <dxf>
      <fill>
        <patternFill>
          <bgColor indexed="13"/>
        </patternFill>
      </fill>
    </dxf>
    <dxf>
      <fill>
        <patternFill>
          <bgColor rgb="FFFFFF00"/>
        </patternFill>
      </fill>
    </dxf>
    <dxf>
      <fill>
        <patternFill>
          <bgColor indexed="13"/>
        </patternFill>
      </fill>
    </dxf>
    <dxf>
      <fill>
        <patternFill>
          <bgColor rgb="FFFFFF00"/>
        </patternFill>
      </fill>
    </dxf>
    <dxf>
      <fill>
        <patternFill>
          <bgColor indexed="13"/>
        </patternFill>
      </fill>
    </dxf>
    <dxf>
      <fill>
        <patternFill>
          <bgColor rgb="FFFFFF00"/>
        </patternFill>
      </fill>
    </dxf>
    <dxf>
      <fill>
        <patternFill>
          <bgColor indexed="13"/>
        </patternFill>
      </fill>
    </dxf>
    <dxf>
      <fill>
        <patternFill>
          <bgColor rgb="FFFF0000"/>
        </patternFill>
      </fill>
    </dxf>
    <dxf>
      <fill>
        <patternFill>
          <bgColor rgb="FFFFC000"/>
        </patternFill>
      </fill>
    </dxf>
    <dxf>
      <fill>
        <patternFill>
          <bgColor rgb="FF92D050"/>
        </patternFill>
      </fill>
    </dxf>
    <dxf>
      <fill>
        <patternFill patternType="solid">
          <fgColor indexed="27"/>
          <bgColor indexed="42"/>
        </patternFill>
      </fill>
    </dxf>
    <dxf>
      <fill>
        <patternFill patternType="solid">
          <fgColor indexed="51"/>
          <bgColor indexed="52"/>
        </patternFill>
      </fill>
    </dxf>
    <dxf>
      <fill>
        <patternFill patternType="solid">
          <fgColor indexed="60"/>
          <bgColor indexed="10"/>
        </patternFill>
      </fill>
    </dxf>
    <dxf>
      <fill>
        <patternFill patternType="solid">
          <fgColor indexed="27"/>
          <bgColor indexed="42"/>
        </patternFill>
      </fill>
    </dxf>
    <dxf>
      <fill>
        <patternFill patternType="solid">
          <fgColor indexed="51"/>
          <bgColor indexed="52"/>
        </patternFill>
      </fill>
    </dxf>
    <dxf>
      <fill>
        <patternFill patternType="solid">
          <fgColor indexed="60"/>
          <bgColor indexed="10"/>
        </patternFill>
      </fill>
    </dxf>
    <dxf>
      <fill>
        <patternFill>
          <bgColor indexed="42"/>
        </patternFill>
      </fill>
    </dxf>
    <dxf>
      <fill>
        <patternFill>
          <bgColor indexed="52"/>
        </patternFill>
      </fill>
    </dxf>
    <dxf>
      <fill>
        <patternFill>
          <bgColor indexed="10"/>
        </patternFill>
      </fill>
    </dxf>
    <dxf>
      <fill>
        <patternFill patternType="solid">
          <fgColor indexed="27"/>
          <bgColor indexed="42"/>
        </patternFill>
      </fill>
    </dxf>
    <dxf>
      <fill>
        <patternFill patternType="solid">
          <fgColor indexed="51"/>
          <bgColor indexed="52"/>
        </patternFill>
      </fill>
    </dxf>
    <dxf>
      <fill>
        <patternFill patternType="solid">
          <fgColor indexed="60"/>
          <bgColor indexed="10"/>
        </patternFill>
      </fill>
    </dxf>
    <dxf>
      <fill>
        <patternFill>
          <bgColor indexed="42"/>
        </patternFill>
      </fill>
    </dxf>
    <dxf>
      <fill>
        <patternFill>
          <bgColor indexed="52"/>
        </patternFill>
      </fill>
    </dxf>
    <dxf>
      <fill>
        <patternFill>
          <bgColor indexed="10"/>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60"/>
          <bgColor indexed="10"/>
        </patternFill>
      </fill>
      <border>
        <left style="thin">
          <color indexed="8"/>
        </left>
        <right style="thin">
          <color indexed="8"/>
        </right>
        <top style="thin">
          <color indexed="8"/>
        </top>
        <bottom style="thin">
          <color indexed="8"/>
        </bottom>
      </border>
    </dxf>
    <dxf>
      <font>
        <b/>
        <i val="0"/>
        <condense val="0"/>
        <extend val="0"/>
        <color indexed="0"/>
      </font>
      <fill>
        <patternFill patternType="solid">
          <fgColor indexed="13"/>
          <bgColor indexed="51"/>
        </patternFill>
      </fill>
      <border>
        <left style="thin">
          <color indexed="8"/>
        </left>
        <right style="thin">
          <color indexed="8"/>
        </right>
        <top style="thin">
          <color indexed="8"/>
        </top>
        <bottom style="thin">
          <color indexed="8"/>
        </bottom>
      </border>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8"/>
      </font>
      <fill>
        <patternFill patternType="solid">
          <fgColor indexed="13"/>
          <bgColor indexed="51"/>
        </patternFill>
      </fill>
      <border>
        <left style="thin">
          <color indexed="8"/>
        </left>
        <right style="thin">
          <color indexed="8"/>
        </right>
        <top style="thin">
          <color indexed="8"/>
        </top>
        <bottom style="thin">
          <color indexed="8"/>
        </bottom>
      </border>
    </dxf>
    <dxf>
      <fill>
        <patternFill>
          <bgColor indexed="42"/>
        </patternFill>
      </fill>
    </dxf>
    <dxf>
      <fill>
        <patternFill>
          <bgColor indexed="51"/>
        </patternFill>
      </fill>
    </dxf>
    <dxf>
      <fill>
        <patternFill>
          <bgColor indexed="10"/>
        </patternFill>
      </fill>
    </dxf>
    <dxf>
      <fill>
        <patternFill>
          <bgColor indexed="42"/>
        </patternFill>
      </fill>
    </dxf>
    <dxf>
      <font>
        <b/>
        <i val="0"/>
        <condense val="0"/>
        <extend val="0"/>
      </font>
      <fill>
        <patternFill patternType="solid">
          <fgColor indexed="16"/>
          <bgColor indexed="10"/>
        </patternFill>
      </fill>
    </dxf>
    <dxf>
      <font>
        <b/>
        <i val="0"/>
        <condense val="0"/>
        <extend val="0"/>
        <color indexed="8"/>
      </font>
      <fill>
        <patternFill patternType="solid">
          <fgColor indexed="51"/>
          <bgColor indexed="51"/>
        </patternFill>
      </fill>
    </dxf>
    <dxf>
      <fill>
        <patternFill patternType="solid">
          <fgColor indexed="27"/>
          <bgColor indexed="42"/>
        </patternFill>
      </fill>
    </dxf>
    <dxf>
      <font>
        <b/>
        <i val="0"/>
        <condense val="0"/>
        <extend val="0"/>
      </font>
      <fill>
        <patternFill patternType="solid">
          <fgColor indexed="60"/>
          <bgColor indexed="10"/>
        </patternFill>
      </fill>
    </dxf>
    <dxf>
      <font>
        <b/>
        <i val="0"/>
        <condense val="0"/>
        <extend val="0"/>
        <color indexed="0"/>
      </font>
      <fill>
        <patternFill patternType="solid">
          <fgColor indexed="13"/>
          <bgColor indexed="51"/>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60"/>
          <bgColor indexed="10"/>
        </patternFill>
      </fill>
      <border>
        <left style="thin">
          <color indexed="8"/>
        </left>
        <right style="thin">
          <color indexed="8"/>
        </right>
        <top style="thin">
          <color indexed="8"/>
        </top>
        <bottom style="thin">
          <color indexed="8"/>
        </bottom>
      </border>
    </dxf>
    <dxf>
      <font>
        <b/>
        <i val="0"/>
        <condense val="0"/>
        <extend val="0"/>
        <color indexed="0"/>
      </font>
      <fill>
        <patternFill patternType="solid">
          <fgColor indexed="13"/>
          <bgColor indexed="51"/>
        </patternFill>
      </fill>
      <border>
        <left style="thin">
          <color indexed="8"/>
        </left>
        <right style="thin">
          <color indexed="8"/>
        </right>
        <top style="thin">
          <color indexed="8"/>
        </top>
        <bottom style="thin">
          <color indexed="8"/>
        </bottom>
      </border>
    </dxf>
    <dxf>
      <fill>
        <patternFill>
          <bgColor indexed="42"/>
        </patternFill>
      </fill>
      <border>
        <left style="thin">
          <color indexed="64"/>
        </left>
        <right style="thin">
          <color indexed="64"/>
        </right>
        <top style="thin">
          <color indexed="64"/>
        </top>
        <bottom style="thin">
          <color indexed="64"/>
        </bottom>
      </border>
    </dxf>
    <dxf>
      <font>
        <b/>
        <i val="0"/>
        <condense val="0"/>
        <extend val="0"/>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51"/>
        </patternFill>
      </fill>
      <border>
        <left style="thin">
          <color indexed="64"/>
        </left>
        <right style="thin">
          <color indexed="64"/>
        </right>
        <top style="thin">
          <color indexed="64"/>
        </top>
        <bottom style="thin">
          <color indexed="64"/>
        </bottom>
      </border>
    </dxf>
    <dxf>
      <font>
        <b/>
        <i val="0"/>
        <condense val="0"/>
        <extend val="0"/>
        <color auto="1"/>
      </font>
      <fill>
        <patternFill>
          <bgColor indexed="52"/>
        </patternFill>
      </fill>
    </dxf>
    <dxf>
      <font>
        <b/>
        <i val="0"/>
        <condense val="0"/>
        <extend val="0"/>
      </font>
      <fill>
        <patternFill patternType="solid">
          <fgColor indexed="60"/>
          <bgColor indexed="10"/>
        </patternFill>
      </fill>
    </dxf>
    <dxf>
      <font>
        <b/>
        <i val="0"/>
        <condense val="0"/>
        <extend val="0"/>
        <color indexed="0"/>
      </font>
      <fill>
        <patternFill patternType="solid">
          <fgColor indexed="51"/>
          <bgColor indexed="52"/>
        </patternFill>
      </fill>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8"/>
      </font>
      <fill>
        <patternFill patternType="solid">
          <fgColor indexed="13"/>
          <bgColor indexed="51"/>
        </patternFill>
      </fill>
      <border>
        <left style="thin">
          <color indexed="8"/>
        </left>
        <right style="thin">
          <color indexed="8"/>
        </right>
        <top style="thin">
          <color indexed="8"/>
        </top>
        <bottom style="thin">
          <color indexed="8"/>
        </bottom>
      </border>
    </dxf>
    <dxf>
      <fill>
        <patternFill>
          <bgColor indexed="42"/>
        </patternFill>
      </fill>
    </dxf>
    <dxf>
      <fill>
        <patternFill>
          <bgColor indexed="51"/>
        </patternFill>
      </fill>
    </dxf>
    <dxf>
      <fill>
        <patternFill>
          <bgColor indexed="10"/>
        </patternFill>
      </fill>
    </dxf>
    <dxf>
      <fill>
        <patternFill>
          <bgColor indexed="42"/>
        </patternFill>
      </fill>
    </dxf>
    <dxf>
      <fill>
        <patternFill>
          <bgColor indexed="51"/>
        </patternFill>
      </fill>
    </dxf>
    <dxf>
      <fill>
        <patternFill>
          <bgColor indexed="10"/>
        </patternFill>
      </fill>
    </dxf>
    <dxf>
      <fill>
        <patternFill patternType="solid">
          <fgColor indexed="27"/>
          <bgColor indexed="42"/>
        </patternFill>
      </fill>
    </dxf>
    <dxf>
      <font>
        <b/>
        <i val="0"/>
        <condense val="0"/>
        <extend val="0"/>
      </font>
      <fill>
        <patternFill patternType="solid">
          <fgColor indexed="60"/>
          <bgColor indexed="10"/>
        </patternFill>
      </fill>
    </dxf>
    <dxf>
      <font>
        <b/>
        <i val="0"/>
        <condense val="0"/>
        <extend val="0"/>
        <color indexed="0"/>
      </font>
      <fill>
        <patternFill patternType="solid">
          <fgColor indexed="13"/>
          <bgColor indexed="51"/>
        </patternFill>
      </fill>
    </dxf>
    <dxf>
      <font>
        <b/>
        <i val="0"/>
        <condense val="0"/>
        <extend val="0"/>
      </font>
      <fill>
        <patternFill patternType="solid">
          <fgColor indexed="60"/>
          <bgColor indexed="10"/>
        </patternFill>
      </fill>
    </dxf>
    <dxf>
      <font>
        <b/>
        <i val="0"/>
        <condense val="0"/>
        <extend val="0"/>
        <color indexed="0"/>
      </font>
      <fill>
        <patternFill patternType="solid">
          <fgColor indexed="51"/>
          <bgColor indexed="5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60"/>
          <bgColor indexed="10"/>
        </patternFill>
      </fill>
      <border>
        <left style="thin">
          <color indexed="8"/>
        </left>
        <right style="thin">
          <color indexed="8"/>
        </right>
        <top style="thin">
          <color indexed="8"/>
        </top>
        <bottom style="thin">
          <color indexed="8"/>
        </bottom>
      </border>
    </dxf>
    <dxf>
      <font>
        <b/>
        <i val="0"/>
        <condense val="0"/>
        <extend val="0"/>
        <color indexed="0"/>
      </font>
      <fill>
        <patternFill patternType="solid">
          <fgColor indexed="13"/>
          <bgColor indexed="51"/>
        </patternFill>
      </fill>
      <border>
        <left style="thin">
          <color indexed="8"/>
        </left>
        <right style="thin">
          <color indexed="8"/>
        </right>
        <top style="thin">
          <color indexed="8"/>
        </top>
        <bottom style="thin">
          <color indexed="8"/>
        </bottom>
      </border>
    </dxf>
    <dxf>
      <fill>
        <patternFill>
          <bgColor indexed="42"/>
        </patternFill>
      </fill>
      <border>
        <left style="thin">
          <color indexed="64"/>
        </left>
        <right style="thin">
          <color indexed="64"/>
        </right>
        <top style="thin">
          <color indexed="64"/>
        </top>
        <bottom style="thin">
          <color indexed="64"/>
        </bottom>
      </border>
    </dxf>
    <dxf>
      <font>
        <b/>
        <i val="0"/>
        <condense val="0"/>
        <extend val="0"/>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51"/>
        </patternFill>
      </fill>
      <border>
        <left style="thin">
          <color indexed="64"/>
        </left>
        <right style="thin">
          <color indexed="64"/>
        </right>
        <top style="thin">
          <color indexed="64"/>
        </top>
        <bottom style="thin">
          <color indexed="64"/>
        </bottom>
      </border>
    </dxf>
    <dxf>
      <font>
        <b/>
        <i val="0"/>
        <condense val="0"/>
        <extend val="0"/>
        <color auto="1"/>
      </font>
      <fill>
        <patternFill>
          <bgColor indexed="52"/>
        </patternFill>
      </fill>
    </dxf>
    <dxf>
      <fill>
        <patternFill patternType="solid">
          <fgColor indexed="27"/>
          <bgColor indexed="42"/>
        </patternFill>
      </fill>
    </dxf>
    <dxf>
      <fill>
        <patternFill patternType="solid">
          <fgColor indexed="13"/>
          <bgColor indexed="51"/>
        </patternFill>
      </fill>
    </dxf>
    <dxf>
      <fill>
        <patternFill patternType="solid">
          <fgColor indexed="60"/>
          <bgColor indexed="10"/>
        </patternFill>
      </fill>
    </dxf>
    <dxf>
      <fill>
        <patternFill patternType="solid">
          <fgColor indexed="27"/>
          <bgColor indexed="42"/>
        </patternFill>
      </fill>
    </dxf>
    <dxf>
      <fill>
        <patternFill patternType="solid">
          <fgColor indexed="13"/>
          <bgColor indexed="51"/>
        </patternFill>
      </fill>
    </dxf>
    <dxf>
      <fill>
        <patternFill patternType="solid">
          <fgColor indexed="60"/>
          <bgColor indexed="10"/>
        </patternFill>
      </fill>
    </dxf>
    <dxf>
      <fill>
        <patternFill>
          <bgColor indexed="42"/>
        </patternFill>
      </fill>
    </dxf>
    <dxf>
      <fill>
        <patternFill>
          <bgColor indexed="51"/>
        </patternFill>
      </fill>
    </dxf>
    <dxf>
      <fill>
        <patternFill>
          <bgColor indexed="10"/>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ont>
        <b/>
        <i val="0"/>
        <condense val="0"/>
        <extend val="0"/>
      </font>
      <fill>
        <patternFill patternType="solid">
          <fgColor indexed="16"/>
          <bgColor indexed="10"/>
        </patternFill>
      </fill>
      <border>
        <left style="thin">
          <color indexed="8"/>
        </left>
        <right style="thin">
          <color indexed="8"/>
        </right>
        <top style="thin">
          <color indexed="8"/>
        </top>
        <bottom style="thin">
          <color indexed="8"/>
        </bottom>
      </border>
    </dxf>
    <dxf>
      <font>
        <b/>
        <i val="0"/>
        <condense val="0"/>
        <extend val="0"/>
        <color indexed="8"/>
      </font>
      <fill>
        <patternFill patternType="solid">
          <fgColor indexed="13"/>
          <bgColor indexed="51"/>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13"/>
          <bgColor indexed="51"/>
        </patternFill>
      </fill>
    </dxf>
    <dxf>
      <fill>
        <patternFill patternType="solid">
          <fgColor indexed="60"/>
          <bgColor indexed="10"/>
        </patternFill>
      </fill>
    </dxf>
    <dxf>
      <fill>
        <patternFill>
          <bgColor indexed="42"/>
        </patternFill>
      </fill>
    </dxf>
    <dxf>
      <fill>
        <patternFill>
          <bgColor indexed="51"/>
        </patternFill>
      </fill>
    </dxf>
    <dxf>
      <fill>
        <patternFill>
          <bgColor indexed="10"/>
        </patternFill>
      </fill>
    </dxf>
    <dxf>
      <fill>
        <patternFill>
          <bgColor indexed="42"/>
        </patternFill>
      </fill>
      <border>
        <left style="thin">
          <color indexed="64"/>
        </left>
        <right style="thin">
          <color indexed="64"/>
        </right>
        <top style="thin">
          <color indexed="64"/>
        </top>
        <bottom style="thin">
          <color indexed="64"/>
        </bottom>
      </border>
    </dxf>
    <dxf>
      <font>
        <b/>
        <i val="0"/>
        <condense val="0"/>
        <extend val="0"/>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51"/>
        </patternFill>
      </fill>
      <border>
        <left style="thin">
          <color indexed="64"/>
        </left>
        <right style="thin">
          <color indexed="64"/>
        </right>
        <top style="thin">
          <color indexed="64"/>
        </top>
        <bottom style="thin">
          <color indexed="64"/>
        </bottom>
      </border>
    </dxf>
    <dxf>
      <font>
        <b/>
        <i val="0"/>
        <condense val="0"/>
        <extend val="0"/>
        <color auto="1"/>
      </font>
      <fill>
        <patternFill>
          <bgColor indexed="5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FF0000"/>
      <color rgb="FFFFCC00"/>
      <color rgb="FFFF9900"/>
      <color rgb="FFCCFFFF"/>
      <color rgb="FFCCFFCC"/>
      <color rgb="FFCC99FF"/>
      <color rgb="FF33CCCC"/>
      <color rgb="FFFFFF99"/>
      <color rgb="FF66CCFF"/>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Param!B8"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http://www.clusif.fr/" TargetMode="External"/><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5</xdr:col>
      <xdr:colOff>63500</xdr:colOff>
      <xdr:row>20</xdr:row>
      <xdr:rowOff>152400</xdr:rowOff>
    </xdr:from>
    <xdr:to>
      <xdr:col>5</xdr:col>
      <xdr:colOff>228600</xdr:colOff>
      <xdr:row>22</xdr:row>
      <xdr:rowOff>0</xdr:rowOff>
    </xdr:to>
    <xdr:sp macro="" textlink="">
      <xdr:nvSpPr>
        <xdr:cNvPr id="15361" name="Mask_ref" hidden="1">
          <a:extLst>
            <a:ext uri="{63B3BB69-23CF-44E3-9099-C40C66FF867C}">
              <a14:compatExt xmlns:a14="http://schemas.microsoft.com/office/drawing/2010/main" spid="_x0000_s15361"/>
            </a:ext>
          </a:extLst>
        </xdr:cNvPr>
        <xdr:cNvSpPr/>
      </xdr:nvSpPr>
      <xdr:spPr>
        <a:xfrm>
          <a:off x="0" y="0"/>
          <a:ext cx="0" cy="0"/>
        </a:xfrm>
        <a:prstGeom prst="rect">
          <a:avLst/>
        </a:prstGeom>
      </xdr:spPr>
    </xdr:sp>
    <xdr:clientData/>
  </xdr:twoCellAnchor>
  <xdr:twoCellAnchor editAs="oneCell">
    <xdr:from>
      <xdr:col>5</xdr:col>
      <xdr:colOff>63500</xdr:colOff>
      <xdr:row>15</xdr:row>
      <xdr:rowOff>101600</xdr:rowOff>
    </xdr:from>
    <xdr:to>
      <xdr:col>5</xdr:col>
      <xdr:colOff>215900</xdr:colOff>
      <xdr:row>16</xdr:row>
      <xdr:rowOff>101600</xdr:rowOff>
    </xdr:to>
    <xdr:sp macro="" textlink="">
      <xdr:nvSpPr>
        <xdr:cNvPr id="15362" name="Mask_services" hidden="1">
          <a:extLst>
            <a:ext uri="{63B3BB69-23CF-44E3-9099-C40C66FF867C}">
              <a14:compatExt xmlns:a14="http://schemas.microsoft.com/office/drawing/2010/main" spid="_x0000_s15362"/>
            </a:ext>
          </a:extLst>
        </xdr:cNvPr>
        <xdr:cNvSpPr/>
      </xdr:nvSpPr>
      <xdr:spPr>
        <a:xfrm>
          <a:off x="0" y="0"/>
          <a:ext cx="0" cy="0"/>
        </a:xfrm>
        <a:prstGeom prst="rect">
          <a:avLst/>
        </a:prstGeom>
      </xdr:spPr>
    </xdr:sp>
    <xdr:clientData/>
  </xdr:twoCellAnchor>
  <xdr:twoCellAnchor editAs="oneCell">
    <xdr:from>
      <xdr:col>5</xdr:col>
      <xdr:colOff>76200</xdr:colOff>
      <xdr:row>12</xdr:row>
      <xdr:rowOff>0</xdr:rowOff>
    </xdr:from>
    <xdr:to>
      <xdr:col>5</xdr:col>
      <xdr:colOff>241300</xdr:colOff>
      <xdr:row>13</xdr:row>
      <xdr:rowOff>0</xdr:rowOff>
    </xdr:to>
    <xdr:sp macro="" textlink="">
      <xdr:nvSpPr>
        <xdr:cNvPr id="15363" name="Mask_T1T2" hidden="1">
          <a:extLst>
            <a:ext uri="{63B3BB69-23CF-44E3-9099-C40C66FF867C}">
              <a14:compatExt xmlns:a14="http://schemas.microsoft.com/office/drawing/2010/main" spid="_x0000_s15363"/>
            </a:ext>
          </a:extLst>
        </xdr:cNvPr>
        <xdr:cNvSpPr/>
      </xdr:nvSpPr>
      <xdr:spPr>
        <a:xfrm>
          <a:off x="0" y="0"/>
          <a:ext cx="0" cy="0"/>
        </a:xfrm>
        <a:prstGeom prst="rect">
          <a:avLst/>
        </a:prstGeom>
      </xdr:spPr>
    </xdr:sp>
    <xdr:clientData/>
  </xdr:twoCellAnchor>
  <xdr:twoCellAnchor editAs="oneCell">
    <xdr:from>
      <xdr:col>5</xdr:col>
      <xdr:colOff>38100</xdr:colOff>
      <xdr:row>30</xdr:row>
      <xdr:rowOff>0</xdr:rowOff>
    </xdr:from>
    <xdr:to>
      <xdr:col>5</xdr:col>
      <xdr:colOff>203200</xdr:colOff>
      <xdr:row>31</xdr:row>
      <xdr:rowOff>0</xdr:rowOff>
    </xdr:to>
    <xdr:sp macro="" textlink="">
      <xdr:nvSpPr>
        <xdr:cNvPr id="15364" name="Mask_par" hidden="1">
          <a:extLst>
            <a:ext uri="{63B3BB69-23CF-44E3-9099-C40C66FF867C}">
              <a14:compatExt xmlns:a14="http://schemas.microsoft.com/office/drawing/2010/main" spid="_x0000_s15364"/>
            </a:ext>
          </a:extLst>
        </xdr:cNvPr>
        <xdr:cNvSpPr/>
      </xdr:nvSpPr>
      <xdr:spPr>
        <a:xfrm>
          <a:off x="0" y="0"/>
          <a:ext cx="0" cy="0"/>
        </a:xfrm>
        <a:prstGeom prst="rect">
          <a:avLst/>
        </a:prstGeom>
      </xdr:spPr>
    </xdr:sp>
    <xdr:clientData/>
  </xdr:twoCellAnchor>
  <xdr:twoCellAnchor editAs="oneCell">
    <xdr:from>
      <xdr:col>5</xdr:col>
      <xdr:colOff>63500</xdr:colOff>
      <xdr:row>25</xdr:row>
      <xdr:rowOff>88900</xdr:rowOff>
    </xdr:from>
    <xdr:to>
      <xdr:col>5</xdr:col>
      <xdr:colOff>215900</xdr:colOff>
      <xdr:row>26</xdr:row>
      <xdr:rowOff>88900</xdr:rowOff>
    </xdr:to>
    <xdr:sp macro="" textlink="">
      <xdr:nvSpPr>
        <xdr:cNvPr id="15367" name="Mask_Plans" hidden="1">
          <a:extLst>
            <a:ext uri="{63B3BB69-23CF-44E3-9099-C40C66FF867C}">
              <a14:compatExt xmlns:a14="http://schemas.microsoft.com/office/drawing/2010/main" spid="_x0000_s15367"/>
            </a:ext>
          </a:extLst>
        </xdr:cNvPr>
        <xdr:cNvSpPr/>
      </xdr:nvSpPr>
      <xdr:spPr>
        <a:xfrm>
          <a:off x="0" y="0"/>
          <a:ext cx="0" cy="0"/>
        </a:xfrm>
        <a:prstGeom prst="rect">
          <a:avLst/>
        </a:prstGeom>
      </xdr:spPr>
    </xdr:sp>
    <xdr:clientData/>
  </xdr:twoCellAnchor>
  <xdr:twoCellAnchor editAs="oneCell">
    <xdr:from>
      <xdr:col>3</xdr:col>
      <xdr:colOff>551448</xdr:colOff>
      <xdr:row>1</xdr:row>
      <xdr:rowOff>16711</xdr:rowOff>
    </xdr:from>
    <xdr:to>
      <xdr:col>4</xdr:col>
      <xdr:colOff>408239</xdr:colOff>
      <xdr:row>5</xdr:row>
      <xdr:rowOff>1615</xdr:rowOff>
    </xdr:to>
    <xdr:pic>
      <xdr:nvPicPr>
        <xdr:cNvPr id="8" name="Picture 1" descr="Club de la sécurité de l'information du Québec"/>
        <xdr:cNvPicPr>
          <a:picLocks noChangeAspect="1" noChangeArrowheads="1"/>
        </xdr:cNvPicPr>
      </xdr:nvPicPr>
      <xdr:blipFill>
        <a:blip xmlns:r="http://schemas.openxmlformats.org/officeDocument/2006/relationships" r:embed="rId1" cstate="print"/>
        <a:srcRect/>
        <a:stretch>
          <a:fillRect/>
        </a:stretch>
      </xdr:blipFill>
      <xdr:spPr bwMode="auto">
        <a:xfrm>
          <a:off x="7043487" y="175461"/>
          <a:ext cx="1485900" cy="89897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5</xdr:col>
          <xdr:colOff>47625</xdr:colOff>
          <xdr:row>12</xdr:row>
          <xdr:rowOff>9525</xdr:rowOff>
        </xdr:from>
        <xdr:to>
          <xdr:col>5</xdr:col>
          <xdr:colOff>200025</xdr:colOff>
          <xdr:row>12</xdr:row>
          <xdr:rowOff>152400</xdr:rowOff>
        </xdr:to>
        <xdr:sp macro="" textlink="">
          <xdr:nvSpPr>
            <xdr:cNvPr id="15368" name="Mask_T1T2" hidden="1">
              <a:extLst>
                <a:ext uri="{63B3BB69-23CF-44E3-9099-C40C66FF867C}">
                  <a14:compatExt spid="_x0000_s15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95250</xdr:rowOff>
        </xdr:from>
        <xdr:to>
          <xdr:col>5</xdr:col>
          <xdr:colOff>171450</xdr:colOff>
          <xdr:row>17</xdr:row>
          <xdr:rowOff>66675</xdr:rowOff>
        </xdr:to>
        <xdr:sp macro="" textlink="">
          <xdr:nvSpPr>
            <xdr:cNvPr id="15370" name="Mask_services" hidden="1">
              <a:extLst>
                <a:ext uri="{63B3BB69-23CF-44E3-9099-C40C66FF867C}">
                  <a14:compatExt spid="_x0000_s15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21</xdr:row>
          <xdr:rowOff>0</xdr:rowOff>
        </xdr:from>
        <xdr:to>
          <xdr:col>5</xdr:col>
          <xdr:colOff>171450</xdr:colOff>
          <xdr:row>21</xdr:row>
          <xdr:rowOff>133350</xdr:rowOff>
        </xdr:to>
        <xdr:sp macro="" textlink="">
          <xdr:nvSpPr>
            <xdr:cNvPr id="15372" name="Mask_ref" hidden="1">
              <a:extLst>
                <a:ext uri="{63B3BB69-23CF-44E3-9099-C40C66FF867C}">
                  <a14:compatExt spid="_x0000_s15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25</xdr:row>
          <xdr:rowOff>95250</xdr:rowOff>
        </xdr:from>
        <xdr:to>
          <xdr:col>5</xdr:col>
          <xdr:colOff>171450</xdr:colOff>
          <xdr:row>26</xdr:row>
          <xdr:rowOff>66675</xdr:rowOff>
        </xdr:to>
        <xdr:sp macro="" textlink="">
          <xdr:nvSpPr>
            <xdr:cNvPr id="15373" name="Mask_Plans" hidden="1">
              <a:extLst>
                <a:ext uri="{63B3BB69-23CF-44E3-9099-C40C66FF867C}">
                  <a14:compatExt spid="_x0000_s15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29</xdr:row>
          <xdr:rowOff>104775</xdr:rowOff>
        </xdr:from>
        <xdr:to>
          <xdr:col>5</xdr:col>
          <xdr:colOff>180975</xdr:colOff>
          <xdr:row>30</xdr:row>
          <xdr:rowOff>76200</xdr:rowOff>
        </xdr:to>
        <xdr:sp macro="" textlink="">
          <xdr:nvSpPr>
            <xdr:cNvPr id="15374" name="Mask_par" hidden="1">
              <a:extLst>
                <a:ext uri="{63B3BB69-23CF-44E3-9099-C40C66FF867C}">
                  <a14:compatExt spid="_x0000_s15374"/>
                </a:ext>
              </a:extLst>
            </xdr:cNvPr>
            <xdr:cNvSpPr/>
          </xdr:nvSpPr>
          <xdr:spPr>
            <a:xfrm>
              <a:off x="0" y="0"/>
              <a:ext cx="0" cy="0"/>
            </a:xfrm>
            <a:prstGeom prst="rect">
              <a:avLst/>
            </a:prstGeom>
          </xdr:spPr>
        </xdr:sp>
        <xdr:clientData/>
      </xdr:twoCellAnchor>
    </mc:Choice>
    <mc:Fallback/>
  </mc:AlternateContent>
  <xdr:twoCellAnchor editAs="oneCell">
    <xdr:from>
      <xdr:col>0</xdr:col>
      <xdr:colOff>57150</xdr:colOff>
      <xdr:row>0</xdr:row>
      <xdr:rowOff>0</xdr:rowOff>
    </xdr:from>
    <xdr:to>
      <xdr:col>1</xdr:col>
      <xdr:colOff>1893377</xdr:colOff>
      <xdr:row>5</xdr:row>
      <xdr:rowOff>57149</xdr:rowOff>
    </xdr:to>
    <xdr:pic>
      <xdr:nvPicPr>
        <xdr:cNvPr id="2" name="Image 1">
          <a:hlinkClick xmlns:r="http://schemas.openxmlformats.org/officeDocument/2006/relationships" r:id="rId2"/>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7150" y="0"/>
          <a:ext cx="2160077" cy="11334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142875</xdr:colOff>
      <xdr:row>5</xdr:row>
      <xdr:rowOff>0</xdr:rowOff>
    </xdr:from>
    <xdr:to>
      <xdr:col>4</xdr:col>
      <xdr:colOff>142875</xdr:colOff>
      <xdr:row>6</xdr:row>
      <xdr:rowOff>161925</xdr:rowOff>
    </xdr:to>
    <xdr:cxnSp macro="">
      <xdr:nvCxnSpPr>
        <xdr:cNvPr id="62874" name="AutoShape 1"/>
        <xdr:cNvCxnSpPr>
          <a:cxnSpLocks noChangeShapeType="1"/>
        </xdr:cNvCxnSpPr>
      </xdr:nvCxnSpPr>
      <xdr:spPr bwMode="auto">
        <a:xfrm>
          <a:off x="2486025" y="1181100"/>
          <a:ext cx="0" cy="333375"/>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142875</xdr:colOff>
      <xdr:row>5</xdr:row>
      <xdr:rowOff>0</xdr:rowOff>
    </xdr:from>
    <xdr:to>
      <xdr:col>6</xdr:col>
      <xdr:colOff>142875</xdr:colOff>
      <xdr:row>7</xdr:row>
      <xdr:rowOff>0</xdr:rowOff>
    </xdr:to>
    <xdr:cxnSp macro="">
      <xdr:nvCxnSpPr>
        <xdr:cNvPr id="62875" name="AutoShape 2"/>
        <xdr:cNvCxnSpPr>
          <a:cxnSpLocks noChangeShapeType="1"/>
        </xdr:cNvCxnSpPr>
      </xdr:nvCxnSpPr>
      <xdr:spPr bwMode="auto">
        <a:xfrm>
          <a:off x="2886075" y="1181100"/>
          <a:ext cx="0" cy="333375"/>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142875</xdr:colOff>
      <xdr:row>5</xdr:row>
      <xdr:rowOff>0</xdr:rowOff>
    </xdr:from>
    <xdr:to>
      <xdr:col>8</xdr:col>
      <xdr:colOff>142875</xdr:colOff>
      <xdr:row>7</xdr:row>
      <xdr:rowOff>0</xdr:rowOff>
    </xdr:to>
    <xdr:cxnSp macro="">
      <xdr:nvCxnSpPr>
        <xdr:cNvPr id="62876" name="AutoShape 3"/>
        <xdr:cNvCxnSpPr>
          <a:cxnSpLocks noChangeShapeType="1"/>
        </xdr:cNvCxnSpPr>
      </xdr:nvCxnSpPr>
      <xdr:spPr bwMode="auto">
        <a:xfrm>
          <a:off x="3286125" y="1181100"/>
          <a:ext cx="0" cy="333375"/>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485775</xdr:colOff>
      <xdr:row>3</xdr:row>
      <xdr:rowOff>261938</xdr:rowOff>
    </xdr:from>
    <xdr:to>
      <xdr:col>12</xdr:col>
      <xdr:colOff>492125</xdr:colOff>
      <xdr:row>10</xdr:row>
      <xdr:rowOff>9525</xdr:rowOff>
    </xdr:to>
    <xdr:cxnSp macro="">
      <xdr:nvCxnSpPr>
        <xdr:cNvPr id="62877" name="AutoShape 4"/>
        <xdr:cNvCxnSpPr>
          <a:cxnSpLocks noChangeShapeType="1"/>
        </xdr:cNvCxnSpPr>
      </xdr:nvCxnSpPr>
      <xdr:spPr bwMode="auto">
        <a:xfrm flipH="1">
          <a:off x="4637088" y="944563"/>
          <a:ext cx="6350" cy="1319212"/>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142875</xdr:colOff>
      <xdr:row>8</xdr:row>
      <xdr:rowOff>0</xdr:rowOff>
    </xdr:from>
    <xdr:to>
      <xdr:col>6</xdr:col>
      <xdr:colOff>142875</xdr:colOff>
      <xdr:row>9</xdr:row>
      <xdr:rowOff>161925</xdr:rowOff>
    </xdr:to>
    <xdr:cxnSp macro="">
      <xdr:nvCxnSpPr>
        <xdr:cNvPr id="62878" name="AutoShape 5"/>
        <xdr:cNvCxnSpPr>
          <a:cxnSpLocks noChangeShapeType="1"/>
        </xdr:cNvCxnSpPr>
      </xdr:nvCxnSpPr>
      <xdr:spPr bwMode="auto">
        <a:xfrm>
          <a:off x="2886075" y="1800225"/>
          <a:ext cx="0" cy="323850"/>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10</xdr:col>
      <xdr:colOff>142875</xdr:colOff>
      <xdr:row>10</xdr:row>
      <xdr:rowOff>276225</xdr:rowOff>
    </xdr:from>
    <xdr:to>
      <xdr:col>10</xdr:col>
      <xdr:colOff>142875</xdr:colOff>
      <xdr:row>12</xdr:row>
      <xdr:rowOff>269875</xdr:rowOff>
    </xdr:to>
    <xdr:cxnSp macro="">
      <xdr:nvCxnSpPr>
        <xdr:cNvPr id="62879" name="AutoShape 6"/>
        <xdr:cNvCxnSpPr>
          <a:cxnSpLocks noChangeShapeType="1"/>
        </xdr:cNvCxnSpPr>
      </xdr:nvCxnSpPr>
      <xdr:spPr bwMode="auto">
        <a:xfrm>
          <a:off x="3667125" y="2530475"/>
          <a:ext cx="0" cy="549275"/>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xdr:col>
      <xdr:colOff>123825</xdr:colOff>
      <xdr:row>2</xdr:row>
      <xdr:rowOff>63500</xdr:rowOff>
    </xdr:from>
    <xdr:to>
      <xdr:col>2</xdr:col>
      <xdr:colOff>0</xdr:colOff>
      <xdr:row>14</xdr:row>
      <xdr:rowOff>0</xdr:rowOff>
    </xdr:to>
    <xdr:sp macro="" textlink="">
      <xdr:nvSpPr>
        <xdr:cNvPr id="62880" name="AutoShape 7"/>
        <xdr:cNvSpPr>
          <a:spLocks/>
        </xdr:cNvSpPr>
      </xdr:nvSpPr>
      <xdr:spPr bwMode="auto">
        <a:xfrm>
          <a:off x="885825" y="492125"/>
          <a:ext cx="320675" cy="2889250"/>
        </a:xfrm>
        <a:prstGeom prst="leftBrace">
          <a:avLst>
            <a:gd name="adj1" fmla="val 55637"/>
            <a:gd name="adj2" fmla="val 50000"/>
          </a:avLst>
        </a:prstGeom>
        <a:noFill/>
        <a:ln w="381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123825</xdr:colOff>
      <xdr:row>16</xdr:row>
      <xdr:rowOff>28575</xdr:rowOff>
    </xdr:from>
    <xdr:to>
      <xdr:col>2</xdr:col>
      <xdr:colOff>0</xdr:colOff>
      <xdr:row>24</xdr:row>
      <xdr:rowOff>0</xdr:rowOff>
    </xdr:to>
    <xdr:sp macro="" textlink="">
      <xdr:nvSpPr>
        <xdr:cNvPr id="62881" name="AutoShape 8"/>
        <xdr:cNvSpPr>
          <a:spLocks/>
        </xdr:cNvSpPr>
      </xdr:nvSpPr>
      <xdr:spPr bwMode="auto">
        <a:xfrm>
          <a:off x="885825" y="3400425"/>
          <a:ext cx="323850" cy="1752600"/>
        </a:xfrm>
        <a:prstGeom prst="leftBrace">
          <a:avLst>
            <a:gd name="adj1" fmla="val 45098"/>
            <a:gd name="adj2" fmla="val 50000"/>
          </a:avLst>
        </a:prstGeom>
        <a:noFill/>
        <a:ln w="381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142875</xdr:colOff>
      <xdr:row>14</xdr:row>
      <xdr:rowOff>0</xdr:rowOff>
    </xdr:from>
    <xdr:to>
      <xdr:col>10</xdr:col>
      <xdr:colOff>142875</xdr:colOff>
      <xdr:row>15</xdr:row>
      <xdr:rowOff>161925</xdr:rowOff>
    </xdr:to>
    <xdr:cxnSp macro="">
      <xdr:nvCxnSpPr>
        <xdr:cNvPr id="62882" name="AutoShape 9"/>
        <xdr:cNvCxnSpPr>
          <a:cxnSpLocks noChangeShapeType="1"/>
        </xdr:cNvCxnSpPr>
      </xdr:nvCxnSpPr>
      <xdr:spPr bwMode="auto">
        <a:xfrm>
          <a:off x="3686175" y="3038475"/>
          <a:ext cx="0" cy="323850"/>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57150</xdr:colOff>
      <xdr:row>17</xdr:row>
      <xdr:rowOff>0</xdr:rowOff>
    </xdr:from>
    <xdr:to>
      <xdr:col>6</xdr:col>
      <xdr:colOff>57150</xdr:colOff>
      <xdr:row>19</xdr:row>
      <xdr:rowOff>161925</xdr:rowOff>
    </xdr:to>
    <xdr:cxnSp macro="">
      <xdr:nvCxnSpPr>
        <xdr:cNvPr id="62883" name="AutoShape 10"/>
        <xdr:cNvCxnSpPr>
          <a:cxnSpLocks noChangeShapeType="1"/>
        </xdr:cNvCxnSpPr>
      </xdr:nvCxnSpPr>
      <xdr:spPr bwMode="auto">
        <a:xfrm>
          <a:off x="2800350" y="3657600"/>
          <a:ext cx="0" cy="619125"/>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47625</xdr:colOff>
      <xdr:row>21</xdr:row>
      <xdr:rowOff>9525</xdr:rowOff>
    </xdr:from>
    <xdr:to>
      <xdr:col>6</xdr:col>
      <xdr:colOff>47625</xdr:colOff>
      <xdr:row>23</xdr:row>
      <xdr:rowOff>0</xdr:rowOff>
    </xdr:to>
    <xdr:cxnSp macro="">
      <xdr:nvCxnSpPr>
        <xdr:cNvPr id="62884" name="AutoShape 11"/>
        <xdr:cNvCxnSpPr>
          <a:cxnSpLocks noChangeShapeType="1"/>
        </xdr:cNvCxnSpPr>
      </xdr:nvCxnSpPr>
      <xdr:spPr bwMode="auto">
        <a:xfrm>
          <a:off x="2790825" y="4543425"/>
          <a:ext cx="0" cy="323850"/>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523875</xdr:colOff>
      <xdr:row>21</xdr:row>
      <xdr:rowOff>9525</xdr:rowOff>
    </xdr:from>
    <xdr:to>
      <xdr:col>12</xdr:col>
      <xdr:colOff>523875</xdr:colOff>
      <xdr:row>23</xdr:row>
      <xdr:rowOff>0</xdr:rowOff>
    </xdr:to>
    <xdr:cxnSp macro="">
      <xdr:nvCxnSpPr>
        <xdr:cNvPr id="62885" name="AutoShape 12"/>
        <xdr:cNvCxnSpPr>
          <a:cxnSpLocks noChangeShapeType="1"/>
        </xdr:cNvCxnSpPr>
      </xdr:nvCxnSpPr>
      <xdr:spPr bwMode="auto">
        <a:xfrm>
          <a:off x="4695825" y="4543425"/>
          <a:ext cx="0" cy="323850"/>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12</xdr:col>
      <xdr:colOff>495300</xdr:colOff>
      <xdr:row>16</xdr:row>
      <xdr:rowOff>276225</xdr:rowOff>
    </xdr:from>
    <xdr:to>
      <xdr:col>12</xdr:col>
      <xdr:colOff>495300</xdr:colOff>
      <xdr:row>20</xdr:row>
      <xdr:rowOff>28575</xdr:rowOff>
    </xdr:to>
    <xdr:cxnSp macro="">
      <xdr:nvCxnSpPr>
        <xdr:cNvPr id="62886" name="AutoShape 13"/>
        <xdr:cNvCxnSpPr>
          <a:cxnSpLocks noChangeShapeType="1"/>
        </xdr:cNvCxnSpPr>
      </xdr:nvCxnSpPr>
      <xdr:spPr bwMode="auto">
        <a:xfrm>
          <a:off x="4667250" y="3648075"/>
          <a:ext cx="0" cy="666750"/>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2</xdr:col>
      <xdr:colOff>476250</xdr:colOff>
      <xdr:row>14</xdr:row>
      <xdr:rowOff>0</xdr:rowOff>
    </xdr:from>
    <xdr:to>
      <xdr:col>8</xdr:col>
      <xdr:colOff>0</xdr:colOff>
      <xdr:row>15</xdr:row>
      <xdr:rowOff>161925</xdr:rowOff>
    </xdr:to>
    <xdr:sp macro="" textlink="">
      <xdr:nvSpPr>
        <xdr:cNvPr id="62887" name="Freeform 14"/>
        <xdr:cNvSpPr>
          <a:spLocks/>
        </xdr:cNvSpPr>
      </xdr:nvSpPr>
      <xdr:spPr bwMode="auto">
        <a:xfrm>
          <a:off x="1685925" y="3038475"/>
          <a:ext cx="1457325" cy="323850"/>
        </a:xfrm>
        <a:custGeom>
          <a:avLst/>
          <a:gdLst>
            <a:gd name="T0" fmla="*/ 2147483647 w 153"/>
            <a:gd name="T1" fmla="*/ 0 h 31"/>
            <a:gd name="T2" fmla="*/ 2147483647 w 153"/>
            <a:gd name="T3" fmla="*/ 2147483647 h 31"/>
            <a:gd name="T4" fmla="*/ 0 w 153"/>
            <a:gd name="T5" fmla="*/ 2147483647 h 31"/>
            <a:gd name="T6" fmla="*/ 0 w 153"/>
            <a:gd name="T7" fmla="*/ 2147483647 h 31"/>
            <a:gd name="T8" fmla="*/ 0 60000 65536"/>
            <a:gd name="T9" fmla="*/ 0 60000 65536"/>
            <a:gd name="T10" fmla="*/ 0 60000 65536"/>
            <a:gd name="T11" fmla="*/ 0 60000 65536"/>
            <a:gd name="T12" fmla="*/ 0 w 153"/>
            <a:gd name="T13" fmla="*/ 0 h 31"/>
            <a:gd name="T14" fmla="*/ 153 w 153"/>
            <a:gd name="T15" fmla="*/ 31 h 31"/>
          </a:gdLst>
          <a:ahLst/>
          <a:cxnLst>
            <a:cxn ang="T8">
              <a:pos x="T0" y="T1"/>
            </a:cxn>
            <a:cxn ang="T9">
              <a:pos x="T2" y="T3"/>
            </a:cxn>
            <a:cxn ang="T10">
              <a:pos x="T4" y="T5"/>
            </a:cxn>
            <a:cxn ang="T11">
              <a:pos x="T6" y="T7"/>
            </a:cxn>
          </a:cxnLst>
          <a:rect l="T12" t="T13" r="T14" b="T15"/>
          <a:pathLst>
            <a:path w="153" h="31">
              <a:moveTo>
                <a:pt x="153" y="0"/>
              </a:moveTo>
              <a:lnTo>
                <a:pt x="153" y="18"/>
              </a:lnTo>
              <a:lnTo>
                <a:pt x="0" y="18"/>
              </a:lnTo>
              <a:lnTo>
                <a:pt x="0" y="31"/>
              </a:lnTo>
            </a:path>
          </a:pathLst>
        </a:custGeom>
        <a:noFill/>
        <a:ln w="38100">
          <a:solidFill>
            <a:srgbClr val="000000"/>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466725</xdr:colOff>
      <xdr:row>17</xdr:row>
      <xdr:rowOff>38100</xdr:rowOff>
    </xdr:from>
    <xdr:to>
      <xdr:col>2</xdr:col>
      <xdr:colOff>466725</xdr:colOff>
      <xdr:row>17</xdr:row>
      <xdr:rowOff>142875</xdr:rowOff>
    </xdr:to>
    <xdr:sp macro="" textlink="">
      <xdr:nvSpPr>
        <xdr:cNvPr id="62888" name="Line 15"/>
        <xdr:cNvSpPr>
          <a:spLocks noChangeShapeType="1"/>
        </xdr:cNvSpPr>
      </xdr:nvSpPr>
      <xdr:spPr bwMode="auto">
        <a:xfrm>
          <a:off x="1676400" y="3695700"/>
          <a:ext cx="0" cy="104775"/>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476250</xdr:colOff>
      <xdr:row>19</xdr:row>
      <xdr:rowOff>38100</xdr:rowOff>
    </xdr:from>
    <xdr:to>
      <xdr:col>2</xdr:col>
      <xdr:colOff>476250</xdr:colOff>
      <xdr:row>19</xdr:row>
      <xdr:rowOff>142875</xdr:rowOff>
    </xdr:to>
    <xdr:sp macro="" textlink="">
      <xdr:nvSpPr>
        <xdr:cNvPr id="62889" name="Line 16"/>
        <xdr:cNvSpPr>
          <a:spLocks noChangeShapeType="1"/>
        </xdr:cNvSpPr>
      </xdr:nvSpPr>
      <xdr:spPr bwMode="auto">
        <a:xfrm>
          <a:off x="1685925" y="4152900"/>
          <a:ext cx="0" cy="104775"/>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0</xdr:colOff>
      <xdr:row>16</xdr:row>
      <xdr:rowOff>152400</xdr:rowOff>
    </xdr:from>
    <xdr:to>
      <xdr:col>14</xdr:col>
      <xdr:colOff>476250</xdr:colOff>
      <xdr:row>17</xdr:row>
      <xdr:rowOff>161925</xdr:rowOff>
    </xdr:to>
    <xdr:sp macro="" textlink="">
      <xdr:nvSpPr>
        <xdr:cNvPr id="62890" name="Freeform 17"/>
        <xdr:cNvSpPr>
          <a:spLocks/>
        </xdr:cNvSpPr>
      </xdr:nvSpPr>
      <xdr:spPr bwMode="auto">
        <a:xfrm>
          <a:off x="5114925" y="3524250"/>
          <a:ext cx="590550" cy="295275"/>
        </a:xfrm>
        <a:custGeom>
          <a:avLst/>
          <a:gdLst>
            <a:gd name="T0" fmla="*/ 0 w 62"/>
            <a:gd name="T1" fmla="*/ 0 h 30"/>
            <a:gd name="T2" fmla="*/ 2147483647 w 62"/>
            <a:gd name="T3" fmla="*/ 0 h 30"/>
            <a:gd name="T4" fmla="*/ 2147483647 w 62"/>
            <a:gd name="T5" fmla="*/ 2147483647 h 30"/>
            <a:gd name="T6" fmla="*/ 0 60000 65536"/>
            <a:gd name="T7" fmla="*/ 0 60000 65536"/>
            <a:gd name="T8" fmla="*/ 0 60000 65536"/>
            <a:gd name="T9" fmla="*/ 0 w 62"/>
            <a:gd name="T10" fmla="*/ 0 h 30"/>
            <a:gd name="T11" fmla="*/ 62 w 62"/>
            <a:gd name="T12" fmla="*/ 30 h 30"/>
          </a:gdLst>
          <a:ahLst/>
          <a:cxnLst>
            <a:cxn ang="T6">
              <a:pos x="T0" y="T1"/>
            </a:cxn>
            <a:cxn ang="T7">
              <a:pos x="T2" y="T3"/>
            </a:cxn>
            <a:cxn ang="T8">
              <a:pos x="T4" y="T5"/>
            </a:cxn>
          </a:cxnLst>
          <a:rect l="T9" t="T10" r="T11" b="T12"/>
          <a:pathLst>
            <a:path w="62" h="30">
              <a:moveTo>
                <a:pt x="0" y="0"/>
              </a:moveTo>
              <a:lnTo>
                <a:pt x="62" y="0"/>
              </a:lnTo>
              <a:lnTo>
                <a:pt x="62" y="30"/>
              </a:lnTo>
            </a:path>
          </a:pathLst>
        </a:custGeom>
        <a:noFill/>
        <a:ln w="38100">
          <a:solidFill>
            <a:srgbClr val="FF0000"/>
          </a:solidFill>
          <a:prstDash val="sysDot"/>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476250</xdr:colOff>
      <xdr:row>16</xdr:row>
      <xdr:rowOff>152400</xdr:rowOff>
    </xdr:from>
    <xdr:to>
      <xdr:col>16</xdr:col>
      <xdr:colOff>447675</xdr:colOff>
      <xdr:row>17</xdr:row>
      <xdr:rowOff>161925</xdr:rowOff>
    </xdr:to>
    <xdr:sp macro="" textlink="">
      <xdr:nvSpPr>
        <xdr:cNvPr id="62891" name="Freeform 18"/>
        <xdr:cNvSpPr>
          <a:spLocks/>
        </xdr:cNvSpPr>
      </xdr:nvSpPr>
      <xdr:spPr bwMode="auto">
        <a:xfrm>
          <a:off x="5705475" y="3524250"/>
          <a:ext cx="1095375" cy="295275"/>
        </a:xfrm>
        <a:custGeom>
          <a:avLst/>
          <a:gdLst>
            <a:gd name="T0" fmla="*/ 0 w 62"/>
            <a:gd name="T1" fmla="*/ 0 h 30"/>
            <a:gd name="T2" fmla="*/ 2147483647 w 62"/>
            <a:gd name="T3" fmla="*/ 0 h 30"/>
            <a:gd name="T4" fmla="*/ 2147483647 w 62"/>
            <a:gd name="T5" fmla="*/ 2147483647 h 30"/>
            <a:gd name="T6" fmla="*/ 0 60000 65536"/>
            <a:gd name="T7" fmla="*/ 0 60000 65536"/>
            <a:gd name="T8" fmla="*/ 0 60000 65536"/>
            <a:gd name="T9" fmla="*/ 0 w 62"/>
            <a:gd name="T10" fmla="*/ 0 h 30"/>
            <a:gd name="T11" fmla="*/ 62 w 62"/>
            <a:gd name="T12" fmla="*/ 30 h 30"/>
          </a:gdLst>
          <a:ahLst/>
          <a:cxnLst>
            <a:cxn ang="T6">
              <a:pos x="T0" y="T1"/>
            </a:cxn>
            <a:cxn ang="T7">
              <a:pos x="T2" y="T3"/>
            </a:cxn>
            <a:cxn ang="T8">
              <a:pos x="T4" y="T5"/>
            </a:cxn>
          </a:cxnLst>
          <a:rect l="T9" t="T10" r="T11" b="T12"/>
          <a:pathLst>
            <a:path w="62" h="30">
              <a:moveTo>
                <a:pt x="0" y="0"/>
              </a:moveTo>
              <a:lnTo>
                <a:pt x="62" y="0"/>
              </a:lnTo>
              <a:lnTo>
                <a:pt x="62" y="30"/>
              </a:lnTo>
            </a:path>
          </a:pathLst>
        </a:custGeom>
        <a:noFill/>
        <a:ln w="38100">
          <a:solidFill>
            <a:srgbClr val="FF0000"/>
          </a:solidFill>
          <a:prstDash val="sysDot"/>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16</xdr:col>
      <xdr:colOff>476250</xdr:colOff>
      <xdr:row>16</xdr:row>
      <xdr:rowOff>152400</xdr:rowOff>
    </xdr:from>
    <xdr:to>
      <xdr:col>18</xdr:col>
      <xdr:colOff>514350</xdr:colOff>
      <xdr:row>17</xdr:row>
      <xdr:rowOff>161925</xdr:rowOff>
    </xdr:to>
    <xdr:sp macro="" textlink="">
      <xdr:nvSpPr>
        <xdr:cNvPr id="62892" name="Freeform 19"/>
        <xdr:cNvSpPr>
          <a:spLocks/>
        </xdr:cNvSpPr>
      </xdr:nvSpPr>
      <xdr:spPr bwMode="auto">
        <a:xfrm>
          <a:off x="6829425" y="3524250"/>
          <a:ext cx="1190625" cy="295275"/>
        </a:xfrm>
        <a:custGeom>
          <a:avLst/>
          <a:gdLst>
            <a:gd name="T0" fmla="*/ 0 w 62"/>
            <a:gd name="T1" fmla="*/ 0 h 30"/>
            <a:gd name="T2" fmla="*/ 2147483647 w 62"/>
            <a:gd name="T3" fmla="*/ 0 h 30"/>
            <a:gd name="T4" fmla="*/ 2147483647 w 62"/>
            <a:gd name="T5" fmla="*/ 2147483647 h 30"/>
            <a:gd name="T6" fmla="*/ 0 60000 65536"/>
            <a:gd name="T7" fmla="*/ 0 60000 65536"/>
            <a:gd name="T8" fmla="*/ 0 60000 65536"/>
            <a:gd name="T9" fmla="*/ 0 w 62"/>
            <a:gd name="T10" fmla="*/ 0 h 30"/>
            <a:gd name="T11" fmla="*/ 62 w 62"/>
            <a:gd name="T12" fmla="*/ 30 h 30"/>
          </a:gdLst>
          <a:ahLst/>
          <a:cxnLst>
            <a:cxn ang="T6">
              <a:pos x="T0" y="T1"/>
            </a:cxn>
            <a:cxn ang="T7">
              <a:pos x="T2" y="T3"/>
            </a:cxn>
            <a:cxn ang="T8">
              <a:pos x="T4" y="T5"/>
            </a:cxn>
          </a:cxnLst>
          <a:rect l="T9" t="T10" r="T11" b="T12"/>
          <a:pathLst>
            <a:path w="62" h="30">
              <a:moveTo>
                <a:pt x="0" y="0"/>
              </a:moveTo>
              <a:lnTo>
                <a:pt x="62" y="0"/>
              </a:lnTo>
              <a:lnTo>
                <a:pt x="62" y="30"/>
              </a:lnTo>
            </a:path>
          </a:pathLst>
        </a:custGeom>
        <a:noFill/>
        <a:ln w="38100">
          <a:solidFill>
            <a:srgbClr val="FF0000"/>
          </a:solidFill>
          <a:prstDash val="sysDot"/>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933450</xdr:colOff>
      <xdr:row>5</xdr:row>
      <xdr:rowOff>1</xdr:rowOff>
    </xdr:from>
    <xdr:to>
      <xdr:col>16</xdr:col>
      <xdr:colOff>142875</xdr:colOff>
      <xdr:row>13</xdr:row>
      <xdr:rowOff>152401</xdr:rowOff>
    </xdr:to>
    <xdr:sp macro="" textlink="">
      <xdr:nvSpPr>
        <xdr:cNvPr id="62893" name="Freeform 20"/>
        <xdr:cNvSpPr>
          <a:spLocks/>
        </xdr:cNvSpPr>
      </xdr:nvSpPr>
      <xdr:spPr bwMode="auto">
        <a:xfrm>
          <a:off x="5084763" y="1285876"/>
          <a:ext cx="1392237" cy="1962150"/>
        </a:xfrm>
        <a:custGeom>
          <a:avLst/>
          <a:gdLst>
            <a:gd name="T0" fmla="*/ 2147483647 w 146"/>
            <a:gd name="T1" fmla="*/ 0 h 163"/>
            <a:gd name="T2" fmla="*/ 2147483647 w 146"/>
            <a:gd name="T3" fmla="*/ 2147483647 h 163"/>
            <a:gd name="T4" fmla="*/ 0 w 146"/>
            <a:gd name="T5" fmla="*/ 2147483647 h 163"/>
            <a:gd name="T6" fmla="*/ 0 60000 65536"/>
            <a:gd name="T7" fmla="*/ 0 60000 65536"/>
            <a:gd name="T8" fmla="*/ 0 60000 65536"/>
            <a:gd name="T9" fmla="*/ 0 w 146"/>
            <a:gd name="T10" fmla="*/ 0 h 163"/>
            <a:gd name="T11" fmla="*/ 146 w 146"/>
            <a:gd name="T12" fmla="*/ 163 h 163"/>
          </a:gdLst>
          <a:ahLst/>
          <a:cxnLst>
            <a:cxn ang="T6">
              <a:pos x="T0" y="T1"/>
            </a:cxn>
            <a:cxn ang="T7">
              <a:pos x="T2" y="T3"/>
            </a:cxn>
            <a:cxn ang="T8">
              <a:pos x="T4" y="T5"/>
            </a:cxn>
          </a:cxnLst>
          <a:rect l="T9" t="T10" r="T11" b="T12"/>
          <a:pathLst>
            <a:path w="146" h="163">
              <a:moveTo>
                <a:pt x="146" y="0"/>
              </a:moveTo>
              <a:lnTo>
                <a:pt x="146" y="163"/>
              </a:lnTo>
              <a:lnTo>
                <a:pt x="0" y="162"/>
              </a:lnTo>
            </a:path>
          </a:pathLst>
        </a:custGeom>
        <a:noFill/>
        <a:ln w="38100">
          <a:solidFill>
            <a:srgbClr val="000000"/>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13</xdr:col>
      <xdr:colOff>0</xdr:colOff>
      <xdr:row>19</xdr:row>
      <xdr:rowOff>66675</xdr:rowOff>
    </xdr:from>
    <xdr:to>
      <xdr:col>16</xdr:col>
      <xdr:colOff>581025</xdr:colOff>
      <xdr:row>23</xdr:row>
      <xdr:rowOff>152400</xdr:rowOff>
    </xdr:to>
    <xdr:sp macro="" textlink="">
      <xdr:nvSpPr>
        <xdr:cNvPr id="62894" name="Freeform 22"/>
        <xdr:cNvSpPr>
          <a:spLocks/>
        </xdr:cNvSpPr>
      </xdr:nvSpPr>
      <xdr:spPr bwMode="auto">
        <a:xfrm>
          <a:off x="5114925" y="4181475"/>
          <a:ext cx="1819275" cy="838200"/>
        </a:xfrm>
        <a:custGeom>
          <a:avLst/>
          <a:gdLst>
            <a:gd name="T0" fmla="*/ 0 w 210"/>
            <a:gd name="T1" fmla="*/ 2147483647 h 88"/>
            <a:gd name="T2" fmla="*/ 2147483647 w 210"/>
            <a:gd name="T3" fmla="*/ 2147483647 h 88"/>
            <a:gd name="T4" fmla="*/ 2147483647 w 210"/>
            <a:gd name="T5" fmla="*/ 0 h 88"/>
            <a:gd name="T6" fmla="*/ 0 60000 65536"/>
            <a:gd name="T7" fmla="*/ 0 60000 65536"/>
            <a:gd name="T8" fmla="*/ 0 60000 65536"/>
            <a:gd name="T9" fmla="*/ 0 w 210"/>
            <a:gd name="T10" fmla="*/ 0 h 88"/>
            <a:gd name="T11" fmla="*/ 210 w 210"/>
            <a:gd name="T12" fmla="*/ 88 h 88"/>
          </a:gdLst>
          <a:ahLst/>
          <a:cxnLst>
            <a:cxn ang="T6">
              <a:pos x="T0" y="T1"/>
            </a:cxn>
            <a:cxn ang="T7">
              <a:pos x="T2" y="T3"/>
            </a:cxn>
            <a:cxn ang="T8">
              <a:pos x="T4" y="T5"/>
            </a:cxn>
          </a:cxnLst>
          <a:rect l="T9" t="T10" r="T11" b="T12"/>
          <a:pathLst>
            <a:path w="210" h="88">
              <a:moveTo>
                <a:pt x="0" y="88"/>
              </a:moveTo>
              <a:lnTo>
                <a:pt x="210" y="88"/>
              </a:lnTo>
              <a:lnTo>
                <a:pt x="210" y="0"/>
              </a:lnTo>
            </a:path>
          </a:pathLst>
        </a:custGeom>
        <a:noFill/>
        <a:ln w="38100">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16</xdr:col>
      <xdr:colOff>581025</xdr:colOff>
      <xdr:row>5</xdr:row>
      <xdr:rowOff>15874</xdr:rowOff>
    </xdr:from>
    <xdr:to>
      <xdr:col>16</xdr:col>
      <xdr:colOff>587375</xdr:colOff>
      <xdr:row>17</xdr:row>
      <xdr:rowOff>114299</xdr:rowOff>
    </xdr:to>
    <xdr:sp macro="" textlink="">
      <xdr:nvSpPr>
        <xdr:cNvPr id="62895" name="Line 24"/>
        <xdr:cNvSpPr>
          <a:spLocks noChangeShapeType="1"/>
        </xdr:cNvSpPr>
      </xdr:nvSpPr>
      <xdr:spPr bwMode="auto">
        <a:xfrm flipV="1">
          <a:off x="6915150" y="1301749"/>
          <a:ext cx="6350" cy="2987675"/>
        </a:xfrm>
        <a:prstGeom prst="line">
          <a:avLst/>
        </a:prstGeom>
        <a:noFill/>
        <a:ln w="38100">
          <a:solidFill>
            <a:srgbClr val="000000"/>
          </a:solidFill>
          <a:prstDash val="dash"/>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16</xdr:col>
      <xdr:colOff>942975</xdr:colOff>
      <xdr:row>5</xdr:row>
      <xdr:rowOff>1</xdr:rowOff>
    </xdr:from>
    <xdr:to>
      <xdr:col>17</xdr:col>
      <xdr:colOff>133350</xdr:colOff>
      <xdr:row>7</xdr:row>
      <xdr:rowOff>161926</xdr:rowOff>
    </xdr:to>
    <xdr:sp macro="" textlink="">
      <xdr:nvSpPr>
        <xdr:cNvPr id="62896" name="Freeform 25"/>
        <xdr:cNvSpPr>
          <a:spLocks/>
        </xdr:cNvSpPr>
      </xdr:nvSpPr>
      <xdr:spPr bwMode="auto">
        <a:xfrm>
          <a:off x="7277100" y="1285876"/>
          <a:ext cx="198438" cy="495300"/>
        </a:xfrm>
        <a:custGeom>
          <a:avLst/>
          <a:gdLst>
            <a:gd name="T0" fmla="*/ 0 w 21"/>
            <a:gd name="T1" fmla="*/ 0 h 35"/>
            <a:gd name="T2" fmla="*/ 0 w 21"/>
            <a:gd name="T3" fmla="*/ 2147483647 h 35"/>
            <a:gd name="T4" fmla="*/ 2147483647 w 21"/>
            <a:gd name="T5" fmla="*/ 2147483647 h 35"/>
            <a:gd name="T6" fmla="*/ 0 60000 65536"/>
            <a:gd name="T7" fmla="*/ 0 60000 65536"/>
            <a:gd name="T8" fmla="*/ 0 60000 65536"/>
            <a:gd name="T9" fmla="*/ 0 w 21"/>
            <a:gd name="T10" fmla="*/ 0 h 35"/>
            <a:gd name="T11" fmla="*/ 21 w 21"/>
            <a:gd name="T12" fmla="*/ 35 h 35"/>
          </a:gdLst>
          <a:ahLst/>
          <a:cxnLst>
            <a:cxn ang="T6">
              <a:pos x="T0" y="T1"/>
            </a:cxn>
            <a:cxn ang="T7">
              <a:pos x="T2" y="T3"/>
            </a:cxn>
            <a:cxn ang="T8">
              <a:pos x="T4" y="T5"/>
            </a:cxn>
          </a:cxnLst>
          <a:rect l="T9" t="T10" r="T11" b="T12"/>
          <a:pathLst>
            <a:path w="21" h="35">
              <a:moveTo>
                <a:pt x="0" y="0"/>
              </a:moveTo>
              <a:lnTo>
                <a:pt x="0" y="35"/>
              </a:lnTo>
              <a:lnTo>
                <a:pt x="21" y="35"/>
              </a:lnTo>
            </a:path>
          </a:pathLst>
        </a:custGeom>
        <a:noFill/>
        <a:ln w="28575">
          <a:solidFill>
            <a:srgbClr val="000000"/>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16</xdr:col>
      <xdr:colOff>942974</xdr:colOff>
      <xdr:row>10</xdr:row>
      <xdr:rowOff>26987</xdr:rowOff>
    </xdr:from>
    <xdr:to>
      <xdr:col>17</xdr:col>
      <xdr:colOff>133349</xdr:colOff>
      <xdr:row>12</xdr:row>
      <xdr:rowOff>131762</xdr:rowOff>
    </xdr:to>
    <xdr:sp macro="" textlink="">
      <xdr:nvSpPr>
        <xdr:cNvPr id="62897" name="Freeform 26"/>
        <xdr:cNvSpPr>
          <a:spLocks/>
        </xdr:cNvSpPr>
      </xdr:nvSpPr>
      <xdr:spPr bwMode="auto">
        <a:xfrm>
          <a:off x="7277099" y="2281237"/>
          <a:ext cx="198438" cy="596900"/>
        </a:xfrm>
        <a:custGeom>
          <a:avLst/>
          <a:gdLst>
            <a:gd name="T0" fmla="*/ 0 w 21"/>
            <a:gd name="T1" fmla="*/ 0 h 35"/>
            <a:gd name="T2" fmla="*/ 0 w 21"/>
            <a:gd name="T3" fmla="*/ 2147483647 h 35"/>
            <a:gd name="T4" fmla="*/ 2147483647 w 21"/>
            <a:gd name="T5" fmla="*/ 2147483647 h 35"/>
            <a:gd name="T6" fmla="*/ 0 60000 65536"/>
            <a:gd name="T7" fmla="*/ 0 60000 65536"/>
            <a:gd name="T8" fmla="*/ 0 60000 65536"/>
            <a:gd name="T9" fmla="*/ 0 w 21"/>
            <a:gd name="T10" fmla="*/ 0 h 35"/>
            <a:gd name="T11" fmla="*/ 21 w 21"/>
            <a:gd name="T12" fmla="*/ 35 h 35"/>
          </a:gdLst>
          <a:ahLst/>
          <a:cxnLst>
            <a:cxn ang="T6">
              <a:pos x="T0" y="T1"/>
            </a:cxn>
            <a:cxn ang="T7">
              <a:pos x="T2" y="T3"/>
            </a:cxn>
            <a:cxn ang="T8">
              <a:pos x="T4" y="T5"/>
            </a:cxn>
          </a:cxnLst>
          <a:rect l="T9" t="T10" r="T11" b="T12"/>
          <a:pathLst>
            <a:path w="21" h="35">
              <a:moveTo>
                <a:pt x="0" y="0"/>
              </a:moveTo>
              <a:lnTo>
                <a:pt x="0" y="35"/>
              </a:lnTo>
              <a:lnTo>
                <a:pt x="21" y="35"/>
              </a:lnTo>
            </a:path>
          </a:pathLst>
        </a:custGeom>
        <a:noFill/>
        <a:ln w="28575">
          <a:solidFill>
            <a:srgbClr val="000000"/>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752475</xdr:colOff>
      <xdr:row>21</xdr:row>
      <xdr:rowOff>9525</xdr:rowOff>
    </xdr:from>
    <xdr:to>
      <xdr:col>4</xdr:col>
      <xdr:colOff>0</xdr:colOff>
      <xdr:row>23</xdr:row>
      <xdr:rowOff>152400</xdr:rowOff>
    </xdr:to>
    <xdr:sp macro="" textlink="">
      <xdr:nvSpPr>
        <xdr:cNvPr id="62898" name="Freeform 27"/>
        <xdr:cNvSpPr>
          <a:spLocks/>
        </xdr:cNvSpPr>
      </xdr:nvSpPr>
      <xdr:spPr bwMode="auto">
        <a:xfrm>
          <a:off x="1962150" y="5124450"/>
          <a:ext cx="381000" cy="504825"/>
        </a:xfrm>
        <a:custGeom>
          <a:avLst/>
          <a:gdLst>
            <a:gd name="T0" fmla="*/ 2147483647 w 40"/>
            <a:gd name="T1" fmla="*/ 2147483647 h 50"/>
            <a:gd name="T2" fmla="*/ 0 w 40"/>
            <a:gd name="T3" fmla="*/ 2147483647 h 50"/>
            <a:gd name="T4" fmla="*/ 0 w 40"/>
            <a:gd name="T5" fmla="*/ 0 h 50"/>
            <a:gd name="T6" fmla="*/ 0 60000 65536"/>
            <a:gd name="T7" fmla="*/ 0 60000 65536"/>
            <a:gd name="T8" fmla="*/ 0 60000 65536"/>
            <a:gd name="T9" fmla="*/ 0 w 40"/>
            <a:gd name="T10" fmla="*/ 0 h 50"/>
            <a:gd name="T11" fmla="*/ 40 w 40"/>
            <a:gd name="T12" fmla="*/ 50 h 50"/>
          </a:gdLst>
          <a:ahLst/>
          <a:cxnLst>
            <a:cxn ang="T6">
              <a:pos x="T0" y="T1"/>
            </a:cxn>
            <a:cxn ang="T7">
              <a:pos x="T2" y="T3"/>
            </a:cxn>
            <a:cxn ang="T8">
              <a:pos x="T4" y="T5"/>
            </a:cxn>
          </a:cxnLst>
          <a:rect l="T9" t="T10" r="T11" b="T12"/>
          <a:pathLst>
            <a:path w="40" h="50">
              <a:moveTo>
                <a:pt x="40" y="50"/>
              </a:moveTo>
              <a:lnTo>
                <a:pt x="0" y="50"/>
              </a:lnTo>
              <a:lnTo>
                <a:pt x="0" y="0"/>
              </a:lnTo>
            </a:path>
          </a:pathLst>
        </a:custGeom>
        <a:noFill/>
        <a:ln w="38100">
          <a:solidFill>
            <a:srgbClr val="FF0000"/>
          </a:solidFill>
          <a:prstDash val="dash"/>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752475</xdr:colOff>
      <xdr:row>19</xdr:row>
      <xdr:rowOff>28575</xdr:rowOff>
    </xdr:from>
    <xdr:to>
      <xdr:col>2</xdr:col>
      <xdr:colOff>752475</xdr:colOff>
      <xdr:row>19</xdr:row>
      <xdr:rowOff>133350</xdr:rowOff>
    </xdr:to>
    <xdr:sp macro="" textlink="">
      <xdr:nvSpPr>
        <xdr:cNvPr id="62899" name="Line 28"/>
        <xdr:cNvSpPr>
          <a:spLocks noChangeShapeType="1"/>
        </xdr:cNvSpPr>
      </xdr:nvSpPr>
      <xdr:spPr bwMode="auto">
        <a:xfrm flipV="1">
          <a:off x="1962150" y="4143375"/>
          <a:ext cx="0" cy="104775"/>
        </a:xfrm>
        <a:prstGeom prst="line">
          <a:avLst/>
        </a:prstGeom>
        <a:noFill/>
        <a:ln w="381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752475</xdr:colOff>
      <xdr:row>17</xdr:row>
      <xdr:rowOff>28575</xdr:rowOff>
    </xdr:from>
    <xdr:to>
      <xdr:col>2</xdr:col>
      <xdr:colOff>752475</xdr:colOff>
      <xdr:row>17</xdr:row>
      <xdr:rowOff>133350</xdr:rowOff>
    </xdr:to>
    <xdr:sp macro="" textlink="">
      <xdr:nvSpPr>
        <xdr:cNvPr id="62900" name="Line 29"/>
        <xdr:cNvSpPr>
          <a:spLocks noChangeShapeType="1"/>
        </xdr:cNvSpPr>
      </xdr:nvSpPr>
      <xdr:spPr bwMode="auto">
        <a:xfrm flipV="1">
          <a:off x="1962150" y="3686175"/>
          <a:ext cx="0" cy="104775"/>
        </a:xfrm>
        <a:prstGeom prst="line">
          <a:avLst/>
        </a:prstGeom>
        <a:noFill/>
        <a:ln w="381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133350</xdr:colOff>
      <xdr:row>3</xdr:row>
      <xdr:rowOff>2674</xdr:rowOff>
    </xdr:from>
    <xdr:to>
      <xdr:col>4</xdr:col>
      <xdr:colOff>133351</xdr:colOff>
      <xdr:row>4</xdr:row>
      <xdr:rowOff>12199</xdr:rowOff>
    </xdr:to>
    <xdr:cxnSp macro="">
      <xdr:nvCxnSpPr>
        <xdr:cNvPr id="32" name="AutoShape 3"/>
        <xdr:cNvCxnSpPr>
          <a:cxnSpLocks noChangeShapeType="1"/>
        </xdr:cNvCxnSpPr>
      </xdr:nvCxnSpPr>
      <xdr:spPr bwMode="auto">
        <a:xfrm>
          <a:off x="2474495" y="684463"/>
          <a:ext cx="1" cy="275223"/>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140369</xdr:colOff>
      <xdr:row>3</xdr:row>
      <xdr:rowOff>4680</xdr:rowOff>
    </xdr:from>
    <xdr:to>
      <xdr:col>6</xdr:col>
      <xdr:colOff>140370</xdr:colOff>
      <xdr:row>4</xdr:row>
      <xdr:rowOff>14205</xdr:rowOff>
    </xdr:to>
    <xdr:cxnSp macro="">
      <xdr:nvCxnSpPr>
        <xdr:cNvPr id="37" name="AutoShape 3"/>
        <xdr:cNvCxnSpPr>
          <a:cxnSpLocks noChangeShapeType="1"/>
        </xdr:cNvCxnSpPr>
      </xdr:nvCxnSpPr>
      <xdr:spPr bwMode="auto">
        <a:xfrm>
          <a:off x="2882566" y="686469"/>
          <a:ext cx="1" cy="275223"/>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8</xdr:col>
      <xdr:colOff>152400</xdr:colOff>
      <xdr:row>3</xdr:row>
      <xdr:rowOff>1672</xdr:rowOff>
    </xdr:from>
    <xdr:to>
      <xdr:col>8</xdr:col>
      <xdr:colOff>152401</xdr:colOff>
      <xdr:row>4</xdr:row>
      <xdr:rowOff>11197</xdr:rowOff>
    </xdr:to>
    <xdr:cxnSp macro="">
      <xdr:nvCxnSpPr>
        <xdr:cNvPr id="38" name="AutoShape 3"/>
        <xdr:cNvCxnSpPr>
          <a:cxnSpLocks noChangeShapeType="1"/>
        </xdr:cNvCxnSpPr>
      </xdr:nvCxnSpPr>
      <xdr:spPr bwMode="auto">
        <a:xfrm>
          <a:off x="3295650" y="683461"/>
          <a:ext cx="1" cy="275223"/>
        </a:xfrm>
        <a:prstGeom prst="straightConnector1">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16</xdr:col>
      <xdr:colOff>946149</xdr:colOff>
      <xdr:row>7</xdr:row>
      <xdr:rowOff>57149</xdr:rowOff>
    </xdr:from>
    <xdr:to>
      <xdr:col>17</xdr:col>
      <xdr:colOff>136524</xdr:colOff>
      <xdr:row>10</xdr:row>
      <xdr:rowOff>142874</xdr:rowOff>
    </xdr:to>
    <xdr:sp macro="" textlink="">
      <xdr:nvSpPr>
        <xdr:cNvPr id="33" name="Freeform 26"/>
        <xdr:cNvSpPr>
          <a:spLocks/>
        </xdr:cNvSpPr>
      </xdr:nvSpPr>
      <xdr:spPr bwMode="auto">
        <a:xfrm>
          <a:off x="7280274" y="1676399"/>
          <a:ext cx="198438" cy="720725"/>
        </a:xfrm>
        <a:custGeom>
          <a:avLst/>
          <a:gdLst>
            <a:gd name="T0" fmla="*/ 0 w 21"/>
            <a:gd name="T1" fmla="*/ 0 h 35"/>
            <a:gd name="T2" fmla="*/ 0 w 21"/>
            <a:gd name="T3" fmla="*/ 2147483647 h 35"/>
            <a:gd name="T4" fmla="*/ 2147483647 w 21"/>
            <a:gd name="T5" fmla="*/ 2147483647 h 35"/>
            <a:gd name="T6" fmla="*/ 0 60000 65536"/>
            <a:gd name="T7" fmla="*/ 0 60000 65536"/>
            <a:gd name="T8" fmla="*/ 0 60000 65536"/>
            <a:gd name="T9" fmla="*/ 0 w 21"/>
            <a:gd name="T10" fmla="*/ 0 h 35"/>
            <a:gd name="T11" fmla="*/ 21 w 21"/>
            <a:gd name="T12" fmla="*/ 35 h 35"/>
          </a:gdLst>
          <a:ahLst/>
          <a:cxnLst>
            <a:cxn ang="T6">
              <a:pos x="T0" y="T1"/>
            </a:cxn>
            <a:cxn ang="T7">
              <a:pos x="T2" y="T3"/>
            </a:cxn>
            <a:cxn ang="T8">
              <a:pos x="T4" y="T5"/>
            </a:cxn>
          </a:cxnLst>
          <a:rect l="T9" t="T10" r="T11" b="T12"/>
          <a:pathLst>
            <a:path w="21" h="35">
              <a:moveTo>
                <a:pt x="0" y="0"/>
              </a:moveTo>
              <a:lnTo>
                <a:pt x="0" y="35"/>
              </a:lnTo>
              <a:lnTo>
                <a:pt x="21" y="35"/>
              </a:lnTo>
            </a:path>
          </a:pathLst>
        </a:custGeom>
        <a:noFill/>
        <a:ln w="28575">
          <a:solidFill>
            <a:srgbClr val="000000"/>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1323975</xdr:colOff>
          <xdr:row>0</xdr:row>
          <xdr:rowOff>0</xdr:rowOff>
        </xdr:from>
        <xdr:to>
          <xdr:col>2</xdr:col>
          <xdr:colOff>3419475</xdr:colOff>
          <xdr:row>0</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142875</xdr:colOff>
          <xdr:row>7</xdr:row>
          <xdr:rowOff>47625</xdr:rowOff>
        </xdr:from>
        <xdr:to>
          <xdr:col>18</xdr:col>
          <xdr:colOff>428625</xdr:colOff>
          <xdr:row>7</xdr:row>
          <xdr:rowOff>295275</xdr:rowOff>
        </xdr:to>
        <xdr:sp macro="" textlink="">
          <xdr:nvSpPr>
            <xdr:cNvPr id="188429" name="Option Button 13" hidden="1">
              <a:extLst>
                <a:ext uri="{63B3BB69-23CF-44E3-9099-C40C66FF867C}">
                  <a14:compatExt spid="_x0000_s188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142875</xdr:colOff>
          <xdr:row>10</xdr:row>
          <xdr:rowOff>47625</xdr:rowOff>
        </xdr:from>
        <xdr:to>
          <xdr:col>18</xdr:col>
          <xdr:colOff>409575</xdr:colOff>
          <xdr:row>11</xdr:row>
          <xdr:rowOff>76200</xdr:rowOff>
        </xdr:to>
        <xdr:sp macro="" textlink="">
          <xdr:nvSpPr>
            <xdr:cNvPr id="188430" name="Option Button 14" hidden="1">
              <a:extLst>
                <a:ext uri="{63B3BB69-23CF-44E3-9099-C40C66FF867C}">
                  <a14:compatExt spid="_x0000_s188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13</xdr:row>
          <xdr:rowOff>66675</xdr:rowOff>
        </xdr:from>
        <xdr:to>
          <xdr:col>18</xdr:col>
          <xdr:colOff>409575</xdr:colOff>
          <xdr:row>14</xdr:row>
          <xdr:rowOff>76200</xdr:rowOff>
        </xdr:to>
        <xdr:sp macro="" textlink="">
          <xdr:nvSpPr>
            <xdr:cNvPr id="188431" name="Option Button 15" hidden="1">
              <a:extLst>
                <a:ext uri="{63B3BB69-23CF-44E3-9099-C40C66FF867C}">
                  <a14:compatExt spid="_x0000_s188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16</xdr:row>
          <xdr:rowOff>28575</xdr:rowOff>
        </xdr:from>
        <xdr:to>
          <xdr:col>18</xdr:col>
          <xdr:colOff>419100</xdr:colOff>
          <xdr:row>17</xdr:row>
          <xdr:rowOff>66675</xdr:rowOff>
        </xdr:to>
        <xdr:sp macro="" textlink="">
          <xdr:nvSpPr>
            <xdr:cNvPr id="188432" name="Option Button 16" hidden="1">
              <a:extLst>
                <a:ext uri="{63B3BB69-23CF-44E3-9099-C40C66FF867C}">
                  <a14:compatExt spid="_x0000_s188432"/>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1323975</xdr:colOff>
          <xdr:row>0</xdr:row>
          <xdr:rowOff>0</xdr:rowOff>
        </xdr:from>
        <xdr:to>
          <xdr:col>2</xdr:col>
          <xdr:colOff>3419475</xdr:colOff>
          <xdr:row>0</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1323975</xdr:colOff>
          <xdr:row>0</xdr:row>
          <xdr:rowOff>0</xdr:rowOff>
        </xdr:from>
        <xdr:to>
          <xdr:col>2</xdr:col>
          <xdr:colOff>3419475</xdr:colOff>
          <xdr:row>0</xdr:row>
          <xdr:rowOff>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Cotation des services de sécurité</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B-Mehari_Standard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Licence"/>
      <sheetName val="Présentation"/>
      <sheetName val="T1"/>
      <sheetName val="T2"/>
      <sheetName val="Classif"/>
      <sheetName val="1 Org"/>
      <sheetName val="2 Phy"/>
      <sheetName val="3 Sys"/>
      <sheetName val="4 Ope"/>
      <sheetName val="5 App"/>
      <sheetName val="6 Mic"/>
      <sheetName val="7 Dev"/>
      <sheetName val="8 Cex"/>
      <sheetName val="Services"/>
      <sheetName val="Corr_Services"/>
      <sheetName val="Score ISO"/>
      <sheetName val="Expo"/>
      <sheetName val="Scénarios"/>
      <sheetName val="Risk%actif"/>
      <sheetName val="Risk%event"/>
      <sheetName val="Plans_action"/>
      <sheetName val="Projets"/>
      <sheetName val="Sel_Projets"/>
      <sheetName val="Tbord"/>
      <sheetName val="Obj_Projets"/>
      <sheetName val="Incidents"/>
      <sheetName val="Gravité"/>
      <sheetName val="Grilles_IP"/>
      <sheetName val="Para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30">
          <cell r="H30">
            <v>1</v>
          </cell>
          <cell r="J30">
            <v>1</v>
          </cell>
        </row>
        <row r="31">
          <cell r="H31">
            <v>1</v>
          </cell>
          <cell r="J31">
            <v>1</v>
          </cell>
        </row>
        <row r="32">
          <cell r="H32">
            <v>1</v>
          </cell>
          <cell r="J32">
            <v>1</v>
          </cell>
        </row>
        <row r="41">
          <cell r="H41">
            <v>1</v>
          </cell>
          <cell r="J41">
            <v>1</v>
          </cell>
        </row>
        <row r="42">
          <cell r="H42">
            <v>1</v>
          </cell>
          <cell r="J42">
            <v>1</v>
          </cell>
        </row>
        <row r="43">
          <cell r="H43">
            <v>1</v>
          </cell>
          <cell r="J43">
            <v>1</v>
          </cell>
        </row>
        <row r="46">
          <cell r="H46">
            <v>1</v>
          </cell>
          <cell r="J46">
            <v>1</v>
          </cell>
        </row>
        <row r="47">
          <cell r="H47">
            <v>1</v>
          </cell>
          <cell r="J47">
            <v>1</v>
          </cell>
        </row>
        <row r="48">
          <cell r="H48">
            <v>1</v>
          </cell>
          <cell r="J48">
            <v>1</v>
          </cell>
        </row>
        <row r="53">
          <cell r="H53">
            <v>1</v>
          </cell>
          <cell r="J53">
            <v>1</v>
          </cell>
        </row>
        <row r="55">
          <cell r="H55">
            <v>1</v>
          </cell>
          <cell r="J55">
            <v>1</v>
          </cell>
        </row>
        <row r="58">
          <cell r="H58">
            <v>1</v>
          </cell>
          <cell r="J58">
            <v>1</v>
          </cell>
        </row>
        <row r="59">
          <cell r="H59">
            <v>1</v>
          </cell>
          <cell r="J59">
            <v>1</v>
          </cell>
        </row>
        <row r="60">
          <cell r="H60">
            <v>1</v>
          </cell>
          <cell r="J60">
            <v>1</v>
          </cell>
        </row>
        <row r="61">
          <cell r="H61">
            <v>1</v>
          </cell>
          <cell r="J61">
            <v>1</v>
          </cell>
        </row>
        <row r="63">
          <cell r="H63">
            <v>1</v>
          </cell>
          <cell r="J63">
            <v>1</v>
          </cell>
        </row>
        <row r="64">
          <cell r="H64">
            <v>1</v>
          </cell>
          <cell r="J64">
            <v>1</v>
          </cell>
        </row>
        <row r="66">
          <cell r="H66">
            <v>1</v>
          </cell>
          <cell r="J66">
            <v>1</v>
          </cell>
        </row>
        <row r="70">
          <cell r="H70">
            <v>1</v>
          </cell>
          <cell r="J70">
            <v>1</v>
          </cell>
        </row>
        <row r="72">
          <cell r="H72">
            <v>1</v>
          </cell>
          <cell r="J72">
            <v>1</v>
          </cell>
        </row>
        <row r="73">
          <cell r="J73">
            <v>1</v>
          </cell>
        </row>
        <row r="74">
          <cell r="H74">
            <v>1</v>
          </cell>
          <cell r="J74">
            <v>1</v>
          </cell>
        </row>
        <row r="75">
          <cell r="H75">
            <v>1</v>
          </cell>
          <cell r="J75">
            <v>1</v>
          </cell>
        </row>
        <row r="76">
          <cell r="H76">
            <v>1</v>
          </cell>
          <cell r="J76">
            <v>1</v>
          </cell>
        </row>
        <row r="77">
          <cell r="H77">
            <v>1</v>
          </cell>
          <cell r="J77">
            <v>1</v>
          </cell>
        </row>
        <row r="79">
          <cell r="H79">
            <v>1</v>
          </cell>
          <cell r="J79">
            <v>1</v>
          </cell>
        </row>
        <row r="81">
          <cell r="H81">
            <v>1</v>
          </cell>
          <cell r="J81">
            <v>1</v>
          </cell>
        </row>
        <row r="85">
          <cell r="H85">
            <v>1</v>
          </cell>
          <cell r="J85">
            <v>1</v>
          </cell>
        </row>
        <row r="86">
          <cell r="H86">
            <v>1</v>
          </cell>
          <cell r="J86">
            <v>1</v>
          </cell>
        </row>
        <row r="87">
          <cell r="H87">
            <v>1</v>
          </cell>
          <cell r="J87">
            <v>1</v>
          </cell>
        </row>
        <row r="88">
          <cell r="H88">
            <v>1</v>
          </cell>
          <cell r="J88">
            <v>1</v>
          </cell>
        </row>
        <row r="89">
          <cell r="H89">
            <v>1</v>
          </cell>
          <cell r="J89">
            <v>1</v>
          </cell>
        </row>
        <row r="92">
          <cell r="H92">
            <v>1</v>
          </cell>
          <cell r="J92">
            <v>1</v>
          </cell>
        </row>
        <row r="93">
          <cell r="H93">
            <v>1</v>
          </cell>
          <cell r="J93">
            <v>1</v>
          </cell>
        </row>
        <row r="94">
          <cell r="H94">
            <v>1</v>
          </cell>
          <cell r="J94">
            <v>1</v>
          </cell>
        </row>
        <row r="97">
          <cell r="H97">
            <v>1</v>
          </cell>
          <cell r="J97">
            <v>1</v>
          </cell>
        </row>
        <row r="99">
          <cell r="H99">
            <v>1</v>
          </cell>
          <cell r="J99">
            <v>1</v>
          </cell>
        </row>
        <row r="100">
          <cell r="H100">
            <v>1</v>
          </cell>
          <cell r="J100">
            <v>1</v>
          </cell>
        </row>
        <row r="102">
          <cell r="H102">
            <v>1</v>
          </cell>
          <cell r="J102">
            <v>1</v>
          </cell>
        </row>
        <row r="103">
          <cell r="H103">
            <v>1</v>
          </cell>
          <cell r="J103">
            <v>1</v>
          </cell>
        </row>
        <row r="104">
          <cell r="H104">
            <v>1</v>
          </cell>
          <cell r="J104">
            <v>1</v>
          </cell>
        </row>
        <row r="105">
          <cell r="H105">
            <v>1</v>
          </cell>
          <cell r="J105">
            <v>1</v>
          </cell>
        </row>
        <row r="106">
          <cell r="H106">
            <v>1</v>
          </cell>
          <cell r="J106">
            <v>1</v>
          </cell>
        </row>
        <row r="107">
          <cell r="H107">
            <v>1</v>
          </cell>
          <cell r="J107">
            <v>1</v>
          </cell>
        </row>
        <row r="109">
          <cell r="J109">
            <v>1</v>
          </cell>
        </row>
        <row r="112">
          <cell r="H112">
            <v>1</v>
          </cell>
          <cell r="J112">
            <v>1</v>
          </cell>
        </row>
        <row r="113">
          <cell r="H113">
            <v>1</v>
          </cell>
          <cell r="J113">
            <v>1</v>
          </cell>
        </row>
        <row r="114">
          <cell r="H114">
            <v>1</v>
          </cell>
          <cell r="J114">
            <v>1</v>
          </cell>
        </row>
        <row r="115">
          <cell r="H115">
            <v>1</v>
          </cell>
          <cell r="J115">
            <v>1</v>
          </cell>
        </row>
        <row r="118">
          <cell r="H118">
            <v>1</v>
          </cell>
          <cell r="J118">
            <v>1</v>
          </cell>
        </row>
        <row r="119">
          <cell r="H119">
            <v>1</v>
          </cell>
          <cell r="J119">
            <v>1</v>
          </cell>
        </row>
        <row r="120">
          <cell r="H120">
            <v>1</v>
          </cell>
          <cell r="J120">
            <v>1</v>
          </cell>
        </row>
        <row r="123">
          <cell r="H123">
            <v>1</v>
          </cell>
          <cell r="J123">
            <v>1</v>
          </cell>
        </row>
        <row r="124">
          <cell r="H124">
            <v>1</v>
          </cell>
          <cell r="J124">
            <v>1</v>
          </cell>
        </row>
        <row r="125">
          <cell r="H125">
            <v>1</v>
          </cell>
          <cell r="J125">
            <v>1</v>
          </cell>
        </row>
        <row r="126">
          <cell r="H126">
            <v>1</v>
          </cell>
          <cell r="J126">
            <v>1</v>
          </cell>
        </row>
        <row r="128">
          <cell r="H128">
            <v>1</v>
          </cell>
          <cell r="J128">
            <v>1</v>
          </cell>
        </row>
        <row r="129">
          <cell r="H129">
            <v>1</v>
          </cell>
          <cell r="J129">
            <v>1</v>
          </cell>
        </row>
        <row r="131">
          <cell r="H131">
            <v>1</v>
          </cell>
          <cell r="J131">
            <v>1</v>
          </cell>
        </row>
        <row r="132">
          <cell r="H132">
            <v>1</v>
          </cell>
          <cell r="J132">
            <v>1</v>
          </cell>
        </row>
        <row r="134">
          <cell r="H134">
            <v>1</v>
          </cell>
          <cell r="J134">
            <v>1</v>
          </cell>
        </row>
        <row r="135">
          <cell r="H135">
            <v>1</v>
          </cell>
          <cell r="J135">
            <v>1</v>
          </cell>
        </row>
        <row r="138">
          <cell r="H138">
            <v>1</v>
          </cell>
          <cell r="J138">
            <v>1</v>
          </cell>
        </row>
        <row r="139">
          <cell r="H139">
            <v>1</v>
          </cell>
          <cell r="J139">
            <v>1</v>
          </cell>
        </row>
        <row r="140">
          <cell r="H140">
            <v>1</v>
          </cell>
          <cell r="J140">
            <v>1</v>
          </cell>
        </row>
        <row r="142">
          <cell r="H142">
            <v>1</v>
          </cell>
          <cell r="J142">
            <v>1</v>
          </cell>
        </row>
        <row r="143">
          <cell r="H143">
            <v>1</v>
          </cell>
          <cell r="J143">
            <v>1</v>
          </cell>
        </row>
        <row r="144">
          <cell r="H144">
            <v>1</v>
          </cell>
          <cell r="J144">
            <v>1</v>
          </cell>
        </row>
        <row r="146">
          <cell r="H146">
            <v>1</v>
          </cell>
          <cell r="J146">
            <v>1</v>
          </cell>
        </row>
        <row r="147">
          <cell r="H147">
            <v>1</v>
          </cell>
          <cell r="J147">
            <v>1</v>
          </cell>
        </row>
        <row r="150">
          <cell r="H150">
            <v>1</v>
          </cell>
          <cell r="J150">
            <v>1</v>
          </cell>
        </row>
        <row r="151">
          <cell r="H151">
            <v>1</v>
          </cell>
          <cell r="J151">
            <v>1</v>
          </cell>
        </row>
        <row r="153">
          <cell r="H153">
            <v>1</v>
          </cell>
          <cell r="J153">
            <v>1</v>
          </cell>
        </row>
        <row r="154">
          <cell r="H154">
            <v>1</v>
          </cell>
          <cell r="J154">
            <v>1</v>
          </cell>
        </row>
        <row r="155">
          <cell r="H155">
            <v>1</v>
          </cell>
          <cell r="J155">
            <v>1</v>
          </cell>
        </row>
        <row r="156">
          <cell r="H156">
            <v>1</v>
          </cell>
          <cell r="J156">
            <v>1</v>
          </cell>
        </row>
        <row r="157">
          <cell r="H157">
            <v>1</v>
          </cell>
          <cell r="J157">
            <v>1</v>
          </cell>
        </row>
        <row r="158">
          <cell r="H158">
            <v>1</v>
          </cell>
        </row>
        <row r="161">
          <cell r="H161">
            <v>1</v>
          </cell>
          <cell r="J161">
            <v>1</v>
          </cell>
        </row>
        <row r="171">
          <cell r="H171">
            <v>1</v>
          </cell>
          <cell r="J171">
            <v>1</v>
          </cell>
        </row>
        <row r="174">
          <cell r="J174">
            <v>1</v>
          </cell>
        </row>
        <row r="175">
          <cell r="H175">
            <v>1</v>
          </cell>
          <cell r="J175">
            <v>1</v>
          </cell>
        </row>
        <row r="176">
          <cell r="H176">
            <v>1</v>
          </cell>
          <cell r="J176">
            <v>1</v>
          </cell>
        </row>
        <row r="179">
          <cell r="H179">
            <v>1</v>
          </cell>
          <cell r="J179">
            <v>1</v>
          </cell>
        </row>
        <row r="189">
          <cell r="H189">
            <v>1</v>
          </cell>
          <cell r="J189">
            <v>1</v>
          </cell>
        </row>
        <row r="190">
          <cell r="H190">
            <v>1</v>
          </cell>
          <cell r="J190">
            <v>1</v>
          </cell>
        </row>
        <row r="191">
          <cell r="H191">
            <v>1</v>
          </cell>
          <cell r="J191">
            <v>1</v>
          </cell>
        </row>
      </sheetData>
      <sheetData sheetId="15" refreshError="1"/>
      <sheetData sheetId="16" refreshError="1"/>
      <sheetData sheetId="17" refreshError="1"/>
      <sheetData sheetId="18" refreshError="1"/>
      <sheetData sheetId="19">
        <row r="16">
          <cell r="U16">
            <v>43465</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 Type="http://schemas.openxmlformats.org/officeDocument/2006/relationships/hyperlink" Target="http://www.clusif.fr/"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xml"/><Relationship Id="rId1" Type="http://schemas.openxmlformats.org/officeDocument/2006/relationships/printerSettings" Target="../printerSettings/printerSettings24.bin"/><Relationship Id="rId5" Type="http://schemas.openxmlformats.org/officeDocument/2006/relationships/comments" Target="../comments21.xml"/><Relationship Id="rId4" Type="http://schemas.openxmlformats.org/officeDocument/2006/relationships/ctrlProp" Target="../ctrlProps/ctrlProp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8" Type="http://schemas.openxmlformats.org/officeDocument/2006/relationships/comments" Target="../comments24.xml"/><Relationship Id="rId3" Type="http://schemas.openxmlformats.org/officeDocument/2006/relationships/vmlDrawing" Target="../drawings/vmlDrawing25.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28.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5.xml"/><Relationship Id="rId1" Type="http://schemas.openxmlformats.org/officeDocument/2006/relationships/printerSettings" Target="../printerSettings/printerSettings31.bin"/><Relationship Id="rId4" Type="http://schemas.openxmlformats.org/officeDocument/2006/relationships/ctrlProp" Target="../ctrlProps/ctrlProp6.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6.xml"/><Relationship Id="rId1" Type="http://schemas.openxmlformats.org/officeDocument/2006/relationships/printerSettings" Target="../printerSettings/printerSettings32.bin"/><Relationship Id="rId5" Type="http://schemas.openxmlformats.org/officeDocument/2006/relationships/comments" Target="../comments26.xml"/><Relationship Id="rId4" Type="http://schemas.openxmlformats.org/officeDocument/2006/relationships/ctrlProp" Target="../ctrlProps/ctrlProp7.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F57"/>
  <sheetViews>
    <sheetView tabSelected="1" workbookViewId="0">
      <selection activeCell="K9" sqref="K9"/>
    </sheetView>
  </sheetViews>
  <sheetFormatPr baseColWidth="10" defaultColWidth="11.42578125" defaultRowHeight="12.75" x14ac:dyDescent="0.2"/>
  <cols>
    <col min="1" max="1" width="4.85546875" style="1071" customWidth="1"/>
    <col min="2" max="2" width="32.28515625" style="1090" customWidth="1"/>
    <col min="3" max="3" width="64.85546875" style="1127" customWidth="1"/>
    <col min="4" max="4" width="24.42578125" style="1071" customWidth="1"/>
    <col min="5" max="5" width="11.42578125" style="1071"/>
    <col min="6" max="6" width="4.42578125" style="1071" customWidth="1"/>
    <col min="7" max="16384" width="11.42578125" style="1071"/>
  </cols>
  <sheetData>
    <row r="1" spans="2:6" x14ac:dyDescent="0.2">
      <c r="C1" s="1071"/>
    </row>
    <row r="2" spans="2:6" ht="12.75" customHeight="1" x14ac:dyDescent="0.2">
      <c r="B2" s="1091"/>
      <c r="C2" s="1092"/>
    </row>
    <row r="3" spans="2:6" ht="17.25" customHeight="1" x14ac:dyDescent="0.2">
      <c r="C3" s="1093" t="s">
        <v>7621</v>
      </c>
      <c r="E3" s="1175"/>
      <c r="F3" s="1175"/>
    </row>
    <row r="4" spans="2:6" ht="15.75" customHeight="1" x14ac:dyDescent="0.2">
      <c r="B4" s="1093"/>
      <c r="C4" s="2180" t="s">
        <v>7731</v>
      </c>
      <c r="E4" s="1175"/>
      <c r="F4" s="1175"/>
    </row>
    <row r="5" spans="2:6" ht="26.25" customHeight="1" x14ac:dyDescent="0.2">
      <c r="C5" s="1094" t="s">
        <v>7167</v>
      </c>
      <c r="E5" s="1175"/>
      <c r="F5" s="1175"/>
    </row>
    <row r="6" spans="2:6" ht="56.25" customHeight="1" x14ac:dyDescent="0.2">
      <c r="C6" s="1775" t="s">
        <v>7717</v>
      </c>
      <c r="E6" s="1175"/>
      <c r="F6" s="1175"/>
    </row>
    <row r="7" spans="2:6" ht="15.75" customHeight="1" x14ac:dyDescent="0.2">
      <c r="B7" s="1095" t="s">
        <v>2084</v>
      </c>
      <c r="C7" s="1096" t="s">
        <v>2085</v>
      </c>
      <c r="E7" s="1175"/>
      <c r="F7" s="1175"/>
    </row>
    <row r="8" spans="2:6" ht="37.5" customHeight="1" x14ac:dyDescent="0.2">
      <c r="B8" s="1097" t="s">
        <v>2258</v>
      </c>
      <c r="C8" s="1098" t="s">
        <v>6873</v>
      </c>
      <c r="E8" s="1175"/>
      <c r="F8" s="1175"/>
    </row>
    <row r="9" spans="2:6" ht="14.25" customHeight="1" x14ac:dyDescent="0.2">
      <c r="B9" s="1774" t="s">
        <v>7622</v>
      </c>
      <c r="C9" s="1397" t="s">
        <v>7727</v>
      </c>
      <c r="E9" s="1175"/>
      <c r="F9" s="1175"/>
    </row>
    <row r="10" spans="2:6" ht="12.75" customHeight="1" x14ac:dyDescent="0.2">
      <c r="B10" s="1099" t="s">
        <v>2312</v>
      </c>
      <c r="C10" s="1100" t="s">
        <v>1318</v>
      </c>
      <c r="E10" s="1175"/>
      <c r="F10" s="1175"/>
    </row>
    <row r="11" spans="2:6" ht="12.75" customHeight="1" x14ac:dyDescent="0.2">
      <c r="B11" s="1101" t="s">
        <v>7205</v>
      </c>
      <c r="C11" s="1102" t="s">
        <v>7204</v>
      </c>
      <c r="E11" s="1175"/>
      <c r="F11" s="1175"/>
    </row>
    <row r="12" spans="2:6" ht="12.75" customHeight="1" x14ac:dyDescent="0.2">
      <c r="B12" s="1822" t="s">
        <v>2008</v>
      </c>
      <c r="C12" s="1823"/>
      <c r="D12" s="1841" t="s">
        <v>7527</v>
      </c>
      <c r="E12" s="1860" t="s">
        <v>1851</v>
      </c>
      <c r="F12" s="1844"/>
    </row>
    <row r="13" spans="2:6" ht="12.75" customHeight="1" x14ac:dyDescent="0.2">
      <c r="B13" s="1103" t="s">
        <v>6441</v>
      </c>
      <c r="C13" s="1104" t="s">
        <v>7452</v>
      </c>
      <c r="D13" s="1842"/>
      <c r="E13" s="1861"/>
      <c r="F13" s="1845"/>
    </row>
    <row r="14" spans="2:6" ht="12.75" customHeight="1" x14ac:dyDescent="0.2">
      <c r="B14" s="1103" t="s">
        <v>2009</v>
      </c>
      <c r="C14" s="1104" t="s">
        <v>2010</v>
      </c>
      <c r="D14" s="1843"/>
      <c r="E14" s="1862"/>
      <c r="F14" s="1846"/>
    </row>
    <row r="15" spans="2:6" ht="12.75" customHeight="1" x14ac:dyDescent="0.2">
      <c r="B15" s="1824" t="s">
        <v>2011</v>
      </c>
      <c r="C15" s="1825"/>
      <c r="D15" s="1838" t="s">
        <v>7503</v>
      </c>
      <c r="E15" s="1804" t="s">
        <v>1851</v>
      </c>
      <c r="F15" s="1863"/>
    </row>
    <row r="16" spans="2:6" ht="12.75" customHeight="1" x14ac:dyDescent="0.2">
      <c r="B16" s="1105" t="s">
        <v>2012</v>
      </c>
      <c r="C16" s="1104" t="s">
        <v>2013</v>
      </c>
      <c r="D16" s="1839"/>
      <c r="E16" s="1805"/>
      <c r="F16" s="1864"/>
    </row>
    <row r="17" spans="2:6" ht="12.75" customHeight="1" x14ac:dyDescent="0.2">
      <c r="B17" s="1105" t="s">
        <v>2971</v>
      </c>
      <c r="C17" s="1104" t="s">
        <v>7416</v>
      </c>
      <c r="D17" s="1839"/>
      <c r="E17" s="1805"/>
      <c r="F17" s="1864"/>
    </row>
    <row r="18" spans="2:6" ht="24" x14ac:dyDescent="0.2">
      <c r="B18" s="1106" t="s">
        <v>2014</v>
      </c>
      <c r="C18" s="1104" t="s">
        <v>7499</v>
      </c>
      <c r="D18" s="1839"/>
      <c r="E18" s="1805"/>
      <c r="F18" s="1864"/>
    </row>
    <row r="19" spans="2:6" ht="12.75" customHeight="1" x14ac:dyDescent="0.2">
      <c r="B19" s="1106" t="s">
        <v>7289</v>
      </c>
      <c r="C19" s="1104" t="s">
        <v>7417</v>
      </c>
      <c r="D19" s="1840"/>
      <c r="E19" s="1806"/>
      <c r="F19" s="1865"/>
    </row>
    <row r="20" spans="2:6" ht="12.75" customHeight="1" x14ac:dyDescent="0.2">
      <c r="B20" s="1850" t="s">
        <v>7418</v>
      </c>
      <c r="C20" s="1851"/>
      <c r="D20" s="1811" t="s">
        <v>7502</v>
      </c>
      <c r="E20" s="1807" t="s">
        <v>1851</v>
      </c>
      <c r="F20" s="1179"/>
    </row>
    <row r="21" spans="2:6" ht="12.75" customHeight="1" x14ac:dyDescent="0.2">
      <c r="B21" s="1107" t="s">
        <v>1115</v>
      </c>
      <c r="C21" s="1104" t="s">
        <v>7421</v>
      </c>
      <c r="D21" s="1812"/>
      <c r="E21" s="1808"/>
      <c r="F21" s="1180"/>
    </row>
    <row r="22" spans="2:6" ht="12.75" customHeight="1" x14ac:dyDescent="0.2">
      <c r="B22" s="1107" t="s">
        <v>3075</v>
      </c>
      <c r="C22" s="1104" t="s">
        <v>7422</v>
      </c>
      <c r="D22" s="1812"/>
      <c r="E22" s="1809"/>
      <c r="F22" s="1108"/>
    </row>
    <row r="23" spans="2:6" ht="12.75" customHeight="1" x14ac:dyDescent="0.2">
      <c r="B23" s="1107" t="s">
        <v>3076</v>
      </c>
      <c r="C23" s="1104" t="s">
        <v>7423</v>
      </c>
      <c r="D23" s="1812"/>
      <c r="E23" s="1809"/>
      <c r="F23" s="1108"/>
    </row>
    <row r="24" spans="2:6" ht="12.75" customHeight="1" x14ac:dyDescent="0.2">
      <c r="B24" s="1107" t="s">
        <v>3077</v>
      </c>
      <c r="C24" s="1104" t="s">
        <v>7424</v>
      </c>
      <c r="D24" s="1813"/>
      <c r="E24" s="1810"/>
      <c r="F24" s="1109"/>
    </row>
    <row r="25" spans="2:6" ht="12.75" customHeight="1" x14ac:dyDescent="0.2">
      <c r="B25" s="1852" t="s">
        <v>1116</v>
      </c>
      <c r="C25" s="1853"/>
      <c r="D25" s="1854" t="s">
        <v>7419</v>
      </c>
      <c r="E25" s="1819" t="s">
        <v>1851</v>
      </c>
      <c r="F25" s="1857"/>
    </row>
    <row r="26" spans="2:6" ht="12.75" customHeight="1" x14ac:dyDescent="0.2">
      <c r="B26" s="1398" t="s">
        <v>6736</v>
      </c>
      <c r="C26" s="1030" t="s">
        <v>7425</v>
      </c>
      <c r="D26" s="1855"/>
      <c r="E26" s="1820"/>
      <c r="F26" s="1858"/>
    </row>
    <row r="27" spans="2:6" ht="12.75" customHeight="1" x14ac:dyDescent="0.2">
      <c r="B27" s="1398" t="s">
        <v>6451</v>
      </c>
      <c r="C27" s="1111" t="s">
        <v>7426</v>
      </c>
      <c r="D27" s="1855"/>
      <c r="E27" s="1820"/>
      <c r="F27" s="1858"/>
    </row>
    <row r="28" spans="2:6" ht="12.75" customHeight="1" x14ac:dyDescent="0.2">
      <c r="B28" s="1398" t="s">
        <v>6452</v>
      </c>
      <c r="C28" s="1030" t="s">
        <v>7427</v>
      </c>
      <c r="D28" s="1856"/>
      <c r="E28" s="1821"/>
      <c r="F28" s="1859"/>
    </row>
    <row r="29" spans="2:6" ht="12.75" customHeight="1" x14ac:dyDescent="0.2">
      <c r="B29" s="1814" t="s">
        <v>6507</v>
      </c>
      <c r="C29" s="1815"/>
      <c r="D29" s="1816" t="s">
        <v>7526</v>
      </c>
      <c r="E29" s="1847" t="s">
        <v>1851</v>
      </c>
      <c r="F29" s="1394"/>
    </row>
    <row r="30" spans="2:6" ht="12.75" customHeight="1" x14ac:dyDescent="0.2">
      <c r="B30" s="1399" t="s">
        <v>7420</v>
      </c>
      <c r="C30" s="1104" t="s">
        <v>7430</v>
      </c>
      <c r="D30" s="1817"/>
      <c r="E30" s="1848"/>
      <c r="F30" s="1114"/>
    </row>
    <row r="31" spans="2:6" ht="12.75" customHeight="1" x14ac:dyDescent="0.2">
      <c r="B31" s="1115" t="s">
        <v>1011</v>
      </c>
      <c r="C31" s="1104" t="s">
        <v>7429</v>
      </c>
      <c r="D31" s="1817"/>
      <c r="E31" s="1848"/>
      <c r="F31" s="1114"/>
    </row>
    <row r="32" spans="2:6" ht="12.75" customHeight="1" x14ac:dyDescent="0.2">
      <c r="B32" s="1115" t="s">
        <v>3073</v>
      </c>
      <c r="C32" s="1104" t="s">
        <v>7428</v>
      </c>
      <c r="D32" s="1818"/>
      <c r="E32" s="1849"/>
      <c r="F32" s="1395"/>
    </row>
    <row r="33" spans="2:6" ht="13.5" customHeight="1" x14ac:dyDescent="0.2">
      <c r="B33" s="149"/>
      <c r="C33" s="149"/>
    </row>
    <row r="34" spans="2:6" ht="15" customHeight="1" x14ac:dyDescent="0.2">
      <c r="B34" s="1836"/>
      <c r="C34" s="1837"/>
      <c r="D34" s="1835" t="s">
        <v>7715</v>
      </c>
      <c r="E34" s="1835"/>
      <c r="F34" s="1835"/>
    </row>
    <row r="35" spans="2:6" ht="24" customHeight="1" x14ac:dyDescent="0.2">
      <c r="B35" s="1776" t="s">
        <v>3074</v>
      </c>
      <c r="C35" s="1777" t="s">
        <v>6714</v>
      </c>
      <c r="D35" s="1835"/>
      <c r="E35" s="1835"/>
      <c r="F35" s="1835"/>
    </row>
    <row r="36" spans="2:6" ht="25.5" customHeight="1" x14ac:dyDescent="0.2">
      <c r="B36" s="1319" t="s">
        <v>5399</v>
      </c>
      <c r="C36" s="1316" t="s">
        <v>7207</v>
      </c>
      <c r="D36" s="1826" t="s">
        <v>7596</v>
      </c>
      <c r="E36" s="1827"/>
      <c r="F36" s="1828"/>
    </row>
    <row r="37" spans="2:6" ht="25.5" customHeight="1" x14ac:dyDescent="0.2">
      <c r="B37" s="1299" t="s">
        <v>6426</v>
      </c>
      <c r="C37" s="1316" t="s">
        <v>7208</v>
      </c>
      <c r="D37" s="1829"/>
      <c r="E37" s="1830"/>
      <c r="F37" s="1831"/>
    </row>
    <row r="38" spans="2:6" x14ac:dyDescent="0.2">
      <c r="B38" s="1319" t="s">
        <v>7212</v>
      </c>
      <c r="C38" s="1316" t="s">
        <v>7209</v>
      </c>
      <c r="D38" s="1829"/>
      <c r="E38" s="1830"/>
      <c r="F38" s="1831"/>
    </row>
    <row r="39" spans="2:6" s="1116" customFormat="1" ht="25.5" customHeight="1" x14ac:dyDescent="0.2">
      <c r="B39" s="1320" t="s">
        <v>7211</v>
      </c>
      <c r="C39" s="1317" t="s">
        <v>7210</v>
      </c>
      <c r="D39" s="1829"/>
      <c r="E39" s="1830"/>
      <c r="F39" s="1831"/>
    </row>
    <row r="40" spans="2:6" s="1116" customFormat="1" ht="25.5" customHeight="1" x14ac:dyDescent="0.2">
      <c r="B40" s="1396" t="s">
        <v>7620</v>
      </c>
      <c r="C40" s="1316" t="s">
        <v>7728</v>
      </c>
      <c r="D40" s="1829"/>
      <c r="E40" s="1830"/>
      <c r="F40" s="1831"/>
    </row>
    <row r="41" spans="2:6" s="1116" customFormat="1" ht="25.5" customHeight="1" x14ac:dyDescent="0.2">
      <c r="B41" s="1396">
        <v>43284</v>
      </c>
      <c r="C41" s="1316" t="s">
        <v>7729</v>
      </c>
      <c r="D41" s="1829"/>
      <c r="E41" s="1830"/>
      <c r="F41" s="1831"/>
    </row>
    <row r="42" spans="2:6" s="1116" customFormat="1" ht="25.5" customHeight="1" x14ac:dyDescent="0.2">
      <c r="B42" s="1396">
        <v>43612</v>
      </c>
      <c r="C42" s="2179" t="s">
        <v>7730</v>
      </c>
      <c r="D42" s="1829"/>
      <c r="E42" s="1830"/>
      <c r="F42" s="1831"/>
    </row>
    <row r="43" spans="2:6" ht="45.75" customHeight="1" x14ac:dyDescent="0.2">
      <c r="B43" s="1802" t="s">
        <v>7725</v>
      </c>
      <c r="C43" s="1803" t="s">
        <v>7724</v>
      </c>
      <c r="D43" s="1829"/>
      <c r="E43" s="1830"/>
      <c r="F43" s="1831"/>
    </row>
    <row r="44" spans="2:6" ht="54" customHeight="1" x14ac:dyDescent="0.2">
      <c r="B44" s="1802" t="s">
        <v>7726</v>
      </c>
      <c r="C44" s="1803" t="s">
        <v>7716</v>
      </c>
      <c r="D44" s="1832"/>
      <c r="E44" s="1833"/>
      <c r="F44" s="1834"/>
    </row>
    <row r="45" spans="2:6" ht="15.75" customHeight="1" x14ac:dyDescent="0.2">
      <c r="C45" s="1400"/>
    </row>
    <row r="46" spans="2:6" ht="30" x14ac:dyDescent="0.2">
      <c r="B46" s="1117" t="s">
        <v>7206</v>
      </c>
      <c r="C46" s="1117" t="s">
        <v>7504</v>
      </c>
    </row>
    <row r="47" spans="2:6" ht="15" x14ac:dyDescent="0.2">
      <c r="B47" s="1119"/>
      <c r="C47" s="1118"/>
    </row>
    <row r="48" spans="2:6" x14ac:dyDescent="0.2">
      <c r="B48" s="1121"/>
      <c r="C48" s="1120"/>
    </row>
    <row r="49" spans="2:3" x14ac:dyDescent="0.2">
      <c r="B49" s="1121"/>
      <c r="C49"/>
    </row>
    <row r="50" spans="2:3" x14ac:dyDescent="0.2">
      <c r="B50" s="1121"/>
      <c r="C50" s="1122"/>
    </row>
    <row r="51" spans="2:3" x14ac:dyDescent="0.2">
      <c r="B51" s="1121"/>
      <c r="C51"/>
    </row>
    <row r="52" spans="2:3" x14ac:dyDescent="0.2">
      <c r="B52" s="1124"/>
      <c r="C52" s="1123"/>
    </row>
    <row r="53" spans="2:3" x14ac:dyDescent="0.2">
      <c r="C53" s="1125"/>
    </row>
    <row r="55" spans="2:3" x14ac:dyDescent="0.2">
      <c r="C55" s="1340"/>
    </row>
    <row r="56" spans="2:3" x14ac:dyDescent="0.2">
      <c r="C56" s="1126"/>
    </row>
    <row r="57" spans="2:3" x14ac:dyDescent="0.2">
      <c r="C57" s="1126"/>
    </row>
  </sheetData>
  <sheetProtection sheet="1" objects="1" scenarios="1"/>
  <mergeCells count="21">
    <mergeCell ref="B12:C12"/>
    <mergeCell ref="B15:C15"/>
    <mergeCell ref="D36:F44"/>
    <mergeCell ref="D34:F35"/>
    <mergeCell ref="B34:C34"/>
    <mergeCell ref="D15:D19"/>
    <mergeCell ref="D12:D14"/>
    <mergeCell ref="F12:F14"/>
    <mergeCell ref="E29:E32"/>
    <mergeCell ref="B20:C20"/>
    <mergeCell ref="B25:C25"/>
    <mergeCell ref="D25:D28"/>
    <mergeCell ref="F25:F28"/>
    <mergeCell ref="E12:E14"/>
    <mergeCell ref="F15:F19"/>
    <mergeCell ref="E15:E19"/>
    <mergeCell ref="E20:E24"/>
    <mergeCell ref="D20:D24"/>
    <mergeCell ref="B29:C29"/>
    <mergeCell ref="D29:D32"/>
    <mergeCell ref="E25:E28"/>
  </mergeCells>
  <phoneticPr fontId="5" type="noConversion"/>
  <hyperlinks>
    <hyperlink ref="B32" location="Grilles_IP!A1" display="     Grilles IP"/>
    <hyperlink ref="B31" location="Gravité!A1" display="    Gravité"/>
    <hyperlink ref="B13" location="'T1'!A1" display="     Tableaux T1 à T3 "/>
    <hyperlink ref="B14" location="Classif!A1" display="Classification des actifs"/>
    <hyperlink ref="B21" location="Expo!A1" display="     Expo"/>
    <hyperlink ref="B23" location="'Risk%actif'!A1" display="     Risk%Actif"/>
    <hyperlink ref="B24" location="'Risk%event'!A1" display="     Risk%event"/>
    <hyperlink ref="B17" location="Services!A1" display="     Services"/>
    <hyperlink ref="B19" location="'ISO 27002'!A1" display="     ISO 27002"/>
    <hyperlink ref="B22" location="Scénarios!A1" display="     Scénarios"/>
    <hyperlink ref="B18" location="Thèmes!A1" display="Thèmes de sécurité MEHARI"/>
    <hyperlink ref="B28" location="Obj_Projets!A1" display="     Plans_d'action"/>
    <hyperlink ref="B30" location="'Vulnérabilités types'!A1" display="     Vulnérabilités types"/>
    <hyperlink ref="B26" location="Plans_action!A1" display="     Plans_action"/>
    <hyperlink ref="B27" location="Obj_PA!A1" display="     Obj_PA"/>
    <hyperlink ref="B10" location="Nav!A1" display="Nav"/>
    <hyperlink ref="B11" location="Classeur!A1" display="Classeur"/>
    <hyperlink ref="B16" location="'01 Org'!A1" display="     Domaines 01 Org à 14 MSI "/>
    <hyperlink ref="C6" location="Licence!A1" display="Licence!A1"/>
    <hyperlink ref="C43" r:id="rId1" display="http://www.clusif.fr/"/>
  </hyperlinks>
  <pageMargins left="0.75" right="0.75" top="1" bottom="1" header="0.4921259845" footer="0.4921259845"/>
  <pageSetup paperSize="9" orientation="portrait" horizontalDpi="4294967293" r:id="rId2"/>
  <headerFooter alignWithMargins="0"/>
  <drawing r:id="rId3"/>
  <legacyDrawing r:id="rId4"/>
  <controls>
    <mc:AlternateContent xmlns:mc="http://schemas.openxmlformats.org/markup-compatibility/2006">
      <mc:Choice Requires="x14">
        <control shapeId="15368" r:id="rId5" name="Mask_T1T2">
          <controlPr defaultSize="0" autoLine="0" r:id="rId6">
            <anchor moveWithCells="1">
              <from>
                <xdr:col>5</xdr:col>
                <xdr:colOff>47625</xdr:colOff>
                <xdr:row>12</xdr:row>
                <xdr:rowOff>9525</xdr:rowOff>
              </from>
              <to>
                <xdr:col>5</xdr:col>
                <xdr:colOff>200025</xdr:colOff>
                <xdr:row>12</xdr:row>
                <xdr:rowOff>152400</xdr:rowOff>
              </to>
            </anchor>
          </controlPr>
        </control>
      </mc:Choice>
      <mc:Fallback>
        <control shapeId="15368" r:id="rId5" name="Mask_T1T2"/>
      </mc:Fallback>
    </mc:AlternateContent>
    <mc:AlternateContent xmlns:mc="http://schemas.openxmlformats.org/markup-compatibility/2006">
      <mc:Choice Requires="x14">
        <control shapeId="15370" r:id="rId7" name="Mask_services">
          <controlPr defaultSize="0" autoLine="0" r:id="rId8">
            <anchor moveWithCells="1">
              <from>
                <xdr:col>5</xdr:col>
                <xdr:colOff>38100</xdr:colOff>
                <xdr:row>16</xdr:row>
                <xdr:rowOff>95250</xdr:rowOff>
              </from>
              <to>
                <xdr:col>5</xdr:col>
                <xdr:colOff>171450</xdr:colOff>
                <xdr:row>17</xdr:row>
                <xdr:rowOff>66675</xdr:rowOff>
              </to>
            </anchor>
          </controlPr>
        </control>
      </mc:Choice>
      <mc:Fallback>
        <control shapeId="15370" r:id="rId7" name="Mask_services"/>
      </mc:Fallback>
    </mc:AlternateContent>
    <mc:AlternateContent xmlns:mc="http://schemas.openxmlformats.org/markup-compatibility/2006">
      <mc:Choice Requires="x14">
        <control shapeId="15372" r:id="rId9" name="Mask_ref">
          <controlPr defaultSize="0" autoLine="0" r:id="rId10">
            <anchor moveWithCells="1">
              <from>
                <xdr:col>5</xdr:col>
                <xdr:colOff>38100</xdr:colOff>
                <xdr:row>21</xdr:row>
                <xdr:rowOff>0</xdr:rowOff>
              </from>
              <to>
                <xdr:col>5</xdr:col>
                <xdr:colOff>171450</xdr:colOff>
                <xdr:row>21</xdr:row>
                <xdr:rowOff>133350</xdr:rowOff>
              </to>
            </anchor>
          </controlPr>
        </control>
      </mc:Choice>
      <mc:Fallback>
        <control shapeId="15372" r:id="rId9" name="Mask_ref"/>
      </mc:Fallback>
    </mc:AlternateContent>
    <mc:AlternateContent xmlns:mc="http://schemas.openxmlformats.org/markup-compatibility/2006">
      <mc:Choice Requires="x14">
        <control shapeId="15373" r:id="rId11" name="Mask_Plans">
          <controlPr defaultSize="0" autoLine="0" r:id="rId12">
            <anchor moveWithCells="1">
              <from>
                <xdr:col>5</xdr:col>
                <xdr:colOff>38100</xdr:colOff>
                <xdr:row>25</xdr:row>
                <xdr:rowOff>95250</xdr:rowOff>
              </from>
              <to>
                <xdr:col>5</xdr:col>
                <xdr:colOff>171450</xdr:colOff>
                <xdr:row>26</xdr:row>
                <xdr:rowOff>66675</xdr:rowOff>
              </to>
            </anchor>
          </controlPr>
        </control>
      </mc:Choice>
      <mc:Fallback>
        <control shapeId="15373" r:id="rId11" name="Mask_Plans"/>
      </mc:Fallback>
    </mc:AlternateContent>
    <mc:AlternateContent xmlns:mc="http://schemas.openxmlformats.org/markup-compatibility/2006">
      <mc:Choice Requires="x14">
        <control shapeId="15374" r:id="rId13" name="Mask_par">
          <controlPr defaultSize="0" autoLine="0" r:id="rId14">
            <anchor moveWithCells="1">
              <from>
                <xdr:col>5</xdr:col>
                <xdr:colOff>47625</xdr:colOff>
                <xdr:row>29</xdr:row>
                <xdr:rowOff>104775</xdr:rowOff>
              </from>
              <to>
                <xdr:col>5</xdr:col>
                <xdr:colOff>180975</xdr:colOff>
                <xdr:row>30</xdr:row>
                <xdr:rowOff>76200</xdr:rowOff>
              </to>
            </anchor>
          </controlPr>
        </control>
      </mc:Choice>
      <mc:Fallback>
        <control shapeId="15374" r:id="rId13" name="Mask_par"/>
      </mc:Fallback>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5"/>
  <sheetViews>
    <sheetView workbookViewId="0">
      <selection activeCell="E6" sqref="E6"/>
    </sheetView>
  </sheetViews>
  <sheetFormatPr baseColWidth="10" defaultRowHeight="12.75" x14ac:dyDescent="0.2"/>
  <cols>
    <col min="1" max="1" width="6" style="1778" customWidth="1"/>
    <col min="2" max="2" width="93.42578125" style="1778" customWidth="1"/>
    <col min="3" max="16384" width="11.42578125" style="1778"/>
  </cols>
  <sheetData>
    <row r="1" spans="1:2" ht="39.75" customHeight="1" x14ac:dyDescent="0.2">
      <c r="A1" s="1867" t="s">
        <v>7718</v>
      </c>
      <c r="B1" s="1867"/>
    </row>
    <row r="2" spans="1:2" ht="32.25" customHeight="1" x14ac:dyDescent="0.2">
      <c r="A2" s="1868" t="s">
        <v>7623</v>
      </c>
      <c r="B2" s="1868"/>
    </row>
    <row r="3" spans="1:2" ht="13.5" customHeight="1" x14ac:dyDescent="0.2">
      <c r="A3" s="1869"/>
      <c r="B3" s="1870"/>
    </row>
    <row r="4" spans="1:2" ht="69" customHeight="1" x14ac:dyDescent="0.2">
      <c r="A4" s="1871" t="s">
        <v>7627</v>
      </c>
      <c r="B4" s="1866"/>
    </row>
    <row r="5" spans="1:2" ht="27" customHeight="1" x14ac:dyDescent="0.2">
      <c r="A5" s="1872" t="s">
        <v>7624</v>
      </c>
      <c r="B5" s="1872"/>
    </row>
    <row r="6" spans="1:2" ht="65.25" customHeight="1" x14ac:dyDescent="0.2">
      <c r="A6" s="1779" t="s">
        <v>7625</v>
      </c>
      <c r="B6" s="1780" t="s">
        <v>7626</v>
      </c>
    </row>
    <row r="7" spans="1:2" ht="34.5" customHeight="1" x14ac:dyDescent="0.2">
      <c r="A7" s="1779" t="s">
        <v>7628</v>
      </c>
      <c r="B7" s="1780" t="s">
        <v>7629</v>
      </c>
    </row>
    <row r="8" spans="1:2" ht="60.75" customHeight="1" x14ac:dyDescent="0.2">
      <c r="A8" s="1779" t="s">
        <v>7639</v>
      </c>
      <c r="B8" s="1780" t="s">
        <v>7649</v>
      </c>
    </row>
    <row r="9" spans="1:2" ht="48.75" customHeight="1" x14ac:dyDescent="0.2">
      <c r="A9" s="1779" t="s">
        <v>7640</v>
      </c>
      <c r="B9" s="1780" t="s">
        <v>7630</v>
      </c>
    </row>
    <row r="10" spans="1:2" ht="34.5" customHeight="1" x14ac:dyDescent="0.2">
      <c r="A10" s="1779" t="s">
        <v>7641</v>
      </c>
      <c r="B10" s="1780" t="s">
        <v>7631</v>
      </c>
    </row>
    <row r="11" spans="1:2" ht="34.5" customHeight="1" x14ac:dyDescent="0.2">
      <c r="A11" s="1779" t="s">
        <v>7642</v>
      </c>
      <c r="B11" s="1780" t="s">
        <v>7632</v>
      </c>
    </row>
    <row r="12" spans="1:2" ht="37.5" customHeight="1" x14ac:dyDescent="0.2">
      <c r="A12" s="1779" t="s">
        <v>7643</v>
      </c>
      <c r="B12" s="1780" t="s">
        <v>7633</v>
      </c>
    </row>
    <row r="13" spans="1:2" ht="50.25" customHeight="1" x14ac:dyDescent="0.2">
      <c r="A13" s="1779" t="s">
        <v>7644</v>
      </c>
      <c r="B13" s="1780" t="s">
        <v>7634</v>
      </c>
    </row>
    <row r="14" spans="1:2" ht="35.25" customHeight="1" x14ac:dyDescent="0.2">
      <c r="A14" s="1779" t="s">
        <v>7645</v>
      </c>
      <c r="B14" s="1780" t="s">
        <v>7635</v>
      </c>
    </row>
    <row r="15" spans="1:2" ht="61.5" customHeight="1" x14ac:dyDescent="0.2">
      <c r="A15" s="1779" t="s">
        <v>7646</v>
      </c>
      <c r="B15" s="1780" t="s">
        <v>7636</v>
      </c>
    </row>
    <row r="16" spans="1:2" ht="46.5" customHeight="1" x14ac:dyDescent="0.2">
      <c r="A16" s="1779" t="s">
        <v>7647</v>
      </c>
      <c r="B16" s="1780" t="s">
        <v>7637</v>
      </c>
    </row>
    <row r="17" spans="1:2" ht="34.5" customHeight="1" x14ac:dyDescent="0.2">
      <c r="A17" s="1779" t="s">
        <v>7648</v>
      </c>
      <c r="B17" s="1780" t="s">
        <v>7638</v>
      </c>
    </row>
    <row r="18" spans="1:2" ht="27" customHeight="1" x14ac:dyDescent="0.2">
      <c r="A18" s="1781" t="s">
        <v>7650</v>
      </c>
      <c r="B18" s="1782"/>
    </row>
    <row r="19" spans="1:2" ht="21" customHeight="1" x14ac:dyDescent="0.2">
      <c r="A19" s="1783" t="s">
        <v>7625</v>
      </c>
      <c r="B19" s="1784" t="s">
        <v>7651</v>
      </c>
    </row>
    <row r="20" spans="1:2" ht="38.25" x14ac:dyDescent="0.2">
      <c r="A20" s="1782"/>
      <c r="B20" s="1785" t="s">
        <v>7652</v>
      </c>
    </row>
    <row r="21" spans="1:2" x14ac:dyDescent="0.2">
      <c r="A21" s="1782"/>
      <c r="B21" s="1786" t="s">
        <v>7653</v>
      </c>
    </row>
    <row r="22" spans="1:2" ht="15" customHeight="1" x14ac:dyDescent="0.2">
      <c r="A22" s="1782"/>
      <c r="B22" s="1786" t="s">
        <v>7654</v>
      </c>
    </row>
    <row r="23" spans="1:2" ht="11.25" customHeight="1" x14ac:dyDescent="0.2">
      <c r="A23" s="1782"/>
      <c r="B23" s="1786"/>
    </row>
    <row r="24" spans="1:2" ht="38.25" x14ac:dyDescent="0.2">
      <c r="A24" s="1782"/>
      <c r="B24" s="1787" t="s">
        <v>7655</v>
      </c>
    </row>
    <row r="25" spans="1:2" ht="11.25" customHeight="1" x14ac:dyDescent="0.2">
      <c r="A25" s="1782"/>
      <c r="B25" s="1786"/>
    </row>
    <row r="26" spans="1:2" x14ac:dyDescent="0.2">
      <c r="A26" s="1782"/>
      <c r="B26" s="1787" t="s">
        <v>7660</v>
      </c>
    </row>
    <row r="27" spans="1:2" ht="11.25" customHeight="1" x14ac:dyDescent="0.2">
      <c r="A27" s="1782"/>
      <c r="B27" s="1786"/>
    </row>
    <row r="28" spans="1:2" ht="102" x14ac:dyDescent="0.2">
      <c r="A28" s="1782"/>
      <c r="B28" s="1787" t="s">
        <v>7661</v>
      </c>
    </row>
    <row r="29" spans="1:2" ht="11.25" customHeight="1" x14ac:dyDescent="0.2">
      <c r="A29" s="1782"/>
      <c r="B29" s="1786"/>
    </row>
    <row r="30" spans="1:2" x14ac:dyDescent="0.2">
      <c r="A30" s="1782"/>
      <c r="B30" s="1787" t="s">
        <v>7656</v>
      </c>
    </row>
    <row r="31" spans="1:2" ht="38.25" x14ac:dyDescent="0.2">
      <c r="A31" s="1782"/>
      <c r="B31" s="1788" t="s">
        <v>7657</v>
      </c>
    </row>
    <row r="32" spans="1:2" ht="51" x14ac:dyDescent="0.2">
      <c r="A32" s="1782"/>
      <c r="B32" s="1788" t="s">
        <v>7658</v>
      </c>
    </row>
    <row r="33" spans="1:2" ht="51" x14ac:dyDescent="0.2">
      <c r="A33" s="1782"/>
      <c r="B33" s="1788" t="s">
        <v>7659</v>
      </c>
    </row>
    <row r="34" spans="1:2" ht="11.25" customHeight="1" x14ac:dyDescent="0.2">
      <c r="A34" s="1782"/>
      <c r="B34" s="1786"/>
    </row>
    <row r="35" spans="1:2" ht="51" x14ac:dyDescent="0.2">
      <c r="A35" s="1782"/>
      <c r="B35" s="1787" t="s">
        <v>7662</v>
      </c>
    </row>
    <row r="36" spans="1:2" ht="21" customHeight="1" x14ac:dyDescent="0.2">
      <c r="A36" s="1783" t="s">
        <v>7628</v>
      </c>
      <c r="B36" s="1784" t="s">
        <v>7663</v>
      </c>
    </row>
    <row r="37" spans="1:2" ht="63.75" x14ac:dyDescent="0.2">
      <c r="A37" s="1782"/>
      <c r="B37" s="1789" t="s">
        <v>7664</v>
      </c>
    </row>
    <row r="38" spans="1:2" ht="21" customHeight="1" x14ac:dyDescent="0.2">
      <c r="A38" s="1782"/>
      <c r="B38" s="1789" t="s">
        <v>7665</v>
      </c>
    </row>
    <row r="39" spans="1:2" ht="66.75" customHeight="1" x14ac:dyDescent="0.2">
      <c r="A39" s="1782"/>
      <c r="B39" s="1789" t="s">
        <v>7666</v>
      </c>
    </row>
    <row r="40" spans="1:2" ht="27" customHeight="1" x14ac:dyDescent="0.2">
      <c r="A40" s="1781" t="s">
        <v>7667</v>
      </c>
      <c r="B40" s="1782"/>
    </row>
    <row r="41" spans="1:2" ht="21.75" customHeight="1" x14ac:dyDescent="0.2">
      <c r="A41" s="1790" t="s">
        <v>7668</v>
      </c>
      <c r="B41" s="1782"/>
    </row>
    <row r="42" spans="1:2" ht="21" customHeight="1" x14ac:dyDescent="0.2">
      <c r="A42" s="1783" t="s">
        <v>7625</v>
      </c>
      <c r="B42" s="1784" t="s">
        <v>7669</v>
      </c>
    </row>
    <row r="43" spans="1:2" x14ac:dyDescent="0.2">
      <c r="A43" s="1782"/>
      <c r="B43" s="1785" t="s">
        <v>7670</v>
      </c>
    </row>
    <row r="44" spans="1:2" ht="25.5" x14ac:dyDescent="0.2">
      <c r="B44" s="1786" t="s">
        <v>7671</v>
      </c>
    </row>
    <row r="45" spans="1:2" ht="38.25" x14ac:dyDescent="0.2">
      <c r="B45" s="1791" t="s">
        <v>7672</v>
      </c>
    </row>
    <row r="46" spans="1:2" x14ac:dyDescent="0.2">
      <c r="B46" s="1791" t="s">
        <v>7673</v>
      </c>
    </row>
    <row r="47" spans="1:2" x14ac:dyDescent="0.2">
      <c r="B47" s="1791" t="s">
        <v>7674</v>
      </c>
    </row>
    <row r="48" spans="1:2" x14ac:dyDescent="0.2">
      <c r="B48" s="1791" t="s">
        <v>7675</v>
      </c>
    </row>
    <row r="49" spans="1:2" x14ac:dyDescent="0.2">
      <c r="B49" s="1791" t="s">
        <v>7676</v>
      </c>
    </row>
    <row r="50" spans="1:2" x14ac:dyDescent="0.2">
      <c r="B50" s="1786" t="s">
        <v>7721</v>
      </c>
    </row>
    <row r="51" spans="1:2" x14ac:dyDescent="0.2">
      <c r="B51" s="1791" t="s">
        <v>7719</v>
      </c>
    </row>
    <row r="52" spans="1:2" x14ac:dyDescent="0.2">
      <c r="B52" s="1791" t="s">
        <v>7720</v>
      </c>
    </row>
    <row r="53" spans="1:2" x14ac:dyDescent="0.2">
      <c r="B53" s="1791" t="s">
        <v>7722</v>
      </c>
    </row>
    <row r="54" spans="1:2" ht="25.5" x14ac:dyDescent="0.2">
      <c r="B54" s="1791" t="s">
        <v>7723</v>
      </c>
    </row>
    <row r="55" spans="1:2" ht="25.5" x14ac:dyDescent="0.2">
      <c r="B55" s="1786" t="s">
        <v>7677</v>
      </c>
    </row>
    <row r="56" spans="1:2" ht="11.25" customHeight="1" x14ac:dyDescent="0.2">
      <c r="A56" s="1782"/>
      <c r="B56" s="1786"/>
    </row>
    <row r="57" spans="1:2" ht="51" x14ac:dyDescent="0.2">
      <c r="B57" s="1785" t="s">
        <v>7678</v>
      </c>
    </row>
    <row r="58" spans="1:2" ht="11.25" customHeight="1" x14ac:dyDescent="0.2">
      <c r="A58" s="1782"/>
      <c r="B58" s="1786"/>
    </row>
    <row r="59" spans="1:2" ht="25.5" x14ac:dyDescent="0.2">
      <c r="B59" s="1785" t="s">
        <v>7679</v>
      </c>
    </row>
    <row r="60" spans="1:2" ht="28.5" customHeight="1" x14ac:dyDescent="0.2">
      <c r="A60" s="1783" t="s">
        <v>7628</v>
      </c>
      <c r="B60" s="1784" t="s">
        <v>7680</v>
      </c>
    </row>
    <row r="61" spans="1:2" ht="25.5" x14ac:dyDescent="0.2">
      <c r="B61" s="1778" t="s">
        <v>7681</v>
      </c>
    </row>
    <row r="62" spans="1:2" x14ac:dyDescent="0.2">
      <c r="B62" s="1792"/>
    </row>
    <row r="63" spans="1:2" x14ac:dyDescent="0.2">
      <c r="B63" s="1785" t="s">
        <v>7682</v>
      </c>
    </row>
    <row r="64" spans="1:2" ht="11.25" customHeight="1" x14ac:dyDescent="0.2">
      <c r="A64" s="1782"/>
      <c r="B64" s="1786"/>
    </row>
    <row r="65" spans="1:2" ht="38.25" x14ac:dyDescent="0.2">
      <c r="B65" s="1785" t="s">
        <v>7683</v>
      </c>
    </row>
    <row r="66" spans="1:2" ht="11.25" customHeight="1" x14ac:dyDescent="0.2">
      <c r="A66" s="1782"/>
      <c r="B66" s="1786"/>
    </row>
    <row r="67" spans="1:2" ht="38.25" x14ac:dyDescent="0.2">
      <c r="B67" s="1785" t="s">
        <v>7684</v>
      </c>
    </row>
    <row r="68" spans="1:2" ht="27" customHeight="1" x14ac:dyDescent="0.2">
      <c r="A68" s="1781" t="s">
        <v>7685</v>
      </c>
    </row>
    <row r="69" spans="1:2" ht="27" customHeight="1" x14ac:dyDescent="0.2">
      <c r="A69" s="1873" t="s">
        <v>7686</v>
      </c>
      <c r="B69" s="1874"/>
    </row>
    <row r="70" spans="1:2" ht="34.5" customHeight="1" x14ac:dyDescent="0.2">
      <c r="A70" s="1779" t="s">
        <v>7687</v>
      </c>
      <c r="B70" s="1793" t="s">
        <v>7688</v>
      </c>
    </row>
    <row r="71" spans="1:2" ht="61.5" customHeight="1" x14ac:dyDescent="0.2">
      <c r="A71" s="1779" t="s">
        <v>7690</v>
      </c>
      <c r="B71" s="1794" t="s">
        <v>7689</v>
      </c>
    </row>
    <row r="72" spans="1:2" ht="33" customHeight="1" x14ac:dyDescent="0.2">
      <c r="A72" s="1779" t="s">
        <v>7692</v>
      </c>
      <c r="B72" s="1793" t="s">
        <v>7691</v>
      </c>
    </row>
    <row r="73" spans="1:2" ht="32.25" customHeight="1" x14ac:dyDescent="0.2">
      <c r="A73" s="1866" t="s">
        <v>7693</v>
      </c>
      <c r="B73" s="1866"/>
    </row>
    <row r="74" spans="1:2" ht="27" customHeight="1" x14ac:dyDescent="0.2">
      <c r="A74" s="1781" t="s">
        <v>7694</v>
      </c>
    </row>
    <row r="75" spans="1:2" ht="112.5" customHeight="1" x14ac:dyDescent="0.2">
      <c r="A75" s="1795" t="s">
        <v>7687</v>
      </c>
      <c r="B75" s="1796" t="s">
        <v>7695</v>
      </c>
    </row>
    <row r="76" spans="1:2" ht="89.25" x14ac:dyDescent="0.2">
      <c r="A76" s="1795" t="s">
        <v>7628</v>
      </c>
      <c r="B76" s="1797" t="s">
        <v>7696</v>
      </c>
    </row>
    <row r="77" spans="1:2" x14ac:dyDescent="0.2">
      <c r="B77" s="1798"/>
    </row>
    <row r="78" spans="1:2" ht="30.75" customHeight="1" x14ac:dyDescent="0.2">
      <c r="A78" s="1779" t="s">
        <v>7639</v>
      </c>
      <c r="B78" s="1799" t="s">
        <v>7697</v>
      </c>
    </row>
    <row r="79" spans="1:2" ht="27" customHeight="1" x14ac:dyDescent="0.2">
      <c r="A79" s="1781" t="s">
        <v>7698</v>
      </c>
    </row>
    <row r="80" spans="1:2" ht="46.5" customHeight="1" x14ac:dyDescent="0.2">
      <c r="A80" s="1779" t="s">
        <v>7687</v>
      </c>
      <c r="B80" s="1799" t="s">
        <v>7702</v>
      </c>
    </row>
    <row r="81" spans="1:2" ht="17.25" customHeight="1" x14ac:dyDescent="0.2">
      <c r="A81" s="1779" t="s">
        <v>7690</v>
      </c>
      <c r="B81" s="1800" t="s">
        <v>7703</v>
      </c>
    </row>
    <row r="82" spans="1:2" ht="25.5" x14ac:dyDescent="0.2">
      <c r="B82" s="1785" t="s">
        <v>7699</v>
      </c>
    </row>
    <row r="83" spans="1:2" x14ac:dyDescent="0.2">
      <c r="B83" s="1785" t="s">
        <v>7700</v>
      </c>
    </row>
    <row r="84" spans="1:2" ht="25.5" x14ac:dyDescent="0.2">
      <c r="B84" s="1782" t="s">
        <v>7701</v>
      </c>
    </row>
    <row r="85" spans="1:2" x14ac:dyDescent="0.2">
      <c r="B85" s="1798"/>
    </row>
    <row r="86" spans="1:2" ht="49.5" customHeight="1" x14ac:dyDescent="0.2">
      <c r="A86" s="1779" t="s">
        <v>7692</v>
      </c>
      <c r="B86" s="1799" t="s">
        <v>7704</v>
      </c>
    </row>
    <row r="87" spans="1:2" x14ac:dyDescent="0.2">
      <c r="A87" s="1779" t="s">
        <v>7706</v>
      </c>
      <c r="B87" s="1801" t="s">
        <v>7705</v>
      </c>
    </row>
    <row r="88" spans="1:2" ht="27.75" customHeight="1" x14ac:dyDescent="0.2">
      <c r="A88" s="1781" t="s">
        <v>7707</v>
      </c>
    </row>
    <row r="89" spans="1:2" ht="24.75" customHeight="1" x14ac:dyDescent="0.2">
      <c r="A89" s="1779" t="s">
        <v>7687</v>
      </c>
      <c r="B89" s="1799" t="s">
        <v>7709</v>
      </c>
    </row>
    <row r="90" spans="1:2" ht="25.5" x14ac:dyDescent="0.2">
      <c r="A90" s="1779" t="s">
        <v>7690</v>
      </c>
      <c r="B90" s="1799" t="s">
        <v>7708</v>
      </c>
    </row>
    <row r="91" spans="1:2" ht="27.75" customHeight="1" x14ac:dyDescent="0.2">
      <c r="A91" s="1781" t="s">
        <v>7710</v>
      </c>
    </row>
    <row r="92" spans="1:2" ht="44.25" customHeight="1" x14ac:dyDescent="0.2">
      <c r="A92" s="1779" t="s">
        <v>7687</v>
      </c>
      <c r="B92" s="1799" t="s">
        <v>7711</v>
      </c>
    </row>
    <row r="93" spans="1:2" ht="48.75" customHeight="1" x14ac:dyDescent="0.2">
      <c r="A93" s="1779" t="s">
        <v>7690</v>
      </c>
      <c r="B93" s="1799" t="s">
        <v>7712</v>
      </c>
    </row>
    <row r="94" spans="1:2" ht="36" customHeight="1" x14ac:dyDescent="0.2">
      <c r="A94" s="1779" t="s">
        <v>7692</v>
      </c>
      <c r="B94" s="1799" t="s">
        <v>7713</v>
      </c>
    </row>
    <row r="95" spans="1:2" ht="51" x14ac:dyDescent="0.2">
      <c r="A95" s="1779" t="s">
        <v>7706</v>
      </c>
      <c r="B95" s="1799" t="s">
        <v>7714</v>
      </c>
    </row>
  </sheetData>
  <sheetProtection sheet="1" objects="1" scenarios="1"/>
  <mergeCells count="7">
    <mergeCell ref="A73:B73"/>
    <mergeCell ref="A1:B1"/>
    <mergeCell ref="A2:B2"/>
    <mergeCell ref="A3:B3"/>
    <mergeCell ref="A4:B4"/>
    <mergeCell ref="A5:B5"/>
    <mergeCell ref="A69:B69"/>
  </mergeCells>
  <pageMargins left="0.31496062992125984" right="0.31496062992125984" top="0.35433070866141736" bottom="0.35433070866141736" header="0" footer="0"/>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tabColor rgb="FFFF8080"/>
  </sheetPr>
  <dimension ref="A1:T24"/>
  <sheetViews>
    <sheetView workbookViewId="0"/>
  </sheetViews>
  <sheetFormatPr baseColWidth="10" defaultColWidth="11.42578125" defaultRowHeight="12.75" x14ac:dyDescent="0.2"/>
  <cols>
    <col min="1" max="1" width="11.42578125" style="1071"/>
    <col min="2" max="2" width="6.7109375" style="1071" customWidth="1"/>
    <col min="3" max="3" width="15.28515625" style="1071" customWidth="1"/>
    <col min="4" max="4" width="1.7109375" style="1071" customWidth="1"/>
    <col min="5" max="5" width="4.28515625" style="1071" customWidth="1"/>
    <col min="6" max="6" width="1.7109375" style="1071" customWidth="1"/>
    <col min="7" max="7" width="4.28515625" style="1071" customWidth="1"/>
    <col min="8" max="8" width="1.7109375" style="1071" customWidth="1"/>
    <col min="9" max="9" width="4.28515625" style="1071" customWidth="1"/>
    <col min="10" max="10" width="1.7109375" style="1071" customWidth="1"/>
    <col min="11" max="11" width="7.7109375" style="1071" customWidth="1"/>
    <col min="12" max="12" width="1.7109375" style="1071" customWidth="1"/>
    <col min="13" max="13" width="14.140625" style="1071" customWidth="1"/>
    <col min="14" max="14" width="1.7109375" style="1071" customWidth="1"/>
    <col min="15" max="15" width="15" style="1071" customWidth="1"/>
    <col min="16" max="16" width="1.85546875" style="1071" customWidth="1"/>
    <col min="17" max="17" width="15.140625" style="1071" customWidth="1"/>
    <col min="18" max="18" width="2.140625" style="1071" customWidth="1"/>
    <col min="19" max="19" width="15.140625" style="1071" customWidth="1"/>
    <col min="20" max="16384" width="11.42578125" style="1071"/>
  </cols>
  <sheetData>
    <row r="1" spans="1:20" ht="20.25" x14ac:dyDescent="0.2">
      <c r="A1" s="1069" t="s">
        <v>925</v>
      </c>
      <c r="B1" s="1070"/>
    </row>
    <row r="2" spans="1:20" ht="13.5" thickBot="1" x14ac:dyDescent="0.25">
      <c r="D2" s="1076"/>
      <c r="E2" s="1076"/>
      <c r="F2" s="1076"/>
      <c r="G2" s="1076"/>
      <c r="H2" s="1076"/>
      <c r="I2" s="1076"/>
    </row>
    <row r="3" spans="1:20" ht="20.25" customHeight="1" thickBot="1" x14ac:dyDescent="0.25">
      <c r="D3" s="1174"/>
      <c r="E3" s="1889" t="s">
        <v>7451</v>
      </c>
      <c r="F3" s="1890"/>
      <c r="G3" s="1890"/>
      <c r="H3" s="1890"/>
      <c r="I3" s="1891"/>
      <c r="J3" s="1072"/>
      <c r="M3" s="1281" t="s">
        <v>930</v>
      </c>
      <c r="N3" s="1072"/>
      <c r="O3" s="1072"/>
      <c r="Q3" s="1880" t="s">
        <v>1978</v>
      </c>
      <c r="R3" s="1880"/>
    </row>
    <row r="4" spans="1:20" ht="21" customHeight="1" thickBot="1" x14ac:dyDescent="0.25">
      <c r="D4" s="1177"/>
      <c r="E4" s="1177"/>
      <c r="F4" s="1076"/>
      <c r="G4" s="1076"/>
      <c r="H4" s="1076"/>
      <c r="I4" s="1076"/>
      <c r="M4" s="1077" t="s">
        <v>933</v>
      </c>
      <c r="P4" s="1073"/>
      <c r="Q4" s="1876" t="s">
        <v>1979</v>
      </c>
      <c r="R4" s="1877"/>
      <c r="S4" s="1875"/>
    </row>
    <row r="5" spans="1:20" ht="26.25" customHeight="1" thickBot="1" x14ac:dyDescent="0.25">
      <c r="A5" s="1881" t="s">
        <v>932</v>
      </c>
      <c r="B5" s="1882"/>
      <c r="C5" s="1882"/>
      <c r="D5" s="1318"/>
      <c r="E5" s="1176" t="s">
        <v>926</v>
      </c>
      <c r="F5" s="1075"/>
      <c r="G5" s="1074" t="s">
        <v>927</v>
      </c>
      <c r="H5" s="1075"/>
      <c r="I5" s="1074" t="s">
        <v>928</v>
      </c>
      <c r="J5" s="1076"/>
      <c r="K5" s="1076"/>
      <c r="N5" s="1078"/>
      <c r="Q5" s="1878"/>
      <c r="R5" s="1879"/>
      <c r="S5" s="1875"/>
    </row>
    <row r="6" spans="1:20" ht="13.5" customHeight="1" x14ac:dyDescent="0.2">
      <c r="A6" s="1881"/>
      <c r="B6" s="1882"/>
      <c r="C6" s="1882"/>
      <c r="D6" s="1177"/>
      <c r="E6" s="1177"/>
      <c r="F6" s="1076"/>
      <c r="G6" s="1076"/>
      <c r="H6" s="1076"/>
      <c r="I6" s="1076"/>
      <c r="J6" s="1076"/>
      <c r="K6" s="1076"/>
      <c r="S6" s="1076"/>
      <c r="T6" s="1076"/>
    </row>
    <row r="7" spans="1:20" ht="12.75" customHeight="1" thickBot="1" x14ac:dyDescent="0.25">
      <c r="A7" s="1881"/>
      <c r="B7" s="1882"/>
      <c r="C7" s="1882"/>
      <c r="D7" s="1177"/>
      <c r="E7" s="1177"/>
      <c r="F7" s="1076"/>
      <c r="G7" s="1076"/>
      <c r="H7" s="1076"/>
      <c r="I7" s="1076"/>
      <c r="P7" s="1073"/>
      <c r="Q7" s="1073"/>
      <c r="R7" s="1073"/>
      <c r="S7" s="1079"/>
      <c r="T7" s="1079"/>
    </row>
    <row r="8" spans="1:20" ht="22.5" customHeight="1" thickBot="1" x14ac:dyDescent="0.25">
      <c r="A8" s="1881"/>
      <c r="B8" s="1882"/>
      <c r="C8" s="1882"/>
      <c r="D8" s="1318"/>
      <c r="E8" s="1886" t="s">
        <v>929</v>
      </c>
      <c r="F8" s="1887"/>
      <c r="G8" s="1887"/>
      <c r="H8" s="1887"/>
      <c r="I8" s="1888"/>
      <c r="M8" s="42"/>
      <c r="P8" s="1073"/>
      <c r="Q8" s="1073"/>
      <c r="R8" s="1073"/>
      <c r="S8" s="1080" t="s">
        <v>1911</v>
      </c>
      <c r="T8" s="1079"/>
    </row>
    <row r="9" spans="1:20" ht="15.75" x14ac:dyDescent="0.2">
      <c r="A9" s="1881"/>
      <c r="B9" s="1882"/>
      <c r="C9" s="1882"/>
      <c r="D9" s="1175"/>
      <c r="E9" s="1177"/>
      <c r="F9" s="1081" t="s">
        <v>1225</v>
      </c>
      <c r="L9" s="1082" t="s">
        <v>1964</v>
      </c>
      <c r="P9" s="1073"/>
      <c r="Q9" s="1073"/>
      <c r="R9" s="1073"/>
      <c r="S9" s="1079"/>
      <c r="T9" s="1079"/>
    </row>
    <row r="10" spans="1:20" ht="12" customHeight="1" thickBot="1" x14ac:dyDescent="0.25">
      <c r="A10" s="1881"/>
      <c r="B10" s="1882"/>
      <c r="C10" s="1882"/>
      <c r="D10" s="1175"/>
      <c r="E10" s="1175"/>
      <c r="P10" s="1073"/>
      <c r="Q10" s="1073"/>
      <c r="R10" s="1073"/>
      <c r="S10" s="1079"/>
      <c r="T10" s="1079"/>
    </row>
    <row r="11" spans="1:20" ht="22.5" customHeight="1" thickBot="1" x14ac:dyDescent="0.25">
      <c r="A11" s="1881"/>
      <c r="B11" s="1882"/>
      <c r="C11" s="1882"/>
      <c r="D11" s="1169"/>
      <c r="E11" s="1883" t="s">
        <v>1968</v>
      </c>
      <c r="F11" s="1884"/>
      <c r="G11" s="1884"/>
      <c r="H11" s="1884"/>
      <c r="I11" s="1884"/>
      <c r="J11" s="1884"/>
      <c r="K11" s="1884"/>
      <c r="L11" s="1884"/>
      <c r="M11" s="1885"/>
      <c r="P11" s="1073"/>
      <c r="Q11" s="1073"/>
      <c r="R11" s="1073"/>
      <c r="S11" s="1080" t="s">
        <v>2841</v>
      </c>
      <c r="T11" s="1079"/>
    </row>
    <row r="12" spans="1:20" ht="21" customHeight="1" thickBot="1" x14ac:dyDescent="0.25">
      <c r="A12" s="1881"/>
      <c r="B12" s="1882"/>
      <c r="C12" s="1882"/>
      <c r="D12" s="1175"/>
      <c r="E12" s="1175"/>
      <c r="S12" s="1079"/>
      <c r="T12" s="1079"/>
    </row>
    <row r="13" spans="1:20" ht="22.5" customHeight="1" thickBot="1" x14ac:dyDescent="0.25">
      <c r="A13" s="1881"/>
      <c r="B13" s="1882"/>
      <c r="C13" s="1882"/>
      <c r="D13" s="1175"/>
      <c r="E13" s="1175"/>
      <c r="S13" s="1080" t="s">
        <v>7500</v>
      </c>
    </row>
    <row r="14" spans="1:20" ht="22.5" customHeight="1" thickBot="1" x14ac:dyDescent="0.25">
      <c r="A14" s="1881"/>
      <c r="B14" s="1882"/>
      <c r="C14" s="1882"/>
      <c r="D14" s="1169"/>
      <c r="E14" s="1883" t="s">
        <v>1969</v>
      </c>
      <c r="F14" s="1884"/>
      <c r="G14" s="1884"/>
      <c r="H14" s="1884"/>
      <c r="I14" s="1884"/>
      <c r="J14" s="1884"/>
      <c r="K14" s="1884"/>
      <c r="L14" s="1884"/>
      <c r="M14" s="1885"/>
    </row>
    <row r="15" spans="1:20" ht="26.25" customHeight="1" x14ac:dyDescent="0.2">
      <c r="D15" s="1169"/>
      <c r="E15" s="1175"/>
    </row>
    <row r="16" spans="1:20" ht="13.5" thickBot="1" x14ac:dyDescent="0.25">
      <c r="D16" s="1169"/>
      <c r="E16" s="1175"/>
    </row>
    <row r="17" spans="1:19" ht="22.5" customHeight="1" thickBot="1" x14ac:dyDescent="0.25">
      <c r="A17" s="1881" t="s">
        <v>1971</v>
      </c>
      <c r="B17" s="1882"/>
      <c r="C17" s="1083" t="s">
        <v>1972</v>
      </c>
      <c r="D17" s="1169"/>
      <c r="E17" s="1883" t="s">
        <v>931</v>
      </c>
      <c r="F17" s="1884"/>
      <c r="G17" s="1884"/>
      <c r="H17" s="1884"/>
      <c r="I17" s="1884"/>
      <c r="J17" s="1884"/>
      <c r="K17" s="1884"/>
      <c r="L17" s="1884"/>
      <c r="M17" s="1885"/>
    </row>
    <row r="18" spans="1:19" ht="16.5" thickBot="1" x14ac:dyDescent="0.25">
      <c r="A18" s="1881"/>
      <c r="B18" s="1882"/>
      <c r="C18" s="359"/>
      <c r="D18" s="1175"/>
      <c r="E18" s="1175"/>
    </row>
    <row r="19" spans="1:19" ht="22.5" customHeight="1" thickBot="1" x14ac:dyDescent="0.25">
      <c r="A19" s="1881"/>
      <c r="B19" s="1882"/>
      <c r="C19" s="1083" t="s">
        <v>1973</v>
      </c>
      <c r="D19" s="1175"/>
      <c r="E19" s="1175"/>
      <c r="I19" s="1892" t="s">
        <v>1965</v>
      </c>
      <c r="J19" s="1893"/>
      <c r="K19" s="1893"/>
      <c r="L19" s="1894"/>
      <c r="O19" s="1084" t="s">
        <v>1975</v>
      </c>
      <c r="P19" s="42"/>
      <c r="Q19" s="1085" t="s">
        <v>1976</v>
      </c>
      <c r="R19" s="42"/>
      <c r="S19" s="1084" t="s">
        <v>1977</v>
      </c>
    </row>
    <row r="20" spans="1:19" ht="15.75" thickBot="1" x14ac:dyDescent="0.25">
      <c r="A20" s="1881"/>
      <c r="B20" s="1882"/>
      <c r="C20" s="1086"/>
      <c r="D20" s="1175"/>
      <c r="E20" s="1175"/>
    </row>
    <row r="21" spans="1:19" ht="19.5" customHeight="1" thickBot="1" x14ac:dyDescent="0.25">
      <c r="A21" s="1881"/>
      <c r="B21" s="1882"/>
      <c r="C21" s="1087" t="s">
        <v>1974</v>
      </c>
      <c r="D21" s="1178"/>
      <c r="E21" s="1895" t="s">
        <v>1966</v>
      </c>
      <c r="F21" s="1896"/>
      <c r="G21" s="1896"/>
      <c r="H21" s="1896"/>
      <c r="I21" s="1897"/>
      <c r="J21" s="1079"/>
      <c r="K21" s="1079"/>
      <c r="L21" s="1898" t="s">
        <v>1967</v>
      </c>
      <c r="M21" s="1897"/>
      <c r="N21" s="1088"/>
      <c r="O21" s="1088"/>
    </row>
    <row r="22" spans="1:19" ht="15" x14ac:dyDescent="0.2">
      <c r="A22" s="1881"/>
      <c r="B22" s="1882"/>
      <c r="E22" s="1088"/>
      <c r="F22" s="1088"/>
      <c r="G22" s="1088"/>
      <c r="H22" s="1088"/>
      <c r="I22" s="1088"/>
      <c r="J22" s="1088"/>
      <c r="K22" s="1088"/>
      <c r="L22" s="1088"/>
      <c r="M22" s="1088"/>
      <c r="N22" s="1088"/>
      <c r="O22" s="1088"/>
    </row>
    <row r="23" spans="1:19" ht="13.5" thickBot="1" x14ac:dyDescent="0.25">
      <c r="A23" s="1881"/>
      <c r="B23" s="1882"/>
    </row>
    <row r="24" spans="1:19" ht="22.5" customHeight="1" thickBot="1" x14ac:dyDescent="0.25">
      <c r="A24" s="1881"/>
      <c r="B24" s="1882"/>
      <c r="E24" s="1899" t="s">
        <v>1970</v>
      </c>
      <c r="F24" s="1884"/>
      <c r="G24" s="1884"/>
      <c r="H24" s="1884"/>
      <c r="I24" s="1884"/>
      <c r="J24" s="1884"/>
      <c r="K24" s="1884"/>
      <c r="L24" s="1884"/>
      <c r="M24" s="1885"/>
      <c r="Q24" s="1089"/>
    </row>
  </sheetData>
  <sheetProtection sheet="1" objects="1" scenarios="1" insertColumns="0" insertRows="0"/>
  <mergeCells count="17">
    <mergeCell ref="A17:A24"/>
    <mergeCell ref="B17:B24"/>
    <mergeCell ref="I19:L19"/>
    <mergeCell ref="E21:I21"/>
    <mergeCell ref="L21:M21"/>
    <mergeCell ref="E24:M24"/>
    <mergeCell ref="E17:M17"/>
    <mergeCell ref="S4:S5"/>
    <mergeCell ref="Q4:R5"/>
    <mergeCell ref="Q3:R3"/>
    <mergeCell ref="A5:A14"/>
    <mergeCell ref="C5:C14"/>
    <mergeCell ref="B5:B14"/>
    <mergeCell ref="E14:M14"/>
    <mergeCell ref="E8:I8"/>
    <mergeCell ref="E11:M11"/>
    <mergeCell ref="E3:I3"/>
  </mergeCells>
  <phoneticPr fontId="5" type="noConversion"/>
  <hyperlinks>
    <hyperlink ref="E8:I8" location="Classif!A1" display="Classif"/>
    <hyperlink ref="M4" location="Expo!A1" tooltip="types et exposition naturelle" display="Expo"/>
    <hyperlink ref="E5" location="'T1'!A1" display="T1"/>
    <hyperlink ref="G5" location="'T2'!A1" display="T2"/>
    <hyperlink ref="I5" location="'T3'!A1" display="T3"/>
    <hyperlink ref="S8" location="Thèmes!A1" display="Thèmes"/>
    <hyperlink ref="S11" location="'ISO 27002'!A1" display="ISO 27002"/>
    <hyperlink ref="C17" location="'Risk%actif'!A1" display="Risk%actif"/>
    <hyperlink ref="C19" location="'Risk%event'!A1" display="Risk%event"/>
    <hyperlink ref="C21" location="Plans_action!A1" display="Plans_action"/>
    <hyperlink ref="E21:I21" location="Obj_PA!A1" display="Obj_PA"/>
    <hyperlink ref="L21:M21" location="Obj_Projets!A1" display="Obj_Projets"/>
    <hyperlink ref="S13" location="Graphs!A1" display="Graphs"/>
  </hyperlinks>
  <pageMargins left="0.75" right="0.75" top="1" bottom="1" header="0.4921259845" footer="0.4921259845"/>
  <pageSetup paperSize="9" orientation="landscape" r:id="rId1"/>
  <headerFooter alignWithMargins="0"/>
  <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CFFFF"/>
  </sheetPr>
  <dimension ref="A1:R55"/>
  <sheetViews>
    <sheetView workbookViewId="0">
      <selection sqref="A1:E1"/>
    </sheetView>
  </sheetViews>
  <sheetFormatPr baseColWidth="10" defaultColWidth="11.42578125" defaultRowHeight="12.75" x14ac:dyDescent="0.2"/>
  <cols>
    <col min="1" max="1" width="12" style="42" customWidth="1"/>
    <col min="2" max="2" width="25.7109375" style="42" customWidth="1"/>
    <col min="3" max="3" width="14.7109375" style="42" customWidth="1"/>
    <col min="4" max="4" width="12.28515625" style="42" customWidth="1"/>
    <col min="5" max="5" width="15.7109375" style="42" customWidth="1"/>
    <col min="6" max="6" width="13.42578125" style="42" customWidth="1"/>
    <col min="7" max="7" width="11.42578125" style="42"/>
    <col min="8" max="8" width="20" style="42" customWidth="1"/>
    <col min="9" max="9" width="21.42578125" style="42" bestFit="1" customWidth="1"/>
    <col min="10" max="10" width="11.42578125" style="42" customWidth="1"/>
    <col min="11" max="16384" width="11.42578125" style="42"/>
  </cols>
  <sheetData>
    <row r="1" spans="1:11" ht="18" customHeight="1" x14ac:dyDescent="0.2">
      <c r="A1" s="1902" t="s">
        <v>7170</v>
      </c>
      <c r="B1" s="1903"/>
      <c r="C1" s="1903"/>
      <c r="D1" s="1903"/>
      <c r="E1" s="1904"/>
    </row>
    <row r="2" spans="1:11" ht="30" customHeight="1" x14ac:dyDescent="0.2">
      <c r="A2" s="1910" t="s">
        <v>7549</v>
      </c>
      <c r="B2" s="1911"/>
      <c r="C2" s="1911"/>
      <c r="D2" s="1911"/>
      <c r="E2" s="1911"/>
      <c r="F2" s="1911"/>
    </row>
    <row r="3" spans="1:11" ht="18.75" customHeight="1" x14ac:dyDescent="0.2">
      <c r="D3" s="1169"/>
      <c r="E3" s="1169"/>
    </row>
    <row r="4" spans="1:11" ht="15" customHeight="1" x14ac:dyDescent="0.2">
      <c r="B4" s="1031" t="s">
        <v>7171</v>
      </c>
      <c r="C4" s="1032"/>
      <c r="D4" s="1169"/>
      <c r="E4" s="1169"/>
    </row>
    <row r="5" spans="1:11" x14ac:dyDescent="0.2">
      <c r="D5" s="1169"/>
      <c r="E5" s="1169"/>
    </row>
    <row r="6" spans="1:11" x14ac:dyDescent="0.2">
      <c r="A6" s="144"/>
      <c r="B6" s="1033" t="s">
        <v>7172</v>
      </c>
      <c r="C6" s="1905"/>
      <c r="D6" s="1906"/>
      <c r="E6" s="1906"/>
      <c r="F6" s="1905"/>
      <c r="G6" s="144"/>
      <c r="H6" s="144"/>
      <c r="I6" s="144"/>
      <c r="J6" s="144"/>
      <c r="K6" s="144"/>
    </row>
    <row r="7" spans="1:11" x14ac:dyDescent="0.2">
      <c r="A7" s="144"/>
      <c r="B7" s="1034" t="s">
        <v>7173</v>
      </c>
      <c r="C7" s="1905"/>
      <c r="D7" s="1906"/>
      <c r="E7" s="1906"/>
      <c r="F7" s="1905"/>
      <c r="G7" s="144"/>
      <c r="H7" s="144"/>
      <c r="I7" s="144"/>
      <c r="J7" s="144"/>
      <c r="K7" s="144"/>
    </row>
    <row r="8" spans="1:11" x14ac:dyDescent="0.2">
      <c r="A8" s="144"/>
      <c r="B8" s="1035" t="s">
        <v>7176</v>
      </c>
      <c r="C8" s="1905"/>
      <c r="D8" s="1906"/>
      <c r="E8" s="1906"/>
      <c r="F8" s="1905"/>
      <c r="G8" s="144"/>
      <c r="H8" s="144"/>
      <c r="I8" s="144"/>
      <c r="J8" s="144"/>
      <c r="K8" s="144"/>
    </row>
    <row r="9" spans="1:11" x14ac:dyDescent="0.2">
      <c r="A9" s="144"/>
      <c r="B9" s="1034" t="s">
        <v>7174</v>
      </c>
      <c r="C9" s="1905"/>
      <c r="D9" s="1906"/>
      <c r="E9" s="1906"/>
      <c r="F9" s="1905"/>
      <c r="G9" s="144"/>
      <c r="H9" s="144"/>
      <c r="I9" s="144"/>
      <c r="J9" s="144"/>
      <c r="K9" s="144"/>
    </row>
    <row r="10" spans="1:11" x14ac:dyDescent="0.2">
      <c r="A10" s="144"/>
      <c r="B10" s="1035" t="s">
        <v>7177</v>
      </c>
      <c r="C10" s="1905"/>
      <c r="D10" s="1906"/>
      <c r="E10" s="1906"/>
      <c r="F10" s="1905"/>
      <c r="G10" s="144"/>
      <c r="H10" s="144"/>
      <c r="I10" s="144"/>
      <c r="J10" s="144"/>
      <c r="K10" s="144"/>
    </row>
    <row r="11" spans="1:11" x14ac:dyDescent="0.2">
      <c r="A11" s="144"/>
      <c r="B11" s="1035" t="s">
        <v>7178</v>
      </c>
      <c r="C11" s="1905"/>
      <c r="D11" s="1906"/>
      <c r="E11" s="1906"/>
      <c r="F11" s="1905"/>
      <c r="G11" s="144"/>
      <c r="H11" s="144"/>
      <c r="I11" s="144"/>
      <c r="J11" s="144"/>
      <c r="K11" s="144"/>
    </row>
    <row r="12" spans="1:11" x14ac:dyDescent="0.2">
      <c r="B12" s="1035" t="s">
        <v>7179</v>
      </c>
      <c r="C12" s="1905"/>
      <c r="D12" s="1906"/>
      <c r="E12" s="1906"/>
      <c r="F12" s="1905"/>
      <c r="J12" s="144"/>
      <c r="K12" s="144"/>
    </row>
    <row r="13" spans="1:11" x14ac:dyDescent="0.2">
      <c r="A13" s="144"/>
      <c r="B13" s="1036" t="s">
        <v>7180</v>
      </c>
      <c r="C13" s="1905"/>
      <c r="D13" s="1906"/>
      <c r="E13" s="1906"/>
      <c r="F13" s="1905"/>
      <c r="G13" s="144"/>
      <c r="H13" s="144"/>
      <c r="I13" s="144"/>
      <c r="J13" s="144"/>
      <c r="K13" s="144"/>
    </row>
    <row r="14" spans="1:11" x14ac:dyDescent="0.2">
      <c r="A14" s="144"/>
      <c r="B14" s="1033"/>
      <c r="C14" s="1905"/>
      <c r="D14" s="1906"/>
      <c r="E14" s="1906"/>
      <c r="F14" s="1905"/>
      <c r="G14" s="144"/>
      <c r="H14" s="144"/>
      <c r="I14" s="144"/>
      <c r="J14" s="144"/>
      <c r="K14" s="144"/>
    </row>
    <row r="15" spans="1:11" ht="26.25" customHeight="1" x14ac:dyDescent="0.2">
      <c r="A15" s="144"/>
      <c r="B15" s="1034" t="s">
        <v>7175</v>
      </c>
      <c r="C15" s="1907"/>
      <c r="D15" s="1908"/>
      <c r="E15" s="1908"/>
      <c r="F15" s="1909"/>
      <c r="G15" s="144"/>
      <c r="H15" s="144"/>
      <c r="I15" s="144"/>
      <c r="J15" s="144"/>
      <c r="K15" s="144"/>
    </row>
    <row r="16" spans="1:11" x14ac:dyDescent="0.2">
      <c r="A16" s="41"/>
      <c r="B16" s="1037" t="s">
        <v>7184</v>
      </c>
      <c r="C16" s="1038" t="s">
        <v>7186</v>
      </c>
      <c r="D16" s="1170" t="s">
        <v>7185</v>
      </c>
      <c r="E16" s="1171" t="s">
        <v>7187</v>
      </c>
      <c r="F16" s="1038" t="s">
        <v>7188</v>
      </c>
      <c r="G16" s="41"/>
      <c r="H16" s="41"/>
      <c r="I16" s="41"/>
    </row>
    <row r="17" spans="1:9" ht="25.5" x14ac:dyDescent="0.2">
      <c r="B17" s="1042" t="s">
        <v>7604</v>
      </c>
      <c r="C17" s="1040" t="s">
        <v>7283</v>
      </c>
      <c r="D17" s="1172" t="s">
        <v>7283</v>
      </c>
      <c r="E17" s="1173"/>
      <c r="F17" s="1041"/>
    </row>
    <row r="18" spans="1:9" x14ac:dyDescent="0.2">
      <c r="B18" s="1039" t="s">
        <v>7183</v>
      </c>
      <c r="C18" s="1682" t="s">
        <v>7283</v>
      </c>
      <c r="D18" s="1682" t="s">
        <v>7283</v>
      </c>
      <c r="E18" s="1696"/>
      <c r="F18" s="1693"/>
    </row>
    <row r="19" spans="1:9" x14ac:dyDescent="0.2">
      <c r="B19" s="1042" t="s">
        <v>7606</v>
      </c>
      <c r="C19" s="1682" t="s">
        <v>7283</v>
      </c>
      <c r="D19" s="1682" t="s">
        <v>7283</v>
      </c>
      <c r="E19" s="1696"/>
      <c r="F19" s="1693"/>
    </row>
    <row r="20" spans="1:9" x14ac:dyDescent="0.2">
      <c r="B20" s="1039" t="s">
        <v>7181</v>
      </c>
      <c r="C20" s="1040" t="s">
        <v>7283</v>
      </c>
      <c r="D20" s="1172" t="s">
        <v>7283</v>
      </c>
      <c r="E20" s="1173"/>
      <c r="F20" s="1041"/>
    </row>
    <row r="21" spans="1:9" ht="25.5" x14ac:dyDescent="0.2">
      <c r="A21" s="41"/>
      <c r="B21" s="1042" t="s">
        <v>7189</v>
      </c>
      <c r="C21" s="1040" t="s">
        <v>7283</v>
      </c>
      <c r="D21" s="1172" t="s">
        <v>7283</v>
      </c>
      <c r="E21" s="1173"/>
      <c r="F21" s="1043"/>
      <c r="G21" s="41"/>
      <c r="H21" s="41"/>
      <c r="I21" s="41"/>
    </row>
    <row r="22" spans="1:9" x14ac:dyDescent="0.2">
      <c r="A22" s="41"/>
      <c r="B22" s="1042" t="s">
        <v>7190</v>
      </c>
      <c r="C22" s="1040" t="s">
        <v>7283</v>
      </c>
      <c r="D22" s="1172" t="s">
        <v>7283</v>
      </c>
      <c r="E22" s="1173"/>
      <c r="F22" s="1043"/>
      <c r="G22" s="41"/>
      <c r="H22" s="41"/>
      <c r="I22" s="41"/>
    </row>
    <row r="23" spans="1:9" x14ac:dyDescent="0.2">
      <c r="A23" s="41"/>
      <c r="B23" s="1042" t="s">
        <v>7191</v>
      </c>
      <c r="C23" s="1040" t="s">
        <v>7283</v>
      </c>
      <c r="D23" s="1172" t="s">
        <v>7283</v>
      </c>
      <c r="E23" s="1173"/>
      <c r="F23" s="1043"/>
      <c r="G23" s="41"/>
      <c r="H23" s="41"/>
      <c r="I23" s="41"/>
    </row>
    <row r="24" spans="1:9" x14ac:dyDescent="0.2">
      <c r="B24" s="1039" t="s">
        <v>7182</v>
      </c>
      <c r="C24" s="1040" t="s">
        <v>7283</v>
      </c>
      <c r="D24" s="1040" t="s">
        <v>7283</v>
      </c>
      <c r="E24" s="1041"/>
      <c r="F24" s="1043"/>
    </row>
    <row r="25" spans="1:9" ht="25.5" x14ac:dyDescent="0.2">
      <c r="B25" s="1695" t="s">
        <v>7602</v>
      </c>
      <c r="C25" s="1692"/>
      <c r="D25" s="1692"/>
      <c r="E25" s="1693"/>
      <c r="F25" s="1694"/>
    </row>
    <row r="26" spans="1:9" ht="25.5" x14ac:dyDescent="0.2">
      <c r="B26" s="1695" t="s">
        <v>7603</v>
      </c>
      <c r="C26" s="1692"/>
      <c r="D26" s="1692"/>
      <c r="E26" s="1693"/>
      <c r="F26" s="1694"/>
    </row>
    <row r="27" spans="1:9" ht="25.5" x14ac:dyDescent="0.2">
      <c r="B27" s="1695" t="s">
        <v>7607</v>
      </c>
      <c r="C27" s="1692"/>
      <c r="D27" s="1692"/>
      <c r="E27" s="1693"/>
      <c r="F27" s="1694"/>
    </row>
    <row r="28" spans="1:9" x14ac:dyDescent="0.2">
      <c r="B28" s="1042" t="s">
        <v>7601</v>
      </c>
      <c r="C28" s="1682" t="s">
        <v>7283</v>
      </c>
      <c r="D28" s="1682" t="s">
        <v>7283</v>
      </c>
      <c r="E28" s="1693"/>
      <c r="F28" s="1694"/>
    </row>
    <row r="29" spans="1:9" x14ac:dyDescent="0.2">
      <c r="B29" s="1695" t="s">
        <v>7605</v>
      </c>
      <c r="C29" s="1692"/>
      <c r="D29" s="1692"/>
      <c r="E29" s="1693"/>
      <c r="F29" s="1694"/>
    </row>
    <row r="30" spans="1:9" x14ac:dyDescent="0.2">
      <c r="A30" s="41"/>
      <c r="B30" s="1042" t="s">
        <v>7601</v>
      </c>
      <c r="C30" s="1040" t="s">
        <v>7283</v>
      </c>
      <c r="D30" s="1040" t="s">
        <v>7283</v>
      </c>
      <c r="E30" s="1043"/>
      <c r="F30" s="1043"/>
      <c r="G30" s="41"/>
      <c r="H30" s="41"/>
      <c r="I30" s="41"/>
    </row>
    <row r="31" spans="1:9" x14ac:dyDescent="0.2">
      <c r="A31" s="41"/>
      <c r="B31" s="1042" t="s">
        <v>7608</v>
      </c>
      <c r="C31" s="1682" t="s">
        <v>7283</v>
      </c>
      <c r="D31" s="1682" t="s">
        <v>7283</v>
      </c>
      <c r="E31" s="1694"/>
      <c r="F31" s="1694"/>
      <c r="G31" s="41"/>
      <c r="H31" s="41"/>
      <c r="I31" s="41"/>
    </row>
    <row r="32" spans="1:9" x14ac:dyDescent="0.2">
      <c r="B32" s="1042" t="s">
        <v>7609</v>
      </c>
      <c r="C32" s="1040" t="s">
        <v>7283</v>
      </c>
      <c r="D32" s="1040" t="s">
        <v>7283</v>
      </c>
      <c r="E32" s="1043"/>
      <c r="F32" s="1043"/>
    </row>
    <row r="33" spans="1:9" x14ac:dyDescent="0.2">
      <c r="B33" s="1697"/>
      <c r="C33" s="1040" t="s">
        <v>7283</v>
      </c>
      <c r="D33" s="1040" t="s">
        <v>7283</v>
      </c>
      <c r="E33" s="1043"/>
      <c r="F33" s="1043"/>
    </row>
    <row r="34" spans="1:9" x14ac:dyDescent="0.2">
      <c r="A34" s="41"/>
      <c r="B34" s="1698"/>
      <c r="C34" s="1040" t="s">
        <v>7283</v>
      </c>
      <c r="D34" s="1040" t="s">
        <v>7283</v>
      </c>
      <c r="E34" s="1044"/>
      <c r="F34" s="1044"/>
      <c r="G34" s="41"/>
      <c r="H34" s="41"/>
      <c r="I34" s="41"/>
    </row>
    <row r="36" spans="1:9" x14ac:dyDescent="0.2">
      <c r="G36" s="144"/>
    </row>
    <row r="37" spans="1:9" ht="15.75" x14ac:dyDescent="0.2">
      <c r="A37" s="1045" t="s">
        <v>7192</v>
      </c>
      <c r="B37" s="134"/>
      <c r="C37" s="1046"/>
      <c r="D37" s="1046"/>
      <c r="E37" s="1046"/>
      <c r="F37" s="1046"/>
      <c r="G37" s="134"/>
    </row>
    <row r="38" spans="1:9" x14ac:dyDescent="0.2">
      <c r="A38" s="134"/>
      <c r="B38" s="1047" t="s">
        <v>7193</v>
      </c>
      <c r="C38" s="1905"/>
      <c r="D38" s="1905"/>
      <c r="E38" s="1905"/>
      <c r="F38" s="1905"/>
      <c r="G38" s="134"/>
      <c r="H38" s="144"/>
    </row>
    <row r="39" spans="1:9" x14ac:dyDescent="0.2">
      <c r="A39" s="134"/>
      <c r="B39" s="1048" t="s">
        <v>7168</v>
      </c>
      <c r="C39" s="1040" t="s">
        <v>7283</v>
      </c>
      <c r="D39" s="1049"/>
      <c r="E39" s="1049"/>
      <c r="F39" s="1049"/>
      <c r="G39" s="134"/>
      <c r="H39" s="144"/>
    </row>
    <row r="40" spans="1:9" ht="25.5" x14ac:dyDescent="0.2">
      <c r="A40" s="134"/>
      <c r="B40" s="1050" t="s">
        <v>7202</v>
      </c>
      <c r="C40" s="1051" t="s">
        <v>7194</v>
      </c>
      <c r="D40" s="1051" t="s">
        <v>7195</v>
      </c>
      <c r="E40" s="1051" t="s">
        <v>7196</v>
      </c>
      <c r="F40" s="1051" t="s">
        <v>7197</v>
      </c>
      <c r="G40" s="134"/>
      <c r="I40" s="41"/>
    </row>
    <row r="41" spans="1:9" ht="25.5" x14ac:dyDescent="0.2">
      <c r="A41" s="134"/>
      <c r="B41" s="1035" t="s">
        <v>7203</v>
      </c>
      <c r="C41" s="1052"/>
      <c r="D41" s="1053"/>
      <c r="E41" s="1053"/>
      <c r="F41" s="1054"/>
      <c r="G41" s="134"/>
    </row>
    <row r="42" spans="1:9" x14ac:dyDescent="0.2">
      <c r="A42" s="134"/>
      <c r="B42" s="1034" t="s">
        <v>7198</v>
      </c>
      <c r="C42" s="1055"/>
      <c r="D42" s="1056"/>
      <c r="E42" s="1056"/>
      <c r="F42" s="1057"/>
      <c r="G42" s="134"/>
    </row>
    <row r="43" spans="1:9" ht="25.5" x14ac:dyDescent="0.2">
      <c r="A43" s="134"/>
      <c r="B43" s="1035" t="s">
        <v>7200</v>
      </c>
      <c r="C43" s="1055"/>
      <c r="D43" s="1056"/>
      <c r="E43" s="1056"/>
      <c r="F43" s="1057"/>
      <c r="G43" s="134"/>
      <c r="I43" s="41"/>
    </row>
    <row r="44" spans="1:9" x14ac:dyDescent="0.2">
      <c r="A44" s="134"/>
      <c r="B44" s="1034" t="s">
        <v>7199</v>
      </c>
      <c r="C44" s="1055"/>
      <c r="D44" s="1056"/>
      <c r="E44" s="1056"/>
      <c r="F44" s="1058"/>
      <c r="G44" s="134"/>
    </row>
    <row r="45" spans="1:9" ht="25.5" x14ac:dyDescent="0.2">
      <c r="A45" s="134"/>
      <c r="B45" s="1035" t="s">
        <v>7201</v>
      </c>
      <c r="C45" s="1055"/>
      <c r="D45" s="1056"/>
      <c r="E45" s="1056"/>
      <c r="F45" s="1059"/>
      <c r="G45" s="134"/>
      <c r="I45" s="41"/>
    </row>
    <row r="46" spans="1:9" x14ac:dyDescent="0.2">
      <c r="A46" s="134"/>
      <c r="B46" s="1701" t="s">
        <v>7169</v>
      </c>
      <c r="C46" s="1055"/>
      <c r="D46" s="1056"/>
      <c r="E46" s="1056"/>
      <c r="F46" s="1059"/>
      <c r="G46" s="134"/>
    </row>
    <row r="47" spans="1:9" x14ac:dyDescent="0.2">
      <c r="A47" s="134"/>
      <c r="B47" s="1054"/>
      <c r="C47" s="1056"/>
      <c r="D47" s="1056"/>
      <c r="E47" s="1056"/>
      <c r="F47" s="1059"/>
      <c r="G47" s="134"/>
    </row>
    <row r="48" spans="1:9" x14ac:dyDescent="0.2">
      <c r="A48" s="134"/>
      <c r="B48" s="1057"/>
      <c r="C48" s="1056"/>
      <c r="D48" s="1056"/>
      <c r="E48" s="1056"/>
      <c r="F48" s="1059"/>
      <c r="G48" s="134"/>
    </row>
    <row r="49" spans="1:18" ht="40.5" customHeight="1" x14ac:dyDescent="0.2">
      <c r="A49" s="134"/>
      <c r="B49" s="1900" t="s">
        <v>7548</v>
      </c>
      <c r="C49" s="1901"/>
      <c r="D49" s="1901"/>
      <c r="E49" s="1901"/>
      <c r="F49" s="1901"/>
      <c r="G49" s="1060"/>
      <c r="J49" s="41"/>
    </row>
    <row r="50" spans="1:18" ht="15.75" x14ac:dyDescent="0.25">
      <c r="B50" s="1061"/>
      <c r="K50" s="40"/>
      <c r="L50" s="1062"/>
      <c r="M50" s="1063"/>
      <c r="N50" s="1062"/>
      <c r="O50" s="1062"/>
      <c r="P50" s="1062"/>
      <c r="Q50" s="1062"/>
      <c r="R50" s="1062"/>
    </row>
    <row r="51" spans="1:18" ht="15.75" x14ac:dyDescent="0.25">
      <c r="A51" s="1064" t="s">
        <v>7610</v>
      </c>
      <c r="B51" s="250"/>
      <c r="C51" s="1065"/>
      <c r="K51" s="40"/>
      <c r="L51" s="1062"/>
      <c r="M51" s="1063"/>
      <c r="N51" s="1062"/>
      <c r="O51" s="1062"/>
      <c r="P51" s="1062"/>
      <c r="Q51" s="1062"/>
      <c r="R51" s="1062"/>
    </row>
    <row r="52" spans="1:18" ht="15.75" x14ac:dyDescent="0.25">
      <c r="A52" s="1064"/>
      <c r="B52" s="1699"/>
      <c r="C52" s="1699" t="s">
        <v>7283</v>
      </c>
      <c r="D52" s="1700"/>
      <c r="E52" s="1700"/>
      <c r="F52" s="1700"/>
      <c r="K52" s="40"/>
      <c r="L52" s="1062"/>
      <c r="M52" s="1063"/>
      <c r="N52" s="1062"/>
      <c r="O52" s="1062"/>
      <c r="P52" s="1062"/>
      <c r="Q52" s="1062"/>
      <c r="R52" s="1062"/>
    </row>
    <row r="53" spans="1:18" ht="15.75" x14ac:dyDescent="0.25">
      <c r="A53" s="1064"/>
      <c r="B53" s="1699"/>
      <c r="C53" s="1699" t="s">
        <v>7283</v>
      </c>
      <c r="D53" s="1700"/>
      <c r="E53" s="1700"/>
      <c r="F53" s="1700"/>
      <c r="K53" s="40"/>
      <c r="L53" s="1062"/>
      <c r="M53" s="1063"/>
      <c r="N53" s="1062"/>
      <c r="O53" s="1062"/>
      <c r="P53" s="1062"/>
      <c r="Q53" s="1062"/>
      <c r="R53" s="1062"/>
    </row>
    <row r="54" spans="1:18" ht="15.75" x14ac:dyDescent="0.25">
      <c r="A54" s="250"/>
      <c r="B54" s="1699"/>
      <c r="C54" s="1699" t="s">
        <v>7283</v>
      </c>
      <c r="D54" s="1700"/>
      <c r="E54" s="1700"/>
      <c r="F54" s="1700"/>
      <c r="K54" s="40"/>
      <c r="L54" s="1062"/>
      <c r="M54" s="1063"/>
      <c r="N54" s="1066"/>
      <c r="O54" s="1066"/>
      <c r="P54" s="1067"/>
      <c r="Q54" s="1067"/>
      <c r="R54" s="1062"/>
    </row>
    <row r="55" spans="1:18" ht="15.75" x14ac:dyDescent="0.25">
      <c r="A55" s="250"/>
      <c r="B55" s="1699"/>
      <c r="C55" s="1699" t="s">
        <v>7283</v>
      </c>
      <c r="D55" s="1700"/>
      <c r="E55" s="1700"/>
      <c r="F55" s="1700"/>
      <c r="K55" s="40"/>
      <c r="L55" s="1062"/>
      <c r="M55" s="1063"/>
      <c r="N55" s="1066"/>
      <c r="O55" s="1066"/>
      <c r="P55" s="1066"/>
      <c r="Q55" s="1067"/>
      <c r="R55" s="1062"/>
    </row>
  </sheetData>
  <sheetProtection sheet="1" objects="1" scenarios="1" formatCells="0" formatColumns="0" formatRows="0" insertColumns="0" insertRows="0"/>
  <mergeCells count="14">
    <mergeCell ref="B49:F49"/>
    <mergeCell ref="A1:E1"/>
    <mergeCell ref="C10:F10"/>
    <mergeCell ref="C15:F15"/>
    <mergeCell ref="C38:F38"/>
    <mergeCell ref="C9:F9"/>
    <mergeCell ref="A2:F2"/>
    <mergeCell ref="C6:F6"/>
    <mergeCell ref="C7:F7"/>
    <mergeCell ref="C8:F8"/>
    <mergeCell ref="C11:F11"/>
    <mergeCell ref="C12:F12"/>
    <mergeCell ref="C13:F13"/>
    <mergeCell ref="C14:F14"/>
  </mergeCells>
  <pageMargins left="0.7" right="0.7" top="0.75" bottom="0.75" header="0.3" footer="0.3"/>
  <pageSetup paperSize="9" orientation="portrait"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tabColor rgb="FFFFFF99"/>
  </sheetPr>
  <dimension ref="A1:BI167"/>
  <sheetViews>
    <sheetView workbookViewId="0"/>
  </sheetViews>
  <sheetFormatPr baseColWidth="10" defaultColWidth="11.42578125" defaultRowHeight="12.75" outlineLevelCol="1" x14ac:dyDescent="0.2"/>
  <cols>
    <col min="1" max="1" width="35.28515625" style="1004" customWidth="1"/>
    <col min="2" max="2" width="21" style="1026" customWidth="1" outlineLevel="1"/>
    <col min="3" max="3" width="3.85546875" style="1026" customWidth="1" outlineLevel="1"/>
    <col min="4" max="12" width="3.7109375" style="1028" customWidth="1"/>
    <col min="13" max="14" width="4.140625" style="1028" customWidth="1"/>
    <col min="15" max="15" width="5" style="1028" customWidth="1"/>
    <col min="16" max="16" width="5.7109375" style="957" customWidth="1"/>
    <col min="17" max="17" width="6" style="957" customWidth="1"/>
    <col min="18" max="18" width="9.140625" style="957" customWidth="1"/>
    <col min="19" max="19" width="3.42578125" style="1028" customWidth="1"/>
    <col min="20" max="20" width="4.42578125" style="1028" customWidth="1"/>
    <col min="21" max="21" width="4.85546875" style="1028" customWidth="1"/>
    <col min="22" max="24" width="3.42578125" style="1028" customWidth="1"/>
    <col min="25" max="25" width="4.42578125" style="957" customWidth="1"/>
    <col min="26" max="26" width="4.85546875" style="957" customWidth="1"/>
    <col min="27" max="31" width="3.42578125" style="1028" customWidth="1"/>
    <col min="32" max="32" width="3" style="1028" customWidth="1"/>
    <col min="33" max="61" width="3" style="956" hidden="1" customWidth="1"/>
    <col min="62" max="62" width="3" style="957" customWidth="1"/>
    <col min="63" max="75" width="9.140625" style="957" customWidth="1"/>
    <col min="76" max="16384" width="11.42578125" style="957"/>
  </cols>
  <sheetData>
    <row r="1" spans="1:61" ht="18" customHeight="1" x14ac:dyDescent="0.2">
      <c r="A1" s="1242" t="s">
        <v>3270</v>
      </c>
      <c r="B1" s="1185"/>
      <c r="C1" s="1184"/>
      <c r="D1" s="1912" t="s">
        <v>3528</v>
      </c>
      <c r="E1" s="1913"/>
      <c r="F1" s="1913"/>
      <c r="G1" s="1913"/>
      <c r="H1" s="1913"/>
      <c r="I1" s="1913"/>
      <c r="J1" s="1913"/>
      <c r="K1" s="1913"/>
      <c r="L1" s="1913"/>
      <c r="M1" s="1913"/>
      <c r="N1" s="1913"/>
      <c r="O1" s="1913"/>
      <c r="P1" s="1913"/>
      <c r="Q1" s="1913"/>
      <c r="R1" s="1913"/>
      <c r="S1" s="1913"/>
      <c r="T1" s="1913"/>
      <c r="U1" s="1913"/>
      <c r="V1" s="1913"/>
      <c r="W1" s="1913"/>
      <c r="X1" s="1913"/>
      <c r="Y1" s="1913"/>
      <c r="Z1" s="1913"/>
      <c r="AA1" s="1913"/>
      <c r="AB1" s="1913"/>
      <c r="AC1" s="1913"/>
      <c r="AD1" s="1913"/>
      <c r="AE1" s="1913"/>
      <c r="AF1" s="1913"/>
      <c r="AG1" s="1002"/>
      <c r="AH1" s="1002"/>
      <c r="AI1" s="1002"/>
      <c r="AJ1" s="1002"/>
      <c r="AK1" s="1002"/>
      <c r="AL1" s="1002"/>
      <c r="AM1" s="1002"/>
      <c r="AN1" s="1002"/>
      <c r="AO1" s="1002"/>
      <c r="AP1" s="1002"/>
      <c r="AQ1" s="1002"/>
      <c r="AR1" s="1002"/>
      <c r="AS1" s="1002"/>
      <c r="AT1" s="1002"/>
      <c r="AU1" s="1002"/>
      <c r="AV1" s="1002"/>
      <c r="AW1" s="1002"/>
      <c r="AX1" s="1002"/>
      <c r="AY1" s="1002"/>
      <c r="AZ1" s="1002"/>
      <c r="BA1" s="1002"/>
      <c r="BB1" s="1002"/>
      <c r="BC1" s="1002"/>
      <c r="BD1" s="1002"/>
      <c r="BE1" s="1002"/>
      <c r="BF1" s="1002"/>
      <c r="BG1" s="1002"/>
      <c r="BH1" s="1002"/>
      <c r="BI1" s="1002"/>
    </row>
    <row r="2" spans="1:61" s="1004" customFormat="1" ht="71.25" customHeight="1" x14ac:dyDescent="0.2">
      <c r="A2" s="1243" t="s">
        <v>7436</v>
      </c>
      <c r="B2" s="959" t="s">
        <v>7432</v>
      </c>
      <c r="C2" s="960" t="s">
        <v>7215</v>
      </c>
      <c r="D2" s="1914" t="s">
        <v>113</v>
      </c>
      <c r="E2" s="1915"/>
      <c r="F2" s="1916"/>
      <c r="G2" s="1914" t="s">
        <v>112</v>
      </c>
      <c r="H2" s="1915"/>
      <c r="I2" s="1916"/>
      <c r="J2" s="1914" t="s">
        <v>3853</v>
      </c>
      <c r="K2" s="1915"/>
      <c r="L2" s="1916"/>
      <c r="M2" s="1914" t="s">
        <v>1672</v>
      </c>
      <c r="N2" s="1915"/>
      <c r="O2" s="1916"/>
      <c r="P2" s="1914" t="s">
        <v>1671</v>
      </c>
      <c r="Q2" s="1916"/>
      <c r="R2" s="1384" t="s">
        <v>7431</v>
      </c>
      <c r="S2" s="1914" t="s">
        <v>5708</v>
      </c>
      <c r="T2" s="1915"/>
      <c r="U2" s="1916"/>
      <c r="V2" s="1914" t="s">
        <v>2376</v>
      </c>
      <c r="W2" s="1915"/>
      <c r="X2" s="1916"/>
      <c r="Y2" s="1914" t="s">
        <v>1670</v>
      </c>
      <c r="Z2" s="1916"/>
      <c r="AA2" s="1914" t="s">
        <v>3429</v>
      </c>
      <c r="AB2" s="1915"/>
      <c r="AC2" s="1916"/>
      <c r="AD2" s="1914" t="s">
        <v>3854</v>
      </c>
      <c r="AE2" s="1915"/>
      <c r="AF2" s="1916"/>
      <c r="AG2" s="1003"/>
      <c r="AH2" s="1003"/>
      <c r="AI2" s="1003"/>
      <c r="AJ2" s="1003"/>
      <c r="AK2" s="1003"/>
      <c r="AL2" s="1003"/>
      <c r="AM2" s="1003"/>
      <c r="AN2" s="1003"/>
      <c r="AO2" s="1003"/>
      <c r="AP2" s="1003"/>
      <c r="AQ2" s="1003"/>
      <c r="AR2" s="1003"/>
      <c r="AS2" s="1003"/>
      <c r="AT2" s="1003"/>
      <c r="AU2" s="1003"/>
      <c r="AV2" s="1003"/>
      <c r="AW2" s="1003"/>
      <c r="AX2" s="1003"/>
      <c r="AY2" s="1003"/>
      <c r="AZ2" s="1003"/>
      <c r="BA2" s="1003"/>
      <c r="BB2" s="1003"/>
      <c r="BC2" s="1003"/>
      <c r="BD2" s="1003"/>
      <c r="BE2" s="1003"/>
      <c r="BF2" s="1003"/>
      <c r="BG2" s="1003"/>
      <c r="BH2" s="1003"/>
      <c r="BI2" s="1003"/>
    </row>
    <row r="3" spans="1:61" s="1004" customFormat="1" ht="27.75" customHeight="1" x14ac:dyDescent="0.2">
      <c r="A3" s="1244"/>
      <c r="B3" s="996"/>
      <c r="C3" s="996"/>
      <c r="D3" s="1164" t="s">
        <v>1873</v>
      </c>
      <c r="E3" s="1164" t="s">
        <v>4638</v>
      </c>
      <c r="F3" s="1185" t="s">
        <v>4811</v>
      </c>
      <c r="G3" s="1185" t="s">
        <v>1873</v>
      </c>
      <c r="H3" s="1185" t="s">
        <v>4638</v>
      </c>
      <c r="I3" s="1185" t="s">
        <v>4811</v>
      </c>
      <c r="J3" s="1185" t="s">
        <v>1873</v>
      </c>
      <c r="K3" s="1185" t="s">
        <v>4638</v>
      </c>
      <c r="L3" s="1185" t="s">
        <v>4811</v>
      </c>
      <c r="M3" s="1185" t="s">
        <v>1873</v>
      </c>
      <c r="N3" s="1185" t="s">
        <v>4638</v>
      </c>
      <c r="O3" s="1185" t="s">
        <v>4811</v>
      </c>
      <c r="P3" s="1185" t="s">
        <v>1873</v>
      </c>
      <c r="Q3" s="1185" t="s">
        <v>4811</v>
      </c>
      <c r="R3" s="1185" t="s">
        <v>4811</v>
      </c>
      <c r="S3" s="1185" t="s">
        <v>1873</v>
      </c>
      <c r="T3" s="1185" t="s">
        <v>4638</v>
      </c>
      <c r="U3" s="1185" t="s">
        <v>4811</v>
      </c>
      <c r="V3" s="1185" t="s">
        <v>1873</v>
      </c>
      <c r="W3" s="1185" t="s">
        <v>4638</v>
      </c>
      <c r="X3" s="1185" t="s">
        <v>4811</v>
      </c>
      <c r="Y3" s="1185" t="s">
        <v>1873</v>
      </c>
      <c r="Z3" s="1185" t="s">
        <v>4811</v>
      </c>
      <c r="AA3" s="1185" t="s">
        <v>1873</v>
      </c>
      <c r="AB3" s="1185" t="s">
        <v>4638</v>
      </c>
      <c r="AC3" s="1185" t="s">
        <v>4811</v>
      </c>
      <c r="AD3" s="1185" t="s">
        <v>1873</v>
      </c>
      <c r="AE3" s="1185" t="s">
        <v>4638</v>
      </c>
      <c r="AF3" s="1185" t="s">
        <v>4811</v>
      </c>
      <c r="AG3" s="1003"/>
      <c r="AH3" s="1003"/>
      <c r="AI3" s="1003"/>
      <c r="AJ3" s="1003"/>
      <c r="AK3" s="1003"/>
      <c r="AL3" s="1003"/>
      <c r="AM3" s="1003"/>
      <c r="AN3" s="1003"/>
      <c r="AO3" s="1003"/>
      <c r="AP3" s="1003"/>
      <c r="AQ3" s="1003"/>
      <c r="AR3" s="1003"/>
      <c r="AS3" s="1003"/>
      <c r="AT3" s="1003"/>
      <c r="AU3" s="1003"/>
      <c r="AV3" s="1003"/>
      <c r="AW3" s="1003"/>
      <c r="AX3" s="1003"/>
      <c r="AY3" s="1003"/>
      <c r="AZ3" s="1003"/>
      <c r="BA3" s="1003"/>
      <c r="BB3" s="1003"/>
      <c r="BC3" s="1003"/>
      <c r="BD3" s="1003"/>
      <c r="BE3" s="1003"/>
      <c r="BF3" s="1003"/>
      <c r="BG3" s="1003"/>
      <c r="BH3" s="1003"/>
      <c r="BI3" s="1003"/>
    </row>
    <row r="4" spans="1:61" s="1006" customFormat="1" ht="13.5" customHeight="1" x14ac:dyDescent="0.2">
      <c r="A4" s="1405"/>
      <c r="B4" s="1409" t="s">
        <v>7550</v>
      </c>
      <c r="C4" s="964"/>
      <c r="D4" s="1168" t="s">
        <v>1872</v>
      </c>
      <c r="E4" s="1168" t="s">
        <v>1872</v>
      </c>
      <c r="F4" s="1005" t="s">
        <v>1872</v>
      </c>
      <c r="G4" s="1005" t="s">
        <v>5476</v>
      </c>
      <c r="H4" s="1005" t="s">
        <v>5476</v>
      </c>
      <c r="I4" s="1005" t="s">
        <v>5476</v>
      </c>
      <c r="J4" s="1005" t="s">
        <v>3519</v>
      </c>
      <c r="K4" s="1005" t="s">
        <v>3519</v>
      </c>
      <c r="L4" s="1005" t="s">
        <v>3519</v>
      </c>
      <c r="M4" s="1005" t="s">
        <v>3521</v>
      </c>
      <c r="N4" s="1005" t="s">
        <v>3521</v>
      </c>
      <c r="O4" s="1005" t="s">
        <v>3521</v>
      </c>
      <c r="P4" s="1005" t="s">
        <v>5459</v>
      </c>
      <c r="Q4" s="1005" t="s">
        <v>5459</v>
      </c>
      <c r="R4" s="1005" t="s">
        <v>4813</v>
      </c>
      <c r="S4" s="1005" t="s">
        <v>5461</v>
      </c>
      <c r="T4" s="1005" t="s">
        <v>5461</v>
      </c>
      <c r="U4" s="1005" t="s">
        <v>5461</v>
      </c>
      <c r="V4" s="1005" t="s">
        <v>5464</v>
      </c>
      <c r="W4" s="1005" t="s">
        <v>5464</v>
      </c>
      <c r="X4" s="1005" t="s">
        <v>5464</v>
      </c>
      <c r="Y4" s="1005" t="s">
        <v>2783</v>
      </c>
      <c r="Z4" s="1005" t="s">
        <v>2783</v>
      </c>
      <c r="AA4" s="1005" t="s">
        <v>4734</v>
      </c>
      <c r="AB4" s="1005" t="s">
        <v>4734</v>
      </c>
      <c r="AC4" s="1005" t="s">
        <v>4734</v>
      </c>
      <c r="AD4" s="1005" t="s">
        <v>4873</v>
      </c>
      <c r="AE4" s="1005" t="s">
        <v>4873</v>
      </c>
      <c r="AF4" s="1005" t="s">
        <v>4873</v>
      </c>
      <c r="AG4" s="967"/>
      <c r="AH4" s="967"/>
      <c r="AI4" s="967"/>
      <c r="AJ4" s="967"/>
      <c r="AK4" s="967"/>
      <c r="AL4" s="967"/>
      <c r="AM4" s="967"/>
      <c r="AN4" s="967"/>
      <c r="AO4" s="967"/>
      <c r="AP4" s="967"/>
      <c r="AQ4" s="967"/>
      <c r="AR4" s="967"/>
      <c r="AS4" s="967"/>
      <c r="AT4" s="967"/>
      <c r="AU4" s="967"/>
      <c r="AV4" s="967"/>
      <c r="AW4" s="967"/>
      <c r="AX4" s="967"/>
      <c r="AY4" s="967"/>
      <c r="AZ4" s="967"/>
      <c r="BA4" s="967"/>
      <c r="BB4" s="967"/>
      <c r="BC4" s="967"/>
      <c r="BD4" s="967"/>
      <c r="BE4" s="967"/>
      <c r="BF4" s="967"/>
      <c r="BG4" s="967"/>
      <c r="BH4" s="967"/>
      <c r="BI4" s="967"/>
    </row>
    <row r="5" spans="1:61" s="1006" customFormat="1" ht="15.75" customHeight="1" x14ac:dyDescent="0.2">
      <c r="A5" s="1245" t="s">
        <v>3753</v>
      </c>
      <c r="B5" s="972"/>
      <c r="C5" s="998"/>
      <c r="D5" s="1167"/>
      <c r="E5" s="1167"/>
      <c r="F5" s="998"/>
      <c r="G5" s="998"/>
      <c r="H5" s="998"/>
      <c r="I5" s="998"/>
      <c r="J5" s="998"/>
      <c r="K5" s="998"/>
      <c r="L5" s="998"/>
      <c r="M5" s="998"/>
      <c r="N5" s="998"/>
      <c r="O5" s="998"/>
      <c r="P5" s="998"/>
      <c r="Q5" s="998"/>
      <c r="R5" s="998"/>
      <c r="S5" s="998"/>
      <c r="T5" s="998"/>
      <c r="U5" s="998"/>
      <c r="V5" s="998"/>
      <c r="W5" s="998"/>
      <c r="X5" s="998"/>
      <c r="Y5" s="998"/>
      <c r="Z5" s="998"/>
      <c r="AA5" s="998"/>
      <c r="AB5" s="998"/>
      <c r="AC5" s="998"/>
      <c r="AD5" s="998"/>
      <c r="AE5" s="998"/>
      <c r="AF5" s="998"/>
      <c r="AG5" s="998"/>
      <c r="AH5" s="998"/>
      <c r="AI5" s="998"/>
      <c r="AJ5" s="998"/>
      <c r="AK5" s="998"/>
      <c r="AL5" s="998"/>
      <c r="AM5" s="998"/>
      <c r="AN5" s="998"/>
      <c r="AO5" s="998"/>
      <c r="AP5" s="998"/>
      <c r="AQ5" s="998"/>
      <c r="AR5" s="998"/>
      <c r="AS5" s="998"/>
      <c r="AT5" s="998"/>
      <c r="AU5" s="998"/>
      <c r="AV5" s="998"/>
      <c r="AW5" s="998"/>
      <c r="AX5" s="998"/>
      <c r="AY5" s="998"/>
      <c r="AZ5" s="998"/>
      <c r="BA5" s="998"/>
      <c r="BB5" s="998"/>
      <c r="BC5" s="998"/>
      <c r="BD5" s="998"/>
      <c r="BE5" s="998"/>
      <c r="BF5" s="998"/>
      <c r="BG5" s="998"/>
      <c r="BH5" s="998"/>
      <c r="BI5" s="998"/>
    </row>
    <row r="6" spans="1:61" s="1007" customFormat="1" ht="15.75" customHeight="1" x14ac:dyDescent="0.2">
      <c r="A6" s="1382" t="s">
        <v>7509</v>
      </c>
      <c r="B6" s="974"/>
      <c r="C6" s="1406">
        <v>1</v>
      </c>
      <c r="D6" s="1685"/>
      <c r="E6" s="1685"/>
      <c r="F6" s="1685"/>
      <c r="G6" s="1685"/>
      <c r="H6" s="1685"/>
      <c r="I6" s="1685"/>
      <c r="J6" s="1685"/>
      <c r="K6" s="1685"/>
      <c r="L6" s="1685"/>
      <c r="M6" s="1685"/>
      <c r="N6" s="1685"/>
      <c r="O6" s="1685"/>
      <c r="P6" s="1685"/>
      <c r="Q6" s="1685"/>
      <c r="R6" s="1685"/>
      <c r="S6" s="1685"/>
      <c r="T6" s="1685"/>
      <c r="U6" s="1685"/>
      <c r="V6" s="1685"/>
      <c r="W6" s="1685"/>
      <c r="X6" s="1685"/>
      <c r="Y6" s="1685"/>
      <c r="Z6" s="1685"/>
      <c r="AA6" s="1685"/>
      <c r="AB6" s="1685"/>
      <c r="AC6" s="1685"/>
      <c r="AD6" s="1685"/>
      <c r="AE6" s="1685"/>
      <c r="AF6" s="1685"/>
      <c r="AG6" s="976">
        <f>IF($C6="",0,IF($C6=1,D6,0))</f>
        <v>0</v>
      </c>
      <c r="AH6" s="976">
        <f t="shared" ref="AH6:BH15" si="0">IF($C6="",0,IF($C6=1,E6,0))</f>
        <v>0</v>
      </c>
      <c r="AI6" s="976">
        <f t="shared" si="0"/>
        <v>0</v>
      </c>
      <c r="AJ6" s="976">
        <f t="shared" si="0"/>
        <v>0</v>
      </c>
      <c r="AK6" s="976">
        <f t="shared" si="0"/>
        <v>0</v>
      </c>
      <c r="AL6" s="976">
        <f t="shared" si="0"/>
        <v>0</v>
      </c>
      <c r="AM6" s="976">
        <f t="shared" si="0"/>
        <v>0</v>
      </c>
      <c r="AN6" s="976">
        <f t="shared" si="0"/>
        <v>0</v>
      </c>
      <c r="AO6" s="976">
        <f t="shared" si="0"/>
        <v>0</v>
      </c>
      <c r="AP6" s="976">
        <f t="shared" si="0"/>
        <v>0</v>
      </c>
      <c r="AQ6" s="976">
        <f t="shared" si="0"/>
        <v>0</v>
      </c>
      <c r="AR6" s="976">
        <f t="shared" si="0"/>
        <v>0</v>
      </c>
      <c r="AS6" s="976">
        <f t="shared" si="0"/>
        <v>0</v>
      </c>
      <c r="AT6" s="976">
        <f t="shared" si="0"/>
        <v>0</v>
      </c>
      <c r="AU6" s="976">
        <f t="shared" si="0"/>
        <v>0</v>
      </c>
      <c r="AV6" s="976">
        <f t="shared" si="0"/>
        <v>0</v>
      </c>
      <c r="AW6" s="976">
        <f t="shared" si="0"/>
        <v>0</v>
      </c>
      <c r="AX6" s="976">
        <f t="shared" si="0"/>
        <v>0</v>
      </c>
      <c r="AY6" s="976">
        <f t="shared" si="0"/>
        <v>0</v>
      </c>
      <c r="AZ6" s="976">
        <f t="shared" si="0"/>
        <v>0</v>
      </c>
      <c r="BA6" s="976">
        <f t="shared" si="0"/>
        <v>0</v>
      </c>
      <c r="BB6" s="976">
        <f t="shared" si="0"/>
        <v>0</v>
      </c>
      <c r="BC6" s="976">
        <f t="shared" si="0"/>
        <v>0</v>
      </c>
      <c r="BD6" s="976">
        <f t="shared" si="0"/>
        <v>0</v>
      </c>
      <c r="BE6" s="976">
        <f t="shared" si="0"/>
        <v>0</v>
      </c>
      <c r="BF6" s="976">
        <f t="shared" si="0"/>
        <v>0</v>
      </c>
      <c r="BG6" s="976">
        <f t="shared" si="0"/>
        <v>0</v>
      </c>
      <c r="BH6" s="976">
        <f t="shared" si="0"/>
        <v>0</v>
      </c>
      <c r="BI6" s="976">
        <f t="shared" ref="BI6:BI25" si="1">IF($C6="",0,IF($C6=1,AF6,0))</f>
        <v>0</v>
      </c>
    </row>
    <row r="7" spans="1:61" s="1007" customFormat="1" ht="15.75" customHeight="1" x14ac:dyDescent="0.2">
      <c r="A7" s="1382" t="s">
        <v>7510</v>
      </c>
      <c r="B7" s="974"/>
      <c r="C7" s="1406">
        <v>1</v>
      </c>
      <c r="D7" s="1686"/>
      <c r="E7" s="1686"/>
      <c r="F7" s="1686"/>
      <c r="G7" s="1686"/>
      <c r="H7" s="1686"/>
      <c r="I7" s="1686"/>
      <c r="J7" s="1686"/>
      <c r="K7" s="1686"/>
      <c r="L7" s="1686"/>
      <c r="M7" s="1686"/>
      <c r="N7" s="1686"/>
      <c r="O7" s="1686"/>
      <c r="P7" s="1686"/>
      <c r="Q7" s="1686"/>
      <c r="R7" s="1686"/>
      <c r="S7" s="1686"/>
      <c r="T7" s="1686"/>
      <c r="U7" s="1686"/>
      <c r="V7" s="1686"/>
      <c r="W7" s="1686"/>
      <c r="X7" s="1686"/>
      <c r="Y7" s="1686"/>
      <c r="Z7" s="1686"/>
      <c r="AA7" s="1686"/>
      <c r="AB7" s="1686"/>
      <c r="AC7" s="1686"/>
      <c r="AD7" s="1686"/>
      <c r="AE7" s="1686"/>
      <c r="AF7" s="1686"/>
      <c r="AG7" s="976">
        <f t="shared" ref="AG7:AV24" si="2">IF($C7="",0,IF($C7=1,D7,0))</f>
        <v>0</v>
      </c>
      <c r="AH7" s="976">
        <f t="shared" si="0"/>
        <v>0</v>
      </c>
      <c r="AI7" s="976">
        <f t="shared" si="0"/>
        <v>0</v>
      </c>
      <c r="AJ7" s="976">
        <f t="shared" si="0"/>
        <v>0</v>
      </c>
      <c r="AK7" s="976">
        <f t="shared" si="0"/>
        <v>0</v>
      </c>
      <c r="AL7" s="976">
        <f t="shared" si="0"/>
        <v>0</v>
      </c>
      <c r="AM7" s="976">
        <f t="shared" si="0"/>
        <v>0</v>
      </c>
      <c r="AN7" s="976">
        <f t="shared" si="0"/>
        <v>0</v>
      </c>
      <c r="AO7" s="976">
        <f t="shared" si="0"/>
        <v>0</v>
      </c>
      <c r="AP7" s="976">
        <f t="shared" si="0"/>
        <v>0</v>
      </c>
      <c r="AQ7" s="976">
        <f t="shared" si="0"/>
        <v>0</v>
      </c>
      <c r="AR7" s="976">
        <f t="shared" si="0"/>
        <v>0</v>
      </c>
      <c r="AS7" s="976">
        <f t="shared" si="0"/>
        <v>0</v>
      </c>
      <c r="AT7" s="976">
        <f t="shared" si="0"/>
        <v>0</v>
      </c>
      <c r="AU7" s="976">
        <f t="shared" si="0"/>
        <v>0</v>
      </c>
      <c r="AV7" s="976">
        <f t="shared" si="0"/>
        <v>0</v>
      </c>
      <c r="AW7" s="976">
        <f t="shared" si="0"/>
        <v>0</v>
      </c>
      <c r="AX7" s="976">
        <f t="shared" si="0"/>
        <v>0</v>
      </c>
      <c r="AY7" s="976">
        <f t="shared" si="0"/>
        <v>0</v>
      </c>
      <c r="AZ7" s="976">
        <f t="shared" si="0"/>
        <v>0</v>
      </c>
      <c r="BA7" s="976">
        <f t="shared" si="0"/>
        <v>0</v>
      </c>
      <c r="BB7" s="976">
        <f t="shared" si="0"/>
        <v>0</v>
      </c>
      <c r="BC7" s="976">
        <f t="shared" si="0"/>
        <v>0</v>
      </c>
      <c r="BD7" s="976">
        <f t="shared" si="0"/>
        <v>0</v>
      </c>
      <c r="BE7" s="976">
        <f t="shared" si="0"/>
        <v>0</v>
      </c>
      <c r="BF7" s="976">
        <f t="shared" si="0"/>
        <v>0</v>
      </c>
      <c r="BG7" s="976">
        <f t="shared" si="0"/>
        <v>0</v>
      </c>
      <c r="BH7" s="976">
        <f t="shared" si="0"/>
        <v>0</v>
      </c>
      <c r="BI7" s="976">
        <f t="shared" si="1"/>
        <v>0</v>
      </c>
    </row>
    <row r="8" spans="1:61" s="1007" customFormat="1" ht="15.75" customHeight="1" x14ac:dyDescent="0.2">
      <c r="A8" s="1382" t="s">
        <v>7511</v>
      </c>
      <c r="B8" s="974"/>
      <c r="C8" s="1406">
        <v>1</v>
      </c>
      <c r="D8" s="1686"/>
      <c r="E8" s="1686"/>
      <c r="F8" s="1686"/>
      <c r="G8" s="1686"/>
      <c r="H8" s="1686"/>
      <c r="I8" s="1686"/>
      <c r="J8" s="1686"/>
      <c r="K8" s="1686"/>
      <c r="L8" s="1686"/>
      <c r="M8" s="1686"/>
      <c r="N8" s="1686"/>
      <c r="O8" s="1686"/>
      <c r="P8" s="1686"/>
      <c r="Q8" s="1686"/>
      <c r="R8" s="1686"/>
      <c r="S8" s="1686"/>
      <c r="T8" s="1686"/>
      <c r="U8" s="1686"/>
      <c r="V8" s="1686"/>
      <c r="W8" s="1686"/>
      <c r="X8" s="1686"/>
      <c r="Y8" s="1686"/>
      <c r="Z8" s="1686"/>
      <c r="AA8" s="1686"/>
      <c r="AB8" s="1686"/>
      <c r="AC8" s="1686"/>
      <c r="AD8" s="1686"/>
      <c r="AE8" s="1686"/>
      <c r="AF8" s="1686"/>
      <c r="AG8" s="976">
        <f t="shared" si="2"/>
        <v>0</v>
      </c>
      <c r="AH8" s="976">
        <f t="shared" si="0"/>
        <v>0</v>
      </c>
      <c r="AI8" s="976">
        <f t="shared" si="0"/>
        <v>0</v>
      </c>
      <c r="AJ8" s="976">
        <f t="shared" si="0"/>
        <v>0</v>
      </c>
      <c r="AK8" s="976">
        <f t="shared" si="0"/>
        <v>0</v>
      </c>
      <c r="AL8" s="976">
        <f t="shared" si="0"/>
        <v>0</v>
      </c>
      <c r="AM8" s="976">
        <f t="shared" si="0"/>
        <v>0</v>
      </c>
      <c r="AN8" s="976">
        <f t="shared" si="0"/>
        <v>0</v>
      </c>
      <c r="AO8" s="976">
        <f t="shared" si="0"/>
        <v>0</v>
      </c>
      <c r="AP8" s="976">
        <f t="shared" si="0"/>
        <v>0</v>
      </c>
      <c r="AQ8" s="976">
        <f t="shared" si="0"/>
        <v>0</v>
      </c>
      <c r="AR8" s="976">
        <f t="shared" si="0"/>
        <v>0</v>
      </c>
      <c r="AS8" s="976">
        <f t="shared" si="0"/>
        <v>0</v>
      </c>
      <c r="AT8" s="976">
        <f t="shared" si="0"/>
        <v>0</v>
      </c>
      <c r="AU8" s="976">
        <f t="shared" si="0"/>
        <v>0</v>
      </c>
      <c r="AV8" s="976">
        <f t="shared" si="0"/>
        <v>0</v>
      </c>
      <c r="AW8" s="976">
        <f t="shared" si="0"/>
        <v>0</v>
      </c>
      <c r="AX8" s="976">
        <f t="shared" si="0"/>
        <v>0</v>
      </c>
      <c r="AY8" s="976">
        <f t="shared" si="0"/>
        <v>0</v>
      </c>
      <c r="AZ8" s="976">
        <f t="shared" si="0"/>
        <v>0</v>
      </c>
      <c r="BA8" s="976">
        <f t="shared" si="0"/>
        <v>0</v>
      </c>
      <c r="BB8" s="976">
        <f t="shared" si="0"/>
        <v>0</v>
      </c>
      <c r="BC8" s="976">
        <f t="shared" si="0"/>
        <v>0</v>
      </c>
      <c r="BD8" s="976">
        <f t="shared" si="0"/>
        <v>0</v>
      </c>
      <c r="BE8" s="976">
        <f t="shared" si="0"/>
        <v>0</v>
      </c>
      <c r="BF8" s="976">
        <f t="shared" si="0"/>
        <v>0</v>
      </c>
      <c r="BG8" s="976">
        <f t="shared" si="0"/>
        <v>0</v>
      </c>
      <c r="BH8" s="976">
        <f t="shared" si="0"/>
        <v>0</v>
      </c>
      <c r="BI8" s="976">
        <f t="shared" si="1"/>
        <v>0</v>
      </c>
    </row>
    <row r="9" spans="1:61" s="1007" customFormat="1" ht="15.75" customHeight="1" x14ac:dyDescent="0.2">
      <c r="A9" s="1382" t="s">
        <v>7512</v>
      </c>
      <c r="B9" s="974"/>
      <c r="C9" s="1406">
        <v>1</v>
      </c>
      <c r="D9" s="1686"/>
      <c r="E9" s="1686"/>
      <c r="F9" s="1686"/>
      <c r="G9" s="1686"/>
      <c r="H9" s="1686"/>
      <c r="I9" s="1686"/>
      <c r="J9" s="1686"/>
      <c r="K9" s="1686"/>
      <c r="L9" s="1686"/>
      <c r="M9" s="1686"/>
      <c r="N9" s="1686"/>
      <c r="O9" s="1686"/>
      <c r="P9" s="1686"/>
      <c r="Q9" s="1686"/>
      <c r="R9" s="1686"/>
      <c r="S9" s="1686"/>
      <c r="T9" s="1686"/>
      <c r="U9" s="1686"/>
      <c r="V9" s="1686"/>
      <c r="W9" s="1686"/>
      <c r="X9" s="1686"/>
      <c r="Y9" s="1686"/>
      <c r="Z9" s="1686"/>
      <c r="AA9" s="1686"/>
      <c r="AB9" s="1686"/>
      <c r="AC9" s="1686"/>
      <c r="AD9" s="1686"/>
      <c r="AE9" s="1686"/>
      <c r="AF9" s="1686"/>
      <c r="AG9" s="976">
        <f t="shared" si="2"/>
        <v>0</v>
      </c>
      <c r="AH9" s="976">
        <f t="shared" si="0"/>
        <v>0</v>
      </c>
      <c r="AI9" s="976">
        <f t="shared" si="0"/>
        <v>0</v>
      </c>
      <c r="AJ9" s="976">
        <f t="shared" si="0"/>
        <v>0</v>
      </c>
      <c r="AK9" s="976">
        <f t="shared" si="0"/>
        <v>0</v>
      </c>
      <c r="AL9" s="976">
        <f t="shared" si="0"/>
        <v>0</v>
      </c>
      <c r="AM9" s="976">
        <f t="shared" si="0"/>
        <v>0</v>
      </c>
      <c r="AN9" s="976">
        <f t="shared" si="0"/>
        <v>0</v>
      </c>
      <c r="AO9" s="976">
        <f t="shared" si="0"/>
        <v>0</v>
      </c>
      <c r="AP9" s="976">
        <f t="shared" si="0"/>
        <v>0</v>
      </c>
      <c r="AQ9" s="976">
        <f t="shared" si="0"/>
        <v>0</v>
      </c>
      <c r="AR9" s="976">
        <f t="shared" si="0"/>
        <v>0</v>
      </c>
      <c r="AS9" s="976">
        <f t="shared" si="0"/>
        <v>0</v>
      </c>
      <c r="AT9" s="976">
        <f t="shared" si="0"/>
        <v>0</v>
      </c>
      <c r="AU9" s="976">
        <f t="shared" si="0"/>
        <v>0</v>
      </c>
      <c r="AV9" s="976">
        <f t="shared" si="0"/>
        <v>0</v>
      </c>
      <c r="AW9" s="976">
        <f t="shared" si="0"/>
        <v>0</v>
      </c>
      <c r="AX9" s="976">
        <f t="shared" si="0"/>
        <v>0</v>
      </c>
      <c r="AY9" s="976">
        <f t="shared" si="0"/>
        <v>0</v>
      </c>
      <c r="AZ9" s="976">
        <f t="shared" si="0"/>
        <v>0</v>
      </c>
      <c r="BA9" s="976">
        <f t="shared" si="0"/>
        <v>0</v>
      </c>
      <c r="BB9" s="976">
        <f t="shared" si="0"/>
        <v>0</v>
      </c>
      <c r="BC9" s="976">
        <f t="shared" si="0"/>
        <v>0</v>
      </c>
      <c r="BD9" s="976">
        <f t="shared" si="0"/>
        <v>0</v>
      </c>
      <c r="BE9" s="976">
        <f t="shared" si="0"/>
        <v>0</v>
      </c>
      <c r="BF9" s="976">
        <f t="shared" si="0"/>
        <v>0</v>
      </c>
      <c r="BG9" s="976">
        <f t="shared" si="0"/>
        <v>0</v>
      </c>
      <c r="BH9" s="976">
        <f t="shared" si="0"/>
        <v>0</v>
      </c>
      <c r="BI9" s="976">
        <f t="shared" si="1"/>
        <v>0</v>
      </c>
    </row>
    <row r="10" spans="1:61" s="1007" customFormat="1" ht="15.75" customHeight="1" x14ac:dyDescent="0.2">
      <c r="A10" s="1382" t="s">
        <v>7513</v>
      </c>
      <c r="B10" s="974"/>
      <c r="C10" s="1406">
        <v>1</v>
      </c>
      <c r="D10" s="1686"/>
      <c r="E10" s="1686"/>
      <c r="F10" s="1686"/>
      <c r="G10" s="1686"/>
      <c r="H10" s="1686"/>
      <c r="I10" s="1686"/>
      <c r="J10" s="1686"/>
      <c r="K10" s="1686"/>
      <c r="L10" s="1686"/>
      <c r="M10" s="1686"/>
      <c r="N10" s="1686"/>
      <c r="O10" s="1686"/>
      <c r="P10" s="1686"/>
      <c r="Q10" s="1686"/>
      <c r="R10" s="1686"/>
      <c r="S10" s="1686"/>
      <c r="T10" s="1686"/>
      <c r="U10" s="1686"/>
      <c r="V10" s="1686"/>
      <c r="W10" s="1686"/>
      <c r="X10" s="1686"/>
      <c r="Y10" s="1686"/>
      <c r="Z10" s="1686"/>
      <c r="AA10" s="1686"/>
      <c r="AB10" s="1686"/>
      <c r="AC10" s="1686"/>
      <c r="AD10" s="1686"/>
      <c r="AE10" s="1686"/>
      <c r="AF10" s="1686"/>
      <c r="AG10" s="976">
        <f t="shared" si="2"/>
        <v>0</v>
      </c>
      <c r="AH10" s="976">
        <f t="shared" si="0"/>
        <v>0</v>
      </c>
      <c r="AI10" s="976">
        <f t="shared" si="0"/>
        <v>0</v>
      </c>
      <c r="AJ10" s="976">
        <f t="shared" si="0"/>
        <v>0</v>
      </c>
      <c r="AK10" s="976">
        <f t="shared" si="0"/>
        <v>0</v>
      </c>
      <c r="AL10" s="976">
        <f t="shared" si="0"/>
        <v>0</v>
      </c>
      <c r="AM10" s="976">
        <f t="shared" si="0"/>
        <v>0</v>
      </c>
      <c r="AN10" s="976">
        <f t="shared" si="0"/>
        <v>0</v>
      </c>
      <c r="AO10" s="976">
        <f t="shared" si="0"/>
        <v>0</v>
      </c>
      <c r="AP10" s="976">
        <f t="shared" si="0"/>
        <v>0</v>
      </c>
      <c r="AQ10" s="976">
        <f t="shared" si="0"/>
        <v>0</v>
      </c>
      <c r="AR10" s="976">
        <f t="shared" si="0"/>
        <v>0</v>
      </c>
      <c r="AS10" s="976">
        <f t="shared" si="0"/>
        <v>0</v>
      </c>
      <c r="AT10" s="976">
        <f t="shared" si="0"/>
        <v>0</v>
      </c>
      <c r="AU10" s="976">
        <f t="shared" si="0"/>
        <v>0</v>
      </c>
      <c r="AV10" s="976">
        <f t="shared" si="0"/>
        <v>0</v>
      </c>
      <c r="AW10" s="976">
        <f t="shared" si="0"/>
        <v>0</v>
      </c>
      <c r="AX10" s="976">
        <f t="shared" si="0"/>
        <v>0</v>
      </c>
      <c r="AY10" s="976">
        <f t="shared" si="0"/>
        <v>0</v>
      </c>
      <c r="AZ10" s="976">
        <f t="shared" si="0"/>
        <v>0</v>
      </c>
      <c r="BA10" s="976">
        <f t="shared" si="0"/>
        <v>0</v>
      </c>
      <c r="BB10" s="976">
        <f t="shared" si="0"/>
        <v>0</v>
      </c>
      <c r="BC10" s="976">
        <f t="shared" si="0"/>
        <v>0</v>
      </c>
      <c r="BD10" s="976">
        <f t="shared" si="0"/>
        <v>0</v>
      </c>
      <c r="BE10" s="976">
        <f t="shared" si="0"/>
        <v>0</v>
      </c>
      <c r="BF10" s="976">
        <f t="shared" si="0"/>
        <v>0</v>
      </c>
      <c r="BG10" s="976">
        <f t="shared" si="0"/>
        <v>0</v>
      </c>
      <c r="BH10" s="976">
        <f t="shared" si="0"/>
        <v>0</v>
      </c>
      <c r="BI10" s="976">
        <f t="shared" si="1"/>
        <v>0</v>
      </c>
    </row>
    <row r="11" spans="1:61" s="1007" customFormat="1" ht="15.75" customHeight="1" x14ac:dyDescent="0.2">
      <c r="A11" s="1382" t="s">
        <v>7514</v>
      </c>
      <c r="B11" s="974"/>
      <c r="C11" s="1406">
        <v>1</v>
      </c>
      <c r="D11" s="1686"/>
      <c r="E11" s="1686"/>
      <c r="F11" s="1686"/>
      <c r="G11" s="1686"/>
      <c r="H11" s="1686"/>
      <c r="I11" s="1686"/>
      <c r="J11" s="1686"/>
      <c r="K11" s="1686"/>
      <c r="L11" s="1686"/>
      <c r="M11" s="1686"/>
      <c r="N11" s="1686"/>
      <c r="O11" s="1686"/>
      <c r="P11" s="1686"/>
      <c r="Q11" s="1686"/>
      <c r="R11" s="1686"/>
      <c r="S11" s="1686"/>
      <c r="T11" s="1686"/>
      <c r="U11" s="1686"/>
      <c r="V11" s="1686"/>
      <c r="W11" s="1686"/>
      <c r="X11" s="1686"/>
      <c r="Y11" s="1686"/>
      <c r="Z11" s="1686"/>
      <c r="AA11" s="1686"/>
      <c r="AB11" s="1686"/>
      <c r="AC11" s="1686"/>
      <c r="AD11" s="1686"/>
      <c r="AE11" s="1686"/>
      <c r="AF11" s="1686"/>
      <c r="AG11" s="976">
        <f t="shared" si="2"/>
        <v>0</v>
      </c>
      <c r="AH11" s="976">
        <f t="shared" si="0"/>
        <v>0</v>
      </c>
      <c r="AI11" s="976">
        <f t="shared" si="0"/>
        <v>0</v>
      </c>
      <c r="AJ11" s="976">
        <f t="shared" si="0"/>
        <v>0</v>
      </c>
      <c r="AK11" s="976">
        <f t="shared" si="0"/>
        <v>0</v>
      </c>
      <c r="AL11" s="976">
        <f t="shared" si="0"/>
        <v>0</v>
      </c>
      <c r="AM11" s="976">
        <f t="shared" si="0"/>
        <v>0</v>
      </c>
      <c r="AN11" s="976">
        <f t="shared" si="0"/>
        <v>0</v>
      </c>
      <c r="AO11" s="976">
        <f t="shared" si="0"/>
        <v>0</v>
      </c>
      <c r="AP11" s="976">
        <f t="shared" si="0"/>
        <v>0</v>
      </c>
      <c r="AQ11" s="976">
        <f t="shared" si="0"/>
        <v>0</v>
      </c>
      <c r="AR11" s="976">
        <f t="shared" si="0"/>
        <v>0</v>
      </c>
      <c r="AS11" s="976">
        <f t="shared" si="0"/>
        <v>0</v>
      </c>
      <c r="AT11" s="976">
        <f t="shared" si="0"/>
        <v>0</v>
      </c>
      <c r="AU11" s="976">
        <f t="shared" si="0"/>
        <v>0</v>
      </c>
      <c r="AV11" s="976">
        <f t="shared" si="0"/>
        <v>0</v>
      </c>
      <c r="AW11" s="976">
        <f t="shared" si="0"/>
        <v>0</v>
      </c>
      <c r="AX11" s="976">
        <f t="shared" si="0"/>
        <v>0</v>
      </c>
      <c r="AY11" s="976">
        <f t="shared" si="0"/>
        <v>0</v>
      </c>
      <c r="AZ11" s="976">
        <f t="shared" si="0"/>
        <v>0</v>
      </c>
      <c r="BA11" s="976">
        <f t="shared" si="0"/>
        <v>0</v>
      </c>
      <c r="BB11" s="976">
        <f t="shared" si="0"/>
        <v>0</v>
      </c>
      <c r="BC11" s="976">
        <f t="shared" si="0"/>
        <v>0</v>
      </c>
      <c r="BD11" s="976">
        <f t="shared" si="0"/>
        <v>0</v>
      </c>
      <c r="BE11" s="976">
        <f t="shared" si="0"/>
        <v>0</v>
      </c>
      <c r="BF11" s="976">
        <f t="shared" si="0"/>
        <v>0</v>
      </c>
      <c r="BG11" s="976">
        <f t="shared" si="0"/>
        <v>0</v>
      </c>
      <c r="BH11" s="976">
        <f t="shared" si="0"/>
        <v>0</v>
      </c>
      <c r="BI11" s="976">
        <f t="shared" si="1"/>
        <v>0</v>
      </c>
    </row>
    <row r="12" spans="1:61" s="1007" customFormat="1" ht="15.75" customHeight="1" x14ac:dyDescent="0.2">
      <c r="A12" s="1382" t="s">
        <v>7515</v>
      </c>
      <c r="B12" s="974"/>
      <c r="C12" s="1407">
        <v>1</v>
      </c>
      <c r="D12" s="1665"/>
      <c r="E12" s="1665"/>
      <c r="F12" s="1665"/>
      <c r="G12" s="1665"/>
      <c r="H12" s="1665"/>
      <c r="I12" s="1665"/>
      <c r="J12" s="1665"/>
      <c r="K12" s="1665"/>
      <c r="L12" s="1665"/>
      <c r="M12" s="1665"/>
      <c r="N12" s="1665"/>
      <c r="O12" s="1665"/>
      <c r="P12" s="1665"/>
      <c r="Q12" s="1665"/>
      <c r="R12" s="1665"/>
      <c r="S12" s="1665"/>
      <c r="T12" s="1665"/>
      <c r="U12" s="1665"/>
      <c r="V12" s="1665"/>
      <c r="W12" s="1665"/>
      <c r="X12" s="1665"/>
      <c r="Y12" s="1665"/>
      <c r="Z12" s="1665"/>
      <c r="AA12" s="1665"/>
      <c r="AB12" s="1665"/>
      <c r="AC12" s="1665"/>
      <c r="AD12" s="1665"/>
      <c r="AE12" s="1665"/>
      <c r="AF12" s="1665"/>
      <c r="AG12" s="976">
        <f t="shared" si="2"/>
        <v>0</v>
      </c>
      <c r="AH12" s="976">
        <f t="shared" si="0"/>
        <v>0</v>
      </c>
      <c r="AI12" s="976">
        <f t="shared" si="0"/>
        <v>0</v>
      </c>
      <c r="AJ12" s="976">
        <f t="shared" si="0"/>
        <v>0</v>
      </c>
      <c r="AK12" s="976">
        <f t="shared" si="0"/>
        <v>0</v>
      </c>
      <c r="AL12" s="976">
        <f t="shared" si="0"/>
        <v>0</v>
      </c>
      <c r="AM12" s="976">
        <f t="shared" si="0"/>
        <v>0</v>
      </c>
      <c r="AN12" s="976">
        <f t="shared" si="0"/>
        <v>0</v>
      </c>
      <c r="AO12" s="976">
        <f t="shared" si="0"/>
        <v>0</v>
      </c>
      <c r="AP12" s="976">
        <f t="shared" si="0"/>
        <v>0</v>
      </c>
      <c r="AQ12" s="976">
        <f t="shared" si="0"/>
        <v>0</v>
      </c>
      <c r="AR12" s="976">
        <f t="shared" si="0"/>
        <v>0</v>
      </c>
      <c r="AS12" s="976">
        <f t="shared" si="0"/>
        <v>0</v>
      </c>
      <c r="AT12" s="976">
        <f t="shared" si="0"/>
        <v>0</v>
      </c>
      <c r="AU12" s="976">
        <f t="shared" si="0"/>
        <v>0</v>
      </c>
      <c r="AV12" s="976">
        <f t="shared" si="0"/>
        <v>0</v>
      </c>
      <c r="AW12" s="976">
        <f t="shared" si="0"/>
        <v>0</v>
      </c>
      <c r="AX12" s="976">
        <f t="shared" si="0"/>
        <v>0</v>
      </c>
      <c r="AY12" s="976">
        <f t="shared" si="0"/>
        <v>0</v>
      </c>
      <c r="AZ12" s="976">
        <f t="shared" si="0"/>
        <v>0</v>
      </c>
      <c r="BA12" s="976">
        <f t="shared" si="0"/>
        <v>0</v>
      </c>
      <c r="BB12" s="976">
        <f t="shared" si="0"/>
        <v>0</v>
      </c>
      <c r="BC12" s="976">
        <f t="shared" si="0"/>
        <v>0</v>
      </c>
      <c r="BD12" s="976">
        <f t="shared" si="0"/>
        <v>0</v>
      </c>
      <c r="BE12" s="976">
        <f t="shared" si="0"/>
        <v>0</v>
      </c>
      <c r="BF12" s="976">
        <f t="shared" si="0"/>
        <v>0</v>
      </c>
      <c r="BG12" s="976">
        <f t="shared" si="0"/>
        <v>0</v>
      </c>
      <c r="BH12" s="976">
        <f t="shared" si="0"/>
        <v>0</v>
      </c>
      <c r="BI12" s="976">
        <f t="shared" si="1"/>
        <v>0</v>
      </c>
    </row>
    <row r="13" spans="1:61" s="1007" customFormat="1" ht="15.75" customHeight="1" x14ac:dyDescent="0.2">
      <c r="A13" s="1383" t="s">
        <v>7516</v>
      </c>
      <c r="B13" s="974"/>
      <c r="C13" s="1407">
        <v>1</v>
      </c>
      <c r="D13" s="1665"/>
      <c r="E13" s="1665"/>
      <c r="F13" s="1665"/>
      <c r="G13" s="1665"/>
      <c r="H13" s="1665"/>
      <c r="I13" s="1665"/>
      <c r="J13" s="1665"/>
      <c r="K13" s="1665"/>
      <c r="L13" s="1665"/>
      <c r="M13" s="1665"/>
      <c r="N13" s="1665"/>
      <c r="O13" s="1665"/>
      <c r="P13" s="1665"/>
      <c r="Q13" s="1665"/>
      <c r="R13" s="1665"/>
      <c r="S13" s="1665"/>
      <c r="T13" s="1665"/>
      <c r="U13" s="1665"/>
      <c r="V13" s="1665"/>
      <c r="W13" s="1665"/>
      <c r="X13" s="1665"/>
      <c r="Y13" s="1665"/>
      <c r="Z13" s="1665"/>
      <c r="AA13" s="1665"/>
      <c r="AB13" s="1665"/>
      <c r="AC13" s="1665"/>
      <c r="AD13" s="1665"/>
      <c r="AE13" s="1665"/>
      <c r="AF13" s="1665"/>
      <c r="AG13" s="976">
        <f t="shared" si="2"/>
        <v>0</v>
      </c>
      <c r="AH13" s="976">
        <f t="shared" si="0"/>
        <v>0</v>
      </c>
      <c r="AI13" s="976">
        <f t="shared" si="0"/>
        <v>0</v>
      </c>
      <c r="AJ13" s="976">
        <f t="shared" si="0"/>
        <v>0</v>
      </c>
      <c r="AK13" s="976">
        <f t="shared" ref="AK13:AZ23" si="3">IF($C13="",0,IF($C13=1,H13,0))</f>
        <v>0</v>
      </c>
      <c r="AL13" s="976">
        <f t="shared" si="3"/>
        <v>0</v>
      </c>
      <c r="AM13" s="976">
        <f t="shared" si="3"/>
        <v>0</v>
      </c>
      <c r="AN13" s="976">
        <f t="shared" si="3"/>
        <v>0</v>
      </c>
      <c r="AO13" s="976">
        <f t="shared" si="3"/>
        <v>0</v>
      </c>
      <c r="AP13" s="976">
        <f t="shared" si="3"/>
        <v>0</v>
      </c>
      <c r="AQ13" s="976">
        <f t="shared" si="3"/>
        <v>0</v>
      </c>
      <c r="AR13" s="976">
        <f t="shared" si="3"/>
        <v>0</v>
      </c>
      <c r="AS13" s="976">
        <f t="shared" si="3"/>
        <v>0</v>
      </c>
      <c r="AT13" s="976">
        <f t="shared" si="3"/>
        <v>0</v>
      </c>
      <c r="AU13" s="976">
        <f t="shared" si="3"/>
        <v>0</v>
      </c>
      <c r="AV13" s="976">
        <f t="shared" si="3"/>
        <v>0</v>
      </c>
      <c r="AW13" s="976">
        <f t="shared" si="3"/>
        <v>0</v>
      </c>
      <c r="AX13" s="976">
        <f t="shared" si="3"/>
        <v>0</v>
      </c>
      <c r="AY13" s="976">
        <f t="shared" si="3"/>
        <v>0</v>
      </c>
      <c r="AZ13" s="976">
        <f t="shared" si="3"/>
        <v>0</v>
      </c>
      <c r="BA13" s="976">
        <f t="shared" ref="BA13:BH24" si="4">IF($C13="",0,IF($C13=1,X13,0))</f>
        <v>0</v>
      </c>
      <c r="BB13" s="976">
        <f t="shared" si="4"/>
        <v>0</v>
      </c>
      <c r="BC13" s="976">
        <f t="shared" si="4"/>
        <v>0</v>
      </c>
      <c r="BD13" s="976">
        <f t="shared" si="4"/>
        <v>0</v>
      </c>
      <c r="BE13" s="976">
        <f t="shared" si="4"/>
        <v>0</v>
      </c>
      <c r="BF13" s="976">
        <f t="shared" si="4"/>
        <v>0</v>
      </c>
      <c r="BG13" s="976">
        <f t="shared" si="4"/>
        <v>0</v>
      </c>
      <c r="BH13" s="976">
        <f t="shared" si="4"/>
        <v>0</v>
      </c>
      <c r="BI13" s="976">
        <f t="shared" si="1"/>
        <v>0</v>
      </c>
    </row>
    <row r="14" spans="1:61" s="1007" customFormat="1" ht="15.75" customHeight="1" x14ac:dyDescent="0.2">
      <c r="A14" s="1383" t="s">
        <v>7517</v>
      </c>
      <c r="B14" s="974"/>
      <c r="C14" s="1407">
        <v>1</v>
      </c>
      <c r="D14" s="1665"/>
      <c r="E14" s="1665"/>
      <c r="F14" s="1665"/>
      <c r="G14" s="1665"/>
      <c r="H14" s="1665"/>
      <c r="I14" s="1665"/>
      <c r="J14" s="1665"/>
      <c r="K14" s="1665"/>
      <c r="L14" s="1665"/>
      <c r="M14" s="1665"/>
      <c r="N14" s="1665"/>
      <c r="O14" s="1665"/>
      <c r="P14" s="1665"/>
      <c r="Q14" s="1665"/>
      <c r="R14" s="1665"/>
      <c r="S14" s="1665"/>
      <c r="T14" s="1665"/>
      <c r="U14" s="1665"/>
      <c r="V14" s="1665"/>
      <c r="W14" s="1665"/>
      <c r="X14" s="1665"/>
      <c r="Y14" s="1665"/>
      <c r="Z14" s="1665"/>
      <c r="AA14" s="1665"/>
      <c r="AB14" s="1665"/>
      <c r="AC14" s="1665"/>
      <c r="AD14" s="1665"/>
      <c r="AE14" s="1665"/>
      <c r="AF14" s="1665"/>
      <c r="AG14" s="976">
        <f t="shared" si="2"/>
        <v>0</v>
      </c>
      <c r="AH14" s="976">
        <f t="shared" ref="AH14" si="5">IF($C14="",0,IF($C14=1,E14,0))</f>
        <v>0</v>
      </c>
      <c r="AI14" s="976">
        <f t="shared" ref="AI14" si="6">IF($C14="",0,IF($C14=1,F14,0))</f>
        <v>0</v>
      </c>
      <c r="AJ14" s="976">
        <f t="shared" ref="AJ14" si="7">IF($C14="",0,IF($C14=1,G14,0))</f>
        <v>0</v>
      </c>
      <c r="AK14" s="976">
        <f t="shared" ref="AK14" si="8">IF($C14="",0,IF($C14=1,H14,0))</f>
        <v>0</v>
      </c>
      <c r="AL14" s="976">
        <f t="shared" ref="AL14" si="9">IF($C14="",0,IF($C14=1,I14,0))</f>
        <v>0</v>
      </c>
      <c r="AM14" s="976">
        <f t="shared" ref="AM14" si="10">IF($C14="",0,IF($C14=1,J14,0))</f>
        <v>0</v>
      </c>
      <c r="AN14" s="976">
        <f t="shared" ref="AN14" si="11">IF($C14="",0,IF($C14=1,K14,0))</f>
        <v>0</v>
      </c>
      <c r="AO14" s="976">
        <f t="shared" ref="AO14" si="12">IF($C14="",0,IF($C14=1,L14,0))</f>
        <v>0</v>
      </c>
      <c r="AP14" s="976">
        <f t="shared" ref="AP14" si="13">IF($C14="",0,IF($C14=1,M14,0))</f>
        <v>0</v>
      </c>
      <c r="AQ14" s="976">
        <f t="shared" ref="AQ14" si="14">IF($C14="",0,IF($C14=1,N14,0))</f>
        <v>0</v>
      </c>
      <c r="AR14" s="976">
        <f t="shared" ref="AR14" si="15">IF($C14="",0,IF($C14=1,O14,0))</f>
        <v>0</v>
      </c>
      <c r="AS14" s="976">
        <f t="shared" ref="AS14" si="16">IF($C14="",0,IF($C14=1,P14,0))</f>
        <v>0</v>
      </c>
      <c r="AT14" s="976">
        <f t="shared" ref="AT14" si="17">IF($C14="",0,IF($C14=1,Q14,0))</f>
        <v>0</v>
      </c>
      <c r="AU14" s="976">
        <f t="shared" ref="AU14" si="18">IF($C14="",0,IF($C14=1,R14,0))</f>
        <v>0</v>
      </c>
      <c r="AV14" s="976">
        <f t="shared" ref="AV14" si="19">IF($C14="",0,IF($C14=1,S14,0))</f>
        <v>0</v>
      </c>
      <c r="AW14" s="976">
        <f t="shared" ref="AW14" si="20">IF($C14="",0,IF($C14=1,T14,0))</f>
        <v>0</v>
      </c>
      <c r="AX14" s="976">
        <f t="shared" ref="AX14" si="21">IF($C14="",0,IF($C14=1,U14,0))</f>
        <v>0</v>
      </c>
      <c r="AY14" s="976">
        <f t="shared" ref="AY14" si="22">IF($C14="",0,IF($C14=1,V14,0))</f>
        <v>0</v>
      </c>
      <c r="AZ14" s="976">
        <f t="shared" ref="AZ14" si="23">IF($C14="",0,IF($C14=1,W14,0))</f>
        <v>0</v>
      </c>
      <c r="BA14" s="976">
        <f t="shared" si="4"/>
        <v>0</v>
      </c>
      <c r="BB14" s="976">
        <f t="shared" si="4"/>
        <v>0</v>
      </c>
      <c r="BC14" s="976">
        <f t="shared" si="4"/>
        <v>0</v>
      </c>
      <c r="BD14" s="976">
        <f t="shared" si="4"/>
        <v>0</v>
      </c>
      <c r="BE14" s="976">
        <f t="shared" si="4"/>
        <v>0</v>
      </c>
      <c r="BF14" s="976">
        <f t="shared" si="4"/>
        <v>0</v>
      </c>
      <c r="BG14" s="976">
        <f t="shared" si="4"/>
        <v>0</v>
      </c>
      <c r="BH14" s="976">
        <f t="shared" si="4"/>
        <v>0</v>
      </c>
      <c r="BI14" s="976">
        <f t="shared" si="1"/>
        <v>0</v>
      </c>
    </row>
    <row r="15" spans="1:61" s="1007" customFormat="1" x14ac:dyDescent="0.2">
      <c r="A15" s="1383" t="s">
        <v>7518</v>
      </c>
      <c r="B15" s="974"/>
      <c r="C15" s="1407">
        <v>1</v>
      </c>
      <c r="D15" s="1665"/>
      <c r="E15" s="1665"/>
      <c r="F15" s="1665"/>
      <c r="G15" s="1665"/>
      <c r="H15" s="1665"/>
      <c r="I15" s="1665"/>
      <c r="J15" s="1665"/>
      <c r="K15" s="1665"/>
      <c r="L15" s="1665"/>
      <c r="M15" s="1665"/>
      <c r="N15" s="1665"/>
      <c r="O15" s="1665"/>
      <c r="P15" s="1665"/>
      <c r="Q15" s="1665"/>
      <c r="R15" s="1665"/>
      <c r="S15" s="1665"/>
      <c r="T15" s="1665"/>
      <c r="U15" s="1665"/>
      <c r="V15" s="1665"/>
      <c r="W15" s="1665"/>
      <c r="X15" s="1665"/>
      <c r="Y15" s="1665"/>
      <c r="Z15" s="1665"/>
      <c r="AA15" s="1665"/>
      <c r="AB15" s="1665"/>
      <c r="AC15" s="1665"/>
      <c r="AD15" s="1665"/>
      <c r="AE15" s="1665"/>
      <c r="AF15" s="1665"/>
      <c r="AG15" s="976">
        <f t="shared" ref="AG15" si="24">IF($C15="",0,IF($C15=1,D15,0))</f>
        <v>0</v>
      </c>
      <c r="AH15" s="976">
        <f t="shared" si="0"/>
        <v>0</v>
      </c>
      <c r="AI15" s="976">
        <f t="shared" si="0"/>
        <v>0</v>
      </c>
      <c r="AJ15" s="976">
        <f t="shared" si="0"/>
        <v>0</v>
      </c>
      <c r="AK15" s="976">
        <f t="shared" si="0"/>
        <v>0</v>
      </c>
      <c r="AL15" s="976">
        <f t="shared" si="0"/>
        <v>0</v>
      </c>
      <c r="AM15" s="976">
        <f t="shared" si="0"/>
        <v>0</v>
      </c>
      <c r="AN15" s="976">
        <f t="shared" si="0"/>
        <v>0</v>
      </c>
      <c r="AO15" s="976">
        <f t="shared" si="0"/>
        <v>0</v>
      </c>
      <c r="AP15" s="976">
        <f t="shared" si="0"/>
        <v>0</v>
      </c>
      <c r="AQ15" s="976">
        <f t="shared" si="0"/>
        <v>0</v>
      </c>
      <c r="AR15" s="976">
        <f t="shared" si="0"/>
        <v>0</v>
      </c>
      <c r="AS15" s="976">
        <f t="shared" si="0"/>
        <v>0</v>
      </c>
      <c r="AT15" s="976">
        <f t="shared" si="0"/>
        <v>0</v>
      </c>
      <c r="AU15" s="976">
        <f t="shared" si="0"/>
        <v>0</v>
      </c>
      <c r="AV15" s="976">
        <f t="shared" si="0"/>
        <v>0</v>
      </c>
      <c r="AW15" s="976">
        <f t="shared" si="0"/>
        <v>0</v>
      </c>
      <c r="AX15" s="976">
        <f t="shared" si="0"/>
        <v>0</v>
      </c>
      <c r="AY15" s="976">
        <f t="shared" si="0"/>
        <v>0</v>
      </c>
      <c r="AZ15" s="976">
        <f t="shared" si="0"/>
        <v>0</v>
      </c>
      <c r="BA15" s="976">
        <f t="shared" ref="BA15" si="25">IF($C15="",0,IF($C15=1,X15,0))</f>
        <v>0</v>
      </c>
      <c r="BB15" s="976">
        <f t="shared" ref="BB15" si="26">IF($C15="",0,IF($C15=1,Y15,0))</f>
        <v>0</v>
      </c>
      <c r="BC15" s="976">
        <f t="shared" ref="BC15" si="27">IF($C15="",0,IF($C15=1,Z15,0))</f>
        <v>0</v>
      </c>
      <c r="BD15" s="976">
        <f t="shared" ref="BD15" si="28">IF($C15="",0,IF($C15=1,AA15,0))</f>
        <v>0</v>
      </c>
      <c r="BE15" s="976">
        <f t="shared" ref="BE15" si="29">IF($C15="",0,IF($C15=1,AB15,0))</f>
        <v>0</v>
      </c>
      <c r="BF15" s="976">
        <f t="shared" ref="BF15" si="30">IF($C15="",0,IF($C15=1,AC15,0))</f>
        <v>0</v>
      </c>
      <c r="BG15" s="976">
        <f t="shared" ref="BG15" si="31">IF($C15="",0,IF($C15=1,AD15,0))</f>
        <v>0</v>
      </c>
      <c r="BH15" s="976">
        <f t="shared" ref="BH15" si="32">IF($C15="",0,IF($C15=1,AE15,0))</f>
        <v>0</v>
      </c>
      <c r="BI15" s="976">
        <f t="shared" si="1"/>
        <v>0</v>
      </c>
    </row>
    <row r="16" spans="1:61" s="1007" customFormat="1" ht="15.75" customHeight="1" x14ac:dyDescent="0.2">
      <c r="A16" s="1383" t="s">
        <v>7519</v>
      </c>
      <c r="B16" s="974"/>
      <c r="C16" s="1407">
        <v>1</v>
      </c>
      <c r="D16" s="1665"/>
      <c r="E16" s="1665"/>
      <c r="F16" s="1665"/>
      <c r="G16" s="1665"/>
      <c r="H16" s="1665"/>
      <c r="I16" s="1665"/>
      <c r="J16" s="1665"/>
      <c r="K16" s="1665"/>
      <c r="L16" s="1665"/>
      <c r="M16" s="1665"/>
      <c r="N16" s="1665"/>
      <c r="O16" s="1665"/>
      <c r="P16" s="1665"/>
      <c r="Q16" s="1665"/>
      <c r="R16" s="1665"/>
      <c r="S16" s="1665"/>
      <c r="T16" s="1665"/>
      <c r="U16" s="1665"/>
      <c r="V16" s="1665"/>
      <c r="W16" s="1665"/>
      <c r="X16" s="1665"/>
      <c r="Y16" s="1665"/>
      <c r="Z16" s="1665"/>
      <c r="AA16" s="1665"/>
      <c r="AB16" s="1665"/>
      <c r="AC16" s="1665"/>
      <c r="AD16" s="1665"/>
      <c r="AE16" s="1665"/>
      <c r="AF16" s="1665"/>
      <c r="AG16" s="976">
        <f t="shared" si="2"/>
        <v>0</v>
      </c>
      <c r="AH16" s="976">
        <f t="shared" si="2"/>
        <v>0</v>
      </c>
      <c r="AI16" s="976">
        <f t="shared" si="2"/>
        <v>0</v>
      </c>
      <c r="AJ16" s="976">
        <f t="shared" si="2"/>
        <v>0</v>
      </c>
      <c r="AK16" s="976">
        <f t="shared" si="3"/>
        <v>0</v>
      </c>
      <c r="AL16" s="976">
        <f t="shared" si="3"/>
        <v>0</v>
      </c>
      <c r="AM16" s="976">
        <f t="shared" si="3"/>
        <v>0</v>
      </c>
      <c r="AN16" s="976">
        <f t="shared" si="3"/>
        <v>0</v>
      </c>
      <c r="AO16" s="976">
        <f t="shared" si="3"/>
        <v>0</v>
      </c>
      <c r="AP16" s="976">
        <f t="shared" si="3"/>
        <v>0</v>
      </c>
      <c r="AQ16" s="976">
        <f t="shared" si="3"/>
        <v>0</v>
      </c>
      <c r="AR16" s="976">
        <f t="shared" si="3"/>
        <v>0</v>
      </c>
      <c r="AS16" s="976">
        <f t="shared" si="3"/>
        <v>0</v>
      </c>
      <c r="AT16" s="976">
        <f t="shared" si="3"/>
        <v>0</v>
      </c>
      <c r="AU16" s="976">
        <f t="shared" si="3"/>
        <v>0</v>
      </c>
      <c r="AV16" s="976">
        <f t="shared" si="3"/>
        <v>0</v>
      </c>
      <c r="AW16" s="976">
        <f t="shared" si="3"/>
        <v>0</v>
      </c>
      <c r="AX16" s="976">
        <f t="shared" si="3"/>
        <v>0</v>
      </c>
      <c r="AY16" s="976">
        <f t="shared" si="3"/>
        <v>0</v>
      </c>
      <c r="AZ16" s="976">
        <f t="shared" si="3"/>
        <v>0</v>
      </c>
      <c r="BA16" s="976">
        <f t="shared" si="4"/>
        <v>0</v>
      </c>
      <c r="BB16" s="976">
        <f t="shared" si="4"/>
        <v>0</v>
      </c>
      <c r="BC16" s="976">
        <f t="shared" si="4"/>
        <v>0</v>
      </c>
      <c r="BD16" s="976">
        <f t="shared" si="4"/>
        <v>0</v>
      </c>
      <c r="BE16" s="976">
        <f t="shared" si="4"/>
        <v>0</v>
      </c>
      <c r="BF16" s="976">
        <f t="shared" si="4"/>
        <v>0</v>
      </c>
      <c r="BG16" s="976">
        <f t="shared" si="4"/>
        <v>0</v>
      </c>
      <c r="BH16" s="976">
        <f t="shared" si="4"/>
        <v>0</v>
      </c>
      <c r="BI16" s="976">
        <f t="shared" si="1"/>
        <v>0</v>
      </c>
    </row>
    <row r="17" spans="1:61" s="1007" customFormat="1" ht="15.75" customHeight="1" x14ac:dyDescent="0.2">
      <c r="A17" s="1383" t="s">
        <v>7520</v>
      </c>
      <c r="B17" s="974"/>
      <c r="C17" s="1407">
        <v>1</v>
      </c>
      <c r="D17" s="1665"/>
      <c r="E17" s="1665"/>
      <c r="F17" s="1665"/>
      <c r="G17" s="1665"/>
      <c r="H17" s="1665"/>
      <c r="I17" s="1665"/>
      <c r="J17" s="1665"/>
      <c r="K17" s="1665"/>
      <c r="L17" s="1665"/>
      <c r="M17" s="1665"/>
      <c r="N17" s="1665"/>
      <c r="O17" s="1665"/>
      <c r="P17" s="1665"/>
      <c r="Q17" s="1665"/>
      <c r="R17" s="1665"/>
      <c r="S17" s="1665"/>
      <c r="T17" s="1665"/>
      <c r="U17" s="1665"/>
      <c r="V17" s="1665"/>
      <c r="W17" s="1665"/>
      <c r="X17" s="1665"/>
      <c r="Y17" s="1665"/>
      <c r="Z17" s="1665"/>
      <c r="AA17" s="1665"/>
      <c r="AB17" s="1665"/>
      <c r="AC17" s="1665"/>
      <c r="AD17" s="1665"/>
      <c r="AE17" s="1665"/>
      <c r="AF17" s="1665"/>
      <c r="AG17" s="976">
        <f t="shared" si="2"/>
        <v>0</v>
      </c>
      <c r="AH17" s="976">
        <f t="shared" si="2"/>
        <v>0</v>
      </c>
      <c r="AI17" s="976">
        <f t="shared" si="2"/>
        <v>0</v>
      </c>
      <c r="AJ17" s="976">
        <f t="shared" si="2"/>
        <v>0</v>
      </c>
      <c r="AK17" s="976">
        <f t="shared" si="3"/>
        <v>0</v>
      </c>
      <c r="AL17" s="976">
        <f t="shared" si="3"/>
        <v>0</v>
      </c>
      <c r="AM17" s="976">
        <f t="shared" si="3"/>
        <v>0</v>
      </c>
      <c r="AN17" s="976">
        <f t="shared" si="3"/>
        <v>0</v>
      </c>
      <c r="AO17" s="976">
        <f t="shared" si="3"/>
        <v>0</v>
      </c>
      <c r="AP17" s="976">
        <f t="shared" si="3"/>
        <v>0</v>
      </c>
      <c r="AQ17" s="976">
        <f t="shared" si="3"/>
        <v>0</v>
      </c>
      <c r="AR17" s="976">
        <f t="shared" si="3"/>
        <v>0</v>
      </c>
      <c r="AS17" s="976">
        <f t="shared" si="3"/>
        <v>0</v>
      </c>
      <c r="AT17" s="976">
        <f t="shared" si="3"/>
        <v>0</v>
      </c>
      <c r="AU17" s="976">
        <f t="shared" si="3"/>
        <v>0</v>
      </c>
      <c r="AV17" s="976">
        <f t="shared" si="3"/>
        <v>0</v>
      </c>
      <c r="AW17" s="976">
        <f t="shared" si="3"/>
        <v>0</v>
      </c>
      <c r="AX17" s="976">
        <f t="shared" si="3"/>
        <v>0</v>
      </c>
      <c r="AY17" s="976">
        <f t="shared" si="3"/>
        <v>0</v>
      </c>
      <c r="AZ17" s="976">
        <f t="shared" si="3"/>
        <v>0</v>
      </c>
      <c r="BA17" s="976">
        <f t="shared" si="4"/>
        <v>0</v>
      </c>
      <c r="BB17" s="976">
        <f t="shared" si="4"/>
        <v>0</v>
      </c>
      <c r="BC17" s="976">
        <f t="shared" si="4"/>
        <v>0</v>
      </c>
      <c r="BD17" s="976">
        <f t="shared" si="4"/>
        <v>0</v>
      </c>
      <c r="BE17" s="976">
        <f t="shared" si="4"/>
        <v>0</v>
      </c>
      <c r="BF17" s="976">
        <f t="shared" si="4"/>
        <v>0</v>
      </c>
      <c r="BG17" s="976">
        <f t="shared" si="4"/>
        <v>0</v>
      </c>
      <c r="BH17" s="976">
        <f t="shared" si="4"/>
        <v>0</v>
      </c>
      <c r="BI17" s="976">
        <f t="shared" si="1"/>
        <v>0</v>
      </c>
    </row>
    <row r="18" spans="1:61" s="1007" customFormat="1" ht="15.75" customHeight="1" x14ac:dyDescent="0.2">
      <c r="A18" s="1383" t="s">
        <v>7521</v>
      </c>
      <c r="B18" s="974"/>
      <c r="C18" s="1407">
        <v>1</v>
      </c>
      <c r="D18" s="1665"/>
      <c r="E18" s="1665"/>
      <c r="F18" s="1665"/>
      <c r="G18" s="1665"/>
      <c r="H18" s="1665"/>
      <c r="I18" s="1665"/>
      <c r="J18" s="1665"/>
      <c r="K18" s="1665"/>
      <c r="L18" s="1665"/>
      <c r="M18" s="1665"/>
      <c r="N18" s="1665"/>
      <c r="O18" s="1665"/>
      <c r="P18" s="1665"/>
      <c r="Q18" s="1665"/>
      <c r="R18" s="1665"/>
      <c r="S18" s="1665"/>
      <c r="T18" s="1665"/>
      <c r="U18" s="1665"/>
      <c r="V18" s="1665"/>
      <c r="W18" s="1665"/>
      <c r="X18" s="1665"/>
      <c r="Y18" s="1665"/>
      <c r="Z18" s="1665"/>
      <c r="AA18" s="1665"/>
      <c r="AB18" s="1665"/>
      <c r="AC18" s="1665"/>
      <c r="AD18" s="1665"/>
      <c r="AE18" s="1665"/>
      <c r="AF18" s="1665"/>
      <c r="AG18" s="976">
        <f t="shared" si="2"/>
        <v>0</v>
      </c>
      <c r="AH18" s="976">
        <f t="shared" si="2"/>
        <v>0</v>
      </c>
      <c r="AI18" s="976">
        <f t="shared" si="2"/>
        <v>0</v>
      </c>
      <c r="AJ18" s="976">
        <f t="shared" si="2"/>
        <v>0</v>
      </c>
      <c r="AK18" s="976">
        <f t="shared" si="3"/>
        <v>0</v>
      </c>
      <c r="AL18" s="976">
        <f t="shared" si="3"/>
        <v>0</v>
      </c>
      <c r="AM18" s="976">
        <f t="shared" si="3"/>
        <v>0</v>
      </c>
      <c r="AN18" s="976">
        <f t="shared" si="3"/>
        <v>0</v>
      </c>
      <c r="AO18" s="976">
        <f t="shared" si="3"/>
        <v>0</v>
      </c>
      <c r="AP18" s="976">
        <f t="shared" si="3"/>
        <v>0</v>
      </c>
      <c r="AQ18" s="976">
        <f t="shared" si="3"/>
        <v>0</v>
      </c>
      <c r="AR18" s="976">
        <f t="shared" si="3"/>
        <v>0</v>
      </c>
      <c r="AS18" s="976">
        <f t="shared" si="3"/>
        <v>0</v>
      </c>
      <c r="AT18" s="976">
        <f t="shared" si="3"/>
        <v>0</v>
      </c>
      <c r="AU18" s="976">
        <f t="shared" si="3"/>
        <v>0</v>
      </c>
      <c r="AV18" s="976">
        <f t="shared" si="3"/>
        <v>0</v>
      </c>
      <c r="AW18" s="976">
        <f t="shared" si="3"/>
        <v>0</v>
      </c>
      <c r="AX18" s="976">
        <f t="shared" si="3"/>
        <v>0</v>
      </c>
      <c r="AY18" s="976">
        <f t="shared" si="3"/>
        <v>0</v>
      </c>
      <c r="AZ18" s="976">
        <f t="shared" si="3"/>
        <v>0</v>
      </c>
      <c r="BA18" s="976">
        <f t="shared" si="4"/>
        <v>0</v>
      </c>
      <c r="BB18" s="976">
        <f t="shared" si="4"/>
        <v>0</v>
      </c>
      <c r="BC18" s="976">
        <f t="shared" si="4"/>
        <v>0</v>
      </c>
      <c r="BD18" s="976">
        <f t="shared" si="4"/>
        <v>0</v>
      </c>
      <c r="BE18" s="976">
        <f t="shared" si="4"/>
        <v>0</v>
      </c>
      <c r="BF18" s="976">
        <f t="shared" si="4"/>
        <v>0</v>
      </c>
      <c r="BG18" s="976">
        <f t="shared" si="4"/>
        <v>0</v>
      </c>
      <c r="BH18" s="976">
        <f t="shared" si="4"/>
        <v>0</v>
      </c>
      <c r="BI18" s="976">
        <f t="shared" si="1"/>
        <v>0</v>
      </c>
    </row>
    <row r="19" spans="1:61" s="1007" customFormat="1" ht="15.75" customHeight="1" x14ac:dyDescent="0.2">
      <c r="A19" s="1383" t="s">
        <v>7522</v>
      </c>
      <c r="B19" s="974"/>
      <c r="C19" s="1407">
        <v>1</v>
      </c>
      <c r="D19" s="1665"/>
      <c r="E19" s="1665"/>
      <c r="F19" s="1665"/>
      <c r="G19" s="1665"/>
      <c r="H19" s="1665"/>
      <c r="I19" s="1665"/>
      <c r="J19" s="1665"/>
      <c r="K19" s="1665"/>
      <c r="L19" s="1665"/>
      <c r="M19" s="1665"/>
      <c r="N19" s="1665"/>
      <c r="O19" s="1665"/>
      <c r="P19" s="1665"/>
      <c r="Q19" s="1665"/>
      <c r="R19" s="1665"/>
      <c r="S19" s="1665"/>
      <c r="T19" s="1665"/>
      <c r="U19" s="1665"/>
      <c r="V19" s="1665"/>
      <c r="W19" s="1665"/>
      <c r="X19" s="1665"/>
      <c r="Y19" s="1665"/>
      <c r="Z19" s="1665"/>
      <c r="AA19" s="1665"/>
      <c r="AB19" s="1665"/>
      <c r="AC19" s="1665"/>
      <c r="AD19" s="1665"/>
      <c r="AE19" s="1665"/>
      <c r="AF19" s="1665"/>
      <c r="AG19" s="976">
        <f t="shared" si="2"/>
        <v>0</v>
      </c>
      <c r="AH19" s="976">
        <f t="shared" si="2"/>
        <v>0</v>
      </c>
      <c r="AI19" s="976">
        <f t="shared" si="2"/>
        <v>0</v>
      </c>
      <c r="AJ19" s="976">
        <f t="shared" si="2"/>
        <v>0</v>
      </c>
      <c r="AK19" s="976">
        <f t="shared" si="3"/>
        <v>0</v>
      </c>
      <c r="AL19" s="976">
        <f t="shared" si="3"/>
        <v>0</v>
      </c>
      <c r="AM19" s="976">
        <f t="shared" si="3"/>
        <v>0</v>
      </c>
      <c r="AN19" s="976">
        <f t="shared" si="3"/>
        <v>0</v>
      </c>
      <c r="AO19" s="976">
        <f t="shared" si="3"/>
        <v>0</v>
      </c>
      <c r="AP19" s="976">
        <f t="shared" si="3"/>
        <v>0</v>
      </c>
      <c r="AQ19" s="976">
        <f t="shared" si="3"/>
        <v>0</v>
      </c>
      <c r="AR19" s="976">
        <f t="shared" si="3"/>
        <v>0</v>
      </c>
      <c r="AS19" s="976">
        <f t="shared" si="3"/>
        <v>0</v>
      </c>
      <c r="AT19" s="976">
        <f t="shared" si="3"/>
        <v>0</v>
      </c>
      <c r="AU19" s="976">
        <f t="shared" si="3"/>
        <v>0</v>
      </c>
      <c r="AV19" s="976">
        <f t="shared" si="3"/>
        <v>0</v>
      </c>
      <c r="AW19" s="976">
        <f t="shared" si="3"/>
        <v>0</v>
      </c>
      <c r="AX19" s="976">
        <f t="shared" si="3"/>
        <v>0</v>
      </c>
      <c r="AY19" s="976">
        <f t="shared" si="3"/>
        <v>0</v>
      </c>
      <c r="AZ19" s="976">
        <f t="shared" si="3"/>
        <v>0</v>
      </c>
      <c r="BA19" s="976">
        <f t="shared" si="4"/>
        <v>0</v>
      </c>
      <c r="BB19" s="976">
        <f t="shared" si="4"/>
        <v>0</v>
      </c>
      <c r="BC19" s="976">
        <f t="shared" si="4"/>
        <v>0</v>
      </c>
      <c r="BD19" s="976">
        <f t="shared" si="4"/>
        <v>0</v>
      </c>
      <c r="BE19" s="976">
        <f t="shared" si="4"/>
        <v>0</v>
      </c>
      <c r="BF19" s="976">
        <f t="shared" si="4"/>
        <v>0</v>
      </c>
      <c r="BG19" s="976">
        <f t="shared" si="4"/>
        <v>0</v>
      </c>
      <c r="BH19" s="976">
        <f t="shared" si="4"/>
        <v>0</v>
      </c>
      <c r="BI19" s="976">
        <f t="shared" si="1"/>
        <v>0</v>
      </c>
    </row>
    <row r="20" spans="1:61" s="1007" customFormat="1" ht="15.75" customHeight="1" x14ac:dyDescent="0.2">
      <c r="A20" s="1383" t="s">
        <v>7523</v>
      </c>
      <c r="B20" s="974"/>
      <c r="C20" s="1407">
        <v>1</v>
      </c>
      <c r="D20" s="1665"/>
      <c r="E20" s="1665"/>
      <c r="F20" s="1665"/>
      <c r="G20" s="1665"/>
      <c r="H20" s="1665"/>
      <c r="I20" s="1665"/>
      <c r="J20" s="1665"/>
      <c r="K20" s="1665"/>
      <c r="L20" s="1665"/>
      <c r="M20" s="1665"/>
      <c r="N20" s="1665"/>
      <c r="O20" s="1665"/>
      <c r="P20" s="1665"/>
      <c r="Q20" s="1665"/>
      <c r="R20" s="1665"/>
      <c r="S20" s="1665"/>
      <c r="T20" s="1665"/>
      <c r="U20" s="1665"/>
      <c r="V20" s="1665"/>
      <c r="W20" s="1665"/>
      <c r="X20" s="1665"/>
      <c r="Y20" s="1665"/>
      <c r="Z20" s="1665"/>
      <c r="AA20" s="1665"/>
      <c r="AB20" s="1665"/>
      <c r="AC20" s="1665"/>
      <c r="AD20" s="1665"/>
      <c r="AE20" s="1665"/>
      <c r="AF20" s="1665"/>
      <c r="AG20" s="976">
        <f t="shared" si="2"/>
        <v>0</v>
      </c>
      <c r="AH20" s="976">
        <f t="shared" si="2"/>
        <v>0</v>
      </c>
      <c r="AI20" s="976">
        <f t="shared" si="2"/>
        <v>0</v>
      </c>
      <c r="AJ20" s="976">
        <f t="shared" si="2"/>
        <v>0</v>
      </c>
      <c r="AK20" s="976">
        <f t="shared" si="3"/>
        <v>0</v>
      </c>
      <c r="AL20" s="976">
        <f t="shared" si="3"/>
        <v>0</v>
      </c>
      <c r="AM20" s="976">
        <f t="shared" si="3"/>
        <v>0</v>
      </c>
      <c r="AN20" s="976">
        <f t="shared" si="3"/>
        <v>0</v>
      </c>
      <c r="AO20" s="976">
        <f t="shared" si="3"/>
        <v>0</v>
      </c>
      <c r="AP20" s="976">
        <f t="shared" si="3"/>
        <v>0</v>
      </c>
      <c r="AQ20" s="976">
        <f t="shared" si="3"/>
        <v>0</v>
      </c>
      <c r="AR20" s="976">
        <f t="shared" si="3"/>
        <v>0</v>
      </c>
      <c r="AS20" s="976">
        <f t="shared" si="3"/>
        <v>0</v>
      </c>
      <c r="AT20" s="976">
        <f t="shared" si="3"/>
        <v>0</v>
      </c>
      <c r="AU20" s="976">
        <f t="shared" si="3"/>
        <v>0</v>
      </c>
      <c r="AV20" s="976">
        <f t="shared" si="3"/>
        <v>0</v>
      </c>
      <c r="AW20" s="976">
        <f t="shared" si="3"/>
        <v>0</v>
      </c>
      <c r="AX20" s="976">
        <f t="shared" si="3"/>
        <v>0</v>
      </c>
      <c r="AY20" s="976">
        <f t="shared" si="3"/>
        <v>0</v>
      </c>
      <c r="AZ20" s="976">
        <f t="shared" si="3"/>
        <v>0</v>
      </c>
      <c r="BA20" s="976">
        <f t="shared" si="4"/>
        <v>0</v>
      </c>
      <c r="BB20" s="976">
        <f t="shared" si="4"/>
        <v>0</v>
      </c>
      <c r="BC20" s="976">
        <f t="shared" si="4"/>
        <v>0</v>
      </c>
      <c r="BD20" s="976">
        <f t="shared" si="4"/>
        <v>0</v>
      </c>
      <c r="BE20" s="976">
        <f t="shared" si="4"/>
        <v>0</v>
      </c>
      <c r="BF20" s="976">
        <f t="shared" si="4"/>
        <v>0</v>
      </c>
      <c r="BG20" s="976">
        <f t="shared" si="4"/>
        <v>0</v>
      </c>
      <c r="BH20" s="976">
        <f t="shared" si="4"/>
        <v>0</v>
      </c>
      <c r="BI20" s="976">
        <f t="shared" si="1"/>
        <v>0</v>
      </c>
    </row>
    <row r="21" spans="1:61" s="986" customFormat="1" ht="15.75" customHeight="1" x14ac:dyDescent="0.2">
      <c r="A21" s="1245" t="s">
        <v>2899</v>
      </c>
      <c r="B21" s="998"/>
      <c r="C21" s="998"/>
      <c r="D21" s="1687"/>
      <c r="E21" s="1687"/>
      <c r="F21" s="1687"/>
      <c r="G21" s="1687"/>
      <c r="H21" s="1687"/>
      <c r="I21" s="1687"/>
      <c r="J21" s="1687"/>
      <c r="K21" s="1687"/>
      <c r="L21" s="1687"/>
      <c r="M21" s="1687"/>
      <c r="N21" s="1687"/>
      <c r="O21" s="1687"/>
      <c r="P21" s="1687"/>
      <c r="Q21" s="1687"/>
      <c r="R21" s="1687"/>
      <c r="S21" s="1687"/>
      <c r="T21" s="1687"/>
      <c r="U21" s="1687"/>
      <c r="V21" s="1687"/>
      <c r="W21" s="1687"/>
      <c r="X21" s="1687"/>
      <c r="Y21" s="1687"/>
      <c r="Z21" s="1687"/>
      <c r="AA21" s="1687"/>
      <c r="AB21" s="1687"/>
      <c r="AC21" s="1687"/>
      <c r="AD21" s="1687"/>
      <c r="AE21" s="1687"/>
      <c r="AF21" s="1687"/>
      <c r="AG21" s="998"/>
      <c r="AH21" s="998"/>
      <c r="AI21" s="998"/>
      <c r="AJ21" s="998"/>
      <c r="AK21" s="998"/>
      <c r="AL21" s="998"/>
      <c r="AM21" s="998"/>
      <c r="AN21" s="998"/>
      <c r="AO21" s="998"/>
      <c r="AP21" s="998"/>
      <c r="AQ21" s="998"/>
      <c r="AR21" s="998"/>
      <c r="AS21" s="998"/>
      <c r="AT21" s="998"/>
      <c r="AU21" s="998"/>
      <c r="AV21" s="998"/>
      <c r="AW21" s="998"/>
      <c r="AX21" s="998"/>
      <c r="AY21" s="998"/>
      <c r="AZ21" s="998"/>
      <c r="BA21" s="998"/>
      <c r="BB21" s="998"/>
      <c r="BC21" s="998"/>
      <c r="BD21" s="998"/>
      <c r="BE21" s="998"/>
      <c r="BF21" s="998"/>
      <c r="BG21" s="998"/>
      <c r="BH21" s="998"/>
      <c r="BI21" s="998"/>
    </row>
    <row r="22" spans="1:61" s="1008" customFormat="1" ht="15.75" customHeight="1" x14ac:dyDescent="0.2">
      <c r="A22" s="1730" t="s">
        <v>7524</v>
      </c>
      <c r="B22" s="1732"/>
      <c r="C22" s="1408">
        <v>1</v>
      </c>
      <c r="D22" s="1686"/>
      <c r="E22" s="1686"/>
      <c r="F22" s="1686"/>
      <c r="G22" s="1686"/>
      <c r="H22" s="1686"/>
      <c r="I22" s="1686"/>
      <c r="J22" s="1686"/>
      <c r="K22" s="1686"/>
      <c r="L22" s="1686"/>
      <c r="M22" s="1686"/>
      <c r="N22" s="1686"/>
      <c r="O22" s="1686"/>
      <c r="P22" s="1686"/>
      <c r="Q22" s="1686"/>
      <c r="R22" s="1686"/>
      <c r="S22" s="1686"/>
      <c r="T22" s="1686"/>
      <c r="U22" s="1686"/>
      <c r="V22" s="1686"/>
      <c r="W22" s="1686"/>
      <c r="X22" s="1686"/>
      <c r="Y22" s="1686"/>
      <c r="Z22" s="1686"/>
      <c r="AA22" s="1686"/>
      <c r="AB22" s="1686"/>
      <c r="AC22" s="1686"/>
      <c r="AD22" s="1686"/>
      <c r="AE22" s="1686"/>
      <c r="AF22" s="1686"/>
      <c r="AG22" s="976">
        <f t="shared" si="2"/>
        <v>0</v>
      </c>
      <c r="AH22" s="976">
        <f t="shared" si="2"/>
        <v>0</v>
      </c>
      <c r="AI22" s="976">
        <f t="shared" si="2"/>
        <v>0</v>
      </c>
      <c r="AJ22" s="976">
        <f t="shared" si="2"/>
        <v>0</v>
      </c>
      <c r="AK22" s="976">
        <f t="shared" si="3"/>
        <v>0</v>
      </c>
      <c r="AL22" s="976">
        <f t="shared" si="3"/>
        <v>0</v>
      </c>
      <c r="AM22" s="976">
        <f t="shared" si="3"/>
        <v>0</v>
      </c>
      <c r="AN22" s="976">
        <f t="shared" si="3"/>
        <v>0</v>
      </c>
      <c r="AO22" s="976">
        <f t="shared" si="3"/>
        <v>0</v>
      </c>
      <c r="AP22" s="976">
        <f t="shared" si="3"/>
        <v>0</v>
      </c>
      <c r="AQ22" s="976">
        <f t="shared" si="3"/>
        <v>0</v>
      </c>
      <c r="AR22" s="976">
        <f t="shared" si="3"/>
        <v>0</v>
      </c>
      <c r="AS22" s="976">
        <f t="shared" si="3"/>
        <v>0</v>
      </c>
      <c r="AT22" s="976">
        <f t="shared" si="3"/>
        <v>0</v>
      </c>
      <c r="AU22" s="976">
        <f t="shared" si="3"/>
        <v>0</v>
      </c>
      <c r="AV22" s="976">
        <f t="shared" si="3"/>
        <v>0</v>
      </c>
      <c r="AW22" s="976">
        <f t="shared" si="3"/>
        <v>0</v>
      </c>
      <c r="AX22" s="976">
        <f t="shared" si="3"/>
        <v>0</v>
      </c>
      <c r="AY22" s="976">
        <f t="shared" si="3"/>
        <v>0</v>
      </c>
      <c r="AZ22" s="976">
        <f t="shared" si="3"/>
        <v>0</v>
      </c>
      <c r="BA22" s="976">
        <f t="shared" si="4"/>
        <v>0</v>
      </c>
      <c r="BB22" s="976">
        <f t="shared" si="4"/>
        <v>0</v>
      </c>
      <c r="BC22" s="976">
        <f t="shared" si="4"/>
        <v>0</v>
      </c>
      <c r="BD22" s="976">
        <f t="shared" si="4"/>
        <v>0</v>
      </c>
      <c r="BE22" s="976">
        <f t="shared" si="4"/>
        <v>0</v>
      </c>
      <c r="BF22" s="976">
        <f t="shared" si="4"/>
        <v>0</v>
      </c>
      <c r="BG22" s="976">
        <f t="shared" si="4"/>
        <v>0</v>
      </c>
      <c r="BH22" s="976">
        <f t="shared" si="4"/>
        <v>0</v>
      </c>
      <c r="BI22" s="976">
        <f t="shared" si="1"/>
        <v>0</v>
      </c>
    </row>
    <row r="23" spans="1:61" s="1008" customFormat="1" ht="15.75" customHeight="1" x14ac:dyDescent="0.2">
      <c r="A23" s="1730" t="s">
        <v>7525</v>
      </c>
      <c r="B23" s="1732"/>
      <c r="C23" s="1408">
        <v>1</v>
      </c>
      <c r="D23" s="1686"/>
      <c r="E23" s="1686"/>
      <c r="F23" s="1686"/>
      <c r="G23" s="1686"/>
      <c r="H23" s="1686"/>
      <c r="I23" s="1686"/>
      <c r="J23" s="1686"/>
      <c r="K23" s="1686"/>
      <c r="L23" s="1686"/>
      <c r="M23" s="1686"/>
      <c r="N23" s="1686"/>
      <c r="O23" s="1686"/>
      <c r="P23" s="1686"/>
      <c r="Q23" s="1686"/>
      <c r="R23" s="1686"/>
      <c r="S23" s="1686"/>
      <c r="T23" s="1686"/>
      <c r="U23" s="1686"/>
      <c r="V23" s="1686"/>
      <c r="W23" s="1686"/>
      <c r="X23" s="1686"/>
      <c r="Y23" s="1686"/>
      <c r="Z23" s="1686"/>
      <c r="AA23" s="1686"/>
      <c r="AB23" s="1686"/>
      <c r="AC23" s="1686"/>
      <c r="AD23" s="1686"/>
      <c r="AE23" s="1686"/>
      <c r="AF23" s="1686"/>
      <c r="AG23" s="976">
        <f t="shared" si="2"/>
        <v>0</v>
      </c>
      <c r="AH23" s="976">
        <f t="shared" si="2"/>
        <v>0</v>
      </c>
      <c r="AI23" s="976">
        <f t="shared" si="2"/>
        <v>0</v>
      </c>
      <c r="AJ23" s="976">
        <f t="shared" si="2"/>
        <v>0</v>
      </c>
      <c r="AK23" s="976">
        <f t="shared" si="3"/>
        <v>0</v>
      </c>
      <c r="AL23" s="976">
        <f t="shared" si="3"/>
        <v>0</v>
      </c>
      <c r="AM23" s="976">
        <f t="shared" si="3"/>
        <v>0</v>
      </c>
      <c r="AN23" s="976">
        <f t="shared" si="3"/>
        <v>0</v>
      </c>
      <c r="AO23" s="976">
        <f t="shared" si="3"/>
        <v>0</v>
      </c>
      <c r="AP23" s="976">
        <f t="shared" si="3"/>
        <v>0</v>
      </c>
      <c r="AQ23" s="976">
        <f t="shared" si="3"/>
        <v>0</v>
      </c>
      <c r="AR23" s="976">
        <f t="shared" si="3"/>
        <v>0</v>
      </c>
      <c r="AS23" s="976">
        <f t="shared" si="3"/>
        <v>0</v>
      </c>
      <c r="AT23" s="976">
        <f t="shared" si="3"/>
        <v>0</v>
      </c>
      <c r="AU23" s="976">
        <f t="shared" si="3"/>
        <v>0</v>
      </c>
      <c r="AV23" s="976">
        <f t="shared" si="3"/>
        <v>0</v>
      </c>
      <c r="AW23" s="976">
        <f t="shared" si="3"/>
        <v>0</v>
      </c>
      <c r="AX23" s="976">
        <f t="shared" si="3"/>
        <v>0</v>
      </c>
      <c r="AY23" s="976">
        <f t="shared" si="3"/>
        <v>0</v>
      </c>
      <c r="AZ23" s="976">
        <f t="shared" ref="AZ23:AZ24" si="33">IF($C23="",0,IF($C23=1,W23,0))</f>
        <v>0</v>
      </c>
      <c r="BA23" s="976">
        <f t="shared" si="4"/>
        <v>0</v>
      </c>
      <c r="BB23" s="976">
        <f t="shared" si="4"/>
        <v>0</v>
      </c>
      <c r="BC23" s="976">
        <f t="shared" si="4"/>
        <v>0</v>
      </c>
      <c r="BD23" s="976">
        <f t="shared" si="4"/>
        <v>0</v>
      </c>
      <c r="BE23" s="976">
        <f t="shared" si="4"/>
        <v>0</v>
      </c>
      <c r="BF23" s="976">
        <f t="shared" si="4"/>
        <v>0</v>
      </c>
      <c r="BG23" s="976">
        <f t="shared" si="4"/>
        <v>0</v>
      </c>
      <c r="BH23" s="976">
        <f t="shared" si="4"/>
        <v>0</v>
      </c>
      <c r="BI23" s="976">
        <f t="shared" si="1"/>
        <v>0</v>
      </c>
    </row>
    <row r="24" spans="1:61" s="986" customFormat="1" ht="15.75" customHeight="1" x14ac:dyDescent="0.2">
      <c r="A24" s="1730" t="s">
        <v>934</v>
      </c>
      <c r="B24" s="1732"/>
      <c r="C24" s="1408">
        <v>1</v>
      </c>
      <c r="D24" s="1668"/>
      <c r="E24" s="1668"/>
      <c r="F24" s="1668"/>
      <c r="G24" s="1668"/>
      <c r="H24" s="1668"/>
      <c r="I24" s="1668"/>
      <c r="J24" s="1668"/>
      <c r="K24" s="1668"/>
      <c r="L24" s="1668"/>
      <c r="M24" s="1668"/>
      <c r="N24" s="1668"/>
      <c r="O24" s="1668"/>
      <c r="P24" s="1668"/>
      <c r="Q24" s="1668"/>
      <c r="R24" s="1668"/>
      <c r="S24" s="1668"/>
      <c r="T24" s="1668"/>
      <c r="U24" s="1668"/>
      <c r="V24" s="1668"/>
      <c r="W24" s="1668"/>
      <c r="X24" s="1668"/>
      <c r="Y24" s="1668"/>
      <c r="Z24" s="1668"/>
      <c r="AA24" s="1668"/>
      <c r="AB24" s="1668"/>
      <c r="AC24" s="1668"/>
      <c r="AD24" s="1668"/>
      <c r="AE24" s="1668"/>
      <c r="AF24" s="1668"/>
      <c r="AG24" s="976">
        <f t="shared" si="2"/>
        <v>0</v>
      </c>
      <c r="AH24" s="976">
        <f t="shared" si="2"/>
        <v>0</v>
      </c>
      <c r="AI24" s="976">
        <f t="shared" si="2"/>
        <v>0</v>
      </c>
      <c r="AJ24" s="976">
        <f t="shared" si="2"/>
        <v>0</v>
      </c>
      <c r="AK24" s="976">
        <f t="shared" si="2"/>
        <v>0</v>
      </c>
      <c r="AL24" s="976">
        <f t="shared" si="2"/>
        <v>0</v>
      </c>
      <c r="AM24" s="976">
        <f t="shared" si="2"/>
        <v>0</v>
      </c>
      <c r="AN24" s="976">
        <f t="shared" si="2"/>
        <v>0</v>
      </c>
      <c r="AO24" s="976">
        <f t="shared" si="2"/>
        <v>0</v>
      </c>
      <c r="AP24" s="976">
        <f t="shared" si="2"/>
        <v>0</v>
      </c>
      <c r="AQ24" s="976">
        <f t="shared" si="2"/>
        <v>0</v>
      </c>
      <c r="AR24" s="976">
        <f t="shared" si="2"/>
        <v>0</v>
      </c>
      <c r="AS24" s="976">
        <f t="shared" si="2"/>
        <v>0</v>
      </c>
      <c r="AT24" s="976">
        <f t="shared" si="2"/>
        <v>0</v>
      </c>
      <c r="AU24" s="976">
        <f t="shared" si="2"/>
        <v>0</v>
      </c>
      <c r="AV24" s="976">
        <f t="shared" si="2"/>
        <v>0</v>
      </c>
      <c r="AW24" s="976">
        <f t="shared" ref="AW24:AY24" si="34">IF($C24="",0,IF($C24=1,T24,0))</f>
        <v>0</v>
      </c>
      <c r="AX24" s="976">
        <f t="shared" si="34"/>
        <v>0</v>
      </c>
      <c r="AY24" s="976">
        <f t="shared" si="34"/>
        <v>0</v>
      </c>
      <c r="AZ24" s="976">
        <f t="shared" si="33"/>
        <v>0</v>
      </c>
      <c r="BA24" s="976">
        <f t="shared" si="4"/>
        <v>0</v>
      </c>
      <c r="BB24" s="976">
        <f t="shared" si="4"/>
        <v>0</v>
      </c>
      <c r="BC24" s="976">
        <f t="shared" si="4"/>
        <v>0</v>
      </c>
      <c r="BD24" s="976">
        <f t="shared" si="4"/>
        <v>0</v>
      </c>
      <c r="BE24" s="976">
        <f t="shared" si="4"/>
        <v>0</v>
      </c>
      <c r="BF24" s="976">
        <f t="shared" si="4"/>
        <v>0</v>
      </c>
      <c r="BG24" s="976">
        <f t="shared" si="4"/>
        <v>0</v>
      </c>
      <c r="BH24" s="976">
        <f t="shared" si="4"/>
        <v>0</v>
      </c>
      <c r="BI24" s="976">
        <f t="shared" si="1"/>
        <v>0</v>
      </c>
    </row>
    <row r="25" spans="1:61" s="986" customFormat="1" ht="15.75" customHeight="1" x14ac:dyDescent="0.2">
      <c r="A25" s="1731" t="s">
        <v>7213</v>
      </c>
      <c r="B25" s="1733"/>
      <c r="C25" s="1406">
        <v>1</v>
      </c>
      <c r="D25" s="1685"/>
      <c r="E25" s="1685"/>
      <c r="F25" s="1685"/>
      <c r="G25" s="1685"/>
      <c r="H25" s="1685"/>
      <c r="I25" s="1685"/>
      <c r="J25" s="1685"/>
      <c r="K25" s="1685"/>
      <c r="L25" s="1685"/>
      <c r="M25" s="1685"/>
      <c r="N25" s="1685"/>
      <c r="O25" s="1685"/>
      <c r="P25" s="1685"/>
      <c r="Q25" s="1685"/>
      <c r="R25" s="1685"/>
      <c r="S25" s="1685"/>
      <c r="T25" s="1685"/>
      <c r="U25" s="1685"/>
      <c r="V25" s="1685"/>
      <c r="W25" s="1685"/>
      <c r="X25" s="1685"/>
      <c r="Y25" s="1685"/>
      <c r="Z25" s="1685"/>
      <c r="AA25" s="1685"/>
      <c r="AB25" s="1685"/>
      <c r="AC25" s="1685"/>
      <c r="AD25" s="1685"/>
      <c r="AE25" s="1685"/>
      <c r="AF25" s="1685"/>
      <c r="AG25" s="976">
        <f t="shared" ref="AG25" si="35">IF($C25="",0,IF($C25=1,D25,0))</f>
        <v>0</v>
      </c>
      <c r="AH25" s="976">
        <f t="shared" ref="AH25" si="36">IF($C25="",0,IF($C25=1,E25,0))</f>
        <v>0</v>
      </c>
      <c r="AI25" s="976">
        <f t="shared" ref="AI25" si="37">IF($C25="",0,IF($C25=1,F25,0))</f>
        <v>0</v>
      </c>
      <c r="AJ25" s="976">
        <f t="shared" ref="AJ25" si="38">IF($C25="",0,IF($C25=1,G25,0))</f>
        <v>0</v>
      </c>
      <c r="AK25" s="976">
        <f t="shared" ref="AK25" si="39">IF($C25="",0,IF($C25=1,H25,0))</f>
        <v>0</v>
      </c>
      <c r="AL25" s="976">
        <f t="shared" ref="AL25" si="40">IF($C25="",0,IF($C25=1,I25,0))</f>
        <v>0</v>
      </c>
      <c r="AM25" s="976">
        <f t="shared" ref="AM25" si="41">IF($C25="",0,IF($C25=1,J25,0))</f>
        <v>0</v>
      </c>
      <c r="AN25" s="976">
        <f t="shared" ref="AN25" si="42">IF($C25="",0,IF($C25=1,K25,0))</f>
        <v>0</v>
      </c>
      <c r="AO25" s="976">
        <f t="shared" ref="AO25" si="43">IF($C25="",0,IF($C25=1,L25,0))</f>
        <v>0</v>
      </c>
      <c r="AP25" s="976">
        <f t="shared" ref="AP25" si="44">IF($C25="",0,IF($C25=1,M25,0))</f>
        <v>0</v>
      </c>
      <c r="AQ25" s="976">
        <f t="shared" ref="AQ25" si="45">IF($C25="",0,IF($C25=1,N25,0))</f>
        <v>0</v>
      </c>
      <c r="AR25" s="976">
        <f t="shared" ref="AR25" si="46">IF($C25="",0,IF($C25=1,O25,0))</f>
        <v>0</v>
      </c>
      <c r="AS25" s="976">
        <f t="shared" ref="AS25" si="47">IF($C25="",0,IF($C25=1,P25,0))</f>
        <v>0</v>
      </c>
      <c r="AT25" s="976">
        <f t="shared" ref="AT25" si="48">IF($C25="",0,IF($C25=1,Q25,0))</f>
        <v>0</v>
      </c>
      <c r="AU25" s="976">
        <f t="shared" ref="AU25" si="49">IF($C25="",0,IF($C25=1,R25,0))</f>
        <v>0</v>
      </c>
      <c r="AV25" s="976">
        <f t="shared" ref="AV25" si="50">IF($C25="",0,IF($C25=1,S25,0))</f>
        <v>0</v>
      </c>
      <c r="AW25" s="976">
        <f t="shared" ref="AW25" si="51">IF($C25="",0,IF($C25=1,T25,0))</f>
        <v>0</v>
      </c>
      <c r="AX25" s="976">
        <f t="shared" ref="AX25" si="52">IF($C25="",0,IF($C25=1,U25,0))</f>
        <v>0</v>
      </c>
      <c r="AY25" s="976">
        <f t="shared" ref="AY25" si="53">IF($C25="",0,IF($C25=1,V25,0))</f>
        <v>0</v>
      </c>
      <c r="AZ25" s="976">
        <f t="shared" ref="AZ25" si="54">IF($C25="",0,IF($C25=1,W25,0))</f>
        <v>0</v>
      </c>
      <c r="BA25" s="976">
        <f t="shared" ref="BA25" si="55">IF($C25="",0,IF($C25=1,X25,0))</f>
        <v>0</v>
      </c>
      <c r="BB25" s="976">
        <f t="shared" ref="BB25" si="56">IF($C25="",0,IF($C25=1,Y25,0))</f>
        <v>0</v>
      </c>
      <c r="BC25" s="976">
        <f t="shared" ref="BC25" si="57">IF($C25="",0,IF($C25=1,Z25,0))</f>
        <v>0</v>
      </c>
      <c r="BD25" s="976">
        <f t="shared" ref="BD25" si="58">IF($C25="",0,IF($C25=1,AA25,0))</f>
        <v>0</v>
      </c>
      <c r="BE25" s="976">
        <f t="shared" ref="BE25" si="59">IF($C25="",0,IF($C25=1,AB25,0))</f>
        <v>0</v>
      </c>
      <c r="BF25" s="976">
        <f t="shared" ref="BF25" si="60">IF($C25="",0,IF($C25=1,AC25,0))</f>
        <v>0</v>
      </c>
      <c r="BG25" s="976">
        <f t="shared" ref="BG25" si="61">IF($C25="",0,IF($C25=1,AD25,0))</f>
        <v>0</v>
      </c>
      <c r="BH25" s="976">
        <f t="shared" ref="BH25" si="62">IF($C25="",0,IF($C25=1,AE25,0))</f>
        <v>0</v>
      </c>
      <c r="BI25" s="976">
        <f t="shared" si="1"/>
        <v>0</v>
      </c>
    </row>
    <row r="26" spans="1:61" s="956" customFormat="1" ht="23.25" customHeight="1" x14ac:dyDescent="0.2">
      <c r="A26" s="1246" t="s">
        <v>902</v>
      </c>
      <c r="B26" s="1009"/>
      <c r="C26" s="1009"/>
      <c r="D26" s="1010" t="str">
        <f>IF(MAX(D6:D25)=0,"",MAX(D6:D25))</f>
        <v/>
      </c>
      <c r="E26" s="1010" t="str">
        <f t="shared" ref="E26:AF26" si="63">IF(MAX(E6:E25)=0,"",MAX(E6:E25))</f>
        <v/>
      </c>
      <c r="F26" s="1010" t="str">
        <f t="shared" si="63"/>
        <v/>
      </c>
      <c r="G26" s="1010" t="str">
        <f t="shared" si="63"/>
        <v/>
      </c>
      <c r="H26" s="1010" t="str">
        <f t="shared" si="63"/>
        <v/>
      </c>
      <c r="I26" s="1010" t="str">
        <f t="shared" si="63"/>
        <v/>
      </c>
      <c r="J26" s="1010" t="str">
        <f t="shared" si="63"/>
        <v/>
      </c>
      <c r="K26" s="1010" t="str">
        <f t="shared" si="63"/>
        <v/>
      </c>
      <c r="L26" s="1010" t="str">
        <f t="shared" si="63"/>
        <v/>
      </c>
      <c r="M26" s="1010" t="str">
        <f t="shared" si="63"/>
        <v/>
      </c>
      <c r="N26" s="1010" t="str">
        <f t="shared" si="63"/>
        <v/>
      </c>
      <c r="O26" s="1010" t="str">
        <f t="shared" si="63"/>
        <v/>
      </c>
      <c r="P26" s="1010" t="str">
        <f t="shared" si="63"/>
        <v/>
      </c>
      <c r="Q26" s="1010" t="str">
        <f t="shared" si="63"/>
        <v/>
      </c>
      <c r="R26" s="1010" t="str">
        <f t="shared" si="63"/>
        <v/>
      </c>
      <c r="S26" s="1010" t="str">
        <f t="shared" si="63"/>
        <v/>
      </c>
      <c r="T26" s="1010" t="str">
        <f t="shared" si="63"/>
        <v/>
      </c>
      <c r="U26" s="1010" t="str">
        <f t="shared" si="63"/>
        <v/>
      </c>
      <c r="V26" s="1010" t="str">
        <f t="shared" si="63"/>
        <v/>
      </c>
      <c r="W26" s="1010" t="str">
        <f t="shared" si="63"/>
        <v/>
      </c>
      <c r="X26" s="1010" t="str">
        <f t="shared" si="63"/>
        <v/>
      </c>
      <c r="Y26" s="1010" t="str">
        <f t="shared" si="63"/>
        <v/>
      </c>
      <c r="Z26" s="1010" t="str">
        <f t="shared" si="63"/>
        <v/>
      </c>
      <c r="AA26" s="1010" t="str">
        <f t="shared" si="63"/>
        <v/>
      </c>
      <c r="AB26" s="1010" t="str">
        <f t="shared" si="63"/>
        <v/>
      </c>
      <c r="AC26" s="1010" t="str">
        <f t="shared" si="63"/>
        <v/>
      </c>
      <c r="AD26" s="1010" t="str">
        <f t="shared" si="63"/>
        <v/>
      </c>
      <c r="AE26" s="1010" t="str">
        <f t="shared" si="63"/>
        <v/>
      </c>
      <c r="AF26" s="1010" t="str">
        <f t="shared" si="63"/>
        <v/>
      </c>
      <c r="AG26" s="1010"/>
      <c r="AH26" s="1010"/>
      <c r="AI26" s="1010"/>
      <c r="AJ26" s="1010"/>
      <c r="AK26" s="1010"/>
      <c r="AL26" s="1010"/>
      <c r="AM26" s="1010"/>
      <c r="AN26" s="1010"/>
      <c r="AO26" s="1010"/>
      <c r="AP26" s="1010"/>
      <c r="AQ26" s="1010"/>
      <c r="AR26" s="1010"/>
      <c r="AS26" s="1010"/>
      <c r="AT26" s="1010"/>
      <c r="AU26" s="1010"/>
      <c r="AV26" s="1010"/>
      <c r="AW26" s="1010"/>
      <c r="AX26" s="1010"/>
      <c r="AY26" s="1010"/>
      <c r="AZ26" s="1010"/>
      <c r="BA26" s="1010"/>
      <c r="BB26" s="1010"/>
      <c r="BC26" s="1010"/>
      <c r="BD26" s="1010"/>
      <c r="BE26" s="1010"/>
      <c r="BF26" s="1010"/>
      <c r="BG26" s="1010"/>
      <c r="BH26" s="1010"/>
      <c r="BI26" s="1011"/>
    </row>
    <row r="27" spans="1:61" s="956" customFormat="1" ht="30" customHeight="1" thickBot="1" x14ac:dyDescent="0.25">
      <c r="A27" s="1247" t="s">
        <v>7214</v>
      </c>
      <c r="B27" s="1012"/>
      <c r="C27" s="1012"/>
      <c r="D27" s="1013" t="str">
        <f>IF(MAX(AG6:AG25)=0,"",MAX(AG6:AG25))</f>
        <v/>
      </c>
      <c r="E27" s="1013" t="str">
        <f t="shared" ref="E27:AF27" si="64">IF(MAX(AH6:AH25)=0,"",MAX(AH6:AH25))</f>
        <v/>
      </c>
      <c r="F27" s="1013" t="str">
        <f t="shared" si="64"/>
        <v/>
      </c>
      <c r="G27" s="1013" t="str">
        <f t="shared" si="64"/>
        <v/>
      </c>
      <c r="H27" s="1013" t="str">
        <f t="shared" si="64"/>
        <v/>
      </c>
      <c r="I27" s="1013" t="str">
        <f t="shared" si="64"/>
        <v/>
      </c>
      <c r="J27" s="1013" t="str">
        <f t="shared" si="64"/>
        <v/>
      </c>
      <c r="K27" s="1013" t="str">
        <f t="shared" si="64"/>
        <v/>
      </c>
      <c r="L27" s="1013" t="str">
        <f t="shared" si="64"/>
        <v/>
      </c>
      <c r="M27" s="1013" t="str">
        <f t="shared" si="64"/>
        <v/>
      </c>
      <c r="N27" s="1013" t="str">
        <f t="shared" si="64"/>
        <v/>
      </c>
      <c r="O27" s="1013" t="str">
        <f t="shared" si="64"/>
        <v/>
      </c>
      <c r="P27" s="1013" t="str">
        <f t="shared" si="64"/>
        <v/>
      </c>
      <c r="Q27" s="1013" t="str">
        <f t="shared" si="64"/>
        <v/>
      </c>
      <c r="R27" s="1013" t="str">
        <f t="shared" si="64"/>
        <v/>
      </c>
      <c r="S27" s="1013" t="str">
        <f t="shared" si="64"/>
        <v/>
      </c>
      <c r="T27" s="1013" t="str">
        <f t="shared" si="64"/>
        <v/>
      </c>
      <c r="U27" s="1013" t="str">
        <f t="shared" si="64"/>
        <v/>
      </c>
      <c r="V27" s="1013" t="str">
        <f t="shared" si="64"/>
        <v/>
      </c>
      <c r="W27" s="1013" t="str">
        <f t="shared" si="64"/>
        <v/>
      </c>
      <c r="X27" s="1013" t="str">
        <f t="shared" si="64"/>
        <v/>
      </c>
      <c r="Y27" s="1013" t="str">
        <f t="shared" si="64"/>
        <v/>
      </c>
      <c r="Z27" s="1013" t="str">
        <f t="shared" si="64"/>
        <v/>
      </c>
      <c r="AA27" s="1013" t="str">
        <f t="shared" si="64"/>
        <v/>
      </c>
      <c r="AB27" s="1013" t="str">
        <f t="shared" si="64"/>
        <v/>
      </c>
      <c r="AC27" s="1013" t="str">
        <f t="shared" si="64"/>
        <v/>
      </c>
      <c r="AD27" s="1013" t="str">
        <f t="shared" si="64"/>
        <v/>
      </c>
      <c r="AE27" s="1013" t="str">
        <f t="shared" si="64"/>
        <v/>
      </c>
      <c r="AF27" s="1013" t="str">
        <f t="shared" si="64"/>
        <v/>
      </c>
      <c r="AG27" s="1013"/>
      <c r="AH27" s="1013"/>
      <c r="AI27" s="1013"/>
      <c r="AJ27" s="1013"/>
      <c r="AK27" s="1013"/>
      <c r="AL27" s="1013"/>
      <c r="AM27" s="1013"/>
      <c r="AN27" s="1013"/>
      <c r="AO27" s="1013"/>
      <c r="AP27" s="1013"/>
      <c r="AQ27" s="1013"/>
      <c r="AR27" s="1013"/>
      <c r="AS27" s="1013"/>
      <c r="AT27" s="1013"/>
      <c r="AU27" s="1013"/>
      <c r="AV27" s="1013"/>
      <c r="AW27" s="1013"/>
      <c r="AX27" s="1013"/>
      <c r="AY27" s="1013"/>
      <c r="AZ27" s="1013"/>
      <c r="BA27" s="1013"/>
      <c r="BB27" s="1013"/>
      <c r="BC27" s="1013"/>
      <c r="BD27" s="1013"/>
      <c r="BE27" s="1013"/>
      <c r="BF27" s="1013"/>
      <c r="BG27" s="1013"/>
      <c r="BH27" s="1013"/>
      <c r="BI27" s="1014"/>
    </row>
    <row r="28" spans="1:61" s="956" customFormat="1" ht="30" customHeight="1" x14ac:dyDescent="0.2">
      <c r="A28" s="1425"/>
      <c r="B28" s="1427"/>
      <c r="C28" s="1428"/>
      <c r="D28" s="1426"/>
      <c r="E28" s="1426"/>
      <c r="F28" s="1426"/>
      <c r="G28" s="1426"/>
      <c r="H28" s="1426"/>
      <c r="I28" s="1426"/>
      <c r="J28" s="1426"/>
      <c r="K28" s="1426"/>
      <c r="L28" s="1426"/>
      <c r="M28" s="1426"/>
      <c r="N28" s="1426"/>
      <c r="O28" s="1426"/>
      <c r="P28" s="1426"/>
      <c r="Q28" s="1426"/>
      <c r="R28" s="1426"/>
      <c r="S28" s="1426"/>
      <c r="T28" s="1426"/>
      <c r="U28" s="1426"/>
      <c r="V28" s="1426"/>
      <c r="W28" s="1426"/>
      <c r="X28" s="1426"/>
      <c r="Y28" s="1426"/>
      <c r="Z28" s="1426"/>
      <c r="AA28" s="1426"/>
      <c r="AB28" s="1426"/>
      <c r="AC28" s="1426"/>
      <c r="AD28" s="1426"/>
      <c r="AE28" s="1426"/>
      <c r="AF28" s="1426"/>
      <c r="AG28" s="1426"/>
      <c r="AH28" s="1426"/>
      <c r="AI28" s="1426"/>
      <c r="AJ28" s="1426"/>
      <c r="AK28" s="1426"/>
      <c r="AL28" s="1426"/>
      <c r="AM28" s="1426"/>
      <c r="AN28" s="1426"/>
      <c r="AO28" s="1426"/>
      <c r="AP28" s="1426"/>
      <c r="AQ28" s="1426"/>
      <c r="AR28" s="1426"/>
      <c r="AS28" s="1426"/>
      <c r="AT28" s="1426"/>
      <c r="AU28" s="1426"/>
      <c r="AV28" s="1426"/>
      <c r="AW28" s="1426"/>
      <c r="AX28" s="1426"/>
      <c r="AY28" s="1426"/>
      <c r="AZ28" s="1426"/>
      <c r="BA28" s="1426"/>
      <c r="BB28" s="1426"/>
      <c r="BC28" s="1426"/>
      <c r="BD28" s="1426"/>
      <c r="BE28" s="1426"/>
      <c r="BF28" s="1426"/>
      <c r="BG28" s="1426"/>
      <c r="BH28" s="1426"/>
      <c r="BI28" s="1426"/>
    </row>
    <row r="29" spans="1:61" s="956" customFormat="1" ht="35.25" customHeight="1" x14ac:dyDescent="0.2">
      <c r="A29" s="1015" t="s">
        <v>7216</v>
      </c>
      <c r="B29" s="1918" t="s">
        <v>7434</v>
      </c>
      <c r="C29" s="1919"/>
      <c r="D29" s="1919"/>
      <c r="E29" s="1919"/>
      <c r="F29" s="1919"/>
      <c r="G29" s="1919"/>
      <c r="H29" s="1919"/>
      <c r="I29" s="1919"/>
      <c r="J29" s="1919"/>
      <c r="K29" s="1919"/>
      <c r="L29" s="1919"/>
      <c r="M29" s="1919"/>
      <c r="N29" s="1919"/>
      <c r="O29" s="1919"/>
      <c r="P29" s="1919"/>
      <c r="Q29" s="1919"/>
      <c r="R29" s="1919"/>
      <c r="S29" s="1919"/>
      <c r="T29" s="1919"/>
      <c r="U29" s="1919"/>
      <c r="V29" s="1919"/>
      <c r="W29" s="1919"/>
      <c r="X29" s="1919"/>
      <c r="Y29" s="1919"/>
      <c r="Z29" s="1919"/>
      <c r="AA29" s="1919"/>
      <c r="AB29" s="1919"/>
      <c r="AC29" s="1919"/>
      <c r="AD29" s="1919"/>
      <c r="AE29" s="1919"/>
      <c r="AF29" s="1919"/>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919"/>
      <c r="BG29" s="1919"/>
      <c r="BH29" s="1919"/>
      <c r="BI29" s="1919"/>
    </row>
    <row r="30" spans="1:61" s="956" customFormat="1" ht="16.5" customHeight="1" x14ac:dyDescent="0.2">
      <c r="A30" s="1016" t="s">
        <v>7217</v>
      </c>
      <c r="B30" s="1920"/>
      <c r="C30" s="1921"/>
      <c r="D30" s="1921"/>
      <c r="E30" s="1921"/>
      <c r="F30" s="1921"/>
      <c r="G30" s="1921"/>
      <c r="H30" s="1921"/>
      <c r="I30" s="1921"/>
      <c r="J30" s="1921"/>
      <c r="K30" s="1921"/>
      <c r="L30" s="1921"/>
      <c r="M30" s="1921"/>
      <c r="N30" s="1921"/>
      <c r="O30" s="1921"/>
      <c r="P30" s="1921"/>
      <c r="Q30" s="1921"/>
      <c r="R30" s="1921"/>
      <c r="S30" s="1921"/>
      <c r="T30" s="1921"/>
      <c r="U30" s="1921"/>
      <c r="V30" s="1921"/>
      <c r="W30" s="1921"/>
      <c r="X30" s="1921"/>
      <c r="Y30" s="1921"/>
      <c r="Z30" s="1921"/>
      <c r="AA30" s="1921"/>
      <c r="AB30" s="1921"/>
      <c r="AC30" s="1921"/>
      <c r="AD30" s="1921"/>
      <c r="AE30" s="1921"/>
      <c r="AF30" s="1921"/>
      <c r="AG30" s="1921"/>
      <c r="AH30" s="1921"/>
      <c r="AI30" s="1921"/>
      <c r="AJ30" s="1921"/>
      <c r="AK30" s="1921"/>
      <c r="AL30" s="1921"/>
      <c r="AM30" s="1921"/>
      <c r="AN30" s="1921"/>
      <c r="AO30" s="1921"/>
      <c r="AP30" s="1921"/>
      <c r="AQ30" s="1921"/>
      <c r="AR30" s="1921"/>
      <c r="AS30" s="1921"/>
      <c r="AT30" s="1921"/>
      <c r="AU30" s="1921"/>
      <c r="AV30" s="1921"/>
      <c r="AW30" s="1921"/>
      <c r="AX30" s="1921"/>
      <c r="AY30" s="1921"/>
      <c r="AZ30" s="1921"/>
      <c r="BA30" s="1921"/>
      <c r="BB30" s="1921"/>
      <c r="BC30" s="1921"/>
      <c r="BD30" s="1921"/>
      <c r="BE30" s="1921"/>
      <c r="BF30" s="1921"/>
      <c r="BG30" s="1921"/>
      <c r="BH30" s="1921"/>
      <c r="BI30" s="1921"/>
    </row>
    <row r="31" spans="1:61" s="956" customFormat="1" ht="16.5" customHeight="1" x14ac:dyDescent="0.2">
      <c r="A31" s="1248" t="s">
        <v>7218</v>
      </c>
      <c r="B31" s="1920"/>
      <c r="C31" s="1921"/>
      <c r="D31" s="1921"/>
      <c r="E31" s="1921"/>
      <c r="F31" s="1921"/>
      <c r="G31" s="1921"/>
      <c r="H31" s="1921"/>
      <c r="I31" s="1921"/>
      <c r="J31" s="1921"/>
      <c r="K31" s="1921"/>
      <c r="L31" s="1921"/>
      <c r="M31" s="1921"/>
      <c r="N31" s="1921"/>
      <c r="O31" s="1921"/>
      <c r="P31" s="1921"/>
      <c r="Q31" s="1921"/>
      <c r="R31" s="1921"/>
      <c r="S31" s="1921"/>
      <c r="T31" s="1921"/>
      <c r="U31" s="1921"/>
      <c r="V31" s="1921"/>
      <c r="W31" s="1921"/>
      <c r="X31" s="1921"/>
      <c r="Y31" s="1921"/>
      <c r="Z31" s="1921"/>
      <c r="AA31" s="1921"/>
      <c r="AB31" s="1921"/>
      <c r="AC31" s="1921"/>
      <c r="AD31" s="1921"/>
      <c r="AE31" s="1921"/>
      <c r="AF31" s="1921"/>
      <c r="AG31" s="1921"/>
      <c r="AH31" s="1921"/>
      <c r="AI31" s="1921"/>
      <c r="AJ31" s="1921"/>
      <c r="AK31" s="1921"/>
      <c r="AL31" s="1921"/>
      <c r="AM31" s="1921"/>
      <c r="AN31" s="1921"/>
      <c r="AO31" s="1921"/>
      <c r="AP31" s="1921"/>
      <c r="AQ31" s="1921"/>
      <c r="AR31" s="1921"/>
      <c r="AS31" s="1921"/>
      <c r="AT31" s="1921"/>
      <c r="AU31" s="1921"/>
      <c r="AV31" s="1921"/>
      <c r="AW31" s="1921"/>
      <c r="AX31" s="1921"/>
      <c r="AY31" s="1921"/>
      <c r="AZ31" s="1921"/>
      <c r="BA31" s="1921"/>
      <c r="BB31" s="1921"/>
      <c r="BC31" s="1921"/>
      <c r="BD31" s="1921"/>
      <c r="BE31" s="1921"/>
      <c r="BF31" s="1921"/>
      <c r="BG31" s="1921"/>
      <c r="BH31" s="1921"/>
      <c r="BI31" s="1921"/>
    </row>
    <row r="32" spans="1:61" s="956" customFormat="1" ht="14.25" customHeight="1" x14ac:dyDescent="0.2">
      <c r="A32" s="1015" t="s">
        <v>7219</v>
      </c>
      <c r="B32" s="1920" t="s">
        <v>7434</v>
      </c>
      <c r="C32" s="1921"/>
      <c r="D32" s="1921"/>
      <c r="E32" s="1921"/>
      <c r="F32" s="1921"/>
      <c r="G32" s="1921"/>
      <c r="H32" s="1921"/>
      <c r="I32" s="1921"/>
      <c r="J32" s="1921"/>
      <c r="K32" s="1921"/>
      <c r="L32" s="1921"/>
      <c r="M32" s="1921"/>
      <c r="N32" s="1921"/>
      <c r="O32" s="1921"/>
      <c r="P32" s="1921"/>
      <c r="Q32" s="1921"/>
      <c r="R32" s="1921"/>
      <c r="S32" s="1921"/>
      <c r="T32" s="1921"/>
      <c r="U32" s="1921"/>
      <c r="V32" s="1921"/>
      <c r="W32" s="1921"/>
      <c r="X32" s="1921"/>
      <c r="Y32" s="1921"/>
      <c r="Z32" s="1921"/>
      <c r="AA32" s="1921"/>
      <c r="AB32" s="1921"/>
      <c r="AC32" s="1921"/>
      <c r="AD32" s="1921"/>
      <c r="AE32" s="1921"/>
      <c r="AF32" s="1921"/>
      <c r="AG32" s="1921"/>
      <c r="AH32" s="1921"/>
      <c r="AI32" s="1921"/>
      <c r="AJ32" s="1921"/>
      <c r="AK32" s="1921"/>
      <c r="AL32" s="1921"/>
      <c r="AM32" s="1921"/>
      <c r="AN32" s="1921"/>
      <c r="AO32" s="1921"/>
      <c r="AP32" s="1921"/>
      <c r="AQ32" s="1921"/>
      <c r="AR32" s="1921"/>
      <c r="AS32" s="1921"/>
      <c r="AT32" s="1921"/>
      <c r="AU32" s="1921"/>
      <c r="AV32" s="1921"/>
      <c r="AW32" s="1921"/>
      <c r="AX32" s="1921"/>
      <c r="AY32" s="1921"/>
      <c r="AZ32" s="1921"/>
      <c r="BA32" s="1921"/>
      <c r="BB32" s="1921"/>
      <c r="BC32" s="1921"/>
      <c r="BD32" s="1921"/>
      <c r="BE32" s="1921"/>
      <c r="BF32" s="1921"/>
      <c r="BG32" s="1921"/>
      <c r="BH32" s="1921"/>
      <c r="BI32" s="1921"/>
    </row>
    <row r="33" spans="1:61" s="956" customFormat="1" ht="14.25" customHeight="1" x14ac:dyDescent="0.2">
      <c r="A33" s="1017" t="s">
        <v>7220</v>
      </c>
      <c r="B33" s="1429" t="s">
        <v>7283</v>
      </c>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986"/>
      <c r="AH33" s="986"/>
      <c r="AI33" s="986"/>
      <c r="AJ33" s="986"/>
      <c r="AK33" s="986"/>
      <c r="AL33" s="986"/>
      <c r="AM33" s="986"/>
      <c r="AN33" s="986"/>
      <c r="AO33" s="986"/>
      <c r="AP33" s="986"/>
      <c r="AQ33" s="986"/>
      <c r="AR33" s="986"/>
      <c r="AS33" s="986"/>
      <c r="AT33" s="986"/>
      <c r="AU33" s="986"/>
      <c r="AV33" s="986"/>
      <c r="AW33" s="986"/>
      <c r="AX33" s="986"/>
      <c r="AY33" s="986"/>
      <c r="AZ33" s="986"/>
      <c r="BA33" s="986"/>
      <c r="BB33" s="986"/>
      <c r="BC33" s="986"/>
      <c r="BD33" s="986"/>
      <c r="BE33" s="986"/>
      <c r="BF33" s="986"/>
      <c r="BG33" s="986"/>
      <c r="BH33" s="986"/>
      <c r="BI33" s="986"/>
    </row>
    <row r="34" spans="1:61" s="956" customFormat="1" ht="13.5" customHeight="1" x14ac:dyDescent="0.2">
      <c r="A34" s="1017" t="s">
        <v>7221</v>
      </c>
      <c r="B34" s="1018" t="s">
        <v>7283</v>
      </c>
      <c r="C34" s="1250"/>
      <c r="D34" s="1250"/>
      <c r="E34" s="1250"/>
      <c r="F34" s="1250"/>
      <c r="G34" s="1250"/>
      <c r="H34" s="1250"/>
      <c r="I34" s="1250"/>
      <c r="J34" s="1250"/>
      <c r="K34" s="1250"/>
      <c r="L34" s="1250"/>
      <c r="M34" s="1250"/>
      <c r="N34" s="1250"/>
      <c r="O34" s="1250"/>
      <c r="P34" s="1250"/>
      <c r="Q34" s="1250"/>
      <c r="R34" s="1250"/>
      <c r="S34" s="1250"/>
      <c r="T34" s="1250"/>
      <c r="U34" s="1250"/>
      <c r="V34" s="1250"/>
      <c r="W34" s="1250"/>
      <c r="X34" s="1250"/>
      <c r="Y34" s="1250"/>
      <c r="Z34" s="1250"/>
      <c r="AA34" s="1250"/>
      <c r="AB34" s="1250"/>
      <c r="AC34" s="1250"/>
      <c r="AD34" s="1250"/>
      <c r="AE34" s="1250"/>
      <c r="AF34" s="1250"/>
      <c r="AG34" s="986"/>
      <c r="AH34" s="986"/>
      <c r="AI34" s="986"/>
      <c r="AJ34" s="986"/>
      <c r="AK34" s="986"/>
      <c r="AL34" s="986"/>
      <c r="AM34" s="986"/>
      <c r="AN34" s="986"/>
      <c r="AO34" s="986"/>
      <c r="AP34" s="986"/>
      <c r="AQ34" s="986"/>
      <c r="AR34" s="986"/>
      <c r="AS34" s="986"/>
      <c r="AT34" s="986"/>
      <c r="AU34" s="986"/>
      <c r="AV34" s="986"/>
      <c r="AW34" s="986"/>
      <c r="AX34" s="986"/>
      <c r="AY34" s="986"/>
      <c r="AZ34" s="986"/>
      <c r="BA34" s="986"/>
      <c r="BB34" s="986"/>
      <c r="BC34" s="986"/>
      <c r="BD34" s="986"/>
      <c r="BE34" s="986"/>
      <c r="BF34" s="986"/>
      <c r="BG34" s="986"/>
      <c r="BH34" s="986"/>
      <c r="BI34" s="986"/>
    </row>
    <row r="35" spans="1:61" s="956" customFormat="1" ht="13.5" customHeight="1" x14ac:dyDescent="0.2">
      <c r="A35" s="1020" t="s">
        <v>7222</v>
      </c>
      <c r="B35" s="1018" t="s">
        <v>7283</v>
      </c>
      <c r="C35" s="1250"/>
      <c r="D35" s="1250"/>
      <c r="E35" s="1250"/>
      <c r="F35" s="1250"/>
      <c r="G35" s="1250"/>
      <c r="H35" s="1250"/>
      <c r="I35" s="1250"/>
      <c r="J35" s="1250"/>
      <c r="K35" s="1250"/>
      <c r="L35" s="1250"/>
      <c r="M35" s="1250"/>
      <c r="N35" s="1250"/>
      <c r="O35" s="1250"/>
      <c r="P35" s="1250"/>
      <c r="Q35" s="1250"/>
      <c r="R35" s="1250"/>
      <c r="S35" s="1250"/>
      <c r="T35" s="1250"/>
      <c r="U35" s="1250"/>
      <c r="V35" s="1250"/>
      <c r="W35" s="1250"/>
      <c r="X35" s="1250"/>
      <c r="Y35" s="1250"/>
      <c r="Z35" s="1250"/>
      <c r="AA35" s="1250"/>
      <c r="AB35" s="1250"/>
      <c r="AC35" s="1250"/>
      <c r="AD35" s="1250"/>
      <c r="AE35" s="1250"/>
      <c r="AF35" s="1250"/>
      <c r="AG35" s="986"/>
      <c r="AH35" s="986"/>
      <c r="AI35" s="986"/>
      <c r="AJ35" s="986"/>
      <c r="AK35" s="986"/>
      <c r="AL35" s="986"/>
      <c r="AM35" s="986"/>
      <c r="AN35" s="986"/>
      <c r="AO35" s="986"/>
      <c r="AP35" s="986"/>
      <c r="AQ35" s="986"/>
      <c r="AR35" s="986"/>
      <c r="AS35" s="986"/>
      <c r="AT35" s="986"/>
      <c r="AU35" s="986"/>
      <c r="AV35" s="986"/>
      <c r="AW35" s="986"/>
      <c r="AX35" s="986"/>
      <c r="AY35" s="986"/>
      <c r="AZ35" s="986"/>
      <c r="BA35" s="986"/>
      <c r="BB35" s="986"/>
      <c r="BC35" s="986"/>
      <c r="BD35" s="986"/>
      <c r="BE35" s="986"/>
      <c r="BF35" s="986"/>
      <c r="BG35" s="986"/>
      <c r="BH35" s="986"/>
      <c r="BI35" s="986"/>
    </row>
    <row r="36" spans="1:61" s="956" customFormat="1" ht="13.5" customHeight="1" x14ac:dyDescent="0.2">
      <c r="A36" s="1021" t="s">
        <v>7223</v>
      </c>
      <c r="B36" s="1018" t="s">
        <v>7283</v>
      </c>
      <c r="C36" s="1250"/>
      <c r="D36" s="1250"/>
      <c r="E36" s="1250"/>
      <c r="F36" s="1250"/>
      <c r="G36" s="1250"/>
      <c r="H36" s="1250"/>
      <c r="I36" s="1250"/>
      <c r="J36" s="1250"/>
      <c r="K36" s="1250"/>
      <c r="L36" s="1250"/>
      <c r="M36" s="1250"/>
      <c r="N36" s="1250"/>
      <c r="O36" s="1250"/>
      <c r="P36" s="1250"/>
      <c r="Q36" s="1250"/>
      <c r="R36" s="1250"/>
      <c r="S36" s="1250"/>
      <c r="T36" s="1250"/>
      <c r="U36" s="1250"/>
      <c r="V36" s="1250"/>
      <c r="W36" s="1250"/>
      <c r="X36" s="1250"/>
      <c r="Y36" s="1250"/>
      <c r="Z36" s="1250"/>
      <c r="AA36" s="1250"/>
      <c r="AB36" s="1250"/>
      <c r="AC36" s="1250"/>
      <c r="AD36" s="1250"/>
      <c r="AE36" s="1250"/>
      <c r="AF36" s="1250"/>
      <c r="AG36" s="986"/>
      <c r="AH36" s="986"/>
      <c r="AI36" s="986"/>
      <c r="AJ36" s="986"/>
      <c r="AK36" s="986"/>
      <c r="AL36" s="986"/>
      <c r="AM36" s="986"/>
      <c r="AN36" s="986"/>
      <c r="AO36" s="986"/>
      <c r="AP36" s="986"/>
      <c r="AQ36" s="986"/>
      <c r="AR36" s="986"/>
      <c r="AS36" s="986"/>
      <c r="AT36" s="986"/>
      <c r="AU36" s="986"/>
      <c r="AV36" s="986"/>
      <c r="AW36" s="986"/>
      <c r="AX36" s="986"/>
      <c r="AY36" s="986"/>
      <c r="AZ36" s="986"/>
      <c r="BA36" s="986"/>
      <c r="BB36" s="986"/>
      <c r="BC36" s="986"/>
      <c r="BD36" s="986"/>
      <c r="BE36" s="986"/>
      <c r="BF36" s="986"/>
      <c r="BG36" s="986"/>
      <c r="BH36" s="986"/>
      <c r="BI36" s="986"/>
    </row>
    <row r="37" spans="1:61" s="990" customFormat="1" ht="14.25" customHeight="1" x14ac:dyDescent="0.2">
      <c r="A37" s="985"/>
      <c r="C37" s="1019"/>
      <c r="D37" s="1019"/>
      <c r="E37" s="1019"/>
      <c r="F37" s="1019"/>
      <c r="G37" s="1019"/>
      <c r="H37" s="1019"/>
      <c r="I37" s="1019"/>
      <c r="J37" s="1019"/>
      <c r="K37" s="1019"/>
      <c r="L37" s="1019"/>
      <c r="M37" s="1019"/>
      <c r="N37" s="1019"/>
      <c r="O37" s="1019"/>
      <c r="P37" s="1019"/>
      <c r="Q37" s="1019"/>
      <c r="R37" s="1019"/>
      <c r="S37" s="1019"/>
      <c r="T37" s="1019"/>
      <c r="U37" s="1019"/>
      <c r="V37" s="1019"/>
      <c r="W37" s="1019"/>
      <c r="X37" s="1019"/>
      <c r="Y37" s="1019"/>
      <c r="Z37" s="1019"/>
      <c r="AA37" s="1019"/>
      <c r="AB37" s="1019"/>
      <c r="AC37" s="1019"/>
      <c r="AD37" s="1019"/>
      <c r="AE37" s="1019"/>
      <c r="AF37" s="1019"/>
      <c r="AG37" s="991"/>
      <c r="AH37" s="991"/>
      <c r="AI37" s="991"/>
      <c r="AJ37" s="991"/>
      <c r="AK37" s="991"/>
      <c r="AL37" s="991"/>
      <c r="AM37" s="991"/>
      <c r="AN37" s="991"/>
      <c r="AO37" s="991"/>
      <c r="AP37" s="991"/>
      <c r="AQ37" s="991"/>
      <c r="AR37" s="991"/>
      <c r="AS37" s="991"/>
      <c r="AT37" s="991"/>
      <c r="AU37" s="991"/>
      <c r="AV37" s="991"/>
      <c r="AW37" s="991"/>
      <c r="AX37" s="991"/>
      <c r="AY37" s="991"/>
      <c r="AZ37" s="991"/>
      <c r="BA37" s="991"/>
      <c r="BB37" s="991"/>
      <c r="BC37" s="991"/>
      <c r="BD37" s="991"/>
      <c r="BE37" s="991"/>
      <c r="BF37" s="991"/>
      <c r="BG37" s="991"/>
      <c r="BH37" s="991"/>
      <c r="BI37" s="991"/>
    </row>
    <row r="38" spans="1:61" s="986" customFormat="1" ht="51" x14ac:dyDescent="0.2">
      <c r="A38" s="1249" t="s">
        <v>7229</v>
      </c>
      <c r="B38" s="1917" t="s">
        <v>7228</v>
      </c>
      <c r="C38" s="1917"/>
      <c r="D38" s="1917"/>
      <c r="E38" s="1917"/>
      <c r="F38" s="1917"/>
      <c r="G38" s="1917"/>
      <c r="H38" s="1917"/>
      <c r="I38" s="1917"/>
      <c r="J38" s="1917"/>
      <c r="K38" s="1917"/>
      <c r="L38" s="1917"/>
      <c r="M38" s="1917"/>
      <c r="N38" s="1917"/>
      <c r="O38" s="1917"/>
      <c r="P38" s="1917"/>
      <c r="Q38" s="1917"/>
      <c r="R38" s="1917"/>
      <c r="S38" s="1917"/>
      <c r="T38" s="1917"/>
      <c r="U38" s="1917"/>
      <c r="V38" s="1917"/>
      <c r="W38" s="1917"/>
      <c r="X38" s="1917"/>
      <c r="Y38" s="1917"/>
      <c r="Z38" s="1917"/>
      <c r="AA38" s="1917"/>
      <c r="AB38" s="1917"/>
      <c r="AC38" s="1917"/>
      <c r="AD38" s="1917"/>
      <c r="AE38" s="1917"/>
      <c r="AF38" s="1917"/>
      <c r="AG38" s="989"/>
      <c r="AH38" s="989"/>
      <c r="AI38" s="989"/>
      <c r="AJ38" s="989"/>
      <c r="AK38" s="989"/>
      <c r="AL38" s="989"/>
      <c r="AM38" s="989"/>
      <c r="AN38" s="989"/>
      <c r="AO38" s="989"/>
      <c r="AP38" s="989"/>
      <c r="AQ38" s="989"/>
      <c r="AR38" s="989"/>
      <c r="AS38" s="989"/>
      <c r="AT38" s="989"/>
      <c r="AU38" s="989"/>
      <c r="AV38" s="989"/>
      <c r="AW38" s="989"/>
      <c r="AX38" s="989"/>
      <c r="AY38" s="989"/>
      <c r="AZ38" s="989"/>
      <c r="BA38" s="989"/>
      <c r="BB38" s="989"/>
      <c r="BC38" s="989"/>
      <c r="BD38" s="989"/>
      <c r="BE38" s="989"/>
      <c r="BF38" s="989"/>
      <c r="BG38" s="989"/>
      <c r="BH38" s="989"/>
      <c r="BI38" s="989"/>
    </row>
    <row r="39" spans="1:61" s="986" customFormat="1" x14ac:dyDescent="0.2">
      <c r="A39" s="1022"/>
      <c r="B39" s="1022"/>
      <c r="C39" s="1022"/>
      <c r="D39" s="1022"/>
      <c r="E39" s="1022"/>
      <c r="F39" s="1022"/>
      <c r="G39" s="1022"/>
      <c r="H39" s="1022"/>
      <c r="I39" s="1022"/>
      <c r="J39" s="1022"/>
      <c r="K39" s="1023"/>
      <c r="L39" s="1023"/>
      <c r="M39" s="1023"/>
      <c r="N39" s="1023"/>
      <c r="O39" s="1023"/>
      <c r="P39" s="1023"/>
      <c r="Q39" s="1022"/>
      <c r="R39" s="1022"/>
      <c r="S39" s="1022"/>
      <c r="T39" s="1022"/>
      <c r="U39" s="1022"/>
      <c r="V39" s="1023"/>
      <c r="W39" s="1023"/>
      <c r="X39" s="1023"/>
      <c r="Y39" s="1023"/>
      <c r="Z39" s="1023"/>
      <c r="AA39" s="1023"/>
      <c r="AB39" s="1023"/>
      <c r="AC39" s="1023"/>
      <c r="AD39" s="1023"/>
      <c r="AE39" s="1023"/>
      <c r="AF39" s="1023"/>
      <c r="AG39" s="989"/>
      <c r="AH39" s="989"/>
      <c r="AI39" s="989"/>
      <c r="AJ39" s="989"/>
      <c r="AK39" s="989"/>
      <c r="AL39" s="989"/>
      <c r="AM39" s="989"/>
      <c r="AN39" s="989"/>
      <c r="AO39" s="989"/>
      <c r="AP39" s="989"/>
      <c r="AQ39" s="989"/>
      <c r="AR39" s="989"/>
      <c r="AS39" s="989"/>
      <c r="AT39" s="989"/>
      <c r="AU39" s="989"/>
      <c r="AV39" s="989"/>
      <c r="AW39" s="989"/>
      <c r="AX39" s="989"/>
      <c r="AY39" s="989"/>
      <c r="AZ39" s="989"/>
      <c r="BA39" s="989"/>
      <c r="BB39" s="989"/>
      <c r="BC39" s="989"/>
      <c r="BD39" s="989"/>
      <c r="BE39" s="989"/>
      <c r="BF39" s="989"/>
      <c r="BG39" s="989"/>
      <c r="BH39" s="989"/>
      <c r="BI39" s="989"/>
    </row>
    <row r="40" spans="1:61" s="986" customFormat="1" x14ac:dyDescent="0.2">
      <c r="A40" s="1024"/>
      <c r="B40" s="1024"/>
      <c r="C40" s="1024"/>
      <c r="D40" s="1025"/>
      <c r="E40" s="1025"/>
      <c r="F40" s="1025"/>
      <c r="G40" s="1025"/>
      <c r="H40" s="1025"/>
      <c r="I40" s="1025"/>
      <c r="J40" s="1025"/>
      <c r="K40" s="1025"/>
      <c r="L40" s="1025"/>
      <c r="M40" s="1025"/>
      <c r="N40" s="1025"/>
      <c r="O40" s="1025"/>
      <c r="S40" s="1025"/>
      <c r="T40" s="1025"/>
      <c r="U40" s="1025"/>
      <c r="V40" s="1025"/>
      <c r="W40" s="1025"/>
      <c r="X40" s="1025"/>
      <c r="AA40" s="1025"/>
      <c r="AB40" s="1025"/>
      <c r="AC40" s="1025"/>
      <c r="AD40" s="1025"/>
      <c r="AE40" s="1025"/>
      <c r="AF40" s="1025"/>
      <c r="AG40" s="956"/>
      <c r="AH40" s="956"/>
      <c r="AI40" s="956"/>
      <c r="AJ40" s="956"/>
      <c r="AK40" s="956"/>
      <c r="AL40" s="956"/>
      <c r="AM40" s="956"/>
      <c r="AN40" s="956"/>
      <c r="AO40" s="956"/>
      <c r="AP40" s="956"/>
      <c r="AQ40" s="956"/>
      <c r="AR40" s="956"/>
      <c r="AS40" s="956"/>
      <c r="AT40" s="956"/>
      <c r="AU40" s="956"/>
      <c r="AV40" s="956"/>
      <c r="AW40" s="956"/>
      <c r="AX40" s="956"/>
      <c r="AY40" s="956"/>
      <c r="AZ40" s="956"/>
      <c r="BA40" s="956"/>
      <c r="BB40" s="956"/>
      <c r="BC40" s="956"/>
      <c r="BD40" s="956"/>
      <c r="BE40" s="956"/>
      <c r="BF40" s="956"/>
      <c r="BG40" s="956"/>
      <c r="BH40" s="956"/>
      <c r="BI40" s="956"/>
    </row>
    <row r="41" spans="1:61" s="986" customFormat="1" x14ac:dyDescent="0.2">
      <c r="A41" s="1024"/>
      <c r="B41" s="1024"/>
      <c r="C41" s="1024"/>
      <c r="D41" s="1025"/>
      <c r="E41" s="1025"/>
      <c r="F41" s="1025"/>
      <c r="G41" s="1025"/>
      <c r="H41" s="1025"/>
      <c r="I41" s="1025"/>
      <c r="J41" s="1025"/>
      <c r="K41" s="1025"/>
      <c r="L41" s="1025"/>
      <c r="M41" s="1025"/>
      <c r="N41" s="1025"/>
      <c r="O41" s="1025"/>
      <c r="S41" s="1025"/>
      <c r="T41" s="1025"/>
      <c r="U41" s="1025"/>
      <c r="V41" s="1025"/>
      <c r="W41" s="1025"/>
      <c r="X41" s="1025"/>
      <c r="AA41" s="1025"/>
      <c r="AB41" s="1025"/>
      <c r="AC41" s="1025"/>
      <c r="AD41" s="1025"/>
      <c r="AE41" s="1025"/>
      <c r="AF41" s="1025"/>
      <c r="AG41" s="956"/>
      <c r="AH41" s="956"/>
      <c r="AI41" s="956"/>
      <c r="AJ41" s="956"/>
      <c r="AK41" s="956"/>
      <c r="AL41" s="956"/>
      <c r="AM41" s="956"/>
      <c r="AN41" s="956"/>
      <c r="AO41" s="956"/>
      <c r="AP41" s="956"/>
      <c r="AQ41" s="956"/>
      <c r="AR41" s="956"/>
      <c r="AS41" s="956"/>
      <c r="AT41" s="956"/>
      <c r="AU41" s="956"/>
      <c r="AV41" s="956"/>
      <c r="AW41" s="956"/>
      <c r="AX41" s="956"/>
      <c r="AY41" s="956"/>
      <c r="AZ41" s="956"/>
      <c r="BA41" s="956"/>
      <c r="BB41" s="956"/>
      <c r="BC41" s="956"/>
      <c r="BD41" s="956"/>
      <c r="BE41" s="956"/>
      <c r="BF41" s="956"/>
      <c r="BG41" s="956"/>
      <c r="BH41" s="956"/>
      <c r="BI41" s="956"/>
    </row>
    <row r="42" spans="1:61" s="986" customFormat="1" x14ac:dyDescent="0.2">
      <c r="A42" s="1024"/>
      <c r="B42" s="1024"/>
      <c r="C42" s="1024"/>
      <c r="D42" s="1025"/>
      <c r="E42" s="1025"/>
      <c r="F42" s="1025"/>
      <c r="G42" s="1025"/>
      <c r="H42" s="1025"/>
      <c r="I42" s="1025"/>
      <c r="J42" s="1025"/>
      <c r="K42" s="1025"/>
      <c r="L42" s="1025"/>
      <c r="M42" s="1025"/>
      <c r="N42" s="1025"/>
      <c r="O42" s="1025"/>
      <c r="S42" s="1025"/>
      <c r="T42" s="1025"/>
      <c r="U42" s="1025"/>
      <c r="V42" s="1025"/>
      <c r="W42" s="1025"/>
      <c r="X42" s="1025"/>
      <c r="AA42" s="1025"/>
      <c r="AB42" s="1025"/>
      <c r="AC42" s="1025"/>
      <c r="AD42" s="1025"/>
      <c r="AE42" s="1025"/>
      <c r="AF42" s="1025"/>
      <c r="AG42" s="956"/>
      <c r="AH42" s="956"/>
      <c r="AI42" s="956"/>
      <c r="AJ42" s="956"/>
      <c r="AK42" s="956"/>
      <c r="AL42" s="956"/>
      <c r="AM42" s="956"/>
      <c r="AN42" s="956"/>
      <c r="AO42" s="956"/>
      <c r="AP42" s="956"/>
      <c r="AQ42" s="956"/>
      <c r="AR42" s="956"/>
      <c r="AS42" s="956"/>
      <c r="AT42" s="956"/>
      <c r="AU42" s="956"/>
      <c r="AV42" s="956"/>
      <c r="AW42" s="956"/>
      <c r="AX42" s="956"/>
      <c r="AY42" s="956"/>
      <c r="AZ42" s="956"/>
      <c r="BA42" s="956"/>
      <c r="BB42" s="956"/>
      <c r="BC42" s="956"/>
      <c r="BD42" s="956"/>
      <c r="BE42" s="956"/>
      <c r="BF42" s="956"/>
      <c r="BG42" s="956"/>
      <c r="BH42" s="956"/>
      <c r="BI42" s="956"/>
    </row>
    <row r="43" spans="1:61" s="986" customFormat="1" x14ac:dyDescent="0.2">
      <c r="A43" s="1024"/>
      <c r="B43" s="1024"/>
      <c r="C43" s="1024"/>
      <c r="D43" s="1025"/>
      <c r="E43" s="1025"/>
      <c r="F43" s="1025"/>
      <c r="G43" s="1025"/>
      <c r="H43" s="1025"/>
      <c r="I43" s="1025"/>
      <c r="J43" s="1025"/>
      <c r="K43" s="1025"/>
      <c r="L43" s="1025"/>
      <c r="M43" s="1025"/>
      <c r="N43" s="1025"/>
      <c r="O43" s="1025"/>
      <c r="S43" s="1025"/>
      <c r="T43" s="1025"/>
      <c r="U43" s="1025"/>
      <c r="V43" s="1025"/>
      <c r="W43" s="1025"/>
      <c r="X43" s="1025"/>
      <c r="AA43" s="1025"/>
      <c r="AB43" s="1025"/>
      <c r="AC43" s="1025"/>
      <c r="AD43" s="1025"/>
      <c r="AE43" s="1025"/>
      <c r="AF43" s="1025"/>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row>
    <row r="44" spans="1:61" s="986" customFormat="1" x14ac:dyDescent="0.2">
      <c r="A44" s="1024"/>
      <c r="B44" s="1024"/>
      <c r="C44" s="1024"/>
      <c r="D44" s="1025"/>
      <c r="E44" s="1025"/>
      <c r="F44" s="1025"/>
      <c r="G44" s="1025"/>
      <c r="H44" s="1025"/>
      <c r="I44" s="1025"/>
      <c r="J44" s="1025"/>
      <c r="K44" s="1025"/>
      <c r="L44" s="1025"/>
      <c r="M44" s="1025"/>
      <c r="N44" s="1025"/>
      <c r="O44" s="1025"/>
      <c r="S44" s="1025"/>
      <c r="T44" s="1025"/>
      <c r="U44" s="1025"/>
      <c r="V44" s="1025"/>
      <c r="W44" s="1025"/>
      <c r="X44" s="1025"/>
      <c r="AA44" s="1025"/>
      <c r="AB44" s="1025"/>
      <c r="AC44" s="1025"/>
      <c r="AD44" s="1025"/>
      <c r="AE44" s="1025"/>
      <c r="AF44" s="1025"/>
      <c r="AG44" s="956"/>
      <c r="AH44" s="956"/>
      <c r="AI44" s="956"/>
      <c r="AJ44" s="956"/>
      <c r="AK44" s="956"/>
      <c r="AL44" s="956"/>
      <c r="AM44" s="956"/>
      <c r="AN44" s="956"/>
      <c r="AO44" s="956"/>
      <c r="AP44" s="956"/>
      <c r="AQ44" s="956"/>
      <c r="AR44" s="956"/>
      <c r="AS44" s="956"/>
      <c r="AT44" s="956"/>
      <c r="AU44" s="956"/>
      <c r="AV44" s="956"/>
      <c r="AW44" s="956"/>
      <c r="AX44" s="956"/>
      <c r="AY44" s="956"/>
      <c r="AZ44" s="956"/>
      <c r="BA44" s="956"/>
      <c r="BB44" s="956"/>
      <c r="BC44" s="956"/>
      <c r="BD44" s="956"/>
      <c r="BE44" s="956"/>
      <c r="BF44" s="956"/>
      <c r="BG44" s="956"/>
      <c r="BH44" s="956"/>
      <c r="BI44" s="956"/>
    </row>
    <row r="45" spans="1:61" s="986" customFormat="1" x14ac:dyDescent="0.2">
      <c r="A45" s="1024"/>
      <c r="B45" s="1024"/>
      <c r="C45" s="1024"/>
      <c r="D45" s="1025"/>
      <c r="E45" s="1025"/>
      <c r="F45" s="1025"/>
      <c r="G45" s="1025"/>
      <c r="H45" s="1025"/>
      <c r="I45" s="1025"/>
      <c r="J45" s="1025"/>
      <c r="K45" s="1025"/>
      <c r="L45" s="1025"/>
      <c r="M45" s="1025"/>
      <c r="N45" s="1025"/>
      <c r="O45" s="1025"/>
      <c r="S45" s="1025"/>
      <c r="T45" s="1025"/>
      <c r="U45" s="1025"/>
      <c r="V45" s="1025"/>
      <c r="W45" s="1025"/>
      <c r="X45" s="1025"/>
      <c r="AA45" s="1025"/>
      <c r="AB45" s="1025"/>
      <c r="AC45" s="1025"/>
      <c r="AD45" s="1025"/>
      <c r="AE45" s="1025"/>
      <c r="AF45" s="1025"/>
      <c r="AG45" s="956"/>
      <c r="AH45" s="956"/>
      <c r="AI45" s="956"/>
      <c r="AJ45" s="956"/>
      <c r="AK45" s="956"/>
      <c r="AL45" s="956"/>
      <c r="AM45" s="956"/>
      <c r="AN45" s="956"/>
      <c r="AO45" s="956"/>
      <c r="AP45" s="956"/>
      <c r="AQ45" s="956"/>
      <c r="AR45" s="956"/>
      <c r="AS45" s="956"/>
      <c r="AT45" s="956"/>
      <c r="AU45" s="956"/>
      <c r="AV45" s="956"/>
      <c r="AW45" s="956"/>
      <c r="AX45" s="956"/>
      <c r="AY45" s="956"/>
      <c r="AZ45" s="956"/>
      <c r="BA45" s="956"/>
      <c r="BB45" s="956"/>
      <c r="BC45" s="956"/>
      <c r="BD45" s="956"/>
      <c r="BE45" s="956"/>
      <c r="BF45" s="956"/>
      <c r="BG45" s="956"/>
      <c r="BH45" s="956"/>
      <c r="BI45" s="956"/>
    </row>
    <row r="46" spans="1:61" s="986" customFormat="1" x14ac:dyDescent="0.2">
      <c r="A46" s="1024"/>
      <c r="B46" s="1024"/>
      <c r="C46" s="1024"/>
      <c r="D46" s="1025"/>
      <c r="E46" s="1025"/>
      <c r="F46" s="1025"/>
      <c r="G46" s="1025"/>
      <c r="H46" s="1025"/>
      <c r="I46" s="1025"/>
      <c r="J46" s="1025"/>
      <c r="K46" s="1025"/>
      <c r="L46" s="1025"/>
      <c r="M46" s="1025"/>
      <c r="N46" s="1025"/>
      <c r="O46" s="1025"/>
      <c r="S46" s="1025"/>
      <c r="T46" s="1025"/>
      <c r="U46" s="1025"/>
      <c r="V46" s="1025"/>
      <c r="W46" s="1025"/>
      <c r="X46" s="1025"/>
      <c r="AA46" s="1025"/>
      <c r="AB46" s="1025"/>
      <c r="AC46" s="1025"/>
      <c r="AD46" s="1025"/>
      <c r="AE46" s="1025"/>
      <c r="AF46" s="1025"/>
      <c r="AG46" s="956"/>
      <c r="AH46" s="956"/>
      <c r="AI46" s="956"/>
      <c r="AJ46" s="956"/>
      <c r="AK46" s="956"/>
      <c r="AL46" s="956"/>
      <c r="AM46" s="956"/>
      <c r="AN46" s="956"/>
      <c r="AO46" s="956"/>
      <c r="AP46" s="956"/>
      <c r="AQ46" s="956"/>
      <c r="AR46" s="956"/>
      <c r="AS46" s="956"/>
      <c r="AT46" s="956"/>
      <c r="AU46" s="956"/>
      <c r="AV46" s="956"/>
      <c r="AW46" s="956"/>
      <c r="AX46" s="956"/>
      <c r="AY46" s="956"/>
      <c r="AZ46" s="956"/>
      <c r="BA46" s="956"/>
      <c r="BB46" s="956"/>
      <c r="BC46" s="956"/>
      <c r="BD46" s="956"/>
      <c r="BE46" s="956"/>
      <c r="BF46" s="956"/>
      <c r="BG46" s="956"/>
      <c r="BH46" s="956"/>
      <c r="BI46" s="956"/>
    </row>
    <row r="47" spans="1:61" s="986" customFormat="1" x14ac:dyDescent="0.2">
      <c r="A47" s="1024"/>
      <c r="B47" s="1024"/>
      <c r="C47" s="1024"/>
      <c r="D47" s="1025"/>
      <c r="E47" s="1025"/>
      <c r="F47" s="1025"/>
      <c r="G47" s="1025"/>
      <c r="H47" s="1025"/>
      <c r="I47" s="1025"/>
      <c r="J47" s="1025"/>
      <c r="K47" s="1025"/>
      <c r="L47" s="1025"/>
      <c r="M47" s="1025"/>
      <c r="N47" s="1025"/>
      <c r="O47" s="1025"/>
      <c r="S47" s="1025"/>
      <c r="T47" s="1025"/>
      <c r="U47" s="1025"/>
      <c r="V47" s="1025"/>
      <c r="W47" s="1025"/>
      <c r="X47" s="1025"/>
      <c r="AA47" s="1025"/>
      <c r="AB47" s="1025"/>
      <c r="AC47" s="1025"/>
      <c r="AD47" s="1025"/>
      <c r="AE47" s="1025"/>
      <c r="AF47" s="1025"/>
      <c r="AG47" s="956"/>
      <c r="AH47" s="956"/>
      <c r="AI47" s="956"/>
      <c r="AJ47" s="956"/>
      <c r="AK47" s="956"/>
      <c r="AL47" s="956"/>
      <c r="AM47" s="956"/>
      <c r="AN47" s="956"/>
      <c r="AO47" s="956"/>
      <c r="AP47" s="956"/>
      <c r="AQ47" s="956"/>
      <c r="AR47" s="956"/>
      <c r="AS47" s="956"/>
      <c r="AT47" s="956"/>
      <c r="AU47" s="956"/>
      <c r="AV47" s="956"/>
      <c r="AW47" s="956"/>
      <c r="AX47" s="956"/>
      <c r="AY47" s="956"/>
      <c r="AZ47" s="956"/>
      <c r="BA47" s="956"/>
      <c r="BB47" s="956"/>
      <c r="BC47" s="956"/>
      <c r="BD47" s="956"/>
      <c r="BE47" s="956"/>
      <c r="BF47" s="956"/>
      <c r="BG47" s="956"/>
      <c r="BH47" s="956"/>
      <c r="BI47" s="956"/>
    </row>
    <row r="48" spans="1:61" s="986" customFormat="1" x14ac:dyDescent="0.2">
      <c r="A48" s="1024"/>
      <c r="B48" s="1024"/>
      <c r="C48" s="1024"/>
      <c r="D48" s="1025"/>
      <c r="E48" s="1025"/>
      <c r="F48" s="1025"/>
      <c r="G48" s="1025"/>
      <c r="H48" s="1025"/>
      <c r="I48" s="1025"/>
      <c r="J48" s="1025"/>
      <c r="K48" s="1025"/>
      <c r="L48" s="1025"/>
      <c r="M48" s="1025"/>
      <c r="N48" s="1025"/>
      <c r="O48" s="1025"/>
      <c r="S48" s="1025"/>
      <c r="T48" s="1025"/>
      <c r="U48" s="1025"/>
      <c r="V48" s="1025"/>
      <c r="W48" s="1025"/>
      <c r="X48" s="1025"/>
      <c r="AA48" s="1025"/>
      <c r="AB48" s="1025"/>
      <c r="AC48" s="1025"/>
      <c r="AD48" s="1025"/>
      <c r="AE48" s="1025"/>
      <c r="AF48" s="1025"/>
      <c r="AG48" s="956"/>
      <c r="AH48" s="956"/>
      <c r="AI48" s="956"/>
      <c r="AJ48" s="956"/>
      <c r="AK48" s="956"/>
      <c r="AL48" s="956"/>
      <c r="AM48" s="956"/>
      <c r="AN48" s="956"/>
      <c r="AO48" s="956"/>
      <c r="AP48" s="956"/>
      <c r="AQ48" s="956"/>
      <c r="AR48" s="956"/>
      <c r="AS48" s="956"/>
      <c r="AT48" s="956"/>
      <c r="AU48" s="956"/>
      <c r="AV48" s="956"/>
      <c r="AW48" s="956"/>
      <c r="AX48" s="956"/>
      <c r="AY48" s="956"/>
      <c r="AZ48" s="956"/>
      <c r="BA48" s="956"/>
      <c r="BB48" s="956"/>
      <c r="BC48" s="956"/>
      <c r="BD48" s="956"/>
      <c r="BE48" s="956"/>
      <c r="BF48" s="956"/>
      <c r="BG48" s="956"/>
      <c r="BH48" s="956"/>
      <c r="BI48" s="956"/>
    </row>
    <row r="49" spans="1:61" s="986" customFormat="1" x14ac:dyDescent="0.2">
      <c r="A49" s="1024"/>
      <c r="B49" s="1024"/>
      <c r="C49" s="1024"/>
      <c r="D49" s="1025"/>
      <c r="E49" s="1025"/>
      <c r="F49" s="1025"/>
      <c r="G49" s="1025"/>
      <c r="H49" s="1025"/>
      <c r="I49" s="1025"/>
      <c r="J49" s="1025"/>
      <c r="K49" s="1025"/>
      <c r="L49" s="1025"/>
      <c r="M49" s="1025"/>
      <c r="N49" s="1025"/>
      <c r="O49" s="1025"/>
      <c r="S49" s="1025"/>
      <c r="T49" s="1025"/>
      <c r="U49" s="1025"/>
      <c r="V49" s="1025"/>
      <c r="W49" s="1025"/>
      <c r="X49" s="1025"/>
      <c r="AA49" s="1025"/>
      <c r="AB49" s="1025"/>
      <c r="AC49" s="1025"/>
      <c r="AD49" s="1025"/>
      <c r="AE49" s="1025"/>
      <c r="AF49" s="1025"/>
      <c r="AG49" s="956"/>
      <c r="AH49" s="956"/>
      <c r="AI49" s="956"/>
      <c r="AJ49" s="956"/>
      <c r="AK49" s="956"/>
      <c r="AL49" s="956"/>
      <c r="AM49" s="956"/>
      <c r="AN49" s="956"/>
      <c r="AO49" s="956"/>
      <c r="AP49" s="956"/>
      <c r="AQ49" s="956"/>
      <c r="AR49" s="956"/>
      <c r="AS49" s="956"/>
      <c r="AT49" s="956"/>
      <c r="AU49" s="956"/>
      <c r="AV49" s="956"/>
      <c r="AW49" s="956"/>
      <c r="AX49" s="956"/>
      <c r="AY49" s="956"/>
      <c r="AZ49" s="956"/>
      <c r="BA49" s="956"/>
      <c r="BB49" s="956"/>
      <c r="BC49" s="956"/>
      <c r="BD49" s="956"/>
      <c r="BE49" s="956"/>
      <c r="BF49" s="956"/>
      <c r="BG49" s="956"/>
      <c r="BH49" s="956"/>
      <c r="BI49" s="956"/>
    </row>
    <row r="50" spans="1:61" s="986" customFormat="1" x14ac:dyDescent="0.2">
      <c r="A50" s="1024"/>
      <c r="B50" s="1024"/>
      <c r="C50" s="1024"/>
      <c r="D50" s="1025"/>
      <c r="E50" s="1025"/>
      <c r="F50" s="1025"/>
      <c r="G50" s="1025"/>
      <c r="H50" s="1025"/>
      <c r="I50" s="1025"/>
      <c r="J50" s="1025"/>
      <c r="K50" s="1025"/>
      <c r="L50" s="1025"/>
      <c r="M50" s="1025"/>
      <c r="N50" s="1025"/>
      <c r="O50" s="1025"/>
      <c r="S50" s="1025"/>
      <c r="T50" s="1025"/>
      <c r="U50" s="1025"/>
      <c r="V50" s="1025"/>
      <c r="W50" s="1025"/>
      <c r="X50" s="1025"/>
      <c r="AA50" s="1025"/>
      <c r="AB50" s="1025"/>
      <c r="AC50" s="1025"/>
      <c r="AD50" s="1025"/>
      <c r="AE50" s="1025"/>
      <c r="AF50" s="1025"/>
      <c r="AG50" s="956"/>
      <c r="AH50" s="956"/>
      <c r="AI50" s="956"/>
      <c r="AJ50" s="956"/>
      <c r="AK50" s="956"/>
      <c r="AL50" s="956"/>
      <c r="AM50" s="956"/>
      <c r="AN50" s="956"/>
      <c r="AO50" s="956"/>
      <c r="AP50" s="956"/>
      <c r="AQ50" s="956"/>
      <c r="AR50" s="956"/>
      <c r="AS50" s="956"/>
      <c r="AT50" s="956"/>
      <c r="AU50" s="956"/>
      <c r="AV50" s="956"/>
      <c r="AW50" s="956"/>
      <c r="AX50" s="956"/>
      <c r="AY50" s="956"/>
      <c r="AZ50" s="956"/>
      <c r="BA50" s="956"/>
      <c r="BB50" s="956"/>
      <c r="BC50" s="956"/>
      <c r="BD50" s="956"/>
      <c r="BE50" s="956"/>
      <c r="BF50" s="956"/>
      <c r="BG50" s="956"/>
      <c r="BH50" s="956"/>
      <c r="BI50" s="956"/>
    </row>
    <row r="51" spans="1:61" s="986" customFormat="1" x14ac:dyDescent="0.2">
      <c r="A51" s="1024"/>
      <c r="B51" s="1024"/>
      <c r="C51" s="1024"/>
      <c r="D51" s="1025"/>
      <c r="E51" s="1025"/>
      <c r="F51" s="1025"/>
      <c r="G51" s="1025"/>
      <c r="H51" s="1025"/>
      <c r="I51" s="1025"/>
      <c r="J51" s="1025"/>
      <c r="K51" s="1025"/>
      <c r="L51" s="1025"/>
      <c r="M51" s="1025"/>
      <c r="N51" s="1025"/>
      <c r="O51" s="1025"/>
      <c r="S51" s="1025"/>
      <c r="T51" s="1025"/>
      <c r="U51" s="1025"/>
      <c r="V51" s="1025"/>
      <c r="W51" s="1025"/>
      <c r="X51" s="1025"/>
      <c r="AA51" s="1025"/>
      <c r="AB51" s="1025"/>
      <c r="AC51" s="1025"/>
      <c r="AD51" s="1025"/>
      <c r="AE51" s="1025"/>
      <c r="AF51" s="1025"/>
      <c r="AG51" s="956"/>
      <c r="AH51" s="956"/>
      <c r="AI51" s="956"/>
      <c r="AJ51" s="956"/>
      <c r="AK51" s="956"/>
      <c r="AL51" s="956"/>
      <c r="AM51" s="956"/>
      <c r="AN51" s="956"/>
      <c r="AO51" s="956"/>
      <c r="AP51" s="956"/>
      <c r="AQ51" s="956"/>
      <c r="AR51" s="956"/>
      <c r="AS51" s="956"/>
      <c r="AT51" s="956"/>
      <c r="AU51" s="956"/>
      <c r="AV51" s="956"/>
      <c r="AW51" s="956"/>
      <c r="AX51" s="956"/>
      <c r="AY51" s="956"/>
      <c r="AZ51" s="956"/>
      <c r="BA51" s="956"/>
      <c r="BB51" s="956"/>
      <c r="BC51" s="956"/>
      <c r="BD51" s="956"/>
      <c r="BE51" s="956"/>
      <c r="BF51" s="956"/>
      <c r="BG51" s="956"/>
      <c r="BH51" s="956"/>
      <c r="BI51" s="956"/>
    </row>
    <row r="52" spans="1:61" s="986" customFormat="1" x14ac:dyDescent="0.2">
      <c r="A52" s="1024"/>
      <c r="B52" s="1024"/>
      <c r="C52" s="1024"/>
      <c r="D52" s="1025"/>
      <c r="E52" s="1025"/>
      <c r="F52" s="1025"/>
      <c r="G52" s="1025"/>
      <c r="H52" s="1025"/>
      <c r="I52" s="1025"/>
      <c r="J52" s="1025"/>
      <c r="K52" s="1025"/>
      <c r="L52" s="1025"/>
      <c r="M52" s="1025"/>
      <c r="N52" s="1025"/>
      <c r="O52" s="1025"/>
      <c r="S52" s="1025"/>
      <c r="T52" s="1025"/>
      <c r="U52" s="1025"/>
      <c r="V52" s="1025"/>
      <c r="W52" s="1025"/>
      <c r="X52" s="1025"/>
      <c r="AA52" s="1025"/>
      <c r="AB52" s="1025"/>
      <c r="AC52" s="1025"/>
      <c r="AD52" s="1025"/>
      <c r="AE52" s="1025"/>
      <c r="AF52" s="1025"/>
      <c r="AG52" s="956"/>
      <c r="AH52" s="956"/>
      <c r="AI52" s="956"/>
      <c r="AJ52" s="956"/>
      <c r="AK52" s="956"/>
      <c r="AL52" s="956"/>
      <c r="AM52" s="956"/>
      <c r="AN52" s="956"/>
      <c r="AO52" s="956"/>
      <c r="AP52" s="956"/>
      <c r="AQ52" s="956"/>
      <c r="AR52" s="956"/>
      <c r="AS52" s="956"/>
      <c r="AT52" s="956"/>
      <c r="AU52" s="956"/>
      <c r="AV52" s="956"/>
      <c r="AW52" s="956"/>
      <c r="AX52" s="956"/>
      <c r="AY52" s="956"/>
      <c r="AZ52" s="956"/>
      <c r="BA52" s="956"/>
      <c r="BB52" s="956"/>
      <c r="BC52" s="956"/>
      <c r="BD52" s="956"/>
      <c r="BE52" s="956"/>
      <c r="BF52" s="956"/>
      <c r="BG52" s="956"/>
      <c r="BH52" s="956"/>
      <c r="BI52" s="956"/>
    </row>
    <row r="53" spans="1:61" s="986" customFormat="1" x14ac:dyDescent="0.2">
      <c r="A53" s="1024"/>
      <c r="B53" s="1024"/>
      <c r="C53" s="1024"/>
      <c r="D53" s="1025"/>
      <c r="E53" s="1025"/>
      <c r="F53" s="1025"/>
      <c r="G53" s="1025"/>
      <c r="H53" s="1025"/>
      <c r="I53" s="1025"/>
      <c r="J53" s="1025"/>
      <c r="K53" s="1025"/>
      <c r="L53" s="1025"/>
      <c r="M53" s="1025"/>
      <c r="N53" s="1025"/>
      <c r="O53" s="1025"/>
      <c r="S53" s="1025"/>
      <c r="T53" s="1025"/>
      <c r="U53" s="1025"/>
      <c r="V53" s="1025"/>
      <c r="W53" s="1025"/>
      <c r="X53" s="1025"/>
      <c r="AA53" s="1025"/>
      <c r="AB53" s="1025"/>
      <c r="AC53" s="1025"/>
      <c r="AD53" s="1025"/>
      <c r="AE53" s="1025"/>
      <c r="AF53" s="1025"/>
      <c r="AG53" s="956"/>
      <c r="AH53" s="956"/>
      <c r="AI53" s="956"/>
      <c r="AJ53" s="956"/>
      <c r="AK53" s="956"/>
      <c r="AL53" s="956"/>
      <c r="AM53" s="956"/>
      <c r="AN53" s="956"/>
      <c r="AO53" s="956"/>
      <c r="AP53" s="956"/>
      <c r="AQ53" s="956"/>
      <c r="AR53" s="956"/>
      <c r="AS53" s="956"/>
      <c r="AT53" s="956"/>
      <c r="AU53" s="956"/>
      <c r="AV53" s="956"/>
      <c r="AW53" s="956"/>
      <c r="AX53" s="956"/>
      <c r="AY53" s="956"/>
      <c r="AZ53" s="956"/>
      <c r="BA53" s="956"/>
      <c r="BB53" s="956"/>
      <c r="BC53" s="956"/>
      <c r="BD53" s="956"/>
      <c r="BE53" s="956"/>
      <c r="BF53" s="956"/>
      <c r="BG53" s="956"/>
      <c r="BH53" s="956"/>
      <c r="BI53" s="956"/>
    </row>
    <row r="54" spans="1:61" s="986" customFormat="1" x14ac:dyDescent="0.2">
      <c r="A54" s="1024"/>
      <c r="B54" s="1024"/>
      <c r="C54" s="1024"/>
      <c r="D54" s="1025"/>
      <c r="E54" s="1025"/>
      <c r="F54" s="1025"/>
      <c r="G54" s="1025"/>
      <c r="H54" s="1025"/>
      <c r="I54" s="1025"/>
      <c r="J54" s="1025"/>
      <c r="K54" s="1025"/>
      <c r="L54" s="1025"/>
      <c r="M54" s="1025"/>
      <c r="N54" s="1025"/>
      <c r="O54" s="1025"/>
      <c r="S54" s="1025"/>
      <c r="T54" s="1025"/>
      <c r="U54" s="1025"/>
      <c r="V54" s="1025"/>
      <c r="W54" s="1025"/>
      <c r="X54" s="1025"/>
      <c r="AA54" s="1025"/>
      <c r="AB54" s="1025"/>
      <c r="AC54" s="1025"/>
      <c r="AD54" s="1025"/>
      <c r="AE54" s="1025"/>
      <c r="AF54" s="1025"/>
      <c r="AG54" s="956"/>
      <c r="AH54" s="956"/>
      <c r="AI54" s="956"/>
      <c r="AJ54" s="956"/>
      <c r="AK54" s="956"/>
      <c r="AL54" s="956"/>
      <c r="AM54" s="956"/>
      <c r="AN54" s="956"/>
      <c r="AO54" s="956"/>
      <c r="AP54" s="956"/>
      <c r="AQ54" s="956"/>
      <c r="AR54" s="956"/>
      <c r="AS54" s="956"/>
      <c r="AT54" s="956"/>
      <c r="AU54" s="956"/>
      <c r="AV54" s="956"/>
      <c r="AW54" s="956"/>
      <c r="AX54" s="956"/>
      <c r="AY54" s="956"/>
      <c r="AZ54" s="956"/>
      <c r="BA54" s="956"/>
      <c r="BB54" s="956"/>
      <c r="BC54" s="956"/>
      <c r="BD54" s="956"/>
      <c r="BE54" s="956"/>
      <c r="BF54" s="956"/>
      <c r="BG54" s="956"/>
      <c r="BH54" s="956"/>
      <c r="BI54" s="956"/>
    </row>
    <row r="55" spans="1:61" s="986" customFormat="1" x14ac:dyDescent="0.2">
      <c r="A55" s="1024"/>
      <c r="B55" s="1024"/>
      <c r="C55" s="1024"/>
      <c r="D55" s="1025"/>
      <c r="E55" s="1025"/>
      <c r="F55" s="1025"/>
      <c r="G55" s="1025"/>
      <c r="H55" s="1025"/>
      <c r="I55" s="1025"/>
      <c r="J55" s="1025"/>
      <c r="K55" s="1025"/>
      <c r="L55" s="1025"/>
      <c r="M55" s="1025"/>
      <c r="N55" s="1025"/>
      <c r="O55" s="1025"/>
      <c r="S55" s="1025"/>
      <c r="T55" s="1025"/>
      <c r="U55" s="1025"/>
      <c r="V55" s="1025"/>
      <c r="W55" s="1025"/>
      <c r="X55" s="1025"/>
      <c r="AA55" s="1025"/>
      <c r="AB55" s="1025"/>
      <c r="AC55" s="1025"/>
      <c r="AD55" s="1025"/>
      <c r="AE55" s="1025"/>
      <c r="AF55" s="1025"/>
      <c r="AG55" s="956"/>
      <c r="AH55" s="956"/>
      <c r="AI55" s="956"/>
      <c r="AJ55" s="956"/>
      <c r="AK55" s="956"/>
      <c r="AL55" s="956"/>
      <c r="AM55" s="956"/>
      <c r="AN55" s="956"/>
      <c r="AO55" s="956"/>
      <c r="AP55" s="956"/>
      <c r="AQ55" s="956"/>
      <c r="AR55" s="956"/>
      <c r="AS55" s="956"/>
      <c r="AT55" s="956"/>
      <c r="AU55" s="956"/>
      <c r="AV55" s="956"/>
      <c r="AW55" s="956"/>
      <c r="AX55" s="956"/>
      <c r="AY55" s="956"/>
      <c r="AZ55" s="956"/>
      <c r="BA55" s="956"/>
      <c r="BB55" s="956"/>
      <c r="BC55" s="956"/>
      <c r="BD55" s="956"/>
      <c r="BE55" s="956"/>
      <c r="BF55" s="956"/>
      <c r="BG55" s="956"/>
      <c r="BH55" s="956"/>
      <c r="BI55" s="956"/>
    </row>
    <row r="56" spans="1:61" s="986" customFormat="1" x14ac:dyDescent="0.2">
      <c r="A56" s="1024"/>
      <c r="B56" s="1024"/>
      <c r="C56" s="1024"/>
      <c r="D56" s="1025"/>
      <c r="E56" s="1025"/>
      <c r="F56" s="1025"/>
      <c r="G56" s="1025"/>
      <c r="H56" s="1025"/>
      <c r="I56" s="1025"/>
      <c r="J56" s="1025"/>
      <c r="K56" s="1025"/>
      <c r="L56" s="1025"/>
      <c r="M56" s="1025"/>
      <c r="N56" s="1025"/>
      <c r="O56" s="1025"/>
      <c r="S56" s="1025"/>
      <c r="T56" s="1025"/>
      <c r="U56" s="1025"/>
      <c r="V56" s="1025"/>
      <c r="W56" s="1025"/>
      <c r="X56" s="1025"/>
      <c r="AA56" s="1025"/>
      <c r="AB56" s="1025"/>
      <c r="AC56" s="1025"/>
      <c r="AD56" s="1025"/>
      <c r="AE56" s="1025"/>
      <c r="AF56" s="1025"/>
      <c r="AG56" s="956"/>
      <c r="AH56" s="956"/>
      <c r="AI56" s="956"/>
      <c r="AJ56" s="956"/>
      <c r="AK56" s="956"/>
      <c r="AL56" s="956"/>
      <c r="AM56" s="956"/>
      <c r="AN56" s="956"/>
      <c r="AO56" s="956"/>
      <c r="AP56" s="956"/>
      <c r="AQ56" s="956"/>
      <c r="AR56" s="956"/>
      <c r="AS56" s="956"/>
      <c r="AT56" s="956"/>
      <c r="AU56" s="956"/>
      <c r="AV56" s="956"/>
      <c r="AW56" s="956"/>
      <c r="AX56" s="956"/>
      <c r="AY56" s="956"/>
      <c r="AZ56" s="956"/>
      <c r="BA56" s="956"/>
      <c r="BB56" s="956"/>
      <c r="BC56" s="956"/>
      <c r="BD56" s="956"/>
      <c r="BE56" s="956"/>
      <c r="BF56" s="956"/>
      <c r="BG56" s="956"/>
      <c r="BH56" s="956"/>
      <c r="BI56" s="956"/>
    </row>
    <row r="57" spans="1:61" s="986" customFormat="1" x14ac:dyDescent="0.2">
      <c r="A57" s="1024"/>
      <c r="B57" s="1024"/>
      <c r="C57" s="1024"/>
      <c r="D57" s="1025"/>
      <c r="E57" s="1025"/>
      <c r="F57" s="1025"/>
      <c r="G57" s="1025"/>
      <c r="H57" s="1025"/>
      <c r="I57" s="1025"/>
      <c r="J57" s="1025"/>
      <c r="K57" s="1025"/>
      <c r="L57" s="1025"/>
      <c r="M57" s="1025"/>
      <c r="N57" s="1025"/>
      <c r="O57" s="1025"/>
      <c r="S57" s="1025"/>
      <c r="T57" s="1025"/>
      <c r="U57" s="1025"/>
      <c r="V57" s="1025"/>
      <c r="W57" s="1025"/>
      <c r="X57" s="1025"/>
      <c r="AA57" s="1025"/>
      <c r="AB57" s="1025"/>
      <c r="AC57" s="1025"/>
      <c r="AD57" s="1025"/>
      <c r="AE57" s="1025"/>
      <c r="AF57" s="1025"/>
      <c r="AG57" s="956"/>
      <c r="AH57" s="956"/>
      <c r="AI57" s="956"/>
      <c r="AJ57" s="956"/>
      <c r="AK57" s="956"/>
      <c r="AL57" s="956"/>
      <c r="AM57" s="956"/>
      <c r="AN57" s="956"/>
      <c r="AO57" s="956"/>
      <c r="AP57" s="956"/>
      <c r="AQ57" s="956"/>
      <c r="AR57" s="956"/>
      <c r="AS57" s="956"/>
      <c r="AT57" s="956"/>
      <c r="AU57" s="956"/>
      <c r="AV57" s="956"/>
      <c r="AW57" s="956"/>
      <c r="AX57" s="956"/>
      <c r="AY57" s="956"/>
      <c r="AZ57" s="956"/>
      <c r="BA57" s="956"/>
      <c r="BB57" s="956"/>
      <c r="BC57" s="956"/>
      <c r="BD57" s="956"/>
      <c r="BE57" s="956"/>
      <c r="BF57" s="956"/>
      <c r="BG57" s="956"/>
      <c r="BH57" s="956"/>
      <c r="BI57" s="956"/>
    </row>
    <row r="58" spans="1:61" x14ac:dyDescent="0.2">
      <c r="A58" s="1026"/>
      <c r="D58" s="1027"/>
      <c r="E58" s="1027"/>
      <c r="F58" s="1027"/>
      <c r="G58" s="1027"/>
      <c r="H58" s="1027"/>
      <c r="I58" s="1027"/>
      <c r="J58" s="1027"/>
      <c r="K58" s="1027"/>
      <c r="L58" s="1027"/>
      <c r="M58" s="1027"/>
      <c r="N58" s="1027"/>
      <c r="O58" s="1027"/>
      <c r="S58" s="1027"/>
      <c r="T58" s="1027"/>
      <c r="U58" s="1027"/>
      <c r="V58" s="1027"/>
      <c r="W58" s="1027"/>
      <c r="X58" s="1027"/>
      <c r="AA58" s="1027"/>
      <c r="AB58" s="1027"/>
      <c r="AC58" s="1027"/>
      <c r="AD58" s="1027"/>
      <c r="AE58" s="1027"/>
      <c r="AF58" s="1027"/>
    </row>
    <row r="59" spans="1:61" x14ac:dyDescent="0.2">
      <c r="A59" s="1026"/>
      <c r="D59" s="1027"/>
      <c r="E59" s="1027"/>
      <c r="F59" s="1027"/>
      <c r="G59" s="1027"/>
      <c r="H59" s="1027"/>
      <c r="I59" s="1027"/>
      <c r="J59" s="1027"/>
      <c r="K59" s="1027"/>
      <c r="L59" s="1027"/>
      <c r="M59" s="1027"/>
      <c r="N59" s="1027"/>
      <c r="O59" s="1027"/>
      <c r="S59" s="1027"/>
      <c r="T59" s="1027"/>
      <c r="U59" s="1027"/>
      <c r="V59" s="1027"/>
      <c r="W59" s="1027"/>
      <c r="X59" s="1027"/>
      <c r="AA59" s="1027"/>
      <c r="AB59" s="1027"/>
      <c r="AC59" s="1027"/>
      <c r="AD59" s="1027"/>
      <c r="AE59" s="1027"/>
      <c r="AF59" s="1027"/>
    </row>
    <row r="60" spans="1:61" x14ac:dyDescent="0.2">
      <c r="A60" s="1026"/>
      <c r="D60" s="1027"/>
      <c r="E60" s="1027"/>
      <c r="F60" s="1027"/>
      <c r="G60" s="1027"/>
      <c r="H60" s="1027"/>
      <c r="I60" s="1027"/>
      <c r="J60" s="1027"/>
      <c r="K60" s="1027"/>
      <c r="L60" s="1027"/>
      <c r="M60" s="1027"/>
      <c r="N60" s="1027"/>
      <c r="O60" s="1027"/>
      <c r="S60" s="1027"/>
      <c r="T60" s="1027"/>
      <c r="U60" s="1027"/>
      <c r="V60" s="1027"/>
      <c r="W60" s="1027"/>
      <c r="X60" s="1027"/>
      <c r="AA60" s="1027"/>
      <c r="AB60" s="1027"/>
      <c r="AC60" s="1027"/>
      <c r="AD60" s="1027"/>
      <c r="AE60" s="1027"/>
      <c r="AF60" s="1027"/>
    </row>
    <row r="61" spans="1:61" x14ac:dyDescent="0.2">
      <c r="A61" s="1026"/>
      <c r="D61" s="1027"/>
      <c r="E61" s="1027"/>
      <c r="F61" s="1027"/>
      <c r="G61" s="1027"/>
      <c r="H61" s="1027"/>
      <c r="I61" s="1027"/>
      <c r="J61" s="1027"/>
      <c r="K61" s="1027"/>
      <c r="L61" s="1027"/>
      <c r="M61" s="1027"/>
      <c r="N61" s="1027"/>
      <c r="O61" s="1027"/>
      <c r="S61" s="1027"/>
      <c r="T61" s="1027"/>
      <c r="U61" s="1027"/>
      <c r="V61" s="1027"/>
      <c r="W61" s="1027"/>
      <c r="X61" s="1027"/>
      <c r="AA61" s="1027"/>
      <c r="AB61" s="1027"/>
      <c r="AC61" s="1027"/>
      <c r="AD61" s="1027"/>
      <c r="AE61" s="1027"/>
      <c r="AF61" s="1027"/>
    </row>
    <row r="62" spans="1:61" x14ac:dyDescent="0.2">
      <c r="A62" s="1026"/>
      <c r="D62" s="1027"/>
      <c r="E62" s="1027"/>
      <c r="F62" s="1027"/>
      <c r="G62" s="1027"/>
      <c r="H62" s="1027"/>
      <c r="I62" s="1027"/>
      <c r="J62" s="1027"/>
      <c r="K62" s="1027"/>
      <c r="L62" s="1027"/>
      <c r="M62" s="1027"/>
      <c r="N62" s="1027"/>
      <c r="O62" s="1027"/>
      <c r="S62" s="1027"/>
      <c r="T62" s="1027"/>
      <c r="U62" s="1027"/>
      <c r="V62" s="1027"/>
      <c r="W62" s="1027"/>
      <c r="X62" s="1027"/>
      <c r="AA62" s="1027"/>
      <c r="AB62" s="1027"/>
      <c r="AC62" s="1027"/>
      <c r="AD62" s="1027"/>
      <c r="AE62" s="1027"/>
      <c r="AF62" s="1027"/>
    </row>
    <row r="63" spans="1:61" x14ac:dyDescent="0.2">
      <c r="A63" s="1026"/>
      <c r="D63" s="1027"/>
      <c r="E63" s="1027"/>
      <c r="F63" s="1027"/>
      <c r="G63" s="1027"/>
      <c r="H63" s="1027"/>
      <c r="I63" s="1027"/>
      <c r="J63" s="1027"/>
      <c r="K63" s="1027"/>
      <c r="L63" s="1027"/>
      <c r="M63" s="1027"/>
      <c r="N63" s="1027"/>
      <c r="O63" s="1027"/>
      <c r="S63" s="1027"/>
      <c r="T63" s="1027"/>
      <c r="U63" s="1027"/>
      <c r="V63" s="1027"/>
      <c r="W63" s="1027"/>
      <c r="X63" s="1027"/>
      <c r="AA63" s="1027"/>
      <c r="AB63" s="1027"/>
      <c r="AC63" s="1027"/>
      <c r="AD63" s="1027"/>
      <c r="AE63" s="1027"/>
      <c r="AF63" s="1027"/>
    </row>
    <row r="64" spans="1:61" x14ac:dyDescent="0.2">
      <c r="A64" s="1026"/>
      <c r="D64" s="1027"/>
      <c r="E64" s="1027"/>
      <c r="F64" s="1027"/>
      <c r="G64" s="1027"/>
      <c r="H64" s="1027"/>
      <c r="I64" s="1027"/>
      <c r="J64" s="1027"/>
      <c r="K64" s="1027"/>
      <c r="L64" s="1027"/>
      <c r="M64" s="1027"/>
      <c r="N64" s="1027"/>
      <c r="O64" s="1027"/>
      <c r="S64" s="1027"/>
      <c r="T64" s="1027"/>
      <c r="U64" s="1027"/>
      <c r="V64" s="1027"/>
      <c r="W64" s="1027"/>
      <c r="X64" s="1027"/>
      <c r="AA64" s="1027"/>
      <c r="AB64" s="1027"/>
      <c r="AC64" s="1027"/>
      <c r="AD64" s="1027"/>
      <c r="AE64" s="1027"/>
      <c r="AF64" s="1027"/>
    </row>
    <row r="65" spans="1:32" x14ac:dyDescent="0.2">
      <c r="A65" s="1026"/>
      <c r="D65" s="1027"/>
      <c r="E65" s="1027"/>
      <c r="F65" s="1027"/>
      <c r="G65" s="1027"/>
      <c r="H65" s="1027"/>
      <c r="I65" s="1027"/>
      <c r="J65" s="1027"/>
      <c r="K65" s="1027"/>
      <c r="L65" s="1027"/>
      <c r="M65" s="1027"/>
      <c r="N65" s="1027"/>
      <c r="O65" s="1027"/>
      <c r="S65" s="1027"/>
      <c r="T65" s="1027"/>
      <c r="U65" s="1027"/>
      <c r="V65" s="1027"/>
      <c r="W65" s="1027"/>
      <c r="X65" s="1027"/>
      <c r="AA65" s="1027"/>
      <c r="AB65" s="1027"/>
      <c r="AC65" s="1027"/>
      <c r="AD65" s="1027"/>
      <c r="AE65" s="1027"/>
      <c r="AF65" s="1027"/>
    </row>
    <row r="66" spans="1:32" x14ac:dyDescent="0.2">
      <c r="A66" s="1026"/>
      <c r="D66" s="1027"/>
      <c r="E66" s="1027"/>
      <c r="F66" s="1027"/>
      <c r="G66" s="1027"/>
      <c r="H66" s="1027"/>
      <c r="I66" s="1027"/>
      <c r="J66" s="1027"/>
      <c r="K66" s="1027"/>
      <c r="L66" s="1027"/>
      <c r="M66" s="1027"/>
      <c r="N66" s="1027"/>
      <c r="O66" s="1027"/>
      <c r="S66" s="1027"/>
      <c r="T66" s="1027"/>
      <c r="U66" s="1027"/>
      <c r="V66" s="1027"/>
      <c r="W66" s="1027"/>
      <c r="X66" s="1027"/>
      <c r="AA66" s="1027"/>
      <c r="AB66" s="1027"/>
      <c r="AC66" s="1027"/>
      <c r="AD66" s="1027"/>
      <c r="AE66" s="1027"/>
      <c r="AF66" s="1027"/>
    </row>
    <row r="67" spans="1:32" x14ac:dyDescent="0.2">
      <c r="A67" s="1026"/>
      <c r="D67" s="1027"/>
      <c r="E67" s="1027"/>
      <c r="F67" s="1027"/>
      <c r="G67" s="1027"/>
      <c r="H67" s="1027"/>
      <c r="I67" s="1027"/>
      <c r="J67" s="1027"/>
      <c r="K67" s="1027"/>
      <c r="L67" s="1027"/>
      <c r="M67" s="1027"/>
      <c r="N67" s="1027"/>
      <c r="O67" s="1027"/>
      <c r="S67" s="1027"/>
      <c r="T67" s="1027"/>
      <c r="U67" s="1027"/>
      <c r="V67" s="1027"/>
      <c r="W67" s="1027"/>
      <c r="X67" s="1027"/>
      <c r="AA67" s="1027"/>
      <c r="AB67" s="1027"/>
      <c r="AC67" s="1027"/>
      <c r="AD67" s="1027"/>
      <c r="AE67" s="1027"/>
      <c r="AF67" s="1027"/>
    </row>
    <row r="68" spans="1:32" x14ac:dyDescent="0.2">
      <c r="A68" s="1026"/>
      <c r="D68" s="1027"/>
      <c r="E68" s="1027"/>
      <c r="F68" s="1027"/>
      <c r="G68" s="1027"/>
      <c r="H68" s="1027"/>
      <c r="I68" s="1027"/>
      <c r="J68" s="1027"/>
      <c r="K68" s="1027"/>
      <c r="L68" s="1027"/>
      <c r="M68" s="1027"/>
      <c r="N68" s="1027"/>
      <c r="O68" s="1027"/>
      <c r="S68" s="1027"/>
      <c r="T68" s="1027"/>
      <c r="U68" s="1027"/>
      <c r="V68" s="1027"/>
      <c r="W68" s="1027"/>
      <c r="X68" s="1027"/>
      <c r="AA68" s="1027"/>
      <c r="AB68" s="1027"/>
      <c r="AC68" s="1027"/>
      <c r="AD68" s="1027"/>
      <c r="AE68" s="1027"/>
      <c r="AF68" s="1027"/>
    </row>
    <row r="69" spans="1:32" x14ac:dyDescent="0.2">
      <c r="A69" s="1026"/>
      <c r="D69" s="1027"/>
      <c r="E69" s="1027"/>
      <c r="F69" s="1027"/>
      <c r="G69" s="1027"/>
      <c r="H69" s="1027"/>
      <c r="I69" s="1027"/>
      <c r="J69" s="1027"/>
      <c r="K69" s="1027"/>
      <c r="L69" s="1027"/>
      <c r="M69" s="1027"/>
      <c r="N69" s="1027"/>
      <c r="O69" s="1027"/>
      <c r="S69" s="1027"/>
      <c r="T69" s="1027"/>
      <c r="U69" s="1027"/>
      <c r="V69" s="1027"/>
      <c r="W69" s="1027"/>
      <c r="X69" s="1027"/>
      <c r="AA69" s="1027"/>
      <c r="AB69" s="1027"/>
      <c r="AC69" s="1027"/>
      <c r="AD69" s="1027"/>
      <c r="AE69" s="1027"/>
      <c r="AF69" s="1027"/>
    </row>
    <row r="70" spans="1:32" x14ac:dyDescent="0.2">
      <c r="A70" s="1026"/>
      <c r="D70" s="1027"/>
      <c r="E70" s="1027"/>
      <c r="F70" s="1027"/>
      <c r="G70" s="1027"/>
      <c r="H70" s="1027"/>
      <c r="I70" s="1027"/>
      <c r="J70" s="1027"/>
      <c r="K70" s="1027"/>
      <c r="L70" s="1027"/>
      <c r="M70" s="1027"/>
      <c r="N70" s="1027"/>
      <c r="O70" s="1027"/>
      <c r="S70" s="1027"/>
      <c r="T70" s="1027"/>
      <c r="U70" s="1027"/>
      <c r="V70" s="1027"/>
      <c r="W70" s="1027"/>
      <c r="X70" s="1027"/>
      <c r="AA70" s="1027"/>
      <c r="AB70" s="1027"/>
      <c r="AC70" s="1027"/>
      <c r="AD70" s="1027"/>
      <c r="AE70" s="1027"/>
      <c r="AF70" s="1027"/>
    </row>
    <row r="71" spans="1:32" x14ac:dyDescent="0.2">
      <c r="A71" s="1026"/>
      <c r="D71" s="1027"/>
      <c r="E71" s="1027"/>
      <c r="F71" s="1027"/>
      <c r="G71" s="1027"/>
      <c r="H71" s="1027"/>
      <c r="I71" s="1027"/>
      <c r="J71" s="1027"/>
      <c r="K71" s="1027"/>
      <c r="L71" s="1027"/>
      <c r="M71" s="1027"/>
      <c r="N71" s="1027"/>
      <c r="O71" s="1027"/>
      <c r="S71" s="1027"/>
      <c r="T71" s="1027"/>
      <c r="U71" s="1027"/>
      <c r="V71" s="1027"/>
      <c r="W71" s="1027"/>
      <c r="X71" s="1027"/>
      <c r="AA71" s="1027"/>
      <c r="AB71" s="1027"/>
      <c r="AC71" s="1027"/>
      <c r="AD71" s="1027"/>
      <c r="AE71" s="1027"/>
      <c r="AF71" s="1027"/>
    </row>
    <row r="72" spans="1:32" x14ac:dyDescent="0.2">
      <c r="A72" s="1026"/>
      <c r="D72" s="1027"/>
      <c r="E72" s="1027"/>
      <c r="F72" s="1027"/>
      <c r="G72" s="1027"/>
      <c r="H72" s="1027"/>
      <c r="I72" s="1027"/>
      <c r="J72" s="1027"/>
      <c r="K72" s="1027"/>
      <c r="L72" s="1027"/>
      <c r="M72" s="1027"/>
      <c r="N72" s="1027"/>
      <c r="O72" s="1027"/>
      <c r="S72" s="1027"/>
      <c r="T72" s="1027"/>
      <c r="U72" s="1027"/>
      <c r="V72" s="1027"/>
      <c r="W72" s="1027"/>
      <c r="X72" s="1027"/>
      <c r="AA72" s="1027"/>
      <c r="AB72" s="1027"/>
      <c r="AC72" s="1027"/>
      <c r="AD72" s="1027"/>
      <c r="AE72" s="1027"/>
      <c r="AF72" s="1027"/>
    </row>
    <row r="73" spans="1:32" x14ac:dyDescent="0.2">
      <c r="A73" s="1026"/>
      <c r="D73" s="1027"/>
      <c r="E73" s="1027"/>
      <c r="F73" s="1027"/>
      <c r="G73" s="1027"/>
      <c r="H73" s="1027"/>
      <c r="I73" s="1027"/>
      <c r="J73" s="1027"/>
      <c r="K73" s="1027"/>
      <c r="L73" s="1027"/>
      <c r="M73" s="1027"/>
      <c r="N73" s="1027"/>
      <c r="O73" s="1027"/>
      <c r="S73" s="1027"/>
      <c r="T73" s="1027"/>
      <c r="U73" s="1027"/>
      <c r="V73" s="1027"/>
      <c r="W73" s="1027"/>
      <c r="X73" s="1027"/>
      <c r="AA73" s="1027"/>
      <c r="AB73" s="1027"/>
      <c r="AC73" s="1027"/>
      <c r="AD73" s="1027"/>
      <c r="AE73" s="1027"/>
      <c r="AF73" s="1027"/>
    </row>
    <row r="74" spans="1:32" x14ac:dyDescent="0.2">
      <c r="A74" s="1026"/>
      <c r="D74" s="1027"/>
      <c r="E74" s="1027"/>
      <c r="F74" s="1027"/>
      <c r="G74" s="1027"/>
      <c r="H74" s="1027"/>
      <c r="I74" s="1027"/>
      <c r="J74" s="1027"/>
      <c r="K74" s="1027"/>
      <c r="L74" s="1027"/>
      <c r="M74" s="1027"/>
      <c r="N74" s="1027"/>
      <c r="O74" s="1027"/>
      <c r="S74" s="1027"/>
      <c r="T74" s="1027"/>
      <c r="U74" s="1027"/>
      <c r="V74" s="1027"/>
      <c r="W74" s="1027"/>
      <c r="X74" s="1027"/>
      <c r="AA74" s="1027"/>
      <c r="AB74" s="1027"/>
      <c r="AC74" s="1027"/>
      <c r="AD74" s="1027"/>
      <c r="AE74" s="1027"/>
      <c r="AF74" s="1027"/>
    </row>
    <row r="75" spans="1:32" x14ac:dyDescent="0.2">
      <c r="A75" s="1026"/>
      <c r="D75" s="1027"/>
      <c r="E75" s="1027"/>
      <c r="F75" s="1027"/>
      <c r="G75" s="1027"/>
      <c r="H75" s="1027"/>
      <c r="I75" s="1027"/>
      <c r="J75" s="1027"/>
      <c r="K75" s="1027"/>
      <c r="L75" s="1027"/>
      <c r="M75" s="1027"/>
      <c r="N75" s="1027"/>
      <c r="O75" s="1027"/>
      <c r="S75" s="1027"/>
      <c r="T75" s="1027"/>
      <c r="U75" s="1027"/>
      <c r="V75" s="1027"/>
      <c r="W75" s="1027"/>
      <c r="X75" s="1027"/>
      <c r="AA75" s="1027"/>
      <c r="AB75" s="1027"/>
      <c r="AC75" s="1027"/>
      <c r="AD75" s="1027"/>
      <c r="AE75" s="1027"/>
      <c r="AF75" s="1027"/>
    </row>
    <row r="76" spans="1:32" x14ac:dyDescent="0.2">
      <c r="A76" s="1026"/>
      <c r="D76" s="1027"/>
      <c r="E76" s="1027"/>
      <c r="F76" s="1027"/>
      <c r="G76" s="1027"/>
      <c r="H76" s="1027"/>
      <c r="I76" s="1027"/>
      <c r="J76" s="1027"/>
      <c r="K76" s="1027"/>
      <c r="L76" s="1027"/>
      <c r="M76" s="1027"/>
      <c r="N76" s="1027"/>
      <c r="O76" s="1027"/>
      <c r="S76" s="1027"/>
      <c r="T76" s="1027"/>
      <c r="U76" s="1027"/>
      <c r="V76" s="1027"/>
      <c r="W76" s="1027"/>
      <c r="X76" s="1027"/>
      <c r="AA76" s="1027"/>
      <c r="AB76" s="1027"/>
      <c r="AC76" s="1027"/>
      <c r="AD76" s="1027"/>
      <c r="AE76" s="1027"/>
      <c r="AF76" s="1027"/>
    </row>
    <row r="77" spans="1:32" x14ac:dyDescent="0.2">
      <c r="A77" s="1026"/>
      <c r="D77" s="1027"/>
      <c r="E77" s="1027"/>
      <c r="F77" s="1027"/>
      <c r="G77" s="1027"/>
      <c r="H77" s="1027"/>
      <c r="I77" s="1027"/>
      <c r="J77" s="1027"/>
      <c r="K77" s="1027"/>
      <c r="L77" s="1027"/>
      <c r="M77" s="1027"/>
      <c r="N77" s="1027"/>
      <c r="O77" s="1027"/>
      <c r="S77" s="1027"/>
      <c r="T77" s="1027"/>
      <c r="U77" s="1027"/>
      <c r="V77" s="1027"/>
      <c r="W77" s="1027"/>
      <c r="X77" s="1027"/>
      <c r="AA77" s="1027"/>
      <c r="AB77" s="1027"/>
      <c r="AC77" s="1027"/>
      <c r="AD77" s="1027"/>
      <c r="AE77" s="1027"/>
      <c r="AF77" s="1027"/>
    </row>
    <row r="78" spans="1:32" x14ac:dyDescent="0.2">
      <c r="A78" s="1026"/>
      <c r="D78" s="1027"/>
      <c r="E78" s="1027"/>
      <c r="F78" s="1027"/>
      <c r="G78" s="1027"/>
      <c r="H78" s="1027"/>
      <c r="I78" s="1027"/>
      <c r="J78" s="1027"/>
      <c r="K78" s="1027"/>
      <c r="L78" s="1027"/>
      <c r="M78" s="1027"/>
      <c r="N78" s="1027"/>
      <c r="O78" s="1027"/>
      <c r="S78" s="1027"/>
      <c r="T78" s="1027"/>
      <c r="U78" s="1027"/>
      <c r="V78" s="1027"/>
      <c r="W78" s="1027"/>
      <c r="X78" s="1027"/>
      <c r="AA78" s="1027"/>
      <c r="AB78" s="1027"/>
      <c r="AC78" s="1027"/>
      <c r="AD78" s="1027"/>
      <c r="AE78" s="1027"/>
      <c r="AF78" s="1027"/>
    </row>
    <row r="79" spans="1:32" x14ac:dyDescent="0.2">
      <c r="A79" s="1026"/>
      <c r="D79" s="1027"/>
      <c r="E79" s="1027"/>
      <c r="F79" s="1027"/>
      <c r="G79" s="1027"/>
      <c r="H79" s="1027"/>
      <c r="I79" s="1027"/>
      <c r="J79" s="1027"/>
      <c r="K79" s="1027"/>
      <c r="L79" s="1027"/>
      <c r="M79" s="1027"/>
      <c r="N79" s="1027"/>
      <c r="O79" s="1027"/>
      <c r="S79" s="1027"/>
      <c r="T79" s="1027"/>
      <c r="U79" s="1027"/>
      <c r="V79" s="1027"/>
      <c r="W79" s="1027"/>
      <c r="X79" s="1027"/>
      <c r="AA79" s="1027"/>
      <c r="AB79" s="1027"/>
      <c r="AC79" s="1027"/>
      <c r="AD79" s="1027"/>
      <c r="AE79" s="1027"/>
      <c r="AF79" s="1027"/>
    </row>
    <row r="80" spans="1:32" x14ac:dyDescent="0.2">
      <c r="A80" s="1026"/>
      <c r="D80" s="1027"/>
      <c r="E80" s="1027"/>
      <c r="F80" s="1027"/>
      <c r="G80" s="1027"/>
      <c r="H80" s="1027"/>
      <c r="I80" s="1027"/>
      <c r="J80" s="1027"/>
      <c r="K80" s="1027"/>
      <c r="L80" s="1027"/>
      <c r="M80" s="1027"/>
      <c r="N80" s="1027"/>
      <c r="O80" s="1027"/>
      <c r="S80" s="1027"/>
      <c r="T80" s="1027"/>
      <c r="U80" s="1027"/>
      <c r="V80" s="1027"/>
      <c r="W80" s="1027"/>
      <c r="X80" s="1027"/>
      <c r="AA80" s="1027"/>
      <c r="AB80" s="1027"/>
      <c r="AC80" s="1027"/>
      <c r="AD80" s="1027"/>
      <c r="AE80" s="1027"/>
      <c r="AF80" s="1027"/>
    </row>
    <row r="81" spans="1:32" x14ac:dyDescent="0.2">
      <c r="A81" s="1026"/>
      <c r="D81" s="1027"/>
      <c r="E81" s="1027"/>
      <c r="F81" s="1027"/>
      <c r="G81" s="1027"/>
      <c r="H81" s="1027"/>
      <c r="I81" s="1027"/>
      <c r="J81" s="1027"/>
      <c r="K81" s="1027"/>
      <c r="L81" s="1027"/>
      <c r="M81" s="1027"/>
      <c r="N81" s="1027"/>
      <c r="O81" s="1027"/>
      <c r="S81" s="1027"/>
      <c r="T81" s="1027"/>
      <c r="U81" s="1027"/>
      <c r="V81" s="1027"/>
      <c r="W81" s="1027"/>
      <c r="X81" s="1027"/>
      <c r="AA81" s="1027"/>
      <c r="AB81" s="1027"/>
      <c r="AC81" s="1027"/>
      <c r="AD81" s="1027"/>
      <c r="AE81" s="1027"/>
      <c r="AF81" s="1027"/>
    </row>
    <row r="82" spans="1:32" x14ac:dyDescent="0.2">
      <c r="A82" s="1026"/>
      <c r="D82" s="1027"/>
      <c r="E82" s="1027"/>
      <c r="F82" s="1027"/>
      <c r="G82" s="1027"/>
      <c r="H82" s="1027"/>
      <c r="I82" s="1027"/>
      <c r="J82" s="1027"/>
      <c r="K82" s="1027"/>
      <c r="L82" s="1027"/>
      <c r="M82" s="1027"/>
      <c r="N82" s="1027"/>
      <c r="O82" s="1027"/>
      <c r="S82" s="1027"/>
      <c r="T82" s="1027"/>
      <c r="U82" s="1027"/>
      <c r="V82" s="1027"/>
      <c r="W82" s="1027"/>
      <c r="X82" s="1027"/>
      <c r="AA82" s="1027"/>
      <c r="AB82" s="1027"/>
      <c r="AC82" s="1027"/>
      <c r="AD82" s="1027"/>
      <c r="AE82" s="1027"/>
      <c r="AF82" s="1027"/>
    </row>
    <row r="83" spans="1:32" x14ac:dyDescent="0.2">
      <c r="A83" s="1026"/>
      <c r="D83" s="1027"/>
      <c r="E83" s="1027"/>
      <c r="F83" s="1027"/>
      <c r="G83" s="1027"/>
      <c r="H83" s="1027"/>
      <c r="I83" s="1027"/>
      <c r="J83" s="1027"/>
      <c r="K83" s="1027"/>
      <c r="L83" s="1027"/>
      <c r="M83" s="1027"/>
      <c r="N83" s="1027"/>
      <c r="O83" s="1027"/>
      <c r="S83" s="1027"/>
      <c r="T83" s="1027"/>
      <c r="U83" s="1027"/>
      <c r="V83" s="1027"/>
      <c r="W83" s="1027"/>
      <c r="X83" s="1027"/>
      <c r="AA83" s="1027"/>
      <c r="AB83" s="1027"/>
      <c r="AC83" s="1027"/>
      <c r="AD83" s="1027"/>
      <c r="AE83" s="1027"/>
      <c r="AF83" s="1027"/>
    </row>
    <row r="84" spans="1:32" x14ac:dyDescent="0.2">
      <c r="A84" s="1026"/>
      <c r="D84" s="1027"/>
      <c r="E84" s="1027"/>
      <c r="F84" s="1027"/>
      <c r="G84" s="1027"/>
      <c r="H84" s="1027"/>
      <c r="I84" s="1027"/>
      <c r="J84" s="1027"/>
      <c r="K84" s="1027"/>
      <c r="L84" s="1027"/>
      <c r="M84" s="1027"/>
      <c r="N84" s="1027"/>
      <c r="O84" s="1027"/>
      <c r="S84" s="1027"/>
      <c r="T84" s="1027"/>
      <c r="U84" s="1027"/>
      <c r="V84" s="1027"/>
      <c r="W84" s="1027"/>
      <c r="X84" s="1027"/>
      <c r="AA84" s="1027"/>
      <c r="AB84" s="1027"/>
      <c r="AC84" s="1027"/>
      <c r="AD84" s="1027"/>
      <c r="AE84" s="1027"/>
      <c r="AF84" s="1027"/>
    </row>
    <row r="85" spans="1:32" x14ac:dyDescent="0.2">
      <c r="A85" s="1026"/>
      <c r="D85" s="1027"/>
      <c r="E85" s="1027"/>
      <c r="F85" s="1027"/>
      <c r="G85" s="1027"/>
      <c r="H85" s="1027"/>
      <c r="I85" s="1027"/>
      <c r="J85" s="1027"/>
      <c r="K85" s="1027"/>
      <c r="L85" s="1027"/>
      <c r="M85" s="1027"/>
      <c r="N85" s="1027"/>
      <c r="O85" s="1027"/>
      <c r="S85" s="1027"/>
      <c r="T85" s="1027"/>
      <c r="U85" s="1027"/>
      <c r="V85" s="1027"/>
      <c r="W85" s="1027"/>
      <c r="X85" s="1027"/>
      <c r="AA85" s="1027"/>
      <c r="AB85" s="1027"/>
      <c r="AC85" s="1027"/>
      <c r="AD85" s="1027"/>
      <c r="AE85" s="1027"/>
      <c r="AF85" s="1027"/>
    </row>
    <row r="86" spans="1:32" x14ac:dyDescent="0.2">
      <c r="A86" s="1026"/>
      <c r="D86" s="1027"/>
      <c r="E86" s="1027"/>
      <c r="F86" s="1027"/>
      <c r="G86" s="1027"/>
      <c r="H86" s="1027"/>
      <c r="I86" s="1027"/>
      <c r="J86" s="1027"/>
      <c r="K86" s="1027"/>
      <c r="L86" s="1027"/>
      <c r="M86" s="1027"/>
      <c r="N86" s="1027"/>
      <c r="O86" s="1027"/>
      <c r="S86" s="1027"/>
      <c r="T86" s="1027"/>
      <c r="U86" s="1027"/>
      <c r="V86" s="1027"/>
      <c r="W86" s="1027"/>
      <c r="X86" s="1027"/>
      <c r="AA86" s="1027"/>
      <c r="AB86" s="1027"/>
      <c r="AC86" s="1027"/>
      <c r="AD86" s="1027"/>
      <c r="AE86" s="1027"/>
      <c r="AF86" s="1027"/>
    </row>
    <row r="87" spans="1:32" x14ac:dyDescent="0.2">
      <c r="A87" s="1026"/>
      <c r="D87" s="1027"/>
      <c r="E87" s="1027"/>
      <c r="F87" s="1027"/>
      <c r="G87" s="1027"/>
      <c r="H87" s="1027"/>
      <c r="I87" s="1027"/>
      <c r="J87" s="1027"/>
      <c r="K87" s="1027"/>
      <c r="L87" s="1027"/>
      <c r="M87" s="1027"/>
      <c r="N87" s="1027"/>
      <c r="O87" s="1027"/>
      <c r="S87" s="1027"/>
      <c r="T87" s="1027"/>
      <c r="U87" s="1027"/>
      <c r="V87" s="1027"/>
      <c r="W87" s="1027"/>
      <c r="X87" s="1027"/>
      <c r="AA87" s="1027"/>
      <c r="AB87" s="1027"/>
      <c r="AC87" s="1027"/>
      <c r="AD87" s="1027"/>
      <c r="AE87" s="1027"/>
      <c r="AF87" s="1027"/>
    </row>
    <row r="88" spans="1:32" x14ac:dyDescent="0.2">
      <c r="A88" s="1026"/>
      <c r="D88" s="1027"/>
      <c r="E88" s="1027"/>
      <c r="F88" s="1027"/>
      <c r="G88" s="1027"/>
      <c r="H88" s="1027"/>
      <c r="I88" s="1027"/>
      <c r="J88" s="1027"/>
      <c r="K88" s="1027"/>
      <c r="L88" s="1027"/>
      <c r="M88" s="1027"/>
      <c r="N88" s="1027"/>
      <c r="O88" s="1027"/>
      <c r="S88" s="1027"/>
      <c r="T88" s="1027"/>
      <c r="U88" s="1027"/>
      <c r="V88" s="1027"/>
      <c r="W88" s="1027"/>
      <c r="X88" s="1027"/>
      <c r="AA88" s="1027"/>
      <c r="AB88" s="1027"/>
      <c r="AC88" s="1027"/>
      <c r="AD88" s="1027"/>
      <c r="AE88" s="1027"/>
      <c r="AF88" s="1027"/>
    </row>
    <row r="89" spans="1:32" x14ac:dyDescent="0.2">
      <c r="A89" s="1026"/>
      <c r="D89" s="1027"/>
      <c r="E89" s="1027"/>
      <c r="F89" s="1027"/>
      <c r="G89" s="1027"/>
      <c r="H89" s="1027"/>
      <c r="I89" s="1027"/>
      <c r="J89" s="1027"/>
      <c r="K89" s="1027"/>
      <c r="L89" s="1027"/>
      <c r="M89" s="1027"/>
      <c r="N89" s="1027"/>
      <c r="O89" s="1027"/>
      <c r="S89" s="1027"/>
      <c r="T89" s="1027"/>
      <c r="U89" s="1027"/>
      <c r="V89" s="1027"/>
      <c r="W89" s="1027"/>
      <c r="X89" s="1027"/>
      <c r="AA89" s="1027"/>
      <c r="AB89" s="1027"/>
      <c r="AC89" s="1027"/>
      <c r="AD89" s="1027"/>
      <c r="AE89" s="1027"/>
      <c r="AF89" s="1027"/>
    </row>
    <row r="90" spans="1:32" x14ac:dyDescent="0.2">
      <c r="A90" s="1026"/>
      <c r="D90" s="1027"/>
      <c r="E90" s="1027"/>
      <c r="F90" s="1027"/>
      <c r="G90" s="1027"/>
      <c r="H90" s="1027"/>
      <c r="I90" s="1027"/>
      <c r="J90" s="1027"/>
      <c r="K90" s="1027"/>
      <c r="L90" s="1027"/>
      <c r="M90" s="1027"/>
      <c r="N90" s="1027"/>
      <c r="O90" s="1027"/>
      <c r="S90" s="1027"/>
      <c r="T90" s="1027"/>
      <c r="U90" s="1027"/>
      <c r="V90" s="1027"/>
      <c r="W90" s="1027"/>
      <c r="X90" s="1027"/>
      <c r="AA90" s="1027"/>
      <c r="AB90" s="1027"/>
      <c r="AC90" s="1027"/>
      <c r="AD90" s="1027"/>
      <c r="AE90" s="1027"/>
      <c r="AF90" s="1027"/>
    </row>
    <row r="91" spans="1:32" x14ac:dyDescent="0.2">
      <c r="A91" s="1026"/>
      <c r="D91" s="1027"/>
      <c r="E91" s="1027"/>
      <c r="F91" s="1027"/>
      <c r="G91" s="1027"/>
      <c r="H91" s="1027"/>
      <c r="I91" s="1027"/>
      <c r="J91" s="1027"/>
      <c r="K91" s="1027"/>
      <c r="L91" s="1027"/>
      <c r="M91" s="1027"/>
      <c r="N91" s="1027"/>
      <c r="O91" s="1027"/>
      <c r="S91" s="1027"/>
      <c r="T91" s="1027"/>
      <c r="U91" s="1027"/>
      <c r="V91" s="1027"/>
      <c r="W91" s="1027"/>
      <c r="X91" s="1027"/>
      <c r="AA91" s="1027"/>
      <c r="AB91" s="1027"/>
      <c r="AC91" s="1027"/>
      <c r="AD91" s="1027"/>
      <c r="AE91" s="1027"/>
      <c r="AF91" s="1027"/>
    </row>
    <row r="92" spans="1:32" x14ac:dyDescent="0.2">
      <c r="A92" s="1026"/>
      <c r="D92" s="1027"/>
      <c r="E92" s="1027"/>
      <c r="F92" s="1027"/>
      <c r="G92" s="1027"/>
      <c r="H92" s="1027"/>
      <c r="I92" s="1027"/>
      <c r="J92" s="1027"/>
      <c r="K92" s="1027"/>
      <c r="L92" s="1027"/>
      <c r="M92" s="1027"/>
      <c r="N92" s="1027"/>
      <c r="O92" s="1027"/>
      <c r="S92" s="1027"/>
      <c r="T92" s="1027"/>
      <c r="U92" s="1027"/>
      <c r="V92" s="1027"/>
      <c r="W92" s="1027"/>
      <c r="X92" s="1027"/>
      <c r="AA92" s="1027"/>
      <c r="AB92" s="1027"/>
      <c r="AC92" s="1027"/>
      <c r="AD92" s="1027"/>
      <c r="AE92" s="1027"/>
      <c r="AF92" s="1027"/>
    </row>
    <row r="93" spans="1:32" x14ac:dyDescent="0.2">
      <c r="A93" s="1026"/>
      <c r="D93" s="1027"/>
      <c r="E93" s="1027"/>
      <c r="F93" s="1027"/>
      <c r="G93" s="1027"/>
      <c r="H93" s="1027"/>
      <c r="I93" s="1027"/>
      <c r="J93" s="1027"/>
      <c r="K93" s="1027"/>
      <c r="L93" s="1027"/>
      <c r="M93" s="1027"/>
      <c r="N93" s="1027"/>
      <c r="O93" s="1027"/>
      <c r="S93" s="1027"/>
      <c r="T93" s="1027"/>
      <c r="U93" s="1027"/>
      <c r="V93" s="1027"/>
      <c r="W93" s="1027"/>
      <c r="X93" s="1027"/>
      <c r="AA93" s="1027"/>
      <c r="AB93" s="1027"/>
      <c r="AC93" s="1027"/>
      <c r="AD93" s="1027"/>
      <c r="AE93" s="1027"/>
      <c r="AF93" s="1027"/>
    </row>
    <row r="94" spans="1:32" x14ac:dyDescent="0.2">
      <c r="A94" s="1026"/>
      <c r="D94" s="1027"/>
      <c r="E94" s="1027"/>
      <c r="F94" s="1027"/>
      <c r="G94" s="1027"/>
      <c r="H94" s="1027"/>
      <c r="I94" s="1027"/>
      <c r="J94" s="1027"/>
      <c r="K94" s="1027"/>
      <c r="L94" s="1027"/>
      <c r="M94" s="1027"/>
      <c r="N94" s="1027"/>
      <c r="O94" s="1027"/>
      <c r="S94" s="1027"/>
      <c r="T94" s="1027"/>
      <c r="U94" s="1027"/>
      <c r="V94" s="1027"/>
      <c r="W94" s="1027"/>
      <c r="X94" s="1027"/>
      <c r="AA94" s="1027"/>
      <c r="AB94" s="1027"/>
      <c r="AC94" s="1027"/>
      <c r="AD94" s="1027"/>
      <c r="AE94" s="1027"/>
      <c r="AF94" s="1027"/>
    </row>
    <row r="95" spans="1:32" x14ac:dyDescent="0.2">
      <c r="A95" s="1026"/>
      <c r="D95" s="1027"/>
      <c r="E95" s="1027"/>
      <c r="F95" s="1027"/>
      <c r="G95" s="1027"/>
      <c r="H95" s="1027"/>
      <c r="I95" s="1027"/>
      <c r="J95" s="1027"/>
      <c r="K95" s="1027"/>
      <c r="L95" s="1027"/>
      <c r="M95" s="1027"/>
      <c r="N95" s="1027"/>
      <c r="O95" s="1027"/>
      <c r="S95" s="1027"/>
      <c r="T95" s="1027"/>
      <c r="U95" s="1027"/>
      <c r="V95" s="1027"/>
      <c r="W95" s="1027"/>
      <c r="X95" s="1027"/>
      <c r="AA95" s="1027"/>
      <c r="AB95" s="1027"/>
      <c r="AC95" s="1027"/>
      <c r="AD95" s="1027"/>
      <c r="AE95" s="1027"/>
      <c r="AF95" s="1027"/>
    </row>
    <row r="96" spans="1:32" x14ac:dyDescent="0.2">
      <c r="A96" s="1026"/>
      <c r="D96" s="1027"/>
      <c r="E96" s="1027"/>
      <c r="F96" s="1027"/>
      <c r="G96" s="1027"/>
      <c r="H96" s="1027"/>
      <c r="I96" s="1027"/>
      <c r="J96" s="1027"/>
      <c r="K96" s="1027"/>
      <c r="L96" s="1027"/>
      <c r="M96" s="1027"/>
      <c r="N96" s="1027"/>
      <c r="O96" s="1027"/>
      <c r="S96" s="1027"/>
      <c r="T96" s="1027"/>
      <c r="U96" s="1027"/>
      <c r="V96" s="1027"/>
      <c r="W96" s="1027"/>
      <c r="X96" s="1027"/>
      <c r="AA96" s="1027"/>
      <c r="AB96" s="1027"/>
      <c r="AC96" s="1027"/>
      <c r="AD96" s="1027"/>
      <c r="AE96" s="1027"/>
      <c r="AF96" s="1027"/>
    </row>
    <row r="97" spans="1:32" x14ac:dyDescent="0.2">
      <c r="A97" s="1026"/>
      <c r="D97" s="1027"/>
      <c r="E97" s="1027"/>
      <c r="F97" s="1027"/>
      <c r="G97" s="1027"/>
      <c r="H97" s="1027"/>
      <c r="I97" s="1027"/>
      <c r="J97" s="1027"/>
      <c r="K97" s="1027"/>
      <c r="L97" s="1027"/>
      <c r="M97" s="1027"/>
      <c r="N97" s="1027"/>
      <c r="O97" s="1027"/>
      <c r="S97" s="1027"/>
      <c r="T97" s="1027"/>
      <c r="U97" s="1027"/>
      <c r="V97" s="1027"/>
      <c r="W97" s="1027"/>
      <c r="X97" s="1027"/>
      <c r="AA97" s="1027"/>
      <c r="AB97" s="1027"/>
      <c r="AC97" s="1027"/>
      <c r="AD97" s="1027"/>
      <c r="AE97" s="1027"/>
      <c r="AF97" s="1027"/>
    </row>
    <row r="98" spans="1:32" x14ac:dyDescent="0.2">
      <c r="A98" s="1026"/>
      <c r="D98" s="1027"/>
      <c r="E98" s="1027"/>
      <c r="F98" s="1027"/>
      <c r="G98" s="1027"/>
      <c r="H98" s="1027"/>
      <c r="I98" s="1027"/>
      <c r="J98" s="1027"/>
      <c r="K98" s="1027"/>
      <c r="L98" s="1027"/>
      <c r="M98" s="1027"/>
      <c r="N98" s="1027"/>
      <c r="O98" s="1027"/>
      <c r="S98" s="1027"/>
      <c r="T98" s="1027"/>
      <c r="U98" s="1027"/>
      <c r="V98" s="1027"/>
      <c r="W98" s="1027"/>
      <c r="X98" s="1027"/>
      <c r="AA98" s="1027"/>
      <c r="AB98" s="1027"/>
      <c r="AC98" s="1027"/>
      <c r="AD98" s="1027"/>
      <c r="AE98" s="1027"/>
      <c r="AF98" s="1027"/>
    </row>
    <row r="99" spans="1:32" x14ac:dyDescent="0.2">
      <c r="A99" s="1026"/>
      <c r="D99" s="1027"/>
      <c r="E99" s="1027"/>
      <c r="F99" s="1027"/>
      <c r="G99" s="1027"/>
      <c r="H99" s="1027"/>
      <c r="I99" s="1027"/>
      <c r="J99" s="1027"/>
      <c r="K99" s="1027"/>
      <c r="L99" s="1027"/>
      <c r="M99" s="1027"/>
      <c r="N99" s="1027"/>
      <c r="O99" s="1027"/>
      <c r="S99" s="1027"/>
      <c r="T99" s="1027"/>
      <c r="U99" s="1027"/>
      <c r="V99" s="1027"/>
      <c r="W99" s="1027"/>
      <c r="X99" s="1027"/>
      <c r="AA99" s="1027"/>
      <c r="AB99" s="1027"/>
      <c r="AC99" s="1027"/>
      <c r="AD99" s="1027"/>
      <c r="AE99" s="1027"/>
      <c r="AF99" s="1027"/>
    </row>
    <row r="100" spans="1:32" x14ac:dyDescent="0.2">
      <c r="A100" s="1026"/>
      <c r="D100" s="1027"/>
      <c r="E100" s="1027"/>
      <c r="F100" s="1027"/>
      <c r="G100" s="1027"/>
      <c r="H100" s="1027"/>
      <c r="I100" s="1027"/>
      <c r="J100" s="1027"/>
      <c r="K100" s="1027"/>
      <c r="L100" s="1027"/>
      <c r="M100" s="1027"/>
      <c r="N100" s="1027"/>
      <c r="O100" s="1027"/>
      <c r="S100" s="1027"/>
      <c r="T100" s="1027"/>
      <c r="U100" s="1027"/>
      <c r="V100" s="1027"/>
      <c r="W100" s="1027"/>
      <c r="X100" s="1027"/>
      <c r="AA100" s="1027"/>
      <c r="AB100" s="1027"/>
      <c r="AC100" s="1027"/>
      <c r="AD100" s="1027"/>
      <c r="AE100" s="1027"/>
      <c r="AF100" s="1027"/>
    </row>
    <row r="101" spans="1:32" x14ac:dyDescent="0.2">
      <c r="A101" s="1026"/>
      <c r="D101" s="1027"/>
      <c r="E101" s="1027"/>
      <c r="F101" s="1027"/>
      <c r="G101" s="1027"/>
      <c r="H101" s="1027"/>
      <c r="I101" s="1027"/>
      <c r="J101" s="1027"/>
      <c r="K101" s="1027"/>
      <c r="L101" s="1027"/>
      <c r="M101" s="1027"/>
      <c r="N101" s="1027"/>
      <c r="O101" s="1027"/>
      <c r="S101" s="1027"/>
      <c r="T101" s="1027"/>
      <c r="U101" s="1027"/>
      <c r="V101" s="1027"/>
      <c r="W101" s="1027"/>
      <c r="X101" s="1027"/>
      <c r="AA101" s="1027"/>
      <c r="AB101" s="1027"/>
      <c r="AC101" s="1027"/>
      <c r="AD101" s="1027"/>
      <c r="AE101" s="1027"/>
      <c r="AF101" s="1027"/>
    </row>
    <row r="102" spans="1:32" x14ac:dyDescent="0.2">
      <c r="A102" s="1026"/>
      <c r="D102" s="1027"/>
      <c r="E102" s="1027"/>
      <c r="F102" s="1027"/>
      <c r="G102" s="1027"/>
      <c r="H102" s="1027"/>
      <c r="I102" s="1027"/>
      <c r="J102" s="1027"/>
      <c r="K102" s="1027"/>
      <c r="L102" s="1027"/>
      <c r="M102" s="1027"/>
      <c r="N102" s="1027"/>
      <c r="O102" s="1027"/>
      <c r="S102" s="1027"/>
      <c r="T102" s="1027"/>
      <c r="U102" s="1027"/>
      <c r="V102" s="1027"/>
      <c r="W102" s="1027"/>
      <c r="X102" s="1027"/>
      <c r="AA102" s="1027"/>
      <c r="AB102" s="1027"/>
      <c r="AC102" s="1027"/>
      <c r="AD102" s="1027"/>
      <c r="AE102" s="1027"/>
      <c r="AF102" s="1027"/>
    </row>
    <row r="103" spans="1:32" x14ac:dyDescent="0.2">
      <c r="A103" s="1026"/>
      <c r="D103" s="1027"/>
      <c r="E103" s="1027"/>
      <c r="F103" s="1027"/>
      <c r="G103" s="1027"/>
      <c r="H103" s="1027"/>
      <c r="I103" s="1027"/>
      <c r="J103" s="1027"/>
      <c r="K103" s="1027"/>
      <c r="L103" s="1027"/>
      <c r="M103" s="1027"/>
      <c r="N103" s="1027"/>
      <c r="O103" s="1027"/>
      <c r="S103" s="1027"/>
      <c r="T103" s="1027"/>
      <c r="U103" s="1027"/>
      <c r="V103" s="1027"/>
      <c r="W103" s="1027"/>
      <c r="X103" s="1027"/>
      <c r="AA103" s="1027"/>
      <c r="AB103" s="1027"/>
      <c r="AC103" s="1027"/>
      <c r="AD103" s="1027"/>
      <c r="AE103" s="1027"/>
      <c r="AF103" s="1027"/>
    </row>
    <row r="104" spans="1:32" x14ac:dyDescent="0.2">
      <c r="A104" s="1026"/>
      <c r="D104" s="1027"/>
      <c r="E104" s="1027"/>
      <c r="F104" s="1027"/>
      <c r="G104" s="1027"/>
      <c r="H104" s="1027"/>
      <c r="I104" s="1027"/>
      <c r="J104" s="1027"/>
      <c r="K104" s="1027"/>
      <c r="L104" s="1027"/>
      <c r="M104" s="1027"/>
      <c r="N104" s="1027"/>
      <c r="O104" s="1027"/>
      <c r="S104" s="1027"/>
      <c r="T104" s="1027"/>
      <c r="U104" s="1027"/>
      <c r="V104" s="1027"/>
      <c r="W104" s="1027"/>
      <c r="X104" s="1027"/>
      <c r="AA104" s="1027"/>
      <c r="AB104" s="1027"/>
      <c r="AC104" s="1027"/>
      <c r="AD104" s="1027"/>
      <c r="AE104" s="1027"/>
      <c r="AF104" s="1027"/>
    </row>
    <row r="105" spans="1:32" x14ac:dyDescent="0.2">
      <c r="A105" s="1026"/>
      <c r="D105" s="1027"/>
      <c r="E105" s="1027"/>
      <c r="F105" s="1027"/>
      <c r="G105" s="1027"/>
      <c r="H105" s="1027"/>
      <c r="I105" s="1027"/>
      <c r="J105" s="1027"/>
      <c r="K105" s="1027"/>
      <c r="L105" s="1027"/>
      <c r="M105" s="1027"/>
      <c r="N105" s="1027"/>
      <c r="O105" s="1027"/>
      <c r="S105" s="1027"/>
      <c r="T105" s="1027"/>
      <c r="U105" s="1027"/>
      <c r="V105" s="1027"/>
      <c r="W105" s="1027"/>
      <c r="X105" s="1027"/>
      <c r="AA105" s="1027"/>
      <c r="AB105" s="1027"/>
      <c r="AC105" s="1027"/>
      <c r="AD105" s="1027"/>
      <c r="AE105" s="1027"/>
      <c r="AF105" s="1027"/>
    </row>
    <row r="106" spans="1:32" x14ac:dyDescent="0.2">
      <c r="A106" s="1026"/>
      <c r="D106" s="1027"/>
      <c r="E106" s="1027"/>
      <c r="F106" s="1027"/>
      <c r="G106" s="1027"/>
      <c r="H106" s="1027"/>
      <c r="I106" s="1027"/>
      <c r="J106" s="1027"/>
      <c r="K106" s="1027"/>
      <c r="L106" s="1027"/>
      <c r="M106" s="1027"/>
      <c r="N106" s="1027"/>
      <c r="O106" s="1027"/>
      <c r="S106" s="1027"/>
      <c r="T106" s="1027"/>
      <c r="U106" s="1027"/>
      <c r="V106" s="1027"/>
      <c r="W106" s="1027"/>
      <c r="X106" s="1027"/>
      <c r="AA106" s="1027"/>
      <c r="AB106" s="1027"/>
      <c r="AC106" s="1027"/>
      <c r="AD106" s="1027"/>
      <c r="AE106" s="1027"/>
      <c r="AF106" s="1027"/>
    </row>
    <row r="107" spans="1:32" x14ac:dyDescent="0.2">
      <c r="A107" s="1026"/>
      <c r="D107" s="1027"/>
      <c r="E107" s="1027"/>
      <c r="F107" s="1027"/>
      <c r="G107" s="1027"/>
      <c r="H107" s="1027"/>
      <c r="I107" s="1027"/>
      <c r="J107" s="1027"/>
      <c r="K107" s="1027"/>
      <c r="L107" s="1027"/>
      <c r="M107" s="1027"/>
      <c r="N107" s="1027"/>
      <c r="O107" s="1027"/>
      <c r="S107" s="1027"/>
      <c r="T107" s="1027"/>
      <c r="U107" s="1027"/>
      <c r="V107" s="1027"/>
      <c r="W107" s="1027"/>
      <c r="X107" s="1027"/>
      <c r="AA107" s="1027"/>
      <c r="AB107" s="1027"/>
      <c r="AC107" s="1027"/>
      <c r="AD107" s="1027"/>
      <c r="AE107" s="1027"/>
      <c r="AF107" s="1027"/>
    </row>
    <row r="108" spans="1:32" x14ac:dyDescent="0.2">
      <c r="A108" s="1026"/>
      <c r="D108" s="1027"/>
      <c r="E108" s="1027"/>
      <c r="F108" s="1027"/>
      <c r="G108" s="1027"/>
      <c r="H108" s="1027"/>
      <c r="I108" s="1027"/>
      <c r="J108" s="1027"/>
      <c r="K108" s="1027"/>
      <c r="L108" s="1027"/>
      <c r="M108" s="1027"/>
      <c r="N108" s="1027"/>
      <c r="O108" s="1027"/>
      <c r="S108" s="1027"/>
      <c r="T108" s="1027"/>
      <c r="U108" s="1027"/>
      <c r="V108" s="1027"/>
      <c r="W108" s="1027"/>
      <c r="X108" s="1027"/>
      <c r="AA108" s="1027"/>
      <c r="AB108" s="1027"/>
      <c r="AC108" s="1027"/>
      <c r="AD108" s="1027"/>
      <c r="AE108" s="1027"/>
      <c r="AF108" s="1027"/>
    </row>
    <row r="109" spans="1:32" x14ac:dyDescent="0.2">
      <c r="A109" s="1026"/>
      <c r="D109" s="1027"/>
      <c r="E109" s="1027"/>
      <c r="F109" s="1027"/>
      <c r="G109" s="1027"/>
      <c r="H109" s="1027"/>
      <c r="I109" s="1027"/>
      <c r="J109" s="1027"/>
      <c r="K109" s="1027"/>
      <c r="L109" s="1027"/>
      <c r="M109" s="1027"/>
      <c r="N109" s="1027"/>
      <c r="O109" s="1027"/>
      <c r="S109" s="1027"/>
      <c r="T109" s="1027"/>
      <c r="U109" s="1027"/>
      <c r="V109" s="1027"/>
      <c r="W109" s="1027"/>
      <c r="X109" s="1027"/>
      <c r="AA109" s="1027"/>
      <c r="AB109" s="1027"/>
      <c r="AC109" s="1027"/>
      <c r="AD109" s="1027"/>
      <c r="AE109" s="1027"/>
      <c r="AF109" s="1027"/>
    </row>
    <row r="110" spans="1:32" x14ac:dyDescent="0.2">
      <c r="A110" s="1026"/>
      <c r="D110" s="1027"/>
      <c r="E110" s="1027"/>
      <c r="F110" s="1027"/>
      <c r="G110" s="1027"/>
      <c r="H110" s="1027"/>
      <c r="I110" s="1027"/>
      <c r="J110" s="1027"/>
      <c r="K110" s="1027"/>
      <c r="L110" s="1027"/>
      <c r="M110" s="1027"/>
      <c r="N110" s="1027"/>
      <c r="O110" s="1027"/>
      <c r="S110" s="1027"/>
      <c r="T110" s="1027"/>
      <c r="U110" s="1027"/>
      <c r="V110" s="1027"/>
      <c r="W110" s="1027"/>
      <c r="X110" s="1027"/>
      <c r="AA110" s="1027"/>
      <c r="AB110" s="1027"/>
      <c r="AC110" s="1027"/>
      <c r="AD110" s="1027"/>
      <c r="AE110" s="1027"/>
      <c r="AF110" s="1027"/>
    </row>
    <row r="111" spans="1:32" x14ac:dyDescent="0.2">
      <c r="A111" s="1026"/>
      <c r="D111" s="1027"/>
      <c r="E111" s="1027"/>
      <c r="F111" s="1027"/>
      <c r="G111" s="1027"/>
      <c r="H111" s="1027"/>
      <c r="I111" s="1027"/>
      <c r="J111" s="1027"/>
      <c r="K111" s="1027"/>
      <c r="L111" s="1027"/>
      <c r="M111" s="1027"/>
      <c r="N111" s="1027"/>
      <c r="O111" s="1027"/>
      <c r="S111" s="1027"/>
      <c r="T111" s="1027"/>
      <c r="U111" s="1027"/>
      <c r="V111" s="1027"/>
      <c r="W111" s="1027"/>
      <c r="X111" s="1027"/>
      <c r="AA111" s="1027"/>
      <c r="AB111" s="1027"/>
      <c r="AC111" s="1027"/>
      <c r="AD111" s="1027"/>
      <c r="AE111" s="1027"/>
      <c r="AF111" s="1027"/>
    </row>
    <row r="112" spans="1:32" x14ac:dyDescent="0.2">
      <c r="A112" s="1026"/>
      <c r="D112" s="1027"/>
      <c r="E112" s="1027"/>
      <c r="F112" s="1027"/>
      <c r="G112" s="1027"/>
      <c r="H112" s="1027"/>
      <c r="I112" s="1027"/>
      <c r="J112" s="1027"/>
      <c r="K112" s="1027"/>
      <c r="L112" s="1027"/>
      <c r="M112" s="1027"/>
      <c r="N112" s="1027"/>
      <c r="O112" s="1027"/>
      <c r="S112" s="1027"/>
      <c r="T112" s="1027"/>
      <c r="U112" s="1027"/>
      <c r="V112" s="1027"/>
      <c r="W112" s="1027"/>
      <c r="X112" s="1027"/>
      <c r="AA112" s="1027"/>
      <c r="AB112" s="1027"/>
      <c r="AC112" s="1027"/>
      <c r="AD112" s="1027"/>
      <c r="AE112" s="1027"/>
      <c r="AF112" s="1027"/>
    </row>
    <row r="113" spans="1:32" x14ac:dyDescent="0.2">
      <c r="A113" s="1026"/>
      <c r="D113" s="1027"/>
      <c r="E113" s="1027"/>
      <c r="F113" s="1027"/>
      <c r="G113" s="1027"/>
      <c r="H113" s="1027"/>
      <c r="I113" s="1027"/>
      <c r="J113" s="1027"/>
      <c r="K113" s="1027"/>
      <c r="L113" s="1027"/>
      <c r="M113" s="1027"/>
      <c r="N113" s="1027"/>
      <c r="O113" s="1027"/>
      <c r="S113" s="1027"/>
      <c r="T113" s="1027"/>
      <c r="U113" s="1027"/>
      <c r="V113" s="1027"/>
      <c r="W113" s="1027"/>
      <c r="X113" s="1027"/>
      <c r="AA113" s="1027"/>
      <c r="AB113" s="1027"/>
      <c r="AC113" s="1027"/>
      <c r="AD113" s="1027"/>
      <c r="AE113" s="1027"/>
      <c r="AF113" s="1027"/>
    </row>
    <row r="114" spans="1:32" x14ac:dyDescent="0.2">
      <c r="A114" s="1026"/>
      <c r="D114" s="1027"/>
      <c r="E114" s="1027"/>
      <c r="F114" s="1027"/>
      <c r="G114" s="1027"/>
      <c r="H114" s="1027"/>
      <c r="I114" s="1027"/>
      <c r="J114" s="1027"/>
      <c r="K114" s="1027"/>
      <c r="L114" s="1027"/>
      <c r="M114" s="1027"/>
      <c r="N114" s="1027"/>
      <c r="O114" s="1027"/>
      <c r="S114" s="1027"/>
      <c r="T114" s="1027"/>
      <c r="U114" s="1027"/>
      <c r="V114" s="1027"/>
      <c r="W114" s="1027"/>
      <c r="X114" s="1027"/>
      <c r="AA114" s="1027"/>
      <c r="AB114" s="1027"/>
      <c r="AC114" s="1027"/>
      <c r="AD114" s="1027"/>
      <c r="AE114" s="1027"/>
      <c r="AF114" s="1027"/>
    </row>
    <row r="115" spans="1:32" x14ac:dyDescent="0.2">
      <c r="A115" s="1026"/>
      <c r="D115" s="1027"/>
      <c r="E115" s="1027"/>
      <c r="F115" s="1027"/>
      <c r="G115" s="1027"/>
      <c r="H115" s="1027"/>
      <c r="I115" s="1027"/>
      <c r="J115" s="1027"/>
      <c r="K115" s="1027"/>
      <c r="L115" s="1027"/>
      <c r="M115" s="1027"/>
      <c r="N115" s="1027"/>
      <c r="O115" s="1027"/>
      <c r="S115" s="1027"/>
      <c r="T115" s="1027"/>
      <c r="U115" s="1027"/>
      <c r="V115" s="1027"/>
      <c r="W115" s="1027"/>
      <c r="X115" s="1027"/>
      <c r="AA115" s="1027"/>
      <c r="AB115" s="1027"/>
      <c r="AC115" s="1027"/>
      <c r="AD115" s="1027"/>
      <c r="AE115" s="1027"/>
      <c r="AF115" s="1027"/>
    </row>
    <row r="116" spans="1:32" x14ac:dyDescent="0.2">
      <c r="A116" s="1026"/>
      <c r="D116" s="1027"/>
      <c r="E116" s="1027"/>
      <c r="F116" s="1027"/>
      <c r="G116" s="1027"/>
      <c r="H116" s="1027"/>
      <c r="I116" s="1027"/>
      <c r="J116" s="1027"/>
      <c r="K116" s="1027"/>
      <c r="L116" s="1027"/>
      <c r="M116" s="1027"/>
      <c r="N116" s="1027"/>
      <c r="O116" s="1027"/>
      <c r="S116" s="1027"/>
      <c r="T116" s="1027"/>
      <c r="U116" s="1027"/>
      <c r="V116" s="1027"/>
      <c r="W116" s="1027"/>
      <c r="X116" s="1027"/>
      <c r="AA116" s="1027"/>
      <c r="AB116" s="1027"/>
      <c r="AC116" s="1027"/>
      <c r="AD116" s="1027"/>
      <c r="AE116" s="1027"/>
      <c r="AF116" s="1027"/>
    </row>
    <row r="117" spans="1:32" x14ac:dyDescent="0.2">
      <c r="A117" s="1026"/>
      <c r="D117" s="1027"/>
      <c r="E117" s="1027"/>
      <c r="F117" s="1027"/>
      <c r="G117" s="1027"/>
      <c r="H117" s="1027"/>
      <c r="I117" s="1027"/>
      <c r="J117" s="1027"/>
      <c r="K117" s="1027"/>
      <c r="L117" s="1027"/>
      <c r="M117" s="1027"/>
      <c r="N117" s="1027"/>
      <c r="O117" s="1027"/>
      <c r="S117" s="1027"/>
      <c r="T117" s="1027"/>
      <c r="U117" s="1027"/>
      <c r="V117" s="1027"/>
      <c r="W117" s="1027"/>
      <c r="X117" s="1027"/>
      <c r="AA117" s="1027"/>
      <c r="AB117" s="1027"/>
      <c r="AC117" s="1027"/>
      <c r="AD117" s="1027"/>
      <c r="AE117" s="1027"/>
      <c r="AF117" s="1027"/>
    </row>
    <row r="118" spans="1:32" x14ac:dyDescent="0.2">
      <c r="A118" s="1026"/>
      <c r="D118" s="1027"/>
      <c r="E118" s="1027"/>
      <c r="F118" s="1027"/>
      <c r="G118" s="1027"/>
      <c r="H118" s="1027"/>
      <c r="I118" s="1027"/>
      <c r="J118" s="1027"/>
      <c r="K118" s="1027"/>
      <c r="L118" s="1027"/>
      <c r="M118" s="1027"/>
      <c r="N118" s="1027"/>
      <c r="O118" s="1027"/>
      <c r="S118" s="1027"/>
      <c r="T118" s="1027"/>
      <c r="U118" s="1027"/>
      <c r="V118" s="1027"/>
      <c r="W118" s="1027"/>
      <c r="X118" s="1027"/>
      <c r="AA118" s="1027"/>
      <c r="AB118" s="1027"/>
      <c r="AC118" s="1027"/>
      <c r="AD118" s="1027"/>
      <c r="AE118" s="1027"/>
      <c r="AF118" s="1027"/>
    </row>
    <row r="119" spans="1:32" x14ac:dyDescent="0.2">
      <c r="A119" s="1026"/>
      <c r="D119" s="1027"/>
      <c r="E119" s="1027"/>
      <c r="F119" s="1027"/>
      <c r="G119" s="1027"/>
      <c r="H119" s="1027"/>
      <c r="I119" s="1027"/>
      <c r="J119" s="1027"/>
      <c r="K119" s="1027"/>
      <c r="L119" s="1027"/>
      <c r="M119" s="1027"/>
      <c r="N119" s="1027"/>
      <c r="O119" s="1027"/>
      <c r="S119" s="1027"/>
      <c r="T119" s="1027"/>
      <c r="U119" s="1027"/>
      <c r="V119" s="1027"/>
      <c r="W119" s="1027"/>
      <c r="X119" s="1027"/>
      <c r="AA119" s="1027"/>
      <c r="AB119" s="1027"/>
      <c r="AC119" s="1027"/>
      <c r="AD119" s="1027"/>
      <c r="AE119" s="1027"/>
      <c r="AF119" s="1027"/>
    </row>
    <row r="120" spans="1:32" x14ac:dyDescent="0.2">
      <c r="A120" s="1026"/>
      <c r="D120" s="1027"/>
      <c r="E120" s="1027"/>
      <c r="F120" s="1027"/>
      <c r="G120" s="1027"/>
      <c r="H120" s="1027"/>
      <c r="I120" s="1027"/>
      <c r="J120" s="1027"/>
      <c r="K120" s="1027"/>
      <c r="L120" s="1027"/>
      <c r="M120" s="1027"/>
      <c r="N120" s="1027"/>
      <c r="O120" s="1027"/>
      <c r="S120" s="1027"/>
      <c r="T120" s="1027"/>
      <c r="U120" s="1027"/>
      <c r="V120" s="1027"/>
      <c r="W120" s="1027"/>
      <c r="X120" s="1027"/>
      <c r="AA120" s="1027"/>
      <c r="AB120" s="1027"/>
      <c r="AC120" s="1027"/>
      <c r="AD120" s="1027"/>
      <c r="AE120" s="1027"/>
      <c r="AF120" s="1027"/>
    </row>
    <row r="121" spans="1:32" x14ac:dyDescent="0.2">
      <c r="A121" s="1026"/>
      <c r="D121" s="1027"/>
      <c r="E121" s="1027"/>
      <c r="F121" s="1027"/>
      <c r="G121" s="1027"/>
      <c r="H121" s="1027"/>
      <c r="I121" s="1027"/>
      <c r="J121" s="1027"/>
      <c r="K121" s="1027"/>
      <c r="L121" s="1027"/>
      <c r="M121" s="1027"/>
      <c r="N121" s="1027"/>
      <c r="O121" s="1027"/>
      <c r="S121" s="1027"/>
      <c r="T121" s="1027"/>
      <c r="U121" s="1027"/>
      <c r="V121" s="1027"/>
      <c r="W121" s="1027"/>
      <c r="X121" s="1027"/>
      <c r="AA121" s="1027"/>
      <c r="AB121" s="1027"/>
      <c r="AC121" s="1027"/>
      <c r="AD121" s="1027"/>
      <c r="AE121" s="1027"/>
      <c r="AF121" s="1027"/>
    </row>
    <row r="122" spans="1:32" x14ac:dyDescent="0.2">
      <c r="A122" s="1026"/>
      <c r="D122" s="1027"/>
      <c r="E122" s="1027"/>
      <c r="F122" s="1027"/>
      <c r="G122" s="1027"/>
      <c r="H122" s="1027"/>
      <c r="I122" s="1027"/>
      <c r="J122" s="1027"/>
      <c r="K122" s="1027"/>
      <c r="L122" s="1027"/>
      <c r="M122" s="1027"/>
      <c r="N122" s="1027"/>
      <c r="O122" s="1027"/>
      <c r="S122" s="1027"/>
      <c r="T122" s="1027"/>
      <c r="U122" s="1027"/>
      <c r="V122" s="1027"/>
      <c r="W122" s="1027"/>
      <c r="X122" s="1027"/>
      <c r="AA122" s="1027"/>
      <c r="AB122" s="1027"/>
      <c r="AC122" s="1027"/>
      <c r="AD122" s="1027"/>
      <c r="AE122" s="1027"/>
      <c r="AF122" s="1027"/>
    </row>
    <row r="123" spans="1:32" x14ac:dyDescent="0.2">
      <c r="A123" s="1026"/>
      <c r="D123" s="1027"/>
      <c r="E123" s="1027"/>
      <c r="F123" s="1027"/>
      <c r="G123" s="1027"/>
      <c r="H123" s="1027"/>
      <c r="I123" s="1027"/>
      <c r="J123" s="1027"/>
      <c r="K123" s="1027"/>
      <c r="L123" s="1027"/>
      <c r="M123" s="1027"/>
      <c r="N123" s="1027"/>
      <c r="O123" s="1027"/>
      <c r="S123" s="1027"/>
      <c r="T123" s="1027"/>
      <c r="U123" s="1027"/>
      <c r="V123" s="1027"/>
      <c r="W123" s="1027"/>
      <c r="X123" s="1027"/>
      <c r="AA123" s="1027"/>
      <c r="AB123" s="1027"/>
      <c r="AC123" s="1027"/>
      <c r="AD123" s="1027"/>
      <c r="AE123" s="1027"/>
      <c r="AF123" s="1027"/>
    </row>
    <row r="124" spans="1:32" x14ac:dyDescent="0.2">
      <c r="A124" s="1026"/>
      <c r="D124" s="1027"/>
      <c r="E124" s="1027"/>
      <c r="F124" s="1027"/>
      <c r="G124" s="1027"/>
      <c r="H124" s="1027"/>
      <c r="I124" s="1027"/>
      <c r="J124" s="1027"/>
      <c r="K124" s="1027"/>
      <c r="L124" s="1027"/>
      <c r="M124" s="1027"/>
      <c r="N124" s="1027"/>
      <c r="O124" s="1027"/>
      <c r="S124" s="1027"/>
      <c r="T124" s="1027"/>
      <c r="U124" s="1027"/>
      <c r="V124" s="1027"/>
      <c r="W124" s="1027"/>
      <c r="X124" s="1027"/>
      <c r="AA124" s="1027"/>
      <c r="AB124" s="1027"/>
      <c r="AC124" s="1027"/>
      <c r="AD124" s="1027"/>
      <c r="AE124" s="1027"/>
      <c r="AF124" s="1027"/>
    </row>
    <row r="125" spans="1:32" x14ac:dyDescent="0.2">
      <c r="A125" s="1026"/>
      <c r="D125" s="1027"/>
      <c r="E125" s="1027"/>
      <c r="F125" s="1027"/>
      <c r="G125" s="1027"/>
      <c r="H125" s="1027"/>
      <c r="I125" s="1027"/>
      <c r="J125" s="1027"/>
      <c r="K125" s="1027"/>
      <c r="L125" s="1027"/>
      <c r="M125" s="1027"/>
      <c r="N125" s="1027"/>
      <c r="O125" s="1027"/>
      <c r="S125" s="1027"/>
      <c r="T125" s="1027"/>
      <c r="U125" s="1027"/>
      <c r="V125" s="1027"/>
      <c r="W125" s="1027"/>
      <c r="X125" s="1027"/>
      <c r="AA125" s="1027"/>
      <c r="AB125" s="1027"/>
      <c r="AC125" s="1027"/>
      <c r="AD125" s="1027"/>
      <c r="AE125" s="1027"/>
      <c r="AF125" s="1027"/>
    </row>
    <row r="126" spans="1:32" x14ac:dyDescent="0.2">
      <c r="A126" s="1026"/>
      <c r="D126" s="1027"/>
      <c r="E126" s="1027"/>
      <c r="F126" s="1027"/>
      <c r="G126" s="1027"/>
      <c r="H126" s="1027"/>
      <c r="I126" s="1027"/>
      <c r="J126" s="1027"/>
      <c r="K126" s="1027"/>
      <c r="L126" s="1027"/>
      <c r="M126" s="1027"/>
      <c r="N126" s="1027"/>
      <c r="O126" s="1027"/>
      <c r="S126" s="1027"/>
      <c r="T126" s="1027"/>
      <c r="U126" s="1027"/>
      <c r="V126" s="1027"/>
      <c r="W126" s="1027"/>
      <c r="X126" s="1027"/>
      <c r="AA126" s="1027"/>
      <c r="AB126" s="1027"/>
      <c r="AC126" s="1027"/>
      <c r="AD126" s="1027"/>
      <c r="AE126" s="1027"/>
      <c r="AF126" s="1027"/>
    </row>
    <row r="127" spans="1:32" x14ac:dyDescent="0.2">
      <c r="A127" s="1026"/>
      <c r="D127" s="1027"/>
      <c r="E127" s="1027"/>
      <c r="F127" s="1027"/>
      <c r="G127" s="1027"/>
      <c r="H127" s="1027"/>
      <c r="I127" s="1027"/>
      <c r="J127" s="1027"/>
      <c r="K127" s="1027"/>
      <c r="L127" s="1027"/>
      <c r="M127" s="1027"/>
      <c r="N127" s="1027"/>
      <c r="O127" s="1027"/>
      <c r="S127" s="1027"/>
      <c r="T127" s="1027"/>
      <c r="U127" s="1027"/>
      <c r="V127" s="1027"/>
      <c r="W127" s="1027"/>
      <c r="X127" s="1027"/>
      <c r="AA127" s="1027"/>
      <c r="AB127" s="1027"/>
      <c r="AC127" s="1027"/>
      <c r="AD127" s="1027"/>
      <c r="AE127" s="1027"/>
      <c r="AF127" s="1027"/>
    </row>
    <row r="128" spans="1:32" x14ac:dyDescent="0.2">
      <c r="A128" s="1026"/>
      <c r="D128" s="1027"/>
      <c r="E128" s="1027"/>
      <c r="F128" s="1027"/>
      <c r="G128" s="1027"/>
      <c r="H128" s="1027"/>
      <c r="I128" s="1027"/>
      <c r="J128" s="1027"/>
      <c r="K128" s="1027"/>
      <c r="L128" s="1027"/>
      <c r="M128" s="1027"/>
      <c r="N128" s="1027"/>
      <c r="O128" s="1027"/>
      <c r="S128" s="1027"/>
      <c r="T128" s="1027"/>
      <c r="U128" s="1027"/>
      <c r="V128" s="1027"/>
      <c r="W128" s="1027"/>
      <c r="X128" s="1027"/>
      <c r="AA128" s="1027"/>
      <c r="AB128" s="1027"/>
      <c r="AC128" s="1027"/>
      <c r="AD128" s="1027"/>
      <c r="AE128" s="1027"/>
      <c r="AF128" s="1027"/>
    </row>
    <row r="129" spans="1:32" x14ac:dyDescent="0.2">
      <c r="A129" s="1026"/>
      <c r="D129" s="1027"/>
      <c r="E129" s="1027"/>
      <c r="F129" s="1027"/>
      <c r="G129" s="1027"/>
      <c r="H129" s="1027"/>
      <c r="I129" s="1027"/>
      <c r="J129" s="1027"/>
      <c r="K129" s="1027"/>
      <c r="L129" s="1027"/>
      <c r="M129" s="1027"/>
      <c r="N129" s="1027"/>
      <c r="O129" s="1027"/>
      <c r="S129" s="1027"/>
      <c r="T129" s="1027"/>
      <c r="U129" s="1027"/>
      <c r="V129" s="1027"/>
      <c r="W129" s="1027"/>
      <c r="X129" s="1027"/>
      <c r="AA129" s="1027"/>
      <c r="AB129" s="1027"/>
      <c r="AC129" s="1027"/>
      <c r="AD129" s="1027"/>
      <c r="AE129" s="1027"/>
      <c r="AF129" s="1027"/>
    </row>
    <row r="130" spans="1:32" x14ac:dyDescent="0.2">
      <c r="A130" s="1026"/>
      <c r="D130" s="1027"/>
      <c r="E130" s="1027"/>
      <c r="F130" s="1027"/>
      <c r="G130" s="1027"/>
      <c r="H130" s="1027"/>
      <c r="I130" s="1027"/>
      <c r="J130" s="1027"/>
      <c r="K130" s="1027"/>
      <c r="L130" s="1027"/>
      <c r="M130" s="1027"/>
      <c r="N130" s="1027"/>
      <c r="O130" s="1027"/>
      <c r="S130" s="1027"/>
      <c r="T130" s="1027"/>
      <c r="U130" s="1027"/>
      <c r="V130" s="1027"/>
      <c r="W130" s="1027"/>
      <c r="X130" s="1027"/>
      <c r="AA130" s="1027"/>
      <c r="AB130" s="1027"/>
      <c r="AC130" s="1027"/>
      <c r="AD130" s="1027"/>
      <c r="AE130" s="1027"/>
      <c r="AF130" s="1027"/>
    </row>
    <row r="131" spans="1:32" x14ac:dyDescent="0.2">
      <c r="A131" s="1026"/>
      <c r="D131" s="1027"/>
      <c r="E131" s="1027"/>
      <c r="F131" s="1027"/>
      <c r="G131" s="1027"/>
      <c r="H131" s="1027"/>
      <c r="I131" s="1027"/>
      <c r="J131" s="1027"/>
      <c r="K131" s="1027"/>
      <c r="L131" s="1027"/>
      <c r="M131" s="1027"/>
      <c r="N131" s="1027"/>
      <c r="O131" s="1027"/>
      <c r="S131" s="1027"/>
      <c r="T131" s="1027"/>
      <c r="U131" s="1027"/>
      <c r="V131" s="1027"/>
      <c r="W131" s="1027"/>
      <c r="X131" s="1027"/>
      <c r="AA131" s="1027"/>
      <c r="AB131" s="1027"/>
      <c r="AC131" s="1027"/>
      <c r="AD131" s="1027"/>
      <c r="AE131" s="1027"/>
      <c r="AF131" s="1027"/>
    </row>
    <row r="132" spans="1:32" x14ac:dyDescent="0.2">
      <c r="A132" s="1026"/>
      <c r="D132" s="1027"/>
      <c r="E132" s="1027"/>
      <c r="F132" s="1027"/>
      <c r="G132" s="1027"/>
      <c r="H132" s="1027"/>
      <c r="I132" s="1027"/>
      <c r="J132" s="1027"/>
      <c r="K132" s="1027"/>
      <c r="L132" s="1027"/>
      <c r="M132" s="1027"/>
      <c r="N132" s="1027"/>
      <c r="O132" s="1027"/>
      <c r="S132" s="1027"/>
      <c r="T132" s="1027"/>
      <c r="U132" s="1027"/>
      <c r="V132" s="1027"/>
      <c r="W132" s="1027"/>
      <c r="X132" s="1027"/>
      <c r="AA132" s="1027"/>
      <c r="AB132" s="1027"/>
      <c r="AC132" s="1027"/>
      <c r="AD132" s="1027"/>
      <c r="AE132" s="1027"/>
      <c r="AF132" s="1027"/>
    </row>
    <row r="133" spans="1:32" x14ac:dyDescent="0.2">
      <c r="A133" s="1026"/>
      <c r="D133" s="1027"/>
      <c r="E133" s="1027"/>
      <c r="F133" s="1027"/>
      <c r="G133" s="1027"/>
      <c r="H133" s="1027"/>
      <c r="I133" s="1027"/>
      <c r="J133" s="1027"/>
      <c r="K133" s="1027"/>
      <c r="L133" s="1027"/>
      <c r="M133" s="1027"/>
      <c r="N133" s="1027"/>
      <c r="O133" s="1027"/>
      <c r="S133" s="1027"/>
      <c r="T133" s="1027"/>
      <c r="U133" s="1027"/>
      <c r="V133" s="1027"/>
      <c r="W133" s="1027"/>
      <c r="X133" s="1027"/>
      <c r="AA133" s="1027"/>
      <c r="AB133" s="1027"/>
      <c r="AC133" s="1027"/>
      <c r="AD133" s="1027"/>
      <c r="AE133" s="1027"/>
      <c r="AF133" s="1027"/>
    </row>
    <row r="134" spans="1:32" x14ac:dyDescent="0.2">
      <c r="A134" s="1026"/>
      <c r="D134" s="1027"/>
      <c r="E134" s="1027"/>
      <c r="F134" s="1027"/>
      <c r="G134" s="1027"/>
      <c r="H134" s="1027"/>
      <c r="I134" s="1027"/>
      <c r="J134" s="1027"/>
      <c r="K134" s="1027"/>
      <c r="L134" s="1027"/>
      <c r="M134" s="1027"/>
      <c r="N134" s="1027"/>
      <c r="O134" s="1027"/>
      <c r="S134" s="1027"/>
      <c r="T134" s="1027"/>
      <c r="U134" s="1027"/>
      <c r="V134" s="1027"/>
      <c r="W134" s="1027"/>
      <c r="X134" s="1027"/>
      <c r="AA134" s="1027"/>
      <c r="AB134" s="1027"/>
      <c r="AC134" s="1027"/>
      <c r="AD134" s="1027"/>
      <c r="AE134" s="1027"/>
      <c r="AF134" s="1027"/>
    </row>
    <row r="135" spans="1:32" x14ac:dyDescent="0.2">
      <c r="A135" s="1026"/>
      <c r="D135" s="1027"/>
      <c r="E135" s="1027"/>
      <c r="F135" s="1027"/>
      <c r="G135" s="1027"/>
      <c r="H135" s="1027"/>
      <c r="I135" s="1027"/>
      <c r="J135" s="1027"/>
      <c r="K135" s="1027"/>
      <c r="L135" s="1027"/>
      <c r="M135" s="1027"/>
      <c r="N135" s="1027"/>
      <c r="O135" s="1027"/>
      <c r="S135" s="1027"/>
      <c r="T135" s="1027"/>
      <c r="U135" s="1027"/>
      <c r="V135" s="1027"/>
      <c r="W135" s="1027"/>
      <c r="X135" s="1027"/>
      <c r="AA135" s="1027"/>
      <c r="AB135" s="1027"/>
      <c r="AC135" s="1027"/>
      <c r="AD135" s="1027"/>
      <c r="AE135" s="1027"/>
      <c r="AF135" s="1027"/>
    </row>
    <row r="136" spans="1:32" x14ac:dyDescent="0.2">
      <c r="A136" s="1026"/>
      <c r="D136" s="1027"/>
      <c r="E136" s="1027"/>
      <c r="F136" s="1027"/>
      <c r="G136" s="1027"/>
      <c r="H136" s="1027"/>
      <c r="I136" s="1027"/>
      <c r="J136" s="1027"/>
      <c r="K136" s="1027"/>
      <c r="L136" s="1027"/>
      <c r="M136" s="1027"/>
      <c r="N136" s="1027"/>
      <c r="O136" s="1027"/>
      <c r="S136" s="1027"/>
      <c r="T136" s="1027"/>
      <c r="U136" s="1027"/>
      <c r="V136" s="1027"/>
      <c r="W136" s="1027"/>
      <c r="X136" s="1027"/>
      <c r="AA136" s="1027"/>
      <c r="AB136" s="1027"/>
      <c r="AC136" s="1027"/>
      <c r="AD136" s="1027"/>
      <c r="AE136" s="1027"/>
      <c r="AF136" s="1027"/>
    </row>
    <row r="137" spans="1:32" x14ac:dyDescent="0.2">
      <c r="A137" s="1026"/>
      <c r="D137" s="1027"/>
      <c r="E137" s="1027"/>
      <c r="F137" s="1027"/>
      <c r="G137" s="1027"/>
      <c r="H137" s="1027"/>
      <c r="I137" s="1027"/>
      <c r="J137" s="1027"/>
      <c r="K137" s="1027"/>
      <c r="L137" s="1027"/>
      <c r="M137" s="1027"/>
      <c r="N137" s="1027"/>
      <c r="O137" s="1027"/>
      <c r="S137" s="1027"/>
      <c r="T137" s="1027"/>
      <c r="U137" s="1027"/>
      <c r="V137" s="1027"/>
      <c r="W137" s="1027"/>
      <c r="X137" s="1027"/>
      <c r="AA137" s="1027"/>
      <c r="AB137" s="1027"/>
      <c r="AC137" s="1027"/>
      <c r="AD137" s="1027"/>
      <c r="AE137" s="1027"/>
      <c r="AF137" s="1027"/>
    </row>
    <row r="138" spans="1:32" x14ac:dyDescent="0.2">
      <c r="A138" s="1026"/>
      <c r="D138" s="1027"/>
      <c r="E138" s="1027"/>
      <c r="F138" s="1027"/>
      <c r="G138" s="1027"/>
      <c r="H138" s="1027"/>
      <c r="I138" s="1027"/>
      <c r="J138" s="1027"/>
      <c r="K138" s="1027"/>
      <c r="L138" s="1027"/>
      <c r="M138" s="1027"/>
      <c r="N138" s="1027"/>
      <c r="O138" s="1027"/>
      <c r="S138" s="1027"/>
      <c r="T138" s="1027"/>
      <c r="U138" s="1027"/>
      <c r="V138" s="1027"/>
      <c r="W138" s="1027"/>
      <c r="X138" s="1027"/>
      <c r="AA138" s="1027"/>
      <c r="AB138" s="1027"/>
      <c r="AC138" s="1027"/>
      <c r="AD138" s="1027"/>
      <c r="AE138" s="1027"/>
      <c r="AF138" s="1027"/>
    </row>
    <row r="139" spans="1:32" x14ac:dyDescent="0.2">
      <c r="A139" s="1026"/>
      <c r="D139" s="1027"/>
      <c r="E139" s="1027"/>
      <c r="F139" s="1027"/>
      <c r="G139" s="1027"/>
      <c r="H139" s="1027"/>
      <c r="I139" s="1027"/>
      <c r="J139" s="1027"/>
      <c r="K139" s="1027"/>
      <c r="L139" s="1027"/>
      <c r="M139" s="1027"/>
      <c r="N139" s="1027"/>
      <c r="O139" s="1027"/>
      <c r="S139" s="1027"/>
      <c r="T139" s="1027"/>
      <c r="U139" s="1027"/>
      <c r="V139" s="1027"/>
      <c r="W139" s="1027"/>
      <c r="X139" s="1027"/>
      <c r="AA139" s="1027"/>
      <c r="AB139" s="1027"/>
      <c r="AC139" s="1027"/>
      <c r="AD139" s="1027"/>
      <c r="AE139" s="1027"/>
      <c r="AF139" s="1027"/>
    </row>
    <row r="140" spans="1:32" x14ac:dyDescent="0.2">
      <c r="A140" s="1026"/>
      <c r="D140" s="1027"/>
      <c r="E140" s="1027"/>
      <c r="F140" s="1027"/>
      <c r="G140" s="1027"/>
      <c r="H140" s="1027"/>
      <c r="I140" s="1027"/>
      <c r="J140" s="1027"/>
      <c r="K140" s="1027"/>
      <c r="L140" s="1027"/>
      <c r="M140" s="1027"/>
      <c r="N140" s="1027"/>
      <c r="O140" s="1027"/>
      <c r="S140" s="1027"/>
      <c r="T140" s="1027"/>
      <c r="U140" s="1027"/>
      <c r="V140" s="1027"/>
      <c r="W140" s="1027"/>
      <c r="X140" s="1027"/>
      <c r="AA140" s="1027"/>
      <c r="AB140" s="1027"/>
      <c r="AC140" s="1027"/>
      <c r="AD140" s="1027"/>
      <c r="AE140" s="1027"/>
      <c r="AF140" s="1027"/>
    </row>
    <row r="141" spans="1:32" x14ac:dyDescent="0.2">
      <c r="A141" s="1026"/>
      <c r="D141" s="1027"/>
      <c r="E141" s="1027"/>
      <c r="F141" s="1027"/>
      <c r="G141" s="1027"/>
      <c r="H141" s="1027"/>
      <c r="I141" s="1027"/>
      <c r="J141" s="1027"/>
      <c r="K141" s="1027"/>
      <c r="L141" s="1027"/>
      <c r="M141" s="1027"/>
      <c r="N141" s="1027"/>
      <c r="O141" s="1027"/>
      <c r="S141" s="1027"/>
      <c r="T141" s="1027"/>
      <c r="U141" s="1027"/>
      <c r="V141" s="1027"/>
      <c r="W141" s="1027"/>
      <c r="X141" s="1027"/>
      <c r="AA141" s="1027"/>
      <c r="AB141" s="1027"/>
      <c r="AC141" s="1027"/>
      <c r="AD141" s="1027"/>
      <c r="AE141" s="1027"/>
      <c r="AF141" s="1027"/>
    </row>
    <row r="142" spans="1:32" x14ac:dyDescent="0.2">
      <c r="A142" s="1026"/>
      <c r="D142" s="1027"/>
      <c r="E142" s="1027"/>
      <c r="F142" s="1027"/>
      <c r="G142" s="1027"/>
      <c r="H142" s="1027"/>
      <c r="I142" s="1027"/>
      <c r="J142" s="1027"/>
      <c r="K142" s="1027"/>
      <c r="L142" s="1027"/>
      <c r="M142" s="1027"/>
      <c r="N142" s="1027"/>
      <c r="O142" s="1027"/>
      <c r="S142" s="1027"/>
      <c r="T142" s="1027"/>
      <c r="U142" s="1027"/>
      <c r="V142" s="1027"/>
      <c r="W142" s="1027"/>
      <c r="X142" s="1027"/>
      <c r="AA142" s="1027"/>
      <c r="AB142" s="1027"/>
      <c r="AC142" s="1027"/>
      <c r="AD142" s="1027"/>
      <c r="AE142" s="1027"/>
      <c r="AF142" s="1027"/>
    </row>
    <row r="143" spans="1:32" x14ac:dyDescent="0.2">
      <c r="A143" s="1026"/>
      <c r="D143" s="1027"/>
      <c r="E143" s="1027"/>
      <c r="F143" s="1027"/>
      <c r="G143" s="1027"/>
      <c r="H143" s="1027"/>
      <c r="I143" s="1027"/>
      <c r="J143" s="1027"/>
      <c r="K143" s="1027"/>
      <c r="L143" s="1027"/>
      <c r="M143" s="1027"/>
      <c r="N143" s="1027"/>
      <c r="O143" s="1027"/>
      <c r="S143" s="1027"/>
      <c r="T143" s="1027"/>
      <c r="U143" s="1027"/>
      <c r="V143" s="1027"/>
      <c r="W143" s="1027"/>
      <c r="X143" s="1027"/>
      <c r="AA143" s="1027"/>
      <c r="AB143" s="1027"/>
      <c r="AC143" s="1027"/>
      <c r="AD143" s="1027"/>
      <c r="AE143" s="1027"/>
      <c r="AF143" s="1027"/>
    </row>
    <row r="144" spans="1:32" x14ac:dyDescent="0.2">
      <c r="A144" s="1026"/>
      <c r="D144" s="1027"/>
      <c r="E144" s="1027"/>
      <c r="F144" s="1027"/>
      <c r="G144" s="1027"/>
      <c r="H144" s="1027"/>
      <c r="I144" s="1027"/>
      <c r="J144" s="1027"/>
      <c r="K144" s="1027"/>
      <c r="L144" s="1027"/>
      <c r="M144" s="1027"/>
      <c r="N144" s="1027"/>
      <c r="O144" s="1027"/>
      <c r="S144" s="1027"/>
      <c r="T144" s="1027"/>
      <c r="U144" s="1027"/>
      <c r="V144" s="1027"/>
      <c r="W144" s="1027"/>
      <c r="X144" s="1027"/>
      <c r="AA144" s="1027"/>
      <c r="AB144" s="1027"/>
      <c r="AC144" s="1027"/>
      <c r="AD144" s="1027"/>
      <c r="AE144" s="1027"/>
      <c r="AF144" s="1027"/>
    </row>
    <row r="145" spans="1:32" x14ac:dyDescent="0.2">
      <c r="A145" s="1026"/>
      <c r="D145" s="1027"/>
      <c r="E145" s="1027"/>
      <c r="F145" s="1027"/>
      <c r="G145" s="1027"/>
      <c r="H145" s="1027"/>
      <c r="I145" s="1027"/>
      <c r="J145" s="1027"/>
      <c r="K145" s="1027"/>
      <c r="L145" s="1027"/>
      <c r="M145" s="1027"/>
      <c r="N145" s="1027"/>
      <c r="O145" s="1027"/>
      <c r="S145" s="1027"/>
      <c r="T145" s="1027"/>
      <c r="U145" s="1027"/>
      <c r="V145" s="1027"/>
      <c r="W145" s="1027"/>
      <c r="X145" s="1027"/>
      <c r="AA145" s="1027"/>
      <c r="AB145" s="1027"/>
      <c r="AC145" s="1027"/>
      <c r="AD145" s="1027"/>
      <c r="AE145" s="1027"/>
      <c r="AF145" s="1027"/>
    </row>
    <row r="146" spans="1:32" x14ac:dyDescent="0.2">
      <c r="A146" s="1026"/>
      <c r="D146" s="1027"/>
      <c r="E146" s="1027"/>
      <c r="F146" s="1027"/>
      <c r="G146" s="1027"/>
      <c r="H146" s="1027"/>
      <c r="I146" s="1027"/>
      <c r="J146" s="1027"/>
      <c r="K146" s="1027"/>
      <c r="L146" s="1027"/>
      <c r="M146" s="1027"/>
      <c r="N146" s="1027"/>
      <c r="O146" s="1027"/>
      <c r="S146" s="1027"/>
      <c r="T146" s="1027"/>
      <c r="U146" s="1027"/>
      <c r="V146" s="1027"/>
      <c r="W146" s="1027"/>
      <c r="X146" s="1027"/>
      <c r="AA146" s="1027"/>
      <c r="AB146" s="1027"/>
      <c r="AC146" s="1027"/>
      <c r="AD146" s="1027"/>
      <c r="AE146" s="1027"/>
      <c r="AF146" s="1027"/>
    </row>
    <row r="147" spans="1:32" x14ac:dyDescent="0.2">
      <c r="A147" s="1026"/>
      <c r="D147" s="1027"/>
      <c r="E147" s="1027"/>
      <c r="F147" s="1027"/>
      <c r="G147" s="1027"/>
      <c r="H147" s="1027"/>
      <c r="I147" s="1027"/>
      <c r="J147" s="1027"/>
      <c r="K147" s="1027"/>
      <c r="L147" s="1027"/>
      <c r="M147" s="1027"/>
      <c r="N147" s="1027"/>
      <c r="O147" s="1027"/>
      <c r="S147" s="1027"/>
      <c r="T147" s="1027"/>
      <c r="U147" s="1027"/>
      <c r="V147" s="1027"/>
      <c r="W147" s="1027"/>
      <c r="X147" s="1027"/>
      <c r="AA147" s="1027"/>
      <c r="AB147" s="1027"/>
      <c r="AC147" s="1027"/>
      <c r="AD147" s="1027"/>
      <c r="AE147" s="1027"/>
      <c r="AF147" s="1027"/>
    </row>
    <row r="148" spans="1:32" x14ac:dyDescent="0.2">
      <c r="A148" s="1026"/>
      <c r="D148" s="1027"/>
      <c r="E148" s="1027"/>
      <c r="F148" s="1027"/>
      <c r="G148" s="1027"/>
      <c r="H148" s="1027"/>
      <c r="I148" s="1027"/>
      <c r="J148" s="1027"/>
      <c r="K148" s="1027"/>
      <c r="L148" s="1027"/>
      <c r="M148" s="1027"/>
      <c r="N148" s="1027"/>
      <c r="O148" s="1027"/>
      <c r="S148" s="1027"/>
      <c r="T148" s="1027"/>
      <c r="U148" s="1027"/>
      <c r="V148" s="1027"/>
      <c r="W148" s="1027"/>
      <c r="X148" s="1027"/>
      <c r="AA148" s="1027"/>
      <c r="AB148" s="1027"/>
      <c r="AC148" s="1027"/>
      <c r="AD148" s="1027"/>
      <c r="AE148" s="1027"/>
      <c r="AF148" s="1027"/>
    </row>
    <row r="149" spans="1:32" x14ac:dyDescent="0.2">
      <c r="A149" s="1026"/>
      <c r="D149" s="1027"/>
      <c r="E149" s="1027"/>
      <c r="F149" s="1027"/>
      <c r="G149" s="1027"/>
      <c r="H149" s="1027"/>
      <c r="I149" s="1027"/>
      <c r="J149" s="1027"/>
      <c r="K149" s="1027"/>
      <c r="L149" s="1027"/>
      <c r="M149" s="1027"/>
      <c r="N149" s="1027"/>
      <c r="O149" s="1027"/>
      <c r="S149" s="1027"/>
      <c r="T149" s="1027"/>
      <c r="U149" s="1027"/>
      <c r="V149" s="1027"/>
      <c r="W149" s="1027"/>
      <c r="X149" s="1027"/>
      <c r="AA149" s="1027"/>
      <c r="AB149" s="1027"/>
      <c r="AC149" s="1027"/>
      <c r="AD149" s="1027"/>
      <c r="AE149" s="1027"/>
      <c r="AF149" s="1027"/>
    </row>
    <row r="150" spans="1:32" x14ac:dyDescent="0.2">
      <c r="A150" s="1026"/>
      <c r="D150" s="1027"/>
      <c r="E150" s="1027"/>
      <c r="F150" s="1027"/>
      <c r="G150" s="1027"/>
      <c r="H150" s="1027"/>
      <c r="I150" s="1027"/>
      <c r="J150" s="1027"/>
      <c r="K150" s="1027"/>
      <c r="L150" s="1027"/>
      <c r="M150" s="1027"/>
      <c r="N150" s="1027"/>
      <c r="O150" s="1027"/>
      <c r="S150" s="1027"/>
      <c r="T150" s="1027"/>
      <c r="U150" s="1027"/>
      <c r="V150" s="1027"/>
      <c r="W150" s="1027"/>
      <c r="X150" s="1027"/>
      <c r="AA150" s="1027"/>
      <c r="AB150" s="1027"/>
      <c r="AC150" s="1027"/>
      <c r="AD150" s="1027"/>
      <c r="AE150" s="1027"/>
      <c r="AF150" s="1027"/>
    </row>
    <row r="151" spans="1:32" x14ac:dyDescent="0.2">
      <c r="A151" s="1026"/>
      <c r="D151" s="1027"/>
      <c r="E151" s="1027"/>
      <c r="F151" s="1027"/>
      <c r="G151" s="1027"/>
      <c r="H151" s="1027"/>
      <c r="I151" s="1027"/>
      <c r="J151" s="1027"/>
      <c r="K151" s="1027"/>
      <c r="L151" s="1027"/>
      <c r="M151" s="1027"/>
      <c r="N151" s="1027"/>
      <c r="O151" s="1027"/>
      <c r="S151" s="1027"/>
      <c r="T151" s="1027"/>
      <c r="U151" s="1027"/>
      <c r="V151" s="1027"/>
      <c r="W151" s="1027"/>
      <c r="X151" s="1027"/>
      <c r="AA151" s="1027"/>
      <c r="AB151" s="1027"/>
      <c r="AC151" s="1027"/>
      <c r="AD151" s="1027"/>
      <c r="AE151" s="1027"/>
      <c r="AF151" s="1027"/>
    </row>
    <row r="152" spans="1:32" x14ac:dyDescent="0.2">
      <c r="A152" s="1026"/>
      <c r="D152" s="1027"/>
      <c r="E152" s="1027"/>
      <c r="F152" s="1027"/>
      <c r="G152" s="1027"/>
      <c r="H152" s="1027"/>
      <c r="I152" s="1027"/>
      <c r="J152" s="1027"/>
      <c r="K152" s="1027"/>
      <c r="L152" s="1027"/>
      <c r="M152" s="1027"/>
      <c r="N152" s="1027"/>
      <c r="O152" s="1027"/>
      <c r="S152" s="1027"/>
      <c r="T152" s="1027"/>
      <c r="U152" s="1027"/>
      <c r="V152" s="1027"/>
      <c r="W152" s="1027"/>
      <c r="X152" s="1027"/>
      <c r="AA152" s="1027"/>
      <c r="AB152" s="1027"/>
      <c r="AC152" s="1027"/>
      <c r="AD152" s="1027"/>
      <c r="AE152" s="1027"/>
      <c r="AF152" s="1027"/>
    </row>
    <row r="153" spans="1:32" x14ac:dyDescent="0.2">
      <c r="A153" s="1026"/>
      <c r="D153" s="1027"/>
      <c r="E153" s="1027"/>
      <c r="F153" s="1027"/>
      <c r="G153" s="1027"/>
      <c r="H153" s="1027"/>
      <c r="I153" s="1027"/>
      <c r="J153" s="1027"/>
      <c r="K153" s="1027"/>
      <c r="L153" s="1027"/>
      <c r="M153" s="1027"/>
      <c r="N153" s="1027"/>
      <c r="O153" s="1027"/>
      <c r="S153" s="1027"/>
      <c r="T153" s="1027"/>
      <c r="U153" s="1027"/>
      <c r="V153" s="1027"/>
      <c r="W153" s="1027"/>
      <c r="X153" s="1027"/>
      <c r="AA153" s="1027"/>
      <c r="AB153" s="1027"/>
      <c r="AC153" s="1027"/>
      <c r="AD153" s="1027"/>
      <c r="AE153" s="1027"/>
      <c r="AF153" s="1027"/>
    </row>
    <row r="154" spans="1:32" x14ac:dyDescent="0.2">
      <c r="A154" s="1026"/>
      <c r="D154" s="1027"/>
      <c r="E154" s="1027"/>
      <c r="F154" s="1027"/>
      <c r="G154" s="1027"/>
      <c r="H154" s="1027"/>
      <c r="I154" s="1027"/>
      <c r="J154" s="1027"/>
      <c r="K154" s="1027"/>
      <c r="L154" s="1027"/>
      <c r="M154" s="1027"/>
      <c r="N154" s="1027"/>
      <c r="O154" s="1027"/>
      <c r="S154" s="1027"/>
      <c r="T154" s="1027"/>
      <c r="U154" s="1027"/>
      <c r="V154" s="1027"/>
      <c r="W154" s="1027"/>
      <c r="X154" s="1027"/>
      <c r="AA154" s="1027"/>
      <c r="AB154" s="1027"/>
      <c r="AC154" s="1027"/>
      <c r="AD154" s="1027"/>
      <c r="AE154" s="1027"/>
      <c r="AF154" s="1027"/>
    </row>
    <row r="155" spans="1:32" x14ac:dyDescent="0.2">
      <c r="A155" s="1026"/>
      <c r="D155" s="1027"/>
      <c r="E155" s="1027"/>
      <c r="F155" s="1027"/>
      <c r="G155" s="1027"/>
      <c r="H155" s="1027"/>
      <c r="I155" s="1027"/>
      <c r="J155" s="1027"/>
      <c r="K155" s="1027"/>
      <c r="L155" s="1027"/>
      <c r="M155" s="1027"/>
      <c r="N155" s="1027"/>
      <c r="O155" s="1027"/>
      <c r="S155" s="1027"/>
      <c r="T155" s="1027"/>
      <c r="U155" s="1027"/>
      <c r="V155" s="1027"/>
      <c r="W155" s="1027"/>
      <c r="X155" s="1027"/>
      <c r="AA155" s="1027"/>
      <c r="AB155" s="1027"/>
      <c r="AC155" s="1027"/>
      <c r="AD155" s="1027"/>
      <c r="AE155" s="1027"/>
      <c r="AF155" s="1027"/>
    </row>
    <row r="156" spans="1:32" x14ac:dyDescent="0.2">
      <c r="A156" s="1026"/>
      <c r="D156" s="1027"/>
      <c r="E156" s="1027"/>
      <c r="F156" s="1027"/>
      <c r="G156" s="1027"/>
      <c r="H156" s="1027"/>
      <c r="I156" s="1027"/>
      <c r="J156" s="1027"/>
      <c r="K156" s="1027"/>
      <c r="L156" s="1027"/>
      <c r="M156" s="1027"/>
      <c r="N156" s="1027"/>
      <c r="O156" s="1027"/>
      <c r="S156" s="1027"/>
      <c r="T156" s="1027"/>
      <c r="U156" s="1027"/>
      <c r="V156" s="1027"/>
      <c r="W156" s="1027"/>
      <c r="X156" s="1027"/>
      <c r="AA156" s="1027"/>
      <c r="AB156" s="1027"/>
      <c r="AC156" s="1027"/>
      <c r="AD156" s="1027"/>
      <c r="AE156" s="1027"/>
      <c r="AF156" s="1027"/>
    </row>
    <row r="157" spans="1:32" x14ac:dyDescent="0.2">
      <c r="A157" s="1026"/>
      <c r="D157" s="1027"/>
      <c r="E157" s="1027"/>
      <c r="F157" s="1027"/>
      <c r="G157" s="1027"/>
      <c r="H157" s="1027"/>
      <c r="I157" s="1027"/>
      <c r="J157" s="1027"/>
      <c r="K157" s="1027"/>
      <c r="L157" s="1027"/>
      <c r="M157" s="1027"/>
      <c r="N157" s="1027"/>
      <c r="O157" s="1027"/>
      <c r="S157" s="1027"/>
      <c r="T157" s="1027"/>
      <c r="U157" s="1027"/>
      <c r="V157" s="1027"/>
      <c r="W157" s="1027"/>
      <c r="X157" s="1027"/>
      <c r="AA157" s="1027"/>
      <c r="AB157" s="1027"/>
      <c r="AC157" s="1027"/>
      <c r="AD157" s="1027"/>
      <c r="AE157" s="1027"/>
      <c r="AF157" s="1027"/>
    </row>
    <row r="158" spans="1:32" x14ac:dyDescent="0.2">
      <c r="A158" s="1026"/>
      <c r="D158" s="1027"/>
      <c r="E158" s="1027"/>
      <c r="F158" s="1027"/>
      <c r="G158" s="1027"/>
      <c r="H158" s="1027"/>
      <c r="I158" s="1027"/>
      <c r="J158" s="1027"/>
      <c r="K158" s="1027"/>
      <c r="L158" s="1027"/>
      <c r="M158" s="1027"/>
      <c r="N158" s="1027"/>
      <c r="O158" s="1027"/>
      <c r="S158" s="1027"/>
      <c r="T158" s="1027"/>
      <c r="U158" s="1027"/>
      <c r="V158" s="1027"/>
      <c r="W158" s="1027"/>
      <c r="X158" s="1027"/>
      <c r="AA158" s="1027"/>
      <c r="AB158" s="1027"/>
      <c r="AC158" s="1027"/>
      <c r="AD158" s="1027"/>
      <c r="AE158" s="1027"/>
      <c r="AF158" s="1027"/>
    </row>
    <row r="159" spans="1:32" x14ac:dyDescent="0.2">
      <c r="A159" s="1026"/>
      <c r="D159" s="1027"/>
      <c r="E159" s="1027"/>
      <c r="F159" s="1027"/>
      <c r="G159" s="1027"/>
      <c r="H159" s="1027"/>
      <c r="I159" s="1027"/>
      <c r="J159" s="1027"/>
      <c r="K159" s="1027"/>
      <c r="L159" s="1027"/>
      <c r="M159" s="1027"/>
      <c r="N159" s="1027"/>
      <c r="O159" s="1027"/>
      <c r="S159" s="1027"/>
      <c r="T159" s="1027"/>
      <c r="U159" s="1027"/>
      <c r="V159" s="1027"/>
      <c r="W159" s="1027"/>
      <c r="X159" s="1027"/>
      <c r="AA159" s="1027"/>
      <c r="AB159" s="1027"/>
      <c r="AC159" s="1027"/>
      <c r="AD159" s="1027"/>
      <c r="AE159" s="1027"/>
      <c r="AF159" s="1027"/>
    </row>
    <row r="160" spans="1:32" x14ac:dyDescent="0.2">
      <c r="A160" s="1026"/>
      <c r="D160" s="1027"/>
      <c r="E160" s="1027"/>
      <c r="F160" s="1027"/>
      <c r="G160" s="1027"/>
      <c r="H160" s="1027"/>
      <c r="I160" s="1027"/>
      <c r="J160" s="1027"/>
      <c r="K160" s="1027"/>
      <c r="L160" s="1027"/>
      <c r="M160" s="1027"/>
      <c r="N160" s="1027"/>
      <c r="O160" s="1027"/>
      <c r="S160" s="1027"/>
      <c r="T160" s="1027"/>
      <c r="U160" s="1027"/>
      <c r="V160" s="1027"/>
      <c r="W160" s="1027"/>
      <c r="X160" s="1027"/>
      <c r="AA160" s="1027"/>
      <c r="AB160" s="1027"/>
      <c r="AC160" s="1027"/>
      <c r="AD160" s="1027"/>
      <c r="AE160" s="1027"/>
      <c r="AF160" s="1027"/>
    </row>
    <row r="161" spans="1:32" x14ac:dyDescent="0.2">
      <c r="A161" s="1026"/>
      <c r="D161" s="1027"/>
      <c r="E161" s="1027"/>
      <c r="F161" s="1027"/>
      <c r="G161" s="1027"/>
      <c r="H161" s="1027"/>
      <c r="I161" s="1027"/>
      <c r="J161" s="1027"/>
      <c r="K161" s="1027"/>
      <c r="L161" s="1027"/>
      <c r="M161" s="1027"/>
      <c r="N161" s="1027"/>
      <c r="O161" s="1027"/>
      <c r="S161" s="1027"/>
      <c r="T161" s="1027"/>
      <c r="U161" s="1027"/>
      <c r="V161" s="1027"/>
      <c r="W161" s="1027"/>
      <c r="X161" s="1027"/>
      <c r="AA161" s="1027"/>
      <c r="AB161" s="1027"/>
      <c r="AC161" s="1027"/>
      <c r="AD161" s="1027"/>
      <c r="AE161" s="1027"/>
      <c r="AF161" s="1027"/>
    </row>
    <row r="162" spans="1:32" x14ac:dyDescent="0.2">
      <c r="A162" s="1026"/>
      <c r="D162" s="1027"/>
      <c r="E162" s="1027"/>
      <c r="F162" s="1027"/>
      <c r="G162" s="1027"/>
      <c r="H162" s="1027"/>
      <c r="I162" s="1027"/>
      <c r="J162" s="1027"/>
      <c r="K162" s="1027"/>
      <c r="L162" s="1027"/>
      <c r="M162" s="1027"/>
      <c r="N162" s="1027"/>
      <c r="O162" s="1027"/>
      <c r="S162" s="1027"/>
      <c r="T162" s="1027"/>
      <c r="U162" s="1027"/>
      <c r="V162" s="1027"/>
      <c r="W162" s="1027"/>
      <c r="X162" s="1027"/>
      <c r="AA162" s="1027"/>
      <c r="AB162" s="1027"/>
      <c r="AC162" s="1027"/>
      <c r="AD162" s="1027"/>
      <c r="AE162" s="1027"/>
      <c r="AF162" s="1027"/>
    </row>
    <row r="163" spans="1:32" x14ac:dyDescent="0.2">
      <c r="A163" s="1026"/>
      <c r="D163" s="1027"/>
      <c r="E163" s="1027"/>
      <c r="F163" s="1027"/>
      <c r="G163" s="1027"/>
      <c r="H163" s="1027"/>
      <c r="I163" s="1027"/>
      <c r="J163" s="1027"/>
      <c r="K163" s="1027"/>
      <c r="L163" s="1027"/>
      <c r="M163" s="1027"/>
      <c r="N163" s="1027"/>
      <c r="O163" s="1027"/>
      <c r="S163" s="1027"/>
      <c r="T163" s="1027"/>
      <c r="U163" s="1027"/>
      <c r="V163" s="1027"/>
      <c r="W163" s="1027"/>
      <c r="X163" s="1027"/>
      <c r="AA163" s="1027"/>
      <c r="AB163" s="1027"/>
      <c r="AC163" s="1027"/>
      <c r="AD163" s="1027"/>
      <c r="AE163" s="1027"/>
      <c r="AF163" s="1027"/>
    </row>
    <row r="164" spans="1:32" x14ac:dyDescent="0.2">
      <c r="A164" s="1026"/>
      <c r="D164" s="1027"/>
      <c r="E164" s="1027"/>
      <c r="F164" s="1027"/>
      <c r="G164" s="1027"/>
      <c r="H164" s="1027"/>
      <c r="I164" s="1027"/>
      <c r="J164" s="1027"/>
      <c r="K164" s="1027"/>
      <c r="L164" s="1027"/>
      <c r="M164" s="1027"/>
      <c r="N164" s="1027"/>
      <c r="O164" s="1027"/>
      <c r="S164" s="1027"/>
      <c r="T164" s="1027"/>
      <c r="U164" s="1027"/>
      <c r="V164" s="1027"/>
      <c r="W164" s="1027"/>
      <c r="X164" s="1027"/>
      <c r="AA164" s="1027"/>
      <c r="AB164" s="1027"/>
      <c r="AC164" s="1027"/>
      <c r="AD164" s="1027"/>
      <c r="AE164" s="1027"/>
      <c r="AF164" s="1027"/>
    </row>
    <row r="165" spans="1:32" x14ac:dyDescent="0.2">
      <c r="A165" s="1026"/>
      <c r="D165" s="1027"/>
      <c r="E165" s="1027"/>
      <c r="F165" s="1027"/>
      <c r="G165" s="1027"/>
      <c r="H165" s="1027"/>
      <c r="I165" s="1027"/>
      <c r="J165" s="1027"/>
      <c r="K165" s="1027"/>
      <c r="L165" s="1027"/>
      <c r="M165" s="1027"/>
      <c r="N165" s="1027"/>
      <c r="O165" s="1027"/>
      <c r="S165" s="1027"/>
      <c r="T165" s="1027"/>
      <c r="U165" s="1027"/>
      <c r="V165" s="1027"/>
      <c r="W165" s="1027"/>
      <c r="X165" s="1027"/>
      <c r="AA165" s="1027"/>
      <c r="AB165" s="1027"/>
      <c r="AC165" s="1027"/>
      <c r="AD165" s="1027"/>
      <c r="AE165" s="1027"/>
      <c r="AF165" s="1027"/>
    </row>
    <row r="166" spans="1:32" x14ac:dyDescent="0.2">
      <c r="A166" s="1026"/>
      <c r="D166" s="1027"/>
      <c r="E166" s="1027"/>
      <c r="F166" s="1027"/>
      <c r="G166" s="1027"/>
      <c r="H166" s="1027"/>
      <c r="I166" s="1027"/>
      <c r="J166" s="1027"/>
      <c r="K166" s="1027"/>
      <c r="L166" s="1027"/>
      <c r="M166" s="1027"/>
      <c r="N166" s="1027"/>
      <c r="O166" s="1027"/>
      <c r="S166" s="1027"/>
      <c r="T166" s="1027"/>
      <c r="U166" s="1027"/>
      <c r="V166" s="1027"/>
      <c r="W166" s="1027"/>
      <c r="X166" s="1027"/>
      <c r="AA166" s="1027"/>
      <c r="AB166" s="1027"/>
      <c r="AC166" s="1027"/>
      <c r="AD166" s="1027"/>
      <c r="AE166" s="1027"/>
      <c r="AF166" s="1027"/>
    </row>
    <row r="167" spans="1:32" x14ac:dyDescent="0.2">
      <c r="A167" s="1026"/>
      <c r="D167" s="1027"/>
      <c r="E167" s="1027"/>
      <c r="F167" s="1027"/>
      <c r="G167" s="1027"/>
      <c r="H167" s="1027"/>
      <c r="I167" s="1027"/>
      <c r="J167" s="1027"/>
      <c r="K167" s="1027"/>
      <c r="L167" s="1027"/>
      <c r="M167" s="1027"/>
      <c r="N167" s="1027"/>
      <c r="O167" s="1027"/>
      <c r="S167" s="1027"/>
      <c r="T167" s="1027"/>
      <c r="U167" s="1027"/>
      <c r="V167" s="1027"/>
      <c r="W167" s="1027"/>
      <c r="X167" s="1027"/>
      <c r="AA167" s="1027"/>
      <c r="AB167" s="1027"/>
      <c r="AC167" s="1027"/>
      <c r="AD167" s="1027"/>
      <c r="AE167" s="1027"/>
      <c r="AF167" s="1027"/>
    </row>
  </sheetData>
  <sheetProtection sheet="1" objects="1" scenarios="1" formatCells="0" formatColumns="0" formatRows="0" insertRows="0" deleteRows="0"/>
  <mergeCells count="16">
    <mergeCell ref="B38:AF38"/>
    <mergeCell ref="B29:BI29"/>
    <mergeCell ref="B30:BI30"/>
    <mergeCell ref="B31:BI31"/>
    <mergeCell ref="B32:BI32"/>
    <mergeCell ref="D1:AF1"/>
    <mergeCell ref="D2:F2"/>
    <mergeCell ref="AD2:AF2"/>
    <mergeCell ref="Y2:Z2"/>
    <mergeCell ref="G2:I2"/>
    <mergeCell ref="M2:O2"/>
    <mergeCell ref="AA2:AC2"/>
    <mergeCell ref="J2:L2"/>
    <mergeCell ref="P2:Q2"/>
    <mergeCell ref="S2:U2"/>
    <mergeCell ref="V2:X2"/>
  </mergeCells>
  <phoneticPr fontId="23" type="noConversion"/>
  <conditionalFormatting sqref="S40:X68 D40:O68 AA40:AF68">
    <cfRule type="cellIs" dxfId="305" priority="32" stopIfTrue="1" operator="equal">
      <formula>3</formula>
    </cfRule>
  </conditionalFormatting>
  <conditionalFormatting sqref="D4:AF4">
    <cfRule type="cellIs" dxfId="304" priority="33" stopIfTrue="1" operator="equal">
      <formula>3</formula>
    </cfRule>
    <cfRule type="cellIs" dxfId="303" priority="34" stopIfTrue="1" operator="equal">
      <formula>4</formula>
    </cfRule>
    <cfRule type="cellIs" dxfId="302" priority="35" stopIfTrue="1" operator="equal">
      <formula>2</formula>
    </cfRule>
  </conditionalFormatting>
  <conditionalFormatting sqref="D22:AF23 D25:AF25 D6:AF11">
    <cfRule type="cellIs" dxfId="301" priority="36" stopIfTrue="1" operator="equal">
      <formula>4</formula>
    </cfRule>
    <cfRule type="cellIs" dxfId="300" priority="37" stopIfTrue="1" operator="equal">
      <formula>3</formula>
    </cfRule>
    <cfRule type="cellIs" dxfId="299" priority="38" stopIfTrue="1" operator="equal">
      <formula>2</formula>
    </cfRule>
  </conditionalFormatting>
  <conditionalFormatting sqref="D24:AF24 D12:AF13 D16:AF20">
    <cfRule type="cellIs" dxfId="298" priority="46" stopIfTrue="1" operator="equal">
      <formula>4</formula>
    </cfRule>
    <cfRule type="cellIs" dxfId="297" priority="47" stopIfTrue="1" operator="equal">
      <formula>3</formula>
    </cfRule>
    <cfRule type="cellIs" dxfId="296" priority="48" stopIfTrue="1" operator="equal">
      <formula>2</formula>
    </cfRule>
  </conditionalFormatting>
  <conditionalFormatting sqref="AB39:AF39 E39:P39 T39:Y39">
    <cfRule type="cellIs" dxfId="295" priority="25" stopIfTrue="1" operator="equal">
      <formula>3</formula>
    </cfRule>
    <cfRule type="cellIs" dxfId="294" priority="26" stopIfTrue="1" operator="equal">
      <formula>4</formula>
    </cfRule>
    <cfRule type="cellIs" dxfId="293" priority="27" stopIfTrue="1" operator="equal">
      <formula>2</formula>
    </cfRule>
  </conditionalFormatting>
  <conditionalFormatting sqref="D26:AF28">
    <cfRule type="cellIs" dxfId="292" priority="22" stopIfTrue="1" operator="equal">
      <formula>4</formula>
    </cfRule>
    <cfRule type="cellIs" dxfId="291" priority="23" stopIfTrue="1" operator="equal">
      <formula>3</formula>
    </cfRule>
    <cfRule type="cellIs" dxfId="290" priority="24" stopIfTrue="1" operator="equal">
      <formula>2</formula>
    </cfRule>
  </conditionalFormatting>
  <conditionalFormatting sqref="D15:AF15">
    <cfRule type="cellIs" dxfId="289" priority="10" stopIfTrue="1" operator="equal">
      <formula>4</formula>
    </cfRule>
    <cfRule type="cellIs" dxfId="288" priority="11" stopIfTrue="1" operator="equal">
      <formula>3</formula>
    </cfRule>
    <cfRule type="cellIs" dxfId="287" priority="12" stopIfTrue="1" operator="equal">
      <formula>2</formula>
    </cfRule>
  </conditionalFormatting>
  <conditionalFormatting sqref="D14:AF14">
    <cfRule type="cellIs" dxfId="286" priority="6" stopIfTrue="1" operator="equal">
      <formula>4</formula>
    </cfRule>
    <cfRule type="cellIs" dxfId="285" priority="7" stopIfTrue="1" operator="equal">
      <formula>3</formula>
    </cfRule>
    <cfRule type="cellIs" dxfId="284" priority="8" stopIfTrue="1" operator="equal">
      <formula>2</formula>
    </cfRule>
  </conditionalFormatting>
  <dataValidations count="1">
    <dataValidation type="whole" allowBlank="1" showInputMessage="1" showErrorMessage="1" sqref="D6:BI28">
      <formula1>1</formula1>
      <formula2>4</formula2>
    </dataValidation>
  </dataValidations>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6">
    <tabColor rgb="FFFFFF99"/>
  </sheetPr>
  <dimension ref="A1:AK170"/>
  <sheetViews>
    <sheetView workbookViewId="0"/>
  </sheetViews>
  <sheetFormatPr baseColWidth="10" defaultColWidth="11.42578125" defaultRowHeight="12.75" outlineLevelCol="1" x14ac:dyDescent="0.2"/>
  <cols>
    <col min="1" max="1" width="32.85546875" style="957" customWidth="1"/>
    <col min="2" max="2" width="19.7109375" style="992" customWidth="1" outlineLevel="1"/>
    <col min="3" max="3" width="3.7109375" style="992" customWidth="1" outlineLevel="1"/>
    <col min="4" max="7" width="4.42578125" style="994" customWidth="1"/>
    <col min="8" max="8" width="4.140625" style="994" customWidth="1"/>
    <col min="9" max="9" width="3.7109375" style="994" customWidth="1"/>
    <col min="10" max="10" width="4.42578125" style="994" customWidth="1"/>
    <col min="11" max="11" width="6.85546875" style="994" customWidth="1"/>
    <col min="12" max="12" width="6.42578125" style="994" customWidth="1"/>
    <col min="13" max="13" width="12.85546875" style="994" customWidth="1"/>
    <col min="14" max="14" width="5.42578125" style="994" customWidth="1"/>
    <col min="15" max="15" width="6.140625" style="994" customWidth="1"/>
    <col min="16" max="16" width="5.7109375" style="994" customWidth="1"/>
    <col min="17" max="17" width="6" style="994" customWidth="1"/>
    <col min="18" max="18" width="9.42578125" style="994" customWidth="1"/>
    <col min="19" max="19" width="4.42578125" style="994" customWidth="1"/>
    <col min="20" max="20" width="5.42578125" style="994" customWidth="1"/>
    <col min="21" max="37" width="5.42578125" style="957" hidden="1" customWidth="1"/>
    <col min="38" max="38" width="5.42578125" style="957" customWidth="1"/>
    <col min="39" max="63" width="9.140625" style="957" customWidth="1"/>
    <col min="64" max="16384" width="11.42578125" style="957"/>
  </cols>
  <sheetData>
    <row r="1" spans="1:37" ht="18" customHeight="1" x14ac:dyDescent="0.2">
      <c r="A1" s="952" t="s">
        <v>1442</v>
      </c>
      <c r="B1" s="953"/>
      <c r="C1" s="954"/>
      <c r="D1" s="1912" t="s">
        <v>3855</v>
      </c>
      <c r="E1" s="1924"/>
      <c r="F1" s="1924"/>
      <c r="G1" s="1924"/>
      <c r="H1" s="1924"/>
      <c r="I1" s="1924"/>
      <c r="J1" s="1924"/>
      <c r="K1" s="1924"/>
      <c r="L1" s="1924"/>
      <c r="M1" s="1924"/>
      <c r="N1" s="1924"/>
      <c r="O1" s="1924"/>
      <c r="P1" s="1924"/>
      <c r="Q1" s="1924"/>
      <c r="R1" s="1924"/>
      <c r="S1" s="1924"/>
      <c r="T1" s="1925"/>
      <c r="U1" s="955"/>
      <c r="V1" s="955"/>
      <c r="W1" s="955"/>
      <c r="X1" s="955"/>
      <c r="Y1" s="955"/>
      <c r="Z1" s="955"/>
      <c r="AA1" s="955"/>
      <c r="AB1" s="955"/>
      <c r="AC1" s="955"/>
      <c r="AD1" s="955"/>
      <c r="AE1" s="955"/>
      <c r="AF1" s="955"/>
      <c r="AG1" s="955"/>
      <c r="AH1" s="955"/>
      <c r="AI1" s="955"/>
      <c r="AJ1" s="955"/>
      <c r="AK1" s="955"/>
    </row>
    <row r="2" spans="1:37" ht="75" customHeight="1" x14ac:dyDescent="0.2">
      <c r="A2" s="958" t="s">
        <v>7436</v>
      </c>
      <c r="B2" s="959" t="s">
        <v>7432</v>
      </c>
      <c r="C2" s="960" t="s">
        <v>7215</v>
      </c>
      <c r="D2" s="1912" t="s">
        <v>2896</v>
      </c>
      <c r="E2" s="1913"/>
      <c r="F2" s="1912" t="s">
        <v>2897</v>
      </c>
      <c r="G2" s="1913"/>
      <c r="H2" s="1912" t="s">
        <v>3312</v>
      </c>
      <c r="I2" s="1913"/>
      <c r="J2" s="1926"/>
      <c r="K2" s="1912" t="s">
        <v>114</v>
      </c>
      <c r="L2" s="1913"/>
      <c r="M2" s="954" t="s">
        <v>7433</v>
      </c>
      <c r="N2" s="1912" t="s">
        <v>2377</v>
      </c>
      <c r="O2" s="1913"/>
      <c r="P2" s="1912" t="s">
        <v>3320</v>
      </c>
      <c r="Q2" s="1913"/>
      <c r="R2" s="954" t="s">
        <v>115</v>
      </c>
      <c r="S2" s="1912" t="s">
        <v>2898</v>
      </c>
      <c r="T2" s="1926"/>
      <c r="U2" s="955"/>
      <c r="V2" s="955"/>
      <c r="W2" s="955"/>
      <c r="X2" s="955"/>
      <c r="Y2" s="955"/>
      <c r="Z2" s="955"/>
      <c r="AA2" s="955"/>
      <c r="AB2" s="955"/>
      <c r="AC2" s="955"/>
      <c r="AD2" s="955"/>
      <c r="AE2" s="955"/>
      <c r="AF2" s="955"/>
      <c r="AG2" s="955"/>
      <c r="AH2" s="955"/>
      <c r="AI2" s="955"/>
      <c r="AJ2" s="955"/>
      <c r="AK2" s="955"/>
    </row>
    <row r="3" spans="1:37" ht="16.5" customHeight="1" x14ac:dyDescent="0.2">
      <c r="A3" s="995"/>
      <c r="B3" s="996"/>
      <c r="C3" s="996"/>
      <c r="D3" s="1164" t="s">
        <v>1873</v>
      </c>
      <c r="E3" s="1164" t="s">
        <v>4638</v>
      </c>
      <c r="F3" s="953" t="s">
        <v>1873</v>
      </c>
      <c r="G3" s="953" t="s">
        <v>4638</v>
      </c>
      <c r="H3" s="953" t="s">
        <v>1873</v>
      </c>
      <c r="I3" s="953" t="s">
        <v>4638</v>
      </c>
      <c r="J3" s="997" t="s">
        <v>4811</v>
      </c>
      <c r="K3" s="953" t="s">
        <v>1873</v>
      </c>
      <c r="L3" s="953" t="s">
        <v>4638</v>
      </c>
      <c r="M3" s="953" t="s">
        <v>1873</v>
      </c>
      <c r="N3" s="953" t="s">
        <v>1873</v>
      </c>
      <c r="O3" s="953" t="s">
        <v>4638</v>
      </c>
      <c r="P3" s="953" t="s">
        <v>1873</v>
      </c>
      <c r="Q3" s="953" t="s">
        <v>4638</v>
      </c>
      <c r="R3" s="953" t="s">
        <v>1873</v>
      </c>
      <c r="S3" s="953" t="s">
        <v>1873</v>
      </c>
      <c r="T3" s="953" t="s">
        <v>4638</v>
      </c>
      <c r="U3" s="955"/>
      <c r="V3" s="955"/>
      <c r="W3" s="955"/>
      <c r="X3" s="955"/>
      <c r="Y3" s="955"/>
      <c r="Z3" s="955"/>
      <c r="AA3" s="955"/>
      <c r="AB3" s="955"/>
      <c r="AC3" s="955"/>
      <c r="AD3" s="955"/>
      <c r="AE3" s="955"/>
      <c r="AF3" s="955"/>
      <c r="AG3" s="955"/>
      <c r="AH3" s="955"/>
      <c r="AI3" s="955"/>
      <c r="AJ3" s="955"/>
      <c r="AK3" s="955"/>
    </row>
    <row r="4" spans="1:37" s="968" customFormat="1" ht="13.5" customHeight="1" x14ac:dyDescent="0.2">
      <c r="A4" s="963"/>
      <c r="B4" s="1412" t="s">
        <v>7550</v>
      </c>
      <c r="C4" s="964"/>
      <c r="D4" s="1165" t="s">
        <v>2785</v>
      </c>
      <c r="E4" s="1165" t="s">
        <v>2785</v>
      </c>
      <c r="F4" s="965" t="s">
        <v>2786</v>
      </c>
      <c r="G4" s="965" t="s">
        <v>2786</v>
      </c>
      <c r="H4" s="965" t="s">
        <v>2787</v>
      </c>
      <c r="I4" s="965" t="s">
        <v>2787</v>
      </c>
      <c r="J4" s="965" t="s">
        <v>2787</v>
      </c>
      <c r="K4" s="965" t="s">
        <v>5458</v>
      </c>
      <c r="L4" s="965" t="s">
        <v>5458</v>
      </c>
      <c r="M4" s="965" t="s">
        <v>4819</v>
      </c>
      <c r="N4" s="965" t="s">
        <v>3313</v>
      </c>
      <c r="O4" s="965" t="s">
        <v>3313</v>
      </c>
      <c r="P4" s="965" t="s">
        <v>3314</v>
      </c>
      <c r="Q4" s="965" t="s">
        <v>3314</v>
      </c>
      <c r="R4" s="965" t="s">
        <v>1797</v>
      </c>
      <c r="S4" s="965" t="s">
        <v>1894</v>
      </c>
      <c r="T4" s="965" t="s">
        <v>1894</v>
      </c>
      <c r="U4" s="966"/>
      <c r="V4" s="966"/>
      <c r="W4" s="966"/>
      <c r="X4" s="966"/>
      <c r="Y4" s="966"/>
      <c r="Z4" s="966"/>
      <c r="AA4" s="966"/>
      <c r="AB4" s="966"/>
      <c r="AC4" s="966"/>
      <c r="AD4" s="966"/>
      <c r="AE4" s="966"/>
      <c r="AF4" s="966"/>
      <c r="AG4" s="966"/>
      <c r="AH4" s="966"/>
      <c r="AI4" s="966"/>
      <c r="AJ4" s="966"/>
      <c r="AK4" s="966"/>
    </row>
    <row r="5" spans="1:37" s="968" customFormat="1" ht="15.75" customHeight="1" x14ac:dyDescent="0.2">
      <c r="A5" s="969" t="s">
        <v>3753</v>
      </c>
      <c r="B5" s="970"/>
      <c r="C5" s="971"/>
      <c r="D5" s="1167"/>
      <c r="E5" s="1167"/>
      <c r="F5" s="998"/>
      <c r="G5" s="998"/>
      <c r="H5" s="998"/>
      <c r="I5" s="998"/>
      <c r="J5" s="998"/>
      <c r="K5" s="998"/>
      <c r="L5" s="998"/>
      <c r="M5" s="998"/>
      <c r="N5" s="998"/>
      <c r="O5" s="998"/>
      <c r="P5" s="998"/>
      <c r="Q5" s="998"/>
      <c r="R5" s="998"/>
      <c r="S5" s="998"/>
      <c r="T5" s="998"/>
      <c r="U5" s="973"/>
      <c r="V5" s="973"/>
      <c r="W5" s="973"/>
      <c r="X5" s="973"/>
      <c r="Y5" s="973"/>
      <c r="Z5" s="973"/>
      <c r="AA5" s="973"/>
      <c r="AB5" s="973"/>
      <c r="AC5" s="973"/>
      <c r="AD5" s="973"/>
      <c r="AE5" s="973"/>
      <c r="AF5" s="973"/>
      <c r="AG5" s="973"/>
      <c r="AH5" s="973"/>
      <c r="AI5" s="973"/>
      <c r="AJ5" s="973"/>
      <c r="AK5" s="973"/>
    </row>
    <row r="6" spans="1:37" s="977" customFormat="1" ht="15.75" customHeight="1" x14ac:dyDescent="0.2">
      <c r="A6" s="1410" t="str">
        <f>'T1'!A6</f>
        <v xml:space="preserve">Domaine 1 : </v>
      </c>
      <c r="B6" s="1410" t="str">
        <f>IF('T1'!B6="","",'T1'!B6)</f>
        <v/>
      </c>
      <c r="C6" s="1411">
        <f>'T1'!C6</f>
        <v>1</v>
      </c>
      <c r="D6" s="1664"/>
      <c r="E6" s="1664"/>
      <c r="F6" s="1664"/>
      <c r="G6" s="1664"/>
      <c r="H6" s="1664"/>
      <c r="I6" s="1664"/>
      <c r="J6" s="1664"/>
      <c r="K6" s="1664"/>
      <c r="L6" s="1664"/>
      <c r="M6" s="1664"/>
      <c r="N6" s="1664"/>
      <c r="O6" s="1664"/>
      <c r="P6" s="1664"/>
      <c r="Q6" s="1664"/>
      <c r="R6" s="1664"/>
      <c r="S6" s="1664"/>
      <c r="T6" s="1664"/>
      <c r="U6" s="975">
        <f t="shared" ref="U6:AJ20" si="0">IF($C6="",0,IF($C6=1,D6,0))</f>
        <v>0</v>
      </c>
      <c r="V6" s="975">
        <f t="shared" si="0"/>
        <v>0</v>
      </c>
      <c r="W6" s="975">
        <f t="shared" si="0"/>
        <v>0</v>
      </c>
      <c r="X6" s="975">
        <f t="shared" si="0"/>
        <v>0</v>
      </c>
      <c r="Y6" s="975">
        <f t="shared" si="0"/>
        <v>0</v>
      </c>
      <c r="Z6" s="975">
        <f t="shared" si="0"/>
        <v>0</v>
      </c>
      <c r="AA6" s="975">
        <f t="shared" si="0"/>
        <v>0</v>
      </c>
      <c r="AB6" s="975">
        <f t="shared" si="0"/>
        <v>0</v>
      </c>
      <c r="AC6" s="975">
        <f t="shared" si="0"/>
        <v>0</v>
      </c>
      <c r="AD6" s="975">
        <f t="shared" si="0"/>
        <v>0</v>
      </c>
      <c r="AE6" s="975">
        <f t="shared" si="0"/>
        <v>0</v>
      </c>
      <c r="AF6" s="975">
        <f t="shared" si="0"/>
        <v>0</v>
      </c>
      <c r="AG6" s="975">
        <f t="shared" si="0"/>
        <v>0</v>
      </c>
      <c r="AH6" s="975">
        <f t="shared" si="0"/>
        <v>0</v>
      </c>
      <c r="AI6" s="975">
        <f t="shared" si="0"/>
        <v>0</v>
      </c>
      <c r="AJ6" s="975">
        <f t="shared" si="0"/>
        <v>0</v>
      </c>
      <c r="AK6" s="975">
        <f t="shared" ref="AK6:AK24" si="1">IF($C6="",0,IF($C6=1,T6,0))</f>
        <v>0</v>
      </c>
    </row>
    <row r="7" spans="1:37" s="977" customFormat="1" ht="15.75" customHeight="1" x14ac:dyDescent="0.2">
      <c r="A7" s="1410" t="str">
        <f>'T1'!A7</f>
        <v>Domaine 2 :</v>
      </c>
      <c r="B7" s="1410" t="str">
        <f>IF('T1'!B7="","",'T1'!B7)</f>
        <v/>
      </c>
      <c r="C7" s="1411">
        <f>'T1'!C7</f>
        <v>1</v>
      </c>
      <c r="D7" s="1665"/>
      <c r="E7" s="1665"/>
      <c r="F7" s="1665"/>
      <c r="G7" s="1665"/>
      <c r="H7" s="1665"/>
      <c r="I7" s="1665"/>
      <c r="J7" s="1665"/>
      <c r="K7" s="1665"/>
      <c r="L7" s="1665"/>
      <c r="M7" s="1665"/>
      <c r="N7" s="1665"/>
      <c r="O7" s="1665"/>
      <c r="P7" s="1665"/>
      <c r="Q7" s="1665"/>
      <c r="R7" s="1665"/>
      <c r="S7" s="1665"/>
      <c r="T7" s="1665"/>
      <c r="U7" s="975">
        <f t="shared" si="0"/>
        <v>0</v>
      </c>
      <c r="V7" s="975">
        <f t="shared" si="0"/>
        <v>0</v>
      </c>
      <c r="W7" s="975">
        <f t="shared" si="0"/>
        <v>0</v>
      </c>
      <c r="X7" s="975">
        <f t="shared" si="0"/>
        <v>0</v>
      </c>
      <c r="Y7" s="975">
        <f t="shared" si="0"/>
        <v>0</v>
      </c>
      <c r="Z7" s="975">
        <f t="shared" si="0"/>
        <v>0</v>
      </c>
      <c r="AA7" s="975">
        <f t="shared" si="0"/>
        <v>0</v>
      </c>
      <c r="AB7" s="975">
        <f t="shared" si="0"/>
        <v>0</v>
      </c>
      <c r="AC7" s="975">
        <f t="shared" si="0"/>
        <v>0</v>
      </c>
      <c r="AD7" s="975">
        <f t="shared" si="0"/>
        <v>0</v>
      </c>
      <c r="AE7" s="975">
        <f t="shared" si="0"/>
        <v>0</v>
      </c>
      <c r="AF7" s="975">
        <f t="shared" si="0"/>
        <v>0</v>
      </c>
      <c r="AG7" s="975">
        <f t="shared" si="0"/>
        <v>0</v>
      </c>
      <c r="AH7" s="975">
        <f t="shared" si="0"/>
        <v>0</v>
      </c>
      <c r="AI7" s="975">
        <f t="shared" si="0"/>
        <v>0</v>
      </c>
      <c r="AJ7" s="975">
        <f t="shared" si="0"/>
        <v>0</v>
      </c>
      <c r="AK7" s="975">
        <f t="shared" si="1"/>
        <v>0</v>
      </c>
    </row>
    <row r="8" spans="1:37" s="977" customFormat="1" ht="15.75" customHeight="1" x14ac:dyDescent="0.2">
      <c r="A8" s="1410" t="str">
        <f>'T1'!A8</f>
        <v xml:space="preserve">Domaine 3 : </v>
      </c>
      <c r="B8" s="1410" t="str">
        <f>IF('T1'!B8="","",'T1'!B8)</f>
        <v/>
      </c>
      <c r="C8" s="1411">
        <f>'T1'!C8</f>
        <v>1</v>
      </c>
      <c r="D8" s="1665"/>
      <c r="E8" s="1665"/>
      <c r="F8" s="1665"/>
      <c r="G8" s="1665"/>
      <c r="H8" s="1665"/>
      <c r="I8" s="1665"/>
      <c r="J8" s="1665"/>
      <c r="K8" s="1665"/>
      <c r="L8" s="1665"/>
      <c r="M8" s="1665"/>
      <c r="N8" s="1665"/>
      <c r="O8" s="1665"/>
      <c r="P8" s="1665"/>
      <c r="Q8" s="1665"/>
      <c r="R8" s="1665"/>
      <c r="S8" s="1665"/>
      <c r="T8" s="1665"/>
      <c r="U8" s="975">
        <f t="shared" si="0"/>
        <v>0</v>
      </c>
      <c r="V8" s="975">
        <f t="shared" si="0"/>
        <v>0</v>
      </c>
      <c r="W8" s="975">
        <f t="shared" si="0"/>
        <v>0</v>
      </c>
      <c r="X8" s="975">
        <f t="shared" si="0"/>
        <v>0</v>
      </c>
      <c r="Y8" s="975">
        <f t="shared" si="0"/>
        <v>0</v>
      </c>
      <c r="Z8" s="975">
        <f t="shared" si="0"/>
        <v>0</v>
      </c>
      <c r="AA8" s="975">
        <f t="shared" si="0"/>
        <v>0</v>
      </c>
      <c r="AB8" s="975">
        <f t="shared" si="0"/>
        <v>0</v>
      </c>
      <c r="AC8" s="975">
        <f t="shared" si="0"/>
        <v>0</v>
      </c>
      <c r="AD8" s="975">
        <f t="shared" si="0"/>
        <v>0</v>
      </c>
      <c r="AE8" s="975">
        <f t="shared" si="0"/>
        <v>0</v>
      </c>
      <c r="AF8" s="975">
        <f t="shared" si="0"/>
        <v>0</v>
      </c>
      <c r="AG8" s="975">
        <f t="shared" si="0"/>
        <v>0</v>
      </c>
      <c r="AH8" s="975">
        <f t="shared" si="0"/>
        <v>0</v>
      </c>
      <c r="AI8" s="975">
        <f t="shared" si="0"/>
        <v>0</v>
      </c>
      <c r="AJ8" s="975">
        <f t="shared" si="0"/>
        <v>0</v>
      </c>
      <c r="AK8" s="975">
        <f t="shared" si="1"/>
        <v>0</v>
      </c>
    </row>
    <row r="9" spans="1:37" s="977" customFormat="1" ht="15.75" customHeight="1" x14ac:dyDescent="0.2">
      <c r="A9" s="1410" t="str">
        <f>'T1'!A9</f>
        <v xml:space="preserve">Domaine 4 : </v>
      </c>
      <c r="B9" s="1410" t="str">
        <f>IF('T1'!B9="","",'T1'!B9)</f>
        <v/>
      </c>
      <c r="C9" s="1411">
        <f>'T1'!C9</f>
        <v>1</v>
      </c>
      <c r="D9" s="1665"/>
      <c r="E9" s="1665"/>
      <c r="F9" s="1665"/>
      <c r="G9" s="1665"/>
      <c r="H9" s="1665"/>
      <c r="I9" s="1665"/>
      <c r="J9" s="1665"/>
      <c r="K9" s="1665"/>
      <c r="L9" s="1665"/>
      <c r="M9" s="1665"/>
      <c r="N9" s="1665"/>
      <c r="O9" s="1665"/>
      <c r="P9" s="1665"/>
      <c r="Q9" s="1665"/>
      <c r="R9" s="1665"/>
      <c r="S9" s="1665"/>
      <c r="T9" s="1665"/>
      <c r="U9" s="975">
        <f t="shared" si="0"/>
        <v>0</v>
      </c>
      <c r="V9" s="975">
        <f t="shared" si="0"/>
        <v>0</v>
      </c>
      <c r="W9" s="975">
        <f t="shared" si="0"/>
        <v>0</v>
      </c>
      <c r="X9" s="975">
        <f t="shared" si="0"/>
        <v>0</v>
      </c>
      <c r="Y9" s="975">
        <f t="shared" si="0"/>
        <v>0</v>
      </c>
      <c r="Z9" s="975">
        <f t="shared" si="0"/>
        <v>0</v>
      </c>
      <c r="AA9" s="975">
        <f t="shared" si="0"/>
        <v>0</v>
      </c>
      <c r="AB9" s="975">
        <f t="shared" si="0"/>
        <v>0</v>
      </c>
      <c r="AC9" s="975">
        <f t="shared" si="0"/>
        <v>0</v>
      </c>
      <c r="AD9" s="975">
        <f t="shared" si="0"/>
        <v>0</v>
      </c>
      <c r="AE9" s="975">
        <f t="shared" si="0"/>
        <v>0</v>
      </c>
      <c r="AF9" s="975">
        <f t="shared" si="0"/>
        <v>0</v>
      </c>
      <c r="AG9" s="975">
        <f t="shared" si="0"/>
        <v>0</v>
      </c>
      <c r="AH9" s="975">
        <f t="shared" si="0"/>
        <v>0</v>
      </c>
      <c r="AI9" s="975">
        <f t="shared" si="0"/>
        <v>0</v>
      </c>
      <c r="AJ9" s="975">
        <f t="shared" si="0"/>
        <v>0</v>
      </c>
      <c r="AK9" s="975">
        <f t="shared" si="1"/>
        <v>0</v>
      </c>
    </row>
    <row r="10" spans="1:37" s="977" customFormat="1" ht="15.75" customHeight="1" x14ac:dyDescent="0.2">
      <c r="A10" s="1410" t="str">
        <f>'T1'!A10</f>
        <v>Domaine 5</v>
      </c>
      <c r="B10" s="1410" t="str">
        <f>IF('T1'!B10="","",'T1'!B10)</f>
        <v/>
      </c>
      <c r="C10" s="1411">
        <f>'T1'!C10</f>
        <v>1</v>
      </c>
      <c r="D10" s="1665"/>
      <c r="E10" s="1665"/>
      <c r="F10" s="1665"/>
      <c r="G10" s="1665"/>
      <c r="H10" s="1665"/>
      <c r="I10" s="1665"/>
      <c r="J10" s="1665"/>
      <c r="K10" s="1665"/>
      <c r="L10" s="1665"/>
      <c r="M10" s="1665"/>
      <c r="N10" s="1665"/>
      <c r="O10" s="1665"/>
      <c r="P10" s="1665"/>
      <c r="Q10" s="1665"/>
      <c r="R10" s="1665"/>
      <c r="S10" s="1665"/>
      <c r="T10" s="1665"/>
      <c r="U10" s="975">
        <f t="shared" si="0"/>
        <v>0</v>
      </c>
      <c r="V10" s="975">
        <f t="shared" si="0"/>
        <v>0</v>
      </c>
      <c r="W10" s="975">
        <f t="shared" si="0"/>
        <v>0</v>
      </c>
      <c r="X10" s="975">
        <f t="shared" si="0"/>
        <v>0</v>
      </c>
      <c r="Y10" s="975">
        <f t="shared" si="0"/>
        <v>0</v>
      </c>
      <c r="Z10" s="975">
        <f t="shared" si="0"/>
        <v>0</v>
      </c>
      <c r="AA10" s="975">
        <f t="shared" si="0"/>
        <v>0</v>
      </c>
      <c r="AB10" s="975">
        <f t="shared" si="0"/>
        <v>0</v>
      </c>
      <c r="AC10" s="975">
        <f t="shared" si="0"/>
        <v>0</v>
      </c>
      <c r="AD10" s="975">
        <f t="shared" si="0"/>
        <v>0</v>
      </c>
      <c r="AE10" s="975">
        <f t="shared" si="0"/>
        <v>0</v>
      </c>
      <c r="AF10" s="975">
        <f t="shared" si="0"/>
        <v>0</v>
      </c>
      <c r="AG10" s="975">
        <f t="shared" si="0"/>
        <v>0</v>
      </c>
      <c r="AH10" s="975">
        <f t="shared" si="0"/>
        <v>0</v>
      </c>
      <c r="AI10" s="975">
        <f t="shared" si="0"/>
        <v>0</v>
      </c>
      <c r="AJ10" s="975">
        <f t="shared" si="0"/>
        <v>0</v>
      </c>
      <c r="AK10" s="975">
        <f t="shared" si="1"/>
        <v>0</v>
      </c>
    </row>
    <row r="11" spans="1:37" s="977" customFormat="1" ht="15.75" customHeight="1" x14ac:dyDescent="0.2">
      <c r="A11" s="1410" t="str">
        <f>'T1'!A11</f>
        <v xml:space="preserve">Domaine 6 : </v>
      </c>
      <c r="B11" s="1410" t="str">
        <f>IF('T1'!B11="","",'T1'!B11)</f>
        <v/>
      </c>
      <c r="C11" s="1411">
        <f>'T1'!C11</f>
        <v>1</v>
      </c>
      <c r="D11" s="1665"/>
      <c r="E11" s="1665"/>
      <c r="F11" s="1665"/>
      <c r="G11" s="1665"/>
      <c r="H11" s="1665"/>
      <c r="I11" s="1665"/>
      <c r="J11" s="1665"/>
      <c r="K11" s="1665"/>
      <c r="L11" s="1665"/>
      <c r="M11" s="1665"/>
      <c r="N11" s="1665"/>
      <c r="O11" s="1665"/>
      <c r="P11" s="1665"/>
      <c r="Q11" s="1665"/>
      <c r="R11" s="1665"/>
      <c r="S11" s="1665"/>
      <c r="T11" s="1665"/>
      <c r="U11" s="975">
        <f t="shared" si="0"/>
        <v>0</v>
      </c>
      <c r="V11" s="975">
        <f t="shared" si="0"/>
        <v>0</v>
      </c>
      <c r="W11" s="975">
        <f t="shared" si="0"/>
        <v>0</v>
      </c>
      <c r="X11" s="975">
        <f t="shared" si="0"/>
        <v>0</v>
      </c>
      <c r="Y11" s="975">
        <f t="shared" si="0"/>
        <v>0</v>
      </c>
      <c r="Z11" s="975">
        <f t="shared" si="0"/>
        <v>0</v>
      </c>
      <c r="AA11" s="975">
        <f t="shared" si="0"/>
        <v>0</v>
      </c>
      <c r="AB11" s="975">
        <f t="shared" si="0"/>
        <v>0</v>
      </c>
      <c r="AC11" s="975">
        <f t="shared" si="0"/>
        <v>0</v>
      </c>
      <c r="AD11" s="975">
        <f t="shared" si="0"/>
        <v>0</v>
      </c>
      <c r="AE11" s="975">
        <f t="shared" si="0"/>
        <v>0</v>
      </c>
      <c r="AF11" s="975">
        <f t="shared" si="0"/>
        <v>0</v>
      </c>
      <c r="AG11" s="975">
        <f t="shared" si="0"/>
        <v>0</v>
      </c>
      <c r="AH11" s="975">
        <f t="shared" si="0"/>
        <v>0</v>
      </c>
      <c r="AI11" s="975">
        <f t="shared" si="0"/>
        <v>0</v>
      </c>
      <c r="AJ11" s="975">
        <f t="shared" si="0"/>
        <v>0</v>
      </c>
      <c r="AK11" s="975">
        <f t="shared" si="1"/>
        <v>0</v>
      </c>
    </row>
    <row r="12" spans="1:37" s="977" customFormat="1" ht="15.75" customHeight="1" x14ac:dyDescent="0.2">
      <c r="A12" s="1410" t="str">
        <f>'T1'!A12</f>
        <v xml:space="preserve">Domaine 7 : </v>
      </c>
      <c r="B12" s="1410" t="str">
        <f>IF('T1'!B12="","",'T1'!B12)</f>
        <v/>
      </c>
      <c r="C12" s="1411">
        <f>'T1'!C12</f>
        <v>1</v>
      </c>
      <c r="D12" s="1665"/>
      <c r="E12" s="1665"/>
      <c r="F12" s="1665"/>
      <c r="G12" s="1665"/>
      <c r="H12" s="1665"/>
      <c r="I12" s="1665"/>
      <c r="J12" s="1665"/>
      <c r="K12" s="1665"/>
      <c r="L12" s="1665"/>
      <c r="M12" s="1665"/>
      <c r="N12" s="1665"/>
      <c r="O12" s="1665"/>
      <c r="P12" s="1665"/>
      <c r="Q12" s="1665"/>
      <c r="R12" s="1665"/>
      <c r="S12" s="1665"/>
      <c r="T12" s="1665"/>
      <c r="U12" s="975">
        <f t="shared" si="0"/>
        <v>0</v>
      </c>
      <c r="V12" s="975">
        <f t="shared" si="0"/>
        <v>0</v>
      </c>
      <c r="W12" s="975">
        <f t="shared" si="0"/>
        <v>0</v>
      </c>
      <c r="X12" s="975">
        <f t="shared" si="0"/>
        <v>0</v>
      </c>
      <c r="Y12" s="975">
        <f t="shared" si="0"/>
        <v>0</v>
      </c>
      <c r="Z12" s="975">
        <f t="shared" si="0"/>
        <v>0</v>
      </c>
      <c r="AA12" s="975">
        <f t="shared" si="0"/>
        <v>0</v>
      </c>
      <c r="AB12" s="975">
        <f t="shared" si="0"/>
        <v>0</v>
      </c>
      <c r="AC12" s="975">
        <f t="shared" si="0"/>
        <v>0</v>
      </c>
      <c r="AD12" s="975">
        <f t="shared" si="0"/>
        <v>0</v>
      </c>
      <c r="AE12" s="975">
        <f t="shared" si="0"/>
        <v>0</v>
      </c>
      <c r="AF12" s="975">
        <f t="shared" si="0"/>
        <v>0</v>
      </c>
      <c r="AG12" s="975">
        <f t="shared" si="0"/>
        <v>0</v>
      </c>
      <c r="AH12" s="975">
        <f t="shared" si="0"/>
        <v>0</v>
      </c>
      <c r="AI12" s="975">
        <f t="shared" si="0"/>
        <v>0</v>
      </c>
      <c r="AJ12" s="975">
        <f t="shared" si="0"/>
        <v>0</v>
      </c>
      <c r="AK12" s="975">
        <f t="shared" si="1"/>
        <v>0</v>
      </c>
    </row>
    <row r="13" spans="1:37" s="977" customFormat="1" ht="15.75" customHeight="1" x14ac:dyDescent="0.2">
      <c r="A13" s="1410" t="str">
        <f>'T1'!A13</f>
        <v xml:space="preserve">Domaine 8 : </v>
      </c>
      <c r="B13" s="1410" t="str">
        <f>IF('T1'!B13="","",'T1'!B13)</f>
        <v/>
      </c>
      <c r="C13" s="1411">
        <f>'T1'!C13</f>
        <v>1</v>
      </c>
      <c r="D13" s="1665"/>
      <c r="E13" s="1665"/>
      <c r="F13" s="1665"/>
      <c r="G13" s="1665"/>
      <c r="H13" s="1665"/>
      <c r="I13" s="1665"/>
      <c r="J13" s="1665"/>
      <c r="K13" s="1665"/>
      <c r="L13" s="1665"/>
      <c r="M13" s="1665"/>
      <c r="N13" s="1665"/>
      <c r="O13" s="1665"/>
      <c r="P13" s="1665"/>
      <c r="Q13" s="1665"/>
      <c r="R13" s="1665"/>
      <c r="S13" s="1665"/>
      <c r="T13" s="1665"/>
      <c r="U13" s="975">
        <f t="shared" si="0"/>
        <v>0</v>
      </c>
      <c r="V13" s="975">
        <f t="shared" si="0"/>
        <v>0</v>
      </c>
      <c r="W13" s="975">
        <f t="shared" si="0"/>
        <v>0</v>
      </c>
      <c r="X13" s="975">
        <f t="shared" si="0"/>
        <v>0</v>
      </c>
      <c r="Y13" s="975">
        <f t="shared" si="0"/>
        <v>0</v>
      </c>
      <c r="Z13" s="975">
        <f t="shared" si="0"/>
        <v>0</v>
      </c>
      <c r="AA13" s="975">
        <f t="shared" si="0"/>
        <v>0</v>
      </c>
      <c r="AB13" s="975">
        <f t="shared" si="0"/>
        <v>0</v>
      </c>
      <c r="AC13" s="975">
        <f t="shared" si="0"/>
        <v>0</v>
      </c>
      <c r="AD13" s="975">
        <f t="shared" si="0"/>
        <v>0</v>
      </c>
      <c r="AE13" s="975">
        <f t="shared" si="0"/>
        <v>0</v>
      </c>
      <c r="AF13" s="975">
        <f t="shared" si="0"/>
        <v>0</v>
      </c>
      <c r="AG13" s="975">
        <f t="shared" si="0"/>
        <v>0</v>
      </c>
      <c r="AH13" s="975">
        <f t="shared" si="0"/>
        <v>0</v>
      </c>
      <c r="AI13" s="975">
        <f t="shared" si="0"/>
        <v>0</v>
      </c>
      <c r="AJ13" s="975">
        <f t="shared" si="0"/>
        <v>0</v>
      </c>
      <c r="AK13" s="975">
        <f t="shared" si="1"/>
        <v>0</v>
      </c>
    </row>
    <row r="14" spans="1:37" s="977" customFormat="1" ht="15.75" customHeight="1" x14ac:dyDescent="0.2">
      <c r="A14" s="1410" t="str">
        <f>'T1'!A14</f>
        <v xml:space="preserve">Domaine 9 : </v>
      </c>
      <c r="B14" s="1410" t="str">
        <f>IF('T1'!B14="","",'T1'!B14)</f>
        <v/>
      </c>
      <c r="C14" s="1411">
        <f>'T1'!C14</f>
        <v>1</v>
      </c>
      <c r="D14" s="1665"/>
      <c r="E14" s="1665"/>
      <c r="F14" s="1665"/>
      <c r="G14" s="1665"/>
      <c r="H14" s="1665"/>
      <c r="I14" s="1665"/>
      <c r="J14" s="1665"/>
      <c r="K14" s="1665"/>
      <c r="L14" s="1665"/>
      <c r="M14" s="1665"/>
      <c r="N14" s="1665"/>
      <c r="O14" s="1665"/>
      <c r="P14" s="1665"/>
      <c r="Q14" s="1665"/>
      <c r="R14" s="1665"/>
      <c r="S14" s="1665"/>
      <c r="T14" s="1665"/>
      <c r="U14" s="975">
        <f t="shared" ref="U14:U15" si="2">IF($C14="",0,IF($C14=1,D14,0))</f>
        <v>0</v>
      </c>
      <c r="V14" s="975">
        <f t="shared" ref="V14:V15" si="3">IF($C14="",0,IF($C14=1,E14,0))</f>
        <v>0</v>
      </c>
      <c r="W14" s="975">
        <f t="shared" ref="W14:W15" si="4">IF($C14="",0,IF($C14=1,F14,0))</f>
        <v>0</v>
      </c>
      <c r="X14" s="975">
        <f t="shared" ref="X14:X15" si="5">IF($C14="",0,IF($C14=1,G14,0))</f>
        <v>0</v>
      </c>
      <c r="Y14" s="975">
        <f t="shared" ref="Y14:Y15" si="6">IF($C14="",0,IF($C14=1,H14,0))</f>
        <v>0</v>
      </c>
      <c r="Z14" s="975">
        <f t="shared" ref="Z14:Z15" si="7">IF($C14="",0,IF($C14=1,I14,0))</f>
        <v>0</v>
      </c>
      <c r="AA14" s="975">
        <f t="shared" ref="AA14:AA15" si="8">IF($C14="",0,IF($C14=1,J14,0))</f>
        <v>0</v>
      </c>
      <c r="AB14" s="975">
        <f t="shared" ref="AB14:AB15" si="9">IF($C14="",0,IF($C14=1,K14,0))</f>
        <v>0</v>
      </c>
      <c r="AC14" s="975">
        <f t="shared" ref="AC14:AC15" si="10">IF($C14="",0,IF($C14=1,L14,0))</f>
        <v>0</v>
      </c>
      <c r="AD14" s="975">
        <f t="shared" ref="AD14:AD15" si="11">IF($C14="",0,IF($C14=1,M14,0))</f>
        <v>0</v>
      </c>
      <c r="AE14" s="975">
        <f t="shared" ref="AE14:AE15" si="12">IF($C14="",0,IF($C14=1,N14,0))</f>
        <v>0</v>
      </c>
      <c r="AF14" s="975">
        <f t="shared" ref="AF14:AF15" si="13">IF($C14="",0,IF($C14=1,O14,0))</f>
        <v>0</v>
      </c>
      <c r="AG14" s="975">
        <f t="shared" ref="AG14:AG15" si="14">IF($C14="",0,IF($C14=1,P14,0))</f>
        <v>0</v>
      </c>
      <c r="AH14" s="975">
        <f t="shared" ref="AH14:AH15" si="15">IF($C14="",0,IF($C14=1,Q14,0))</f>
        <v>0</v>
      </c>
      <c r="AI14" s="975">
        <f t="shared" ref="AI14:AI15" si="16">IF($C14="",0,IF($C14=1,R14,0))</f>
        <v>0</v>
      </c>
      <c r="AJ14" s="975">
        <f t="shared" ref="AJ14:AJ15" si="17">IF($C14="",0,IF($C14=1,S14,0))</f>
        <v>0</v>
      </c>
      <c r="AK14" s="975">
        <f t="shared" ref="AK14:AK15" si="18">IF($C14="",0,IF($C14=1,T14,0))</f>
        <v>0</v>
      </c>
    </row>
    <row r="15" spans="1:37" s="977" customFormat="1" x14ac:dyDescent="0.2">
      <c r="A15" s="1410" t="str">
        <f>'T1'!A15</f>
        <v xml:space="preserve">Domaine 10 : </v>
      </c>
      <c r="B15" s="1410" t="str">
        <f>IF('T1'!B15="","",'T1'!B15)</f>
        <v/>
      </c>
      <c r="C15" s="1411">
        <f>'T1'!C15</f>
        <v>1</v>
      </c>
      <c r="D15" s="1665"/>
      <c r="E15" s="1665"/>
      <c r="F15" s="1665"/>
      <c r="G15" s="1665"/>
      <c r="H15" s="1665"/>
      <c r="I15" s="1665"/>
      <c r="J15" s="1665"/>
      <c r="K15" s="1665"/>
      <c r="L15" s="1665"/>
      <c r="M15" s="1665"/>
      <c r="N15" s="1665"/>
      <c r="O15" s="1665"/>
      <c r="P15" s="1665"/>
      <c r="Q15" s="1665"/>
      <c r="R15" s="1665"/>
      <c r="S15" s="1665"/>
      <c r="T15" s="1665"/>
      <c r="U15" s="975">
        <f t="shared" si="2"/>
        <v>0</v>
      </c>
      <c r="V15" s="975">
        <f t="shared" si="3"/>
        <v>0</v>
      </c>
      <c r="W15" s="975">
        <f t="shared" si="4"/>
        <v>0</v>
      </c>
      <c r="X15" s="975">
        <f t="shared" si="5"/>
        <v>0</v>
      </c>
      <c r="Y15" s="975">
        <f t="shared" si="6"/>
        <v>0</v>
      </c>
      <c r="Z15" s="975">
        <f t="shared" si="7"/>
        <v>0</v>
      </c>
      <c r="AA15" s="975">
        <f t="shared" si="8"/>
        <v>0</v>
      </c>
      <c r="AB15" s="975">
        <f t="shared" si="9"/>
        <v>0</v>
      </c>
      <c r="AC15" s="975">
        <f t="shared" si="10"/>
        <v>0</v>
      </c>
      <c r="AD15" s="975">
        <f t="shared" si="11"/>
        <v>0</v>
      </c>
      <c r="AE15" s="975">
        <f t="shared" si="12"/>
        <v>0</v>
      </c>
      <c r="AF15" s="975">
        <f t="shared" si="13"/>
        <v>0</v>
      </c>
      <c r="AG15" s="975">
        <f t="shared" si="14"/>
        <v>0</v>
      </c>
      <c r="AH15" s="975">
        <f t="shared" si="15"/>
        <v>0</v>
      </c>
      <c r="AI15" s="975">
        <f t="shared" si="16"/>
        <v>0</v>
      </c>
      <c r="AJ15" s="975">
        <f t="shared" si="17"/>
        <v>0</v>
      </c>
      <c r="AK15" s="975">
        <f t="shared" si="18"/>
        <v>0</v>
      </c>
    </row>
    <row r="16" spans="1:37" s="977" customFormat="1" ht="15.75" customHeight="1" x14ac:dyDescent="0.2">
      <c r="A16" s="1410" t="str">
        <f>'T1'!A16</f>
        <v>Domaine 11 :</v>
      </c>
      <c r="B16" s="1410" t="str">
        <f>IF('T1'!B16="","",'T1'!B16)</f>
        <v/>
      </c>
      <c r="C16" s="1411">
        <f>'T1'!C16</f>
        <v>1</v>
      </c>
      <c r="D16" s="1665"/>
      <c r="E16" s="1665"/>
      <c r="F16" s="1665"/>
      <c r="G16" s="1665"/>
      <c r="H16" s="1665"/>
      <c r="I16" s="1665"/>
      <c r="J16" s="1665"/>
      <c r="K16" s="1665"/>
      <c r="L16" s="1665"/>
      <c r="M16" s="1665"/>
      <c r="N16" s="1665"/>
      <c r="O16" s="1665"/>
      <c r="P16" s="1665"/>
      <c r="Q16" s="1665"/>
      <c r="R16" s="1665"/>
      <c r="S16" s="1665"/>
      <c r="T16" s="1665"/>
      <c r="U16" s="975">
        <f t="shared" si="0"/>
        <v>0</v>
      </c>
      <c r="V16" s="975">
        <f t="shared" si="0"/>
        <v>0</v>
      </c>
      <c r="W16" s="975">
        <f t="shared" si="0"/>
        <v>0</v>
      </c>
      <c r="X16" s="975">
        <f t="shared" si="0"/>
        <v>0</v>
      </c>
      <c r="Y16" s="975">
        <f t="shared" si="0"/>
        <v>0</v>
      </c>
      <c r="Z16" s="975">
        <f t="shared" si="0"/>
        <v>0</v>
      </c>
      <c r="AA16" s="975">
        <f t="shared" si="0"/>
        <v>0</v>
      </c>
      <c r="AB16" s="975">
        <f t="shared" si="0"/>
        <v>0</v>
      </c>
      <c r="AC16" s="975">
        <f t="shared" si="0"/>
        <v>0</v>
      </c>
      <c r="AD16" s="975">
        <f t="shared" si="0"/>
        <v>0</v>
      </c>
      <c r="AE16" s="975">
        <f t="shared" si="0"/>
        <v>0</v>
      </c>
      <c r="AF16" s="975">
        <f t="shared" si="0"/>
        <v>0</v>
      </c>
      <c r="AG16" s="975">
        <f t="shared" si="0"/>
        <v>0</v>
      </c>
      <c r="AH16" s="975">
        <f t="shared" si="0"/>
        <v>0</v>
      </c>
      <c r="AI16" s="975">
        <f t="shared" si="0"/>
        <v>0</v>
      </c>
      <c r="AJ16" s="975">
        <f t="shared" si="0"/>
        <v>0</v>
      </c>
      <c r="AK16" s="975">
        <f t="shared" si="1"/>
        <v>0</v>
      </c>
    </row>
    <row r="17" spans="1:37" s="977" customFormat="1" ht="15.75" customHeight="1" x14ac:dyDescent="0.2">
      <c r="A17" s="1410" t="str">
        <f>'T1'!A17</f>
        <v xml:space="preserve">Domaine 12 : </v>
      </c>
      <c r="B17" s="1410" t="str">
        <f>IF('T1'!B17="","",'T1'!B17)</f>
        <v/>
      </c>
      <c r="C17" s="1411">
        <f>'T1'!C17</f>
        <v>1</v>
      </c>
      <c r="D17" s="1665"/>
      <c r="E17" s="1665"/>
      <c r="F17" s="1665"/>
      <c r="G17" s="1665"/>
      <c r="H17" s="1665"/>
      <c r="I17" s="1665"/>
      <c r="J17" s="1665"/>
      <c r="K17" s="1665"/>
      <c r="L17" s="1665"/>
      <c r="M17" s="1665"/>
      <c r="N17" s="1665"/>
      <c r="O17" s="1665"/>
      <c r="P17" s="1665"/>
      <c r="Q17" s="1665"/>
      <c r="R17" s="1665"/>
      <c r="S17" s="1665"/>
      <c r="T17" s="1665"/>
      <c r="U17" s="975">
        <f t="shared" si="0"/>
        <v>0</v>
      </c>
      <c r="V17" s="975">
        <f t="shared" si="0"/>
        <v>0</v>
      </c>
      <c r="W17" s="975">
        <f t="shared" si="0"/>
        <v>0</v>
      </c>
      <c r="X17" s="975">
        <f t="shared" si="0"/>
        <v>0</v>
      </c>
      <c r="Y17" s="975">
        <f t="shared" si="0"/>
        <v>0</v>
      </c>
      <c r="Z17" s="975">
        <f t="shared" si="0"/>
        <v>0</v>
      </c>
      <c r="AA17" s="975">
        <f t="shared" si="0"/>
        <v>0</v>
      </c>
      <c r="AB17" s="975">
        <f t="shared" si="0"/>
        <v>0</v>
      </c>
      <c r="AC17" s="975">
        <f t="shared" si="0"/>
        <v>0</v>
      </c>
      <c r="AD17" s="975">
        <f t="shared" si="0"/>
        <v>0</v>
      </c>
      <c r="AE17" s="975">
        <f t="shared" si="0"/>
        <v>0</v>
      </c>
      <c r="AF17" s="975">
        <f t="shared" si="0"/>
        <v>0</v>
      </c>
      <c r="AG17" s="975">
        <f t="shared" si="0"/>
        <v>0</v>
      </c>
      <c r="AH17" s="975">
        <f t="shared" si="0"/>
        <v>0</v>
      </c>
      <c r="AI17" s="975">
        <f t="shared" si="0"/>
        <v>0</v>
      </c>
      <c r="AJ17" s="975">
        <f t="shared" si="0"/>
        <v>0</v>
      </c>
      <c r="AK17" s="975">
        <f t="shared" si="1"/>
        <v>0</v>
      </c>
    </row>
    <row r="18" spans="1:37" s="977" customFormat="1" ht="15.75" customHeight="1" x14ac:dyDescent="0.2">
      <c r="A18" s="1410" t="str">
        <f>'T1'!A18</f>
        <v>Domaine 13 :</v>
      </c>
      <c r="B18" s="1410" t="str">
        <f>IF('T1'!B18="","",'T1'!B18)</f>
        <v/>
      </c>
      <c r="C18" s="1411">
        <f>'T1'!C18</f>
        <v>1</v>
      </c>
      <c r="D18" s="1665"/>
      <c r="E18" s="1665"/>
      <c r="F18" s="1665"/>
      <c r="G18" s="1665"/>
      <c r="H18" s="1665"/>
      <c r="I18" s="1665"/>
      <c r="J18" s="1665"/>
      <c r="K18" s="1665"/>
      <c r="L18" s="1665"/>
      <c r="M18" s="1665"/>
      <c r="N18" s="1665"/>
      <c r="O18" s="1665"/>
      <c r="P18" s="1665"/>
      <c r="Q18" s="1665"/>
      <c r="R18" s="1665"/>
      <c r="S18" s="1665"/>
      <c r="T18" s="1665"/>
      <c r="U18" s="975">
        <f t="shared" si="0"/>
        <v>0</v>
      </c>
      <c r="V18" s="975">
        <f t="shared" si="0"/>
        <v>0</v>
      </c>
      <c r="W18" s="975">
        <f t="shared" si="0"/>
        <v>0</v>
      </c>
      <c r="X18" s="975">
        <f t="shared" si="0"/>
        <v>0</v>
      </c>
      <c r="Y18" s="975">
        <f t="shared" si="0"/>
        <v>0</v>
      </c>
      <c r="Z18" s="975">
        <f t="shared" si="0"/>
        <v>0</v>
      </c>
      <c r="AA18" s="975">
        <f t="shared" si="0"/>
        <v>0</v>
      </c>
      <c r="AB18" s="975">
        <f t="shared" si="0"/>
        <v>0</v>
      </c>
      <c r="AC18" s="975">
        <f t="shared" si="0"/>
        <v>0</v>
      </c>
      <c r="AD18" s="975">
        <f t="shared" si="0"/>
        <v>0</v>
      </c>
      <c r="AE18" s="975">
        <f t="shared" si="0"/>
        <v>0</v>
      </c>
      <c r="AF18" s="975">
        <f t="shared" si="0"/>
        <v>0</v>
      </c>
      <c r="AG18" s="975">
        <f t="shared" si="0"/>
        <v>0</v>
      </c>
      <c r="AH18" s="975">
        <f t="shared" si="0"/>
        <v>0</v>
      </c>
      <c r="AI18" s="975">
        <f t="shared" si="0"/>
        <v>0</v>
      </c>
      <c r="AJ18" s="975">
        <f t="shared" si="0"/>
        <v>0</v>
      </c>
      <c r="AK18" s="975">
        <f t="shared" si="1"/>
        <v>0</v>
      </c>
    </row>
    <row r="19" spans="1:37" s="977" customFormat="1" ht="15.75" customHeight="1" x14ac:dyDescent="0.2">
      <c r="A19" s="1410" t="str">
        <f>'T1'!A19</f>
        <v xml:space="preserve">Domaine 14 : </v>
      </c>
      <c r="B19" s="1410" t="str">
        <f>IF('T1'!B19="","",'T1'!B19)</f>
        <v/>
      </c>
      <c r="C19" s="1411">
        <f>'T1'!C19</f>
        <v>1</v>
      </c>
      <c r="D19" s="1665"/>
      <c r="E19" s="1665"/>
      <c r="F19" s="1665"/>
      <c r="G19" s="1665"/>
      <c r="H19" s="1665"/>
      <c r="I19" s="1665"/>
      <c r="J19" s="1665"/>
      <c r="K19" s="1665"/>
      <c r="L19" s="1665"/>
      <c r="M19" s="1665"/>
      <c r="N19" s="1665"/>
      <c r="O19" s="1665"/>
      <c r="P19" s="1665"/>
      <c r="Q19" s="1665"/>
      <c r="R19" s="1665"/>
      <c r="S19" s="1665"/>
      <c r="T19" s="1665"/>
      <c r="U19" s="975">
        <f t="shared" si="0"/>
        <v>0</v>
      </c>
      <c r="V19" s="975">
        <f t="shared" si="0"/>
        <v>0</v>
      </c>
      <c r="W19" s="975">
        <f t="shared" si="0"/>
        <v>0</v>
      </c>
      <c r="X19" s="975">
        <f t="shared" si="0"/>
        <v>0</v>
      </c>
      <c r="Y19" s="975">
        <f t="shared" si="0"/>
        <v>0</v>
      </c>
      <c r="Z19" s="975">
        <f t="shared" si="0"/>
        <v>0</v>
      </c>
      <c r="AA19" s="975">
        <f t="shared" si="0"/>
        <v>0</v>
      </c>
      <c r="AB19" s="975">
        <f t="shared" si="0"/>
        <v>0</v>
      </c>
      <c r="AC19" s="975">
        <f t="shared" si="0"/>
        <v>0</v>
      </c>
      <c r="AD19" s="975">
        <f t="shared" si="0"/>
        <v>0</v>
      </c>
      <c r="AE19" s="975">
        <f t="shared" si="0"/>
        <v>0</v>
      </c>
      <c r="AF19" s="975">
        <f t="shared" si="0"/>
        <v>0</v>
      </c>
      <c r="AG19" s="975">
        <f t="shared" si="0"/>
        <v>0</v>
      </c>
      <c r="AH19" s="975">
        <f t="shared" si="0"/>
        <v>0</v>
      </c>
      <c r="AI19" s="975">
        <f t="shared" si="0"/>
        <v>0</v>
      </c>
      <c r="AJ19" s="975">
        <f t="shared" si="0"/>
        <v>0</v>
      </c>
      <c r="AK19" s="975">
        <f t="shared" si="1"/>
        <v>0</v>
      </c>
    </row>
    <row r="20" spans="1:37" s="977" customFormat="1" ht="15.75" customHeight="1" x14ac:dyDescent="0.2">
      <c r="A20" s="1410" t="str">
        <f>'T1'!A20</f>
        <v>Domaine 15 :</v>
      </c>
      <c r="B20" s="1410" t="str">
        <f>IF('T1'!B20="","",'T1'!B20)</f>
        <v/>
      </c>
      <c r="C20" s="1411">
        <f>'T1'!C20</f>
        <v>1</v>
      </c>
      <c r="D20" s="1665"/>
      <c r="E20" s="1665"/>
      <c r="F20" s="1665"/>
      <c r="G20" s="1665"/>
      <c r="H20" s="1665"/>
      <c r="I20" s="1665"/>
      <c r="J20" s="1665"/>
      <c r="K20" s="1665"/>
      <c r="L20" s="1665"/>
      <c r="M20" s="1665"/>
      <c r="N20" s="1665"/>
      <c r="O20" s="1665"/>
      <c r="P20" s="1665"/>
      <c r="Q20" s="1665"/>
      <c r="R20" s="1665"/>
      <c r="S20" s="1665"/>
      <c r="T20" s="1665"/>
      <c r="U20" s="975">
        <f t="shared" si="0"/>
        <v>0</v>
      </c>
      <c r="V20" s="975">
        <f t="shared" si="0"/>
        <v>0</v>
      </c>
      <c r="W20" s="975">
        <f t="shared" si="0"/>
        <v>0</v>
      </c>
      <c r="X20" s="975">
        <f t="shared" si="0"/>
        <v>0</v>
      </c>
      <c r="Y20" s="975">
        <f t="shared" si="0"/>
        <v>0</v>
      </c>
      <c r="Z20" s="975">
        <f t="shared" si="0"/>
        <v>0</v>
      </c>
      <c r="AA20" s="975">
        <f t="shared" si="0"/>
        <v>0</v>
      </c>
      <c r="AB20" s="975">
        <f t="shared" si="0"/>
        <v>0</v>
      </c>
      <c r="AC20" s="975">
        <f t="shared" si="0"/>
        <v>0</v>
      </c>
      <c r="AD20" s="975">
        <f t="shared" si="0"/>
        <v>0</v>
      </c>
      <c r="AE20" s="975">
        <f t="shared" si="0"/>
        <v>0</v>
      </c>
      <c r="AF20" s="975">
        <f t="shared" si="0"/>
        <v>0</v>
      </c>
      <c r="AG20" s="975">
        <f t="shared" si="0"/>
        <v>0</v>
      </c>
      <c r="AH20" s="975">
        <f t="shared" si="0"/>
        <v>0</v>
      </c>
      <c r="AI20" s="975">
        <f t="shared" si="0"/>
        <v>0</v>
      </c>
      <c r="AJ20" s="975">
        <f t="shared" si="0"/>
        <v>0</v>
      </c>
      <c r="AK20" s="975">
        <f t="shared" si="1"/>
        <v>0</v>
      </c>
    </row>
    <row r="21" spans="1:37" ht="15.75" customHeight="1" x14ac:dyDescent="0.2">
      <c r="A21" s="978" t="str">
        <f>'T1'!A21</f>
        <v>Processus transverses</v>
      </c>
      <c r="B21" s="999" t="str">
        <f>IF('T1'!B21="","",'T1'!B21)</f>
        <v/>
      </c>
      <c r="C21" s="999"/>
      <c r="D21" s="1687"/>
      <c r="E21" s="1687"/>
      <c r="F21" s="1687"/>
      <c r="G21" s="1687"/>
      <c r="H21" s="1687"/>
      <c r="I21" s="1687"/>
      <c r="J21" s="1687"/>
      <c r="K21" s="1687"/>
      <c r="L21" s="1687"/>
      <c r="M21" s="1687"/>
      <c r="N21" s="1687"/>
      <c r="O21" s="1687"/>
      <c r="P21" s="1687"/>
      <c r="Q21" s="1687"/>
      <c r="R21" s="1687"/>
      <c r="S21" s="1687"/>
      <c r="T21" s="1687"/>
      <c r="U21" s="1000"/>
      <c r="V21" s="1000"/>
      <c r="W21" s="1000"/>
      <c r="X21" s="1000"/>
      <c r="Y21" s="1000"/>
      <c r="Z21" s="1000"/>
      <c r="AA21" s="1000"/>
      <c r="AB21" s="1000"/>
      <c r="AC21" s="1000"/>
      <c r="AD21" s="1000"/>
      <c r="AE21" s="1000"/>
      <c r="AF21" s="1000"/>
      <c r="AG21" s="1000"/>
      <c r="AH21" s="1000"/>
      <c r="AI21" s="1000"/>
      <c r="AJ21" s="1000"/>
      <c r="AK21" s="1000"/>
    </row>
    <row r="22" spans="1:37" ht="15.75" customHeight="1" x14ac:dyDescent="0.2">
      <c r="A22" s="1410" t="str">
        <f>'T1'!A22</f>
        <v>Processus 1 :</v>
      </c>
      <c r="B22" s="1410" t="str">
        <f>IF('T1'!B22="","",'T1'!B22)</f>
        <v/>
      </c>
      <c r="C22" s="1411">
        <f>'T1'!C22</f>
        <v>1</v>
      </c>
      <c r="D22" s="1665"/>
      <c r="E22" s="1665"/>
      <c r="F22" s="1665"/>
      <c r="G22" s="1665"/>
      <c r="H22" s="1665"/>
      <c r="I22" s="1665"/>
      <c r="J22" s="1665"/>
      <c r="K22" s="1665"/>
      <c r="L22" s="1665"/>
      <c r="M22" s="1665"/>
      <c r="N22" s="1665"/>
      <c r="O22" s="1665"/>
      <c r="P22" s="1665"/>
      <c r="Q22" s="1665"/>
      <c r="R22" s="1665"/>
      <c r="S22" s="1665"/>
      <c r="T22" s="1665"/>
      <c r="U22" s="975">
        <f t="shared" ref="U22:AI24" si="19">IF($C22="",0,IF($C22=1,D22,0))</f>
        <v>0</v>
      </c>
      <c r="V22" s="975">
        <f t="shared" si="19"/>
        <v>0</v>
      </c>
      <c r="W22" s="975">
        <f t="shared" si="19"/>
        <v>0</v>
      </c>
      <c r="X22" s="975">
        <f t="shared" si="19"/>
        <v>0</v>
      </c>
      <c r="Y22" s="975">
        <f t="shared" si="19"/>
        <v>0</v>
      </c>
      <c r="Z22" s="975">
        <f t="shared" si="19"/>
        <v>0</v>
      </c>
      <c r="AA22" s="975">
        <f t="shared" si="19"/>
        <v>0</v>
      </c>
      <c r="AB22" s="975">
        <f t="shared" si="19"/>
        <v>0</v>
      </c>
      <c r="AC22" s="975">
        <f t="shared" si="19"/>
        <v>0</v>
      </c>
      <c r="AD22" s="975">
        <f t="shared" si="19"/>
        <v>0</v>
      </c>
      <c r="AE22" s="975">
        <f t="shared" si="19"/>
        <v>0</v>
      </c>
      <c r="AF22" s="975">
        <f t="shared" si="19"/>
        <v>0</v>
      </c>
      <c r="AG22" s="975">
        <f t="shared" si="19"/>
        <v>0</v>
      </c>
      <c r="AH22" s="975">
        <f t="shared" si="19"/>
        <v>0</v>
      </c>
      <c r="AI22" s="975">
        <f t="shared" si="19"/>
        <v>0</v>
      </c>
      <c r="AJ22" s="975">
        <f t="shared" ref="AJ22:AJ24" si="20">IF($C22="",0,IF($C22=1,S22,0))</f>
        <v>0</v>
      </c>
      <c r="AK22" s="975">
        <f t="shared" si="1"/>
        <v>0</v>
      </c>
    </row>
    <row r="23" spans="1:37" ht="15.75" customHeight="1" x14ac:dyDescent="0.2">
      <c r="A23" s="1410" t="str">
        <f>'T1'!A23</f>
        <v>Processus 2 :</v>
      </c>
      <c r="B23" s="1410" t="str">
        <f>IF('T1'!B23="","",'T1'!B23)</f>
        <v/>
      </c>
      <c r="C23" s="1411">
        <f>'T1'!C23</f>
        <v>1</v>
      </c>
      <c r="D23" s="1665"/>
      <c r="E23" s="1665"/>
      <c r="F23" s="1665"/>
      <c r="G23" s="1665"/>
      <c r="H23" s="1665"/>
      <c r="I23" s="1665"/>
      <c r="J23" s="1665"/>
      <c r="K23" s="1665"/>
      <c r="L23" s="1665"/>
      <c r="M23" s="1665"/>
      <c r="N23" s="1665"/>
      <c r="O23" s="1665"/>
      <c r="P23" s="1665"/>
      <c r="Q23" s="1665"/>
      <c r="R23" s="1665"/>
      <c r="S23" s="1665"/>
      <c r="T23" s="1665"/>
      <c r="U23" s="975">
        <f t="shared" si="19"/>
        <v>0</v>
      </c>
      <c r="V23" s="975">
        <f t="shared" si="19"/>
        <v>0</v>
      </c>
      <c r="W23" s="975">
        <f t="shared" si="19"/>
        <v>0</v>
      </c>
      <c r="X23" s="975">
        <f t="shared" si="19"/>
        <v>0</v>
      </c>
      <c r="Y23" s="975">
        <f t="shared" si="19"/>
        <v>0</v>
      </c>
      <c r="Z23" s="975">
        <f t="shared" si="19"/>
        <v>0</v>
      </c>
      <c r="AA23" s="975">
        <f t="shared" si="19"/>
        <v>0</v>
      </c>
      <c r="AB23" s="975">
        <f t="shared" si="19"/>
        <v>0</v>
      </c>
      <c r="AC23" s="975">
        <f t="shared" si="19"/>
        <v>0</v>
      </c>
      <c r="AD23" s="975">
        <f t="shared" si="19"/>
        <v>0</v>
      </c>
      <c r="AE23" s="975">
        <f t="shared" si="19"/>
        <v>0</v>
      </c>
      <c r="AF23" s="975">
        <f t="shared" si="19"/>
        <v>0</v>
      </c>
      <c r="AG23" s="975">
        <f t="shared" si="19"/>
        <v>0</v>
      </c>
      <c r="AH23" s="975">
        <f t="shared" si="19"/>
        <v>0</v>
      </c>
      <c r="AI23" s="975">
        <f t="shared" si="19"/>
        <v>0</v>
      </c>
      <c r="AJ23" s="975">
        <f t="shared" si="20"/>
        <v>0</v>
      </c>
      <c r="AK23" s="975">
        <f t="shared" si="1"/>
        <v>0</v>
      </c>
    </row>
    <row r="24" spans="1:37" ht="15.75" customHeight="1" x14ac:dyDescent="0.2">
      <c r="A24" s="1410" t="str">
        <f>'T1'!A24</f>
        <v>Processus 3 :</v>
      </c>
      <c r="B24" s="1410" t="str">
        <f>IF('T1'!B24="","",'T1'!B24)</f>
        <v/>
      </c>
      <c r="C24" s="1411">
        <f>'T1'!C24</f>
        <v>1</v>
      </c>
      <c r="D24" s="1665"/>
      <c r="E24" s="1665"/>
      <c r="F24" s="1665"/>
      <c r="G24" s="1665"/>
      <c r="H24" s="1665"/>
      <c r="I24" s="1665"/>
      <c r="J24" s="1665"/>
      <c r="K24" s="1665"/>
      <c r="L24" s="1665"/>
      <c r="M24" s="1665"/>
      <c r="N24" s="1665"/>
      <c r="O24" s="1665"/>
      <c r="P24" s="1665"/>
      <c r="Q24" s="1665"/>
      <c r="R24" s="1665"/>
      <c r="S24" s="1665"/>
      <c r="T24" s="1665"/>
      <c r="U24" s="975">
        <f t="shared" si="19"/>
        <v>0</v>
      </c>
      <c r="V24" s="975">
        <f t="shared" si="19"/>
        <v>0</v>
      </c>
      <c r="W24" s="975">
        <f t="shared" si="19"/>
        <v>0</v>
      </c>
      <c r="X24" s="975">
        <f t="shared" si="19"/>
        <v>0</v>
      </c>
      <c r="Y24" s="975">
        <f t="shared" si="19"/>
        <v>0</v>
      </c>
      <c r="Z24" s="975">
        <f t="shared" si="19"/>
        <v>0</v>
      </c>
      <c r="AA24" s="975">
        <f t="shared" si="19"/>
        <v>0</v>
      </c>
      <c r="AB24" s="975">
        <f t="shared" si="19"/>
        <v>0</v>
      </c>
      <c r="AC24" s="975">
        <f t="shared" si="19"/>
        <v>0</v>
      </c>
      <c r="AD24" s="975">
        <f t="shared" si="19"/>
        <v>0</v>
      </c>
      <c r="AE24" s="975">
        <f t="shared" si="19"/>
        <v>0</v>
      </c>
      <c r="AF24" s="975">
        <f t="shared" si="19"/>
        <v>0</v>
      </c>
      <c r="AG24" s="975">
        <f t="shared" si="19"/>
        <v>0</v>
      </c>
      <c r="AH24" s="975">
        <f t="shared" si="19"/>
        <v>0</v>
      </c>
      <c r="AI24" s="975">
        <f t="shared" si="19"/>
        <v>0</v>
      </c>
      <c r="AJ24" s="975">
        <f t="shared" si="20"/>
        <v>0</v>
      </c>
      <c r="AK24" s="975">
        <f t="shared" si="1"/>
        <v>0</v>
      </c>
    </row>
    <row r="25" spans="1:37" ht="15.75" customHeight="1" x14ac:dyDescent="0.2">
      <c r="A25" s="1410" t="str">
        <f>'T1'!A25</f>
        <v>Administration &amp; politique d'ensemble</v>
      </c>
      <c r="B25" s="1410" t="str">
        <f>IF('T1'!B25="","",'T1'!B25)</f>
        <v/>
      </c>
      <c r="C25" s="1411">
        <f>'T1'!C25</f>
        <v>1</v>
      </c>
      <c r="D25" s="1668"/>
      <c r="E25" s="1668"/>
      <c r="F25" s="1668"/>
      <c r="G25" s="1668"/>
      <c r="H25" s="1668"/>
      <c r="I25" s="1668"/>
      <c r="J25" s="1668"/>
      <c r="K25" s="1668"/>
      <c r="L25" s="1668"/>
      <c r="M25" s="1668"/>
      <c r="N25" s="1668"/>
      <c r="O25" s="1668"/>
      <c r="P25" s="1668"/>
      <c r="Q25" s="1668"/>
      <c r="R25" s="1668"/>
      <c r="S25" s="1668"/>
      <c r="T25" s="1668"/>
      <c r="U25" s="975">
        <f t="shared" ref="U25" si="21">IF($C25="",0,IF($C25=1,D25,0))</f>
        <v>0</v>
      </c>
      <c r="V25" s="975">
        <f t="shared" ref="V25" si="22">IF($C25="",0,IF($C25=1,E25,0))</f>
        <v>0</v>
      </c>
      <c r="W25" s="975">
        <f t="shared" ref="W25" si="23">IF($C25="",0,IF($C25=1,F25,0))</f>
        <v>0</v>
      </c>
      <c r="X25" s="975">
        <f t="shared" ref="X25" si="24">IF($C25="",0,IF($C25=1,G25,0))</f>
        <v>0</v>
      </c>
      <c r="Y25" s="975">
        <f t="shared" ref="Y25" si="25">IF($C25="",0,IF($C25=1,H25,0))</f>
        <v>0</v>
      </c>
      <c r="Z25" s="975">
        <f t="shared" ref="Z25" si="26">IF($C25="",0,IF($C25=1,I25,0))</f>
        <v>0</v>
      </c>
      <c r="AA25" s="975">
        <f t="shared" ref="AA25" si="27">IF($C25="",0,IF($C25=1,J25,0))</f>
        <v>0</v>
      </c>
      <c r="AB25" s="975">
        <f t="shared" ref="AB25" si="28">IF($C25="",0,IF($C25=1,K25,0))</f>
        <v>0</v>
      </c>
      <c r="AC25" s="975">
        <f t="shared" ref="AC25" si="29">IF($C25="",0,IF($C25=1,L25,0))</f>
        <v>0</v>
      </c>
      <c r="AD25" s="975">
        <f t="shared" ref="AD25" si="30">IF($C25="",0,IF($C25=1,M25,0))</f>
        <v>0</v>
      </c>
      <c r="AE25" s="975">
        <f t="shared" ref="AE25" si="31">IF($C25="",0,IF($C25=1,N25,0))</f>
        <v>0</v>
      </c>
      <c r="AF25" s="975">
        <f t="shared" ref="AF25" si="32">IF($C25="",0,IF($C25=1,O25,0))</f>
        <v>0</v>
      </c>
      <c r="AG25" s="975">
        <f t="shared" ref="AG25" si="33">IF($C25="",0,IF($C25=1,P25,0))</f>
        <v>0</v>
      </c>
      <c r="AH25" s="975">
        <f t="shared" ref="AH25" si="34">IF($C25="",0,IF($C25=1,Q25,0))</f>
        <v>0</v>
      </c>
      <c r="AI25" s="975">
        <f t="shared" ref="AI25" si="35">IF($C25="",0,IF($C25=1,R25,0))</f>
        <v>0</v>
      </c>
      <c r="AJ25" s="975">
        <f t="shared" ref="AJ25" si="36">IF($C25="",0,IF($C25=1,S25,0))</f>
        <v>0</v>
      </c>
      <c r="AK25" s="975">
        <f t="shared" ref="AK25" si="37">IF($C25="",0,IF($C25=1,T25,0))</f>
        <v>0</v>
      </c>
    </row>
    <row r="26" spans="1:37" s="956" customFormat="1" ht="22.5" customHeight="1" x14ac:dyDescent="0.2">
      <c r="A26" s="1922" t="s">
        <v>902</v>
      </c>
      <c r="B26" s="1922"/>
      <c r="C26" s="1922"/>
      <c r="D26" s="1001" t="str">
        <f t="shared" ref="D26:T26" si="38">IF(MAX(D6:D25)=0,"",MAX(D6:D25))</f>
        <v/>
      </c>
      <c r="E26" s="979" t="str">
        <f t="shared" si="38"/>
        <v/>
      </c>
      <c r="F26" s="979" t="str">
        <f t="shared" si="38"/>
        <v/>
      </c>
      <c r="G26" s="979" t="str">
        <f t="shared" si="38"/>
        <v/>
      </c>
      <c r="H26" s="979" t="str">
        <f t="shared" si="38"/>
        <v/>
      </c>
      <c r="I26" s="979" t="str">
        <f t="shared" si="38"/>
        <v/>
      </c>
      <c r="J26" s="979" t="str">
        <f t="shared" si="38"/>
        <v/>
      </c>
      <c r="K26" s="979" t="str">
        <f t="shared" si="38"/>
        <v/>
      </c>
      <c r="L26" s="979" t="str">
        <f t="shared" si="38"/>
        <v/>
      </c>
      <c r="M26" s="979" t="str">
        <f t="shared" si="38"/>
        <v/>
      </c>
      <c r="N26" s="979" t="str">
        <f t="shared" si="38"/>
        <v/>
      </c>
      <c r="O26" s="979" t="str">
        <f t="shared" si="38"/>
        <v/>
      </c>
      <c r="P26" s="979" t="str">
        <f t="shared" si="38"/>
        <v/>
      </c>
      <c r="Q26" s="979" t="str">
        <f t="shared" si="38"/>
        <v/>
      </c>
      <c r="R26" s="979" t="str">
        <f t="shared" si="38"/>
        <v/>
      </c>
      <c r="S26" s="979" t="str">
        <f t="shared" si="38"/>
        <v/>
      </c>
      <c r="T26" s="979" t="str">
        <f t="shared" si="38"/>
        <v/>
      </c>
      <c r="U26" s="980"/>
      <c r="V26" s="980"/>
      <c r="W26" s="980"/>
      <c r="X26" s="980"/>
      <c r="Y26" s="980"/>
      <c r="Z26" s="980"/>
      <c r="AA26" s="980"/>
      <c r="AB26" s="980"/>
      <c r="AC26" s="980"/>
      <c r="AD26" s="980"/>
      <c r="AE26" s="980"/>
      <c r="AF26" s="980"/>
      <c r="AG26" s="980"/>
      <c r="AH26" s="980"/>
      <c r="AI26" s="980"/>
      <c r="AJ26" s="980"/>
      <c r="AK26" s="980"/>
    </row>
    <row r="27" spans="1:37" s="985" customFormat="1" ht="30.75" customHeight="1" thickBot="1" x14ac:dyDescent="0.25">
      <c r="A27" s="1923" t="s">
        <v>7214</v>
      </c>
      <c r="B27" s="1923"/>
      <c r="C27" s="1923"/>
      <c r="D27" s="1385" t="str">
        <f t="shared" ref="D27:T27" si="39">IF(MAX(U6:U25)=0,"",MAX(U6:U25))</f>
        <v/>
      </c>
      <c r="E27" s="1385" t="str">
        <f t="shared" si="39"/>
        <v/>
      </c>
      <c r="F27" s="1385" t="str">
        <f t="shared" si="39"/>
        <v/>
      </c>
      <c r="G27" s="1385" t="str">
        <f t="shared" si="39"/>
        <v/>
      </c>
      <c r="H27" s="1385" t="str">
        <f t="shared" si="39"/>
        <v/>
      </c>
      <c r="I27" s="1385" t="str">
        <f t="shared" si="39"/>
        <v/>
      </c>
      <c r="J27" s="1385" t="str">
        <f t="shared" si="39"/>
        <v/>
      </c>
      <c r="K27" s="1385" t="str">
        <f t="shared" si="39"/>
        <v/>
      </c>
      <c r="L27" s="1385" t="str">
        <f t="shared" si="39"/>
        <v/>
      </c>
      <c r="M27" s="1385" t="str">
        <f t="shared" si="39"/>
        <v/>
      </c>
      <c r="N27" s="1385" t="str">
        <f t="shared" si="39"/>
        <v/>
      </c>
      <c r="O27" s="1385" t="str">
        <f t="shared" si="39"/>
        <v/>
      </c>
      <c r="P27" s="1385" t="str">
        <f t="shared" si="39"/>
        <v/>
      </c>
      <c r="Q27" s="1385" t="str">
        <f t="shared" si="39"/>
        <v/>
      </c>
      <c r="R27" s="1385" t="str">
        <f t="shared" si="39"/>
        <v/>
      </c>
      <c r="S27" s="1385" t="str">
        <f t="shared" si="39"/>
        <v/>
      </c>
      <c r="T27" s="1385" t="str">
        <f t="shared" si="39"/>
        <v/>
      </c>
      <c r="U27" s="983"/>
      <c r="V27" s="983"/>
      <c r="W27" s="983"/>
      <c r="X27" s="983"/>
      <c r="Y27" s="983"/>
      <c r="Z27" s="984"/>
      <c r="AA27" s="984"/>
      <c r="AB27" s="984"/>
      <c r="AC27" s="984"/>
      <c r="AD27" s="984"/>
      <c r="AE27" s="984"/>
      <c r="AF27" s="984"/>
      <c r="AG27" s="984"/>
      <c r="AH27" s="984"/>
      <c r="AI27" s="984"/>
      <c r="AJ27" s="984"/>
      <c r="AK27" s="984"/>
    </row>
    <row r="28" spans="1:37" s="985" customFormat="1" ht="30.75" customHeight="1" thickBot="1" x14ac:dyDescent="0.25">
      <c r="A28" s="1420"/>
      <c r="B28" s="1421"/>
      <c r="C28" s="1420"/>
      <c r="D28" s="1422"/>
      <c r="E28" s="1422"/>
      <c r="F28" s="1422"/>
      <c r="G28" s="1422"/>
      <c r="H28" s="1422"/>
      <c r="I28" s="1422"/>
      <c r="J28" s="1422"/>
      <c r="K28" s="1422"/>
      <c r="L28" s="1422"/>
      <c r="M28" s="1422"/>
      <c r="N28" s="1422"/>
      <c r="O28" s="1422"/>
      <c r="P28" s="1422"/>
      <c r="Q28" s="1422"/>
      <c r="R28" s="1422"/>
      <c r="S28" s="1422"/>
      <c r="T28" s="1422"/>
      <c r="U28" s="1423"/>
      <c r="V28" s="1423"/>
      <c r="W28" s="1423"/>
      <c r="X28" s="1423"/>
      <c r="Y28" s="1423"/>
      <c r="Z28" s="1424"/>
      <c r="AA28" s="1424"/>
      <c r="AB28" s="1424"/>
      <c r="AC28" s="1424"/>
      <c r="AD28" s="1424"/>
      <c r="AE28" s="1424"/>
      <c r="AF28" s="1424"/>
      <c r="AG28" s="1424"/>
      <c r="AH28" s="1424"/>
      <c r="AI28" s="1424"/>
      <c r="AJ28" s="1424"/>
      <c r="AK28" s="1424"/>
    </row>
    <row r="29" spans="1:37" ht="38.25" x14ac:dyDescent="0.2">
      <c r="A29" s="1413" t="s">
        <v>7216</v>
      </c>
      <c r="B29" s="1928" t="s">
        <v>7434</v>
      </c>
      <c r="C29" s="1929"/>
      <c r="D29" s="1929"/>
      <c r="E29" s="1929"/>
      <c r="F29" s="1929"/>
      <c r="G29" s="1929"/>
      <c r="H29" s="1929"/>
      <c r="I29" s="1929"/>
      <c r="J29" s="1929"/>
      <c r="K29" s="1929"/>
      <c r="L29" s="1929"/>
      <c r="M29" s="1929"/>
      <c r="N29" s="1929"/>
      <c r="O29" s="1929"/>
      <c r="P29" s="1929"/>
      <c r="Q29" s="1929"/>
      <c r="R29" s="1929"/>
      <c r="S29" s="1929"/>
      <c r="T29" s="1929"/>
      <c r="U29" s="1929"/>
      <c r="V29" s="1929"/>
      <c r="W29" s="1929"/>
      <c r="X29" s="1929"/>
      <c r="Y29" s="1929"/>
      <c r="Z29" s="1929"/>
      <c r="AA29" s="1929"/>
      <c r="AB29" s="1929"/>
      <c r="AC29" s="1929"/>
      <c r="AD29" s="1929"/>
      <c r="AE29" s="1929"/>
      <c r="AF29" s="1929"/>
      <c r="AG29" s="986"/>
      <c r="AH29" s="986"/>
      <c r="AI29" s="986"/>
      <c r="AJ29" s="986"/>
      <c r="AK29" s="986"/>
    </row>
    <row r="30" spans="1:37" s="986" customFormat="1" x14ac:dyDescent="0.2">
      <c r="A30" s="1414" t="s">
        <v>7217</v>
      </c>
      <c r="B30" s="1930"/>
      <c r="C30" s="1931"/>
      <c r="D30" s="1931"/>
      <c r="E30" s="1931"/>
      <c r="F30" s="1931"/>
      <c r="G30" s="1931"/>
      <c r="H30" s="1931"/>
      <c r="I30" s="1931"/>
      <c r="J30" s="1931"/>
      <c r="K30" s="1931"/>
      <c r="L30" s="1931"/>
      <c r="M30" s="1931"/>
      <c r="N30" s="1931"/>
      <c r="O30" s="1931"/>
      <c r="P30" s="1931"/>
      <c r="Q30" s="1931"/>
      <c r="R30" s="1931"/>
      <c r="S30" s="1931"/>
      <c r="T30" s="1931"/>
      <c r="U30" s="1931"/>
      <c r="V30" s="1931"/>
      <c r="W30" s="1931"/>
      <c r="X30" s="1931"/>
      <c r="Y30" s="1931"/>
      <c r="Z30" s="1931"/>
      <c r="AA30" s="1931"/>
      <c r="AB30" s="1931"/>
      <c r="AC30" s="1931"/>
      <c r="AD30" s="1931"/>
      <c r="AE30" s="1931"/>
      <c r="AF30" s="1931"/>
    </row>
    <row r="31" spans="1:37" s="986" customFormat="1" ht="15" customHeight="1" x14ac:dyDescent="0.2">
      <c r="A31" s="1415" t="s">
        <v>7218</v>
      </c>
      <c r="B31" s="1930"/>
      <c r="C31" s="1931"/>
      <c r="D31" s="1931"/>
      <c r="E31" s="1931"/>
      <c r="F31" s="1931"/>
      <c r="G31" s="1931"/>
      <c r="H31" s="1931"/>
      <c r="I31" s="1931"/>
      <c r="J31" s="1931"/>
      <c r="K31" s="1931"/>
      <c r="L31" s="1931"/>
      <c r="M31" s="1931"/>
      <c r="N31" s="1931"/>
      <c r="O31" s="1931"/>
      <c r="P31" s="1931"/>
      <c r="Q31" s="1931"/>
      <c r="R31" s="1931"/>
      <c r="S31" s="1931"/>
      <c r="T31" s="1931"/>
      <c r="U31" s="1931"/>
      <c r="V31" s="1931"/>
      <c r="W31" s="1931"/>
      <c r="X31" s="1931"/>
      <c r="Y31" s="1931"/>
      <c r="Z31" s="1931"/>
      <c r="AA31" s="1931"/>
      <c r="AB31" s="1931"/>
      <c r="AC31" s="1931"/>
      <c r="AD31" s="1931"/>
      <c r="AE31" s="1931"/>
      <c r="AF31" s="1931"/>
    </row>
    <row r="32" spans="1:37" s="986" customFormat="1" x14ac:dyDescent="0.2">
      <c r="A32" s="1413" t="s">
        <v>7219</v>
      </c>
      <c r="B32" s="1930" t="s">
        <v>7434</v>
      </c>
      <c r="C32" s="1931"/>
      <c r="D32" s="1931"/>
      <c r="E32" s="1931"/>
      <c r="F32" s="1931"/>
      <c r="G32" s="1931"/>
      <c r="H32" s="1931"/>
      <c r="I32" s="1931"/>
      <c r="J32" s="1931"/>
      <c r="K32" s="1931"/>
      <c r="L32" s="1931"/>
      <c r="M32" s="1931"/>
      <c r="N32" s="1931"/>
      <c r="O32" s="1931"/>
      <c r="P32" s="1931"/>
      <c r="Q32" s="1931"/>
      <c r="R32" s="1931"/>
      <c r="S32" s="1931"/>
      <c r="T32" s="1931"/>
      <c r="U32" s="1931"/>
      <c r="V32" s="1931"/>
      <c r="W32" s="1931"/>
      <c r="X32" s="1931"/>
      <c r="Y32" s="1931"/>
      <c r="Z32" s="1931"/>
      <c r="AA32" s="1931"/>
      <c r="AB32" s="1931"/>
      <c r="AC32" s="1931"/>
      <c r="AD32" s="1931"/>
      <c r="AE32" s="1931"/>
      <c r="AF32" s="1931"/>
    </row>
    <row r="33" spans="1:32" s="986" customFormat="1" x14ac:dyDescent="0.2">
      <c r="A33" s="1416" t="s">
        <v>7220</v>
      </c>
      <c r="B33" s="1417" t="s">
        <v>7283</v>
      </c>
      <c r="C33" s="372"/>
      <c r="D33" s="372"/>
      <c r="E33" s="372"/>
      <c r="F33" s="372"/>
      <c r="G33" s="372"/>
      <c r="H33" s="372"/>
      <c r="I33" s="372"/>
      <c r="J33" s="372"/>
      <c r="K33" s="372"/>
      <c r="L33" s="372"/>
      <c r="M33" s="372"/>
      <c r="N33" s="372"/>
      <c r="O33" s="372"/>
      <c r="P33" s="372"/>
      <c r="Q33" s="372"/>
      <c r="R33" s="372"/>
      <c r="S33" s="372"/>
      <c r="T33" s="372"/>
      <c r="U33" s="372"/>
      <c r="V33" s="372"/>
      <c r="W33" s="372"/>
      <c r="X33" s="372"/>
      <c r="Y33" s="372"/>
      <c r="Z33" s="372"/>
      <c r="AA33" s="372"/>
      <c r="AB33" s="372"/>
      <c r="AC33" s="372"/>
      <c r="AD33" s="372"/>
      <c r="AE33" s="372"/>
      <c r="AF33" s="372"/>
    </row>
    <row r="34" spans="1:32" s="986" customFormat="1" x14ac:dyDescent="0.2">
      <c r="A34" s="1416" t="s">
        <v>7221</v>
      </c>
      <c r="B34" s="1417" t="s">
        <v>7283</v>
      </c>
      <c r="C34" s="372"/>
      <c r="D34" s="372"/>
      <c r="E34" s="372"/>
      <c r="F34" s="372"/>
      <c r="G34" s="372"/>
      <c r="H34" s="372"/>
      <c r="I34" s="372"/>
      <c r="J34" s="372"/>
      <c r="K34" s="372"/>
      <c r="L34" s="372"/>
      <c r="M34" s="372"/>
      <c r="N34" s="372"/>
      <c r="O34" s="372"/>
      <c r="P34" s="372"/>
      <c r="Q34" s="372"/>
      <c r="R34" s="372"/>
      <c r="S34" s="372"/>
      <c r="T34" s="372"/>
      <c r="U34" s="372"/>
      <c r="V34" s="372"/>
      <c r="W34" s="372"/>
      <c r="X34" s="372"/>
      <c r="Y34" s="372"/>
      <c r="Z34" s="372"/>
      <c r="AA34" s="372"/>
      <c r="AB34" s="372"/>
      <c r="AC34" s="372"/>
      <c r="AD34" s="372"/>
      <c r="AE34" s="372"/>
      <c r="AF34" s="372"/>
    </row>
    <row r="35" spans="1:32" s="986" customFormat="1" x14ac:dyDescent="0.2">
      <c r="A35" s="1416" t="s">
        <v>7222</v>
      </c>
      <c r="B35" s="1417" t="s">
        <v>7283</v>
      </c>
      <c r="C35" s="372"/>
      <c r="D35" s="372"/>
      <c r="E35" s="372"/>
      <c r="F35" s="372"/>
      <c r="G35" s="372"/>
      <c r="H35" s="372"/>
      <c r="I35" s="372"/>
      <c r="J35" s="372"/>
      <c r="K35" s="372"/>
      <c r="L35" s="372"/>
      <c r="M35" s="372"/>
      <c r="N35" s="372"/>
      <c r="O35" s="372"/>
      <c r="P35" s="372"/>
      <c r="Q35" s="372"/>
      <c r="R35" s="372"/>
      <c r="S35" s="372"/>
      <c r="T35" s="372"/>
      <c r="U35" s="372"/>
      <c r="V35" s="372"/>
      <c r="W35" s="372"/>
      <c r="X35" s="372"/>
      <c r="Y35" s="372"/>
      <c r="Z35" s="372"/>
      <c r="AA35" s="372"/>
      <c r="AB35" s="372"/>
      <c r="AC35" s="372"/>
      <c r="AD35" s="372"/>
      <c r="AE35" s="372"/>
      <c r="AF35" s="372"/>
    </row>
    <row r="36" spans="1:32" s="986" customFormat="1" x14ac:dyDescent="0.2">
      <c r="A36" s="1418" t="s">
        <v>7223</v>
      </c>
      <c r="B36" s="1417" t="s">
        <v>7283</v>
      </c>
      <c r="C36" s="372"/>
      <c r="D36" s="372"/>
      <c r="E36" s="372"/>
      <c r="F36" s="372"/>
      <c r="G36" s="372"/>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row>
    <row r="37" spans="1:32" s="986" customFormat="1" x14ac:dyDescent="0.2">
      <c r="A37" s="1287"/>
      <c r="B37" s="1287"/>
      <c r="C37" s="1287"/>
      <c r="D37" s="1287"/>
      <c r="E37" s="1287"/>
      <c r="F37" s="1287"/>
      <c r="G37" s="1287"/>
      <c r="H37" s="1287"/>
      <c r="I37" s="1287"/>
      <c r="J37" s="1287"/>
      <c r="K37" s="1287"/>
      <c r="L37" s="1287"/>
      <c r="M37" s="1287"/>
      <c r="N37" s="1287"/>
      <c r="O37" s="1287"/>
      <c r="P37" s="1287"/>
      <c r="Q37" s="1287"/>
      <c r="R37" s="1287"/>
      <c r="S37" s="1287"/>
      <c r="T37" s="1287"/>
      <c r="U37" s="1287"/>
      <c r="V37" s="1287"/>
      <c r="W37" s="1287"/>
      <c r="X37" s="1287"/>
      <c r="Y37" s="1287"/>
      <c r="Z37" s="1287"/>
      <c r="AA37" s="1287"/>
      <c r="AB37" s="1287"/>
      <c r="AC37" s="1287"/>
      <c r="AD37" s="1287"/>
      <c r="AE37" s="1287"/>
      <c r="AF37" s="1287"/>
    </row>
    <row r="38" spans="1:32" s="986" customFormat="1" ht="12" customHeight="1" x14ac:dyDescent="0.2">
      <c r="A38" s="1419" t="s">
        <v>7551</v>
      </c>
      <c r="B38" s="1927" t="s">
        <v>7555</v>
      </c>
      <c r="C38" s="1927"/>
      <c r="D38" s="1927"/>
      <c r="E38" s="1927"/>
      <c r="F38" s="1927"/>
      <c r="G38" s="1927"/>
      <c r="H38" s="1927"/>
      <c r="I38" s="1927"/>
      <c r="J38" s="1927"/>
      <c r="K38" s="1927"/>
      <c r="L38" s="1927"/>
      <c r="M38" s="1927"/>
      <c r="N38" s="1927"/>
      <c r="O38" s="1927"/>
      <c r="P38" s="1927"/>
      <c r="Q38" s="1927"/>
      <c r="R38" s="1927"/>
      <c r="S38" s="1927"/>
      <c r="T38" s="1927"/>
      <c r="U38" s="1927"/>
      <c r="V38" s="1927"/>
      <c r="W38" s="1927"/>
      <c r="X38" s="1927"/>
      <c r="Y38" s="1927"/>
      <c r="Z38" s="1927"/>
      <c r="AA38" s="1927"/>
      <c r="AB38" s="1927"/>
      <c r="AC38" s="1927"/>
      <c r="AD38" s="1927"/>
      <c r="AE38" s="1927"/>
      <c r="AF38" s="1927"/>
    </row>
    <row r="39" spans="1:32" s="986" customFormat="1" ht="12" customHeight="1" x14ac:dyDescent="0.2">
      <c r="A39" s="1419" t="s">
        <v>7552</v>
      </c>
      <c r="B39" s="1927" t="s">
        <v>7556</v>
      </c>
      <c r="C39" s="1927"/>
      <c r="D39" s="1927"/>
      <c r="E39" s="1927"/>
      <c r="F39" s="1927"/>
      <c r="G39" s="1927"/>
      <c r="H39" s="1927"/>
      <c r="I39" s="1927"/>
      <c r="J39" s="1927"/>
      <c r="K39" s="1927"/>
      <c r="L39" s="1927"/>
      <c r="M39" s="1927"/>
      <c r="N39" s="1927"/>
      <c r="O39" s="1927"/>
      <c r="P39" s="1927"/>
      <c r="Q39" s="1927"/>
      <c r="R39" s="1927"/>
      <c r="S39" s="1927"/>
      <c r="T39" s="1927"/>
      <c r="U39" s="1927"/>
      <c r="V39" s="1927"/>
      <c r="W39" s="1927"/>
      <c r="X39" s="1927"/>
      <c r="Y39" s="1927"/>
      <c r="Z39" s="1927"/>
      <c r="AA39" s="1927"/>
      <c r="AB39" s="1927"/>
      <c r="AC39" s="1927"/>
      <c r="AD39" s="1927"/>
      <c r="AE39" s="1927"/>
      <c r="AF39" s="1927"/>
    </row>
    <row r="40" spans="1:32" s="986" customFormat="1" x14ac:dyDescent="0.2">
      <c r="A40" s="1419" t="s">
        <v>7553</v>
      </c>
      <c r="B40" s="1927"/>
      <c r="C40" s="1927"/>
      <c r="D40" s="1927"/>
      <c r="E40" s="1927"/>
      <c r="F40" s="1927"/>
      <c r="G40" s="1927"/>
      <c r="H40" s="1927"/>
      <c r="I40" s="1927"/>
      <c r="J40" s="1927"/>
      <c r="K40" s="1927"/>
      <c r="L40" s="1927"/>
      <c r="M40" s="1927"/>
      <c r="N40" s="1927"/>
      <c r="O40" s="1927"/>
      <c r="P40" s="1927"/>
      <c r="Q40" s="1927"/>
      <c r="R40" s="1927"/>
      <c r="S40" s="1927"/>
      <c r="T40" s="1927"/>
      <c r="U40" s="1927"/>
      <c r="V40" s="1927"/>
      <c r="W40" s="1927"/>
      <c r="X40" s="1927"/>
      <c r="Y40" s="1927"/>
      <c r="Z40" s="1927"/>
      <c r="AA40" s="1927"/>
      <c r="AB40" s="1927"/>
      <c r="AC40" s="1927"/>
      <c r="AD40" s="1927"/>
      <c r="AE40" s="1927"/>
      <c r="AF40" s="1927"/>
    </row>
    <row r="41" spans="1:32" s="986" customFormat="1" x14ac:dyDescent="0.2">
      <c r="A41" s="1419" t="s">
        <v>7554</v>
      </c>
      <c r="B41" s="1927"/>
      <c r="C41" s="1927"/>
      <c r="D41" s="1927"/>
      <c r="E41" s="1927"/>
      <c r="F41" s="1927"/>
      <c r="G41" s="1927"/>
      <c r="H41" s="1927"/>
      <c r="I41" s="1927"/>
      <c r="J41" s="1927"/>
      <c r="K41" s="1927"/>
      <c r="L41" s="1927"/>
      <c r="M41" s="1927"/>
      <c r="N41" s="1927"/>
      <c r="O41" s="1927"/>
      <c r="P41" s="1927"/>
      <c r="Q41" s="1927"/>
      <c r="R41" s="1927"/>
      <c r="S41" s="1927"/>
      <c r="T41" s="1927"/>
      <c r="U41" s="1927"/>
      <c r="V41" s="1927"/>
      <c r="W41" s="1927"/>
      <c r="X41" s="1927"/>
      <c r="Y41" s="1927"/>
      <c r="Z41" s="1927"/>
      <c r="AA41" s="1927"/>
      <c r="AB41" s="1927"/>
      <c r="AC41" s="1927"/>
      <c r="AD41" s="1927"/>
      <c r="AE41" s="1927"/>
      <c r="AF41" s="1927"/>
    </row>
    <row r="42" spans="1:32" s="986" customFormat="1" x14ac:dyDescent="0.2">
      <c r="A42" s="987"/>
      <c r="B42" s="987"/>
      <c r="C42" s="987"/>
      <c r="D42" s="988"/>
      <c r="E42" s="988"/>
      <c r="F42" s="988"/>
      <c r="G42" s="988"/>
      <c r="H42" s="988"/>
      <c r="I42" s="988"/>
      <c r="J42" s="988"/>
      <c r="K42" s="988"/>
      <c r="L42" s="988"/>
      <c r="M42" s="988"/>
      <c r="N42" s="988"/>
      <c r="O42" s="988"/>
      <c r="P42" s="988"/>
      <c r="Q42" s="988"/>
      <c r="R42" s="988"/>
      <c r="S42" s="988"/>
      <c r="T42" s="988"/>
    </row>
    <row r="43" spans="1:32" s="986" customFormat="1" x14ac:dyDescent="0.2">
      <c r="A43" s="987"/>
      <c r="B43" s="987"/>
      <c r="C43" s="987"/>
      <c r="D43" s="988"/>
      <c r="E43" s="988"/>
      <c r="F43" s="988"/>
      <c r="G43" s="988"/>
      <c r="H43" s="988"/>
      <c r="I43" s="988"/>
      <c r="J43" s="988"/>
      <c r="K43" s="988"/>
      <c r="L43" s="988"/>
      <c r="M43" s="988"/>
      <c r="N43" s="988"/>
      <c r="O43" s="988"/>
      <c r="P43" s="988"/>
      <c r="Q43" s="988"/>
      <c r="R43" s="988"/>
      <c r="S43" s="988"/>
      <c r="T43" s="988"/>
    </row>
    <row r="44" spans="1:32" s="986" customFormat="1" x14ac:dyDescent="0.2">
      <c r="A44" s="987"/>
      <c r="B44" s="987"/>
      <c r="C44" s="987"/>
      <c r="D44" s="988"/>
      <c r="E44" s="988"/>
      <c r="F44" s="988"/>
      <c r="G44" s="988"/>
      <c r="H44" s="988"/>
      <c r="I44" s="988"/>
      <c r="J44" s="988"/>
      <c r="K44" s="988"/>
      <c r="L44" s="988"/>
      <c r="M44" s="988"/>
      <c r="N44" s="988"/>
      <c r="O44" s="988"/>
      <c r="P44" s="988"/>
      <c r="Q44" s="988"/>
      <c r="R44" s="988"/>
      <c r="S44" s="988"/>
      <c r="T44" s="988"/>
    </row>
    <row r="45" spans="1:32" s="986" customFormat="1" x14ac:dyDescent="0.2">
      <c r="A45" s="987"/>
      <c r="B45" s="987"/>
      <c r="C45" s="987"/>
      <c r="D45" s="988"/>
      <c r="E45" s="988"/>
      <c r="F45" s="988"/>
      <c r="G45" s="988"/>
      <c r="H45" s="988"/>
      <c r="I45" s="988"/>
      <c r="J45" s="988"/>
      <c r="K45" s="988"/>
      <c r="L45" s="988"/>
      <c r="M45" s="988"/>
      <c r="N45" s="988"/>
      <c r="O45" s="988"/>
      <c r="P45" s="988"/>
      <c r="Q45" s="988"/>
      <c r="R45" s="988"/>
      <c r="S45" s="988"/>
      <c r="T45" s="988"/>
    </row>
    <row r="46" spans="1:32" s="986" customFormat="1" x14ac:dyDescent="0.2">
      <c r="A46" s="987"/>
      <c r="B46" s="987"/>
      <c r="C46" s="987"/>
      <c r="D46" s="988"/>
      <c r="E46" s="988"/>
      <c r="F46" s="988"/>
      <c r="G46" s="988"/>
      <c r="H46" s="988"/>
      <c r="I46" s="988"/>
      <c r="J46" s="988"/>
      <c r="K46" s="988"/>
      <c r="L46" s="988"/>
      <c r="M46" s="988"/>
      <c r="N46" s="988"/>
      <c r="O46" s="988"/>
      <c r="P46" s="988"/>
      <c r="Q46" s="988"/>
      <c r="R46" s="988"/>
      <c r="S46" s="988"/>
      <c r="T46" s="988"/>
    </row>
    <row r="47" spans="1:32" s="986" customFormat="1" x14ac:dyDescent="0.2">
      <c r="A47" s="987"/>
      <c r="B47" s="987"/>
      <c r="C47" s="987"/>
      <c r="D47" s="988"/>
      <c r="E47" s="988"/>
      <c r="F47" s="988"/>
      <c r="G47" s="988"/>
      <c r="H47" s="988"/>
      <c r="I47" s="988"/>
      <c r="J47" s="988"/>
      <c r="K47" s="988"/>
      <c r="L47" s="988"/>
      <c r="M47" s="988"/>
      <c r="N47" s="988"/>
      <c r="O47" s="988"/>
      <c r="P47" s="988"/>
      <c r="Q47" s="988"/>
      <c r="R47" s="988"/>
      <c r="S47" s="988"/>
      <c r="T47" s="988"/>
    </row>
    <row r="48" spans="1:32" s="986" customFormat="1" x14ac:dyDescent="0.2">
      <c r="A48" s="987"/>
      <c r="B48" s="987"/>
      <c r="C48" s="987"/>
      <c r="D48" s="988"/>
      <c r="E48" s="988"/>
      <c r="F48" s="988"/>
      <c r="G48" s="988"/>
      <c r="H48" s="988"/>
      <c r="I48" s="988"/>
      <c r="J48" s="988"/>
      <c r="K48" s="988"/>
      <c r="L48" s="988"/>
      <c r="M48" s="988"/>
      <c r="N48" s="988"/>
      <c r="O48" s="988"/>
      <c r="P48" s="988"/>
      <c r="Q48" s="988"/>
      <c r="R48" s="988"/>
      <c r="S48" s="988"/>
      <c r="T48" s="988"/>
    </row>
    <row r="49" spans="1:20" s="986" customFormat="1" x14ac:dyDescent="0.2">
      <c r="A49" s="987"/>
      <c r="B49" s="987"/>
      <c r="C49" s="987"/>
      <c r="D49" s="988"/>
      <c r="E49" s="988"/>
      <c r="F49" s="988"/>
      <c r="G49" s="988"/>
      <c r="H49" s="988"/>
      <c r="I49" s="988"/>
      <c r="J49" s="988"/>
      <c r="K49" s="988"/>
      <c r="L49" s="988"/>
      <c r="M49" s="988"/>
      <c r="N49" s="988"/>
      <c r="O49" s="988"/>
      <c r="P49" s="988"/>
      <c r="Q49" s="988"/>
      <c r="R49" s="988"/>
      <c r="S49" s="988"/>
      <c r="T49" s="988"/>
    </row>
    <row r="50" spans="1:20" s="986" customFormat="1" x14ac:dyDescent="0.2">
      <c r="A50" s="987"/>
      <c r="B50" s="987"/>
      <c r="C50" s="987"/>
      <c r="D50" s="988"/>
      <c r="E50" s="988"/>
      <c r="F50" s="988"/>
      <c r="G50" s="988"/>
      <c r="H50" s="988"/>
      <c r="I50" s="988"/>
      <c r="J50" s="988"/>
      <c r="K50" s="988"/>
      <c r="L50" s="988"/>
      <c r="M50" s="988"/>
      <c r="N50" s="988"/>
      <c r="O50" s="988"/>
      <c r="P50" s="988"/>
      <c r="Q50" s="988"/>
      <c r="R50" s="988"/>
      <c r="S50" s="988"/>
      <c r="T50" s="988"/>
    </row>
    <row r="51" spans="1:20" s="986" customFormat="1" x14ac:dyDescent="0.2">
      <c r="A51" s="987"/>
      <c r="B51" s="987"/>
      <c r="C51" s="987"/>
      <c r="D51" s="988"/>
      <c r="E51" s="988"/>
      <c r="F51" s="988"/>
      <c r="G51" s="988"/>
      <c r="H51" s="988"/>
      <c r="I51" s="988"/>
      <c r="J51" s="988"/>
      <c r="K51" s="988"/>
      <c r="L51" s="988"/>
      <c r="M51" s="988"/>
      <c r="N51" s="988"/>
      <c r="O51" s="988"/>
      <c r="P51" s="988"/>
      <c r="Q51" s="988"/>
      <c r="R51" s="988"/>
      <c r="S51" s="988"/>
      <c r="T51" s="988"/>
    </row>
    <row r="52" spans="1:20" s="986" customFormat="1" x14ac:dyDescent="0.2">
      <c r="A52" s="987"/>
      <c r="B52" s="987"/>
      <c r="C52" s="987"/>
      <c r="D52" s="988"/>
      <c r="E52" s="988"/>
      <c r="F52" s="988"/>
      <c r="G52" s="988"/>
      <c r="H52" s="988"/>
      <c r="I52" s="988"/>
      <c r="J52" s="988"/>
      <c r="K52" s="988"/>
      <c r="L52" s="988"/>
      <c r="M52" s="988"/>
      <c r="N52" s="988"/>
      <c r="O52" s="988"/>
      <c r="P52" s="988"/>
      <c r="Q52" s="988"/>
      <c r="R52" s="988"/>
      <c r="S52" s="988"/>
      <c r="T52" s="988"/>
    </row>
    <row r="53" spans="1:20" s="986" customFormat="1" x14ac:dyDescent="0.2">
      <c r="A53" s="987"/>
      <c r="B53" s="987"/>
      <c r="C53" s="987"/>
      <c r="D53" s="988"/>
      <c r="E53" s="988"/>
      <c r="F53" s="988"/>
      <c r="G53" s="988"/>
      <c r="H53" s="988"/>
      <c r="I53" s="988"/>
      <c r="J53" s="988"/>
      <c r="K53" s="988"/>
      <c r="L53" s="988"/>
      <c r="M53" s="988"/>
      <c r="N53" s="988"/>
      <c r="O53" s="988"/>
      <c r="P53" s="988"/>
      <c r="Q53" s="988"/>
      <c r="R53" s="988"/>
      <c r="S53" s="988"/>
      <c r="T53" s="988"/>
    </row>
    <row r="54" spans="1:20" s="986" customFormat="1" x14ac:dyDescent="0.2">
      <c r="A54" s="987"/>
      <c r="B54" s="987"/>
      <c r="C54" s="987"/>
      <c r="D54" s="988"/>
      <c r="E54" s="988"/>
      <c r="F54" s="988"/>
      <c r="G54" s="988"/>
      <c r="H54" s="988"/>
      <c r="I54" s="988"/>
      <c r="J54" s="988"/>
      <c r="K54" s="988"/>
      <c r="L54" s="988"/>
      <c r="M54" s="988"/>
      <c r="N54" s="988"/>
      <c r="O54" s="988"/>
      <c r="P54" s="988"/>
      <c r="Q54" s="988"/>
      <c r="R54" s="988"/>
      <c r="S54" s="988"/>
      <c r="T54" s="988"/>
    </row>
    <row r="55" spans="1:20" s="986" customFormat="1" x14ac:dyDescent="0.2">
      <c r="A55" s="987"/>
      <c r="B55" s="987"/>
      <c r="C55" s="987"/>
      <c r="D55" s="988"/>
      <c r="E55" s="988"/>
      <c r="F55" s="988"/>
      <c r="G55" s="988"/>
      <c r="H55" s="988"/>
      <c r="I55" s="988"/>
      <c r="J55" s="988"/>
      <c r="K55" s="988"/>
      <c r="L55" s="988"/>
      <c r="M55" s="988"/>
      <c r="N55" s="988"/>
      <c r="O55" s="988"/>
      <c r="P55" s="988"/>
      <c r="Q55" s="988"/>
      <c r="R55" s="988"/>
      <c r="S55" s="988"/>
      <c r="T55" s="988"/>
    </row>
    <row r="56" spans="1:20" s="986" customFormat="1" x14ac:dyDescent="0.2">
      <c r="A56" s="987"/>
      <c r="B56" s="987"/>
      <c r="C56" s="987"/>
      <c r="D56" s="988"/>
      <c r="E56" s="988"/>
      <c r="F56" s="988"/>
      <c r="G56" s="988"/>
      <c r="H56" s="988"/>
      <c r="I56" s="988"/>
      <c r="J56" s="988"/>
      <c r="K56" s="988"/>
      <c r="L56" s="988"/>
      <c r="M56" s="988"/>
      <c r="N56" s="988"/>
      <c r="O56" s="988"/>
      <c r="P56" s="988"/>
      <c r="Q56" s="988"/>
      <c r="R56" s="988"/>
      <c r="S56" s="988"/>
      <c r="T56" s="988"/>
    </row>
    <row r="57" spans="1:20" s="986" customFormat="1" x14ac:dyDescent="0.2">
      <c r="A57" s="987"/>
      <c r="B57" s="987"/>
      <c r="C57" s="987"/>
      <c r="D57" s="988"/>
      <c r="E57" s="988"/>
      <c r="F57" s="988"/>
      <c r="G57" s="988"/>
      <c r="H57" s="988"/>
      <c r="I57" s="988"/>
      <c r="J57" s="988"/>
      <c r="K57" s="988"/>
      <c r="L57" s="988"/>
      <c r="M57" s="988"/>
      <c r="N57" s="988"/>
      <c r="O57" s="988"/>
      <c r="P57" s="988"/>
      <c r="Q57" s="988"/>
      <c r="R57" s="988"/>
      <c r="S57" s="988"/>
      <c r="T57" s="988"/>
    </row>
    <row r="58" spans="1:20" s="986" customFormat="1" x14ac:dyDescent="0.2">
      <c r="A58" s="987"/>
      <c r="B58" s="987"/>
      <c r="C58" s="987"/>
      <c r="D58" s="988"/>
      <c r="E58" s="988"/>
      <c r="F58" s="988"/>
      <c r="G58" s="988"/>
      <c r="H58" s="988"/>
      <c r="I58" s="988"/>
      <c r="J58" s="988"/>
      <c r="K58" s="988"/>
      <c r="L58" s="988"/>
      <c r="M58" s="988"/>
      <c r="N58" s="988"/>
      <c r="O58" s="988"/>
      <c r="P58" s="988"/>
      <c r="Q58" s="988"/>
      <c r="R58" s="988"/>
      <c r="S58" s="988"/>
      <c r="T58" s="988"/>
    </row>
    <row r="59" spans="1:20" s="986" customFormat="1" x14ac:dyDescent="0.2">
      <c r="A59" s="987"/>
      <c r="B59" s="987"/>
      <c r="C59" s="987"/>
      <c r="D59" s="988"/>
      <c r="E59" s="988"/>
      <c r="F59" s="988"/>
      <c r="G59" s="988"/>
      <c r="H59" s="988"/>
      <c r="I59" s="988"/>
      <c r="J59" s="988"/>
      <c r="K59" s="988"/>
      <c r="L59" s="988"/>
      <c r="M59" s="988"/>
      <c r="N59" s="988"/>
      <c r="O59" s="988"/>
      <c r="P59" s="988"/>
      <c r="Q59" s="988"/>
      <c r="R59" s="988"/>
      <c r="S59" s="988"/>
      <c r="T59" s="988"/>
    </row>
    <row r="60" spans="1:20" s="986" customFormat="1" x14ac:dyDescent="0.2">
      <c r="A60" s="987"/>
      <c r="B60" s="987"/>
      <c r="C60" s="987"/>
      <c r="D60" s="988"/>
      <c r="E60" s="988"/>
      <c r="F60" s="988"/>
      <c r="G60" s="988"/>
      <c r="H60" s="988"/>
      <c r="I60" s="988"/>
      <c r="J60" s="988"/>
      <c r="K60" s="988"/>
      <c r="L60" s="988"/>
      <c r="M60" s="988"/>
      <c r="N60" s="988"/>
      <c r="O60" s="988"/>
      <c r="P60" s="988"/>
      <c r="Q60" s="988"/>
      <c r="R60" s="988"/>
      <c r="S60" s="988"/>
      <c r="T60" s="988"/>
    </row>
    <row r="61" spans="1:20" s="986" customFormat="1" x14ac:dyDescent="0.2">
      <c r="A61" s="987"/>
      <c r="B61" s="987"/>
      <c r="C61" s="987"/>
      <c r="D61" s="988"/>
      <c r="E61" s="988"/>
      <c r="F61" s="988"/>
      <c r="G61" s="988"/>
      <c r="H61" s="988"/>
      <c r="I61" s="988"/>
      <c r="J61" s="988"/>
      <c r="K61" s="988"/>
      <c r="L61" s="988"/>
      <c r="M61" s="988"/>
      <c r="N61" s="988"/>
      <c r="O61" s="988"/>
      <c r="P61" s="988"/>
      <c r="Q61" s="988"/>
      <c r="R61" s="988"/>
      <c r="S61" s="988"/>
      <c r="T61" s="988"/>
    </row>
    <row r="62" spans="1:20" x14ac:dyDescent="0.2">
      <c r="A62" s="992"/>
      <c r="D62" s="993"/>
      <c r="E62" s="993"/>
      <c r="F62" s="993"/>
      <c r="G62" s="993"/>
      <c r="H62" s="993"/>
      <c r="I62" s="993"/>
      <c r="J62" s="993"/>
      <c r="K62" s="993"/>
      <c r="L62" s="993"/>
      <c r="M62" s="993"/>
      <c r="N62" s="993"/>
      <c r="O62" s="993"/>
      <c r="P62" s="993"/>
      <c r="Q62" s="993"/>
      <c r="R62" s="993"/>
      <c r="S62" s="993"/>
      <c r="T62" s="993"/>
    </row>
    <row r="63" spans="1:20" x14ac:dyDescent="0.2">
      <c r="A63" s="992"/>
      <c r="D63" s="993"/>
      <c r="E63" s="993"/>
      <c r="F63" s="993"/>
      <c r="G63" s="993"/>
      <c r="H63" s="993"/>
      <c r="I63" s="993"/>
      <c r="J63" s="993"/>
      <c r="K63" s="993"/>
      <c r="L63" s="993"/>
      <c r="M63" s="993"/>
      <c r="N63" s="993"/>
      <c r="O63" s="993"/>
      <c r="P63" s="993"/>
      <c r="Q63" s="993"/>
      <c r="R63" s="993"/>
      <c r="S63" s="993"/>
      <c r="T63" s="993"/>
    </row>
    <row r="64" spans="1:20" x14ac:dyDescent="0.2">
      <c r="A64" s="992"/>
      <c r="D64" s="993"/>
      <c r="E64" s="993"/>
      <c r="F64" s="993"/>
      <c r="G64" s="993"/>
      <c r="H64" s="993"/>
      <c r="I64" s="993"/>
      <c r="J64" s="993"/>
      <c r="K64" s="993"/>
      <c r="L64" s="993"/>
      <c r="M64" s="993"/>
      <c r="N64" s="993"/>
      <c r="O64" s="993"/>
      <c r="P64" s="993"/>
      <c r="Q64" s="993"/>
      <c r="R64" s="993"/>
      <c r="S64" s="993"/>
      <c r="T64" s="993"/>
    </row>
    <row r="65" spans="1:20" x14ac:dyDescent="0.2">
      <c r="A65" s="992"/>
      <c r="D65" s="993"/>
      <c r="E65" s="993"/>
      <c r="F65" s="993"/>
      <c r="G65" s="993"/>
      <c r="H65" s="993"/>
      <c r="I65" s="993"/>
      <c r="J65" s="993"/>
      <c r="K65" s="993"/>
      <c r="L65" s="993"/>
      <c r="M65" s="993"/>
      <c r="N65" s="993"/>
      <c r="O65" s="993"/>
      <c r="P65" s="993"/>
      <c r="Q65" s="993"/>
      <c r="R65" s="993"/>
      <c r="S65" s="993"/>
      <c r="T65" s="993"/>
    </row>
    <row r="66" spans="1:20" x14ac:dyDescent="0.2">
      <c r="A66" s="992"/>
      <c r="D66" s="993"/>
      <c r="E66" s="993"/>
      <c r="F66" s="993"/>
      <c r="G66" s="993"/>
      <c r="H66" s="993"/>
      <c r="I66" s="993"/>
      <c r="J66" s="993"/>
      <c r="K66" s="993"/>
      <c r="L66" s="993"/>
      <c r="M66" s="993"/>
      <c r="N66" s="993"/>
      <c r="O66" s="993"/>
      <c r="P66" s="993"/>
      <c r="Q66" s="993"/>
      <c r="R66" s="993"/>
      <c r="S66" s="993"/>
      <c r="T66" s="993"/>
    </row>
    <row r="67" spans="1:20" x14ac:dyDescent="0.2">
      <c r="A67" s="992"/>
      <c r="D67" s="993"/>
      <c r="E67" s="993"/>
      <c r="F67" s="993"/>
      <c r="G67" s="993"/>
      <c r="H67" s="993"/>
      <c r="I67" s="993"/>
      <c r="J67" s="993"/>
      <c r="K67" s="993"/>
      <c r="L67" s="993"/>
      <c r="M67" s="993"/>
      <c r="N67" s="993"/>
      <c r="O67" s="993"/>
      <c r="P67" s="993"/>
      <c r="Q67" s="993"/>
      <c r="R67" s="993"/>
      <c r="S67" s="993"/>
      <c r="T67" s="993"/>
    </row>
    <row r="68" spans="1:20" x14ac:dyDescent="0.2">
      <c r="A68" s="992"/>
      <c r="D68" s="993"/>
      <c r="E68" s="993"/>
      <c r="F68" s="993"/>
      <c r="G68" s="993"/>
      <c r="H68" s="993"/>
      <c r="I68" s="993"/>
      <c r="J68" s="993"/>
      <c r="K68" s="993"/>
      <c r="L68" s="993"/>
      <c r="M68" s="993"/>
      <c r="N68" s="993"/>
      <c r="O68" s="993"/>
      <c r="P68" s="993"/>
      <c r="Q68" s="993"/>
      <c r="R68" s="993"/>
      <c r="S68" s="993"/>
      <c r="T68" s="993"/>
    </row>
    <row r="69" spans="1:20" x14ac:dyDescent="0.2">
      <c r="A69" s="992"/>
      <c r="D69" s="993"/>
      <c r="E69" s="993"/>
      <c r="F69" s="993"/>
      <c r="G69" s="993"/>
      <c r="H69" s="993"/>
      <c r="I69" s="993"/>
      <c r="J69" s="993"/>
      <c r="K69" s="993"/>
      <c r="L69" s="993"/>
      <c r="M69" s="993"/>
      <c r="N69" s="993"/>
      <c r="O69" s="993"/>
      <c r="P69" s="993"/>
      <c r="Q69" s="993"/>
      <c r="R69" s="993"/>
      <c r="S69" s="993"/>
      <c r="T69" s="993"/>
    </row>
    <row r="70" spans="1:20" x14ac:dyDescent="0.2">
      <c r="A70" s="992"/>
      <c r="D70" s="993"/>
      <c r="E70" s="993"/>
      <c r="F70" s="993"/>
      <c r="G70" s="993"/>
      <c r="H70" s="993"/>
      <c r="I70" s="993"/>
      <c r="J70" s="993"/>
      <c r="K70" s="993"/>
      <c r="L70" s="993"/>
      <c r="M70" s="993"/>
      <c r="N70" s="993"/>
      <c r="O70" s="993"/>
      <c r="P70" s="993"/>
      <c r="Q70" s="993"/>
      <c r="R70" s="993"/>
      <c r="S70" s="993"/>
      <c r="T70" s="993"/>
    </row>
    <row r="71" spans="1:20" x14ac:dyDescent="0.2">
      <c r="A71" s="992"/>
      <c r="D71" s="993"/>
      <c r="E71" s="993"/>
      <c r="F71" s="993"/>
      <c r="G71" s="993"/>
      <c r="H71" s="993"/>
      <c r="I71" s="993"/>
      <c r="J71" s="993"/>
      <c r="K71" s="993"/>
      <c r="L71" s="993"/>
      <c r="M71" s="993"/>
      <c r="N71" s="993"/>
      <c r="O71" s="993"/>
      <c r="P71" s="993"/>
      <c r="Q71" s="993"/>
      <c r="R71" s="993"/>
      <c r="S71" s="993"/>
      <c r="T71" s="993"/>
    </row>
    <row r="72" spans="1:20" x14ac:dyDescent="0.2">
      <c r="A72" s="992"/>
      <c r="D72" s="993"/>
      <c r="E72" s="993"/>
      <c r="F72" s="993"/>
      <c r="G72" s="993"/>
      <c r="H72" s="993"/>
      <c r="I72" s="993"/>
      <c r="J72" s="993"/>
      <c r="K72" s="993"/>
      <c r="L72" s="993"/>
      <c r="M72" s="993"/>
      <c r="N72" s="993"/>
      <c r="O72" s="993"/>
      <c r="P72" s="993"/>
      <c r="Q72" s="993"/>
      <c r="R72" s="993"/>
      <c r="S72" s="993"/>
      <c r="T72" s="993"/>
    </row>
    <row r="73" spans="1:20" x14ac:dyDescent="0.2">
      <c r="A73" s="992"/>
      <c r="D73" s="993"/>
      <c r="E73" s="993"/>
      <c r="F73" s="993"/>
      <c r="G73" s="993"/>
      <c r="H73" s="993"/>
      <c r="I73" s="993"/>
      <c r="J73" s="993"/>
      <c r="K73" s="993"/>
      <c r="L73" s="993"/>
      <c r="M73" s="993"/>
      <c r="N73" s="993"/>
      <c r="O73" s="993"/>
      <c r="P73" s="993"/>
      <c r="Q73" s="993"/>
      <c r="R73" s="993"/>
      <c r="S73" s="993"/>
      <c r="T73" s="993"/>
    </row>
    <row r="74" spans="1:20" x14ac:dyDescent="0.2">
      <c r="A74" s="992"/>
      <c r="D74" s="993"/>
      <c r="E74" s="993"/>
      <c r="F74" s="993"/>
      <c r="G74" s="993"/>
      <c r="H74" s="993"/>
      <c r="I74" s="993"/>
      <c r="J74" s="993"/>
      <c r="K74" s="993"/>
      <c r="L74" s="993"/>
      <c r="M74" s="993"/>
      <c r="N74" s="993"/>
      <c r="O74" s="993"/>
      <c r="P74" s="993"/>
      <c r="Q74" s="993"/>
      <c r="R74" s="993"/>
      <c r="S74" s="993"/>
      <c r="T74" s="993"/>
    </row>
    <row r="75" spans="1:20" x14ac:dyDescent="0.2">
      <c r="A75" s="992"/>
      <c r="D75" s="993"/>
      <c r="E75" s="993"/>
      <c r="F75" s="993"/>
      <c r="G75" s="993"/>
      <c r="H75" s="993"/>
      <c r="I75" s="993"/>
      <c r="J75" s="993"/>
      <c r="K75" s="993"/>
      <c r="L75" s="993"/>
      <c r="M75" s="993"/>
      <c r="N75" s="993"/>
      <c r="O75" s="993"/>
      <c r="P75" s="993"/>
      <c r="Q75" s="993"/>
      <c r="R75" s="993"/>
      <c r="S75" s="993"/>
      <c r="T75" s="993"/>
    </row>
    <row r="76" spans="1:20" x14ac:dyDescent="0.2">
      <c r="A76" s="992"/>
      <c r="D76" s="993"/>
      <c r="E76" s="993"/>
      <c r="F76" s="993"/>
      <c r="G76" s="993"/>
      <c r="H76" s="993"/>
      <c r="I76" s="993"/>
      <c r="J76" s="993"/>
      <c r="K76" s="993"/>
      <c r="L76" s="993"/>
      <c r="M76" s="993"/>
      <c r="N76" s="993"/>
      <c r="O76" s="993"/>
      <c r="P76" s="993"/>
      <c r="Q76" s="993"/>
      <c r="R76" s="993"/>
      <c r="S76" s="993"/>
      <c r="T76" s="993"/>
    </row>
    <row r="77" spans="1:20" x14ac:dyDescent="0.2">
      <c r="A77" s="992"/>
      <c r="D77" s="993"/>
      <c r="E77" s="993"/>
      <c r="F77" s="993"/>
      <c r="G77" s="993"/>
      <c r="H77" s="993"/>
      <c r="I77" s="993"/>
      <c r="J77" s="993"/>
      <c r="K77" s="993"/>
      <c r="L77" s="993"/>
      <c r="M77" s="993"/>
      <c r="N77" s="993"/>
      <c r="O77" s="993"/>
      <c r="P77" s="993"/>
      <c r="Q77" s="993"/>
      <c r="R77" s="993"/>
      <c r="S77" s="993"/>
      <c r="T77" s="993"/>
    </row>
    <row r="78" spans="1:20" x14ac:dyDescent="0.2">
      <c r="A78" s="992"/>
      <c r="D78" s="993"/>
      <c r="E78" s="993"/>
      <c r="F78" s="993"/>
      <c r="G78" s="993"/>
      <c r="H78" s="993"/>
      <c r="I78" s="993"/>
      <c r="J78" s="993"/>
      <c r="K78" s="993"/>
      <c r="L78" s="993"/>
      <c r="M78" s="993"/>
      <c r="N78" s="993"/>
      <c r="O78" s="993"/>
      <c r="P78" s="993"/>
      <c r="Q78" s="993"/>
      <c r="R78" s="993"/>
      <c r="S78" s="993"/>
      <c r="T78" s="993"/>
    </row>
    <row r="79" spans="1:20" x14ac:dyDescent="0.2">
      <c r="A79" s="992"/>
      <c r="D79" s="993"/>
      <c r="E79" s="993"/>
      <c r="F79" s="993"/>
      <c r="G79" s="993"/>
      <c r="H79" s="993"/>
      <c r="I79" s="993"/>
      <c r="J79" s="993"/>
      <c r="K79" s="993"/>
      <c r="L79" s="993"/>
      <c r="M79" s="993"/>
      <c r="N79" s="993"/>
      <c r="O79" s="993"/>
      <c r="P79" s="993"/>
      <c r="Q79" s="993"/>
      <c r="R79" s="993"/>
      <c r="S79" s="993"/>
      <c r="T79" s="993"/>
    </row>
    <row r="80" spans="1:20" x14ac:dyDescent="0.2">
      <c r="A80" s="992"/>
      <c r="D80" s="993"/>
      <c r="E80" s="993"/>
      <c r="F80" s="993"/>
      <c r="G80" s="993"/>
      <c r="H80" s="993"/>
      <c r="I80" s="993"/>
      <c r="J80" s="993"/>
      <c r="K80" s="993"/>
      <c r="L80" s="993"/>
      <c r="M80" s="993"/>
      <c r="N80" s="993"/>
      <c r="O80" s="993"/>
      <c r="P80" s="993"/>
      <c r="Q80" s="993"/>
      <c r="R80" s="993"/>
      <c r="S80" s="993"/>
      <c r="T80" s="993"/>
    </row>
    <row r="81" spans="1:20" x14ac:dyDescent="0.2">
      <c r="A81" s="992"/>
      <c r="D81" s="993"/>
      <c r="E81" s="993"/>
      <c r="F81" s="993"/>
      <c r="G81" s="993"/>
      <c r="H81" s="993"/>
      <c r="I81" s="993"/>
      <c r="J81" s="993"/>
      <c r="K81" s="993"/>
      <c r="L81" s="993"/>
      <c r="M81" s="993"/>
      <c r="N81" s="993"/>
      <c r="O81" s="993"/>
      <c r="P81" s="993"/>
      <c r="Q81" s="993"/>
      <c r="R81" s="993"/>
      <c r="S81" s="993"/>
      <c r="T81" s="993"/>
    </row>
    <row r="82" spans="1:20" x14ac:dyDescent="0.2">
      <c r="A82" s="992"/>
      <c r="D82" s="993"/>
      <c r="E82" s="993"/>
      <c r="F82" s="993"/>
      <c r="G82" s="993"/>
      <c r="H82" s="993"/>
      <c r="I82" s="993"/>
      <c r="J82" s="993"/>
      <c r="K82" s="993"/>
      <c r="L82" s="993"/>
      <c r="M82" s="993"/>
      <c r="N82" s="993"/>
      <c r="O82" s="993"/>
      <c r="P82" s="993"/>
      <c r="Q82" s="993"/>
      <c r="R82" s="993"/>
      <c r="S82" s="993"/>
      <c r="T82" s="993"/>
    </row>
    <row r="83" spans="1:20" x14ac:dyDescent="0.2">
      <c r="A83" s="992"/>
      <c r="D83" s="993"/>
      <c r="E83" s="993"/>
      <c r="F83" s="993"/>
      <c r="G83" s="993"/>
      <c r="H83" s="993"/>
      <c r="I83" s="993"/>
      <c r="J83" s="993"/>
      <c r="K83" s="993"/>
      <c r="L83" s="993"/>
      <c r="M83" s="993"/>
      <c r="N83" s="993"/>
      <c r="O83" s="993"/>
      <c r="P83" s="993"/>
      <c r="Q83" s="993"/>
      <c r="R83" s="993"/>
      <c r="S83" s="993"/>
      <c r="T83" s="993"/>
    </row>
    <row r="84" spans="1:20" x14ac:dyDescent="0.2">
      <c r="A84" s="992"/>
      <c r="D84" s="993"/>
      <c r="E84" s="993"/>
      <c r="F84" s="993"/>
      <c r="G84" s="993"/>
      <c r="H84" s="993"/>
      <c r="I84" s="993"/>
      <c r="J84" s="993"/>
      <c r="K84" s="993"/>
      <c r="L84" s="993"/>
      <c r="M84" s="993"/>
      <c r="N84" s="993"/>
      <c r="O84" s="993"/>
      <c r="P84" s="993"/>
      <c r="Q84" s="993"/>
      <c r="R84" s="993"/>
      <c r="S84" s="993"/>
      <c r="T84" s="993"/>
    </row>
    <row r="85" spans="1:20" x14ac:dyDescent="0.2">
      <c r="A85" s="992"/>
      <c r="D85" s="993"/>
      <c r="E85" s="993"/>
      <c r="F85" s="993"/>
      <c r="G85" s="993"/>
      <c r="H85" s="993"/>
      <c r="I85" s="993"/>
      <c r="J85" s="993"/>
      <c r="K85" s="993"/>
      <c r="L85" s="993"/>
      <c r="M85" s="993"/>
      <c r="N85" s="993"/>
      <c r="O85" s="993"/>
      <c r="P85" s="993"/>
      <c r="Q85" s="993"/>
      <c r="R85" s="993"/>
      <c r="S85" s="993"/>
      <c r="T85" s="993"/>
    </row>
    <row r="86" spans="1:20" x14ac:dyDescent="0.2">
      <c r="A86" s="992"/>
      <c r="D86" s="993"/>
      <c r="E86" s="993"/>
      <c r="F86" s="993"/>
      <c r="G86" s="993"/>
      <c r="H86" s="993"/>
      <c r="I86" s="993"/>
      <c r="J86" s="993"/>
      <c r="K86" s="993"/>
      <c r="L86" s="993"/>
      <c r="M86" s="993"/>
      <c r="N86" s="993"/>
      <c r="O86" s="993"/>
      <c r="P86" s="993"/>
      <c r="Q86" s="993"/>
      <c r="R86" s="993"/>
      <c r="S86" s="993"/>
      <c r="T86" s="993"/>
    </row>
    <row r="87" spans="1:20" x14ac:dyDescent="0.2">
      <c r="A87" s="992"/>
      <c r="D87" s="993"/>
      <c r="E87" s="993"/>
      <c r="F87" s="993"/>
      <c r="G87" s="993"/>
      <c r="H87" s="993"/>
      <c r="I87" s="993"/>
      <c r="J87" s="993"/>
      <c r="K87" s="993"/>
      <c r="L87" s="993"/>
      <c r="M87" s="993"/>
      <c r="N87" s="993"/>
      <c r="O87" s="993"/>
      <c r="P87" s="993"/>
      <c r="Q87" s="993"/>
      <c r="R87" s="993"/>
      <c r="S87" s="993"/>
      <c r="T87" s="993"/>
    </row>
    <row r="88" spans="1:20" x14ac:dyDescent="0.2">
      <c r="A88" s="992"/>
      <c r="D88" s="993"/>
      <c r="E88" s="993"/>
      <c r="F88" s="993"/>
      <c r="G88" s="993"/>
      <c r="H88" s="993"/>
      <c r="I88" s="993"/>
      <c r="J88" s="993"/>
      <c r="K88" s="993"/>
      <c r="L88" s="993"/>
      <c r="M88" s="993"/>
      <c r="N88" s="993"/>
      <c r="O88" s="993"/>
      <c r="P88" s="993"/>
      <c r="Q88" s="993"/>
      <c r="R88" s="993"/>
      <c r="S88" s="993"/>
      <c r="T88" s="993"/>
    </row>
    <row r="89" spans="1:20" x14ac:dyDescent="0.2">
      <c r="A89" s="992"/>
      <c r="D89" s="993"/>
      <c r="E89" s="993"/>
      <c r="F89" s="993"/>
      <c r="G89" s="993"/>
      <c r="H89" s="993"/>
      <c r="I89" s="993"/>
      <c r="J89" s="993"/>
      <c r="K89" s="993"/>
      <c r="L89" s="993"/>
      <c r="M89" s="993"/>
      <c r="N89" s="993"/>
      <c r="O89" s="993"/>
      <c r="P89" s="993"/>
      <c r="Q89" s="993"/>
      <c r="R89" s="993"/>
      <c r="S89" s="993"/>
      <c r="T89" s="993"/>
    </row>
    <row r="90" spans="1:20" x14ac:dyDescent="0.2">
      <c r="A90" s="992"/>
      <c r="D90" s="993"/>
      <c r="E90" s="993"/>
      <c r="F90" s="993"/>
      <c r="G90" s="993"/>
      <c r="H90" s="993"/>
      <c r="I90" s="993"/>
      <c r="J90" s="993"/>
      <c r="K90" s="993"/>
      <c r="L90" s="993"/>
      <c r="M90" s="993"/>
      <c r="N90" s="993"/>
      <c r="O90" s="993"/>
      <c r="P90" s="993"/>
      <c r="Q90" s="993"/>
      <c r="R90" s="993"/>
      <c r="S90" s="993"/>
      <c r="T90" s="993"/>
    </row>
    <row r="91" spans="1:20" x14ac:dyDescent="0.2">
      <c r="A91" s="992"/>
      <c r="D91" s="993"/>
      <c r="E91" s="993"/>
      <c r="F91" s="993"/>
      <c r="G91" s="993"/>
      <c r="H91" s="993"/>
      <c r="I91" s="993"/>
      <c r="J91" s="993"/>
      <c r="K91" s="993"/>
      <c r="L91" s="993"/>
      <c r="M91" s="993"/>
      <c r="N91" s="993"/>
      <c r="O91" s="993"/>
      <c r="P91" s="993"/>
      <c r="Q91" s="993"/>
      <c r="R91" s="993"/>
      <c r="S91" s="993"/>
      <c r="T91" s="993"/>
    </row>
    <row r="92" spans="1:20" x14ac:dyDescent="0.2">
      <c r="A92" s="992"/>
      <c r="D92" s="993"/>
      <c r="E92" s="993"/>
      <c r="F92" s="993"/>
      <c r="G92" s="993"/>
      <c r="H92" s="993"/>
      <c r="I92" s="993"/>
      <c r="J92" s="993"/>
      <c r="K92" s="993"/>
      <c r="L92" s="993"/>
      <c r="M92" s="993"/>
      <c r="N92" s="993"/>
      <c r="O92" s="993"/>
      <c r="P92" s="993"/>
      <c r="Q92" s="993"/>
      <c r="R92" s="993"/>
      <c r="S92" s="993"/>
      <c r="T92" s="993"/>
    </row>
    <row r="93" spans="1:20" x14ac:dyDescent="0.2">
      <c r="A93" s="992"/>
      <c r="D93" s="993"/>
      <c r="E93" s="993"/>
      <c r="F93" s="993"/>
      <c r="G93" s="993"/>
      <c r="H93" s="993"/>
      <c r="I93" s="993"/>
      <c r="J93" s="993"/>
      <c r="K93" s="993"/>
      <c r="L93" s="993"/>
      <c r="M93" s="993"/>
      <c r="N93" s="993"/>
      <c r="O93" s="993"/>
      <c r="P93" s="993"/>
      <c r="Q93" s="993"/>
      <c r="R93" s="993"/>
      <c r="S93" s="993"/>
      <c r="T93" s="993"/>
    </row>
    <row r="94" spans="1:20" x14ac:dyDescent="0.2">
      <c r="A94" s="992"/>
      <c r="D94" s="993"/>
      <c r="E94" s="993"/>
      <c r="F94" s="993"/>
      <c r="G94" s="993"/>
      <c r="H94" s="993"/>
      <c r="I94" s="993"/>
      <c r="J94" s="993"/>
      <c r="K94" s="993"/>
      <c r="L94" s="993"/>
      <c r="M94" s="993"/>
      <c r="N94" s="993"/>
      <c r="O94" s="993"/>
      <c r="P94" s="993"/>
      <c r="Q94" s="993"/>
      <c r="R94" s="993"/>
      <c r="S94" s="993"/>
      <c r="T94" s="993"/>
    </row>
    <row r="95" spans="1:20" x14ac:dyDescent="0.2">
      <c r="A95" s="992"/>
      <c r="D95" s="993"/>
      <c r="E95" s="993"/>
      <c r="F95" s="993"/>
      <c r="G95" s="993"/>
      <c r="H95" s="993"/>
      <c r="I95" s="993"/>
      <c r="J95" s="993"/>
      <c r="K95" s="993"/>
      <c r="L95" s="993"/>
      <c r="M95" s="993"/>
      <c r="N95" s="993"/>
      <c r="O95" s="993"/>
      <c r="P95" s="993"/>
      <c r="Q95" s="993"/>
      <c r="R95" s="993"/>
      <c r="S95" s="993"/>
      <c r="T95" s="993"/>
    </row>
    <row r="96" spans="1:20" x14ac:dyDescent="0.2">
      <c r="A96" s="992"/>
      <c r="D96" s="993"/>
      <c r="E96" s="993"/>
      <c r="F96" s="993"/>
      <c r="G96" s="993"/>
      <c r="H96" s="993"/>
      <c r="I96" s="993"/>
      <c r="J96" s="993"/>
      <c r="K96" s="993"/>
      <c r="L96" s="993"/>
      <c r="M96" s="993"/>
      <c r="N96" s="993"/>
      <c r="O96" s="993"/>
      <c r="P96" s="993"/>
      <c r="Q96" s="993"/>
      <c r="R96" s="993"/>
      <c r="S96" s="993"/>
      <c r="T96" s="993"/>
    </row>
    <row r="97" spans="1:20" x14ac:dyDescent="0.2">
      <c r="A97" s="992"/>
      <c r="D97" s="993"/>
      <c r="E97" s="993"/>
      <c r="F97" s="993"/>
      <c r="G97" s="993"/>
      <c r="H97" s="993"/>
      <c r="I97" s="993"/>
      <c r="J97" s="993"/>
      <c r="K97" s="993"/>
      <c r="L97" s="993"/>
      <c r="M97" s="993"/>
      <c r="N97" s="993"/>
      <c r="O97" s="993"/>
      <c r="P97" s="993"/>
      <c r="Q97" s="993"/>
      <c r="R97" s="993"/>
      <c r="S97" s="993"/>
      <c r="T97" s="993"/>
    </row>
    <row r="98" spans="1:20" x14ac:dyDescent="0.2">
      <c r="A98" s="992"/>
      <c r="D98" s="993"/>
      <c r="E98" s="993"/>
      <c r="F98" s="993"/>
      <c r="G98" s="993"/>
      <c r="H98" s="993"/>
      <c r="I98" s="993"/>
      <c r="J98" s="993"/>
      <c r="K98" s="993"/>
      <c r="L98" s="993"/>
      <c r="M98" s="993"/>
      <c r="N98" s="993"/>
      <c r="O98" s="993"/>
      <c r="P98" s="993"/>
      <c r="Q98" s="993"/>
      <c r="R98" s="993"/>
      <c r="S98" s="993"/>
      <c r="T98" s="993"/>
    </row>
    <row r="99" spans="1:20" x14ac:dyDescent="0.2">
      <c r="A99" s="992"/>
      <c r="D99" s="993"/>
      <c r="E99" s="993"/>
      <c r="F99" s="993"/>
      <c r="G99" s="993"/>
      <c r="H99" s="993"/>
      <c r="I99" s="993"/>
      <c r="J99" s="993"/>
      <c r="K99" s="993"/>
      <c r="L99" s="993"/>
      <c r="M99" s="993"/>
      <c r="N99" s="993"/>
      <c r="O99" s="993"/>
      <c r="P99" s="993"/>
      <c r="Q99" s="993"/>
      <c r="R99" s="993"/>
      <c r="S99" s="993"/>
      <c r="T99" s="993"/>
    </row>
    <row r="100" spans="1:20" x14ac:dyDescent="0.2">
      <c r="A100" s="992"/>
      <c r="D100" s="993"/>
      <c r="E100" s="993"/>
      <c r="F100" s="993"/>
      <c r="G100" s="993"/>
      <c r="H100" s="993"/>
      <c r="I100" s="993"/>
      <c r="J100" s="993"/>
      <c r="K100" s="993"/>
      <c r="L100" s="993"/>
      <c r="M100" s="993"/>
      <c r="N100" s="993"/>
      <c r="O100" s="993"/>
      <c r="P100" s="993"/>
      <c r="Q100" s="993"/>
      <c r="R100" s="993"/>
      <c r="S100" s="993"/>
      <c r="T100" s="993"/>
    </row>
    <row r="101" spans="1:20" x14ac:dyDescent="0.2">
      <c r="A101" s="992"/>
      <c r="D101" s="993"/>
      <c r="E101" s="993"/>
      <c r="F101" s="993"/>
      <c r="G101" s="993"/>
      <c r="H101" s="993"/>
      <c r="I101" s="993"/>
      <c r="J101" s="993"/>
      <c r="K101" s="993"/>
      <c r="L101" s="993"/>
      <c r="M101" s="993"/>
      <c r="N101" s="993"/>
      <c r="O101" s="993"/>
      <c r="P101" s="993"/>
      <c r="Q101" s="993"/>
      <c r="R101" s="993"/>
      <c r="S101" s="993"/>
      <c r="T101" s="993"/>
    </row>
    <row r="102" spans="1:20" x14ac:dyDescent="0.2">
      <c r="A102" s="992"/>
      <c r="D102" s="993"/>
      <c r="E102" s="993"/>
      <c r="F102" s="993"/>
      <c r="G102" s="993"/>
      <c r="H102" s="993"/>
      <c r="I102" s="993"/>
      <c r="J102" s="993"/>
      <c r="K102" s="993"/>
      <c r="L102" s="993"/>
      <c r="M102" s="993"/>
      <c r="N102" s="993"/>
      <c r="O102" s="993"/>
      <c r="P102" s="993"/>
      <c r="Q102" s="993"/>
      <c r="R102" s="993"/>
      <c r="S102" s="993"/>
      <c r="T102" s="993"/>
    </row>
    <row r="103" spans="1:20" x14ac:dyDescent="0.2">
      <c r="A103" s="992"/>
      <c r="D103" s="993"/>
      <c r="E103" s="993"/>
      <c r="F103" s="993"/>
      <c r="G103" s="993"/>
      <c r="H103" s="993"/>
      <c r="I103" s="993"/>
      <c r="J103" s="993"/>
      <c r="K103" s="993"/>
      <c r="L103" s="993"/>
      <c r="M103" s="993"/>
      <c r="N103" s="993"/>
      <c r="O103" s="993"/>
      <c r="P103" s="993"/>
      <c r="Q103" s="993"/>
      <c r="R103" s="993"/>
      <c r="S103" s="993"/>
      <c r="T103" s="993"/>
    </row>
    <row r="104" spans="1:20" x14ac:dyDescent="0.2">
      <c r="A104" s="992"/>
      <c r="D104" s="993"/>
      <c r="E104" s="993"/>
      <c r="F104" s="993"/>
      <c r="G104" s="993"/>
      <c r="H104" s="993"/>
      <c r="I104" s="993"/>
      <c r="J104" s="993"/>
      <c r="K104" s="993"/>
      <c r="L104" s="993"/>
      <c r="M104" s="993"/>
      <c r="N104" s="993"/>
      <c r="O104" s="993"/>
      <c r="P104" s="993"/>
      <c r="Q104" s="993"/>
      <c r="R104" s="993"/>
      <c r="S104" s="993"/>
      <c r="T104" s="993"/>
    </row>
    <row r="105" spans="1:20" x14ac:dyDescent="0.2">
      <c r="A105" s="992"/>
      <c r="D105" s="993"/>
      <c r="E105" s="993"/>
      <c r="F105" s="993"/>
      <c r="G105" s="993"/>
      <c r="H105" s="993"/>
      <c r="I105" s="993"/>
      <c r="J105" s="993"/>
      <c r="K105" s="993"/>
      <c r="L105" s="993"/>
      <c r="M105" s="993"/>
      <c r="N105" s="993"/>
      <c r="O105" s="993"/>
      <c r="P105" s="993"/>
      <c r="Q105" s="993"/>
      <c r="R105" s="993"/>
      <c r="S105" s="993"/>
      <c r="T105" s="993"/>
    </row>
    <row r="106" spans="1:20" x14ac:dyDescent="0.2">
      <c r="A106" s="992"/>
      <c r="D106" s="993"/>
      <c r="E106" s="993"/>
      <c r="F106" s="993"/>
      <c r="G106" s="993"/>
      <c r="H106" s="993"/>
      <c r="I106" s="993"/>
      <c r="J106" s="993"/>
      <c r="K106" s="993"/>
      <c r="L106" s="993"/>
      <c r="M106" s="993"/>
      <c r="N106" s="993"/>
      <c r="O106" s="993"/>
      <c r="P106" s="993"/>
      <c r="Q106" s="993"/>
      <c r="R106" s="993"/>
      <c r="S106" s="993"/>
      <c r="T106" s="993"/>
    </row>
    <row r="107" spans="1:20" x14ac:dyDescent="0.2">
      <c r="A107" s="992"/>
      <c r="D107" s="993"/>
      <c r="E107" s="993"/>
      <c r="F107" s="993"/>
      <c r="G107" s="993"/>
      <c r="H107" s="993"/>
      <c r="I107" s="993"/>
      <c r="J107" s="993"/>
      <c r="K107" s="993"/>
      <c r="L107" s="993"/>
      <c r="M107" s="993"/>
      <c r="N107" s="993"/>
      <c r="O107" s="993"/>
      <c r="P107" s="993"/>
      <c r="Q107" s="993"/>
      <c r="R107" s="993"/>
      <c r="S107" s="993"/>
      <c r="T107" s="993"/>
    </row>
    <row r="108" spans="1:20" x14ac:dyDescent="0.2">
      <c r="A108" s="992"/>
      <c r="D108" s="993"/>
      <c r="E108" s="993"/>
      <c r="F108" s="993"/>
      <c r="G108" s="993"/>
      <c r="H108" s="993"/>
      <c r="I108" s="993"/>
      <c r="J108" s="993"/>
      <c r="K108" s="993"/>
      <c r="L108" s="993"/>
      <c r="M108" s="993"/>
      <c r="N108" s="993"/>
      <c r="O108" s="993"/>
      <c r="P108" s="993"/>
      <c r="Q108" s="993"/>
      <c r="R108" s="993"/>
      <c r="S108" s="993"/>
      <c r="T108" s="993"/>
    </row>
    <row r="109" spans="1:20" x14ac:dyDescent="0.2">
      <c r="A109" s="992"/>
      <c r="D109" s="993"/>
      <c r="E109" s="993"/>
      <c r="F109" s="993"/>
      <c r="G109" s="993"/>
      <c r="H109" s="993"/>
      <c r="I109" s="993"/>
      <c r="J109" s="993"/>
      <c r="K109" s="993"/>
      <c r="L109" s="993"/>
      <c r="M109" s="993"/>
      <c r="N109" s="993"/>
      <c r="O109" s="993"/>
      <c r="P109" s="993"/>
      <c r="Q109" s="993"/>
      <c r="R109" s="993"/>
      <c r="S109" s="993"/>
      <c r="T109" s="993"/>
    </row>
    <row r="110" spans="1:20" x14ac:dyDescent="0.2">
      <c r="A110" s="992"/>
      <c r="D110" s="993"/>
      <c r="E110" s="993"/>
      <c r="F110" s="993"/>
      <c r="G110" s="993"/>
      <c r="H110" s="993"/>
      <c r="I110" s="993"/>
      <c r="J110" s="993"/>
      <c r="K110" s="993"/>
      <c r="L110" s="993"/>
      <c r="M110" s="993"/>
      <c r="N110" s="993"/>
      <c r="O110" s="993"/>
      <c r="P110" s="993"/>
      <c r="Q110" s="993"/>
      <c r="R110" s="993"/>
      <c r="S110" s="993"/>
      <c r="T110" s="993"/>
    </row>
    <row r="111" spans="1:20" x14ac:dyDescent="0.2">
      <c r="A111" s="992"/>
      <c r="D111" s="993"/>
      <c r="E111" s="993"/>
      <c r="F111" s="993"/>
      <c r="G111" s="993"/>
      <c r="H111" s="993"/>
      <c r="I111" s="993"/>
      <c r="J111" s="993"/>
      <c r="K111" s="993"/>
      <c r="L111" s="993"/>
      <c r="M111" s="993"/>
      <c r="N111" s="993"/>
      <c r="O111" s="993"/>
      <c r="P111" s="993"/>
      <c r="Q111" s="993"/>
      <c r="R111" s="993"/>
      <c r="S111" s="993"/>
      <c r="T111" s="993"/>
    </row>
    <row r="112" spans="1:20" x14ac:dyDescent="0.2">
      <c r="A112" s="992"/>
      <c r="D112" s="993"/>
      <c r="E112" s="993"/>
      <c r="F112" s="993"/>
      <c r="G112" s="993"/>
      <c r="H112" s="993"/>
      <c r="I112" s="993"/>
      <c r="J112" s="993"/>
      <c r="K112" s="993"/>
      <c r="L112" s="993"/>
      <c r="M112" s="993"/>
      <c r="N112" s="993"/>
      <c r="O112" s="993"/>
      <c r="P112" s="993"/>
      <c r="Q112" s="993"/>
      <c r="R112" s="993"/>
      <c r="S112" s="993"/>
      <c r="T112" s="993"/>
    </row>
    <row r="113" spans="1:20" x14ac:dyDescent="0.2">
      <c r="A113" s="992"/>
      <c r="D113" s="993"/>
      <c r="E113" s="993"/>
      <c r="F113" s="993"/>
      <c r="G113" s="993"/>
      <c r="H113" s="993"/>
      <c r="I113" s="993"/>
      <c r="J113" s="993"/>
      <c r="K113" s="993"/>
      <c r="L113" s="993"/>
      <c r="M113" s="993"/>
      <c r="N113" s="993"/>
      <c r="O113" s="993"/>
      <c r="P113" s="993"/>
      <c r="Q113" s="993"/>
      <c r="R113" s="993"/>
      <c r="S113" s="993"/>
      <c r="T113" s="993"/>
    </row>
    <row r="114" spans="1:20" x14ac:dyDescent="0.2">
      <c r="A114" s="992"/>
      <c r="D114" s="993"/>
      <c r="E114" s="993"/>
      <c r="F114" s="993"/>
      <c r="G114" s="993"/>
      <c r="H114" s="993"/>
      <c r="I114" s="993"/>
      <c r="J114" s="993"/>
      <c r="K114" s="993"/>
      <c r="L114" s="993"/>
      <c r="M114" s="993"/>
      <c r="N114" s="993"/>
      <c r="O114" s="993"/>
      <c r="P114" s="993"/>
      <c r="Q114" s="993"/>
      <c r="R114" s="993"/>
      <c r="S114" s="993"/>
      <c r="T114" s="993"/>
    </row>
    <row r="115" spans="1:20" x14ac:dyDescent="0.2">
      <c r="A115" s="992"/>
      <c r="D115" s="993"/>
      <c r="E115" s="993"/>
      <c r="F115" s="993"/>
      <c r="G115" s="993"/>
      <c r="H115" s="993"/>
      <c r="I115" s="993"/>
      <c r="J115" s="993"/>
      <c r="K115" s="993"/>
      <c r="L115" s="993"/>
      <c r="M115" s="993"/>
      <c r="N115" s="993"/>
      <c r="O115" s="993"/>
      <c r="P115" s="993"/>
      <c r="Q115" s="993"/>
      <c r="R115" s="993"/>
      <c r="S115" s="993"/>
      <c r="T115" s="993"/>
    </row>
    <row r="116" spans="1:20" x14ac:dyDescent="0.2">
      <c r="A116" s="992"/>
      <c r="D116" s="993"/>
      <c r="E116" s="993"/>
      <c r="F116" s="993"/>
      <c r="G116" s="993"/>
      <c r="H116" s="993"/>
      <c r="I116" s="993"/>
      <c r="J116" s="993"/>
      <c r="K116" s="993"/>
      <c r="L116" s="993"/>
      <c r="M116" s="993"/>
      <c r="N116" s="993"/>
      <c r="O116" s="993"/>
      <c r="P116" s="993"/>
      <c r="Q116" s="993"/>
      <c r="R116" s="993"/>
      <c r="S116" s="993"/>
      <c r="T116" s="993"/>
    </row>
    <row r="117" spans="1:20" x14ac:dyDescent="0.2">
      <c r="A117" s="992"/>
      <c r="D117" s="993"/>
      <c r="E117" s="993"/>
      <c r="F117" s="993"/>
      <c r="G117" s="993"/>
      <c r="H117" s="993"/>
      <c r="I117" s="993"/>
      <c r="J117" s="993"/>
      <c r="K117" s="993"/>
      <c r="L117" s="993"/>
      <c r="M117" s="993"/>
      <c r="N117" s="993"/>
      <c r="O117" s="993"/>
      <c r="P117" s="993"/>
      <c r="Q117" s="993"/>
      <c r="R117" s="993"/>
      <c r="S117" s="993"/>
      <c r="T117" s="993"/>
    </row>
    <row r="118" spans="1:20" x14ac:dyDescent="0.2">
      <c r="A118" s="992"/>
      <c r="D118" s="993"/>
      <c r="E118" s="993"/>
      <c r="F118" s="993"/>
      <c r="G118" s="993"/>
      <c r="H118" s="993"/>
      <c r="I118" s="993"/>
      <c r="J118" s="993"/>
      <c r="K118" s="993"/>
      <c r="L118" s="993"/>
      <c r="M118" s="993"/>
      <c r="N118" s="993"/>
      <c r="O118" s="993"/>
      <c r="P118" s="993"/>
      <c r="Q118" s="993"/>
      <c r="R118" s="993"/>
      <c r="S118" s="993"/>
      <c r="T118" s="993"/>
    </row>
    <row r="119" spans="1:20" x14ac:dyDescent="0.2">
      <c r="A119" s="992"/>
      <c r="D119" s="993"/>
      <c r="E119" s="993"/>
      <c r="F119" s="993"/>
      <c r="G119" s="993"/>
      <c r="H119" s="993"/>
      <c r="I119" s="993"/>
      <c r="J119" s="993"/>
      <c r="K119" s="993"/>
      <c r="L119" s="993"/>
      <c r="M119" s="993"/>
      <c r="N119" s="993"/>
      <c r="O119" s="993"/>
      <c r="P119" s="993"/>
      <c r="Q119" s="993"/>
      <c r="R119" s="993"/>
      <c r="S119" s="993"/>
      <c r="T119" s="993"/>
    </row>
    <row r="120" spans="1:20" x14ac:dyDescent="0.2">
      <c r="A120" s="992"/>
      <c r="D120" s="993"/>
      <c r="E120" s="993"/>
      <c r="F120" s="993"/>
      <c r="G120" s="993"/>
      <c r="H120" s="993"/>
      <c r="I120" s="993"/>
      <c r="J120" s="993"/>
      <c r="K120" s="993"/>
      <c r="L120" s="993"/>
      <c r="M120" s="993"/>
      <c r="N120" s="993"/>
      <c r="O120" s="993"/>
      <c r="P120" s="993"/>
      <c r="Q120" s="993"/>
      <c r="R120" s="993"/>
      <c r="S120" s="993"/>
      <c r="T120" s="993"/>
    </row>
    <row r="121" spans="1:20" x14ac:dyDescent="0.2">
      <c r="A121" s="992"/>
      <c r="D121" s="993"/>
      <c r="E121" s="993"/>
      <c r="F121" s="993"/>
      <c r="G121" s="993"/>
      <c r="H121" s="993"/>
      <c r="I121" s="993"/>
      <c r="J121" s="993"/>
      <c r="K121" s="993"/>
      <c r="L121" s="993"/>
      <c r="M121" s="993"/>
      <c r="N121" s="993"/>
      <c r="O121" s="993"/>
      <c r="P121" s="993"/>
      <c r="Q121" s="993"/>
      <c r="R121" s="993"/>
      <c r="S121" s="993"/>
      <c r="T121" s="993"/>
    </row>
    <row r="122" spans="1:20" x14ac:dyDescent="0.2">
      <c r="A122" s="992"/>
      <c r="D122" s="993"/>
      <c r="E122" s="993"/>
      <c r="F122" s="993"/>
      <c r="G122" s="993"/>
      <c r="H122" s="993"/>
      <c r="I122" s="993"/>
      <c r="J122" s="993"/>
      <c r="K122" s="993"/>
      <c r="L122" s="993"/>
      <c r="M122" s="993"/>
      <c r="N122" s="993"/>
      <c r="O122" s="993"/>
      <c r="P122" s="993"/>
      <c r="Q122" s="993"/>
      <c r="R122" s="993"/>
      <c r="S122" s="993"/>
      <c r="T122" s="993"/>
    </row>
    <row r="123" spans="1:20" x14ac:dyDescent="0.2">
      <c r="A123" s="992"/>
      <c r="D123" s="993"/>
      <c r="E123" s="993"/>
      <c r="F123" s="993"/>
      <c r="G123" s="993"/>
      <c r="H123" s="993"/>
      <c r="I123" s="993"/>
      <c r="J123" s="993"/>
      <c r="K123" s="993"/>
      <c r="L123" s="993"/>
      <c r="M123" s="993"/>
      <c r="N123" s="993"/>
      <c r="O123" s="993"/>
      <c r="P123" s="993"/>
      <c r="Q123" s="993"/>
      <c r="R123" s="993"/>
      <c r="S123" s="993"/>
      <c r="T123" s="993"/>
    </row>
    <row r="124" spans="1:20" x14ac:dyDescent="0.2">
      <c r="A124" s="992"/>
      <c r="D124" s="993"/>
      <c r="E124" s="993"/>
      <c r="F124" s="993"/>
      <c r="G124" s="993"/>
      <c r="H124" s="993"/>
      <c r="I124" s="993"/>
      <c r="J124" s="993"/>
      <c r="K124" s="993"/>
      <c r="L124" s="993"/>
      <c r="M124" s="993"/>
      <c r="N124" s="993"/>
      <c r="O124" s="993"/>
      <c r="P124" s="993"/>
      <c r="Q124" s="993"/>
      <c r="R124" s="993"/>
      <c r="S124" s="993"/>
      <c r="T124" s="993"/>
    </row>
    <row r="125" spans="1:20" x14ac:dyDescent="0.2">
      <c r="A125" s="992"/>
      <c r="D125" s="993"/>
      <c r="E125" s="993"/>
      <c r="F125" s="993"/>
      <c r="G125" s="993"/>
      <c r="H125" s="993"/>
      <c r="I125" s="993"/>
      <c r="J125" s="993"/>
      <c r="K125" s="993"/>
      <c r="L125" s="993"/>
      <c r="M125" s="993"/>
      <c r="N125" s="993"/>
      <c r="O125" s="993"/>
      <c r="P125" s="993"/>
      <c r="Q125" s="993"/>
      <c r="R125" s="993"/>
      <c r="S125" s="993"/>
      <c r="T125" s="993"/>
    </row>
    <row r="126" spans="1:20" x14ac:dyDescent="0.2">
      <c r="A126" s="992"/>
      <c r="D126" s="993"/>
      <c r="E126" s="993"/>
      <c r="F126" s="993"/>
      <c r="G126" s="993"/>
      <c r="H126" s="993"/>
      <c r="I126" s="993"/>
      <c r="J126" s="993"/>
      <c r="K126" s="993"/>
      <c r="L126" s="993"/>
      <c r="M126" s="993"/>
      <c r="N126" s="993"/>
      <c r="O126" s="993"/>
      <c r="P126" s="993"/>
      <c r="Q126" s="993"/>
      <c r="R126" s="993"/>
      <c r="S126" s="993"/>
      <c r="T126" s="993"/>
    </row>
    <row r="127" spans="1:20" x14ac:dyDescent="0.2">
      <c r="A127" s="992"/>
      <c r="D127" s="993"/>
      <c r="E127" s="993"/>
      <c r="F127" s="993"/>
      <c r="G127" s="993"/>
      <c r="H127" s="993"/>
      <c r="I127" s="993"/>
      <c r="J127" s="993"/>
      <c r="K127" s="993"/>
      <c r="L127" s="993"/>
      <c r="M127" s="993"/>
      <c r="N127" s="993"/>
      <c r="O127" s="993"/>
      <c r="P127" s="993"/>
      <c r="Q127" s="993"/>
      <c r="R127" s="993"/>
      <c r="S127" s="993"/>
      <c r="T127" s="993"/>
    </row>
    <row r="128" spans="1:20" x14ac:dyDescent="0.2">
      <c r="A128" s="992"/>
      <c r="D128" s="993"/>
      <c r="E128" s="993"/>
      <c r="F128" s="993"/>
      <c r="G128" s="993"/>
      <c r="H128" s="993"/>
      <c r="I128" s="993"/>
      <c r="J128" s="993"/>
      <c r="K128" s="993"/>
      <c r="L128" s="993"/>
      <c r="M128" s="993"/>
      <c r="N128" s="993"/>
      <c r="O128" s="993"/>
      <c r="P128" s="993"/>
      <c r="Q128" s="993"/>
      <c r="R128" s="993"/>
      <c r="S128" s="993"/>
      <c r="T128" s="993"/>
    </row>
    <row r="129" spans="1:20" x14ac:dyDescent="0.2">
      <c r="A129" s="992"/>
      <c r="D129" s="993"/>
      <c r="E129" s="993"/>
      <c r="F129" s="993"/>
      <c r="G129" s="993"/>
      <c r="H129" s="993"/>
      <c r="I129" s="993"/>
      <c r="J129" s="993"/>
      <c r="K129" s="993"/>
      <c r="L129" s="993"/>
      <c r="M129" s="993"/>
      <c r="N129" s="993"/>
      <c r="O129" s="993"/>
      <c r="P129" s="993"/>
      <c r="Q129" s="993"/>
      <c r="R129" s="993"/>
      <c r="S129" s="993"/>
      <c r="T129" s="993"/>
    </row>
    <row r="130" spans="1:20" x14ac:dyDescent="0.2">
      <c r="A130" s="992"/>
      <c r="D130" s="993"/>
      <c r="E130" s="993"/>
      <c r="F130" s="993"/>
      <c r="G130" s="993"/>
      <c r="H130" s="993"/>
      <c r="I130" s="993"/>
      <c r="J130" s="993"/>
      <c r="K130" s="993"/>
      <c r="L130" s="993"/>
      <c r="M130" s="993"/>
      <c r="N130" s="993"/>
      <c r="O130" s="993"/>
      <c r="P130" s="993"/>
      <c r="Q130" s="993"/>
      <c r="R130" s="993"/>
      <c r="S130" s="993"/>
      <c r="T130" s="993"/>
    </row>
    <row r="131" spans="1:20" x14ac:dyDescent="0.2">
      <c r="A131" s="992"/>
      <c r="D131" s="993"/>
      <c r="E131" s="993"/>
      <c r="F131" s="993"/>
      <c r="G131" s="993"/>
      <c r="H131" s="993"/>
      <c r="I131" s="993"/>
      <c r="J131" s="993"/>
      <c r="K131" s="993"/>
      <c r="L131" s="993"/>
      <c r="M131" s="993"/>
      <c r="N131" s="993"/>
      <c r="O131" s="993"/>
      <c r="P131" s="993"/>
      <c r="Q131" s="993"/>
      <c r="R131" s="993"/>
      <c r="S131" s="993"/>
      <c r="T131" s="993"/>
    </row>
    <row r="132" spans="1:20" x14ac:dyDescent="0.2">
      <c r="A132" s="992"/>
      <c r="D132" s="993"/>
      <c r="E132" s="993"/>
      <c r="F132" s="993"/>
      <c r="G132" s="993"/>
      <c r="H132" s="993"/>
      <c r="I132" s="993"/>
      <c r="J132" s="993"/>
      <c r="K132" s="993"/>
      <c r="L132" s="993"/>
      <c r="M132" s="993"/>
      <c r="N132" s="993"/>
      <c r="O132" s="993"/>
      <c r="P132" s="993"/>
      <c r="Q132" s="993"/>
      <c r="R132" s="993"/>
      <c r="S132" s="993"/>
      <c r="T132" s="993"/>
    </row>
    <row r="133" spans="1:20" x14ac:dyDescent="0.2">
      <c r="A133" s="992"/>
      <c r="D133" s="993"/>
      <c r="E133" s="993"/>
      <c r="F133" s="993"/>
      <c r="G133" s="993"/>
      <c r="H133" s="993"/>
      <c r="I133" s="993"/>
      <c r="J133" s="993"/>
      <c r="K133" s="993"/>
      <c r="L133" s="993"/>
      <c r="M133" s="993"/>
      <c r="N133" s="993"/>
      <c r="O133" s="993"/>
      <c r="P133" s="993"/>
      <c r="Q133" s="993"/>
      <c r="R133" s="993"/>
      <c r="S133" s="993"/>
      <c r="T133" s="993"/>
    </row>
    <row r="134" spans="1:20" x14ac:dyDescent="0.2">
      <c r="A134" s="992"/>
      <c r="D134" s="993"/>
      <c r="E134" s="993"/>
      <c r="F134" s="993"/>
      <c r="G134" s="993"/>
      <c r="H134" s="993"/>
      <c r="I134" s="993"/>
      <c r="J134" s="993"/>
      <c r="K134" s="993"/>
      <c r="L134" s="993"/>
      <c r="M134" s="993"/>
      <c r="N134" s="993"/>
      <c r="O134" s="993"/>
      <c r="P134" s="993"/>
      <c r="Q134" s="993"/>
      <c r="R134" s="993"/>
      <c r="S134" s="993"/>
      <c r="T134" s="993"/>
    </row>
    <row r="135" spans="1:20" x14ac:dyDescent="0.2">
      <c r="A135" s="992"/>
      <c r="D135" s="993"/>
      <c r="E135" s="993"/>
      <c r="F135" s="993"/>
      <c r="G135" s="993"/>
      <c r="H135" s="993"/>
      <c r="I135" s="993"/>
      <c r="J135" s="993"/>
      <c r="K135" s="993"/>
      <c r="L135" s="993"/>
      <c r="M135" s="993"/>
      <c r="N135" s="993"/>
      <c r="O135" s="993"/>
      <c r="P135" s="993"/>
      <c r="Q135" s="993"/>
      <c r="R135" s="993"/>
      <c r="S135" s="993"/>
      <c r="T135" s="993"/>
    </row>
    <row r="136" spans="1:20" x14ac:dyDescent="0.2">
      <c r="A136" s="992"/>
      <c r="D136" s="993"/>
      <c r="E136" s="993"/>
      <c r="F136" s="993"/>
      <c r="G136" s="993"/>
      <c r="H136" s="993"/>
      <c r="I136" s="993"/>
      <c r="J136" s="993"/>
      <c r="K136" s="993"/>
      <c r="L136" s="993"/>
      <c r="M136" s="993"/>
      <c r="N136" s="993"/>
      <c r="O136" s="993"/>
      <c r="P136" s="993"/>
      <c r="Q136" s="993"/>
      <c r="R136" s="993"/>
      <c r="S136" s="993"/>
      <c r="T136" s="993"/>
    </row>
    <row r="137" spans="1:20" x14ac:dyDescent="0.2">
      <c r="A137" s="992"/>
      <c r="D137" s="993"/>
      <c r="E137" s="993"/>
      <c r="F137" s="993"/>
      <c r="G137" s="993"/>
      <c r="H137" s="993"/>
      <c r="I137" s="993"/>
      <c r="J137" s="993"/>
      <c r="K137" s="993"/>
      <c r="L137" s="993"/>
      <c r="M137" s="993"/>
      <c r="N137" s="993"/>
      <c r="O137" s="993"/>
      <c r="P137" s="993"/>
      <c r="Q137" s="993"/>
      <c r="R137" s="993"/>
      <c r="S137" s="993"/>
      <c r="T137" s="993"/>
    </row>
    <row r="138" spans="1:20" x14ac:dyDescent="0.2">
      <c r="A138" s="992"/>
      <c r="D138" s="993"/>
      <c r="E138" s="993"/>
      <c r="F138" s="993"/>
      <c r="G138" s="993"/>
      <c r="H138" s="993"/>
      <c r="I138" s="993"/>
      <c r="J138" s="993"/>
      <c r="K138" s="993"/>
      <c r="L138" s="993"/>
      <c r="M138" s="993"/>
      <c r="N138" s="993"/>
      <c r="O138" s="993"/>
      <c r="P138" s="993"/>
      <c r="Q138" s="993"/>
      <c r="R138" s="993"/>
      <c r="S138" s="993"/>
      <c r="T138" s="993"/>
    </row>
    <row r="139" spans="1:20" x14ac:dyDescent="0.2">
      <c r="A139" s="992"/>
      <c r="D139" s="993"/>
      <c r="E139" s="993"/>
      <c r="F139" s="993"/>
      <c r="G139" s="993"/>
      <c r="H139" s="993"/>
      <c r="I139" s="993"/>
      <c r="J139" s="993"/>
      <c r="K139" s="993"/>
      <c r="L139" s="993"/>
      <c r="M139" s="993"/>
      <c r="N139" s="993"/>
      <c r="O139" s="993"/>
      <c r="P139" s="993"/>
      <c r="Q139" s="993"/>
      <c r="R139" s="993"/>
      <c r="S139" s="993"/>
      <c r="T139" s="993"/>
    </row>
    <row r="140" spans="1:20" x14ac:dyDescent="0.2">
      <c r="A140" s="992"/>
      <c r="D140" s="993"/>
      <c r="E140" s="993"/>
      <c r="F140" s="993"/>
      <c r="G140" s="993"/>
      <c r="H140" s="993"/>
      <c r="I140" s="993"/>
      <c r="J140" s="993"/>
      <c r="K140" s="993"/>
      <c r="L140" s="993"/>
      <c r="M140" s="993"/>
      <c r="N140" s="993"/>
      <c r="O140" s="993"/>
      <c r="P140" s="993"/>
      <c r="Q140" s="993"/>
      <c r="R140" s="993"/>
      <c r="S140" s="993"/>
      <c r="T140" s="993"/>
    </row>
    <row r="141" spans="1:20" x14ac:dyDescent="0.2">
      <c r="A141" s="992"/>
      <c r="D141" s="993"/>
      <c r="E141" s="993"/>
      <c r="F141" s="993"/>
      <c r="G141" s="993"/>
      <c r="H141" s="993"/>
      <c r="I141" s="993"/>
      <c r="J141" s="993"/>
      <c r="K141" s="993"/>
      <c r="L141" s="993"/>
      <c r="M141" s="993"/>
      <c r="N141" s="993"/>
      <c r="O141" s="993"/>
      <c r="P141" s="993"/>
      <c r="Q141" s="993"/>
      <c r="R141" s="993"/>
      <c r="S141" s="993"/>
      <c r="T141" s="993"/>
    </row>
    <row r="142" spans="1:20" x14ac:dyDescent="0.2">
      <c r="A142" s="992"/>
      <c r="D142" s="993"/>
      <c r="E142" s="993"/>
      <c r="F142" s="993"/>
      <c r="G142" s="993"/>
      <c r="H142" s="993"/>
      <c r="I142" s="993"/>
      <c r="J142" s="993"/>
      <c r="K142" s="993"/>
      <c r="L142" s="993"/>
      <c r="M142" s="993"/>
      <c r="N142" s="993"/>
      <c r="O142" s="993"/>
      <c r="P142" s="993"/>
      <c r="Q142" s="993"/>
      <c r="R142" s="993"/>
      <c r="S142" s="993"/>
      <c r="T142" s="993"/>
    </row>
    <row r="143" spans="1:20" x14ac:dyDescent="0.2">
      <c r="A143" s="992"/>
      <c r="D143" s="993"/>
      <c r="E143" s="993"/>
      <c r="F143" s="993"/>
      <c r="G143" s="993"/>
      <c r="H143" s="993"/>
      <c r="I143" s="993"/>
      <c r="J143" s="993"/>
      <c r="K143" s="993"/>
      <c r="L143" s="993"/>
      <c r="M143" s="993"/>
      <c r="N143" s="993"/>
      <c r="O143" s="993"/>
      <c r="P143" s="993"/>
      <c r="Q143" s="993"/>
      <c r="R143" s="993"/>
      <c r="S143" s="993"/>
      <c r="T143" s="993"/>
    </row>
    <row r="144" spans="1:20" x14ac:dyDescent="0.2">
      <c r="A144" s="992"/>
      <c r="D144" s="993"/>
      <c r="E144" s="993"/>
      <c r="F144" s="993"/>
      <c r="G144" s="993"/>
      <c r="H144" s="993"/>
      <c r="I144" s="993"/>
      <c r="J144" s="993"/>
      <c r="K144" s="993"/>
      <c r="L144" s="993"/>
      <c r="M144" s="993"/>
      <c r="N144" s="993"/>
      <c r="O144" s="993"/>
      <c r="P144" s="993"/>
      <c r="Q144" s="993"/>
      <c r="R144" s="993"/>
      <c r="S144" s="993"/>
      <c r="T144" s="993"/>
    </row>
    <row r="145" spans="1:20" x14ac:dyDescent="0.2">
      <c r="A145" s="992"/>
      <c r="D145" s="993"/>
      <c r="E145" s="993"/>
      <c r="F145" s="993"/>
      <c r="G145" s="993"/>
      <c r="H145" s="993"/>
      <c r="I145" s="993"/>
      <c r="J145" s="993"/>
      <c r="K145" s="993"/>
      <c r="L145" s="993"/>
      <c r="M145" s="993"/>
      <c r="N145" s="993"/>
      <c r="O145" s="993"/>
      <c r="P145" s="993"/>
      <c r="Q145" s="993"/>
      <c r="R145" s="993"/>
      <c r="S145" s="993"/>
      <c r="T145" s="993"/>
    </row>
    <row r="146" spans="1:20" x14ac:dyDescent="0.2">
      <c r="A146" s="992"/>
      <c r="D146" s="993"/>
      <c r="E146" s="993"/>
      <c r="F146" s="993"/>
      <c r="G146" s="993"/>
      <c r="H146" s="993"/>
      <c r="I146" s="993"/>
      <c r="J146" s="993"/>
      <c r="K146" s="993"/>
      <c r="L146" s="993"/>
      <c r="M146" s="993"/>
      <c r="N146" s="993"/>
      <c r="O146" s="993"/>
      <c r="P146" s="993"/>
      <c r="Q146" s="993"/>
      <c r="R146" s="993"/>
      <c r="S146" s="993"/>
      <c r="T146" s="993"/>
    </row>
    <row r="147" spans="1:20" x14ac:dyDescent="0.2">
      <c r="A147" s="992"/>
      <c r="D147" s="993"/>
      <c r="E147" s="993"/>
      <c r="F147" s="993"/>
      <c r="G147" s="993"/>
      <c r="H147" s="993"/>
      <c r="I147" s="993"/>
      <c r="J147" s="993"/>
      <c r="K147" s="993"/>
      <c r="L147" s="993"/>
      <c r="M147" s="993"/>
      <c r="N147" s="993"/>
      <c r="O147" s="993"/>
      <c r="P147" s="993"/>
      <c r="Q147" s="993"/>
      <c r="R147" s="993"/>
      <c r="S147" s="993"/>
      <c r="T147" s="993"/>
    </row>
    <row r="148" spans="1:20" x14ac:dyDescent="0.2">
      <c r="A148" s="992"/>
      <c r="D148" s="993"/>
      <c r="E148" s="993"/>
      <c r="F148" s="993"/>
      <c r="G148" s="993"/>
      <c r="H148" s="993"/>
      <c r="I148" s="993"/>
      <c r="J148" s="993"/>
      <c r="K148" s="993"/>
      <c r="L148" s="993"/>
      <c r="M148" s="993"/>
      <c r="N148" s="993"/>
      <c r="O148" s="993"/>
      <c r="P148" s="993"/>
      <c r="Q148" s="993"/>
      <c r="R148" s="993"/>
      <c r="S148" s="993"/>
      <c r="T148" s="993"/>
    </row>
    <row r="149" spans="1:20" x14ac:dyDescent="0.2">
      <c r="A149" s="992"/>
      <c r="D149" s="993"/>
      <c r="E149" s="993"/>
      <c r="F149" s="993"/>
      <c r="G149" s="993"/>
      <c r="H149" s="993"/>
      <c r="I149" s="993"/>
      <c r="J149" s="993"/>
      <c r="K149" s="993"/>
      <c r="L149" s="993"/>
      <c r="M149" s="993"/>
      <c r="N149" s="993"/>
      <c r="O149" s="993"/>
      <c r="P149" s="993"/>
      <c r="Q149" s="993"/>
      <c r="R149" s="993"/>
      <c r="S149" s="993"/>
      <c r="T149" s="993"/>
    </row>
    <row r="150" spans="1:20" x14ac:dyDescent="0.2">
      <c r="A150" s="992"/>
      <c r="D150" s="993"/>
      <c r="E150" s="993"/>
      <c r="F150" s="993"/>
      <c r="G150" s="993"/>
      <c r="H150" s="993"/>
      <c r="I150" s="993"/>
      <c r="J150" s="993"/>
      <c r="K150" s="993"/>
      <c r="L150" s="993"/>
      <c r="M150" s="993"/>
      <c r="N150" s="993"/>
      <c r="O150" s="993"/>
      <c r="P150" s="993"/>
      <c r="Q150" s="993"/>
      <c r="R150" s="993"/>
      <c r="S150" s="993"/>
      <c r="T150" s="993"/>
    </row>
    <row r="151" spans="1:20" x14ac:dyDescent="0.2">
      <c r="A151" s="992"/>
      <c r="D151" s="993"/>
      <c r="E151" s="993"/>
      <c r="F151" s="993"/>
      <c r="G151" s="993"/>
      <c r="H151" s="993"/>
      <c r="I151" s="993"/>
      <c r="J151" s="993"/>
      <c r="K151" s="993"/>
      <c r="L151" s="993"/>
      <c r="M151" s="993"/>
      <c r="N151" s="993"/>
      <c r="O151" s="993"/>
      <c r="P151" s="993"/>
      <c r="Q151" s="993"/>
      <c r="R151" s="993"/>
      <c r="S151" s="993"/>
      <c r="T151" s="993"/>
    </row>
    <row r="152" spans="1:20" x14ac:dyDescent="0.2">
      <c r="A152" s="992"/>
      <c r="D152" s="993"/>
      <c r="E152" s="993"/>
      <c r="F152" s="993"/>
      <c r="G152" s="993"/>
      <c r="H152" s="993"/>
      <c r="I152" s="993"/>
      <c r="J152" s="993"/>
      <c r="K152" s="993"/>
      <c r="L152" s="993"/>
      <c r="M152" s="993"/>
      <c r="N152" s="993"/>
      <c r="O152" s="993"/>
      <c r="P152" s="993"/>
      <c r="Q152" s="993"/>
      <c r="R152" s="993"/>
      <c r="S152" s="993"/>
      <c r="T152" s="993"/>
    </row>
    <row r="153" spans="1:20" x14ac:dyDescent="0.2">
      <c r="A153" s="992"/>
      <c r="D153" s="993"/>
      <c r="E153" s="993"/>
      <c r="F153" s="993"/>
      <c r="G153" s="993"/>
      <c r="H153" s="993"/>
      <c r="I153" s="993"/>
      <c r="J153" s="993"/>
      <c r="K153" s="993"/>
      <c r="L153" s="993"/>
      <c r="M153" s="993"/>
      <c r="N153" s="993"/>
      <c r="O153" s="993"/>
      <c r="P153" s="993"/>
      <c r="Q153" s="993"/>
      <c r="R153" s="993"/>
      <c r="S153" s="993"/>
      <c r="T153" s="993"/>
    </row>
    <row r="154" spans="1:20" x14ac:dyDescent="0.2">
      <c r="A154" s="992"/>
      <c r="D154" s="993"/>
      <c r="E154" s="993"/>
      <c r="F154" s="993"/>
      <c r="G154" s="993"/>
      <c r="H154" s="993"/>
      <c r="I154" s="993"/>
      <c r="J154" s="993"/>
      <c r="K154" s="993"/>
      <c r="L154" s="993"/>
      <c r="M154" s="993"/>
      <c r="N154" s="993"/>
      <c r="O154" s="993"/>
      <c r="P154" s="993"/>
      <c r="Q154" s="993"/>
      <c r="R154" s="993"/>
      <c r="S154" s="993"/>
      <c r="T154" s="993"/>
    </row>
    <row r="155" spans="1:20" x14ac:dyDescent="0.2">
      <c r="A155" s="992"/>
      <c r="D155" s="993"/>
      <c r="E155" s="993"/>
      <c r="F155" s="993"/>
      <c r="G155" s="993"/>
      <c r="H155" s="993"/>
      <c r="I155" s="993"/>
      <c r="J155" s="993"/>
      <c r="K155" s="993"/>
      <c r="L155" s="993"/>
      <c r="M155" s="993"/>
      <c r="N155" s="993"/>
      <c r="O155" s="993"/>
      <c r="P155" s="993"/>
      <c r="Q155" s="993"/>
      <c r="R155" s="993"/>
      <c r="S155" s="993"/>
      <c r="T155" s="993"/>
    </row>
    <row r="156" spans="1:20" x14ac:dyDescent="0.2">
      <c r="A156" s="992"/>
      <c r="D156" s="993"/>
      <c r="E156" s="993"/>
      <c r="F156" s="993"/>
      <c r="G156" s="993"/>
      <c r="H156" s="993"/>
      <c r="I156" s="993"/>
      <c r="J156" s="993"/>
      <c r="K156" s="993"/>
      <c r="L156" s="993"/>
      <c r="M156" s="993"/>
      <c r="N156" s="993"/>
      <c r="O156" s="993"/>
      <c r="P156" s="993"/>
      <c r="Q156" s="993"/>
      <c r="R156" s="993"/>
      <c r="S156" s="993"/>
      <c r="T156" s="993"/>
    </row>
    <row r="157" spans="1:20" x14ac:dyDescent="0.2">
      <c r="A157" s="992"/>
      <c r="D157" s="993"/>
      <c r="E157" s="993"/>
      <c r="F157" s="993"/>
      <c r="G157" s="993"/>
      <c r="H157" s="993"/>
      <c r="I157" s="993"/>
      <c r="J157" s="993"/>
      <c r="K157" s="993"/>
      <c r="L157" s="993"/>
      <c r="M157" s="993"/>
      <c r="N157" s="993"/>
      <c r="O157" s="993"/>
      <c r="P157" s="993"/>
      <c r="Q157" s="993"/>
      <c r="R157" s="993"/>
      <c r="S157" s="993"/>
      <c r="T157" s="993"/>
    </row>
    <row r="158" spans="1:20" x14ac:dyDescent="0.2">
      <c r="A158" s="992"/>
      <c r="D158" s="993"/>
      <c r="E158" s="993"/>
      <c r="F158" s="993"/>
      <c r="G158" s="993"/>
      <c r="H158" s="993"/>
      <c r="I158" s="993"/>
      <c r="J158" s="993"/>
      <c r="K158" s="993"/>
      <c r="L158" s="993"/>
      <c r="M158" s="993"/>
      <c r="N158" s="993"/>
      <c r="O158" s="993"/>
      <c r="P158" s="993"/>
      <c r="Q158" s="993"/>
      <c r="R158" s="993"/>
      <c r="S158" s="993"/>
      <c r="T158" s="993"/>
    </row>
    <row r="159" spans="1:20" x14ac:dyDescent="0.2">
      <c r="A159" s="992"/>
      <c r="D159" s="993"/>
      <c r="E159" s="993"/>
      <c r="F159" s="993"/>
      <c r="G159" s="993"/>
      <c r="H159" s="993"/>
      <c r="I159" s="993"/>
      <c r="J159" s="993"/>
      <c r="K159" s="993"/>
      <c r="L159" s="993"/>
      <c r="M159" s="993"/>
      <c r="N159" s="993"/>
      <c r="O159" s="993"/>
      <c r="P159" s="993"/>
      <c r="Q159" s="993"/>
      <c r="R159" s="993"/>
      <c r="S159" s="993"/>
      <c r="T159" s="993"/>
    </row>
    <row r="160" spans="1:20" x14ac:dyDescent="0.2">
      <c r="A160" s="992"/>
      <c r="D160" s="993"/>
      <c r="E160" s="993"/>
      <c r="F160" s="993"/>
      <c r="G160" s="993"/>
      <c r="H160" s="993"/>
      <c r="I160" s="993"/>
      <c r="J160" s="993"/>
      <c r="K160" s="993"/>
      <c r="L160" s="993"/>
      <c r="M160" s="993"/>
      <c r="N160" s="993"/>
      <c r="O160" s="993"/>
      <c r="P160" s="993"/>
      <c r="Q160" s="993"/>
      <c r="R160" s="993"/>
      <c r="S160" s="993"/>
      <c r="T160" s="993"/>
    </row>
    <row r="161" spans="1:20" x14ac:dyDescent="0.2">
      <c r="A161" s="992"/>
      <c r="D161" s="993"/>
      <c r="E161" s="993"/>
      <c r="F161" s="993"/>
      <c r="G161" s="993"/>
      <c r="H161" s="993"/>
      <c r="I161" s="993"/>
      <c r="J161" s="993"/>
      <c r="K161" s="993"/>
      <c r="L161" s="993"/>
      <c r="M161" s="993"/>
      <c r="N161" s="993"/>
      <c r="O161" s="993"/>
      <c r="P161" s="993"/>
      <c r="Q161" s="993"/>
      <c r="R161" s="993"/>
      <c r="S161" s="993"/>
      <c r="T161" s="993"/>
    </row>
    <row r="162" spans="1:20" x14ac:dyDescent="0.2">
      <c r="A162" s="992"/>
      <c r="D162" s="993"/>
      <c r="E162" s="993"/>
      <c r="F162" s="993"/>
      <c r="G162" s="993"/>
      <c r="H162" s="993"/>
      <c r="I162" s="993"/>
      <c r="J162" s="993"/>
      <c r="K162" s="993"/>
      <c r="L162" s="993"/>
      <c r="M162" s="993"/>
      <c r="N162" s="993"/>
      <c r="O162" s="993"/>
      <c r="P162" s="993"/>
      <c r="Q162" s="993"/>
      <c r="R162" s="993"/>
      <c r="S162" s="993"/>
      <c r="T162" s="993"/>
    </row>
    <row r="163" spans="1:20" x14ac:dyDescent="0.2">
      <c r="A163" s="992"/>
      <c r="D163" s="993"/>
      <c r="E163" s="993"/>
      <c r="F163" s="993"/>
      <c r="G163" s="993"/>
      <c r="H163" s="993"/>
      <c r="I163" s="993"/>
      <c r="J163" s="993"/>
      <c r="K163" s="993"/>
      <c r="L163" s="993"/>
      <c r="M163" s="993"/>
      <c r="N163" s="993"/>
      <c r="O163" s="993"/>
      <c r="P163" s="993"/>
      <c r="Q163" s="993"/>
      <c r="R163" s="993"/>
      <c r="S163" s="993"/>
      <c r="T163" s="993"/>
    </row>
    <row r="164" spans="1:20" x14ac:dyDescent="0.2">
      <c r="A164" s="992"/>
      <c r="D164" s="993"/>
      <c r="E164" s="993"/>
      <c r="F164" s="993"/>
      <c r="G164" s="993"/>
      <c r="H164" s="993"/>
      <c r="I164" s="993"/>
      <c r="J164" s="993"/>
      <c r="K164" s="993"/>
      <c r="L164" s="993"/>
      <c r="M164" s="993"/>
      <c r="N164" s="993"/>
      <c r="O164" s="993"/>
      <c r="P164" s="993"/>
      <c r="Q164" s="993"/>
      <c r="R164" s="993"/>
      <c r="S164" s="993"/>
      <c r="T164" s="993"/>
    </row>
    <row r="165" spans="1:20" x14ac:dyDescent="0.2">
      <c r="A165" s="992"/>
      <c r="D165" s="993"/>
      <c r="E165" s="993"/>
      <c r="F165" s="993"/>
      <c r="G165" s="993"/>
      <c r="H165" s="993"/>
      <c r="I165" s="993"/>
      <c r="J165" s="993"/>
      <c r="K165" s="993"/>
      <c r="L165" s="993"/>
      <c r="M165" s="993"/>
      <c r="N165" s="993"/>
      <c r="O165" s="993"/>
      <c r="P165" s="993"/>
      <c r="Q165" s="993"/>
      <c r="R165" s="993"/>
      <c r="S165" s="993"/>
      <c r="T165" s="993"/>
    </row>
    <row r="166" spans="1:20" x14ac:dyDescent="0.2">
      <c r="A166" s="992"/>
      <c r="D166" s="993"/>
      <c r="E166" s="993"/>
      <c r="F166" s="993"/>
      <c r="G166" s="993"/>
      <c r="H166" s="993"/>
      <c r="I166" s="993"/>
      <c r="J166" s="993"/>
      <c r="K166" s="993"/>
      <c r="L166" s="993"/>
      <c r="M166" s="993"/>
      <c r="N166" s="993"/>
      <c r="O166" s="993"/>
      <c r="P166" s="993"/>
      <c r="Q166" s="993"/>
      <c r="R166" s="993"/>
      <c r="S166" s="993"/>
      <c r="T166" s="993"/>
    </row>
    <row r="167" spans="1:20" x14ac:dyDescent="0.2">
      <c r="A167" s="992"/>
      <c r="D167" s="993"/>
      <c r="E167" s="993"/>
      <c r="F167" s="993"/>
      <c r="G167" s="993"/>
      <c r="H167" s="993"/>
      <c r="I167" s="993"/>
      <c r="J167" s="993"/>
      <c r="K167" s="993"/>
      <c r="L167" s="993"/>
      <c r="M167" s="993"/>
      <c r="N167" s="993"/>
      <c r="O167" s="993"/>
      <c r="P167" s="993"/>
      <c r="Q167" s="993"/>
      <c r="R167" s="993"/>
      <c r="S167" s="993"/>
      <c r="T167" s="993"/>
    </row>
    <row r="168" spans="1:20" x14ac:dyDescent="0.2">
      <c r="A168" s="992"/>
      <c r="D168" s="993"/>
      <c r="E168" s="993"/>
      <c r="F168" s="993"/>
      <c r="G168" s="993"/>
      <c r="H168" s="993"/>
      <c r="I168" s="993"/>
      <c r="J168" s="993"/>
      <c r="K168" s="993"/>
      <c r="L168" s="993"/>
      <c r="M168" s="993"/>
      <c r="N168" s="993"/>
      <c r="O168" s="993"/>
      <c r="P168" s="993"/>
      <c r="Q168" s="993"/>
      <c r="R168" s="993"/>
      <c r="S168" s="993"/>
      <c r="T168" s="993"/>
    </row>
    <row r="169" spans="1:20" x14ac:dyDescent="0.2">
      <c r="A169" s="992"/>
      <c r="D169" s="993"/>
      <c r="E169" s="993"/>
      <c r="F169" s="993"/>
      <c r="G169" s="993"/>
      <c r="H169" s="993"/>
      <c r="I169" s="993"/>
      <c r="J169" s="993"/>
      <c r="K169" s="993"/>
      <c r="L169" s="993"/>
      <c r="M169" s="993"/>
      <c r="N169" s="993"/>
      <c r="O169" s="993"/>
      <c r="P169" s="993"/>
      <c r="Q169" s="993"/>
      <c r="R169" s="993"/>
      <c r="S169" s="993"/>
      <c r="T169" s="993"/>
    </row>
    <row r="170" spans="1:20" x14ac:dyDescent="0.2">
      <c r="A170" s="992"/>
      <c r="D170" s="993"/>
      <c r="E170" s="993"/>
      <c r="F170" s="993"/>
      <c r="G170" s="993"/>
      <c r="H170" s="993"/>
      <c r="I170" s="993"/>
      <c r="J170" s="993"/>
      <c r="K170" s="993"/>
      <c r="L170" s="993"/>
      <c r="M170" s="993"/>
      <c r="N170" s="993"/>
      <c r="O170" s="993"/>
      <c r="P170" s="993"/>
      <c r="Q170" s="993"/>
      <c r="R170" s="993"/>
      <c r="S170" s="993"/>
      <c r="T170" s="993"/>
    </row>
  </sheetData>
  <sheetProtection sheet="1" objects="1" scenarios="1" formatCells="0" formatColumns="0" formatRows="0" insertRows="0" deleteRows="0"/>
  <mergeCells count="18">
    <mergeCell ref="B39:AF39"/>
    <mergeCell ref="B40:AF40"/>
    <mergeCell ref="B41:AF41"/>
    <mergeCell ref="B29:AF29"/>
    <mergeCell ref="B30:AF30"/>
    <mergeCell ref="B31:AF31"/>
    <mergeCell ref="B32:AF32"/>
    <mergeCell ref="B38:AF38"/>
    <mergeCell ref="A26:C26"/>
    <mergeCell ref="A27:C27"/>
    <mergeCell ref="D1:T1"/>
    <mergeCell ref="S2:T2"/>
    <mergeCell ref="D2:E2"/>
    <mergeCell ref="F2:G2"/>
    <mergeCell ref="K2:L2"/>
    <mergeCell ref="N2:O2"/>
    <mergeCell ref="P2:Q2"/>
    <mergeCell ref="H2:J2"/>
  </mergeCells>
  <phoneticPr fontId="23" type="noConversion"/>
  <conditionalFormatting sqref="D42:T71">
    <cfRule type="cellIs" dxfId="283" priority="42" stopIfTrue="1" operator="equal">
      <formula>3</formula>
    </cfRule>
  </conditionalFormatting>
  <conditionalFormatting sqref="D4:T4">
    <cfRule type="cellIs" dxfId="282" priority="43" stopIfTrue="1" operator="equal">
      <formula>3</formula>
    </cfRule>
    <cfRule type="cellIs" dxfId="281" priority="44" stopIfTrue="1" operator="equal">
      <formula>4</formula>
    </cfRule>
    <cfRule type="cellIs" dxfId="280" priority="45" stopIfTrue="1" operator="equal">
      <formula>2</formula>
    </cfRule>
  </conditionalFormatting>
  <conditionalFormatting sqref="D6:T20 D22:T25">
    <cfRule type="cellIs" dxfId="279" priority="50" stopIfTrue="1" operator="equal">
      <formula>3</formula>
    </cfRule>
    <cfRule type="cellIs" dxfId="278" priority="51" stopIfTrue="1" operator="equal">
      <formula>4</formula>
    </cfRule>
    <cfRule type="cellIs" dxfId="277" priority="52" stopIfTrue="1" operator="equal">
      <formula>2</formula>
    </cfRule>
  </conditionalFormatting>
  <conditionalFormatting sqref="U27:Y28">
    <cfRule type="cellIs" dxfId="276" priority="53" stopIfTrue="1" operator="equal">
      <formula>3</formula>
    </cfRule>
    <cfRule type="cellIs" dxfId="275" priority="54" stopIfTrue="1" operator="equal">
      <formula>4</formula>
    </cfRule>
  </conditionalFormatting>
  <conditionalFormatting sqref="D26:T26">
    <cfRule type="cellIs" dxfId="274" priority="55" stopIfTrue="1" operator="equal">
      <formula>3</formula>
    </cfRule>
    <cfRule type="cellIs" dxfId="273" priority="56" stopIfTrue="1" operator="equal">
      <formula>4</formula>
    </cfRule>
    <cfRule type="cellIs" dxfId="272" priority="57" stopIfTrue="1" operator="equal">
      <formula>2</formula>
    </cfRule>
  </conditionalFormatting>
  <conditionalFormatting sqref="D27:D28">
    <cfRule type="cellIs" dxfId="271" priority="36" stopIfTrue="1" operator="equal">
      <formula>4</formula>
    </cfRule>
    <cfRule type="cellIs" dxfId="270" priority="37" stopIfTrue="1" operator="equal">
      <formula>3</formula>
    </cfRule>
    <cfRule type="cellIs" dxfId="269" priority="38" stopIfTrue="1" operator="equal">
      <formula>2</formula>
    </cfRule>
  </conditionalFormatting>
  <conditionalFormatting sqref="E27:T28">
    <cfRule type="cellIs" dxfId="268" priority="33" stopIfTrue="1" operator="equal">
      <formula>4</formula>
    </cfRule>
    <cfRule type="cellIs" dxfId="267" priority="34" stopIfTrue="1" operator="equal">
      <formula>3</formula>
    </cfRule>
    <cfRule type="cellIs" dxfId="266" priority="35" stopIfTrue="1" operator="equal">
      <formula>2</formula>
    </cfRule>
  </conditionalFormatting>
  <conditionalFormatting sqref="D27:T28">
    <cfRule type="cellIs" dxfId="265" priority="39" stopIfTrue="1" operator="equal">
      <formula>3</formula>
    </cfRule>
    <cfRule type="cellIs" dxfId="264" priority="40" stopIfTrue="1" operator="equal">
      <formula>4</formula>
    </cfRule>
    <cfRule type="cellIs" dxfId="263" priority="41" stopIfTrue="1" operator="equal">
      <formula>2</formula>
    </cfRule>
  </conditionalFormatting>
  <conditionalFormatting sqref="D27:T28">
    <cfRule type="cellIs" dxfId="262" priority="30" stopIfTrue="1" operator="equal">
      <formula>4</formula>
    </cfRule>
    <cfRule type="cellIs" dxfId="261" priority="31" stopIfTrue="1" operator="equal">
      <formula>3</formula>
    </cfRule>
    <cfRule type="cellIs" dxfId="260" priority="32" stopIfTrue="1" operator="equal">
      <formula>2</formula>
    </cfRule>
  </conditionalFormatting>
  <conditionalFormatting sqref="E27:T28">
    <cfRule type="cellIs" dxfId="259" priority="27" stopIfTrue="1" operator="equal">
      <formula>4</formula>
    </cfRule>
    <cfRule type="cellIs" dxfId="258" priority="28" stopIfTrue="1" operator="equal">
      <formula>3</formula>
    </cfRule>
    <cfRule type="cellIs" dxfId="257" priority="29" stopIfTrue="1" operator="equal">
      <formula>2</formula>
    </cfRule>
  </conditionalFormatting>
  <dataValidations count="1">
    <dataValidation type="whole" allowBlank="1" showInputMessage="1" showErrorMessage="1" sqref="D6:AK28">
      <formula1>1</formula1>
      <formula2>4</formula2>
    </dataValidation>
  </dataValidations>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ignoredErrors>
    <ignoredError sqref="C20 C7:C8 C22:C25 C11:C19 D27:T27" unlockedFormula="1"/>
  </ignoredErrors>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tabColor rgb="FFFFFF99"/>
  </sheetPr>
  <dimension ref="A1:T178"/>
  <sheetViews>
    <sheetView workbookViewId="0"/>
  </sheetViews>
  <sheetFormatPr baseColWidth="10" defaultColWidth="11.42578125" defaultRowHeight="12.75" outlineLevelCol="1" x14ac:dyDescent="0.2"/>
  <cols>
    <col min="1" max="1" width="33.140625" style="957" customWidth="1"/>
    <col min="2" max="2" width="19.7109375" style="992" customWidth="1" outlineLevel="1"/>
    <col min="3" max="3" width="3.42578125" style="992" customWidth="1" outlineLevel="1"/>
    <col min="4" max="4" width="15.85546875" style="994" customWidth="1"/>
    <col min="5" max="5" width="15.28515625" style="994" customWidth="1"/>
    <col min="6" max="6" width="13.7109375" style="994" customWidth="1"/>
    <col min="7" max="7" width="13.42578125" style="994" customWidth="1"/>
    <col min="8" max="8" width="12.42578125" style="994" customWidth="1"/>
    <col min="9" max="9" width="16" style="994" customWidth="1"/>
    <col min="10" max="14" width="13.42578125" style="957" hidden="1" customWidth="1"/>
    <col min="15" max="15" width="2.42578125" style="957" hidden="1" customWidth="1"/>
    <col min="16" max="16" width="13.42578125" style="957" customWidth="1"/>
    <col min="17" max="22" width="18" style="957" customWidth="1"/>
    <col min="23" max="37" width="9.140625" style="957" customWidth="1"/>
    <col min="38" max="16384" width="11.42578125" style="957"/>
  </cols>
  <sheetData>
    <row r="1" spans="1:15" ht="18.75" customHeight="1" x14ac:dyDescent="0.2">
      <c r="A1" s="952" t="s">
        <v>2465</v>
      </c>
      <c r="B1" s="953"/>
      <c r="C1" s="954"/>
      <c r="D1" s="1941" t="s">
        <v>7435</v>
      </c>
      <c r="E1" s="1942"/>
      <c r="F1" s="1942"/>
      <c r="G1" s="1942"/>
      <c r="H1" s="1942"/>
      <c r="I1" s="1942"/>
      <c r="J1" s="955"/>
      <c r="K1" s="955"/>
      <c r="L1" s="955"/>
      <c r="M1" s="955"/>
      <c r="N1" s="955"/>
      <c r="O1" s="955"/>
    </row>
    <row r="2" spans="1:15" ht="54.75" customHeight="1" x14ac:dyDescent="0.2">
      <c r="A2" s="958" t="s">
        <v>7436</v>
      </c>
      <c r="B2" s="959" t="s">
        <v>7432</v>
      </c>
      <c r="C2" s="960" t="s">
        <v>7215</v>
      </c>
      <c r="D2" s="953" t="s">
        <v>4355</v>
      </c>
      <c r="E2" s="953" t="s">
        <v>2411</v>
      </c>
      <c r="F2" s="953" t="s">
        <v>2412</v>
      </c>
      <c r="G2" s="953" t="s">
        <v>2815</v>
      </c>
      <c r="H2" s="953" t="s">
        <v>2413</v>
      </c>
      <c r="I2" s="953" t="s">
        <v>2414</v>
      </c>
      <c r="J2" s="955"/>
      <c r="K2" s="955"/>
      <c r="L2" s="955"/>
      <c r="M2" s="955"/>
      <c r="N2" s="955"/>
      <c r="O2" s="955"/>
    </row>
    <row r="3" spans="1:15" ht="18" customHeight="1" x14ac:dyDescent="0.2">
      <c r="A3" s="961"/>
      <c r="B3" s="962"/>
      <c r="C3" s="962"/>
      <c r="D3" s="1164" t="s">
        <v>6403</v>
      </c>
      <c r="E3" s="1164" t="s">
        <v>6403</v>
      </c>
      <c r="F3" s="953" t="s">
        <v>6403</v>
      </c>
      <c r="G3" s="953" t="s">
        <v>6403</v>
      </c>
      <c r="H3" s="953" t="s">
        <v>6403</v>
      </c>
      <c r="I3" s="953" t="s">
        <v>6403</v>
      </c>
      <c r="J3" s="955"/>
      <c r="K3" s="955"/>
      <c r="L3" s="955"/>
      <c r="M3" s="955"/>
      <c r="N3" s="955"/>
      <c r="O3" s="955"/>
    </row>
    <row r="4" spans="1:15" s="968" customFormat="1" ht="13.5" customHeight="1" x14ac:dyDescent="0.2">
      <c r="A4" s="963"/>
      <c r="B4" s="1412" t="s">
        <v>7550</v>
      </c>
      <c r="C4" s="964"/>
      <c r="D4" s="1165" t="s">
        <v>2790</v>
      </c>
      <c r="E4" s="1165" t="s">
        <v>2791</v>
      </c>
      <c r="F4" s="965" t="s">
        <v>2792</v>
      </c>
      <c r="G4" s="965" t="s">
        <v>2793</v>
      </c>
      <c r="H4" s="965" t="s">
        <v>5578</v>
      </c>
      <c r="I4" s="965" t="s">
        <v>2928</v>
      </c>
      <c r="J4" s="966"/>
      <c r="K4" s="966"/>
      <c r="L4" s="966"/>
      <c r="M4" s="966"/>
      <c r="N4" s="966"/>
      <c r="O4" s="966"/>
    </row>
    <row r="5" spans="1:15" s="968" customFormat="1" ht="15.75" customHeight="1" x14ac:dyDescent="0.2">
      <c r="A5" s="969" t="s">
        <v>3753</v>
      </c>
      <c r="B5" s="970"/>
      <c r="C5" s="971"/>
      <c r="D5" s="1166"/>
      <c r="E5" s="1166"/>
      <c r="F5" s="972"/>
      <c r="G5" s="972"/>
      <c r="H5" s="972"/>
      <c r="I5" s="972"/>
      <c r="J5" s="973"/>
      <c r="K5" s="973"/>
      <c r="L5" s="973"/>
      <c r="M5" s="973"/>
      <c r="N5" s="973"/>
      <c r="O5" s="973"/>
    </row>
    <row r="6" spans="1:15" s="977" customFormat="1" ht="15.75" customHeight="1" x14ac:dyDescent="0.2">
      <c r="A6" s="1410" t="str">
        <f>'T1'!A6</f>
        <v xml:space="preserve">Domaine 1 : </v>
      </c>
      <c r="B6" s="1410" t="str">
        <f>IF('T1'!B6="","",'T1'!B6)</f>
        <v/>
      </c>
      <c r="C6" s="1411">
        <f>'T1'!C6</f>
        <v>1</v>
      </c>
      <c r="D6" s="1664"/>
      <c r="E6" s="1664"/>
      <c r="F6" s="1664"/>
      <c r="G6" s="1664"/>
      <c r="H6" s="1664"/>
      <c r="I6" s="1664"/>
      <c r="J6" s="975">
        <f>IF($C6="",0,IF($C6=1,D6,0))</f>
        <v>0</v>
      </c>
      <c r="K6" s="975">
        <f t="shared" ref="K6:O20" si="0">IF($C6="",0,IF($C6=1,E6,0))</f>
        <v>0</v>
      </c>
      <c r="L6" s="975">
        <f t="shared" si="0"/>
        <v>0</v>
      </c>
      <c r="M6" s="975">
        <f t="shared" si="0"/>
        <v>0</v>
      </c>
      <c r="N6" s="975">
        <f t="shared" si="0"/>
        <v>0</v>
      </c>
      <c r="O6" s="975">
        <f t="shared" si="0"/>
        <v>0</v>
      </c>
    </row>
    <row r="7" spans="1:15" s="977" customFormat="1" ht="15.75" customHeight="1" x14ac:dyDescent="0.2">
      <c r="A7" s="1410" t="str">
        <f>'T1'!A7</f>
        <v>Domaine 2 :</v>
      </c>
      <c r="B7" s="1410" t="str">
        <f>IF('T1'!B7="","",'T1'!B7)</f>
        <v/>
      </c>
      <c r="C7" s="1411">
        <f>'T1'!C7</f>
        <v>1</v>
      </c>
      <c r="D7" s="1665"/>
      <c r="E7" s="1665"/>
      <c r="F7" s="1665"/>
      <c r="G7" s="1665"/>
      <c r="H7" s="1665"/>
      <c r="I7" s="1665"/>
      <c r="J7" s="975">
        <f t="shared" ref="J7:O24" si="1">IF($C7="",0,IF($C7=1,D7,0))</f>
        <v>0</v>
      </c>
      <c r="K7" s="975">
        <f t="shared" si="0"/>
        <v>0</v>
      </c>
      <c r="L7" s="975">
        <f t="shared" si="0"/>
        <v>0</v>
      </c>
      <c r="M7" s="975">
        <f t="shared" si="0"/>
        <v>0</v>
      </c>
      <c r="N7" s="975">
        <f t="shared" si="0"/>
        <v>0</v>
      </c>
      <c r="O7" s="975">
        <f t="shared" si="0"/>
        <v>0</v>
      </c>
    </row>
    <row r="8" spans="1:15" s="977" customFormat="1" ht="15.75" customHeight="1" x14ac:dyDescent="0.2">
      <c r="A8" s="1410" t="str">
        <f>'T1'!A8</f>
        <v xml:space="preserve">Domaine 3 : </v>
      </c>
      <c r="B8" s="1410" t="str">
        <f>IF('T1'!B8="","",'T1'!B8)</f>
        <v/>
      </c>
      <c r="C8" s="1411">
        <f>'T1'!C8</f>
        <v>1</v>
      </c>
      <c r="D8" s="1665"/>
      <c r="E8" s="1665"/>
      <c r="F8" s="1665"/>
      <c r="G8" s="1665"/>
      <c r="H8" s="1665"/>
      <c r="I8" s="1665"/>
      <c r="J8" s="975">
        <f t="shared" si="1"/>
        <v>0</v>
      </c>
      <c r="K8" s="975">
        <f t="shared" si="0"/>
        <v>0</v>
      </c>
      <c r="L8" s="975">
        <f t="shared" si="0"/>
        <v>0</v>
      </c>
      <c r="M8" s="975">
        <f t="shared" si="0"/>
        <v>0</v>
      </c>
      <c r="N8" s="975">
        <f t="shared" si="0"/>
        <v>0</v>
      </c>
      <c r="O8" s="975">
        <f t="shared" si="0"/>
        <v>0</v>
      </c>
    </row>
    <row r="9" spans="1:15" s="977" customFormat="1" ht="15.75" customHeight="1" x14ac:dyDescent="0.2">
      <c r="A9" s="1410" t="str">
        <f>'T1'!A9</f>
        <v xml:space="preserve">Domaine 4 : </v>
      </c>
      <c r="B9" s="1410" t="str">
        <f>IF('T1'!B9="","",'T1'!B9)</f>
        <v/>
      </c>
      <c r="C9" s="1411">
        <f>'T1'!C9</f>
        <v>1</v>
      </c>
      <c r="D9" s="1665"/>
      <c r="E9" s="1665"/>
      <c r="F9" s="1665"/>
      <c r="G9" s="1665"/>
      <c r="H9" s="1665"/>
      <c r="I9" s="1665"/>
      <c r="J9" s="975">
        <f t="shared" si="1"/>
        <v>0</v>
      </c>
      <c r="K9" s="975">
        <f t="shared" si="0"/>
        <v>0</v>
      </c>
      <c r="L9" s="975">
        <f t="shared" si="0"/>
        <v>0</v>
      </c>
      <c r="M9" s="975">
        <f t="shared" si="0"/>
        <v>0</v>
      </c>
      <c r="N9" s="975">
        <f t="shared" si="0"/>
        <v>0</v>
      </c>
      <c r="O9" s="975">
        <f t="shared" si="0"/>
        <v>0</v>
      </c>
    </row>
    <row r="10" spans="1:15" s="977" customFormat="1" ht="15.75" customHeight="1" x14ac:dyDescent="0.2">
      <c r="A10" s="1410" t="str">
        <f>'T1'!A10</f>
        <v>Domaine 5</v>
      </c>
      <c r="B10" s="1410" t="str">
        <f>IF('T1'!B10="","",'T1'!B10)</f>
        <v/>
      </c>
      <c r="C10" s="1411">
        <f>'T1'!C10</f>
        <v>1</v>
      </c>
      <c r="D10" s="1665"/>
      <c r="E10" s="1665"/>
      <c r="F10" s="1665"/>
      <c r="G10" s="1665"/>
      <c r="H10" s="1665"/>
      <c r="I10" s="1665"/>
      <c r="J10" s="975">
        <f t="shared" si="1"/>
        <v>0</v>
      </c>
      <c r="K10" s="975">
        <f t="shared" si="0"/>
        <v>0</v>
      </c>
      <c r="L10" s="975">
        <f t="shared" si="0"/>
        <v>0</v>
      </c>
      <c r="M10" s="975">
        <f t="shared" si="0"/>
        <v>0</v>
      </c>
      <c r="N10" s="975">
        <f t="shared" si="0"/>
        <v>0</v>
      </c>
      <c r="O10" s="975">
        <f t="shared" si="0"/>
        <v>0</v>
      </c>
    </row>
    <row r="11" spans="1:15" s="977" customFormat="1" ht="15.75" customHeight="1" x14ac:dyDescent="0.2">
      <c r="A11" s="1410" t="str">
        <f>'T1'!A11</f>
        <v xml:space="preserve">Domaine 6 : </v>
      </c>
      <c r="B11" s="1410" t="str">
        <f>IF('T1'!B11="","",'T1'!B11)</f>
        <v/>
      </c>
      <c r="C11" s="1411">
        <f>'T1'!C11</f>
        <v>1</v>
      </c>
      <c r="D11" s="1665"/>
      <c r="E11" s="1665"/>
      <c r="F11" s="1665"/>
      <c r="G11" s="1665"/>
      <c r="H11" s="1665"/>
      <c r="I11" s="1665"/>
      <c r="J11" s="975">
        <f t="shared" si="1"/>
        <v>0</v>
      </c>
      <c r="K11" s="975">
        <f t="shared" si="0"/>
        <v>0</v>
      </c>
      <c r="L11" s="975">
        <f t="shared" si="0"/>
        <v>0</v>
      </c>
      <c r="M11" s="975">
        <f t="shared" si="0"/>
        <v>0</v>
      </c>
      <c r="N11" s="975">
        <f t="shared" si="0"/>
        <v>0</v>
      </c>
      <c r="O11" s="975">
        <f t="shared" si="0"/>
        <v>0</v>
      </c>
    </row>
    <row r="12" spans="1:15" s="977" customFormat="1" ht="15.75" customHeight="1" x14ac:dyDescent="0.2">
      <c r="A12" s="1410" t="str">
        <f>'T1'!A12</f>
        <v xml:space="preserve">Domaine 7 : </v>
      </c>
      <c r="B12" s="1410" t="str">
        <f>IF('T1'!B12="","",'T1'!B12)</f>
        <v/>
      </c>
      <c r="C12" s="1411">
        <f>'T1'!C12</f>
        <v>1</v>
      </c>
      <c r="D12" s="1665"/>
      <c r="E12" s="1665"/>
      <c r="F12" s="1665"/>
      <c r="G12" s="1665"/>
      <c r="H12" s="1665"/>
      <c r="I12" s="1665"/>
      <c r="J12" s="975">
        <f t="shared" si="1"/>
        <v>0</v>
      </c>
      <c r="K12" s="975">
        <f t="shared" si="0"/>
        <v>0</v>
      </c>
      <c r="L12" s="975">
        <f t="shared" si="0"/>
        <v>0</v>
      </c>
      <c r="M12" s="975">
        <f t="shared" si="0"/>
        <v>0</v>
      </c>
      <c r="N12" s="975">
        <f t="shared" si="0"/>
        <v>0</v>
      </c>
      <c r="O12" s="975">
        <f t="shared" si="0"/>
        <v>0</v>
      </c>
    </row>
    <row r="13" spans="1:15" s="977" customFormat="1" ht="15.75" customHeight="1" x14ac:dyDescent="0.2">
      <c r="A13" s="1410" t="str">
        <f>'T1'!A13</f>
        <v xml:space="preserve">Domaine 8 : </v>
      </c>
      <c r="B13" s="1410" t="str">
        <f>IF('T1'!B13="","",'T1'!B13)</f>
        <v/>
      </c>
      <c r="C13" s="1411">
        <f>'T1'!C13</f>
        <v>1</v>
      </c>
      <c r="D13" s="1665"/>
      <c r="E13" s="1665"/>
      <c r="F13" s="1665"/>
      <c r="G13" s="1665"/>
      <c r="H13" s="1665"/>
      <c r="I13" s="1665"/>
      <c r="J13" s="975">
        <f t="shared" si="1"/>
        <v>0</v>
      </c>
      <c r="K13" s="975">
        <f t="shared" si="0"/>
        <v>0</v>
      </c>
      <c r="L13" s="975">
        <f t="shared" si="0"/>
        <v>0</v>
      </c>
      <c r="M13" s="975">
        <f t="shared" si="0"/>
        <v>0</v>
      </c>
      <c r="N13" s="975">
        <f t="shared" si="0"/>
        <v>0</v>
      </c>
      <c r="O13" s="975">
        <f t="shared" si="0"/>
        <v>0</v>
      </c>
    </row>
    <row r="14" spans="1:15" s="977" customFormat="1" ht="15.75" customHeight="1" x14ac:dyDescent="0.2">
      <c r="A14" s="1410" t="str">
        <f>'T1'!A14</f>
        <v xml:space="preserve">Domaine 9 : </v>
      </c>
      <c r="B14" s="1410" t="str">
        <f>IF('T1'!B14="","",'T1'!B14)</f>
        <v/>
      </c>
      <c r="C14" s="1411">
        <f>'T1'!C14</f>
        <v>1</v>
      </c>
      <c r="D14" s="1665"/>
      <c r="E14" s="1665"/>
      <c r="F14" s="1665"/>
      <c r="G14" s="1665"/>
      <c r="H14" s="1665"/>
      <c r="I14" s="1665"/>
      <c r="J14" s="975">
        <f t="shared" ref="J14:J15" si="2">IF($C14="",0,IF($C14=1,D14,0))</f>
        <v>0</v>
      </c>
      <c r="K14" s="975">
        <f t="shared" ref="K14:K15" si="3">IF($C14="",0,IF($C14=1,E14,0))</f>
        <v>0</v>
      </c>
      <c r="L14" s="975">
        <f t="shared" ref="L14:L15" si="4">IF($C14="",0,IF($C14=1,F14,0))</f>
        <v>0</v>
      </c>
      <c r="M14" s="975">
        <f t="shared" ref="M14:M15" si="5">IF($C14="",0,IF($C14=1,G14,0))</f>
        <v>0</v>
      </c>
      <c r="N14" s="975">
        <f t="shared" ref="N14:N15" si="6">IF($C14="",0,IF($C14=1,H14,0))</f>
        <v>0</v>
      </c>
      <c r="O14" s="975">
        <f t="shared" ref="O14:O15" si="7">IF($C14="",0,IF($C14=1,I14,0))</f>
        <v>0</v>
      </c>
    </row>
    <row r="15" spans="1:15" s="977" customFormat="1" x14ac:dyDescent="0.2">
      <c r="A15" s="1410" t="str">
        <f>'T1'!A15</f>
        <v xml:space="preserve">Domaine 10 : </v>
      </c>
      <c r="B15" s="1410" t="str">
        <f>IF('T1'!B15="","",'T1'!B15)</f>
        <v/>
      </c>
      <c r="C15" s="1411">
        <f>'T1'!C15</f>
        <v>1</v>
      </c>
      <c r="D15" s="1665"/>
      <c r="E15" s="1665"/>
      <c r="F15" s="1665"/>
      <c r="G15" s="1665"/>
      <c r="H15" s="1665"/>
      <c r="I15" s="1665"/>
      <c r="J15" s="975">
        <f t="shared" si="2"/>
        <v>0</v>
      </c>
      <c r="K15" s="975">
        <f t="shared" si="3"/>
        <v>0</v>
      </c>
      <c r="L15" s="975">
        <f t="shared" si="4"/>
        <v>0</v>
      </c>
      <c r="M15" s="975">
        <f t="shared" si="5"/>
        <v>0</v>
      </c>
      <c r="N15" s="975">
        <f t="shared" si="6"/>
        <v>0</v>
      </c>
      <c r="O15" s="975">
        <f t="shared" si="7"/>
        <v>0</v>
      </c>
    </row>
    <row r="16" spans="1:15" s="977" customFormat="1" ht="15.75" customHeight="1" x14ac:dyDescent="0.2">
      <c r="A16" s="1410" t="str">
        <f>'T1'!A16</f>
        <v>Domaine 11 :</v>
      </c>
      <c r="B16" s="1410" t="str">
        <f>IF('T1'!B16="","",'T1'!B16)</f>
        <v/>
      </c>
      <c r="C16" s="1411">
        <f>'T1'!C16</f>
        <v>1</v>
      </c>
      <c r="D16" s="1665"/>
      <c r="E16" s="1665"/>
      <c r="F16" s="1665"/>
      <c r="G16" s="1665"/>
      <c r="H16" s="1665"/>
      <c r="I16" s="1665"/>
      <c r="J16" s="975">
        <f t="shared" si="1"/>
        <v>0</v>
      </c>
      <c r="K16" s="975">
        <f t="shared" si="0"/>
        <v>0</v>
      </c>
      <c r="L16" s="975">
        <f t="shared" si="0"/>
        <v>0</v>
      </c>
      <c r="M16" s="975">
        <f t="shared" si="0"/>
        <v>0</v>
      </c>
      <c r="N16" s="975">
        <f t="shared" si="0"/>
        <v>0</v>
      </c>
      <c r="O16" s="975">
        <f t="shared" si="0"/>
        <v>0</v>
      </c>
    </row>
    <row r="17" spans="1:20" s="977" customFormat="1" ht="15.75" customHeight="1" x14ac:dyDescent="0.2">
      <c r="A17" s="1410" t="str">
        <f>'T1'!A17</f>
        <v xml:space="preserve">Domaine 12 : </v>
      </c>
      <c r="B17" s="1410" t="str">
        <f>IF('T1'!B17="","",'T1'!B17)</f>
        <v/>
      </c>
      <c r="C17" s="1411">
        <f>'T1'!C17</f>
        <v>1</v>
      </c>
      <c r="D17" s="1665"/>
      <c r="E17" s="1665"/>
      <c r="F17" s="1665"/>
      <c r="G17" s="1665"/>
      <c r="H17" s="1665"/>
      <c r="I17" s="1665"/>
      <c r="J17" s="975">
        <f t="shared" si="1"/>
        <v>0</v>
      </c>
      <c r="K17" s="975">
        <f t="shared" si="0"/>
        <v>0</v>
      </c>
      <c r="L17" s="975">
        <f t="shared" si="0"/>
        <v>0</v>
      </c>
      <c r="M17" s="975">
        <f t="shared" si="0"/>
        <v>0</v>
      </c>
      <c r="N17" s="975">
        <f t="shared" si="0"/>
        <v>0</v>
      </c>
      <c r="O17" s="975">
        <f t="shared" si="0"/>
        <v>0</v>
      </c>
    </row>
    <row r="18" spans="1:20" s="977" customFormat="1" ht="15.75" customHeight="1" x14ac:dyDescent="0.2">
      <c r="A18" s="1410" t="str">
        <f>'T1'!A18</f>
        <v>Domaine 13 :</v>
      </c>
      <c r="B18" s="1410" t="str">
        <f>IF('T1'!B18="","",'T1'!B18)</f>
        <v/>
      </c>
      <c r="C18" s="1411">
        <f>'T1'!C18</f>
        <v>1</v>
      </c>
      <c r="D18" s="1665"/>
      <c r="E18" s="1665"/>
      <c r="F18" s="1665"/>
      <c r="G18" s="1665"/>
      <c r="H18" s="1665"/>
      <c r="I18" s="1665"/>
      <c r="J18" s="975">
        <f t="shared" si="1"/>
        <v>0</v>
      </c>
      <c r="K18" s="975">
        <f t="shared" si="0"/>
        <v>0</v>
      </c>
      <c r="L18" s="975">
        <f t="shared" si="0"/>
        <v>0</v>
      </c>
      <c r="M18" s="975">
        <f t="shared" si="0"/>
        <v>0</v>
      </c>
      <c r="N18" s="975">
        <f t="shared" si="0"/>
        <v>0</v>
      </c>
      <c r="O18" s="975">
        <f t="shared" si="0"/>
        <v>0</v>
      </c>
    </row>
    <row r="19" spans="1:20" s="977" customFormat="1" ht="15.75" customHeight="1" x14ac:dyDescent="0.2">
      <c r="A19" s="1410" t="str">
        <f>'T1'!A19</f>
        <v xml:space="preserve">Domaine 14 : </v>
      </c>
      <c r="B19" s="1410" t="str">
        <f>IF('T1'!B19="","",'T1'!B19)</f>
        <v/>
      </c>
      <c r="C19" s="1411">
        <f>'T1'!C19</f>
        <v>1</v>
      </c>
      <c r="D19" s="1665"/>
      <c r="E19" s="1665"/>
      <c r="F19" s="1665"/>
      <c r="G19" s="1665"/>
      <c r="H19" s="1665"/>
      <c r="I19" s="1665"/>
      <c r="J19" s="975">
        <f t="shared" si="1"/>
        <v>0</v>
      </c>
      <c r="K19" s="975">
        <f t="shared" si="0"/>
        <v>0</v>
      </c>
      <c r="L19" s="975">
        <f t="shared" si="0"/>
        <v>0</v>
      </c>
      <c r="M19" s="975">
        <f t="shared" si="0"/>
        <v>0</v>
      </c>
      <c r="N19" s="975">
        <f t="shared" si="0"/>
        <v>0</v>
      </c>
      <c r="O19" s="975">
        <f t="shared" si="0"/>
        <v>0</v>
      </c>
    </row>
    <row r="20" spans="1:20" s="977" customFormat="1" ht="15.75" customHeight="1" x14ac:dyDescent="0.2">
      <c r="A20" s="1410" t="str">
        <f>'T1'!A20</f>
        <v>Domaine 15 :</v>
      </c>
      <c r="B20" s="1410" t="str">
        <f>IF('T1'!B20="","",'T1'!B20)</f>
        <v/>
      </c>
      <c r="C20" s="1411">
        <f>'T1'!C20</f>
        <v>1</v>
      </c>
      <c r="D20" s="1665"/>
      <c r="E20" s="1665"/>
      <c r="F20" s="1665"/>
      <c r="G20" s="1665"/>
      <c r="H20" s="1665"/>
      <c r="I20" s="1665"/>
      <c r="J20" s="975">
        <f t="shared" si="1"/>
        <v>0</v>
      </c>
      <c r="K20" s="975">
        <f t="shared" si="0"/>
        <v>0</v>
      </c>
      <c r="L20" s="975">
        <f t="shared" si="0"/>
        <v>0</v>
      </c>
      <c r="M20" s="975">
        <f t="shared" si="0"/>
        <v>0</v>
      </c>
      <c r="N20" s="975">
        <f t="shared" si="0"/>
        <v>0</v>
      </c>
      <c r="O20" s="975">
        <f t="shared" si="0"/>
        <v>0</v>
      </c>
    </row>
    <row r="21" spans="1:20" ht="15.75" customHeight="1" x14ac:dyDescent="0.2">
      <c r="A21" s="978" t="str">
        <f>'T1'!A21</f>
        <v>Processus transverses</v>
      </c>
      <c r="B21" s="1386" t="str">
        <f>IF('T1'!B21="","",'T1'!B21)</f>
        <v/>
      </c>
      <c r="C21" s="1386"/>
      <c r="D21" s="1666"/>
      <c r="E21" s="1666"/>
      <c r="F21" s="1666"/>
      <c r="G21" s="1666"/>
      <c r="H21" s="1666"/>
      <c r="I21" s="1666"/>
      <c r="J21" s="972"/>
      <c r="K21" s="972"/>
      <c r="L21" s="972"/>
      <c r="M21" s="972"/>
      <c r="N21" s="972"/>
      <c r="O21" s="972"/>
    </row>
    <row r="22" spans="1:20" ht="15.75" customHeight="1" x14ac:dyDescent="0.2">
      <c r="A22" s="1410" t="str">
        <f>'T1'!A22</f>
        <v>Processus 1 :</v>
      </c>
      <c r="B22" s="1410" t="str">
        <f>IF('T1'!B22="","",'T1'!B22)</f>
        <v/>
      </c>
      <c r="C22" s="1411">
        <f>'T1'!C22</f>
        <v>1</v>
      </c>
      <c r="D22" s="1665"/>
      <c r="E22" s="1665"/>
      <c r="F22" s="1665"/>
      <c r="G22" s="1665"/>
      <c r="H22" s="1665"/>
      <c r="I22" s="1665"/>
      <c r="J22" s="975">
        <f t="shared" si="1"/>
        <v>0</v>
      </c>
      <c r="K22" s="975">
        <f t="shared" si="1"/>
        <v>0</v>
      </c>
      <c r="L22" s="975">
        <f t="shared" si="1"/>
        <v>0</v>
      </c>
      <c r="M22" s="975">
        <f t="shared" si="1"/>
        <v>0</v>
      </c>
      <c r="N22" s="975">
        <f t="shared" si="1"/>
        <v>0</v>
      </c>
      <c r="O22" s="975">
        <f t="shared" si="1"/>
        <v>0</v>
      </c>
    </row>
    <row r="23" spans="1:20" ht="15.75" customHeight="1" x14ac:dyDescent="0.2">
      <c r="A23" s="1410" t="str">
        <f>'T1'!A23</f>
        <v>Processus 2 :</v>
      </c>
      <c r="B23" s="1410" t="str">
        <f>IF('T1'!B23="","",'T1'!B23)</f>
        <v/>
      </c>
      <c r="C23" s="1411">
        <f>'T1'!C23</f>
        <v>1</v>
      </c>
      <c r="D23" s="1665"/>
      <c r="E23" s="1665"/>
      <c r="F23" s="1665"/>
      <c r="G23" s="1665"/>
      <c r="H23" s="1665"/>
      <c r="I23" s="1665"/>
      <c r="J23" s="975">
        <f t="shared" si="1"/>
        <v>0</v>
      </c>
      <c r="K23" s="975">
        <f t="shared" si="1"/>
        <v>0</v>
      </c>
      <c r="L23" s="975">
        <f t="shared" si="1"/>
        <v>0</v>
      </c>
      <c r="M23" s="975">
        <f t="shared" si="1"/>
        <v>0</v>
      </c>
      <c r="N23" s="975">
        <f t="shared" si="1"/>
        <v>0</v>
      </c>
      <c r="O23" s="975">
        <f t="shared" si="1"/>
        <v>0</v>
      </c>
    </row>
    <row r="24" spans="1:20" ht="15.75" customHeight="1" x14ac:dyDescent="0.2">
      <c r="A24" s="1410" t="str">
        <f>'T1'!A24</f>
        <v>Processus 3 :</v>
      </c>
      <c r="B24" s="1410" t="str">
        <f>IF('T1'!B24="","",'T1'!B24)</f>
        <v/>
      </c>
      <c r="C24" s="1411">
        <f>'T1'!C24</f>
        <v>1</v>
      </c>
      <c r="D24" s="1667"/>
      <c r="E24" s="1667"/>
      <c r="F24" s="1667"/>
      <c r="G24" s="1667"/>
      <c r="H24" s="1667"/>
      <c r="I24" s="1667"/>
      <c r="J24" s="975">
        <f t="shared" si="1"/>
        <v>0</v>
      </c>
      <c r="K24" s="975">
        <f t="shared" si="1"/>
        <v>0</v>
      </c>
      <c r="L24" s="975">
        <f t="shared" si="1"/>
        <v>0</v>
      </c>
      <c r="M24" s="975">
        <f t="shared" si="1"/>
        <v>0</v>
      </c>
      <c r="N24" s="975">
        <f t="shared" si="1"/>
        <v>0</v>
      </c>
      <c r="O24" s="975">
        <f t="shared" si="1"/>
        <v>0</v>
      </c>
    </row>
    <row r="25" spans="1:20" ht="15.75" customHeight="1" x14ac:dyDescent="0.2">
      <c r="A25" s="1410" t="str">
        <f>'T1'!A25</f>
        <v>Administration &amp; politique d'ensemble</v>
      </c>
      <c r="B25" s="1410" t="str">
        <f>IF('T1'!B25="","",'T1'!B25)</f>
        <v/>
      </c>
      <c r="C25" s="1411">
        <f>'T1'!C25</f>
        <v>1</v>
      </c>
      <c r="D25" s="1668"/>
      <c r="E25" s="1668"/>
      <c r="F25" s="1668"/>
      <c r="G25" s="1668"/>
      <c r="H25" s="1668"/>
      <c r="I25" s="1668"/>
      <c r="J25" s="975">
        <f t="shared" ref="J25" si="8">IF($C25="",0,IF($C25=1,D25,0))</f>
        <v>0</v>
      </c>
      <c r="K25" s="975">
        <f t="shared" ref="K25" si="9">IF($C25="",0,IF($C25=1,E25,0))</f>
        <v>0</v>
      </c>
      <c r="L25" s="975">
        <f t="shared" ref="L25" si="10">IF($C25="",0,IF($C25=1,F25,0))</f>
        <v>0</v>
      </c>
      <c r="M25" s="975">
        <f t="shared" ref="M25" si="11">IF($C25="",0,IF($C25=1,G25,0))</f>
        <v>0</v>
      </c>
      <c r="N25" s="975">
        <f t="shared" ref="N25" si="12">IF($C25="",0,IF($C25=1,H25,0))</f>
        <v>0</v>
      </c>
      <c r="O25" s="975">
        <f t="shared" ref="O25" si="13">IF($C25="",0,IF($C25=1,I25,0))</f>
        <v>0</v>
      </c>
    </row>
    <row r="26" spans="1:20" s="956" customFormat="1" ht="22.5" customHeight="1" x14ac:dyDescent="0.2">
      <c r="A26" s="1933" t="s">
        <v>902</v>
      </c>
      <c r="B26" s="1934"/>
      <c r="C26" s="1935"/>
      <c r="D26" s="979" t="str">
        <f t="shared" ref="D26:I26" si="14">IF(MAX(D6:D25)=0,"",MAX(D6:D25))</f>
        <v/>
      </c>
      <c r="E26" s="979" t="str">
        <f t="shared" si="14"/>
        <v/>
      </c>
      <c r="F26" s="979" t="str">
        <f t="shared" si="14"/>
        <v/>
      </c>
      <c r="G26" s="979" t="str">
        <f t="shared" si="14"/>
        <v/>
      </c>
      <c r="H26" s="979" t="str">
        <f t="shared" si="14"/>
        <v/>
      </c>
      <c r="I26" s="979" t="str">
        <f t="shared" si="14"/>
        <v/>
      </c>
      <c r="J26" s="980"/>
      <c r="K26" s="980"/>
      <c r="L26" s="980"/>
      <c r="M26" s="980"/>
      <c r="N26" s="980"/>
      <c r="O26" s="980"/>
    </row>
    <row r="27" spans="1:20" s="985" customFormat="1" ht="30.75" customHeight="1" thickBot="1" x14ac:dyDescent="0.25">
      <c r="A27" s="1936" t="s">
        <v>7214</v>
      </c>
      <c r="B27" s="1937"/>
      <c r="C27" s="1938"/>
      <c r="D27" s="981" t="str">
        <f t="shared" ref="D27:I27" si="15">IF(MAX(J6:J25)=0,"",MAX(J6:J25))</f>
        <v/>
      </c>
      <c r="E27" s="982" t="str">
        <f t="shared" si="15"/>
        <v/>
      </c>
      <c r="F27" s="982" t="str">
        <f t="shared" si="15"/>
        <v/>
      </c>
      <c r="G27" s="982" t="str">
        <f t="shared" si="15"/>
        <v/>
      </c>
      <c r="H27" s="982" t="str">
        <f t="shared" si="15"/>
        <v/>
      </c>
      <c r="I27" s="982" t="str">
        <f t="shared" si="15"/>
        <v/>
      </c>
      <c r="J27" s="983"/>
      <c r="K27" s="983"/>
      <c r="L27" s="983"/>
      <c r="M27" s="983"/>
      <c r="N27" s="983"/>
      <c r="O27" s="984"/>
    </row>
    <row r="28" spans="1:20" s="985" customFormat="1" ht="30.75" customHeight="1" thickBot="1" x14ac:dyDescent="0.25">
      <c r="A28" s="1430"/>
      <c r="B28" s="1431"/>
      <c r="C28" s="1430"/>
      <c r="D28" s="1432"/>
      <c r="E28" s="1432"/>
      <c r="F28" s="1432"/>
      <c r="G28" s="1432"/>
      <c r="H28" s="1432"/>
      <c r="I28" s="1432"/>
      <c r="J28" s="1432"/>
      <c r="K28" s="1432"/>
      <c r="L28" s="1432"/>
      <c r="M28" s="1432"/>
      <c r="N28" s="1432"/>
      <c r="O28" s="1432"/>
      <c r="P28" s="1432"/>
      <c r="Q28" s="1432"/>
      <c r="R28" s="1432"/>
      <c r="S28" s="1432"/>
      <c r="T28" s="1432"/>
    </row>
    <row r="29" spans="1:20" s="985" customFormat="1" ht="30.75" customHeight="1" x14ac:dyDescent="0.2">
      <c r="A29" s="1413" t="s">
        <v>7216</v>
      </c>
      <c r="B29" s="1928" t="s">
        <v>7434</v>
      </c>
      <c r="C29" s="1929"/>
      <c r="D29" s="1929"/>
      <c r="E29" s="1929"/>
      <c r="F29" s="1929"/>
      <c r="G29" s="1929"/>
      <c r="H29" s="1929"/>
      <c r="I29" s="1929"/>
      <c r="J29" s="1929"/>
      <c r="K29" s="1929"/>
      <c r="L29" s="1929"/>
      <c r="M29" s="1929"/>
      <c r="N29" s="1929"/>
      <c r="O29" s="1929"/>
      <c r="P29" s="1929"/>
      <c r="Q29" s="1929"/>
      <c r="R29" s="1929"/>
      <c r="S29" s="1929"/>
      <c r="T29" s="1929"/>
    </row>
    <row r="30" spans="1:20" s="985" customFormat="1" ht="30.75" customHeight="1" x14ac:dyDescent="0.2">
      <c r="A30" s="1414" t="s">
        <v>7217</v>
      </c>
      <c r="B30" s="1930"/>
      <c r="C30" s="1931"/>
      <c r="D30" s="1931"/>
      <c r="E30" s="1931"/>
      <c r="F30" s="1931"/>
      <c r="G30" s="1931"/>
      <c r="H30" s="1931"/>
      <c r="I30" s="1931"/>
      <c r="J30" s="1931"/>
      <c r="K30" s="1931"/>
      <c r="L30" s="1931"/>
      <c r="M30" s="1931"/>
      <c r="N30" s="1931"/>
      <c r="O30" s="1931"/>
      <c r="P30" s="1931"/>
      <c r="Q30" s="1931"/>
      <c r="R30" s="1931"/>
      <c r="S30" s="1931"/>
      <c r="T30" s="1931"/>
    </row>
    <row r="31" spans="1:20" s="985" customFormat="1" ht="30.75" customHeight="1" x14ac:dyDescent="0.2">
      <c r="A31" s="1415" t="s">
        <v>7218</v>
      </c>
      <c r="B31" s="1930"/>
      <c r="C31" s="1931"/>
      <c r="D31" s="1931"/>
      <c r="E31" s="1931"/>
      <c r="F31" s="1931"/>
      <c r="G31" s="1931"/>
      <c r="H31" s="1931"/>
      <c r="I31" s="1931"/>
      <c r="J31" s="1931"/>
      <c r="K31" s="1931"/>
      <c r="L31" s="1931"/>
      <c r="M31" s="1931"/>
      <c r="N31" s="1931"/>
      <c r="O31" s="1931"/>
      <c r="P31" s="1931"/>
      <c r="Q31" s="1931"/>
      <c r="R31" s="1931"/>
      <c r="S31" s="1931"/>
      <c r="T31" s="1931"/>
    </row>
    <row r="32" spans="1:20" s="985" customFormat="1" ht="30.75" customHeight="1" x14ac:dyDescent="0.2">
      <c r="A32" s="1413" t="s">
        <v>7219</v>
      </c>
      <c r="B32" s="1930" t="s">
        <v>7434</v>
      </c>
      <c r="C32" s="1931"/>
      <c r="D32" s="1931"/>
      <c r="E32" s="1931"/>
      <c r="F32" s="1931"/>
      <c r="G32" s="1931"/>
      <c r="H32" s="1931"/>
      <c r="I32" s="1931"/>
      <c r="J32" s="1931"/>
      <c r="K32" s="1931"/>
      <c r="L32" s="1931"/>
      <c r="M32" s="1931"/>
      <c r="N32" s="1931"/>
      <c r="O32" s="1931"/>
      <c r="P32" s="1931"/>
      <c r="Q32" s="1931"/>
      <c r="R32" s="1931"/>
      <c r="S32" s="1931"/>
      <c r="T32" s="1931"/>
    </row>
    <row r="33" spans="1:20" s="985" customFormat="1" ht="30.75" customHeight="1" x14ac:dyDescent="0.2">
      <c r="A33" s="1416" t="s">
        <v>7220</v>
      </c>
      <c r="B33" s="1417" t="s">
        <v>7283</v>
      </c>
      <c r="C33" s="372"/>
      <c r="D33" s="372"/>
      <c r="E33" s="372"/>
      <c r="F33" s="372"/>
      <c r="G33" s="372"/>
      <c r="H33" s="372"/>
      <c r="I33" s="372"/>
      <c r="J33" s="372"/>
      <c r="K33" s="372"/>
      <c r="L33" s="372"/>
      <c r="M33" s="372"/>
      <c r="N33" s="372"/>
      <c r="O33" s="372"/>
      <c r="P33" s="372"/>
      <c r="Q33" s="372"/>
      <c r="R33" s="372"/>
      <c r="S33" s="372"/>
      <c r="T33" s="372"/>
    </row>
    <row r="34" spans="1:20" s="985" customFormat="1" ht="30.75" customHeight="1" x14ac:dyDescent="0.2">
      <c r="A34" s="1416" t="s">
        <v>7221</v>
      </c>
      <c r="B34" s="1417" t="s">
        <v>7283</v>
      </c>
      <c r="C34" s="372"/>
      <c r="D34" s="372"/>
      <c r="E34" s="372"/>
      <c r="F34" s="372"/>
      <c r="G34" s="372"/>
      <c r="H34" s="372"/>
      <c r="I34" s="372"/>
      <c r="J34" s="372"/>
      <c r="K34" s="372"/>
      <c r="L34" s="372"/>
      <c r="M34" s="372"/>
      <c r="N34" s="372"/>
      <c r="O34" s="372"/>
      <c r="P34" s="372"/>
      <c r="Q34" s="372"/>
      <c r="R34" s="372"/>
      <c r="S34" s="372"/>
      <c r="T34" s="372"/>
    </row>
    <row r="35" spans="1:20" s="985" customFormat="1" ht="30.75" customHeight="1" x14ac:dyDescent="0.2">
      <c r="A35" s="1416" t="s">
        <v>7222</v>
      </c>
      <c r="B35" s="1417" t="s">
        <v>7283</v>
      </c>
      <c r="C35" s="372"/>
      <c r="D35" s="372"/>
      <c r="E35" s="372"/>
      <c r="F35" s="372"/>
      <c r="G35" s="372"/>
      <c r="H35" s="372"/>
      <c r="I35" s="372"/>
      <c r="J35" s="372"/>
      <c r="K35" s="372"/>
      <c r="L35" s="372"/>
      <c r="M35" s="372"/>
      <c r="N35" s="372"/>
      <c r="O35" s="372"/>
      <c r="P35" s="372"/>
      <c r="Q35" s="372"/>
      <c r="R35" s="372"/>
      <c r="S35" s="372"/>
      <c r="T35" s="372"/>
    </row>
    <row r="36" spans="1:20" s="985" customFormat="1" ht="30.75" customHeight="1" x14ac:dyDescent="0.2">
      <c r="A36" s="1418" t="s">
        <v>7223</v>
      </c>
      <c r="B36" s="1417" t="s">
        <v>7283</v>
      </c>
      <c r="C36" s="372"/>
      <c r="D36" s="372"/>
      <c r="E36" s="372"/>
      <c r="F36" s="372"/>
      <c r="G36" s="372"/>
      <c r="H36" s="372"/>
      <c r="I36" s="372"/>
      <c r="J36" s="372"/>
      <c r="K36" s="372"/>
      <c r="L36" s="372"/>
      <c r="M36" s="372"/>
      <c r="N36" s="372"/>
      <c r="O36" s="372"/>
      <c r="P36" s="372"/>
      <c r="Q36" s="372"/>
      <c r="R36" s="372"/>
      <c r="S36" s="372"/>
      <c r="T36" s="372"/>
    </row>
    <row r="37" spans="1:20" ht="30" customHeight="1" x14ac:dyDescent="0.2">
      <c r="A37" s="1939" t="s">
        <v>7557</v>
      </c>
      <c r="B37" s="1940"/>
      <c r="C37" s="1940"/>
      <c r="D37" s="1940"/>
      <c r="E37" s="1940"/>
      <c r="F37" s="1940"/>
      <c r="G37" s="1940"/>
      <c r="H37" s="1940"/>
      <c r="I37" s="1940"/>
    </row>
    <row r="38" spans="1:20" s="986" customFormat="1" x14ac:dyDescent="0.2">
      <c r="A38" s="1932"/>
      <c r="B38" s="1932"/>
      <c r="C38" s="1932"/>
      <c r="D38" s="1932"/>
      <c r="E38" s="1932"/>
      <c r="F38" s="1932"/>
      <c r="G38" s="1932"/>
      <c r="H38" s="1932"/>
      <c r="I38" s="1932"/>
    </row>
    <row r="39" spans="1:20" s="986" customFormat="1" x14ac:dyDescent="0.2">
      <c r="A39" s="987"/>
      <c r="B39" s="987"/>
      <c r="C39" s="987"/>
      <c r="D39" s="988"/>
      <c r="E39" s="988"/>
      <c r="F39" s="988"/>
      <c r="G39" s="988"/>
      <c r="H39" s="988"/>
      <c r="I39" s="988"/>
    </row>
    <row r="40" spans="1:20" s="986" customFormat="1" x14ac:dyDescent="0.2">
      <c r="A40" s="987"/>
      <c r="B40" s="987"/>
      <c r="C40" s="987"/>
      <c r="D40" s="988"/>
      <c r="E40" s="988"/>
      <c r="F40" s="988"/>
      <c r="G40" s="988"/>
      <c r="H40" s="988"/>
      <c r="I40" s="988"/>
    </row>
    <row r="41" spans="1:20" s="986" customFormat="1" ht="12.75" customHeight="1" x14ac:dyDescent="0.2">
      <c r="A41" s="987"/>
      <c r="B41" s="987"/>
      <c r="C41" s="987"/>
      <c r="D41" s="988"/>
      <c r="E41" s="988"/>
      <c r="F41" s="988"/>
      <c r="G41" s="988"/>
      <c r="H41" s="988"/>
      <c r="I41" s="988"/>
    </row>
    <row r="42" spans="1:20" s="986" customFormat="1" x14ac:dyDescent="0.2">
      <c r="A42" s="987"/>
      <c r="B42" s="987"/>
      <c r="C42" s="987"/>
      <c r="D42" s="988"/>
      <c r="E42" s="988"/>
      <c r="F42" s="988"/>
      <c r="G42" s="988"/>
      <c r="H42" s="988"/>
      <c r="I42" s="988"/>
    </row>
    <row r="43" spans="1:20" s="986" customFormat="1" x14ac:dyDescent="0.2">
      <c r="A43" s="987"/>
      <c r="B43" s="987"/>
      <c r="C43" s="987"/>
      <c r="D43" s="988"/>
      <c r="E43" s="988"/>
      <c r="F43" s="988"/>
      <c r="G43" s="988"/>
      <c r="H43" s="988"/>
      <c r="I43" s="988"/>
    </row>
    <row r="44" spans="1:20" s="986" customFormat="1" x14ac:dyDescent="0.2">
      <c r="A44" s="987"/>
      <c r="B44" s="987"/>
      <c r="C44" s="987"/>
      <c r="D44" s="988"/>
      <c r="E44" s="988"/>
      <c r="F44" s="988"/>
      <c r="G44" s="988"/>
      <c r="H44" s="988"/>
      <c r="I44" s="988"/>
    </row>
    <row r="45" spans="1:20" s="986" customFormat="1" x14ac:dyDescent="0.2">
      <c r="A45" s="987"/>
      <c r="B45" s="987"/>
      <c r="C45" s="987"/>
      <c r="D45" s="988"/>
      <c r="E45" s="988"/>
      <c r="F45" s="988"/>
      <c r="G45" s="988"/>
      <c r="H45" s="988"/>
      <c r="I45" s="988"/>
    </row>
    <row r="46" spans="1:20" s="986" customFormat="1" x14ac:dyDescent="0.2">
      <c r="A46" s="987"/>
      <c r="B46" s="987"/>
      <c r="C46" s="987"/>
      <c r="D46" s="988"/>
      <c r="E46" s="988"/>
      <c r="F46" s="988"/>
      <c r="G46" s="988"/>
      <c r="H46" s="988"/>
      <c r="I46" s="988"/>
    </row>
    <row r="47" spans="1:20" s="986" customFormat="1" x14ac:dyDescent="0.2">
      <c r="A47" s="987"/>
      <c r="B47" s="987"/>
      <c r="C47" s="987"/>
      <c r="D47" s="988"/>
      <c r="E47" s="988"/>
      <c r="F47" s="988"/>
      <c r="G47" s="988"/>
      <c r="H47" s="988"/>
      <c r="I47" s="988"/>
    </row>
    <row r="48" spans="1:20" s="986" customFormat="1" x14ac:dyDescent="0.2">
      <c r="A48" s="987"/>
      <c r="B48" s="987"/>
      <c r="C48" s="987"/>
      <c r="D48" s="988"/>
      <c r="E48" s="988"/>
      <c r="F48" s="988"/>
      <c r="G48" s="988"/>
      <c r="H48" s="988"/>
      <c r="I48" s="988"/>
    </row>
    <row r="49" spans="1:9" s="986" customFormat="1" x14ac:dyDescent="0.2">
      <c r="A49" s="987"/>
      <c r="B49" s="987"/>
      <c r="C49" s="987"/>
      <c r="D49" s="988"/>
      <c r="E49" s="988"/>
      <c r="F49" s="988"/>
      <c r="G49" s="988"/>
      <c r="H49" s="988"/>
      <c r="I49" s="988"/>
    </row>
    <row r="50" spans="1:9" s="986" customFormat="1" x14ac:dyDescent="0.2">
      <c r="A50" s="987"/>
      <c r="B50" s="987"/>
      <c r="C50" s="987"/>
      <c r="D50" s="988"/>
      <c r="E50" s="988"/>
      <c r="F50" s="988"/>
      <c r="G50" s="988"/>
      <c r="H50" s="988"/>
      <c r="I50" s="988"/>
    </row>
    <row r="51" spans="1:9" s="986" customFormat="1" x14ac:dyDescent="0.2">
      <c r="A51" s="987"/>
      <c r="B51" s="987"/>
      <c r="C51" s="987"/>
      <c r="D51" s="988"/>
      <c r="E51" s="988"/>
      <c r="F51" s="988"/>
      <c r="G51" s="988"/>
      <c r="H51" s="988"/>
      <c r="I51" s="988"/>
    </row>
    <row r="52" spans="1:9" s="986" customFormat="1" x14ac:dyDescent="0.2">
      <c r="A52" s="987"/>
      <c r="B52" s="987"/>
      <c r="C52" s="987"/>
      <c r="D52" s="988"/>
      <c r="E52" s="988"/>
      <c r="F52" s="988"/>
      <c r="G52" s="988"/>
      <c r="H52" s="988"/>
      <c r="I52" s="988"/>
    </row>
    <row r="53" spans="1:9" s="986" customFormat="1" x14ac:dyDescent="0.2">
      <c r="A53" s="987"/>
      <c r="B53" s="987"/>
      <c r="C53" s="987"/>
      <c r="D53" s="988"/>
      <c r="E53" s="988"/>
      <c r="F53" s="988"/>
      <c r="G53" s="988"/>
      <c r="H53" s="988"/>
      <c r="I53" s="988"/>
    </row>
    <row r="54" spans="1:9" s="986" customFormat="1" x14ac:dyDescent="0.2">
      <c r="A54" s="987"/>
      <c r="B54" s="987"/>
      <c r="C54" s="987"/>
      <c r="D54" s="988"/>
      <c r="E54" s="988"/>
      <c r="F54" s="988"/>
      <c r="G54" s="988"/>
      <c r="H54" s="988"/>
      <c r="I54" s="988"/>
    </row>
    <row r="55" spans="1:9" s="986" customFormat="1" x14ac:dyDescent="0.2">
      <c r="A55" s="987"/>
      <c r="B55" s="987"/>
      <c r="C55" s="987"/>
      <c r="D55" s="988"/>
      <c r="E55" s="988"/>
      <c r="F55" s="988"/>
      <c r="G55" s="988"/>
      <c r="H55" s="988"/>
      <c r="I55" s="988"/>
    </row>
    <row r="56" spans="1:9" s="986" customFormat="1" x14ac:dyDescent="0.2">
      <c r="A56" s="987"/>
      <c r="B56" s="987"/>
      <c r="C56" s="987"/>
      <c r="D56" s="988"/>
      <c r="E56" s="988"/>
      <c r="F56" s="988"/>
      <c r="G56" s="988"/>
      <c r="H56" s="988"/>
      <c r="I56" s="988"/>
    </row>
    <row r="57" spans="1:9" s="986" customFormat="1" x14ac:dyDescent="0.2">
      <c r="A57" s="987"/>
      <c r="B57" s="987"/>
      <c r="C57" s="987"/>
      <c r="D57" s="988"/>
      <c r="E57" s="988"/>
      <c r="F57" s="988"/>
      <c r="G57" s="988"/>
      <c r="H57" s="988"/>
      <c r="I57" s="988"/>
    </row>
    <row r="58" spans="1:9" s="986" customFormat="1" x14ac:dyDescent="0.2">
      <c r="A58" s="987"/>
      <c r="B58" s="987"/>
      <c r="C58" s="987"/>
      <c r="D58" s="988"/>
      <c r="E58" s="988"/>
      <c r="F58" s="988"/>
      <c r="G58" s="988"/>
      <c r="H58" s="988"/>
      <c r="I58" s="988"/>
    </row>
    <row r="59" spans="1:9" s="986" customFormat="1" x14ac:dyDescent="0.2">
      <c r="A59" s="987"/>
      <c r="B59" s="987"/>
      <c r="C59" s="987"/>
      <c r="D59" s="988"/>
      <c r="E59" s="988"/>
      <c r="F59" s="988"/>
      <c r="G59" s="988"/>
      <c r="H59" s="988"/>
      <c r="I59" s="988"/>
    </row>
    <row r="60" spans="1:9" s="986" customFormat="1" x14ac:dyDescent="0.2">
      <c r="A60" s="987"/>
      <c r="B60" s="987"/>
      <c r="C60" s="987"/>
      <c r="D60" s="988"/>
      <c r="E60" s="988"/>
      <c r="F60" s="988"/>
      <c r="G60" s="988"/>
      <c r="H60" s="988"/>
      <c r="I60" s="988"/>
    </row>
    <row r="61" spans="1:9" s="986" customFormat="1" x14ac:dyDescent="0.2">
      <c r="A61" s="987"/>
      <c r="B61" s="987"/>
      <c r="C61" s="987"/>
      <c r="D61" s="988"/>
      <c r="E61" s="988"/>
      <c r="F61" s="988"/>
      <c r="G61" s="988"/>
      <c r="H61" s="988"/>
      <c r="I61" s="988"/>
    </row>
    <row r="62" spans="1:9" s="986" customFormat="1" x14ac:dyDescent="0.2">
      <c r="A62" s="987"/>
      <c r="B62" s="987"/>
      <c r="C62" s="987"/>
      <c r="D62" s="988"/>
      <c r="E62" s="988"/>
      <c r="F62" s="988"/>
      <c r="G62" s="988"/>
      <c r="H62" s="988"/>
      <c r="I62" s="988"/>
    </row>
    <row r="63" spans="1:9" s="986" customFormat="1" x14ac:dyDescent="0.2">
      <c r="A63" s="987"/>
      <c r="B63" s="987"/>
      <c r="C63" s="987"/>
      <c r="D63" s="988"/>
      <c r="E63" s="988"/>
      <c r="F63" s="988"/>
      <c r="G63" s="988"/>
      <c r="H63" s="988"/>
      <c r="I63" s="988"/>
    </row>
    <row r="64" spans="1:9" s="986" customFormat="1" x14ac:dyDescent="0.2">
      <c r="A64" s="987"/>
      <c r="B64" s="987"/>
      <c r="C64" s="987"/>
      <c r="D64" s="988"/>
      <c r="E64" s="988"/>
      <c r="F64" s="988"/>
      <c r="G64" s="988"/>
      <c r="H64" s="988"/>
      <c r="I64" s="988"/>
    </row>
    <row r="65" spans="1:9" s="986" customFormat="1" x14ac:dyDescent="0.2">
      <c r="A65" s="987"/>
      <c r="B65" s="987"/>
      <c r="C65" s="987"/>
      <c r="D65" s="988"/>
      <c r="E65" s="988"/>
      <c r="F65" s="988"/>
      <c r="G65" s="988"/>
      <c r="H65" s="988"/>
      <c r="I65" s="988"/>
    </row>
    <row r="66" spans="1:9" s="986" customFormat="1" x14ac:dyDescent="0.2">
      <c r="A66" s="987"/>
      <c r="B66" s="987"/>
      <c r="C66" s="987"/>
      <c r="D66" s="988"/>
      <c r="E66" s="988"/>
      <c r="F66" s="988"/>
      <c r="G66" s="988"/>
      <c r="H66" s="988"/>
      <c r="I66" s="988"/>
    </row>
    <row r="67" spans="1:9" s="986" customFormat="1" x14ac:dyDescent="0.2">
      <c r="A67" s="987"/>
      <c r="B67" s="987"/>
      <c r="C67" s="987"/>
      <c r="D67" s="988"/>
      <c r="E67" s="988"/>
      <c r="F67" s="988"/>
      <c r="G67" s="988"/>
      <c r="H67" s="988"/>
      <c r="I67" s="988"/>
    </row>
    <row r="68" spans="1:9" s="986" customFormat="1" x14ac:dyDescent="0.2">
      <c r="A68" s="987"/>
      <c r="B68" s="987"/>
      <c r="C68" s="987"/>
      <c r="D68" s="988"/>
      <c r="E68" s="988"/>
      <c r="F68" s="988"/>
      <c r="G68" s="988"/>
      <c r="H68" s="988"/>
      <c r="I68" s="988"/>
    </row>
    <row r="69" spans="1:9" s="986" customFormat="1" x14ac:dyDescent="0.2">
      <c r="A69" s="987"/>
      <c r="B69" s="987"/>
      <c r="C69" s="987"/>
      <c r="D69" s="988"/>
      <c r="E69" s="988"/>
      <c r="F69" s="988"/>
      <c r="G69" s="988"/>
      <c r="H69" s="988"/>
      <c r="I69" s="988"/>
    </row>
    <row r="70" spans="1:9" x14ac:dyDescent="0.2">
      <c r="A70" s="992"/>
      <c r="D70" s="993"/>
      <c r="E70" s="993"/>
      <c r="F70" s="993"/>
      <c r="G70" s="993"/>
      <c r="H70" s="993"/>
      <c r="I70" s="993"/>
    </row>
    <row r="71" spans="1:9" x14ac:dyDescent="0.2">
      <c r="A71" s="992"/>
      <c r="D71" s="993"/>
      <c r="E71" s="993"/>
      <c r="F71" s="993"/>
      <c r="G71" s="993"/>
      <c r="H71" s="993"/>
      <c r="I71" s="993"/>
    </row>
    <row r="72" spans="1:9" x14ac:dyDescent="0.2">
      <c r="A72" s="992"/>
      <c r="D72" s="993"/>
      <c r="E72" s="993"/>
      <c r="F72" s="993"/>
      <c r="G72" s="993"/>
      <c r="H72" s="993"/>
      <c r="I72" s="993"/>
    </row>
    <row r="73" spans="1:9" x14ac:dyDescent="0.2">
      <c r="A73" s="992"/>
      <c r="D73" s="993"/>
      <c r="E73" s="993"/>
      <c r="F73" s="993"/>
      <c r="G73" s="993"/>
      <c r="H73" s="993"/>
      <c r="I73" s="993"/>
    </row>
    <row r="74" spans="1:9" x14ac:dyDescent="0.2">
      <c r="A74" s="992"/>
      <c r="D74" s="993"/>
      <c r="E74" s="993"/>
      <c r="F74" s="993"/>
      <c r="G74" s="993"/>
      <c r="H74" s="993"/>
      <c r="I74" s="993"/>
    </row>
    <row r="75" spans="1:9" x14ac:dyDescent="0.2">
      <c r="A75" s="992"/>
      <c r="D75" s="993"/>
      <c r="E75" s="993"/>
      <c r="F75" s="993"/>
      <c r="G75" s="993"/>
      <c r="H75" s="993"/>
      <c r="I75" s="993"/>
    </row>
    <row r="76" spans="1:9" x14ac:dyDescent="0.2">
      <c r="A76" s="992"/>
      <c r="D76" s="993"/>
      <c r="E76" s="993"/>
      <c r="F76" s="993"/>
      <c r="G76" s="993"/>
      <c r="H76" s="993"/>
      <c r="I76" s="993"/>
    </row>
    <row r="77" spans="1:9" x14ac:dyDescent="0.2">
      <c r="A77" s="992"/>
      <c r="D77" s="993"/>
      <c r="E77" s="993"/>
      <c r="F77" s="993"/>
      <c r="G77" s="993"/>
      <c r="H77" s="993"/>
      <c r="I77" s="993"/>
    </row>
    <row r="78" spans="1:9" x14ac:dyDescent="0.2">
      <c r="A78" s="992"/>
      <c r="D78" s="993"/>
      <c r="E78" s="993"/>
      <c r="F78" s="993"/>
      <c r="G78" s="993"/>
      <c r="H78" s="993"/>
      <c r="I78" s="993"/>
    </row>
    <row r="79" spans="1:9" x14ac:dyDescent="0.2">
      <c r="A79" s="992"/>
      <c r="D79" s="993"/>
      <c r="E79" s="993"/>
      <c r="F79" s="993"/>
      <c r="G79" s="993"/>
      <c r="H79" s="993"/>
      <c r="I79" s="993"/>
    </row>
    <row r="80" spans="1:9" x14ac:dyDescent="0.2">
      <c r="A80" s="992"/>
      <c r="D80" s="993"/>
      <c r="E80" s="993"/>
      <c r="F80" s="993"/>
      <c r="G80" s="993"/>
      <c r="H80" s="993"/>
      <c r="I80" s="993"/>
    </row>
    <row r="81" spans="1:9" x14ac:dyDescent="0.2">
      <c r="A81" s="992"/>
      <c r="D81" s="993"/>
      <c r="E81" s="993"/>
      <c r="F81" s="993"/>
      <c r="G81" s="993"/>
      <c r="H81" s="993"/>
      <c r="I81" s="993"/>
    </row>
    <row r="82" spans="1:9" x14ac:dyDescent="0.2">
      <c r="A82" s="992"/>
      <c r="D82" s="993"/>
      <c r="E82" s="993"/>
      <c r="F82" s="993"/>
      <c r="G82" s="993"/>
      <c r="H82" s="993"/>
      <c r="I82" s="993"/>
    </row>
    <row r="83" spans="1:9" x14ac:dyDescent="0.2">
      <c r="A83" s="992"/>
      <c r="D83" s="993"/>
      <c r="E83" s="993"/>
      <c r="F83" s="993"/>
      <c r="G83" s="993"/>
      <c r="H83" s="993"/>
      <c r="I83" s="993"/>
    </row>
    <row r="84" spans="1:9" x14ac:dyDescent="0.2">
      <c r="A84" s="992"/>
      <c r="D84" s="993"/>
      <c r="E84" s="993"/>
      <c r="F84" s="993"/>
      <c r="G84" s="993"/>
      <c r="H84" s="993"/>
      <c r="I84" s="993"/>
    </row>
    <row r="85" spans="1:9" x14ac:dyDescent="0.2">
      <c r="A85" s="992"/>
      <c r="D85" s="993"/>
      <c r="E85" s="993"/>
      <c r="F85" s="993"/>
      <c r="G85" s="993"/>
      <c r="H85" s="993"/>
      <c r="I85" s="993"/>
    </row>
    <row r="86" spans="1:9" x14ac:dyDescent="0.2">
      <c r="A86" s="992"/>
      <c r="D86" s="993"/>
      <c r="E86" s="993"/>
      <c r="F86" s="993"/>
      <c r="G86" s="993"/>
      <c r="H86" s="993"/>
      <c r="I86" s="993"/>
    </row>
    <row r="87" spans="1:9" x14ac:dyDescent="0.2">
      <c r="A87" s="992"/>
      <c r="D87" s="993"/>
      <c r="E87" s="993"/>
      <c r="F87" s="993"/>
      <c r="G87" s="993"/>
      <c r="H87" s="993"/>
      <c r="I87" s="993"/>
    </row>
    <row r="88" spans="1:9" x14ac:dyDescent="0.2">
      <c r="A88" s="992"/>
      <c r="D88" s="993"/>
      <c r="E88" s="993"/>
      <c r="F88" s="993"/>
      <c r="G88" s="993"/>
      <c r="H88" s="993"/>
      <c r="I88" s="993"/>
    </row>
    <row r="89" spans="1:9" x14ac:dyDescent="0.2">
      <c r="A89" s="992"/>
      <c r="D89" s="993"/>
      <c r="E89" s="993"/>
      <c r="F89" s="993"/>
      <c r="G89" s="993"/>
      <c r="H89" s="993"/>
      <c r="I89" s="993"/>
    </row>
    <row r="90" spans="1:9" x14ac:dyDescent="0.2">
      <c r="A90" s="992"/>
      <c r="D90" s="993"/>
      <c r="E90" s="993"/>
      <c r="F90" s="993"/>
      <c r="G90" s="993"/>
      <c r="H90" s="993"/>
      <c r="I90" s="993"/>
    </row>
    <row r="91" spans="1:9" x14ac:dyDescent="0.2">
      <c r="A91" s="992"/>
      <c r="D91" s="993"/>
      <c r="E91" s="993"/>
      <c r="F91" s="993"/>
      <c r="G91" s="993"/>
      <c r="H91" s="993"/>
      <c r="I91" s="993"/>
    </row>
    <row r="92" spans="1:9" x14ac:dyDescent="0.2">
      <c r="A92" s="992"/>
      <c r="D92" s="993"/>
      <c r="E92" s="993"/>
      <c r="F92" s="993"/>
      <c r="G92" s="993"/>
      <c r="H92" s="993"/>
      <c r="I92" s="993"/>
    </row>
    <row r="93" spans="1:9" x14ac:dyDescent="0.2">
      <c r="A93" s="992"/>
      <c r="D93" s="993"/>
      <c r="E93" s="993"/>
      <c r="F93" s="993"/>
      <c r="G93" s="993"/>
      <c r="H93" s="993"/>
      <c r="I93" s="993"/>
    </row>
    <row r="94" spans="1:9" x14ac:dyDescent="0.2">
      <c r="A94" s="992"/>
      <c r="D94" s="993"/>
      <c r="E94" s="993"/>
      <c r="F94" s="993"/>
      <c r="G94" s="993"/>
      <c r="H94" s="993"/>
      <c r="I94" s="993"/>
    </row>
    <row r="95" spans="1:9" x14ac:dyDescent="0.2">
      <c r="A95" s="992"/>
      <c r="D95" s="993"/>
      <c r="E95" s="993"/>
      <c r="F95" s="993"/>
      <c r="G95" s="993"/>
      <c r="H95" s="993"/>
      <c r="I95" s="993"/>
    </row>
    <row r="96" spans="1:9" x14ac:dyDescent="0.2">
      <c r="A96" s="992"/>
      <c r="D96" s="993"/>
      <c r="E96" s="993"/>
      <c r="F96" s="993"/>
      <c r="G96" s="993"/>
      <c r="H96" s="993"/>
      <c r="I96" s="993"/>
    </row>
    <row r="97" spans="1:9" x14ac:dyDescent="0.2">
      <c r="A97" s="992"/>
      <c r="D97" s="993"/>
      <c r="E97" s="993"/>
      <c r="F97" s="993"/>
      <c r="G97" s="993"/>
      <c r="H97" s="993"/>
      <c r="I97" s="993"/>
    </row>
    <row r="98" spans="1:9" x14ac:dyDescent="0.2">
      <c r="A98" s="992"/>
      <c r="D98" s="993"/>
      <c r="E98" s="993"/>
      <c r="F98" s="993"/>
      <c r="G98" s="993"/>
      <c r="H98" s="993"/>
      <c r="I98" s="993"/>
    </row>
    <row r="99" spans="1:9" x14ac:dyDescent="0.2">
      <c r="A99" s="992"/>
      <c r="D99" s="993"/>
      <c r="E99" s="993"/>
      <c r="F99" s="993"/>
      <c r="G99" s="993"/>
      <c r="H99" s="993"/>
      <c r="I99" s="993"/>
    </row>
    <row r="100" spans="1:9" x14ac:dyDescent="0.2">
      <c r="A100" s="992"/>
      <c r="D100" s="993"/>
      <c r="E100" s="993"/>
      <c r="F100" s="993"/>
      <c r="G100" s="993"/>
      <c r="H100" s="993"/>
      <c r="I100" s="993"/>
    </row>
    <row r="101" spans="1:9" x14ac:dyDescent="0.2">
      <c r="A101" s="992"/>
      <c r="D101" s="993"/>
      <c r="E101" s="993"/>
      <c r="F101" s="993"/>
      <c r="G101" s="993"/>
      <c r="H101" s="993"/>
      <c r="I101" s="993"/>
    </row>
    <row r="102" spans="1:9" x14ac:dyDescent="0.2">
      <c r="A102" s="992"/>
      <c r="D102" s="993"/>
      <c r="E102" s="993"/>
      <c r="F102" s="993"/>
      <c r="G102" s="993"/>
      <c r="H102" s="993"/>
      <c r="I102" s="993"/>
    </row>
    <row r="103" spans="1:9" x14ac:dyDescent="0.2">
      <c r="A103" s="992"/>
      <c r="D103" s="993"/>
      <c r="E103" s="993"/>
      <c r="F103" s="993"/>
      <c r="G103" s="993"/>
      <c r="H103" s="993"/>
      <c r="I103" s="993"/>
    </row>
    <row r="104" spans="1:9" x14ac:dyDescent="0.2">
      <c r="A104" s="992"/>
      <c r="D104" s="993"/>
      <c r="E104" s="993"/>
      <c r="F104" s="993"/>
      <c r="G104" s="993"/>
      <c r="H104" s="993"/>
      <c r="I104" s="993"/>
    </row>
    <row r="105" spans="1:9" x14ac:dyDescent="0.2">
      <c r="A105" s="992"/>
      <c r="D105" s="993"/>
      <c r="E105" s="993"/>
      <c r="F105" s="993"/>
      <c r="G105" s="993"/>
      <c r="H105" s="993"/>
      <c r="I105" s="993"/>
    </row>
    <row r="106" spans="1:9" x14ac:dyDescent="0.2">
      <c r="A106" s="992"/>
      <c r="D106" s="993"/>
      <c r="E106" s="993"/>
      <c r="F106" s="993"/>
      <c r="G106" s="993"/>
      <c r="H106" s="993"/>
      <c r="I106" s="993"/>
    </row>
    <row r="107" spans="1:9" x14ac:dyDescent="0.2">
      <c r="A107" s="992"/>
      <c r="D107" s="993"/>
      <c r="E107" s="993"/>
      <c r="F107" s="993"/>
      <c r="G107" s="993"/>
      <c r="H107" s="993"/>
      <c r="I107" s="993"/>
    </row>
    <row r="108" spans="1:9" x14ac:dyDescent="0.2">
      <c r="A108" s="992"/>
      <c r="D108" s="993"/>
      <c r="E108" s="993"/>
      <c r="F108" s="993"/>
      <c r="G108" s="993"/>
      <c r="H108" s="993"/>
      <c r="I108" s="993"/>
    </row>
    <row r="109" spans="1:9" x14ac:dyDescent="0.2">
      <c r="A109" s="992"/>
      <c r="D109" s="993"/>
      <c r="E109" s="993"/>
      <c r="F109" s="993"/>
      <c r="G109" s="993"/>
      <c r="H109" s="993"/>
      <c r="I109" s="993"/>
    </row>
    <row r="110" spans="1:9" x14ac:dyDescent="0.2">
      <c r="A110" s="992"/>
      <c r="D110" s="993"/>
      <c r="E110" s="993"/>
      <c r="F110" s="993"/>
      <c r="G110" s="993"/>
      <c r="H110" s="993"/>
      <c r="I110" s="993"/>
    </row>
    <row r="111" spans="1:9" x14ac:dyDescent="0.2">
      <c r="A111" s="992"/>
      <c r="D111" s="993"/>
      <c r="E111" s="993"/>
      <c r="F111" s="993"/>
      <c r="G111" s="993"/>
      <c r="H111" s="993"/>
      <c r="I111" s="993"/>
    </row>
    <row r="112" spans="1:9" x14ac:dyDescent="0.2">
      <c r="A112" s="992"/>
      <c r="D112" s="993"/>
      <c r="E112" s="993"/>
      <c r="F112" s="993"/>
      <c r="G112" s="993"/>
      <c r="H112" s="993"/>
      <c r="I112" s="993"/>
    </row>
    <row r="113" spans="1:9" x14ac:dyDescent="0.2">
      <c r="A113" s="992"/>
      <c r="D113" s="993"/>
      <c r="E113" s="993"/>
      <c r="F113" s="993"/>
      <c r="G113" s="993"/>
      <c r="H113" s="993"/>
      <c r="I113" s="993"/>
    </row>
    <row r="114" spans="1:9" x14ac:dyDescent="0.2">
      <c r="A114" s="992"/>
      <c r="D114" s="993"/>
      <c r="E114" s="993"/>
      <c r="F114" s="993"/>
      <c r="G114" s="993"/>
      <c r="H114" s="993"/>
      <c r="I114" s="993"/>
    </row>
    <row r="115" spans="1:9" x14ac:dyDescent="0.2">
      <c r="A115" s="992"/>
      <c r="D115" s="993"/>
      <c r="E115" s="993"/>
      <c r="F115" s="993"/>
      <c r="G115" s="993"/>
      <c r="H115" s="993"/>
      <c r="I115" s="993"/>
    </row>
    <row r="116" spans="1:9" x14ac:dyDescent="0.2">
      <c r="A116" s="992"/>
      <c r="D116" s="993"/>
      <c r="E116" s="993"/>
      <c r="F116" s="993"/>
      <c r="G116" s="993"/>
      <c r="H116" s="993"/>
      <c r="I116" s="993"/>
    </row>
    <row r="117" spans="1:9" x14ac:dyDescent="0.2">
      <c r="A117" s="992"/>
      <c r="D117" s="993"/>
      <c r="E117" s="993"/>
      <c r="F117" s="993"/>
      <c r="G117" s="993"/>
      <c r="H117" s="993"/>
      <c r="I117" s="993"/>
    </row>
    <row r="118" spans="1:9" x14ac:dyDescent="0.2">
      <c r="A118" s="992"/>
      <c r="D118" s="993"/>
      <c r="E118" s="993"/>
      <c r="F118" s="993"/>
      <c r="G118" s="993"/>
      <c r="H118" s="993"/>
      <c r="I118" s="993"/>
    </row>
    <row r="119" spans="1:9" x14ac:dyDescent="0.2">
      <c r="A119" s="992"/>
      <c r="D119" s="993"/>
      <c r="E119" s="993"/>
      <c r="F119" s="993"/>
      <c r="G119" s="993"/>
      <c r="H119" s="993"/>
      <c r="I119" s="993"/>
    </row>
    <row r="120" spans="1:9" x14ac:dyDescent="0.2">
      <c r="A120" s="992"/>
      <c r="D120" s="993"/>
      <c r="E120" s="993"/>
      <c r="F120" s="993"/>
      <c r="G120" s="993"/>
      <c r="H120" s="993"/>
      <c r="I120" s="993"/>
    </row>
    <row r="121" spans="1:9" x14ac:dyDescent="0.2">
      <c r="A121" s="992"/>
      <c r="D121" s="993"/>
      <c r="E121" s="993"/>
      <c r="F121" s="993"/>
      <c r="G121" s="993"/>
      <c r="H121" s="993"/>
      <c r="I121" s="993"/>
    </row>
    <row r="122" spans="1:9" x14ac:dyDescent="0.2">
      <c r="A122" s="992"/>
      <c r="D122" s="993"/>
      <c r="E122" s="993"/>
      <c r="F122" s="993"/>
      <c r="G122" s="993"/>
      <c r="H122" s="993"/>
      <c r="I122" s="993"/>
    </row>
    <row r="123" spans="1:9" x14ac:dyDescent="0.2">
      <c r="A123" s="992"/>
      <c r="D123" s="993"/>
      <c r="E123" s="993"/>
      <c r="F123" s="993"/>
      <c r="G123" s="993"/>
      <c r="H123" s="993"/>
      <c r="I123" s="993"/>
    </row>
    <row r="124" spans="1:9" x14ac:dyDescent="0.2">
      <c r="A124" s="992"/>
      <c r="D124" s="993"/>
      <c r="E124" s="993"/>
      <c r="F124" s="993"/>
      <c r="G124" s="993"/>
      <c r="H124" s="993"/>
      <c r="I124" s="993"/>
    </row>
    <row r="125" spans="1:9" x14ac:dyDescent="0.2">
      <c r="A125" s="992"/>
      <c r="D125" s="993"/>
      <c r="E125" s="993"/>
      <c r="F125" s="993"/>
      <c r="G125" s="993"/>
      <c r="H125" s="993"/>
      <c r="I125" s="993"/>
    </row>
    <row r="126" spans="1:9" x14ac:dyDescent="0.2">
      <c r="A126" s="992"/>
      <c r="D126" s="993"/>
      <c r="E126" s="993"/>
      <c r="F126" s="993"/>
      <c r="G126" s="993"/>
      <c r="H126" s="993"/>
      <c r="I126" s="993"/>
    </row>
    <row r="127" spans="1:9" x14ac:dyDescent="0.2">
      <c r="A127" s="992"/>
      <c r="D127" s="993"/>
      <c r="E127" s="993"/>
      <c r="F127" s="993"/>
      <c r="G127" s="993"/>
      <c r="H127" s="993"/>
      <c r="I127" s="993"/>
    </row>
    <row r="128" spans="1:9" x14ac:dyDescent="0.2">
      <c r="A128" s="992"/>
      <c r="D128" s="993"/>
      <c r="E128" s="993"/>
      <c r="F128" s="993"/>
      <c r="G128" s="993"/>
      <c r="H128" s="993"/>
      <c r="I128" s="993"/>
    </row>
    <row r="129" spans="1:9" x14ac:dyDescent="0.2">
      <c r="A129" s="992"/>
      <c r="D129" s="993"/>
      <c r="E129" s="993"/>
      <c r="F129" s="993"/>
      <c r="G129" s="993"/>
      <c r="H129" s="993"/>
      <c r="I129" s="993"/>
    </row>
    <row r="130" spans="1:9" x14ac:dyDescent="0.2">
      <c r="A130" s="992"/>
      <c r="D130" s="993"/>
      <c r="E130" s="993"/>
      <c r="F130" s="993"/>
      <c r="G130" s="993"/>
      <c r="H130" s="993"/>
      <c r="I130" s="993"/>
    </row>
    <row r="131" spans="1:9" x14ac:dyDescent="0.2">
      <c r="A131" s="992"/>
      <c r="D131" s="993"/>
      <c r="E131" s="993"/>
      <c r="F131" s="993"/>
      <c r="G131" s="993"/>
      <c r="H131" s="993"/>
      <c r="I131" s="993"/>
    </row>
    <row r="132" spans="1:9" x14ac:dyDescent="0.2">
      <c r="A132" s="992"/>
      <c r="D132" s="993"/>
      <c r="E132" s="993"/>
      <c r="F132" s="993"/>
      <c r="G132" s="993"/>
      <c r="H132" s="993"/>
      <c r="I132" s="993"/>
    </row>
    <row r="133" spans="1:9" x14ac:dyDescent="0.2">
      <c r="A133" s="992"/>
      <c r="D133" s="993"/>
      <c r="E133" s="993"/>
      <c r="F133" s="993"/>
      <c r="G133" s="993"/>
      <c r="H133" s="993"/>
      <c r="I133" s="993"/>
    </row>
    <row r="134" spans="1:9" x14ac:dyDescent="0.2">
      <c r="A134" s="992"/>
      <c r="D134" s="993"/>
      <c r="E134" s="993"/>
      <c r="F134" s="993"/>
      <c r="G134" s="993"/>
      <c r="H134" s="993"/>
      <c r="I134" s="993"/>
    </row>
    <row r="135" spans="1:9" x14ac:dyDescent="0.2">
      <c r="A135" s="992"/>
      <c r="D135" s="993"/>
      <c r="E135" s="993"/>
      <c r="F135" s="993"/>
      <c r="G135" s="993"/>
      <c r="H135" s="993"/>
      <c r="I135" s="993"/>
    </row>
    <row r="136" spans="1:9" x14ac:dyDescent="0.2">
      <c r="A136" s="992"/>
      <c r="D136" s="993"/>
      <c r="E136" s="993"/>
      <c r="F136" s="993"/>
      <c r="G136" s="993"/>
      <c r="H136" s="993"/>
      <c r="I136" s="993"/>
    </row>
    <row r="137" spans="1:9" x14ac:dyDescent="0.2">
      <c r="A137" s="992"/>
      <c r="D137" s="993"/>
      <c r="E137" s="993"/>
      <c r="F137" s="993"/>
      <c r="G137" s="993"/>
      <c r="H137" s="993"/>
      <c r="I137" s="993"/>
    </row>
    <row r="138" spans="1:9" x14ac:dyDescent="0.2">
      <c r="A138" s="992"/>
      <c r="D138" s="993"/>
      <c r="E138" s="993"/>
      <c r="F138" s="993"/>
      <c r="G138" s="993"/>
      <c r="H138" s="993"/>
      <c r="I138" s="993"/>
    </row>
    <row r="139" spans="1:9" x14ac:dyDescent="0.2">
      <c r="A139" s="992"/>
      <c r="D139" s="993"/>
      <c r="E139" s="993"/>
      <c r="F139" s="993"/>
      <c r="G139" s="993"/>
      <c r="H139" s="993"/>
      <c r="I139" s="993"/>
    </row>
    <row r="140" spans="1:9" x14ac:dyDescent="0.2">
      <c r="A140" s="992"/>
      <c r="D140" s="993"/>
      <c r="E140" s="993"/>
      <c r="F140" s="993"/>
      <c r="G140" s="993"/>
      <c r="H140" s="993"/>
      <c r="I140" s="993"/>
    </row>
    <row r="141" spans="1:9" x14ac:dyDescent="0.2">
      <c r="A141" s="992"/>
      <c r="D141" s="993"/>
      <c r="E141" s="993"/>
      <c r="F141" s="993"/>
      <c r="G141" s="993"/>
      <c r="H141" s="993"/>
      <c r="I141" s="993"/>
    </row>
    <row r="142" spans="1:9" x14ac:dyDescent="0.2">
      <c r="A142" s="992"/>
      <c r="D142" s="993"/>
      <c r="E142" s="993"/>
      <c r="F142" s="993"/>
      <c r="G142" s="993"/>
      <c r="H142" s="993"/>
      <c r="I142" s="993"/>
    </row>
    <row r="143" spans="1:9" x14ac:dyDescent="0.2">
      <c r="A143" s="992"/>
      <c r="D143" s="993"/>
      <c r="E143" s="993"/>
      <c r="F143" s="993"/>
      <c r="G143" s="993"/>
      <c r="H143" s="993"/>
      <c r="I143" s="993"/>
    </row>
    <row r="144" spans="1:9" x14ac:dyDescent="0.2">
      <c r="A144" s="992"/>
      <c r="D144" s="993"/>
      <c r="E144" s="993"/>
      <c r="F144" s="993"/>
      <c r="G144" s="993"/>
      <c r="H144" s="993"/>
      <c r="I144" s="993"/>
    </row>
    <row r="145" spans="1:9" x14ac:dyDescent="0.2">
      <c r="A145" s="992"/>
      <c r="D145" s="993"/>
      <c r="E145" s="993"/>
      <c r="F145" s="993"/>
      <c r="G145" s="993"/>
      <c r="H145" s="993"/>
      <c r="I145" s="993"/>
    </row>
    <row r="146" spans="1:9" x14ac:dyDescent="0.2">
      <c r="A146" s="992"/>
      <c r="D146" s="993"/>
      <c r="E146" s="993"/>
      <c r="F146" s="993"/>
      <c r="G146" s="993"/>
      <c r="H146" s="993"/>
      <c r="I146" s="993"/>
    </row>
    <row r="147" spans="1:9" x14ac:dyDescent="0.2">
      <c r="A147" s="992"/>
      <c r="D147" s="993"/>
      <c r="E147" s="993"/>
      <c r="F147" s="993"/>
      <c r="G147" s="993"/>
      <c r="H147" s="993"/>
      <c r="I147" s="993"/>
    </row>
    <row r="148" spans="1:9" x14ac:dyDescent="0.2">
      <c r="A148" s="992"/>
      <c r="D148" s="993"/>
      <c r="E148" s="993"/>
      <c r="F148" s="993"/>
      <c r="G148" s="993"/>
      <c r="H148" s="993"/>
      <c r="I148" s="993"/>
    </row>
    <row r="149" spans="1:9" x14ac:dyDescent="0.2">
      <c r="A149" s="992"/>
      <c r="D149" s="993"/>
      <c r="E149" s="993"/>
      <c r="F149" s="993"/>
      <c r="G149" s="993"/>
      <c r="H149" s="993"/>
      <c r="I149" s="993"/>
    </row>
    <row r="150" spans="1:9" x14ac:dyDescent="0.2">
      <c r="A150" s="992"/>
      <c r="D150" s="993"/>
      <c r="E150" s="993"/>
      <c r="F150" s="993"/>
      <c r="G150" s="993"/>
      <c r="H150" s="993"/>
      <c r="I150" s="993"/>
    </row>
    <row r="151" spans="1:9" x14ac:dyDescent="0.2">
      <c r="A151" s="992"/>
      <c r="D151" s="993"/>
      <c r="E151" s="993"/>
      <c r="F151" s="993"/>
      <c r="G151" s="993"/>
      <c r="H151" s="993"/>
      <c r="I151" s="993"/>
    </row>
    <row r="152" spans="1:9" x14ac:dyDescent="0.2">
      <c r="A152" s="992"/>
      <c r="D152" s="993"/>
      <c r="E152" s="993"/>
      <c r="F152" s="993"/>
      <c r="G152" s="993"/>
      <c r="H152" s="993"/>
      <c r="I152" s="993"/>
    </row>
    <row r="153" spans="1:9" x14ac:dyDescent="0.2">
      <c r="A153" s="992"/>
      <c r="D153" s="993"/>
      <c r="E153" s="993"/>
      <c r="F153" s="993"/>
      <c r="G153" s="993"/>
      <c r="H153" s="993"/>
      <c r="I153" s="993"/>
    </row>
    <row r="154" spans="1:9" x14ac:dyDescent="0.2">
      <c r="A154" s="992"/>
      <c r="D154" s="993"/>
      <c r="E154" s="993"/>
      <c r="F154" s="993"/>
      <c r="G154" s="993"/>
      <c r="H154" s="993"/>
      <c r="I154" s="993"/>
    </row>
    <row r="155" spans="1:9" x14ac:dyDescent="0.2">
      <c r="A155" s="992"/>
      <c r="D155" s="993"/>
      <c r="E155" s="993"/>
      <c r="F155" s="993"/>
      <c r="G155" s="993"/>
      <c r="H155" s="993"/>
      <c r="I155" s="993"/>
    </row>
    <row r="156" spans="1:9" x14ac:dyDescent="0.2">
      <c r="A156" s="992"/>
      <c r="D156" s="993"/>
      <c r="E156" s="993"/>
      <c r="F156" s="993"/>
      <c r="G156" s="993"/>
      <c r="H156" s="993"/>
      <c r="I156" s="993"/>
    </row>
    <row r="157" spans="1:9" x14ac:dyDescent="0.2">
      <c r="A157" s="992"/>
      <c r="D157" s="993"/>
      <c r="E157" s="993"/>
      <c r="F157" s="993"/>
      <c r="G157" s="993"/>
      <c r="H157" s="993"/>
      <c r="I157" s="993"/>
    </row>
    <row r="158" spans="1:9" x14ac:dyDescent="0.2">
      <c r="A158" s="992"/>
      <c r="D158" s="993"/>
      <c r="E158" s="993"/>
      <c r="F158" s="993"/>
      <c r="G158" s="993"/>
      <c r="H158" s="993"/>
      <c r="I158" s="993"/>
    </row>
    <row r="159" spans="1:9" x14ac:dyDescent="0.2">
      <c r="A159" s="992"/>
      <c r="D159" s="993"/>
      <c r="E159" s="993"/>
      <c r="F159" s="993"/>
      <c r="G159" s="993"/>
      <c r="H159" s="993"/>
      <c r="I159" s="993"/>
    </row>
    <row r="160" spans="1:9" x14ac:dyDescent="0.2">
      <c r="A160" s="992"/>
      <c r="D160" s="993"/>
      <c r="E160" s="993"/>
      <c r="F160" s="993"/>
      <c r="G160" s="993"/>
      <c r="H160" s="993"/>
      <c r="I160" s="993"/>
    </row>
    <row r="161" spans="1:9" x14ac:dyDescent="0.2">
      <c r="A161" s="992"/>
      <c r="D161" s="993"/>
      <c r="E161" s="993"/>
      <c r="F161" s="993"/>
      <c r="G161" s="993"/>
      <c r="H161" s="993"/>
      <c r="I161" s="993"/>
    </row>
    <row r="162" spans="1:9" x14ac:dyDescent="0.2">
      <c r="A162" s="992"/>
      <c r="D162" s="993"/>
      <c r="E162" s="993"/>
      <c r="F162" s="993"/>
      <c r="G162" s="993"/>
      <c r="H162" s="993"/>
      <c r="I162" s="993"/>
    </row>
    <row r="163" spans="1:9" x14ac:dyDescent="0.2">
      <c r="A163" s="992"/>
      <c r="D163" s="993"/>
      <c r="E163" s="993"/>
      <c r="F163" s="993"/>
      <c r="G163" s="993"/>
      <c r="H163" s="993"/>
      <c r="I163" s="993"/>
    </row>
    <row r="164" spans="1:9" x14ac:dyDescent="0.2">
      <c r="A164" s="992"/>
      <c r="D164" s="993"/>
      <c r="E164" s="993"/>
      <c r="F164" s="993"/>
      <c r="G164" s="993"/>
      <c r="H164" s="993"/>
      <c r="I164" s="993"/>
    </row>
    <row r="165" spans="1:9" x14ac:dyDescent="0.2">
      <c r="A165" s="992"/>
      <c r="D165" s="993"/>
      <c r="E165" s="993"/>
      <c r="F165" s="993"/>
      <c r="G165" s="993"/>
      <c r="H165" s="993"/>
      <c r="I165" s="993"/>
    </row>
    <row r="166" spans="1:9" x14ac:dyDescent="0.2">
      <c r="A166" s="992"/>
      <c r="D166" s="993"/>
      <c r="E166" s="993"/>
      <c r="F166" s="993"/>
      <c r="G166" s="993"/>
      <c r="H166" s="993"/>
      <c r="I166" s="993"/>
    </row>
    <row r="167" spans="1:9" x14ac:dyDescent="0.2">
      <c r="A167" s="992"/>
      <c r="D167" s="993"/>
      <c r="E167" s="993"/>
      <c r="F167" s="993"/>
      <c r="G167" s="993"/>
      <c r="H167" s="993"/>
      <c r="I167" s="993"/>
    </row>
    <row r="168" spans="1:9" x14ac:dyDescent="0.2">
      <c r="A168" s="992"/>
      <c r="D168" s="993"/>
      <c r="E168" s="993"/>
      <c r="F168" s="993"/>
      <c r="G168" s="993"/>
      <c r="H168" s="993"/>
      <c r="I168" s="993"/>
    </row>
    <row r="169" spans="1:9" x14ac:dyDescent="0.2">
      <c r="A169" s="992"/>
      <c r="D169" s="993"/>
      <c r="E169" s="993"/>
      <c r="F169" s="993"/>
      <c r="G169" s="993"/>
      <c r="H169" s="993"/>
      <c r="I169" s="993"/>
    </row>
    <row r="170" spans="1:9" x14ac:dyDescent="0.2">
      <c r="A170" s="992"/>
      <c r="D170" s="993"/>
      <c r="E170" s="993"/>
      <c r="F170" s="993"/>
      <c r="G170" s="993"/>
      <c r="H170" s="993"/>
      <c r="I170" s="993"/>
    </row>
    <row r="171" spans="1:9" x14ac:dyDescent="0.2">
      <c r="A171" s="992"/>
      <c r="D171" s="993"/>
      <c r="E171" s="993"/>
      <c r="F171" s="993"/>
      <c r="G171" s="993"/>
      <c r="H171" s="993"/>
      <c r="I171" s="993"/>
    </row>
    <row r="172" spans="1:9" x14ac:dyDescent="0.2">
      <c r="A172" s="992"/>
      <c r="D172" s="993"/>
      <c r="E172" s="993"/>
      <c r="F172" s="993"/>
      <c r="G172" s="993"/>
      <c r="H172" s="993"/>
      <c r="I172" s="993"/>
    </row>
    <row r="173" spans="1:9" x14ac:dyDescent="0.2">
      <c r="A173" s="992"/>
      <c r="D173" s="993"/>
      <c r="E173" s="993"/>
      <c r="F173" s="993"/>
      <c r="G173" s="993"/>
      <c r="H173" s="993"/>
      <c r="I173" s="993"/>
    </row>
    <row r="174" spans="1:9" x14ac:dyDescent="0.2">
      <c r="A174" s="992"/>
      <c r="D174" s="993"/>
      <c r="E174" s="993"/>
      <c r="F174" s="993"/>
      <c r="G174" s="993"/>
      <c r="H174" s="993"/>
      <c r="I174" s="993"/>
    </row>
    <row r="175" spans="1:9" x14ac:dyDescent="0.2">
      <c r="A175" s="992"/>
      <c r="D175" s="993"/>
      <c r="E175" s="993"/>
      <c r="F175" s="993"/>
      <c r="G175" s="993"/>
      <c r="H175" s="993"/>
      <c r="I175" s="993"/>
    </row>
    <row r="176" spans="1:9" x14ac:dyDescent="0.2">
      <c r="A176" s="992"/>
      <c r="D176" s="993"/>
      <c r="E176" s="993"/>
      <c r="F176" s="993"/>
      <c r="G176" s="993"/>
      <c r="H176" s="993"/>
      <c r="I176" s="993"/>
    </row>
    <row r="177" spans="1:9" x14ac:dyDescent="0.2">
      <c r="A177" s="992"/>
      <c r="D177" s="993"/>
      <c r="E177" s="993"/>
      <c r="F177" s="993"/>
      <c r="G177" s="993"/>
      <c r="H177" s="993"/>
      <c r="I177" s="993"/>
    </row>
    <row r="178" spans="1:9" x14ac:dyDescent="0.2">
      <c r="A178" s="992"/>
      <c r="D178" s="993"/>
      <c r="E178" s="993"/>
      <c r="F178" s="993"/>
      <c r="G178" s="993"/>
      <c r="H178" s="993"/>
      <c r="I178" s="993"/>
    </row>
  </sheetData>
  <sheetProtection sheet="1" objects="1" scenarios="1" formatCells="0" formatColumns="0" formatRows="0" insertRows="0" deleteRows="0" autoFilter="0"/>
  <dataConsolidate/>
  <mergeCells count="9">
    <mergeCell ref="A38:I38"/>
    <mergeCell ref="A26:C26"/>
    <mergeCell ref="A27:C27"/>
    <mergeCell ref="A37:I37"/>
    <mergeCell ref="D1:I1"/>
    <mergeCell ref="B29:T29"/>
    <mergeCell ref="B30:T30"/>
    <mergeCell ref="B31:T31"/>
    <mergeCell ref="B32:T32"/>
  </mergeCells>
  <phoneticPr fontId="23" type="noConversion"/>
  <conditionalFormatting sqref="J27:N27">
    <cfRule type="cellIs" dxfId="256" priority="105" stopIfTrue="1" operator="equal">
      <formula>3</formula>
    </cfRule>
    <cfRule type="cellIs" dxfId="255" priority="106" stopIfTrue="1" operator="equal">
      <formula>4</formula>
    </cfRule>
  </conditionalFormatting>
  <conditionalFormatting sqref="D39:I79">
    <cfRule type="cellIs" dxfId="254" priority="101" stopIfTrue="1" operator="equal">
      <formula>3</formula>
    </cfRule>
  </conditionalFormatting>
  <conditionalFormatting sqref="D39:I39 D4:I4">
    <cfRule type="cellIs" dxfId="253" priority="102" stopIfTrue="1" operator="equal">
      <formula>3</formula>
    </cfRule>
    <cfRule type="cellIs" dxfId="252" priority="103" stopIfTrue="1" operator="equal">
      <formula>4</formula>
    </cfRule>
    <cfRule type="cellIs" dxfId="251" priority="104" stopIfTrue="1" operator="equal">
      <formula>2</formula>
    </cfRule>
  </conditionalFormatting>
  <conditionalFormatting sqref="D6:I25">
    <cfRule type="cellIs" dxfId="250" priority="111" stopIfTrue="1" operator="equal">
      <formula>3</formula>
    </cfRule>
    <cfRule type="cellIs" dxfId="249" priority="112" stopIfTrue="1" operator="equal">
      <formula>4</formula>
    </cfRule>
    <cfRule type="cellIs" dxfId="248" priority="113" stopIfTrue="1" operator="equal">
      <formula>2</formula>
    </cfRule>
  </conditionalFormatting>
  <conditionalFormatting sqref="D26:I26">
    <cfRule type="cellIs" dxfId="247" priority="114" stopIfTrue="1" operator="equal">
      <formula>3</formula>
    </cfRule>
    <cfRule type="cellIs" dxfId="246" priority="115" stopIfTrue="1" operator="equal">
      <formula>4</formula>
    </cfRule>
    <cfRule type="cellIs" dxfId="245" priority="116" stopIfTrue="1" operator="equal">
      <formula>2</formula>
    </cfRule>
  </conditionalFormatting>
  <conditionalFormatting sqref="E27:I27">
    <cfRule type="cellIs" dxfId="244" priority="98" stopIfTrue="1" operator="equal">
      <formula>3</formula>
    </cfRule>
    <cfRule type="cellIs" dxfId="243" priority="99" stopIfTrue="1" operator="equal">
      <formula>4</formula>
    </cfRule>
    <cfRule type="cellIs" dxfId="242" priority="100" stopIfTrue="1" operator="equal">
      <formula>2</formula>
    </cfRule>
  </conditionalFormatting>
  <conditionalFormatting sqref="D27:I27">
    <cfRule type="cellIs" dxfId="241" priority="92" stopIfTrue="1" operator="equal">
      <formula>4</formula>
    </cfRule>
    <cfRule type="cellIs" dxfId="240" priority="93" stopIfTrue="1" operator="equal">
      <formula>3</formula>
    </cfRule>
    <cfRule type="cellIs" dxfId="239" priority="94" stopIfTrue="1" operator="equal">
      <formula>2</formula>
    </cfRule>
  </conditionalFormatting>
  <conditionalFormatting sqref="D27:I27">
    <cfRule type="cellIs" dxfId="238" priority="95" stopIfTrue="1" operator="equal">
      <formula>3</formula>
    </cfRule>
    <cfRule type="cellIs" dxfId="237" priority="96" stopIfTrue="1" operator="equal">
      <formula>4</formula>
    </cfRule>
    <cfRule type="cellIs" dxfId="236" priority="97" stopIfTrue="1" operator="equal">
      <formula>2</formula>
    </cfRule>
  </conditionalFormatting>
  <conditionalFormatting sqref="E5:I5">
    <cfRule type="cellIs" dxfId="235" priority="15" stopIfTrue="1" operator="equal">
      <formula>3</formula>
    </cfRule>
    <cfRule type="cellIs" dxfId="234" priority="16" stopIfTrue="1" operator="equal">
      <formula>4</formula>
    </cfRule>
    <cfRule type="cellIs" dxfId="233" priority="17" stopIfTrue="1" operator="equal">
      <formula>2</formula>
    </cfRule>
  </conditionalFormatting>
  <dataValidations count="1">
    <dataValidation type="whole" allowBlank="1" showInputMessage="1" showErrorMessage="1" sqref="D6:O27">
      <formula1>1</formula1>
      <formula2>4</formula2>
    </dataValidation>
  </dataValidations>
  <printOptions gridLines="1"/>
  <pageMargins left="0.39370078740157483" right="0.39370078740157483" top="0.53" bottom="0.46" header="0.27" footer="0.27"/>
  <pageSetup paperSize="9" orientation="landscape" horizontalDpi="4294967292" verticalDpi="4294967292" r:id="rId1"/>
  <headerFooter alignWithMargins="0">
    <oddHeader xml:space="preserve">&amp;CNIVEAUX DE SENSIBILITE DES APPLICATIONS, DONNEES ET INFORMATIONS 
</oddHeader>
    <oddFooter>&amp;L&amp;8Le &amp;D&amp;R&amp;8Page  &amp;P / &amp;N</oddFooter>
  </headerFooter>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tabColor rgb="FFFFFF99"/>
  </sheetPr>
  <dimension ref="A1:L62"/>
  <sheetViews>
    <sheetView workbookViewId="0">
      <pane ySplit="1" topLeftCell="A2" activePane="bottomLeft" state="frozen"/>
      <selection activeCell="I304" sqref="I304"/>
      <selection pane="bottomLeft" sqref="A1:E1"/>
    </sheetView>
  </sheetViews>
  <sheetFormatPr baseColWidth="10" defaultColWidth="11.42578125" defaultRowHeight="12.75" x14ac:dyDescent="0.2"/>
  <cols>
    <col min="1" max="1" width="4.42578125" style="384" customWidth="1"/>
    <col min="2" max="2" width="88.85546875" style="383" customWidth="1"/>
    <col min="3" max="5" width="4.42578125" style="384" customWidth="1"/>
    <col min="6" max="6" width="9.42578125" style="385" customWidth="1"/>
    <col min="7" max="7" width="45" style="385" customWidth="1"/>
    <col min="8" max="12" width="11.42578125" style="385"/>
    <col min="13" max="16384" width="11.42578125" style="384"/>
  </cols>
  <sheetData>
    <row r="1" spans="1:12" s="387" customFormat="1" ht="28.5" customHeight="1" x14ac:dyDescent="0.2">
      <c r="A1" s="1946" t="s">
        <v>3850</v>
      </c>
      <c r="B1" s="1946"/>
      <c r="C1" s="1946"/>
      <c r="D1" s="1946"/>
      <c r="E1" s="1946"/>
      <c r="F1" s="1188" t="s">
        <v>6713</v>
      </c>
      <c r="G1" s="1189" t="s">
        <v>6040</v>
      </c>
      <c r="H1" s="386"/>
      <c r="I1" s="386"/>
      <c r="J1" s="386"/>
      <c r="K1" s="386"/>
      <c r="L1" s="386"/>
    </row>
    <row r="2" spans="1:12" ht="15.75" customHeight="1" x14ac:dyDescent="0.2">
      <c r="A2" s="1190" t="s">
        <v>4967</v>
      </c>
      <c r="B2" s="1190"/>
      <c r="C2" s="1191" t="s">
        <v>1873</v>
      </c>
      <c r="D2" s="1191" t="s">
        <v>4638</v>
      </c>
      <c r="E2" s="1191" t="s">
        <v>4811</v>
      </c>
      <c r="F2" s="1191"/>
      <c r="G2" s="1192"/>
    </row>
    <row r="3" spans="1:12" ht="15.75" customHeight="1" x14ac:dyDescent="0.2">
      <c r="A3" s="1947" t="s">
        <v>3851</v>
      </c>
      <c r="B3" s="1947"/>
      <c r="C3" s="1947"/>
      <c r="D3" s="1948"/>
      <c r="E3" s="1948"/>
      <c r="F3" s="1240"/>
      <c r="G3" s="1192"/>
    </row>
    <row r="4" spans="1:12" ht="15.75" customHeight="1" x14ac:dyDescent="0.2">
      <c r="A4" s="1193" t="s">
        <v>1872</v>
      </c>
      <c r="B4" s="1194" t="s">
        <v>3852</v>
      </c>
      <c r="C4" s="1734" t="str">
        <f>'T1'!D27</f>
        <v/>
      </c>
      <c r="D4" s="1734" t="str">
        <f>'T1'!E27</f>
        <v/>
      </c>
      <c r="E4" s="1734" t="str">
        <f>'T1'!F27</f>
        <v/>
      </c>
      <c r="F4" s="1433">
        <v>1</v>
      </c>
      <c r="G4" s="1192"/>
    </row>
    <row r="5" spans="1:12" ht="15.75" customHeight="1" x14ac:dyDescent="0.2">
      <c r="A5" s="1193" t="s">
        <v>3519</v>
      </c>
      <c r="B5" s="1194" t="s">
        <v>3853</v>
      </c>
      <c r="C5" s="1734" t="str">
        <f>'T1'!J27</f>
        <v/>
      </c>
      <c r="D5" s="1734" t="str">
        <f>'T1'!K27</f>
        <v/>
      </c>
      <c r="E5" s="1734" t="str">
        <f>'T1'!L27</f>
        <v/>
      </c>
      <c r="F5" s="1433">
        <v>1</v>
      </c>
      <c r="G5" s="1192"/>
    </row>
    <row r="6" spans="1:12" ht="15.75" customHeight="1" x14ac:dyDescent="0.2">
      <c r="A6" s="1193" t="s">
        <v>3521</v>
      </c>
      <c r="B6" s="1195" t="s">
        <v>4968</v>
      </c>
      <c r="C6" s="1734" t="str">
        <f>'T1'!M27</f>
        <v/>
      </c>
      <c r="D6" s="1734" t="str">
        <f>'T1'!N27</f>
        <v/>
      </c>
      <c r="E6" s="1734" t="str">
        <f>'T1'!O27</f>
        <v/>
      </c>
      <c r="F6" s="1433">
        <v>1</v>
      </c>
      <c r="G6" s="1192"/>
    </row>
    <row r="7" spans="1:12" ht="15.75" customHeight="1" x14ac:dyDescent="0.2">
      <c r="A7" s="1193" t="s">
        <v>5459</v>
      </c>
      <c r="B7" s="1195" t="s">
        <v>4702</v>
      </c>
      <c r="C7" s="1734" t="str">
        <f>'T1'!P27</f>
        <v/>
      </c>
      <c r="D7" s="1735"/>
      <c r="E7" s="1734" t="str">
        <f>'T1'!Q27</f>
        <v/>
      </c>
      <c r="F7" s="1433">
        <v>1</v>
      </c>
      <c r="G7" s="1192"/>
    </row>
    <row r="8" spans="1:12" ht="15.75" customHeight="1" x14ac:dyDescent="0.2">
      <c r="A8" s="1193" t="s">
        <v>4813</v>
      </c>
      <c r="B8" s="1195" t="s">
        <v>2782</v>
      </c>
      <c r="C8" s="1735"/>
      <c r="D8" s="1735"/>
      <c r="E8" s="1734" t="str">
        <f>'T1'!R27</f>
        <v/>
      </c>
      <c r="F8" s="1433">
        <v>1</v>
      </c>
      <c r="G8" s="1192"/>
    </row>
    <row r="9" spans="1:12" ht="15.75" customHeight="1" x14ac:dyDescent="0.2">
      <c r="A9" s="1193" t="s">
        <v>5476</v>
      </c>
      <c r="B9" s="1195" t="s">
        <v>4969</v>
      </c>
      <c r="C9" s="1734" t="str">
        <f>'T1'!G27</f>
        <v/>
      </c>
      <c r="D9" s="1734" t="str">
        <f>'T1'!H27</f>
        <v/>
      </c>
      <c r="E9" s="1734" t="str">
        <f>'T1'!I27</f>
        <v/>
      </c>
      <c r="F9" s="1433">
        <v>1</v>
      </c>
      <c r="G9" s="1192"/>
    </row>
    <row r="10" spans="1:12" ht="15.75" customHeight="1" x14ac:dyDescent="0.2">
      <c r="A10" s="1193" t="s">
        <v>5461</v>
      </c>
      <c r="B10" s="1195" t="s">
        <v>5708</v>
      </c>
      <c r="C10" s="1734" t="str">
        <f>'T1'!S27</f>
        <v/>
      </c>
      <c r="D10" s="1734" t="str">
        <f>'T1'!T27</f>
        <v/>
      </c>
      <c r="E10" s="1734" t="str">
        <f>'T1'!U27</f>
        <v/>
      </c>
      <c r="F10" s="1433">
        <v>1</v>
      </c>
      <c r="G10" s="1192"/>
    </row>
    <row r="11" spans="1:12" ht="15.75" customHeight="1" x14ac:dyDescent="0.2">
      <c r="A11" s="1193" t="s">
        <v>5464</v>
      </c>
      <c r="B11" s="1195" t="s">
        <v>4909</v>
      </c>
      <c r="C11" s="1734" t="str">
        <f>'T1'!V27</f>
        <v/>
      </c>
      <c r="D11" s="1734" t="str">
        <f>'T1'!W27</f>
        <v/>
      </c>
      <c r="E11" s="1734" t="str">
        <f>'T1'!X27</f>
        <v/>
      </c>
      <c r="F11" s="1433">
        <v>1</v>
      </c>
      <c r="G11" s="1192"/>
    </row>
    <row r="12" spans="1:12" ht="15.75" customHeight="1" x14ac:dyDescent="0.2">
      <c r="A12" s="1193" t="s">
        <v>2783</v>
      </c>
      <c r="B12" s="1194" t="s">
        <v>2900</v>
      </c>
      <c r="C12" s="1734" t="str">
        <f>'T1'!Y27</f>
        <v/>
      </c>
      <c r="D12" s="1735"/>
      <c r="E12" s="1734" t="str">
        <f>'T1'!Z27</f>
        <v/>
      </c>
      <c r="F12" s="1433">
        <v>1</v>
      </c>
      <c r="G12" s="1192"/>
    </row>
    <row r="13" spans="1:12" ht="15.75" customHeight="1" x14ac:dyDescent="0.2">
      <c r="A13" s="1193" t="s">
        <v>4734</v>
      </c>
      <c r="B13" s="1194" t="s">
        <v>3429</v>
      </c>
      <c r="C13" s="1734" t="str">
        <f>'T1'!AA27</f>
        <v/>
      </c>
      <c r="D13" s="1734" t="str">
        <f>'T1'!AB27</f>
        <v/>
      </c>
      <c r="E13" s="1734" t="str">
        <f>'T1'!AC27</f>
        <v/>
      </c>
      <c r="F13" s="1433">
        <v>1</v>
      </c>
      <c r="G13" s="1192"/>
    </row>
    <row r="14" spans="1:12" ht="15.75" customHeight="1" x14ac:dyDescent="0.2">
      <c r="A14" s="1193" t="s">
        <v>4873</v>
      </c>
      <c r="B14" s="1194" t="s">
        <v>2784</v>
      </c>
      <c r="C14" s="1736" t="str">
        <f>'T1'!AD27</f>
        <v/>
      </c>
      <c r="D14" s="1736" t="str">
        <f>'T1'!AE27</f>
        <v/>
      </c>
      <c r="E14" s="1736" t="str">
        <f>'T1'!AF27</f>
        <v/>
      </c>
      <c r="F14" s="1433">
        <v>1</v>
      </c>
      <c r="G14" s="1192"/>
    </row>
    <row r="15" spans="1:12" ht="19.5" customHeight="1" x14ac:dyDescent="0.2">
      <c r="A15" s="1193"/>
      <c r="B15" s="1194"/>
      <c r="C15" s="1196"/>
      <c r="D15" s="1197"/>
      <c r="E15" s="1197"/>
      <c r="F15" s="1240"/>
      <c r="G15" s="1192"/>
    </row>
    <row r="16" spans="1:12" ht="15.75" customHeight="1" x14ac:dyDescent="0.2">
      <c r="A16" s="1190" t="s">
        <v>4966</v>
      </c>
      <c r="B16" s="1190"/>
      <c r="C16" s="1191" t="s">
        <v>1873</v>
      </c>
      <c r="D16" s="1198" t="s">
        <v>4638</v>
      </c>
      <c r="E16" s="1198" t="s">
        <v>4811</v>
      </c>
      <c r="F16" s="1191"/>
      <c r="G16" s="1192"/>
    </row>
    <row r="17" spans="1:12" ht="15.75" customHeight="1" x14ac:dyDescent="0.2">
      <c r="A17" s="1947" t="s">
        <v>1796</v>
      </c>
      <c r="B17" s="1947"/>
      <c r="C17" s="1947"/>
      <c r="D17" s="1948"/>
      <c r="E17" s="1948"/>
      <c r="F17" s="1240"/>
      <c r="G17" s="1192"/>
    </row>
    <row r="18" spans="1:12" ht="15.75" customHeight="1" x14ac:dyDescent="0.2">
      <c r="A18" s="1737" t="s">
        <v>1797</v>
      </c>
      <c r="B18" s="1194" t="s">
        <v>2788</v>
      </c>
      <c r="C18" s="1734" t="str">
        <f>'T2'!R27</f>
        <v/>
      </c>
      <c r="D18" s="1735"/>
      <c r="E18" s="1735"/>
      <c r="F18" s="1433">
        <v>1</v>
      </c>
      <c r="G18" s="1192"/>
    </row>
    <row r="19" spans="1:12" ht="15.75" customHeight="1" x14ac:dyDescent="0.2">
      <c r="A19" s="1737" t="s">
        <v>1894</v>
      </c>
      <c r="B19" s="1195" t="s">
        <v>5671</v>
      </c>
      <c r="C19" s="1734" t="str">
        <f>'T2'!S27</f>
        <v/>
      </c>
      <c r="D19" s="1734" t="str">
        <f>'T2'!T27</f>
        <v/>
      </c>
      <c r="E19" s="1735"/>
      <c r="F19" s="1433">
        <v>1</v>
      </c>
      <c r="G19" s="1192"/>
    </row>
    <row r="20" spans="1:12" ht="15.75" customHeight="1" x14ac:dyDescent="0.2">
      <c r="A20" s="1703" t="s">
        <v>1933</v>
      </c>
      <c r="B20" s="1703"/>
      <c r="C20" s="1739"/>
      <c r="D20" s="1739"/>
      <c r="E20" s="1739"/>
      <c r="F20" s="1434"/>
      <c r="G20" s="1192"/>
    </row>
    <row r="21" spans="1:12" ht="15.75" customHeight="1" x14ac:dyDescent="0.2">
      <c r="A21" s="1737" t="s">
        <v>2785</v>
      </c>
      <c r="B21" s="1194" t="s">
        <v>3310</v>
      </c>
      <c r="C21" s="1740" t="str">
        <f>'T2'!D27</f>
        <v/>
      </c>
      <c r="D21" s="1740" t="str">
        <f>'T2'!E27</f>
        <v/>
      </c>
      <c r="E21" s="1735"/>
      <c r="F21" s="1433">
        <v>1</v>
      </c>
      <c r="G21" s="1192"/>
    </row>
    <row r="22" spans="1:12" ht="15.75" customHeight="1" x14ac:dyDescent="0.2">
      <c r="A22" s="1737" t="s">
        <v>2786</v>
      </c>
      <c r="B22" s="1194" t="s">
        <v>3311</v>
      </c>
      <c r="C22" s="1740" t="str">
        <f>'T2'!F27</f>
        <v/>
      </c>
      <c r="D22" s="1740" t="str">
        <f>'T2'!G27</f>
        <v/>
      </c>
      <c r="E22" s="1735"/>
      <c r="F22" s="1433">
        <v>1</v>
      </c>
      <c r="G22" s="1192"/>
    </row>
    <row r="23" spans="1:12" ht="15.75" customHeight="1" x14ac:dyDescent="0.2">
      <c r="A23" s="1199" t="s">
        <v>2787</v>
      </c>
      <c r="B23" s="1194" t="s">
        <v>3312</v>
      </c>
      <c r="C23" s="1740" t="str">
        <f>'T2'!H27</f>
        <v/>
      </c>
      <c r="D23" s="1740" t="str">
        <f>'T2'!I27</f>
        <v/>
      </c>
      <c r="E23" s="1740" t="str">
        <f>'T2'!J27</f>
        <v/>
      </c>
      <c r="F23" s="1433">
        <v>1</v>
      </c>
      <c r="G23" s="1192"/>
    </row>
    <row r="24" spans="1:12" ht="15.75" customHeight="1" x14ac:dyDescent="0.2">
      <c r="A24" s="1199" t="s">
        <v>5458</v>
      </c>
      <c r="B24" s="1195" t="s">
        <v>5075</v>
      </c>
      <c r="C24" s="1740" t="str">
        <f>'T2'!K27</f>
        <v/>
      </c>
      <c r="D24" s="1740" t="str">
        <f>'T2'!L27</f>
        <v/>
      </c>
      <c r="E24" s="1735"/>
      <c r="F24" s="1433">
        <v>1</v>
      </c>
      <c r="G24" s="1192"/>
    </row>
    <row r="25" spans="1:12" ht="15.75" customHeight="1" x14ac:dyDescent="0.2">
      <c r="A25" s="1199" t="s">
        <v>4819</v>
      </c>
      <c r="B25" s="1195" t="s">
        <v>1678</v>
      </c>
      <c r="C25" s="1740" t="str">
        <f>'T2'!M27</f>
        <v/>
      </c>
      <c r="D25" s="1735"/>
      <c r="E25" s="1735"/>
      <c r="F25" s="1433">
        <v>1</v>
      </c>
      <c r="G25" s="1192"/>
    </row>
    <row r="26" spans="1:12" ht="15.75" customHeight="1" x14ac:dyDescent="0.2">
      <c r="A26" s="1737" t="s">
        <v>3313</v>
      </c>
      <c r="B26" s="1195" t="s">
        <v>6496</v>
      </c>
      <c r="C26" s="1740" t="str">
        <f>'T2'!N27</f>
        <v/>
      </c>
      <c r="D26" s="1740" t="str">
        <f>'T2'!O27</f>
        <v/>
      </c>
      <c r="E26" s="1735"/>
      <c r="F26" s="1433">
        <v>1</v>
      </c>
      <c r="G26" s="1192"/>
    </row>
    <row r="27" spans="1:12" ht="15.75" customHeight="1" x14ac:dyDescent="0.2">
      <c r="A27" s="1737" t="s">
        <v>3314</v>
      </c>
      <c r="B27" s="1195" t="s">
        <v>5161</v>
      </c>
      <c r="C27" s="1740" t="str">
        <f>'T2'!P27</f>
        <v/>
      </c>
      <c r="D27" s="1740" t="str">
        <f>'T2'!Q27</f>
        <v/>
      </c>
      <c r="E27" s="1735"/>
      <c r="F27" s="1433">
        <v>1</v>
      </c>
      <c r="G27" s="1192"/>
    </row>
    <row r="28" spans="1:12" ht="15.75" customHeight="1" x14ac:dyDescent="0.2">
      <c r="A28" s="1738"/>
      <c r="B28" s="1201"/>
      <c r="C28" s="393"/>
      <c r="D28" s="393"/>
      <c r="E28" s="393"/>
      <c r="F28" s="1240"/>
      <c r="G28" s="1192"/>
    </row>
    <row r="29" spans="1:12" ht="15.75" customHeight="1" x14ac:dyDescent="0.2">
      <c r="A29" s="1190" t="s">
        <v>6311</v>
      </c>
      <c r="B29" s="1190"/>
      <c r="C29" s="1191" t="s">
        <v>6403</v>
      </c>
      <c r="D29" s="1202"/>
      <c r="E29" s="1202"/>
      <c r="F29" s="1191"/>
      <c r="G29" s="1192"/>
    </row>
    <row r="30" spans="1:12" ht="15.75" customHeight="1" x14ac:dyDescent="0.2">
      <c r="A30" s="1947" t="s">
        <v>2375</v>
      </c>
      <c r="B30" s="1947"/>
      <c r="C30" s="1947"/>
      <c r="D30" s="1947"/>
      <c r="E30" s="1947"/>
      <c r="F30" s="1240"/>
      <c r="G30" s="1192"/>
    </row>
    <row r="31" spans="1:12" s="387" customFormat="1" ht="15.75" customHeight="1" x14ac:dyDescent="0.2">
      <c r="A31" s="1387" t="s">
        <v>2790</v>
      </c>
      <c r="B31" s="1388" t="s">
        <v>1227</v>
      </c>
      <c r="C31" s="1741" t="str">
        <f>'T3'!D27</f>
        <v/>
      </c>
      <c r="D31" s="1742"/>
      <c r="E31" s="1742"/>
      <c r="F31" s="1435">
        <v>1</v>
      </c>
      <c r="G31" s="1389"/>
      <c r="H31" s="386"/>
      <c r="I31" s="386"/>
      <c r="J31" s="386"/>
      <c r="K31" s="386"/>
      <c r="L31" s="386"/>
    </row>
    <row r="32" spans="1:12" s="387" customFormat="1" ht="15.75" customHeight="1" x14ac:dyDescent="0.2">
      <c r="A32" s="1387" t="s">
        <v>2791</v>
      </c>
      <c r="B32" s="1390" t="s">
        <v>2926</v>
      </c>
      <c r="C32" s="1741" t="str">
        <f>'T3'!E27</f>
        <v/>
      </c>
      <c r="D32" s="1742"/>
      <c r="E32" s="1742"/>
      <c r="F32" s="1435">
        <v>1</v>
      </c>
      <c r="G32" s="1389"/>
      <c r="H32" s="386"/>
      <c r="I32" s="386"/>
      <c r="J32" s="386"/>
      <c r="K32" s="386"/>
      <c r="L32" s="386"/>
    </row>
    <row r="33" spans="1:12" s="387" customFormat="1" ht="15.75" customHeight="1" x14ac:dyDescent="0.2">
      <c r="A33" s="1387" t="s">
        <v>2792</v>
      </c>
      <c r="B33" s="1391" t="s">
        <v>2927</v>
      </c>
      <c r="C33" s="1741" t="str">
        <f>'T3'!F27</f>
        <v/>
      </c>
      <c r="D33" s="1742"/>
      <c r="E33" s="1742"/>
      <c r="F33" s="1435">
        <v>1</v>
      </c>
      <c r="G33" s="1389"/>
      <c r="H33" s="386"/>
      <c r="I33" s="386"/>
      <c r="J33" s="386"/>
      <c r="K33" s="386"/>
      <c r="L33" s="386"/>
    </row>
    <row r="34" spans="1:12" s="387" customFormat="1" ht="15.75" customHeight="1" x14ac:dyDescent="0.2">
      <c r="A34" s="1387" t="s">
        <v>2793</v>
      </c>
      <c r="B34" s="1390" t="s">
        <v>1228</v>
      </c>
      <c r="C34" s="1741" t="str">
        <f>'T3'!G27</f>
        <v/>
      </c>
      <c r="D34" s="1742"/>
      <c r="E34" s="1742"/>
      <c r="F34" s="1435">
        <v>1</v>
      </c>
      <c r="G34" s="1389"/>
      <c r="H34" s="386"/>
      <c r="I34" s="386"/>
      <c r="J34" s="386"/>
      <c r="K34" s="386"/>
      <c r="L34" s="386"/>
    </row>
    <row r="35" spans="1:12" s="387" customFormat="1" ht="15.75" customHeight="1" x14ac:dyDescent="0.2">
      <c r="A35" s="1387" t="s">
        <v>5578</v>
      </c>
      <c r="B35" s="1390" t="s">
        <v>944</v>
      </c>
      <c r="C35" s="1741" t="str">
        <f>'T3'!H27</f>
        <v/>
      </c>
      <c r="D35" s="1742"/>
      <c r="E35" s="1742"/>
      <c r="F35" s="1435">
        <v>1</v>
      </c>
      <c r="G35" s="1389"/>
      <c r="H35" s="386"/>
      <c r="I35" s="386"/>
      <c r="J35" s="386"/>
      <c r="K35" s="386"/>
      <c r="L35" s="386"/>
    </row>
    <row r="36" spans="1:12" s="387" customFormat="1" ht="15.75" customHeight="1" x14ac:dyDescent="0.2">
      <c r="A36" s="1387" t="s">
        <v>2928</v>
      </c>
      <c r="B36" s="1390" t="s">
        <v>1760</v>
      </c>
      <c r="C36" s="1741" t="str">
        <f>'T3'!I27</f>
        <v/>
      </c>
      <c r="D36" s="1742"/>
      <c r="E36" s="1742"/>
      <c r="F36" s="1435">
        <v>1</v>
      </c>
      <c r="G36" s="1389"/>
      <c r="H36" s="386"/>
      <c r="I36" s="386"/>
      <c r="J36" s="386"/>
      <c r="K36" s="386"/>
      <c r="L36" s="386"/>
    </row>
    <row r="37" spans="1:12" ht="15.75" customHeight="1" thickBot="1" x14ac:dyDescent="0.25">
      <c r="A37" s="1205"/>
      <c r="B37" s="1206"/>
      <c r="C37" s="1205"/>
      <c r="D37" s="1205"/>
      <c r="E37" s="1205"/>
      <c r="F37" s="1205"/>
      <c r="G37" s="1207"/>
    </row>
    <row r="38" spans="1:12" s="385" customFormat="1" x14ac:dyDescent="0.2">
      <c r="B38" s="390"/>
    </row>
    <row r="39" spans="1:12" s="385" customFormat="1" ht="26.25" customHeight="1" x14ac:dyDescent="0.2">
      <c r="A39" s="1944" t="s">
        <v>5506</v>
      </c>
      <c r="B39" s="1945"/>
      <c r="C39" s="1945"/>
      <c r="D39" s="1945"/>
      <c r="E39" s="1945"/>
    </row>
    <row r="40" spans="1:12" s="385" customFormat="1" ht="62.25" customHeight="1" x14ac:dyDescent="0.2">
      <c r="A40" s="1943" t="s">
        <v>7492</v>
      </c>
      <c r="B40" s="1943"/>
      <c r="C40" s="1943"/>
      <c r="D40" s="1943"/>
      <c r="E40" s="1943"/>
    </row>
    <row r="41" spans="1:12" s="385" customFormat="1" x14ac:dyDescent="0.2">
      <c r="B41" s="390"/>
      <c r="C41" s="390"/>
      <c r="D41" s="390"/>
      <c r="E41" s="390"/>
    </row>
    <row r="42" spans="1:12" s="385" customFormat="1" x14ac:dyDescent="0.2">
      <c r="A42" s="382"/>
      <c r="B42" s="390"/>
    </row>
    <row r="43" spans="1:12" s="385" customFormat="1" x14ac:dyDescent="0.2">
      <c r="A43" s="382"/>
      <c r="B43" s="1241"/>
    </row>
    <row r="44" spans="1:12" s="385" customFormat="1" x14ac:dyDescent="0.2">
      <c r="A44" s="382"/>
      <c r="B44" s="1241"/>
    </row>
    <row r="45" spans="1:12" s="385" customFormat="1" x14ac:dyDescent="0.2">
      <c r="A45" s="382"/>
      <c r="B45" s="1241"/>
    </row>
    <row r="46" spans="1:12" s="385" customFormat="1" x14ac:dyDescent="0.2">
      <c r="A46" s="951"/>
      <c r="B46" s="950"/>
      <c r="C46" s="394"/>
      <c r="D46" s="394"/>
      <c r="E46" s="394"/>
    </row>
    <row r="47" spans="1:12" s="385" customFormat="1" x14ac:dyDescent="0.2">
      <c r="B47" s="390"/>
      <c r="C47" s="394"/>
      <c r="D47" s="394"/>
      <c r="E47" s="394"/>
    </row>
    <row r="48" spans="1:12" s="385" customFormat="1" x14ac:dyDescent="0.2">
      <c r="B48" s="390"/>
    </row>
    <row r="49" spans="2:5" s="385" customFormat="1" x14ac:dyDescent="0.2">
      <c r="B49" s="390"/>
    </row>
    <row r="50" spans="2:5" s="385" customFormat="1" x14ac:dyDescent="0.2">
      <c r="B50" s="390"/>
    </row>
    <row r="51" spans="2:5" s="385" customFormat="1" x14ac:dyDescent="0.2">
      <c r="B51" s="390"/>
    </row>
    <row r="52" spans="2:5" s="385" customFormat="1" x14ac:dyDescent="0.2">
      <c r="B52" s="390"/>
    </row>
    <row r="53" spans="2:5" s="385" customFormat="1" x14ac:dyDescent="0.2">
      <c r="B53" s="390"/>
    </row>
    <row r="54" spans="2:5" s="385" customFormat="1" x14ac:dyDescent="0.2">
      <c r="B54" s="390"/>
    </row>
    <row r="55" spans="2:5" s="385" customFormat="1" x14ac:dyDescent="0.2">
      <c r="B55" s="390"/>
    </row>
    <row r="56" spans="2:5" s="385" customFormat="1" x14ac:dyDescent="0.2">
      <c r="B56" s="390"/>
    </row>
    <row r="57" spans="2:5" s="385" customFormat="1" x14ac:dyDescent="0.2">
      <c r="B57" s="390"/>
    </row>
    <row r="58" spans="2:5" s="385" customFormat="1" x14ac:dyDescent="0.2">
      <c r="B58" s="390"/>
    </row>
    <row r="59" spans="2:5" s="385" customFormat="1" x14ac:dyDescent="0.2">
      <c r="B59" s="390"/>
    </row>
    <row r="60" spans="2:5" s="385" customFormat="1" x14ac:dyDescent="0.2">
      <c r="B60" s="390"/>
    </row>
    <row r="61" spans="2:5" s="385" customFormat="1" x14ac:dyDescent="0.2">
      <c r="B61" s="390"/>
    </row>
    <row r="62" spans="2:5" x14ac:dyDescent="0.2">
      <c r="C62" s="385"/>
      <c r="D62" s="385"/>
      <c r="E62" s="385"/>
    </row>
  </sheetData>
  <sheetProtection sheet="1" objects="1" scenarios="1" formatCells="0" formatColumns="0" formatRows="0"/>
  <mergeCells count="6">
    <mergeCell ref="A40:E40"/>
    <mergeCell ref="A39:E39"/>
    <mergeCell ref="A1:E1"/>
    <mergeCell ref="A3:E3"/>
    <mergeCell ref="A30:E30"/>
    <mergeCell ref="A17:E17"/>
  </mergeCells>
  <phoneticPr fontId="20" type="noConversion"/>
  <conditionalFormatting sqref="A4:B35 A37:B37">
    <cfRule type="cellIs" dxfId="232" priority="10" stopIfTrue="1" operator="equal">
      <formula>4</formula>
    </cfRule>
    <cfRule type="cellIs" dxfId="231" priority="11" stopIfTrue="1" operator="equal">
      <formula>3</formula>
    </cfRule>
    <cfRule type="cellIs" dxfId="230" priority="12" stopIfTrue="1" operator="equal">
      <formula>2</formula>
    </cfRule>
  </conditionalFormatting>
  <conditionalFormatting sqref="C4:E35 C37:E37">
    <cfRule type="cellIs" dxfId="229" priority="16" stopIfTrue="1" operator="equal">
      <formula>4</formula>
    </cfRule>
    <cfRule type="cellIs" dxfId="228" priority="17" stopIfTrue="1" operator="equal">
      <formula>3</formula>
    </cfRule>
    <cfRule type="cellIs" dxfId="227" priority="18" stopIfTrue="1" operator="equal">
      <formula>2</formula>
    </cfRule>
  </conditionalFormatting>
  <conditionalFormatting sqref="A36:B36">
    <cfRule type="cellIs" dxfId="226" priority="4" stopIfTrue="1" operator="equal">
      <formula>4</formula>
    </cfRule>
    <cfRule type="cellIs" dxfId="225" priority="5" stopIfTrue="1" operator="equal">
      <formula>3</formula>
    </cfRule>
    <cfRule type="cellIs" dxfId="224" priority="6" stopIfTrue="1" operator="equal">
      <formula>2</formula>
    </cfRule>
  </conditionalFormatting>
  <conditionalFormatting sqref="C36:E36">
    <cfRule type="cellIs" dxfId="223" priority="7" stopIfTrue="1" operator="equal">
      <formula>4</formula>
    </cfRule>
    <cfRule type="cellIs" dxfId="222" priority="8" stopIfTrue="1" operator="equal">
      <formula>3</formula>
    </cfRule>
    <cfRule type="cellIs" dxfId="221" priority="9" stopIfTrue="1" operator="equal">
      <formula>2</formula>
    </cfRule>
  </conditionalFormatting>
  <conditionalFormatting sqref="F37">
    <cfRule type="cellIs" dxfId="220" priority="1" stopIfTrue="1" operator="equal">
      <formula>4</formula>
    </cfRule>
    <cfRule type="cellIs" dxfId="219" priority="2" stopIfTrue="1" operator="equal">
      <formula>3</formula>
    </cfRule>
    <cfRule type="cellIs" dxfId="218" priority="3" stopIfTrue="1" operator="equal">
      <formula>2</formula>
    </cfRule>
  </conditionalFormatting>
  <dataValidations count="1">
    <dataValidation type="whole" allowBlank="1" showInputMessage="1" showErrorMessage="1" sqref="F4:F15 F18 F19 F21:F27 F31:F36">
      <formula1>0</formula1>
      <formula2>1</formula2>
    </dataValidation>
  </dataValidations>
  <printOptions gridLines="1"/>
  <pageMargins left="0.55000000000000004" right="0.52" top="0.6" bottom="1" header="0.4921259845" footer="0.4921259845"/>
  <pageSetup paperSize="9" orientation="portrait" r:id="rId1"/>
  <headerFooter alignWithMargins="0">
    <oddFooter>&amp;L&amp;8&amp;F ! &amp;A&amp;C&amp;8&amp;P&amp;R&amp;8Décembre 2006</oddFooter>
  </headerFooter>
  <ignoredErrors>
    <ignoredError sqref="C31:C36" unlockedFormula="1"/>
  </ignoredErrors>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indexed="44"/>
  </sheetPr>
  <dimension ref="A1:K57"/>
  <sheetViews>
    <sheetView workbookViewId="0">
      <pane xSplit="8" ySplit="2" topLeftCell="I24" activePane="bottomRight" state="frozen"/>
      <selection activeCell="I304" sqref="I304"/>
      <selection pane="topRight" activeCell="I304" sqref="I304"/>
      <selection pane="bottomLeft" activeCell="I304" sqref="I304"/>
      <selection pane="bottomRight" sqref="A1:C1"/>
    </sheetView>
  </sheetViews>
  <sheetFormatPr baseColWidth="10" defaultColWidth="9.140625" defaultRowHeight="15.75" customHeight="1" x14ac:dyDescent="0.2"/>
  <cols>
    <col min="1" max="1" width="28.42578125" style="115" customWidth="1"/>
    <col min="2" max="2" width="6.42578125" style="115" customWidth="1"/>
    <col min="3" max="3" width="73.42578125" style="115" bestFit="1" customWidth="1"/>
    <col min="4" max="4" width="9.85546875" style="115" bestFit="1" customWidth="1"/>
    <col min="5" max="5" width="16.7109375" style="116" customWidth="1"/>
    <col min="6" max="6" width="10.7109375" style="144" customWidth="1"/>
    <col min="7" max="7" width="10.7109375" style="42" customWidth="1"/>
    <col min="8" max="8" width="10.7109375" style="144" customWidth="1"/>
    <col min="9" max="9" width="31.42578125" style="144" customWidth="1"/>
    <col min="10" max="11" width="11.42578125" style="144" customWidth="1"/>
    <col min="12" max="256" width="11.42578125" style="42" customWidth="1"/>
    <col min="257" max="16384" width="9.140625" style="42"/>
  </cols>
  <sheetData>
    <row r="1" spans="1:9" ht="27.75" customHeight="1" x14ac:dyDescent="0.2">
      <c r="A1" s="1951" t="s">
        <v>5263</v>
      </c>
      <c r="B1" s="1951"/>
      <c r="C1" s="1951"/>
      <c r="D1" s="1949" t="s">
        <v>7230</v>
      </c>
      <c r="E1" s="1949"/>
      <c r="F1" s="1239" t="s">
        <v>7283</v>
      </c>
      <c r="G1" s="932"/>
      <c r="H1" s="932"/>
      <c r="I1" s="932"/>
    </row>
    <row r="2" spans="1:9" ht="54" customHeight="1" x14ac:dyDescent="0.2">
      <c r="A2" s="933" t="s">
        <v>1865</v>
      </c>
      <c r="B2" s="934" t="s">
        <v>3918</v>
      </c>
      <c r="C2" s="935" t="s">
        <v>1854</v>
      </c>
      <c r="D2" s="936" t="s">
        <v>1871</v>
      </c>
      <c r="E2" s="937" t="s">
        <v>7231</v>
      </c>
      <c r="F2" s="937" t="s">
        <v>4342</v>
      </c>
      <c r="G2" s="937" t="s">
        <v>4343</v>
      </c>
      <c r="H2" s="937" t="s">
        <v>7215</v>
      </c>
      <c r="I2" s="938" t="s">
        <v>3682</v>
      </c>
    </row>
    <row r="3" spans="1:9" ht="15.75" customHeight="1" x14ac:dyDescent="0.2">
      <c r="A3" s="1953" t="s">
        <v>1857</v>
      </c>
      <c r="B3" s="1950" t="s">
        <v>5275</v>
      </c>
      <c r="C3" s="74" t="s">
        <v>945</v>
      </c>
      <c r="D3" s="80" t="s">
        <v>1005</v>
      </c>
      <c r="E3" s="939">
        <v>3</v>
      </c>
      <c r="F3" s="940"/>
      <c r="G3" s="939">
        <f t="shared" ref="G3:G45" si="0">IF(NOT(F3=""),F3,E3)</f>
        <v>3</v>
      </c>
      <c r="H3" s="1438">
        <v>1</v>
      </c>
      <c r="I3" s="941"/>
    </row>
    <row r="4" spans="1:9" ht="15.75" customHeight="1" x14ac:dyDescent="0.2">
      <c r="A4" s="1953"/>
      <c r="B4" s="1950"/>
      <c r="C4" s="74" t="s">
        <v>1004</v>
      </c>
      <c r="D4" s="74" t="s">
        <v>5276</v>
      </c>
      <c r="E4" s="939">
        <v>2</v>
      </c>
      <c r="F4" s="940"/>
      <c r="G4" s="939">
        <f t="shared" si="0"/>
        <v>2</v>
      </c>
      <c r="H4" s="1436">
        <v>1</v>
      </c>
      <c r="I4" s="942"/>
    </row>
    <row r="5" spans="1:9" ht="15.75" customHeight="1" x14ac:dyDescent="0.2">
      <c r="A5" s="1953" t="s">
        <v>1858</v>
      </c>
      <c r="B5" s="1952"/>
      <c r="C5" s="74" t="s">
        <v>1517</v>
      </c>
      <c r="D5" s="74" t="s">
        <v>6748</v>
      </c>
      <c r="E5" s="939">
        <v>2</v>
      </c>
      <c r="F5" s="940"/>
      <c r="G5" s="939">
        <f>IF(NOT(F5=""),F5,E5)</f>
        <v>2</v>
      </c>
      <c r="H5" s="1436">
        <v>1</v>
      </c>
      <c r="I5" s="942"/>
    </row>
    <row r="6" spans="1:9" ht="15.75" customHeight="1" x14ac:dyDescent="0.2">
      <c r="A6" s="1953"/>
      <c r="B6" s="1952"/>
      <c r="C6" s="74" t="s">
        <v>4830</v>
      </c>
      <c r="D6" s="74" t="s">
        <v>5277</v>
      </c>
      <c r="E6" s="939">
        <v>3</v>
      </c>
      <c r="F6" s="940"/>
      <c r="G6" s="939">
        <f t="shared" si="0"/>
        <v>3</v>
      </c>
      <c r="H6" s="1436">
        <v>1</v>
      </c>
      <c r="I6" s="942"/>
    </row>
    <row r="7" spans="1:9" ht="15.75" customHeight="1" x14ac:dyDescent="0.2">
      <c r="A7" s="1954"/>
      <c r="B7" s="1952"/>
      <c r="C7" s="74" t="s">
        <v>6749</v>
      </c>
      <c r="D7" s="74" t="s">
        <v>5278</v>
      </c>
      <c r="E7" s="939">
        <v>2</v>
      </c>
      <c r="F7" s="940"/>
      <c r="G7" s="939">
        <f t="shared" si="0"/>
        <v>2</v>
      </c>
      <c r="H7" s="1436">
        <v>1</v>
      </c>
      <c r="I7" s="942"/>
    </row>
    <row r="8" spans="1:9" ht="15.75" customHeight="1" x14ac:dyDescent="0.2">
      <c r="A8" s="1954"/>
      <c r="B8" s="1952"/>
      <c r="C8" s="74" t="s">
        <v>1390</v>
      </c>
      <c r="D8" s="74" t="s">
        <v>4104</v>
      </c>
      <c r="E8" s="939">
        <v>3</v>
      </c>
      <c r="F8" s="940"/>
      <c r="G8" s="939">
        <f t="shared" si="0"/>
        <v>3</v>
      </c>
      <c r="H8" s="1436">
        <v>1</v>
      </c>
      <c r="I8" s="942"/>
    </row>
    <row r="9" spans="1:9" ht="15.75" customHeight="1" x14ac:dyDescent="0.2">
      <c r="A9" s="1954"/>
      <c r="B9" s="1952"/>
      <c r="C9" s="74" t="s">
        <v>1391</v>
      </c>
      <c r="D9" s="74" t="s">
        <v>4105</v>
      </c>
      <c r="E9" s="939">
        <v>2</v>
      </c>
      <c r="F9" s="940"/>
      <c r="G9" s="939">
        <f t="shared" si="0"/>
        <v>2</v>
      </c>
      <c r="H9" s="1436">
        <v>1</v>
      </c>
      <c r="I9" s="942"/>
    </row>
    <row r="10" spans="1:9" ht="15.75" customHeight="1" x14ac:dyDescent="0.2">
      <c r="A10" s="1953" t="s">
        <v>3409</v>
      </c>
      <c r="B10" s="1950" t="s">
        <v>3919</v>
      </c>
      <c r="C10" s="74" t="s">
        <v>4327</v>
      </c>
      <c r="D10" s="74" t="s">
        <v>4328</v>
      </c>
      <c r="E10" s="939">
        <v>2</v>
      </c>
      <c r="F10" s="940"/>
      <c r="G10" s="939">
        <f t="shared" si="0"/>
        <v>2</v>
      </c>
      <c r="H10" s="1436">
        <v>1</v>
      </c>
      <c r="I10" s="942"/>
    </row>
    <row r="11" spans="1:9" ht="15.75" customHeight="1" x14ac:dyDescent="0.2">
      <c r="A11" s="1953"/>
      <c r="B11" s="1950"/>
      <c r="C11" s="74" t="s">
        <v>4821</v>
      </c>
      <c r="D11" s="74" t="s">
        <v>1877</v>
      </c>
      <c r="E11" s="939">
        <v>2</v>
      </c>
      <c r="F11" s="940"/>
      <c r="G11" s="939">
        <f t="shared" si="0"/>
        <v>2</v>
      </c>
      <c r="H11" s="1436">
        <v>1</v>
      </c>
      <c r="I11" s="942"/>
    </row>
    <row r="12" spans="1:9" ht="15.75" customHeight="1" x14ac:dyDescent="0.2">
      <c r="A12" s="1953"/>
      <c r="B12" s="1950"/>
      <c r="C12" s="74" t="s">
        <v>4822</v>
      </c>
      <c r="D12" s="74" t="s">
        <v>1878</v>
      </c>
      <c r="E12" s="939">
        <v>2</v>
      </c>
      <c r="F12" s="940"/>
      <c r="G12" s="939">
        <f t="shared" si="0"/>
        <v>2</v>
      </c>
      <c r="H12" s="1436">
        <v>1</v>
      </c>
      <c r="I12" s="942"/>
    </row>
    <row r="13" spans="1:9" ht="15.75" customHeight="1" x14ac:dyDescent="0.2">
      <c r="A13" s="1956" t="s">
        <v>1856</v>
      </c>
      <c r="B13" s="1952" t="s">
        <v>3920</v>
      </c>
      <c r="C13" s="74" t="s">
        <v>2972</v>
      </c>
      <c r="D13" s="74" t="s">
        <v>2973</v>
      </c>
      <c r="E13" s="939">
        <v>3</v>
      </c>
      <c r="F13" s="940"/>
      <c r="G13" s="939">
        <f t="shared" si="0"/>
        <v>3</v>
      </c>
      <c r="H13" s="1436">
        <v>1</v>
      </c>
      <c r="I13" s="942"/>
    </row>
    <row r="14" spans="1:9" ht="15.75" customHeight="1" x14ac:dyDescent="0.2">
      <c r="A14" s="1956"/>
      <c r="B14" s="1952"/>
      <c r="C14" s="74" t="s">
        <v>5369</v>
      </c>
      <c r="D14" s="74" t="s">
        <v>4817</v>
      </c>
      <c r="E14" s="939">
        <v>3</v>
      </c>
      <c r="F14" s="940"/>
      <c r="G14" s="939">
        <f t="shared" si="0"/>
        <v>3</v>
      </c>
      <c r="H14" s="1436">
        <v>1</v>
      </c>
      <c r="I14" s="942"/>
    </row>
    <row r="15" spans="1:9" ht="15.75" customHeight="1" x14ac:dyDescent="0.2">
      <c r="A15" s="943" t="s">
        <v>4971</v>
      </c>
      <c r="B15" s="945" t="s">
        <v>5964</v>
      </c>
      <c r="C15" s="74" t="s">
        <v>4907</v>
      </c>
      <c r="D15" s="74" t="s">
        <v>4818</v>
      </c>
      <c r="E15" s="939">
        <v>2</v>
      </c>
      <c r="F15" s="940"/>
      <c r="G15" s="939">
        <f t="shared" si="0"/>
        <v>2</v>
      </c>
      <c r="H15" s="1436">
        <v>1</v>
      </c>
      <c r="I15" s="942"/>
    </row>
    <row r="16" spans="1:9" ht="15.75" customHeight="1" x14ac:dyDescent="0.2">
      <c r="A16" s="944" t="s">
        <v>1859</v>
      </c>
      <c r="B16" s="945" t="s">
        <v>1326</v>
      </c>
      <c r="C16" s="74" t="s">
        <v>5582</v>
      </c>
      <c r="D16" s="74" t="s">
        <v>4215</v>
      </c>
      <c r="E16" s="939">
        <v>3</v>
      </c>
      <c r="F16" s="940"/>
      <c r="G16" s="939">
        <f t="shared" si="0"/>
        <v>3</v>
      </c>
      <c r="H16" s="1436">
        <v>1</v>
      </c>
      <c r="I16" s="942"/>
    </row>
    <row r="17" spans="1:9" ht="15.75" customHeight="1" x14ac:dyDescent="0.2">
      <c r="A17" s="1953" t="s">
        <v>6533</v>
      </c>
      <c r="B17" s="1950" t="s">
        <v>1327</v>
      </c>
      <c r="C17" s="74" t="s">
        <v>3837</v>
      </c>
      <c r="D17" s="74" t="s">
        <v>2974</v>
      </c>
      <c r="E17" s="939">
        <v>3</v>
      </c>
      <c r="F17" s="940"/>
      <c r="G17" s="939">
        <f t="shared" si="0"/>
        <v>3</v>
      </c>
      <c r="H17" s="1436">
        <v>1</v>
      </c>
      <c r="I17" s="942"/>
    </row>
    <row r="18" spans="1:9" ht="15.75" customHeight="1" x14ac:dyDescent="0.2">
      <c r="A18" s="1953"/>
      <c r="B18" s="1950"/>
      <c r="C18" s="74" t="s">
        <v>1860</v>
      </c>
      <c r="D18" s="74" t="s">
        <v>2780</v>
      </c>
      <c r="E18" s="939">
        <v>3</v>
      </c>
      <c r="F18" s="940"/>
      <c r="G18" s="939">
        <f t="shared" si="0"/>
        <v>3</v>
      </c>
      <c r="H18" s="1436">
        <v>1</v>
      </c>
      <c r="I18" s="942"/>
    </row>
    <row r="19" spans="1:9" ht="15.75" customHeight="1" x14ac:dyDescent="0.2">
      <c r="A19" s="1953"/>
      <c r="B19" s="1950"/>
      <c r="C19" s="74" t="s">
        <v>2836</v>
      </c>
      <c r="D19" s="74" t="s">
        <v>2975</v>
      </c>
      <c r="E19" s="939">
        <v>3</v>
      </c>
      <c r="F19" s="940"/>
      <c r="G19" s="939">
        <f t="shared" si="0"/>
        <v>3</v>
      </c>
      <c r="H19" s="1436">
        <v>1</v>
      </c>
      <c r="I19" s="942"/>
    </row>
    <row r="20" spans="1:9" ht="15.75" customHeight="1" x14ac:dyDescent="0.2">
      <c r="A20" s="1955" t="s">
        <v>1553</v>
      </c>
      <c r="B20" s="1957" t="s">
        <v>1554</v>
      </c>
      <c r="C20" s="74" t="s">
        <v>4827</v>
      </c>
      <c r="D20" s="74" t="s">
        <v>1463</v>
      </c>
      <c r="E20" s="939">
        <v>2</v>
      </c>
      <c r="F20" s="940"/>
      <c r="G20" s="939">
        <f t="shared" si="0"/>
        <v>2</v>
      </c>
      <c r="H20" s="1436">
        <v>1</v>
      </c>
      <c r="I20" s="942"/>
    </row>
    <row r="21" spans="1:9" ht="15.75" customHeight="1" x14ac:dyDescent="0.2">
      <c r="A21" s="1955"/>
      <c r="B21" s="1957"/>
      <c r="C21" s="74" t="s">
        <v>4820</v>
      </c>
      <c r="D21" s="74" t="s">
        <v>1461</v>
      </c>
      <c r="E21" s="939">
        <v>3</v>
      </c>
      <c r="F21" s="940"/>
      <c r="G21" s="939">
        <f t="shared" si="0"/>
        <v>3</v>
      </c>
      <c r="H21" s="1436">
        <v>1</v>
      </c>
      <c r="I21" s="942"/>
    </row>
    <row r="22" spans="1:9" ht="15.75" customHeight="1" x14ac:dyDescent="0.2">
      <c r="A22" s="1955"/>
      <c r="B22" s="1957"/>
      <c r="C22" s="74" t="s">
        <v>4823</v>
      </c>
      <c r="D22" s="74" t="s">
        <v>3410</v>
      </c>
      <c r="E22" s="939">
        <v>2</v>
      </c>
      <c r="F22" s="940"/>
      <c r="G22" s="939">
        <f>IF(NOT(F22=""),F22,E22)</f>
        <v>2</v>
      </c>
      <c r="H22" s="1436">
        <v>1</v>
      </c>
      <c r="I22" s="942"/>
    </row>
    <row r="23" spans="1:9" ht="15.75" customHeight="1" x14ac:dyDescent="0.2">
      <c r="A23" s="1955"/>
      <c r="B23" s="1957"/>
      <c r="C23" s="74" t="s">
        <v>4824</v>
      </c>
      <c r="D23" s="74" t="s">
        <v>1462</v>
      </c>
      <c r="E23" s="939">
        <v>2</v>
      </c>
      <c r="F23" s="940"/>
      <c r="G23" s="939">
        <f t="shared" si="0"/>
        <v>2</v>
      </c>
      <c r="H23" s="1436">
        <v>1</v>
      </c>
      <c r="I23" s="942"/>
    </row>
    <row r="24" spans="1:9" ht="15.75" customHeight="1" x14ac:dyDescent="0.2">
      <c r="A24" s="1953" t="s">
        <v>1855</v>
      </c>
      <c r="B24" s="1950" t="s">
        <v>1465</v>
      </c>
      <c r="C24" s="74" t="s">
        <v>4825</v>
      </c>
      <c r="D24" s="74" t="s">
        <v>1466</v>
      </c>
      <c r="E24" s="939">
        <v>3</v>
      </c>
      <c r="F24" s="940"/>
      <c r="G24" s="939">
        <f t="shared" si="0"/>
        <v>3</v>
      </c>
      <c r="H24" s="1436">
        <v>1</v>
      </c>
      <c r="I24" s="942"/>
    </row>
    <row r="25" spans="1:9" ht="15.75" customHeight="1" x14ac:dyDescent="0.2">
      <c r="A25" s="1953"/>
      <c r="B25" s="1950"/>
      <c r="C25" s="74" t="s">
        <v>5581</v>
      </c>
      <c r="D25" s="74" t="s">
        <v>4214</v>
      </c>
      <c r="E25" s="939">
        <v>2</v>
      </c>
      <c r="F25" s="940"/>
      <c r="G25" s="939">
        <f t="shared" si="0"/>
        <v>2</v>
      </c>
      <c r="H25" s="1436">
        <v>1</v>
      </c>
      <c r="I25" s="942"/>
    </row>
    <row r="26" spans="1:9" ht="15.75" customHeight="1" x14ac:dyDescent="0.2">
      <c r="A26" s="1953"/>
      <c r="B26" s="1950"/>
      <c r="C26" s="74" t="s">
        <v>4970</v>
      </c>
      <c r="D26" s="74" t="s">
        <v>2018</v>
      </c>
      <c r="E26" s="939">
        <v>3</v>
      </c>
      <c r="F26" s="940"/>
      <c r="G26" s="939">
        <f t="shared" si="0"/>
        <v>3</v>
      </c>
      <c r="H26" s="1436">
        <v>1</v>
      </c>
      <c r="I26" s="942"/>
    </row>
    <row r="27" spans="1:9" ht="15.75" customHeight="1" x14ac:dyDescent="0.2">
      <c r="A27" s="1953"/>
      <c r="B27" s="1950"/>
      <c r="C27" s="74" t="s">
        <v>4826</v>
      </c>
      <c r="D27" s="74" t="s">
        <v>2559</v>
      </c>
      <c r="E27" s="939">
        <v>4</v>
      </c>
      <c r="F27" s="940"/>
      <c r="G27" s="939">
        <f t="shared" si="0"/>
        <v>4</v>
      </c>
      <c r="H27" s="1436">
        <v>1</v>
      </c>
      <c r="I27" s="942"/>
    </row>
    <row r="28" spans="1:9" ht="15.75" customHeight="1" x14ac:dyDescent="0.2">
      <c r="A28" s="1953" t="s">
        <v>6534</v>
      </c>
      <c r="B28" s="1950" t="s">
        <v>1328</v>
      </c>
      <c r="C28" s="74" t="s">
        <v>2032</v>
      </c>
      <c r="D28" s="74" t="s">
        <v>2033</v>
      </c>
      <c r="E28" s="939">
        <v>2</v>
      </c>
      <c r="F28" s="940"/>
      <c r="G28" s="939">
        <f t="shared" si="0"/>
        <v>2</v>
      </c>
      <c r="H28" s="1436">
        <v>1</v>
      </c>
      <c r="I28" s="942"/>
    </row>
    <row r="29" spans="1:9" ht="15.75" customHeight="1" x14ac:dyDescent="0.2">
      <c r="A29" s="1953"/>
      <c r="B29" s="1950"/>
      <c r="C29" s="74" t="s">
        <v>5370</v>
      </c>
      <c r="D29" s="74" t="s">
        <v>120</v>
      </c>
      <c r="E29" s="939">
        <v>2</v>
      </c>
      <c r="F29" s="940"/>
      <c r="G29" s="939">
        <f t="shared" si="0"/>
        <v>2</v>
      </c>
      <c r="H29" s="1436">
        <v>1</v>
      </c>
      <c r="I29" s="942"/>
    </row>
    <row r="30" spans="1:9" ht="15.75" customHeight="1" x14ac:dyDescent="0.2">
      <c r="A30" s="1953"/>
      <c r="B30" s="1950"/>
      <c r="C30" s="74" t="s">
        <v>2837</v>
      </c>
      <c r="D30" s="74" t="s">
        <v>1300</v>
      </c>
      <c r="E30" s="939">
        <v>2</v>
      </c>
      <c r="F30" s="940"/>
      <c r="G30" s="939">
        <f t="shared" si="0"/>
        <v>2</v>
      </c>
      <c r="H30" s="1436">
        <v>1</v>
      </c>
      <c r="I30" s="942"/>
    </row>
    <row r="31" spans="1:9" ht="15.75" customHeight="1" x14ac:dyDescent="0.2">
      <c r="A31" s="1953"/>
      <c r="B31" s="1950"/>
      <c r="C31" s="74" t="s">
        <v>1528</v>
      </c>
      <c r="D31" s="74" t="s">
        <v>1527</v>
      </c>
      <c r="E31" s="939">
        <v>2</v>
      </c>
      <c r="F31" s="940"/>
      <c r="G31" s="939">
        <f t="shared" si="0"/>
        <v>2</v>
      </c>
      <c r="H31" s="1436">
        <v>1</v>
      </c>
      <c r="I31" s="942"/>
    </row>
    <row r="32" spans="1:9" ht="15.75" customHeight="1" x14ac:dyDescent="0.2">
      <c r="A32" s="1953"/>
      <c r="B32" s="1950"/>
      <c r="C32" s="74" t="s">
        <v>2838</v>
      </c>
      <c r="D32" s="74" t="s">
        <v>5463</v>
      </c>
      <c r="E32" s="939">
        <v>3</v>
      </c>
      <c r="F32" s="940"/>
      <c r="G32" s="939">
        <f t="shared" si="0"/>
        <v>3</v>
      </c>
      <c r="H32" s="1436">
        <v>1</v>
      </c>
      <c r="I32" s="942"/>
    </row>
    <row r="33" spans="1:9" ht="15.75" customHeight="1" x14ac:dyDescent="0.2">
      <c r="A33" s="1953"/>
      <c r="B33" s="1950"/>
      <c r="C33" s="74" t="s">
        <v>5412</v>
      </c>
      <c r="D33" s="74" t="s">
        <v>5413</v>
      </c>
      <c r="E33" s="939">
        <v>3</v>
      </c>
      <c r="F33" s="940"/>
      <c r="G33" s="939">
        <f t="shared" si="0"/>
        <v>3</v>
      </c>
      <c r="H33" s="1436">
        <v>1</v>
      </c>
      <c r="I33" s="942"/>
    </row>
    <row r="34" spans="1:9" ht="15.75" customHeight="1" x14ac:dyDescent="0.2">
      <c r="A34" s="1953"/>
      <c r="B34" s="1950"/>
      <c r="C34" s="74" t="s">
        <v>5281</v>
      </c>
      <c r="D34" s="74" t="s">
        <v>5280</v>
      </c>
      <c r="E34" s="939">
        <v>2</v>
      </c>
      <c r="F34" s="940"/>
      <c r="G34" s="939">
        <f t="shared" si="0"/>
        <v>2</v>
      </c>
      <c r="H34" s="1436">
        <v>1</v>
      </c>
      <c r="I34" s="942"/>
    </row>
    <row r="35" spans="1:9" ht="15.75" customHeight="1" x14ac:dyDescent="0.2">
      <c r="A35" s="1953"/>
      <c r="B35" s="1950"/>
      <c r="C35" s="74" t="s">
        <v>3233</v>
      </c>
      <c r="D35" s="74" t="s">
        <v>3234</v>
      </c>
      <c r="E35" s="939">
        <v>3</v>
      </c>
      <c r="F35" s="940"/>
      <c r="G35" s="939">
        <f t="shared" si="0"/>
        <v>3</v>
      </c>
      <c r="H35" s="1436">
        <v>1</v>
      </c>
      <c r="I35" s="942"/>
    </row>
    <row r="36" spans="1:9" ht="15.75" customHeight="1" x14ac:dyDescent="0.2">
      <c r="A36" s="1953"/>
      <c r="B36" s="1950"/>
      <c r="C36" s="74" t="s">
        <v>5282</v>
      </c>
      <c r="D36" s="74" t="s">
        <v>1304</v>
      </c>
      <c r="E36" s="939">
        <v>2</v>
      </c>
      <c r="F36" s="940"/>
      <c r="G36" s="939">
        <f t="shared" si="0"/>
        <v>2</v>
      </c>
      <c r="H36" s="1436">
        <v>1</v>
      </c>
      <c r="I36" s="942"/>
    </row>
    <row r="37" spans="1:9" ht="15.75" customHeight="1" x14ac:dyDescent="0.2">
      <c r="A37" s="1953"/>
      <c r="B37" s="1950"/>
      <c r="C37" s="74" t="s">
        <v>1499</v>
      </c>
      <c r="D37" s="74" t="s">
        <v>4812</v>
      </c>
      <c r="E37" s="939">
        <v>3</v>
      </c>
      <c r="F37" s="940"/>
      <c r="G37" s="939">
        <f t="shared" si="0"/>
        <v>3</v>
      </c>
      <c r="H37" s="1436">
        <v>1</v>
      </c>
      <c r="I37" s="942"/>
    </row>
    <row r="38" spans="1:9" ht="15.75" customHeight="1" x14ac:dyDescent="0.2">
      <c r="A38" s="1953" t="s">
        <v>6535</v>
      </c>
      <c r="B38" s="1950" t="s">
        <v>1329</v>
      </c>
      <c r="C38" s="74" t="s">
        <v>1500</v>
      </c>
      <c r="D38" s="74" t="s">
        <v>2101</v>
      </c>
      <c r="E38" s="939">
        <v>2</v>
      </c>
      <c r="F38" s="940"/>
      <c r="G38" s="939">
        <f t="shared" si="0"/>
        <v>2</v>
      </c>
      <c r="H38" s="1436">
        <v>1</v>
      </c>
      <c r="I38" s="942"/>
    </row>
    <row r="39" spans="1:9" ht="15.75" customHeight="1" x14ac:dyDescent="0.2">
      <c r="A39" s="1953"/>
      <c r="B39" s="1950"/>
      <c r="C39" s="74" t="s">
        <v>1501</v>
      </c>
      <c r="D39" s="74" t="s">
        <v>2102</v>
      </c>
      <c r="E39" s="939">
        <v>2</v>
      </c>
      <c r="F39" s="940"/>
      <c r="G39" s="939">
        <f t="shared" si="0"/>
        <v>2</v>
      </c>
      <c r="H39" s="1436">
        <v>1</v>
      </c>
      <c r="I39" s="942"/>
    </row>
    <row r="40" spans="1:9" ht="15.75" customHeight="1" x14ac:dyDescent="0.2">
      <c r="A40" s="1953"/>
      <c r="B40" s="1950"/>
      <c r="C40" s="74" t="s">
        <v>1502</v>
      </c>
      <c r="D40" s="74" t="s">
        <v>2103</v>
      </c>
      <c r="E40" s="939">
        <v>2</v>
      </c>
      <c r="F40" s="940"/>
      <c r="G40" s="939">
        <f t="shared" si="0"/>
        <v>2</v>
      </c>
      <c r="H40" s="1436">
        <v>1</v>
      </c>
      <c r="I40" s="942"/>
    </row>
    <row r="41" spans="1:9" ht="15.75" customHeight="1" x14ac:dyDescent="0.2">
      <c r="A41" s="1953"/>
      <c r="B41" s="1950"/>
      <c r="C41" s="74" t="s">
        <v>4499</v>
      </c>
      <c r="D41" s="74" t="s">
        <v>3520</v>
      </c>
      <c r="E41" s="939">
        <v>2</v>
      </c>
      <c r="F41" s="940"/>
      <c r="G41" s="939">
        <f t="shared" si="0"/>
        <v>2</v>
      </c>
      <c r="H41" s="1436">
        <v>1</v>
      </c>
      <c r="I41" s="942"/>
    </row>
    <row r="42" spans="1:9" ht="15.75" customHeight="1" thickBot="1" x14ac:dyDescent="0.25">
      <c r="A42" s="1959" t="s">
        <v>2316</v>
      </c>
      <c r="B42" s="1958" t="s">
        <v>2317</v>
      </c>
      <c r="C42" s="74" t="s">
        <v>2318</v>
      </c>
      <c r="D42" s="74" t="s">
        <v>4899</v>
      </c>
      <c r="E42" s="939">
        <v>2</v>
      </c>
      <c r="F42" s="940"/>
      <c r="G42" s="939">
        <f t="shared" si="0"/>
        <v>2</v>
      </c>
      <c r="H42" s="1436">
        <v>1</v>
      </c>
      <c r="I42" s="942"/>
    </row>
    <row r="43" spans="1:9" ht="15.75" customHeight="1" thickBot="1" x14ac:dyDescent="0.25">
      <c r="A43" s="1959"/>
      <c r="B43" s="1958"/>
      <c r="C43" s="74" t="s">
        <v>2334</v>
      </c>
      <c r="D43" s="74" t="s">
        <v>1683</v>
      </c>
      <c r="E43" s="939">
        <v>2</v>
      </c>
      <c r="F43" s="940"/>
      <c r="G43" s="939">
        <f t="shared" si="0"/>
        <v>2</v>
      </c>
      <c r="H43" s="1436">
        <v>1</v>
      </c>
      <c r="I43" s="942"/>
    </row>
    <row r="44" spans="1:9" ht="15.75" customHeight="1" thickBot="1" x14ac:dyDescent="0.25">
      <c r="A44" s="1959"/>
      <c r="B44" s="1958"/>
      <c r="C44" s="74" t="s">
        <v>2335</v>
      </c>
      <c r="D44" s="74" t="s">
        <v>1684</v>
      </c>
      <c r="E44" s="939">
        <v>2</v>
      </c>
      <c r="F44" s="940"/>
      <c r="G44" s="939">
        <f t="shared" si="0"/>
        <v>2</v>
      </c>
      <c r="H44" s="1436">
        <v>1</v>
      </c>
      <c r="I44" s="942"/>
    </row>
    <row r="45" spans="1:9" ht="15.75" customHeight="1" thickBot="1" x14ac:dyDescent="0.25">
      <c r="A45" s="1959"/>
      <c r="B45" s="1958"/>
      <c r="C45" s="84" t="s">
        <v>4898</v>
      </c>
      <c r="D45" s="84" t="s">
        <v>119</v>
      </c>
      <c r="E45" s="946">
        <v>2</v>
      </c>
      <c r="F45" s="947"/>
      <c r="G45" s="939">
        <f t="shared" si="0"/>
        <v>2</v>
      </c>
      <c r="H45" s="1437">
        <v>1</v>
      </c>
      <c r="I45" s="948"/>
    </row>
    <row r="46" spans="1:9" ht="15.75" customHeight="1" x14ac:dyDescent="0.2">
      <c r="A46" s="376"/>
      <c r="B46" s="949"/>
      <c r="C46" s="949"/>
      <c r="D46" s="949"/>
      <c r="E46" s="377"/>
      <c r="G46" s="144"/>
    </row>
    <row r="47" spans="1:9" ht="15.75" customHeight="1" x14ac:dyDescent="0.2">
      <c r="A47" s="376"/>
      <c r="B47" s="949"/>
      <c r="C47" s="176" t="s">
        <v>7225</v>
      </c>
      <c r="D47" s="949"/>
      <c r="E47" s="377"/>
      <c r="G47" s="144"/>
    </row>
    <row r="48" spans="1:9" ht="15.75" customHeight="1" x14ac:dyDescent="0.2">
      <c r="A48" s="376"/>
      <c r="B48" s="949"/>
      <c r="C48" s="176" t="s">
        <v>7226</v>
      </c>
      <c r="D48" s="949"/>
      <c r="E48" s="377"/>
      <c r="G48" s="144"/>
    </row>
    <row r="49" spans="1:5" ht="15.75" customHeight="1" x14ac:dyDescent="0.2">
      <c r="A49" s="376"/>
      <c r="B49" s="949"/>
      <c r="C49" s="176" t="s">
        <v>7224</v>
      </c>
      <c r="D49" s="949"/>
      <c r="E49" s="377"/>
    </row>
    <row r="50" spans="1:5" ht="15.75" customHeight="1" x14ac:dyDescent="0.2">
      <c r="A50" s="376"/>
      <c r="B50" s="949"/>
      <c r="C50" s="176" t="s">
        <v>7227</v>
      </c>
      <c r="D50" s="949"/>
      <c r="E50" s="377"/>
    </row>
    <row r="51" spans="1:5" ht="15.75" customHeight="1" x14ac:dyDescent="0.2">
      <c r="A51" s="376"/>
      <c r="B51" s="376"/>
      <c r="C51" s="376"/>
      <c r="D51" s="376"/>
      <c r="E51" s="377"/>
    </row>
    <row r="52" spans="1:5" ht="15.75" customHeight="1" x14ac:dyDescent="0.2">
      <c r="A52" s="376"/>
      <c r="B52" s="376"/>
      <c r="C52" s="376"/>
      <c r="D52" s="376"/>
      <c r="E52" s="377"/>
    </row>
    <row r="53" spans="1:5" ht="15.75" customHeight="1" x14ac:dyDescent="0.2">
      <c r="A53" s="376"/>
      <c r="B53" s="376"/>
      <c r="C53" s="376"/>
      <c r="D53" s="376"/>
      <c r="E53" s="377"/>
    </row>
    <row r="54" spans="1:5" ht="15.75" customHeight="1" x14ac:dyDescent="0.2">
      <c r="A54" s="376"/>
      <c r="B54" s="376"/>
      <c r="C54" s="376"/>
      <c r="D54" s="376"/>
      <c r="E54" s="377"/>
    </row>
    <row r="55" spans="1:5" ht="15.75" customHeight="1" x14ac:dyDescent="0.2">
      <c r="A55" s="376"/>
      <c r="B55" s="376"/>
      <c r="C55" s="376"/>
      <c r="D55" s="376"/>
      <c r="E55" s="377"/>
    </row>
    <row r="56" spans="1:5" ht="15.75" customHeight="1" x14ac:dyDescent="0.2">
      <c r="A56" s="376"/>
      <c r="B56" s="376"/>
      <c r="C56" s="376"/>
      <c r="D56" s="376"/>
      <c r="E56" s="377"/>
    </row>
    <row r="57" spans="1:5" ht="15.75" customHeight="1" x14ac:dyDescent="0.2">
      <c r="A57" s="376"/>
      <c r="B57" s="376"/>
      <c r="C57" s="376"/>
      <c r="D57" s="376"/>
      <c r="E57" s="377"/>
    </row>
  </sheetData>
  <sheetProtection sheet="1" objects="1" scenarios="1" formatCells="0" formatColumns="0" formatRows="0" sort="0" autoFilter="0"/>
  <mergeCells count="22">
    <mergeCell ref="B42:B45"/>
    <mergeCell ref="B28:B37"/>
    <mergeCell ref="A38:A41"/>
    <mergeCell ref="B38:B41"/>
    <mergeCell ref="A24:A27"/>
    <mergeCell ref="A42:A45"/>
    <mergeCell ref="A28:A37"/>
    <mergeCell ref="A20:A23"/>
    <mergeCell ref="A17:A19"/>
    <mergeCell ref="A13:A14"/>
    <mergeCell ref="B24:B27"/>
    <mergeCell ref="B13:B14"/>
    <mergeCell ref="B20:B23"/>
    <mergeCell ref="D1:E1"/>
    <mergeCell ref="B3:B4"/>
    <mergeCell ref="B17:B19"/>
    <mergeCell ref="A1:C1"/>
    <mergeCell ref="B5:B9"/>
    <mergeCell ref="B10:B12"/>
    <mergeCell ref="A3:A4"/>
    <mergeCell ref="A5:A9"/>
    <mergeCell ref="A10:A12"/>
  </mergeCells>
  <phoneticPr fontId="5" type="noConversion"/>
  <conditionalFormatting sqref="E3:G45">
    <cfRule type="cellIs" dxfId="217" priority="1" operator="equal">
      <formula>2</formula>
    </cfRule>
    <cfRule type="cellIs" dxfId="216" priority="2" operator="equal">
      <formula>3</formula>
    </cfRule>
    <cfRule type="cellIs" dxfId="215" priority="3" operator="equal">
      <formula>4</formula>
    </cfRule>
  </conditionalFormatting>
  <dataValidations count="2">
    <dataValidation type="whole" allowBlank="1" showInputMessage="1" showErrorMessage="1" sqref="E3:G45">
      <formula1>1</formula1>
      <formula2>4</formula2>
    </dataValidation>
    <dataValidation type="whole" allowBlank="1" showInputMessage="1" showErrorMessage="1" sqref="H3:H45">
      <formula1>0</formula1>
      <formula2>1</formula2>
    </dataValidation>
  </dataValidations>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indexed="47"/>
  </sheetPr>
  <dimension ref="A1:AN400"/>
  <sheetViews>
    <sheetView workbookViewId="0">
      <pane xSplit="1" ySplit="2" topLeftCell="B3" activePane="bottomRight" state="frozenSplit"/>
      <selection activeCell="I304" sqref="I304"/>
      <selection pane="topRight" activeCell="I304" sqref="I304"/>
      <selection pane="bottomLeft" activeCell="I304" sqref="I304"/>
      <selection pane="bottomRight" sqref="A1:B1"/>
    </sheetView>
  </sheetViews>
  <sheetFormatPr baseColWidth="10" defaultColWidth="11.28515625" defaultRowHeight="12.75" outlineLevelRow="2" outlineLevelCol="1" x14ac:dyDescent="0.2"/>
  <cols>
    <col min="1" max="1" width="10" style="930" customWidth="1"/>
    <col min="2" max="2" width="88" style="931" customWidth="1"/>
    <col min="3" max="6" width="5.7109375" style="816" customWidth="1"/>
    <col min="7" max="9" width="4.140625" style="903" customWidth="1" outlineLevel="1"/>
    <col min="10" max="10" width="4.140625" style="879" customWidth="1" outlineLevel="1"/>
    <col min="11" max="12" width="10.7109375" style="889" customWidth="1" outlineLevel="1"/>
    <col min="13" max="13" width="20.7109375" style="890" customWidth="1"/>
    <col min="14" max="25" width="20.7109375" style="888" customWidth="1"/>
    <col min="26" max="26" width="31.42578125" style="888" customWidth="1"/>
    <col min="27" max="27" width="31.42578125" style="918" hidden="1" customWidth="1"/>
    <col min="28" max="34" width="31.42578125" style="919" hidden="1" customWidth="1"/>
    <col min="35" max="35" width="31.42578125" style="168" customWidth="1"/>
    <col min="36" max="40" width="11.28515625" style="168"/>
    <col min="41" max="16384" width="11.28515625" style="169"/>
  </cols>
  <sheetData>
    <row r="1" spans="1:40" s="648" customFormat="1" ht="18" x14ac:dyDescent="0.25">
      <c r="A1" s="1960" t="s">
        <v>4998</v>
      </c>
      <c r="B1" s="1960"/>
      <c r="C1" s="778">
        <v>1</v>
      </c>
      <c r="D1" s="1439" t="str">
        <f>"variante"&amp;IF(C1&gt;1,"s","")</f>
        <v>variante</v>
      </c>
      <c r="E1" s="1440"/>
      <c r="F1" s="778"/>
      <c r="G1" s="893"/>
      <c r="H1" s="893"/>
      <c r="I1" s="893"/>
      <c r="J1" s="893"/>
      <c r="K1" s="895">
        <f>'ISO 27002'!F2</f>
        <v>0</v>
      </c>
      <c r="L1" s="895"/>
      <c r="M1" s="778"/>
      <c r="N1" s="914"/>
      <c r="O1" s="914"/>
      <c r="P1" s="914"/>
      <c r="Q1" s="914"/>
      <c r="R1" s="914"/>
      <c r="S1" s="914"/>
      <c r="T1" s="914"/>
      <c r="U1" s="914"/>
      <c r="V1" s="914"/>
      <c r="W1" s="914"/>
      <c r="X1" s="914"/>
      <c r="Y1" s="914"/>
      <c r="Z1" s="914"/>
      <c r="AA1" s="915"/>
      <c r="AB1" s="915"/>
      <c r="AC1" s="915"/>
      <c r="AD1" s="915"/>
      <c r="AE1" s="915"/>
      <c r="AF1" s="915"/>
      <c r="AG1" s="915"/>
      <c r="AH1" s="915"/>
      <c r="AI1" s="611"/>
      <c r="AJ1" s="611"/>
      <c r="AK1" s="611"/>
      <c r="AL1" s="611"/>
      <c r="AM1" s="611"/>
      <c r="AN1" s="611"/>
    </row>
    <row r="2" spans="1:40" s="648" customFormat="1" x14ac:dyDescent="0.2">
      <c r="A2" s="545" t="s">
        <v>3585</v>
      </c>
      <c r="B2" s="625" t="s">
        <v>3675</v>
      </c>
      <c r="C2" s="587" t="s">
        <v>3676</v>
      </c>
      <c r="D2" s="587" t="s">
        <v>3677</v>
      </c>
      <c r="E2" s="587" t="s">
        <v>3678</v>
      </c>
      <c r="F2" s="587" t="s">
        <v>3679</v>
      </c>
      <c r="G2" s="588" t="s">
        <v>1428</v>
      </c>
      <c r="H2" s="588" t="s">
        <v>3680</v>
      </c>
      <c r="I2" s="588" t="s">
        <v>2054</v>
      </c>
      <c r="J2" s="588" t="s">
        <v>3681</v>
      </c>
      <c r="K2" s="588">
        <v>2013</v>
      </c>
      <c r="L2" s="588">
        <v>2005</v>
      </c>
      <c r="M2" s="588" t="s">
        <v>3682</v>
      </c>
      <c r="N2" s="916"/>
      <c r="O2" s="916"/>
      <c r="P2" s="916"/>
      <c r="Q2" s="916"/>
      <c r="R2" s="916"/>
      <c r="S2" s="916"/>
      <c r="T2" s="916"/>
      <c r="U2" s="916"/>
      <c r="V2" s="916"/>
      <c r="W2" s="916"/>
      <c r="X2" s="916"/>
      <c r="Y2" s="916"/>
      <c r="Z2" s="916"/>
      <c r="AA2" s="915" t="s">
        <v>5328</v>
      </c>
      <c r="AB2" s="915" t="s">
        <v>5329</v>
      </c>
      <c r="AC2" s="915" t="s">
        <v>5330</v>
      </c>
      <c r="AD2" s="915" t="s">
        <v>5331</v>
      </c>
      <c r="AE2" s="915" t="s">
        <v>5332</v>
      </c>
      <c r="AF2" s="915" t="s">
        <v>5333</v>
      </c>
      <c r="AG2" s="915" t="s">
        <v>5334</v>
      </c>
      <c r="AH2" s="915" t="s">
        <v>5335</v>
      </c>
      <c r="AI2" s="611"/>
      <c r="AJ2" s="611"/>
      <c r="AK2" s="611"/>
      <c r="AL2" s="611"/>
      <c r="AM2" s="611"/>
      <c r="AN2" s="611"/>
    </row>
    <row r="3" spans="1:40" x14ac:dyDescent="0.2">
      <c r="A3" s="627" t="s">
        <v>3683</v>
      </c>
      <c r="B3" s="627" t="s">
        <v>3684</v>
      </c>
      <c r="C3" s="917"/>
      <c r="D3" s="1160"/>
      <c r="E3" s="1160"/>
      <c r="F3" s="885"/>
      <c r="G3" s="1452"/>
      <c r="H3" s="1453"/>
      <c r="I3" s="1453"/>
      <c r="J3" s="1454"/>
      <c r="K3" s="1453"/>
      <c r="L3" s="1453"/>
      <c r="M3" s="887"/>
    </row>
    <row r="4" spans="1:40" s="648" customFormat="1" outlineLevel="1" x14ac:dyDescent="0.2">
      <c r="A4" s="633" t="s">
        <v>2545</v>
      </c>
      <c r="B4" s="634" t="s">
        <v>3157</v>
      </c>
      <c r="C4" s="917"/>
      <c r="D4" s="1163"/>
      <c r="E4" s="1160"/>
      <c r="F4" s="885"/>
      <c r="G4" s="1453"/>
      <c r="H4" s="1453"/>
      <c r="I4" s="1453"/>
      <c r="J4" s="1455"/>
      <c r="K4" s="1453"/>
      <c r="L4" s="1453"/>
      <c r="M4" s="920"/>
      <c r="N4" s="921"/>
      <c r="O4" s="921"/>
      <c r="P4" s="921"/>
      <c r="Q4" s="921"/>
      <c r="R4" s="921"/>
      <c r="S4" s="921"/>
      <c r="T4" s="921"/>
      <c r="U4" s="921"/>
      <c r="V4" s="921"/>
      <c r="W4" s="921"/>
      <c r="X4" s="921"/>
      <c r="Y4" s="921"/>
      <c r="Z4" s="921"/>
      <c r="AA4"/>
      <c r="AB4"/>
      <c r="AC4"/>
      <c r="AD4"/>
      <c r="AE4"/>
      <c r="AF4"/>
      <c r="AG4"/>
      <c r="AH4"/>
      <c r="AI4"/>
      <c r="AJ4" s="611"/>
      <c r="AK4" s="611"/>
      <c r="AL4" s="611"/>
      <c r="AM4" s="611"/>
      <c r="AN4" s="611"/>
    </row>
    <row r="5" spans="1:40" ht="45" customHeight="1" outlineLevel="2" x14ac:dyDescent="0.2">
      <c r="A5" s="908" t="s">
        <v>3685</v>
      </c>
      <c r="B5" s="636" t="s">
        <v>5060</v>
      </c>
      <c r="C5" s="909"/>
      <c r="D5" s="1162"/>
      <c r="E5" s="1162"/>
      <c r="F5" s="909"/>
      <c r="G5" s="1453">
        <v>4</v>
      </c>
      <c r="H5" s="1453">
        <v>2</v>
      </c>
      <c r="I5" s="1453"/>
      <c r="J5" s="1453" t="s">
        <v>4246</v>
      </c>
      <c r="K5" s="1453"/>
      <c r="L5" s="1453"/>
      <c r="M5" s="887"/>
      <c r="AA5">
        <f>IF(AND('01 Org'!C5&gt;Tmin, NOT('01 Org'!$I5="")),'01 Org'!$I5,0)</f>
        <v>0</v>
      </c>
      <c r="AB5">
        <f>IF(AND('01 Org'!D5&gt;Tmin, NOT('01 Org'!$I5="")),'01 Org'!$I5,0)</f>
        <v>0</v>
      </c>
      <c r="AC5">
        <f>IF(AND('01 Org'!E5&gt;Tmin, NOT('01 Org'!$I5="")),'01 Org'!$I5,0)</f>
        <v>0</v>
      </c>
      <c r="AD5">
        <f>IF(AND('01 Org'!F5&gt;Tmin, NOT('01 Org'!$I5="")),'01 Org'!$I5,0)</f>
        <v>0</v>
      </c>
      <c r="AE5">
        <f>IF(AND('01 Org'!C5&lt;Tmax, NOT('01 Org'!$H5="")),'01 Org'!$H5,4)</f>
        <v>2</v>
      </c>
      <c r="AF5">
        <f>IF(AND('01 Org'!D5&lt;Tmax, NOT('01 Org'!$H5="")),'01 Org'!$H5,4)</f>
        <v>2</v>
      </c>
      <c r="AG5">
        <f>IF(AND('01 Org'!E5&lt;Tmax, NOT('01 Org'!$H5="")),'01 Org'!$H5,4)</f>
        <v>2</v>
      </c>
      <c r="AH5">
        <f>IF(AND('01 Org'!F5&lt;Tmax, NOT('01 Org'!$H5="")),'01 Org'!$H5,4)</f>
        <v>2</v>
      </c>
      <c r="AI5"/>
    </row>
    <row r="6" spans="1:40" ht="22.5" outlineLevel="2" x14ac:dyDescent="0.2">
      <c r="A6" s="908" t="s">
        <v>4323</v>
      </c>
      <c r="B6" s="636" t="s">
        <v>1591</v>
      </c>
      <c r="C6" s="909"/>
      <c r="D6" s="1162"/>
      <c r="E6" s="1162"/>
      <c r="F6" s="909"/>
      <c r="G6" s="1453">
        <v>4</v>
      </c>
      <c r="H6" s="1453"/>
      <c r="I6" s="1453"/>
      <c r="J6" s="1453" t="s">
        <v>1592</v>
      </c>
      <c r="K6" s="1453" t="s">
        <v>5723</v>
      </c>
      <c r="L6" s="1453"/>
      <c r="M6" s="887"/>
      <c r="AA6">
        <f>IF(AND('01 Org'!C6&gt;Tmin, NOT('01 Org'!$I6="")),'01 Org'!$I6,0)</f>
        <v>0</v>
      </c>
      <c r="AB6">
        <f>IF(AND('01 Org'!D6&gt;Tmin, NOT('01 Org'!$I6="")),'01 Org'!$I6,0)</f>
        <v>0</v>
      </c>
      <c r="AC6">
        <f>IF(AND('01 Org'!E6&gt;Tmin, NOT('01 Org'!$I6="")),'01 Org'!$I6,0)</f>
        <v>0</v>
      </c>
      <c r="AD6">
        <f>IF(AND('01 Org'!F6&gt;Tmin, NOT('01 Org'!$I6="")),'01 Org'!$I6,0)</f>
        <v>0</v>
      </c>
      <c r="AE6">
        <f>IF(AND('01 Org'!C6&lt;Tmax, NOT('01 Org'!$H6="")),'01 Org'!$H6,4)</f>
        <v>4</v>
      </c>
      <c r="AF6">
        <f>IF(AND('01 Org'!D6&lt;Tmax, NOT('01 Org'!$H6="")),'01 Org'!$H6,4)</f>
        <v>4</v>
      </c>
      <c r="AG6">
        <f>IF(AND('01 Org'!E6&lt;Tmax, NOT('01 Org'!$H6="")),'01 Org'!$H6,4)</f>
        <v>4</v>
      </c>
      <c r="AH6">
        <f>IF(AND('01 Org'!F6&lt;Tmax, NOT('01 Org'!$H6="")),'01 Org'!$H6,4)</f>
        <v>4</v>
      </c>
      <c r="AI6"/>
    </row>
    <row r="7" spans="1:40" outlineLevel="2" x14ac:dyDescent="0.2">
      <c r="A7" s="908" t="s">
        <v>1593</v>
      </c>
      <c r="B7" s="636" t="s">
        <v>1496</v>
      </c>
      <c r="C7" s="909"/>
      <c r="D7" s="1162"/>
      <c r="E7" s="1162"/>
      <c r="F7" s="909"/>
      <c r="G7" s="1453">
        <v>4</v>
      </c>
      <c r="H7" s="1453"/>
      <c r="I7" s="1453"/>
      <c r="J7" s="1453" t="s">
        <v>1592</v>
      </c>
      <c r="K7" s="1453" t="s">
        <v>5723</v>
      </c>
      <c r="L7" s="1453"/>
      <c r="M7" s="887"/>
      <c r="AA7">
        <f>IF(AND('01 Org'!C7&gt;Tmin, NOT('01 Org'!$I7="")),'01 Org'!$I7,0)</f>
        <v>0</v>
      </c>
      <c r="AB7">
        <f>IF(AND('01 Org'!D7&gt;Tmin, NOT('01 Org'!$I7="")),'01 Org'!$I7,0)</f>
        <v>0</v>
      </c>
      <c r="AC7">
        <f>IF(AND('01 Org'!E7&gt;Tmin, NOT('01 Org'!$I7="")),'01 Org'!$I7,0)</f>
        <v>0</v>
      </c>
      <c r="AD7">
        <f>IF(AND('01 Org'!F7&gt;Tmin, NOT('01 Org'!$I7="")),'01 Org'!$I7,0)</f>
        <v>0</v>
      </c>
      <c r="AE7">
        <f>IF(AND('01 Org'!C7&lt;Tmax, NOT('01 Org'!$H7="")),'01 Org'!$H7,4)</f>
        <v>4</v>
      </c>
      <c r="AF7">
        <f>IF(AND('01 Org'!D7&lt;Tmax, NOT('01 Org'!$H7="")),'01 Org'!$H7,4)</f>
        <v>4</v>
      </c>
      <c r="AG7">
        <f>IF(AND('01 Org'!E7&lt;Tmax, NOT('01 Org'!$H7="")),'01 Org'!$H7,4)</f>
        <v>4</v>
      </c>
      <c r="AH7">
        <f>IF(AND('01 Org'!F7&lt;Tmax, NOT('01 Org'!$H7="")),'01 Org'!$H7,4)</f>
        <v>4</v>
      </c>
      <c r="AI7"/>
    </row>
    <row r="8" spans="1:40" ht="22.5" outlineLevel="2" x14ac:dyDescent="0.2">
      <c r="A8" s="908" t="s">
        <v>1497</v>
      </c>
      <c r="B8" s="636" t="s">
        <v>5264</v>
      </c>
      <c r="C8" s="909"/>
      <c r="D8" s="1162"/>
      <c r="E8" s="1162"/>
      <c r="F8" s="909"/>
      <c r="G8" s="1453">
        <v>2</v>
      </c>
      <c r="H8" s="1453"/>
      <c r="I8" s="1453"/>
      <c r="J8" s="1453" t="s">
        <v>2349</v>
      </c>
      <c r="K8" s="1453" t="s">
        <v>5723</v>
      </c>
      <c r="L8" s="1453"/>
      <c r="M8" s="887"/>
      <c r="AA8">
        <f>IF(AND('01 Org'!C8&gt;Tmin, NOT('01 Org'!$I8="")),'01 Org'!$I8,0)</f>
        <v>0</v>
      </c>
      <c r="AB8">
        <f>IF(AND('01 Org'!D8&gt;Tmin, NOT('01 Org'!$I8="")),'01 Org'!$I8,0)</f>
        <v>0</v>
      </c>
      <c r="AC8">
        <f>IF(AND('01 Org'!E8&gt;Tmin, NOT('01 Org'!$I8="")),'01 Org'!$I8,0)</f>
        <v>0</v>
      </c>
      <c r="AD8">
        <f>IF(AND('01 Org'!F8&gt;Tmin, NOT('01 Org'!$I8="")),'01 Org'!$I8,0)</f>
        <v>0</v>
      </c>
      <c r="AE8">
        <f>IF(AND('01 Org'!C8&lt;Tmax, NOT('01 Org'!$H8="")),'01 Org'!$H8,4)</f>
        <v>4</v>
      </c>
      <c r="AF8">
        <f>IF(AND('01 Org'!D8&lt;Tmax, NOT('01 Org'!$H8="")),'01 Org'!$H8,4)</f>
        <v>4</v>
      </c>
      <c r="AG8">
        <f>IF(AND('01 Org'!E8&lt;Tmax, NOT('01 Org'!$H8="")),'01 Org'!$H8,4)</f>
        <v>4</v>
      </c>
      <c r="AH8">
        <f>IF(AND('01 Org'!F8&lt;Tmax, NOT('01 Org'!$H8="")),'01 Org'!$H8,4)</f>
        <v>4</v>
      </c>
      <c r="AI8"/>
    </row>
    <row r="9" spans="1:40" outlineLevel="2" x14ac:dyDescent="0.2">
      <c r="A9" s="908" t="s">
        <v>2350</v>
      </c>
      <c r="B9" s="636" t="s">
        <v>2351</v>
      </c>
      <c r="C9" s="909"/>
      <c r="D9" s="1162"/>
      <c r="E9" s="1162"/>
      <c r="F9" s="909"/>
      <c r="G9" s="1453">
        <v>2</v>
      </c>
      <c r="H9" s="1453"/>
      <c r="I9" s="1453"/>
      <c r="J9" s="1453" t="s">
        <v>1592</v>
      </c>
      <c r="K9" s="1453"/>
      <c r="L9" s="1453"/>
      <c r="M9" s="887"/>
      <c r="AA9">
        <f>IF(AND('01 Org'!C9&gt;Tmin, NOT('01 Org'!$I9="")),'01 Org'!$I9,0)</f>
        <v>0</v>
      </c>
      <c r="AB9">
        <f>IF(AND('01 Org'!D9&gt;Tmin, NOT('01 Org'!$I9="")),'01 Org'!$I9,0)</f>
        <v>0</v>
      </c>
      <c r="AC9">
        <f>IF(AND('01 Org'!E9&gt;Tmin, NOT('01 Org'!$I9="")),'01 Org'!$I9,0)</f>
        <v>0</v>
      </c>
      <c r="AD9">
        <f>IF(AND('01 Org'!F9&gt;Tmin, NOT('01 Org'!$I9="")),'01 Org'!$I9,0)</f>
        <v>0</v>
      </c>
      <c r="AE9">
        <f>IF(AND('01 Org'!C9&lt;Tmax, NOT('01 Org'!$H9="")),'01 Org'!$H9,4)</f>
        <v>4</v>
      </c>
      <c r="AF9">
        <f>IF(AND('01 Org'!D9&lt;Tmax, NOT('01 Org'!$H9="")),'01 Org'!$H9,4)</f>
        <v>4</v>
      </c>
      <c r="AG9">
        <f>IF(AND('01 Org'!E9&lt;Tmax, NOT('01 Org'!$H9="")),'01 Org'!$H9,4)</f>
        <v>4</v>
      </c>
      <c r="AH9">
        <f>IF(AND('01 Org'!F9&lt;Tmax, NOT('01 Org'!$H9="")),'01 Org'!$H9,4)</f>
        <v>4</v>
      </c>
      <c r="AI9"/>
    </row>
    <row r="10" spans="1:40" outlineLevel="1" x14ac:dyDescent="0.2">
      <c r="A10" s="633" t="s">
        <v>2546</v>
      </c>
      <c r="B10" s="634" t="s">
        <v>5061</v>
      </c>
      <c r="C10" s="909"/>
      <c r="D10" s="1162"/>
      <c r="E10" s="1162"/>
      <c r="F10" s="909"/>
      <c r="G10" s="1456"/>
      <c r="H10" s="1457"/>
      <c r="I10" s="1457"/>
      <c r="J10" s="1453"/>
      <c r="K10" s="1453"/>
      <c r="L10" s="1453"/>
      <c r="M10" s="887"/>
      <c r="AA10"/>
      <c r="AB10"/>
      <c r="AC10"/>
      <c r="AD10"/>
      <c r="AE10"/>
      <c r="AF10"/>
      <c r="AG10"/>
      <c r="AH10"/>
      <c r="AI10"/>
    </row>
    <row r="11" spans="1:40" ht="33.75" outlineLevel="2" x14ac:dyDescent="0.2">
      <c r="A11" s="908" t="s">
        <v>2352</v>
      </c>
      <c r="B11" s="636" t="s">
        <v>5507</v>
      </c>
      <c r="C11" s="909"/>
      <c r="D11" s="1162"/>
      <c r="E11" s="1162"/>
      <c r="F11" s="909"/>
      <c r="G11" s="1453">
        <v>2</v>
      </c>
      <c r="H11" s="1453"/>
      <c r="I11" s="1453"/>
      <c r="J11" s="1453" t="s">
        <v>4246</v>
      </c>
      <c r="K11" s="1453" t="s">
        <v>2078</v>
      </c>
      <c r="L11" s="1453" t="s">
        <v>2078</v>
      </c>
      <c r="M11" s="887"/>
      <c r="AA11">
        <f>IF(AND('01 Org'!C11&gt;Tmin, NOT('01 Org'!$I11="")),'01 Org'!$I11,0)</f>
        <v>0</v>
      </c>
      <c r="AB11">
        <f>IF(AND('01 Org'!D11&gt;Tmin, NOT('01 Org'!$I11="")),'01 Org'!$I11,0)</f>
        <v>0</v>
      </c>
      <c r="AC11">
        <f>IF(AND('01 Org'!E11&gt;Tmin, NOT('01 Org'!$I11="")),'01 Org'!$I11,0)</f>
        <v>0</v>
      </c>
      <c r="AD11">
        <f>IF(AND('01 Org'!F11&gt;Tmin, NOT('01 Org'!$I11="")),'01 Org'!$I11,0)</f>
        <v>0</v>
      </c>
      <c r="AE11">
        <f>IF(AND('01 Org'!C11&lt;Tmax, NOT('01 Org'!$H11="")),'01 Org'!$H11,4)</f>
        <v>4</v>
      </c>
      <c r="AF11">
        <f>IF(AND('01 Org'!D11&lt;Tmax, NOT('01 Org'!$H11="")),'01 Org'!$H11,4)</f>
        <v>4</v>
      </c>
      <c r="AG11">
        <f>IF(AND('01 Org'!E11&lt;Tmax, NOT('01 Org'!$H11="")),'01 Org'!$H11,4)</f>
        <v>4</v>
      </c>
      <c r="AH11">
        <f>IF(AND('01 Org'!F11&lt;Tmax, NOT('01 Org'!$H11="")),'01 Org'!$H11,4)</f>
        <v>4</v>
      </c>
      <c r="AI11"/>
    </row>
    <row r="12" spans="1:40" ht="22.5" outlineLevel="2" x14ac:dyDescent="0.2">
      <c r="A12" s="908" t="s">
        <v>2079</v>
      </c>
      <c r="B12" s="636" t="s">
        <v>3949</v>
      </c>
      <c r="C12" s="909"/>
      <c r="D12" s="1162"/>
      <c r="E12" s="1162"/>
      <c r="F12" s="909"/>
      <c r="G12" s="1453">
        <v>1</v>
      </c>
      <c r="H12" s="1453"/>
      <c r="I12" s="1453"/>
      <c r="J12" s="1453" t="s">
        <v>1592</v>
      </c>
      <c r="K12" s="1453" t="s">
        <v>3950</v>
      </c>
      <c r="L12" s="1453" t="s">
        <v>3950</v>
      </c>
      <c r="M12" s="887"/>
      <c r="AA12">
        <f>IF(AND('01 Org'!C12&gt;Tmin, NOT('01 Org'!$I12="")),'01 Org'!$I12,0)</f>
        <v>0</v>
      </c>
      <c r="AB12">
        <f>IF(AND('01 Org'!D12&gt;Tmin, NOT('01 Org'!$I12="")),'01 Org'!$I12,0)</f>
        <v>0</v>
      </c>
      <c r="AC12">
        <f>IF(AND('01 Org'!E12&gt;Tmin, NOT('01 Org'!$I12="")),'01 Org'!$I12,0)</f>
        <v>0</v>
      </c>
      <c r="AD12">
        <f>IF(AND('01 Org'!F12&gt;Tmin, NOT('01 Org'!$I12="")),'01 Org'!$I12,0)</f>
        <v>0</v>
      </c>
      <c r="AE12">
        <f>IF(AND('01 Org'!C12&lt;Tmax, NOT('01 Org'!$H12="")),'01 Org'!$H12,4)</f>
        <v>4</v>
      </c>
      <c r="AF12">
        <f>IF(AND('01 Org'!D12&lt;Tmax, NOT('01 Org'!$H12="")),'01 Org'!$H12,4)</f>
        <v>4</v>
      </c>
      <c r="AG12">
        <f>IF(AND('01 Org'!E12&lt;Tmax, NOT('01 Org'!$H12="")),'01 Org'!$H12,4)</f>
        <v>4</v>
      </c>
      <c r="AH12">
        <f>IF(AND('01 Org'!F12&lt;Tmax, NOT('01 Org'!$H12="")),'01 Org'!$H12,4)</f>
        <v>4</v>
      </c>
      <c r="AI12"/>
    </row>
    <row r="13" spans="1:40" ht="33.75" outlineLevel="2" x14ac:dyDescent="0.2">
      <c r="A13" s="908" t="s">
        <v>3951</v>
      </c>
      <c r="B13" s="636" t="s">
        <v>5508</v>
      </c>
      <c r="C13" s="909"/>
      <c r="D13" s="1162"/>
      <c r="E13" s="1162"/>
      <c r="F13" s="909"/>
      <c r="G13" s="1453">
        <v>4</v>
      </c>
      <c r="H13" s="1453">
        <v>2</v>
      </c>
      <c r="I13" s="1453">
        <v>3</v>
      </c>
      <c r="J13" s="1453" t="s">
        <v>1592</v>
      </c>
      <c r="K13" s="1458" t="s">
        <v>4274</v>
      </c>
      <c r="L13" s="1453" t="s">
        <v>3952</v>
      </c>
      <c r="M13" s="887"/>
      <c r="AA13">
        <f>IF(AND('01 Org'!C13&gt;Tmin, NOT('01 Org'!$I13="")),'01 Org'!$I13,0)</f>
        <v>0</v>
      </c>
      <c r="AB13">
        <f>IF(AND('01 Org'!D13&gt;Tmin, NOT('01 Org'!$I13="")),'01 Org'!$I13,0)</f>
        <v>0</v>
      </c>
      <c r="AC13">
        <f>IF(AND('01 Org'!E13&gt;Tmin, NOT('01 Org'!$I13="")),'01 Org'!$I13,0)</f>
        <v>0</v>
      </c>
      <c r="AD13">
        <f>IF(AND('01 Org'!F13&gt;Tmin, NOT('01 Org'!$I13="")),'01 Org'!$I13,0)</f>
        <v>0</v>
      </c>
      <c r="AE13">
        <f>IF(AND('01 Org'!C13&lt;Tmax, NOT('01 Org'!$H13="")),'01 Org'!$H13,4)</f>
        <v>2</v>
      </c>
      <c r="AF13">
        <f>IF(AND('01 Org'!D13&lt;Tmax, NOT('01 Org'!$H13="")),'01 Org'!$H13,4)</f>
        <v>2</v>
      </c>
      <c r="AG13">
        <f>IF(AND('01 Org'!E13&lt;Tmax, NOT('01 Org'!$H13="")),'01 Org'!$H13,4)</f>
        <v>2</v>
      </c>
      <c r="AH13">
        <f>IF(AND('01 Org'!F13&lt;Tmax, NOT('01 Org'!$H13="")),'01 Org'!$H13,4)</f>
        <v>2</v>
      </c>
      <c r="AI13"/>
    </row>
    <row r="14" spans="1:40" outlineLevel="2" x14ac:dyDescent="0.2">
      <c r="A14" s="908" t="s">
        <v>4862</v>
      </c>
      <c r="B14" s="636" t="s">
        <v>3974</v>
      </c>
      <c r="C14" s="909"/>
      <c r="D14" s="1162"/>
      <c r="E14" s="1162"/>
      <c r="F14" s="909"/>
      <c r="G14" s="1453">
        <v>2</v>
      </c>
      <c r="H14" s="1453"/>
      <c r="I14" s="1453"/>
      <c r="J14" s="1453" t="s">
        <v>1592</v>
      </c>
      <c r="K14" s="1458" t="s">
        <v>4274</v>
      </c>
      <c r="L14" s="1453" t="s">
        <v>3952</v>
      </c>
      <c r="M14" s="887"/>
      <c r="N14" s="922"/>
      <c r="O14" s="922"/>
      <c r="P14" s="922"/>
      <c r="Q14" s="922"/>
      <c r="R14" s="922"/>
      <c r="S14" s="922"/>
      <c r="T14" s="922"/>
      <c r="U14" s="922"/>
      <c r="V14" s="922"/>
      <c r="W14" s="922"/>
      <c r="X14" s="922"/>
      <c r="Y14" s="922"/>
      <c r="Z14" s="922"/>
      <c r="AA14">
        <f>IF(AND('01 Org'!C14&gt;Tmin, NOT('01 Org'!$I14="")),'01 Org'!$I14,0)</f>
        <v>0</v>
      </c>
      <c r="AB14">
        <f>IF(AND('01 Org'!D14&gt;Tmin, NOT('01 Org'!$I14="")),'01 Org'!$I14,0)</f>
        <v>0</v>
      </c>
      <c r="AC14">
        <f>IF(AND('01 Org'!E14&gt;Tmin, NOT('01 Org'!$I14="")),'01 Org'!$I14,0)</f>
        <v>0</v>
      </c>
      <c r="AD14">
        <f>IF(AND('01 Org'!F14&gt;Tmin, NOT('01 Org'!$I14="")),'01 Org'!$I14,0)</f>
        <v>0</v>
      </c>
      <c r="AE14">
        <f>IF(AND('01 Org'!C14&lt;Tmax, NOT('01 Org'!$H14="")),'01 Org'!$H14,4)</f>
        <v>4</v>
      </c>
      <c r="AF14">
        <f>IF(AND('01 Org'!D14&lt;Tmax, NOT('01 Org'!$H14="")),'01 Org'!$H14,4)</f>
        <v>4</v>
      </c>
      <c r="AG14">
        <f>IF(AND('01 Org'!E14&lt;Tmax, NOT('01 Org'!$H14="")),'01 Org'!$H14,4)</f>
        <v>4</v>
      </c>
      <c r="AH14">
        <f>IF(AND('01 Org'!F14&lt;Tmax, NOT('01 Org'!$H14="")),'01 Org'!$H14,4)</f>
        <v>4</v>
      </c>
      <c r="AI14"/>
    </row>
    <row r="15" spans="1:40" ht="26.25" customHeight="1" outlineLevel="2" x14ac:dyDescent="0.2">
      <c r="A15" s="908" t="s">
        <v>3975</v>
      </c>
      <c r="B15" s="636" t="s">
        <v>6158</v>
      </c>
      <c r="C15" s="909"/>
      <c r="D15" s="1162"/>
      <c r="E15" s="1162"/>
      <c r="F15" s="909"/>
      <c r="G15" s="1453">
        <v>4</v>
      </c>
      <c r="H15" s="1453"/>
      <c r="I15" s="1453"/>
      <c r="J15" s="1453" t="s">
        <v>1592</v>
      </c>
      <c r="K15" s="1458" t="s">
        <v>4274</v>
      </c>
      <c r="L15" s="1453" t="s">
        <v>3952</v>
      </c>
      <c r="M15" s="887"/>
      <c r="N15" s="922"/>
      <c r="O15" s="922"/>
      <c r="P15" s="922"/>
      <c r="Q15" s="922"/>
      <c r="R15" s="922"/>
      <c r="S15" s="922"/>
      <c r="T15" s="922"/>
      <c r="U15" s="922"/>
      <c r="V15" s="922"/>
      <c r="W15" s="922"/>
      <c r="X15" s="922"/>
      <c r="Y15" s="922"/>
      <c r="Z15" s="922"/>
      <c r="AA15">
        <f>IF(AND('01 Org'!C15&gt;Tmin, NOT('01 Org'!$I15="")),'01 Org'!$I15,0)</f>
        <v>0</v>
      </c>
      <c r="AB15">
        <f>IF(AND('01 Org'!D15&gt;Tmin, NOT('01 Org'!$I15="")),'01 Org'!$I15,0)</f>
        <v>0</v>
      </c>
      <c r="AC15">
        <f>IF(AND('01 Org'!E15&gt;Tmin, NOT('01 Org'!$I15="")),'01 Org'!$I15,0)</f>
        <v>0</v>
      </c>
      <c r="AD15">
        <f>IF(AND('01 Org'!F15&gt;Tmin, NOT('01 Org'!$I15="")),'01 Org'!$I15,0)</f>
        <v>0</v>
      </c>
      <c r="AE15">
        <f>IF(AND('01 Org'!C15&lt;Tmax, NOT('01 Org'!$H15="")),'01 Org'!$H15,4)</f>
        <v>4</v>
      </c>
      <c r="AF15">
        <f>IF(AND('01 Org'!D15&lt;Tmax, NOT('01 Org'!$H15="")),'01 Org'!$H15,4)</f>
        <v>4</v>
      </c>
      <c r="AG15">
        <f>IF(AND('01 Org'!E15&lt;Tmax, NOT('01 Org'!$H15="")),'01 Org'!$H15,4)</f>
        <v>4</v>
      </c>
      <c r="AH15">
        <f>IF(AND('01 Org'!F15&lt;Tmax, NOT('01 Org'!$H15="")),'01 Org'!$H15,4)</f>
        <v>4</v>
      </c>
      <c r="AI15"/>
    </row>
    <row r="16" spans="1:40" ht="33.75" outlineLevel="2" x14ac:dyDescent="0.2">
      <c r="A16" s="908" t="s">
        <v>1028</v>
      </c>
      <c r="B16" s="636" t="s">
        <v>6142</v>
      </c>
      <c r="C16" s="909"/>
      <c r="D16" s="1162"/>
      <c r="E16" s="1162"/>
      <c r="F16" s="909"/>
      <c r="G16" s="1453">
        <v>4</v>
      </c>
      <c r="H16" s="1453">
        <v>2</v>
      </c>
      <c r="I16" s="1453"/>
      <c r="J16" s="1453" t="s">
        <v>1592</v>
      </c>
      <c r="K16" s="1453" t="s">
        <v>4274</v>
      </c>
      <c r="L16" s="1453" t="s">
        <v>4269</v>
      </c>
      <c r="M16" s="887"/>
      <c r="N16" s="922"/>
      <c r="O16" s="922"/>
      <c r="P16" s="922"/>
      <c r="Q16" s="922"/>
      <c r="R16" s="922"/>
      <c r="S16" s="922"/>
      <c r="T16" s="922"/>
      <c r="U16" s="922"/>
      <c r="V16" s="922"/>
      <c r="W16" s="922"/>
      <c r="X16" s="922"/>
      <c r="Y16" s="922"/>
      <c r="Z16" s="922"/>
      <c r="AA16">
        <f>IF(AND('01 Org'!C16&gt;Tmin, NOT('01 Org'!$I16="")),'01 Org'!$I16,0)</f>
        <v>0</v>
      </c>
      <c r="AB16">
        <f>IF(AND('01 Org'!D16&gt;Tmin, NOT('01 Org'!$I16="")),'01 Org'!$I16,0)</f>
        <v>0</v>
      </c>
      <c r="AC16">
        <f>IF(AND('01 Org'!E16&gt;Tmin, NOT('01 Org'!$I16="")),'01 Org'!$I16,0)</f>
        <v>0</v>
      </c>
      <c r="AD16">
        <f>IF(AND('01 Org'!F16&gt;Tmin, NOT('01 Org'!$I16="")),'01 Org'!$I16,0)</f>
        <v>0</v>
      </c>
      <c r="AE16">
        <f>IF(AND('01 Org'!C16&lt;Tmax, NOT('01 Org'!$H16="")),'01 Org'!$H16,4)</f>
        <v>2</v>
      </c>
      <c r="AF16">
        <f>IF(AND('01 Org'!D16&lt;Tmax, NOT('01 Org'!$H16="")),'01 Org'!$H16,4)</f>
        <v>2</v>
      </c>
      <c r="AG16">
        <f>IF(AND('01 Org'!E16&lt;Tmax, NOT('01 Org'!$H16="")),'01 Org'!$H16,4)</f>
        <v>2</v>
      </c>
      <c r="AH16">
        <f>IF(AND('01 Org'!F16&lt;Tmax, NOT('01 Org'!$H16="")),'01 Org'!$H16,4)</f>
        <v>2</v>
      </c>
      <c r="AI16"/>
    </row>
    <row r="17" spans="1:40" ht="22.5" outlineLevel="2" x14ac:dyDescent="0.2">
      <c r="A17" s="908" t="s">
        <v>4270</v>
      </c>
      <c r="B17" s="636" t="s">
        <v>6143</v>
      </c>
      <c r="C17" s="909"/>
      <c r="D17" s="1162"/>
      <c r="E17" s="1162"/>
      <c r="F17" s="909"/>
      <c r="G17" s="1453">
        <v>4</v>
      </c>
      <c r="H17" s="1453"/>
      <c r="I17" s="1453"/>
      <c r="J17" s="1453" t="s">
        <v>1592</v>
      </c>
      <c r="K17" s="1453" t="s">
        <v>4274</v>
      </c>
      <c r="L17" s="1453" t="s">
        <v>4269</v>
      </c>
      <c r="M17" s="887"/>
      <c r="N17" s="922"/>
      <c r="O17" s="922"/>
      <c r="P17" s="922"/>
      <c r="Q17" s="922"/>
      <c r="R17" s="922"/>
      <c r="S17" s="922"/>
      <c r="T17" s="922"/>
      <c r="U17" s="922"/>
      <c r="V17" s="922"/>
      <c r="W17" s="922"/>
      <c r="X17" s="922"/>
      <c r="Y17" s="922"/>
      <c r="Z17" s="922"/>
      <c r="AA17">
        <f>IF(AND('01 Org'!C17&gt;Tmin, NOT('01 Org'!$I17="")),'01 Org'!$I17,0)</f>
        <v>0</v>
      </c>
      <c r="AB17">
        <f>IF(AND('01 Org'!D17&gt;Tmin, NOT('01 Org'!$I17="")),'01 Org'!$I17,0)</f>
        <v>0</v>
      </c>
      <c r="AC17">
        <f>IF(AND('01 Org'!E17&gt;Tmin, NOT('01 Org'!$I17="")),'01 Org'!$I17,0)</f>
        <v>0</v>
      </c>
      <c r="AD17">
        <f>IF(AND('01 Org'!F17&gt;Tmin, NOT('01 Org'!$I17="")),'01 Org'!$I17,0)</f>
        <v>0</v>
      </c>
      <c r="AE17">
        <f>IF(AND('01 Org'!C17&lt;Tmax, NOT('01 Org'!$H17="")),'01 Org'!$H17,4)</f>
        <v>4</v>
      </c>
      <c r="AF17">
        <f>IF(AND('01 Org'!D17&lt;Tmax, NOT('01 Org'!$H17="")),'01 Org'!$H17,4)</f>
        <v>4</v>
      </c>
      <c r="AG17">
        <f>IF(AND('01 Org'!E17&lt;Tmax, NOT('01 Org'!$H17="")),'01 Org'!$H17,4)</f>
        <v>4</v>
      </c>
      <c r="AH17">
        <f>IF(AND('01 Org'!F17&lt;Tmax, NOT('01 Org'!$H17="")),'01 Org'!$H17,4)</f>
        <v>4</v>
      </c>
      <c r="AI17"/>
    </row>
    <row r="18" spans="1:40" ht="22.5" outlineLevel="2" x14ac:dyDescent="0.2">
      <c r="A18" s="908" t="s">
        <v>4271</v>
      </c>
      <c r="B18" s="636" t="s">
        <v>6144</v>
      </c>
      <c r="C18" s="909"/>
      <c r="D18" s="1162"/>
      <c r="E18" s="1162"/>
      <c r="F18" s="909"/>
      <c r="G18" s="1453">
        <v>2</v>
      </c>
      <c r="H18" s="1453"/>
      <c r="I18" s="1453">
        <v>2</v>
      </c>
      <c r="J18" s="1453" t="s">
        <v>1592</v>
      </c>
      <c r="K18" s="1453" t="s">
        <v>3950</v>
      </c>
      <c r="L18" s="1453"/>
      <c r="M18" s="887"/>
      <c r="N18" s="922"/>
      <c r="O18" s="922"/>
      <c r="P18" s="922"/>
      <c r="Q18" s="922"/>
      <c r="R18" s="922"/>
      <c r="S18" s="922"/>
      <c r="T18" s="922"/>
      <c r="U18" s="922"/>
      <c r="V18" s="922"/>
      <c r="W18" s="922"/>
      <c r="X18" s="922"/>
      <c r="Y18" s="922"/>
      <c r="Z18" s="922"/>
      <c r="AA18">
        <f>IF(AND('01 Org'!C18&gt;Tmin, NOT('01 Org'!$I18="")),'01 Org'!$I18,0)</f>
        <v>0</v>
      </c>
      <c r="AB18">
        <f>IF(AND('01 Org'!D18&gt;Tmin, NOT('01 Org'!$I18="")),'01 Org'!$I18,0)</f>
        <v>0</v>
      </c>
      <c r="AC18">
        <f>IF(AND('01 Org'!E18&gt;Tmin, NOT('01 Org'!$I18="")),'01 Org'!$I18,0)</f>
        <v>0</v>
      </c>
      <c r="AD18">
        <f>IF(AND('01 Org'!F18&gt;Tmin, NOT('01 Org'!$I18="")),'01 Org'!$I18,0)</f>
        <v>0</v>
      </c>
      <c r="AE18">
        <f>IF(AND('01 Org'!C18&lt;Tmax, NOT('01 Org'!$H18="")),'01 Org'!$H18,4)</f>
        <v>4</v>
      </c>
      <c r="AF18">
        <f>IF(AND('01 Org'!D18&lt;Tmax, NOT('01 Org'!$H18="")),'01 Org'!$H18,4)</f>
        <v>4</v>
      </c>
      <c r="AG18">
        <f>IF(AND('01 Org'!E18&lt;Tmax, NOT('01 Org'!$H18="")),'01 Org'!$H18,4)</f>
        <v>4</v>
      </c>
      <c r="AH18">
        <f>IF(AND('01 Org'!F18&lt;Tmax, NOT('01 Org'!$H18="")),'01 Org'!$H18,4)</f>
        <v>4</v>
      </c>
      <c r="AI18"/>
    </row>
    <row r="19" spans="1:40" ht="33.75" outlineLevel="2" x14ac:dyDescent="0.2">
      <c r="A19" s="908" t="s">
        <v>4272</v>
      </c>
      <c r="B19" s="636" t="s">
        <v>4273</v>
      </c>
      <c r="C19" s="909"/>
      <c r="D19" s="1162"/>
      <c r="E19" s="1162"/>
      <c r="F19" s="909"/>
      <c r="G19" s="1453">
        <v>1</v>
      </c>
      <c r="H19" s="1453"/>
      <c r="I19" s="1453"/>
      <c r="J19" s="1453" t="s">
        <v>1592</v>
      </c>
      <c r="K19" s="1453" t="s">
        <v>4274</v>
      </c>
      <c r="L19" s="1453" t="s">
        <v>4274</v>
      </c>
      <c r="M19" s="887"/>
      <c r="AA19">
        <f>IF(AND('01 Org'!C19&gt;Tmin, NOT('01 Org'!$I19="")),'01 Org'!$I19,0)</f>
        <v>0</v>
      </c>
      <c r="AB19">
        <f>IF(AND('01 Org'!D19&gt;Tmin, NOT('01 Org'!$I19="")),'01 Org'!$I19,0)</f>
        <v>0</v>
      </c>
      <c r="AC19">
        <f>IF(AND('01 Org'!E19&gt;Tmin, NOT('01 Org'!$I19="")),'01 Org'!$I19,0)</f>
        <v>0</v>
      </c>
      <c r="AD19">
        <f>IF(AND('01 Org'!F19&gt;Tmin, NOT('01 Org'!$I19="")),'01 Org'!$I19,0)</f>
        <v>0</v>
      </c>
      <c r="AE19">
        <f>IF(AND('01 Org'!C19&lt;Tmax, NOT('01 Org'!$H19="")),'01 Org'!$H19,4)</f>
        <v>4</v>
      </c>
      <c r="AF19">
        <f>IF(AND('01 Org'!D19&lt;Tmax, NOT('01 Org'!$H19="")),'01 Org'!$H19,4)</f>
        <v>4</v>
      </c>
      <c r="AG19">
        <f>IF(AND('01 Org'!E19&lt;Tmax, NOT('01 Org'!$H19="")),'01 Org'!$H19,4)</f>
        <v>4</v>
      </c>
      <c r="AH19">
        <f>IF(AND('01 Org'!F19&lt;Tmax, NOT('01 Org'!$H19="")),'01 Org'!$H19,4)</f>
        <v>4</v>
      </c>
      <c r="AI19"/>
    </row>
    <row r="20" spans="1:40" ht="22.5" outlineLevel="2" x14ac:dyDescent="0.2">
      <c r="A20" s="908" t="s">
        <v>4275</v>
      </c>
      <c r="B20" s="636" t="s">
        <v>6082</v>
      </c>
      <c r="C20" s="909"/>
      <c r="D20" s="1162"/>
      <c r="E20" s="1162"/>
      <c r="F20" s="909"/>
      <c r="G20" s="1453">
        <v>1</v>
      </c>
      <c r="H20" s="1453"/>
      <c r="I20" s="1453"/>
      <c r="J20" s="1453" t="s">
        <v>1592</v>
      </c>
      <c r="K20" s="1453" t="s">
        <v>4269</v>
      </c>
      <c r="L20" s="1453" t="s">
        <v>7250</v>
      </c>
      <c r="M20" s="887"/>
      <c r="AA20">
        <f>IF(AND('01 Org'!C20&gt;Tmin, NOT('01 Org'!$I20="")),'01 Org'!$I20,0)</f>
        <v>0</v>
      </c>
      <c r="AB20">
        <f>IF(AND('01 Org'!D20&gt;Tmin, NOT('01 Org'!$I20="")),'01 Org'!$I20,0)</f>
        <v>0</v>
      </c>
      <c r="AC20">
        <f>IF(AND('01 Org'!E20&gt;Tmin, NOT('01 Org'!$I20="")),'01 Org'!$I20,0)</f>
        <v>0</v>
      </c>
      <c r="AD20">
        <f>IF(AND('01 Org'!F20&gt;Tmin, NOT('01 Org'!$I20="")),'01 Org'!$I20,0)</f>
        <v>0</v>
      </c>
      <c r="AE20">
        <f>IF(AND('01 Org'!C20&lt;Tmax, NOT('01 Org'!$H20="")),'01 Org'!$H20,4)</f>
        <v>4</v>
      </c>
      <c r="AF20">
        <f>IF(AND('01 Org'!D20&lt;Tmax, NOT('01 Org'!$H20="")),'01 Org'!$H20,4)</f>
        <v>4</v>
      </c>
      <c r="AG20">
        <f>IF(AND('01 Org'!E20&lt;Tmax, NOT('01 Org'!$H20="")),'01 Org'!$H20,4)</f>
        <v>4</v>
      </c>
      <c r="AH20">
        <f>IF(AND('01 Org'!F20&lt;Tmax, NOT('01 Org'!$H20="")),'01 Org'!$H20,4)</f>
        <v>4</v>
      </c>
      <c r="AI20"/>
    </row>
    <row r="21" spans="1:40" outlineLevel="2" x14ac:dyDescent="0.2">
      <c r="A21" s="908" t="s">
        <v>6083</v>
      </c>
      <c r="B21" s="636" t="s">
        <v>5393</v>
      </c>
      <c r="C21" s="909"/>
      <c r="D21" s="1162"/>
      <c r="E21" s="1162"/>
      <c r="F21" s="909"/>
      <c r="G21" s="1453">
        <v>1</v>
      </c>
      <c r="H21" s="1453">
        <v>3</v>
      </c>
      <c r="I21" s="1453"/>
      <c r="J21" s="1453" t="s">
        <v>1592</v>
      </c>
      <c r="K21" s="1458" t="s">
        <v>6874</v>
      </c>
      <c r="L21" s="1453" t="s">
        <v>7251</v>
      </c>
      <c r="M21" s="887"/>
      <c r="AA21">
        <f>IF(AND('01 Org'!C21&gt;Tmin, NOT('01 Org'!$I21="")),'01 Org'!$I21,0)</f>
        <v>0</v>
      </c>
      <c r="AB21">
        <f>IF(AND('01 Org'!D21&gt;Tmin, NOT('01 Org'!$I21="")),'01 Org'!$I21,0)</f>
        <v>0</v>
      </c>
      <c r="AC21">
        <f>IF(AND('01 Org'!E21&gt;Tmin, NOT('01 Org'!$I21="")),'01 Org'!$I21,0)</f>
        <v>0</v>
      </c>
      <c r="AD21">
        <f>IF(AND('01 Org'!F21&gt;Tmin, NOT('01 Org'!$I21="")),'01 Org'!$I21,0)</f>
        <v>0</v>
      </c>
      <c r="AE21">
        <f>IF(AND('01 Org'!C21&lt;Tmax, NOT('01 Org'!$H21="")),'01 Org'!$H21,4)</f>
        <v>3</v>
      </c>
      <c r="AF21">
        <f>IF(AND('01 Org'!D21&lt;Tmax, NOT('01 Org'!$H21="")),'01 Org'!$H21,4)</f>
        <v>3</v>
      </c>
      <c r="AG21">
        <f>IF(AND('01 Org'!E21&lt;Tmax, NOT('01 Org'!$H21="")),'01 Org'!$H21,4)</f>
        <v>3</v>
      </c>
      <c r="AH21">
        <f>IF(AND('01 Org'!F21&lt;Tmax, NOT('01 Org'!$H21="")),'01 Org'!$H21,4)</f>
        <v>3</v>
      </c>
      <c r="AI21"/>
    </row>
    <row r="22" spans="1:40" s="924" customFormat="1" ht="22.5" outlineLevel="2" x14ac:dyDescent="0.2">
      <c r="A22" s="908" t="s">
        <v>5394</v>
      </c>
      <c r="B22" s="636" t="s">
        <v>5478</v>
      </c>
      <c r="C22" s="909"/>
      <c r="D22" s="909"/>
      <c r="E22" s="909"/>
      <c r="F22" s="909"/>
      <c r="G22" s="1453">
        <v>2</v>
      </c>
      <c r="H22" s="1453"/>
      <c r="I22" s="1453"/>
      <c r="J22" s="1453" t="s">
        <v>1592</v>
      </c>
      <c r="K22" s="1458" t="s">
        <v>6875</v>
      </c>
      <c r="L22" s="1453" t="s">
        <v>7252</v>
      </c>
      <c r="M22" s="887"/>
      <c r="N22" s="888"/>
      <c r="O22" s="888"/>
      <c r="P22" s="888"/>
      <c r="Q22" s="888"/>
      <c r="R22" s="888"/>
      <c r="S22" s="888"/>
      <c r="T22" s="888"/>
      <c r="U22" s="888"/>
      <c r="V22" s="888"/>
      <c r="W22" s="888"/>
      <c r="X22" s="888"/>
      <c r="Y22" s="888"/>
      <c r="Z22" s="888"/>
      <c r="AA22">
        <f>IF(AND('01 Org'!C22&gt;Tmin, NOT('01 Org'!$I22="")),'01 Org'!$I22,0)</f>
        <v>0</v>
      </c>
      <c r="AB22">
        <f>IF(AND('01 Org'!D22&gt;Tmin, NOT('01 Org'!$I22="")),'01 Org'!$I22,0)</f>
        <v>0</v>
      </c>
      <c r="AC22">
        <f>IF(AND('01 Org'!E22&gt;Tmin, NOT('01 Org'!$I22="")),'01 Org'!$I22,0)</f>
        <v>0</v>
      </c>
      <c r="AD22">
        <f>IF(AND('01 Org'!F22&gt;Tmin, NOT('01 Org'!$I22="")),'01 Org'!$I22,0)</f>
        <v>0</v>
      </c>
      <c r="AE22">
        <f>IF(AND('01 Org'!C22&lt;Tmax, NOT('01 Org'!$H22="")),'01 Org'!$H22,4)</f>
        <v>4</v>
      </c>
      <c r="AF22">
        <f>IF(AND('01 Org'!D22&lt;Tmax, NOT('01 Org'!$H22="")),'01 Org'!$H22,4)</f>
        <v>4</v>
      </c>
      <c r="AG22">
        <f>IF(AND('01 Org'!E22&lt;Tmax, NOT('01 Org'!$H22="")),'01 Org'!$H22,4)</f>
        <v>4</v>
      </c>
      <c r="AH22">
        <f>IF(AND('01 Org'!F22&lt;Tmax, NOT('01 Org'!$H22="")),'01 Org'!$H22,4)</f>
        <v>4</v>
      </c>
      <c r="AI22"/>
      <c r="AJ22" s="923"/>
      <c r="AK22" s="923"/>
      <c r="AL22" s="923"/>
      <c r="AM22" s="923"/>
      <c r="AN22" s="923"/>
    </row>
    <row r="23" spans="1:40" ht="22.5" outlineLevel="2" x14ac:dyDescent="0.2">
      <c r="A23" s="908" t="s">
        <v>5479</v>
      </c>
      <c r="B23" s="636" t="s">
        <v>2324</v>
      </c>
      <c r="C23" s="909"/>
      <c r="D23" s="909"/>
      <c r="E23" s="909"/>
      <c r="F23" s="909"/>
      <c r="G23" s="1453">
        <v>2</v>
      </c>
      <c r="H23" s="1453">
        <v>3</v>
      </c>
      <c r="I23" s="1453"/>
      <c r="J23" s="1453" t="s">
        <v>2349</v>
      </c>
      <c r="K23" s="1453" t="s">
        <v>6876</v>
      </c>
      <c r="L23" s="1453" t="s">
        <v>7253</v>
      </c>
      <c r="M23" s="887"/>
      <c r="AA23">
        <f>IF(AND('01 Org'!C23&gt;Tmin, NOT('01 Org'!$I23="")),'01 Org'!$I23,0)</f>
        <v>0</v>
      </c>
      <c r="AB23">
        <f>IF(AND('01 Org'!D23&gt;Tmin, NOT('01 Org'!$I23="")),'01 Org'!$I23,0)</f>
        <v>0</v>
      </c>
      <c r="AC23">
        <f>IF(AND('01 Org'!E23&gt;Tmin, NOT('01 Org'!$I23="")),'01 Org'!$I23,0)</f>
        <v>0</v>
      </c>
      <c r="AD23">
        <f>IF(AND('01 Org'!F23&gt;Tmin, NOT('01 Org'!$I23="")),'01 Org'!$I23,0)</f>
        <v>0</v>
      </c>
      <c r="AE23">
        <f>IF(AND('01 Org'!C23&lt;Tmax, NOT('01 Org'!$H23="")),'01 Org'!$H23,4)</f>
        <v>3</v>
      </c>
      <c r="AF23">
        <f>IF(AND('01 Org'!D23&lt;Tmax, NOT('01 Org'!$H23="")),'01 Org'!$H23,4)</f>
        <v>3</v>
      </c>
      <c r="AG23">
        <f>IF(AND('01 Org'!E23&lt;Tmax, NOT('01 Org'!$H23="")),'01 Org'!$H23,4)</f>
        <v>3</v>
      </c>
      <c r="AH23">
        <f>IF(AND('01 Org'!F23&lt;Tmax, NOT('01 Org'!$H23="")),'01 Org'!$H23,4)</f>
        <v>3</v>
      </c>
      <c r="AI23"/>
    </row>
    <row r="24" spans="1:40" outlineLevel="1" x14ac:dyDescent="0.2">
      <c r="A24" s="633" t="s">
        <v>2547</v>
      </c>
      <c r="B24" s="634" t="s">
        <v>5728</v>
      </c>
      <c r="C24" s="909"/>
      <c r="D24" s="909"/>
      <c r="E24" s="909"/>
      <c r="F24" s="909"/>
      <c r="G24" s="1453"/>
      <c r="H24" s="1453"/>
      <c r="I24" s="1453"/>
      <c r="J24" s="1453"/>
      <c r="K24" s="1453"/>
      <c r="L24" s="1453"/>
      <c r="M24" s="887"/>
      <c r="AA24"/>
      <c r="AB24"/>
      <c r="AC24"/>
      <c r="AD24"/>
      <c r="AE24"/>
      <c r="AF24"/>
      <c r="AG24"/>
      <c r="AH24"/>
      <c r="AI24"/>
    </row>
    <row r="25" spans="1:40" ht="22.5" outlineLevel="2" x14ac:dyDescent="0.2">
      <c r="A25" s="908" t="s">
        <v>2325</v>
      </c>
      <c r="B25" s="636" t="s">
        <v>6145</v>
      </c>
      <c r="C25" s="909"/>
      <c r="D25" s="909"/>
      <c r="E25" s="909"/>
      <c r="F25" s="909"/>
      <c r="G25" s="1453">
        <v>2</v>
      </c>
      <c r="H25" s="1453"/>
      <c r="I25" s="1453"/>
      <c r="J25" s="1453" t="s">
        <v>4246</v>
      </c>
      <c r="K25" s="1458" t="s">
        <v>6877</v>
      </c>
      <c r="L25" s="1453" t="s">
        <v>2326</v>
      </c>
      <c r="M25" s="887"/>
      <c r="AA25">
        <f>IF(AND('01 Org'!C25&gt;Tmin, NOT('01 Org'!$I25="")),'01 Org'!$I25,0)</f>
        <v>0</v>
      </c>
      <c r="AB25">
        <f>IF(AND('01 Org'!D25&gt;Tmin, NOT('01 Org'!$I25="")),'01 Org'!$I25,0)</f>
        <v>0</v>
      </c>
      <c r="AC25">
        <f>IF(AND('01 Org'!E25&gt;Tmin, NOT('01 Org'!$I25="")),'01 Org'!$I25,0)</f>
        <v>0</v>
      </c>
      <c r="AD25">
        <f>IF(AND('01 Org'!F25&gt;Tmin, NOT('01 Org'!$I25="")),'01 Org'!$I25,0)</f>
        <v>0</v>
      </c>
      <c r="AE25">
        <f>IF(AND('01 Org'!C25&lt;Tmax, NOT('01 Org'!$H25="")),'01 Org'!$H25,4)</f>
        <v>4</v>
      </c>
      <c r="AF25">
        <f>IF(AND('01 Org'!D25&lt;Tmax, NOT('01 Org'!$H25="")),'01 Org'!$H25,4)</f>
        <v>4</v>
      </c>
      <c r="AG25">
        <f>IF(AND('01 Org'!E25&lt;Tmax, NOT('01 Org'!$H25="")),'01 Org'!$H25,4)</f>
        <v>4</v>
      </c>
      <c r="AH25">
        <f>IF(AND('01 Org'!F25&lt;Tmax, NOT('01 Org'!$H25="")),'01 Org'!$H25,4)</f>
        <v>4</v>
      </c>
      <c r="AI25"/>
    </row>
    <row r="26" spans="1:40" ht="22.5" outlineLevel="2" x14ac:dyDescent="0.2">
      <c r="A26" s="908" t="s">
        <v>2327</v>
      </c>
      <c r="B26" s="636" t="s">
        <v>6146</v>
      </c>
      <c r="C26" s="909"/>
      <c r="D26" s="909"/>
      <c r="E26" s="909"/>
      <c r="F26" s="909"/>
      <c r="G26" s="1453">
        <v>4</v>
      </c>
      <c r="H26" s="1453">
        <v>2</v>
      </c>
      <c r="I26" s="1453"/>
      <c r="J26" s="1453" t="s">
        <v>4246</v>
      </c>
      <c r="K26" s="1453" t="s">
        <v>6877</v>
      </c>
      <c r="L26" s="1453" t="s">
        <v>2326</v>
      </c>
      <c r="M26" s="887"/>
      <c r="AA26">
        <f>IF(AND('01 Org'!C26&gt;Tmin, NOT('01 Org'!$I26="")),'01 Org'!$I26,0)</f>
        <v>0</v>
      </c>
      <c r="AB26">
        <f>IF(AND('01 Org'!D26&gt;Tmin, NOT('01 Org'!$I26="")),'01 Org'!$I26,0)</f>
        <v>0</v>
      </c>
      <c r="AC26">
        <f>IF(AND('01 Org'!E26&gt;Tmin, NOT('01 Org'!$I26="")),'01 Org'!$I26,0)</f>
        <v>0</v>
      </c>
      <c r="AD26">
        <f>IF(AND('01 Org'!F26&gt;Tmin, NOT('01 Org'!$I26="")),'01 Org'!$I26,0)</f>
        <v>0</v>
      </c>
      <c r="AE26">
        <f>IF(AND('01 Org'!C26&lt;Tmax, NOT('01 Org'!$H26="")),'01 Org'!$H26,4)</f>
        <v>2</v>
      </c>
      <c r="AF26">
        <f>IF(AND('01 Org'!D26&lt;Tmax, NOT('01 Org'!$H26="")),'01 Org'!$H26,4)</f>
        <v>2</v>
      </c>
      <c r="AG26">
        <f>IF(AND('01 Org'!E26&lt;Tmax, NOT('01 Org'!$H26="")),'01 Org'!$H26,4)</f>
        <v>2</v>
      </c>
      <c r="AH26">
        <f>IF(AND('01 Org'!F26&lt;Tmax, NOT('01 Org'!$H26="")),'01 Org'!$H26,4)</f>
        <v>2</v>
      </c>
      <c r="AI26"/>
    </row>
    <row r="27" spans="1:40" ht="22.5" outlineLevel="2" x14ac:dyDescent="0.2">
      <c r="A27" s="908" t="s">
        <v>2328</v>
      </c>
      <c r="B27" s="636" t="s">
        <v>6147</v>
      </c>
      <c r="C27" s="909"/>
      <c r="D27" s="909"/>
      <c r="E27" s="909"/>
      <c r="F27" s="909"/>
      <c r="G27" s="1453">
        <v>4</v>
      </c>
      <c r="H27" s="1453">
        <v>3</v>
      </c>
      <c r="I27" s="1453"/>
      <c r="J27" s="1453" t="s">
        <v>2329</v>
      </c>
      <c r="K27" s="1453" t="s">
        <v>6877</v>
      </c>
      <c r="L27" s="1453" t="s">
        <v>2326</v>
      </c>
      <c r="M27" s="887"/>
      <c r="AA27">
        <f>IF(AND('01 Org'!C27&gt;Tmin, NOT('01 Org'!$I27="")),'01 Org'!$I27,0)</f>
        <v>0</v>
      </c>
      <c r="AB27">
        <f>IF(AND('01 Org'!D27&gt;Tmin, NOT('01 Org'!$I27="")),'01 Org'!$I27,0)</f>
        <v>0</v>
      </c>
      <c r="AC27">
        <f>IF(AND('01 Org'!E27&gt;Tmin, NOT('01 Org'!$I27="")),'01 Org'!$I27,0)</f>
        <v>0</v>
      </c>
      <c r="AD27">
        <f>IF(AND('01 Org'!F27&gt;Tmin, NOT('01 Org'!$I27="")),'01 Org'!$I27,0)</f>
        <v>0</v>
      </c>
      <c r="AE27">
        <f>IF(AND('01 Org'!C27&lt;Tmax, NOT('01 Org'!$H27="")),'01 Org'!$H27,4)</f>
        <v>3</v>
      </c>
      <c r="AF27">
        <f>IF(AND('01 Org'!D27&lt;Tmax, NOT('01 Org'!$H27="")),'01 Org'!$H27,4)</f>
        <v>3</v>
      </c>
      <c r="AG27">
        <f>IF(AND('01 Org'!E27&lt;Tmax, NOT('01 Org'!$H27="")),'01 Org'!$H27,4)</f>
        <v>3</v>
      </c>
      <c r="AH27">
        <f>IF(AND('01 Org'!F27&lt;Tmax, NOT('01 Org'!$H27="")),'01 Org'!$H27,4)</f>
        <v>3</v>
      </c>
      <c r="AI27"/>
    </row>
    <row r="28" spans="1:40" ht="22.5" outlineLevel="2" x14ac:dyDescent="0.2">
      <c r="A28" s="908" t="s">
        <v>2330</v>
      </c>
      <c r="B28" s="636" t="s">
        <v>6148</v>
      </c>
      <c r="C28" s="909"/>
      <c r="D28" s="909"/>
      <c r="E28" s="909"/>
      <c r="F28" s="909"/>
      <c r="G28" s="1453">
        <v>4</v>
      </c>
      <c r="H28" s="1453">
        <v>3</v>
      </c>
      <c r="I28" s="1453"/>
      <c r="J28" s="1453" t="s">
        <v>1592</v>
      </c>
      <c r="K28" s="1458" t="s">
        <v>6875</v>
      </c>
      <c r="L28" s="1453" t="s">
        <v>7254</v>
      </c>
      <c r="M28" s="887"/>
      <c r="AA28">
        <f>IF(AND('01 Org'!C28&gt;Tmin, NOT('01 Org'!$I28="")),'01 Org'!$I28,0)</f>
        <v>0</v>
      </c>
      <c r="AB28">
        <f>IF(AND('01 Org'!D28&gt;Tmin, NOT('01 Org'!$I28="")),'01 Org'!$I28,0)</f>
        <v>0</v>
      </c>
      <c r="AC28">
        <f>IF(AND('01 Org'!E28&gt;Tmin, NOT('01 Org'!$I28="")),'01 Org'!$I28,0)</f>
        <v>0</v>
      </c>
      <c r="AD28">
        <f>IF(AND('01 Org'!F28&gt;Tmin, NOT('01 Org'!$I28="")),'01 Org'!$I28,0)</f>
        <v>0</v>
      </c>
      <c r="AE28">
        <f>IF(AND('01 Org'!C28&lt;Tmax, NOT('01 Org'!$H28="")),'01 Org'!$H28,4)</f>
        <v>3</v>
      </c>
      <c r="AF28">
        <f>IF(AND('01 Org'!D28&lt;Tmax, NOT('01 Org'!$H28="")),'01 Org'!$H28,4)</f>
        <v>3</v>
      </c>
      <c r="AG28">
        <f>IF(AND('01 Org'!E28&lt;Tmax, NOT('01 Org'!$H28="")),'01 Org'!$H28,4)</f>
        <v>3</v>
      </c>
      <c r="AH28">
        <f>IF(AND('01 Org'!F28&lt;Tmax, NOT('01 Org'!$H28="")),'01 Org'!$H28,4)</f>
        <v>3</v>
      </c>
      <c r="AI28"/>
    </row>
    <row r="29" spans="1:40" ht="22.5" outlineLevel="2" x14ac:dyDescent="0.2">
      <c r="A29" s="908" t="s">
        <v>1708</v>
      </c>
      <c r="B29" s="636" t="s">
        <v>5903</v>
      </c>
      <c r="C29" s="909"/>
      <c r="D29" s="909"/>
      <c r="E29" s="909"/>
      <c r="F29" s="909"/>
      <c r="G29" s="1453">
        <v>2</v>
      </c>
      <c r="H29" s="1453"/>
      <c r="I29" s="1453"/>
      <c r="J29" s="1453" t="s">
        <v>1592</v>
      </c>
      <c r="K29" s="1459" t="s">
        <v>6878</v>
      </c>
      <c r="L29" s="1453" t="s">
        <v>5904</v>
      </c>
      <c r="M29" s="887"/>
      <c r="AA29">
        <f>IF(AND('01 Org'!C29&gt;Tmin, NOT('01 Org'!$I29="")),'01 Org'!$I29,0)</f>
        <v>0</v>
      </c>
      <c r="AB29">
        <f>IF(AND('01 Org'!D29&gt;Tmin, NOT('01 Org'!$I29="")),'01 Org'!$I29,0)</f>
        <v>0</v>
      </c>
      <c r="AC29">
        <f>IF(AND('01 Org'!E29&gt;Tmin, NOT('01 Org'!$I29="")),'01 Org'!$I29,0)</f>
        <v>0</v>
      </c>
      <c r="AD29">
        <f>IF(AND('01 Org'!F29&gt;Tmin, NOT('01 Org'!$I29="")),'01 Org'!$I29,0)</f>
        <v>0</v>
      </c>
      <c r="AE29">
        <f>IF(AND('01 Org'!C29&lt;Tmax, NOT('01 Org'!$H29="")),'01 Org'!$H29,4)</f>
        <v>4</v>
      </c>
      <c r="AF29">
        <f>IF(AND('01 Org'!D29&lt;Tmax, NOT('01 Org'!$H29="")),'01 Org'!$H29,4)</f>
        <v>4</v>
      </c>
      <c r="AG29">
        <f>IF(AND('01 Org'!E29&lt;Tmax, NOT('01 Org'!$H29="")),'01 Org'!$H29,4)</f>
        <v>4</v>
      </c>
      <c r="AH29">
        <f>IF(AND('01 Org'!F29&lt;Tmax, NOT('01 Org'!$H29="")),'01 Org'!$H29,4)</f>
        <v>4</v>
      </c>
      <c r="AI29"/>
    </row>
    <row r="30" spans="1:40" s="924" customFormat="1" outlineLevel="2" x14ac:dyDescent="0.2">
      <c r="A30" s="908" t="s">
        <v>5905</v>
      </c>
      <c r="B30" s="636" t="s">
        <v>6457</v>
      </c>
      <c r="C30" s="909"/>
      <c r="D30" s="909"/>
      <c r="E30" s="909"/>
      <c r="F30" s="909"/>
      <c r="G30" s="1453">
        <v>2</v>
      </c>
      <c r="H30" s="1453"/>
      <c r="I30" s="1453"/>
      <c r="J30" s="1453" t="s">
        <v>1592</v>
      </c>
      <c r="K30" s="1458" t="s">
        <v>6879</v>
      </c>
      <c r="L30" s="1453" t="s">
        <v>6458</v>
      </c>
      <c r="M30" s="887"/>
      <c r="N30" s="888"/>
      <c r="O30" s="888"/>
      <c r="P30" s="888"/>
      <c r="Q30" s="888"/>
      <c r="R30" s="888"/>
      <c r="S30" s="888"/>
      <c r="T30" s="888"/>
      <c r="U30" s="888"/>
      <c r="V30" s="888"/>
      <c r="W30" s="888"/>
      <c r="X30" s="888"/>
      <c r="Y30" s="888"/>
      <c r="Z30" s="888"/>
      <c r="AA30">
        <f>IF(AND('01 Org'!C30&gt;Tmin, NOT('01 Org'!$I30="")),'01 Org'!$I30,0)</f>
        <v>0</v>
      </c>
      <c r="AB30">
        <f>IF(AND('01 Org'!D30&gt;Tmin, NOT('01 Org'!$I30="")),'01 Org'!$I30,0)</f>
        <v>0</v>
      </c>
      <c r="AC30">
        <f>IF(AND('01 Org'!E30&gt;Tmin, NOT('01 Org'!$I30="")),'01 Org'!$I30,0)</f>
        <v>0</v>
      </c>
      <c r="AD30">
        <f>IF(AND('01 Org'!F30&gt;Tmin, NOT('01 Org'!$I30="")),'01 Org'!$I30,0)</f>
        <v>0</v>
      </c>
      <c r="AE30">
        <f>IF(AND('01 Org'!C30&lt;Tmax, NOT('01 Org'!$H30="")),'01 Org'!$H30,4)</f>
        <v>4</v>
      </c>
      <c r="AF30">
        <f>IF(AND('01 Org'!D30&lt;Tmax, NOT('01 Org'!$H30="")),'01 Org'!$H30,4)</f>
        <v>4</v>
      </c>
      <c r="AG30">
        <f>IF(AND('01 Org'!E30&lt;Tmax, NOT('01 Org'!$H30="")),'01 Org'!$H30,4)</f>
        <v>4</v>
      </c>
      <c r="AH30">
        <f>IF(AND('01 Org'!F30&lt;Tmax, NOT('01 Org'!$H30="")),'01 Org'!$H30,4)</f>
        <v>4</v>
      </c>
      <c r="AI30"/>
      <c r="AJ30" s="923"/>
      <c r="AK30" s="923"/>
      <c r="AL30" s="923"/>
      <c r="AM30" s="923"/>
      <c r="AN30" s="923"/>
    </row>
    <row r="31" spans="1:40" ht="22.5" outlineLevel="2" x14ac:dyDescent="0.2">
      <c r="A31" s="908" t="s">
        <v>6459</v>
      </c>
      <c r="B31" s="636" t="s">
        <v>6460</v>
      </c>
      <c r="C31" s="909"/>
      <c r="D31" s="909"/>
      <c r="E31" s="909"/>
      <c r="F31" s="909"/>
      <c r="G31" s="1453">
        <v>2</v>
      </c>
      <c r="H31" s="1453">
        <v>2</v>
      </c>
      <c r="I31" s="1453"/>
      <c r="J31" s="1453" t="s">
        <v>2349</v>
      </c>
      <c r="K31" s="1453" t="s">
        <v>5723</v>
      </c>
      <c r="L31" s="1453"/>
      <c r="M31" s="887"/>
      <c r="AA31">
        <f>IF(AND('01 Org'!C31&gt;Tmin, NOT('01 Org'!$I31="")),'01 Org'!$I31,0)</f>
        <v>0</v>
      </c>
      <c r="AB31">
        <f>IF(AND('01 Org'!D31&gt;Tmin, NOT('01 Org'!$I31="")),'01 Org'!$I31,0)</f>
        <v>0</v>
      </c>
      <c r="AC31">
        <f>IF(AND('01 Org'!E31&gt;Tmin, NOT('01 Org'!$I31="")),'01 Org'!$I31,0)</f>
        <v>0</v>
      </c>
      <c r="AD31">
        <f>IF(AND('01 Org'!F31&gt;Tmin, NOT('01 Org'!$I31="")),'01 Org'!$I31,0)</f>
        <v>0</v>
      </c>
      <c r="AE31">
        <f>IF(AND('01 Org'!C31&lt;Tmax, NOT('01 Org'!$H31="")),'01 Org'!$H31,4)</f>
        <v>2</v>
      </c>
      <c r="AF31">
        <f>IF(AND('01 Org'!D31&lt;Tmax, NOT('01 Org'!$H31="")),'01 Org'!$H31,4)</f>
        <v>2</v>
      </c>
      <c r="AG31">
        <f>IF(AND('01 Org'!E31&lt;Tmax, NOT('01 Org'!$H31="")),'01 Org'!$H31,4)</f>
        <v>2</v>
      </c>
      <c r="AH31">
        <f>IF(AND('01 Org'!F31&lt;Tmax, NOT('01 Org'!$H31="")),'01 Org'!$H31,4)</f>
        <v>2</v>
      </c>
      <c r="AI31"/>
    </row>
    <row r="32" spans="1:40" outlineLevel="1" x14ac:dyDescent="0.2">
      <c r="A32" s="633" t="s">
        <v>2548</v>
      </c>
      <c r="B32" s="634" t="s">
        <v>5729</v>
      </c>
      <c r="C32" s="909"/>
      <c r="D32" s="909"/>
      <c r="E32" s="909"/>
      <c r="F32" s="909"/>
      <c r="G32" s="1453"/>
      <c r="H32" s="1453"/>
      <c r="I32" s="1453"/>
      <c r="J32" s="1453"/>
      <c r="K32" s="1453"/>
      <c r="L32" s="1453"/>
      <c r="M32" s="887"/>
      <c r="AA32"/>
      <c r="AB32"/>
      <c r="AC32"/>
      <c r="AD32"/>
      <c r="AE32"/>
      <c r="AF32"/>
      <c r="AG32"/>
      <c r="AH32"/>
      <c r="AI32"/>
    </row>
    <row r="33" spans="1:35" ht="33.75" outlineLevel="2" x14ac:dyDescent="0.2">
      <c r="A33" s="908" t="s">
        <v>6461</v>
      </c>
      <c r="B33" s="636" t="s">
        <v>4008</v>
      </c>
      <c r="C33" s="909"/>
      <c r="D33" s="909"/>
      <c r="E33" s="909"/>
      <c r="F33" s="909"/>
      <c r="G33" s="1453">
        <v>4</v>
      </c>
      <c r="H33" s="1453">
        <v>2</v>
      </c>
      <c r="I33" s="1453"/>
      <c r="J33" s="1453" t="s">
        <v>1592</v>
      </c>
      <c r="K33" s="1453" t="s">
        <v>6880</v>
      </c>
      <c r="L33" s="1453"/>
      <c r="M33" s="887"/>
      <c r="AA33">
        <f>IF(AND('01 Org'!C33&gt;Tmin, NOT('01 Org'!$I33="")),'01 Org'!$I33,0)</f>
        <v>0</v>
      </c>
      <c r="AB33">
        <f>IF(AND('01 Org'!D33&gt;Tmin, NOT('01 Org'!$I33="")),'01 Org'!$I33,0)</f>
        <v>0</v>
      </c>
      <c r="AC33">
        <f>IF(AND('01 Org'!E33&gt;Tmin, NOT('01 Org'!$I33="")),'01 Org'!$I33,0)</f>
        <v>0</v>
      </c>
      <c r="AD33">
        <f>IF(AND('01 Org'!F33&gt;Tmin, NOT('01 Org'!$I33="")),'01 Org'!$I33,0)</f>
        <v>0</v>
      </c>
      <c r="AE33">
        <f>IF(AND('01 Org'!C33&lt;Tmax, NOT('01 Org'!$H33="")),'01 Org'!$H33,4)</f>
        <v>2</v>
      </c>
      <c r="AF33">
        <f>IF(AND('01 Org'!D33&lt;Tmax, NOT('01 Org'!$H33="")),'01 Org'!$H33,4)</f>
        <v>2</v>
      </c>
      <c r="AG33">
        <f>IF(AND('01 Org'!E33&lt;Tmax, NOT('01 Org'!$H33="")),'01 Org'!$H33,4)</f>
        <v>2</v>
      </c>
      <c r="AH33">
        <f>IF(AND('01 Org'!F33&lt;Tmax, NOT('01 Org'!$H33="")),'01 Org'!$H33,4)</f>
        <v>2</v>
      </c>
      <c r="AI33"/>
    </row>
    <row r="34" spans="1:35" ht="22.5" outlineLevel="2" x14ac:dyDescent="0.2">
      <c r="A34" s="908" t="s">
        <v>4009</v>
      </c>
      <c r="B34" s="636" t="s">
        <v>4952</v>
      </c>
      <c r="C34" s="909"/>
      <c r="D34" s="909"/>
      <c r="E34" s="909"/>
      <c r="F34" s="909"/>
      <c r="G34" s="1453">
        <v>4</v>
      </c>
      <c r="H34" s="1460"/>
      <c r="I34" s="1453"/>
      <c r="J34" s="1453" t="s">
        <v>1592</v>
      </c>
      <c r="K34" s="1453" t="s">
        <v>6880</v>
      </c>
      <c r="L34" s="1453"/>
      <c r="M34" s="887"/>
      <c r="AA34">
        <f>IF(AND('01 Org'!C34&gt;Tmin, NOT('01 Org'!$I34="")),'01 Org'!$I34,0)</f>
        <v>0</v>
      </c>
      <c r="AB34">
        <f>IF(AND('01 Org'!D34&gt;Tmin, NOT('01 Org'!$I34="")),'01 Org'!$I34,0)</f>
        <v>0</v>
      </c>
      <c r="AC34">
        <f>IF(AND('01 Org'!E34&gt;Tmin, NOT('01 Org'!$I34="")),'01 Org'!$I34,0)</f>
        <v>0</v>
      </c>
      <c r="AD34">
        <f>IF(AND('01 Org'!F34&gt;Tmin, NOT('01 Org'!$I34="")),'01 Org'!$I34,0)</f>
        <v>0</v>
      </c>
      <c r="AE34">
        <f>IF(AND('01 Org'!C34&lt;Tmax, NOT('01 Org'!$H34="")),'01 Org'!$H34,4)</f>
        <v>4</v>
      </c>
      <c r="AF34">
        <f>IF(AND('01 Org'!D34&lt;Tmax, NOT('01 Org'!$H34="")),'01 Org'!$H34,4)</f>
        <v>4</v>
      </c>
      <c r="AG34">
        <f>IF(AND('01 Org'!E34&lt;Tmax, NOT('01 Org'!$H34="")),'01 Org'!$H34,4)</f>
        <v>4</v>
      </c>
      <c r="AH34">
        <f>IF(AND('01 Org'!F34&lt;Tmax, NOT('01 Org'!$H34="")),'01 Org'!$H34,4)</f>
        <v>4</v>
      </c>
      <c r="AI34"/>
    </row>
    <row r="35" spans="1:35" ht="22.5" outlineLevel="2" x14ac:dyDescent="0.2">
      <c r="A35" s="908" t="s">
        <v>4953</v>
      </c>
      <c r="B35" s="636" t="s">
        <v>1576</v>
      </c>
      <c r="C35" s="909"/>
      <c r="D35" s="909"/>
      <c r="E35" s="909"/>
      <c r="F35" s="909"/>
      <c r="G35" s="1453">
        <v>4</v>
      </c>
      <c r="H35" s="1460"/>
      <c r="I35" s="1453"/>
      <c r="J35" s="1453" t="s">
        <v>2329</v>
      </c>
      <c r="K35" s="1453" t="s">
        <v>6880</v>
      </c>
      <c r="L35" s="1453"/>
      <c r="M35" s="887"/>
      <c r="AA35">
        <f>IF(AND('01 Org'!C35&gt;Tmin, NOT('01 Org'!$I35="")),'01 Org'!$I35,0)</f>
        <v>0</v>
      </c>
      <c r="AB35">
        <f>IF(AND('01 Org'!D35&gt;Tmin, NOT('01 Org'!$I35="")),'01 Org'!$I35,0)</f>
        <v>0</v>
      </c>
      <c r="AC35">
        <f>IF(AND('01 Org'!E35&gt;Tmin, NOT('01 Org'!$I35="")),'01 Org'!$I35,0)</f>
        <v>0</v>
      </c>
      <c r="AD35">
        <f>IF(AND('01 Org'!F35&gt;Tmin, NOT('01 Org'!$I35="")),'01 Org'!$I35,0)</f>
        <v>0</v>
      </c>
      <c r="AE35">
        <f>IF(AND('01 Org'!C35&lt;Tmax, NOT('01 Org'!$H35="")),'01 Org'!$H35,4)</f>
        <v>4</v>
      </c>
      <c r="AF35">
        <f>IF(AND('01 Org'!D35&lt;Tmax, NOT('01 Org'!$H35="")),'01 Org'!$H35,4)</f>
        <v>4</v>
      </c>
      <c r="AG35">
        <f>IF(AND('01 Org'!E35&lt;Tmax, NOT('01 Org'!$H35="")),'01 Org'!$H35,4)</f>
        <v>4</v>
      </c>
      <c r="AH35">
        <f>IF(AND('01 Org'!F35&lt;Tmax, NOT('01 Org'!$H35="")),'01 Org'!$H35,4)</f>
        <v>4</v>
      </c>
      <c r="AI35"/>
    </row>
    <row r="36" spans="1:35" ht="22.5" outlineLevel="2" x14ac:dyDescent="0.2">
      <c r="A36" s="908" t="s">
        <v>1577</v>
      </c>
      <c r="B36" s="636" t="s">
        <v>2658</v>
      </c>
      <c r="C36" s="909"/>
      <c r="D36" s="909"/>
      <c r="E36" s="909"/>
      <c r="F36" s="909"/>
      <c r="G36" s="1453">
        <v>2</v>
      </c>
      <c r="H36" s="1453">
        <v>3</v>
      </c>
      <c r="I36" s="1453"/>
      <c r="J36" s="1453" t="s">
        <v>1592</v>
      </c>
      <c r="K36" s="1453" t="s">
        <v>6880</v>
      </c>
      <c r="L36" s="1453"/>
      <c r="M36" s="887"/>
      <c r="AA36">
        <f>IF(AND('01 Org'!C36&gt;Tmin, NOT('01 Org'!$I36="")),'01 Org'!$I36,0)</f>
        <v>0</v>
      </c>
      <c r="AB36">
        <f>IF(AND('01 Org'!D36&gt;Tmin, NOT('01 Org'!$I36="")),'01 Org'!$I36,0)</f>
        <v>0</v>
      </c>
      <c r="AC36">
        <f>IF(AND('01 Org'!E36&gt;Tmin, NOT('01 Org'!$I36="")),'01 Org'!$I36,0)</f>
        <v>0</v>
      </c>
      <c r="AD36">
        <f>IF(AND('01 Org'!F36&gt;Tmin, NOT('01 Org'!$I36="")),'01 Org'!$I36,0)</f>
        <v>0</v>
      </c>
      <c r="AE36">
        <f>IF(AND('01 Org'!C36&lt;Tmax, NOT('01 Org'!$H36="")),'01 Org'!$H36,4)</f>
        <v>3</v>
      </c>
      <c r="AF36">
        <f>IF(AND('01 Org'!D36&lt;Tmax, NOT('01 Org'!$H36="")),'01 Org'!$H36,4)</f>
        <v>3</v>
      </c>
      <c r="AG36">
        <f>IF(AND('01 Org'!E36&lt;Tmax, NOT('01 Org'!$H36="")),'01 Org'!$H36,4)</f>
        <v>3</v>
      </c>
      <c r="AH36">
        <f>IF(AND('01 Org'!F36&lt;Tmax, NOT('01 Org'!$H36="")),'01 Org'!$H36,4)</f>
        <v>3</v>
      </c>
      <c r="AI36"/>
    </row>
    <row r="37" spans="1:35" ht="22.5" outlineLevel="2" x14ac:dyDescent="0.2">
      <c r="A37" s="908" t="s">
        <v>2659</v>
      </c>
      <c r="B37" s="636" t="s">
        <v>2586</v>
      </c>
      <c r="C37" s="909"/>
      <c r="D37" s="909"/>
      <c r="E37" s="909"/>
      <c r="F37" s="909"/>
      <c r="G37" s="1453">
        <v>4</v>
      </c>
      <c r="H37" s="1453"/>
      <c r="I37" s="1453"/>
      <c r="J37" s="1453" t="s">
        <v>1592</v>
      </c>
      <c r="K37" s="1453" t="s">
        <v>6880</v>
      </c>
      <c r="L37" s="1453"/>
      <c r="M37" s="887"/>
      <c r="AA37">
        <f>IF(AND('01 Org'!C37&gt;Tmin, NOT('01 Org'!$I37="")),'01 Org'!$I37,0)</f>
        <v>0</v>
      </c>
      <c r="AB37">
        <f>IF(AND('01 Org'!D37&gt;Tmin, NOT('01 Org'!$I37="")),'01 Org'!$I37,0)</f>
        <v>0</v>
      </c>
      <c r="AC37">
        <f>IF(AND('01 Org'!E37&gt;Tmin, NOT('01 Org'!$I37="")),'01 Org'!$I37,0)</f>
        <v>0</v>
      </c>
      <c r="AD37">
        <f>IF(AND('01 Org'!F37&gt;Tmin, NOT('01 Org'!$I37="")),'01 Org'!$I37,0)</f>
        <v>0</v>
      </c>
      <c r="AE37">
        <f>IF(AND('01 Org'!C37&lt;Tmax, NOT('01 Org'!$H37="")),'01 Org'!$H37,4)</f>
        <v>4</v>
      </c>
      <c r="AF37">
        <f>IF(AND('01 Org'!D37&lt;Tmax, NOT('01 Org'!$H37="")),'01 Org'!$H37,4)</f>
        <v>4</v>
      </c>
      <c r="AG37">
        <f>IF(AND('01 Org'!E37&lt;Tmax, NOT('01 Org'!$H37="")),'01 Org'!$H37,4)</f>
        <v>4</v>
      </c>
      <c r="AH37">
        <f>IF(AND('01 Org'!F37&lt;Tmax, NOT('01 Org'!$H37="")),'01 Org'!$H37,4)</f>
        <v>4</v>
      </c>
      <c r="AI37"/>
    </row>
    <row r="38" spans="1:35" outlineLevel="2" x14ac:dyDescent="0.2">
      <c r="A38" s="908" t="s">
        <v>2587</v>
      </c>
      <c r="B38" s="636" t="s">
        <v>6114</v>
      </c>
      <c r="C38" s="909"/>
      <c r="D38" s="909"/>
      <c r="E38" s="909"/>
      <c r="F38" s="909"/>
      <c r="G38" s="1453">
        <v>2</v>
      </c>
      <c r="H38" s="1453"/>
      <c r="I38" s="1453"/>
      <c r="J38" s="1453" t="s">
        <v>1592</v>
      </c>
      <c r="K38" s="1453" t="s">
        <v>6880</v>
      </c>
      <c r="L38" s="1453"/>
      <c r="M38" s="887"/>
      <c r="AA38">
        <f>IF(AND('01 Org'!C38&gt;Tmin, NOT('01 Org'!$I38="")),'01 Org'!$I38,0)</f>
        <v>0</v>
      </c>
      <c r="AB38">
        <f>IF(AND('01 Org'!D38&gt;Tmin, NOT('01 Org'!$I38="")),'01 Org'!$I38,0)</f>
        <v>0</v>
      </c>
      <c r="AC38">
        <f>IF(AND('01 Org'!E38&gt;Tmin, NOT('01 Org'!$I38="")),'01 Org'!$I38,0)</f>
        <v>0</v>
      </c>
      <c r="AD38">
        <f>IF(AND('01 Org'!F38&gt;Tmin, NOT('01 Org'!$I38="")),'01 Org'!$I38,0)</f>
        <v>0</v>
      </c>
      <c r="AE38">
        <f>IF(AND('01 Org'!C38&lt;Tmax, NOT('01 Org'!$H38="")),'01 Org'!$H38,4)</f>
        <v>4</v>
      </c>
      <c r="AF38">
        <f>IF(AND('01 Org'!D38&lt;Tmax, NOT('01 Org'!$H38="")),'01 Org'!$H38,4)</f>
        <v>4</v>
      </c>
      <c r="AG38">
        <f>IF(AND('01 Org'!E38&lt;Tmax, NOT('01 Org'!$H38="")),'01 Org'!$H38,4)</f>
        <v>4</v>
      </c>
      <c r="AH38">
        <f>IF(AND('01 Org'!F38&lt;Tmax, NOT('01 Org'!$H38="")),'01 Org'!$H38,4)</f>
        <v>4</v>
      </c>
      <c r="AI38"/>
    </row>
    <row r="39" spans="1:35" ht="22.5" outlineLevel="2" x14ac:dyDescent="0.2">
      <c r="A39" s="908" t="s">
        <v>2588</v>
      </c>
      <c r="B39" s="636" t="s">
        <v>6149</v>
      </c>
      <c r="C39" s="909"/>
      <c r="D39" s="909"/>
      <c r="E39" s="909"/>
      <c r="F39" s="909"/>
      <c r="G39" s="1453">
        <v>2</v>
      </c>
      <c r="H39" s="1453">
        <v>3</v>
      </c>
      <c r="I39" s="1453"/>
      <c r="J39" s="1453" t="s">
        <v>2349</v>
      </c>
      <c r="K39" s="1453"/>
      <c r="L39" s="1453"/>
      <c r="M39" s="887"/>
      <c r="AA39">
        <f>IF(AND('01 Org'!C39&gt;Tmin, NOT('01 Org'!$I39="")),'01 Org'!$I39,0)</f>
        <v>0</v>
      </c>
      <c r="AB39">
        <f>IF(AND('01 Org'!D39&gt;Tmin, NOT('01 Org'!$I39="")),'01 Org'!$I39,0)</f>
        <v>0</v>
      </c>
      <c r="AC39">
        <f>IF(AND('01 Org'!E39&gt;Tmin, NOT('01 Org'!$I39="")),'01 Org'!$I39,0)</f>
        <v>0</v>
      </c>
      <c r="AD39">
        <f>IF(AND('01 Org'!F39&gt;Tmin, NOT('01 Org'!$I39="")),'01 Org'!$I39,0)</f>
        <v>0</v>
      </c>
      <c r="AE39">
        <f>IF(AND('01 Org'!C39&lt;Tmax, NOT('01 Org'!$H39="")),'01 Org'!$H39,4)</f>
        <v>3</v>
      </c>
      <c r="AF39">
        <f>IF(AND('01 Org'!D39&lt;Tmax, NOT('01 Org'!$H39="")),'01 Org'!$H39,4)</f>
        <v>3</v>
      </c>
      <c r="AG39">
        <f>IF(AND('01 Org'!E39&lt;Tmax, NOT('01 Org'!$H39="")),'01 Org'!$H39,4)</f>
        <v>3</v>
      </c>
      <c r="AH39">
        <f>IF(AND('01 Org'!F39&lt;Tmax, NOT('01 Org'!$H39="")),'01 Org'!$H39,4)</f>
        <v>3</v>
      </c>
      <c r="AI39"/>
    </row>
    <row r="40" spans="1:35" outlineLevel="1" x14ac:dyDescent="0.2">
      <c r="A40" s="633" t="s">
        <v>2549</v>
      </c>
      <c r="B40" s="634" t="s">
        <v>2550</v>
      </c>
      <c r="C40" s="909"/>
      <c r="D40" s="909"/>
      <c r="E40" s="909"/>
      <c r="F40" s="909"/>
      <c r="G40" s="1453"/>
      <c r="H40" s="1453"/>
      <c r="I40" s="1453"/>
      <c r="J40" s="1453"/>
      <c r="K40" s="1453"/>
      <c r="L40" s="1453"/>
      <c r="M40" s="887"/>
      <c r="AA40"/>
      <c r="AB40"/>
      <c r="AC40"/>
      <c r="AD40"/>
      <c r="AE40"/>
      <c r="AF40"/>
      <c r="AG40"/>
      <c r="AH40"/>
      <c r="AI40"/>
    </row>
    <row r="41" spans="1:35" ht="33.75" outlineLevel="2" x14ac:dyDescent="0.2">
      <c r="A41" s="908" t="s">
        <v>2130</v>
      </c>
      <c r="B41" s="636" t="s">
        <v>1079</v>
      </c>
      <c r="C41" s="909"/>
      <c r="D41" s="909"/>
      <c r="E41" s="909"/>
      <c r="F41" s="909"/>
      <c r="G41" s="1453">
        <v>4</v>
      </c>
      <c r="H41" s="1453">
        <v>2</v>
      </c>
      <c r="I41" s="1453"/>
      <c r="J41" s="1453" t="s">
        <v>4246</v>
      </c>
      <c r="K41" s="1453"/>
      <c r="L41" s="1453"/>
      <c r="M41" s="887"/>
      <c r="AA41">
        <f>IF(AND('01 Org'!C41&gt;Tmin, NOT('01 Org'!$I41="")),'01 Org'!$I41,0)</f>
        <v>0</v>
      </c>
      <c r="AB41">
        <f>IF(AND('01 Org'!D41&gt;Tmin, NOT('01 Org'!$I41="")),'01 Org'!$I41,0)</f>
        <v>0</v>
      </c>
      <c r="AC41">
        <f>IF(AND('01 Org'!E41&gt;Tmin, NOT('01 Org'!$I41="")),'01 Org'!$I41,0)</f>
        <v>0</v>
      </c>
      <c r="AD41">
        <f>IF(AND('01 Org'!F41&gt;Tmin, NOT('01 Org'!$I41="")),'01 Org'!$I41,0)</f>
        <v>0</v>
      </c>
      <c r="AE41">
        <f>IF(AND('01 Org'!C41&lt;Tmax, NOT('01 Org'!$H41="")),'01 Org'!$H41,4)</f>
        <v>2</v>
      </c>
      <c r="AF41">
        <f>IF(AND('01 Org'!D41&lt;Tmax, NOT('01 Org'!$H41="")),'01 Org'!$H41,4)</f>
        <v>2</v>
      </c>
      <c r="AG41">
        <f>IF(AND('01 Org'!E41&lt;Tmax, NOT('01 Org'!$H41="")),'01 Org'!$H41,4)</f>
        <v>2</v>
      </c>
      <c r="AH41">
        <f>IF(AND('01 Org'!F41&lt;Tmax, NOT('01 Org'!$H41="")),'01 Org'!$H41,4)</f>
        <v>2</v>
      </c>
      <c r="AI41"/>
    </row>
    <row r="42" spans="1:35" ht="22.5" outlineLevel="2" x14ac:dyDescent="0.2">
      <c r="A42" s="908" t="s">
        <v>1080</v>
      </c>
      <c r="B42" s="636" t="s">
        <v>5828</v>
      </c>
      <c r="C42" s="909"/>
      <c r="D42" s="909"/>
      <c r="E42" s="909"/>
      <c r="F42" s="909"/>
      <c r="G42" s="1453">
        <v>2</v>
      </c>
      <c r="H42" s="1453"/>
      <c r="I42" s="1453"/>
      <c r="J42" s="1453" t="s">
        <v>4246</v>
      </c>
      <c r="K42" s="1453"/>
      <c r="L42" s="1453"/>
      <c r="M42" s="887"/>
      <c r="AA42">
        <f>IF(AND('01 Org'!C42&gt;Tmin, NOT('01 Org'!$I42="")),'01 Org'!$I42,0)</f>
        <v>0</v>
      </c>
      <c r="AB42">
        <f>IF(AND('01 Org'!D42&gt;Tmin, NOT('01 Org'!$I42="")),'01 Org'!$I42,0)</f>
        <v>0</v>
      </c>
      <c r="AC42">
        <f>IF(AND('01 Org'!E42&gt;Tmin, NOT('01 Org'!$I42="")),'01 Org'!$I42,0)</f>
        <v>0</v>
      </c>
      <c r="AD42">
        <f>IF(AND('01 Org'!F42&gt;Tmin, NOT('01 Org'!$I42="")),'01 Org'!$I42,0)</f>
        <v>0</v>
      </c>
      <c r="AE42">
        <f>IF(AND('01 Org'!C42&lt;Tmax, NOT('01 Org'!$H42="")),'01 Org'!$H42,4)</f>
        <v>4</v>
      </c>
      <c r="AF42">
        <f>IF(AND('01 Org'!D42&lt;Tmax, NOT('01 Org'!$H42="")),'01 Org'!$H42,4)</f>
        <v>4</v>
      </c>
      <c r="AG42">
        <f>IF(AND('01 Org'!E42&lt;Tmax, NOT('01 Org'!$H42="")),'01 Org'!$H42,4)</f>
        <v>4</v>
      </c>
      <c r="AH42">
        <f>IF(AND('01 Org'!F42&lt;Tmax, NOT('01 Org'!$H42="")),'01 Org'!$H42,4)</f>
        <v>4</v>
      </c>
      <c r="AI42"/>
    </row>
    <row r="43" spans="1:35" ht="22.5" outlineLevel="2" x14ac:dyDescent="0.2">
      <c r="A43" s="908" t="s">
        <v>5829</v>
      </c>
      <c r="B43" s="636" t="s">
        <v>5830</v>
      </c>
      <c r="C43" s="909"/>
      <c r="D43" s="909"/>
      <c r="E43" s="909"/>
      <c r="F43" s="909"/>
      <c r="G43" s="1453">
        <v>4</v>
      </c>
      <c r="H43" s="1453">
        <v>2</v>
      </c>
      <c r="I43" s="1453"/>
      <c r="J43" s="1453" t="s">
        <v>1592</v>
      </c>
      <c r="K43" s="1453"/>
      <c r="L43" s="1453"/>
      <c r="M43" s="887"/>
      <c r="AA43">
        <f>IF(AND('01 Org'!C43&gt;Tmin, NOT('01 Org'!$I43="")),'01 Org'!$I43,0)</f>
        <v>0</v>
      </c>
      <c r="AB43">
        <f>IF(AND('01 Org'!D43&gt;Tmin, NOT('01 Org'!$I43="")),'01 Org'!$I43,0)</f>
        <v>0</v>
      </c>
      <c r="AC43">
        <f>IF(AND('01 Org'!E43&gt;Tmin, NOT('01 Org'!$I43="")),'01 Org'!$I43,0)</f>
        <v>0</v>
      </c>
      <c r="AD43">
        <f>IF(AND('01 Org'!F43&gt;Tmin, NOT('01 Org'!$I43="")),'01 Org'!$I43,0)</f>
        <v>0</v>
      </c>
      <c r="AE43">
        <f>IF(AND('01 Org'!C43&lt;Tmax, NOT('01 Org'!$H43="")),'01 Org'!$H43,4)</f>
        <v>2</v>
      </c>
      <c r="AF43">
        <f>IF(AND('01 Org'!D43&lt;Tmax, NOT('01 Org'!$H43="")),'01 Org'!$H43,4)</f>
        <v>2</v>
      </c>
      <c r="AG43">
        <f>IF(AND('01 Org'!E43&lt;Tmax, NOT('01 Org'!$H43="")),'01 Org'!$H43,4)</f>
        <v>2</v>
      </c>
      <c r="AH43">
        <f>IF(AND('01 Org'!F43&lt;Tmax, NOT('01 Org'!$H43="")),'01 Org'!$H43,4)</f>
        <v>2</v>
      </c>
      <c r="AI43"/>
    </row>
    <row r="44" spans="1:35" ht="22.5" outlineLevel="2" x14ac:dyDescent="0.2">
      <c r="A44" s="908" t="s">
        <v>5831</v>
      </c>
      <c r="B44" s="636" t="s">
        <v>5931</v>
      </c>
      <c r="C44" s="909"/>
      <c r="D44" s="909"/>
      <c r="E44" s="909"/>
      <c r="F44" s="909"/>
      <c r="G44" s="1453">
        <v>4</v>
      </c>
      <c r="H44" s="1453">
        <v>2</v>
      </c>
      <c r="I44" s="1453"/>
      <c r="J44" s="1453" t="s">
        <v>1592</v>
      </c>
      <c r="K44" s="1453"/>
      <c r="L44" s="1453"/>
      <c r="M44" s="887"/>
      <c r="AA44">
        <f>IF(AND('01 Org'!C44&gt;Tmin, NOT('01 Org'!$I44="")),'01 Org'!$I44,0)</f>
        <v>0</v>
      </c>
      <c r="AB44">
        <f>IF(AND('01 Org'!D44&gt;Tmin, NOT('01 Org'!$I44="")),'01 Org'!$I44,0)</f>
        <v>0</v>
      </c>
      <c r="AC44">
        <f>IF(AND('01 Org'!E44&gt;Tmin, NOT('01 Org'!$I44="")),'01 Org'!$I44,0)</f>
        <v>0</v>
      </c>
      <c r="AD44">
        <f>IF(AND('01 Org'!F44&gt;Tmin, NOT('01 Org'!$I44="")),'01 Org'!$I44,0)</f>
        <v>0</v>
      </c>
      <c r="AE44">
        <f>IF(AND('01 Org'!C44&lt;Tmax, NOT('01 Org'!$H44="")),'01 Org'!$H44,4)</f>
        <v>2</v>
      </c>
      <c r="AF44">
        <f>IF(AND('01 Org'!D44&lt;Tmax, NOT('01 Org'!$H44="")),'01 Org'!$H44,4)</f>
        <v>2</v>
      </c>
      <c r="AG44">
        <f>IF(AND('01 Org'!E44&lt;Tmax, NOT('01 Org'!$H44="")),'01 Org'!$H44,4)</f>
        <v>2</v>
      </c>
      <c r="AH44">
        <f>IF(AND('01 Org'!F44&lt;Tmax, NOT('01 Org'!$H44="")),'01 Org'!$H44,4)</f>
        <v>2</v>
      </c>
      <c r="AI44"/>
    </row>
    <row r="45" spans="1:35" outlineLevel="2" x14ac:dyDescent="0.2">
      <c r="A45" s="908" t="s">
        <v>5932</v>
      </c>
      <c r="B45" s="636" t="s">
        <v>5933</v>
      </c>
      <c r="C45" s="909"/>
      <c r="D45" s="909"/>
      <c r="E45" s="909"/>
      <c r="F45" s="909"/>
      <c r="G45" s="1453">
        <v>4</v>
      </c>
      <c r="H45" s="1453">
        <v>3</v>
      </c>
      <c r="I45" s="1453"/>
      <c r="J45" s="1453" t="s">
        <v>2349</v>
      </c>
      <c r="K45" s="1453"/>
      <c r="L45" s="1453"/>
      <c r="M45" s="887"/>
      <c r="AA45">
        <f>IF(AND('01 Org'!C45&gt;Tmin, NOT('01 Org'!$I45="")),'01 Org'!$I45,0)</f>
        <v>0</v>
      </c>
      <c r="AB45">
        <f>IF(AND('01 Org'!D45&gt;Tmin, NOT('01 Org'!$I45="")),'01 Org'!$I45,0)</f>
        <v>0</v>
      </c>
      <c r="AC45">
        <f>IF(AND('01 Org'!E45&gt;Tmin, NOT('01 Org'!$I45="")),'01 Org'!$I45,0)</f>
        <v>0</v>
      </c>
      <c r="AD45">
        <f>IF(AND('01 Org'!F45&gt;Tmin, NOT('01 Org'!$I45="")),'01 Org'!$I45,0)</f>
        <v>0</v>
      </c>
      <c r="AE45">
        <f>IF(AND('01 Org'!C45&lt;Tmax, NOT('01 Org'!$H45="")),'01 Org'!$H45,4)</f>
        <v>3</v>
      </c>
      <c r="AF45">
        <f>IF(AND('01 Org'!D45&lt;Tmax, NOT('01 Org'!$H45="")),'01 Org'!$H45,4)</f>
        <v>3</v>
      </c>
      <c r="AG45">
        <f>IF(AND('01 Org'!E45&lt;Tmax, NOT('01 Org'!$H45="")),'01 Org'!$H45,4)</f>
        <v>3</v>
      </c>
      <c r="AH45">
        <f>IF(AND('01 Org'!F45&lt;Tmax, NOT('01 Org'!$H45="")),'01 Org'!$H45,4)</f>
        <v>3</v>
      </c>
      <c r="AI45"/>
    </row>
    <row r="46" spans="1:35" x14ac:dyDescent="0.2">
      <c r="A46" s="910" t="s">
        <v>5934</v>
      </c>
      <c r="B46" s="644" t="s">
        <v>5935</v>
      </c>
      <c r="C46" s="909"/>
      <c r="D46" s="909"/>
      <c r="E46" s="909"/>
      <c r="F46" s="909"/>
      <c r="G46" s="1452"/>
      <c r="H46" s="1453"/>
      <c r="I46" s="1453"/>
      <c r="J46" s="1453"/>
      <c r="K46" s="1453"/>
      <c r="L46" s="1453"/>
      <c r="M46" s="887"/>
      <c r="AA46"/>
      <c r="AB46"/>
      <c r="AC46"/>
      <c r="AD46"/>
      <c r="AE46"/>
      <c r="AF46"/>
      <c r="AG46"/>
      <c r="AH46"/>
      <c r="AI46"/>
    </row>
    <row r="47" spans="1:35" ht="21.75" customHeight="1" outlineLevel="1" x14ac:dyDescent="0.2">
      <c r="A47" s="633" t="s">
        <v>2551</v>
      </c>
      <c r="B47" s="925" t="s">
        <v>3434</v>
      </c>
      <c r="C47" s="909"/>
      <c r="D47" s="909"/>
      <c r="E47" s="909"/>
      <c r="F47" s="909"/>
      <c r="G47" s="1453"/>
      <c r="H47" s="1453"/>
      <c r="I47" s="1453"/>
      <c r="J47" s="1453"/>
      <c r="K47" s="1453"/>
      <c r="L47" s="1453"/>
      <c r="M47" s="887"/>
      <c r="AA47"/>
      <c r="AB47"/>
      <c r="AC47"/>
      <c r="AD47"/>
      <c r="AE47"/>
      <c r="AF47"/>
      <c r="AG47"/>
      <c r="AH47"/>
      <c r="AI47"/>
    </row>
    <row r="48" spans="1:35" ht="22.5" outlineLevel="2" x14ac:dyDescent="0.2">
      <c r="A48" s="908" t="s">
        <v>5936</v>
      </c>
      <c r="B48" s="636" t="s">
        <v>6592</v>
      </c>
      <c r="C48" s="909"/>
      <c r="D48" s="909"/>
      <c r="E48" s="909"/>
      <c r="F48" s="909"/>
      <c r="G48" s="1453">
        <v>4</v>
      </c>
      <c r="H48" s="1453"/>
      <c r="I48" s="1453"/>
      <c r="J48" s="1453" t="s">
        <v>4246</v>
      </c>
      <c r="K48" s="1453" t="s">
        <v>2634</v>
      </c>
      <c r="L48" s="1453"/>
      <c r="M48" s="887"/>
      <c r="AA48">
        <f>IF(AND('01 Org'!C48&gt;Tmin, NOT('01 Org'!$I48="")),'01 Org'!$I48,0)</f>
        <v>0</v>
      </c>
      <c r="AB48">
        <f>IF(AND('01 Org'!D48&gt;Tmin, NOT('01 Org'!$I48="")),'01 Org'!$I48,0)</f>
        <v>0</v>
      </c>
      <c r="AC48">
        <f>IF(AND('01 Org'!E48&gt;Tmin, NOT('01 Org'!$I48="")),'01 Org'!$I48,0)</f>
        <v>0</v>
      </c>
      <c r="AD48">
        <f>IF(AND('01 Org'!F48&gt;Tmin, NOT('01 Org'!$I48="")),'01 Org'!$I48,0)</f>
        <v>0</v>
      </c>
      <c r="AE48">
        <f>IF(AND('01 Org'!C48&lt;Tmax, NOT('01 Org'!$H48="")),'01 Org'!$H48,4)</f>
        <v>4</v>
      </c>
      <c r="AF48">
        <f>IF(AND('01 Org'!D48&lt;Tmax, NOT('01 Org'!$H48="")),'01 Org'!$H48,4)</f>
        <v>4</v>
      </c>
      <c r="AG48">
        <f>IF(AND('01 Org'!E48&lt;Tmax, NOT('01 Org'!$H48="")),'01 Org'!$H48,4)</f>
        <v>4</v>
      </c>
      <c r="AH48">
        <f>IF(AND('01 Org'!F48&lt;Tmax, NOT('01 Org'!$H48="")),'01 Org'!$H48,4)</f>
        <v>4</v>
      </c>
      <c r="AI48"/>
    </row>
    <row r="49" spans="1:35" ht="22.5" outlineLevel="2" x14ac:dyDescent="0.2">
      <c r="A49" s="908" t="s">
        <v>6593</v>
      </c>
      <c r="B49" s="636" t="s">
        <v>1644</v>
      </c>
      <c r="C49" s="909"/>
      <c r="D49" s="909"/>
      <c r="E49" s="909"/>
      <c r="F49" s="909"/>
      <c r="G49" s="1453">
        <v>1</v>
      </c>
      <c r="H49" s="1453"/>
      <c r="I49" s="1453"/>
      <c r="J49" s="1453" t="s">
        <v>1592</v>
      </c>
      <c r="K49" s="1458" t="s">
        <v>6881</v>
      </c>
      <c r="L49" s="1453" t="s">
        <v>7255</v>
      </c>
      <c r="M49" s="887"/>
      <c r="AA49">
        <f>IF(AND('01 Org'!C49&gt;Tmin, NOT('01 Org'!$I49="")),'01 Org'!$I49,0)</f>
        <v>0</v>
      </c>
      <c r="AB49">
        <f>IF(AND('01 Org'!D49&gt;Tmin, NOT('01 Org'!$I49="")),'01 Org'!$I49,0)</f>
        <v>0</v>
      </c>
      <c r="AC49">
        <f>IF(AND('01 Org'!E49&gt;Tmin, NOT('01 Org'!$I49="")),'01 Org'!$I49,0)</f>
        <v>0</v>
      </c>
      <c r="AD49">
        <f>IF(AND('01 Org'!F49&gt;Tmin, NOT('01 Org'!$I49="")),'01 Org'!$I49,0)</f>
        <v>0</v>
      </c>
      <c r="AE49">
        <f>IF(AND('01 Org'!C49&lt;Tmax, NOT('01 Org'!$H49="")),'01 Org'!$H49,4)</f>
        <v>4</v>
      </c>
      <c r="AF49">
        <f>IF(AND('01 Org'!D49&lt;Tmax, NOT('01 Org'!$H49="")),'01 Org'!$H49,4)</f>
        <v>4</v>
      </c>
      <c r="AG49">
        <f>IF(AND('01 Org'!E49&lt;Tmax, NOT('01 Org'!$H49="")),'01 Org'!$H49,4)</f>
        <v>4</v>
      </c>
      <c r="AH49">
        <f>IF(AND('01 Org'!F49&lt;Tmax, NOT('01 Org'!$H49="")),'01 Org'!$H49,4)</f>
        <v>4</v>
      </c>
      <c r="AI49"/>
    </row>
    <row r="50" spans="1:35" ht="22.5" outlineLevel="2" x14ac:dyDescent="0.2">
      <c r="A50" s="908" t="s">
        <v>1645</v>
      </c>
      <c r="B50" s="636" t="s">
        <v>1646</v>
      </c>
      <c r="C50" s="909"/>
      <c r="D50" s="909"/>
      <c r="E50" s="909"/>
      <c r="F50" s="909"/>
      <c r="G50" s="1453">
        <v>1</v>
      </c>
      <c r="H50" s="1453"/>
      <c r="I50" s="1453"/>
      <c r="J50" s="1453" t="s">
        <v>1592</v>
      </c>
      <c r="K50" s="1453" t="s">
        <v>6882</v>
      </c>
      <c r="L50" s="1453" t="s">
        <v>7256</v>
      </c>
      <c r="M50" s="887"/>
      <c r="AA50">
        <f>IF(AND('01 Org'!C50&gt;Tmin, NOT('01 Org'!$I50="")),'01 Org'!$I50,0)</f>
        <v>0</v>
      </c>
      <c r="AB50">
        <f>IF(AND('01 Org'!D50&gt;Tmin, NOT('01 Org'!$I50="")),'01 Org'!$I50,0)</f>
        <v>0</v>
      </c>
      <c r="AC50">
        <f>IF(AND('01 Org'!E50&gt;Tmin, NOT('01 Org'!$I50="")),'01 Org'!$I50,0)</f>
        <v>0</v>
      </c>
      <c r="AD50">
        <f>IF(AND('01 Org'!F50&gt;Tmin, NOT('01 Org'!$I50="")),'01 Org'!$I50,0)</f>
        <v>0</v>
      </c>
      <c r="AE50">
        <f>IF(AND('01 Org'!C50&lt;Tmax, NOT('01 Org'!$H50="")),'01 Org'!$H50,4)</f>
        <v>4</v>
      </c>
      <c r="AF50">
        <f>IF(AND('01 Org'!D50&lt;Tmax, NOT('01 Org'!$H50="")),'01 Org'!$H50,4)</f>
        <v>4</v>
      </c>
      <c r="AG50">
        <f>IF(AND('01 Org'!E50&lt;Tmax, NOT('01 Org'!$H50="")),'01 Org'!$H50,4)</f>
        <v>4</v>
      </c>
      <c r="AH50">
        <f>IF(AND('01 Org'!F50&lt;Tmax, NOT('01 Org'!$H50="")),'01 Org'!$H50,4)</f>
        <v>4</v>
      </c>
      <c r="AI50"/>
    </row>
    <row r="51" spans="1:35" ht="22.5" outlineLevel="2" x14ac:dyDescent="0.2">
      <c r="A51" s="908" t="s">
        <v>3746</v>
      </c>
      <c r="B51" s="636" t="s">
        <v>3647</v>
      </c>
      <c r="C51" s="909"/>
      <c r="D51" s="909"/>
      <c r="E51" s="909"/>
      <c r="F51" s="909"/>
      <c r="G51" s="1453">
        <v>4</v>
      </c>
      <c r="H51" s="1453"/>
      <c r="I51" s="1453"/>
      <c r="J51" s="1453" t="s">
        <v>1592</v>
      </c>
      <c r="K51" s="1453" t="s">
        <v>3654</v>
      </c>
      <c r="L51" s="1453"/>
      <c r="M51" s="887"/>
      <c r="AA51">
        <f>IF(AND('01 Org'!C51&gt;Tmin, NOT('01 Org'!$I51="")),'01 Org'!$I51,0)</f>
        <v>0</v>
      </c>
      <c r="AB51">
        <f>IF(AND('01 Org'!D51&gt;Tmin, NOT('01 Org'!$I51="")),'01 Org'!$I51,0)</f>
        <v>0</v>
      </c>
      <c r="AC51">
        <f>IF(AND('01 Org'!E51&gt;Tmin, NOT('01 Org'!$I51="")),'01 Org'!$I51,0)</f>
        <v>0</v>
      </c>
      <c r="AD51">
        <f>IF(AND('01 Org'!F51&gt;Tmin, NOT('01 Org'!$I51="")),'01 Org'!$I51,0)</f>
        <v>0</v>
      </c>
      <c r="AE51">
        <f>IF(AND('01 Org'!C51&lt;Tmax, NOT('01 Org'!$H51="")),'01 Org'!$H51,4)</f>
        <v>4</v>
      </c>
      <c r="AF51">
        <f>IF(AND('01 Org'!D51&lt;Tmax, NOT('01 Org'!$H51="")),'01 Org'!$H51,4)</f>
        <v>4</v>
      </c>
      <c r="AG51">
        <f>IF(AND('01 Org'!E51&lt;Tmax, NOT('01 Org'!$H51="")),'01 Org'!$H51,4)</f>
        <v>4</v>
      </c>
      <c r="AH51">
        <f>IF(AND('01 Org'!F51&lt;Tmax, NOT('01 Org'!$H51="")),'01 Org'!$H51,4)</f>
        <v>4</v>
      </c>
      <c r="AI51"/>
    </row>
    <row r="52" spans="1:35" ht="22.5" outlineLevel="2" x14ac:dyDescent="0.2">
      <c r="A52" s="908" t="s">
        <v>3648</v>
      </c>
      <c r="B52" s="636" t="s">
        <v>3649</v>
      </c>
      <c r="C52" s="909"/>
      <c r="D52" s="909"/>
      <c r="E52" s="909"/>
      <c r="F52" s="909"/>
      <c r="G52" s="1453">
        <v>2</v>
      </c>
      <c r="H52" s="1453"/>
      <c r="I52" s="1453"/>
      <c r="J52" s="1453" t="s">
        <v>1592</v>
      </c>
      <c r="K52" s="1453" t="s">
        <v>5315</v>
      </c>
      <c r="L52" s="1453" t="s">
        <v>7257</v>
      </c>
      <c r="M52" s="887"/>
      <c r="AA52">
        <f>IF(AND('01 Org'!C52&gt;Tmin, NOT('01 Org'!$I52="")),'01 Org'!$I52,0)</f>
        <v>0</v>
      </c>
      <c r="AB52">
        <f>IF(AND('01 Org'!D52&gt;Tmin, NOT('01 Org'!$I52="")),'01 Org'!$I52,0)</f>
        <v>0</v>
      </c>
      <c r="AC52">
        <f>IF(AND('01 Org'!E52&gt;Tmin, NOT('01 Org'!$I52="")),'01 Org'!$I52,0)</f>
        <v>0</v>
      </c>
      <c r="AD52">
        <f>IF(AND('01 Org'!F52&gt;Tmin, NOT('01 Org'!$I52="")),'01 Org'!$I52,0)</f>
        <v>0</v>
      </c>
      <c r="AE52">
        <f>IF(AND('01 Org'!C52&lt;Tmax, NOT('01 Org'!$H52="")),'01 Org'!$H52,4)</f>
        <v>4</v>
      </c>
      <c r="AF52">
        <f>IF(AND('01 Org'!D52&lt;Tmax, NOT('01 Org'!$H52="")),'01 Org'!$H52,4)</f>
        <v>4</v>
      </c>
      <c r="AG52">
        <f>IF(AND('01 Org'!E52&lt;Tmax, NOT('01 Org'!$H52="")),'01 Org'!$H52,4)</f>
        <v>4</v>
      </c>
      <c r="AH52">
        <f>IF(AND('01 Org'!F52&lt;Tmax, NOT('01 Org'!$H52="")),'01 Org'!$H52,4)</f>
        <v>4</v>
      </c>
      <c r="AI52"/>
    </row>
    <row r="53" spans="1:35" outlineLevel="2" x14ac:dyDescent="0.2">
      <c r="A53" s="908" t="s">
        <v>3650</v>
      </c>
      <c r="B53" s="636" t="s">
        <v>3651</v>
      </c>
      <c r="C53" s="909"/>
      <c r="D53" s="909"/>
      <c r="E53" s="909"/>
      <c r="F53" s="909"/>
      <c r="G53" s="1453">
        <v>2</v>
      </c>
      <c r="H53" s="1453"/>
      <c r="I53" s="1453"/>
      <c r="J53" s="1453" t="s">
        <v>1592</v>
      </c>
      <c r="K53" s="1453"/>
      <c r="L53" s="1453"/>
      <c r="M53" s="887"/>
      <c r="AA53">
        <f>IF(AND('01 Org'!C53&gt;Tmin, NOT('01 Org'!$I53="")),'01 Org'!$I53,0)</f>
        <v>0</v>
      </c>
      <c r="AB53">
        <f>IF(AND('01 Org'!D53&gt;Tmin, NOT('01 Org'!$I53="")),'01 Org'!$I53,0)</f>
        <v>0</v>
      </c>
      <c r="AC53">
        <f>IF(AND('01 Org'!E53&gt;Tmin, NOT('01 Org'!$I53="")),'01 Org'!$I53,0)</f>
        <v>0</v>
      </c>
      <c r="AD53">
        <f>IF(AND('01 Org'!F53&gt;Tmin, NOT('01 Org'!$I53="")),'01 Org'!$I53,0)</f>
        <v>0</v>
      </c>
      <c r="AE53">
        <f>IF(AND('01 Org'!C53&lt;Tmax, NOT('01 Org'!$H53="")),'01 Org'!$H53,4)</f>
        <v>4</v>
      </c>
      <c r="AF53">
        <f>IF(AND('01 Org'!D53&lt;Tmax, NOT('01 Org'!$H53="")),'01 Org'!$H53,4)</f>
        <v>4</v>
      </c>
      <c r="AG53">
        <f>IF(AND('01 Org'!E53&lt;Tmax, NOT('01 Org'!$H53="")),'01 Org'!$H53,4)</f>
        <v>4</v>
      </c>
      <c r="AH53">
        <f>IF(AND('01 Org'!F53&lt;Tmax, NOT('01 Org'!$H53="")),'01 Org'!$H53,4)</f>
        <v>4</v>
      </c>
      <c r="AI53"/>
    </row>
    <row r="54" spans="1:35" outlineLevel="2" x14ac:dyDescent="0.2">
      <c r="A54" s="908" t="s">
        <v>3652</v>
      </c>
      <c r="B54" s="636" t="s">
        <v>3653</v>
      </c>
      <c r="C54" s="909"/>
      <c r="D54" s="909"/>
      <c r="E54" s="909"/>
      <c r="F54" s="909"/>
      <c r="G54" s="1453">
        <v>1</v>
      </c>
      <c r="H54" s="1453"/>
      <c r="I54" s="1453"/>
      <c r="J54" s="1453" t="s">
        <v>2329</v>
      </c>
      <c r="K54" s="1458" t="s">
        <v>6883</v>
      </c>
      <c r="L54" s="1453" t="s">
        <v>3654</v>
      </c>
      <c r="M54" s="887"/>
      <c r="AA54">
        <f>IF(AND('01 Org'!C54&gt;Tmin, NOT('01 Org'!$I54="")),'01 Org'!$I54,0)</f>
        <v>0</v>
      </c>
      <c r="AB54">
        <f>IF(AND('01 Org'!D54&gt;Tmin, NOT('01 Org'!$I54="")),'01 Org'!$I54,0)</f>
        <v>0</v>
      </c>
      <c r="AC54">
        <f>IF(AND('01 Org'!E54&gt;Tmin, NOT('01 Org'!$I54="")),'01 Org'!$I54,0)</f>
        <v>0</v>
      </c>
      <c r="AD54">
        <f>IF(AND('01 Org'!F54&gt;Tmin, NOT('01 Org'!$I54="")),'01 Org'!$I54,0)</f>
        <v>0</v>
      </c>
      <c r="AE54">
        <f>IF(AND('01 Org'!C54&lt;Tmax, NOT('01 Org'!$H54="")),'01 Org'!$H54,4)</f>
        <v>4</v>
      </c>
      <c r="AF54">
        <f>IF(AND('01 Org'!D54&lt;Tmax, NOT('01 Org'!$H54="")),'01 Org'!$H54,4)</f>
        <v>4</v>
      </c>
      <c r="AG54">
        <f>IF(AND('01 Org'!E54&lt;Tmax, NOT('01 Org'!$H54="")),'01 Org'!$H54,4)</f>
        <v>4</v>
      </c>
      <c r="AH54">
        <f>IF(AND('01 Org'!F54&lt;Tmax, NOT('01 Org'!$H54="")),'01 Org'!$H54,4)</f>
        <v>4</v>
      </c>
      <c r="AI54"/>
    </row>
    <row r="55" spans="1:35" ht="22.5" outlineLevel="2" x14ac:dyDescent="0.2">
      <c r="A55" s="908" t="s">
        <v>3655</v>
      </c>
      <c r="B55" s="636" t="s">
        <v>2628</v>
      </c>
      <c r="C55" s="909"/>
      <c r="D55" s="909"/>
      <c r="E55" s="909"/>
      <c r="F55" s="909"/>
      <c r="G55" s="1453">
        <v>2</v>
      </c>
      <c r="H55" s="1453"/>
      <c r="I55" s="1453"/>
      <c r="J55" s="1453" t="s">
        <v>1592</v>
      </c>
      <c r="K55" s="1453"/>
      <c r="L55" s="1453"/>
      <c r="M55" s="887"/>
      <c r="AA55">
        <f>IF(AND('01 Org'!C55&gt;Tmin, NOT('01 Org'!$I55="")),'01 Org'!$I55,0)</f>
        <v>0</v>
      </c>
      <c r="AB55">
        <f>IF(AND('01 Org'!D55&gt;Tmin, NOT('01 Org'!$I55="")),'01 Org'!$I55,0)</f>
        <v>0</v>
      </c>
      <c r="AC55">
        <f>IF(AND('01 Org'!E55&gt;Tmin, NOT('01 Org'!$I55="")),'01 Org'!$I55,0)</f>
        <v>0</v>
      </c>
      <c r="AD55">
        <f>IF(AND('01 Org'!F55&gt;Tmin, NOT('01 Org'!$I55="")),'01 Org'!$I55,0)</f>
        <v>0</v>
      </c>
      <c r="AE55">
        <f>IF(AND('01 Org'!C55&lt;Tmax, NOT('01 Org'!$H55="")),'01 Org'!$H55,4)</f>
        <v>4</v>
      </c>
      <c r="AF55">
        <f>IF(AND('01 Org'!D55&lt;Tmax, NOT('01 Org'!$H55="")),'01 Org'!$H55,4)</f>
        <v>4</v>
      </c>
      <c r="AG55">
        <f>IF(AND('01 Org'!E55&lt;Tmax, NOT('01 Org'!$H55="")),'01 Org'!$H55,4)</f>
        <v>4</v>
      </c>
      <c r="AH55">
        <f>IF(AND('01 Org'!F55&lt;Tmax, NOT('01 Org'!$H55="")),'01 Org'!$H55,4)</f>
        <v>4</v>
      </c>
      <c r="AI55"/>
    </row>
    <row r="56" spans="1:35" ht="23.25" customHeight="1" outlineLevel="2" x14ac:dyDescent="0.2">
      <c r="A56" s="908" t="s">
        <v>2629</v>
      </c>
      <c r="B56" s="636" t="s">
        <v>3574</v>
      </c>
      <c r="C56" s="909"/>
      <c r="D56" s="909"/>
      <c r="E56" s="909"/>
      <c r="F56" s="909"/>
      <c r="G56" s="1453">
        <v>1</v>
      </c>
      <c r="H56" s="1453"/>
      <c r="I56" s="1453"/>
      <c r="J56" s="1453" t="s">
        <v>1592</v>
      </c>
      <c r="K56" s="1453" t="s">
        <v>6884</v>
      </c>
      <c r="L56" s="1453" t="s">
        <v>3575</v>
      </c>
      <c r="M56" s="887"/>
      <c r="AA56">
        <f>IF(AND('01 Org'!C56&gt;Tmin, NOT('01 Org'!$I56="")),'01 Org'!$I56,0)</f>
        <v>0</v>
      </c>
      <c r="AB56">
        <f>IF(AND('01 Org'!D56&gt;Tmin, NOT('01 Org'!$I56="")),'01 Org'!$I56,0)</f>
        <v>0</v>
      </c>
      <c r="AC56">
        <f>IF(AND('01 Org'!E56&gt;Tmin, NOT('01 Org'!$I56="")),'01 Org'!$I56,0)</f>
        <v>0</v>
      </c>
      <c r="AD56">
        <f>IF(AND('01 Org'!F56&gt;Tmin, NOT('01 Org'!$I56="")),'01 Org'!$I56,0)</f>
        <v>0</v>
      </c>
      <c r="AE56">
        <f>IF(AND('01 Org'!C56&lt;Tmax, NOT('01 Org'!$H56="")),'01 Org'!$H56,4)</f>
        <v>4</v>
      </c>
      <c r="AF56">
        <f>IF(AND('01 Org'!D56&lt;Tmax, NOT('01 Org'!$H56="")),'01 Org'!$H56,4)</f>
        <v>4</v>
      </c>
      <c r="AG56">
        <f>IF(AND('01 Org'!E56&lt;Tmax, NOT('01 Org'!$H56="")),'01 Org'!$H56,4)</f>
        <v>4</v>
      </c>
      <c r="AH56">
        <f>IF(AND('01 Org'!F56&lt;Tmax, NOT('01 Org'!$H56="")),'01 Org'!$H56,4)</f>
        <v>4</v>
      </c>
      <c r="AI56"/>
    </row>
    <row r="57" spans="1:35" ht="22.5" outlineLevel="2" x14ac:dyDescent="0.2">
      <c r="A57" s="908" t="s">
        <v>3576</v>
      </c>
      <c r="B57" s="636" t="s">
        <v>58</v>
      </c>
      <c r="C57" s="909"/>
      <c r="D57" s="909"/>
      <c r="E57" s="909"/>
      <c r="F57" s="909"/>
      <c r="G57" s="1453">
        <v>2</v>
      </c>
      <c r="H57" s="1453"/>
      <c r="I57" s="1453"/>
      <c r="J57" s="1453" t="s">
        <v>1592</v>
      </c>
      <c r="K57" s="1453" t="s">
        <v>6177</v>
      </c>
      <c r="L57" s="1453" t="s">
        <v>59</v>
      </c>
      <c r="M57" s="887"/>
      <c r="AA57">
        <f>IF(AND('01 Org'!C57&gt;Tmin, NOT('01 Org'!$I57="")),'01 Org'!$I57,0)</f>
        <v>0</v>
      </c>
      <c r="AB57">
        <f>IF(AND('01 Org'!D57&gt;Tmin, NOT('01 Org'!$I57="")),'01 Org'!$I57,0)</f>
        <v>0</v>
      </c>
      <c r="AC57">
        <f>IF(AND('01 Org'!E57&gt;Tmin, NOT('01 Org'!$I57="")),'01 Org'!$I57,0)</f>
        <v>0</v>
      </c>
      <c r="AD57">
        <f>IF(AND('01 Org'!F57&gt;Tmin, NOT('01 Org'!$I57="")),'01 Org'!$I57,0)</f>
        <v>0</v>
      </c>
      <c r="AE57">
        <f>IF(AND('01 Org'!C57&lt;Tmax, NOT('01 Org'!$H57="")),'01 Org'!$H57,4)</f>
        <v>4</v>
      </c>
      <c r="AF57">
        <f>IF(AND('01 Org'!D57&lt;Tmax, NOT('01 Org'!$H57="")),'01 Org'!$H57,4)</f>
        <v>4</v>
      </c>
      <c r="AG57">
        <f>IF(AND('01 Org'!E57&lt;Tmax, NOT('01 Org'!$H57="")),'01 Org'!$H57,4)</f>
        <v>4</v>
      </c>
      <c r="AH57">
        <f>IF(AND('01 Org'!F57&lt;Tmax, NOT('01 Org'!$H57="")),'01 Org'!$H57,4)</f>
        <v>4</v>
      </c>
      <c r="AI57"/>
    </row>
    <row r="58" spans="1:35" outlineLevel="2" x14ac:dyDescent="0.2">
      <c r="A58" s="908" t="s">
        <v>60</v>
      </c>
      <c r="B58" s="636" t="s">
        <v>1589</v>
      </c>
      <c r="C58" s="909"/>
      <c r="D58" s="909"/>
      <c r="E58" s="909"/>
      <c r="F58" s="909"/>
      <c r="G58" s="1453">
        <v>2</v>
      </c>
      <c r="H58" s="1453">
        <v>3</v>
      </c>
      <c r="I58" s="1453"/>
      <c r="J58" s="1453" t="s">
        <v>2329</v>
      </c>
      <c r="K58" s="1453"/>
      <c r="L58" s="1453"/>
      <c r="M58" s="887"/>
      <c r="AA58">
        <f>IF(AND('01 Org'!C58&gt;Tmin, NOT('01 Org'!$I58="")),'01 Org'!$I58,0)</f>
        <v>0</v>
      </c>
      <c r="AB58">
        <f>IF(AND('01 Org'!D58&gt;Tmin, NOT('01 Org'!$I58="")),'01 Org'!$I58,0)</f>
        <v>0</v>
      </c>
      <c r="AC58">
        <f>IF(AND('01 Org'!E58&gt;Tmin, NOT('01 Org'!$I58="")),'01 Org'!$I58,0)</f>
        <v>0</v>
      </c>
      <c r="AD58">
        <f>IF(AND('01 Org'!F58&gt;Tmin, NOT('01 Org'!$I58="")),'01 Org'!$I58,0)</f>
        <v>0</v>
      </c>
      <c r="AE58">
        <f>IF(AND('01 Org'!C58&lt;Tmax, NOT('01 Org'!$H58="")),'01 Org'!$H58,4)</f>
        <v>3</v>
      </c>
      <c r="AF58">
        <f>IF(AND('01 Org'!D58&lt;Tmax, NOT('01 Org'!$H58="")),'01 Org'!$H58,4)</f>
        <v>3</v>
      </c>
      <c r="AG58">
        <f>IF(AND('01 Org'!E58&lt;Tmax, NOT('01 Org'!$H58="")),'01 Org'!$H58,4)</f>
        <v>3</v>
      </c>
      <c r="AH58">
        <f>IF(AND('01 Org'!F58&lt;Tmax, NOT('01 Org'!$H58="")),'01 Org'!$H58,4)</f>
        <v>3</v>
      </c>
      <c r="AI58"/>
    </row>
    <row r="59" spans="1:35" ht="22.5" outlineLevel="2" x14ac:dyDescent="0.2">
      <c r="A59" s="908" t="s">
        <v>1590</v>
      </c>
      <c r="B59" s="636" t="s">
        <v>4281</v>
      </c>
      <c r="C59" s="909"/>
      <c r="D59" s="909"/>
      <c r="E59" s="909"/>
      <c r="F59" s="909"/>
      <c r="G59" s="1453">
        <v>2</v>
      </c>
      <c r="H59" s="1453">
        <v>3</v>
      </c>
      <c r="I59" s="1453"/>
      <c r="J59" s="1453" t="s">
        <v>2349</v>
      </c>
      <c r="K59" s="1453" t="s">
        <v>6885</v>
      </c>
      <c r="L59" s="1453" t="s">
        <v>4282</v>
      </c>
      <c r="M59" s="887"/>
      <c r="AA59">
        <f>IF(AND('01 Org'!C59&gt;Tmin, NOT('01 Org'!$I59="")),'01 Org'!$I59,0)</f>
        <v>0</v>
      </c>
      <c r="AB59">
        <f>IF(AND('01 Org'!D59&gt;Tmin, NOT('01 Org'!$I59="")),'01 Org'!$I59,0)</f>
        <v>0</v>
      </c>
      <c r="AC59">
        <f>IF(AND('01 Org'!E59&gt;Tmin, NOT('01 Org'!$I59="")),'01 Org'!$I59,0)</f>
        <v>0</v>
      </c>
      <c r="AD59">
        <f>IF(AND('01 Org'!F59&gt;Tmin, NOT('01 Org'!$I59="")),'01 Org'!$I59,0)</f>
        <v>0</v>
      </c>
      <c r="AE59">
        <f>IF(AND('01 Org'!C59&lt;Tmax, NOT('01 Org'!$H59="")),'01 Org'!$H59,4)</f>
        <v>3</v>
      </c>
      <c r="AF59">
        <f>IF(AND('01 Org'!D59&lt;Tmax, NOT('01 Org'!$H59="")),'01 Org'!$H59,4)</f>
        <v>3</v>
      </c>
      <c r="AG59">
        <f>IF(AND('01 Org'!E59&lt;Tmax, NOT('01 Org'!$H59="")),'01 Org'!$H59,4)</f>
        <v>3</v>
      </c>
      <c r="AH59">
        <f>IF(AND('01 Org'!F59&lt;Tmax, NOT('01 Org'!$H59="")),'01 Org'!$H59,4)</f>
        <v>3</v>
      </c>
      <c r="AI59"/>
    </row>
    <row r="60" spans="1:35" outlineLevel="2" x14ac:dyDescent="0.2">
      <c r="A60" s="908" t="s">
        <v>4283</v>
      </c>
      <c r="B60" s="636" t="s">
        <v>4207</v>
      </c>
      <c r="C60" s="909"/>
      <c r="D60" s="909"/>
      <c r="E60" s="909"/>
      <c r="F60" s="909"/>
      <c r="G60" s="1453">
        <v>2</v>
      </c>
      <c r="H60" s="1453">
        <v>3</v>
      </c>
      <c r="I60" s="1453"/>
      <c r="J60" s="1453" t="s">
        <v>2349</v>
      </c>
      <c r="K60" s="1453"/>
      <c r="L60" s="1453"/>
      <c r="M60" s="887"/>
      <c r="AA60">
        <f>IF(AND('01 Org'!C60&gt;Tmin, NOT('01 Org'!$I60="")),'01 Org'!$I60,0)</f>
        <v>0</v>
      </c>
      <c r="AB60">
        <f>IF(AND('01 Org'!D60&gt;Tmin, NOT('01 Org'!$I60="")),'01 Org'!$I60,0)</f>
        <v>0</v>
      </c>
      <c r="AC60">
        <f>IF(AND('01 Org'!E60&gt;Tmin, NOT('01 Org'!$I60="")),'01 Org'!$I60,0)</f>
        <v>0</v>
      </c>
      <c r="AD60">
        <f>IF(AND('01 Org'!F60&gt;Tmin, NOT('01 Org'!$I60="")),'01 Org'!$I60,0)</f>
        <v>0</v>
      </c>
      <c r="AE60">
        <f>IF(AND('01 Org'!C60&lt;Tmax, NOT('01 Org'!$H60="")),'01 Org'!$H60,4)</f>
        <v>3</v>
      </c>
      <c r="AF60">
        <f>IF(AND('01 Org'!D60&lt;Tmax, NOT('01 Org'!$H60="")),'01 Org'!$H60,4)</f>
        <v>3</v>
      </c>
      <c r="AG60">
        <f>IF(AND('01 Org'!E60&lt;Tmax, NOT('01 Org'!$H60="")),'01 Org'!$H60,4)</f>
        <v>3</v>
      </c>
      <c r="AH60">
        <f>IF(AND('01 Org'!F60&lt;Tmax, NOT('01 Org'!$H60="")),'01 Org'!$H60,4)</f>
        <v>3</v>
      </c>
      <c r="AI60"/>
    </row>
    <row r="61" spans="1:35" outlineLevel="1" x14ac:dyDescent="0.2">
      <c r="A61" s="633" t="s">
        <v>3900</v>
      </c>
      <c r="B61" s="925" t="s">
        <v>2657</v>
      </c>
      <c r="C61" s="909"/>
      <c r="D61" s="909"/>
      <c r="E61" s="909"/>
      <c r="F61" s="909"/>
      <c r="G61" s="1453"/>
      <c r="H61" s="1453"/>
      <c r="I61" s="1453"/>
      <c r="J61" s="1453"/>
      <c r="K61" s="1453"/>
      <c r="L61" s="1453"/>
      <c r="M61" s="887"/>
      <c r="AA61"/>
      <c r="AB61"/>
      <c r="AC61"/>
      <c r="AD61"/>
      <c r="AE61"/>
      <c r="AF61"/>
      <c r="AG61"/>
      <c r="AH61"/>
      <c r="AI61"/>
    </row>
    <row r="62" spans="1:35" ht="22.5" outlineLevel="2" x14ac:dyDescent="0.2">
      <c r="A62" s="908" t="s">
        <v>4208</v>
      </c>
      <c r="B62" s="636" t="s">
        <v>3238</v>
      </c>
      <c r="C62" s="909"/>
      <c r="D62" s="909"/>
      <c r="E62" s="909"/>
      <c r="F62" s="909"/>
      <c r="G62" s="1453">
        <v>2</v>
      </c>
      <c r="H62" s="1453"/>
      <c r="I62" s="1453"/>
      <c r="J62" s="1453" t="s">
        <v>1592</v>
      </c>
      <c r="K62" s="1453"/>
      <c r="L62" s="1453" t="s">
        <v>7258</v>
      </c>
      <c r="M62" s="887"/>
      <c r="AA62">
        <f>IF(AND('01 Org'!C62&gt;Tmin, NOT('01 Org'!$I62="")),'01 Org'!$I62,0)</f>
        <v>0</v>
      </c>
      <c r="AB62">
        <f>IF(AND('01 Org'!D62&gt;Tmin, NOT('01 Org'!$I62="")),'01 Org'!$I62,0)</f>
        <v>0</v>
      </c>
      <c r="AC62">
        <f>IF(AND('01 Org'!E62&gt;Tmin, NOT('01 Org'!$I62="")),'01 Org'!$I62,0)</f>
        <v>0</v>
      </c>
      <c r="AD62">
        <f>IF(AND('01 Org'!F62&gt;Tmin, NOT('01 Org'!$I62="")),'01 Org'!$I62,0)</f>
        <v>0</v>
      </c>
      <c r="AE62">
        <f>IF(AND('01 Org'!C62&lt;Tmax, NOT('01 Org'!$H62="")),'01 Org'!$H62,4)</f>
        <v>4</v>
      </c>
      <c r="AF62">
        <f>IF(AND('01 Org'!D62&lt;Tmax, NOT('01 Org'!$H62="")),'01 Org'!$H62,4)</f>
        <v>4</v>
      </c>
      <c r="AG62">
        <f>IF(AND('01 Org'!E62&lt;Tmax, NOT('01 Org'!$H62="")),'01 Org'!$H62,4)</f>
        <v>4</v>
      </c>
      <c r="AH62">
        <f>IF(AND('01 Org'!F62&lt;Tmax, NOT('01 Org'!$H62="")),'01 Org'!$H62,4)</f>
        <v>4</v>
      </c>
      <c r="AI62"/>
    </row>
    <row r="63" spans="1:35" ht="33.75" outlineLevel="2" x14ac:dyDescent="0.2">
      <c r="A63" s="908" t="s">
        <v>3239</v>
      </c>
      <c r="B63" s="636" t="s">
        <v>3165</v>
      </c>
      <c r="C63" s="909"/>
      <c r="D63" s="909"/>
      <c r="E63" s="909"/>
      <c r="F63" s="909"/>
      <c r="G63" s="1453">
        <v>2</v>
      </c>
      <c r="H63" s="1453"/>
      <c r="I63" s="1453"/>
      <c r="J63" s="1453" t="s">
        <v>1592</v>
      </c>
      <c r="K63" s="1459" t="s">
        <v>6886</v>
      </c>
      <c r="L63" s="1453" t="s">
        <v>7236</v>
      </c>
      <c r="M63" s="887"/>
      <c r="AA63">
        <f>IF(AND('01 Org'!C63&gt;Tmin, NOT('01 Org'!$I63="")),'01 Org'!$I63,0)</f>
        <v>0</v>
      </c>
      <c r="AB63">
        <f>IF(AND('01 Org'!D63&gt;Tmin, NOT('01 Org'!$I63="")),'01 Org'!$I63,0)</f>
        <v>0</v>
      </c>
      <c r="AC63">
        <f>IF(AND('01 Org'!E63&gt;Tmin, NOT('01 Org'!$I63="")),'01 Org'!$I63,0)</f>
        <v>0</v>
      </c>
      <c r="AD63">
        <f>IF(AND('01 Org'!F63&gt;Tmin, NOT('01 Org'!$I63="")),'01 Org'!$I63,0)</f>
        <v>0</v>
      </c>
      <c r="AE63">
        <f>IF(AND('01 Org'!C63&lt;Tmax, NOT('01 Org'!$H63="")),'01 Org'!$H63,4)</f>
        <v>4</v>
      </c>
      <c r="AF63">
        <f>IF(AND('01 Org'!D63&lt;Tmax, NOT('01 Org'!$H63="")),'01 Org'!$H63,4)</f>
        <v>4</v>
      </c>
      <c r="AG63">
        <f>IF(AND('01 Org'!E63&lt;Tmax, NOT('01 Org'!$H63="")),'01 Org'!$H63,4)</f>
        <v>4</v>
      </c>
      <c r="AH63">
        <f>IF(AND('01 Org'!F63&lt;Tmax, NOT('01 Org'!$H63="")),'01 Org'!$H63,4)</f>
        <v>4</v>
      </c>
      <c r="AI63"/>
    </row>
    <row r="64" spans="1:35" ht="33.75" outlineLevel="2" x14ac:dyDescent="0.2">
      <c r="A64" s="908" t="s">
        <v>3166</v>
      </c>
      <c r="B64" s="636" t="s">
        <v>4485</v>
      </c>
      <c r="C64" s="909"/>
      <c r="D64" s="909"/>
      <c r="E64" s="909"/>
      <c r="F64" s="909"/>
      <c r="G64" s="1453">
        <v>2</v>
      </c>
      <c r="H64" s="1456"/>
      <c r="I64" s="1456"/>
      <c r="J64" s="1453" t="s">
        <v>1592</v>
      </c>
      <c r="K64" s="1458" t="s">
        <v>2666</v>
      </c>
      <c r="L64" s="1453" t="s">
        <v>7237</v>
      </c>
      <c r="M64" s="887"/>
      <c r="AA64">
        <f>IF(AND('01 Org'!C64&gt;Tmin, NOT('01 Org'!$I64="")),'01 Org'!$I64,0)</f>
        <v>0</v>
      </c>
      <c r="AB64">
        <f>IF(AND('01 Org'!D64&gt;Tmin, NOT('01 Org'!$I64="")),'01 Org'!$I64,0)</f>
        <v>0</v>
      </c>
      <c r="AC64">
        <f>IF(AND('01 Org'!E64&gt;Tmin, NOT('01 Org'!$I64="")),'01 Org'!$I64,0)</f>
        <v>0</v>
      </c>
      <c r="AD64">
        <f>IF(AND('01 Org'!F64&gt;Tmin, NOT('01 Org'!$I64="")),'01 Org'!$I64,0)</f>
        <v>0</v>
      </c>
      <c r="AE64">
        <f>IF(AND('01 Org'!C64&lt;Tmax, NOT('01 Org'!$H64="")),'01 Org'!$H64,4)</f>
        <v>4</v>
      </c>
      <c r="AF64">
        <f>IF(AND('01 Org'!D64&lt;Tmax, NOT('01 Org'!$H64="")),'01 Org'!$H64,4)</f>
        <v>4</v>
      </c>
      <c r="AG64">
        <f>IF(AND('01 Org'!E64&lt;Tmax, NOT('01 Org'!$H64="")),'01 Org'!$H64,4)</f>
        <v>4</v>
      </c>
      <c r="AH64">
        <f>IF(AND('01 Org'!F64&lt;Tmax, NOT('01 Org'!$H64="")),'01 Org'!$H64,4)</f>
        <v>4</v>
      </c>
      <c r="AI64"/>
    </row>
    <row r="65" spans="1:40" ht="22.5" outlineLevel="2" x14ac:dyDescent="0.2">
      <c r="A65" s="908" t="s">
        <v>4486</v>
      </c>
      <c r="B65" s="636" t="s">
        <v>4487</v>
      </c>
      <c r="C65" s="909"/>
      <c r="D65" s="909"/>
      <c r="E65" s="909"/>
      <c r="F65" s="909"/>
      <c r="G65" s="1453">
        <v>2</v>
      </c>
      <c r="H65" s="1456"/>
      <c r="I65" s="1456"/>
      <c r="J65" s="1453" t="s">
        <v>1592</v>
      </c>
      <c r="K65" s="1453" t="s">
        <v>6887</v>
      </c>
      <c r="L65" s="1453" t="s">
        <v>7238</v>
      </c>
      <c r="M65" s="887"/>
      <c r="AA65">
        <f>IF(AND('01 Org'!C65&gt;Tmin, NOT('01 Org'!$I65="")),'01 Org'!$I65,0)</f>
        <v>0</v>
      </c>
      <c r="AB65">
        <f>IF(AND('01 Org'!D65&gt;Tmin, NOT('01 Org'!$I65="")),'01 Org'!$I65,0)</f>
        <v>0</v>
      </c>
      <c r="AC65">
        <f>IF(AND('01 Org'!E65&gt;Tmin, NOT('01 Org'!$I65="")),'01 Org'!$I65,0)</f>
        <v>0</v>
      </c>
      <c r="AD65">
        <f>IF(AND('01 Org'!F65&gt;Tmin, NOT('01 Org'!$I65="")),'01 Org'!$I65,0)</f>
        <v>0</v>
      </c>
      <c r="AE65">
        <f>IF(AND('01 Org'!C65&lt;Tmax, NOT('01 Org'!$H65="")),'01 Org'!$H65,4)</f>
        <v>4</v>
      </c>
      <c r="AF65">
        <f>IF(AND('01 Org'!D65&lt;Tmax, NOT('01 Org'!$H65="")),'01 Org'!$H65,4)</f>
        <v>4</v>
      </c>
      <c r="AG65">
        <f>IF(AND('01 Org'!E65&lt;Tmax, NOT('01 Org'!$H65="")),'01 Org'!$H65,4)</f>
        <v>4</v>
      </c>
      <c r="AH65">
        <f>IF(AND('01 Org'!F65&lt;Tmax, NOT('01 Org'!$H65="")),'01 Org'!$H65,4)</f>
        <v>4</v>
      </c>
      <c r="AI65"/>
    </row>
    <row r="66" spans="1:40" ht="22.5" outlineLevel="2" x14ac:dyDescent="0.2">
      <c r="A66" s="908" t="s">
        <v>4460</v>
      </c>
      <c r="B66" s="636" t="s">
        <v>5924</v>
      </c>
      <c r="C66" s="909"/>
      <c r="D66" s="909"/>
      <c r="E66" s="909"/>
      <c r="F66" s="909"/>
      <c r="G66" s="1453">
        <v>2</v>
      </c>
      <c r="H66" s="1456"/>
      <c r="I66" s="1456"/>
      <c r="J66" s="1453" t="s">
        <v>1592</v>
      </c>
      <c r="K66" s="1453" t="s">
        <v>6888</v>
      </c>
      <c r="L66" s="1453" t="s">
        <v>7239</v>
      </c>
      <c r="M66" s="887"/>
      <c r="AA66">
        <f>IF(AND('01 Org'!C66&gt;Tmin, NOT('01 Org'!$I66="")),'01 Org'!$I66,0)</f>
        <v>0</v>
      </c>
      <c r="AB66">
        <f>IF(AND('01 Org'!D66&gt;Tmin, NOT('01 Org'!$I66="")),'01 Org'!$I66,0)</f>
        <v>0</v>
      </c>
      <c r="AC66">
        <f>IF(AND('01 Org'!E66&gt;Tmin, NOT('01 Org'!$I66="")),'01 Org'!$I66,0)</f>
        <v>0</v>
      </c>
      <c r="AD66">
        <f>IF(AND('01 Org'!F66&gt;Tmin, NOT('01 Org'!$I66="")),'01 Org'!$I66,0)</f>
        <v>0</v>
      </c>
      <c r="AE66">
        <f>IF(AND('01 Org'!C66&lt;Tmax, NOT('01 Org'!$H66="")),'01 Org'!$H66,4)</f>
        <v>4</v>
      </c>
      <c r="AF66">
        <f>IF(AND('01 Org'!D66&lt;Tmax, NOT('01 Org'!$H66="")),'01 Org'!$H66,4)</f>
        <v>4</v>
      </c>
      <c r="AG66">
        <f>IF(AND('01 Org'!E66&lt;Tmax, NOT('01 Org'!$H66="")),'01 Org'!$H66,4)</f>
        <v>4</v>
      </c>
      <c r="AH66">
        <f>IF(AND('01 Org'!F66&lt;Tmax, NOT('01 Org'!$H66="")),'01 Org'!$H66,4)</f>
        <v>4</v>
      </c>
      <c r="AI66"/>
    </row>
    <row r="67" spans="1:40" ht="22.5" outlineLevel="2" x14ac:dyDescent="0.2">
      <c r="A67" s="908" t="s">
        <v>4462</v>
      </c>
      <c r="B67" s="636" t="s">
        <v>3463</v>
      </c>
      <c r="C67" s="909"/>
      <c r="D67" s="909"/>
      <c r="E67" s="909"/>
      <c r="F67" s="909"/>
      <c r="G67" s="1453">
        <v>2</v>
      </c>
      <c r="H67" s="1456"/>
      <c r="I67" s="1456"/>
      <c r="J67" s="1453" t="s">
        <v>1592</v>
      </c>
      <c r="K67" s="1458" t="s">
        <v>3118</v>
      </c>
      <c r="L67" s="1453" t="s">
        <v>7240</v>
      </c>
      <c r="M67" s="887"/>
      <c r="AA67">
        <f>IF(AND('01 Org'!C67&gt;Tmin, NOT('01 Org'!$I67="")),'01 Org'!$I67,0)</f>
        <v>0</v>
      </c>
      <c r="AB67">
        <f>IF(AND('01 Org'!D67&gt;Tmin, NOT('01 Org'!$I67="")),'01 Org'!$I67,0)</f>
        <v>0</v>
      </c>
      <c r="AC67">
        <f>IF(AND('01 Org'!E67&gt;Tmin, NOT('01 Org'!$I67="")),'01 Org'!$I67,0)</f>
        <v>0</v>
      </c>
      <c r="AD67">
        <f>IF(AND('01 Org'!F67&gt;Tmin, NOT('01 Org'!$I67="")),'01 Org'!$I67,0)</f>
        <v>0</v>
      </c>
      <c r="AE67">
        <f>IF(AND('01 Org'!C67&lt;Tmax, NOT('01 Org'!$H67="")),'01 Org'!$H67,4)</f>
        <v>4</v>
      </c>
      <c r="AF67">
        <f>IF(AND('01 Org'!D67&lt;Tmax, NOT('01 Org'!$H67="")),'01 Org'!$H67,4)</f>
        <v>4</v>
      </c>
      <c r="AG67">
        <f>IF(AND('01 Org'!E67&lt;Tmax, NOT('01 Org'!$H67="")),'01 Org'!$H67,4)</f>
        <v>4</v>
      </c>
      <c r="AH67">
        <f>IF(AND('01 Org'!F67&lt;Tmax, NOT('01 Org'!$H67="")),'01 Org'!$H67,4)</f>
        <v>4</v>
      </c>
      <c r="AI67"/>
    </row>
    <row r="68" spans="1:40" ht="22.5" outlineLevel="2" x14ac:dyDescent="0.2">
      <c r="A68" s="908" t="s">
        <v>3464</v>
      </c>
      <c r="B68" s="636" t="s">
        <v>5867</v>
      </c>
      <c r="C68" s="909"/>
      <c r="D68" s="909"/>
      <c r="E68" s="909"/>
      <c r="F68" s="909"/>
      <c r="G68" s="1453">
        <v>2</v>
      </c>
      <c r="H68" s="1456"/>
      <c r="I68" s="1456"/>
      <c r="J68" s="1453" t="s">
        <v>1592</v>
      </c>
      <c r="K68" s="1453" t="s">
        <v>6889</v>
      </c>
      <c r="L68" s="1453" t="s">
        <v>7241</v>
      </c>
      <c r="M68" s="887"/>
      <c r="AA68">
        <f>IF(AND('01 Org'!C68&gt;Tmin, NOT('01 Org'!$I68="")),'01 Org'!$I68,0)</f>
        <v>0</v>
      </c>
      <c r="AB68">
        <f>IF(AND('01 Org'!D68&gt;Tmin, NOT('01 Org'!$I68="")),'01 Org'!$I68,0)</f>
        <v>0</v>
      </c>
      <c r="AC68">
        <f>IF(AND('01 Org'!E68&gt;Tmin, NOT('01 Org'!$I68="")),'01 Org'!$I68,0)</f>
        <v>0</v>
      </c>
      <c r="AD68">
        <f>IF(AND('01 Org'!F68&gt;Tmin, NOT('01 Org'!$I68="")),'01 Org'!$I68,0)</f>
        <v>0</v>
      </c>
      <c r="AE68">
        <f>IF(AND('01 Org'!C68&lt;Tmax, NOT('01 Org'!$H68="")),'01 Org'!$H68,4)</f>
        <v>4</v>
      </c>
      <c r="AF68">
        <f>IF(AND('01 Org'!D68&lt;Tmax, NOT('01 Org'!$H68="")),'01 Org'!$H68,4)</f>
        <v>4</v>
      </c>
      <c r="AG68">
        <f>IF(AND('01 Org'!E68&lt;Tmax, NOT('01 Org'!$H68="")),'01 Org'!$H68,4)</f>
        <v>4</v>
      </c>
      <c r="AH68">
        <f>IF(AND('01 Org'!F68&lt;Tmax, NOT('01 Org'!$H68="")),'01 Org'!$H68,4)</f>
        <v>4</v>
      </c>
      <c r="AI68"/>
    </row>
    <row r="69" spans="1:40" ht="22.5" outlineLevel="2" x14ac:dyDescent="0.2">
      <c r="A69" s="908" t="s">
        <v>5868</v>
      </c>
      <c r="B69" s="636" t="s">
        <v>5130</v>
      </c>
      <c r="C69" s="909"/>
      <c r="D69" s="909"/>
      <c r="E69" s="909"/>
      <c r="F69" s="909"/>
      <c r="G69" s="1453">
        <v>2</v>
      </c>
      <c r="H69" s="1456"/>
      <c r="I69" s="1456"/>
      <c r="J69" s="1453" t="s">
        <v>1592</v>
      </c>
      <c r="K69" s="1458" t="s">
        <v>6890</v>
      </c>
      <c r="L69" s="1453" t="s">
        <v>7242</v>
      </c>
      <c r="M69" s="887"/>
      <c r="AA69">
        <f>IF(AND('01 Org'!C69&gt;Tmin, NOT('01 Org'!$I69="")),'01 Org'!$I69,0)</f>
        <v>0</v>
      </c>
      <c r="AB69">
        <f>IF(AND('01 Org'!D69&gt;Tmin, NOT('01 Org'!$I69="")),'01 Org'!$I69,0)</f>
        <v>0</v>
      </c>
      <c r="AC69">
        <f>IF(AND('01 Org'!E69&gt;Tmin, NOT('01 Org'!$I69="")),'01 Org'!$I69,0)</f>
        <v>0</v>
      </c>
      <c r="AD69">
        <f>IF(AND('01 Org'!F69&gt;Tmin, NOT('01 Org'!$I69="")),'01 Org'!$I69,0)</f>
        <v>0</v>
      </c>
      <c r="AE69">
        <f>IF(AND('01 Org'!C69&lt;Tmax, NOT('01 Org'!$H69="")),'01 Org'!$H69,4)</f>
        <v>4</v>
      </c>
      <c r="AF69">
        <f>IF(AND('01 Org'!D69&lt;Tmax, NOT('01 Org'!$H69="")),'01 Org'!$H69,4)</f>
        <v>4</v>
      </c>
      <c r="AG69">
        <f>IF(AND('01 Org'!E69&lt;Tmax, NOT('01 Org'!$H69="")),'01 Org'!$H69,4)</f>
        <v>4</v>
      </c>
      <c r="AH69">
        <f>IF(AND('01 Org'!F69&lt;Tmax, NOT('01 Org'!$H69="")),'01 Org'!$H69,4)</f>
        <v>4</v>
      </c>
      <c r="AI69"/>
    </row>
    <row r="70" spans="1:40" s="924" customFormat="1" ht="22.5" outlineLevel="2" x14ac:dyDescent="0.2">
      <c r="A70" s="908" t="s">
        <v>5131</v>
      </c>
      <c r="B70" s="636" t="s">
        <v>5071</v>
      </c>
      <c r="C70" s="909"/>
      <c r="D70" s="909"/>
      <c r="E70" s="909"/>
      <c r="F70" s="909"/>
      <c r="G70" s="1453">
        <v>2</v>
      </c>
      <c r="H70" s="1456"/>
      <c r="I70" s="1456"/>
      <c r="J70" s="1453" t="s">
        <v>4246</v>
      </c>
      <c r="K70" s="1459" t="s">
        <v>6891</v>
      </c>
      <c r="L70" s="1453" t="s">
        <v>5072</v>
      </c>
      <c r="M70" s="887"/>
      <c r="N70" s="888"/>
      <c r="O70" s="888"/>
      <c r="P70" s="888"/>
      <c r="Q70" s="888"/>
      <c r="R70" s="888"/>
      <c r="S70" s="888"/>
      <c r="T70" s="888"/>
      <c r="U70" s="888"/>
      <c r="V70" s="888"/>
      <c r="W70" s="888"/>
      <c r="X70" s="888"/>
      <c r="Y70" s="888"/>
      <c r="Z70" s="888"/>
      <c r="AA70">
        <f>IF(AND('01 Org'!C70&gt;Tmin, NOT('01 Org'!$I70="")),'01 Org'!$I70,0)</f>
        <v>0</v>
      </c>
      <c r="AB70">
        <f>IF(AND('01 Org'!D70&gt;Tmin, NOT('01 Org'!$I70="")),'01 Org'!$I70,0)</f>
        <v>0</v>
      </c>
      <c r="AC70">
        <f>IF(AND('01 Org'!E70&gt;Tmin, NOT('01 Org'!$I70="")),'01 Org'!$I70,0)</f>
        <v>0</v>
      </c>
      <c r="AD70">
        <f>IF(AND('01 Org'!F70&gt;Tmin, NOT('01 Org'!$I70="")),'01 Org'!$I70,0)</f>
        <v>0</v>
      </c>
      <c r="AE70">
        <f>IF(AND('01 Org'!C70&lt;Tmax, NOT('01 Org'!$H70="")),'01 Org'!$H70,4)</f>
        <v>4</v>
      </c>
      <c r="AF70">
        <f>IF(AND('01 Org'!D70&lt;Tmax, NOT('01 Org'!$H70="")),'01 Org'!$H70,4)</f>
        <v>4</v>
      </c>
      <c r="AG70">
        <f>IF(AND('01 Org'!E70&lt;Tmax, NOT('01 Org'!$H70="")),'01 Org'!$H70,4)</f>
        <v>4</v>
      </c>
      <c r="AH70">
        <f>IF(AND('01 Org'!F70&lt;Tmax, NOT('01 Org'!$H70="")),'01 Org'!$H70,4)</f>
        <v>4</v>
      </c>
      <c r="AI70"/>
      <c r="AJ70" s="923"/>
      <c r="AK70" s="923"/>
      <c r="AL70" s="923"/>
      <c r="AM70" s="923"/>
      <c r="AN70" s="923"/>
    </row>
    <row r="71" spans="1:40" ht="22.5" outlineLevel="2" x14ac:dyDescent="0.2">
      <c r="A71" s="908" t="s">
        <v>5073</v>
      </c>
      <c r="B71" s="636" t="s">
        <v>3196</v>
      </c>
      <c r="C71" s="909"/>
      <c r="D71" s="909"/>
      <c r="E71" s="909"/>
      <c r="F71" s="909"/>
      <c r="G71" s="1453">
        <v>2</v>
      </c>
      <c r="H71" s="1456"/>
      <c r="I71" s="1456"/>
      <c r="J71" s="1453" t="s">
        <v>1592</v>
      </c>
      <c r="K71" s="1453" t="s">
        <v>6892</v>
      </c>
      <c r="L71" s="1453" t="s">
        <v>3197</v>
      </c>
      <c r="M71" s="887"/>
      <c r="AA71">
        <f>IF(AND('01 Org'!C71&gt;Tmin, NOT('01 Org'!$I71="")),'01 Org'!$I71,0)</f>
        <v>0</v>
      </c>
      <c r="AB71">
        <f>IF(AND('01 Org'!D71&gt;Tmin, NOT('01 Org'!$I71="")),'01 Org'!$I71,0)</f>
        <v>0</v>
      </c>
      <c r="AC71">
        <f>IF(AND('01 Org'!E71&gt;Tmin, NOT('01 Org'!$I71="")),'01 Org'!$I71,0)</f>
        <v>0</v>
      </c>
      <c r="AD71">
        <f>IF(AND('01 Org'!F71&gt;Tmin, NOT('01 Org'!$I71="")),'01 Org'!$I71,0)</f>
        <v>0</v>
      </c>
      <c r="AE71">
        <f>IF(AND('01 Org'!C71&lt;Tmax, NOT('01 Org'!$H71="")),'01 Org'!$H71,4)</f>
        <v>4</v>
      </c>
      <c r="AF71">
        <f>IF(AND('01 Org'!D71&lt;Tmax, NOT('01 Org'!$H71="")),'01 Org'!$H71,4)</f>
        <v>4</v>
      </c>
      <c r="AG71">
        <f>IF(AND('01 Org'!E71&lt;Tmax, NOT('01 Org'!$H71="")),'01 Org'!$H71,4)</f>
        <v>4</v>
      </c>
      <c r="AH71">
        <f>IF(AND('01 Org'!F71&lt;Tmax, NOT('01 Org'!$H71="")),'01 Org'!$H71,4)</f>
        <v>4</v>
      </c>
      <c r="AI71"/>
    </row>
    <row r="72" spans="1:40" ht="22.5" outlineLevel="2" x14ac:dyDescent="0.2">
      <c r="A72" s="908" t="s">
        <v>3198</v>
      </c>
      <c r="B72" s="636" t="s">
        <v>3199</v>
      </c>
      <c r="C72" s="909"/>
      <c r="D72" s="909"/>
      <c r="E72" s="909"/>
      <c r="F72" s="909"/>
      <c r="G72" s="1453">
        <v>4</v>
      </c>
      <c r="H72" s="1456">
        <v>2</v>
      </c>
      <c r="I72" s="1456"/>
      <c r="J72" s="1453" t="s">
        <v>1592</v>
      </c>
      <c r="K72" s="1453" t="s">
        <v>3654</v>
      </c>
      <c r="L72" s="1453"/>
      <c r="M72" s="887"/>
      <c r="AA72">
        <f>IF(AND('01 Org'!C72&gt;Tmin, NOT('01 Org'!$I72="")),'01 Org'!$I72,0)</f>
        <v>0</v>
      </c>
      <c r="AB72">
        <f>IF(AND('01 Org'!D72&gt;Tmin, NOT('01 Org'!$I72="")),'01 Org'!$I72,0)</f>
        <v>0</v>
      </c>
      <c r="AC72">
        <f>IF(AND('01 Org'!E72&gt;Tmin, NOT('01 Org'!$I72="")),'01 Org'!$I72,0)</f>
        <v>0</v>
      </c>
      <c r="AD72">
        <f>IF(AND('01 Org'!F72&gt;Tmin, NOT('01 Org'!$I72="")),'01 Org'!$I72,0)</f>
        <v>0</v>
      </c>
      <c r="AE72">
        <f>IF(AND('01 Org'!C72&lt;Tmax, NOT('01 Org'!$H72="")),'01 Org'!$H72,4)</f>
        <v>2</v>
      </c>
      <c r="AF72">
        <f>IF(AND('01 Org'!D72&lt;Tmax, NOT('01 Org'!$H72="")),'01 Org'!$H72,4)</f>
        <v>2</v>
      </c>
      <c r="AG72">
        <f>IF(AND('01 Org'!E72&lt;Tmax, NOT('01 Org'!$H72="")),'01 Org'!$H72,4)</f>
        <v>2</v>
      </c>
      <c r="AH72">
        <f>IF(AND('01 Org'!F72&lt;Tmax, NOT('01 Org'!$H72="")),'01 Org'!$H72,4)</f>
        <v>2</v>
      </c>
      <c r="AI72"/>
    </row>
    <row r="73" spans="1:40" ht="22.5" outlineLevel="2" x14ac:dyDescent="0.2">
      <c r="A73" s="908" t="s">
        <v>3200</v>
      </c>
      <c r="B73" s="636" t="s">
        <v>3153</v>
      </c>
      <c r="C73" s="909"/>
      <c r="D73" s="909"/>
      <c r="E73" s="909"/>
      <c r="F73" s="909"/>
      <c r="G73" s="1453">
        <v>4</v>
      </c>
      <c r="H73" s="1456">
        <v>2</v>
      </c>
      <c r="I73" s="1456"/>
      <c r="J73" s="1453" t="s">
        <v>1592</v>
      </c>
      <c r="K73" s="1453"/>
      <c r="L73" s="1453"/>
      <c r="M73" s="887"/>
      <c r="AA73">
        <f>IF(AND('01 Org'!C73&gt;Tmin, NOT('01 Org'!$I73="")),'01 Org'!$I73,0)</f>
        <v>0</v>
      </c>
      <c r="AB73">
        <f>IF(AND('01 Org'!D73&gt;Tmin, NOT('01 Org'!$I73="")),'01 Org'!$I73,0)</f>
        <v>0</v>
      </c>
      <c r="AC73">
        <f>IF(AND('01 Org'!E73&gt;Tmin, NOT('01 Org'!$I73="")),'01 Org'!$I73,0)</f>
        <v>0</v>
      </c>
      <c r="AD73">
        <f>IF(AND('01 Org'!F73&gt;Tmin, NOT('01 Org'!$I73="")),'01 Org'!$I73,0)</f>
        <v>0</v>
      </c>
      <c r="AE73">
        <f>IF(AND('01 Org'!C73&lt;Tmax, NOT('01 Org'!$H73="")),'01 Org'!$H73,4)</f>
        <v>2</v>
      </c>
      <c r="AF73">
        <f>IF(AND('01 Org'!D73&lt;Tmax, NOT('01 Org'!$H73="")),'01 Org'!$H73,4)</f>
        <v>2</v>
      </c>
      <c r="AG73">
        <f>IF(AND('01 Org'!E73&lt;Tmax, NOT('01 Org'!$H73="")),'01 Org'!$H73,4)</f>
        <v>2</v>
      </c>
      <c r="AH73">
        <f>IF(AND('01 Org'!F73&lt;Tmax, NOT('01 Org'!$H73="")),'01 Org'!$H73,4)</f>
        <v>2</v>
      </c>
      <c r="AI73"/>
    </row>
    <row r="74" spans="1:40" ht="22.5" outlineLevel="2" x14ac:dyDescent="0.2">
      <c r="A74" s="908" t="s">
        <v>2686</v>
      </c>
      <c r="B74" s="636" t="s">
        <v>2687</v>
      </c>
      <c r="C74" s="909"/>
      <c r="D74" s="909"/>
      <c r="E74" s="909"/>
      <c r="F74" s="909"/>
      <c r="G74" s="1453">
        <v>2</v>
      </c>
      <c r="H74" s="1456">
        <v>3</v>
      </c>
      <c r="I74" s="1456"/>
      <c r="J74" s="1453" t="s">
        <v>2349</v>
      </c>
      <c r="K74" s="1453"/>
      <c r="L74" s="1453"/>
      <c r="M74" s="887"/>
      <c r="AA74">
        <f>IF(AND('01 Org'!C74&gt;Tmin, NOT('01 Org'!$I74="")),'01 Org'!$I74,0)</f>
        <v>0</v>
      </c>
      <c r="AB74">
        <f>IF(AND('01 Org'!D74&gt;Tmin, NOT('01 Org'!$I74="")),'01 Org'!$I74,0)</f>
        <v>0</v>
      </c>
      <c r="AC74">
        <f>IF(AND('01 Org'!E74&gt;Tmin, NOT('01 Org'!$I74="")),'01 Org'!$I74,0)</f>
        <v>0</v>
      </c>
      <c r="AD74">
        <f>IF(AND('01 Org'!F74&gt;Tmin, NOT('01 Org'!$I74="")),'01 Org'!$I74,0)</f>
        <v>0</v>
      </c>
      <c r="AE74">
        <f>IF(AND('01 Org'!C74&lt;Tmax, NOT('01 Org'!$H74="")),'01 Org'!$H74,4)</f>
        <v>3</v>
      </c>
      <c r="AF74">
        <f>IF(AND('01 Org'!D74&lt;Tmax, NOT('01 Org'!$H74="")),'01 Org'!$H74,4)</f>
        <v>3</v>
      </c>
      <c r="AG74">
        <f>IF(AND('01 Org'!E74&lt;Tmax, NOT('01 Org'!$H74="")),'01 Org'!$H74,4)</f>
        <v>3</v>
      </c>
      <c r="AH74">
        <f>IF(AND('01 Org'!F74&lt;Tmax, NOT('01 Org'!$H74="")),'01 Org'!$H74,4)</f>
        <v>3</v>
      </c>
      <c r="AI74"/>
    </row>
    <row r="75" spans="1:40" outlineLevel="1" x14ac:dyDescent="0.2">
      <c r="A75" s="633" t="s">
        <v>117</v>
      </c>
      <c r="B75" s="925" t="s">
        <v>2688</v>
      </c>
      <c r="C75" s="909"/>
      <c r="D75" s="909"/>
      <c r="E75" s="909"/>
      <c r="F75" s="909"/>
      <c r="G75" s="1453"/>
      <c r="H75" s="1453"/>
      <c r="I75" s="1453"/>
      <c r="J75" s="1453"/>
      <c r="K75" s="1453"/>
      <c r="L75" s="1453"/>
      <c r="M75" s="887"/>
      <c r="AA75"/>
      <c r="AB75"/>
      <c r="AC75"/>
      <c r="AD75"/>
      <c r="AE75"/>
      <c r="AF75"/>
      <c r="AG75"/>
      <c r="AH75"/>
      <c r="AI75"/>
    </row>
    <row r="76" spans="1:40" ht="33.75" outlineLevel="2" x14ac:dyDescent="0.2">
      <c r="A76" s="908" t="s">
        <v>2689</v>
      </c>
      <c r="B76" s="636" t="s">
        <v>3750</v>
      </c>
      <c r="C76" s="909"/>
      <c r="D76" s="909"/>
      <c r="E76" s="909"/>
      <c r="F76" s="909"/>
      <c r="G76" s="1453">
        <v>4</v>
      </c>
      <c r="H76" s="1456"/>
      <c r="I76" s="1456"/>
      <c r="J76" s="1453" t="s">
        <v>4246</v>
      </c>
      <c r="K76" s="1453" t="s">
        <v>3924</v>
      </c>
      <c r="L76" s="1453"/>
      <c r="M76" s="887"/>
      <c r="AA76">
        <f>IF(AND('01 Org'!C76&gt;Tmin, NOT('01 Org'!$I76="")),'01 Org'!$I76,0)</f>
        <v>0</v>
      </c>
      <c r="AB76">
        <f>IF(AND('01 Org'!D76&gt;Tmin, NOT('01 Org'!$I76="")),'01 Org'!$I76,0)</f>
        <v>0</v>
      </c>
      <c r="AC76">
        <f>IF(AND('01 Org'!E76&gt;Tmin, NOT('01 Org'!$I76="")),'01 Org'!$I76,0)</f>
        <v>0</v>
      </c>
      <c r="AD76">
        <f>IF(AND('01 Org'!F76&gt;Tmin, NOT('01 Org'!$I76="")),'01 Org'!$I76,0)</f>
        <v>0</v>
      </c>
      <c r="AE76">
        <f>IF(AND('01 Org'!C76&lt;Tmax, NOT('01 Org'!$H76="")),'01 Org'!$H76,4)</f>
        <v>4</v>
      </c>
      <c r="AF76">
        <f>IF(AND('01 Org'!D76&lt;Tmax, NOT('01 Org'!$H76="")),'01 Org'!$H76,4)</f>
        <v>4</v>
      </c>
      <c r="AG76">
        <f>IF(AND('01 Org'!E76&lt;Tmax, NOT('01 Org'!$H76="")),'01 Org'!$H76,4)</f>
        <v>4</v>
      </c>
      <c r="AH76">
        <f>IF(AND('01 Org'!F76&lt;Tmax, NOT('01 Org'!$H76="")),'01 Org'!$H76,4)</f>
        <v>4</v>
      </c>
      <c r="AI76"/>
    </row>
    <row r="77" spans="1:40" outlineLevel="2" x14ac:dyDescent="0.2">
      <c r="A77" s="908" t="s">
        <v>3751</v>
      </c>
      <c r="B77" s="636" t="s">
        <v>2630</v>
      </c>
      <c r="C77" s="909"/>
      <c r="D77" s="909"/>
      <c r="E77" s="909"/>
      <c r="F77" s="909"/>
      <c r="G77" s="1453">
        <v>1</v>
      </c>
      <c r="H77" s="1456"/>
      <c r="I77" s="1456"/>
      <c r="J77" s="1453" t="s">
        <v>1592</v>
      </c>
      <c r="K77" s="1453" t="s">
        <v>6893</v>
      </c>
      <c r="L77" s="1453" t="s">
        <v>2631</v>
      </c>
      <c r="M77" s="887"/>
      <c r="AA77">
        <f>IF(AND('01 Org'!C77&gt;Tmin, NOT('01 Org'!$I77="")),'01 Org'!$I77,0)</f>
        <v>0</v>
      </c>
      <c r="AB77">
        <f>IF(AND('01 Org'!D77&gt;Tmin, NOT('01 Org'!$I77="")),'01 Org'!$I77,0)</f>
        <v>0</v>
      </c>
      <c r="AC77">
        <f>IF(AND('01 Org'!E77&gt;Tmin, NOT('01 Org'!$I77="")),'01 Org'!$I77,0)</f>
        <v>0</v>
      </c>
      <c r="AD77">
        <f>IF(AND('01 Org'!F77&gt;Tmin, NOT('01 Org'!$I77="")),'01 Org'!$I77,0)</f>
        <v>0</v>
      </c>
      <c r="AE77">
        <f>IF(AND('01 Org'!C77&lt;Tmax, NOT('01 Org'!$H77="")),'01 Org'!$H77,4)</f>
        <v>4</v>
      </c>
      <c r="AF77">
        <f>IF(AND('01 Org'!D77&lt;Tmax, NOT('01 Org'!$H77="")),'01 Org'!$H77,4)</f>
        <v>4</v>
      </c>
      <c r="AG77">
        <f>IF(AND('01 Org'!E77&lt;Tmax, NOT('01 Org'!$H77="")),'01 Org'!$H77,4)</f>
        <v>4</v>
      </c>
      <c r="AH77">
        <f>IF(AND('01 Org'!F77&lt;Tmax, NOT('01 Org'!$H77="")),'01 Org'!$H77,4)</f>
        <v>4</v>
      </c>
      <c r="AI77"/>
    </row>
    <row r="78" spans="1:40" ht="22.5" outlineLevel="2" x14ac:dyDescent="0.2">
      <c r="A78" s="908" t="s">
        <v>2632</v>
      </c>
      <c r="B78" s="636" t="s">
        <v>2633</v>
      </c>
      <c r="C78" s="909"/>
      <c r="D78" s="909"/>
      <c r="E78" s="909"/>
      <c r="F78" s="909"/>
      <c r="G78" s="1453">
        <v>4</v>
      </c>
      <c r="H78" s="1453">
        <v>1</v>
      </c>
      <c r="I78" s="1453">
        <v>2</v>
      </c>
      <c r="J78" s="1453" t="s">
        <v>1592</v>
      </c>
      <c r="K78" s="1453" t="s">
        <v>3924</v>
      </c>
      <c r="L78" s="1453" t="s">
        <v>2634</v>
      </c>
      <c r="M78" s="887"/>
      <c r="AA78">
        <f>IF(AND('01 Org'!C78&gt;Tmin, NOT('01 Org'!$I78="")),'01 Org'!$I78,0)</f>
        <v>0</v>
      </c>
      <c r="AB78">
        <f>IF(AND('01 Org'!D78&gt;Tmin, NOT('01 Org'!$I78="")),'01 Org'!$I78,0)</f>
        <v>0</v>
      </c>
      <c r="AC78">
        <f>IF(AND('01 Org'!E78&gt;Tmin, NOT('01 Org'!$I78="")),'01 Org'!$I78,0)</f>
        <v>0</v>
      </c>
      <c r="AD78">
        <f>IF(AND('01 Org'!F78&gt;Tmin, NOT('01 Org'!$I78="")),'01 Org'!$I78,0)</f>
        <v>0</v>
      </c>
      <c r="AE78">
        <f>IF(AND('01 Org'!C78&lt;Tmax, NOT('01 Org'!$H78="")),'01 Org'!$H78,4)</f>
        <v>1</v>
      </c>
      <c r="AF78">
        <f>IF(AND('01 Org'!D78&lt;Tmax, NOT('01 Org'!$H78="")),'01 Org'!$H78,4)</f>
        <v>1</v>
      </c>
      <c r="AG78">
        <f>IF(AND('01 Org'!E78&lt;Tmax, NOT('01 Org'!$H78="")),'01 Org'!$H78,4)</f>
        <v>1</v>
      </c>
      <c r="AH78">
        <f>IF(AND('01 Org'!F78&lt;Tmax, NOT('01 Org'!$H78="")),'01 Org'!$H78,4)</f>
        <v>1</v>
      </c>
      <c r="AI78"/>
    </row>
    <row r="79" spans="1:40" outlineLevel="2" x14ac:dyDescent="0.2">
      <c r="A79" s="908" t="s">
        <v>2635</v>
      </c>
      <c r="B79" s="636" t="s">
        <v>2636</v>
      </c>
      <c r="C79" s="909"/>
      <c r="D79" s="909"/>
      <c r="E79" s="909"/>
      <c r="F79" s="909"/>
      <c r="G79" s="1453">
        <v>2</v>
      </c>
      <c r="H79" s="1453">
        <v>2</v>
      </c>
      <c r="I79" s="1453"/>
      <c r="J79" s="1453" t="s">
        <v>1592</v>
      </c>
      <c r="K79" s="1453" t="s">
        <v>3924</v>
      </c>
      <c r="L79" s="1453"/>
      <c r="M79" s="887"/>
      <c r="AA79">
        <f>IF(AND('01 Org'!C79&gt;Tmin, NOT('01 Org'!$I79="")),'01 Org'!$I79,0)</f>
        <v>0</v>
      </c>
      <c r="AB79">
        <f>IF(AND('01 Org'!D79&gt;Tmin, NOT('01 Org'!$I79="")),'01 Org'!$I79,0)</f>
        <v>0</v>
      </c>
      <c r="AC79">
        <f>IF(AND('01 Org'!E79&gt;Tmin, NOT('01 Org'!$I79="")),'01 Org'!$I79,0)</f>
        <v>0</v>
      </c>
      <c r="AD79">
        <f>IF(AND('01 Org'!F79&gt;Tmin, NOT('01 Org'!$I79="")),'01 Org'!$I79,0)</f>
        <v>0</v>
      </c>
      <c r="AE79">
        <f>IF(AND('01 Org'!C79&lt;Tmax, NOT('01 Org'!$H79="")),'01 Org'!$H79,4)</f>
        <v>2</v>
      </c>
      <c r="AF79">
        <f>IF(AND('01 Org'!D79&lt;Tmax, NOT('01 Org'!$H79="")),'01 Org'!$H79,4)</f>
        <v>2</v>
      </c>
      <c r="AG79">
        <f>IF(AND('01 Org'!E79&lt;Tmax, NOT('01 Org'!$H79="")),'01 Org'!$H79,4)</f>
        <v>2</v>
      </c>
      <c r="AH79">
        <f>IF(AND('01 Org'!F79&lt;Tmax, NOT('01 Org'!$H79="")),'01 Org'!$H79,4)</f>
        <v>2</v>
      </c>
      <c r="AI79"/>
    </row>
    <row r="80" spans="1:40" ht="22.5" outlineLevel="2" x14ac:dyDescent="0.2">
      <c r="A80" s="908" t="s">
        <v>2637</v>
      </c>
      <c r="B80" s="636" t="s">
        <v>2638</v>
      </c>
      <c r="C80" s="909"/>
      <c r="D80" s="909"/>
      <c r="E80" s="909"/>
      <c r="F80" s="909"/>
      <c r="G80" s="1453">
        <v>4</v>
      </c>
      <c r="H80" s="1453"/>
      <c r="I80" s="1453"/>
      <c r="J80" s="1453" t="s">
        <v>1592</v>
      </c>
      <c r="K80" s="1453"/>
      <c r="L80" s="1453"/>
      <c r="M80" s="887"/>
      <c r="AA80">
        <f>IF(AND('01 Org'!C80&gt;Tmin, NOT('01 Org'!$I80="")),'01 Org'!$I80,0)</f>
        <v>0</v>
      </c>
      <c r="AB80">
        <f>IF(AND('01 Org'!D80&gt;Tmin, NOT('01 Org'!$I80="")),'01 Org'!$I80,0)</f>
        <v>0</v>
      </c>
      <c r="AC80">
        <f>IF(AND('01 Org'!E80&gt;Tmin, NOT('01 Org'!$I80="")),'01 Org'!$I80,0)</f>
        <v>0</v>
      </c>
      <c r="AD80">
        <f>IF(AND('01 Org'!F80&gt;Tmin, NOT('01 Org'!$I80="")),'01 Org'!$I80,0)</f>
        <v>0</v>
      </c>
      <c r="AE80">
        <f>IF(AND('01 Org'!C80&lt;Tmax, NOT('01 Org'!$H80="")),'01 Org'!$H80,4)</f>
        <v>4</v>
      </c>
      <c r="AF80">
        <f>IF(AND('01 Org'!D80&lt;Tmax, NOT('01 Org'!$H80="")),'01 Org'!$H80,4)</f>
        <v>4</v>
      </c>
      <c r="AG80">
        <f>IF(AND('01 Org'!E80&lt;Tmax, NOT('01 Org'!$H80="")),'01 Org'!$H80,4)</f>
        <v>4</v>
      </c>
      <c r="AH80">
        <f>IF(AND('01 Org'!F80&lt;Tmax, NOT('01 Org'!$H80="")),'01 Org'!$H80,4)</f>
        <v>4</v>
      </c>
      <c r="AI80"/>
    </row>
    <row r="81" spans="1:35" outlineLevel="2" x14ac:dyDescent="0.2">
      <c r="A81" s="908" t="s">
        <v>2639</v>
      </c>
      <c r="B81" s="636" t="s">
        <v>2636</v>
      </c>
      <c r="C81" s="909"/>
      <c r="D81" s="909"/>
      <c r="E81" s="909"/>
      <c r="F81" s="909"/>
      <c r="G81" s="1453">
        <v>2</v>
      </c>
      <c r="H81" s="1453"/>
      <c r="I81" s="1453"/>
      <c r="J81" s="1453" t="s">
        <v>1592</v>
      </c>
      <c r="K81" s="1453"/>
      <c r="L81" s="1453"/>
      <c r="M81" s="887"/>
      <c r="AA81">
        <f>IF(AND('01 Org'!C81&gt;Tmin, NOT('01 Org'!$I81="")),'01 Org'!$I81,0)</f>
        <v>0</v>
      </c>
      <c r="AB81">
        <f>IF(AND('01 Org'!D81&gt;Tmin, NOT('01 Org'!$I81="")),'01 Org'!$I81,0)</f>
        <v>0</v>
      </c>
      <c r="AC81">
        <f>IF(AND('01 Org'!E81&gt;Tmin, NOT('01 Org'!$I81="")),'01 Org'!$I81,0)</f>
        <v>0</v>
      </c>
      <c r="AD81">
        <f>IF(AND('01 Org'!F81&gt;Tmin, NOT('01 Org'!$I81="")),'01 Org'!$I81,0)</f>
        <v>0</v>
      </c>
      <c r="AE81">
        <f>IF(AND('01 Org'!C81&lt;Tmax, NOT('01 Org'!$H81="")),'01 Org'!$H81,4)</f>
        <v>4</v>
      </c>
      <c r="AF81">
        <f>IF(AND('01 Org'!D81&lt;Tmax, NOT('01 Org'!$H81="")),'01 Org'!$H81,4)</f>
        <v>4</v>
      </c>
      <c r="AG81">
        <f>IF(AND('01 Org'!E81&lt;Tmax, NOT('01 Org'!$H81="")),'01 Org'!$H81,4)</f>
        <v>4</v>
      </c>
      <c r="AH81">
        <f>IF(AND('01 Org'!F81&lt;Tmax, NOT('01 Org'!$H81="")),'01 Org'!$H81,4)</f>
        <v>4</v>
      </c>
      <c r="AI81"/>
    </row>
    <row r="82" spans="1:35" ht="22.5" outlineLevel="2" x14ac:dyDescent="0.2">
      <c r="A82" s="908" t="s">
        <v>2640</v>
      </c>
      <c r="B82" s="636" t="s">
        <v>4533</v>
      </c>
      <c r="C82" s="909"/>
      <c r="D82" s="909"/>
      <c r="E82" s="909"/>
      <c r="F82" s="909"/>
      <c r="G82" s="1453">
        <v>4</v>
      </c>
      <c r="H82" s="1453"/>
      <c r="I82" s="1453"/>
      <c r="J82" s="1453" t="s">
        <v>1592</v>
      </c>
      <c r="K82" s="1453"/>
      <c r="L82" s="1453"/>
      <c r="M82" s="887"/>
      <c r="AA82">
        <f>IF(AND('01 Org'!C82&gt;Tmin, NOT('01 Org'!$I82="")),'01 Org'!$I82,0)</f>
        <v>0</v>
      </c>
      <c r="AB82">
        <f>IF(AND('01 Org'!D82&gt;Tmin, NOT('01 Org'!$I82="")),'01 Org'!$I82,0)</f>
        <v>0</v>
      </c>
      <c r="AC82">
        <f>IF(AND('01 Org'!E82&gt;Tmin, NOT('01 Org'!$I82="")),'01 Org'!$I82,0)</f>
        <v>0</v>
      </c>
      <c r="AD82">
        <f>IF(AND('01 Org'!F82&gt;Tmin, NOT('01 Org'!$I82="")),'01 Org'!$I82,0)</f>
        <v>0</v>
      </c>
      <c r="AE82">
        <f>IF(AND('01 Org'!C82&lt;Tmax, NOT('01 Org'!$H82="")),'01 Org'!$H82,4)</f>
        <v>4</v>
      </c>
      <c r="AF82">
        <f>IF(AND('01 Org'!D82&lt;Tmax, NOT('01 Org'!$H82="")),'01 Org'!$H82,4)</f>
        <v>4</v>
      </c>
      <c r="AG82">
        <f>IF(AND('01 Org'!E82&lt;Tmax, NOT('01 Org'!$H82="")),'01 Org'!$H82,4)</f>
        <v>4</v>
      </c>
      <c r="AH82">
        <f>IF(AND('01 Org'!F82&lt;Tmax, NOT('01 Org'!$H82="")),'01 Org'!$H82,4)</f>
        <v>4</v>
      </c>
      <c r="AI82"/>
    </row>
    <row r="83" spans="1:35" outlineLevel="2" x14ac:dyDescent="0.2">
      <c r="A83" s="908" t="s">
        <v>4534</v>
      </c>
      <c r="B83" s="636" t="s">
        <v>2636</v>
      </c>
      <c r="C83" s="909"/>
      <c r="D83" s="909"/>
      <c r="E83" s="909"/>
      <c r="F83" s="909"/>
      <c r="G83" s="1453">
        <v>4</v>
      </c>
      <c r="H83" s="1453"/>
      <c r="I83" s="1453"/>
      <c r="J83" s="1453" t="s">
        <v>1592</v>
      </c>
      <c r="K83" s="1453"/>
      <c r="L83" s="1453"/>
      <c r="M83" s="887"/>
      <c r="AA83">
        <f>IF(AND('01 Org'!C83&gt;Tmin, NOT('01 Org'!$I83="")),'01 Org'!$I83,0)</f>
        <v>0</v>
      </c>
      <c r="AB83">
        <f>IF(AND('01 Org'!D83&gt;Tmin, NOT('01 Org'!$I83="")),'01 Org'!$I83,0)</f>
        <v>0</v>
      </c>
      <c r="AC83">
        <f>IF(AND('01 Org'!E83&gt;Tmin, NOT('01 Org'!$I83="")),'01 Org'!$I83,0)</f>
        <v>0</v>
      </c>
      <c r="AD83">
        <f>IF(AND('01 Org'!F83&gt;Tmin, NOT('01 Org'!$I83="")),'01 Org'!$I83,0)</f>
        <v>0</v>
      </c>
      <c r="AE83">
        <f>IF(AND('01 Org'!C83&lt;Tmax, NOT('01 Org'!$H83="")),'01 Org'!$H83,4)</f>
        <v>4</v>
      </c>
      <c r="AF83">
        <f>IF(AND('01 Org'!D83&lt;Tmax, NOT('01 Org'!$H83="")),'01 Org'!$H83,4)</f>
        <v>4</v>
      </c>
      <c r="AG83">
        <f>IF(AND('01 Org'!E83&lt;Tmax, NOT('01 Org'!$H83="")),'01 Org'!$H83,4)</f>
        <v>4</v>
      </c>
      <c r="AH83">
        <f>IF(AND('01 Org'!F83&lt;Tmax, NOT('01 Org'!$H83="")),'01 Org'!$H83,4)</f>
        <v>4</v>
      </c>
      <c r="AI83"/>
    </row>
    <row r="84" spans="1:35" outlineLevel="2" x14ac:dyDescent="0.2">
      <c r="A84" s="908" t="s">
        <v>4535</v>
      </c>
      <c r="B84" s="636" t="s">
        <v>4536</v>
      </c>
      <c r="C84" s="909"/>
      <c r="D84" s="909"/>
      <c r="E84" s="909"/>
      <c r="F84" s="909"/>
      <c r="G84" s="1453">
        <v>4</v>
      </c>
      <c r="H84" s="1453">
        <v>2</v>
      </c>
      <c r="I84" s="1453"/>
      <c r="J84" s="1452" t="s">
        <v>1592</v>
      </c>
      <c r="K84" s="1453"/>
      <c r="L84" s="1453"/>
      <c r="M84" s="887"/>
      <c r="AA84">
        <f>IF(AND('01 Org'!C84&gt;Tmin, NOT('01 Org'!$I84="")),'01 Org'!$I84,0)</f>
        <v>0</v>
      </c>
      <c r="AB84">
        <f>IF(AND('01 Org'!D84&gt;Tmin, NOT('01 Org'!$I84="")),'01 Org'!$I84,0)</f>
        <v>0</v>
      </c>
      <c r="AC84">
        <f>IF(AND('01 Org'!E84&gt;Tmin, NOT('01 Org'!$I84="")),'01 Org'!$I84,0)</f>
        <v>0</v>
      </c>
      <c r="AD84">
        <f>IF(AND('01 Org'!F84&gt;Tmin, NOT('01 Org'!$I84="")),'01 Org'!$I84,0)</f>
        <v>0</v>
      </c>
      <c r="AE84">
        <f>IF(AND('01 Org'!C84&lt;Tmax, NOT('01 Org'!$H84="")),'01 Org'!$H84,4)</f>
        <v>2</v>
      </c>
      <c r="AF84">
        <f>IF(AND('01 Org'!D84&lt;Tmax, NOT('01 Org'!$H84="")),'01 Org'!$H84,4)</f>
        <v>2</v>
      </c>
      <c r="AG84">
        <f>IF(AND('01 Org'!E84&lt;Tmax, NOT('01 Org'!$H84="")),'01 Org'!$H84,4)</f>
        <v>2</v>
      </c>
      <c r="AH84">
        <f>IF(AND('01 Org'!F84&lt;Tmax, NOT('01 Org'!$H84="")),'01 Org'!$H84,4)</f>
        <v>2</v>
      </c>
      <c r="AI84"/>
    </row>
    <row r="85" spans="1:35" outlineLevel="2" x14ac:dyDescent="0.2">
      <c r="A85" s="908" t="s">
        <v>4537</v>
      </c>
      <c r="B85" s="636" t="s">
        <v>4538</v>
      </c>
      <c r="C85" s="909"/>
      <c r="D85" s="909"/>
      <c r="E85" s="909"/>
      <c r="F85" s="909"/>
      <c r="G85" s="1453">
        <v>4</v>
      </c>
      <c r="H85" s="1453">
        <v>3</v>
      </c>
      <c r="I85" s="1453"/>
      <c r="J85" s="1453" t="s">
        <v>2329</v>
      </c>
      <c r="K85" s="1453" t="s">
        <v>3924</v>
      </c>
      <c r="L85" s="1453" t="s">
        <v>2634</v>
      </c>
      <c r="M85" s="887"/>
      <c r="AA85">
        <f>IF(AND('01 Org'!C85&gt;Tmin, NOT('01 Org'!$I85="")),'01 Org'!$I85,0)</f>
        <v>0</v>
      </c>
      <c r="AB85">
        <f>IF(AND('01 Org'!D85&gt;Tmin, NOT('01 Org'!$I85="")),'01 Org'!$I85,0)</f>
        <v>0</v>
      </c>
      <c r="AC85">
        <f>IF(AND('01 Org'!E85&gt;Tmin, NOT('01 Org'!$I85="")),'01 Org'!$I85,0)</f>
        <v>0</v>
      </c>
      <c r="AD85">
        <f>IF(AND('01 Org'!F85&gt;Tmin, NOT('01 Org'!$I85="")),'01 Org'!$I85,0)</f>
        <v>0</v>
      </c>
      <c r="AE85">
        <f>IF(AND('01 Org'!C85&lt;Tmax, NOT('01 Org'!$H85="")),'01 Org'!$H85,4)</f>
        <v>3</v>
      </c>
      <c r="AF85">
        <f>IF(AND('01 Org'!D85&lt;Tmax, NOT('01 Org'!$H85="")),'01 Org'!$H85,4)</f>
        <v>3</v>
      </c>
      <c r="AG85">
        <f>IF(AND('01 Org'!E85&lt;Tmax, NOT('01 Org'!$H85="")),'01 Org'!$H85,4)</f>
        <v>3</v>
      </c>
      <c r="AH85">
        <f>IF(AND('01 Org'!F85&lt;Tmax, NOT('01 Org'!$H85="")),'01 Org'!$H85,4)</f>
        <v>3</v>
      </c>
      <c r="AI85"/>
    </row>
    <row r="86" spans="1:35" outlineLevel="1" x14ac:dyDescent="0.2">
      <c r="A86" s="633" t="s">
        <v>1321</v>
      </c>
      <c r="B86" s="925" t="s">
        <v>4539</v>
      </c>
      <c r="C86" s="909"/>
      <c r="D86" s="909"/>
      <c r="E86" s="909"/>
      <c r="F86" s="909"/>
      <c r="G86" s="1453"/>
      <c r="H86" s="1453"/>
      <c r="I86" s="1453"/>
      <c r="J86" s="1453"/>
      <c r="K86" s="1453"/>
      <c r="L86" s="1453"/>
      <c r="M86" s="887"/>
      <c r="AA86"/>
      <c r="AB86"/>
      <c r="AC86"/>
      <c r="AD86"/>
      <c r="AE86"/>
      <c r="AF86"/>
      <c r="AG86"/>
      <c r="AH86"/>
      <c r="AI86"/>
    </row>
    <row r="87" spans="1:35" ht="56.25" outlineLevel="2" x14ac:dyDescent="0.2">
      <c r="A87" s="908" t="s">
        <v>5298</v>
      </c>
      <c r="B87" s="636" t="s">
        <v>1136</v>
      </c>
      <c r="C87" s="909"/>
      <c r="D87" s="909"/>
      <c r="E87" s="909"/>
      <c r="F87" s="909"/>
      <c r="G87" s="1453">
        <v>2</v>
      </c>
      <c r="H87" s="1456"/>
      <c r="I87" s="1456"/>
      <c r="J87" s="1452" t="s">
        <v>1592</v>
      </c>
      <c r="K87" s="1453" t="s">
        <v>2244</v>
      </c>
      <c r="L87" s="1453" t="s">
        <v>5299</v>
      </c>
      <c r="M87" s="887"/>
      <c r="AA87">
        <f>IF(AND('01 Org'!C87&gt;Tmin, NOT('01 Org'!$I87="")),'01 Org'!$I87,0)</f>
        <v>0</v>
      </c>
      <c r="AB87">
        <f>IF(AND('01 Org'!D87&gt;Tmin, NOT('01 Org'!$I87="")),'01 Org'!$I87,0)</f>
        <v>0</v>
      </c>
      <c r="AC87">
        <f>IF(AND('01 Org'!E87&gt;Tmin, NOT('01 Org'!$I87="")),'01 Org'!$I87,0)</f>
        <v>0</v>
      </c>
      <c r="AD87">
        <f>IF(AND('01 Org'!F87&gt;Tmin, NOT('01 Org'!$I87="")),'01 Org'!$I87,0)</f>
        <v>0</v>
      </c>
      <c r="AE87">
        <f>IF(AND('01 Org'!C87&lt;Tmax, NOT('01 Org'!$H87="")),'01 Org'!$H87,4)</f>
        <v>4</v>
      </c>
      <c r="AF87">
        <f>IF(AND('01 Org'!D87&lt;Tmax, NOT('01 Org'!$H87="")),'01 Org'!$H87,4)</f>
        <v>4</v>
      </c>
      <c r="AG87">
        <f>IF(AND('01 Org'!E87&lt;Tmax, NOT('01 Org'!$H87="")),'01 Org'!$H87,4)</f>
        <v>4</v>
      </c>
      <c r="AH87">
        <f>IF(AND('01 Org'!F87&lt;Tmax, NOT('01 Org'!$H87="")),'01 Org'!$H87,4)</f>
        <v>4</v>
      </c>
      <c r="AI87"/>
    </row>
    <row r="88" spans="1:35" outlineLevel="2" x14ac:dyDescent="0.2">
      <c r="A88" s="908" t="s">
        <v>5300</v>
      </c>
      <c r="B88" s="636" t="s">
        <v>5301</v>
      </c>
      <c r="C88" s="909"/>
      <c r="D88" s="909"/>
      <c r="E88" s="909"/>
      <c r="F88" s="909"/>
      <c r="G88" s="1453">
        <v>4</v>
      </c>
      <c r="H88" s="1453"/>
      <c r="I88" s="1453"/>
      <c r="J88" s="1453" t="s">
        <v>1592</v>
      </c>
      <c r="K88" s="1453" t="s">
        <v>2244</v>
      </c>
      <c r="L88" s="1453" t="s">
        <v>5299</v>
      </c>
      <c r="M88" s="887"/>
      <c r="AA88">
        <f>IF(AND('01 Org'!C88&gt;Tmin, NOT('01 Org'!$I88="")),'01 Org'!$I88,0)</f>
        <v>0</v>
      </c>
      <c r="AB88">
        <f>IF(AND('01 Org'!D88&gt;Tmin, NOT('01 Org'!$I88="")),'01 Org'!$I88,0)</f>
        <v>0</v>
      </c>
      <c r="AC88">
        <f>IF(AND('01 Org'!E88&gt;Tmin, NOT('01 Org'!$I88="")),'01 Org'!$I88,0)</f>
        <v>0</v>
      </c>
      <c r="AD88">
        <f>IF(AND('01 Org'!F88&gt;Tmin, NOT('01 Org'!$I88="")),'01 Org'!$I88,0)</f>
        <v>0</v>
      </c>
      <c r="AE88">
        <f>IF(AND('01 Org'!C88&lt;Tmax, NOT('01 Org'!$H88="")),'01 Org'!$H88,4)</f>
        <v>4</v>
      </c>
      <c r="AF88">
        <f>IF(AND('01 Org'!D88&lt;Tmax, NOT('01 Org'!$H88="")),'01 Org'!$H88,4)</f>
        <v>4</v>
      </c>
      <c r="AG88">
        <f>IF(AND('01 Org'!E88&lt;Tmax, NOT('01 Org'!$H88="")),'01 Org'!$H88,4)</f>
        <v>4</v>
      </c>
      <c r="AH88">
        <f>IF(AND('01 Org'!F88&lt;Tmax, NOT('01 Org'!$H88="")),'01 Org'!$H88,4)</f>
        <v>4</v>
      </c>
      <c r="AI88"/>
    </row>
    <row r="89" spans="1:35" ht="45" outlineLevel="2" x14ac:dyDescent="0.2">
      <c r="A89" s="908" t="s">
        <v>5302</v>
      </c>
      <c r="B89" s="636" t="s">
        <v>1015</v>
      </c>
      <c r="C89" s="909"/>
      <c r="D89" s="909"/>
      <c r="E89" s="909"/>
      <c r="F89" s="909"/>
      <c r="G89" s="1453">
        <v>2</v>
      </c>
      <c r="H89" s="1453"/>
      <c r="I89" s="1453"/>
      <c r="J89" s="1453" t="s">
        <v>1592</v>
      </c>
      <c r="K89" s="1453" t="s">
        <v>5942</v>
      </c>
      <c r="L89" s="1453" t="s">
        <v>5303</v>
      </c>
      <c r="M89" s="887"/>
      <c r="AA89">
        <f>IF(AND('01 Org'!C89&gt;Tmin, NOT('01 Org'!$I89="")),'01 Org'!$I89,0)</f>
        <v>0</v>
      </c>
      <c r="AB89">
        <f>IF(AND('01 Org'!D89&gt;Tmin, NOT('01 Org'!$I89="")),'01 Org'!$I89,0)</f>
        <v>0</v>
      </c>
      <c r="AC89">
        <f>IF(AND('01 Org'!E89&gt;Tmin, NOT('01 Org'!$I89="")),'01 Org'!$I89,0)</f>
        <v>0</v>
      </c>
      <c r="AD89">
        <f>IF(AND('01 Org'!F89&gt;Tmin, NOT('01 Org'!$I89="")),'01 Org'!$I89,0)</f>
        <v>0</v>
      </c>
      <c r="AE89">
        <f>IF(AND('01 Org'!C89&lt;Tmax, NOT('01 Org'!$H89="")),'01 Org'!$H89,4)</f>
        <v>4</v>
      </c>
      <c r="AF89">
        <f>IF(AND('01 Org'!D89&lt;Tmax, NOT('01 Org'!$H89="")),'01 Org'!$H89,4)</f>
        <v>4</v>
      </c>
      <c r="AG89">
        <f>IF(AND('01 Org'!E89&lt;Tmax, NOT('01 Org'!$H89="")),'01 Org'!$H89,4)</f>
        <v>4</v>
      </c>
      <c r="AH89">
        <f>IF(AND('01 Org'!F89&lt;Tmax, NOT('01 Org'!$H89="")),'01 Org'!$H89,4)</f>
        <v>4</v>
      </c>
      <c r="AI89"/>
    </row>
    <row r="90" spans="1:35" ht="22.5" outlineLevel="2" x14ac:dyDescent="0.2">
      <c r="A90" s="908" t="s">
        <v>5304</v>
      </c>
      <c r="B90" s="636" t="s">
        <v>3435</v>
      </c>
      <c r="C90" s="909"/>
      <c r="D90" s="909"/>
      <c r="E90" s="909"/>
      <c r="F90" s="909"/>
      <c r="G90" s="1453">
        <v>2</v>
      </c>
      <c r="H90" s="1453"/>
      <c r="I90" s="1453"/>
      <c r="J90" s="1453" t="s">
        <v>1592</v>
      </c>
      <c r="K90" s="1458" t="s">
        <v>5315</v>
      </c>
      <c r="L90" s="1453" t="s">
        <v>7243</v>
      </c>
      <c r="M90" s="887"/>
      <c r="AA90">
        <f>IF(AND('01 Org'!C90&gt;Tmin, NOT('01 Org'!$I90="")),'01 Org'!$I90,0)</f>
        <v>0</v>
      </c>
      <c r="AB90">
        <f>IF(AND('01 Org'!D90&gt;Tmin, NOT('01 Org'!$I90="")),'01 Org'!$I90,0)</f>
        <v>0</v>
      </c>
      <c r="AC90">
        <f>IF(AND('01 Org'!E90&gt;Tmin, NOT('01 Org'!$I90="")),'01 Org'!$I90,0)</f>
        <v>0</v>
      </c>
      <c r="AD90">
        <f>IF(AND('01 Org'!F90&gt;Tmin, NOT('01 Org'!$I90="")),'01 Org'!$I90,0)</f>
        <v>0</v>
      </c>
      <c r="AE90">
        <f>IF(AND('01 Org'!C90&lt;Tmax, NOT('01 Org'!$H90="")),'01 Org'!$H90,4)</f>
        <v>4</v>
      </c>
      <c r="AF90">
        <f>IF(AND('01 Org'!D90&lt;Tmax, NOT('01 Org'!$H90="")),'01 Org'!$H90,4)</f>
        <v>4</v>
      </c>
      <c r="AG90">
        <f>IF(AND('01 Org'!E90&lt;Tmax, NOT('01 Org'!$H90="")),'01 Org'!$H90,4)</f>
        <v>4</v>
      </c>
      <c r="AH90">
        <f>IF(AND('01 Org'!F90&lt;Tmax, NOT('01 Org'!$H90="")),'01 Org'!$H90,4)</f>
        <v>4</v>
      </c>
      <c r="AI90"/>
    </row>
    <row r="91" spans="1:35" ht="22.5" outlineLevel="2" x14ac:dyDescent="0.2">
      <c r="A91" s="908" t="s">
        <v>5305</v>
      </c>
      <c r="B91" s="636" t="s">
        <v>5253</v>
      </c>
      <c r="C91" s="909"/>
      <c r="D91" s="909"/>
      <c r="E91" s="909"/>
      <c r="F91" s="909"/>
      <c r="G91" s="1453">
        <v>1</v>
      </c>
      <c r="H91" s="1453"/>
      <c r="I91" s="1453"/>
      <c r="J91" s="1453" t="s">
        <v>1592</v>
      </c>
      <c r="K91" s="1458" t="s">
        <v>6894</v>
      </c>
      <c r="L91" s="1453" t="s">
        <v>5254</v>
      </c>
      <c r="M91" s="887"/>
      <c r="AA91">
        <f>IF(AND('01 Org'!C91&gt;Tmin, NOT('01 Org'!$I91="")),'01 Org'!$I91,0)</f>
        <v>0</v>
      </c>
      <c r="AB91">
        <f>IF(AND('01 Org'!D91&gt;Tmin, NOT('01 Org'!$I91="")),'01 Org'!$I91,0)</f>
        <v>0</v>
      </c>
      <c r="AC91">
        <f>IF(AND('01 Org'!E91&gt;Tmin, NOT('01 Org'!$I91="")),'01 Org'!$I91,0)</f>
        <v>0</v>
      </c>
      <c r="AD91">
        <f>IF(AND('01 Org'!F91&gt;Tmin, NOT('01 Org'!$I91="")),'01 Org'!$I91,0)</f>
        <v>0</v>
      </c>
      <c r="AE91">
        <f>IF(AND('01 Org'!C91&lt;Tmax, NOT('01 Org'!$H91="")),'01 Org'!$H91,4)</f>
        <v>4</v>
      </c>
      <c r="AF91">
        <f>IF(AND('01 Org'!D91&lt;Tmax, NOT('01 Org'!$H91="")),'01 Org'!$H91,4)</f>
        <v>4</v>
      </c>
      <c r="AG91">
        <f>IF(AND('01 Org'!E91&lt;Tmax, NOT('01 Org'!$H91="")),'01 Org'!$H91,4)</f>
        <v>4</v>
      </c>
      <c r="AH91">
        <f>IF(AND('01 Org'!F91&lt;Tmax, NOT('01 Org'!$H91="")),'01 Org'!$H91,4)</f>
        <v>4</v>
      </c>
      <c r="AI91"/>
    </row>
    <row r="92" spans="1:35" ht="22.5" outlineLevel="2" x14ac:dyDescent="0.2">
      <c r="A92" s="908" t="s">
        <v>5255</v>
      </c>
      <c r="B92" s="636" t="s">
        <v>2641</v>
      </c>
      <c r="C92" s="909"/>
      <c r="D92" s="909"/>
      <c r="E92" s="909"/>
      <c r="F92" s="909"/>
      <c r="G92" s="1453">
        <v>1</v>
      </c>
      <c r="H92" s="1453"/>
      <c r="I92" s="1453"/>
      <c r="J92" s="1453" t="s">
        <v>1592</v>
      </c>
      <c r="K92" s="1453" t="s">
        <v>6895</v>
      </c>
      <c r="L92" s="1453" t="s">
        <v>7244</v>
      </c>
      <c r="M92" s="887"/>
      <c r="AA92">
        <f>IF(AND('01 Org'!C92&gt;Tmin, NOT('01 Org'!$I92="")),'01 Org'!$I92,0)</f>
        <v>0</v>
      </c>
      <c r="AB92">
        <f>IF(AND('01 Org'!D92&gt;Tmin, NOT('01 Org'!$I92="")),'01 Org'!$I92,0)</f>
        <v>0</v>
      </c>
      <c r="AC92">
        <f>IF(AND('01 Org'!E92&gt;Tmin, NOT('01 Org'!$I92="")),'01 Org'!$I92,0)</f>
        <v>0</v>
      </c>
      <c r="AD92">
        <f>IF(AND('01 Org'!F92&gt;Tmin, NOT('01 Org'!$I92="")),'01 Org'!$I92,0)</f>
        <v>0</v>
      </c>
      <c r="AE92">
        <f>IF(AND('01 Org'!C92&lt;Tmax, NOT('01 Org'!$H92="")),'01 Org'!$H92,4)</f>
        <v>4</v>
      </c>
      <c r="AF92">
        <f>IF(AND('01 Org'!D92&lt;Tmax, NOT('01 Org'!$H92="")),'01 Org'!$H92,4)</f>
        <v>4</v>
      </c>
      <c r="AG92">
        <f>IF(AND('01 Org'!E92&lt;Tmax, NOT('01 Org'!$H92="")),'01 Org'!$H92,4)</f>
        <v>4</v>
      </c>
      <c r="AH92">
        <f>IF(AND('01 Org'!F92&lt;Tmax, NOT('01 Org'!$H92="")),'01 Org'!$H92,4)</f>
        <v>4</v>
      </c>
      <c r="AI92"/>
    </row>
    <row r="93" spans="1:35" outlineLevel="1" x14ac:dyDescent="0.2">
      <c r="A93" s="633" t="s">
        <v>2642</v>
      </c>
      <c r="B93" s="925" t="s">
        <v>3702</v>
      </c>
      <c r="C93" s="909"/>
      <c r="D93" s="909"/>
      <c r="E93" s="909"/>
      <c r="F93" s="909"/>
      <c r="G93" s="1453"/>
      <c r="H93" s="1453"/>
      <c r="I93" s="1453"/>
      <c r="J93" s="1453"/>
      <c r="K93" s="1453"/>
      <c r="L93" s="1453"/>
      <c r="M93" s="887"/>
      <c r="AA93"/>
      <c r="AB93"/>
      <c r="AC93"/>
      <c r="AD93"/>
      <c r="AE93"/>
      <c r="AF93"/>
      <c r="AG93"/>
      <c r="AH93"/>
      <c r="AI93"/>
    </row>
    <row r="94" spans="1:35" outlineLevel="2" x14ac:dyDescent="0.2">
      <c r="A94" s="908" t="s">
        <v>3703</v>
      </c>
      <c r="B94" s="636" t="s">
        <v>3704</v>
      </c>
      <c r="C94" s="909"/>
      <c r="D94" s="909"/>
      <c r="E94" s="909"/>
      <c r="F94" s="909"/>
      <c r="G94" s="1453">
        <v>2</v>
      </c>
      <c r="H94" s="1456"/>
      <c r="I94" s="1456"/>
      <c r="J94" s="1453" t="s">
        <v>1592</v>
      </c>
      <c r="K94" s="1453"/>
      <c r="L94" s="1453"/>
      <c r="M94" s="887"/>
      <c r="AA94">
        <f>IF(AND('01 Org'!C94&gt;Tmin, NOT('01 Org'!$I94="")),'01 Org'!$I94,0)</f>
        <v>0</v>
      </c>
      <c r="AB94">
        <f>IF(AND('01 Org'!D94&gt;Tmin, NOT('01 Org'!$I94="")),'01 Org'!$I94,0)</f>
        <v>0</v>
      </c>
      <c r="AC94">
        <f>IF(AND('01 Org'!E94&gt;Tmin, NOT('01 Org'!$I94="")),'01 Org'!$I94,0)</f>
        <v>0</v>
      </c>
      <c r="AD94">
        <f>IF(AND('01 Org'!F94&gt;Tmin, NOT('01 Org'!$I94="")),'01 Org'!$I94,0)</f>
        <v>0</v>
      </c>
      <c r="AE94">
        <f>IF(AND('01 Org'!C94&lt;Tmax, NOT('01 Org'!$H94="")),'01 Org'!$H94,4)</f>
        <v>4</v>
      </c>
      <c r="AF94">
        <f>IF(AND('01 Org'!D94&lt;Tmax, NOT('01 Org'!$H94="")),'01 Org'!$H94,4)</f>
        <v>4</v>
      </c>
      <c r="AG94">
        <f>IF(AND('01 Org'!E94&lt;Tmax, NOT('01 Org'!$H94="")),'01 Org'!$H94,4)</f>
        <v>4</v>
      </c>
      <c r="AH94">
        <f>IF(AND('01 Org'!F94&lt;Tmax, NOT('01 Org'!$H94="")),'01 Org'!$H94,4)</f>
        <v>4</v>
      </c>
      <c r="AI94"/>
    </row>
    <row r="95" spans="1:35" ht="22.5" outlineLevel="2" x14ac:dyDescent="0.2">
      <c r="A95" s="908" t="s">
        <v>3705</v>
      </c>
      <c r="B95" s="636" t="s">
        <v>918</v>
      </c>
      <c r="C95" s="909"/>
      <c r="D95" s="909"/>
      <c r="E95" s="909"/>
      <c r="F95" s="909"/>
      <c r="G95" s="1453">
        <v>4</v>
      </c>
      <c r="H95" s="1453"/>
      <c r="I95" s="1453"/>
      <c r="J95" s="1453" t="s">
        <v>1592</v>
      </c>
      <c r="K95" s="1453"/>
      <c r="L95" s="1453"/>
      <c r="M95" s="887"/>
      <c r="AA95">
        <f>IF(AND('01 Org'!C95&gt;Tmin, NOT('01 Org'!$I95="")),'01 Org'!$I95,0)</f>
        <v>0</v>
      </c>
      <c r="AB95">
        <f>IF(AND('01 Org'!D95&gt;Tmin, NOT('01 Org'!$I95="")),'01 Org'!$I95,0)</f>
        <v>0</v>
      </c>
      <c r="AC95">
        <f>IF(AND('01 Org'!E95&gt;Tmin, NOT('01 Org'!$I95="")),'01 Org'!$I95,0)</f>
        <v>0</v>
      </c>
      <c r="AD95">
        <f>IF(AND('01 Org'!F95&gt;Tmin, NOT('01 Org'!$I95="")),'01 Org'!$I95,0)</f>
        <v>0</v>
      </c>
      <c r="AE95">
        <f>IF(AND('01 Org'!C95&lt;Tmax, NOT('01 Org'!$H95="")),'01 Org'!$H95,4)</f>
        <v>4</v>
      </c>
      <c r="AF95">
        <f>IF(AND('01 Org'!D95&lt;Tmax, NOT('01 Org'!$H95="")),'01 Org'!$H95,4)</f>
        <v>4</v>
      </c>
      <c r="AG95">
        <f>IF(AND('01 Org'!E95&lt;Tmax, NOT('01 Org'!$H95="")),'01 Org'!$H95,4)</f>
        <v>4</v>
      </c>
      <c r="AH95">
        <f>IF(AND('01 Org'!F95&lt;Tmax, NOT('01 Org'!$H95="")),'01 Org'!$H95,4)</f>
        <v>4</v>
      </c>
      <c r="AI95"/>
    </row>
    <row r="96" spans="1:35" ht="22.5" outlineLevel="2" x14ac:dyDescent="0.2">
      <c r="A96" s="908" t="s">
        <v>3706</v>
      </c>
      <c r="B96" s="636" t="s">
        <v>1475</v>
      </c>
      <c r="C96" s="909"/>
      <c r="D96" s="909"/>
      <c r="E96" s="909"/>
      <c r="F96" s="909"/>
      <c r="G96" s="1453">
        <v>4</v>
      </c>
      <c r="H96" s="1453"/>
      <c r="I96" s="1453"/>
      <c r="J96" s="1453" t="s">
        <v>1592</v>
      </c>
      <c r="K96" s="1453"/>
      <c r="L96" s="1453"/>
      <c r="M96" s="887"/>
      <c r="AA96">
        <f>IF(AND('01 Org'!C96&gt;Tmin, NOT('01 Org'!$I96="")),'01 Org'!$I96,0)</f>
        <v>0</v>
      </c>
      <c r="AB96">
        <f>IF(AND('01 Org'!D96&gt;Tmin, NOT('01 Org'!$I96="")),'01 Org'!$I96,0)</f>
        <v>0</v>
      </c>
      <c r="AC96">
        <f>IF(AND('01 Org'!E96&gt;Tmin, NOT('01 Org'!$I96="")),'01 Org'!$I96,0)</f>
        <v>0</v>
      </c>
      <c r="AD96">
        <f>IF(AND('01 Org'!F96&gt;Tmin, NOT('01 Org'!$I96="")),'01 Org'!$I96,0)</f>
        <v>0</v>
      </c>
      <c r="AE96">
        <f>IF(AND('01 Org'!C96&lt;Tmax, NOT('01 Org'!$H96="")),'01 Org'!$H96,4)</f>
        <v>4</v>
      </c>
      <c r="AF96">
        <f>IF(AND('01 Org'!D96&lt;Tmax, NOT('01 Org'!$H96="")),'01 Org'!$H96,4)</f>
        <v>4</v>
      </c>
      <c r="AG96">
        <f>IF(AND('01 Org'!E96&lt;Tmax, NOT('01 Org'!$H96="")),'01 Org'!$H96,4)</f>
        <v>4</v>
      </c>
      <c r="AH96">
        <f>IF(AND('01 Org'!F96&lt;Tmax, NOT('01 Org'!$H96="")),'01 Org'!$H96,4)</f>
        <v>4</v>
      </c>
      <c r="AI96"/>
    </row>
    <row r="97" spans="1:35" outlineLevel="2" x14ac:dyDescent="0.2">
      <c r="A97" s="908" t="s">
        <v>2104</v>
      </c>
      <c r="B97" s="636" t="s">
        <v>2105</v>
      </c>
      <c r="C97" s="909"/>
      <c r="D97" s="909"/>
      <c r="E97" s="909"/>
      <c r="F97" s="909"/>
      <c r="G97" s="1453">
        <v>2</v>
      </c>
      <c r="H97" s="1453"/>
      <c r="I97" s="1453"/>
      <c r="J97" s="1453" t="s">
        <v>1592</v>
      </c>
      <c r="K97" s="1453"/>
      <c r="L97" s="1453"/>
      <c r="M97" s="887"/>
      <c r="AA97">
        <f>IF(AND('01 Org'!C97&gt;Tmin, NOT('01 Org'!$I97="")),'01 Org'!$I97,0)</f>
        <v>0</v>
      </c>
      <c r="AB97">
        <f>IF(AND('01 Org'!D97&gt;Tmin, NOT('01 Org'!$I97="")),'01 Org'!$I97,0)</f>
        <v>0</v>
      </c>
      <c r="AC97">
        <f>IF(AND('01 Org'!E97&gt;Tmin, NOT('01 Org'!$I97="")),'01 Org'!$I97,0)</f>
        <v>0</v>
      </c>
      <c r="AD97">
        <f>IF(AND('01 Org'!F97&gt;Tmin, NOT('01 Org'!$I97="")),'01 Org'!$I97,0)</f>
        <v>0</v>
      </c>
      <c r="AE97">
        <f>IF(AND('01 Org'!C97&lt;Tmax, NOT('01 Org'!$H97="")),'01 Org'!$H97,4)</f>
        <v>4</v>
      </c>
      <c r="AF97">
        <f>IF(AND('01 Org'!D97&lt;Tmax, NOT('01 Org'!$H97="")),'01 Org'!$H97,4)</f>
        <v>4</v>
      </c>
      <c r="AG97">
        <f>IF(AND('01 Org'!E97&lt;Tmax, NOT('01 Org'!$H97="")),'01 Org'!$H97,4)</f>
        <v>4</v>
      </c>
      <c r="AH97">
        <f>IF(AND('01 Org'!F97&lt;Tmax, NOT('01 Org'!$H97="")),'01 Org'!$H97,4)</f>
        <v>4</v>
      </c>
      <c r="AI97"/>
    </row>
    <row r="98" spans="1:35" outlineLevel="2" x14ac:dyDescent="0.2">
      <c r="A98" s="908" t="s">
        <v>2106</v>
      </c>
      <c r="B98" s="636" t="s">
        <v>1476</v>
      </c>
      <c r="C98" s="909"/>
      <c r="D98" s="909"/>
      <c r="E98" s="909"/>
      <c r="F98" s="909"/>
      <c r="G98" s="1453">
        <v>1</v>
      </c>
      <c r="H98" s="1453"/>
      <c r="I98" s="1453"/>
      <c r="J98" s="1453" t="s">
        <v>2107</v>
      </c>
      <c r="K98" s="1453"/>
      <c r="L98" s="1453"/>
      <c r="M98" s="887"/>
      <c r="AA98">
        <f>IF(AND('01 Org'!C98&gt;Tmin, NOT('01 Org'!$I98="")),'01 Org'!$I98,0)</f>
        <v>0</v>
      </c>
      <c r="AB98">
        <f>IF(AND('01 Org'!D98&gt;Tmin, NOT('01 Org'!$I98="")),'01 Org'!$I98,0)</f>
        <v>0</v>
      </c>
      <c r="AC98">
        <f>IF(AND('01 Org'!E98&gt;Tmin, NOT('01 Org'!$I98="")),'01 Org'!$I98,0)</f>
        <v>0</v>
      </c>
      <c r="AD98">
        <f>IF(AND('01 Org'!F98&gt;Tmin, NOT('01 Org'!$I98="")),'01 Org'!$I98,0)</f>
        <v>0</v>
      </c>
      <c r="AE98">
        <f>IF(AND('01 Org'!C98&lt;Tmax, NOT('01 Org'!$H98="")),'01 Org'!$H98,4)</f>
        <v>4</v>
      </c>
      <c r="AF98">
        <f>IF(AND('01 Org'!D98&lt;Tmax, NOT('01 Org'!$H98="")),'01 Org'!$H98,4)</f>
        <v>4</v>
      </c>
      <c r="AG98">
        <f>IF(AND('01 Org'!E98&lt;Tmax, NOT('01 Org'!$H98="")),'01 Org'!$H98,4)</f>
        <v>4</v>
      </c>
      <c r="AH98">
        <f>IF(AND('01 Org'!F98&lt;Tmax, NOT('01 Org'!$H98="")),'01 Org'!$H98,4)</f>
        <v>4</v>
      </c>
      <c r="AI98"/>
    </row>
    <row r="99" spans="1:35" outlineLevel="2" x14ac:dyDescent="0.2">
      <c r="A99" s="908" t="s">
        <v>2108</v>
      </c>
      <c r="B99" s="636" t="s">
        <v>1477</v>
      </c>
      <c r="C99" s="909"/>
      <c r="D99" s="909"/>
      <c r="E99" s="909"/>
      <c r="F99" s="909"/>
      <c r="G99" s="1453">
        <v>1</v>
      </c>
      <c r="H99" s="1453"/>
      <c r="I99" s="1453"/>
      <c r="J99" s="1453" t="s">
        <v>2109</v>
      </c>
      <c r="K99" s="1453"/>
      <c r="L99" s="1453"/>
      <c r="M99" s="887"/>
      <c r="AA99">
        <f>IF(AND('01 Org'!C99&gt;Tmin, NOT('01 Org'!$I99="")),'01 Org'!$I99,0)</f>
        <v>0</v>
      </c>
      <c r="AB99">
        <f>IF(AND('01 Org'!D99&gt;Tmin, NOT('01 Org'!$I99="")),'01 Org'!$I99,0)</f>
        <v>0</v>
      </c>
      <c r="AC99">
        <f>IF(AND('01 Org'!E99&gt;Tmin, NOT('01 Org'!$I99="")),'01 Org'!$I99,0)</f>
        <v>0</v>
      </c>
      <c r="AD99">
        <f>IF(AND('01 Org'!F99&gt;Tmin, NOT('01 Org'!$I99="")),'01 Org'!$I99,0)</f>
        <v>0</v>
      </c>
      <c r="AE99">
        <f>IF(AND('01 Org'!C99&lt;Tmax, NOT('01 Org'!$H99="")),'01 Org'!$H99,4)</f>
        <v>4</v>
      </c>
      <c r="AF99">
        <f>IF(AND('01 Org'!D99&lt;Tmax, NOT('01 Org'!$H99="")),'01 Org'!$H99,4)</f>
        <v>4</v>
      </c>
      <c r="AG99">
        <f>IF(AND('01 Org'!E99&lt;Tmax, NOT('01 Org'!$H99="")),'01 Org'!$H99,4)</f>
        <v>4</v>
      </c>
      <c r="AH99">
        <f>IF(AND('01 Org'!F99&lt;Tmax, NOT('01 Org'!$H99="")),'01 Org'!$H99,4)</f>
        <v>4</v>
      </c>
      <c r="AI99"/>
    </row>
    <row r="100" spans="1:35" x14ac:dyDescent="0.2">
      <c r="A100" s="910" t="s">
        <v>6429</v>
      </c>
      <c r="B100" s="644" t="s">
        <v>6430</v>
      </c>
      <c r="C100" s="909"/>
      <c r="D100" s="909"/>
      <c r="E100" s="909"/>
      <c r="F100" s="909"/>
      <c r="G100" s="1452"/>
      <c r="H100" s="1453"/>
      <c r="I100" s="1453"/>
      <c r="J100" s="1453"/>
      <c r="K100" s="1453"/>
      <c r="L100" s="1453"/>
      <c r="M100" s="887"/>
      <c r="AA100"/>
      <c r="AB100"/>
      <c r="AC100"/>
      <c r="AD100"/>
      <c r="AE100"/>
      <c r="AF100"/>
      <c r="AG100"/>
      <c r="AH100"/>
      <c r="AI100"/>
    </row>
    <row r="101" spans="1:35" outlineLevel="1" x14ac:dyDescent="0.2">
      <c r="A101" s="633" t="s">
        <v>1323</v>
      </c>
      <c r="B101" s="925" t="s">
        <v>3160</v>
      </c>
      <c r="C101" s="909"/>
      <c r="D101" s="909"/>
      <c r="E101" s="909"/>
      <c r="F101" s="909"/>
      <c r="G101" s="1453"/>
      <c r="H101" s="1453"/>
      <c r="I101" s="1453"/>
      <c r="J101" s="1453"/>
      <c r="K101" s="1453"/>
      <c r="L101" s="1453"/>
      <c r="M101" s="887"/>
      <c r="AA101"/>
      <c r="AB101"/>
      <c r="AC101"/>
      <c r="AD101"/>
      <c r="AE101"/>
      <c r="AF101"/>
      <c r="AG101"/>
      <c r="AH101"/>
      <c r="AI101"/>
    </row>
    <row r="102" spans="1:35" ht="22.5" outlineLevel="2" x14ac:dyDescent="0.2">
      <c r="A102" s="908" t="s">
        <v>3161</v>
      </c>
      <c r="B102" s="636" t="s">
        <v>3162</v>
      </c>
      <c r="C102" s="909"/>
      <c r="D102" s="909"/>
      <c r="E102" s="909"/>
      <c r="F102" s="909"/>
      <c r="G102" s="1453">
        <v>4</v>
      </c>
      <c r="H102" s="1453"/>
      <c r="I102" s="1453"/>
      <c r="J102" s="1453" t="s">
        <v>1592</v>
      </c>
      <c r="K102" s="1453" t="s">
        <v>6896</v>
      </c>
      <c r="L102" s="1453" t="s">
        <v>7245</v>
      </c>
      <c r="M102" s="887"/>
      <c r="AA102">
        <f>IF(AND('01 Org'!C102&gt;Tmin, NOT('01 Org'!$I102="")),'01 Org'!$I102,0)</f>
        <v>0</v>
      </c>
      <c r="AB102">
        <f>IF(AND('01 Org'!D102&gt;Tmin, NOT('01 Org'!$I102="")),'01 Org'!$I102,0)</f>
        <v>0</v>
      </c>
      <c r="AC102">
        <f>IF(AND('01 Org'!E102&gt;Tmin, NOT('01 Org'!$I102="")),'01 Org'!$I102,0)</f>
        <v>0</v>
      </c>
      <c r="AD102">
        <f>IF(AND('01 Org'!F102&gt;Tmin, NOT('01 Org'!$I102="")),'01 Org'!$I102,0)</f>
        <v>0</v>
      </c>
      <c r="AE102">
        <f>IF(AND('01 Org'!C102&lt;Tmax, NOT('01 Org'!$H102="")),'01 Org'!$H102,4)</f>
        <v>4</v>
      </c>
      <c r="AF102">
        <f>IF(AND('01 Org'!D102&lt;Tmax, NOT('01 Org'!$H102="")),'01 Org'!$H102,4)</f>
        <v>4</v>
      </c>
      <c r="AG102">
        <f>IF(AND('01 Org'!E102&lt;Tmax, NOT('01 Org'!$H102="")),'01 Org'!$H102,4)</f>
        <v>4</v>
      </c>
      <c r="AH102">
        <f>IF(AND('01 Org'!F102&lt;Tmax, NOT('01 Org'!$H102="")),'01 Org'!$H102,4)</f>
        <v>4</v>
      </c>
      <c r="AI102"/>
    </row>
    <row r="103" spans="1:35" ht="22.5" outlineLevel="2" x14ac:dyDescent="0.2">
      <c r="A103" s="908" t="s">
        <v>3163</v>
      </c>
      <c r="B103" s="636" t="s">
        <v>4174</v>
      </c>
      <c r="C103" s="909"/>
      <c r="D103" s="909"/>
      <c r="E103" s="909"/>
      <c r="F103" s="909"/>
      <c r="G103" s="1453">
        <v>4</v>
      </c>
      <c r="H103" s="1453"/>
      <c r="I103" s="1453"/>
      <c r="J103" s="1453" t="s">
        <v>1592</v>
      </c>
      <c r="K103" s="1453" t="s">
        <v>6896</v>
      </c>
      <c r="L103" s="1453" t="s">
        <v>7245</v>
      </c>
      <c r="M103" s="887"/>
      <c r="AA103">
        <f>IF(AND('01 Org'!C103&gt;Tmin, NOT('01 Org'!$I103="")),'01 Org'!$I103,0)</f>
        <v>0</v>
      </c>
      <c r="AB103">
        <f>IF(AND('01 Org'!D103&gt;Tmin, NOT('01 Org'!$I103="")),'01 Org'!$I103,0)</f>
        <v>0</v>
      </c>
      <c r="AC103">
        <f>IF(AND('01 Org'!E103&gt;Tmin, NOT('01 Org'!$I103="")),'01 Org'!$I103,0)</f>
        <v>0</v>
      </c>
      <c r="AD103">
        <f>IF(AND('01 Org'!F103&gt;Tmin, NOT('01 Org'!$I103="")),'01 Org'!$I103,0)</f>
        <v>0</v>
      </c>
      <c r="AE103">
        <f>IF(AND('01 Org'!C103&lt;Tmax, NOT('01 Org'!$H103="")),'01 Org'!$H103,4)</f>
        <v>4</v>
      </c>
      <c r="AF103">
        <f>IF(AND('01 Org'!D103&lt;Tmax, NOT('01 Org'!$H103="")),'01 Org'!$H103,4)</f>
        <v>4</v>
      </c>
      <c r="AG103">
        <f>IF(AND('01 Org'!E103&lt;Tmax, NOT('01 Org'!$H103="")),'01 Org'!$H103,4)</f>
        <v>4</v>
      </c>
      <c r="AH103">
        <f>IF(AND('01 Org'!F103&lt;Tmax, NOT('01 Org'!$H103="")),'01 Org'!$H103,4)</f>
        <v>4</v>
      </c>
      <c r="AI103"/>
    </row>
    <row r="104" spans="1:35" ht="22.5" outlineLevel="2" x14ac:dyDescent="0.2">
      <c r="A104" s="908" t="s">
        <v>4175</v>
      </c>
      <c r="B104" s="636" t="s">
        <v>3117</v>
      </c>
      <c r="C104" s="909"/>
      <c r="D104" s="909"/>
      <c r="E104" s="909"/>
      <c r="F104" s="909"/>
      <c r="G104" s="1453">
        <v>2</v>
      </c>
      <c r="H104" s="1453"/>
      <c r="I104" s="1453"/>
      <c r="J104" s="1453" t="s">
        <v>1592</v>
      </c>
      <c r="K104" s="1453" t="s">
        <v>6897</v>
      </c>
      <c r="L104" s="1453" t="s">
        <v>3118</v>
      </c>
      <c r="M104" s="887"/>
      <c r="AA104">
        <f>IF(AND('01 Org'!C104&gt;Tmin, NOT('01 Org'!$I104="")),'01 Org'!$I104,0)</f>
        <v>0</v>
      </c>
      <c r="AB104">
        <f>IF(AND('01 Org'!D104&gt;Tmin, NOT('01 Org'!$I104="")),'01 Org'!$I104,0)</f>
        <v>0</v>
      </c>
      <c r="AC104">
        <f>IF(AND('01 Org'!E104&gt;Tmin, NOT('01 Org'!$I104="")),'01 Org'!$I104,0)</f>
        <v>0</v>
      </c>
      <c r="AD104">
        <f>IF(AND('01 Org'!F104&gt;Tmin, NOT('01 Org'!$I104="")),'01 Org'!$I104,0)</f>
        <v>0</v>
      </c>
      <c r="AE104">
        <f>IF(AND('01 Org'!C104&lt;Tmax, NOT('01 Org'!$H104="")),'01 Org'!$H104,4)</f>
        <v>4</v>
      </c>
      <c r="AF104">
        <f>IF(AND('01 Org'!D104&lt;Tmax, NOT('01 Org'!$H104="")),'01 Org'!$H104,4)</f>
        <v>4</v>
      </c>
      <c r="AG104">
        <f>IF(AND('01 Org'!E104&lt;Tmax, NOT('01 Org'!$H104="")),'01 Org'!$H104,4)</f>
        <v>4</v>
      </c>
      <c r="AH104">
        <f>IF(AND('01 Org'!F104&lt;Tmax, NOT('01 Org'!$H104="")),'01 Org'!$H104,4)</f>
        <v>4</v>
      </c>
      <c r="AI104"/>
    </row>
    <row r="105" spans="1:35" ht="33.75" outlineLevel="2" x14ac:dyDescent="0.2">
      <c r="A105" s="908" t="s">
        <v>64</v>
      </c>
      <c r="B105" s="636" t="s">
        <v>4368</v>
      </c>
      <c r="C105" s="909"/>
      <c r="D105" s="909"/>
      <c r="E105" s="909"/>
      <c r="F105" s="909"/>
      <c r="G105" s="1453">
        <v>4</v>
      </c>
      <c r="H105" s="1453"/>
      <c r="I105" s="1453"/>
      <c r="J105" s="1453" t="s">
        <v>2329</v>
      </c>
      <c r="K105" s="1453" t="s">
        <v>6897</v>
      </c>
      <c r="L105" s="1453" t="s">
        <v>3118</v>
      </c>
      <c r="M105" s="887"/>
      <c r="AA105">
        <f>IF(AND('01 Org'!C105&gt;Tmin, NOT('01 Org'!$I105="")),'01 Org'!$I105,0)</f>
        <v>0</v>
      </c>
      <c r="AB105">
        <f>IF(AND('01 Org'!D105&gt;Tmin, NOT('01 Org'!$I105="")),'01 Org'!$I105,0)</f>
        <v>0</v>
      </c>
      <c r="AC105">
        <f>IF(AND('01 Org'!E105&gt;Tmin, NOT('01 Org'!$I105="")),'01 Org'!$I105,0)</f>
        <v>0</v>
      </c>
      <c r="AD105">
        <f>IF(AND('01 Org'!F105&gt;Tmin, NOT('01 Org'!$I105="")),'01 Org'!$I105,0)</f>
        <v>0</v>
      </c>
      <c r="AE105">
        <f>IF(AND('01 Org'!C105&lt;Tmax, NOT('01 Org'!$H105="")),'01 Org'!$H105,4)</f>
        <v>4</v>
      </c>
      <c r="AF105">
        <f>IF(AND('01 Org'!D105&lt;Tmax, NOT('01 Org'!$H105="")),'01 Org'!$H105,4)</f>
        <v>4</v>
      </c>
      <c r="AG105">
        <f>IF(AND('01 Org'!E105&lt;Tmax, NOT('01 Org'!$H105="")),'01 Org'!$H105,4)</f>
        <v>4</v>
      </c>
      <c r="AH105">
        <f>IF(AND('01 Org'!F105&lt;Tmax, NOT('01 Org'!$H105="")),'01 Org'!$H105,4)</f>
        <v>4</v>
      </c>
      <c r="AI105"/>
    </row>
    <row r="106" spans="1:35" ht="33.75" outlineLevel="2" x14ac:dyDescent="0.2">
      <c r="A106" s="908" t="s">
        <v>4369</v>
      </c>
      <c r="B106" s="636" t="s">
        <v>3921</v>
      </c>
      <c r="C106" s="909"/>
      <c r="D106" s="909"/>
      <c r="E106" s="909"/>
      <c r="F106" s="909"/>
      <c r="G106" s="1453">
        <v>4</v>
      </c>
      <c r="H106" s="1453"/>
      <c r="I106" s="1453"/>
      <c r="J106" s="1453" t="s">
        <v>2329</v>
      </c>
      <c r="K106" s="1458" t="s">
        <v>6898</v>
      </c>
      <c r="L106" s="1453" t="s">
        <v>3118</v>
      </c>
      <c r="M106" s="887"/>
      <c r="AA106">
        <f>IF(AND('01 Org'!C106&gt;Tmin, NOT('01 Org'!$I106="")),'01 Org'!$I106,0)</f>
        <v>0</v>
      </c>
      <c r="AB106">
        <f>IF(AND('01 Org'!D106&gt;Tmin, NOT('01 Org'!$I106="")),'01 Org'!$I106,0)</f>
        <v>0</v>
      </c>
      <c r="AC106">
        <f>IF(AND('01 Org'!E106&gt;Tmin, NOT('01 Org'!$I106="")),'01 Org'!$I106,0)</f>
        <v>0</v>
      </c>
      <c r="AD106">
        <f>IF(AND('01 Org'!F106&gt;Tmin, NOT('01 Org'!$I106="")),'01 Org'!$I106,0)</f>
        <v>0</v>
      </c>
      <c r="AE106">
        <f>IF(AND('01 Org'!C106&lt;Tmax, NOT('01 Org'!$H106="")),'01 Org'!$H106,4)</f>
        <v>4</v>
      </c>
      <c r="AF106">
        <f>IF(AND('01 Org'!D106&lt;Tmax, NOT('01 Org'!$H106="")),'01 Org'!$H106,4)</f>
        <v>4</v>
      </c>
      <c r="AG106">
        <f>IF(AND('01 Org'!E106&lt;Tmax, NOT('01 Org'!$H106="")),'01 Org'!$H106,4)</f>
        <v>4</v>
      </c>
      <c r="AH106">
        <f>IF(AND('01 Org'!F106&lt;Tmax, NOT('01 Org'!$H106="")),'01 Org'!$H106,4)</f>
        <v>4</v>
      </c>
      <c r="AI106"/>
    </row>
    <row r="107" spans="1:35" ht="22.5" outlineLevel="2" x14ac:dyDescent="0.2">
      <c r="A107" s="908" t="s">
        <v>3922</v>
      </c>
      <c r="B107" s="636" t="s">
        <v>3923</v>
      </c>
      <c r="C107" s="909"/>
      <c r="D107" s="909"/>
      <c r="E107" s="909"/>
      <c r="F107" s="909"/>
      <c r="G107" s="1453">
        <v>1</v>
      </c>
      <c r="H107" s="1453"/>
      <c r="I107" s="1453"/>
      <c r="J107" s="1453" t="s">
        <v>1592</v>
      </c>
      <c r="K107" s="1453" t="s">
        <v>2634</v>
      </c>
      <c r="L107" s="1453" t="s">
        <v>3924</v>
      </c>
      <c r="M107" s="887"/>
      <c r="AA107">
        <f>IF(AND('01 Org'!C107&gt;Tmin, NOT('01 Org'!$I107="")),'01 Org'!$I107,0)</f>
        <v>0</v>
      </c>
      <c r="AB107">
        <f>IF(AND('01 Org'!D107&gt;Tmin, NOT('01 Org'!$I107="")),'01 Org'!$I107,0)</f>
        <v>0</v>
      </c>
      <c r="AC107">
        <f>IF(AND('01 Org'!E107&gt;Tmin, NOT('01 Org'!$I107="")),'01 Org'!$I107,0)</f>
        <v>0</v>
      </c>
      <c r="AD107">
        <f>IF(AND('01 Org'!F107&gt;Tmin, NOT('01 Org'!$I107="")),'01 Org'!$I107,0)</f>
        <v>0</v>
      </c>
      <c r="AE107">
        <f>IF(AND('01 Org'!C107&lt;Tmax, NOT('01 Org'!$H107="")),'01 Org'!$H107,4)</f>
        <v>4</v>
      </c>
      <c r="AF107">
        <f>IF(AND('01 Org'!D107&lt;Tmax, NOT('01 Org'!$H107="")),'01 Org'!$H107,4)</f>
        <v>4</v>
      </c>
      <c r="AG107">
        <f>IF(AND('01 Org'!E107&lt;Tmax, NOT('01 Org'!$H107="")),'01 Org'!$H107,4)</f>
        <v>4</v>
      </c>
      <c r="AH107">
        <f>IF(AND('01 Org'!F107&lt;Tmax, NOT('01 Org'!$H107="")),'01 Org'!$H107,4)</f>
        <v>4</v>
      </c>
      <c r="AI107"/>
    </row>
    <row r="108" spans="1:35" ht="22.5" outlineLevel="2" x14ac:dyDescent="0.2">
      <c r="A108" s="908" t="s">
        <v>3925</v>
      </c>
      <c r="B108" s="636" t="s">
        <v>2905</v>
      </c>
      <c r="C108" s="909"/>
      <c r="D108" s="909"/>
      <c r="E108" s="909"/>
      <c r="F108" s="909"/>
      <c r="G108" s="1453">
        <v>4</v>
      </c>
      <c r="H108" s="1453">
        <v>3</v>
      </c>
      <c r="I108" s="1453"/>
      <c r="J108" s="1453" t="s">
        <v>2349</v>
      </c>
      <c r="K108" s="1453"/>
      <c r="L108" s="1453"/>
      <c r="M108" s="887"/>
      <c r="AA108">
        <f>IF(AND('01 Org'!C108&gt;Tmin, NOT('01 Org'!$I108="")),'01 Org'!$I108,0)</f>
        <v>0</v>
      </c>
      <c r="AB108">
        <f>IF(AND('01 Org'!D108&gt;Tmin, NOT('01 Org'!$I108="")),'01 Org'!$I108,0)</f>
        <v>0</v>
      </c>
      <c r="AC108">
        <f>IF(AND('01 Org'!E108&gt;Tmin, NOT('01 Org'!$I108="")),'01 Org'!$I108,0)</f>
        <v>0</v>
      </c>
      <c r="AD108">
        <f>IF(AND('01 Org'!F108&gt;Tmin, NOT('01 Org'!$I108="")),'01 Org'!$I108,0)</f>
        <v>0</v>
      </c>
      <c r="AE108">
        <f>IF(AND('01 Org'!C108&lt;Tmax, NOT('01 Org'!$H108="")),'01 Org'!$H108,4)</f>
        <v>3</v>
      </c>
      <c r="AF108">
        <f>IF(AND('01 Org'!D108&lt;Tmax, NOT('01 Org'!$H108="")),'01 Org'!$H108,4)</f>
        <v>3</v>
      </c>
      <c r="AG108">
        <f>IF(AND('01 Org'!E108&lt;Tmax, NOT('01 Org'!$H108="")),'01 Org'!$H108,4)</f>
        <v>3</v>
      </c>
      <c r="AH108">
        <f>IF(AND('01 Org'!F108&lt;Tmax, NOT('01 Org'!$H108="")),'01 Org'!$H108,4)</f>
        <v>3</v>
      </c>
      <c r="AI108"/>
    </row>
    <row r="109" spans="1:35" outlineLevel="1" x14ac:dyDescent="0.2">
      <c r="A109" s="633" t="s">
        <v>2536</v>
      </c>
      <c r="B109" s="925" t="s">
        <v>5730</v>
      </c>
      <c r="C109" s="909"/>
      <c r="D109" s="909"/>
      <c r="E109" s="909"/>
      <c r="F109" s="909"/>
      <c r="G109" s="1453"/>
      <c r="H109" s="1453"/>
      <c r="I109" s="1453"/>
      <c r="J109" s="1453"/>
      <c r="K109" s="1453"/>
      <c r="L109" s="1453"/>
      <c r="M109" s="887"/>
      <c r="AA109"/>
      <c r="AB109"/>
      <c r="AC109"/>
      <c r="AD109"/>
      <c r="AE109"/>
      <c r="AF109"/>
      <c r="AG109"/>
      <c r="AH109"/>
      <c r="AI109"/>
    </row>
    <row r="110" spans="1:35" outlineLevel="2" x14ac:dyDescent="0.2">
      <c r="A110" s="908" t="s">
        <v>2906</v>
      </c>
      <c r="B110" s="636" t="s">
        <v>5697</v>
      </c>
      <c r="C110" s="909"/>
      <c r="D110" s="909"/>
      <c r="E110" s="909"/>
      <c r="F110" s="909"/>
      <c r="G110" s="1453">
        <v>4</v>
      </c>
      <c r="H110" s="1453">
        <v>2</v>
      </c>
      <c r="I110" s="1453"/>
      <c r="J110" s="1453" t="s">
        <v>1592</v>
      </c>
      <c r="K110" s="1453"/>
      <c r="L110" s="1453"/>
      <c r="M110" s="887"/>
      <c r="AA110">
        <f>IF(AND('01 Org'!C110&gt;Tmin, NOT('01 Org'!$I110="")),'01 Org'!$I110,0)</f>
        <v>0</v>
      </c>
      <c r="AB110">
        <f>IF(AND('01 Org'!D110&gt;Tmin, NOT('01 Org'!$I110="")),'01 Org'!$I110,0)</f>
        <v>0</v>
      </c>
      <c r="AC110">
        <f>IF(AND('01 Org'!E110&gt;Tmin, NOT('01 Org'!$I110="")),'01 Org'!$I110,0)</f>
        <v>0</v>
      </c>
      <c r="AD110">
        <f>IF(AND('01 Org'!F110&gt;Tmin, NOT('01 Org'!$I110="")),'01 Org'!$I110,0)</f>
        <v>0</v>
      </c>
      <c r="AE110">
        <f>IF(AND('01 Org'!C110&lt;Tmax, NOT('01 Org'!$H110="")),'01 Org'!$H110,4)</f>
        <v>2</v>
      </c>
      <c r="AF110">
        <f>IF(AND('01 Org'!D110&lt;Tmax, NOT('01 Org'!$H110="")),'01 Org'!$H110,4)</f>
        <v>2</v>
      </c>
      <c r="AG110">
        <f>IF(AND('01 Org'!E110&lt;Tmax, NOT('01 Org'!$H110="")),'01 Org'!$H110,4)</f>
        <v>2</v>
      </c>
      <c r="AH110">
        <f>IF(AND('01 Org'!F110&lt;Tmax, NOT('01 Org'!$H110="")),'01 Org'!$H110,4)</f>
        <v>2</v>
      </c>
      <c r="AI110"/>
    </row>
    <row r="111" spans="1:35" outlineLevel="2" x14ac:dyDescent="0.2">
      <c r="A111" s="908" t="s">
        <v>5698</v>
      </c>
      <c r="B111" s="636" t="s">
        <v>4450</v>
      </c>
      <c r="C111" s="909"/>
      <c r="D111" s="909"/>
      <c r="E111" s="909"/>
      <c r="F111" s="909"/>
      <c r="G111" s="1453">
        <v>4</v>
      </c>
      <c r="H111" s="1453">
        <v>3</v>
      </c>
      <c r="I111" s="1453"/>
      <c r="J111" s="1453" t="s">
        <v>2329</v>
      </c>
      <c r="K111" s="1453"/>
      <c r="L111" s="1453"/>
      <c r="M111" s="887"/>
      <c r="AA111">
        <f>IF(AND('01 Org'!C111&gt;Tmin, NOT('01 Org'!$I111="")),'01 Org'!$I111,0)</f>
        <v>0</v>
      </c>
      <c r="AB111">
        <f>IF(AND('01 Org'!D111&gt;Tmin, NOT('01 Org'!$I111="")),'01 Org'!$I111,0)</f>
        <v>0</v>
      </c>
      <c r="AC111">
        <f>IF(AND('01 Org'!E111&gt;Tmin, NOT('01 Org'!$I111="")),'01 Org'!$I111,0)</f>
        <v>0</v>
      </c>
      <c r="AD111">
        <f>IF(AND('01 Org'!F111&gt;Tmin, NOT('01 Org'!$I111="")),'01 Org'!$I111,0)</f>
        <v>0</v>
      </c>
      <c r="AE111">
        <f>IF(AND('01 Org'!C111&lt;Tmax, NOT('01 Org'!$H111="")),'01 Org'!$H111,4)</f>
        <v>3</v>
      </c>
      <c r="AF111">
        <f>IF(AND('01 Org'!D111&lt;Tmax, NOT('01 Org'!$H111="")),'01 Org'!$H111,4)</f>
        <v>3</v>
      </c>
      <c r="AG111">
        <f>IF(AND('01 Org'!E111&lt;Tmax, NOT('01 Org'!$H111="")),'01 Org'!$H111,4)</f>
        <v>3</v>
      </c>
      <c r="AH111">
        <f>IF(AND('01 Org'!F111&lt;Tmax, NOT('01 Org'!$H111="")),'01 Org'!$H111,4)</f>
        <v>3</v>
      </c>
      <c r="AI111"/>
    </row>
    <row r="112" spans="1:35" outlineLevel="2" x14ac:dyDescent="0.2">
      <c r="A112" s="908" t="s">
        <v>4451</v>
      </c>
      <c r="B112" s="636" t="s">
        <v>4452</v>
      </c>
      <c r="C112" s="909"/>
      <c r="D112" s="909"/>
      <c r="E112" s="909"/>
      <c r="F112" s="909"/>
      <c r="G112" s="1453">
        <v>4</v>
      </c>
      <c r="H112" s="1453">
        <v>2</v>
      </c>
      <c r="I112" s="1453"/>
      <c r="J112" s="1453" t="s">
        <v>1592</v>
      </c>
      <c r="K112" s="1453"/>
      <c r="L112" s="1453"/>
      <c r="M112" s="887"/>
      <c r="AA112">
        <f>IF(AND('01 Org'!C112&gt;Tmin, NOT('01 Org'!$I112="")),'01 Org'!$I112,0)</f>
        <v>0</v>
      </c>
      <c r="AB112">
        <f>IF(AND('01 Org'!D112&gt;Tmin, NOT('01 Org'!$I112="")),'01 Org'!$I112,0)</f>
        <v>0</v>
      </c>
      <c r="AC112">
        <f>IF(AND('01 Org'!E112&gt;Tmin, NOT('01 Org'!$I112="")),'01 Org'!$I112,0)</f>
        <v>0</v>
      </c>
      <c r="AD112">
        <f>IF(AND('01 Org'!F112&gt;Tmin, NOT('01 Org'!$I112="")),'01 Org'!$I112,0)</f>
        <v>0</v>
      </c>
      <c r="AE112">
        <f>IF(AND('01 Org'!C112&lt;Tmax, NOT('01 Org'!$H112="")),'01 Org'!$H112,4)</f>
        <v>2</v>
      </c>
      <c r="AF112">
        <f>IF(AND('01 Org'!D112&lt;Tmax, NOT('01 Org'!$H112="")),'01 Org'!$H112,4)</f>
        <v>2</v>
      </c>
      <c r="AG112">
        <f>IF(AND('01 Org'!E112&lt;Tmax, NOT('01 Org'!$H112="")),'01 Org'!$H112,4)</f>
        <v>2</v>
      </c>
      <c r="AH112">
        <f>IF(AND('01 Org'!F112&lt;Tmax, NOT('01 Org'!$H112="")),'01 Org'!$H112,4)</f>
        <v>2</v>
      </c>
      <c r="AI112"/>
    </row>
    <row r="113" spans="1:35" outlineLevel="2" x14ac:dyDescent="0.2">
      <c r="A113" s="908" t="s">
        <v>4453</v>
      </c>
      <c r="B113" s="636" t="s">
        <v>4454</v>
      </c>
      <c r="C113" s="909"/>
      <c r="D113" s="909"/>
      <c r="E113" s="909"/>
      <c r="F113" s="909"/>
      <c r="G113" s="1453">
        <v>4</v>
      </c>
      <c r="H113" s="1453">
        <v>3</v>
      </c>
      <c r="I113" s="1453"/>
      <c r="J113" s="1453" t="s">
        <v>2329</v>
      </c>
      <c r="K113" s="1453"/>
      <c r="L113" s="1453"/>
      <c r="M113" s="887"/>
      <c r="AA113">
        <f>IF(AND('01 Org'!C113&gt;Tmin, NOT('01 Org'!$I113="")),'01 Org'!$I113,0)</f>
        <v>0</v>
      </c>
      <c r="AB113">
        <f>IF(AND('01 Org'!D113&gt;Tmin, NOT('01 Org'!$I113="")),'01 Org'!$I113,0)</f>
        <v>0</v>
      </c>
      <c r="AC113">
        <f>IF(AND('01 Org'!E113&gt;Tmin, NOT('01 Org'!$I113="")),'01 Org'!$I113,0)</f>
        <v>0</v>
      </c>
      <c r="AD113">
        <f>IF(AND('01 Org'!F113&gt;Tmin, NOT('01 Org'!$I113="")),'01 Org'!$I113,0)</f>
        <v>0</v>
      </c>
      <c r="AE113">
        <f>IF(AND('01 Org'!C113&lt;Tmax, NOT('01 Org'!$H113="")),'01 Org'!$H113,4)</f>
        <v>3</v>
      </c>
      <c r="AF113">
        <f>IF(AND('01 Org'!D113&lt;Tmax, NOT('01 Org'!$H113="")),'01 Org'!$H113,4)</f>
        <v>3</v>
      </c>
      <c r="AG113">
        <f>IF(AND('01 Org'!E113&lt;Tmax, NOT('01 Org'!$H113="")),'01 Org'!$H113,4)</f>
        <v>3</v>
      </c>
      <c r="AH113">
        <f>IF(AND('01 Org'!F113&lt;Tmax, NOT('01 Org'!$H113="")),'01 Org'!$H113,4)</f>
        <v>3</v>
      </c>
      <c r="AI113"/>
    </row>
    <row r="114" spans="1:35" ht="22.5" outlineLevel="2" x14ac:dyDescent="0.2">
      <c r="A114" s="908" t="s">
        <v>4455</v>
      </c>
      <c r="B114" s="636" t="s">
        <v>6150</v>
      </c>
      <c r="C114" s="909"/>
      <c r="D114" s="909"/>
      <c r="E114" s="909"/>
      <c r="F114" s="909"/>
      <c r="G114" s="1453">
        <v>4</v>
      </c>
      <c r="H114" s="1453">
        <v>3</v>
      </c>
      <c r="I114" s="1453"/>
      <c r="J114" s="1453" t="s">
        <v>2329</v>
      </c>
      <c r="K114" s="1453"/>
      <c r="L114" s="1453"/>
      <c r="M114" s="887"/>
      <c r="AA114">
        <f>IF(AND('01 Org'!C114&gt;Tmin, NOT('01 Org'!$I114="")),'01 Org'!$I114,0)</f>
        <v>0</v>
      </c>
      <c r="AB114">
        <f>IF(AND('01 Org'!D114&gt;Tmin, NOT('01 Org'!$I114="")),'01 Org'!$I114,0)</f>
        <v>0</v>
      </c>
      <c r="AC114">
        <f>IF(AND('01 Org'!E114&gt;Tmin, NOT('01 Org'!$I114="")),'01 Org'!$I114,0)</f>
        <v>0</v>
      </c>
      <c r="AD114">
        <f>IF(AND('01 Org'!F114&gt;Tmin, NOT('01 Org'!$I114="")),'01 Org'!$I114,0)</f>
        <v>0</v>
      </c>
      <c r="AE114">
        <f>IF(AND('01 Org'!C114&lt;Tmax, NOT('01 Org'!$H114="")),'01 Org'!$H114,4)</f>
        <v>3</v>
      </c>
      <c r="AF114">
        <f>IF(AND('01 Org'!D114&lt;Tmax, NOT('01 Org'!$H114="")),'01 Org'!$H114,4)</f>
        <v>3</v>
      </c>
      <c r="AG114">
        <f>IF(AND('01 Org'!E114&lt;Tmax, NOT('01 Org'!$H114="")),'01 Org'!$H114,4)</f>
        <v>3</v>
      </c>
      <c r="AH114">
        <f>IF(AND('01 Org'!F114&lt;Tmax, NOT('01 Org'!$H114="")),'01 Org'!$H114,4)</f>
        <v>3</v>
      </c>
      <c r="AI114"/>
    </row>
    <row r="115" spans="1:35" outlineLevel="2" x14ac:dyDescent="0.2">
      <c r="A115" s="908" t="s">
        <v>4456</v>
      </c>
      <c r="B115" s="636" t="s">
        <v>4457</v>
      </c>
      <c r="C115" s="909"/>
      <c r="D115" s="909"/>
      <c r="E115" s="909"/>
      <c r="F115" s="909"/>
      <c r="G115" s="1453">
        <v>2</v>
      </c>
      <c r="H115" s="1453"/>
      <c r="I115" s="1453"/>
      <c r="J115" s="1453" t="s">
        <v>2329</v>
      </c>
      <c r="K115" s="1453"/>
      <c r="L115" s="1453"/>
      <c r="M115" s="887"/>
      <c r="AA115">
        <f>IF(AND('01 Org'!C115&gt;Tmin, NOT('01 Org'!$I115="")),'01 Org'!$I115,0)</f>
        <v>0</v>
      </c>
      <c r="AB115">
        <f>IF(AND('01 Org'!D115&gt;Tmin, NOT('01 Org'!$I115="")),'01 Org'!$I115,0)</f>
        <v>0</v>
      </c>
      <c r="AC115">
        <f>IF(AND('01 Org'!E115&gt;Tmin, NOT('01 Org'!$I115="")),'01 Org'!$I115,0)</f>
        <v>0</v>
      </c>
      <c r="AD115">
        <f>IF(AND('01 Org'!F115&gt;Tmin, NOT('01 Org'!$I115="")),'01 Org'!$I115,0)</f>
        <v>0</v>
      </c>
      <c r="AE115">
        <f>IF(AND('01 Org'!C115&lt;Tmax, NOT('01 Org'!$H115="")),'01 Org'!$H115,4)</f>
        <v>4</v>
      </c>
      <c r="AF115">
        <f>IF(AND('01 Org'!D115&lt;Tmax, NOT('01 Org'!$H115="")),'01 Org'!$H115,4)</f>
        <v>4</v>
      </c>
      <c r="AG115">
        <f>IF(AND('01 Org'!E115&lt;Tmax, NOT('01 Org'!$H115="")),'01 Org'!$H115,4)</f>
        <v>4</v>
      </c>
      <c r="AH115">
        <f>IF(AND('01 Org'!F115&lt;Tmax, NOT('01 Org'!$H115="")),'01 Org'!$H115,4)</f>
        <v>4</v>
      </c>
      <c r="AI115"/>
    </row>
    <row r="116" spans="1:35" outlineLevel="2" x14ac:dyDescent="0.2">
      <c r="A116" s="908" t="s">
        <v>4458</v>
      </c>
      <c r="B116" s="636" t="s">
        <v>2239</v>
      </c>
      <c r="C116" s="909"/>
      <c r="D116" s="909"/>
      <c r="E116" s="909"/>
      <c r="F116" s="909"/>
      <c r="G116" s="1453">
        <v>2</v>
      </c>
      <c r="H116" s="1453"/>
      <c r="I116" s="1453"/>
      <c r="J116" s="1453" t="s">
        <v>2329</v>
      </c>
      <c r="K116" s="1453"/>
      <c r="L116" s="1453"/>
      <c r="M116" s="887"/>
      <c r="AA116">
        <f>IF(AND('01 Org'!C116&gt;Tmin, NOT('01 Org'!$I116="")),'01 Org'!$I116,0)</f>
        <v>0</v>
      </c>
      <c r="AB116">
        <f>IF(AND('01 Org'!D116&gt;Tmin, NOT('01 Org'!$I116="")),'01 Org'!$I116,0)</f>
        <v>0</v>
      </c>
      <c r="AC116">
        <f>IF(AND('01 Org'!E116&gt;Tmin, NOT('01 Org'!$I116="")),'01 Org'!$I116,0)</f>
        <v>0</v>
      </c>
      <c r="AD116">
        <f>IF(AND('01 Org'!F116&gt;Tmin, NOT('01 Org'!$I116="")),'01 Org'!$I116,0)</f>
        <v>0</v>
      </c>
      <c r="AE116">
        <f>IF(AND('01 Org'!C116&lt;Tmax, NOT('01 Org'!$H116="")),'01 Org'!$H116,4)</f>
        <v>4</v>
      </c>
      <c r="AF116">
        <f>IF(AND('01 Org'!D116&lt;Tmax, NOT('01 Org'!$H116="")),'01 Org'!$H116,4)</f>
        <v>4</v>
      </c>
      <c r="AG116">
        <f>IF(AND('01 Org'!E116&lt;Tmax, NOT('01 Org'!$H116="")),'01 Org'!$H116,4)</f>
        <v>4</v>
      </c>
      <c r="AH116">
        <f>IF(AND('01 Org'!F116&lt;Tmax, NOT('01 Org'!$H116="")),'01 Org'!$H116,4)</f>
        <v>4</v>
      </c>
      <c r="AI116"/>
    </row>
    <row r="117" spans="1:35" outlineLevel="2" x14ac:dyDescent="0.2">
      <c r="A117" s="908" t="s">
        <v>2240</v>
      </c>
      <c r="B117" s="636" t="s">
        <v>2241</v>
      </c>
      <c r="C117" s="909"/>
      <c r="D117" s="909"/>
      <c r="E117" s="909"/>
      <c r="F117" s="909"/>
      <c r="G117" s="1453">
        <v>2</v>
      </c>
      <c r="H117" s="1453"/>
      <c r="I117" s="1453">
        <v>3</v>
      </c>
      <c r="J117" s="1453" t="s">
        <v>2349</v>
      </c>
      <c r="K117" s="1453"/>
      <c r="L117" s="1453"/>
      <c r="M117" s="887"/>
      <c r="AA117">
        <f>IF(AND('01 Org'!C117&gt;Tmin, NOT('01 Org'!$I117="")),'01 Org'!$I117,0)</f>
        <v>0</v>
      </c>
      <c r="AB117">
        <f>IF(AND('01 Org'!D117&gt;Tmin, NOT('01 Org'!$I117="")),'01 Org'!$I117,0)</f>
        <v>0</v>
      </c>
      <c r="AC117">
        <f>IF(AND('01 Org'!E117&gt;Tmin, NOT('01 Org'!$I117="")),'01 Org'!$I117,0)</f>
        <v>0</v>
      </c>
      <c r="AD117">
        <f>IF(AND('01 Org'!F117&gt;Tmin, NOT('01 Org'!$I117="")),'01 Org'!$I117,0)</f>
        <v>0</v>
      </c>
      <c r="AE117">
        <f>IF(AND('01 Org'!C117&lt;Tmax, NOT('01 Org'!$H117="")),'01 Org'!$H117,4)</f>
        <v>4</v>
      </c>
      <c r="AF117">
        <f>IF(AND('01 Org'!D117&lt;Tmax, NOT('01 Org'!$H117="")),'01 Org'!$H117,4)</f>
        <v>4</v>
      </c>
      <c r="AG117">
        <f>IF(AND('01 Org'!E117&lt;Tmax, NOT('01 Org'!$H117="")),'01 Org'!$H117,4)</f>
        <v>4</v>
      </c>
      <c r="AH117">
        <f>IF(AND('01 Org'!F117&lt;Tmax, NOT('01 Org'!$H117="")),'01 Org'!$H117,4)</f>
        <v>4</v>
      </c>
      <c r="AI117"/>
    </row>
    <row r="118" spans="1:35" outlineLevel="1" x14ac:dyDescent="0.2">
      <c r="A118" s="633" t="s">
        <v>2537</v>
      </c>
      <c r="B118" s="925" t="s">
        <v>2538</v>
      </c>
      <c r="C118" s="909"/>
      <c r="D118" s="909"/>
      <c r="E118" s="909"/>
      <c r="F118" s="909"/>
      <c r="G118" s="1453"/>
      <c r="H118" s="1453"/>
      <c r="I118" s="1453"/>
      <c r="J118" s="1453"/>
      <c r="K118" s="1453"/>
      <c r="L118" s="1453"/>
      <c r="M118" s="887"/>
      <c r="AA118"/>
      <c r="AB118"/>
      <c r="AC118"/>
      <c r="AD118"/>
      <c r="AE118"/>
      <c r="AF118"/>
      <c r="AG118"/>
      <c r="AH118"/>
      <c r="AI118"/>
    </row>
    <row r="119" spans="1:35" ht="22.5" outlineLevel="2" x14ac:dyDescent="0.2">
      <c r="A119" s="908" t="s">
        <v>2242</v>
      </c>
      <c r="B119" s="636" t="s">
        <v>2243</v>
      </c>
      <c r="C119" s="909"/>
      <c r="D119" s="909"/>
      <c r="E119" s="909"/>
      <c r="F119" s="909"/>
      <c r="G119" s="1453">
        <v>1</v>
      </c>
      <c r="H119" s="1453"/>
      <c r="I119" s="1453"/>
      <c r="J119" s="1453" t="s">
        <v>1592</v>
      </c>
      <c r="K119" s="1453" t="s">
        <v>4274</v>
      </c>
      <c r="L119" s="1453" t="s">
        <v>2244</v>
      </c>
      <c r="M119" s="887"/>
      <c r="AA119">
        <f>IF(AND('01 Org'!C119&gt;Tmin, NOT('01 Org'!$I119="")),'01 Org'!$I119,0)</f>
        <v>0</v>
      </c>
      <c r="AB119">
        <f>IF(AND('01 Org'!D119&gt;Tmin, NOT('01 Org'!$I119="")),'01 Org'!$I119,0)</f>
        <v>0</v>
      </c>
      <c r="AC119">
        <f>IF(AND('01 Org'!E119&gt;Tmin, NOT('01 Org'!$I119="")),'01 Org'!$I119,0)</f>
        <v>0</v>
      </c>
      <c r="AD119">
        <f>IF(AND('01 Org'!F119&gt;Tmin, NOT('01 Org'!$I119="")),'01 Org'!$I119,0)</f>
        <v>0</v>
      </c>
      <c r="AE119">
        <f>IF(AND('01 Org'!C119&lt;Tmax, NOT('01 Org'!$H119="")),'01 Org'!$H119,4)</f>
        <v>4</v>
      </c>
      <c r="AF119">
        <f>IF(AND('01 Org'!D119&lt;Tmax, NOT('01 Org'!$H119="")),'01 Org'!$H119,4)</f>
        <v>4</v>
      </c>
      <c r="AG119">
        <f>IF(AND('01 Org'!E119&lt;Tmax, NOT('01 Org'!$H119="")),'01 Org'!$H119,4)</f>
        <v>4</v>
      </c>
      <c r="AH119">
        <f>IF(AND('01 Org'!F119&lt;Tmax, NOT('01 Org'!$H119="")),'01 Org'!$H119,4)</f>
        <v>4</v>
      </c>
      <c r="AI119"/>
    </row>
    <row r="120" spans="1:35" outlineLevel="2" x14ac:dyDescent="0.2">
      <c r="A120" s="908" t="s">
        <v>2245</v>
      </c>
      <c r="B120" s="636" t="s">
        <v>5941</v>
      </c>
      <c r="C120" s="909"/>
      <c r="D120" s="909"/>
      <c r="E120" s="909"/>
      <c r="F120" s="909"/>
      <c r="G120" s="1453">
        <v>4</v>
      </c>
      <c r="H120" s="1453"/>
      <c r="I120" s="1453"/>
      <c r="J120" s="1453" t="s">
        <v>1592</v>
      </c>
      <c r="K120" s="1453" t="s">
        <v>5299</v>
      </c>
      <c r="L120" s="1453" t="s">
        <v>5942</v>
      </c>
      <c r="M120" s="887"/>
      <c r="AA120">
        <f>IF(AND('01 Org'!C120&gt;Tmin, NOT('01 Org'!$I120="")),'01 Org'!$I120,0)</f>
        <v>0</v>
      </c>
      <c r="AB120">
        <f>IF(AND('01 Org'!D120&gt;Tmin, NOT('01 Org'!$I120="")),'01 Org'!$I120,0)</f>
        <v>0</v>
      </c>
      <c r="AC120">
        <f>IF(AND('01 Org'!E120&gt;Tmin, NOT('01 Org'!$I120="")),'01 Org'!$I120,0)</f>
        <v>0</v>
      </c>
      <c r="AD120">
        <f>IF(AND('01 Org'!F120&gt;Tmin, NOT('01 Org'!$I120="")),'01 Org'!$I120,0)</f>
        <v>0</v>
      </c>
      <c r="AE120">
        <f>IF(AND('01 Org'!C120&lt;Tmax, NOT('01 Org'!$H120="")),'01 Org'!$H120,4)</f>
        <v>4</v>
      </c>
      <c r="AF120">
        <f>IF(AND('01 Org'!D120&lt;Tmax, NOT('01 Org'!$H120="")),'01 Org'!$H120,4)</f>
        <v>4</v>
      </c>
      <c r="AG120">
        <f>IF(AND('01 Org'!E120&lt;Tmax, NOT('01 Org'!$H120="")),'01 Org'!$H120,4)</f>
        <v>4</v>
      </c>
      <c r="AH120">
        <f>IF(AND('01 Org'!F120&lt;Tmax, NOT('01 Org'!$H120="")),'01 Org'!$H120,4)</f>
        <v>4</v>
      </c>
      <c r="AI120"/>
    </row>
    <row r="121" spans="1:35" ht="22.5" outlineLevel="2" x14ac:dyDescent="0.2">
      <c r="A121" s="908" t="s">
        <v>5943</v>
      </c>
      <c r="B121" s="636" t="s">
        <v>3911</v>
      </c>
      <c r="C121" s="909"/>
      <c r="D121" s="909"/>
      <c r="E121" s="909"/>
      <c r="F121" s="909"/>
      <c r="G121" s="1453">
        <v>4</v>
      </c>
      <c r="H121" s="1453"/>
      <c r="I121" s="1453"/>
      <c r="J121" s="1453" t="s">
        <v>1592</v>
      </c>
      <c r="K121" s="1453" t="s">
        <v>5299</v>
      </c>
      <c r="L121" s="1453" t="s">
        <v>5942</v>
      </c>
      <c r="M121" s="887"/>
      <c r="AA121">
        <f>IF(AND('01 Org'!C121&gt;Tmin, NOT('01 Org'!$I121="")),'01 Org'!$I121,0)</f>
        <v>0</v>
      </c>
      <c r="AB121">
        <f>IF(AND('01 Org'!D121&gt;Tmin, NOT('01 Org'!$I121="")),'01 Org'!$I121,0)</f>
        <v>0</v>
      </c>
      <c r="AC121">
        <f>IF(AND('01 Org'!E121&gt;Tmin, NOT('01 Org'!$I121="")),'01 Org'!$I121,0)</f>
        <v>0</v>
      </c>
      <c r="AD121">
        <f>IF(AND('01 Org'!F121&gt;Tmin, NOT('01 Org'!$I121="")),'01 Org'!$I121,0)</f>
        <v>0</v>
      </c>
      <c r="AE121">
        <f>IF(AND('01 Org'!C121&lt;Tmax, NOT('01 Org'!$H121="")),'01 Org'!$H121,4)</f>
        <v>4</v>
      </c>
      <c r="AF121">
        <f>IF(AND('01 Org'!D121&lt;Tmax, NOT('01 Org'!$H121="")),'01 Org'!$H121,4)</f>
        <v>4</v>
      </c>
      <c r="AG121">
        <f>IF(AND('01 Org'!E121&lt;Tmax, NOT('01 Org'!$H121="")),'01 Org'!$H121,4)</f>
        <v>4</v>
      </c>
      <c r="AH121">
        <f>IF(AND('01 Org'!F121&lt;Tmax, NOT('01 Org'!$H121="")),'01 Org'!$H121,4)</f>
        <v>4</v>
      </c>
      <c r="AI121"/>
    </row>
    <row r="122" spans="1:35" ht="33.75" outlineLevel="2" x14ac:dyDescent="0.2">
      <c r="A122" s="908" t="s">
        <v>3912</v>
      </c>
      <c r="B122" s="636" t="s">
        <v>3436</v>
      </c>
      <c r="C122" s="909"/>
      <c r="D122" s="909"/>
      <c r="E122" s="909"/>
      <c r="F122" s="909"/>
      <c r="G122" s="1453">
        <v>4</v>
      </c>
      <c r="H122" s="1453"/>
      <c r="I122" s="1453"/>
      <c r="J122" s="1453" t="s">
        <v>1592</v>
      </c>
      <c r="K122" s="1453" t="s">
        <v>5299</v>
      </c>
      <c r="L122" s="1453" t="s">
        <v>5942</v>
      </c>
      <c r="M122" s="887"/>
      <c r="AA122">
        <f>IF(AND('01 Org'!C122&gt;Tmin, NOT('01 Org'!$I122="")),'01 Org'!$I122,0)</f>
        <v>0</v>
      </c>
      <c r="AB122">
        <f>IF(AND('01 Org'!D122&gt;Tmin, NOT('01 Org'!$I122="")),'01 Org'!$I122,0)</f>
        <v>0</v>
      </c>
      <c r="AC122">
        <f>IF(AND('01 Org'!E122&gt;Tmin, NOT('01 Org'!$I122="")),'01 Org'!$I122,0)</f>
        <v>0</v>
      </c>
      <c r="AD122">
        <f>IF(AND('01 Org'!F122&gt;Tmin, NOT('01 Org'!$I122="")),'01 Org'!$I122,0)</f>
        <v>0</v>
      </c>
      <c r="AE122">
        <f>IF(AND('01 Org'!C122&lt;Tmax, NOT('01 Org'!$H122="")),'01 Org'!$H122,4)</f>
        <v>4</v>
      </c>
      <c r="AF122">
        <f>IF(AND('01 Org'!D122&lt;Tmax, NOT('01 Org'!$H122="")),'01 Org'!$H122,4)</f>
        <v>4</v>
      </c>
      <c r="AG122">
        <f>IF(AND('01 Org'!E122&lt;Tmax, NOT('01 Org'!$H122="")),'01 Org'!$H122,4)</f>
        <v>4</v>
      </c>
      <c r="AH122">
        <f>IF(AND('01 Org'!F122&lt;Tmax, NOT('01 Org'!$H122="")),'01 Org'!$H122,4)</f>
        <v>4</v>
      </c>
      <c r="AI122"/>
    </row>
    <row r="123" spans="1:35" outlineLevel="1" x14ac:dyDescent="0.2">
      <c r="A123" s="633" t="s">
        <v>2539</v>
      </c>
      <c r="B123" s="925" t="s">
        <v>3913</v>
      </c>
      <c r="C123" s="909"/>
      <c r="D123" s="909"/>
      <c r="E123" s="909"/>
      <c r="F123" s="909"/>
      <c r="G123" s="1453"/>
      <c r="H123" s="1453"/>
      <c r="I123" s="1453"/>
      <c r="J123" s="1453"/>
      <c r="K123" s="1453"/>
      <c r="L123" s="1453"/>
      <c r="M123" s="887"/>
      <c r="AA123"/>
      <c r="AB123"/>
      <c r="AC123"/>
      <c r="AD123"/>
      <c r="AE123"/>
      <c r="AF123"/>
      <c r="AG123"/>
      <c r="AH123"/>
      <c r="AI123"/>
    </row>
    <row r="124" spans="1:35" ht="22.5" outlineLevel="2" x14ac:dyDescent="0.2">
      <c r="A124" s="908" t="s">
        <v>3914</v>
      </c>
      <c r="B124" s="636" t="s">
        <v>4489</v>
      </c>
      <c r="C124" s="909"/>
      <c r="D124" s="909"/>
      <c r="E124" s="909"/>
      <c r="F124" s="909"/>
      <c r="G124" s="1453">
        <v>4</v>
      </c>
      <c r="H124" s="1453">
        <v>2</v>
      </c>
      <c r="I124" s="1453"/>
      <c r="J124" s="1453" t="s">
        <v>4246</v>
      </c>
      <c r="K124" s="1458" t="s">
        <v>2631</v>
      </c>
      <c r="L124" s="1453" t="s">
        <v>4490</v>
      </c>
      <c r="M124" s="887"/>
      <c r="AA124">
        <f>IF(AND('01 Org'!C124&gt;Tmin, NOT('01 Org'!$I124="")),'01 Org'!$I124,0)</f>
        <v>0</v>
      </c>
      <c r="AB124">
        <f>IF(AND('01 Org'!D124&gt;Tmin, NOT('01 Org'!$I124="")),'01 Org'!$I124,0)</f>
        <v>0</v>
      </c>
      <c r="AC124">
        <f>IF(AND('01 Org'!E124&gt;Tmin, NOT('01 Org'!$I124="")),'01 Org'!$I124,0)</f>
        <v>0</v>
      </c>
      <c r="AD124">
        <f>IF(AND('01 Org'!F124&gt;Tmin, NOT('01 Org'!$I124="")),'01 Org'!$I124,0)</f>
        <v>0</v>
      </c>
      <c r="AE124">
        <f>IF(AND('01 Org'!C124&lt;Tmax, NOT('01 Org'!$H124="")),'01 Org'!$H124,4)</f>
        <v>2</v>
      </c>
      <c r="AF124">
        <f>IF(AND('01 Org'!D124&lt;Tmax, NOT('01 Org'!$H124="")),'01 Org'!$H124,4)</f>
        <v>2</v>
      </c>
      <c r="AG124">
        <f>IF(AND('01 Org'!E124&lt;Tmax, NOT('01 Org'!$H124="")),'01 Org'!$H124,4)</f>
        <v>2</v>
      </c>
      <c r="AH124">
        <f>IF(AND('01 Org'!F124&lt;Tmax, NOT('01 Org'!$H124="")),'01 Org'!$H124,4)</f>
        <v>2</v>
      </c>
      <c r="AI124"/>
    </row>
    <row r="125" spans="1:35" outlineLevel="2" x14ac:dyDescent="0.2">
      <c r="A125" s="908" t="s">
        <v>4491</v>
      </c>
      <c r="B125" s="636" t="s">
        <v>4492</v>
      </c>
      <c r="C125" s="909"/>
      <c r="D125" s="909"/>
      <c r="E125" s="909"/>
      <c r="F125" s="909"/>
      <c r="G125" s="1453">
        <v>2</v>
      </c>
      <c r="H125" s="1453"/>
      <c r="I125" s="1453"/>
      <c r="J125" s="1453" t="s">
        <v>1592</v>
      </c>
      <c r="K125" s="1458" t="s">
        <v>2631</v>
      </c>
      <c r="L125" s="1453" t="s">
        <v>4490</v>
      </c>
      <c r="M125" s="887"/>
      <c r="AA125">
        <f>IF(AND('01 Org'!C125&gt;Tmin, NOT('01 Org'!$I125="")),'01 Org'!$I125,0)</f>
        <v>0</v>
      </c>
      <c r="AB125">
        <f>IF(AND('01 Org'!D125&gt;Tmin, NOT('01 Org'!$I125="")),'01 Org'!$I125,0)</f>
        <v>0</v>
      </c>
      <c r="AC125">
        <f>IF(AND('01 Org'!E125&gt;Tmin, NOT('01 Org'!$I125="")),'01 Org'!$I125,0)</f>
        <v>0</v>
      </c>
      <c r="AD125">
        <f>IF(AND('01 Org'!F125&gt;Tmin, NOT('01 Org'!$I125="")),'01 Org'!$I125,0)</f>
        <v>0</v>
      </c>
      <c r="AE125">
        <f>IF(AND('01 Org'!C125&lt;Tmax, NOT('01 Org'!$H125="")),'01 Org'!$H125,4)</f>
        <v>4</v>
      </c>
      <c r="AF125">
        <f>IF(AND('01 Org'!D125&lt;Tmax, NOT('01 Org'!$H125="")),'01 Org'!$H125,4)</f>
        <v>4</v>
      </c>
      <c r="AG125">
        <f>IF(AND('01 Org'!E125&lt;Tmax, NOT('01 Org'!$H125="")),'01 Org'!$H125,4)</f>
        <v>4</v>
      </c>
      <c r="AH125">
        <f>IF(AND('01 Org'!F125&lt;Tmax, NOT('01 Org'!$H125="")),'01 Org'!$H125,4)</f>
        <v>4</v>
      </c>
      <c r="AI125"/>
    </row>
    <row r="126" spans="1:35" outlineLevel="2" x14ac:dyDescent="0.2">
      <c r="A126" s="908" t="s">
        <v>4493</v>
      </c>
      <c r="B126" s="636" t="s">
        <v>5245</v>
      </c>
      <c r="C126" s="909"/>
      <c r="D126" s="909"/>
      <c r="E126" s="909"/>
      <c r="F126" s="909"/>
      <c r="G126" s="1453">
        <v>2</v>
      </c>
      <c r="H126" s="1453"/>
      <c r="I126" s="1453"/>
      <c r="J126" s="1453" t="s">
        <v>1592</v>
      </c>
      <c r="K126" s="1458" t="s">
        <v>2631</v>
      </c>
      <c r="L126" s="1453" t="s">
        <v>4490</v>
      </c>
      <c r="M126" s="887"/>
      <c r="AA126">
        <f>IF(AND('01 Org'!C126&gt;Tmin, NOT('01 Org'!$I126="")),'01 Org'!$I126,0)</f>
        <v>0</v>
      </c>
      <c r="AB126">
        <f>IF(AND('01 Org'!D126&gt;Tmin, NOT('01 Org'!$I126="")),'01 Org'!$I126,0)</f>
        <v>0</v>
      </c>
      <c r="AC126">
        <f>IF(AND('01 Org'!E126&gt;Tmin, NOT('01 Org'!$I126="")),'01 Org'!$I126,0)</f>
        <v>0</v>
      </c>
      <c r="AD126">
        <f>IF(AND('01 Org'!F126&gt;Tmin, NOT('01 Org'!$I126="")),'01 Org'!$I126,0)</f>
        <v>0</v>
      </c>
      <c r="AE126">
        <f>IF(AND('01 Org'!C126&lt;Tmax, NOT('01 Org'!$H126="")),'01 Org'!$H126,4)</f>
        <v>4</v>
      </c>
      <c r="AF126">
        <f>IF(AND('01 Org'!D126&lt;Tmax, NOT('01 Org'!$H126="")),'01 Org'!$H126,4)</f>
        <v>4</v>
      </c>
      <c r="AG126">
        <f>IF(AND('01 Org'!E126&lt;Tmax, NOT('01 Org'!$H126="")),'01 Org'!$H126,4)</f>
        <v>4</v>
      </c>
      <c r="AH126">
        <f>IF(AND('01 Org'!F126&lt;Tmax, NOT('01 Org'!$H126="")),'01 Org'!$H126,4)</f>
        <v>4</v>
      </c>
      <c r="AI126"/>
    </row>
    <row r="127" spans="1:35" ht="22.5" outlineLevel="2" x14ac:dyDescent="0.2">
      <c r="A127" s="908" t="s">
        <v>5246</v>
      </c>
      <c r="B127" s="636" t="s">
        <v>5675</v>
      </c>
      <c r="C127" s="909"/>
      <c r="D127" s="909"/>
      <c r="E127" s="909"/>
      <c r="F127" s="909"/>
      <c r="G127" s="1453">
        <v>2</v>
      </c>
      <c r="H127" s="1453"/>
      <c r="I127" s="1453"/>
      <c r="J127" s="1453" t="s">
        <v>1592</v>
      </c>
      <c r="K127" s="1458" t="s">
        <v>2631</v>
      </c>
      <c r="L127" s="1453" t="s">
        <v>4490</v>
      </c>
      <c r="M127" s="887"/>
      <c r="AA127">
        <f>IF(AND('01 Org'!C127&gt;Tmin, NOT('01 Org'!$I127="")),'01 Org'!$I127,0)</f>
        <v>0</v>
      </c>
      <c r="AB127">
        <f>IF(AND('01 Org'!D127&gt;Tmin, NOT('01 Org'!$I127="")),'01 Org'!$I127,0)</f>
        <v>0</v>
      </c>
      <c r="AC127">
        <f>IF(AND('01 Org'!E127&gt;Tmin, NOT('01 Org'!$I127="")),'01 Org'!$I127,0)</f>
        <v>0</v>
      </c>
      <c r="AD127">
        <f>IF(AND('01 Org'!F127&gt;Tmin, NOT('01 Org'!$I127="")),'01 Org'!$I127,0)</f>
        <v>0</v>
      </c>
      <c r="AE127">
        <f>IF(AND('01 Org'!C127&lt;Tmax, NOT('01 Org'!$H127="")),'01 Org'!$H127,4)</f>
        <v>4</v>
      </c>
      <c r="AF127">
        <f>IF(AND('01 Org'!D127&lt;Tmax, NOT('01 Org'!$H127="")),'01 Org'!$H127,4)</f>
        <v>4</v>
      </c>
      <c r="AG127">
        <f>IF(AND('01 Org'!E127&lt;Tmax, NOT('01 Org'!$H127="")),'01 Org'!$H127,4)</f>
        <v>4</v>
      </c>
      <c r="AH127">
        <f>IF(AND('01 Org'!F127&lt;Tmax, NOT('01 Org'!$H127="")),'01 Org'!$H127,4)</f>
        <v>4</v>
      </c>
      <c r="AI127"/>
    </row>
    <row r="128" spans="1:35" ht="22.5" outlineLevel="2" x14ac:dyDescent="0.2">
      <c r="A128" s="908" t="s">
        <v>5676</v>
      </c>
      <c r="B128" s="636" t="s">
        <v>3620</v>
      </c>
      <c r="C128" s="909"/>
      <c r="D128" s="909"/>
      <c r="E128" s="909"/>
      <c r="F128" s="909"/>
      <c r="G128" s="1453">
        <v>4</v>
      </c>
      <c r="H128" s="1453"/>
      <c r="I128" s="1453"/>
      <c r="J128" s="1453" t="s">
        <v>1592</v>
      </c>
      <c r="K128" s="1458" t="s">
        <v>2631</v>
      </c>
      <c r="L128" s="1453" t="s">
        <v>4490</v>
      </c>
      <c r="M128" s="887"/>
      <c r="AA128">
        <f>IF(AND('01 Org'!C128&gt;Tmin, NOT('01 Org'!$I128="")),'01 Org'!$I128,0)</f>
        <v>0</v>
      </c>
      <c r="AB128">
        <f>IF(AND('01 Org'!D128&gt;Tmin, NOT('01 Org'!$I128="")),'01 Org'!$I128,0)</f>
        <v>0</v>
      </c>
      <c r="AC128">
        <f>IF(AND('01 Org'!E128&gt;Tmin, NOT('01 Org'!$I128="")),'01 Org'!$I128,0)</f>
        <v>0</v>
      </c>
      <c r="AD128">
        <f>IF(AND('01 Org'!F128&gt;Tmin, NOT('01 Org'!$I128="")),'01 Org'!$I128,0)</f>
        <v>0</v>
      </c>
      <c r="AE128">
        <f>IF(AND('01 Org'!C128&lt;Tmax, NOT('01 Org'!$H128="")),'01 Org'!$H128,4)</f>
        <v>4</v>
      </c>
      <c r="AF128">
        <f>IF(AND('01 Org'!D128&lt;Tmax, NOT('01 Org'!$H128="")),'01 Org'!$H128,4)</f>
        <v>4</v>
      </c>
      <c r="AG128">
        <f>IF(AND('01 Org'!E128&lt;Tmax, NOT('01 Org'!$H128="")),'01 Org'!$H128,4)</f>
        <v>4</v>
      </c>
      <c r="AH128">
        <f>IF(AND('01 Org'!F128&lt;Tmax, NOT('01 Org'!$H128="")),'01 Org'!$H128,4)</f>
        <v>4</v>
      </c>
      <c r="AI128"/>
    </row>
    <row r="129" spans="1:35" ht="22.5" outlineLevel="2" x14ac:dyDescent="0.2">
      <c r="A129" s="908" t="s">
        <v>3621</v>
      </c>
      <c r="B129" s="636" t="s">
        <v>3622</v>
      </c>
      <c r="C129" s="909"/>
      <c r="D129" s="909"/>
      <c r="E129" s="909"/>
      <c r="F129" s="909"/>
      <c r="G129" s="1453">
        <v>1</v>
      </c>
      <c r="H129" s="1453"/>
      <c r="I129" s="1453"/>
      <c r="J129" s="1453" t="s">
        <v>1592</v>
      </c>
      <c r="K129" s="1453" t="s">
        <v>6899</v>
      </c>
      <c r="L129" s="1453" t="s">
        <v>2511</v>
      </c>
      <c r="M129" s="887"/>
      <c r="AA129">
        <f>IF(AND('01 Org'!C129&gt;Tmin, NOT('01 Org'!$I129="")),'01 Org'!$I129,0)</f>
        <v>0</v>
      </c>
      <c r="AB129">
        <f>IF(AND('01 Org'!D129&gt;Tmin, NOT('01 Org'!$I129="")),'01 Org'!$I129,0)</f>
        <v>0</v>
      </c>
      <c r="AC129">
        <f>IF(AND('01 Org'!E129&gt;Tmin, NOT('01 Org'!$I129="")),'01 Org'!$I129,0)</f>
        <v>0</v>
      </c>
      <c r="AD129">
        <f>IF(AND('01 Org'!F129&gt;Tmin, NOT('01 Org'!$I129="")),'01 Org'!$I129,0)</f>
        <v>0</v>
      </c>
      <c r="AE129">
        <f>IF(AND('01 Org'!C129&lt;Tmax, NOT('01 Org'!$H129="")),'01 Org'!$H129,4)</f>
        <v>4</v>
      </c>
      <c r="AF129">
        <f>IF(AND('01 Org'!D129&lt;Tmax, NOT('01 Org'!$H129="")),'01 Org'!$H129,4)</f>
        <v>4</v>
      </c>
      <c r="AG129">
        <f>IF(AND('01 Org'!E129&lt;Tmax, NOT('01 Org'!$H129="")),'01 Org'!$H129,4)</f>
        <v>4</v>
      </c>
      <c r="AH129">
        <f>IF(AND('01 Org'!F129&lt;Tmax, NOT('01 Org'!$H129="")),'01 Org'!$H129,4)</f>
        <v>4</v>
      </c>
      <c r="AI129"/>
    </row>
    <row r="130" spans="1:35" outlineLevel="2" x14ac:dyDescent="0.2">
      <c r="A130" s="908" t="s">
        <v>2512</v>
      </c>
      <c r="B130" s="636" t="s">
        <v>2513</v>
      </c>
      <c r="C130" s="909"/>
      <c r="D130" s="909"/>
      <c r="E130" s="909"/>
      <c r="F130" s="909"/>
      <c r="G130" s="1453">
        <v>4</v>
      </c>
      <c r="H130" s="1456"/>
      <c r="I130" s="1456"/>
      <c r="J130" s="1453" t="s">
        <v>1592</v>
      </c>
      <c r="K130" s="1453"/>
      <c r="L130" s="1453"/>
      <c r="M130" s="887"/>
      <c r="AA130">
        <f>IF(AND('01 Org'!C130&gt;Tmin, NOT('01 Org'!$I130="")),'01 Org'!$I130,0)</f>
        <v>0</v>
      </c>
      <c r="AB130">
        <f>IF(AND('01 Org'!D130&gt;Tmin, NOT('01 Org'!$I130="")),'01 Org'!$I130,0)</f>
        <v>0</v>
      </c>
      <c r="AC130">
        <f>IF(AND('01 Org'!E130&gt;Tmin, NOT('01 Org'!$I130="")),'01 Org'!$I130,0)</f>
        <v>0</v>
      </c>
      <c r="AD130">
        <f>IF(AND('01 Org'!F130&gt;Tmin, NOT('01 Org'!$I130="")),'01 Org'!$I130,0)</f>
        <v>0</v>
      </c>
      <c r="AE130">
        <f>IF(AND('01 Org'!C130&lt;Tmax, NOT('01 Org'!$H130="")),'01 Org'!$H130,4)</f>
        <v>4</v>
      </c>
      <c r="AF130">
        <f>IF(AND('01 Org'!D130&lt;Tmax, NOT('01 Org'!$H130="")),'01 Org'!$H130,4)</f>
        <v>4</v>
      </c>
      <c r="AG130">
        <f>IF(AND('01 Org'!E130&lt;Tmax, NOT('01 Org'!$H130="")),'01 Org'!$H130,4)</f>
        <v>4</v>
      </c>
      <c r="AH130">
        <f>IF(AND('01 Org'!F130&lt;Tmax, NOT('01 Org'!$H130="")),'01 Org'!$H130,4)</f>
        <v>4</v>
      </c>
      <c r="AI130"/>
    </row>
    <row r="131" spans="1:35" outlineLevel="2" x14ac:dyDescent="0.2">
      <c r="A131" s="908" t="s">
        <v>4629</v>
      </c>
      <c r="B131" s="636" t="s">
        <v>4630</v>
      </c>
      <c r="C131" s="909"/>
      <c r="D131" s="909"/>
      <c r="E131" s="909"/>
      <c r="F131" s="909"/>
      <c r="G131" s="1453">
        <v>4</v>
      </c>
      <c r="H131" s="1453">
        <v>3</v>
      </c>
      <c r="I131" s="1456"/>
      <c r="J131" s="1453" t="s">
        <v>2349</v>
      </c>
      <c r="K131" s="1453"/>
      <c r="L131" s="1453"/>
      <c r="M131" s="887"/>
      <c r="AA131">
        <f>IF(AND('01 Org'!C131&gt;Tmin, NOT('01 Org'!$I131="")),'01 Org'!$I131,0)</f>
        <v>0</v>
      </c>
      <c r="AB131">
        <f>IF(AND('01 Org'!D131&gt;Tmin, NOT('01 Org'!$I131="")),'01 Org'!$I131,0)</f>
        <v>0</v>
      </c>
      <c r="AC131">
        <f>IF(AND('01 Org'!E131&gt;Tmin, NOT('01 Org'!$I131="")),'01 Org'!$I131,0)</f>
        <v>0</v>
      </c>
      <c r="AD131">
        <f>IF(AND('01 Org'!F131&gt;Tmin, NOT('01 Org'!$I131="")),'01 Org'!$I131,0)</f>
        <v>0</v>
      </c>
      <c r="AE131">
        <f>IF(AND('01 Org'!C131&lt;Tmax, NOT('01 Org'!$H131="")),'01 Org'!$H131,4)</f>
        <v>3</v>
      </c>
      <c r="AF131">
        <f>IF(AND('01 Org'!D131&lt;Tmax, NOT('01 Org'!$H131="")),'01 Org'!$H131,4)</f>
        <v>3</v>
      </c>
      <c r="AG131">
        <f>IF(AND('01 Org'!E131&lt;Tmax, NOT('01 Org'!$H131="")),'01 Org'!$H131,4)</f>
        <v>3</v>
      </c>
      <c r="AH131">
        <f>IF(AND('01 Org'!F131&lt;Tmax, NOT('01 Org'!$H131="")),'01 Org'!$H131,4)</f>
        <v>3</v>
      </c>
      <c r="AI131"/>
    </row>
    <row r="132" spans="1:35" ht="22.5" outlineLevel="2" x14ac:dyDescent="0.2">
      <c r="A132" s="908" t="s">
        <v>4631</v>
      </c>
      <c r="B132" s="636" t="s">
        <v>4663</v>
      </c>
      <c r="C132" s="909"/>
      <c r="D132" s="909"/>
      <c r="E132" s="909"/>
      <c r="F132" s="909"/>
      <c r="G132" s="1453">
        <v>4</v>
      </c>
      <c r="H132" s="1456">
        <v>3</v>
      </c>
      <c r="I132" s="1456"/>
      <c r="J132" s="1453" t="s">
        <v>2349</v>
      </c>
      <c r="K132" s="1453"/>
      <c r="L132" s="1453"/>
      <c r="M132" s="887"/>
      <c r="AA132">
        <f>IF(AND('01 Org'!C132&gt;Tmin, NOT('01 Org'!$I132="")),'01 Org'!$I132,0)</f>
        <v>0</v>
      </c>
      <c r="AB132">
        <f>IF(AND('01 Org'!D132&gt;Tmin, NOT('01 Org'!$I132="")),'01 Org'!$I132,0)</f>
        <v>0</v>
      </c>
      <c r="AC132">
        <f>IF(AND('01 Org'!E132&gt;Tmin, NOT('01 Org'!$I132="")),'01 Org'!$I132,0)</f>
        <v>0</v>
      </c>
      <c r="AD132">
        <f>IF(AND('01 Org'!F132&gt;Tmin, NOT('01 Org'!$I132="")),'01 Org'!$I132,0)</f>
        <v>0</v>
      </c>
      <c r="AE132">
        <f>IF(AND('01 Org'!C132&lt;Tmax, NOT('01 Org'!$H132="")),'01 Org'!$H132,4)</f>
        <v>3</v>
      </c>
      <c r="AF132">
        <f>IF(AND('01 Org'!D132&lt;Tmax, NOT('01 Org'!$H132="")),'01 Org'!$H132,4)</f>
        <v>3</v>
      </c>
      <c r="AG132">
        <f>IF(AND('01 Org'!E132&lt;Tmax, NOT('01 Org'!$H132="")),'01 Org'!$H132,4)</f>
        <v>3</v>
      </c>
      <c r="AH132">
        <f>IF(AND('01 Org'!F132&lt;Tmax, NOT('01 Org'!$H132="")),'01 Org'!$H132,4)</f>
        <v>3</v>
      </c>
      <c r="AI132"/>
    </row>
    <row r="133" spans="1:35" outlineLevel="1" x14ac:dyDescent="0.2">
      <c r="A133" s="633" t="s">
        <v>2541</v>
      </c>
      <c r="B133" s="925" t="s">
        <v>4664</v>
      </c>
      <c r="C133" s="909"/>
      <c r="D133" s="909"/>
      <c r="E133" s="909"/>
      <c r="F133" s="909"/>
      <c r="G133" s="1453"/>
      <c r="H133" s="1453"/>
      <c r="I133" s="1453"/>
      <c r="J133" s="1453"/>
      <c r="K133" s="1453"/>
      <c r="L133" s="1453"/>
      <c r="M133" s="887"/>
      <c r="AA133"/>
      <c r="AB133"/>
      <c r="AC133"/>
      <c r="AD133"/>
      <c r="AE133"/>
      <c r="AF133"/>
      <c r="AG133"/>
      <c r="AH133"/>
      <c r="AI133"/>
    </row>
    <row r="134" spans="1:35" ht="22.5" outlineLevel="2" x14ac:dyDescent="0.2">
      <c r="A134" s="908" t="s">
        <v>4665</v>
      </c>
      <c r="B134" s="636" t="s">
        <v>4666</v>
      </c>
      <c r="C134" s="909"/>
      <c r="D134" s="909"/>
      <c r="E134" s="909"/>
      <c r="F134" s="909"/>
      <c r="G134" s="1453">
        <v>2</v>
      </c>
      <c r="H134" s="1453"/>
      <c r="I134" s="1453"/>
      <c r="J134" s="1453" t="s">
        <v>1592</v>
      </c>
      <c r="K134" s="1453" t="s">
        <v>3197</v>
      </c>
      <c r="L134" s="1453" t="s">
        <v>3707</v>
      </c>
      <c r="M134" s="887"/>
      <c r="AA134">
        <f>IF(AND('01 Org'!C134&gt;Tmin, NOT('01 Org'!$I134="")),'01 Org'!$I134,0)</f>
        <v>0</v>
      </c>
      <c r="AB134">
        <f>IF(AND('01 Org'!D134&gt;Tmin, NOT('01 Org'!$I134="")),'01 Org'!$I134,0)</f>
        <v>0</v>
      </c>
      <c r="AC134">
        <f>IF(AND('01 Org'!E134&gt;Tmin, NOT('01 Org'!$I134="")),'01 Org'!$I134,0)</f>
        <v>0</v>
      </c>
      <c r="AD134">
        <f>IF(AND('01 Org'!F134&gt;Tmin, NOT('01 Org'!$I134="")),'01 Org'!$I134,0)</f>
        <v>0</v>
      </c>
      <c r="AE134">
        <f>IF(AND('01 Org'!C134&lt;Tmax, NOT('01 Org'!$H134="")),'01 Org'!$H134,4)</f>
        <v>4</v>
      </c>
      <c r="AF134">
        <f>IF(AND('01 Org'!D134&lt;Tmax, NOT('01 Org'!$H134="")),'01 Org'!$H134,4)</f>
        <v>4</v>
      </c>
      <c r="AG134">
        <f>IF(AND('01 Org'!E134&lt;Tmax, NOT('01 Org'!$H134="")),'01 Org'!$H134,4)</f>
        <v>4</v>
      </c>
      <c r="AH134">
        <f>IF(AND('01 Org'!F134&lt;Tmax, NOT('01 Org'!$H134="")),'01 Org'!$H134,4)</f>
        <v>4</v>
      </c>
      <c r="AI134"/>
    </row>
    <row r="135" spans="1:35" ht="22.5" outlineLevel="2" x14ac:dyDescent="0.2">
      <c r="A135" s="908" t="s">
        <v>3708</v>
      </c>
      <c r="B135" s="636" t="s">
        <v>1899</v>
      </c>
      <c r="C135" s="909"/>
      <c r="D135" s="909"/>
      <c r="E135" s="909"/>
      <c r="F135" s="909"/>
      <c r="G135" s="1453">
        <v>2</v>
      </c>
      <c r="H135" s="1453"/>
      <c r="I135" s="1453"/>
      <c r="J135" s="1453" t="s">
        <v>1592</v>
      </c>
      <c r="K135" s="1453" t="s">
        <v>3197</v>
      </c>
      <c r="L135" s="1453" t="s">
        <v>1900</v>
      </c>
      <c r="M135" s="887"/>
      <c r="AA135">
        <f>IF(AND('01 Org'!C135&gt;Tmin, NOT('01 Org'!$I135="")),'01 Org'!$I135,0)</f>
        <v>0</v>
      </c>
      <c r="AB135">
        <f>IF(AND('01 Org'!D135&gt;Tmin, NOT('01 Org'!$I135="")),'01 Org'!$I135,0)</f>
        <v>0</v>
      </c>
      <c r="AC135">
        <f>IF(AND('01 Org'!E135&gt;Tmin, NOT('01 Org'!$I135="")),'01 Org'!$I135,0)</f>
        <v>0</v>
      </c>
      <c r="AD135">
        <f>IF(AND('01 Org'!F135&gt;Tmin, NOT('01 Org'!$I135="")),'01 Org'!$I135,0)</f>
        <v>0</v>
      </c>
      <c r="AE135">
        <f>IF(AND('01 Org'!C135&lt;Tmax, NOT('01 Org'!$H135="")),'01 Org'!$H135,4)</f>
        <v>4</v>
      </c>
      <c r="AF135">
        <f>IF(AND('01 Org'!D135&lt;Tmax, NOT('01 Org'!$H135="")),'01 Org'!$H135,4)</f>
        <v>4</v>
      </c>
      <c r="AG135">
        <f>IF(AND('01 Org'!E135&lt;Tmax, NOT('01 Org'!$H135="")),'01 Org'!$H135,4)</f>
        <v>4</v>
      </c>
      <c r="AH135">
        <f>IF(AND('01 Org'!F135&lt;Tmax, NOT('01 Org'!$H135="")),'01 Org'!$H135,4)</f>
        <v>4</v>
      </c>
      <c r="AI135"/>
    </row>
    <row r="136" spans="1:35" ht="22.5" outlineLevel="2" x14ac:dyDescent="0.2">
      <c r="A136" s="908" t="s">
        <v>1901</v>
      </c>
      <c r="B136" s="636" t="s">
        <v>1902</v>
      </c>
      <c r="C136" s="909"/>
      <c r="D136" s="909"/>
      <c r="E136" s="909"/>
      <c r="F136" s="909"/>
      <c r="G136" s="1453">
        <v>2</v>
      </c>
      <c r="H136" s="1453"/>
      <c r="I136" s="1453"/>
      <c r="J136" s="1453" t="s">
        <v>1592</v>
      </c>
      <c r="K136" s="1453" t="s">
        <v>6900</v>
      </c>
      <c r="L136" s="1453" t="s">
        <v>7246</v>
      </c>
      <c r="M136" s="887"/>
      <c r="AA136">
        <f>IF(AND('01 Org'!C136&gt;Tmin, NOT('01 Org'!$I136="")),'01 Org'!$I136,0)</f>
        <v>0</v>
      </c>
      <c r="AB136">
        <f>IF(AND('01 Org'!D136&gt;Tmin, NOT('01 Org'!$I136="")),'01 Org'!$I136,0)</f>
        <v>0</v>
      </c>
      <c r="AC136">
        <f>IF(AND('01 Org'!E136&gt;Tmin, NOT('01 Org'!$I136="")),'01 Org'!$I136,0)</f>
        <v>0</v>
      </c>
      <c r="AD136">
        <f>IF(AND('01 Org'!F136&gt;Tmin, NOT('01 Org'!$I136="")),'01 Org'!$I136,0)</f>
        <v>0</v>
      </c>
      <c r="AE136">
        <f>IF(AND('01 Org'!C136&lt;Tmax, NOT('01 Org'!$H136="")),'01 Org'!$H136,4)</f>
        <v>4</v>
      </c>
      <c r="AF136">
        <f>IF(AND('01 Org'!D136&lt;Tmax, NOT('01 Org'!$H136="")),'01 Org'!$H136,4)</f>
        <v>4</v>
      </c>
      <c r="AG136">
        <f>IF(AND('01 Org'!E136&lt;Tmax, NOT('01 Org'!$H136="")),'01 Org'!$H136,4)</f>
        <v>4</v>
      </c>
      <c r="AH136">
        <f>IF(AND('01 Org'!F136&lt;Tmax, NOT('01 Org'!$H136="")),'01 Org'!$H136,4)</f>
        <v>4</v>
      </c>
      <c r="AI136"/>
    </row>
    <row r="137" spans="1:35" ht="45" outlineLevel="2" x14ac:dyDescent="0.2">
      <c r="A137" s="908" t="s">
        <v>1903</v>
      </c>
      <c r="B137" s="636" t="s">
        <v>4484</v>
      </c>
      <c r="C137" s="909"/>
      <c r="D137" s="909"/>
      <c r="E137" s="909"/>
      <c r="F137" s="909"/>
      <c r="G137" s="1453">
        <v>4</v>
      </c>
      <c r="H137" s="1453"/>
      <c r="I137" s="1453"/>
      <c r="J137" s="1453" t="s">
        <v>1592</v>
      </c>
      <c r="K137" s="1453" t="s">
        <v>6901</v>
      </c>
      <c r="L137" s="1453" t="s">
        <v>7247</v>
      </c>
      <c r="M137" s="887"/>
      <c r="AA137">
        <f>IF(AND('01 Org'!C137&gt;Tmin, NOT('01 Org'!$I137="")),'01 Org'!$I137,0)</f>
        <v>0</v>
      </c>
      <c r="AB137">
        <f>IF(AND('01 Org'!D137&gt;Tmin, NOT('01 Org'!$I137="")),'01 Org'!$I137,0)</f>
        <v>0</v>
      </c>
      <c r="AC137">
        <f>IF(AND('01 Org'!E137&gt;Tmin, NOT('01 Org'!$I137="")),'01 Org'!$I137,0)</f>
        <v>0</v>
      </c>
      <c r="AD137">
        <f>IF(AND('01 Org'!F137&gt;Tmin, NOT('01 Org'!$I137="")),'01 Org'!$I137,0)</f>
        <v>0</v>
      </c>
      <c r="AE137">
        <f>IF(AND('01 Org'!C137&lt;Tmax, NOT('01 Org'!$H137="")),'01 Org'!$H137,4)</f>
        <v>4</v>
      </c>
      <c r="AF137">
        <f>IF(AND('01 Org'!D137&lt;Tmax, NOT('01 Org'!$H137="")),'01 Org'!$H137,4)</f>
        <v>4</v>
      </c>
      <c r="AG137">
        <f>IF(AND('01 Org'!E137&lt;Tmax, NOT('01 Org'!$H137="")),'01 Org'!$H137,4)</f>
        <v>4</v>
      </c>
      <c r="AH137">
        <f>IF(AND('01 Org'!F137&lt;Tmax, NOT('01 Org'!$H137="")),'01 Org'!$H137,4)</f>
        <v>4</v>
      </c>
      <c r="AI137"/>
    </row>
    <row r="138" spans="1:35" ht="22.5" outlineLevel="2" x14ac:dyDescent="0.2">
      <c r="A138" s="908" t="s">
        <v>1904</v>
      </c>
      <c r="B138" s="636" t="s">
        <v>1905</v>
      </c>
      <c r="C138" s="909"/>
      <c r="D138" s="909"/>
      <c r="E138" s="909"/>
      <c r="F138" s="909"/>
      <c r="G138" s="1453">
        <v>2</v>
      </c>
      <c r="H138" s="1453">
        <v>2</v>
      </c>
      <c r="I138" s="1457"/>
      <c r="J138" s="1453" t="s">
        <v>2329</v>
      </c>
      <c r="K138" s="1453" t="s">
        <v>6901</v>
      </c>
      <c r="L138" s="1453" t="s">
        <v>7248</v>
      </c>
      <c r="M138" s="887"/>
      <c r="AA138">
        <f>IF(AND('01 Org'!C138&gt;Tmin, NOT('01 Org'!$I138="")),'01 Org'!$I138,0)</f>
        <v>0</v>
      </c>
      <c r="AB138">
        <f>IF(AND('01 Org'!D138&gt;Tmin, NOT('01 Org'!$I138="")),'01 Org'!$I138,0)</f>
        <v>0</v>
      </c>
      <c r="AC138">
        <f>IF(AND('01 Org'!E138&gt;Tmin, NOT('01 Org'!$I138="")),'01 Org'!$I138,0)</f>
        <v>0</v>
      </c>
      <c r="AD138">
        <f>IF(AND('01 Org'!F138&gt;Tmin, NOT('01 Org'!$I138="")),'01 Org'!$I138,0)</f>
        <v>0</v>
      </c>
      <c r="AE138">
        <f>IF(AND('01 Org'!C138&lt;Tmax, NOT('01 Org'!$H138="")),'01 Org'!$H138,4)</f>
        <v>2</v>
      </c>
      <c r="AF138">
        <f>IF(AND('01 Org'!D138&lt;Tmax, NOT('01 Org'!$H138="")),'01 Org'!$H138,4)</f>
        <v>2</v>
      </c>
      <c r="AG138">
        <f>IF(AND('01 Org'!E138&lt;Tmax, NOT('01 Org'!$H138="")),'01 Org'!$H138,4)</f>
        <v>2</v>
      </c>
      <c r="AH138">
        <f>IF(AND('01 Org'!F138&lt;Tmax, NOT('01 Org'!$H138="")),'01 Org'!$H138,4)</f>
        <v>2</v>
      </c>
      <c r="AI138"/>
    </row>
    <row r="139" spans="1:35" outlineLevel="1" x14ac:dyDescent="0.2">
      <c r="A139" s="633" t="s">
        <v>2543</v>
      </c>
      <c r="B139" s="925" t="s">
        <v>2544</v>
      </c>
      <c r="C139" s="909"/>
      <c r="D139" s="909"/>
      <c r="E139" s="909"/>
      <c r="F139" s="909"/>
      <c r="G139" s="1453"/>
      <c r="H139" s="1453"/>
      <c r="I139" s="1453"/>
      <c r="J139" s="1453"/>
      <c r="K139" s="1453"/>
      <c r="L139" s="1453"/>
      <c r="M139" s="887"/>
      <c r="AA139"/>
      <c r="AB139"/>
      <c r="AC139"/>
      <c r="AD139"/>
      <c r="AE139"/>
      <c r="AF139"/>
      <c r="AG139"/>
      <c r="AH139"/>
      <c r="AI139"/>
    </row>
    <row r="140" spans="1:35" outlineLevel="2" x14ac:dyDescent="0.2">
      <c r="A140" s="908" t="s">
        <v>1906</v>
      </c>
      <c r="B140" s="636" t="s">
        <v>2951</v>
      </c>
      <c r="C140" s="909"/>
      <c r="D140" s="909"/>
      <c r="E140" s="909"/>
      <c r="F140" s="909"/>
      <c r="G140" s="1453">
        <v>4</v>
      </c>
      <c r="H140" s="1453"/>
      <c r="I140" s="1453"/>
      <c r="J140" s="1453" t="s">
        <v>1592</v>
      </c>
      <c r="K140" s="1453" t="s">
        <v>3264</v>
      </c>
      <c r="L140" s="1453" t="s">
        <v>2952</v>
      </c>
      <c r="M140" s="887"/>
      <c r="AA140">
        <f>IF(AND('01 Org'!C140&gt;Tmin, NOT('01 Org'!$I140="")),'01 Org'!$I140,0)</f>
        <v>0</v>
      </c>
      <c r="AB140">
        <f>IF(AND('01 Org'!D140&gt;Tmin, NOT('01 Org'!$I140="")),'01 Org'!$I140,0)</f>
        <v>0</v>
      </c>
      <c r="AC140">
        <f>IF(AND('01 Org'!E140&gt;Tmin, NOT('01 Org'!$I140="")),'01 Org'!$I140,0)</f>
        <v>0</v>
      </c>
      <c r="AD140">
        <f>IF(AND('01 Org'!F140&gt;Tmin, NOT('01 Org'!$I140="")),'01 Org'!$I140,0)</f>
        <v>0</v>
      </c>
      <c r="AE140">
        <f>IF(AND('01 Org'!C140&lt;Tmax, NOT('01 Org'!$H140="")),'01 Org'!$H140,4)</f>
        <v>4</v>
      </c>
      <c r="AF140">
        <f>IF(AND('01 Org'!D140&lt;Tmax, NOT('01 Org'!$H140="")),'01 Org'!$H140,4)</f>
        <v>4</v>
      </c>
      <c r="AG140">
        <f>IF(AND('01 Org'!E140&lt;Tmax, NOT('01 Org'!$H140="")),'01 Org'!$H140,4)</f>
        <v>4</v>
      </c>
      <c r="AH140">
        <f>IF(AND('01 Org'!F140&lt;Tmax, NOT('01 Org'!$H140="")),'01 Org'!$H140,4)</f>
        <v>4</v>
      </c>
      <c r="AI140"/>
    </row>
    <row r="141" spans="1:35" outlineLevel="2" x14ac:dyDescent="0.2">
      <c r="A141" s="908" t="s">
        <v>2953</v>
      </c>
      <c r="B141" s="636" t="s">
        <v>3060</v>
      </c>
      <c r="C141" s="909"/>
      <c r="D141" s="909"/>
      <c r="E141" s="909"/>
      <c r="F141" s="909"/>
      <c r="G141" s="1453">
        <v>4</v>
      </c>
      <c r="H141" s="1453"/>
      <c r="I141" s="1453"/>
      <c r="J141" s="1453" t="s">
        <v>1592</v>
      </c>
      <c r="K141" s="1453" t="s">
        <v>3264</v>
      </c>
      <c r="L141" s="1453" t="s">
        <v>2952</v>
      </c>
      <c r="M141" s="887"/>
      <c r="AA141">
        <f>IF(AND('01 Org'!C141&gt;Tmin, NOT('01 Org'!$I141="")),'01 Org'!$I141,0)</f>
        <v>0</v>
      </c>
      <c r="AB141">
        <f>IF(AND('01 Org'!D141&gt;Tmin, NOT('01 Org'!$I141="")),'01 Org'!$I141,0)</f>
        <v>0</v>
      </c>
      <c r="AC141">
        <f>IF(AND('01 Org'!E141&gt;Tmin, NOT('01 Org'!$I141="")),'01 Org'!$I141,0)</f>
        <v>0</v>
      </c>
      <c r="AD141">
        <f>IF(AND('01 Org'!F141&gt;Tmin, NOT('01 Org'!$I141="")),'01 Org'!$I141,0)</f>
        <v>0</v>
      </c>
      <c r="AE141">
        <f>IF(AND('01 Org'!C141&lt;Tmax, NOT('01 Org'!$H141="")),'01 Org'!$H141,4)</f>
        <v>4</v>
      </c>
      <c r="AF141">
        <f>IF(AND('01 Org'!D141&lt;Tmax, NOT('01 Org'!$H141="")),'01 Org'!$H141,4)</f>
        <v>4</v>
      </c>
      <c r="AG141">
        <f>IF(AND('01 Org'!E141&lt;Tmax, NOT('01 Org'!$H141="")),'01 Org'!$H141,4)</f>
        <v>4</v>
      </c>
      <c r="AH141">
        <f>IF(AND('01 Org'!F141&lt;Tmax, NOT('01 Org'!$H141="")),'01 Org'!$H141,4)</f>
        <v>4</v>
      </c>
      <c r="AI141"/>
    </row>
    <row r="142" spans="1:35" ht="22.5" outlineLevel="2" x14ac:dyDescent="0.2">
      <c r="A142" s="908" t="s">
        <v>2960</v>
      </c>
      <c r="B142" s="636" t="s">
        <v>76</v>
      </c>
      <c r="C142" s="909"/>
      <c r="D142" s="909"/>
      <c r="E142" s="909"/>
      <c r="F142" s="909"/>
      <c r="G142" s="1453">
        <v>4</v>
      </c>
      <c r="H142" s="1453"/>
      <c r="I142" s="1453"/>
      <c r="J142" s="1453" t="s">
        <v>1592</v>
      </c>
      <c r="K142" s="1453" t="s">
        <v>3264</v>
      </c>
      <c r="L142" s="1453" t="s">
        <v>2952</v>
      </c>
      <c r="M142" s="887"/>
      <c r="AA142">
        <f>IF(AND('01 Org'!C142&gt;Tmin, NOT('01 Org'!$I142="")),'01 Org'!$I142,0)</f>
        <v>0</v>
      </c>
      <c r="AB142">
        <f>IF(AND('01 Org'!D142&gt;Tmin, NOT('01 Org'!$I142="")),'01 Org'!$I142,0)</f>
        <v>0</v>
      </c>
      <c r="AC142">
        <f>IF(AND('01 Org'!E142&gt;Tmin, NOT('01 Org'!$I142="")),'01 Org'!$I142,0)</f>
        <v>0</v>
      </c>
      <c r="AD142">
        <f>IF(AND('01 Org'!F142&gt;Tmin, NOT('01 Org'!$I142="")),'01 Org'!$I142,0)</f>
        <v>0</v>
      </c>
      <c r="AE142">
        <f>IF(AND('01 Org'!C142&lt;Tmax, NOT('01 Org'!$H142="")),'01 Org'!$H142,4)</f>
        <v>4</v>
      </c>
      <c r="AF142">
        <f>IF(AND('01 Org'!D142&lt;Tmax, NOT('01 Org'!$H142="")),'01 Org'!$H142,4)</f>
        <v>4</v>
      </c>
      <c r="AG142">
        <f>IF(AND('01 Org'!E142&lt;Tmax, NOT('01 Org'!$H142="")),'01 Org'!$H142,4)</f>
        <v>4</v>
      </c>
      <c r="AH142">
        <f>IF(AND('01 Org'!F142&lt;Tmax, NOT('01 Org'!$H142="")),'01 Org'!$H142,4)</f>
        <v>4</v>
      </c>
      <c r="AI142"/>
    </row>
    <row r="143" spans="1:35" ht="22.5" outlineLevel="2" x14ac:dyDescent="0.2">
      <c r="A143" s="908" t="s">
        <v>20</v>
      </c>
      <c r="B143" s="636" t="s">
        <v>4706</v>
      </c>
      <c r="C143" s="909"/>
      <c r="D143" s="909"/>
      <c r="E143" s="909"/>
      <c r="F143" s="909"/>
      <c r="G143" s="1453">
        <v>4</v>
      </c>
      <c r="H143" s="1453"/>
      <c r="I143" s="1453"/>
      <c r="J143" s="1453" t="s">
        <v>1592</v>
      </c>
      <c r="K143" s="1453" t="s">
        <v>3264</v>
      </c>
      <c r="L143" s="1453" t="s">
        <v>2952</v>
      </c>
      <c r="M143" s="887"/>
      <c r="AA143">
        <f>IF(AND('01 Org'!C143&gt;Tmin, NOT('01 Org'!$I143="")),'01 Org'!$I143,0)</f>
        <v>0</v>
      </c>
      <c r="AB143">
        <f>IF(AND('01 Org'!D143&gt;Tmin, NOT('01 Org'!$I143="")),'01 Org'!$I143,0)</f>
        <v>0</v>
      </c>
      <c r="AC143">
        <f>IF(AND('01 Org'!E143&gt;Tmin, NOT('01 Org'!$I143="")),'01 Org'!$I143,0)</f>
        <v>0</v>
      </c>
      <c r="AD143">
        <f>IF(AND('01 Org'!F143&gt;Tmin, NOT('01 Org'!$I143="")),'01 Org'!$I143,0)</f>
        <v>0</v>
      </c>
      <c r="AE143">
        <f>IF(AND('01 Org'!C143&lt;Tmax, NOT('01 Org'!$H143="")),'01 Org'!$H143,4)</f>
        <v>4</v>
      </c>
      <c r="AF143">
        <f>IF(AND('01 Org'!D143&lt;Tmax, NOT('01 Org'!$H143="")),'01 Org'!$H143,4)</f>
        <v>4</v>
      </c>
      <c r="AG143">
        <f>IF(AND('01 Org'!E143&lt;Tmax, NOT('01 Org'!$H143="")),'01 Org'!$H143,4)</f>
        <v>4</v>
      </c>
      <c r="AH143">
        <f>IF(AND('01 Org'!F143&lt;Tmax, NOT('01 Org'!$H143="")),'01 Org'!$H143,4)</f>
        <v>4</v>
      </c>
      <c r="AI143"/>
    </row>
    <row r="144" spans="1:35" ht="22.5" outlineLevel="2" x14ac:dyDescent="0.2">
      <c r="A144" s="908" t="s">
        <v>4707</v>
      </c>
      <c r="B144" s="636" t="s">
        <v>2845</v>
      </c>
      <c r="C144" s="909"/>
      <c r="D144" s="909"/>
      <c r="E144" s="909"/>
      <c r="F144" s="909"/>
      <c r="G144" s="1453">
        <v>4</v>
      </c>
      <c r="H144" s="1453"/>
      <c r="I144" s="1453"/>
      <c r="J144" s="1453" t="s">
        <v>1592</v>
      </c>
      <c r="K144" s="1453" t="s">
        <v>3264</v>
      </c>
      <c r="L144" s="1453" t="s">
        <v>2952</v>
      </c>
      <c r="M144" s="887"/>
      <c r="AA144">
        <f>IF(AND('01 Org'!C144&gt;Tmin, NOT('01 Org'!$I144="")),'01 Org'!$I144,0)</f>
        <v>0</v>
      </c>
      <c r="AB144">
        <f>IF(AND('01 Org'!D144&gt;Tmin, NOT('01 Org'!$I144="")),'01 Org'!$I144,0)</f>
        <v>0</v>
      </c>
      <c r="AC144">
        <f>IF(AND('01 Org'!E144&gt;Tmin, NOT('01 Org'!$I144="")),'01 Org'!$I144,0)</f>
        <v>0</v>
      </c>
      <c r="AD144">
        <f>IF(AND('01 Org'!F144&gt;Tmin, NOT('01 Org'!$I144="")),'01 Org'!$I144,0)</f>
        <v>0</v>
      </c>
      <c r="AE144">
        <f>IF(AND('01 Org'!C144&lt;Tmax, NOT('01 Org'!$H144="")),'01 Org'!$H144,4)</f>
        <v>4</v>
      </c>
      <c r="AF144">
        <f>IF(AND('01 Org'!D144&lt;Tmax, NOT('01 Org'!$H144="")),'01 Org'!$H144,4)</f>
        <v>4</v>
      </c>
      <c r="AG144">
        <f>IF(AND('01 Org'!E144&lt;Tmax, NOT('01 Org'!$H144="")),'01 Org'!$H144,4)</f>
        <v>4</v>
      </c>
      <c r="AH144">
        <f>IF(AND('01 Org'!F144&lt;Tmax, NOT('01 Org'!$H144="")),'01 Org'!$H144,4)</f>
        <v>4</v>
      </c>
      <c r="AI144"/>
    </row>
    <row r="145" spans="1:35" ht="33.75" outlineLevel="2" x14ac:dyDescent="0.2">
      <c r="A145" s="908" t="s">
        <v>2846</v>
      </c>
      <c r="B145" s="636" t="s">
        <v>2419</v>
      </c>
      <c r="C145" s="909"/>
      <c r="D145" s="909"/>
      <c r="E145" s="909"/>
      <c r="F145" s="909"/>
      <c r="G145" s="1453">
        <v>4</v>
      </c>
      <c r="H145" s="1453"/>
      <c r="I145" s="1453"/>
      <c r="J145" s="1453" t="s">
        <v>2349</v>
      </c>
      <c r="K145" s="1453" t="s">
        <v>3264</v>
      </c>
      <c r="L145" s="1453" t="s">
        <v>2952</v>
      </c>
      <c r="M145" s="887"/>
      <c r="AA145">
        <f>IF(AND('01 Org'!C145&gt;Tmin, NOT('01 Org'!$I145="")),'01 Org'!$I145,0)</f>
        <v>0</v>
      </c>
      <c r="AB145">
        <f>IF(AND('01 Org'!D145&gt;Tmin, NOT('01 Org'!$I145="")),'01 Org'!$I145,0)</f>
        <v>0</v>
      </c>
      <c r="AC145">
        <f>IF(AND('01 Org'!E145&gt;Tmin, NOT('01 Org'!$I145="")),'01 Org'!$I145,0)</f>
        <v>0</v>
      </c>
      <c r="AD145">
        <f>IF(AND('01 Org'!F145&gt;Tmin, NOT('01 Org'!$I145="")),'01 Org'!$I145,0)</f>
        <v>0</v>
      </c>
      <c r="AE145">
        <f>IF(AND('01 Org'!C145&lt;Tmax, NOT('01 Org'!$H145="")),'01 Org'!$H145,4)</f>
        <v>4</v>
      </c>
      <c r="AF145">
        <f>IF(AND('01 Org'!D145&lt;Tmax, NOT('01 Org'!$H145="")),'01 Org'!$H145,4)</f>
        <v>4</v>
      </c>
      <c r="AG145">
        <f>IF(AND('01 Org'!E145&lt;Tmax, NOT('01 Org'!$H145="")),'01 Org'!$H145,4)</f>
        <v>4</v>
      </c>
      <c r="AH145">
        <f>IF(AND('01 Org'!F145&lt;Tmax, NOT('01 Org'!$H145="")),'01 Org'!$H145,4)</f>
        <v>4</v>
      </c>
      <c r="AI145"/>
    </row>
    <row r="146" spans="1:35" x14ac:dyDescent="0.2">
      <c r="A146" s="910" t="s">
        <v>2847</v>
      </c>
      <c r="B146" s="644" t="s">
        <v>2848</v>
      </c>
      <c r="C146" s="909"/>
      <c r="D146" s="909"/>
      <c r="E146" s="909"/>
      <c r="F146" s="909"/>
      <c r="G146" s="1452"/>
      <c r="H146" s="1453"/>
      <c r="I146" s="1453"/>
      <c r="J146" s="1453"/>
      <c r="K146" s="1453"/>
      <c r="L146" s="1453"/>
      <c r="M146" s="887"/>
      <c r="AA146"/>
      <c r="AB146"/>
      <c r="AC146"/>
      <c r="AD146"/>
      <c r="AE146"/>
      <c r="AF146"/>
      <c r="AG146"/>
      <c r="AH146"/>
      <c r="AI146"/>
    </row>
    <row r="147" spans="1:35" outlineLevel="1" x14ac:dyDescent="0.2">
      <c r="A147" s="633" t="s">
        <v>5897</v>
      </c>
      <c r="B147" s="925" t="s">
        <v>5898</v>
      </c>
      <c r="C147" s="909"/>
      <c r="D147" s="909"/>
      <c r="E147" s="909"/>
      <c r="F147" s="909"/>
      <c r="G147" s="1453"/>
      <c r="H147" s="1453"/>
      <c r="I147" s="1453"/>
      <c r="J147" s="1453"/>
      <c r="K147" s="1453"/>
      <c r="L147" s="1453"/>
      <c r="M147" s="887"/>
      <c r="AA147"/>
      <c r="AB147"/>
      <c r="AC147"/>
      <c r="AD147"/>
      <c r="AE147"/>
      <c r="AF147"/>
      <c r="AG147"/>
      <c r="AH147"/>
      <c r="AI147"/>
    </row>
    <row r="148" spans="1:35" ht="33.75" outlineLevel="2" x14ac:dyDescent="0.2">
      <c r="A148" s="908" t="s">
        <v>2849</v>
      </c>
      <c r="B148" s="636" t="s">
        <v>2522</v>
      </c>
      <c r="C148" s="909"/>
      <c r="D148" s="909"/>
      <c r="E148" s="909"/>
      <c r="F148" s="909"/>
      <c r="G148" s="1453">
        <v>2</v>
      </c>
      <c r="H148" s="1453"/>
      <c r="I148" s="1453"/>
      <c r="J148" s="1453" t="s">
        <v>4246</v>
      </c>
      <c r="K148" s="1453"/>
      <c r="L148" s="1453"/>
      <c r="M148" s="887"/>
      <c r="AA148">
        <f>IF(AND('01 Org'!C148&gt;Tmin, NOT('01 Org'!$I148="")),'01 Org'!$I148,0)</f>
        <v>0</v>
      </c>
      <c r="AB148">
        <f>IF(AND('01 Org'!D148&gt;Tmin, NOT('01 Org'!$I148="")),'01 Org'!$I148,0)</f>
        <v>0</v>
      </c>
      <c r="AC148">
        <f>IF(AND('01 Org'!E148&gt;Tmin, NOT('01 Org'!$I148="")),'01 Org'!$I148,0)</f>
        <v>0</v>
      </c>
      <c r="AD148">
        <f>IF(AND('01 Org'!F148&gt;Tmin, NOT('01 Org'!$I148="")),'01 Org'!$I148,0)</f>
        <v>0</v>
      </c>
      <c r="AE148">
        <f>IF(AND('01 Org'!C148&lt;Tmax, NOT('01 Org'!$H148="")),'01 Org'!$H148,4)</f>
        <v>4</v>
      </c>
      <c r="AF148">
        <f>IF(AND('01 Org'!D148&lt;Tmax, NOT('01 Org'!$H148="")),'01 Org'!$H148,4)</f>
        <v>4</v>
      </c>
      <c r="AG148">
        <f>IF(AND('01 Org'!E148&lt;Tmax, NOT('01 Org'!$H148="")),'01 Org'!$H148,4)</f>
        <v>4</v>
      </c>
      <c r="AH148">
        <f>IF(AND('01 Org'!F148&lt;Tmax, NOT('01 Org'!$H148="")),'01 Org'!$H148,4)</f>
        <v>4</v>
      </c>
      <c r="AI148"/>
    </row>
    <row r="149" spans="1:35" ht="22.5" outlineLevel="2" x14ac:dyDescent="0.2">
      <c r="A149" s="908" t="s">
        <v>2523</v>
      </c>
      <c r="B149" s="636" t="s">
        <v>6052</v>
      </c>
      <c r="C149" s="909"/>
      <c r="D149" s="909"/>
      <c r="E149" s="909"/>
      <c r="F149" s="909"/>
      <c r="G149" s="1453">
        <v>4</v>
      </c>
      <c r="H149" s="1453">
        <v>2</v>
      </c>
      <c r="I149" s="1453"/>
      <c r="J149" s="1453" t="s">
        <v>1592</v>
      </c>
      <c r="K149" s="1453"/>
      <c r="L149" s="1453"/>
      <c r="M149" s="887"/>
      <c r="AA149">
        <f>IF(AND('01 Org'!C149&gt;Tmin, NOT('01 Org'!$I149="")),'01 Org'!$I149,0)</f>
        <v>0</v>
      </c>
      <c r="AB149">
        <f>IF(AND('01 Org'!D149&gt;Tmin, NOT('01 Org'!$I149="")),'01 Org'!$I149,0)</f>
        <v>0</v>
      </c>
      <c r="AC149">
        <f>IF(AND('01 Org'!E149&gt;Tmin, NOT('01 Org'!$I149="")),'01 Org'!$I149,0)</f>
        <v>0</v>
      </c>
      <c r="AD149">
        <f>IF(AND('01 Org'!F149&gt;Tmin, NOT('01 Org'!$I149="")),'01 Org'!$I149,0)</f>
        <v>0</v>
      </c>
      <c r="AE149">
        <f>IF(AND('01 Org'!C149&lt;Tmax, NOT('01 Org'!$H149="")),'01 Org'!$H149,4)</f>
        <v>2</v>
      </c>
      <c r="AF149">
        <f>IF(AND('01 Org'!D149&lt;Tmax, NOT('01 Org'!$H149="")),'01 Org'!$H149,4)</f>
        <v>2</v>
      </c>
      <c r="AG149">
        <f>IF(AND('01 Org'!E149&lt;Tmax, NOT('01 Org'!$H149="")),'01 Org'!$H149,4)</f>
        <v>2</v>
      </c>
      <c r="AH149">
        <f>IF(AND('01 Org'!F149&lt;Tmax, NOT('01 Org'!$H149="")),'01 Org'!$H149,4)</f>
        <v>2</v>
      </c>
      <c r="AI149"/>
    </row>
    <row r="150" spans="1:35" ht="33.75" outlineLevel="2" x14ac:dyDescent="0.2">
      <c r="A150" s="908" t="s">
        <v>6053</v>
      </c>
      <c r="B150" s="636" t="s">
        <v>5981</v>
      </c>
      <c r="C150" s="909"/>
      <c r="D150" s="909"/>
      <c r="E150" s="909"/>
      <c r="F150" s="909"/>
      <c r="G150" s="1453">
        <v>4</v>
      </c>
      <c r="H150" s="1453">
        <v>2</v>
      </c>
      <c r="I150" s="1453"/>
      <c r="J150" s="1453" t="s">
        <v>1592</v>
      </c>
      <c r="K150" s="1453"/>
      <c r="L150" s="1453"/>
      <c r="M150" s="887"/>
      <c r="AA150">
        <f>IF(AND('01 Org'!C150&gt;Tmin, NOT('01 Org'!$I150="")),'01 Org'!$I150,0)</f>
        <v>0</v>
      </c>
      <c r="AB150">
        <f>IF(AND('01 Org'!D150&gt;Tmin, NOT('01 Org'!$I150="")),'01 Org'!$I150,0)</f>
        <v>0</v>
      </c>
      <c r="AC150">
        <f>IF(AND('01 Org'!E150&gt;Tmin, NOT('01 Org'!$I150="")),'01 Org'!$I150,0)</f>
        <v>0</v>
      </c>
      <c r="AD150">
        <f>IF(AND('01 Org'!F150&gt;Tmin, NOT('01 Org'!$I150="")),'01 Org'!$I150,0)</f>
        <v>0</v>
      </c>
      <c r="AE150">
        <f>IF(AND('01 Org'!C150&lt;Tmax, NOT('01 Org'!$H150="")),'01 Org'!$H150,4)</f>
        <v>2</v>
      </c>
      <c r="AF150">
        <f>IF(AND('01 Org'!D150&lt;Tmax, NOT('01 Org'!$H150="")),'01 Org'!$H150,4)</f>
        <v>2</v>
      </c>
      <c r="AG150">
        <f>IF(AND('01 Org'!E150&lt;Tmax, NOT('01 Org'!$H150="")),'01 Org'!$H150,4)</f>
        <v>2</v>
      </c>
      <c r="AH150">
        <f>IF(AND('01 Org'!F150&lt;Tmax, NOT('01 Org'!$H150="")),'01 Org'!$H150,4)</f>
        <v>2</v>
      </c>
      <c r="AI150"/>
    </row>
    <row r="151" spans="1:35" ht="33.75" outlineLevel="2" x14ac:dyDescent="0.2">
      <c r="A151" s="908" t="s">
        <v>5982</v>
      </c>
      <c r="B151" s="636" t="s">
        <v>5983</v>
      </c>
      <c r="C151" s="909"/>
      <c r="D151" s="909"/>
      <c r="E151" s="909"/>
      <c r="F151" s="909"/>
      <c r="G151" s="1453">
        <v>4</v>
      </c>
      <c r="H151" s="1453">
        <v>2</v>
      </c>
      <c r="I151" s="1453"/>
      <c r="J151" s="1453" t="s">
        <v>1592</v>
      </c>
      <c r="K151" s="1453"/>
      <c r="L151" s="1453"/>
      <c r="M151" s="887"/>
      <c r="AA151">
        <f>IF(AND('01 Org'!C151&gt;Tmin, NOT('01 Org'!$I151="")),'01 Org'!$I151,0)</f>
        <v>0</v>
      </c>
      <c r="AB151">
        <f>IF(AND('01 Org'!D151&gt;Tmin, NOT('01 Org'!$I151="")),'01 Org'!$I151,0)</f>
        <v>0</v>
      </c>
      <c r="AC151">
        <f>IF(AND('01 Org'!E151&gt;Tmin, NOT('01 Org'!$I151="")),'01 Org'!$I151,0)</f>
        <v>0</v>
      </c>
      <c r="AD151">
        <f>IF(AND('01 Org'!F151&gt;Tmin, NOT('01 Org'!$I151="")),'01 Org'!$I151,0)</f>
        <v>0</v>
      </c>
      <c r="AE151">
        <f>IF(AND('01 Org'!C151&lt;Tmax, NOT('01 Org'!$H151="")),'01 Org'!$H151,4)</f>
        <v>2</v>
      </c>
      <c r="AF151">
        <f>IF(AND('01 Org'!D151&lt;Tmax, NOT('01 Org'!$H151="")),'01 Org'!$H151,4)</f>
        <v>2</v>
      </c>
      <c r="AG151">
        <f>IF(AND('01 Org'!E151&lt;Tmax, NOT('01 Org'!$H151="")),'01 Org'!$H151,4)</f>
        <v>2</v>
      </c>
      <c r="AH151">
        <f>IF(AND('01 Org'!F151&lt;Tmax, NOT('01 Org'!$H151="")),'01 Org'!$H151,4)</f>
        <v>2</v>
      </c>
      <c r="AI151"/>
    </row>
    <row r="152" spans="1:35" ht="22.5" outlineLevel="2" x14ac:dyDescent="0.2">
      <c r="A152" s="908" t="s">
        <v>5984</v>
      </c>
      <c r="B152" s="636" t="s">
        <v>5193</v>
      </c>
      <c r="C152" s="909"/>
      <c r="D152" s="909"/>
      <c r="E152" s="909"/>
      <c r="F152" s="909"/>
      <c r="G152" s="1453">
        <v>4</v>
      </c>
      <c r="H152" s="1453">
        <v>2</v>
      </c>
      <c r="I152" s="1453"/>
      <c r="J152" s="1453" t="s">
        <v>1592</v>
      </c>
      <c r="K152" s="1453"/>
      <c r="L152" s="1453"/>
      <c r="M152" s="887"/>
      <c r="AA152">
        <f>IF(AND('01 Org'!C152&gt;Tmin, NOT('01 Org'!$I152="")),'01 Org'!$I152,0)</f>
        <v>0</v>
      </c>
      <c r="AB152">
        <f>IF(AND('01 Org'!D152&gt;Tmin, NOT('01 Org'!$I152="")),'01 Org'!$I152,0)</f>
        <v>0</v>
      </c>
      <c r="AC152">
        <f>IF(AND('01 Org'!E152&gt;Tmin, NOT('01 Org'!$I152="")),'01 Org'!$I152,0)</f>
        <v>0</v>
      </c>
      <c r="AD152">
        <f>IF(AND('01 Org'!F152&gt;Tmin, NOT('01 Org'!$I152="")),'01 Org'!$I152,0)</f>
        <v>0</v>
      </c>
      <c r="AE152">
        <f>IF(AND('01 Org'!C152&lt;Tmax, NOT('01 Org'!$H152="")),'01 Org'!$H152,4)</f>
        <v>2</v>
      </c>
      <c r="AF152">
        <f>IF(AND('01 Org'!D152&lt;Tmax, NOT('01 Org'!$H152="")),'01 Org'!$H152,4)</f>
        <v>2</v>
      </c>
      <c r="AG152">
        <f>IF(AND('01 Org'!E152&lt;Tmax, NOT('01 Org'!$H152="")),'01 Org'!$H152,4)</f>
        <v>2</v>
      </c>
      <c r="AH152">
        <f>IF(AND('01 Org'!F152&lt;Tmax, NOT('01 Org'!$H152="")),'01 Org'!$H152,4)</f>
        <v>2</v>
      </c>
      <c r="AI152"/>
    </row>
    <row r="153" spans="1:35" ht="22.5" outlineLevel="2" x14ac:dyDescent="0.2">
      <c r="A153" s="908" t="s">
        <v>5194</v>
      </c>
      <c r="B153" s="636" t="s">
        <v>5977</v>
      </c>
      <c r="C153" s="909"/>
      <c r="D153" s="909"/>
      <c r="E153" s="909"/>
      <c r="F153" s="909"/>
      <c r="G153" s="1453">
        <v>4</v>
      </c>
      <c r="H153" s="1453"/>
      <c r="I153" s="1453"/>
      <c r="J153" s="1453" t="s">
        <v>1592</v>
      </c>
      <c r="K153" s="1453"/>
      <c r="L153" s="1453"/>
      <c r="M153" s="887"/>
      <c r="AA153">
        <f>IF(AND('01 Org'!C153&gt;Tmin, NOT('01 Org'!$I153="")),'01 Org'!$I153,0)</f>
        <v>0</v>
      </c>
      <c r="AB153">
        <f>IF(AND('01 Org'!D153&gt;Tmin, NOT('01 Org'!$I153="")),'01 Org'!$I153,0)</f>
        <v>0</v>
      </c>
      <c r="AC153">
        <f>IF(AND('01 Org'!E153&gt;Tmin, NOT('01 Org'!$I153="")),'01 Org'!$I153,0)</f>
        <v>0</v>
      </c>
      <c r="AD153">
        <f>IF(AND('01 Org'!F153&gt;Tmin, NOT('01 Org'!$I153="")),'01 Org'!$I153,0)</f>
        <v>0</v>
      </c>
      <c r="AE153">
        <f>IF(AND('01 Org'!C153&lt;Tmax, NOT('01 Org'!$H153="")),'01 Org'!$H153,4)</f>
        <v>4</v>
      </c>
      <c r="AF153">
        <f>IF(AND('01 Org'!D153&lt;Tmax, NOT('01 Org'!$H153="")),'01 Org'!$H153,4)</f>
        <v>4</v>
      </c>
      <c r="AG153">
        <f>IF(AND('01 Org'!E153&lt;Tmax, NOT('01 Org'!$H153="")),'01 Org'!$H153,4)</f>
        <v>4</v>
      </c>
      <c r="AH153">
        <f>IF(AND('01 Org'!F153&lt;Tmax, NOT('01 Org'!$H153="")),'01 Org'!$H153,4)</f>
        <v>4</v>
      </c>
      <c r="AI153"/>
    </row>
    <row r="154" spans="1:35" outlineLevel="2" x14ac:dyDescent="0.2">
      <c r="A154" s="908" t="s">
        <v>5995</v>
      </c>
      <c r="B154" s="636" t="s">
        <v>5996</v>
      </c>
      <c r="C154" s="909"/>
      <c r="D154" s="909"/>
      <c r="E154" s="909"/>
      <c r="F154" s="909"/>
      <c r="G154" s="1453">
        <v>4</v>
      </c>
      <c r="H154" s="1453">
        <v>3</v>
      </c>
      <c r="I154" s="1453"/>
      <c r="J154" s="1453" t="s">
        <v>1592</v>
      </c>
      <c r="K154" s="1453"/>
      <c r="L154" s="1453"/>
      <c r="M154" s="887"/>
      <c r="AA154">
        <f>IF(AND('01 Org'!C154&gt;Tmin, NOT('01 Org'!$I154="")),'01 Org'!$I154,0)</f>
        <v>0</v>
      </c>
      <c r="AB154">
        <f>IF(AND('01 Org'!D154&gt;Tmin, NOT('01 Org'!$I154="")),'01 Org'!$I154,0)</f>
        <v>0</v>
      </c>
      <c r="AC154">
        <f>IF(AND('01 Org'!E154&gt;Tmin, NOT('01 Org'!$I154="")),'01 Org'!$I154,0)</f>
        <v>0</v>
      </c>
      <c r="AD154">
        <f>IF(AND('01 Org'!F154&gt;Tmin, NOT('01 Org'!$I154="")),'01 Org'!$I154,0)</f>
        <v>0</v>
      </c>
      <c r="AE154">
        <f>IF(AND('01 Org'!C154&lt;Tmax, NOT('01 Org'!$H154="")),'01 Org'!$H154,4)</f>
        <v>3</v>
      </c>
      <c r="AF154">
        <f>IF(AND('01 Org'!D154&lt;Tmax, NOT('01 Org'!$H154="")),'01 Org'!$H154,4)</f>
        <v>3</v>
      </c>
      <c r="AG154">
        <f>IF(AND('01 Org'!E154&lt;Tmax, NOT('01 Org'!$H154="")),'01 Org'!$H154,4)</f>
        <v>3</v>
      </c>
      <c r="AH154">
        <f>IF(AND('01 Org'!F154&lt;Tmax, NOT('01 Org'!$H154="")),'01 Org'!$H154,4)</f>
        <v>3</v>
      </c>
      <c r="AI154"/>
    </row>
    <row r="155" spans="1:35" ht="22.5" outlineLevel="2" x14ac:dyDescent="0.2">
      <c r="A155" s="908" t="s">
        <v>5997</v>
      </c>
      <c r="B155" s="636" t="s">
        <v>4314</v>
      </c>
      <c r="C155" s="909"/>
      <c r="D155" s="909"/>
      <c r="E155" s="909"/>
      <c r="F155" s="909"/>
      <c r="G155" s="1453">
        <v>2</v>
      </c>
      <c r="H155" s="1453"/>
      <c r="I155" s="1453"/>
      <c r="J155" s="1453" t="s">
        <v>1592</v>
      </c>
      <c r="K155" s="1453"/>
      <c r="L155" s="1453"/>
      <c r="M155" s="887"/>
      <c r="AA155">
        <f>IF(AND('01 Org'!C155&gt;Tmin, NOT('01 Org'!$I155="")),'01 Org'!$I155,0)</f>
        <v>0</v>
      </c>
      <c r="AB155">
        <f>IF(AND('01 Org'!D155&gt;Tmin, NOT('01 Org'!$I155="")),'01 Org'!$I155,0)</f>
        <v>0</v>
      </c>
      <c r="AC155">
        <f>IF(AND('01 Org'!E155&gt;Tmin, NOT('01 Org'!$I155="")),'01 Org'!$I155,0)</f>
        <v>0</v>
      </c>
      <c r="AD155">
        <f>IF(AND('01 Org'!F155&gt;Tmin, NOT('01 Org'!$I155="")),'01 Org'!$I155,0)</f>
        <v>0</v>
      </c>
      <c r="AE155">
        <f>IF(AND('01 Org'!C155&lt;Tmax, NOT('01 Org'!$H155="")),'01 Org'!$H155,4)</f>
        <v>4</v>
      </c>
      <c r="AF155">
        <f>IF(AND('01 Org'!D155&lt;Tmax, NOT('01 Org'!$H155="")),'01 Org'!$H155,4)</f>
        <v>4</v>
      </c>
      <c r="AG155">
        <f>IF(AND('01 Org'!E155&lt;Tmax, NOT('01 Org'!$H155="")),'01 Org'!$H155,4)</f>
        <v>4</v>
      </c>
      <c r="AH155">
        <f>IF(AND('01 Org'!F155&lt;Tmax, NOT('01 Org'!$H155="")),'01 Org'!$H155,4)</f>
        <v>4</v>
      </c>
      <c r="AI155"/>
    </row>
    <row r="156" spans="1:35" outlineLevel="2" x14ac:dyDescent="0.2">
      <c r="A156" s="908" t="s">
        <v>4315</v>
      </c>
      <c r="B156" s="636" t="s">
        <v>5937</v>
      </c>
      <c r="C156" s="909"/>
      <c r="D156" s="909"/>
      <c r="E156" s="909"/>
      <c r="F156" s="909"/>
      <c r="G156" s="1453">
        <v>2</v>
      </c>
      <c r="H156" s="1453">
        <v>2</v>
      </c>
      <c r="I156" s="1453"/>
      <c r="J156" s="1453" t="s">
        <v>1592</v>
      </c>
      <c r="K156" s="1453"/>
      <c r="L156" s="1453"/>
      <c r="M156" s="887"/>
      <c r="AA156">
        <f>IF(AND('01 Org'!C156&gt;Tmin, NOT('01 Org'!$I156="")),'01 Org'!$I156,0)</f>
        <v>0</v>
      </c>
      <c r="AB156">
        <f>IF(AND('01 Org'!D156&gt;Tmin, NOT('01 Org'!$I156="")),'01 Org'!$I156,0)</f>
        <v>0</v>
      </c>
      <c r="AC156">
        <f>IF(AND('01 Org'!E156&gt;Tmin, NOT('01 Org'!$I156="")),'01 Org'!$I156,0)</f>
        <v>0</v>
      </c>
      <c r="AD156">
        <f>IF(AND('01 Org'!F156&gt;Tmin, NOT('01 Org'!$I156="")),'01 Org'!$I156,0)</f>
        <v>0</v>
      </c>
      <c r="AE156">
        <f>IF(AND('01 Org'!C156&lt;Tmax, NOT('01 Org'!$H156="")),'01 Org'!$H156,4)</f>
        <v>2</v>
      </c>
      <c r="AF156">
        <f>IF(AND('01 Org'!D156&lt;Tmax, NOT('01 Org'!$H156="")),'01 Org'!$H156,4)</f>
        <v>2</v>
      </c>
      <c r="AG156">
        <f>IF(AND('01 Org'!E156&lt;Tmax, NOT('01 Org'!$H156="")),'01 Org'!$H156,4)</f>
        <v>2</v>
      </c>
      <c r="AH156">
        <f>IF(AND('01 Org'!F156&lt;Tmax, NOT('01 Org'!$H156="")),'01 Org'!$H156,4)</f>
        <v>2</v>
      </c>
      <c r="AI156"/>
    </row>
    <row r="157" spans="1:35" ht="22.5" outlineLevel="2" x14ac:dyDescent="0.2">
      <c r="A157" s="908" t="s">
        <v>5938</v>
      </c>
      <c r="B157" s="636" t="s">
        <v>5939</v>
      </c>
      <c r="C157" s="909"/>
      <c r="D157" s="909"/>
      <c r="E157" s="909"/>
      <c r="F157" s="909"/>
      <c r="G157" s="1453">
        <v>2</v>
      </c>
      <c r="H157" s="1453">
        <v>3</v>
      </c>
      <c r="I157" s="1453"/>
      <c r="J157" s="1453" t="s">
        <v>1592</v>
      </c>
      <c r="K157" s="1453"/>
      <c r="L157" s="1453"/>
      <c r="M157" s="887"/>
      <c r="AA157">
        <f>IF(AND('01 Org'!C157&gt;Tmin, NOT('01 Org'!$I157="")),'01 Org'!$I157,0)</f>
        <v>0</v>
      </c>
      <c r="AB157">
        <f>IF(AND('01 Org'!D157&gt;Tmin, NOT('01 Org'!$I157="")),'01 Org'!$I157,0)</f>
        <v>0</v>
      </c>
      <c r="AC157">
        <f>IF(AND('01 Org'!E157&gt;Tmin, NOT('01 Org'!$I157="")),'01 Org'!$I157,0)</f>
        <v>0</v>
      </c>
      <c r="AD157">
        <f>IF(AND('01 Org'!F157&gt;Tmin, NOT('01 Org'!$I157="")),'01 Org'!$I157,0)</f>
        <v>0</v>
      </c>
      <c r="AE157">
        <f>IF(AND('01 Org'!C157&lt;Tmax, NOT('01 Org'!$H157="")),'01 Org'!$H157,4)</f>
        <v>3</v>
      </c>
      <c r="AF157">
        <f>IF(AND('01 Org'!D157&lt;Tmax, NOT('01 Org'!$H157="")),'01 Org'!$H157,4)</f>
        <v>3</v>
      </c>
      <c r="AG157">
        <f>IF(AND('01 Org'!E157&lt;Tmax, NOT('01 Org'!$H157="")),'01 Org'!$H157,4)</f>
        <v>3</v>
      </c>
      <c r="AH157">
        <f>IF(AND('01 Org'!F157&lt;Tmax, NOT('01 Org'!$H157="")),'01 Org'!$H157,4)</f>
        <v>3</v>
      </c>
      <c r="AI157"/>
    </row>
    <row r="158" spans="1:35" outlineLevel="1" x14ac:dyDescent="0.2">
      <c r="A158" s="633" t="s">
        <v>5899</v>
      </c>
      <c r="B158" s="925" t="s">
        <v>5900</v>
      </c>
      <c r="C158" s="909"/>
      <c r="D158" s="909"/>
      <c r="E158" s="909"/>
      <c r="F158" s="909"/>
      <c r="G158" s="1453"/>
      <c r="H158" s="1453"/>
      <c r="I158" s="1453"/>
      <c r="J158" s="1453"/>
      <c r="K158" s="1453"/>
      <c r="L158" s="1453"/>
      <c r="M158" s="887"/>
      <c r="AA158"/>
      <c r="AB158"/>
      <c r="AC158"/>
      <c r="AD158"/>
      <c r="AE158"/>
      <c r="AF158"/>
      <c r="AG158"/>
      <c r="AH158"/>
      <c r="AI158"/>
    </row>
    <row r="159" spans="1:35" ht="33.75" outlineLevel="2" x14ac:dyDescent="0.2">
      <c r="A159" s="908" t="s">
        <v>5940</v>
      </c>
      <c r="B159" s="636" t="s">
        <v>54</v>
      </c>
      <c r="C159" s="909"/>
      <c r="D159" s="909"/>
      <c r="E159" s="909"/>
      <c r="F159" s="909"/>
      <c r="G159" s="1453">
        <v>2</v>
      </c>
      <c r="H159" s="1453"/>
      <c r="I159" s="1453"/>
      <c r="J159" s="1453" t="s">
        <v>4246</v>
      </c>
      <c r="K159" s="1453"/>
      <c r="L159" s="1453"/>
      <c r="M159" s="887"/>
      <c r="AA159">
        <f>IF(AND('01 Org'!C159&gt;Tmin, NOT('01 Org'!$I159="")),'01 Org'!$I159,0)</f>
        <v>0</v>
      </c>
      <c r="AB159">
        <f>IF(AND('01 Org'!D159&gt;Tmin, NOT('01 Org'!$I159="")),'01 Org'!$I159,0)</f>
        <v>0</v>
      </c>
      <c r="AC159">
        <f>IF(AND('01 Org'!E159&gt;Tmin, NOT('01 Org'!$I159="")),'01 Org'!$I159,0)</f>
        <v>0</v>
      </c>
      <c r="AD159">
        <f>IF(AND('01 Org'!F159&gt;Tmin, NOT('01 Org'!$I159="")),'01 Org'!$I159,0)</f>
        <v>0</v>
      </c>
      <c r="AE159">
        <f>IF(AND('01 Org'!C159&lt;Tmax, NOT('01 Org'!$H159="")),'01 Org'!$H159,4)</f>
        <v>4</v>
      </c>
      <c r="AF159">
        <f>IF(AND('01 Org'!D159&lt;Tmax, NOT('01 Org'!$H159="")),'01 Org'!$H159,4)</f>
        <v>4</v>
      </c>
      <c r="AG159">
        <f>IF(AND('01 Org'!E159&lt;Tmax, NOT('01 Org'!$H159="")),'01 Org'!$H159,4)</f>
        <v>4</v>
      </c>
      <c r="AH159">
        <f>IF(AND('01 Org'!F159&lt;Tmax, NOT('01 Org'!$H159="")),'01 Org'!$H159,4)</f>
        <v>4</v>
      </c>
      <c r="AI159"/>
    </row>
    <row r="160" spans="1:35" outlineLevel="2" x14ac:dyDescent="0.2">
      <c r="A160" s="908" t="s">
        <v>55</v>
      </c>
      <c r="B160" s="636" t="s">
        <v>56</v>
      </c>
      <c r="C160" s="909"/>
      <c r="D160" s="909"/>
      <c r="E160" s="909"/>
      <c r="F160" s="909"/>
      <c r="G160" s="1453">
        <v>4</v>
      </c>
      <c r="H160" s="1453">
        <v>2</v>
      </c>
      <c r="I160" s="1453"/>
      <c r="J160" s="1453" t="s">
        <v>1592</v>
      </c>
      <c r="K160" s="1453"/>
      <c r="L160" s="1453"/>
      <c r="M160" s="887"/>
      <c r="AA160">
        <f>IF(AND('01 Org'!C160&gt;Tmin, NOT('01 Org'!$I160="")),'01 Org'!$I160,0)</f>
        <v>0</v>
      </c>
      <c r="AB160">
        <f>IF(AND('01 Org'!D160&gt;Tmin, NOT('01 Org'!$I160="")),'01 Org'!$I160,0)</f>
        <v>0</v>
      </c>
      <c r="AC160">
        <f>IF(AND('01 Org'!E160&gt;Tmin, NOT('01 Org'!$I160="")),'01 Org'!$I160,0)</f>
        <v>0</v>
      </c>
      <c r="AD160">
        <f>IF(AND('01 Org'!F160&gt;Tmin, NOT('01 Org'!$I160="")),'01 Org'!$I160,0)</f>
        <v>0</v>
      </c>
      <c r="AE160">
        <f>IF(AND('01 Org'!C160&lt;Tmax, NOT('01 Org'!$H160="")),'01 Org'!$H160,4)</f>
        <v>2</v>
      </c>
      <c r="AF160">
        <f>IF(AND('01 Org'!D160&lt;Tmax, NOT('01 Org'!$H160="")),'01 Org'!$H160,4)</f>
        <v>2</v>
      </c>
      <c r="AG160">
        <f>IF(AND('01 Org'!E160&lt;Tmax, NOT('01 Org'!$H160="")),'01 Org'!$H160,4)</f>
        <v>2</v>
      </c>
      <c r="AH160">
        <f>IF(AND('01 Org'!F160&lt;Tmax, NOT('01 Org'!$H160="")),'01 Org'!$H160,4)</f>
        <v>2</v>
      </c>
      <c r="AI160"/>
    </row>
    <row r="161" spans="1:35" ht="33.75" outlineLevel="2" x14ac:dyDescent="0.2">
      <c r="A161" s="908" t="s">
        <v>57</v>
      </c>
      <c r="B161" s="636" t="s">
        <v>1269</v>
      </c>
      <c r="C161" s="909"/>
      <c r="D161" s="909"/>
      <c r="E161" s="909"/>
      <c r="F161" s="909"/>
      <c r="G161" s="1453">
        <v>4</v>
      </c>
      <c r="H161" s="1453">
        <v>2</v>
      </c>
      <c r="I161" s="1453"/>
      <c r="J161" s="1453" t="s">
        <v>1592</v>
      </c>
      <c r="K161" s="1453"/>
      <c r="L161" s="1453"/>
      <c r="M161" s="887"/>
      <c r="AA161">
        <f>IF(AND('01 Org'!C161&gt;Tmin, NOT('01 Org'!$I161="")),'01 Org'!$I161,0)</f>
        <v>0</v>
      </c>
      <c r="AB161">
        <f>IF(AND('01 Org'!D161&gt;Tmin, NOT('01 Org'!$I161="")),'01 Org'!$I161,0)</f>
        <v>0</v>
      </c>
      <c r="AC161">
        <f>IF(AND('01 Org'!E161&gt;Tmin, NOT('01 Org'!$I161="")),'01 Org'!$I161,0)</f>
        <v>0</v>
      </c>
      <c r="AD161">
        <f>IF(AND('01 Org'!F161&gt;Tmin, NOT('01 Org'!$I161="")),'01 Org'!$I161,0)</f>
        <v>0</v>
      </c>
      <c r="AE161">
        <f>IF(AND('01 Org'!C161&lt;Tmax, NOT('01 Org'!$H161="")),'01 Org'!$H161,4)</f>
        <v>2</v>
      </c>
      <c r="AF161">
        <f>IF(AND('01 Org'!D161&lt;Tmax, NOT('01 Org'!$H161="")),'01 Org'!$H161,4)</f>
        <v>2</v>
      </c>
      <c r="AG161">
        <f>IF(AND('01 Org'!E161&lt;Tmax, NOT('01 Org'!$H161="")),'01 Org'!$H161,4)</f>
        <v>2</v>
      </c>
      <c r="AH161">
        <f>IF(AND('01 Org'!F161&lt;Tmax, NOT('01 Org'!$H161="")),'01 Org'!$H161,4)</f>
        <v>2</v>
      </c>
      <c r="AI161"/>
    </row>
    <row r="162" spans="1:35" outlineLevel="2" x14ac:dyDescent="0.2">
      <c r="A162" s="908" t="s">
        <v>1270</v>
      </c>
      <c r="B162" s="636" t="s">
        <v>1271</v>
      </c>
      <c r="C162" s="909"/>
      <c r="D162" s="909"/>
      <c r="E162" s="909"/>
      <c r="F162" s="909"/>
      <c r="G162" s="1453">
        <v>4</v>
      </c>
      <c r="H162" s="1453">
        <v>2</v>
      </c>
      <c r="I162" s="1453"/>
      <c r="J162" s="1453" t="s">
        <v>1592</v>
      </c>
      <c r="K162" s="1453"/>
      <c r="L162" s="1453"/>
      <c r="M162" s="887"/>
      <c r="AA162">
        <f>IF(AND('01 Org'!C162&gt;Tmin, NOT('01 Org'!$I162="")),'01 Org'!$I162,0)</f>
        <v>0</v>
      </c>
      <c r="AB162">
        <f>IF(AND('01 Org'!D162&gt;Tmin, NOT('01 Org'!$I162="")),'01 Org'!$I162,0)</f>
        <v>0</v>
      </c>
      <c r="AC162">
        <f>IF(AND('01 Org'!E162&gt;Tmin, NOT('01 Org'!$I162="")),'01 Org'!$I162,0)</f>
        <v>0</v>
      </c>
      <c r="AD162">
        <f>IF(AND('01 Org'!F162&gt;Tmin, NOT('01 Org'!$I162="")),'01 Org'!$I162,0)</f>
        <v>0</v>
      </c>
      <c r="AE162">
        <f>IF(AND('01 Org'!C162&lt;Tmax, NOT('01 Org'!$H162="")),'01 Org'!$H162,4)</f>
        <v>2</v>
      </c>
      <c r="AF162">
        <f>IF(AND('01 Org'!D162&lt;Tmax, NOT('01 Org'!$H162="")),'01 Org'!$H162,4)</f>
        <v>2</v>
      </c>
      <c r="AG162">
        <f>IF(AND('01 Org'!E162&lt;Tmax, NOT('01 Org'!$H162="")),'01 Org'!$H162,4)</f>
        <v>2</v>
      </c>
      <c r="AH162">
        <f>IF(AND('01 Org'!F162&lt;Tmax, NOT('01 Org'!$H162="")),'01 Org'!$H162,4)</f>
        <v>2</v>
      </c>
      <c r="AI162"/>
    </row>
    <row r="163" spans="1:35" ht="22.5" outlineLevel="2" x14ac:dyDescent="0.2">
      <c r="A163" s="908" t="s">
        <v>1272</v>
      </c>
      <c r="B163" s="636" t="s">
        <v>127</v>
      </c>
      <c r="C163" s="909"/>
      <c r="D163" s="909"/>
      <c r="E163" s="909"/>
      <c r="F163" s="909"/>
      <c r="G163" s="1453">
        <v>4</v>
      </c>
      <c r="H163" s="1453">
        <v>2</v>
      </c>
      <c r="I163" s="1453"/>
      <c r="J163" s="1453" t="s">
        <v>1592</v>
      </c>
      <c r="K163" s="1453"/>
      <c r="L163" s="1453"/>
      <c r="M163" s="887"/>
      <c r="AA163">
        <f>IF(AND('01 Org'!C163&gt;Tmin, NOT('01 Org'!$I163="")),'01 Org'!$I163,0)</f>
        <v>0</v>
      </c>
      <c r="AB163">
        <f>IF(AND('01 Org'!D163&gt;Tmin, NOT('01 Org'!$I163="")),'01 Org'!$I163,0)</f>
        <v>0</v>
      </c>
      <c r="AC163">
        <f>IF(AND('01 Org'!E163&gt;Tmin, NOT('01 Org'!$I163="")),'01 Org'!$I163,0)</f>
        <v>0</v>
      </c>
      <c r="AD163">
        <f>IF(AND('01 Org'!F163&gt;Tmin, NOT('01 Org'!$I163="")),'01 Org'!$I163,0)</f>
        <v>0</v>
      </c>
      <c r="AE163">
        <f>IF(AND('01 Org'!C163&lt;Tmax, NOT('01 Org'!$H163="")),'01 Org'!$H163,4)</f>
        <v>2</v>
      </c>
      <c r="AF163">
        <f>IF(AND('01 Org'!D163&lt;Tmax, NOT('01 Org'!$H163="")),'01 Org'!$H163,4)</f>
        <v>2</v>
      </c>
      <c r="AG163">
        <f>IF(AND('01 Org'!E163&lt;Tmax, NOT('01 Org'!$H163="")),'01 Org'!$H163,4)</f>
        <v>2</v>
      </c>
      <c r="AH163">
        <f>IF(AND('01 Org'!F163&lt;Tmax, NOT('01 Org'!$H163="")),'01 Org'!$H163,4)</f>
        <v>2</v>
      </c>
      <c r="AI163"/>
    </row>
    <row r="164" spans="1:35" ht="22.5" outlineLevel="2" x14ac:dyDescent="0.2">
      <c r="A164" s="908" t="s">
        <v>128</v>
      </c>
      <c r="B164" s="636" t="s">
        <v>5193</v>
      </c>
      <c r="C164" s="909"/>
      <c r="D164" s="909"/>
      <c r="E164" s="909"/>
      <c r="F164" s="909"/>
      <c r="G164" s="1453">
        <v>4</v>
      </c>
      <c r="H164" s="1453">
        <v>2</v>
      </c>
      <c r="I164" s="1453"/>
      <c r="J164" s="1453" t="s">
        <v>1592</v>
      </c>
      <c r="K164" s="1453"/>
      <c r="L164" s="1453"/>
      <c r="M164" s="887"/>
      <c r="AA164">
        <f>IF(AND('01 Org'!C164&gt;Tmin, NOT('01 Org'!$I164="")),'01 Org'!$I164,0)</f>
        <v>0</v>
      </c>
      <c r="AB164">
        <f>IF(AND('01 Org'!D164&gt;Tmin, NOT('01 Org'!$I164="")),'01 Org'!$I164,0)</f>
        <v>0</v>
      </c>
      <c r="AC164">
        <f>IF(AND('01 Org'!E164&gt;Tmin, NOT('01 Org'!$I164="")),'01 Org'!$I164,0)</f>
        <v>0</v>
      </c>
      <c r="AD164">
        <f>IF(AND('01 Org'!F164&gt;Tmin, NOT('01 Org'!$I164="")),'01 Org'!$I164,0)</f>
        <v>0</v>
      </c>
      <c r="AE164">
        <f>IF(AND('01 Org'!C164&lt;Tmax, NOT('01 Org'!$H164="")),'01 Org'!$H164,4)</f>
        <v>2</v>
      </c>
      <c r="AF164">
        <f>IF(AND('01 Org'!D164&lt;Tmax, NOT('01 Org'!$H164="")),'01 Org'!$H164,4)</f>
        <v>2</v>
      </c>
      <c r="AG164">
        <f>IF(AND('01 Org'!E164&lt;Tmax, NOT('01 Org'!$H164="")),'01 Org'!$H164,4)</f>
        <v>2</v>
      </c>
      <c r="AH164">
        <f>IF(AND('01 Org'!F164&lt;Tmax, NOT('01 Org'!$H164="")),'01 Org'!$H164,4)</f>
        <v>2</v>
      </c>
      <c r="AI164"/>
    </row>
    <row r="165" spans="1:35" ht="22.5" outlineLevel="2" x14ac:dyDescent="0.2">
      <c r="A165" s="908" t="s">
        <v>129</v>
      </c>
      <c r="B165" s="636" t="s">
        <v>5977</v>
      </c>
      <c r="C165" s="909"/>
      <c r="D165" s="909"/>
      <c r="E165" s="909"/>
      <c r="F165" s="909"/>
      <c r="G165" s="1453">
        <v>4</v>
      </c>
      <c r="H165" s="1453"/>
      <c r="I165" s="1453"/>
      <c r="J165" s="1453" t="s">
        <v>1592</v>
      </c>
      <c r="K165" s="1453"/>
      <c r="L165" s="1453"/>
      <c r="M165" s="887"/>
      <c r="AA165">
        <f>IF(AND('01 Org'!C165&gt;Tmin, NOT('01 Org'!$I165="")),'01 Org'!$I165,0)</f>
        <v>0</v>
      </c>
      <c r="AB165">
        <f>IF(AND('01 Org'!D165&gt;Tmin, NOT('01 Org'!$I165="")),'01 Org'!$I165,0)</f>
        <v>0</v>
      </c>
      <c r="AC165">
        <f>IF(AND('01 Org'!E165&gt;Tmin, NOT('01 Org'!$I165="")),'01 Org'!$I165,0)</f>
        <v>0</v>
      </c>
      <c r="AD165">
        <f>IF(AND('01 Org'!F165&gt;Tmin, NOT('01 Org'!$I165="")),'01 Org'!$I165,0)</f>
        <v>0</v>
      </c>
      <c r="AE165">
        <f>IF(AND('01 Org'!C165&lt;Tmax, NOT('01 Org'!$H165="")),'01 Org'!$H165,4)</f>
        <v>4</v>
      </c>
      <c r="AF165">
        <f>IF(AND('01 Org'!D165&lt;Tmax, NOT('01 Org'!$H165="")),'01 Org'!$H165,4)</f>
        <v>4</v>
      </c>
      <c r="AG165">
        <f>IF(AND('01 Org'!E165&lt;Tmax, NOT('01 Org'!$H165="")),'01 Org'!$H165,4)</f>
        <v>4</v>
      </c>
      <c r="AH165">
        <f>IF(AND('01 Org'!F165&lt;Tmax, NOT('01 Org'!$H165="")),'01 Org'!$H165,4)</f>
        <v>4</v>
      </c>
      <c r="AI165"/>
    </row>
    <row r="166" spans="1:35" outlineLevel="2" x14ac:dyDescent="0.2">
      <c r="A166" s="908" t="s">
        <v>130</v>
      </c>
      <c r="B166" s="636" t="s">
        <v>5996</v>
      </c>
      <c r="C166" s="909"/>
      <c r="D166" s="909"/>
      <c r="E166" s="909"/>
      <c r="F166" s="909"/>
      <c r="G166" s="1453">
        <v>4</v>
      </c>
      <c r="H166" s="1453">
        <v>3</v>
      </c>
      <c r="I166" s="1453"/>
      <c r="J166" s="1453" t="s">
        <v>1592</v>
      </c>
      <c r="K166" s="1453"/>
      <c r="L166" s="1453"/>
      <c r="M166" s="887"/>
      <c r="AA166">
        <f>IF(AND('01 Org'!C166&gt;Tmin, NOT('01 Org'!$I166="")),'01 Org'!$I166,0)</f>
        <v>0</v>
      </c>
      <c r="AB166">
        <f>IF(AND('01 Org'!D166&gt;Tmin, NOT('01 Org'!$I166="")),'01 Org'!$I166,0)</f>
        <v>0</v>
      </c>
      <c r="AC166">
        <f>IF(AND('01 Org'!E166&gt;Tmin, NOT('01 Org'!$I166="")),'01 Org'!$I166,0)</f>
        <v>0</v>
      </c>
      <c r="AD166">
        <f>IF(AND('01 Org'!F166&gt;Tmin, NOT('01 Org'!$I166="")),'01 Org'!$I166,0)</f>
        <v>0</v>
      </c>
      <c r="AE166">
        <f>IF(AND('01 Org'!C166&lt;Tmax, NOT('01 Org'!$H166="")),'01 Org'!$H166,4)</f>
        <v>3</v>
      </c>
      <c r="AF166">
        <f>IF(AND('01 Org'!D166&lt;Tmax, NOT('01 Org'!$H166="")),'01 Org'!$H166,4)</f>
        <v>3</v>
      </c>
      <c r="AG166">
        <f>IF(AND('01 Org'!E166&lt;Tmax, NOT('01 Org'!$H166="")),'01 Org'!$H166,4)</f>
        <v>3</v>
      </c>
      <c r="AH166">
        <f>IF(AND('01 Org'!F166&lt;Tmax, NOT('01 Org'!$H166="")),'01 Org'!$H166,4)</f>
        <v>3</v>
      </c>
      <c r="AI166"/>
    </row>
    <row r="167" spans="1:35" ht="22.5" outlineLevel="2" x14ac:dyDescent="0.2">
      <c r="A167" s="908" t="s">
        <v>131</v>
      </c>
      <c r="B167" s="636" t="s">
        <v>4314</v>
      </c>
      <c r="C167" s="909"/>
      <c r="D167" s="909"/>
      <c r="E167" s="909"/>
      <c r="F167" s="909"/>
      <c r="G167" s="1453">
        <v>2</v>
      </c>
      <c r="H167" s="1453"/>
      <c r="I167" s="1453"/>
      <c r="J167" s="1453" t="s">
        <v>1592</v>
      </c>
      <c r="K167" s="1453"/>
      <c r="L167" s="1453"/>
      <c r="M167" s="887"/>
      <c r="AA167">
        <f>IF(AND('01 Org'!C167&gt;Tmin, NOT('01 Org'!$I167="")),'01 Org'!$I167,0)</f>
        <v>0</v>
      </c>
      <c r="AB167">
        <f>IF(AND('01 Org'!D167&gt;Tmin, NOT('01 Org'!$I167="")),'01 Org'!$I167,0)</f>
        <v>0</v>
      </c>
      <c r="AC167">
        <f>IF(AND('01 Org'!E167&gt;Tmin, NOT('01 Org'!$I167="")),'01 Org'!$I167,0)</f>
        <v>0</v>
      </c>
      <c r="AD167">
        <f>IF(AND('01 Org'!F167&gt;Tmin, NOT('01 Org'!$I167="")),'01 Org'!$I167,0)</f>
        <v>0</v>
      </c>
      <c r="AE167">
        <f>IF(AND('01 Org'!C167&lt;Tmax, NOT('01 Org'!$H167="")),'01 Org'!$H167,4)</f>
        <v>4</v>
      </c>
      <c r="AF167">
        <f>IF(AND('01 Org'!D167&lt;Tmax, NOT('01 Org'!$H167="")),'01 Org'!$H167,4)</f>
        <v>4</v>
      </c>
      <c r="AG167">
        <f>IF(AND('01 Org'!E167&lt;Tmax, NOT('01 Org'!$H167="")),'01 Org'!$H167,4)</f>
        <v>4</v>
      </c>
      <c r="AH167">
        <f>IF(AND('01 Org'!F167&lt;Tmax, NOT('01 Org'!$H167="")),'01 Org'!$H167,4)</f>
        <v>4</v>
      </c>
      <c r="AI167"/>
    </row>
    <row r="168" spans="1:35" outlineLevel="2" x14ac:dyDescent="0.2">
      <c r="A168" s="908" t="s">
        <v>132</v>
      </c>
      <c r="B168" s="636" t="s">
        <v>5937</v>
      </c>
      <c r="C168" s="909"/>
      <c r="D168" s="909"/>
      <c r="E168" s="909"/>
      <c r="F168" s="909"/>
      <c r="G168" s="1453">
        <v>2</v>
      </c>
      <c r="H168" s="1453">
        <v>2</v>
      </c>
      <c r="I168" s="1453"/>
      <c r="J168" s="1453" t="s">
        <v>1592</v>
      </c>
      <c r="K168" s="1453"/>
      <c r="L168" s="1453"/>
      <c r="M168" s="887"/>
      <c r="AA168">
        <f>IF(AND('01 Org'!C168&gt;Tmin, NOT('01 Org'!$I168="")),'01 Org'!$I168,0)</f>
        <v>0</v>
      </c>
      <c r="AB168">
        <f>IF(AND('01 Org'!D168&gt;Tmin, NOT('01 Org'!$I168="")),'01 Org'!$I168,0)</f>
        <v>0</v>
      </c>
      <c r="AC168">
        <f>IF(AND('01 Org'!E168&gt;Tmin, NOT('01 Org'!$I168="")),'01 Org'!$I168,0)</f>
        <v>0</v>
      </c>
      <c r="AD168">
        <f>IF(AND('01 Org'!F168&gt;Tmin, NOT('01 Org'!$I168="")),'01 Org'!$I168,0)</f>
        <v>0</v>
      </c>
      <c r="AE168">
        <f>IF(AND('01 Org'!C168&lt;Tmax, NOT('01 Org'!$H168="")),'01 Org'!$H168,4)</f>
        <v>2</v>
      </c>
      <c r="AF168">
        <f>IF(AND('01 Org'!D168&lt;Tmax, NOT('01 Org'!$H168="")),'01 Org'!$H168,4)</f>
        <v>2</v>
      </c>
      <c r="AG168">
        <f>IF(AND('01 Org'!E168&lt;Tmax, NOT('01 Org'!$H168="")),'01 Org'!$H168,4)</f>
        <v>2</v>
      </c>
      <c r="AH168">
        <f>IF(AND('01 Org'!F168&lt;Tmax, NOT('01 Org'!$H168="")),'01 Org'!$H168,4)</f>
        <v>2</v>
      </c>
      <c r="AI168"/>
    </row>
    <row r="169" spans="1:35" ht="22.5" outlineLevel="2" x14ac:dyDescent="0.2">
      <c r="A169" s="908" t="s">
        <v>133</v>
      </c>
      <c r="B169" s="636" t="s">
        <v>5939</v>
      </c>
      <c r="C169" s="909"/>
      <c r="D169" s="909"/>
      <c r="E169" s="909"/>
      <c r="F169" s="909"/>
      <c r="G169" s="1453">
        <v>2</v>
      </c>
      <c r="H169" s="1453">
        <v>3</v>
      </c>
      <c r="I169" s="1453"/>
      <c r="J169" s="1453" t="s">
        <v>1592</v>
      </c>
      <c r="K169" s="1453"/>
      <c r="L169" s="1453"/>
      <c r="M169" s="887"/>
      <c r="AA169">
        <f>IF(AND('01 Org'!C169&gt;Tmin, NOT('01 Org'!$I169="")),'01 Org'!$I169,0)</f>
        <v>0</v>
      </c>
      <c r="AB169">
        <f>IF(AND('01 Org'!D169&gt;Tmin, NOT('01 Org'!$I169="")),'01 Org'!$I169,0)</f>
        <v>0</v>
      </c>
      <c r="AC169">
        <f>IF(AND('01 Org'!E169&gt;Tmin, NOT('01 Org'!$I169="")),'01 Org'!$I169,0)</f>
        <v>0</v>
      </c>
      <c r="AD169">
        <f>IF(AND('01 Org'!F169&gt;Tmin, NOT('01 Org'!$I169="")),'01 Org'!$I169,0)</f>
        <v>0</v>
      </c>
      <c r="AE169">
        <f>IF(AND('01 Org'!C169&lt;Tmax, NOT('01 Org'!$H169="")),'01 Org'!$H169,4)</f>
        <v>3</v>
      </c>
      <c r="AF169">
        <f>IF(AND('01 Org'!D169&lt;Tmax, NOT('01 Org'!$H169="")),'01 Org'!$H169,4)</f>
        <v>3</v>
      </c>
      <c r="AG169">
        <f>IF(AND('01 Org'!E169&lt;Tmax, NOT('01 Org'!$H169="")),'01 Org'!$H169,4)</f>
        <v>3</v>
      </c>
      <c r="AH169">
        <f>IF(AND('01 Org'!F169&lt;Tmax, NOT('01 Org'!$H169="")),'01 Org'!$H169,4)</f>
        <v>3</v>
      </c>
      <c r="AI169"/>
    </row>
    <row r="170" spans="1:35" outlineLevel="1" x14ac:dyDescent="0.2">
      <c r="A170" s="633" t="s">
        <v>5119</v>
      </c>
      <c r="B170" s="925" t="s">
        <v>4622</v>
      </c>
      <c r="C170" s="909"/>
      <c r="D170" s="909"/>
      <c r="E170" s="909"/>
      <c r="F170" s="909"/>
      <c r="G170" s="1453"/>
      <c r="H170" s="1453"/>
      <c r="I170" s="1453"/>
      <c r="J170" s="1453"/>
      <c r="K170" s="1453"/>
      <c r="L170" s="1453"/>
      <c r="M170" s="887"/>
      <c r="AA170"/>
      <c r="AB170"/>
      <c r="AC170"/>
      <c r="AD170"/>
      <c r="AE170"/>
      <c r="AF170"/>
      <c r="AG170"/>
      <c r="AH170"/>
      <c r="AI170"/>
    </row>
    <row r="171" spans="1:35" ht="22.5" outlineLevel="2" x14ac:dyDescent="0.2">
      <c r="A171" s="908" t="s">
        <v>134</v>
      </c>
      <c r="B171" s="636" t="s">
        <v>3019</v>
      </c>
      <c r="C171" s="909"/>
      <c r="D171" s="909"/>
      <c r="E171" s="909"/>
      <c r="F171" s="909"/>
      <c r="G171" s="1453">
        <v>4</v>
      </c>
      <c r="H171" s="1453"/>
      <c r="I171" s="1453"/>
      <c r="J171" s="1453" t="s">
        <v>4246</v>
      </c>
      <c r="K171" s="1453"/>
      <c r="L171" s="1453"/>
      <c r="M171" s="887"/>
      <c r="AA171">
        <f>IF(AND('01 Org'!C171&gt;Tmin, NOT('01 Org'!$I171="")),'01 Org'!$I171,0)</f>
        <v>0</v>
      </c>
      <c r="AB171">
        <f>IF(AND('01 Org'!D171&gt;Tmin, NOT('01 Org'!$I171="")),'01 Org'!$I171,0)</f>
        <v>0</v>
      </c>
      <c r="AC171">
        <f>IF(AND('01 Org'!E171&gt;Tmin, NOT('01 Org'!$I171="")),'01 Org'!$I171,0)</f>
        <v>0</v>
      </c>
      <c r="AD171">
        <f>IF(AND('01 Org'!F171&gt;Tmin, NOT('01 Org'!$I171="")),'01 Org'!$I171,0)</f>
        <v>0</v>
      </c>
      <c r="AE171">
        <f>IF(AND('01 Org'!C171&lt;Tmax, NOT('01 Org'!$H171="")),'01 Org'!$H171,4)</f>
        <v>4</v>
      </c>
      <c r="AF171">
        <f>IF(AND('01 Org'!D171&lt;Tmax, NOT('01 Org'!$H171="")),'01 Org'!$H171,4)</f>
        <v>4</v>
      </c>
      <c r="AG171">
        <f>IF(AND('01 Org'!E171&lt;Tmax, NOT('01 Org'!$H171="")),'01 Org'!$H171,4)</f>
        <v>4</v>
      </c>
      <c r="AH171">
        <f>IF(AND('01 Org'!F171&lt;Tmax, NOT('01 Org'!$H171="")),'01 Org'!$H171,4)</f>
        <v>4</v>
      </c>
      <c r="AI171"/>
    </row>
    <row r="172" spans="1:35" ht="45" outlineLevel="2" x14ac:dyDescent="0.2">
      <c r="A172" s="908" t="s">
        <v>3020</v>
      </c>
      <c r="B172" s="636" t="s">
        <v>3329</v>
      </c>
      <c r="C172" s="909"/>
      <c r="D172" s="909"/>
      <c r="E172" s="909"/>
      <c r="F172" s="909"/>
      <c r="G172" s="1453">
        <v>2</v>
      </c>
      <c r="H172" s="1453"/>
      <c r="I172" s="1453"/>
      <c r="J172" s="1453" t="s">
        <v>1592</v>
      </c>
      <c r="K172" s="1453"/>
      <c r="L172" s="1453"/>
      <c r="M172" s="887"/>
      <c r="AA172">
        <f>IF(AND('01 Org'!C172&gt;Tmin, NOT('01 Org'!$I172="")),'01 Org'!$I172,0)</f>
        <v>0</v>
      </c>
      <c r="AB172">
        <f>IF(AND('01 Org'!D172&gt;Tmin, NOT('01 Org'!$I172="")),'01 Org'!$I172,0)</f>
        <v>0</v>
      </c>
      <c r="AC172">
        <f>IF(AND('01 Org'!E172&gt;Tmin, NOT('01 Org'!$I172="")),'01 Org'!$I172,0)</f>
        <v>0</v>
      </c>
      <c r="AD172">
        <f>IF(AND('01 Org'!F172&gt;Tmin, NOT('01 Org'!$I172="")),'01 Org'!$I172,0)</f>
        <v>0</v>
      </c>
      <c r="AE172">
        <f>IF(AND('01 Org'!C172&lt;Tmax, NOT('01 Org'!$H172="")),'01 Org'!$H172,4)</f>
        <v>4</v>
      </c>
      <c r="AF172">
        <f>IF(AND('01 Org'!D172&lt;Tmax, NOT('01 Org'!$H172="")),'01 Org'!$H172,4)</f>
        <v>4</v>
      </c>
      <c r="AG172">
        <f>IF(AND('01 Org'!E172&lt;Tmax, NOT('01 Org'!$H172="")),'01 Org'!$H172,4)</f>
        <v>4</v>
      </c>
      <c r="AH172">
        <f>IF(AND('01 Org'!F172&lt;Tmax, NOT('01 Org'!$H172="")),'01 Org'!$H172,4)</f>
        <v>4</v>
      </c>
      <c r="AI172"/>
    </row>
    <row r="173" spans="1:35" ht="22.5" outlineLevel="2" x14ac:dyDescent="0.2">
      <c r="A173" s="908" t="s">
        <v>3330</v>
      </c>
      <c r="B173" s="636" t="s">
        <v>5977</v>
      </c>
      <c r="C173" s="909"/>
      <c r="D173" s="909"/>
      <c r="E173" s="909"/>
      <c r="F173" s="909"/>
      <c r="G173" s="1453">
        <v>2</v>
      </c>
      <c r="H173" s="1453"/>
      <c r="I173" s="1453"/>
      <c r="J173" s="1453" t="s">
        <v>1592</v>
      </c>
      <c r="K173" s="1453"/>
      <c r="L173" s="1453"/>
      <c r="M173" s="887"/>
      <c r="AA173">
        <f>IF(AND('01 Org'!C173&gt;Tmin, NOT('01 Org'!$I173="")),'01 Org'!$I173,0)</f>
        <v>0</v>
      </c>
      <c r="AB173">
        <f>IF(AND('01 Org'!D173&gt;Tmin, NOT('01 Org'!$I173="")),'01 Org'!$I173,0)</f>
        <v>0</v>
      </c>
      <c r="AC173">
        <f>IF(AND('01 Org'!E173&gt;Tmin, NOT('01 Org'!$I173="")),'01 Org'!$I173,0)</f>
        <v>0</v>
      </c>
      <c r="AD173">
        <f>IF(AND('01 Org'!F173&gt;Tmin, NOT('01 Org'!$I173="")),'01 Org'!$I173,0)</f>
        <v>0</v>
      </c>
      <c r="AE173">
        <f>IF(AND('01 Org'!C173&lt;Tmax, NOT('01 Org'!$H173="")),'01 Org'!$H173,4)</f>
        <v>4</v>
      </c>
      <c r="AF173">
        <f>IF(AND('01 Org'!D173&lt;Tmax, NOT('01 Org'!$H173="")),'01 Org'!$H173,4)</f>
        <v>4</v>
      </c>
      <c r="AG173">
        <f>IF(AND('01 Org'!E173&lt;Tmax, NOT('01 Org'!$H173="")),'01 Org'!$H173,4)</f>
        <v>4</v>
      </c>
      <c r="AH173">
        <f>IF(AND('01 Org'!F173&lt;Tmax, NOT('01 Org'!$H173="")),'01 Org'!$H173,4)</f>
        <v>4</v>
      </c>
      <c r="AI173"/>
    </row>
    <row r="174" spans="1:35" ht="22.5" outlineLevel="2" x14ac:dyDescent="0.2">
      <c r="A174" s="908" t="s">
        <v>3331</v>
      </c>
      <c r="B174" s="636" t="s">
        <v>4314</v>
      </c>
      <c r="C174" s="909"/>
      <c r="D174" s="909"/>
      <c r="E174" s="909"/>
      <c r="F174" s="909"/>
      <c r="G174" s="1453">
        <v>2</v>
      </c>
      <c r="H174" s="1453"/>
      <c r="I174" s="1453"/>
      <c r="J174" s="1453" t="s">
        <v>1592</v>
      </c>
      <c r="K174" s="1453"/>
      <c r="L174" s="1453"/>
      <c r="M174" s="887"/>
      <c r="AA174">
        <f>IF(AND('01 Org'!C174&gt;Tmin, NOT('01 Org'!$I174="")),'01 Org'!$I174,0)</f>
        <v>0</v>
      </c>
      <c r="AB174">
        <f>IF(AND('01 Org'!D174&gt;Tmin, NOT('01 Org'!$I174="")),'01 Org'!$I174,0)</f>
        <v>0</v>
      </c>
      <c r="AC174">
        <f>IF(AND('01 Org'!E174&gt;Tmin, NOT('01 Org'!$I174="")),'01 Org'!$I174,0)</f>
        <v>0</v>
      </c>
      <c r="AD174">
        <f>IF(AND('01 Org'!F174&gt;Tmin, NOT('01 Org'!$I174="")),'01 Org'!$I174,0)</f>
        <v>0</v>
      </c>
      <c r="AE174">
        <f>IF(AND('01 Org'!C174&lt;Tmax, NOT('01 Org'!$H174="")),'01 Org'!$H174,4)</f>
        <v>4</v>
      </c>
      <c r="AF174">
        <f>IF(AND('01 Org'!D174&lt;Tmax, NOT('01 Org'!$H174="")),'01 Org'!$H174,4)</f>
        <v>4</v>
      </c>
      <c r="AG174">
        <f>IF(AND('01 Org'!E174&lt;Tmax, NOT('01 Org'!$H174="")),'01 Org'!$H174,4)</f>
        <v>4</v>
      </c>
      <c r="AH174">
        <f>IF(AND('01 Org'!F174&lt;Tmax, NOT('01 Org'!$H174="")),'01 Org'!$H174,4)</f>
        <v>4</v>
      </c>
      <c r="AI174"/>
    </row>
    <row r="175" spans="1:35" outlineLevel="2" x14ac:dyDescent="0.2">
      <c r="A175" s="908" t="s">
        <v>3332</v>
      </c>
      <c r="B175" s="636" t="s">
        <v>5937</v>
      </c>
      <c r="C175" s="909"/>
      <c r="D175" s="909"/>
      <c r="E175" s="909"/>
      <c r="F175" s="909"/>
      <c r="G175" s="1453">
        <v>2</v>
      </c>
      <c r="H175" s="1453">
        <v>2</v>
      </c>
      <c r="I175" s="1453"/>
      <c r="J175" s="1453" t="s">
        <v>1592</v>
      </c>
      <c r="K175" s="1453"/>
      <c r="L175" s="1453"/>
      <c r="M175" s="887"/>
      <c r="AA175">
        <f>IF(AND('01 Org'!C175&gt;Tmin, NOT('01 Org'!$I175="")),'01 Org'!$I175,0)</f>
        <v>0</v>
      </c>
      <c r="AB175">
        <f>IF(AND('01 Org'!D175&gt;Tmin, NOT('01 Org'!$I175="")),'01 Org'!$I175,0)</f>
        <v>0</v>
      </c>
      <c r="AC175">
        <f>IF(AND('01 Org'!E175&gt;Tmin, NOT('01 Org'!$I175="")),'01 Org'!$I175,0)</f>
        <v>0</v>
      </c>
      <c r="AD175">
        <f>IF(AND('01 Org'!F175&gt;Tmin, NOT('01 Org'!$I175="")),'01 Org'!$I175,0)</f>
        <v>0</v>
      </c>
      <c r="AE175">
        <f>IF(AND('01 Org'!C175&lt;Tmax, NOT('01 Org'!$H175="")),'01 Org'!$H175,4)</f>
        <v>2</v>
      </c>
      <c r="AF175">
        <f>IF(AND('01 Org'!D175&lt;Tmax, NOT('01 Org'!$H175="")),'01 Org'!$H175,4)</f>
        <v>2</v>
      </c>
      <c r="AG175">
        <f>IF(AND('01 Org'!E175&lt;Tmax, NOT('01 Org'!$H175="")),'01 Org'!$H175,4)</f>
        <v>2</v>
      </c>
      <c r="AH175">
        <f>IF(AND('01 Org'!F175&lt;Tmax, NOT('01 Org'!$H175="")),'01 Org'!$H175,4)</f>
        <v>2</v>
      </c>
      <c r="AI175"/>
    </row>
    <row r="176" spans="1:35" ht="22.5" outlineLevel="2" x14ac:dyDescent="0.2">
      <c r="A176" s="908" t="s">
        <v>3248</v>
      </c>
      <c r="B176" s="636" t="s">
        <v>5939</v>
      </c>
      <c r="C176" s="909"/>
      <c r="D176" s="909"/>
      <c r="E176" s="909"/>
      <c r="F176" s="909"/>
      <c r="G176" s="1453">
        <v>2</v>
      </c>
      <c r="H176" s="1453">
        <v>3</v>
      </c>
      <c r="I176" s="1453"/>
      <c r="J176" s="1453" t="s">
        <v>1592</v>
      </c>
      <c r="K176" s="1453"/>
      <c r="L176" s="1453"/>
      <c r="M176" s="887"/>
      <c r="AA176">
        <f>IF(AND('01 Org'!C176&gt;Tmin, NOT('01 Org'!$I176="")),'01 Org'!$I176,0)</f>
        <v>0</v>
      </c>
      <c r="AB176">
        <f>IF(AND('01 Org'!D176&gt;Tmin, NOT('01 Org'!$I176="")),'01 Org'!$I176,0)</f>
        <v>0</v>
      </c>
      <c r="AC176">
        <f>IF(AND('01 Org'!E176&gt;Tmin, NOT('01 Org'!$I176="")),'01 Org'!$I176,0)</f>
        <v>0</v>
      </c>
      <c r="AD176">
        <f>IF(AND('01 Org'!F176&gt;Tmin, NOT('01 Org'!$I176="")),'01 Org'!$I176,0)</f>
        <v>0</v>
      </c>
      <c r="AE176">
        <f>IF(AND('01 Org'!C176&lt;Tmax, NOT('01 Org'!$H176="")),'01 Org'!$H176,4)</f>
        <v>3</v>
      </c>
      <c r="AF176">
        <f>IF(AND('01 Org'!D176&lt;Tmax, NOT('01 Org'!$H176="")),'01 Org'!$H176,4)</f>
        <v>3</v>
      </c>
      <c r="AG176">
        <f>IF(AND('01 Org'!E176&lt;Tmax, NOT('01 Org'!$H176="")),'01 Org'!$H176,4)</f>
        <v>3</v>
      </c>
      <c r="AH176">
        <f>IF(AND('01 Org'!F176&lt;Tmax, NOT('01 Org'!$H176="")),'01 Org'!$H176,4)</f>
        <v>3</v>
      </c>
      <c r="AI176"/>
    </row>
    <row r="177" spans="1:35" outlineLevel="1" x14ac:dyDescent="0.2">
      <c r="A177" s="633" t="s">
        <v>5120</v>
      </c>
      <c r="B177" s="925" t="s">
        <v>5121</v>
      </c>
      <c r="C177" s="909"/>
      <c r="D177" s="909"/>
      <c r="E177" s="909"/>
      <c r="F177" s="909"/>
      <c r="G177" s="1453"/>
      <c r="H177" s="1453"/>
      <c r="I177" s="1453"/>
      <c r="J177" s="1453"/>
      <c r="K177" s="1453"/>
      <c r="L177" s="1453"/>
      <c r="M177" s="887"/>
      <c r="AA177"/>
      <c r="AB177"/>
      <c r="AC177"/>
      <c r="AD177"/>
      <c r="AE177"/>
      <c r="AF177"/>
      <c r="AG177"/>
      <c r="AH177"/>
      <c r="AI177"/>
    </row>
    <row r="178" spans="1:35" outlineLevel="2" x14ac:dyDescent="0.2">
      <c r="A178" s="908" t="s">
        <v>3249</v>
      </c>
      <c r="B178" s="636" t="s">
        <v>6734</v>
      </c>
      <c r="C178" s="909"/>
      <c r="D178" s="909"/>
      <c r="E178" s="909"/>
      <c r="F178" s="909"/>
      <c r="G178" s="1453">
        <v>2</v>
      </c>
      <c r="H178" s="1453"/>
      <c r="I178" s="1453"/>
      <c r="J178" s="1453" t="s">
        <v>1592</v>
      </c>
      <c r="K178" s="1453"/>
      <c r="L178" s="1453"/>
      <c r="M178" s="887"/>
      <c r="AA178">
        <f>IF(AND('01 Org'!C178&gt;Tmin, NOT('01 Org'!$I178="")),'01 Org'!$I178,0)</f>
        <v>0</v>
      </c>
      <c r="AB178">
        <f>IF(AND('01 Org'!D178&gt;Tmin, NOT('01 Org'!$I178="")),'01 Org'!$I178,0)</f>
        <v>0</v>
      </c>
      <c r="AC178">
        <f>IF(AND('01 Org'!E178&gt;Tmin, NOT('01 Org'!$I178="")),'01 Org'!$I178,0)</f>
        <v>0</v>
      </c>
      <c r="AD178">
        <f>IF(AND('01 Org'!F178&gt;Tmin, NOT('01 Org'!$I178="")),'01 Org'!$I178,0)</f>
        <v>0</v>
      </c>
      <c r="AE178">
        <f>IF(AND('01 Org'!C178&lt;Tmax, NOT('01 Org'!$H178="")),'01 Org'!$H178,4)</f>
        <v>4</v>
      </c>
      <c r="AF178">
        <f>IF(AND('01 Org'!D178&lt;Tmax, NOT('01 Org'!$H178="")),'01 Org'!$H178,4)</f>
        <v>4</v>
      </c>
      <c r="AG178">
        <f>IF(AND('01 Org'!E178&lt;Tmax, NOT('01 Org'!$H178="")),'01 Org'!$H178,4)</f>
        <v>4</v>
      </c>
      <c r="AH178">
        <f>IF(AND('01 Org'!F178&lt;Tmax, NOT('01 Org'!$H178="")),'01 Org'!$H178,4)</f>
        <v>4</v>
      </c>
      <c r="AI178"/>
    </row>
    <row r="179" spans="1:35" ht="22.5" outlineLevel="2" x14ac:dyDescent="0.2">
      <c r="A179" s="908" t="s">
        <v>3250</v>
      </c>
      <c r="B179" s="636" t="s">
        <v>2331</v>
      </c>
      <c r="C179" s="909"/>
      <c r="D179" s="909"/>
      <c r="E179" s="909"/>
      <c r="F179" s="909"/>
      <c r="G179" s="1453">
        <v>4</v>
      </c>
      <c r="H179" s="1453">
        <v>2</v>
      </c>
      <c r="I179" s="1453"/>
      <c r="J179" s="1453" t="s">
        <v>1592</v>
      </c>
      <c r="K179" s="1453"/>
      <c r="L179" s="1453"/>
      <c r="M179" s="887"/>
      <c r="AA179">
        <f>IF(AND('01 Org'!C179&gt;Tmin, NOT('01 Org'!$I179="")),'01 Org'!$I179,0)</f>
        <v>0</v>
      </c>
      <c r="AB179">
        <f>IF(AND('01 Org'!D179&gt;Tmin, NOT('01 Org'!$I179="")),'01 Org'!$I179,0)</f>
        <v>0</v>
      </c>
      <c r="AC179">
        <f>IF(AND('01 Org'!E179&gt;Tmin, NOT('01 Org'!$I179="")),'01 Org'!$I179,0)</f>
        <v>0</v>
      </c>
      <c r="AD179">
        <f>IF(AND('01 Org'!F179&gt;Tmin, NOT('01 Org'!$I179="")),'01 Org'!$I179,0)</f>
        <v>0</v>
      </c>
      <c r="AE179">
        <f>IF(AND('01 Org'!C179&lt;Tmax, NOT('01 Org'!$H179="")),'01 Org'!$H179,4)</f>
        <v>2</v>
      </c>
      <c r="AF179">
        <f>IF(AND('01 Org'!D179&lt;Tmax, NOT('01 Org'!$H179="")),'01 Org'!$H179,4)</f>
        <v>2</v>
      </c>
      <c r="AG179">
        <f>IF(AND('01 Org'!E179&lt;Tmax, NOT('01 Org'!$H179="")),'01 Org'!$H179,4)</f>
        <v>2</v>
      </c>
      <c r="AH179">
        <f>IF(AND('01 Org'!F179&lt;Tmax, NOT('01 Org'!$H179="")),'01 Org'!$H179,4)</f>
        <v>2</v>
      </c>
      <c r="AI179"/>
    </row>
    <row r="180" spans="1:35" outlineLevel="2" x14ac:dyDescent="0.2">
      <c r="A180" s="908" t="s">
        <v>2332</v>
      </c>
      <c r="B180" s="636" t="s">
        <v>5985</v>
      </c>
      <c r="C180" s="909"/>
      <c r="D180" s="909"/>
      <c r="E180" s="909"/>
      <c r="F180" s="909"/>
      <c r="G180" s="1453">
        <v>4</v>
      </c>
      <c r="H180" s="1453">
        <v>2</v>
      </c>
      <c r="I180" s="1453"/>
      <c r="J180" s="1453" t="s">
        <v>1592</v>
      </c>
      <c r="K180" s="1453"/>
      <c r="L180" s="1453"/>
      <c r="M180" s="887"/>
      <c r="AA180">
        <f>IF(AND('01 Org'!C180&gt;Tmin, NOT('01 Org'!$I180="")),'01 Org'!$I180,0)</f>
        <v>0</v>
      </c>
      <c r="AB180">
        <f>IF(AND('01 Org'!D180&gt;Tmin, NOT('01 Org'!$I180="")),'01 Org'!$I180,0)</f>
        <v>0</v>
      </c>
      <c r="AC180">
        <f>IF(AND('01 Org'!E180&gt;Tmin, NOT('01 Org'!$I180="")),'01 Org'!$I180,0)</f>
        <v>0</v>
      </c>
      <c r="AD180">
        <f>IF(AND('01 Org'!F180&gt;Tmin, NOT('01 Org'!$I180="")),'01 Org'!$I180,0)</f>
        <v>0</v>
      </c>
      <c r="AE180">
        <f>IF(AND('01 Org'!C180&lt;Tmax, NOT('01 Org'!$H180="")),'01 Org'!$H180,4)</f>
        <v>2</v>
      </c>
      <c r="AF180">
        <f>IF(AND('01 Org'!D180&lt;Tmax, NOT('01 Org'!$H180="")),'01 Org'!$H180,4)</f>
        <v>2</v>
      </c>
      <c r="AG180">
        <f>IF(AND('01 Org'!E180&lt;Tmax, NOT('01 Org'!$H180="")),'01 Org'!$H180,4)</f>
        <v>2</v>
      </c>
      <c r="AH180">
        <f>IF(AND('01 Org'!F180&lt;Tmax, NOT('01 Org'!$H180="")),'01 Org'!$H180,4)</f>
        <v>2</v>
      </c>
      <c r="AI180"/>
    </row>
    <row r="181" spans="1:35" ht="22.5" outlineLevel="2" x14ac:dyDescent="0.2">
      <c r="A181" s="908" t="s">
        <v>5986</v>
      </c>
      <c r="B181" s="636" t="s">
        <v>5977</v>
      </c>
      <c r="C181" s="909"/>
      <c r="D181" s="909"/>
      <c r="E181" s="909"/>
      <c r="F181" s="909"/>
      <c r="G181" s="1453">
        <v>4</v>
      </c>
      <c r="H181" s="1453"/>
      <c r="I181" s="1453"/>
      <c r="J181" s="1453" t="s">
        <v>1592</v>
      </c>
      <c r="K181" s="1453"/>
      <c r="L181" s="1453"/>
      <c r="M181" s="887"/>
      <c r="AA181">
        <f>IF(AND('01 Org'!C181&gt;Tmin, NOT('01 Org'!$I181="")),'01 Org'!$I181,0)</f>
        <v>0</v>
      </c>
      <c r="AB181">
        <f>IF(AND('01 Org'!D181&gt;Tmin, NOT('01 Org'!$I181="")),'01 Org'!$I181,0)</f>
        <v>0</v>
      </c>
      <c r="AC181">
        <f>IF(AND('01 Org'!E181&gt;Tmin, NOT('01 Org'!$I181="")),'01 Org'!$I181,0)</f>
        <v>0</v>
      </c>
      <c r="AD181">
        <f>IF(AND('01 Org'!F181&gt;Tmin, NOT('01 Org'!$I181="")),'01 Org'!$I181,0)</f>
        <v>0</v>
      </c>
      <c r="AE181">
        <f>IF(AND('01 Org'!C181&lt;Tmax, NOT('01 Org'!$H181="")),'01 Org'!$H181,4)</f>
        <v>4</v>
      </c>
      <c r="AF181">
        <f>IF(AND('01 Org'!D181&lt;Tmax, NOT('01 Org'!$H181="")),'01 Org'!$H181,4)</f>
        <v>4</v>
      </c>
      <c r="AG181">
        <f>IF(AND('01 Org'!E181&lt;Tmax, NOT('01 Org'!$H181="")),'01 Org'!$H181,4)</f>
        <v>4</v>
      </c>
      <c r="AH181">
        <f>IF(AND('01 Org'!F181&lt;Tmax, NOT('01 Org'!$H181="")),'01 Org'!$H181,4)</f>
        <v>4</v>
      </c>
      <c r="AI181"/>
    </row>
    <row r="182" spans="1:35" outlineLevel="2" x14ac:dyDescent="0.2">
      <c r="A182" s="908" t="s">
        <v>5987</v>
      </c>
      <c r="B182" s="636" t="s">
        <v>5996</v>
      </c>
      <c r="C182" s="909"/>
      <c r="D182" s="909"/>
      <c r="E182" s="909"/>
      <c r="F182" s="909"/>
      <c r="G182" s="1453">
        <v>4</v>
      </c>
      <c r="H182" s="1453"/>
      <c r="I182" s="1453"/>
      <c r="J182" s="1453" t="s">
        <v>1592</v>
      </c>
      <c r="K182" s="1453"/>
      <c r="L182" s="1453"/>
      <c r="M182" s="887"/>
      <c r="AA182">
        <f>IF(AND('01 Org'!C182&gt;Tmin, NOT('01 Org'!$I182="")),'01 Org'!$I182,0)</f>
        <v>0</v>
      </c>
      <c r="AB182">
        <f>IF(AND('01 Org'!D182&gt;Tmin, NOT('01 Org'!$I182="")),'01 Org'!$I182,0)</f>
        <v>0</v>
      </c>
      <c r="AC182">
        <f>IF(AND('01 Org'!E182&gt;Tmin, NOT('01 Org'!$I182="")),'01 Org'!$I182,0)</f>
        <v>0</v>
      </c>
      <c r="AD182">
        <f>IF(AND('01 Org'!F182&gt;Tmin, NOT('01 Org'!$I182="")),'01 Org'!$I182,0)</f>
        <v>0</v>
      </c>
      <c r="AE182">
        <f>IF(AND('01 Org'!C182&lt;Tmax, NOT('01 Org'!$H182="")),'01 Org'!$H182,4)</f>
        <v>4</v>
      </c>
      <c r="AF182">
        <f>IF(AND('01 Org'!D182&lt;Tmax, NOT('01 Org'!$H182="")),'01 Org'!$H182,4)</f>
        <v>4</v>
      </c>
      <c r="AG182">
        <f>IF(AND('01 Org'!E182&lt;Tmax, NOT('01 Org'!$H182="")),'01 Org'!$H182,4)</f>
        <v>4</v>
      </c>
      <c r="AH182">
        <f>IF(AND('01 Org'!F182&lt;Tmax, NOT('01 Org'!$H182="")),'01 Org'!$H182,4)</f>
        <v>4</v>
      </c>
      <c r="AI182"/>
    </row>
    <row r="183" spans="1:35" ht="22.5" outlineLevel="2" x14ac:dyDescent="0.2">
      <c r="A183" s="908" t="s">
        <v>5988</v>
      </c>
      <c r="B183" s="636" t="s">
        <v>4314</v>
      </c>
      <c r="C183" s="909"/>
      <c r="D183" s="909"/>
      <c r="E183" s="909"/>
      <c r="F183" s="909"/>
      <c r="G183" s="1453">
        <v>2</v>
      </c>
      <c r="H183" s="1453"/>
      <c r="I183" s="1453"/>
      <c r="J183" s="1453" t="s">
        <v>1592</v>
      </c>
      <c r="K183" s="1453"/>
      <c r="L183" s="1453"/>
      <c r="M183" s="887"/>
      <c r="AA183">
        <f>IF(AND('01 Org'!C183&gt;Tmin, NOT('01 Org'!$I183="")),'01 Org'!$I183,0)</f>
        <v>0</v>
      </c>
      <c r="AB183">
        <f>IF(AND('01 Org'!D183&gt;Tmin, NOT('01 Org'!$I183="")),'01 Org'!$I183,0)</f>
        <v>0</v>
      </c>
      <c r="AC183">
        <f>IF(AND('01 Org'!E183&gt;Tmin, NOT('01 Org'!$I183="")),'01 Org'!$I183,0)</f>
        <v>0</v>
      </c>
      <c r="AD183">
        <f>IF(AND('01 Org'!F183&gt;Tmin, NOT('01 Org'!$I183="")),'01 Org'!$I183,0)</f>
        <v>0</v>
      </c>
      <c r="AE183">
        <f>IF(AND('01 Org'!C183&lt;Tmax, NOT('01 Org'!$H183="")),'01 Org'!$H183,4)</f>
        <v>4</v>
      </c>
      <c r="AF183">
        <f>IF(AND('01 Org'!D183&lt;Tmax, NOT('01 Org'!$H183="")),'01 Org'!$H183,4)</f>
        <v>4</v>
      </c>
      <c r="AG183">
        <f>IF(AND('01 Org'!E183&lt;Tmax, NOT('01 Org'!$H183="")),'01 Org'!$H183,4)</f>
        <v>4</v>
      </c>
      <c r="AH183">
        <f>IF(AND('01 Org'!F183&lt;Tmax, NOT('01 Org'!$H183="")),'01 Org'!$H183,4)</f>
        <v>4</v>
      </c>
      <c r="AI183"/>
    </row>
    <row r="184" spans="1:35" outlineLevel="2" x14ac:dyDescent="0.2">
      <c r="A184" s="908" t="s">
        <v>5989</v>
      </c>
      <c r="B184" s="636" t="s">
        <v>5937</v>
      </c>
      <c r="C184" s="909"/>
      <c r="D184" s="909"/>
      <c r="E184" s="909"/>
      <c r="F184" s="909"/>
      <c r="G184" s="1453">
        <v>2</v>
      </c>
      <c r="H184" s="1453">
        <v>2</v>
      </c>
      <c r="I184" s="1453"/>
      <c r="J184" s="1453" t="s">
        <v>1592</v>
      </c>
      <c r="K184" s="1453"/>
      <c r="L184" s="1453"/>
      <c r="M184" s="887"/>
      <c r="AA184">
        <f>IF(AND('01 Org'!C184&gt;Tmin, NOT('01 Org'!$I184="")),'01 Org'!$I184,0)</f>
        <v>0</v>
      </c>
      <c r="AB184">
        <f>IF(AND('01 Org'!D184&gt;Tmin, NOT('01 Org'!$I184="")),'01 Org'!$I184,0)</f>
        <v>0</v>
      </c>
      <c r="AC184">
        <f>IF(AND('01 Org'!E184&gt;Tmin, NOT('01 Org'!$I184="")),'01 Org'!$I184,0)</f>
        <v>0</v>
      </c>
      <c r="AD184">
        <f>IF(AND('01 Org'!F184&gt;Tmin, NOT('01 Org'!$I184="")),'01 Org'!$I184,0)</f>
        <v>0</v>
      </c>
      <c r="AE184">
        <f>IF(AND('01 Org'!C184&lt;Tmax, NOT('01 Org'!$H184="")),'01 Org'!$H184,4)</f>
        <v>2</v>
      </c>
      <c r="AF184">
        <f>IF(AND('01 Org'!D184&lt;Tmax, NOT('01 Org'!$H184="")),'01 Org'!$H184,4)</f>
        <v>2</v>
      </c>
      <c r="AG184">
        <f>IF(AND('01 Org'!E184&lt;Tmax, NOT('01 Org'!$H184="")),'01 Org'!$H184,4)</f>
        <v>2</v>
      </c>
      <c r="AH184">
        <f>IF(AND('01 Org'!F184&lt;Tmax, NOT('01 Org'!$H184="")),'01 Org'!$H184,4)</f>
        <v>2</v>
      </c>
      <c r="AI184"/>
    </row>
    <row r="185" spans="1:35" ht="22.5" outlineLevel="2" x14ac:dyDescent="0.2">
      <c r="A185" s="908" t="s">
        <v>5990</v>
      </c>
      <c r="B185" s="636" t="s">
        <v>5939</v>
      </c>
      <c r="C185" s="909"/>
      <c r="D185" s="909"/>
      <c r="E185" s="909"/>
      <c r="F185" s="909"/>
      <c r="G185" s="1453">
        <v>2</v>
      </c>
      <c r="H185" s="1453">
        <v>3</v>
      </c>
      <c r="I185" s="1453"/>
      <c r="J185" s="1453" t="s">
        <v>1592</v>
      </c>
      <c r="K185" s="1453"/>
      <c r="L185" s="1453"/>
      <c r="M185" s="887"/>
      <c r="AA185">
        <f>IF(AND('01 Org'!C185&gt;Tmin, NOT('01 Org'!$I185="")),'01 Org'!$I185,0)</f>
        <v>0</v>
      </c>
      <c r="AB185">
        <f>IF(AND('01 Org'!D185&gt;Tmin, NOT('01 Org'!$I185="")),'01 Org'!$I185,0)</f>
        <v>0</v>
      </c>
      <c r="AC185">
        <f>IF(AND('01 Org'!E185&gt;Tmin, NOT('01 Org'!$I185="")),'01 Org'!$I185,0)</f>
        <v>0</v>
      </c>
      <c r="AD185">
        <f>IF(AND('01 Org'!F185&gt;Tmin, NOT('01 Org'!$I185="")),'01 Org'!$I185,0)</f>
        <v>0</v>
      </c>
      <c r="AE185">
        <f>IF(AND('01 Org'!C185&lt;Tmax, NOT('01 Org'!$H185="")),'01 Org'!$H185,4)</f>
        <v>3</v>
      </c>
      <c r="AF185">
        <f>IF(AND('01 Org'!D185&lt;Tmax, NOT('01 Org'!$H185="")),'01 Org'!$H185,4)</f>
        <v>3</v>
      </c>
      <c r="AG185">
        <f>IF(AND('01 Org'!E185&lt;Tmax, NOT('01 Org'!$H185="")),'01 Org'!$H185,4)</f>
        <v>3</v>
      </c>
      <c r="AH185">
        <f>IF(AND('01 Org'!F185&lt;Tmax, NOT('01 Org'!$H185="")),'01 Org'!$H185,4)</f>
        <v>3</v>
      </c>
      <c r="AI185"/>
    </row>
    <row r="186" spans="1:35" outlineLevel="1" x14ac:dyDescent="0.2">
      <c r="A186" s="633" t="s">
        <v>2346</v>
      </c>
      <c r="B186" s="925" t="s">
        <v>1254</v>
      </c>
      <c r="C186" s="909"/>
      <c r="D186" s="909"/>
      <c r="E186" s="909"/>
      <c r="F186" s="909"/>
      <c r="G186" s="1461"/>
      <c r="H186" s="1461"/>
      <c r="I186" s="1461"/>
      <c r="J186" s="1461"/>
      <c r="K186" s="1462"/>
      <c r="L186" s="1462"/>
      <c r="M186" s="887"/>
      <c r="N186" s="926"/>
      <c r="O186" s="926"/>
      <c r="P186" s="926"/>
      <c r="Q186" s="926"/>
      <c r="R186" s="926"/>
      <c r="S186" s="926"/>
      <c r="T186" s="926"/>
      <c r="U186" s="926"/>
      <c r="V186" s="926"/>
      <c r="W186" s="926"/>
      <c r="X186" s="926"/>
      <c r="Y186" s="926"/>
      <c r="Z186" s="926"/>
      <c r="AA186"/>
      <c r="AB186"/>
      <c r="AC186"/>
      <c r="AD186"/>
      <c r="AE186"/>
      <c r="AF186"/>
      <c r="AG186"/>
      <c r="AH186"/>
      <c r="AI186"/>
    </row>
    <row r="187" spans="1:35" outlineLevel="2" x14ac:dyDescent="0.2">
      <c r="A187" s="908" t="s">
        <v>1255</v>
      </c>
      <c r="B187" s="636" t="s">
        <v>1256</v>
      </c>
      <c r="C187" s="909"/>
      <c r="D187" s="909"/>
      <c r="E187" s="909"/>
      <c r="F187" s="909"/>
      <c r="G187" s="1462">
        <v>1</v>
      </c>
      <c r="H187" s="1461"/>
      <c r="I187" s="1461"/>
      <c r="J187" s="1453" t="s">
        <v>4246</v>
      </c>
      <c r="K187" s="1453"/>
      <c r="L187" s="1462"/>
      <c r="M187" s="887"/>
      <c r="N187" s="926"/>
      <c r="O187" s="926"/>
      <c r="P187" s="926"/>
      <c r="Q187" s="926"/>
      <c r="R187" s="926"/>
      <c r="S187" s="926"/>
      <c r="T187" s="926"/>
      <c r="U187" s="926"/>
      <c r="V187" s="926"/>
      <c r="W187" s="926"/>
      <c r="X187" s="926"/>
      <c r="Y187" s="926"/>
      <c r="Z187" s="926"/>
      <c r="AA187">
        <f>IF(AND('01 Org'!C187&gt;Tmin, NOT('01 Org'!$I187="")),'01 Org'!$I187,0)</f>
        <v>0</v>
      </c>
      <c r="AB187">
        <f>IF(AND('01 Org'!D187&gt;Tmin, NOT('01 Org'!$I187="")),'01 Org'!$I187,0)</f>
        <v>0</v>
      </c>
      <c r="AC187">
        <f>IF(AND('01 Org'!E187&gt;Tmin, NOT('01 Org'!$I187="")),'01 Org'!$I187,0)</f>
        <v>0</v>
      </c>
      <c r="AD187">
        <f>IF(AND('01 Org'!F187&gt;Tmin, NOT('01 Org'!$I187="")),'01 Org'!$I187,0)</f>
        <v>0</v>
      </c>
      <c r="AE187">
        <f>IF(AND('01 Org'!C187&lt;Tmax, NOT('01 Org'!$H187="")),'01 Org'!$H187,4)</f>
        <v>4</v>
      </c>
      <c r="AF187">
        <f>IF(AND('01 Org'!D187&lt;Tmax, NOT('01 Org'!$H187="")),'01 Org'!$H187,4)</f>
        <v>4</v>
      </c>
      <c r="AG187">
        <f>IF(AND('01 Org'!E187&lt;Tmax, NOT('01 Org'!$H187="")),'01 Org'!$H187,4)</f>
        <v>4</v>
      </c>
      <c r="AH187">
        <f>IF(AND('01 Org'!F187&lt;Tmax, NOT('01 Org'!$H187="")),'01 Org'!$H187,4)</f>
        <v>4</v>
      </c>
      <c r="AI187"/>
    </row>
    <row r="188" spans="1:35" ht="22.5" outlineLevel="2" x14ac:dyDescent="0.2">
      <c r="A188" s="908" t="s">
        <v>1257</v>
      </c>
      <c r="B188" s="636" t="s">
        <v>1258</v>
      </c>
      <c r="C188" s="909"/>
      <c r="D188" s="909"/>
      <c r="E188" s="909"/>
      <c r="F188" s="909"/>
      <c r="G188" s="1462">
        <v>2</v>
      </c>
      <c r="H188" s="1461"/>
      <c r="I188" s="1461"/>
      <c r="J188" s="1453" t="s">
        <v>4246</v>
      </c>
      <c r="K188" s="1453"/>
      <c r="L188" s="1462"/>
      <c r="M188" s="887"/>
      <c r="N188" s="926"/>
      <c r="O188" s="926"/>
      <c r="P188" s="926"/>
      <c r="Q188" s="926"/>
      <c r="R188" s="926"/>
      <c r="S188" s="926"/>
      <c r="T188" s="926"/>
      <c r="U188" s="926"/>
      <c r="V188" s="926"/>
      <c r="W188" s="926"/>
      <c r="X188" s="926"/>
      <c r="Y188" s="926"/>
      <c r="Z188" s="926"/>
      <c r="AA188">
        <f>IF(AND('01 Org'!C188&gt;Tmin, NOT('01 Org'!$I188="")),'01 Org'!$I188,0)</f>
        <v>0</v>
      </c>
      <c r="AB188">
        <f>IF(AND('01 Org'!D188&gt;Tmin, NOT('01 Org'!$I188="")),'01 Org'!$I188,0)</f>
        <v>0</v>
      </c>
      <c r="AC188">
        <f>IF(AND('01 Org'!E188&gt;Tmin, NOT('01 Org'!$I188="")),'01 Org'!$I188,0)</f>
        <v>0</v>
      </c>
      <c r="AD188">
        <f>IF(AND('01 Org'!F188&gt;Tmin, NOT('01 Org'!$I188="")),'01 Org'!$I188,0)</f>
        <v>0</v>
      </c>
      <c r="AE188">
        <f>IF(AND('01 Org'!C188&lt;Tmax, NOT('01 Org'!$H188="")),'01 Org'!$H188,4)</f>
        <v>4</v>
      </c>
      <c r="AF188">
        <f>IF(AND('01 Org'!D188&lt;Tmax, NOT('01 Org'!$H188="")),'01 Org'!$H188,4)</f>
        <v>4</v>
      </c>
      <c r="AG188">
        <f>IF(AND('01 Org'!E188&lt;Tmax, NOT('01 Org'!$H188="")),'01 Org'!$H188,4)</f>
        <v>4</v>
      </c>
      <c r="AH188">
        <f>IF(AND('01 Org'!F188&lt;Tmax, NOT('01 Org'!$H188="")),'01 Org'!$H188,4)</f>
        <v>4</v>
      </c>
      <c r="AI188"/>
    </row>
    <row r="189" spans="1:35" ht="23.25" customHeight="1" outlineLevel="2" x14ac:dyDescent="0.2">
      <c r="A189" s="908" t="s">
        <v>1259</v>
      </c>
      <c r="B189" s="636" t="s">
        <v>1260</v>
      </c>
      <c r="C189" s="909"/>
      <c r="D189" s="909"/>
      <c r="E189" s="909"/>
      <c r="F189" s="909"/>
      <c r="G189" s="1462">
        <v>2</v>
      </c>
      <c r="H189" s="1461"/>
      <c r="I189" s="1461"/>
      <c r="J189" s="1453" t="s">
        <v>1592</v>
      </c>
      <c r="K189" s="1453"/>
      <c r="L189" s="1462"/>
      <c r="M189" s="887"/>
      <c r="N189" s="926"/>
      <c r="O189" s="926"/>
      <c r="P189" s="926"/>
      <c r="Q189" s="926"/>
      <c r="R189" s="926"/>
      <c r="S189" s="926"/>
      <c r="T189" s="926"/>
      <c r="U189" s="926"/>
      <c r="V189" s="926"/>
      <c r="W189" s="926"/>
      <c r="X189" s="926"/>
      <c r="Y189" s="926"/>
      <c r="Z189" s="926"/>
      <c r="AA189">
        <f>IF(AND('01 Org'!C189&gt;Tmin, NOT('01 Org'!$I189="")),'01 Org'!$I189,0)</f>
        <v>0</v>
      </c>
      <c r="AB189">
        <f>IF(AND('01 Org'!D189&gt;Tmin, NOT('01 Org'!$I189="")),'01 Org'!$I189,0)</f>
        <v>0</v>
      </c>
      <c r="AC189">
        <f>IF(AND('01 Org'!E189&gt;Tmin, NOT('01 Org'!$I189="")),'01 Org'!$I189,0)</f>
        <v>0</v>
      </c>
      <c r="AD189">
        <f>IF(AND('01 Org'!F189&gt;Tmin, NOT('01 Org'!$I189="")),'01 Org'!$I189,0)</f>
        <v>0</v>
      </c>
      <c r="AE189">
        <f>IF(AND('01 Org'!C189&lt;Tmax, NOT('01 Org'!$H189="")),'01 Org'!$H189,4)</f>
        <v>4</v>
      </c>
      <c r="AF189">
        <f>IF(AND('01 Org'!D189&lt;Tmax, NOT('01 Org'!$H189="")),'01 Org'!$H189,4)</f>
        <v>4</v>
      </c>
      <c r="AG189">
        <f>IF(AND('01 Org'!E189&lt;Tmax, NOT('01 Org'!$H189="")),'01 Org'!$H189,4)</f>
        <v>4</v>
      </c>
      <c r="AH189">
        <f>IF(AND('01 Org'!F189&lt;Tmax, NOT('01 Org'!$H189="")),'01 Org'!$H189,4)</f>
        <v>4</v>
      </c>
      <c r="AI189"/>
    </row>
    <row r="190" spans="1:35" ht="22.5" outlineLevel="2" x14ac:dyDescent="0.2">
      <c r="A190" s="908" t="s">
        <v>1261</v>
      </c>
      <c r="B190" s="636" t="s">
        <v>1262</v>
      </c>
      <c r="C190" s="909"/>
      <c r="D190" s="909"/>
      <c r="E190" s="909"/>
      <c r="F190" s="909"/>
      <c r="G190" s="1462">
        <v>2</v>
      </c>
      <c r="H190" s="1461"/>
      <c r="I190" s="1461"/>
      <c r="J190" s="1453" t="s">
        <v>1592</v>
      </c>
      <c r="K190" s="1453"/>
      <c r="L190" s="1462"/>
      <c r="M190" s="887"/>
      <c r="N190" s="926"/>
      <c r="O190" s="926"/>
      <c r="P190" s="926"/>
      <c r="Q190" s="926"/>
      <c r="R190" s="926"/>
      <c r="S190" s="926"/>
      <c r="T190" s="926"/>
      <c r="U190" s="926"/>
      <c r="V190" s="926"/>
      <c r="W190" s="926"/>
      <c r="X190" s="926"/>
      <c r="Y190" s="926"/>
      <c r="Z190" s="926"/>
      <c r="AA190">
        <f>IF(AND('01 Org'!C190&gt;Tmin, NOT('01 Org'!$I190="")),'01 Org'!$I190,0)</f>
        <v>0</v>
      </c>
      <c r="AB190">
        <f>IF(AND('01 Org'!D190&gt;Tmin, NOT('01 Org'!$I190="")),'01 Org'!$I190,0)</f>
        <v>0</v>
      </c>
      <c r="AC190">
        <f>IF(AND('01 Org'!E190&gt;Tmin, NOT('01 Org'!$I190="")),'01 Org'!$I190,0)</f>
        <v>0</v>
      </c>
      <c r="AD190">
        <f>IF(AND('01 Org'!F190&gt;Tmin, NOT('01 Org'!$I190="")),'01 Org'!$I190,0)</f>
        <v>0</v>
      </c>
      <c r="AE190">
        <f>IF(AND('01 Org'!C190&lt;Tmax, NOT('01 Org'!$H190="")),'01 Org'!$H190,4)</f>
        <v>4</v>
      </c>
      <c r="AF190">
        <f>IF(AND('01 Org'!D190&lt;Tmax, NOT('01 Org'!$H190="")),'01 Org'!$H190,4)</f>
        <v>4</v>
      </c>
      <c r="AG190">
        <f>IF(AND('01 Org'!E190&lt;Tmax, NOT('01 Org'!$H190="")),'01 Org'!$H190,4)</f>
        <v>4</v>
      </c>
      <c r="AH190">
        <f>IF(AND('01 Org'!F190&lt;Tmax, NOT('01 Org'!$H190="")),'01 Org'!$H190,4)</f>
        <v>4</v>
      </c>
      <c r="AI190"/>
    </row>
    <row r="191" spans="1:35" ht="22.5" outlineLevel="2" x14ac:dyDescent="0.2">
      <c r="A191" s="908" t="s">
        <v>1263</v>
      </c>
      <c r="B191" s="636" t="s">
        <v>1264</v>
      </c>
      <c r="C191" s="909"/>
      <c r="D191" s="909"/>
      <c r="E191" s="909"/>
      <c r="F191" s="909"/>
      <c r="G191" s="1462">
        <v>2</v>
      </c>
      <c r="H191" s="1461"/>
      <c r="I191" s="1461"/>
      <c r="J191" s="1453" t="s">
        <v>1592</v>
      </c>
      <c r="K191" s="1453"/>
      <c r="L191" s="1462"/>
      <c r="M191" s="887"/>
      <c r="N191" s="926"/>
      <c r="O191" s="926"/>
      <c r="P191" s="926"/>
      <c r="Q191" s="926"/>
      <c r="R191" s="926"/>
      <c r="S191" s="926"/>
      <c r="T191" s="926"/>
      <c r="U191" s="926"/>
      <c r="V191" s="926"/>
      <c r="W191" s="926"/>
      <c r="X191" s="926"/>
      <c r="Y191" s="926"/>
      <c r="Z191" s="926"/>
      <c r="AA191">
        <f>IF(AND('01 Org'!C191&gt;Tmin, NOT('01 Org'!$I191="")),'01 Org'!$I191,0)</f>
        <v>0</v>
      </c>
      <c r="AB191">
        <f>IF(AND('01 Org'!D191&gt;Tmin, NOT('01 Org'!$I191="")),'01 Org'!$I191,0)</f>
        <v>0</v>
      </c>
      <c r="AC191">
        <f>IF(AND('01 Org'!E191&gt;Tmin, NOT('01 Org'!$I191="")),'01 Org'!$I191,0)</f>
        <v>0</v>
      </c>
      <c r="AD191">
        <f>IF(AND('01 Org'!F191&gt;Tmin, NOT('01 Org'!$I191="")),'01 Org'!$I191,0)</f>
        <v>0</v>
      </c>
      <c r="AE191">
        <f>IF(AND('01 Org'!C191&lt;Tmax, NOT('01 Org'!$H191="")),'01 Org'!$H191,4)</f>
        <v>4</v>
      </c>
      <c r="AF191">
        <f>IF(AND('01 Org'!D191&lt;Tmax, NOT('01 Org'!$H191="")),'01 Org'!$H191,4)</f>
        <v>4</v>
      </c>
      <c r="AG191">
        <f>IF(AND('01 Org'!E191&lt;Tmax, NOT('01 Org'!$H191="")),'01 Org'!$H191,4)</f>
        <v>4</v>
      </c>
      <c r="AH191">
        <f>IF(AND('01 Org'!F191&lt;Tmax, NOT('01 Org'!$H191="")),'01 Org'!$H191,4)</f>
        <v>4</v>
      </c>
      <c r="AI191"/>
    </row>
    <row r="192" spans="1:35" ht="22.5" outlineLevel="2" x14ac:dyDescent="0.2">
      <c r="A192" s="908" t="s">
        <v>1265</v>
      </c>
      <c r="B192" s="636" t="s">
        <v>1210</v>
      </c>
      <c r="C192" s="909"/>
      <c r="D192" s="909"/>
      <c r="E192" s="909"/>
      <c r="F192" s="909"/>
      <c r="G192" s="1462">
        <v>2</v>
      </c>
      <c r="H192" s="1461"/>
      <c r="I192" s="1461"/>
      <c r="J192" s="1453" t="s">
        <v>1592</v>
      </c>
      <c r="K192" s="1453"/>
      <c r="L192" s="1462"/>
      <c r="M192" s="887"/>
      <c r="N192" s="926"/>
      <c r="O192" s="926"/>
      <c r="P192" s="926"/>
      <c r="Q192" s="926"/>
      <c r="R192" s="926"/>
      <c r="S192" s="926"/>
      <c r="T192" s="926"/>
      <c r="U192" s="926"/>
      <c r="V192" s="926"/>
      <c r="W192" s="926"/>
      <c r="X192" s="926"/>
      <c r="Y192" s="926"/>
      <c r="Z192" s="926"/>
      <c r="AA192">
        <f>IF(AND('01 Org'!C192&gt;Tmin, NOT('01 Org'!$I192="")),'01 Org'!$I192,0)</f>
        <v>0</v>
      </c>
      <c r="AB192">
        <f>IF(AND('01 Org'!D192&gt;Tmin, NOT('01 Org'!$I192="")),'01 Org'!$I192,0)</f>
        <v>0</v>
      </c>
      <c r="AC192">
        <f>IF(AND('01 Org'!E192&gt;Tmin, NOT('01 Org'!$I192="")),'01 Org'!$I192,0)</f>
        <v>0</v>
      </c>
      <c r="AD192">
        <f>IF(AND('01 Org'!F192&gt;Tmin, NOT('01 Org'!$I192="")),'01 Org'!$I192,0)</f>
        <v>0</v>
      </c>
      <c r="AE192">
        <f>IF(AND('01 Org'!C192&lt;Tmax, NOT('01 Org'!$H192="")),'01 Org'!$H192,4)</f>
        <v>4</v>
      </c>
      <c r="AF192">
        <f>IF(AND('01 Org'!D192&lt;Tmax, NOT('01 Org'!$H192="")),'01 Org'!$H192,4)</f>
        <v>4</v>
      </c>
      <c r="AG192">
        <f>IF(AND('01 Org'!E192&lt;Tmax, NOT('01 Org'!$H192="")),'01 Org'!$H192,4)</f>
        <v>4</v>
      </c>
      <c r="AH192">
        <f>IF(AND('01 Org'!F192&lt;Tmax, NOT('01 Org'!$H192="")),'01 Org'!$H192,4)</f>
        <v>4</v>
      </c>
      <c r="AI192"/>
    </row>
    <row r="193" spans="1:35" x14ac:dyDescent="0.2">
      <c r="A193" s="910" t="s">
        <v>5991</v>
      </c>
      <c r="B193" s="644" t="s">
        <v>5992</v>
      </c>
      <c r="C193" s="909"/>
      <c r="D193" s="909"/>
      <c r="E193" s="909"/>
      <c r="F193" s="909"/>
      <c r="G193" s="1456"/>
      <c r="H193" s="1456"/>
      <c r="I193" s="1456"/>
      <c r="J193" s="1453"/>
      <c r="K193" s="1453"/>
      <c r="L193" s="1453"/>
      <c r="M193" s="887"/>
      <c r="AA193"/>
      <c r="AB193"/>
      <c r="AC193"/>
      <c r="AD193"/>
      <c r="AE193"/>
      <c r="AF193"/>
      <c r="AG193"/>
      <c r="AH193"/>
      <c r="AI193"/>
    </row>
    <row r="194" spans="1:35" outlineLevel="1" x14ac:dyDescent="0.2">
      <c r="A194" s="633" t="s">
        <v>5122</v>
      </c>
      <c r="B194" s="925" t="s">
        <v>5123</v>
      </c>
      <c r="C194" s="909"/>
      <c r="D194" s="909"/>
      <c r="E194" s="909"/>
      <c r="F194" s="909"/>
      <c r="G194" s="1453"/>
      <c r="H194" s="1453"/>
      <c r="I194" s="1453"/>
      <c r="J194" s="1453"/>
      <c r="K194" s="1453"/>
      <c r="L194" s="1453"/>
      <c r="M194" s="887"/>
      <c r="AA194"/>
      <c r="AB194"/>
      <c r="AC194"/>
      <c r="AD194"/>
      <c r="AE194"/>
      <c r="AF194"/>
      <c r="AG194"/>
      <c r="AH194"/>
      <c r="AI194"/>
    </row>
    <row r="195" spans="1:35" ht="33.75" outlineLevel="2" x14ac:dyDescent="0.2">
      <c r="A195" s="908" t="s">
        <v>5993</v>
      </c>
      <c r="B195" s="636" t="s">
        <v>2420</v>
      </c>
      <c r="C195" s="909"/>
      <c r="D195" s="909"/>
      <c r="E195" s="909"/>
      <c r="F195" s="909"/>
      <c r="G195" s="1453">
        <v>4</v>
      </c>
      <c r="H195" s="1453">
        <v>2</v>
      </c>
      <c r="I195" s="1453"/>
      <c r="J195" s="1453" t="s">
        <v>4246</v>
      </c>
      <c r="K195" s="1458" t="s">
        <v>6902</v>
      </c>
      <c r="L195" s="1453" t="s">
        <v>5994</v>
      </c>
      <c r="M195" s="887"/>
      <c r="AA195">
        <f>IF(AND('01 Org'!C195&gt;Tmin, NOT('01 Org'!$I195="")),'01 Org'!$I195,0)</f>
        <v>0</v>
      </c>
      <c r="AB195">
        <f>IF(AND('01 Org'!D195&gt;Tmin, NOT('01 Org'!$I195="")),'01 Org'!$I195,0)</f>
        <v>0</v>
      </c>
      <c r="AC195">
        <f>IF(AND('01 Org'!E195&gt;Tmin, NOT('01 Org'!$I195="")),'01 Org'!$I195,0)</f>
        <v>0</v>
      </c>
      <c r="AD195">
        <f>IF(AND('01 Org'!F195&gt;Tmin, NOT('01 Org'!$I195="")),'01 Org'!$I195,0)</f>
        <v>0</v>
      </c>
      <c r="AE195">
        <f>IF(AND('01 Org'!C195&lt;Tmax, NOT('01 Org'!$H195="")),'01 Org'!$H195,4)</f>
        <v>2</v>
      </c>
      <c r="AF195">
        <f>IF(AND('01 Org'!D195&lt;Tmax, NOT('01 Org'!$H195="")),'01 Org'!$H195,4)</f>
        <v>2</v>
      </c>
      <c r="AG195">
        <f>IF(AND('01 Org'!E195&lt;Tmax, NOT('01 Org'!$H195="")),'01 Org'!$H195,4)</f>
        <v>2</v>
      </c>
      <c r="AH195">
        <f>IF(AND('01 Org'!F195&lt;Tmax, NOT('01 Org'!$H195="")),'01 Org'!$H195,4)</f>
        <v>2</v>
      </c>
      <c r="AI195"/>
    </row>
    <row r="196" spans="1:35" ht="22.5" outlineLevel="2" x14ac:dyDescent="0.2">
      <c r="A196" s="908" t="s">
        <v>3205</v>
      </c>
      <c r="B196" s="636" t="s">
        <v>3333</v>
      </c>
      <c r="C196" s="909"/>
      <c r="D196" s="909"/>
      <c r="E196" s="909"/>
      <c r="F196" s="909"/>
      <c r="G196" s="1453">
        <v>4</v>
      </c>
      <c r="H196" s="1453">
        <v>2</v>
      </c>
      <c r="I196" s="1453"/>
      <c r="J196" s="1453" t="s">
        <v>4246</v>
      </c>
      <c r="K196" s="1453" t="s">
        <v>6902</v>
      </c>
      <c r="L196" s="1453" t="s">
        <v>5994</v>
      </c>
      <c r="M196" s="887"/>
      <c r="AA196">
        <f>IF(AND('01 Org'!C196&gt;Tmin, NOT('01 Org'!$I196="")),'01 Org'!$I196,0)</f>
        <v>0</v>
      </c>
      <c r="AB196">
        <f>IF(AND('01 Org'!D196&gt;Tmin, NOT('01 Org'!$I196="")),'01 Org'!$I196,0)</f>
        <v>0</v>
      </c>
      <c r="AC196">
        <f>IF(AND('01 Org'!E196&gt;Tmin, NOT('01 Org'!$I196="")),'01 Org'!$I196,0)</f>
        <v>0</v>
      </c>
      <c r="AD196">
        <f>IF(AND('01 Org'!F196&gt;Tmin, NOT('01 Org'!$I196="")),'01 Org'!$I196,0)</f>
        <v>0</v>
      </c>
      <c r="AE196">
        <f>IF(AND('01 Org'!C196&lt;Tmax, NOT('01 Org'!$H196="")),'01 Org'!$H196,4)</f>
        <v>2</v>
      </c>
      <c r="AF196">
        <f>IF(AND('01 Org'!D196&lt;Tmax, NOT('01 Org'!$H196="")),'01 Org'!$H196,4)</f>
        <v>2</v>
      </c>
      <c r="AG196">
        <f>IF(AND('01 Org'!E196&lt;Tmax, NOT('01 Org'!$H196="")),'01 Org'!$H196,4)</f>
        <v>2</v>
      </c>
      <c r="AH196">
        <f>IF(AND('01 Org'!F196&lt;Tmax, NOT('01 Org'!$H196="")),'01 Org'!$H196,4)</f>
        <v>2</v>
      </c>
      <c r="AI196"/>
    </row>
    <row r="197" spans="1:35" ht="33.75" outlineLevel="2" x14ac:dyDescent="0.2">
      <c r="A197" s="908" t="s">
        <v>3334</v>
      </c>
      <c r="B197" s="636" t="s">
        <v>5890</v>
      </c>
      <c r="C197" s="909"/>
      <c r="D197" s="909"/>
      <c r="E197" s="909"/>
      <c r="F197" s="909"/>
      <c r="G197" s="1453">
        <v>2</v>
      </c>
      <c r="H197" s="1456"/>
      <c r="I197" s="1456"/>
      <c r="J197" s="1453" t="s">
        <v>1592</v>
      </c>
      <c r="K197" s="1453" t="s">
        <v>6903</v>
      </c>
      <c r="L197" s="1453" t="s">
        <v>5891</v>
      </c>
      <c r="M197" s="887"/>
      <c r="AA197">
        <f>IF(AND('01 Org'!C197&gt;Tmin, NOT('01 Org'!$I197="")),'01 Org'!$I197,0)</f>
        <v>0</v>
      </c>
      <c r="AB197">
        <f>IF(AND('01 Org'!D197&gt;Tmin, NOT('01 Org'!$I197="")),'01 Org'!$I197,0)</f>
        <v>0</v>
      </c>
      <c r="AC197">
        <f>IF(AND('01 Org'!E197&gt;Tmin, NOT('01 Org'!$I197="")),'01 Org'!$I197,0)</f>
        <v>0</v>
      </c>
      <c r="AD197">
        <f>IF(AND('01 Org'!F197&gt;Tmin, NOT('01 Org'!$I197="")),'01 Org'!$I197,0)</f>
        <v>0</v>
      </c>
      <c r="AE197">
        <f>IF(AND('01 Org'!C197&lt;Tmax, NOT('01 Org'!$H197="")),'01 Org'!$H197,4)</f>
        <v>4</v>
      </c>
      <c r="AF197">
        <f>IF(AND('01 Org'!D197&lt;Tmax, NOT('01 Org'!$H197="")),'01 Org'!$H197,4)</f>
        <v>4</v>
      </c>
      <c r="AG197">
        <f>IF(AND('01 Org'!E197&lt;Tmax, NOT('01 Org'!$H197="")),'01 Org'!$H197,4)</f>
        <v>4</v>
      </c>
      <c r="AH197">
        <f>IF(AND('01 Org'!F197&lt;Tmax, NOT('01 Org'!$H197="")),'01 Org'!$H197,4)</f>
        <v>4</v>
      </c>
      <c r="AI197"/>
    </row>
    <row r="198" spans="1:35" outlineLevel="1" x14ac:dyDescent="0.2">
      <c r="A198" s="633" t="s">
        <v>5124</v>
      </c>
      <c r="B198" s="925" t="s">
        <v>5892</v>
      </c>
      <c r="C198" s="909"/>
      <c r="D198" s="909"/>
      <c r="E198" s="909"/>
      <c r="F198" s="909"/>
      <c r="G198" s="1453"/>
      <c r="H198" s="1453"/>
      <c r="I198" s="1453"/>
      <c r="J198" s="1453"/>
      <c r="K198" s="1453"/>
      <c r="L198" s="1453"/>
      <c r="M198" s="887"/>
      <c r="AA198"/>
      <c r="AB198"/>
      <c r="AC198"/>
      <c r="AD198"/>
      <c r="AE198"/>
      <c r="AF198"/>
      <c r="AG198"/>
      <c r="AH198"/>
      <c r="AI198"/>
    </row>
    <row r="199" spans="1:35" outlineLevel="2" x14ac:dyDescent="0.2">
      <c r="A199" s="908" t="s">
        <v>5893</v>
      </c>
      <c r="B199" s="636" t="s">
        <v>5894</v>
      </c>
      <c r="C199" s="909"/>
      <c r="D199" s="909"/>
      <c r="E199" s="909"/>
      <c r="F199" s="909"/>
      <c r="G199" s="1453">
        <v>3</v>
      </c>
      <c r="H199" s="1453"/>
      <c r="I199" s="1453"/>
      <c r="J199" s="1453" t="s">
        <v>4246</v>
      </c>
      <c r="K199" s="1453" t="s">
        <v>6903</v>
      </c>
      <c r="L199" s="1453" t="s">
        <v>5895</v>
      </c>
      <c r="M199" s="887"/>
      <c r="AA199">
        <f>IF(AND('01 Org'!C199&gt;Tmin, NOT('01 Org'!$I199="")),'01 Org'!$I199,0)</f>
        <v>0</v>
      </c>
      <c r="AB199">
        <f>IF(AND('01 Org'!D199&gt;Tmin, NOT('01 Org'!$I199="")),'01 Org'!$I199,0)</f>
        <v>0</v>
      </c>
      <c r="AC199">
        <f>IF(AND('01 Org'!E199&gt;Tmin, NOT('01 Org'!$I199="")),'01 Org'!$I199,0)</f>
        <v>0</v>
      </c>
      <c r="AD199">
        <f>IF(AND('01 Org'!F199&gt;Tmin, NOT('01 Org'!$I199="")),'01 Org'!$I199,0)</f>
        <v>0</v>
      </c>
      <c r="AE199">
        <f>IF(AND('01 Org'!C199&lt;Tmax, NOT('01 Org'!$H199="")),'01 Org'!$H199,4)</f>
        <v>4</v>
      </c>
      <c r="AF199">
        <f>IF(AND('01 Org'!D199&lt;Tmax, NOT('01 Org'!$H199="")),'01 Org'!$H199,4)</f>
        <v>4</v>
      </c>
      <c r="AG199">
        <f>IF(AND('01 Org'!E199&lt;Tmax, NOT('01 Org'!$H199="")),'01 Org'!$H199,4)</f>
        <v>4</v>
      </c>
      <c r="AH199">
        <f>IF(AND('01 Org'!F199&lt;Tmax, NOT('01 Org'!$H199="")),'01 Org'!$H199,4)</f>
        <v>4</v>
      </c>
      <c r="AI199"/>
    </row>
    <row r="200" spans="1:35" ht="22.5" outlineLevel="2" x14ac:dyDescent="0.2">
      <c r="A200" s="908" t="s">
        <v>5896</v>
      </c>
      <c r="B200" s="636" t="s">
        <v>1480</v>
      </c>
      <c r="C200" s="909"/>
      <c r="D200" s="909"/>
      <c r="E200" s="909"/>
      <c r="F200" s="909"/>
      <c r="G200" s="1453">
        <v>3</v>
      </c>
      <c r="H200" s="1453">
        <v>2</v>
      </c>
      <c r="I200" s="1453"/>
      <c r="J200" s="1453" t="s">
        <v>1592</v>
      </c>
      <c r="K200" s="1453" t="s">
        <v>6903</v>
      </c>
      <c r="L200" s="1453" t="s">
        <v>5895</v>
      </c>
      <c r="M200" s="887"/>
      <c r="AA200">
        <f>IF(AND('01 Org'!C200&gt;Tmin, NOT('01 Org'!$I200="")),'01 Org'!$I200,0)</f>
        <v>0</v>
      </c>
      <c r="AB200">
        <f>IF(AND('01 Org'!D200&gt;Tmin, NOT('01 Org'!$I200="")),'01 Org'!$I200,0)</f>
        <v>0</v>
      </c>
      <c r="AC200">
        <f>IF(AND('01 Org'!E200&gt;Tmin, NOT('01 Org'!$I200="")),'01 Org'!$I200,0)</f>
        <v>0</v>
      </c>
      <c r="AD200">
        <f>IF(AND('01 Org'!F200&gt;Tmin, NOT('01 Org'!$I200="")),'01 Org'!$I200,0)</f>
        <v>0</v>
      </c>
      <c r="AE200">
        <f>IF(AND('01 Org'!C200&lt;Tmax, NOT('01 Org'!$H200="")),'01 Org'!$H200,4)</f>
        <v>2</v>
      </c>
      <c r="AF200">
        <f>IF(AND('01 Org'!D200&lt;Tmax, NOT('01 Org'!$H200="")),'01 Org'!$H200,4)</f>
        <v>2</v>
      </c>
      <c r="AG200">
        <f>IF(AND('01 Org'!E200&lt;Tmax, NOT('01 Org'!$H200="")),'01 Org'!$H200,4)</f>
        <v>2</v>
      </c>
      <c r="AH200">
        <f>IF(AND('01 Org'!F200&lt;Tmax, NOT('01 Org'!$H200="")),'01 Org'!$H200,4)</f>
        <v>2</v>
      </c>
      <c r="AI200"/>
    </row>
    <row r="201" spans="1:35" ht="22.5" outlineLevel="2" x14ac:dyDescent="0.2">
      <c r="A201" s="908" t="s">
        <v>1580</v>
      </c>
      <c r="B201" s="636" t="s">
        <v>1481</v>
      </c>
      <c r="C201" s="909"/>
      <c r="D201" s="909"/>
      <c r="E201" s="909"/>
      <c r="F201" s="909"/>
      <c r="G201" s="1453">
        <v>3</v>
      </c>
      <c r="H201" s="1453"/>
      <c r="I201" s="1453"/>
      <c r="J201" s="1453" t="s">
        <v>1592</v>
      </c>
      <c r="K201" s="1453" t="s">
        <v>6903</v>
      </c>
      <c r="L201" s="1453" t="s">
        <v>5895</v>
      </c>
      <c r="M201" s="887"/>
      <c r="AA201">
        <f>IF(AND('01 Org'!C201&gt;Tmin, NOT('01 Org'!$I201="")),'01 Org'!$I201,0)</f>
        <v>0</v>
      </c>
      <c r="AB201">
        <f>IF(AND('01 Org'!D201&gt;Tmin, NOT('01 Org'!$I201="")),'01 Org'!$I201,0)</f>
        <v>0</v>
      </c>
      <c r="AC201">
        <f>IF(AND('01 Org'!E201&gt;Tmin, NOT('01 Org'!$I201="")),'01 Org'!$I201,0)</f>
        <v>0</v>
      </c>
      <c r="AD201">
        <f>IF(AND('01 Org'!F201&gt;Tmin, NOT('01 Org'!$I201="")),'01 Org'!$I201,0)</f>
        <v>0</v>
      </c>
      <c r="AE201">
        <f>IF(AND('01 Org'!C201&lt;Tmax, NOT('01 Org'!$H201="")),'01 Org'!$H201,4)</f>
        <v>4</v>
      </c>
      <c r="AF201">
        <f>IF(AND('01 Org'!D201&lt;Tmax, NOT('01 Org'!$H201="")),'01 Org'!$H201,4)</f>
        <v>4</v>
      </c>
      <c r="AG201">
        <f>IF(AND('01 Org'!E201&lt;Tmax, NOT('01 Org'!$H201="")),'01 Org'!$H201,4)</f>
        <v>4</v>
      </c>
      <c r="AH201">
        <f>IF(AND('01 Org'!F201&lt;Tmax, NOT('01 Org'!$H201="")),'01 Org'!$H201,4)</f>
        <v>4</v>
      </c>
      <c r="AI201"/>
    </row>
    <row r="202" spans="1:35" outlineLevel="2" x14ac:dyDescent="0.2">
      <c r="A202" s="908" t="s">
        <v>1581</v>
      </c>
      <c r="B202" s="636" t="s">
        <v>6151</v>
      </c>
      <c r="C202" s="909"/>
      <c r="D202" s="909"/>
      <c r="E202" s="909"/>
      <c r="F202" s="909"/>
      <c r="G202" s="1453">
        <v>2</v>
      </c>
      <c r="H202" s="1453"/>
      <c r="I202" s="1453"/>
      <c r="J202" s="1453" t="s">
        <v>1592</v>
      </c>
      <c r="K202" s="1453" t="s">
        <v>6903</v>
      </c>
      <c r="L202" s="1453" t="s">
        <v>5895</v>
      </c>
      <c r="M202" s="887"/>
      <c r="AA202">
        <f>IF(AND('01 Org'!C202&gt;Tmin, NOT('01 Org'!$I202="")),'01 Org'!$I202,0)</f>
        <v>0</v>
      </c>
      <c r="AB202">
        <f>IF(AND('01 Org'!D202&gt;Tmin, NOT('01 Org'!$I202="")),'01 Org'!$I202,0)</f>
        <v>0</v>
      </c>
      <c r="AC202">
        <f>IF(AND('01 Org'!E202&gt;Tmin, NOT('01 Org'!$I202="")),'01 Org'!$I202,0)</f>
        <v>0</v>
      </c>
      <c r="AD202">
        <f>IF(AND('01 Org'!F202&gt;Tmin, NOT('01 Org'!$I202="")),'01 Org'!$I202,0)</f>
        <v>0</v>
      </c>
      <c r="AE202">
        <f>IF(AND('01 Org'!C202&lt;Tmax, NOT('01 Org'!$H202="")),'01 Org'!$H202,4)</f>
        <v>4</v>
      </c>
      <c r="AF202">
        <f>IF(AND('01 Org'!D202&lt;Tmax, NOT('01 Org'!$H202="")),'01 Org'!$H202,4)</f>
        <v>4</v>
      </c>
      <c r="AG202">
        <f>IF(AND('01 Org'!E202&lt;Tmax, NOT('01 Org'!$H202="")),'01 Org'!$H202,4)</f>
        <v>4</v>
      </c>
      <c r="AH202">
        <f>IF(AND('01 Org'!F202&lt;Tmax, NOT('01 Org'!$H202="")),'01 Org'!$H202,4)</f>
        <v>4</v>
      </c>
      <c r="AI202"/>
    </row>
    <row r="203" spans="1:35" outlineLevel="2" x14ac:dyDescent="0.2">
      <c r="A203" s="908" t="s">
        <v>1582</v>
      </c>
      <c r="B203" s="636" t="s">
        <v>1583</v>
      </c>
      <c r="C203" s="909"/>
      <c r="D203" s="909"/>
      <c r="E203" s="909"/>
      <c r="F203" s="909"/>
      <c r="G203" s="1453">
        <v>4</v>
      </c>
      <c r="H203" s="1453">
        <v>2</v>
      </c>
      <c r="I203" s="1453"/>
      <c r="J203" s="1453" t="s">
        <v>1592</v>
      </c>
      <c r="K203" s="1453" t="s">
        <v>6903</v>
      </c>
      <c r="L203" s="1453" t="s">
        <v>5895</v>
      </c>
      <c r="M203" s="887"/>
      <c r="AA203">
        <f>IF(AND('01 Org'!C203&gt;Tmin, NOT('01 Org'!$I203="")),'01 Org'!$I203,0)</f>
        <v>0</v>
      </c>
      <c r="AB203">
        <f>IF(AND('01 Org'!D203&gt;Tmin, NOT('01 Org'!$I203="")),'01 Org'!$I203,0)</f>
        <v>0</v>
      </c>
      <c r="AC203">
        <f>IF(AND('01 Org'!E203&gt;Tmin, NOT('01 Org'!$I203="")),'01 Org'!$I203,0)</f>
        <v>0</v>
      </c>
      <c r="AD203">
        <f>IF(AND('01 Org'!F203&gt;Tmin, NOT('01 Org'!$I203="")),'01 Org'!$I203,0)</f>
        <v>0</v>
      </c>
      <c r="AE203">
        <f>IF(AND('01 Org'!C203&lt;Tmax, NOT('01 Org'!$H203="")),'01 Org'!$H203,4)</f>
        <v>2</v>
      </c>
      <c r="AF203">
        <f>IF(AND('01 Org'!D203&lt;Tmax, NOT('01 Org'!$H203="")),'01 Org'!$H203,4)</f>
        <v>2</v>
      </c>
      <c r="AG203">
        <f>IF(AND('01 Org'!E203&lt;Tmax, NOT('01 Org'!$H203="")),'01 Org'!$H203,4)</f>
        <v>2</v>
      </c>
      <c r="AH203">
        <f>IF(AND('01 Org'!F203&lt;Tmax, NOT('01 Org'!$H203="")),'01 Org'!$H203,4)</f>
        <v>2</v>
      </c>
      <c r="AI203"/>
    </row>
    <row r="204" spans="1:35" outlineLevel="2" x14ac:dyDescent="0.2">
      <c r="A204" s="908" t="s">
        <v>1584</v>
      </c>
      <c r="B204" s="636" t="s">
        <v>43</v>
      </c>
      <c r="C204" s="909"/>
      <c r="D204" s="909"/>
      <c r="E204" s="909"/>
      <c r="F204" s="909"/>
      <c r="G204" s="1453">
        <v>4</v>
      </c>
      <c r="H204" s="1453"/>
      <c r="I204" s="1453"/>
      <c r="J204" s="1453" t="s">
        <v>1592</v>
      </c>
      <c r="K204" s="1453"/>
      <c r="L204" s="1453"/>
      <c r="M204" s="887"/>
      <c r="AA204">
        <f>IF(AND('01 Org'!C204&gt;Tmin, NOT('01 Org'!$I204="")),'01 Org'!$I204,0)</f>
        <v>0</v>
      </c>
      <c r="AB204">
        <f>IF(AND('01 Org'!D204&gt;Tmin, NOT('01 Org'!$I204="")),'01 Org'!$I204,0)</f>
        <v>0</v>
      </c>
      <c r="AC204">
        <f>IF(AND('01 Org'!E204&gt;Tmin, NOT('01 Org'!$I204="")),'01 Org'!$I204,0)</f>
        <v>0</v>
      </c>
      <c r="AD204">
        <f>IF(AND('01 Org'!F204&gt;Tmin, NOT('01 Org'!$I204="")),'01 Org'!$I204,0)</f>
        <v>0</v>
      </c>
      <c r="AE204">
        <f>IF(AND('01 Org'!C204&lt;Tmax, NOT('01 Org'!$H204="")),'01 Org'!$H204,4)</f>
        <v>4</v>
      </c>
      <c r="AF204">
        <f>IF(AND('01 Org'!D204&lt;Tmax, NOT('01 Org'!$H204="")),'01 Org'!$H204,4)</f>
        <v>4</v>
      </c>
      <c r="AG204">
        <f>IF(AND('01 Org'!E204&lt;Tmax, NOT('01 Org'!$H204="")),'01 Org'!$H204,4)</f>
        <v>4</v>
      </c>
      <c r="AH204">
        <f>IF(AND('01 Org'!F204&lt;Tmax, NOT('01 Org'!$H204="")),'01 Org'!$H204,4)</f>
        <v>4</v>
      </c>
      <c r="AI204"/>
    </row>
    <row r="205" spans="1:35" ht="22.5" outlineLevel="2" x14ac:dyDescent="0.2">
      <c r="A205" s="908" t="s">
        <v>1585</v>
      </c>
      <c r="B205" s="636" t="s">
        <v>6152</v>
      </c>
      <c r="C205" s="909"/>
      <c r="D205" s="909"/>
      <c r="E205" s="909"/>
      <c r="F205" s="909"/>
      <c r="G205" s="1453">
        <v>1</v>
      </c>
      <c r="H205" s="1453">
        <v>2</v>
      </c>
      <c r="I205" s="1453">
        <v>3</v>
      </c>
      <c r="J205" s="1453" t="s">
        <v>1592</v>
      </c>
      <c r="K205" s="1453"/>
      <c r="L205" s="1453"/>
      <c r="M205" s="887"/>
      <c r="AA205">
        <f>IF(AND('01 Org'!C205&gt;Tmin, NOT('01 Org'!$I205="")),'01 Org'!$I205,0)</f>
        <v>0</v>
      </c>
      <c r="AB205">
        <f>IF(AND('01 Org'!D205&gt;Tmin, NOT('01 Org'!$I205="")),'01 Org'!$I205,0)</f>
        <v>0</v>
      </c>
      <c r="AC205">
        <f>IF(AND('01 Org'!E205&gt;Tmin, NOT('01 Org'!$I205="")),'01 Org'!$I205,0)</f>
        <v>0</v>
      </c>
      <c r="AD205">
        <f>IF(AND('01 Org'!F205&gt;Tmin, NOT('01 Org'!$I205="")),'01 Org'!$I205,0)</f>
        <v>0</v>
      </c>
      <c r="AE205">
        <f>IF(AND('01 Org'!C205&lt;Tmax, NOT('01 Org'!$H205="")),'01 Org'!$H205,4)</f>
        <v>2</v>
      </c>
      <c r="AF205">
        <f>IF(AND('01 Org'!D205&lt;Tmax, NOT('01 Org'!$H205="")),'01 Org'!$H205,4)</f>
        <v>2</v>
      </c>
      <c r="AG205">
        <f>IF(AND('01 Org'!E205&lt;Tmax, NOT('01 Org'!$H205="")),'01 Org'!$H205,4)</f>
        <v>2</v>
      </c>
      <c r="AH205">
        <f>IF(AND('01 Org'!F205&lt;Tmax, NOT('01 Org'!$H205="")),'01 Org'!$H205,4)</f>
        <v>2</v>
      </c>
      <c r="AI205"/>
    </row>
    <row r="206" spans="1:35" ht="13.5" customHeight="1" outlineLevel="2" x14ac:dyDescent="0.2">
      <c r="A206" s="908" t="s">
        <v>1586</v>
      </c>
      <c r="B206" s="636" t="s">
        <v>1478</v>
      </c>
      <c r="C206" s="909"/>
      <c r="D206" s="909"/>
      <c r="E206" s="909"/>
      <c r="F206" s="909"/>
      <c r="G206" s="1453">
        <v>3</v>
      </c>
      <c r="H206" s="1453"/>
      <c r="I206" s="1453"/>
      <c r="J206" s="1456" t="s">
        <v>2109</v>
      </c>
      <c r="K206" s="1453" t="s">
        <v>6904</v>
      </c>
      <c r="L206" s="1453" t="s">
        <v>7249</v>
      </c>
      <c r="M206" s="887"/>
      <c r="AA206">
        <f>IF(AND('01 Org'!C206&gt;Tmin, NOT('01 Org'!$I206="")),'01 Org'!$I206,0)</f>
        <v>0</v>
      </c>
      <c r="AB206">
        <f>IF(AND('01 Org'!D206&gt;Tmin, NOT('01 Org'!$I206="")),'01 Org'!$I206,0)</f>
        <v>0</v>
      </c>
      <c r="AC206">
        <f>IF(AND('01 Org'!E206&gt;Tmin, NOT('01 Org'!$I206="")),'01 Org'!$I206,0)</f>
        <v>0</v>
      </c>
      <c r="AD206">
        <f>IF(AND('01 Org'!F206&gt;Tmin, NOT('01 Org'!$I206="")),'01 Org'!$I206,0)</f>
        <v>0</v>
      </c>
      <c r="AE206">
        <f>IF(AND('01 Org'!C206&lt;Tmax, NOT('01 Org'!$H206="")),'01 Org'!$H206,4)</f>
        <v>4</v>
      </c>
      <c r="AF206">
        <f>IF(AND('01 Org'!D206&lt;Tmax, NOT('01 Org'!$H206="")),'01 Org'!$H206,4)</f>
        <v>4</v>
      </c>
      <c r="AG206">
        <f>IF(AND('01 Org'!E206&lt;Tmax, NOT('01 Org'!$H206="")),'01 Org'!$H206,4)</f>
        <v>4</v>
      </c>
      <c r="AH206">
        <f>IF(AND('01 Org'!F206&lt;Tmax, NOT('01 Org'!$H206="")),'01 Org'!$H206,4)</f>
        <v>4</v>
      </c>
      <c r="AI206"/>
    </row>
    <row r="207" spans="1:35" ht="13.5" customHeight="1" outlineLevel="2" x14ac:dyDescent="0.2">
      <c r="A207" s="908" t="s">
        <v>1587</v>
      </c>
      <c r="B207" s="636" t="s">
        <v>53</v>
      </c>
      <c r="C207" s="909"/>
      <c r="D207" s="909"/>
      <c r="E207" s="909"/>
      <c r="F207" s="909"/>
      <c r="G207" s="1453">
        <v>3</v>
      </c>
      <c r="H207" s="1453">
        <v>2</v>
      </c>
      <c r="I207" s="1453"/>
      <c r="J207" s="1456" t="s">
        <v>2109</v>
      </c>
      <c r="K207" s="1453" t="s">
        <v>6904</v>
      </c>
      <c r="L207" s="1453" t="s">
        <v>7249</v>
      </c>
      <c r="M207" s="887"/>
      <c r="AA207">
        <f>IF(AND('01 Org'!C207&gt;Tmin, NOT('01 Org'!$I207="")),'01 Org'!$I207,0)</f>
        <v>0</v>
      </c>
      <c r="AB207">
        <f>IF(AND('01 Org'!D207&gt;Tmin, NOT('01 Org'!$I207="")),'01 Org'!$I207,0)</f>
        <v>0</v>
      </c>
      <c r="AC207">
        <f>IF(AND('01 Org'!E207&gt;Tmin, NOT('01 Org'!$I207="")),'01 Org'!$I207,0)</f>
        <v>0</v>
      </c>
      <c r="AD207">
        <f>IF(AND('01 Org'!F207&gt;Tmin, NOT('01 Org'!$I207="")),'01 Org'!$I207,0)</f>
        <v>0</v>
      </c>
      <c r="AE207">
        <f>IF(AND('01 Org'!C207&lt;Tmax, NOT('01 Org'!$H207="")),'01 Org'!$H207,4)</f>
        <v>2</v>
      </c>
      <c r="AF207">
        <f>IF(AND('01 Org'!D207&lt;Tmax, NOT('01 Org'!$H207="")),'01 Org'!$H207,4)</f>
        <v>2</v>
      </c>
      <c r="AG207">
        <f>IF(AND('01 Org'!E207&lt;Tmax, NOT('01 Org'!$H207="")),'01 Org'!$H207,4)</f>
        <v>2</v>
      </c>
      <c r="AH207">
        <f>IF(AND('01 Org'!F207&lt;Tmax, NOT('01 Org'!$H207="")),'01 Org'!$H207,4)</f>
        <v>2</v>
      </c>
      <c r="AI207"/>
    </row>
    <row r="208" spans="1:35" ht="12" customHeight="1" outlineLevel="2" x14ac:dyDescent="0.2">
      <c r="A208" s="908" t="s">
        <v>1479</v>
      </c>
      <c r="B208" s="636" t="s">
        <v>1360</v>
      </c>
      <c r="C208" s="909"/>
      <c r="D208" s="909"/>
      <c r="E208" s="909"/>
      <c r="F208" s="909"/>
      <c r="G208" s="1453">
        <v>3</v>
      </c>
      <c r="H208" s="1453">
        <v>2</v>
      </c>
      <c r="I208" s="1453"/>
      <c r="J208" s="1456" t="s">
        <v>2109</v>
      </c>
      <c r="K208" s="1453" t="s">
        <v>6904</v>
      </c>
      <c r="L208" s="1453" t="s">
        <v>7249</v>
      </c>
      <c r="M208" s="887"/>
      <c r="AA208">
        <f>IF(AND('01 Org'!C208&gt;Tmin, NOT('01 Org'!$I208="")),'01 Org'!$I208,0)</f>
        <v>0</v>
      </c>
      <c r="AB208">
        <f>IF(AND('01 Org'!D208&gt;Tmin, NOT('01 Org'!$I208="")),'01 Org'!$I208,0)</f>
        <v>0</v>
      </c>
      <c r="AC208">
        <f>IF(AND('01 Org'!E208&gt;Tmin, NOT('01 Org'!$I208="")),'01 Org'!$I208,0)</f>
        <v>0</v>
      </c>
      <c r="AD208">
        <f>IF(AND('01 Org'!F208&gt;Tmin, NOT('01 Org'!$I208="")),'01 Org'!$I208,0)</f>
        <v>0</v>
      </c>
      <c r="AE208">
        <f>IF(AND('01 Org'!C208&lt;Tmax, NOT('01 Org'!$H208="")),'01 Org'!$H208,4)</f>
        <v>2</v>
      </c>
      <c r="AF208">
        <f>IF(AND('01 Org'!D208&lt;Tmax, NOT('01 Org'!$H208="")),'01 Org'!$H208,4)</f>
        <v>2</v>
      </c>
      <c r="AG208">
        <f>IF(AND('01 Org'!E208&lt;Tmax, NOT('01 Org'!$H208="")),'01 Org'!$H208,4)</f>
        <v>2</v>
      </c>
      <c r="AH208">
        <f>IF(AND('01 Org'!F208&lt;Tmax, NOT('01 Org'!$H208="")),'01 Org'!$H208,4)</f>
        <v>2</v>
      </c>
      <c r="AI208"/>
    </row>
    <row r="209" spans="1:35" ht="33.75" outlineLevel="2" x14ac:dyDescent="0.2">
      <c r="A209" s="908" t="s">
        <v>1361</v>
      </c>
      <c r="B209" s="636" t="s">
        <v>2333</v>
      </c>
      <c r="C209" s="909"/>
      <c r="D209" s="909"/>
      <c r="E209" s="909"/>
      <c r="F209" s="909"/>
      <c r="G209" s="1453">
        <v>3</v>
      </c>
      <c r="H209" s="1453">
        <v>2</v>
      </c>
      <c r="I209" s="1453"/>
      <c r="J209" s="1456" t="s">
        <v>2109</v>
      </c>
      <c r="K209" s="1453" t="s">
        <v>6904</v>
      </c>
      <c r="L209" s="1453" t="s">
        <v>7249</v>
      </c>
      <c r="M209" s="887"/>
      <c r="AA209">
        <f>IF(AND('01 Org'!C209&gt;Tmin, NOT('01 Org'!$I209="")),'01 Org'!$I209,0)</f>
        <v>0</v>
      </c>
      <c r="AB209">
        <f>IF(AND('01 Org'!D209&gt;Tmin, NOT('01 Org'!$I209="")),'01 Org'!$I209,0)</f>
        <v>0</v>
      </c>
      <c r="AC209">
        <f>IF(AND('01 Org'!E209&gt;Tmin, NOT('01 Org'!$I209="")),'01 Org'!$I209,0)</f>
        <v>0</v>
      </c>
      <c r="AD209">
        <f>IF(AND('01 Org'!F209&gt;Tmin, NOT('01 Org'!$I209="")),'01 Org'!$I209,0)</f>
        <v>0</v>
      </c>
      <c r="AE209">
        <f>IF(AND('01 Org'!C209&lt;Tmax, NOT('01 Org'!$H209="")),'01 Org'!$H209,4)</f>
        <v>2</v>
      </c>
      <c r="AF209">
        <f>IF(AND('01 Org'!D209&lt;Tmax, NOT('01 Org'!$H209="")),'01 Org'!$H209,4)</f>
        <v>2</v>
      </c>
      <c r="AG209">
        <f>IF(AND('01 Org'!E209&lt;Tmax, NOT('01 Org'!$H209="")),'01 Org'!$H209,4)</f>
        <v>2</v>
      </c>
      <c r="AH209">
        <f>IF(AND('01 Org'!F209&lt;Tmax, NOT('01 Org'!$H209="")),'01 Org'!$H209,4)</f>
        <v>2</v>
      </c>
      <c r="AI209"/>
    </row>
    <row r="210" spans="1:35" outlineLevel="2" x14ac:dyDescent="0.2">
      <c r="A210" s="908" t="s">
        <v>1362</v>
      </c>
      <c r="B210" s="636" t="s">
        <v>4972</v>
      </c>
      <c r="C210" s="909"/>
      <c r="D210" s="909"/>
      <c r="E210" s="909"/>
      <c r="F210" s="909"/>
      <c r="G210" s="1453">
        <v>3</v>
      </c>
      <c r="H210" s="1453">
        <v>2</v>
      </c>
      <c r="I210" s="1453"/>
      <c r="J210" s="1453" t="s">
        <v>2349</v>
      </c>
      <c r="K210" s="1453"/>
      <c r="L210" s="1453"/>
      <c r="M210" s="887"/>
      <c r="AA210">
        <f>IF(AND('01 Org'!C210&gt;Tmin, NOT('01 Org'!$I210="")),'01 Org'!$I210,0)</f>
        <v>0</v>
      </c>
      <c r="AB210">
        <f>IF(AND('01 Org'!D210&gt;Tmin, NOT('01 Org'!$I210="")),'01 Org'!$I210,0)</f>
        <v>0</v>
      </c>
      <c r="AC210">
        <f>IF(AND('01 Org'!E210&gt;Tmin, NOT('01 Org'!$I210="")),'01 Org'!$I210,0)</f>
        <v>0</v>
      </c>
      <c r="AD210">
        <f>IF(AND('01 Org'!F210&gt;Tmin, NOT('01 Org'!$I210="")),'01 Org'!$I210,0)</f>
        <v>0</v>
      </c>
      <c r="AE210">
        <f>IF(AND('01 Org'!C210&lt;Tmax, NOT('01 Org'!$H210="")),'01 Org'!$H210,4)</f>
        <v>2</v>
      </c>
      <c r="AF210">
        <f>IF(AND('01 Org'!D210&lt;Tmax, NOT('01 Org'!$H210="")),'01 Org'!$H210,4)</f>
        <v>2</v>
      </c>
      <c r="AG210">
        <f>IF(AND('01 Org'!E210&lt;Tmax, NOT('01 Org'!$H210="")),'01 Org'!$H210,4)</f>
        <v>2</v>
      </c>
      <c r="AH210">
        <f>IF(AND('01 Org'!F210&lt;Tmax, NOT('01 Org'!$H210="")),'01 Org'!$H210,4)</f>
        <v>2</v>
      </c>
      <c r="AI210"/>
    </row>
    <row r="211" spans="1:35" outlineLevel="1" x14ac:dyDescent="0.2">
      <c r="A211" s="633" t="s">
        <v>3128</v>
      </c>
      <c r="B211" s="925" t="s">
        <v>5323</v>
      </c>
      <c r="C211" s="909"/>
      <c r="D211" s="909"/>
      <c r="E211" s="909"/>
      <c r="F211" s="909"/>
      <c r="G211" s="1463"/>
      <c r="H211" s="1463"/>
      <c r="I211" s="1463"/>
      <c r="J211" s="1463"/>
      <c r="K211" s="1463"/>
      <c r="L211" s="1463"/>
      <c r="M211" s="887"/>
      <c r="N211" s="927"/>
      <c r="O211" s="927"/>
      <c r="P211" s="927"/>
      <c r="Q211" s="927"/>
      <c r="R211" s="927"/>
      <c r="S211" s="927"/>
      <c r="T211" s="927"/>
      <c r="U211" s="927"/>
      <c r="V211" s="927"/>
      <c r="W211" s="927"/>
      <c r="X211" s="927"/>
      <c r="Y211" s="927"/>
      <c r="Z211" s="927"/>
      <c r="AA211"/>
      <c r="AB211"/>
      <c r="AC211"/>
      <c r="AD211"/>
      <c r="AE211"/>
      <c r="AF211"/>
      <c r="AG211"/>
      <c r="AH211"/>
      <c r="AI211"/>
    </row>
    <row r="212" spans="1:35" ht="22.5" outlineLevel="2" x14ac:dyDescent="0.2">
      <c r="A212" s="908" t="s">
        <v>5546</v>
      </c>
      <c r="B212" s="636" t="s">
        <v>1047</v>
      </c>
      <c r="C212" s="909"/>
      <c r="D212" s="909"/>
      <c r="E212" s="909"/>
      <c r="F212" s="909"/>
      <c r="G212" s="1463">
        <v>4</v>
      </c>
      <c r="H212" s="1463">
        <v>2</v>
      </c>
      <c r="I212" s="1463"/>
      <c r="J212" s="1463" t="s">
        <v>4246</v>
      </c>
      <c r="K212" s="1463"/>
      <c r="L212" s="1463"/>
      <c r="M212" s="887"/>
      <c r="N212" s="927"/>
      <c r="O212" s="927"/>
      <c r="P212" s="927"/>
      <c r="Q212" s="927"/>
      <c r="R212" s="927"/>
      <c r="S212" s="927"/>
      <c r="T212" s="927"/>
      <c r="U212" s="927"/>
      <c r="V212" s="927"/>
      <c r="W212" s="927"/>
      <c r="X212" s="927"/>
      <c r="Y212" s="927"/>
      <c r="Z212" s="927"/>
      <c r="AA212">
        <f>IF(AND('01 Org'!C212&gt;Tmin, NOT('01 Org'!$I212="")),'01 Org'!$I212,0)</f>
        <v>0</v>
      </c>
      <c r="AB212">
        <f>IF(AND('01 Org'!D212&gt;Tmin, NOT('01 Org'!$I212="")),'01 Org'!$I212,0)</f>
        <v>0</v>
      </c>
      <c r="AC212">
        <f>IF(AND('01 Org'!E212&gt;Tmin, NOT('01 Org'!$I212="")),'01 Org'!$I212,0)</f>
        <v>0</v>
      </c>
      <c r="AD212">
        <f>IF(AND('01 Org'!F212&gt;Tmin, NOT('01 Org'!$I212="")),'01 Org'!$I212,0)</f>
        <v>0</v>
      </c>
      <c r="AE212">
        <f>IF(AND('01 Org'!C212&lt;Tmax, NOT('01 Org'!$H212="")),'01 Org'!$H212,4)</f>
        <v>2</v>
      </c>
      <c r="AF212">
        <f>IF(AND('01 Org'!D212&lt;Tmax, NOT('01 Org'!$H212="")),'01 Org'!$H212,4)</f>
        <v>2</v>
      </c>
      <c r="AG212">
        <f>IF(AND('01 Org'!E212&lt;Tmax, NOT('01 Org'!$H212="")),'01 Org'!$H212,4)</f>
        <v>2</v>
      </c>
      <c r="AH212">
        <f>IF(AND('01 Org'!F212&lt;Tmax, NOT('01 Org'!$H212="")),'01 Org'!$H212,4)</f>
        <v>2</v>
      </c>
      <c r="AI212"/>
    </row>
    <row r="213" spans="1:35" ht="22.5" outlineLevel="2" x14ac:dyDescent="0.2">
      <c r="A213" s="908" t="s">
        <v>2157</v>
      </c>
      <c r="B213" s="636" t="s">
        <v>1209</v>
      </c>
      <c r="C213" s="909"/>
      <c r="D213" s="909"/>
      <c r="E213" s="909"/>
      <c r="F213" s="909"/>
      <c r="G213" s="1463">
        <v>4</v>
      </c>
      <c r="H213" s="1463"/>
      <c r="I213" s="1463"/>
      <c r="J213" s="1463" t="s">
        <v>4246</v>
      </c>
      <c r="K213" s="1463"/>
      <c r="L213" s="1463"/>
      <c r="M213" s="887"/>
      <c r="N213" s="927"/>
      <c r="O213" s="927"/>
      <c r="P213" s="927"/>
      <c r="Q213" s="927"/>
      <c r="R213" s="927"/>
      <c r="S213" s="927"/>
      <c r="T213" s="927"/>
      <c r="U213" s="927"/>
      <c r="V213" s="927"/>
      <c r="W213" s="927"/>
      <c r="X213" s="927"/>
      <c r="Y213" s="927"/>
      <c r="Z213" s="927"/>
      <c r="AA213">
        <f>IF(AND('01 Org'!C213&gt;Tmin, NOT('01 Org'!$I213="")),'01 Org'!$I213,0)</f>
        <v>0</v>
      </c>
      <c r="AB213">
        <f>IF(AND('01 Org'!D213&gt;Tmin, NOT('01 Org'!$I213="")),'01 Org'!$I213,0)</f>
        <v>0</v>
      </c>
      <c r="AC213">
        <f>IF(AND('01 Org'!E213&gt;Tmin, NOT('01 Org'!$I213="")),'01 Org'!$I213,0)</f>
        <v>0</v>
      </c>
      <c r="AD213">
        <f>IF(AND('01 Org'!F213&gt;Tmin, NOT('01 Org'!$I213="")),'01 Org'!$I213,0)</f>
        <v>0</v>
      </c>
      <c r="AE213">
        <f>IF(AND('01 Org'!C213&lt;Tmax, NOT('01 Org'!$H213="")),'01 Org'!$H213,4)</f>
        <v>4</v>
      </c>
      <c r="AF213">
        <f>IF(AND('01 Org'!D213&lt;Tmax, NOT('01 Org'!$H213="")),'01 Org'!$H213,4)</f>
        <v>4</v>
      </c>
      <c r="AG213">
        <f>IF(AND('01 Org'!E213&lt;Tmax, NOT('01 Org'!$H213="")),'01 Org'!$H213,4)</f>
        <v>4</v>
      </c>
      <c r="AH213">
        <f>IF(AND('01 Org'!F213&lt;Tmax, NOT('01 Org'!$H213="")),'01 Org'!$H213,4)</f>
        <v>4</v>
      </c>
      <c r="AI213"/>
    </row>
    <row r="214" spans="1:35" outlineLevel="2" x14ac:dyDescent="0.2">
      <c r="A214" s="908" t="s">
        <v>2158</v>
      </c>
      <c r="B214" s="636" t="s">
        <v>6025</v>
      </c>
      <c r="C214" s="909"/>
      <c r="D214" s="909"/>
      <c r="E214" s="909"/>
      <c r="F214" s="909"/>
      <c r="G214" s="1463">
        <v>2</v>
      </c>
      <c r="H214" s="1463">
        <v>3</v>
      </c>
      <c r="I214" s="1463"/>
      <c r="J214" s="1463" t="s">
        <v>2349</v>
      </c>
      <c r="K214" s="1463"/>
      <c r="L214" s="1463"/>
      <c r="M214" s="887"/>
      <c r="N214" s="927"/>
      <c r="O214" s="927"/>
      <c r="P214" s="927"/>
      <c r="Q214" s="927"/>
      <c r="R214" s="927"/>
      <c r="S214" s="927"/>
      <c r="T214" s="927"/>
      <c r="U214" s="927"/>
      <c r="V214" s="927"/>
      <c r="W214" s="927"/>
      <c r="X214" s="927"/>
      <c r="Y214" s="927"/>
      <c r="Z214" s="927"/>
      <c r="AA214">
        <f>IF(AND('01 Org'!C214&gt;Tmin, NOT('01 Org'!$I214="")),'01 Org'!$I214,0)</f>
        <v>0</v>
      </c>
      <c r="AB214">
        <f>IF(AND('01 Org'!D214&gt;Tmin, NOT('01 Org'!$I214="")),'01 Org'!$I214,0)</f>
        <v>0</v>
      </c>
      <c r="AC214">
        <f>IF(AND('01 Org'!E214&gt;Tmin, NOT('01 Org'!$I214="")),'01 Org'!$I214,0)</f>
        <v>0</v>
      </c>
      <c r="AD214">
        <f>IF(AND('01 Org'!F214&gt;Tmin, NOT('01 Org'!$I214="")),'01 Org'!$I214,0)</f>
        <v>0</v>
      </c>
      <c r="AE214">
        <f>IF(AND('01 Org'!C214&lt;Tmax, NOT('01 Org'!$H214="")),'01 Org'!$H214,4)</f>
        <v>3</v>
      </c>
      <c r="AF214">
        <f>IF(AND('01 Org'!D214&lt;Tmax, NOT('01 Org'!$H214="")),'01 Org'!$H214,4)</f>
        <v>3</v>
      </c>
      <c r="AG214">
        <f>IF(AND('01 Org'!E214&lt;Tmax, NOT('01 Org'!$H214="")),'01 Org'!$H214,4)</f>
        <v>3</v>
      </c>
      <c r="AH214">
        <f>IF(AND('01 Org'!F214&lt;Tmax, NOT('01 Org'!$H214="")),'01 Org'!$H214,4)</f>
        <v>3</v>
      </c>
      <c r="AI214"/>
    </row>
    <row r="215" spans="1:35" ht="22.5" outlineLevel="2" x14ac:dyDescent="0.2">
      <c r="A215" s="908" t="s">
        <v>2159</v>
      </c>
      <c r="B215" s="636" t="s">
        <v>6117</v>
      </c>
      <c r="C215" s="909"/>
      <c r="D215" s="909"/>
      <c r="E215" s="928"/>
      <c r="F215" s="928"/>
      <c r="G215" s="1464">
        <v>4</v>
      </c>
      <c r="H215" s="1464">
        <v>3</v>
      </c>
      <c r="I215" s="1464"/>
      <c r="J215" s="1464" t="s">
        <v>2107</v>
      </c>
      <c r="K215" s="1464"/>
      <c r="L215" s="1464"/>
      <c r="M215" s="929"/>
      <c r="N215" s="927"/>
      <c r="O215" s="927"/>
      <c r="P215" s="927"/>
      <c r="Q215" s="927"/>
      <c r="R215" s="927"/>
      <c r="S215" s="927"/>
      <c r="T215" s="927"/>
      <c r="U215" s="927"/>
      <c r="V215" s="927"/>
      <c r="W215" s="927"/>
      <c r="X215" s="927"/>
      <c r="Y215" s="927"/>
      <c r="Z215" s="927"/>
      <c r="AA215">
        <f>IF(AND('01 Org'!C215&gt;Tmin, NOT('01 Org'!$I215="")),'01 Org'!$I215,0)</f>
        <v>0</v>
      </c>
      <c r="AB215">
        <f>IF(AND('01 Org'!D215&gt;Tmin, NOT('01 Org'!$I215="")),'01 Org'!$I215,0)</f>
        <v>0</v>
      </c>
      <c r="AC215">
        <f>IF(AND('01 Org'!E215&gt;Tmin, NOT('01 Org'!$I215="")),'01 Org'!$I215,0)</f>
        <v>0</v>
      </c>
      <c r="AD215">
        <f>IF(AND('01 Org'!F215&gt;Tmin, NOT('01 Org'!$I215="")),'01 Org'!$I215,0)</f>
        <v>0</v>
      </c>
      <c r="AE215">
        <f>IF(AND('01 Org'!C215&lt;Tmax, NOT('01 Org'!$H215="")),'01 Org'!$H215,4)</f>
        <v>3</v>
      </c>
      <c r="AF215">
        <f>IF(AND('01 Org'!D215&lt;Tmax, NOT('01 Org'!$H215="")),'01 Org'!$H215,4)</f>
        <v>3</v>
      </c>
      <c r="AG215">
        <f>IF(AND('01 Org'!E215&lt;Tmax, NOT('01 Org'!$H215="")),'01 Org'!$H215,4)</f>
        <v>3</v>
      </c>
      <c r="AH215">
        <f>IF(AND('01 Org'!F215&lt;Tmax, NOT('01 Org'!$H215="")),'01 Org'!$H215,4)</f>
        <v>3</v>
      </c>
      <c r="AI215"/>
    </row>
    <row r="216" spans="1:35" ht="22.5" outlineLevel="2" x14ac:dyDescent="0.2">
      <c r="A216" s="908" t="s">
        <v>1217</v>
      </c>
      <c r="B216" s="636" t="s">
        <v>1157</v>
      </c>
      <c r="C216" s="909"/>
      <c r="D216" s="909"/>
      <c r="E216" s="909"/>
      <c r="F216" s="909"/>
      <c r="G216" s="1447">
        <v>2</v>
      </c>
      <c r="H216" s="1447"/>
      <c r="I216" s="1447"/>
      <c r="J216" s="1447" t="s">
        <v>1592</v>
      </c>
      <c r="K216" s="1447"/>
      <c r="L216" s="1447"/>
      <c r="M216" s="887"/>
      <c r="N216" s="927"/>
      <c r="O216" s="927"/>
      <c r="P216" s="927"/>
      <c r="Q216" s="927"/>
      <c r="R216" s="927"/>
      <c r="S216" s="927"/>
      <c r="T216" s="927"/>
      <c r="U216" s="927"/>
      <c r="V216" s="927"/>
      <c r="W216" s="927"/>
      <c r="X216" s="927"/>
      <c r="Y216" s="927"/>
      <c r="Z216" s="927"/>
      <c r="AA216">
        <f>IF(AND('01 Org'!C216&gt;Tmin, NOT('01 Org'!$I216="")),'01 Org'!$I216,0)</f>
        <v>0</v>
      </c>
      <c r="AB216">
        <f>IF(AND('01 Org'!D216&gt;Tmin, NOT('01 Org'!$I216="")),'01 Org'!$I216,0)</f>
        <v>0</v>
      </c>
      <c r="AC216">
        <f>IF(AND('01 Org'!E216&gt;Tmin, NOT('01 Org'!$I216="")),'01 Org'!$I216,0)</f>
        <v>0</v>
      </c>
      <c r="AD216">
        <f>IF(AND('01 Org'!F216&gt;Tmin, NOT('01 Org'!$I216="")),'01 Org'!$I216,0)</f>
        <v>0</v>
      </c>
      <c r="AE216">
        <f>IF(AND('01 Org'!C216&lt;Tmax, NOT('01 Org'!$H216="")),'01 Org'!$H216,4)</f>
        <v>4</v>
      </c>
      <c r="AF216">
        <f>IF(AND('01 Org'!D216&lt;Tmax, NOT('01 Org'!$H216="")),'01 Org'!$H216,4)</f>
        <v>4</v>
      </c>
      <c r="AG216">
        <f>IF(AND('01 Org'!E216&lt;Tmax, NOT('01 Org'!$H216="")),'01 Org'!$H216,4)</f>
        <v>4</v>
      </c>
      <c r="AH216">
        <f>IF(AND('01 Org'!F216&lt;Tmax, NOT('01 Org'!$H216="")),'01 Org'!$H216,4)</f>
        <v>4</v>
      </c>
      <c r="AI216"/>
    </row>
    <row r="217" spans="1:35" outlineLevel="2" x14ac:dyDescent="0.2">
      <c r="A217" s="908" t="s">
        <v>1218</v>
      </c>
      <c r="B217" s="636" t="s">
        <v>1158</v>
      </c>
      <c r="C217" s="909"/>
      <c r="D217" s="909"/>
      <c r="E217" s="909"/>
      <c r="F217" s="909"/>
      <c r="G217" s="1447">
        <v>3</v>
      </c>
      <c r="H217" s="1447"/>
      <c r="I217" s="1447"/>
      <c r="J217" s="1447" t="s">
        <v>2109</v>
      </c>
      <c r="K217" s="1447"/>
      <c r="L217" s="1447"/>
      <c r="M217" s="887"/>
      <c r="N217" s="927"/>
      <c r="O217" s="927"/>
      <c r="P217" s="927"/>
      <c r="Q217" s="927"/>
      <c r="R217" s="927"/>
      <c r="S217" s="927"/>
      <c r="T217" s="927"/>
      <c r="U217" s="927"/>
      <c r="V217" s="927"/>
      <c r="W217" s="927"/>
      <c r="X217" s="927"/>
      <c r="Y217" s="927"/>
      <c r="Z217" s="927"/>
      <c r="AA217">
        <f>IF(AND('01 Org'!C217&gt;Tmin, NOT('01 Org'!$I217="")),'01 Org'!$I217,0)</f>
        <v>0</v>
      </c>
      <c r="AB217">
        <f>IF(AND('01 Org'!D217&gt;Tmin, NOT('01 Org'!$I217="")),'01 Org'!$I217,0)</f>
        <v>0</v>
      </c>
      <c r="AC217">
        <f>IF(AND('01 Org'!E217&gt;Tmin, NOT('01 Org'!$I217="")),'01 Org'!$I217,0)</f>
        <v>0</v>
      </c>
      <c r="AD217">
        <f>IF(AND('01 Org'!F217&gt;Tmin, NOT('01 Org'!$I217="")),'01 Org'!$I217,0)</f>
        <v>0</v>
      </c>
      <c r="AE217">
        <f>IF(AND('01 Org'!C217&lt;Tmax, NOT('01 Org'!$H217="")),'01 Org'!$H217,4)</f>
        <v>4</v>
      </c>
      <c r="AF217">
        <f>IF(AND('01 Org'!D217&lt;Tmax, NOT('01 Org'!$H217="")),'01 Org'!$H217,4)</f>
        <v>4</v>
      </c>
      <c r="AG217">
        <f>IF(AND('01 Org'!E217&lt;Tmax, NOT('01 Org'!$H217="")),'01 Org'!$H217,4)</f>
        <v>4</v>
      </c>
      <c r="AH217">
        <f>IF(AND('01 Org'!F217&lt;Tmax, NOT('01 Org'!$H217="")),'01 Org'!$H217,4)</f>
        <v>4</v>
      </c>
      <c r="AI217"/>
    </row>
    <row r="218" spans="1:35" x14ac:dyDescent="0.2">
      <c r="C218" s="846"/>
      <c r="D218" s="846"/>
      <c r="J218" s="804"/>
      <c r="AA218"/>
      <c r="AB218"/>
      <c r="AC218"/>
      <c r="AD218"/>
      <c r="AE218"/>
      <c r="AF218"/>
      <c r="AG218"/>
      <c r="AH218"/>
      <c r="AI218"/>
    </row>
    <row r="219" spans="1:35" ht="12.75" customHeight="1" x14ac:dyDescent="0.2">
      <c r="A219" s="876" t="str">
        <f>C$2</f>
        <v>R-V1</v>
      </c>
      <c r="B219" s="618" t="s">
        <v>7232</v>
      </c>
      <c r="C219" s="877" t="str">
        <f>C$2</f>
        <v>R-V1</v>
      </c>
      <c r="D219" s="877"/>
      <c r="E219" s="877"/>
      <c r="F219" s="877"/>
      <c r="AA219"/>
      <c r="AB219"/>
      <c r="AC219"/>
      <c r="AD219"/>
      <c r="AE219"/>
      <c r="AF219"/>
      <c r="AG219"/>
      <c r="AH219"/>
      <c r="AI219"/>
    </row>
    <row r="220" spans="1:35" ht="12.75" customHeight="1" x14ac:dyDescent="0.2">
      <c r="A220" s="876" t="str">
        <f>C$2</f>
        <v>R-V1</v>
      </c>
      <c r="B220" s="618" t="s">
        <v>7233</v>
      </c>
      <c r="C220" s="877" t="str">
        <f>C$2</f>
        <v>R-V1</v>
      </c>
      <c r="D220" s="877"/>
      <c r="E220" s="877"/>
      <c r="F220" s="877"/>
      <c r="AA220"/>
      <c r="AB220"/>
      <c r="AC220"/>
      <c r="AD220"/>
      <c r="AE220"/>
      <c r="AF220"/>
      <c r="AG220"/>
      <c r="AH220"/>
      <c r="AI220"/>
    </row>
    <row r="221" spans="1:35" ht="12.75" customHeight="1" x14ac:dyDescent="0.2">
      <c r="A221" s="876" t="str">
        <f>C$2</f>
        <v>R-V1</v>
      </c>
      <c r="B221" s="618" t="s">
        <v>7234</v>
      </c>
      <c r="C221" s="877" t="str">
        <f>C$2</f>
        <v>R-V1</v>
      </c>
      <c r="D221" s="877"/>
      <c r="E221" s="877"/>
      <c r="F221" s="877"/>
      <c r="AA221"/>
      <c r="AB221"/>
      <c r="AC221"/>
      <c r="AD221"/>
      <c r="AE221"/>
      <c r="AF221"/>
      <c r="AG221"/>
      <c r="AH221"/>
      <c r="AI221"/>
    </row>
    <row r="222" spans="1:35" ht="12.75" customHeight="1" x14ac:dyDescent="0.2">
      <c r="A222" s="876" t="str">
        <f>C$2</f>
        <v>R-V1</v>
      </c>
      <c r="B222" s="618" t="s">
        <v>7235</v>
      </c>
      <c r="C222" s="877" t="str">
        <f>C$2</f>
        <v>R-V1</v>
      </c>
      <c r="D222" s="877"/>
      <c r="E222" s="877"/>
      <c r="F222" s="877"/>
      <c r="AA222"/>
      <c r="AB222"/>
      <c r="AC222"/>
      <c r="AD222"/>
      <c r="AE222"/>
      <c r="AF222"/>
      <c r="AG222"/>
      <c r="AH222"/>
      <c r="AI222"/>
    </row>
    <row r="223" spans="1:35" ht="12.75" customHeight="1" x14ac:dyDescent="0.2">
      <c r="A223" s="876"/>
      <c r="B223" s="618"/>
      <c r="C223" s="877"/>
      <c r="D223" s="877"/>
      <c r="E223" s="877"/>
      <c r="F223" s="877"/>
      <c r="AA223"/>
      <c r="AB223"/>
      <c r="AC223"/>
      <c r="AD223"/>
      <c r="AE223"/>
      <c r="AF223"/>
      <c r="AG223"/>
      <c r="AH223"/>
      <c r="AI223"/>
    </row>
    <row r="224" spans="1:35" ht="12.75" customHeight="1" x14ac:dyDescent="0.2">
      <c r="A224" s="876" t="str">
        <f>D$2</f>
        <v>R-V2</v>
      </c>
      <c r="B224" s="618" t="s">
        <v>7232</v>
      </c>
      <c r="C224" s="877"/>
      <c r="D224" s="877" t="str">
        <f>D$2</f>
        <v>R-V2</v>
      </c>
      <c r="E224" s="877"/>
      <c r="F224" s="877"/>
      <c r="AA224"/>
      <c r="AB224"/>
      <c r="AC224"/>
      <c r="AD224"/>
      <c r="AE224"/>
      <c r="AF224"/>
      <c r="AG224"/>
      <c r="AH224"/>
      <c r="AI224"/>
    </row>
    <row r="225" spans="1:35" ht="12.75" customHeight="1" x14ac:dyDescent="0.2">
      <c r="A225" s="876" t="str">
        <f>D$2</f>
        <v>R-V2</v>
      </c>
      <c r="B225" s="618" t="s">
        <v>7233</v>
      </c>
      <c r="C225" s="877"/>
      <c r="D225" s="877" t="str">
        <f>D$2</f>
        <v>R-V2</v>
      </c>
      <c r="E225" s="877"/>
      <c r="F225" s="877"/>
      <c r="AA225"/>
      <c r="AB225"/>
      <c r="AC225"/>
      <c r="AD225"/>
      <c r="AE225"/>
      <c r="AF225"/>
      <c r="AG225"/>
      <c r="AH225"/>
      <c r="AI225"/>
    </row>
    <row r="226" spans="1:35" ht="12.75" customHeight="1" x14ac:dyDescent="0.2">
      <c r="A226" s="876" t="str">
        <f>D$2</f>
        <v>R-V2</v>
      </c>
      <c r="B226" s="618" t="s">
        <v>7234</v>
      </c>
      <c r="C226" s="877"/>
      <c r="D226" s="877" t="str">
        <f>D$2</f>
        <v>R-V2</v>
      </c>
      <c r="E226" s="877"/>
      <c r="F226" s="877"/>
      <c r="AA226"/>
      <c r="AB226"/>
      <c r="AC226"/>
      <c r="AD226"/>
      <c r="AE226"/>
      <c r="AF226"/>
      <c r="AG226"/>
      <c r="AH226"/>
      <c r="AI226"/>
    </row>
    <row r="227" spans="1:35" ht="12.75" customHeight="1" x14ac:dyDescent="0.2">
      <c r="A227" s="876" t="str">
        <f>D$2</f>
        <v>R-V2</v>
      </c>
      <c r="B227" s="618" t="s">
        <v>7235</v>
      </c>
      <c r="C227" s="877"/>
      <c r="D227" s="877" t="str">
        <f>D$2</f>
        <v>R-V2</v>
      </c>
      <c r="E227" s="877"/>
      <c r="F227" s="877"/>
      <c r="AA227"/>
      <c r="AB227"/>
      <c r="AC227"/>
      <c r="AD227"/>
      <c r="AE227"/>
      <c r="AF227"/>
      <c r="AG227"/>
      <c r="AH227"/>
      <c r="AI227"/>
    </row>
    <row r="228" spans="1:35" ht="12.75" customHeight="1" x14ac:dyDescent="0.2">
      <c r="A228" s="876"/>
      <c r="B228" s="618"/>
      <c r="C228" s="877"/>
      <c r="D228" s="877"/>
      <c r="E228" s="877"/>
      <c r="F228" s="877"/>
      <c r="AA228"/>
      <c r="AB228"/>
      <c r="AC228"/>
      <c r="AD228"/>
      <c r="AE228"/>
      <c r="AF228"/>
      <c r="AG228"/>
      <c r="AH228"/>
      <c r="AI228"/>
    </row>
    <row r="229" spans="1:35" ht="12.75" customHeight="1" x14ac:dyDescent="0.2">
      <c r="A229" s="876" t="str">
        <f>E$2</f>
        <v>R-V3</v>
      </c>
      <c r="B229" s="618" t="s">
        <v>7232</v>
      </c>
      <c r="C229" s="877"/>
      <c r="D229" s="877"/>
      <c r="E229" s="877" t="str">
        <f>E$2</f>
        <v>R-V3</v>
      </c>
      <c r="F229" s="877"/>
      <c r="AA229"/>
      <c r="AB229"/>
      <c r="AC229"/>
      <c r="AD229"/>
      <c r="AE229"/>
      <c r="AF229"/>
      <c r="AG229"/>
      <c r="AH229"/>
      <c r="AI229"/>
    </row>
    <row r="230" spans="1:35" ht="12.75" customHeight="1" x14ac:dyDescent="0.2">
      <c r="A230" s="876" t="str">
        <f>E$2</f>
        <v>R-V3</v>
      </c>
      <c r="B230" s="618" t="s">
        <v>7233</v>
      </c>
      <c r="C230" s="877"/>
      <c r="D230" s="877"/>
      <c r="E230" s="877" t="str">
        <f>E$2</f>
        <v>R-V3</v>
      </c>
      <c r="F230" s="877"/>
      <c r="AA230"/>
      <c r="AB230"/>
      <c r="AC230"/>
      <c r="AD230"/>
      <c r="AE230"/>
      <c r="AF230"/>
      <c r="AG230"/>
      <c r="AH230"/>
      <c r="AI230"/>
    </row>
    <row r="231" spans="1:35" ht="12.75" customHeight="1" x14ac:dyDescent="0.2">
      <c r="A231" s="876" t="str">
        <f>E$2</f>
        <v>R-V3</v>
      </c>
      <c r="B231" s="618" t="s">
        <v>7234</v>
      </c>
      <c r="C231" s="877"/>
      <c r="D231" s="877"/>
      <c r="E231" s="877" t="str">
        <f>E$2</f>
        <v>R-V3</v>
      </c>
      <c r="F231" s="877"/>
      <c r="AA231"/>
      <c r="AB231"/>
      <c r="AC231"/>
      <c r="AD231"/>
      <c r="AE231"/>
      <c r="AF231"/>
      <c r="AG231"/>
      <c r="AH231"/>
      <c r="AI231"/>
    </row>
    <row r="232" spans="1:35" ht="12.75" customHeight="1" x14ac:dyDescent="0.2">
      <c r="A232" s="876" t="str">
        <f>E$2</f>
        <v>R-V3</v>
      </c>
      <c r="B232" s="618" t="s">
        <v>7235</v>
      </c>
      <c r="C232" s="877"/>
      <c r="D232" s="877"/>
      <c r="E232" s="877" t="str">
        <f>E$2</f>
        <v>R-V3</v>
      </c>
      <c r="F232" s="877"/>
      <c r="AA232"/>
      <c r="AB232"/>
      <c r="AC232"/>
      <c r="AD232"/>
      <c r="AE232"/>
      <c r="AF232"/>
      <c r="AG232"/>
      <c r="AH232"/>
      <c r="AI232"/>
    </row>
    <row r="233" spans="1:35" ht="12.75" customHeight="1" x14ac:dyDescent="0.2">
      <c r="A233" s="876"/>
      <c r="B233" s="618"/>
      <c r="C233" s="877"/>
      <c r="D233" s="877"/>
      <c r="E233" s="877"/>
      <c r="F233" s="877"/>
      <c r="AA233"/>
      <c r="AB233"/>
      <c r="AC233"/>
      <c r="AD233"/>
      <c r="AE233"/>
      <c r="AF233"/>
      <c r="AG233"/>
      <c r="AH233"/>
      <c r="AI233"/>
    </row>
    <row r="234" spans="1:35" ht="12.75" customHeight="1" x14ac:dyDescent="0.2">
      <c r="A234" s="876" t="str">
        <f>F$2</f>
        <v>R-V4</v>
      </c>
      <c r="B234" s="618" t="s">
        <v>7232</v>
      </c>
      <c r="C234" s="877"/>
      <c r="D234" s="877"/>
      <c r="E234" s="877"/>
      <c r="F234" s="877" t="str">
        <f>F$2</f>
        <v>R-V4</v>
      </c>
      <c r="AA234"/>
      <c r="AB234"/>
      <c r="AC234"/>
      <c r="AD234"/>
      <c r="AE234"/>
      <c r="AF234"/>
      <c r="AG234"/>
      <c r="AH234"/>
      <c r="AI234"/>
    </row>
    <row r="235" spans="1:35" ht="12.75" customHeight="1" x14ac:dyDescent="0.2">
      <c r="A235" s="876" t="str">
        <f>F$2</f>
        <v>R-V4</v>
      </c>
      <c r="B235" s="618" t="s">
        <v>7233</v>
      </c>
      <c r="C235" s="877"/>
      <c r="D235" s="877"/>
      <c r="E235" s="877"/>
      <c r="F235" s="877" t="str">
        <f>F$2</f>
        <v>R-V4</v>
      </c>
      <c r="AA235"/>
      <c r="AB235"/>
      <c r="AC235"/>
      <c r="AD235"/>
      <c r="AE235"/>
      <c r="AF235"/>
      <c r="AG235"/>
      <c r="AH235"/>
      <c r="AI235"/>
    </row>
    <row r="236" spans="1:35" ht="12.75" customHeight="1" x14ac:dyDescent="0.2">
      <c r="A236" s="876" t="str">
        <f>F$2</f>
        <v>R-V4</v>
      </c>
      <c r="B236" s="618" t="s">
        <v>7234</v>
      </c>
      <c r="C236" s="877"/>
      <c r="D236" s="877"/>
      <c r="E236" s="877"/>
      <c r="F236" s="877" t="str">
        <f>F$2</f>
        <v>R-V4</v>
      </c>
      <c r="AA236"/>
      <c r="AB236"/>
      <c r="AC236"/>
      <c r="AD236"/>
      <c r="AE236"/>
      <c r="AF236"/>
      <c r="AG236"/>
      <c r="AH236"/>
      <c r="AI236"/>
    </row>
    <row r="237" spans="1:35" ht="12.75" customHeight="1" x14ac:dyDescent="0.2">
      <c r="A237" s="876" t="str">
        <f>F$2</f>
        <v>R-V4</v>
      </c>
      <c r="B237" s="618" t="s">
        <v>7235</v>
      </c>
      <c r="C237" s="877"/>
      <c r="D237" s="877"/>
      <c r="E237" s="877"/>
      <c r="F237" s="877" t="str">
        <f>F$2</f>
        <v>R-V4</v>
      </c>
      <c r="AA237"/>
      <c r="AB237"/>
      <c r="AC237"/>
      <c r="AD237"/>
      <c r="AE237"/>
      <c r="AF237"/>
      <c r="AG237"/>
      <c r="AH237"/>
      <c r="AI237"/>
    </row>
    <row r="238" spans="1:35" x14ac:dyDescent="0.2">
      <c r="AA238"/>
      <c r="AB238"/>
      <c r="AC238"/>
      <c r="AD238"/>
      <c r="AE238"/>
      <c r="AF238"/>
      <c r="AG238"/>
      <c r="AH238"/>
      <c r="AI238"/>
    </row>
    <row r="239" spans="1:35" x14ac:dyDescent="0.2">
      <c r="AA239"/>
      <c r="AB239"/>
      <c r="AC239"/>
      <c r="AD239"/>
      <c r="AE239"/>
      <c r="AF239"/>
      <c r="AG239"/>
      <c r="AH239"/>
      <c r="AI239"/>
    </row>
    <row r="240" spans="1: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A1:B1"/>
  </mergeCells>
  <phoneticPr fontId="5" type="noConversion"/>
  <conditionalFormatting sqref="A5:B9 A11:B23 A25:B31 A33:B39 A41:B46 A48:B60 A62:B74 A76:B85 A87:B92 A94:B100 A102:B108 A110:B117 A119:B122 A124:B132 A134:B138 A140:B146 A148:B157 A159:B169 A171:B176 A178:B185 A187:B193 A195:B197 A199:B210 A212:B217 M5:M217 C5:F217">
    <cfRule type="expression" dxfId="214" priority="5" stopIfTrue="1">
      <formula>AND(NOT($K5=""),$K$1=1)</formula>
    </cfRule>
  </conditionalFormatting>
  <conditionalFormatting sqref="G5:L217">
    <cfRule type="expression" dxfId="213" priority="1" stopIfTrue="1">
      <formula>AND(NOT($K5=""),$K$1=1)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4294967294"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indexed="47"/>
  </sheetPr>
  <dimension ref="A1:AI400"/>
  <sheetViews>
    <sheetView workbookViewId="0">
      <pane ySplit="2" topLeftCell="A3" activePane="bottomLeft" state="frozen"/>
      <selection activeCell="I304" sqref="I304"/>
      <selection pane="bottomLeft"/>
    </sheetView>
  </sheetViews>
  <sheetFormatPr baseColWidth="10" defaultColWidth="11.28515625" defaultRowHeight="12.75" outlineLevelRow="2" outlineLevelCol="1" x14ac:dyDescent="0.2"/>
  <cols>
    <col min="1" max="1" width="10" style="912" customWidth="1"/>
    <col min="2" max="2" width="83.7109375" style="662" customWidth="1"/>
    <col min="3" max="3" width="5.7109375" style="816" bestFit="1" customWidth="1"/>
    <col min="4" max="4" width="6.85546875" style="816" customWidth="1"/>
    <col min="5" max="6" width="6.28515625" style="816" bestFit="1" customWidth="1"/>
    <col min="7" max="9" width="4.7109375" style="903" customWidth="1" outlineLevel="1"/>
    <col min="10" max="10" width="4.140625" style="904" customWidth="1" outlineLevel="1"/>
    <col min="11" max="11" width="10.7109375" style="889" customWidth="1" outlineLevel="1"/>
    <col min="12" max="12" width="10.42578125" style="890" customWidth="1"/>
    <col min="13" max="13" width="20.42578125" style="846" customWidth="1"/>
    <col min="14" max="26" width="11.28515625" style="168"/>
    <col min="27" max="34" width="12.28515625" style="169" hidden="1" customWidth="1"/>
    <col min="35" max="35" width="12.28515625" style="169" customWidth="1"/>
    <col min="36" max="16384" width="11.28515625" style="169"/>
  </cols>
  <sheetData>
    <row r="1" spans="1:35" s="648" customFormat="1" ht="18" x14ac:dyDescent="0.25">
      <c r="A1" s="776" t="s">
        <v>5561</v>
      </c>
      <c r="B1" s="777"/>
      <c r="C1" s="778">
        <v>1</v>
      </c>
      <c r="D1" s="1961" t="str">
        <f>"variante"&amp;IF(C1&gt;1,"s","")</f>
        <v>variante</v>
      </c>
      <c r="E1" s="1962"/>
      <c r="F1" s="778"/>
      <c r="G1" s="906"/>
      <c r="H1" s="906"/>
      <c r="I1" s="906"/>
      <c r="J1" s="894"/>
      <c r="K1" s="895">
        <f>'ISO 27002'!F2</f>
        <v>0</v>
      </c>
      <c r="L1" s="778"/>
      <c r="M1" s="896"/>
      <c r="N1" s="611"/>
      <c r="O1" s="611"/>
      <c r="P1" s="611"/>
      <c r="Q1" s="611"/>
      <c r="R1" s="611"/>
      <c r="S1" s="611"/>
      <c r="T1" s="611"/>
      <c r="U1" s="611"/>
      <c r="V1" s="611"/>
      <c r="W1" s="611"/>
      <c r="X1" s="611"/>
      <c r="Y1" s="611"/>
      <c r="Z1" s="611"/>
    </row>
    <row r="2" spans="1:35" s="648" customFormat="1" ht="12.75" customHeight="1" x14ac:dyDescent="0.2">
      <c r="A2" s="545" t="s">
        <v>3585</v>
      </c>
      <c r="B2" s="625" t="s">
        <v>3675</v>
      </c>
      <c r="C2" s="587" t="s">
        <v>3676</v>
      </c>
      <c r="D2" s="587" t="s">
        <v>3677</v>
      </c>
      <c r="E2" s="587" t="s">
        <v>3678</v>
      </c>
      <c r="F2" s="587" t="s">
        <v>3679</v>
      </c>
      <c r="G2" s="588" t="s">
        <v>1428</v>
      </c>
      <c r="H2" s="588" t="s">
        <v>3680</v>
      </c>
      <c r="I2" s="588" t="s">
        <v>2054</v>
      </c>
      <c r="J2" s="588" t="s">
        <v>3681</v>
      </c>
      <c r="K2" s="588">
        <v>2013</v>
      </c>
      <c r="L2" s="588">
        <v>2005</v>
      </c>
      <c r="M2" s="588" t="s">
        <v>3682</v>
      </c>
      <c r="N2" s="611"/>
      <c r="O2" s="611"/>
      <c r="P2" s="611"/>
      <c r="Q2" s="611"/>
      <c r="R2" s="611"/>
      <c r="S2" s="611"/>
      <c r="T2" s="611"/>
      <c r="U2" s="611"/>
      <c r="V2" s="611"/>
      <c r="W2" s="611"/>
      <c r="X2" s="611"/>
      <c r="Y2" s="611"/>
      <c r="Z2" s="611"/>
    </row>
    <row r="3" spans="1:35" ht="39.75" customHeight="1" x14ac:dyDescent="0.2">
      <c r="A3" s="907" t="s">
        <v>4973</v>
      </c>
      <c r="B3" s="907" t="s">
        <v>903</v>
      </c>
      <c r="C3" s="885"/>
      <c r="D3" s="1160"/>
      <c r="E3" s="1160"/>
      <c r="F3" s="885"/>
      <c r="G3" s="1441"/>
      <c r="H3" s="1441"/>
      <c r="I3" s="1441"/>
      <c r="J3" s="1441"/>
      <c r="K3" s="1441"/>
      <c r="L3" s="1441"/>
      <c r="M3" s="897"/>
    </row>
    <row r="4" spans="1:35" s="648" customFormat="1" outlineLevel="1" x14ac:dyDescent="0.2">
      <c r="A4" s="633" t="s">
        <v>5126</v>
      </c>
      <c r="B4" s="634" t="s">
        <v>5862</v>
      </c>
      <c r="C4" s="885"/>
      <c r="D4" s="1160"/>
      <c r="E4" s="1160"/>
      <c r="F4" s="885"/>
      <c r="G4" s="1442"/>
      <c r="H4" s="1442"/>
      <c r="I4" s="1442"/>
      <c r="J4" s="1441"/>
      <c r="K4" s="1441"/>
      <c r="L4" s="1441"/>
      <c r="M4" s="900"/>
      <c r="N4" s="611"/>
      <c r="O4" s="611"/>
      <c r="P4" s="611"/>
      <c r="Q4" s="611"/>
      <c r="R4" s="611"/>
      <c r="S4" s="611"/>
      <c r="T4" s="611"/>
      <c r="U4" s="611"/>
      <c r="V4" s="611"/>
      <c r="W4" s="611"/>
      <c r="X4" s="611"/>
      <c r="Y4" s="611"/>
      <c r="Z4" s="611"/>
      <c r="AA4"/>
      <c r="AB4"/>
      <c r="AC4"/>
      <c r="AD4"/>
      <c r="AE4"/>
      <c r="AF4"/>
      <c r="AG4"/>
      <c r="AH4"/>
      <c r="AI4"/>
    </row>
    <row r="5" spans="1:35" ht="33.75" outlineLevel="2" x14ac:dyDescent="0.2">
      <c r="A5" s="908" t="s">
        <v>4974</v>
      </c>
      <c r="B5" s="636" t="s">
        <v>4975</v>
      </c>
      <c r="C5" s="909"/>
      <c r="D5" s="1162"/>
      <c r="E5" s="1162"/>
      <c r="F5" s="909"/>
      <c r="G5" s="1441">
        <v>4</v>
      </c>
      <c r="H5" s="1441">
        <v>3</v>
      </c>
      <c r="I5" s="1441">
        <v>2</v>
      </c>
      <c r="J5" s="1441" t="s">
        <v>4246</v>
      </c>
      <c r="K5" s="1441"/>
      <c r="L5" s="1441"/>
      <c r="M5" s="897"/>
      <c r="AA5">
        <f>IF(AND('02 Sit'!C5&gt;Tmin, NOT('02 Sit'!$I5="")),'02 Sit'!$I5,0)</f>
        <v>0</v>
      </c>
      <c r="AB5">
        <f>IF(AND('02 Sit'!D5&gt;Tmin, NOT('02 Sit'!$I5="")),'02 Sit'!$I5,0)</f>
        <v>0</v>
      </c>
      <c r="AC5">
        <f>IF(AND('02 Sit'!E5&gt;Tmin, NOT('02 Sit'!$I5="")),'02 Sit'!$I5,0)</f>
        <v>0</v>
      </c>
      <c r="AD5">
        <f>IF(AND('02 Sit'!F5&gt;Tmin, NOT('02 Sit'!$I5="")),'02 Sit'!$I5,0)</f>
        <v>0</v>
      </c>
      <c r="AE5">
        <f>IF(AND('02 Sit'!C5&lt;Tmax, NOT('02 Sit'!$H5="")),'02 Sit'!$H5,4)</f>
        <v>3</v>
      </c>
      <c r="AF5">
        <f>IF(AND('02 Sit'!D5&lt;Tmax, NOT('02 Sit'!$H5="")),'02 Sit'!$H5,4)</f>
        <v>3</v>
      </c>
      <c r="AG5">
        <f>IF(AND('02 Sit'!E5&lt;Tmax, NOT('02 Sit'!$H5="")),'02 Sit'!$H5,4)</f>
        <v>3</v>
      </c>
      <c r="AH5">
        <f>IF(AND('02 Sit'!F5&lt;Tmax, NOT('02 Sit'!$H5="")),'02 Sit'!$H5,4)</f>
        <v>3</v>
      </c>
      <c r="AI5"/>
    </row>
    <row r="6" spans="1:35" ht="22.5" outlineLevel="2" x14ac:dyDescent="0.2">
      <c r="A6" s="908" t="s">
        <v>4976</v>
      </c>
      <c r="B6" s="636" t="s">
        <v>4977</v>
      </c>
      <c r="C6" s="909"/>
      <c r="D6" s="1162"/>
      <c r="E6" s="1162"/>
      <c r="F6" s="909"/>
      <c r="G6" s="1441">
        <v>4</v>
      </c>
      <c r="H6" s="1441">
        <v>2</v>
      </c>
      <c r="I6" s="1441">
        <v>2</v>
      </c>
      <c r="J6" s="1441" t="s">
        <v>1592</v>
      </c>
      <c r="K6" s="1441"/>
      <c r="L6" s="1441"/>
      <c r="M6" s="897"/>
      <c r="AA6">
        <f>IF(AND('02 Sit'!C6&gt;Tmin, NOT('02 Sit'!$I6="")),'02 Sit'!$I6,0)</f>
        <v>0</v>
      </c>
      <c r="AB6">
        <f>IF(AND('02 Sit'!D6&gt;Tmin, NOT('02 Sit'!$I6="")),'02 Sit'!$I6,0)</f>
        <v>0</v>
      </c>
      <c r="AC6">
        <f>IF(AND('02 Sit'!E6&gt;Tmin, NOT('02 Sit'!$I6="")),'02 Sit'!$I6,0)</f>
        <v>0</v>
      </c>
      <c r="AD6">
        <f>IF(AND('02 Sit'!F6&gt;Tmin, NOT('02 Sit'!$I6="")),'02 Sit'!$I6,0)</f>
        <v>0</v>
      </c>
      <c r="AE6">
        <f>IF(AND('02 Sit'!C6&lt;Tmax, NOT('02 Sit'!$H6="")),'02 Sit'!$H6,4)</f>
        <v>2</v>
      </c>
      <c r="AF6">
        <f>IF(AND('02 Sit'!D6&lt;Tmax, NOT('02 Sit'!$H6="")),'02 Sit'!$H6,4)</f>
        <v>2</v>
      </c>
      <c r="AG6">
        <f>IF(AND('02 Sit'!E6&lt;Tmax, NOT('02 Sit'!$H6="")),'02 Sit'!$H6,4)</f>
        <v>2</v>
      </c>
      <c r="AH6">
        <f>IF(AND('02 Sit'!F6&lt;Tmax, NOT('02 Sit'!$H6="")),'02 Sit'!$H6,4)</f>
        <v>2</v>
      </c>
      <c r="AI6"/>
    </row>
    <row r="7" spans="1:35" ht="22.5" outlineLevel="2" x14ac:dyDescent="0.2">
      <c r="A7" s="908" t="s">
        <v>4978</v>
      </c>
      <c r="B7" s="636" t="s">
        <v>4979</v>
      </c>
      <c r="C7" s="909"/>
      <c r="D7" s="1162"/>
      <c r="E7" s="1162"/>
      <c r="F7" s="909"/>
      <c r="G7" s="1441">
        <v>4</v>
      </c>
      <c r="H7" s="1441"/>
      <c r="I7" s="1441"/>
      <c r="J7" s="1441" t="s">
        <v>1592</v>
      </c>
      <c r="K7" s="1441"/>
      <c r="L7" s="1441"/>
      <c r="M7" s="897"/>
      <c r="AA7">
        <f>IF(AND('02 Sit'!C7&gt;Tmin, NOT('02 Sit'!$I7="")),'02 Sit'!$I7,0)</f>
        <v>0</v>
      </c>
      <c r="AB7">
        <f>IF(AND('02 Sit'!D7&gt;Tmin, NOT('02 Sit'!$I7="")),'02 Sit'!$I7,0)</f>
        <v>0</v>
      </c>
      <c r="AC7">
        <f>IF(AND('02 Sit'!E7&gt;Tmin, NOT('02 Sit'!$I7="")),'02 Sit'!$I7,0)</f>
        <v>0</v>
      </c>
      <c r="AD7">
        <f>IF(AND('02 Sit'!F7&gt;Tmin, NOT('02 Sit'!$I7="")),'02 Sit'!$I7,0)</f>
        <v>0</v>
      </c>
      <c r="AE7">
        <f>IF(AND('02 Sit'!C7&lt;Tmax, NOT('02 Sit'!$H7="")),'02 Sit'!$H7,4)</f>
        <v>4</v>
      </c>
      <c r="AF7">
        <f>IF(AND('02 Sit'!D7&lt;Tmax, NOT('02 Sit'!$H7="")),'02 Sit'!$H7,4)</f>
        <v>4</v>
      </c>
      <c r="AG7">
        <f>IF(AND('02 Sit'!E7&lt;Tmax, NOT('02 Sit'!$H7="")),'02 Sit'!$H7,4)</f>
        <v>4</v>
      </c>
      <c r="AH7">
        <f>IF(AND('02 Sit'!F7&lt;Tmax, NOT('02 Sit'!$H7="")),'02 Sit'!$H7,4)</f>
        <v>4</v>
      </c>
      <c r="AI7"/>
    </row>
    <row r="8" spans="1:35" ht="22.5" outlineLevel="2" x14ac:dyDescent="0.2">
      <c r="A8" s="908" t="s">
        <v>6383</v>
      </c>
      <c r="B8" s="636" t="s">
        <v>6384</v>
      </c>
      <c r="C8" s="909"/>
      <c r="D8" s="1162"/>
      <c r="E8" s="1162"/>
      <c r="F8" s="909"/>
      <c r="G8" s="1441">
        <v>2</v>
      </c>
      <c r="H8" s="1441"/>
      <c r="I8" s="1441"/>
      <c r="J8" s="1441" t="s">
        <v>1592</v>
      </c>
      <c r="K8" s="1441"/>
      <c r="L8" s="1441"/>
      <c r="M8" s="897"/>
      <c r="AA8">
        <f>IF(AND('02 Sit'!C8&gt;Tmin, NOT('02 Sit'!$I8="")),'02 Sit'!$I8,0)</f>
        <v>0</v>
      </c>
      <c r="AB8">
        <f>IF(AND('02 Sit'!D8&gt;Tmin, NOT('02 Sit'!$I8="")),'02 Sit'!$I8,0)</f>
        <v>0</v>
      </c>
      <c r="AC8">
        <f>IF(AND('02 Sit'!E8&gt;Tmin, NOT('02 Sit'!$I8="")),'02 Sit'!$I8,0)</f>
        <v>0</v>
      </c>
      <c r="AD8">
        <f>IF(AND('02 Sit'!F8&gt;Tmin, NOT('02 Sit'!$I8="")),'02 Sit'!$I8,0)</f>
        <v>0</v>
      </c>
      <c r="AE8">
        <f>IF(AND('02 Sit'!C8&lt;Tmax, NOT('02 Sit'!$H8="")),'02 Sit'!$H8,4)</f>
        <v>4</v>
      </c>
      <c r="AF8">
        <f>IF(AND('02 Sit'!D8&lt;Tmax, NOT('02 Sit'!$H8="")),'02 Sit'!$H8,4)</f>
        <v>4</v>
      </c>
      <c r="AG8">
        <f>IF(AND('02 Sit'!E8&lt;Tmax, NOT('02 Sit'!$H8="")),'02 Sit'!$H8,4)</f>
        <v>4</v>
      </c>
      <c r="AH8">
        <f>IF(AND('02 Sit'!F8&lt;Tmax, NOT('02 Sit'!$H8="")),'02 Sit'!$H8,4)</f>
        <v>4</v>
      </c>
      <c r="AI8"/>
    </row>
    <row r="9" spans="1:35" ht="22.5" outlineLevel="2" x14ac:dyDescent="0.2">
      <c r="A9" s="908" t="s">
        <v>6385</v>
      </c>
      <c r="B9" s="636" t="s">
        <v>1647</v>
      </c>
      <c r="C9" s="909"/>
      <c r="D9" s="1162"/>
      <c r="E9" s="1162"/>
      <c r="F9" s="909"/>
      <c r="G9" s="1441">
        <v>1</v>
      </c>
      <c r="H9" s="1441">
        <v>3</v>
      </c>
      <c r="I9" s="1441"/>
      <c r="J9" s="1441" t="s">
        <v>2349</v>
      </c>
      <c r="K9" s="1441"/>
      <c r="L9" s="1441"/>
      <c r="M9" s="897"/>
      <c r="AA9">
        <f>IF(AND('02 Sit'!C9&gt;Tmin, NOT('02 Sit'!$I9="")),'02 Sit'!$I9,0)</f>
        <v>0</v>
      </c>
      <c r="AB9">
        <f>IF(AND('02 Sit'!D9&gt;Tmin, NOT('02 Sit'!$I9="")),'02 Sit'!$I9,0)</f>
        <v>0</v>
      </c>
      <c r="AC9">
        <f>IF(AND('02 Sit'!E9&gt;Tmin, NOT('02 Sit'!$I9="")),'02 Sit'!$I9,0)</f>
        <v>0</v>
      </c>
      <c r="AD9">
        <f>IF(AND('02 Sit'!F9&gt;Tmin, NOT('02 Sit'!$I9="")),'02 Sit'!$I9,0)</f>
        <v>0</v>
      </c>
      <c r="AE9">
        <f>IF(AND('02 Sit'!C9&lt;Tmax, NOT('02 Sit'!$H9="")),'02 Sit'!$H9,4)</f>
        <v>3</v>
      </c>
      <c r="AF9">
        <f>IF(AND('02 Sit'!D9&lt;Tmax, NOT('02 Sit'!$H9="")),'02 Sit'!$H9,4)</f>
        <v>3</v>
      </c>
      <c r="AG9">
        <f>IF(AND('02 Sit'!E9&lt;Tmax, NOT('02 Sit'!$H9="")),'02 Sit'!$H9,4)</f>
        <v>3</v>
      </c>
      <c r="AH9">
        <f>IF(AND('02 Sit'!F9&lt;Tmax, NOT('02 Sit'!$H9="")),'02 Sit'!$H9,4)</f>
        <v>3</v>
      </c>
      <c r="AI9"/>
    </row>
    <row r="10" spans="1:35" ht="22.5" outlineLevel="2" x14ac:dyDescent="0.2">
      <c r="A10" s="908" t="s">
        <v>1648</v>
      </c>
      <c r="B10" s="636" t="s">
        <v>6399</v>
      </c>
      <c r="C10" s="909"/>
      <c r="D10" s="1162"/>
      <c r="E10" s="1162"/>
      <c r="F10" s="909"/>
      <c r="G10" s="1441">
        <v>1</v>
      </c>
      <c r="H10" s="1441">
        <v>3</v>
      </c>
      <c r="I10" s="1441"/>
      <c r="J10" s="1443" t="s">
        <v>2109</v>
      </c>
      <c r="K10" s="1441"/>
      <c r="L10" s="1441"/>
      <c r="M10" s="897"/>
      <c r="AA10">
        <f>IF(AND('02 Sit'!C10&gt;Tmin, NOT('02 Sit'!$I10="")),'02 Sit'!$I10,0)</f>
        <v>0</v>
      </c>
      <c r="AB10">
        <f>IF(AND('02 Sit'!D10&gt;Tmin, NOT('02 Sit'!$I10="")),'02 Sit'!$I10,0)</f>
        <v>0</v>
      </c>
      <c r="AC10">
        <f>IF(AND('02 Sit'!E10&gt;Tmin, NOT('02 Sit'!$I10="")),'02 Sit'!$I10,0)</f>
        <v>0</v>
      </c>
      <c r="AD10">
        <f>IF(AND('02 Sit'!F10&gt;Tmin, NOT('02 Sit'!$I10="")),'02 Sit'!$I10,0)</f>
        <v>0</v>
      </c>
      <c r="AE10">
        <f>IF(AND('02 Sit'!C10&lt;Tmax, NOT('02 Sit'!$H10="")),'02 Sit'!$H10,4)</f>
        <v>3</v>
      </c>
      <c r="AF10">
        <f>IF(AND('02 Sit'!D10&lt;Tmax, NOT('02 Sit'!$H10="")),'02 Sit'!$H10,4)</f>
        <v>3</v>
      </c>
      <c r="AG10">
        <f>IF(AND('02 Sit'!E10&lt;Tmax, NOT('02 Sit'!$H10="")),'02 Sit'!$H10,4)</f>
        <v>3</v>
      </c>
      <c r="AH10">
        <f>IF(AND('02 Sit'!F10&lt;Tmax, NOT('02 Sit'!$H10="")),'02 Sit'!$H10,4)</f>
        <v>3</v>
      </c>
      <c r="AI10"/>
    </row>
    <row r="11" spans="1:35" outlineLevel="1" x14ac:dyDescent="0.2">
      <c r="A11" s="633" t="s">
        <v>5884</v>
      </c>
      <c r="B11" s="634" t="s">
        <v>5885</v>
      </c>
      <c r="C11" s="909"/>
      <c r="D11" s="1162"/>
      <c r="E11" s="1162"/>
      <c r="F11" s="909"/>
      <c r="G11" s="1441"/>
      <c r="H11" s="1441"/>
      <c r="I11" s="1441"/>
      <c r="J11" s="1441"/>
      <c r="K11" s="1441"/>
      <c r="L11" s="1441"/>
      <c r="M11" s="897"/>
      <c r="AA11"/>
      <c r="AB11"/>
      <c r="AC11"/>
      <c r="AD11"/>
      <c r="AE11"/>
      <c r="AF11"/>
      <c r="AG11"/>
      <c r="AH11"/>
      <c r="AI11"/>
    </row>
    <row r="12" spans="1:35" ht="22.5" outlineLevel="2" x14ac:dyDescent="0.2">
      <c r="A12" s="908" t="s">
        <v>1359</v>
      </c>
      <c r="B12" s="636" t="s">
        <v>1288</v>
      </c>
      <c r="C12" s="909"/>
      <c r="D12" s="1162"/>
      <c r="E12" s="1162"/>
      <c r="F12" s="909"/>
      <c r="G12" s="1441">
        <v>4</v>
      </c>
      <c r="H12" s="1441">
        <v>2</v>
      </c>
      <c r="I12" s="1441"/>
      <c r="J12" s="1441" t="s">
        <v>4246</v>
      </c>
      <c r="K12" s="1441"/>
      <c r="L12" s="1441"/>
      <c r="M12" s="897"/>
      <c r="AA12">
        <f>IF(AND('02 Sit'!C12&gt;Tmin, NOT('02 Sit'!$I12="")),'02 Sit'!$I12,0)</f>
        <v>0</v>
      </c>
      <c r="AB12">
        <f>IF(AND('02 Sit'!D12&gt;Tmin, NOT('02 Sit'!$I12="")),'02 Sit'!$I12,0)</f>
        <v>0</v>
      </c>
      <c r="AC12">
        <f>IF(AND('02 Sit'!E12&gt;Tmin, NOT('02 Sit'!$I12="")),'02 Sit'!$I12,0)</f>
        <v>0</v>
      </c>
      <c r="AD12">
        <f>IF(AND('02 Sit'!F12&gt;Tmin, NOT('02 Sit'!$I12="")),'02 Sit'!$I12,0)</f>
        <v>0</v>
      </c>
      <c r="AE12">
        <f>IF(AND('02 Sit'!C12&lt;Tmax, NOT('02 Sit'!$H12="")),'02 Sit'!$H12,4)</f>
        <v>2</v>
      </c>
      <c r="AF12">
        <f>IF(AND('02 Sit'!D12&lt;Tmax, NOT('02 Sit'!$H12="")),'02 Sit'!$H12,4)</f>
        <v>2</v>
      </c>
      <c r="AG12">
        <f>IF(AND('02 Sit'!E12&lt;Tmax, NOT('02 Sit'!$H12="")),'02 Sit'!$H12,4)</f>
        <v>2</v>
      </c>
      <c r="AH12">
        <f>IF(AND('02 Sit'!F12&lt;Tmax, NOT('02 Sit'!$H12="")),'02 Sit'!$H12,4)</f>
        <v>2</v>
      </c>
      <c r="AI12"/>
    </row>
    <row r="13" spans="1:35" ht="70.5" customHeight="1" outlineLevel="2" x14ac:dyDescent="0.2">
      <c r="A13" s="908" t="s">
        <v>1289</v>
      </c>
      <c r="B13" s="636" t="s">
        <v>3271</v>
      </c>
      <c r="C13" s="909"/>
      <c r="D13" s="1162"/>
      <c r="E13" s="1162"/>
      <c r="F13" s="909"/>
      <c r="G13" s="1441">
        <v>4</v>
      </c>
      <c r="H13" s="1441">
        <v>2</v>
      </c>
      <c r="I13" s="1441"/>
      <c r="J13" s="1441" t="s">
        <v>1592</v>
      </c>
      <c r="K13" s="1441"/>
      <c r="L13" s="1441"/>
      <c r="M13" s="897"/>
      <c r="AA13">
        <f>IF(AND('02 Sit'!C13&gt;Tmin, NOT('02 Sit'!$I13="")),'02 Sit'!$I13,0)</f>
        <v>0</v>
      </c>
      <c r="AB13">
        <f>IF(AND('02 Sit'!D13&gt;Tmin, NOT('02 Sit'!$I13="")),'02 Sit'!$I13,0)</f>
        <v>0</v>
      </c>
      <c r="AC13">
        <f>IF(AND('02 Sit'!E13&gt;Tmin, NOT('02 Sit'!$I13="")),'02 Sit'!$I13,0)</f>
        <v>0</v>
      </c>
      <c r="AD13">
        <f>IF(AND('02 Sit'!F13&gt;Tmin, NOT('02 Sit'!$I13="")),'02 Sit'!$I13,0)</f>
        <v>0</v>
      </c>
      <c r="AE13">
        <f>IF(AND('02 Sit'!C13&lt;Tmax, NOT('02 Sit'!$H13="")),'02 Sit'!$H13,4)</f>
        <v>2</v>
      </c>
      <c r="AF13">
        <f>IF(AND('02 Sit'!D13&lt;Tmax, NOT('02 Sit'!$H13="")),'02 Sit'!$H13,4)</f>
        <v>2</v>
      </c>
      <c r="AG13">
        <f>IF(AND('02 Sit'!E13&lt;Tmax, NOT('02 Sit'!$H13="")),'02 Sit'!$H13,4)</f>
        <v>2</v>
      </c>
      <c r="AH13">
        <f>IF(AND('02 Sit'!F13&lt;Tmax, NOT('02 Sit'!$H13="")),'02 Sit'!$H13,4)</f>
        <v>2</v>
      </c>
      <c r="AI13"/>
    </row>
    <row r="14" spans="1:35" ht="12.75" customHeight="1" outlineLevel="2" x14ac:dyDescent="0.2">
      <c r="A14" s="908" t="s">
        <v>1290</v>
      </c>
      <c r="B14" s="636" t="s">
        <v>1291</v>
      </c>
      <c r="C14" s="909"/>
      <c r="D14" s="1162"/>
      <c r="E14" s="1162"/>
      <c r="F14" s="909"/>
      <c r="G14" s="1441">
        <v>4</v>
      </c>
      <c r="H14" s="1441"/>
      <c r="I14" s="1441"/>
      <c r="J14" s="1443" t="s">
        <v>1592</v>
      </c>
      <c r="K14" s="1441"/>
      <c r="L14" s="1441"/>
      <c r="M14" s="897"/>
      <c r="AA14">
        <f>IF(AND('02 Sit'!C14&gt;Tmin, NOT('02 Sit'!$I14="")),'02 Sit'!$I14,0)</f>
        <v>0</v>
      </c>
      <c r="AB14">
        <f>IF(AND('02 Sit'!D14&gt;Tmin, NOT('02 Sit'!$I14="")),'02 Sit'!$I14,0)</f>
        <v>0</v>
      </c>
      <c r="AC14">
        <f>IF(AND('02 Sit'!E14&gt;Tmin, NOT('02 Sit'!$I14="")),'02 Sit'!$I14,0)</f>
        <v>0</v>
      </c>
      <c r="AD14">
        <f>IF(AND('02 Sit'!F14&gt;Tmin, NOT('02 Sit'!$I14="")),'02 Sit'!$I14,0)</f>
        <v>0</v>
      </c>
      <c r="AE14">
        <f>IF(AND('02 Sit'!C14&lt;Tmax, NOT('02 Sit'!$H14="")),'02 Sit'!$H14,4)</f>
        <v>4</v>
      </c>
      <c r="AF14">
        <f>IF(AND('02 Sit'!D14&lt;Tmax, NOT('02 Sit'!$H14="")),'02 Sit'!$H14,4)</f>
        <v>4</v>
      </c>
      <c r="AG14">
        <f>IF(AND('02 Sit'!E14&lt;Tmax, NOT('02 Sit'!$H14="")),'02 Sit'!$H14,4)</f>
        <v>4</v>
      </c>
      <c r="AH14">
        <f>IF(AND('02 Sit'!F14&lt;Tmax, NOT('02 Sit'!$H14="")),'02 Sit'!$H14,4)</f>
        <v>4</v>
      </c>
      <c r="AI14"/>
    </row>
    <row r="15" spans="1:35" ht="26.25" customHeight="1" outlineLevel="2" x14ac:dyDescent="0.2">
      <c r="A15" s="908" t="s">
        <v>1292</v>
      </c>
      <c r="B15" s="636" t="s">
        <v>1293</v>
      </c>
      <c r="C15" s="909"/>
      <c r="D15" s="1162"/>
      <c r="E15" s="1162"/>
      <c r="F15" s="909"/>
      <c r="G15" s="1441">
        <v>2</v>
      </c>
      <c r="H15" s="1441"/>
      <c r="I15" s="1441"/>
      <c r="J15" s="1443" t="s">
        <v>1592</v>
      </c>
      <c r="K15" s="1441"/>
      <c r="L15" s="1441"/>
      <c r="M15" s="897"/>
      <c r="AA15">
        <f>IF(AND('02 Sit'!C15&gt;Tmin, NOT('02 Sit'!$I15="")),'02 Sit'!$I15,0)</f>
        <v>0</v>
      </c>
      <c r="AB15">
        <f>IF(AND('02 Sit'!D15&gt;Tmin, NOT('02 Sit'!$I15="")),'02 Sit'!$I15,0)</f>
        <v>0</v>
      </c>
      <c r="AC15">
        <f>IF(AND('02 Sit'!E15&gt;Tmin, NOT('02 Sit'!$I15="")),'02 Sit'!$I15,0)</f>
        <v>0</v>
      </c>
      <c r="AD15">
        <f>IF(AND('02 Sit'!F15&gt;Tmin, NOT('02 Sit'!$I15="")),'02 Sit'!$I15,0)</f>
        <v>0</v>
      </c>
      <c r="AE15">
        <f>IF(AND('02 Sit'!C15&lt;Tmax, NOT('02 Sit'!$H15="")),'02 Sit'!$H15,4)</f>
        <v>4</v>
      </c>
      <c r="AF15">
        <f>IF(AND('02 Sit'!D15&lt;Tmax, NOT('02 Sit'!$H15="")),'02 Sit'!$H15,4)</f>
        <v>4</v>
      </c>
      <c r="AG15">
        <f>IF(AND('02 Sit'!E15&lt;Tmax, NOT('02 Sit'!$H15="")),'02 Sit'!$H15,4)</f>
        <v>4</v>
      </c>
      <c r="AH15">
        <f>IF(AND('02 Sit'!F15&lt;Tmax, NOT('02 Sit'!$H15="")),'02 Sit'!$H15,4)</f>
        <v>4</v>
      </c>
      <c r="AI15"/>
    </row>
    <row r="16" spans="1:35" ht="22.5" outlineLevel="2" x14ac:dyDescent="0.2">
      <c r="A16" s="908" t="s">
        <v>1294</v>
      </c>
      <c r="B16" s="636" t="s">
        <v>1295</v>
      </c>
      <c r="C16" s="909"/>
      <c r="D16" s="1162"/>
      <c r="E16" s="1162"/>
      <c r="F16" s="909"/>
      <c r="G16" s="1441">
        <v>2</v>
      </c>
      <c r="H16" s="1441"/>
      <c r="I16" s="1441"/>
      <c r="J16" s="1443" t="s">
        <v>1592</v>
      </c>
      <c r="K16" s="1441"/>
      <c r="L16" s="1441"/>
      <c r="M16" s="897"/>
      <c r="AA16">
        <f>IF(AND('02 Sit'!C16&gt;Tmin, NOT('02 Sit'!$I16="")),'02 Sit'!$I16,0)</f>
        <v>0</v>
      </c>
      <c r="AB16">
        <f>IF(AND('02 Sit'!D16&gt;Tmin, NOT('02 Sit'!$I16="")),'02 Sit'!$I16,0)</f>
        <v>0</v>
      </c>
      <c r="AC16">
        <f>IF(AND('02 Sit'!E16&gt;Tmin, NOT('02 Sit'!$I16="")),'02 Sit'!$I16,0)</f>
        <v>0</v>
      </c>
      <c r="AD16">
        <f>IF(AND('02 Sit'!F16&gt;Tmin, NOT('02 Sit'!$I16="")),'02 Sit'!$I16,0)</f>
        <v>0</v>
      </c>
      <c r="AE16">
        <f>IF(AND('02 Sit'!C16&lt;Tmax, NOT('02 Sit'!$H16="")),'02 Sit'!$H16,4)</f>
        <v>4</v>
      </c>
      <c r="AF16">
        <f>IF(AND('02 Sit'!D16&lt;Tmax, NOT('02 Sit'!$H16="")),'02 Sit'!$H16,4)</f>
        <v>4</v>
      </c>
      <c r="AG16">
        <f>IF(AND('02 Sit'!E16&lt;Tmax, NOT('02 Sit'!$H16="")),'02 Sit'!$H16,4)</f>
        <v>4</v>
      </c>
      <c r="AH16">
        <f>IF(AND('02 Sit'!F16&lt;Tmax, NOT('02 Sit'!$H16="")),'02 Sit'!$H16,4)</f>
        <v>4</v>
      </c>
      <c r="AI16"/>
    </row>
    <row r="17" spans="1:35" ht="22.5" outlineLevel="2" x14ac:dyDescent="0.2">
      <c r="A17" s="908" t="s">
        <v>1296</v>
      </c>
      <c r="B17" s="636" t="s">
        <v>1297</v>
      </c>
      <c r="C17" s="909"/>
      <c r="D17" s="1162"/>
      <c r="E17" s="1162"/>
      <c r="F17" s="909"/>
      <c r="G17" s="1441">
        <v>2</v>
      </c>
      <c r="H17" s="1441"/>
      <c r="I17" s="1441"/>
      <c r="J17" s="1443" t="s">
        <v>1592</v>
      </c>
      <c r="K17" s="1441"/>
      <c r="L17" s="1441"/>
      <c r="M17" s="897"/>
      <c r="AA17">
        <f>IF(AND('02 Sit'!C17&gt;Tmin, NOT('02 Sit'!$I17="")),'02 Sit'!$I17,0)</f>
        <v>0</v>
      </c>
      <c r="AB17">
        <f>IF(AND('02 Sit'!D17&gt;Tmin, NOT('02 Sit'!$I17="")),'02 Sit'!$I17,0)</f>
        <v>0</v>
      </c>
      <c r="AC17">
        <f>IF(AND('02 Sit'!E17&gt;Tmin, NOT('02 Sit'!$I17="")),'02 Sit'!$I17,0)</f>
        <v>0</v>
      </c>
      <c r="AD17">
        <f>IF(AND('02 Sit'!F17&gt;Tmin, NOT('02 Sit'!$I17="")),'02 Sit'!$I17,0)</f>
        <v>0</v>
      </c>
      <c r="AE17">
        <f>IF(AND('02 Sit'!C17&lt;Tmax, NOT('02 Sit'!$H17="")),'02 Sit'!$H17,4)</f>
        <v>4</v>
      </c>
      <c r="AF17">
        <f>IF(AND('02 Sit'!D17&lt;Tmax, NOT('02 Sit'!$H17="")),'02 Sit'!$H17,4)</f>
        <v>4</v>
      </c>
      <c r="AG17">
        <f>IF(AND('02 Sit'!E17&lt;Tmax, NOT('02 Sit'!$H17="")),'02 Sit'!$H17,4)</f>
        <v>4</v>
      </c>
      <c r="AH17">
        <f>IF(AND('02 Sit'!F17&lt;Tmax, NOT('02 Sit'!$H17="")),'02 Sit'!$H17,4)</f>
        <v>4</v>
      </c>
      <c r="AI17"/>
    </row>
    <row r="18" spans="1:35" ht="45" outlineLevel="2" x14ac:dyDescent="0.2">
      <c r="A18" s="908" t="s">
        <v>1298</v>
      </c>
      <c r="B18" s="636" t="s">
        <v>1161</v>
      </c>
      <c r="C18" s="909"/>
      <c r="D18" s="1162"/>
      <c r="E18" s="1162"/>
      <c r="F18" s="909"/>
      <c r="G18" s="1441">
        <v>4</v>
      </c>
      <c r="H18" s="1441">
        <v>2</v>
      </c>
      <c r="I18" s="1441"/>
      <c r="J18" s="1443" t="s">
        <v>1592</v>
      </c>
      <c r="K18" s="1441"/>
      <c r="L18" s="1441"/>
      <c r="M18" s="897"/>
      <c r="AA18">
        <f>IF(AND('02 Sit'!C18&gt;Tmin, NOT('02 Sit'!$I18="")),'02 Sit'!$I18,0)</f>
        <v>0</v>
      </c>
      <c r="AB18">
        <f>IF(AND('02 Sit'!D18&gt;Tmin, NOT('02 Sit'!$I18="")),'02 Sit'!$I18,0)</f>
        <v>0</v>
      </c>
      <c r="AC18">
        <f>IF(AND('02 Sit'!E18&gt;Tmin, NOT('02 Sit'!$I18="")),'02 Sit'!$I18,0)</f>
        <v>0</v>
      </c>
      <c r="AD18">
        <f>IF(AND('02 Sit'!F18&gt;Tmin, NOT('02 Sit'!$I18="")),'02 Sit'!$I18,0)</f>
        <v>0</v>
      </c>
      <c r="AE18">
        <f>IF(AND('02 Sit'!C18&lt;Tmax, NOT('02 Sit'!$H18="")),'02 Sit'!$H18,4)</f>
        <v>2</v>
      </c>
      <c r="AF18">
        <f>IF(AND('02 Sit'!D18&lt;Tmax, NOT('02 Sit'!$H18="")),'02 Sit'!$H18,4)</f>
        <v>2</v>
      </c>
      <c r="AG18">
        <f>IF(AND('02 Sit'!E18&lt;Tmax, NOT('02 Sit'!$H18="")),'02 Sit'!$H18,4)</f>
        <v>2</v>
      </c>
      <c r="AH18">
        <f>IF(AND('02 Sit'!F18&lt;Tmax, NOT('02 Sit'!$H18="")),'02 Sit'!$H18,4)</f>
        <v>2</v>
      </c>
      <c r="AI18"/>
    </row>
    <row r="19" spans="1:35" ht="22.5" outlineLevel="2" x14ac:dyDescent="0.2">
      <c r="A19" s="908" t="s">
        <v>1162</v>
      </c>
      <c r="B19" s="636" t="s">
        <v>1163</v>
      </c>
      <c r="C19" s="909"/>
      <c r="D19" s="1162"/>
      <c r="E19" s="1162"/>
      <c r="F19" s="909"/>
      <c r="G19" s="1441">
        <v>4</v>
      </c>
      <c r="H19" s="1441"/>
      <c r="I19" s="1441"/>
      <c r="J19" s="1443" t="s">
        <v>2109</v>
      </c>
      <c r="K19" s="1441"/>
      <c r="L19" s="1441"/>
      <c r="M19" s="897"/>
      <c r="AA19">
        <f>IF(AND('02 Sit'!C19&gt;Tmin, NOT('02 Sit'!$I19="")),'02 Sit'!$I19,0)</f>
        <v>0</v>
      </c>
      <c r="AB19">
        <f>IF(AND('02 Sit'!D19&gt;Tmin, NOT('02 Sit'!$I19="")),'02 Sit'!$I19,0)</f>
        <v>0</v>
      </c>
      <c r="AC19">
        <f>IF(AND('02 Sit'!E19&gt;Tmin, NOT('02 Sit'!$I19="")),'02 Sit'!$I19,0)</f>
        <v>0</v>
      </c>
      <c r="AD19">
        <f>IF(AND('02 Sit'!F19&gt;Tmin, NOT('02 Sit'!$I19="")),'02 Sit'!$I19,0)</f>
        <v>0</v>
      </c>
      <c r="AE19">
        <f>IF(AND('02 Sit'!C19&lt;Tmax, NOT('02 Sit'!$H19="")),'02 Sit'!$H19,4)</f>
        <v>4</v>
      </c>
      <c r="AF19">
        <f>IF(AND('02 Sit'!D19&lt;Tmax, NOT('02 Sit'!$H19="")),'02 Sit'!$H19,4)</f>
        <v>4</v>
      </c>
      <c r="AG19">
        <f>IF(AND('02 Sit'!E19&lt;Tmax, NOT('02 Sit'!$H19="")),'02 Sit'!$H19,4)</f>
        <v>4</v>
      </c>
      <c r="AH19">
        <f>IF(AND('02 Sit'!F19&lt;Tmax, NOT('02 Sit'!$H19="")),'02 Sit'!$H19,4)</f>
        <v>4</v>
      </c>
      <c r="AI19"/>
    </row>
    <row r="20" spans="1:35" ht="14.25" customHeight="1" outlineLevel="1" x14ac:dyDescent="0.2">
      <c r="A20" s="633" t="s">
        <v>5886</v>
      </c>
      <c r="B20" s="634" t="s">
        <v>3281</v>
      </c>
      <c r="C20" s="909"/>
      <c r="D20" s="1162"/>
      <c r="E20" s="1162"/>
      <c r="F20" s="909"/>
      <c r="G20" s="1441"/>
      <c r="H20" s="1441"/>
      <c r="I20" s="1441"/>
      <c r="J20" s="1443"/>
      <c r="K20" s="1441"/>
      <c r="L20" s="1441"/>
      <c r="M20" s="897"/>
      <c r="AA20"/>
      <c r="AB20"/>
      <c r="AC20"/>
      <c r="AD20"/>
      <c r="AE20"/>
      <c r="AF20"/>
      <c r="AG20"/>
      <c r="AH20"/>
      <c r="AI20"/>
    </row>
    <row r="21" spans="1:35" ht="39.75" customHeight="1" outlineLevel="2" x14ac:dyDescent="0.2">
      <c r="A21" s="908" t="s">
        <v>1164</v>
      </c>
      <c r="B21" s="636" t="s">
        <v>5129</v>
      </c>
      <c r="C21" s="909"/>
      <c r="D21" s="1162"/>
      <c r="E21" s="1162"/>
      <c r="F21" s="909"/>
      <c r="G21" s="1441">
        <v>1</v>
      </c>
      <c r="H21" s="1441">
        <v>1</v>
      </c>
      <c r="I21" s="1441"/>
      <c r="J21" s="1443" t="s">
        <v>4246</v>
      </c>
      <c r="K21" s="1441" t="s">
        <v>3577</v>
      </c>
      <c r="L21" s="1441" t="s">
        <v>1165</v>
      </c>
      <c r="M21" s="897"/>
      <c r="AA21">
        <f>IF(AND('02 Sit'!C21&gt;Tmin, NOT('02 Sit'!$I21="")),'02 Sit'!$I21,0)</f>
        <v>0</v>
      </c>
      <c r="AB21">
        <f>IF(AND('02 Sit'!D21&gt;Tmin, NOT('02 Sit'!$I21="")),'02 Sit'!$I21,0)</f>
        <v>0</v>
      </c>
      <c r="AC21">
        <f>IF(AND('02 Sit'!E21&gt;Tmin, NOT('02 Sit'!$I21="")),'02 Sit'!$I21,0)</f>
        <v>0</v>
      </c>
      <c r="AD21">
        <f>IF(AND('02 Sit'!F21&gt;Tmin, NOT('02 Sit'!$I21="")),'02 Sit'!$I21,0)</f>
        <v>0</v>
      </c>
      <c r="AE21">
        <f>IF(AND('02 Sit'!C21&lt;Tmax, NOT('02 Sit'!$H21="")),'02 Sit'!$H21,4)</f>
        <v>1</v>
      </c>
      <c r="AF21">
        <f>IF(AND('02 Sit'!D21&lt;Tmax, NOT('02 Sit'!$H21="")),'02 Sit'!$H21,4)</f>
        <v>1</v>
      </c>
      <c r="AG21">
        <f>IF(AND('02 Sit'!E21&lt;Tmax, NOT('02 Sit'!$H21="")),'02 Sit'!$H21,4)</f>
        <v>1</v>
      </c>
      <c r="AH21">
        <f>IF(AND('02 Sit'!F21&lt;Tmax, NOT('02 Sit'!$H21="")),'02 Sit'!$H21,4)</f>
        <v>1</v>
      </c>
      <c r="AI21"/>
    </row>
    <row r="22" spans="1:35" ht="22.5" outlineLevel="2" x14ac:dyDescent="0.2">
      <c r="A22" s="908" t="s">
        <v>1166</v>
      </c>
      <c r="B22" s="636" t="s">
        <v>6103</v>
      </c>
      <c r="C22" s="909"/>
      <c r="D22" s="909"/>
      <c r="E22" s="909"/>
      <c r="F22" s="909"/>
      <c r="G22" s="1441">
        <v>1</v>
      </c>
      <c r="H22" s="1441">
        <v>1</v>
      </c>
      <c r="I22" s="1441"/>
      <c r="J22" s="1443" t="s">
        <v>1592</v>
      </c>
      <c r="K22" s="1441" t="s">
        <v>3577</v>
      </c>
      <c r="L22" s="1441" t="s">
        <v>1165</v>
      </c>
      <c r="M22" s="897"/>
      <c r="AA22">
        <f>IF(AND('02 Sit'!C22&gt;Tmin, NOT('02 Sit'!$I22="")),'02 Sit'!$I22,0)</f>
        <v>0</v>
      </c>
      <c r="AB22">
        <f>IF(AND('02 Sit'!D22&gt;Tmin, NOT('02 Sit'!$I22="")),'02 Sit'!$I22,0)</f>
        <v>0</v>
      </c>
      <c r="AC22">
        <f>IF(AND('02 Sit'!E22&gt;Tmin, NOT('02 Sit'!$I22="")),'02 Sit'!$I22,0)</f>
        <v>0</v>
      </c>
      <c r="AD22">
        <f>IF(AND('02 Sit'!F22&gt;Tmin, NOT('02 Sit'!$I22="")),'02 Sit'!$I22,0)</f>
        <v>0</v>
      </c>
      <c r="AE22">
        <f>IF(AND('02 Sit'!C22&lt;Tmax, NOT('02 Sit'!$H22="")),'02 Sit'!$H22,4)</f>
        <v>1</v>
      </c>
      <c r="AF22">
        <f>IF(AND('02 Sit'!D22&lt;Tmax, NOT('02 Sit'!$H22="")),'02 Sit'!$H22,4)</f>
        <v>1</v>
      </c>
      <c r="AG22">
        <f>IF(AND('02 Sit'!E22&lt;Tmax, NOT('02 Sit'!$H22="")),'02 Sit'!$H22,4)</f>
        <v>1</v>
      </c>
      <c r="AH22">
        <f>IF(AND('02 Sit'!F22&lt;Tmax, NOT('02 Sit'!$H22="")),'02 Sit'!$H22,4)</f>
        <v>1</v>
      </c>
      <c r="AI22"/>
    </row>
    <row r="23" spans="1:35" ht="45" outlineLevel="2" x14ac:dyDescent="0.2">
      <c r="A23" s="908" t="s">
        <v>6104</v>
      </c>
      <c r="B23" s="636" t="s">
        <v>3279</v>
      </c>
      <c r="C23" s="909"/>
      <c r="D23" s="909"/>
      <c r="E23" s="909"/>
      <c r="F23" s="909"/>
      <c r="G23" s="1441">
        <v>4</v>
      </c>
      <c r="H23" s="1441">
        <v>2</v>
      </c>
      <c r="I23" s="1441"/>
      <c r="J23" s="1443" t="s">
        <v>2329</v>
      </c>
      <c r="K23" s="1441"/>
      <c r="L23" s="1441"/>
      <c r="M23" s="897"/>
      <c r="AA23">
        <f>IF(AND('02 Sit'!C23&gt;Tmin, NOT('02 Sit'!$I23="")),'02 Sit'!$I23,0)</f>
        <v>0</v>
      </c>
      <c r="AB23">
        <f>IF(AND('02 Sit'!D23&gt;Tmin, NOT('02 Sit'!$I23="")),'02 Sit'!$I23,0)</f>
        <v>0</v>
      </c>
      <c r="AC23">
        <f>IF(AND('02 Sit'!E23&gt;Tmin, NOT('02 Sit'!$I23="")),'02 Sit'!$I23,0)</f>
        <v>0</v>
      </c>
      <c r="AD23">
        <f>IF(AND('02 Sit'!F23&gt;Tmin, NOT('02 Sit'!$I23="")),'02 Sit'!$I23,0)</f>
        <v>0</v>
      </c>
      <c r="AE23">
        <f>IF(AND('02 Sit'!C23&lt;Tmax, NOT('02 Sit'!$H23="")),'02 Sit'!$H23,4)</f>
        <v>2</v>
      </c>
      <c r="AF23">
        <f>IF(AND('02 Sit'!D23&lt;Tmax, NOT('02 Sit'!$H23="")),'02 Sit'!$H23,4)</f>
        <v>2</v>
      </c>
      <c r="AG23">
        <f>IF(AND('02 Sit'!E23&lt;Tmax, NOT('02 Sit'!$H23="")),'02 Sit'!$H23,4)</f>
        <v>2</v>
      </c>
      <c r="AH23">
        <f>IF(AND('02 Sit'!F23&lt;Tmax, NOT('02 Sit'!$H23="")),'02 Sit'!$H23,4)</f>
        <v>2</v>
      </c>
      <c r="AI23"/>
    </row>
    <row r="24" spans="1:35" ht="33.75" outlineLevel="2" x14ac:dyDescent="0.2">
      <c r="A24" s="908" t="s">
        <v>6105</v>
      </c>
      <c r="B24" s="636" t="s">
        <v>6106</v>
      </c>
      <c r="C24" s="909"/>
      <c r="D24" s="909"/>
      <c r="E24" s="909"/>
      <c r="F24" s="909"/>
      <c r="G24" s="1441">
        <v>4</v>
      </c>
      <c r="H24" s="1441"/>
      <c r="I24" s="1441"/>
      <c r="J24" s="1443" t="s">
        <v>2329</v>
      </c>
      <c r="K24" s="1441"/>
      <c r="L24" s="1441"/>
      <c r="M24" s="897"/>
      <c r="AA24">
        <f>IF(AND('02 Sit'!C24&gt;Tmin, NOT('02 Sit'!$I24="")),'02 Sit'!$I24,0)</f>
        <v>0</v>
      </c>
      <c r="AB24">
        <f>IF(AND('02 Sit'!D24&gt;Tmin, NOT('02 Sit'!$I24="")),'02 Sit'!$I24,0)</f>
        <v>0</v>
      </c>
      <c r="AC24">
        <f>IF(AND('02 Sit'!E24&gt;Tmin, NOT('02 Sit'!$I24="")),'02 Sit'!$I24,0)</f>
        <v>0</v>
      </c>
      <c r="AD24">
        <f>IF(AND('02 Sit'!F24&gt;Tmin, NOT('02 Sit'!$I24="")),'02 Sit'!$I24,0)</f>
        <v>0</v>
      </c>
      <c r="AE24">
        <f>IF(AND('02 Sit'!C24&lt;Tmax, NOT('02 Sit'!$H24="")),'02 Sit'!$H24,4)</f>
        <v>4</v>
      </c>
      <c r="AF24">
        <f>IF(AND('02 Sit'!D24&lt;Tmax, NOT('02 Sit'!$H24="")),'02 Sit'!$H24,4)</f>
        <v>4</v>
      </c>
      <c r="AG24">
        <f>IF(AND('02 Sit'!E24&lt;Tmax, NOT('02 Sit'!$H24="")),'02 Sit'!$H24,4)</f>
        <v>4</v>
      </c>
      <c r="AH24">
        <f>IF(AND('02 Sit'!F24&lt;Tmax, NOT('02 Sit'!$H24="")),'02 Sit'!$H24,4)</f>
        <v>4</v>
      </c>
      <c r="AI24"/>
    </row>
    <row r="25" spans="1:35" ht="24" customHeight="1" outlineLevel="2" x14ac:dyDescent="0.2">
      <c r="A25" s="908" t="s">
        <v>6107</v>
      </c>
      <c r="B25" s="636" t="s">
        <v>5573</v>
      </c>
      <c r="C25" s="909"/>
      <c r="D25" s="909"/>
      <c r="E25" s="909"/>
      <c r="F25" s="909"/>
      <c r="G25" s="1441">
        <v>4</v>
      </c>
      <c r="H25" s="1441">
        <v>2</v>
      </c>
      <c r="I25" s="1441"/>
      <c r="J25" s="1443" t="s">
        <v>1592</v>
      </c>
      <c r="K25" s="1441"/>
      <c r="L25" s="1441"/>
      <c r="M25" s="897"/>
      <c r="AA25">
        <f>IF(AND('02 Sit'!C25&gt;Tmin, NOT('02 Sit'!$I25="")),'02 Sit'!$I25,0)</f>
        <v>0</v>
      </c>
      <c r="AB25">
        <f>IF(AND('02 Sit'!D25&gt;Tmin, NOT('02 Sit'!$I25="")),'02 Sit'!$I25,0)</f>
        <v>0</v>
      </c>
      <c r="AC25">
        <f>IF(AND('02 Sit'!E25&gt;Tmin, NOT('02 Sit'!$I25="")),'02 Sit'!$I25,0)</f>
        <v>0</v>
      </c>
      <c r="AD25">
        <f>IF(AND('02 Sit'!F25&gt;Tmin, NOT('02 Sit'!$I25="")),'02 Sit'!$I25,0)</f>
        <v>0</v>
      </c>
      <c r="AE25">
        <f>IF(AND('02 Sit'!C25&lt;Tmax, NOT('02 Sit'!$H25="")),'02 Sit'!$H25,4)</f>
        <v>2</v>
      </c>
      <c r="AF25">
        <f>IF(AND('02 Sit'!D25&lt;Tmax, NOT('02 Sit'!$H25="")),'02 Sit'!$H25,4)</f>
        <v>2</v>
      </c>
      <c r="AG25">
        <f>IF(AND('02 Sit'!E25&lt;Tmax, NOT('02 Sit'!$H25="")),'02 Sit'!$H25,4)</f>
        <v>2</v>
      </c>
      <c r="AH25">
        <f>IF(AND('02 Sit'!F25&lt;Tmax, NOT('02 Sit'!$H25="")),'02 Sit'!$H25,4)</f>
        <v>2</v>
      </c>
      <c r="AI25"/>
    </row>
    <row r="26" spans="1:35" ht="22.5" outlineLevel="2" x14ac:dyDescent="0.2">
      <c r="A26" s="908" t="s">
        <v>5574</v>
      </c>
      <c r="B26" s="636" t="s">
        <v>4699</v>
      </c>
      <c r="C26" s="909"/>
      <c r="D26" s="909"/>
      <c r="E26" s="909"/>
      <c r="F26" s="909"/>
      <c r="G26" s="1441">
        <v>4</v>
      </c>
      <c r="H26" s="1441">
        <v>2</v>
      </c>
      <c r="I26" s="1441"/>
      <c r="J26" s="1441" t="s">
        <v>2349</v>
      </c>
      <c r="K26" s="1441" t="s">
        <v>3577</v>
      </c>
      <c r="L26" s="1441" t="s">
        <v>1165</v>
      </c>
      <c r="M26" s="897"/>
      <c r="AA26">
        <f>IF(AND('02 Sit'!C26&gt;Tmin, NOT('02 Sit'!$I26="")),'02 Sit'!$I26,0)</f>
        <v>0</v>
      </c>
      <c r="AB26">
        <f>IF(AND('02 Sit'!D26&gt;Tmin, NOT('02 Sit'!$I26="")),'02 Sit'!$I26,0)</f>
        <v>0</v>
      </c>
      <c r="AC26">
        <f>IF(AND('02 Sit'!E26&gt;Tmin, NOT('02 Sit'!$I26="")),'02 Sit'!$I26,0)</f>
        <v>0</v>
      </c>
      <c r="AD26">
        <f>IF(AND('02 Sit'!F26&gt;Tmin, NOT('02 Sit'!$I26="")),'02 Sit'!$I26,0)</f>
        <v>0</v>
      </c>
      <c r="AE26">
        <f>IF(AND('02 Sit'!C26&lt;Tmax, NOT('02 Sit'!$H26="")),'02 Sit'!$H26,4)</f>
        <v>2</v>
      </c>
      <c r="AF26">
        <f>IF(AND('02 Sit'!D26&lt;Tmax, NOT('02 Sit'!$H26="")),'02 Sit'!$H26,4)</f>
        <v>2</v>
      </c>
      <c r="AG26">
        <f>IF(AND('02 Sit'!E26&lt;Tmax, NOT('02 Sit'!$H26="")),'02 Sit'!$H26,4)</f>
        <v>2</v>
      </c>
      <c r="AH26">
        <f>IF(AND('02 Sit'!F26&lt;Tmax, NOT('02 Sit'!$H26="")),'02 Sit'!$H26,4)</f>
        <v>2</v>
      </c>
      <c r="AI26"/>
    </row>
    <row r="27" spans="1:35" ht="22.5" outlineLevel="2" x14ac:dyDescent="0.2">
      <c r="A27" s="908" t="s">
        <v>4700</v>
      </c>
      <c r="B27" s="636" t="s">
        <v>6166</v>
      </c>
      <c r="C27" s="909"/>
      <c r="D27" s="909"/>
      <c r="E27" s="909"/>
      <c r="F27" s="909"/>
      <c r="G27" s="1441">
        <v>4</v>
      </c>
      <c r="H27" s="1441">
        <v>3</v>
      </c>
      <c r="I27" s="1441"/>
      <c r="J27" s="1443" t="s">
        <v>2107</v>
      </c>
      <c r="K27" s="1441"/>
      <c r="L27" s="1441"/>
      <c r="M27" s="897"/>
      <c r="AA27">
        <f>IF(AND('02 Sit'!C27&gt;Tmin, NOT('02 Sit'!$I27="")),'02 Sit'!$I27,0)</f>
        <v>0</v>
      </c>
      <c r="AB27">
        <f>IF(AND('02 Sit'!D27&gt;Tmin, NOT('02 Sit'!$I27="")),'02 Sit'!$I27,0)</f>
        <v>0</v>
      </c>
      <c r="AC27">
        <f>IF(AND('02 Sit'!E27&gt;Tmin, NOT('02 Sit'!$I27="")),'02 Sit'!$I27,0)</f>
        <v>0</v>
      </c>
      <c r="AD27">
        <f>IF(AND('02 Sit'!F27&gt;Tmin, NOT('02 Sit'!$I27="")),'02 Sit'!$I27,0)</f>
        <v>0</v>
      </c>
      <c r="AE27">
        <f>IF(AND('02 Sit'!C27&lt;Tmax, NOT('02 Sit'!$H27="")),'02 Sit'!$H27,4)</f>
        <v>3</v>
      </c>
      <c r="AF27">
        <f>IF(AND('02 Sit'!D27&lt;Tmax, NOT('02 Sit'!$H27="")),'02 Sit'!$H27,4)</f>
        <v>3</v>
      </c>
      <c r="AG27">
        <f>IF(AND('02 Sit'!E27&lt;Tmax, NOT('02 Sit'!$H27="")),'02 Sit'!$H27,4)</f>
        <v>3</v>
      </c>
      <c r="AH27">
        <f>IF(AND('02 Sit'!F27&lt;Tmax, NOT('02 Sit'!$H27="")),'02 Sit'!$H27,4)</f>
        <v>3</v>
      </c>
      <c r="AI27"/>
    </row>
    <row r="28" spans="1:35" ht="33.75" outlineLevel="2" x14ac:dyDescent="0.2">
      <c r="A28" s="908" t="s">
        <v>6167</v>
      </c>
      <c r="B28" s="636" t="s">
        <v>6569</v>
      </c>
      <c r="C28" s="909"/>
      <c r="D28" s="909"/>
      <c r="E28" s="909"/>
      <c r="F28" s="909"/>
      <c r="G28" s="1441">
        <v>4</v>
      </c>
      <c r="H28" s="1441">
        <v>3</v>
      </c>
      <c r="I28" s="1441"/>
      <c r="J28" s="1443" t="s">
        <v>2109</v>
      </c>
      <c r="K28" s="1441"/>
      <c r="L28" s="1441"/>
      <c r="M28" s="897"/>
      <c r="AA28">
        <f>IF(AND('02 Sit'!C28&gt;Tmin, NOT('02 Sit'!$I28="")),'02 Sit'!$I28,0)</f>
        <v>0</v>
      </c>
      <c r="AB28">
        <f>IF(AND('02 Sit'!D28&gt;Tmin, NOT('02 Sit'!$I28="")),'02 Sit'!$I28,0)</f>
        <v>0</v>
      </c>
      <c r="AC28">
        <f>IF(AND('02 Sit'!E28&gt;Tmin, NOT('02 Sit'!$I28="")),'02 Sit'!$I28,0)</f>
        <v>0</v>
      </c>
      <c r="AD28">
        <f>IF(AND('02 Sit'!F28&gt;Tmin, NOT('02 Sit'!$I28="")),'02 Sit'!$I28,0)</f>
        <v>0</v>
      </c>
      <c r="AE28">
        <f>IF(AND('02 Sit'!C28&lt;Tmax, NOT('02 Sit'!$H28="")),'02 Sit'!$H28,4)</f>
        <v>3</v>
      </c>
      <c r="AF28">
        <f>IF(AND('02 Sit'!D28&lt;Tmax, NOT('02 Sit'!$H28="")),'02 Sit'!$H28,4)</f>
        <v>3</v>
      </c>
      <c r="AG28">
        <f>IF(AND('02 Sit'!E28&lt;Tmax, NOT('02 Sit'!$H28="")),'02 Sit'!$H28,4)</f>
        <v>3</v>
      </c>
      <c r="AH28">
        <f>IF(AND('02 Sit'!F28&lt;Tmax, NOT('02 Sit'!$H28="")),'02 Sit'!$H28,4)</f>
        <v>3</v>
      </c>
      <c r="AI28"/>
    </row>
    <row r="29" spans="1:35" ht="13.5" customHeight="1" outlineLevel="1" x14ac:dyDescent="0.2">
      <c r="A29" s="633" t="s">
        <v>6400</v>
      </c>
      <c r="B29" s="634" t="s">
        <v>6570</v>
      </c>
      <c r="C29" s="909"/>
      <c r="D29" s="909"/>
      <c r="E29" s="909"/>
      <c r="F29" s="909"/>
      <c r="G29" s="1441"/>
      <c r="H29" s="1441"/>
      <c r="I29" s="1441"/>
      <c r="J29" s="1443"/>
      <c r="K29" s="1441"/>
      <c r="L29" s="1441"/>
      <c r="M29" s="897"/>
      <c r="AA29"/>
      <c r="AB29"/>
      <c r="AC29"/>
      <c r="AD29"/>
      <c r="AE29"/>
      <c r="AF29"/>
      <c r="AG29"/>
      <c r="AH29"/>
      <c r="AI29"/>
    </row>
    <row r="30" spans="1:35" outlineLevel="2" x14ac:dyDescent="0.2">
      <c r="A30" s="908" t="s">
        <v>6571</v>
      </c>
      <c r="B30" s="636" t="s">
        <v>6572</v>
      </c>
      <c r="C30" s="909"/>
      <c r="D30" s="909"/>
      <c r="E30" s="909"/>
      <c r="F30" s="909"/>
      <c r="G30" s="1441">
        <v>4</v>
      </c>
      <c r="H30" s="1441"/>
      <c r="I30" s="1441"/>
      <c r="J30" s="1443" t="s">
        <v>1592</v>
      </c>
      <c r="K30" s="1441" t="s">
        <v>3577</v>
      </c>
      <c r="L30" s="1441" t="s">
        <v>1165</v>
      </c>
      <c r="M30" s="897"/>
      <c r="AA30">
        <f>IF(AND('02 Sit'!C30&gt;Tmin, NOT('02 Sit'!$I30="")),'02 Sit'!$I30,0)</f>
        <v>0</v>
      </c>
      <c r="AB30">
        <f>IF(AND('02 Sit'!D30&gt;Tmin, NOT('02 Sit'!$I30="")),'02 Sit'!$I30,0)</f>
        <v>0</v>
      </c>
      <c r="AC30">
        <f>IF(AND('02 Sit'!E30&gt;Tmin, NOT('02 Sit'!$I30="")),'02 Sit'!$I30,0)</f>
        <v>0</v>
      </c>
      <c r="AD30">
        <f>IF(AND('02 Sit'!F30&gt;Tmin, NOT('02 Sit'!$I30="")),'02 Sit'!$I30,0)</f>
        <v>0</v>
      </c>
      <c r="AE30">
        <f>IF(AND('02 Sit'!C30&lt;Tmax, NOT('02 Sit'!$H30="")),'02 Sit'!$H30,4)</f>
        <v>4</v>
      </c>
      <c r="AF30">
        <f>IF(AND('02 Sit'!D30&lt;Tmax, NOT('02 Sit'!$H30="")),'02 Sit'!$H30,4)</f>
        <v>4</v>
      </c>
      <c r="AG30">
        <f>IF(AND('02 Sit'!E30&lt;Tmax, NOT('02 Sit'!$H30="")),'02 Sit'!$H30,4)</f>
        <v>4</v>
      </c>
      <c r="AH30">
        <f>IF(AND('02 Sit'!F30&lt;Tmax, NOT('02 Sit'!$H30="")),'02 Sit'!$H30,4)</f>
        <v>4</v>
      </c>
      <c r="AI30"/>
    </row>
    <row r="31" spans="1:35" ht="22.5" outlineLevel="2" x14ac:dyDescent="0.2">
      <c r="A31" s="908" t="s">
        <v>6573</v>
      </c>
      <c r="B31" s="636" t="s">
        <v>2133</v>
      </c>
      <c r="C31" s="909"/>
      <c r="D31" s="909"/>
      <c r="E31" s="909"/>
      <c r="F31" s="909"/>
      <c r="G31" s="1441">
        <v>4</v>
      </c>
      <c r="H31" s="1441">
        <v>2</v>
      </c>
      <c r="I31" s="1441"/>
      <c r="J31" s="1443" t="s">
        <v>1592</v>
      </c>
      <c r="K31" s="1441"/>
      <c r="L31" s="1441"/>
      <c r="M31" s="897"/>
      <c r="AA31">
        <f>IF(AND('02 Sit'!C31&gt;Tmin, NOT('02 Sit'!$I31="")),'02 Sit'!$I31,0)</f>
        <v>0</v>
      </c>
      <c r="AB31">
        <f>IF(AND('02 Sit'!D31&gt;Tmin, NOT('02 Sit'!$I31="")),'02 Sit'!$I31,0)</f>
        <v>0</v>
      </c>
      <c r="AC31">
        <f>IF(AND('02 Sit'!E31&gt;Tmin, NOT('02 Sit'!$I31="")),'02 Sit'!$I31,0)</f>
        <v>0</v>
      </c>
      <c r="AD31">
        <f>IF(AND('02 Sit'!F31&gt;Tmin, NOT('02 Sit'!$I31="")),'02 Sit'!$I31,0)</f>
        <v>0</v>
      </c>
      <c r="AE31">
        <f>IF(AND('02 Sit'!C31&lt;Tmax, NOT('02 Sit'!$H31="")),'02 Sit'!$H31,4)</f>
        <v>2</v>
      </c>
      <c r="AF31">
        <f>IF(AND('02 Sit'!D31&lt;Tmax, NOT('02 Sit'!$H31="")),'02 Sit'!$H31,4)</f>
        <v>2</v>
      </c>
      <c r="AG31">
        <f>IF(AND('02 Sit'!E31&lt;Tmax, NOT('02 Sit'!$H31="")),'02 Sit'!$H31,4)</f>
        <v>2</v>
      </c>
      <c r="AH31">
        <f>IF(AND('02 Sit'!F31&lt;Tmax, NOT('02 Sit'!$H31="")),'02 Sit'!$H31,4)</f>
        <v>2</v>
      </c>
      <c r="AI31"/>
    </row>
    <row r="32" spans="1:35" ht="22.5" outlineLevel="2" x14ac:dyDescent="0.2">
      <c r="A32" s="908" t="s">
        <v>2134</v>
      </c>
      <c r="B32" s="636" t="s">
        <v>2135</v>
      </c>
      <c r="C32" s="909"/>
      <c r="D32" s="909"/>
      <c r="E32" s="909"/>
      <c r="F32" s="909"/>
      <c r="G32" s="1441">
        <v>4</v>
      </c>
      <c r="H32" s="1441">
        <v>3</v>
      </c>
      <c r="I32" s="1441"/>
      <c r="J32" s="1443" t="s">
        <v>2329</v>
      </c>
      <c r="K32" s="1441"/>
      <c r="L32" s="1441"/>
      <c r="M32" s="897"/>
      <c r="AA32">
        <f>IF(AND('02 Sit'!C32&gt;Tmin, NOT('02 Sit'!$I32="")),'02 Sit'!$I32,0)</f>
        <v>0</v>
      </c>
      <c r="AB32">
        <f>IF(AND('02 Sit'!D32&gt;Tmin, NOT('02 Sit'!$I32="")),'02 Sit'!$I32,0)</f>
        <v>0</v>
      </c>
      <c r="AC32">
        <f>IF(AND('02 Sit'!E32&gt;Tmin, NOT('02 Sit'!$I32="")),'02 Sit'!$I32,0)</f>
        <v>0</v>
      </c>
      <c r="AD32">
        <f>IF(AND('02 Sit'!F32&gt;Tmin, NOT('02 Sit'!$I32="")),'02 Sit'!$I32,0)</f>
        <v>0</v>
      </c>
      <c r="AE32">
        <f>IF(AND('02 Sit'!C32&lt;Tmax, NOT('02 Sit'!$H32="")),'02 Sit'!$H32,4)</f>
        <v>3</v>
      </c>
      <c r="AF32">
        <f>IF(AND('02 Sit'!D32&lt;Tmax, NOT('02 Sit'!$H32="")),'02 Sit'!$H32,4)</f>
        <v>3</v>
      </c>
      <c r="AG32">
        <f>IF(AND('02 Sit'!E32&lt;Tmax, NOT('02 Sit'!$H32="")),'02 Sit'!$H32,4)</f>
        <v>3</v>
      </c>
      <c r="AH32">
        <f>IF(AND('02 Sit'!F32&lt;Tmax, NOT('02 Sit'!$H32="")),'02 Sit'!$H32,4)</f>
        <v>3</v>
      </c>
      <c r="AI32"/>
    </row>
    <row r="33" spans="1:35" ht="22.5" outlineLevel="2" x14ac:dyDescent="0.2">
      <c r="A33" s="908" t="s">
        <v>2136</v>
      </c>
      <c r="B33" s="636" t="s">
        <v>4744</v>
      </c>
      <c r="C33" s="909"/>
      <c r="D33" s="909"/>
      <c r="E33" s="909"/>
      <c r="F33" s="909"/>
      <c r="G33" s="1441">
        <v>4</v>
      </c>
      <c r="H33" s="1441">
        <v>3</v>
      </c>
      <c r="I33" s="1441"/>
      <c r="J33" s="1443" t="s">
        <v>2329</v>
      </c>
      <c r="K33" s="1441"/>
      <c r="L33" s="1441"/>
      <c r="M33" s="897"/>
      <c r="AA33">
        <f>IF(AND('02 Sit'!C33&gt;Tmin, NOT('02 Sit'!$I33="")),'02 Sit'!$I33,0)</f>
        <v>0</v>
      </c>
      <c r="AB33">
        <f>IF(AND('02 Sit'!D33&gt;Tmin, NOT('02 Sit'!$I33="")),'02 Sit'!$I33,0)</f>
        <v>0</v>
      </c>
      <c r="AC33">
        <f>IF(AND('02 Sit'!E33&gt;Tmin, NOT('02 Sit'!$I33="")),'02 Sit'!$I33,0)</f>
        <v>0</v>
      </c>
      <c r="AD33">
        <f>IF(AND('02 Sit'!F33&gt;Tmin, NOT('02 Sit'!$I33="")),'02 Sit'!$I33,0)</f>
        <v>0</v>
      </c>
      <c r="AE33">
        <f>IF(AND('02 Sit'!C33&lt;Tmax, NOT('02 Sit'!$H33="")),'02 Sit'!$H33,4)</f>
        <v>3</v>
      </c>
      <c r="AF33">
        <f>IF(AND('02 Sit'!D33&lt;Tmax, NOT('02 Sit'!$H33="")),'02 Sit'!$H33,4)</f>
        <v>3</v>
      </c>
      <c r="AG33">
        <f>IF(AND('02 Sit'!E33&lt;Tmax, NOT('02 Sit'!$H33="")),'02 Sit'!$H33,4)</f>
        <v>3</v>
      </c>
      <c r="AH33">
        <f>IF(AND('02 Sit'!F33&lt;Tmax, NOT('02 Sit'!$H33="")),'02 Sit'!$H33,4)</f>
        <v>3</v>
      </c>
      <c r="AI33"/>
    </row>
    <row r="34" spans="1:35" ht="22.5" outlineLevel="2" x14ac:dyDescent="0.2">
      <c r="A34" s="908" t="s">
        <v>4745</v>
      </c>
      <c r="B34" s="636" t="s">
        <v>4746</v>
      </c>
      <c r="C34" s="909"/>
      <c r="D34" s="909"/>
      <c r="E34" s="909"/>
      <c r="F34" s="909"/>
      <c r="G34" s="1441">
        <v>4</v>
      </c>
      <c r="H34" s="1441">
        <v>2</v>
      </c>
      <c r="I34" s="1441"/>
      <c r="J34" s="1443" t="s">
        <v>1592</v>
      </c>
      <c r="K34" s="1441"/>
      <c r="L34" s="1441"/>
      <c r="M34" s="897"/>
      <c r="AA34">
        <f>IF(AND('02 Sit'!C34&gt;Tmin, NOT('02 Sit'!$I34="")),'02 Sit'!$I34,0)</f>
        <v>0</v>
      </c>
      <c r="AB34">
        <f>IF(AND('02 Sit'!D34&gt;Tmin, NOT('02 Sit'!$I34="")),'02 Sit'!$I34,0)</f>
        <v>0</v>
      </c>
      <c r="AC34">
        <f>IF(AND('02 Sit'!E34&gt;Tmin, NOT('02 Sit'!$I34="")),'02 Sit'!$I34,0)</f>
        <v>0</v>
      </c>
      <c r="AD34">
        <f>IF(AND('02 Sit'!F34&gt;Tmin, NOT('02 Sit'!$I34="")),'02 Sit'!$I34,0)</f>
        <v>0</v>
      </c>
      <c r="AE34">
        <f>IF(AND('02 Sit'!C34&lt;Tmax, NOT('02 Sit'!$H34="")),'02 Sit'!$H34,4)</f>
        <v>2</v>
      </c>
      <c r="AF34">
        <f>IF(AND('02 Sit'!D34&lt;Tmax, NOT('02 Sit'!$H34="")),'02 Sit'!$H34,4)</f>
        <v>2</v>
      </c>
      <c r="AG34">
        <f>IF(AND('02 Sit'!E34&lt;Tmax, NOT('02 Sit'!$H34="")),'02 Sit'!$H34,4)</f>
        <v>2</v>
      </c>
      <c r="AH34">
        <f>IF(AND('02 Sit'!F34&lt;Tmax, NOT('02 Sit'!$H34="")),'02 Sit'!$H34,4)</f>
        <v>2</v>
      </c>
      <c r="AI34"/>
    </row>
    <row r="35" spans="1:35" ht="22.5" outlineLevel="2" x14ac:dyDescent="0.2">
      <c r="A35" s="908" t="s">
        <v>4747</v>
      </c>
      <c r="B35" s="636" t="s">
        <v>3132</v>
      </c>
      <c r="C35" s="909"/>
      <c r="D35" s="909"/>
      <c r="E35" s="909"/>
      <c r="F35" s="909"/>
      <c r="G35" s="1441">
        <v>4</v>
      </c>
      <c r="H35" s="1441">
        <v>3</v>
      </c>
      <c r="I35" s="1441"/>
      <c r="J35" s="1443" t="s">
        <v>2329</v>
      </c>
      <c r="K35" s="1441"/>
      <c r="L35" s="1441"/>
      <c r="M35" s="897"/>
      <c r="AA35">
        <f>IF(AND('02 Sit'!C35&gt;Tmin, NOT('02 Sit'!$I35="")),'02 Sit'!$I35,0)</f>
        <v>0</v>
      </c>
      <c r="AB35">
        <f>IF(AND('02 Sit'!D35&gt;Tmin, NOT('02 Sit'!$I35="")),'02 Sit'!$I35,0)</f>
        <v>0</v>
      </c>
      <c r="AC35">
        <f>IF(AND('02 Sit'!E35&gt;Tmin, NOT('02 Sit'!$I35="")),'02 Sit'!$I35,0)</f>
        <v>0</v>
      </c>
      <c r="AD35"/>
      <c r="AE35"/>
      <c r="AF35"/>
      <c r="AG35"/>
      <c r="AH35"/>
      <c r="AI35"/>
    </row>
    <row r="36" spans="1:35" ht="14.25" customHeight="1" outlineLevel="2" x14ac:dyDescent="0.2">
      <c r="A36" s="908" t="s">
        <v>3133</v>
      </c>
      <c r="B36" s="636" t="s">
        <v>3134</v>
      </c>
      <c r="C36" s="909"/>
      <c r="D36" s="909"/>
      <c r="E36" s="909"/>
      <c r="F36" s="909"/>
      <c r="G36" s="1441">
        <v>2</v>
      </c>
      <c r="H36" s="1441"/>
      <c r="I36" s="1441"/>
      <c r="J36" s="1443" t="s">
        <v>1592</v>
      </c>
      <c r="K36" s="1441"/>
      <c r="L36" s="1441"/>
      <c r="M36" s="897"/>
      <c r="AA36"/>
      <c r="AB36"/>
      <c r="AC36"/>
      <c r="AD36"/>
      <c r="AE36"/>
      <c r="AF36"/>
      <c r="AG36"/>
      <c r="AH36"/>
      <c r="AI36"/>
    </row>
    <row r="37" spans="1:35" ht="15.75" customHeight="1" outlineLevel="2" x14ac:dyDescent="0.2">
      <c r="A37" s="908" t="s">
        <v>3135</v>
      </c>
      <c r="B37" s="636" t="s">
        <v>3136</v>
      </c>
      <c r="C37" s="909"/>
      <c r="D37" s="909"/>
      <c r="E37" s="909"/>
      <c r="F37" s="909"/>
      <c r="G37" s="1441">
        <v>2</v>
      </c>
      <c r="H37" s="1441">
        <v>3</v>
      </c>
      <c r="I37" s="1441"/>
      <c r="J37" s="1443" t="s">
        <v>2349</v>
      </c>
      <c r="K37" s="1441"/>
      <c r="L37" s="1441"/>
      <c r="M37" s="897"/>
      <c r="AA37"/>
      <c r="AB37"/>
      <c r="AC37"/>
      <c r="AD37"/>
      <c r="AE37"/>
      <c r="AF37"/>
      <c r="AG37"/>
      <c r="AH37"/>
      <c r="AI37"/>
    </row>
    <row r="38" spans="1:35" ht="22.5" outlineLevel="2" x14ac:dyDescent="0.2">
      <c r="A38" s="908" t="s">
        <v>3137</v>
      </c>
      <c r="B38" s="636" t="s">
        <v>3138</v>
      </c>
      <c r="C38" s="909"/>
      <c r="D38" s="909"/>
      <c r="E38" s="909"/>
      <c r="F38" s="909"/>
      <c r="G38" s="1441">
        <v>2</v>
      </c>
      <c r="H38" s="1441">
        <v>3</v>
      </c>
      <c r="I38" s="1441"/>
      <c r="J38" s="1443" t="s">
        <v>2109</v>
      </c>
      <c r="K38" s="1441"/>
      <c r="L38" s="1441"/>
      <c r="M38" s="897"/>
      <c r="AA38"/>
      <c r="AB38"/>
      <c r="AC38"/>
      <c r="AD38"/>
      <c r="AE38"/>
      <c r="AF38"/>
      <c r="AG38"/>
      <c r="AH38"/>
      <c r="AI38"/>
    </row>
    <row r="39" spans="1:35" ht="13.5" customHeight="1" outlineLevel="1" x14ac:dyDescent="0.2">
      <c r="A39" s="633" t="s">
        <v>6402</v>
      </c>
      <c r="B39" s="634" t="s">
        <v>4623</v>
      </c>
      <c r="C39" s="909"/>
      <c r="D39" s="909"/>
      <c r="E39" s="909"/>
      <c r="F39" s="909"/>
      <c r="G39" s="1441"/>
      <c r="H39" s="1441"/>
      <c r="I39" s="1441"/>
      <c r="J39" s="1443"/>
      <c r="K39" s="1441"/>
      <c r="L39" s="1441"/>
      <c r="M39" s="897"/>
      <c r="AA39"/>
      <c r="AB39"/>
      <c r="AC39"/>
      <c r="AD39"/>
      <c r="AE39"/>
      <c r="AF39"/>
      <c r="AG39"/>
      <c r="AH39"/>
      <c r="AI39"/>
    </row>
    <row r="40" spans="1:35" ht="26.25" customHeight="1" outlineLevel="2" x14ac:dyDescent="0.2">
      <c r="A40" s="908" t="s">
        <v>3139</v>
      </c>
      <c r="B40" s="636" t="s">
        <v>1219</v>
      </c>
      <c r="C40" s="909"/>
      <c r="D40" s="909"/>
      <c r="E40" s="909"/>
      <c r="F40" s="909"/>
      <c r="G40" s="1441">
        <v>2</v>
      </c>
      <c r="H40" s="1441"/>
      <c r="I40" s="1441"/>
      <c r="J40" s="1443" t="s">
        <v>1592</v>
      </c>
      <c r="K40" s="1441" t="s">
        <v>6905</v>
      </c>
      <c r="L40" s="1441" t="s">
        <v>7259</v>
      </c>
      <c r="M40" s="897"/>
      <c r="AA40"/>
      <c r="AB40"/>
      <c r="AC40"/>
      <c r="AD40"/>
      <c r="AE40"/>
      <c r="AF40"/>
      <c r="AG40"/>
      <c r="AH40"/>
      <c r="AI40"/>
    </row>
    <row r="41" spans="1:35" ht="24" customHeight="1" outlineLevel="2" x14ac:dyDescent="0.2">
      <c r="A41" s="908" t="s">
        <v>4098</v>
      </c>
      <c r="B41" s="636" t="s">
        <v>6118</v>
      </c>
      <c r="C41" s="909"/>
      <c r="D41" s="909"/>
      <c r="E41" s="909"/>
      <c r="F41" s="909"/>
      <c r="G41" s="1441">
        <v>2</v>
      </c>
      <c r="H41" s="1441"/>
      <c r="I41" s="1441"/>
      <c r="J41" s="1443" t="s">
        <v>1592</v>
      </c>
      <c r="K41" s="1441" t="s">
        <v>6905</v>
      </c>
      <c r="L41" s="1441" t="s">
        <v>7259</v>
      </c>
      <c r="M41" s="897"/>
      <c r="AA41"/>
      <c r="AB41"/>
      <c r="AC41"/>
      <c r="AD41"/>
      <c r="AE41"/>
      <c r="AF41"/>
      <c r="AG41"/>
      <c r="AH41"/>
      <c r="AI41"/>
    </row>
    <row r="42" spans="1:35" ht="22.5" outlineLevel="2" x14ac:dyDescent="0.2">
      <c r="A42" s="908" t="s">
        <v>2183</v>
      </c>
      <c r="B42" s="636" t="s">
        <v>1220</v>
      </c>
      <c r="C42" s="909"/>
      <c r="D42" s="909"/>
      <c r="E42" s="909"/>
      <c r="F42" s="909"/>
      <c r="G42" s="1441">
        <v>2</v>
      </c>
      <c r="H42" s="1444"/>
      <c r="I42" s="1441"/>
      <c r="J42" s="1443" t="s">
        <v>1592</v>
      </c>
      <c r="K42" s="1441" t="s">
        <v>6905</v>
      </c>
      <c r="L42" s="1441" t="s">
        <v>7259</v>
      </c>
      <c r="M42" s="897"/>
      <c r="AA42"/>
      <c r="AB42"/>
      <c r="AC42"/>
      <c r="AD42"/>
      <c r="AE42"/>
      <c r="AF42"/>
      <c r="AG42"/>
      <c r="AH42"/>
      <c r="AI42"/>
    </row>
    <row r="43" spans="1:35" x14ac:dyDescent="0.2">
      <c r="A43" s="910" t="s">
        <v>2145</v>
      </c>
      <c r="B43" s="644" t="s">
        <v>2146</v>
      </c>
      <c r="C43" s="909"/>
      <c r="D43" s="909"/>
      <c r="E43" s="909"/>
      <c r="F43" s="909"/>
      <c r="G43" s="1441"/>
      <c r="H43" s="1441"/>
      <c r="I43" s="1441"/>
      <c r="J43" s="1443"/>
      <c r="K43" s="1441"/>
      <c r="L43" s="1441"/>
      <c r="M43" s="897"/>
      <c r="AA43"/>
      <c r="AB43"/>
      <c r="AC43"/>
      <c r="AD43"/>
      <c r="AE43"/>
      <c r="AF43"/>
      <c r="AG43"/>
      <c r="AH43"/>
      <c r="AI43"/>
    </row>
    <row r="44" spans="1:35" outlineLevel="1" x14ac:dyDescent="0.2">
      <c r="A44" s="633" t="s">
        <v>4251</v>
      </c>
      <c r="B44" s="634" t="s">
        <v>5731</v>
      </c>
      <c r="C44" s="909"/>
      <c r="D44" s="909"/>
      <c r="E44" s="909"/>
      <c r="F44" s="909"/>
      <c r="G44" s="1443"/>
      <c r="H44" s="1443"/>
      <c r="I44" s="1443"/>
      <c r="J44" s="1443"/>
      <c r="K44" s="1441"/>
      <c r="L44" s="1441"/>
      <c r="M44" s="897"/>
      <c r="AA44"/>
      <c r="AB44"/>
      <c r="AC44"/>
      <c r="AD44"/>
      <c r="AE44"/>
      <c r="AF44"/>
      <c r="AG44"/>
      <c r="AH44"/>
      <c r="AI44"/>
    </row>
    <row r="45" spans="1:35" ht="45" outlineLevel="2" x14ac:dyDescent="0.2">
      <c r="A45" s="908" t="s">
        <v>2147</v>
      </c>
      <c r="B45" s="636" t="s">
        <v>3280</v>
      </c>
      <c r="C45" s="909"/>
      <c r="D45" s="909"/>
      <c r="E45" s="909"/>
      <c r="F45" s="909"/>
      <c r="G45" s="1443">
        <v>1</v>
      </c>
      <c r="H45" s="1443"/>
      <c r="I45" s="1443"/>
      <c r="J45" s="1443" t="s">
        <v>2329</v>
      </c>
      <c r="K45" s="1445" t="s">
        <v>6906</v>
      </c>
      <c r="L45" s="1441" t="s">
        <v>7260</v>
      </c>
      <c r="M45" s="897"/>
      <c r="AA45"/>
      <c r="AB45"/>
      <c r="AC45"/>
      <c r="AD45"/>
      <c r="AE45"/>
      <c r="AF45"/>
      <c r="AG45"/>
      <c r="AH45"/>
      <c r="AI45"/>
    </row>
    <row r="46" spans="1:35" ht="37.5" customHeight="1" outlineLevel="2" x14ac:dyDescent="0.2">
      <c r="A46" s="908" t="s">
        <v>2148</v>
      </c>
      <c r="B46" s="636" t="s">
        <v>2237</v>
      </c>
      <c r="C46" s="909"/>
      <c r="D46" s="909"/>
      <c r="E46" s="909"/>
      <c r="F46" s="909"/>
      <c r="G46" s="1443">
        <v>1</v>
      </c>
      <c r="H46" s="1443"/>
      <c r="I46" s="1443"/>
      <c r="J46" s="1443" t="s">
        <v>2329</v>
      </c>
      <c r="K46" s="1441" t="s">
        <v>6906</v>
      </c>
      <c r="L46" s="1441" t="s">
        <v>7260</v>
      </c>
      <c r="M46" s="897"/>
      <c r="AA46"/>
      <c r="AB46"/>
      <c r="AC46"/>
      <c r="AD46"/>
      <c r="AE46"/>
      <c r="AF46"/>
      <c r="AG46"/>
      <c r="AH46"/>
      <c r="AI46"/>
    </row>
    <row r="47" spans="1:35" outlineLevel="2" x14ac:dyDescent="0.2">
      <c r="A47" s="908" t="s">
        <v>2149</v>
      </c>
      <c r="B47" s="636" t="s">
        <v>2150</v>
      </c>
      <c r="C47" s="909"/>
      <c r="D47" s="909"/>
      <c r="E47" s="909"/>
      <c r="F47" s="909"/>
      <c r="G47" s="1443">
        <v>2</v>
      </c>
      <c r="H47" s="1443"/>
      <c r="I47" s="1443"/>
      <c r="J47" s="1443" t="s">
        <v>2329</v>
      </c>
      <c r="K47" s="1441" t="s">
        <v>6906</v>
      </c>
      <c r="L47" s="1441" t="s">
        <v>7260</v>
      </c>
      <c r="M47" s="897"/>
      <c r="AA47"/>
      <c r="AB47"/>
      <c r="AC47"/>
      <c r="AD47"/>
      <c r="AE47"/>
      <c r="AF47"/>
      <c r="AG47"/>
      <c r="AH47"/>
      <c r="AI47"/>
    </row>
    <row r="48" spans="1:35" ht="15" customHeight="1" x14ac:dyDescent="0.2">
      <c r="A48" s="910" t="s">
        <v>6409</v>
      </c>
      <c r="B48" s="644" t="s">
        <v>1716</v>
      </c>
      <c r="C48" s="909"/>
      <c r="D48" s="909"/>
      <c r="E48" s="909"/>
      <c r="F48" s="909"/>
      <c r="G48" s="1446"/>
      <c r="H48" s="1446"/>
      <c r="I48" s="1447"/>
      <c r="J48" s="1447"/>
      <c r="K48" s="1447"/>
      <c r="L48" s="1447"/>
      <c r="M48" s="897"/>
      <c r="AA48"/>
      <c r="AB48"/>
      <c r="AC48"/>
      <c r="AD48"/>
      <c r="AE48"/>
      <c r="AF48"/>
      <c r="AG48"/>
      <c r="AH48"/>
      <c r="AI48"/>
    </row>
    <row r="49" spans="1:35" ht="15.75" customHeight="1" outlineLevel="1" x14ac:dyDescent="0.2">
      <c r="A49" s="633" t="s">
        <v>6411</v>
      </c>
      <c r="B49" s="634" t="s">
        <v>3412</v>
      </c>
      <c r="C49" s="909"/>
      <c r="D49" s="909"/>
      <c r="E49" s="909"/>
      <c r="F49" s="909"/>
      <c r="G49" s="1446"/>
      <c r="H49" s="1446"/>
      <c r="I49" s="1447"/>
      <c r="J49" s="1447"/>
      <c r="K49" s="1447"/>
      <c r="L49" s="1447"/>
      <c r="M49" s="897"/>
      <c r="AA49"/>
      <c r="AB49"/>
      <c r="AC49"/>
      <c r="AD49"/>
      <c r="AE49"/>
      <c r="AF49"/>
      <c r="AG49"/>
      <c r="AH49"/>
      <c r="AI49"/>
    </row>
    <row r="50" spans="1:35" ht="22.5" outlineLevel="2" x14ac:dyDescent="0.2">
      <c r="A50" s="908" t="s">
        <v>4749</v>
      </c>
      <c r="B50" s="636" t="s">
        <v>6119</v>
      </c>
      <c r="C50" s="909"/>
      <c r="D50" s="909"/>
      <c r="E50" s="909"/>
      <c r="F50" s="909"/>
      <c r="G50" s="1446">
        <v>2</v>
      </c>
      <c r="H50" s="1446"/>
      <c r="I50" s="1443"/>
      <c r="J50" s="1447" t="s">
        <v>4246</v>
      </c>
      <c r="K50" s="1447" t="s">
        <v>1165</v>
      </c>
      <c r="L50" s="1447" t="s">
        <v>3577</v>
      </c>
      <c r="M50" s="897"/>
      <c r="AA50"/>
      <c r="AB50"/>
      <c r="AC50"/>
      <c r="AD50"/>
      <c r="AE50"/>
      <c r="AF50"/>
      <c r="AG50"/>
      <c r="AH50"/>
      <c r="AI50"/>
    </row>
    <row r="51" spans="1:35" ht="24" customHeight="1" outlineLevel="2" x14ac:dyDescent="0.2">
      <c r="A51" s="908" t="s">
        <v>4750</v>
      </c>
      <c r="B51" s="636" t="s">
        <v>2238</v>
      </c>
      <c r="C51" s="909"/>
      <c r="D51" s="909"/>
      <c r="E51" s="909"/>
      <c r="F51" s="909"/>
      <c r="G51" s="1447">
        <v>2</v>
      </c>
      <c r="H51" s="1446"/>
      <c r="I51" s="1447"/>
      <c r="J51" s="1447" t="s">
        <v>1592</v>
      </c>
      <c r="K51" s="1447"/>
      <c r="L51" s="1447"/>
      <c r="M51" s="897"/>
      <c r="AA51"/>
      <c r="AB51"/>
      <c r="AC51"/>
      <c r="AD51"/>
      <c r="AE51"/>
      <c r="AF51"/>
      <c r="AG51"/>
      <c r="AH51"/>
      <c r="AI51"/>
    </row>
    <row r="52" spans="1:35" s="708" customFormat="1" ht="33.75" outlineLevel="2" x14ac:dyDescent="0.2">
      <c r="A52" s="908" t="s">
        <v>4751</v>
      </c>
      <c r="B52" s="636" t="s">
        <v>1451</v>
      </c>
      <c r="C52" s="909"/>
      <c r="D52" s="909"/>
      <c r="E52" s="909"/>
      <c r="F52" s="909"/>
      <c r="G52" s="1447">
        <v>4</v>
      </c>
      <c r="H52" s="1446"/>
      <c r="I52" s="1447"/>
      <c r="J52" s="1447" t="s">
        <v>1592</v>
      </c>
      <c r="K52" s="1447"/>
      <c r="L52" s="1447"/>
      <c r="M52" s="911"/>
      <c r="N52" s="707"/>
      <c r="O52" s="707"/>
      <c r="P52" s="707"/>
      <c r="Q52" s="707"/>
      <c r="R52" s="707"/>
      <c r="S52" s="707"/>
      <c r="T52" s="707"/>
      <c r="U52" s="707"/>
      <c r="V52" s="707"/>
      <c r="W52" s="707"/>
      <c r="X52" s="707"/>
      <c r="Y52" s="707"/>
      <c r="Z52" s="707"/>
      <c r="AA52"/>
      <c r="AB52"/>
      <c r="AC52"/>
      <c r="AD52"/>
      <c r="AE52"/>
      <c r="AF52"/>
      <c r="AG52"/>
      <c r="AH52"/>
      <c r="AI52"/>
    </row>
    <row r="53" spans="1:35" ht="22.5" outlineLevel="2" x14ac:dyDescent="0.2">
      <c r="A53" s="908" t="s">
        <v>4752</v>
      </c>
      <c r="B53" s="636" t="s">
        <v>6228</v>
      </c>
      <c r="C53" s="909"/>
      <c r="D53" s="909"/>
      <c r="E53" s="909"/>
      <c r="F53" s="909"/>
      <c r="G53" s="1447">
        <v>2</v>
      </c>
      <c r="H53" s="1446">
        <v>3</v>
      </c>
      <c r="I53" s="1447"/>
      <c r="J53" s="1447" t="s">
        <v>1592</v>
      </c>
      <c r="K53" s="1447"/>
      <c r="L53" s="1447"/>
      <c r="M53" s="897"/>
      <c r="AA53"/>
      <c r="AB53"/>
      <c r="AC53"/>
      <c r="AD53"/>
      <c r="AE53"/>
      <c r="AF53"/>
      <c r="AG53"/>
      <c r="AH53"/>
      <c r="AI53"/>
    </row>
    <row r="54" spans="1:35" outlineLevel="2" x14ac:dyDescent="0.2">
      <c r="A54" s="908" t="s">
        <v>4753</v>
      </c>
      <c r="B54" s="636" t="s">
        <v>1452</v>
      </c>
      <c r="C54" s="909"/>
      <c r="D54" s="909"/>
      <c r="E54" s="909"/>
      <c r="F54" s="909"/>
      <c r="G54" s="1447">
        <v>2</v>
      </c>
      <c r="H54" s="1447"/>
      <c r="I54" s="1447"/>
      <c r="J54" s="1447" t="s">
        <v>2109</v>
      </c>
      <c r="K54" s="1447"/>
      <c r="L54" s="1447"/>
      <c r="M54" s="897"/>
      <c r="AA54"/>
      <c r="AB54"/>
      <c r="AC54"/>
      <c r="AD54"/>
      <c r="AE54"/>
      <c r="AF54"/>
      <c r="AG54"/>
      <c r="AH54"/>
      <c r="AI54"/>
    </row>
    <row r="55" spans="1:35" ht="12.75" customHeight="1" outlineLevel="1" x14ac:dyDescent="0.2">
      <c r="A55" s="633" t="s">
        <v>6412</v>
      </c>
      <c r="B55" s="634" t="s">
        <v>1798</v>
      </c>
      <c r="C55" s="909"/>
      <c r="D55" s="909"/>
      <c r="E55" s="909"/>
      <c r="F55" s="909"/>
      <c r="G55" s="1447"/>
      <c r="H55" s="1447"/>
      <c r="I55" s="1447"/>
      <c r="J55" s="1447"/>
      <c r="K55" s="1447"/>
      <c r="L55" s="1447"/>
      <c r="M55" s="897"/>
      <c r="AA55"/>
      <c r="AB55"/>
      <c r="AC55"/>
      <c r="AD55"/>
      <c r="AE55"/>
      <c r="AF55"/>
      <c r="AG55"/>
      <c r="AH55"/>
      <c r="AI55"/>
    </row>
    <row r="56" spans="1:35" outlineLevel="2" x14ac:dyDescent="0.2">
      <c r="A56" s="908" t="s">
        <v>4754</v>
      </c>
      <c r="B56" s="636" t="s">
        <v>6231</v>
      </c>
      <c r="C56" s="909"/>
      <c r="D56" s="909"/>
      <c r="E56" s="909"/>
      <c r="F56" s="909"/>
      <c r="G56" s="1447">
        <v>2</v>
      </c>
      <c r="H56" s="1447"/>
      <c r="I56" s="1447"/>
      <c r="J56" s="1447" t="s">
        <v>1592</v>
      </c>
      <c r="K56" s="1447"/>
      <c r="L56" s="1447"/>
      <c r="M56" s="897"/>
      <c r="AA56"/>
      <c r="AB56"/>
      <c r="AC56"/>
      <c r="AD56"/>
      <c r="AE56"/>
      <c r="AF56"/>
      <c r="AG56"/>
      <c r="AH56"/>
      <c r="AI56"/>
    </row>
    <row r="57" spans="1:35" ht="27.75" customHeight="1" outlineLevel="2" x14ac:dyDescent="0.2">
      <c r="A57" s="908" t="s">
        <v>4755</v>
      </c>
      <c r="B57" s="636" t="s">
        <v>3104</v>
      </c>
      <c r="C57" s="909"/>
      <c r="D57" s="909"/>
      <c r="E57" s="909"/>
      <c r="F57" s="909"/>
      <c r="G57" s="1447">
        <v>3</v>
      </c>
      <c r="H57" s="1447"/>
      <c r="I57" s="1447"/>
      <c r="J57" s="1447" t="s">
        <v>2329</v>
      </c>
      <c r="K57" s="1447"/>
      <c r="L57" s="1447"/>
      <c r="M57" s="897"/>
      <c r="AA57"/>
      <c r="AB57"/>
      <c r="AC57"/>
      <c r="AD57"/>
      <c r="AE57"/>
      <c r="AF57"/>
      <c r="AG57"/>
      <c r="AH57"/>
      <c r="AI57"/>
    </row>
    <row r="58" spans="1:35" ht="24" customHeight="1" outlineLevel="2" x14ac:dyDescent="0.2">
      <c r="A58" s="908" t="s">
        <v>4756</v>
      </c>
      <c r="B58" s="636" t="s">
        <v>2041</v>
      </c>
      <c r="C58" s="909"/>
      <c r="D58" s="909"/>
      <c r="E58" s="909"/>
      <c r="F58" s="909"/>
      <c r="G58" s="1447">
        <v>3</v>
      </c>
      <c r="H58" s="1447"/>
      <c r="I58" s="1447"/>
      <c r="J58" s="1447" t="s">
        <v>2329</v>
      </c>
      <c r="K58" s="1447"/>
      <c r="L58" s="1447"/>
      <c r="M58" s="897"/>
      <c r="AA58"/>
      <c r="AB58"/>
      <c r="AC58"/>
      <c r="AD58"/>
      <c r="AE58"/>
      <c r="AF58"/>
      <c r="AG58"/>
      <c r="AH58"/>
      <c r="AI58"/>
    </row>
    <row r="59" spans="1:35" ht="24" customHeight="1" outlineLevel="2" x14ac:dyDescent="0.2">
      <c r="A59" s="908" t="s">
        <v>4757</v>
      </c>
      <c r="B59" s="636" t="s">
        <v>1035</v>
      </c>
      <c r="C59" s="909"/>
      <c r="D59" s="909"/>
      <c r="E59" s="909"/>
      <c r="F59" s="909"/>
      <c r="G59" s="1447">
        <v>2</v>
      </c>
      <c r="H59" s="1447"/>
      <c r="I59" s="1447"/>
      <c r="J59" s="1447" t="s">
        <v>2349</v>
      </c>
      <c r="K59" s="1447"/>
      <c r="L59" s="1447"/>
      <c r="M59" s="897"/>
      <c r="AA59"/>
      <c r="AB59"/>
      <c r="AC59"/>
      <c r="AD59"/>
      <c r="AE59"/>
      <c r="AF59"/>
      <c r="AG59"/>
      <c r="AH59"/>
      <c r="AI59"/>
    </row>
    <row r="60" spans="1:35" ht="22.5" outlineLevel="2" x14ac:dyDescent="0.2">
      <c r="A60" s="908" t="s">
        <v>4758</v>
      </c>
      <c r="B60" s="636" t="s">
        <v>2042</v>
      </c>
      <c r="C60" s="909"/>
      <c r="D60" s="909"/>
      <c r="E60" s="909"/>
      <c r="F60" s="909"/>
      <c r="G60" s="1447">
        <v>2</v>
      </c>
      <c r="H60" s="1447">
        <v>3</v>
      </c>
      <c r="I60" s="1447"/>
      <c r="J60" s="1447" t="s">
        <v>2329</v>
      </c>
      <c r="K60" s="1447"/>
      <c r="L60" s="1447"/>
      <c r="M60" s="897"/>
      <c r="AA60"/>
      <c r="AB60"/>
      <c r="AC60"/>
      <c r="AD60"/>
      <c r="AE60"/>
      <c r="AF60"/>
      <c r="AG60"/>
      <c r="AH60"/>
      <c r="AI60"/>
    </row>
    <row r="61" spans="1:35" ht="22.5" outlineLevel="2" x14ac:dyDescent="0.2">
      <c r="A61" s="908" t="s">
        <v>4759</v>
      </c>
      <c r="B61" s="636" t="s">
        <v>3867</v>
      </c>
      <c r="C61" s="909"/>
      <c r="D61" s="909"/>
      <c r="E61" s="909"/>
      <c r="F61" s="909"/>
      <c r="G61" s="1447">
        <v>4</v>
      </c>
      <c r="H61" s="1447">
        <v>4</v>
      </c>
      <c r="I61" s="1447"/>
      <c r="J61" s="1447" t="s">
        <v>1592</v>
      </c>
      <c r="K61" s="1447"/>
      <c r="L61" s="1447"/>
      <c r="M61" s="897"/>
      <c r="AA61"/>
      <c r="AB61"/>
      <c r="AC61"/>
      <c r="AD61"/>
      <c r="AE61"/>
      <c r="AF61"/>
      <c r="AG61"/>
      <c r="AH61"/>
      <c r="AI61"/>
    </row>
    <row r="62" spans="1:35" ht="22.5" outlineLevel="2" x14ac:dyDescent="0.2">
      <c r="A62" s="908" t="s">
        <v>4760</v>
      </c>
      <c r="B62" s="636" t="s">
        <v>6120</v>
      </c>
      <c r="C62" s="909"/>
      <c r="D62" s="909"/>
      <c r="E62" s="909"/>
      <c r="F62" s="909"/>
      <c r="G62" s="1447">
        <v>4</v>
      </c>
      <c r="H62" s="1447">
        <v>3</v>
      </c>
      <c r="I62" s="1447"/>
      <c r="J62" s="1447" t="s">
        <v>2329</v>
      </c>
      <c r="K62" s="1447"/>
      <c r="L62" s="1447"/>
      <c r="M62" s="897"/>
      <c r="AA62"/>
      <c r="AB62"/>
      <c r="AC62"/>
      <c r="AD62"/>
      <c r="AE62"/>
      <c r="AF62"/>
      <c r="AG62"/>
      <c r="AH62"/>
      <c r="AI62"/>
    </row>
    <row r="63" spans="1:35" ht="22.5" outlineLevel="2" x14ac:dyDescent="0.2">
      <c r="A63" s="908" t="s">
        <v>5527</v>
      </c>
      <c r="B63" s="636" t="s">
        <v>1046</v>
      </c>
      <c r="C63" s="909"/>
      <c r="D63" s="909"/>
      <c r="E63" s="909"/>
      <c r="F63" s="909"/>
      <c r="G63" s="1447">
        <v>2</v>
      </c>
      <c r="H63" s="1447"/>
      <c r="I63" s="1447"/>
      <c r="J63" s="1447" t="s">
        <v>2329</v>
      </c>
      <c r="K63" s="1447"/>
      <c r="L63" s="1447"/>
      <c r="M63" s="897"/>
      <c r="AA63"/>
      <c r="AB63"/>
      <c r="AC63"/>
      <c r="AD63"/>
      <c r="AE63"/>
      <c r="AF63"/>
      <c r="AG63"/>
      <c r="AH63"/>
      <c r="AI63"/>
    </row>
    <row r="64" spans="1:35" outlineLevel="2" x14ac:dyDescent="0.2">
      <c r="A64" s="908" t="s">
        <v>5528</v>
      </c>
      <c r="B64" s="636" t="s">
        <v>6442</v>
      </c>
      <c r="C64" s="909"/>
      <c r="D64" s="909"/>
      <c r="E64" s="909"/>
      <c r="F64" s="909"/>
      <c r="G64" s="1447">
        <v>2</v>
      </c>
      <c r="H64" s="1447">
        <v>3</v>
      </c>
      <c r="I64" s="1447"/>
      <c r="J64" s="1447" t="s">
        <v>2329</v>
      </c>
      <c r="K64" s="1447"/>
      <c r="L64" s="1447"/>
      <c r="M64" s="897"/>
      <c r="AA64"/>
      <c r="AB64"/>
      <c r="AC64"/>
      <c r="AD64"/>
      <c r="AE64"/>
      <c r="AF64"/>
      <c r="AG64"/>
      <c r="AH64"/>
      <c r="AI64"/>
    </row>
    <row r="65" spans="1:35" ht="33.75" outlineLevel="2" x14ac:dyDescent="0.2">
      <c r="A65" s="908" t="s">
        <v>5529</v>
      </c>
      <c r="B65" s="636" t="s">
        <v>6174</v>
      </c>
      <c r="C65" s="909"/>
      <c r="D65" s="909"/>
      <c r="E65" s="909"/>
      <c r="F65" s="909"/>
      <c r="G65" s="1447">
        <v>4</v>
      </c>
      <c r="H65" s="1447">
        <v>4</v>
      </c>
      <c r="I65" s="1447"/>
      <c r="J65" s="1447" t="s">
        <v>2329</v>
      </c>
      <c r="K65" s="1447"/>
      <c r="L65" s="1447"/>
      <c r="M65" s="897"/>
      <c r="AA65"/>
      <c r="AB65"/>
      <c r="AC65"/>
      <c r="AD65"/>
      <c r="AE65"/>
      <c r="AF65"/>
      <c r="AG65"/>
      <c r="AH65"/>
      <c r="AI65"/>
    </row>
    <row r="66" spans="1:35" ht="33.75" outlineLevel="2" x14ac:dyDescent="0.2">
      <c r="A66" s="908" t="s">
        <v>1221</v>
      </c>
      <c r="B66" s="636" t="s">
        <v>6634</v>
      </c>
      <c r="C66" s="909"/>
      <c r="D66" s="909"/>
      <c r="E66" s="909"/>
      <c r="F66" s="909"/>
      <c r="G66" s="1447">
        <v>4</v>
      </c>
      <c r="H66" s="1447">
        <v>3</v>
      </c>
      <c r="I66" s="1447"/>
      <c r="J66" s="1447" t="s">
        <v>4246</v>
      </c>
      <c r="K66" s="1447"/>
      <c r="L66" s="1447"/>
      <c r="M66" s="897"/>
      <c r="AA66"/>
      <c r="AB66"/>
      <c r="AC66"/>
      <c r="AD66"/>
      <c r="AE66"/>
      <c r="AF66"/>
      <c r="AG66"/>
      <c r="AH66"/>
      <c r="AI66"/>
    </row>
    <row r="67" spans="1:35" ht="22.5" outlineLevel="2" x14ac:dyDescent="0.2">
      <c r="A67" s="908" t="s">
        <v>3102</v>
      </c>
      <c r="B67" s="636" t="s">
        <v>6638</v>
      </c>
      <c r="C67" s="909"/>
      <c r="D67" s="909"/>
      <c r="E67" s="909"/>
      <c r="F67" s="909"/>
      <c r="G67" s="1447">
        <v>2</v>
      </c>
      <c r="H67" s="1447"/>
      <c r="I67" s="1447"/>
      <c r="J67" s="1447" t="s">
        <v>2349</v>
      </c>
      <c r="K67" s="1447"/>
      <c r="L67" s="1447"/>
      <c r="M67" s="897"/>
      <c r="AA67"/>
      <c r="AB67"/>
      <c r="AC67"/>
      <c r="AD67"/>
      <c r="AE67"/>
      <c r="AF67"/>
      <c r="AG67"/>
      <c r="AH67"/>
      <c r="AI67"/>
    </row>
    <row r="68" spans="1:35" ht="22.5" outlineLevel="2" x14ac:dyDescent="0.2">
      <c r="A68" s="908" t="s">
        <v>3103</v>
      </c>
      <c r="B68" s="636" t="s">
        <v>1401</v>
      </c>
      <c r="C68" s="909"/>
      <c r="D68" s="909"/>
      <c r="E68" s="909"/>
      <c r="F68" s="909"/>
      <c r="G68" s="1447">
        <v>3</v>
      </c>
      <c r="H68" s="1447"/>
      <c r="I68" s="1447"/>
      <c r="J68" s="1447" t="s">
        <v>1592</v>
      </c>
      <c r="K68" s="1447"/>
      <c r="L68" s="1447"/>
      <c r="M68" s="897"/>
      <c r="AA68"/>
      <c r="AB68"/>
      <c r="AC68"/>
      <c r="AD68"/>
      <c r="AE68"/>
      <c r="AF68"/>
      <c r="AG68"/>
      <c r="AH68"/>
      <c r="AI68"/>
    </row>
    <row r="69" spans="1:35" ht="33.75" outlineLevel="2" x14ac:dyDescent="0.2">
      <c r="A69" s="908" t="s">
        <v>1044</v>
      </c>
      <c r="B69" s="636" t="s">
        <v>1021</v>
      </c>
      <c r="C69" s="909"/>
      <c r="D69" s="909"/>
      <c r="E69" s="909"/>
      <c r="F69" s="909"/>
      <c r="G69" s="1447">
        <v>3</v>
      </c>
      <c r="H69" s="1447"/>
      <c r="I69" s="1447"/>
      <c r="J69" s="1447" t="s">
        <v>2109</v>
      </c>
      <c r="K69" s="1447"/>
      <c r="L69" s="1447"/>
      <c r="M69" s="897"/>
      <c r="AA69"/>
      <c r="AB69"/>
      <c r="AC69"/>
      <c r="AD69"/>
      <c r="AE69"/>
      <c r="AF69"/>
      <c r="AG69"/>
      <c r="AH69"/>
      <c r="AI69"/>
    </row>
    <row r="70" spans="1:35" outlineLevel="2" x14ac:dyDescent="0.2">
      <c r="A70" s="908" t="s">
        <v>1045</v>
      </c>
      <c r="B70" s="636" t="s">
        <v>1799</v>
      </c>
      <c r="C70" s="909"/>
      <c r="D70" s="909"/>
      <c r="E70" s="909"/>
      <c r="F70" s="909"/>
      <c r="G70" s="1447">
        <v>2</v>
      </c>
      <c r="H70" s="1447"/>
      <c r="I70" s="1447"/>
      <c r="J70" s="1447" t="s">
        <v>2109</v>
      </c>
      <c r="K70" s="1447"/>
      <c r="L70" s="1447"/>
      <c r="M70" s="897"/>
      <c r="AA70"/>
      <c r="AB70"/>
      <c r="AC70"/>
      <c r="AD70"/>
      <c r="AE70"/>
      <c r="AF70"/>
      <c r="AG70"/>
      <c r="AH70"/>
      <c r="AI70"/>
    </row>
    <row r="71" spans="1:35" ht="13.5" customHeight="1" outlineLevel="1" x14ac:dyDescent="0.2">
      <c r="A71" s="633" t="s">
        <v>6413</v>
      </c>
      <c r="B71" s="634" t="s">
        <v>3230</v>
      </c>
      <c r="C71" s="909"/>
      <c r="D71" s="909"/>
      <c r="E71" s="909"/>
      <c r="F71" s="909"/>
      <c r="G71" s="1447"/>
      <c r="H71" s="1447"/>
      <c r="I71" s="1447"/>
      <c r="J71" s="1447"/>
      <c r="K71" s="1447"/>
      <c r="L71" s="1447"/>
      <c r="M71" s="897"/>
      <c r="AA71"/>
      <c r="AB71"/>
      <c r="AC71"/>
      <c r="AD71"/>
      <c r="AE71"/>
      <c r="AF71"/>
      <c r="AG71"/>
      <c r="AH71"/>
      <c r="AI71"/>
    </row>
    <row r="72" spans="1:35" ht="22.5" outlineLevel="2" x14ac:dyDescent="0.2">
      <c r="A72" s="908" t="s">
        <v>4761</v>
      </c>
      <c r="B72" s="636" t="s">
        <v>2319</v>
      </c>
      <c r="C72" s="909"/>
      <c r="D72" s="909"/>
      <c r="E72" s="909"/>
      <c r="F72" s="909"/>
      <c r="G72" s="1447">
        <v>2</v>
      </c>
      <c r="H72" s="1447"/>
      <c r="I72" s="1447"/>
      <c r="J72" s="1447" t="s">
        <v>4246</v>
      </c>
      <c r="K72" s="1447"/>
      <c r="L72" s="1447"/>
      <c r="M72" s="897"/>
      <c r="AA72"/>
      <c r="AB72"/>
      <c r="AC72"/>
      <c r="AD72"/>
      <c r="AE72"/>
      <c r="AF72"/>
      <c r="AG72"/>
      <c r="AH72"/>
      <c r="AI72"/>
    </row>
    <row r="73" spans="1:35" outlineLevel="2" x14ac:dyDescent="0.2">
      <c r="A73" s="908" t="s">
        <v>4762</v>
      </c>
      <c r="B73" s="636" t="s">
        <v>2137</v>
      </c>
      <c r="C73" s="909"/>
      <c r="D73" s="909"/>
      <c r="E73" s="909"/>
      <c r="F73" s="909"/>
      <c r="G73" s="1447">
        <v>3</v>
      </c>
      <c r="H73" s="1447"/>
      <c r="I73" s="1447"/>
      <c r="J73" s="1447" t="s">
        <v>1592</v>
      </c>
      <c r="K73" s="1447"/>
      <c r="L73" s="1447"/>
      <c r="M73" s="897"/>
      <c r="AA73"/>
      <c r="AB73"/>
      <c r="AC73"/>
      <c r="AD73"/>
      <c r="AE73"/>
      <c r="AF73"/>
      <c r="AG73"/>
      <c r="AH73"/>
      <c r="AI73"/>
    </row>
    <row r="74" spans="1:35" ht="22.5" outlineLevel="2" x14ac:dyDescent="0.2">
      <c r="A74" s="908" t="s">
        <v>1036</v>
      </c>
      <c r="B74" s="636" t="s">
        <v>2086</v>
      </c>
      <c r="C74" s="909"/>
      <c r="D74" s="909"/>
      <c r="E74" s="909"/>
      <c r="F74" s="909"/>
      <c r="G74" s="1447">
        <v>4</v>
      </c>
      <c r="H74" s="1447"/>
      <c r="I74" s="1447"/>
      <c r="J74" s="1447" t="s">
        <v>1592</v>
      </c>
      <c r="K74" s="1447"/>
      <c r="L74" s="1447"/>
      <c r="M74" s="897"/>
      <c r="AA74"/>
      <c r="AB74"/>
      <c r="AC74"/>
      <c r="AD74"/>
      <c r="AE74"/>
      <c r="AF74"/>
      <c r="AG74"/>
      <c r="AH74"/>
      <c r="AI74"/>
    </row>
    <row r="75" spans="1:35" ht="26.25" customHeight="1" outlineLevel="2" x14ac:dyDescent="0.2">
      <c r="A75" s="908" t="s">
        <v>1037</v>
      </c>
      <c r="B75" s="636" t="s">
        <v>6659</v>
      </c>
      <c r="C75" s="909"/>
      <c r="D75" s="909"/>
      <c r="E75" s="909"/>
      <c r="F75" s="909"/>
      <c r="G75" s="1447">
        <v>2</v>
      </c>
      <c r="H75" s="1447"/>
      <c r="I75" s="1447"/>
      <c r="J75" s="1447" t="s">
        <v>2329</v>
      </c>
      <c r="K75" s="1447"/>
      <c r="L75" s="1447"/>
      <c r="M75" s="897"/>
      <c r="AA75"/>
      <c r="AB75"/>
      <c r="AC75"/>
      <c r="AD75"/>
      <c r="AE75"/>
      <c r="AF75"/>
      <c r="AG75"/>
      <c r="AH75"/>
      <c r="AI75"/>
    </row>
    <row r="76" spans="1:35" ht="15.75" customHeight="1" outlineLevel="2" x14ac:dyDescent="0.2">
      <c r="A76" s="908" t="s">
        <v>1038</v>
      </c>
      <c r="B76" s="636" t="s">
        <v>6660</v>
      </c>
      <c r="C76" s="909"/>
      <c r="D76" s="909"/>
      <c r="E76" s="909"/>
      <c r="F76" s="909"/>
      <c r="G76" s="1447">
        <v>2</v>
      </c>
      <c r="H76" s="1447"/>
      <c r="I76" s="1447"/>
      <c r="J76" s="1447" t="s">
        <v>1592</v>
      </c>
      <c r="K76" s="1447"/>
      <c r="L76" s="1447"/>
      <c r="M76" s="897"/>
      <c r="AA76"/>
      <c r="AB76"/>
      <c r="AC76"/>
      <c r="AD76"/>
      <c r="AE76"/>
      <c r="AF76"/>
      <c r="AG76"/>
      <c r="AH76"/>
      <c r="AI76"/>
    </row>
    <row r="77" spans="1:35" ht="22.5" outlineLevel="2" x14ac:dyDescent="0.2">
      <c r="A77" s="908" t="s">
        <v>1039</v>
      </c>
      <c r="B77" s="636" t="s">
        <v>6661</v>
      </c>
      <c r="C77" s="909"/>
      <c r="D77" s="909"/>
      <c r="E77" s="909"/>
      <c r="F77" s="909"/>
      <c r="G77" s="1447">
        <v>2</v>
      </c>
      <c r="H77" s="1447"/>
      <c r="I77" s="1447"/>
      <c r="J77" s="1447" t="s">
        <v>2329</v>
      </c>
      <c r="K77" s="1447"/>
      <c r="L77" s="1447"/>
      <c r="M77" s="897"/>
      <c r="AA77"/>
      <c r="AB77"/>
      <c r="AC77"/>
      <c r="AD77"/>
      <c r="AE77"/>
      <c r="AF77"/>
      <c r="AG77"/>
      <c r="AH77"/>
      <c r="AI77"/>
    </row>
    <row r="78" spans="1:35" ht="36" customHeight="1" outlineLevel="2" x14ac:dyDescent="0.2">
      <c r="A78" s="908" t="s">
        <v>1040</v>
      </c>
      <c r="B78" s="636" t="s">
        <v>5748</v>
      </c>
      <c r="C78" s="909"/>
      <c r="D78" s="909"/>
      <c r="E78" s="909"/>
      <c r="F78" s="909"/>
      <c r="G78" s="1447">
        <v>2</v>
      </c>
      <c r="H78" s="1447"/>
      <c r="I78" s="1447"/>
      <c r="J78" s="1447" t="s">
        <v>2109</v>
      </c>
      <c r="K78" s="1447"/>
      <c r="L78" s="1447"/>
      <c r="M78" s="897"/>
      <c r="AA78"/>
      <c r="AB78"/>
      <c r="AC78"/>
      <c r="AD78"/>
      <c r="AE78"/>
      <c r="AF78"/>
      <c r="AG78"/>
      <c r="AH78"/>
      <c r="AI78"/>
    </row>
    <row r="79" spans="1:35" outlineLevel="2" x14ac:dyDescent="0.2">
      <c r="A79" s="908" t="s">
        <v>1041</v>
      </c>
      <c r="B79" s="636" t="s">
        <v>2090</v>
      </c>
      <c r="C79" s="909"/>
      <c r="D79" s="909"/>
      <c r="E79" s="909"/>
      <c r="F79" s="909"/>
      <c r="G79" s="1447">
        <v>3</v>
      </c>
      <c r="H79" s="1447"/>
      <c r="I79" s="1447"/>
      <c r="J79" s="1447" t="s">
        <v>1592</v>
      </c>
      <c r="K79" s="1447"/>
      <c r="L79" s="1447"/>
      <c r="M79" s="897"/>
      <c r="AA79"/>
      <c r="AB79"/>
      <c r="AC79"/>
      <c r="AD79"/>
      <c r="AE79"/>
      <c r="AF79"/>
      <c r="AG79"/>
      <c r="AH79"/>
      <c r="AI79"/>
    </row>
    <row r="80" spans="1:35" outlineLevel="2" x14ac:dyDescent="0.2">
      <c r="A80" s="908" t="s">
        <v>1042</v>
      </c>
      <c r="B80" s="636" t="s">
        <v>2091</v>
      </c>
      <c r="C80" s="909"/>
      <c r="D80" s="909"/>
      <c r="E80" s="909"/>
      <c r="F80" s="909"/>
      <c r="G80" s="1447">
        <v>2</v>
      </c>
      <c r="H80" s="1447"/>
      <c r="I80" s="1447"/>
      <c r="J80" s="1447" t="s">
        <v>2329</v>
      </c>
      <c r="K80" s="1447"/>
      <c r="L80" s="1447"/>
      <c r="M80" s="897"/>
      <c r="AA80"/>
      <c r="AB80"/>
      <c r="AC80"/>
      <c r="AD80"/>
      <c r="AE80"/>
      <c r="AF80"/>
      <c r="AG80"/>
      <c r="AH80"/>
      <c r="AI80"/>
    </row>
    <row r="81" spans="1:35" ht="22.5" outlineLevel="2" x14ac:dyDescent="0.2">
      <c r="A81" s="908" t="s">
        <v>1043</v>
      </c>
      <c r="B81" s="636" t="s">
        <v>2095</v>
      </c>
      <c r="C81" s="909"/>
      <c r="D81" s="909"/>
      <c r="E81" s="909"/>
      <c r="F81" s="909"/>
      <c r="G81" s="1447">
        <v>4</v>
      </c>
      <c r="H81" s="1447"/>
      <c r="I81" s="1447"/>
      <c r="J81" s="1447" t="s">
        <v>2349</v>
      </c>
      <c r="K81" s="1447"/>
      <c r="L81" s="1447"/>
      <c r="M81" s="897"/>
      <c r="AA81"/>
      <c r="AB81"/>
      <c r="AC81"/>
      <c r="AD81"/>
      <c r="AE81"/>
      <c r="AF81"/>
      <c r="AG81"/>
      <c r="AH81"/>
      <c r="AI81"/>
    </row>
    <row r="82" spans="1:35" outlineLevel="1" x14ac:dyDescent="0.2">
      <c r="A82" s="633" t="s">
        <v>3119</v>
      </c>
      <c r="B82" s="634" t="s">
        <v>2169</v>
      </c>
      <c r="C82" s="909"/>
      <c r="D82" s="909"/>
      <c r="E82" s="909"/>
      <c r="F82" s="909"/>
      <c r="G82" s="1447"/>
      <c r="H82" s="1447"/>
      <c r="I82" s="1447"/>
      <c r="J82" s="1447"/>
      <c r="K82" s="1447"/>
      <c r="L82" s="1447"/>
      <c r="M82" s="897"/>
      <c r="AA82"/>
      <c r="AB82"/>
      <c r="AC82"/>
      <c r="AD82"/>
      <c r="AE82"/>
      <c r="AF82"/>
      <c r="AG82"/>
      <c r="AH82"/>
      <c r="AI82"/>
    </row>
    <row r="83" spans="1:35" ht="46.5" customHeight="1" outlineLevel="2" x14ac:dyDescent="0.2">
      <c r="A83" s="908" t="s">
        <v>4763</v>
      </c>
      <c r="B83" s="636" t="s">
        <v>6280</v>
      </c>
      <c r="C83" s="909"/>
      <c r="D83" s="909"/>
      <c r="E83" s="909"/>
      <c r="F83" s="909"/>
      <c r="G83" s="1447">
        <v>2</v>
      </c>
      <c r="H83" s="1447"/>
      <c r="I83" s="1447"/>
      <c r="J83" s="1447" t="s">
        <v>1592</v>
      </c>
      <c r="K83" s="1447"/>
      <c r="L83" s="1447"/>
      <c r="M83" s="897"/>
      <c r="AA83"/>
      <c r="AB83"/>
      <c r="AC83"/>
      <c r="AD83"/>
      <c r="AE83"/>
      <c r="AF83"/>
      <c r="AG83"/>
      <c r="AH83"/>
      <c r="AI83"/>
    </row>
    <row r="84" spans="1:35" ht="45" outlineLevel="2" x14ac:dyDescent="0.2">
      <c r="A84" s="908" t="s">
        <v>4764</v>
      </c>
      <c r="B84" s="636" t="s">
        <v>5715</v>
      </c>
      <c r="C84" s="909"/>
      <c r="D84" s="909"/>
      <c r="E84" s="909"/>
      <c r="F84" s="909"/>
      <c r="G84" s="1447">
        <v>2</v>
      </c>
      <c r="H84" s="1447"/>
      <c r="I84" s="1447"/>
      <c r="J84" s="1447" t="s">
        <v>1592</v>
      </c>
      <c r="K84" s="1447"/>
      <c r="L84" s="1447"/>
      <c r="M84" s="897"/>
      <c r="AA84"/>
      <c r="AB84"/>
      <c r="AC84"/>
      <c r="AD84"/>
      <c r="AE84"/>
      <c r="AF84"/>
      <c r="AG84"/>
      <c r="AH84"/>
      <c r="AI84"/>
    </row>
    <row r="85" spans="1:35" ht="22.5" outlineLevel="2" x14ac:dyDescent="0.2">
      <c r="A85" s="908" t="s">
        <v>4765</v>
      </c>
      <c r="B85" s="636" t="s">
        <v>1506</v>
      </c>
      <c r="C85" s="909"/>
      <c r="D85" s="909"/>
      <c r="E85" s="909"/>
      <c r="F85" s="909"/>
      <c r="G85" s="1447">
        <v>3</v>
      </c>
      <c r="H85" s="1447"/>
      <c r="I85" s="1447"/>
      <c r="J85" s="1447" t="s">
        <v>1592</v>
      </c>
      <c r="K85" s="1447"/>
      <c r="L85" s="1447"/>
      <c r="M85" s="897"/>
      <c r="AA85"/>
      <c r="AB85"/>
      <c r="AC85"/>
      <c r="AD85"/>
      <c r="AE85"/>
      <c r="AF85"/>
      <c r="AG85"/>
      <c r="AH85"/>
      <c r="AI85"/>
    </row>
    <row r="86" spans="1:35" ht="22.5" outlineLevel="2" x14ac:dyDescent="0.2">
      <c r="A86" s="908" t="s">
        <v>4766</v>
      </c>
      <c r="B86" s="636" t="s">
        <v>4746</v>
      </c>
      <c r="C86" s="909"/>
      <c r="D86" s="909"/>
      <c r="E86" s="909"/>
      <c r="F86" s="909"/>
      <c r="G86" s="1447">
        <v>2</v>
      </c>
      <c r="H86" s="1447"/>
      <c r="I86" s="1447"/>
      <c r="J86" s="1447" t="s">
        <v>1592</v>
      </c>
      <c r="K86" s="1447"/>
      <c r="L86" s="1447"/>
      <c r="M86" s="897"/>
      <c r="AA86"/>
      <c r="AB86"/>
      <c r="AC86"/>
      <c r="AD86"/>
      <c r="AE86"/>
      <c r="AF86"/>
      <c r="AG86"/>
      <c r="AH86"/>
      <c r="AI86"/>
    </row>
    <row r="87" spans="1:35" ht="22.5" outlineLevel="2" x14ac:dyDescent="0.2">
      <c r="A87" s="908" t="s">
        <v>4767</v>
      </c>
      <c r="B87" s="636" t="s">
        <v>3132</v>
      </c>
      <c r="C87" s="909"/>
      <c r="D87" s="909"/>
      <c r="E87" s="909"/>
      <c r="F87" s="909"/>
      <c r="G87" s="1447">
        <v>3</v>
      </c>
      <c r="H87" s="1447"/>
      <c r="I87" s="1447"/>
      <c r="J87" s="1447" t="s">
        <v>1592</v>
      </c>
      <c r="K87" s="1447"/>
      <c r="L87" s="1447"/>
      <c r="M87" s="897"/>
      <c r="AA87"/>
      <c r="AB87"/>
      <c r="AC87"/>
      <c r="AD87"/>
      <c r="AE87"/>
      <c r="AF87"/>
      <c r="AG87"/>
      <c r="AH87"/>
      <c r="AI87"/>
    </row>
    <row r="88" spans="1:35" ht="33.75" outlineLevel="2" x14ac:dyDescent="0.2">
      <c r="A88" s="908" t="s">
        <v>4768</v>
      </c>
      <c r="B88" s="636" t="s">
        <v>4130</v>
      </c>
      <c r="C88" s="909"/>
      <c r="D88" s="909"/>
      <c r="E88" s="909"/>
      <c r="F88" s="909"/>
      <c r="G88" s="1447">
        <v>2</v>
      </c>
      <c r="H88" s="1447"/>
      <c r="I88" s="1447"/>
      <c r="J88" s="1447" t="s">
        <v>2349</v>
      </c>
      <c r="K88" s="1447"/>
      <c r="L88" s="1447"/>
      <c r="M88" s="897"/>
      <c r="AA88"/>
      <c r="AB88"/>
      <c r="AC88"/>
      <c r="AD88"/>
      <c r="AE88"/>
      <c r="AF88"/>
      <c r="AG88"/>
      <c r="AH88"/>
      <c r="AI88"/>
    </row>
    <row r="89" spans="1:35" ht="22.5" outlineLevel="2" x14ac:dyDescent="0.2">
      <c r="A89" s="908" t="s">
        <v>4769</v>
      </c>
      <c r="B89" s="636" t="s">
        <v>4123</v>
      </c>
      <c r="C89" s="909"/>
      <c r="D89" s="909"/>
      <c r="E89" s="909"/>
      <c r="F89" s="909"/>
      <c r="G89" s="1447">
        <v>3</v>
      </c>
      <c r="H89" s="1447"/>
      <c r="I89" s="1447"/>
      <c r="J89" s="1447" t="s">
        <v>2107</v>
      </c>
      <c r="K89" s="1447"/>
      <c r="L89" s="1447"/>
      <c r="M89" s="897"/>
      <c r="AA89"/>
      <c r="AB89"/>
      <c r="AC89"/>
      <c r="AD89"/>
      <c r="AE89"/>
      <c r="AF89"/>
      <c r="AG89"/>
      <c r="AH89"/>
      <c r="AI89"/>
    </row>
    <row r="90" spans="1:35" ht="22.5" outlineLevel="2" x14ac:dyDescent="0.2">
      <c r="A90" s="908" t="s">
        <v>5530</v>
      </c>
      <c r="B90" s="636" t="s">
        <v>4831</v>
      </c>
      <c r="C90" s="909"/>
      <c r="D90" s="909"/>
      <c r="E90" s="909"/>
      <c r="F90" s="909"/>
      <c r="G90" s="1447">
        <v>3</v>
      </c>
      <c r="H90" s="1447"/>
      <c r="I90" s="1447"/>
      <c r="J90" s="1447" t="s">
        <v>2109</v>
      </c>
      <c r="K90" s="1447"/>
      <c r="L90" s="1447"/>
      <c r="M90" s="897"/>
      <c r="AA90"/>
      <c r="AB90"/>
      <c r="AC90"/>
      <c r="AD90"/>
      <c r="AE90"/>
      <c r="AF90"/>
      <c r="AG90"/>
      <c r="AH90"/>
      <c r="AI90"/>
    </row>
    <row r="91" spans="1:35" outlineLevel="1" x14ac:dyDescent="0.2">
      <c r="A91" s="633" t="s">
        <v>3120</v>
      </c>
      <c r="B91" s="634" t="s">
        <v>4147</v>
      </c>
      <c r="C91" s="909"/>
      <c r="D91" s="909"/>
      <c r="E91" s="909"/>
      <c r="F91" s="909"/>
      <c r="G91" s="1447"/>
      <c r="H91" s="1447"/>
      <c r="I91" s="1447"/>
      <c r="J91" s="1447"/>
      <c r="K91" s="1447"/>
      <c r="L91" s="1447"/>
      <c r="M91" s="897"/>
      <c r="AA91"/>
      <c r="AB91"/>
      <c r="AC91"/>
      <c r="AD91"/>
      <c r="AE91"/>
      <c r="AF91"/>
      <c r="AG91"/>
      <c r="AH91"/>
      <c r="AI91"/>
    </row>
    <row r="92" spans="1:35" ht="33.75" outlineLevel="2" x14ac:dyDescent="0.2">
      <c r="A92" s="908" t="s">
        <v>4770</v>
      </c>
      <c r="B92" s="636" t="s">
        <v>4832</v>
      </c>
      <c r="C92" s="909"/>
      <c r="D92" s="909"/>
      <c r="E92" s="909"/>
      <c r="F92" s="909"/>
      <c r="G92" s="1447">
        <v>4</v>
      </c>
      <c r="H92" s="1447">
        <v>3</v>
      </c>
      <c r="I92" s="1447"/>
      <c r="J92" s="1447" t="s">
        <v>1592</v>
      </c>
      <c r="K92" s="1447"/>
      <c r="L92" s="1447"/>
      <c r="M92" s="897"/>
      <c r="AA92"/>
      <c r="AB92"/>
      <c r="AC92"/>
      <c r="AD92"/>
      <c r="AE92"/>
      <c r="AF92"/>
      <c r="AG92"/>
      <c r="AH92"/>
      <c r="AI92"/>
    </row>
    <row r="93" spans="1:35" ht="22.5" outlineLevel="2" x14ac:dyDescent="0.2">
      <c r="A93" s="908" t="s">
        <v>4771</v>
      </c>
      <c r="B93" s="636" t="s">
        <v>4858</v>
      </c>
      <c r="C93" s="909"/>
      <c r="D93" s="909"/>
      <c r="E93" s="909"/>
      <c r="F93" s="909"/>
      <c r="G93" s="1447">
        <v>4</v>
      </c>
      <c r="H93" s="1447"/>
      <c r="I93" s="1447"/>
      <c r="J93" s="1447" t="s">
        <v>1592</v>
      </c>
      <c r="K93" s="1447"/>
      <c r="L93" s="1447"/>
      <c r="M93" s="897"/>
      <c r="AA93"/>
      <c r="AB93"/>
      <c r="AC93"/>
      <c r="AD93"/>
      <c r="AE93"/>
      <c r="AF93"/>
      <c r="AG93"/>
      <c r="AH93"/>
      <c r="AI93"/>
    </row>
    <row r="94" spans="1:35" ht="22.5" outlineLevel="2" x14ac:dyDescent="0.2">
      <c r="A94" s="908" t="s">
        <v>4772</v>
      </c>
      <c r="B94" s="636" t="s">
        <v>3132</v>
      </c>
      <c r="C94" s="909"/>
      <c r="D94" s="909"/>
      <c r="E94" s="909"/>
      <c r="F94" s="909"/>
      <c r="G94" s="1447">
        <v>3</v>
      </c>
      <c r="H94" s="1447"/>
      <c r="I94" s="1447"/>
      <c r="J94" s="1447" t="s">
        <v>1592</v>
      </c>
      <c r="K94" s="1447"/>
      <c r="L94" s="1447"/>
      <c r="M94" s="897"/>
      <c r="AA94"/>
      <c r="AB94"/>
      <c r="AC94"/>
      <c r="AD94"/>
      <c r="AE94"/>
      <c r="AF94"/>
      <c r="AG94"/>
      <c r="AH94"/>
      <c r="AI94"/>
    </row>
    <row r="95" spans="1:35" outlineLevel="2" x14ac:dyDescent="0.2">
      <c r="A95" s="908" t="s">
        <v>4773</v>
      </c>
      <c r="B95" s="636" t="s">
        <v>4861</v>
      </c>
      <c r="C95" s="909"/>
      <c r="D95" s="909"/>
      <c r="E95" s="909"/>
      <c r="F95" s="909"/>
      <c r="G95" s="1448">
        <v>2</v>
      </c>
      <c r="H95" s="1448"/>
      <c r="I95" s="1447"/>
      <c r="J95" s="1447" t="s">
        <v>1592</v>
      </c>
      <c r="K95" s="1447"/>
      <c r="L95" s="1447"/>
      <c r="M95" s="897"/>
      <c r="AA95"/>
      <c r="AB95"/>
      <c r="AC95"/>
      <c r="AD95"/>
      <c r="AE95"/>
      <c r="AF95"/>
      <c r="AG95"/>
      <c r="AH95"/>
      <c r="AI95"/>
    </row>
    <row r="96" spans="1:35" ht="22.35" customHeight="1" outlineLevel="2" x14ac:dyDescent="0.2">
      <c r="A96" s="908" t="s">
        <v>4774</v>
      </c>
      <c r="B96" s="636" t="s">
        <v>2386</v>
      </c>
      <c r="C96" s="909"/>
      <c r="D96" s="909"/>
      <c r="E96" s="909"/>
      <c r="F96" s="909"/>
      <c r="G96" s="1447">
        <v>2</v>
      </c>
      <c r="H96" s="1447"/>
      <c r="I96" s="1447"/>
      <c r="J96" s="1447" t="s">
        <v>2329</v>
      </c>
      <c r="K96" s="1447"/>
      <c r="L96" s="1447"/>
      <c r="M96" s="897"/>
      <c r="AA96"/>
      <c r="AB96"/>
      <c r="AC96"/>
      <c r="AD96"/>
      <c r="AE96"/>
      <c r="AF96"/>
      <c r="AG96"/>
      <c r="AH96"/>
      <c r="AI96"/>
    </row>
    <row r="97" spans="1:35" ht="22.5" outlineLevel="2" x14ac:dyDescent="0.2">
      <c r="A97" s="908" t="s">
        <v>4775</v>
      </c>
      <c r="B97" s="636" t="s">
        <v>4124</v>
      </c>
      <c r="C97" s="909"/>
      <c r="D97" s="909"/>
      <c r="E97" s="909"/>
      <c r="F97" s="909"/>
      <c r="G97" s="1447">
        <v>3</v>
      </c>
      <c r="H97" s="1447"/>
      <c r="I97" s="1447"/>
      <c r="J97" s="1447" t="s">
        <v>2107</v>
      </c>
      <c r="K97" s="1447"/>
      <c r="L97" s="1447"/>
      <c r="M97" s="897"/>
      <c r="AA97"/>
      <c r="AB97"/>
      <c r="AC97"/>
      <c r="AD97"/>
      <c r="AE97"/>
      <c r="AF97"/>
      <c r="AG97"/>
      <c r="AH97"/>
      <c r="AI97"/>
    </row>
    <row r="98" spans="1:35" ht="22.5" outlineLevel="2" x14ac:dyDescent="0.2">
      <c r="A98" s="908" t="s">
        <v>4776</v>
      </c>
      <c r="B98" s="636" t="s">
        <v>2390</v>
      </c>
      <c r="C98" s="909"/>
      <c r="D98" s="909"/>
      <c r="E98" s="909"/>
      <c r="F98" s="909"/>
      <c r="G98" s="1447">
        <v>3</v>
      </c>
      <c r="H98" s="1447"/>
      <c r="I98" s="1447"/>
      <c r="J98" s="1447" t="s">
        <v>2964</v>
      </c>
      <c r="K98" s="1447"/>
      <c r="L98" s="1447"/>
      <c r="M98" s="897"/>
      <c r="AA98"/>
      <c r="AB98"/>
      <c r="AC98"/>
      <c r="AD98"/>
      <c r="AE98"/>
      <c r="AF98"/>
      <c r="AG98"/>
      <c r="AH98"/>
      <c r="AI98"/>
    </row>
    <row r="99" spans="1:35" ht="21" outlineLevel="1" x14ac:dyDescent="0.2">
      <c r="A99" s="633" t="s">
        <v>5531</v>
      </c>
      <c r="B99" s="634" t="s">
        <v>5914</v>
      </c>
      <c r="C99" s="909"/>
      <c r="D99" s="909"/>
      <c r="E99" s="909"/>
      <c r="F99" s="909"/>
      <c r="G99" s="1447"/>
      <c r="H99" s="1447"/>
      <c r="I99" s="1447"/>
      <c r="J99" s="1447"/>
      <c r="K99" s="1447"/>
      <c r="L99" s="1447"/>
      <c r="M99" s="897"/>
      <c r="AA99"/>
      <c r="AB99"/>
      <c r="AC99"/>
      <c r="AD99"/>
      <c r="AE99"/>
      <c r="AF99"/>
      <c r="AG99"/>
      <c r="AH99"/>
      <c r="AI99"/>
    </row>
    <row r="100" spans="1:35" ht="22.5" outlineLevel="2" x14ac:dyDescent="0.2">
      <c r="A100" s="908" t="s">
        <v>5532</v>
      </c>
      <c r="B100" s="636" t="s">
        <v>6732</v>
      </c>
      <c r="C100" s="909"/>
      <c r="D100" s="909"/>
      <c r="E100" s="909"/>
      <c r="F100" s="909"/>
      <c r="G100" s="1447">
        <v>2</v>
      </c>
      <c r="H100" s="1447"/>
      <c r="I100" s="1449"/>
      <c r="J100" s="1447" t="s">
        <v>4246</v>
      </c>
      <c r="K100" s="1447" t="s">
        <v>6907</v>
      </c>
      <c r="L100" s="1447" t="s">
        <v>5107</v>
      </c>
      <c r="M100" s="897"/>
      <c r="AA100"/>
      <c r="AB100"/>
      <c r="AC100"/>
      <c r="AD100"/>
      <c r="AE100"/>
      <c r="AF100"/>
      <c r="AG100"/>
      <c r="AH100"/>
      <c r="AI100"/>
    </row>
    <row r="101" spans="1:35" ht="22.5" outlineLevel="2" x14ac:dyDescent="0.2">
      <c r="A101" s="908" t="s">
        <v>5533</v>
      </c>
      <c r="B101" s="636" t="s">
        <v>4651</v>
      </c>
      <c r="C101" s="909"/>
      <c r="D101" s="909"/>
      <c r="E101" s="909"/>
      <c r="F101" s="909"/>
      <c r="G101" s="1447">
        <v>2</v>
      </c>
      <c r="H101" s="1447"/>
      <c r="I101" s="1449"/>
      <c r="J101" s="1447" t="s">
        <v>4246</v>
      </c>
      <c r="K101" s="1447" t="s">
        <v>6907</v>
      </c>
      <c r="L101" s="1447" t="s">
        <v>5107</v>
      </c>
      <c r="M101" s="897"/>
      <c r="AA101"/>
      <c r="AB101"/>
      <c r="AC101"/>
      <c r="AD101"/>
      <c r="AE101"/>
      <c r="AF101"/>
      <c r="AG101"/>
      <c r="AH101"/>
      <c r="AI101"/>
    </row>
    <row r="102" spans="1:35" ht="22.5" outlineLevel="2" x14ac:dyDescent="0.2">
      <c r="A102" s="908" t="s">
        <v>5534</v>
      </c>
      <c r="B102" s="636" t="s">
        <v>5430</v>
      </c>
      <c r="C102" s="909"/>
      <c r="D102" s="909"/>
      <c r="E102" s="909"/>
      <c r="F102" s="909"/>
      <c r="G102" s="1447">
        <v>3</v>
      </c>
      <c r="H102" s="1447"/>
      <c r="I102" s="1449"/>
      <c r="J102" s="1447" t="s">
        <v>1592</v>
      </c>
      <c r="K102" s="1447" t="s">
        <v>6907</v>
      </c>
      <c r="L102" s="1447" t="s">
        <v>5107</v>
      </c>
      <c r="M102" s="897"/>
      <c r="AA102"/>
      <c r="AB102"/>
      <c r="AC102"/>
      <c r="AD102"/>
      <c r="AE102"/>
      <c r="AF102"/>
      <c r="AG102"/>
      <c r="AH102"/>
      <c r="AI102"/>
    </row>
    <row r="103" spans="1:35" ht="36.75" customHeight="1" outlineLevel="2" x14ac:dyDescent="0.2">
      <c r="A103" s="908" t="s">
        <v>5535</v>
      </c>
      <c r="B103" s="636" t="s">
        <v>4127</v>
      </c>
      <c r="C103" s="909"/>
      <c r="D103" s="909"/>
      <c r="E103" s="909"/>
      <c r="F103" s="909"/>
      <c r="G103" s="1447">
        <v>4</v>
      </c>
      <c r="H103" s="1447"/>
      <c r="I103" s="1449"/>
      <c r="J103" s="1447" t="s">
        <v>1592</v>
      </c>
      <c r="K103" s="1447" t="s">
        <v>6907</v>
      </c>
      <c r="L103" s="1447" t="s">
        <v>5107</v>
      </c>
      <c r="M103" s="897"/>
      <c r="AA103"/>
      <c r="AB103"/>
      <c r="AC103"/>
      <c r="AD103"/>
      <c r="AE103"/>
      <c r="AF103"/>
      <c r="AG103"/>
      <c r="AH103"/>
      <c r="AI103"/>
    </row>
    <row r="104" spans="1:35" ht="22.5" outlineLevel="2" x14ac:dyDescent="0.2">
      <c r="A104" s="908" t="s">
        <v>5536</v>
      </c>
      <c r="B104" s="636" t="s">
        <v>5431</v>
      </c>
      <c r="C104" s="909"/>
      <c r="D104" s="909"/>
      <c r="E104" s="909"/>
      <c r="F104" s="909"/>
      <c r="G104" s="1447">
        <v>2</v>
      </c>
      <c r="H104" s="1447"/>
      <c r="I104" s="1447"/>
      <c r="J104" s="1447" t="s">
        <v>1592</v>
      </c>
      <c r="K104" s="1447"/>
      <c r="L104" s="1447"/>
      <c r="M104" s="897"/>
      <c r="AA104"/>
      <c r="AB104"/>
      <c r="AC104"/>
      <c r="AD104"/>
      <c r="AE104"/>
      <c r="AF104"/>
      <c r="AG104"/>
      <c r="AH104"/>
      <c r="AI104"/>
    </row>
    <row r="105" spans="1:35" ht="22.5" outlineLevel="2" x14ac:dyDescent="0.2">
      <c r="A105" s="908" t="s">
        <v>5537</v>
      </c>
      <c r="B105" s="636" t="s">
        <v>5374</v>
      </c>
      <c r="C105" s="909"/>
      <c r="D105" s="909"/>
      <c r="E105" s="909"/>
      <c r="F105" s="909"/>
      <c r="G105" s="1447">
        <v>3</v>
      </c>
      <c r="H105" s="1447"/>
      <c r="I105" s="1447"/>
      <c r="J105" s="1447" t="s">
        <v>1592</v>
      </c>
      <c r="K105" s="1447"/>
      <c r="L105" s="1447"/>
      <c r="M105" s="897"/>
      <c r="AA105"/>
      <c r="AB105"/>
      <c r="AC105"/>
      <c r="AD105"/>
      <c r="AE105"/>
      <c r="AF105"/>
      <c r="AG105"/>
      <c r="AH105"/>
      <c r="AI105"/>
    </row>
    <row r="106" spans="1:35" ht="22.5" outlineLevel="2" x14ac:dyDescent="0.2">
      <c r="A106" s="908" t="s">
        <v>5538</v>
      </c>
      <c r="B106" s="636" t="s">
        <v>2606</v>
      </c>
      <c r="C106" s="909"/>
      <c r="D106" s="909"/>
      <c r="E106" s="909"/>
      <c r="F106" s="909"/>
      <c r="G106" s="1447">
        <v>2</v>
      </c>
      <c r="H106" s="1447"/>
      <c r="I106" s="1447"/>
      <c r="J106" s="1447" t="s">
        <v>1592</v>
      </c>
      <c r="K106" s="1447"/>
      <c r="L106" s="1447"/>
      <c r="M106" s="897"/>
      <c r="AA106"/>
      <c r="AB106"/>
      <c r="AC106"/>
      <c r="AD106"/>
      <c r="AE106"/>
      <c r="AF106"/>
      <c r="AG106"/>
      <c r="AH106"/>
      <c r="AI106"/>
    </row>
    <row r="107" spans="1:35" ht="22.5" outlineLevel="2" x14ac:dyDescent="0.2">
      <c r="A107" s="908" t="s">
        <v>5539</v>
      </c>
      <c r="B107" s="636" t="s">
        <v>5256</v>
      </c>
      <c r="C107" s="909"/>
      <c r="D107" s="909"/>
      <c r="E107" s="909"/>
      <c r="F107" s="909"/>
      <c r="G107" s="1447">
        <v>3</v>
      </c>
      <c r="H107" s="1447"/>
      <c r="I107" s="1447"/>
      <c r="J107" s="1447" t="s">
        <v>2109</v>
      </c>
      <c r="K107" s="1447"/>
      <c r="L107" s="1447"/>
      <c r="M107" s="897"/>
      <c r="AA107"/>
      <c r="AB107"/>
      <c r="AC107"/>
      <c r="AD107"/>
      <c r="AE107"/>
      <c r="AF107"/>
      <c r="AG107"/>
      <c r="AH107"/>
      <c r="AI107"/>
    </row>
    <row r="108" spans="1:35" x14ac:dyDescent="0.2">
      <c r="A108" s="910" t="s">
        <v>6410</v>
      </c>
      <c r="B108" s="644" t="s">
        <v>5540</v>
      </c>
      <c r="C108" s="909"/>
      <c r="D108" s="909"/>
      <c r="E108" s="909"/>
      <c r="F108" s="909"/>
      <c r="G108" s="1446"/>
      <c r="H108" s="1446"/>
      <c r="I108" s="1447"/>
      <c r="J108" s="1447"/>
      <c r="K108" s="1447"/>
      <c r="L108" s="1447"/>
      <c r="M108" s="897"/>
      <c r="AA108"/>
      <c r="AB108"/>
      <c r="AC108"/>
      <c r="AD108"/>
      <c r="AE108"/>
      <c r="AF108"/>
      <c r="AG108"/>
      <c r="AH108"/>
      <c r="AI108"/>
    </row>
    <row r="109" spans="1:35" outlineLevel="1" x14ac:dyDescent="0.2">
      <c r="A109" s="633" t="s">
        <v>3121</v>
      </c>
      <c r="B109" s="634" t="s">
        <v>2471</v>
      </c>
      <c r="C109" s="909"/>
      <c r="D109" s="909"/>
      <c r="E109" s="909"/>
      <c r="F109" s="909"/>
      <c r="G109" s="1447"/>
      <c r="H109" s="1447"/>
      <c r="I109" s="1447"/>
      <c r="J109" s="1447"/>
      <c r="K109" s="1447"/>
      <c r="L109" s="1447"/>
      <c r="M109" s="897"/>
      <c r="AA109"/>
      <c r="AB109"/>
      <c r="AC109"/>
      <c r="AD109"/>
      <c r="AE109"/>
      <c r="AF109"/>
      <c r="AG109"/>
      <c r="AH109"/>
      <c r="AI109"/>
    </row>
    <row r="110" spans="1:35" ht="22.5" outlineLevel="2" x14ac:dyDescent="0.2">
      <c r="A110" s="908" t="s">
        <v>4777</v>
      </c>
      <c r="B110" s="636" t="s">
        <v>904</v>
      </c>
      <c r="C110" s="909"/>
      <c r="D110" s="909"/>
      <c r="E110" s="909"/>
      <c r="F110" s="909"/>
      <c r="G110" s="1447">
        <v>4</v>
      </c>
      <c r="H110" s="1447"/>
      <c r="I110" s="1447"/>
      <c r="J110" s="1447" t="s">
        <v>1592</v>
      </c>
      <c r="K110" s="1447"/>
      <c r="L110" s="1447"/>
      <c r="M110" s="897"/>
      <c r="AA110"/>
      <c r="AB110"/>
      <c r="AC110"/>
      <c r="AD110"/>
      <c r="AE110"/>
      <c r="AF110"/>
      <c r="AG110"/>
      <c r="AH110"/>
      <c r="AI110"/>
    </row>
    <row r="111" spans="1:35" ht="22.5" customHeight="1" outlineLevel="2" x14ac:dyDescent="0.2">
      <c r="A111" s="908" t="s">
        <v>4778</v>
      </c>
      <c r="B111" s="636" t="s">
        <v>1127</v>
      </c>
      <c r="C111" s="909"/>
      <c r="D111" s="909"/>
      <c r="E111" s="909"/>
      <c r="F111" s="909"/>
      <c r="G111" s="1447">
        <v>4</v>
      </c>
      <c r="H111" s="1447"/>
      <c r="I111" s="1447"/>
      <c r="J111" s="1447" t="s">
        <v>1592</v>
      </c>
      <c r="K111" s="1447"/>
      <c r="L111" s="1447"/>
      <c r="M111" s="897"/>
      <c r="AA111"/>
      <c r="AB111"/>
      <c r="AC111"/>
      <c r="AD111"/>
      <c r="AE111"/>
      <c r="AF111"/>
      <c r="AG111"/>
      <c r="AH111"/>
      <c r="AI111"/>
    </row>
    <row r="112" spans="1:35" ht="16.5" customHeight="1" outlineLevel="2" x14ac:dyDescent="0.2">
      <c r="A112" s="908" t="s">
        <v>4779</v>
      </c>
      <c r="B112" s="636" t="s">
        <v>1128</v>
      </c>
      <c r="C112" s="909"/>
      <c r="D112" s="909"/>
      <c r="E112" s="909"/>
      <c r="F112" s="909"/>
      <c r="G112" s="1447">
        <v>4</v>
      </c>
      <c r="H112" s="1447"/>
      <c r="I112" s="1447"/>
      <c r="J112" s="1447" t="s">
        <v>1592</v>
      </c>
      <c r="K112" s="1447"/>
      <c r="L112" s="1447"/>
      <c r="M112" s="897"/>
      <c r="AA112"/>
      <c r="AB112"/>
      <c r="AC112"/>
      <c r="AD112"/>
      <c r="AE112"/>
      <c r="AF112"/>
      <c r="AG112"/>
      <c r="AH112"/>
      <c r="AI112"/>
    </row>
    <row r="113" spans="1:35" outlineLevel="2" x14ac:dyDescent="0.2">
      <c r="A113" s="908" t="s">
        <v>5593</v>
      </c>
      <c r="B113" s="636" t="s">
        <v>5716</v>
      </c>
      <c r="C113" s="909"/>
      <c r="D113" s="909"/>
      <c r="E113" s="909"/>
      <c r="F113" s="909"/>
      <c r="G113" s="1447">
        <v>3</v>
      </c>
      <c r="H113" s="1447"/>
      <c r="I113" s="1447"/>
      <c r="J113" s="1447" t="s">
        <v>1592</v>
      </c>
      <c r="K113" s="1447"/>
      <c r="L113" s="1447"/>
      <c r="M113" s="897"/>
      <c r="AA113"/>
      <c r="AB113"/>
      <c r="AC113"/>
      <c r="AD113"/>
      <c r="AE113"/>
      <c r="AF113"/>
      <c r="AG113"/>
      <c r="AH113"/>
      <c r="AI113"/>
    </row>
    <row r="114" spans="1:35" ht="22.5" outlineLevel="2" x14ac:dyDescent="0.2">
      <c r="A114" s="908" t="s">
        <v>5594</v>
      </c>
      <c r="B114" s="636" t="s">
        <v>5717</v>
      </c>
      <c r="C114" s="909"/>
      <c r="D114" s="909"/>
      <c r="E114" s="909"/>
      <c r="F114" s="909"/>
      <c r="G114" s="1447">
        <v>2</v>
      </c>
      <c r="H114" s="1447"/>
      <c r="I114" s="1447"/>
      <c r="J114" s="1447" t="s">
        <v>2349</v>
      </c>
      <c r="K114" s="1447"/>
      <c r="L114" s="1447"/>
      <c r="M114" s="897"/>
      <c r="AA114"/>
      <c r="AB114"/>
      <c r="AC114"/>
      <c r="AD114"/>
      <c r="AE114"/>
      <c r="AF114"/>
      <c r="AG114"/>
      <c r="AH114"/>
      <c r="AI114"/>
    </row>
    <row r="115" spans="1:35" outlineLevel="2" x14ac:dyDescent="0.2">
      <c r="A115" s="908" t="s">
        <v>6161</v>
      </c>
      <c r="B115" s="636" t="s">
        <v>6162</v>
      </c>
      <c r="C115" s="909"/>
      <c r="D115" s="909"/>
      <c r="E115" s="909"/>
      <c r="F115" s="909"/>
      <c r="G115" s="1447">
        <v>3</v>
      </c>
      <c r="H115" s="1447">
        <v>3</v>
      </c>
      <c r="I115" s="1447"/>
      <c r="J115" s="1447" t="s">
        <v>2964</v>
      </c>
      <c r="K115" s="1447"/>
      <c r="L115" s="1447"/>
      <c r="M115" s="897"/>
      <c r="AA115"/>
      <c r="AB115"/>
      <c r="AC115"/>
      <c r="AD115"/>
      <c r="AE115"/>
      <c r="AF115"/>
      <c r="AG115"/>
      <c r="AH115"/>
      <c r="AI115"/>
    </row>
    <row r="116" spans="1:35" outlineLevel="1" x14ac:dyDescent="0.2">
      <c r="A116" s="633" t="s">
        <v>3122</v>
      </c>
      <c r="B116" s="634" t="s">
        <v>3323</v>
      </c>
      <c r="C116" s="909"/>
      <c r="D116" s="909"/>
      <c r="E116" s="909"/>
      <c r="F116" s="909"/>
      <c r="G116" s="1448"/>
      <c r="H116" s="1448"/>
      <c r="I116" s="1447"/>
      <c r="J116" s="1447"/>
      <c r="K116" s="1447"/>
      <c r="L116" s="1447"/>
      <c r="M116" s="897"/>
      <c r="AA116"/>
      <c r="AB116"/>
      <c r="AC116"/>
      <c r="AD116"/>
      <c r="AE116"/>
      <c r="AF116"/>
      <c r="AG116"/>
      <c r="AH116"/>
      <c r="AI116"/>
    </row>
    <row r="117" spans="1:35" ht="22.5" outlineLevel="2" x14ac:dyDescent="0.2">
      <c r="A117" s="908" t="s">
        <v>5595</v>
      </c>
      <c r="B117" s="636" t="s">
        <v>2143</v>
      </c>
      <c r="C117" s="909"/>
      <c r="D117" s="909"/>
      <c r="E117" s="909"/>
      <c r="F117" s="909"/>
      <c r="G117" s="1447">
        <v>3</v>
      </c>
      <c r="H117" s="1447"/>
      <c r="I117" s="1449"/>
      <c r="J117" s="1447" t="s">
        <v>4246</v>
      </c>
      <c r="K117" s="1447" t="s">
        <v>3575</v>
      </c>
      <c r="L117" s="1447" t="s">
        <v>7261</v>
      </c>
      <c r="M117" s="897"/>
      <c r="AA117"/>
      <c r="AB117"/>
      <c r="AC117"/>
      <c r="AD117"/>
      <c r="AE117"/>
      <c r="AF117"/>
      <c r="AG117"/>
      <c r="AH117"/>
      <c r="AI117"/>
    </row>
    <row r="118" spans="1:35" ht="22.5" outlineLevel="2" x14ac:dyDescent="0.2">
      <c r="A118" s="908" t="s">
        <v>5596</v>
      </c>
      <c r="B118" s="636" t="s">
        <v>2144</v>
      </c>
      <c r="C118" s="909"/>
      <c r="D118" s="909"/>
      <c r="E118" s="909"/>
      <c r="F118" s="909"/>
      <c r="G118" s="1447">
        <v>3</v>
      </c>
      <c r="H118" s="1447"/>
      <c r="I118" s="1447"/>
      <c r="J118" s="1447" t="s">
        <v>4246</v>
      </c>
      <c r="K118" s="1447"/>
      <c r="L118" s="1447"/>
      <c r="M118" s="897"/>
      <c r="AA118"/>
      <c r="AB118"/>
      <c r="AC118"/>
      <c r="AD118"/>
      <c r="AE118"/>
      <c r="AF118"/>
      <c r="AG118"/>
      <c r="AH118"/>
      <c r="AI118"/>
    </row>
    <row r="119" spans="1:35" ht="27" customHeight="1" outlineLevel="2" x14ac:dyDescent="0.2">
      <c r="A119" s="908" t="s">
        <v>5597</v>
      </c>
      <c r="B119" s="636" t="s">
        <v>5718</v>
      </c>
      <c r="C119" s="909"/>
      <c r="D119" s="909"/>
      <c r="E119" s="909"/>
      <c r="F119" s="909"/>
      <c r="G119" s="1447">
        <v>3</v>
      </c>
      <c r="H119" s="1447"/>
      <c r="I119" s="1447"/>
      <c r="J119" s="1447" t="s">
        <v>1592</v>
      </c>
      <c r="K119" s="1447"/>
      <c r="L119" s="1447"/>
      <c r="M119" s="897"/>
      <c r="AA119"/>
      <c r="AB119"/>
      <c r="AC119"/>
      <c r="AD119"/>
      <c r="AE119"/>
      <c r="AF119"/>
      <c r="AG119"/>
      <c r="AH119"/>
      <c r="AI119"/>
    </row>
    <row r="120" spans="1:35" ht="22.5" outlineLevel="2" x14ac:dyDescent="0.2">
      <c r="A120" s="908" t="s">
        <v>5598</v>
      </c>
      <c r="B120" s="636" t="s">
        <v>2911</v>
      </c>
      <c r="C120" s="909"/>
      <c r="D120" s="909"/>
      <c r="E120" s="909"/>
      <c r="F120" s="909"/>
      <c r="G120" s="1447">
        <v>3</v>
      </c>
      <c r="H120" s="1447"/>
      <c r="I120" s="1447"/>
      <c r="J120" s="1447" t="s">
        <v>1592</v>
      </c>
      <c r="K120" s="1447"/>
      <c r="L120" s="1447"/>
      <c r="M120" s="897"/>
      <c r="AA120"/>
      <c r="AB120"/>
      <c r="AC120"/>
      <c r="AD120"/>
      <c r="AE120"/>
      <c r="AF120"/>
      <c r="AG120"/>
      <c r="AH120"/>
      <c r="AI120"/>
    </row>
    <row r="121" spans="1:35" ht="22.5" outlineLevel="2" x14ac:dyDescent="0.2">
      <c r="A121" s="908" t="s">
        <v>5599</v>
      </c>
      <c r="B121" s="636" t="s">
        <v>1848</v>
      </c>
      <c r="C121" s="909"/>
      <c r="D121" s="909"/>
      <c r="E121" s="909"/>
      <c r="F121" s="909"/>
      <c r="G121" s="1447">
        <v>3</v>
      </c>
      <c r="H121" s="1447"/>
      <c r="I121" s="1447"/>
      <c r="J121" s="1447" t="s">
        <v>1592</v>
      </c>
      <c r="K121" s="1447"/>
      <c r="L121" s="1447"/>
      <c r="M121" s="897"/>
      <c r="AA121"/>
      <c r="AB121"/>
      <c r="AC121"/>
      <c r="AD121"/>
      <c r="AE121"/>
      <c r="AF121"/>
      <c r="AG121"/>
      <c r="AH121"/>
      <c r="AI121"/>
    </row>
    <row r="122" spans="1:35" ht="22.5" outlineLevel="2" x14ac:dyDescent="0.2">
      <c r="A122" s="908" t="s">
        <v>5600</v>
      </c>
      <c r="B122" s="636" t="s">
        <v>2919</v>
      </c>
      <c r="C122" s="909"/>
      <c r="D122" s="909"/>
      <c r="E122" s="909"/>
      <c r="F122" s="909"/>
      <c r="G122" s="1447">
        <v>3</v>
      </c>
      <c r="H122" s="1447"/>
      <c r="I122" s="1447"/>
      <c r="J122" s="1447" t="s">
        <v>1592</v>
      </c>
      <c r="K122" s="1447"/>
      <c r="L122" s="1447"/>
      <c r="M122" s="897"/>
      <c r="AA122"/>
      <c r="AB122"/>
      <c r="AC122"/>
      <c r="AD122"/>
      <c r="AE122"/>
      <c r="AF122"/>
      <c r="AG122"/>
      <c r="AH122"/>
      <c r="AI122"/>
    </row>
    <row r="123" spans="1:35" ht="22.5" outlineLevel="2" x14ac:dyDescent="0.2">
      <c r="A123" s="908" t="s">
        <v>5601</v>
      </c>
      <c r="B123" s="636" t="s">
        <v>1145</v>
      </c>
      <c r="C123" s="909"/>
      <c r="D123" s="909"/>
      <c r="E123" s="909"/>
      <c r="F123" s="909"/>
      <c r="G123" s="1447">
        <v>4</v>
      </c>
      <c r="H123" s="1447">
        <v>3</v>
      </c>
      <c r="I123" s="1447"/>
      <c r="J123" s="1447" t="s">
        <v>1592</v>
      </c>
      <c r="K123" s="1447"/>
      <c r="L123" s="1447"/>
      <c r="M123" s="897"/>
      <c r="AA123"/>
      <c r="AB123"/>
      <c r="AC123"/>
      <c r="AD123"/>
      <c r="AE123"/>
      <c r="AF123"/>
      <c r="AG123"/>
      <c r="AH123"/>
      <c r="AI123"/>
    </row>
    <row r="124" spans="1:35" ht="14.25" customHeight="1" outlineLevel="2" x14ac:dyDescent="0.2">
      <c r="A124" s="908" t="s">
        <v>5602</v>
      </c>
      <c r="B124" s="636" t="s">
        <v>6692</v>
      </c>
      <c r="C124" s="909"/>
      <c r="D124" s="909"/>
      <c r="E124" s="909"/>
      <c r="F124" s="909"/>
      <c r="G124" s="1447">
        <v>2</v>
      </c>
      <c r="H124" s="1447"/>
      <c r="I124" s="1447"/>
      <c r="J124" s="1447" t="s">
        <v>1592</v>
      </c>
      <c r="K124" s="1447"/>
      <c r="L124" s="1447"/>
      <c r="M124" s="897"/>
      <c r="AA124"/>
      <c r="AB124"/>
      <c r="AC124"/>
      <c r="AD124"/>
      <c r="AE124"/>
      <c r="AF124"/>
      <c r="AG124"/>
      <c r="AH124"/>
      <c r="AI124"/>
    </row>
    <row r="125" spans="1:35" ht="22.5" outlineLevel="2" x14ac:dyDescent="0.2">
      <c r="A125" s="908" t="s">
        <v>5603</v>
      </c>
      <c r="B125" s="636" t="s">
        <v>5719</v>
      </c>
      <c r="C125" s="909"/>
      <c r="D125" s="909"/>
      <c r="E125" s="909"/>
      <c r="F125" s="909"/>
      <c r="G125" s="1447">
        <v>3</v>
      </c>
      <c r="H125" s="1447"/>
      <c r="I125" s="1447"/>
      <c r="J125" s="1447" t="s">
        <v>2109</v>
      </c>
      <c r="K125" s="1447"/>
      <c r="L125" s="1447"/>
      <c r="M125" s="897"/>
      <c r="AA125"/>
      <c r="AB125"/>
      <c r="AC125"/>
      <c r="AD125"/>
      <c r="AE125"/>
      <c r="AF125"/>
      <c r="AG125"/>
      <c r="AH125"/>
      <c r="AI125"/>
    </row>
    <row r="126" spans="1:35" outlineLevel="2" x14ac:dyDescent="0.2">
      <c r="A126" s="908" t="s">
        <v>5604</v>
      </c>
      <c r="B126" s="636" t="s">
        <v>2920</v>
      </c>
      <c r="C126" s="909"/>
      <c r="D126" s="909"/>
      <c r="E126" s="909"/>
      <c r="F126" s="909"/>
      <c r="G126" s="1447">
        <v>3</v>
      </c>
      <c r="H126" s="1447"/>
      <c r="I126" s="1447"/>
      <c r="J126" s="1447" t="s">
        <v>2964</v>
      </c>
      <c r="K126" s="1447"/>
      <c r="L126" s="1447"/>
      <c r="M126" s="897"/>
      <c r="AA126"/>
      <c r="AB126"/>
      <c r="AC126"/>
      <c r="AD126"/>
      <c r="AE126"/>
      <c r="AF126"/>
      <c r="AG126"/>
      <c r="AH126"/>
      <c r="AI126"/>
    </row>
    <row r="127" spans="1:35" ht="22.5" outlineLevel="2" x14ac:dyDescent="0.2">
      <c r="A127" s="908" t="s">
        <v>1283</v>
      </c>
      <c r="B127" s="636" t="s">
        <v>2661</v>
      </c>
      <c r="C127" s="909"/>
      <c r="D127" s="909"/>
      <c r="E127" s="909"/>
      <c r="F127" s="909"/>
      <c r="G127" s="1447">
        <v>3</v>
      </c>
      <c r="H127" s="1447"/>
      <c r="I127" s="1447"/>
      <c r="J127" s="1447" t="s">
        <v>2964</v>
      </c>
      <c r="K127" s="1447"/>
      <c r="L127" s="1447"/>
      <c r="M127" s="897"/>
      <c r="AA127"/>
      <c r="AB127"/>
      <c r="AC127"/>
      <c r="AD127"/>
      <c r="AE127"/>
      <c r="AF127"/>
      <c r="AG127"/>
      <c r="AH127"/>
      <c r="AI127"/>
    </row>
    <row r="128" spans="1:35" outlineLevel="1" x14ac:dyDescent="0.2">
      <c r="A128" s="633" t="s">
        <v>3123</v>
      </c>
      <c r="B128" s="634" t="s">
        <v>4199</v>
      </c>
      <c r="C128" s="909"/>
      <c r="D128" s="909"/>
      <c r="E128" s="909"/>
      <c r="F128" s="909"/>
      <c r="G128" s="1448"/>
      <c r="H128" s="1448"/>
      <c r="I128" s="1447"/>
      <c r="J128" s="1447"/>
      <c r="K128" s="1447"/>
      <c r="L128" s="1447"/>
      <c r="M128" s="897"/>
      <c r="AA128"/>
      <c r="AB128"/>
      <c r="AC128"/>
      <c r="AD128"/>
      <c r="AE128"/>
      <c r="AF128"/>
      <c r="AG128"/>
      <c r="AH128"/>
      <c r="AI128"/>
    </row>
    <row r="129" spans="1:35" outlineLevel="2" x14ac:dyDescent="0.2">
      <c r="A129" s="908" t="s">
        <v>4918</v>
      </c>
      <c r="B129" s="636" t="s">
        <v>5720</v>
      </c>
      <c r="C129" s="909"/>
      <c r="D129" s="909"/>
      <c r="E129" s="909"/>
      <c r="F129" s="909"/>
      <c r="G129" s="1447">
        <v>2</v>
      </c>
      <c r="H129" s="1447">
        <v>3</v>
      </c>
      <c r="I129" s="1447"/>
      <c r="J129" s="1447" t="s">
        <v>1592</v>
      </c>
      <c r="K129" s="1447"/>
      <c r="L129" s="1447"/>
      <c r="M129" s="897"/>
      <c r="AA129"/>
      <c r="AB129"/>
      <c r="AC129"/>
      <c r="AD129"/>
      <c r="AE129"/>
      <c r="AF129"/>
      <c r="AG129"/>
      <c r="AH129"/>
      <c r="AI129"/>
    </row>
    <row r="130" spans="1:35" ht="22.5" outlineLevel="2" x14ac:dyDescent="0.2">
      <c r="A130" s="908" t="s">
        <v>4919</v>
      </c>
      <c r="B130" s="636" t="s">
        <v>6515</v>
      </c>
      <c r="C130" s="909"/>
      <c r="D130" s="909"/>
      <c r="E130" s="909"/>
      <c r="F130" s="909"/>
      <c r="G130" s="1447">
        <v>4</v>
      </c>
      <c r="H130" s="1447">
        <v>3</v>
      </c>
      <c r="I130" s="1447"/>
      <c r="J130" s="1447" t="s">
        <v>4246</v>
      </c>
      <c r="K130" s="1447"/>
      <c r="L130" s="1447"/>
      <c r="M130" s="897"/>
      <c r="AA130"/>
      <c r="AB130"/>
      <c r="AC130"/>
      <c r="AD130"/>
      <c r="AE130"/>
      <c r="AF130"/>
      <c r="AG130"/>
      <c r="AH130"/>
      <c r="AI130"/>
    </row>
    <row r="131" spans="1:35" ht="33.75" outlineLevel="2" x14ac:dyDescent="0.2">
      <c r="A131" s="908" t="s">
        <v>4920</v>
      </c>
      <c r="B131" s="636" t="s">
        <v>3374</v>
      </c>
      <c r="C131" s="909"/>
      <c r="D131" s="909"/>
      <c r="E131" s="909"/>
      <c r="F131" s="909"/>
      <c r="G131" s="1447">
        <v>2</v>
      </c>
      <c r="H131" s="1447">
        <v>3</v>
      </c>
      <c r="I131" s="1447"/>
      <c r="J131" s="1447" t="s">
        <v>1592</v>
      </c>
      <c r="K131" s="1447"/>
      <c r="L131" s="1447"/>
      <c r="M131" s="897"/>
      <c r="AA131"/>
      <c r="AB131"/>
      <c r="AC131"/>
      <c r="AD131"/>
      <c r="AE131"/>
      <c r="AF131"/>
      <c r="AG131"/>
      <c r="AH131"/>
      <c r="AI131"/>
    </row>
    <row r="132" spans="1:35" ht="22.5" outlineLevel="2" x14ac:dyDescent="0.2">
      <c r="A132" s="908" t="s">
        <v>4921</v>
      </c>
      <c r="B132" s="636" t="s">
        <v>3987</v>
      </c>
      <c r="C132" s="909"/>
      <c r="D132" s="909"/>
      <c r="E132" s="909"/>
      <c r="F132" s="909"/>
      <c r="G132" s="1447">
        <v>2</v>
      </c>
      <c r="H132" s="1447"/>
      <c r="I132" s="1447"/>
      <c r="J132" s="1447" t="s">
        <v>4246</v>
      </c>
      <c r="K132" s="1447"/>
      <c r="L132" s="1447"/>
      <c r="M132" s="897"/>
      <c r="AA132"/>
      <c r="AB132"/>
      <c r="AC132"/>
      <c r="AD132"/>
      <c r="AE132"/>
      <c r="AF132"/>
      <c r="AG132"/>
      <c r="AH132"/>
      <c r="AI132"/>
    </row>
    <row r="133" spans="1:35" ht="45" outlineLevel="2" x14ac:dyDescent="0.2">
      <c r="A133" s="908" t="s">
        <v>4922</v>
      </c>
      <c r="B133" s="636" t="s">
        <v>4547</v>
      </c>
      <c r="C133" s="909"/>
      <c r="D133" s="909"/>
      <c r="E133" s="909"/>
      <c r="F133" s="909"/>
      <c r="G133" s="1447">
        <v>4</v>
      </c>
      <c r="H133" s="1447"/>
      <c r="I133" s="1447"/>
      <c r="J133" s="1447" t="s">
        <v>1592</v>
      </c>
      <c r="K133" s="1447"/>
      <c r="L133" s="1447"/>
      <c r="M133" s="897"/>
      <c r="AA133"/>
      <c r="AB133"/>
      <c r="AC133"/>
      <c r="AD133"/>
      <c r="AE133"/>
      <c r="AF133"/>
      <c r="AG133"/>
      <c r="AH133"/>
      <c r="AI133"/>
    </row>
    <row r="134" spans="1:35" outlineLevel="2" x14ac:dyDescent="0.2">
      <c r="A134" s="908" t="s">
        <v>4923</v>
      </c>
      <c r="B134" s="636" t="s">
        <v>3988</v>
      </c>
      <c r="C134" s="909"/>
      <c r="D134" s="909"/>
      <c r="E134" s="909"/>
      <c r="F134" s="909"/>
      <c r="G134" s="1447">
        <v>2</v>
      </c>
      <c r="H134" s="1447">
        <v>3</v>
      </c>
      <c r="I134" s="1447"/>
      <c r="J134" s="1447" t="s">
        <v>2109</v>
      </c>
      <c r="K134" s="1447"/>
      <c r="L134" s="1447"/>
      <c r="M134" s="897"/>
      <c r="AA134"/>
      <c r="AB134"/>
      <c r="AC134"/>
      <c r="AD134"/>
      <c r="AE134"/>
      <c r="AF134"/>
      <c r="AG134"/>
      <c r="AH134"/>
      <c r="AI134"/>
    </row>
    <row r="135" spans="1:35" outlineLevel="1" x14ac:dyDescent="0.2">
      <c r="A135" s="633" t="s">
        <v>3124</v>
      </c>
      <c r="B135" s="634" t="s">
        <v>4200</v>
      </c>
      <c r="C135" s="909"/>
      <c r="D135" s="909"/>
      <c r="E135" s="909"/>
      <c r="F135" s="909"/>
      <c r="G135" s="1447"/>
      <c r="H135" s="1447"/>
      <c r="I135" s="1447"/>
      <c r="J135" s="1447"/>
      <c r="K135" s="1447"/>
      <c r="L135" s="1447"/>
      <c r="M135" s="897"/>
      <c r="AA135"/>
      <c r="AB135"/>
      <c r="AC135"/>
      <c r="AD135"/>
      <c r="AE135"/>
      <c r="AF135"/>
      <c r="AG135"/>
      <c r="AH135"/>
      <c r="AI135"/>
    </row>
    <row r="136" spans="1:35" ht="22.5" outlineLevel="2" x14ac:dyDescent="0.2">
      <c r="A136" s="908" t="s">
        <v>4924</v>
      </c>
      <c r="B136" s="636" t="s">
        <v>6516</v>
      </c>
      <c r="C136" s="909"/>
      <c r="D136" s="909"/>
      <c r="E136" s="909"/>
      <c r="F136" s="909"/>
      <c r="G136" s="1447">
        <v>4</v>
      </c>
      <c r="H136" s="1447"/>
      <c r="I136" s="1447"/>
      <c r="J136" s="1447" t="s">
        <v>4246</v>
      </c>
      <c r="K136" s="1447"/>
      <c r="L136" s="1447"/>
      <c r="M136" s="897"/>
      <c r="AA136"/>
      <c r="AB136"/>
      <c r="AC136"/>
      <c r="AD136"/>
      <c r="AE136"/>
      <c r="AF136"/>
      <c r="AG136"/>
      <c r="AH136"/>
      <c r="AI136"/>
    </row>
    <row r="137" spans="1:35" ht="22.5" outlineLevel="2" x14ac:dyDescent="0.2">
      <c r="A137" s="908" t="s">
        <v>4925</v>
      </c>
      <c r="B137" s="636" t="s">
        <v>4961</v>
      </c>
      <c r="C137" s="909"/>
      <c r="D137" s="909"/>
      <c r="E137" s="909"/>
      <c r="F137" s="909"/>
      <c r="G137" s="1447">
        <v>3</v>
      </c>
      <c r="H137" s="1447"/>
      <c r="I137" s="1447"/>
      <c r="J137" s="1447" t="s">
        <v>4246</v>
      </c>
      <c r="K137" s="1447"/>
      <c r="L137" s="1447"/>
      <c r="M137" s="897"/>
      <c r="AA137"/>
      <c r="AB137"/>
      <c r="AC137"/>
      <c r="AD137"/>
      <c r="AE137"/>
      <c r="AF137"/>
      <c r="AG137"/>
      <c r="AH137"/>
      <c r="AI137"/>
    </row>
    <row r="138" spans="1:35" ht="22.5" outlineLevel="2" x14ac:dyDescent="0.2">
      <c r="A138" s="908" t="s">
        <v>4926</v>
      </c>
      <c r="B138" s="636" t="s">
        <v>4962</v>
      </c>
      <c r="C138" s="909"/>
      <c r="D138" s="909"/>
      <c r="E138" s="909"/>
      <c r="F138" s="909"/>
      <c r="G138" s="1447">
        <v>3</v>
      </c>
      <c r="H138" s="1447"/>
      <c r="I138" s="1447"/>
      <c r="J138" s="1447" t="s">
        <v>4246</v>
      </c>
      <c r="K138" s="1447"/>
      <c r="L138" s="1447"/>
      <c r="M138" s="897"/>
      <c r="AA138"/>
      <c r="AB138"/>
      <c r="AC138"/>
      <c r="AD138"/>
      <c r="AE138"/>
      <c r="AF138"/>
      <c r="AG138"/>
      <c r="AH138"/>
      <c r="AI138"/>
    </row>
    <row r="139" spans="1:35" ht="23.25" customHeight="1" outlineLevel="2" x14ac:dyDescent="0.2">
      <c r="A139" s="908" t="s">
        <v>4927</v>
      </c>
      <c r="B139" s="636" t="s">
        <v>6517</v>
      </c>
      <c r="C139" s="909"/>
      <c r="D139" s="909"/>
      <c r="E139" s="909"/>
      <c r="F139" s="909"/>
      <c r="G139" s="1447">
        <v>2</v>
      </c>
      <c r="H139" s="1447"/>
      <c r="I139" s="1447"/>
      <c r="J139" s="1447" t="s">
        <v>1592</v>
      </c>
      <c r="K139" s="1447"/>
      <c r="L139" s="1447"/>
      <c r="M139" s="897"/>
      <c r="AA139"/>
      <c r="AB139"/>
      <c r="AC139"/>
      <c r="AD139"/>
      <c r="AE139"/>
      <c r="AF139"/>
      <c r="AG139"/>
      <c r="AH139"/>
      <c r="AI139"/>
    </row>
    <row r="140" spans="1:35" ht="22.5" outlineLevel="2" x14ac:dyDescent="0.2">
      <c r="A140" s="908" t="s">
        <v>4928</v>
      </c>
      <c r="B140" s="636" t="s">
        <v>5690</v>
      </c>
      <c r="C140" s="909"/>
      <c r="D140" s="909"/>
      <c r="E140" s="909"/>
      <c r="F140" s="909"/>
      <c r="G140" s="1447">
        <v>2</v>
      </c>
      <c r="H140" s="1447"/>
      <c r="I140" s="1447"/>
      <c r="J140" s="1447" t="s">
        <v>1592</v>
      </c>
      <c r="K140" s="1447"/>
      <c r="L140" s="1447"/>
      <c r="M140" s="897"/>
      <c r="AA140"/>
      <c r="AB140"/>
      <c r="AC140"/>
      <c r="AD140"/>
      <c r="AE140"/>
      <c r="AF140"/>
      <c r="AG140"/>
      <c r="AH140"/>
      <c r="AI140"/>
    </row>
    <row r="141" spans="1:35" outlineLevel="2" x14ac:dyDescent="0.2">
      <c r="A141" s="908" t="s">
        <v>4929</v>
      </c>
      <c r="B141" s="636" t="s">
        <v>5691</v>
      </c>
      <c r="C141" s="909"/>
      <c r="D141" s="909"/>
      <c r="E141" s="909"/>
      <c r="F141" s="909"/>
      <c r="G141" s="1447">
        <v>3</v>
      </c>
      <c r="H141" s="1447"/>
      <c r="I141" s="1447"/>
      <c r="J141" s="1447" t="s">
        <v>1592</v>
      </c>
      <c r="K141" s="1447"/>
      <c r="L141" s="1447"/>
      <c r="M141" s="897"/>
      <c r="AA141"/>
      <c r="AB141"/>
      <c r="AC141"/>
      <c r="AD141"/>
      <c r="AE141"/>
      <c r="AF141"/>
      <c r="AG141"/>
      <c r="AH141"/>
      <c r="AI141"/>
    </row>
    <row r="142" spans="1:35" outlineLevel="2" x14ac:dyDescent="0.2">
      <c r="A142" s="908" t="s">
        <v>4930</v>
      </c>
      <c r="B142" s="636" t="s">
        <v>5692</v>
      </c>
      <c r="C142" s="909"/>
      <c r="D142" s="909"/>
      <c r="E142" s="909"/>
      <c r="F142" s="909"/>
      <c r="G142" s="1447">
        <v>3</v>
      </c>
      <c r="H142" s="1447"/>
      <c r="I142" s="1447"/>
      <c r="J142" s="1447" t="s">
        <v>2109</v>
      </c>
      <c r="K142" s="1447"/>
      <c r="L142" s="1447"/>
      <c r="M142" s="897"/>
      <c r="AA142"/>
      <c r="AB142"/>
      <c r="AC142"/>
      <c r="AD142"/>
      <c r="AE142"/>
      <c r="AF142"/>
      <c r="AG142"/>
      <c r="AH142"/>
      <c r="AI142"/>
    </row>
    <row r="143" spans="1:35" ht="12.75" customHeight="1" outlineLevel="1" x14ac:dyDescent="0.2">
      <c r="A143" s="633" t="s">
        <v>3125</v>
      </c>
      <c r="B143" s="634" t="s">
        <v>2366</v>
      </c>
      <c r="C143" s="909"/>
      <c r="D143" s="909"/>
      <c r="E143" s="909"/>
      <c r="F143" s="909"/>
      <c r="G143" s="1447"/>
      <c r="H143" s="1447"/>
      <c r="I143" s="1447"/>
      <c r="J143" s="1447"/>
      <c r="K143" s="1447"/>
      <c r="L143" s="1447"/>
      <c r="M143" s="897"/>
      <c r="AA143"/>
      <c r="AB143"/>
      <c r="AC143"/>
      <c r="AD143"/>
      <c r="AE143"/>
      <c r="AF143"/>
      <c r="AG143"/>
      <c r="AH143"/>
      <c r="AI143"/>
    </row>
    <row r="144" spans="1:35" ht="15" customHeight="1" outlineLevel="2" x14ac:dyDescent="0.2">
      <c r="A144" s="908" t="s">
        <v>4931</v>
      </c>
      <c r="B144" s="636" t="s">
        <v>3316</v>
      </c>
      <c r="C144" s="909"/>
      <c r="D144" s="909"/>
      <c r="E144" s="909"/>
      <c r="F144" s="909"/>
      <c r="G144" s="1447">
        <v>2</v>
      </c>
      <c r="H144" s="1447"/>
      <c r="I144" s="1447"/>
      <c r="J144" s="1447" t="s">
        <v>4246</v>
      </c>
      <c r="K144" s="1447"/>
      <c r="L144" s="1447"/>
      <c r="M144" s="897"/>
      <c r="AA144"/>
      <c r="AB144"/>
      <c r="AC144"/>
      <c r="AD144"/>
      <c r="AE144"/>
      <c r="AF144"/>
      <c r="AG144"/>
      <c r="AH144"/>
      <c r="AI144"/>
    </row>
    <row r="145" spans="1:35" outlineLevel="2" x14ac:dyDescent="0.2">
      <c r="A145" s="908" t="s">
        <v>4932</v>
      </c>
      <c r="B145" s="636" t="s">
        <v>2227</v>
      </c>
      <c r="C145" s="909"/>
      <c r="D145" s="909"/>
      <c r="E145" s="909"/>
      <c r="F145" s="909"/>
      <c r="G145" s="1447">
        <v>4</v>
      </c>
      <c r="H145" s="1447"/>
      <c r="I145" s="1447"/>
      <c r="J145" s="1447" t="s">
        <v>4246</v>
      </c>
      <c r="K145" s="1447"/>
      <c r="L145" s="1447"/>
      <c r="M145" s="897"/>
      <c r="AA145"/>
      <c r="AB145"/>
      <c r="AC145"/>
      <c r="AD145"/>
      <c r="AE145"/>
      <c r="AF145"/>
      <c r="AG145"/>
      <c r="AH145"/>
      <c r="AI145"/>
    </row>
    <row r="146" spans="1:35" ht="22.5" outlineLevel="2" x14ac:dyDescent="0.2">
      <c r="A146" s="908" t="s">
        <v>6308</v>
      </c>
      <c r="B146" s="636" t="s">
        <v>3317</v>
      </c>
      <c r="C146" s="909"/>
      <c r="D146" s="909"/>
      <c r="E146" s="909"/>
      <c r="F146" s="909"/>
      <c r="G146" s="1447">
        <v>3</v>
      </c>
      <c r="H146" s="1447"/>
      <c r="I146" s="1447"/>
      <c r="J146" s="1447" t="s">
        <v>4246</v>
      </c>
      <c r="K146" s="1447"/>
      <c r="L146" s="1447"/>
      <c r="M146" s="897"/>
      <c r="AA146"/>
      <c r="AB146"/>
      <c r="AC146"/>
      <c r="AD146"/>
      <c r="AE146"/>
      <c r="AF146"/>
      <c r="AG146"/>
      <c r="AH146"/>
      <c r="AI146"/>
    </row>
    <row r="147" spans="1:35" ht="22.5" outlineLevel="2" x14ac:dyDescent="0.2">
      <c r="A147" s="908" t="s">
        <v>6309</v>
      </c>
      <c r="B147" s="636" t="s">
        <v>3318</v>
      </c>
      <c r="C147" s="909"/>
      <c r="D147" s="909"/>
      <c r="E147" s="909"/>
      <c r="F147" s="909"/>
      <c r="G147" s="1447">
        <v>3</v>
      </c>
      <c r="H147" s="1447"/>
      <c r="I147" s="1447"/>
      <c r="J147" s="1447" t="s">
        <v>4246</v>
      </c>
      <c r="K147" s="1447"/>
      <c r="L147" s="1447"/>
      <c r="M147" s="897"/>
      <c r="AA147"/>
      <c r="AB147"/>
      <c r="AC147"/>
      <c r="AD147"/>
      <c r="AE147"/>
      <c r="AF147"/>
      <c r="AG147"/>
      <c r="AH147"/>
      <c r="AI147"/>
    </row>
    <row r="148" spans="1:35" ht="22.5" outlineLevel="2" x14ac:dyDescent="0.2">
      <c r="A148" s="908" t="s">
        <v>5510</v>
      </c>
      <c r="B148" s="636" t="s">
        <v>2295</v>
      </c>
      <c r="C148" s="909"/>
      <c r="D148" s="909"/>
      <c r="E148" s="909"/>
      <c r="F148" s="909"/>
      <c r="G148" s="1447">
        <v>4</v>
      </c>
      <c r="H148" s="1447">
        <v>3</v>
      </c>
      <c r="I148" s="1447"/>
      <c r="J148" s="1447" t="s">
        <v>1592</v>
      </c>
      <c r="K148" s="1447"/>
      <c r="L148" s="1447"/>
      <c r="M148" s="897"/>
      <c r="AA148"/>
      <c r="AB148"/>
      <c r="AC148"/>
      <c r="AD148"/>
      <c r="AE148"/>
      <c r="AF148"/>
      <c r="AG148"/>
      <c r="AH148"/>
      <c r="AI148"/>
    </row>
    <row r="149" spans="1:35" ht="22.5" outlineLevel="2" x14ac:dyDescent="0.2">
      <c r="A149" s="908" t="s">
        <v>5511</v>
      </c>
      <c r="B149" s="636" t="s">
        <v>3319</v>
      </c>
      <c r="C149" s="909"/>
      <c r="D149" s="909"/>
      <c r="E149" s="909"/>
      <c r="F149" s="909"/>
      <c r="G149" s="1447">
        <v>3</v>
      </c>
      <c r="H149" s="1447"/>
      <c r="I149" s="1447"/>
      <c r="J149" s="1447" t="s">
        <v>1592</v>
      </c>
      <c r="K149" s="1447"/>
      <c r="L149" s="1447"/>
      <c r="M149" s="897"/>
      <c r="AA149"/>
      <c r="AB149"/>
      <c r="AC149"/>
      <c r="AD149"/>
      <c r="AE149"/>
      <c r="AF149"/>
      <c r="AG149"/>
      <c r="AH149"/>
      <c r="AI149"/>
    </row>
    <row r="150" spans="1:35" outlineLevel="2" x14ac:dyDescent="0.2">
      <c r="A150" s="908" t="s">
        <v>5512</v>
      </c>
      <c r="B150" s="636" t="s">
        <v>1794</v>
      </c>
      <c r="C150" s="909"/>
      <c r="D150" s="909"/>
      <c r="E150" s="909"/>
      <c r="F150" s="909"/>
      <c r="G150" s="1447">
        <v>2</v>
      </c>
      <c r="H150" s="1447">
        <v>3</v>
      </c>
      <c r="I150" s="1447"/>
      <c r="J150" s="1447" t="s">
        <v>2109</v>
      </c>
      <c r="K150" s="1447"/>
      <c r="L150" s="1447"/>
      <c r="M150" s="897"/>
      <c r="AA150"/>
      <c r="AB150"/>
      <c r="AC150"/>
      <c r="AD150"/>
      <c r="AE150"/>
      <c r="AF150"/>
      <c r="AG150"/>
      <c r="AH150"/>
      <c r="AI150"/>
    </row>
    <row r="151" spans="1:35" outlineLevel="1" x14ac:dyDescent="0.2">
      <c r="A151" s="633" t="s">
        <v>3126</v>
      </c>
      <c r="B151" s="634" t="s">
        <v>5732</v>
      </c>
      <c r="C151" s="909"/>
      <c r="D151" s="909"/>
      <c r="E151" s="909"/>
      <c r="F151" s="909"/>
      <c r="G151" s="1447"/>
      <c r="H151" s="1447"/>
      <c r="I151" s="1447"/>
      <c r="J151" s="1447"/>
      <c r="K151" s="1447"/>
      <c r="L151" s="1447"/>
      <c r="M151" s="897"/>
      <c r="AA151"/>
      <c r="AB151"/>
      <c r="AC151"/>
      <c r="AD151"/>
      <c r="AE151"/>
      <c r="AF151"/>
      <c r="AG151"/>
      <c r="AH151"/>
      <c r="AI151"/>
    </row>
    <row r="152" spans="1:35" ht="33.75" outlineLevel="2" x14ac:dyDescent="0.2">
      <c r="A152" s="908" t="s">
        <v>5513</v>
      </c>
      <c r="B152" s="636" t="s">
        <v>6437</v>
      </c>
      <c r="C152" s="909"/>
      <c r="D152" s="909"/>
      <c r="E152" s="909"/>
      <c r="F152" s="909"/>
      <c r="G152" s="1447">
        <v>2</v>
      </c>
      <c r="H152" s="1447"/>
      <c r="I152" s="1449"/>
      <c r="J152" s="1447" t="s">
        <v>1592</v>
      </c>
      <c r="K152" s="1450" t="s">
        <v>6879</v>
      </c>
      <c r="L152" s="1447" t="s">
        <v>6458</v>
      </c>
      <c r="M152" s="897"/>
      <c r="AA152"/>
      <c r="AB152"/>
      <c r="AC152"/>
      <c r="AD152"/>
      <c r="AE152"/>
      <c r="AF152"/>
      <c r="AG152"/>
      <c r="AH152"/>
      <c r="AI152"/>
    </row>
    <row r="153" spans="1:35" ht="23.25" customHeight="1" outlineLevel="2" x14ac:dyDescent="0.2">
      <c r="A153" s="908" t="s">
        <v>5514</v>
      </c>
      <c r="B153" s="636" t="s">
        <v>6518</v>
      </c>
      <c r="C153" s="909"/>
      <c r="D153" s="909"/>
      <c r="E153" s="909"/>
      <c r="F153" s="909"/>
      <c r="G153" s="1447">
        <v>2</v>
      </c>
      <c r="H153" s="1447"/>
      <c r="I153" s="1449"/>
      <c r="J153" s="1447" t="s">
        <v>1592</v>
      </c>
      <c r="K153" s="1450" t="s">
        <v>6879</v>
      </c>
      <c r="L153" s="1447" t="s">
        <v>6458</v>
      </c>
      <c r="M153" s="897"/>
      <c r="AA153"/>
      <c r="AB153"/>
      <c r="AC153"/>
      <c r="AD153"/>
      <c r="AE153"/>
      <c r="AF153"/>
      <c r="AG153"/>
      <c r="AH153"/>
      <c r="AI153"/>
    </row>
    <row r="154" spans="1:35" ht="24" customHeight="1" outlineLevel="2" x14ac:dyDescent="0.2">
      <c r="A154" s="908" t="s">
        <v>5515</v>
      </c>
      <c r="B154" s="636" t="s">
        <v>2874</v>
      </c>
      <c r="C154" s="909"/>
      <c r="D154" s="909"/>
      <c r="E154" s="909"/>
      <c r="F154" s="909"/>
      <c r="G154" s="1447">
        <v>3</v>
      </c>
      <c r="H154" s="1447"/>
      <c r="I154" s="1447"/>
      <c r="J154" s="1447" t="s">
        <v>1592</v>
      </c>
      <c r="K154" s="1447"/>
      <c r="L154" s="1447"/>
      <c r="M154" s="897"/>
      <c r="AA154"/>
      <c r="AB154"/>
      <c r="AC154"/>
      <c r="AD154"/>
      <c r="AE154"/>
      <c r="AF154"/>
      <c r="AG154"/>
      <c r="AH154"/>
      <c r="AI154"/>
    </row>
    <row r="155" spans="1:35" outlineLevel="2" x14ac:dyDescent="0.2">
      <c r="A155" s="908" t="s">
        <v>5516</v>
      </c>
      <c r="B155" s="636" t="s">
        <v>5716</v>
      </c>
      <c r="C155" s="909"/>
      <c r="D155" s="909"/>
      <c r="E155" s="909"/>
      <c r="F155" s="909"/>
      <c r="G155" s="1447">
        <v>3</v>
      </c>
      <c r="H155" s="1447"/>
      <c r="I155" s="1447"/>
      <c r="J155" s="1447" t="s">
        <v>1592</v>
      </c>
      <c r="K155" s="1447"/>
      <c r="L155" s="1447"/>
      <c r="M155" s="897"/>
      <c r="AA155"/>
      <c r="AB155"/>
      <c r="AC155"/>
      <c r="AD155"/>
      <c r="AE155"/>
      <c r="AF155"/>
      <c r="AG155"/>
      <c r="AH155"/>
      <c r="AI155"/>
    </row>
    <row r="156" spans="1:35" ht="22.5" outlineLevel="2" x14ac:dyDescent="0.2">
      <c r="A156" s="908" t="s">
        <v>5517</v>
      </c>
      <c r="B156" s="636" t="s">
        <v>5717</v>
      </c>
      <c r="C156" s="909"/>
      <c r="D156" s="909"/>
      <c r="E156" s="909"/>
      <c r="F156" s="909"/>
      <c r="G156" s="1447">
        <v>2</v>
      </c>
      <c r="H156" s="1447"/>
      <c r="I156" s="1447"/>
      <c r="J156" s="1447" t="s">
        <v>2349</v>
      </c>
      <c r="K156" s="1447"/>
      <c r="L156" s="1447"/>
      <c r="M156" s="897"/>
      <c r="AA156"/>
      <c r="AB156"/>
      <c r="AC156"/>
      <c r="AD156"/>
      <c r="AE156"/>
      <c r="AF156"/>
      <c r="AG156"/>
      <c r="AH156"/>
      <c r="AI156"/>
    </row>
    <row r="157" spans="1:35" outlineLevel="2" x14ac:dyDescent="0.2">
      <c r="A157" s="908" t="s">
        <v>5518</v>
      </c>
      <c r="B157" s="636" t="s">
        <v>6160</v>
      </c>
      <c r="C157" s="909"/>
      <c r="D157" s="909"/>
      <c r="E157" s="909"/>
      <c r="F157" s="909"/>
      <c r="G157" s="1447">
        <v>3</v>
      </c>
      <c r="H157" s="1447"/>
      <c r="I157" s="1447"/>
      <c r="J157" s="1447" t="s">
        <v>2109</v>
      </c>
      <c r="K157" s="1447"/>
      <c r="L157" s="1447"/>
      <c r="M157" s="897"/>
      <c r="AA157"/>
      <c r="AB157"/>
      <c r="AC157"/>
      <c r="AD157"/>
      <c r="AE157"/>
      <c r="AF157"/>
      <c r="AG157"/>
      <c r="AH157"/>
      <c r="AI157"/>
    </row>
    <row r="158" spans="1:35" outlineLevel="2" x14ac:dyDescent="0.2">
      <c r="A158" s="908" t="s">
        <v>6159</v>
      </c>
      <c r="B158" s="636" t="s">
        <v>6519</v>
      </c>
      <c r="C158" s="909"/>
      <c r="D158" s="909"/>
      <c r="E158" s="909"/>
      <c r="F158" s="909"/>
      <c r="G158" s="1447">
        <v>3</v>
      </c>
      <c r="H158" s="1447"/>
      <c r="I158" s="1447"/>
      <c r="J158" s="1447" t="s">
        <v>2109</v>
      </c>
      <c r="K158" s="1447"/>
      <c r="L158" s="1447"/>
      <c r="M158" s="897"/>
      <c r="AA158"/>
      <c r="AB158"/>
      <c r="AC158"/>
      <c r="AD158"/>
      <c r="AE158"/>
      <c r="AF158"/>
      <c r="AG158"/>
      <c r="AH158"/>
      <c r="AI158"/>
    </row>
    <row r="159" spans="1:35" outlineLevel="1" x14ac:dyDescent="0.2">
      <c r="A159" s="633" t="s">
        <v>3127</v>
      </c>
      <c r="B159" s="634" t="s">
        <v>1484</v>
      </c>
      <c r="C159" s="909"/>
      <c r="D159" s="909"/>
      <c r="E159" s="909"/>
      <c r="F159" s="909"/>
      <c r="G159" s="1447"/>
      <c r="H159" s="1447"/>
      <c r="I159" s="1447"/>
      <c r="J159" s="1447"/>
      <c r="K159" s="1447"/>
      <c r="L159" s="1447"/>
      <c r="M159" s="897"/>
      <c r="AA159"/>
      <c r="AB159"/>
      <c r="AC159"/>
      <c r="AD159"/>
      <c r="AE159"/>
      <c r="AF159"/>
      <c r="AG159"/>
      <c r="AH159"/>
      <c r="AI159"/>
    </row>
    <row r="160" spans="1:35" ht="16.5" customHeight="1" outlineLevel="2" x14ac:dyDescent="0.2">
      <c r="A160" s="908" t="s">
        <v>5519</v>
      </c>
      <c r="B160" s="636" t="s">
        <v>2957</v>
      </c>
      <c r="C160" s="909"/>
      <c r="D160" s="909"/>
      <c r="E160" s="909"/>
      <c r="F160" s="909"/>
      <c r="G160" s="1447">
        <v>2</v>
      </c>
      <c r="H160" s="1447"/>
      <c r="I160" s="1449"/>
      <c r="J160" s="1447" t="s">
        <v>1592</v>
      </c>
      <c r="K160" s="1447"/>
      <c r="L160" s="1447"/>
      <c r="M160" s="897"/>
      <c r="AA160"/>
      <c r="AB160"/>
      <c r="AC160"/>
      <c r="AD160"/>
      <c r="AE160"/>
      <c r="AF160"/>
      <c r="AG160"/>
      <c r="AH160"/>
      <c r="AI160"/>
    </row>
    <row r="161" spans="1:35" ht="28.5" customHeight="1" outlineLevel="2" x14ac:dyDescent="0.2">
      <c r="A161" s="908" t="s">
        <v>5520</v>
      </c>
      <c r="B161" s="636" t="s">
        <v>2958</v>
      </c>
      <c r="C161" s="909"/>
      <c r="D161" s="909"/>
      <c r="E161" s="909"/>
      <c r="F161" s="909"/>
      <c r="G161" s="1447">
        <v>2</v>
      </c>
      <c r="H161" s="1447"/>
      <c r="I161" s="1449"/>
      <c r="J161" s="1447" t="s">
        <v>1592</v>
      </c>
      <c r="K161" s="1447"/>
      <c r="L161" s="1447"/>
      <c r="M161" s="897"/>
      <c r="AA161"/>
      <c r="AB161"/>
      <c r="AC161"/>
      <c r="AD161"/>
      <c r="AE161"/>
      <c r="AF161"/>
      <c r="AG161"/>
      <c r="AH161"/>
      <c r="AI161"/>
    </row>
    <row r="162" spans="1:35" ht="22.5" outlineLevel="2" x14ac:dyDescent="0.2">
      <c r="A162" s="908" t="s">
        <v>5521</v>
      </c>
      <c r="B162" s="636" t="s">
        <v>6843</v>
      </c>
      <c r="C162" s="909"/>
      <c r="D162" s="909"/>
      <c r="E162" s="909"/>
      <c r="F162" s="909"/>
      <c r="G162" s="1447">
        <v>4</v>
      </c>
      <c r="H162" s="1447"/>
      <c r="I162" s="1447"/>
      <c r="J162" s="1447" t="s">
        <v>1592</v>
      </c>
      <c r="K162" s="1447"/>
      <c r="L162" s="1447"/>
      <c r="M162" s="897"/>
      <c r="AA162"/>
      <c r="AB162"/>
      <c r="AC162"/>
      <c r="AD162"/>
      <c r="AE162"/>
      <c r="AF162"/>
      <c r="AG162"/>
      <c r="AH162"/>
      <c r="AI162"/>
    </row>
    <row r="163" spans="1:35" ht="26.25" customHeight="1" outlineLevel="2" x14ac:dyDescent="0.2">
      <c r="A163" s="908" t="s">
        <v>5522</v>
      </c>
      <c r="B163" s="636" t="s">
        <v>2647</v>
      </c>
      <c r="C163" s="909"/>
      <c r="D163" s="909"/>
      <c r="E163" s="909"/>
      <c r="F163" s="909"/>
      <c r="G163" s="1447">
        <v>3</v>
      </c>
      <c r="H163" s="1447">
        <v>3</v>
      </c>
      <c r="I163" s="1447"/>
      <c r="J163" s="1447" t="s">
        <v>1592</v>
      </c>
      <c r="K163" s="1447"/>
      <c r="L163" s="1447"/>
      <c r="M163" s="897"/>
      <c r="AA163"/>
      <c r="AB163"/>
      <c r="AC163"/>
      <c r="AD163"/>
      <c r="AE163"/>
      <c r="AF163"/>
      <c r="AG163"/>
      <c r="AH163"/>
      <c r="AI163"/>
    </row>
    <row r="164" spans="1:35" outlineLevel="2" x14ac:dyDescent="0.2">
      <c r="A164" s="908" t="s">
        <v>5523</v>
      </c>
      <c r="B164" s="636" t="s">
        <v>2649</v>
      </c>
      <c r="C164" s="909"/>
      <c r="D164" s="909"/>
      <c r="E164" s="909"/>
      <c r="F164" s="909"/>
      <c r="G164" s="1447">
        <v>3</v>
      </c>
      <c r="H164" s="1447">
        <v>3</v>
      </c>
      <c r="I164" s="1447"/>
      <c r="J164" s="1447" t="s">
        <v>1592</v>
      </c>
      <c r="K164" s="1447"/>
      <c r="L164" s="1447"/>
      <c r="M164" s="897"/>
      <c r="AA164"/>
      <c r="AB164"/>
      <c r="AC164"/>
      <c r="AD164"/>
      <c r="AE164"/>
      <c r="AF164"/>
      <c r="AG164"/>
      <c r="AH164"/>
      <c r="AI164"/>
    </row>
    <row r="165" spans="1:35" outlineLevel="2" x14ac:dyDescent="0.2">
      <c r="A165" s="908" t="s">
        <v>5524</v>
      </c>
      <c r="B165" s="636" t="s">
        <v>1159</v>
      </c>
      <c r="C165" s="909"/>
      <c r="D165" s="909"/>
      <c r="E165" s="909"/>
      <c r="F165" s="909"/>
      <c r="G165" s="1447">
        <v>3</v>
      </c>
      <c r="H165" s="1447">
        <v>3</v>
      </c>
      <c r="I165" s="1447"/>
      <c r="J165" s="1447" t="s">
        <v>2329</v>
      </c>
      <c r="K165" s="1447"/>
      <c r="L165" s="1447"/>
      <c r="M165" s="897"/>
      <c r="AA165"/>
      <c r="AB165"/>
      <c r="AC165"/>
      <c r="AD165"/>
      <c r="AE165"/>
      <c r="AF165"/>
      <c r="AG165"/>
      <c r="AH165"/>
      <c r="AI165"/>
    </row>
    <row r="166" spans="1:35" outlineLevel="2" x14ac:dyDescent="0.2">
      <c r="A166" s="908" t="s">
        <v>5525</v>
      </c>
      <c r="B166" s="636" t="s">
        <v>2864</v>
      </c>
      <c r="C166" s="909"/>
      <c r="D166" s="909"/>
      <c r="E166" s="909"/>
      <c r="F166" s="909"/>
      <c r="G166" s="1447">
        <v>3</v>
      </c>
      <c r="H166" s="1447">
        <v>3</v>
      </c>
      <c r="I166" s="1447"/>
      <c r="J166" s="1447" t="s">
        <v>1592</v>
      </c>
      <c r="K166" s="1447"/>
      <c r="L166" s="1447"/>
      <c r="M166" s="897"/>
      <c r="AA166"/>
      <c r="AB166"/>
      <c r="AC166"/>
      <c r="AD166"/>
      <c r="AE166"/>
      <c r="AF166"/>
      <c r="AG166"/>
      <c r="AH166"/>
      <c r="AI166"/>
    </row>
    <row r="167" spans="1:35" ht="22.5" outlineLevel="2" x14ac:dyDescent="0.2">
      <c r="A167" s="908" t="s">
        <v>5526</v>
      </c>
      <c r="B167" s="636" t="s">
        <v>2865</v>
      </c>
      <c r="C167" s="909"/>
      <c r="D167" s="909"/>
      <c r="E167" s="909"/>
      <c r="F167" s="909"/>
      <c r="G167" s="1447">
        <v>3</v>
      </c>
      <c r="H167" s="1447"/>
      <c r="I167" s="1447"/>
      <c r="J167" s="1447" t="s">
        <v>2329</v>
      </c>
      <c r="K167" s="1447"/>
      <c r="L167" s="1447"/>
      <c r="M167" s="897"/>
      <c r="AA167"/>
      <c r="AB167"/>
      <c r="AC167"/>
      <c r="AD167"/>
      <c r="AE167"/>
      <c r="AF167"/>
      <c r="AG167"/>
      <c r="AH167"/>
      <c r="AI167"/>
    </row>
    <row r="168" spans="1:35" outlineLevel="2" x14ac:dyDescent="0.2">
      <c r="A168" s="908" t="s">
        <v>5541</v>
      </c>
      <c r="B168" s="636" t="s">
        <v>4403</v>
      </c>
      <c r="C168" s="909"/>
      <c r="D168" s="909"/>
      <c r="E168" s="909"/>
      <c r="F168" s="909"/>
      <c r="G168" s="1447">
        <v>3</v>
      </c>
      <c r="H168" s="1447">
        <v>3</v>
      </c>
      <c r="I168" s="1447"/>
      <c r="J168" s="1447" t="s">
        <v>1592</v>
      </c>
      <c r="K168" s="1447"/>
      <c r="L168" s="1447"/>
      <c r="M168" s="897"/>
      <c r="AA168"/>
      <c r="AB168"/>
      <c r="AC168"/>
      <c r="AD168"/>
      <c r="AE168"/>
      <c r="AF168"/>
      <c r="AG168"/>
      <c r="AH168"/>
      <c r="AI168"/>
    </row>
    <row r="169" spans="1:35" ht="22.5" outlineLevel="2" x14ac:dyDescent="0.2">
      <c r="A169" s="908" t="s">
        <v>5542</v>
      </c>
      <c r="B169" s="636" t="s">
        <v>1144</v>
      </c>
      <c r="C169" s="909"/>
      <c r="D169" s="1451"/>
      <c r="E169" s="909"/>
      <c r="F169" s="909"/>
      <c r="G169" s="1447">
        <v>2</v>
      </c>
      <c r="H169" s="1447">
        <v>3</v>
      </c>
      <c r="I169" s="1447"/>
      <c r="J169" s="1447" t="s">
        <v>2349</v>
      </c>
      <c r="K169" s="1447"/>
      <c r="L169" s="1447"/>
      <c r="M169" s="897"/>
      <c r="AA169"/>
      <c r="AB169"/>
      <c r="AC169"/>
      <c r="AD169"/>
      <c r="AE169"/>
      <c r="AF169"/>
      <c r="AG169"/>
      <c r="AH169"/>
      <c r="AI169"/>
    </row>
    <row r="170" spans="1:35" outlineLevel="2" x14ac:dyDescent="0.2">
      <c r="A170" s="908" t="s">
        <v>5543</v>
      </c>
      <c r="B170" s="636" t="s">
        <v>2866</v>
      </c>
      <c r="C170" s="909"/>
      <c r="D170" s="909"/>
      <c r="E170" s="909"/>
      <c r="F170" s="909"/>
      <c r="G170" s="1447">
        <v>3</v>
      </c>
      <c r="H170" s="1447">
        <v>3</v>
      </c>
      <c r="I170" s="1447"/>
      <c r="J170" s="1447" t="s">
        <v>1592</v>
      </c>
      <c r="K170" s="1447"/>
      <c r="L170" s="1447"/>
      <c r="M170" s="897"/>
      <c r="AA170"/>
      <c r="AB170"/>
      <c r="AC170"/>
      <c r="AD170"/>
      <c r="AE170"/>
      <c r="AF170"/>
      <c r="AG170"/>
      <c r="AH170"/>
      <c r="AI170"/>
    </row>
    <row r="171" spans="1:35" outlineLevel="2" x14ac:dyDescent="0.2">
      <c r="A171" s="908" t="s">
        <v>5544</v>
      </c>
      <c r="B171" s="636" t="s">
        <v>2876</v>
      </c>
      <c r="C171" s="909"/>
      <c r="D171" s="909"/>
      <c r="E171" s="909"/>
      <c r="F171" s="909"/>
      <c r="G171" s="1447">
        <v>3</v>
      </c>
      <c r="H171" s="1447">
        <v>3</v>
      </c>
      <c r="I171" s="1447"/>
      <c r="J171" s="1447" t="s">
        <v>1592</v>
      </c>
      <c r="K171" s="1447"/>
      <c r="L171" s="1447"/>
      <c r="M171" s="897"/>
      <c r="AA171"/>
      <c r="AB171"/>
      <c r="AC171"/>
      <c r="AD171"/>
      <c r="AE171"/>
      <c r="AF171"/>
      <c r="AG171"/>
      <c r="AH171"/>
      <c r="AI171"/>
    </row>
    <row r="172" spans="1:35" outlineLevel="2" x14ac:dyDescent="0.2">
      <c r="A172" s="908" t="s">
        <v>5545</v>
      </c>
      <c r="B172" s="636" t="s">
        <v>2877</v>
      </c>
      <c r="C172" s="909"/>
      <c r="D172" s="909"/>
      <c r="E172" s="909"/>
      <c r="F172" s="909"/>
      <c r="G172" s="1447">
        <v>1</v>
      </c>
      <c r="H172" s="1447"/>
      <c r="I172" s="1447"/>
      <c r="J172" s="1447" t="s">
        <v>1592</v>
      </c>
      <c r="K172" s="1447"/>
      <c r="L172" s="1447"/>
      <c r="M172" s="897"/>
      <c r="AA172"/>
      <c r="AB172"/>
      <c r="AC172"/>
      <c r="AD172"/>
      <c r="AE172"/>
      <c r="AF172"/>
      <c r="AG172"/>
      <c r="AH172"/>
      <c r="AI172"/>
    </row>
    <row r="173" spans="1:35" outlineLevel="2" x14ac:dyDescent="0.2">
      <c r="A173" s="908" t="s">
        <v>2875</v>
      </c>
      <c r="B173" s="636" t="s">
        <v>3582</v>
      </c>
      <c r="C173" s="909"/>
      <c r="D173" s="909"/>
      <c r="E173" s="909"/>
      <c r="F173" s="909"/>
      <c r="G173" s="1447">
        <v>4</v>
      </c>
      <c r="H173" s="1447">
        <v>3</v>
      </c>
      <c r="I173" s="1447"/>
      <c r="J173" s="1447" t="s">
        <v>1592</v>
      </c>
      <c r="K173" s="1447"/>
      <c r="L173" s="1447"/>
      <c r="M173" s="897"/>
      <c r="AA173"/>
      <c r="AB173"/>
      <c r="AC173"/>
      <c r="AD173"/>
      <c r="AE173"/>
      <c r="AF173"/>
      <c r="AG173"/>
      <c r="AH173"/>
      <c r="AI173"/>
    </row>
    <row r="174" spans="1:35" ht="22.5" outlineLevel="2" x14ac:dyDescent="0.2">
      <c r="A174" s="908" t="s">
        <v>3583</v>
      </c>
      <c r="B174" s="636" t="s">
        <v>2867</v>
      </c>
      <c r="C174" s="909"/>
      <c r="D174" s="909"/>
      <c r="E174" s="909"/>
      <c r="F174" s="909"/>
      <c r="G174" s="1447">
        <v>3</v>
      </c>
      <c r="H174" s="1447"/>
      <c r="I174" s="1447"/>
      <c r="J174" s="1447" t="s">
        <v>1592</v>
      </c>
      <c r="K174" s="1447"/>
      <c r="L174" s="1447"/>
      <c r="M174" s="897"/>
      <c r="AA174"/>
      <c r="AB174"/>
      <c r="AC174"/>
      <c r="AD174"/>
      <c r="AE174"/>
      <c r="AF174"/>
      <c r="AG174"/>
      <c r="AH174"/>
      <c r="AI174"/>
    </row>
    <row r="175" spans="1:35" outlineLevel="2" x14ac:dyDescent="0.2">
      <c r="A175" s="908" t="s">
        <v>3584</v>
      </c>
      <c r="B175" s="636" t="s">
        <v>5705</v>
      </c>
      <c r="C175" s="909"/>
      <c r="D175" s="909"/>
      <c r="E175" s="909"/>
      <c r="F175" s="909"/>
      <c r="G175" s="1447">
        <v>3</v>
      </c>
      <c r="H175" s="1447">
        <v>3</v>
      </c>
      <c r="I175" s="1447"/>
      <c r="J175" s="1447" t="s">
        <v>2109</v>
      </c>
      <c r="K175" s="1447"/>
      <c r="L175" s="1447"/>
      <c r="M175" s="897"/>
      <c r="AA175"/>
      <c r="AB175"/>
      <c r="AC175"/>
      <c r="AD175"/>
      <c r="AE175"/>
      <c r="AF175"/>
      <c r="AG175"/>
      <c r="AH175"/>
      <c r="AI175"/>
    </row>
    <row r="176" spans="1:35" x14ac:dyDescent="0.2">
      <c r="C176" s="846"/>
      <c r="D176" s="846"/>
      <c r="E176" s="846"/>
      <c r="F176" s="846"/>
      <c r="AA176"/>
      <c r="AB176"/>
      <c r="AC176"/>
      <c r="AD176"/>
      <c r="AE176"/>
      <c r="AF176"/>
      <c r="AG176"/>
      <c r="AH176"/>
      <c r="AI176"/>
    </row>
    <row r="177" spans="1:35" ht="12.75" customHeight="1" x14ac:dyDescent="0.2">
      <c r="A177" s="876" t="str">
        <f>C$2</f>
        <v>R-V1</v>
      </c>
      <c r="B177" s="618" t="s">
        <v>7232</v>
      </c>
      <c r="C177" s="877" t="str">
        <f>C$2</f>
        <v>R-V1</v>
      </c>
      <c r="D177" s="877"/>
      <c r="E177" s="877"/>
      <c r="F177" s="877"/>
      <c r="AA177"/>
      <c r="AB177"/>
      <c r="AC177"/>
      <c r="AD177"/>
      <c r="AE177"/>
      <c r="AF177"/>
      <c r="AG177"/>
      <c r="AH177"/>
      <c r="AI177"/>
    </row>
    <row r="178" spans="1:35" ht="12.75" customHeight="1" x14ac:dyDescent="0.2">
      <c r="A178" s="876" t="str">
        <f>C$2</f>
        <v>R-V1</v>
      </c>
      <c r="B178" s="618" t="s">
        <v>7233</v>
      </c>
      <c r="C178" s="877" t="str">
        <f>C$2</f>
        <v>R-V1</v>
      </c>
      <c r="D178" s="877"/>
      <c r="E178" s="877"/>
      <c r="F178" s="877"/>
      <c r="AA178"/>
      <c r="AB178"/>
      <c r="AC178"/>
      <c r="AD178"/>
      <c r="AE178"/>
      <c r="AF178"/>
      <c r="AG178"/>
      <c r="AH178"/>
      <c r="AI178"/>
    </row>
    <row r="179" spans="1:35" ht="12.75" customHeight="1" x14ac:dyDescent="0.2">
      <c r="A179" s="876" t="str">
        <f>C$2</f>
        <v>R-V1</v>
      </c>
      <c r="B179" s="618" t="s">
        <v>7234</v>
      </c>
      <c r="C179" s="877" t="str">
        <f>C$2</f>
        <v>R-V1</v>
      </c>
      <c r="D179" s="877"/>
      <c r="E179" s="877"/>
      <c r="F179" s="877"/>
      <c r="AA179"/>
      <c r="AB179"/>
      <c r="AC179"/>
      <c r="AD179"/>
      <c r="AE179"/>
      <c r="AF179"/>
      <c r="AG179"/>
      <c r="AH179"/>
      <c r="AI179"/>
    </row>
    <row r="180" spans="1:35" ht="12.75" customHeight="1" x14ac:dyDescent="0.2">
      <c r="A180" s="876" t="str">
        <f>C$2</f>
        <v>R-V1</v>
      </c>
      <c r="B180" s="618" t="s">
        <v>7235</v>
      </c>
      <c r="C180" s="877" t="str">
        <f>C$2</f>
        <v>R-V1</v>
      </c>
      <c r="D180" s="877"/>
      <c r="E180" s="877"/>
      <c r="F180" s="877"/>
      <c r="AA180"/>
      <c r="AB180"/>
      <c r="AC180"/>
      <c r="AD180"/>
      <c r="AE180"/>
      <c r="AF180"/>
      <c r="AG180"/>
      <c r="AH180"/>
      <c r="AI180"/>
    </row>
    <row r="181" spans="1:35" ht="12.75" customHeight="1" x14ac:dyDescent="0.2">
      <c r="A181" s="876"/>
      <c r="B181" s="618"/>
      <c r="C181" s="877"/>
      <c r="D181" s="877"/>
      <c r="E181" s="877"/>
      <c r="F181" s="877"/>
      <c r="AA181"/>
      <c r="AB181"/>
      <c r="AC181"/>
      <c r="AD181"/>
      <c r="AE181"/>
      <c r="AF181"/>
      <c r="AG181"/>
      <c r="AH181"/>
      <c r="AI181"/>
    </row>
    <row r="182" spans="1:35" ht="12.75" customHeight="1" x14ac:dyDescent="0.2">
      <c r="A182" s="876" t="str">
        <f>D$2</f>
        <v>R-V2</v>
      </c>
      <c r="B182" s="618" t="s">
        <v>7232</v>
      </c>
      <c r="C182" s="877"/>
      <c r="D182" s="877" t="str">
        <f>D$2</f>
        <v>R-V2</v>
      </c>
      <c r="E182" s="877"/>
      <c r="F182" s="877"/>
      <c r="AA182"/>
      <c r="AB182"/>
      <c r="AC182"/>
      <c r="AD182"/>
      <c r="AE182"/>
      <c r="AF182"/>
      <c r="AG182"/>
      <c r="AH182"/>
      <c r="AI182"/>
    </row>
    <row r="183" spans="1:35" ht="12.75" customHeight="1" x14ac:dyDescent="0.2">
      <c r="A183" s="876" t="str">
        <f>D$2</f>
        <v>R-V2</v>
      </c>
      <c r="B183" s="618" t="s">
        <v>7233</v>
      </c>
      <c r="C183" s="877"/>
      <c r="D183" s="877" t="str">
        <f>D$2</f>
        <v>R-V2</v>
      </c>
      <c r="E183" s="877"/>
      <c r="F183" s="877"/>
      <c r="AA183"/>
      <c r="AB183"/>
      <c r="AC183"/>
      <c r="AD183"/>
      <c r="AE183"/>
      <c r="AF183"/>
      <c r="AG183"/>
      <c r="AH183"/>
      <c r="AI183"/>
    </row>
    <row r="184" spans="1:35" ht="12.75" customHeight="1" x14ac:dyDescent="0.2">
      <c r="A184" s="876" t="str">
        <f>D$2</f>
        <v>R-V2</v>
      </c>
      <c r="B184" s="618" t="s">
        <v>7234</v>
      </c>
      <c r="C184" s="877"/>
      <c r="D184" s="877" t="str">
        <f>D$2</f>
        <v>R-V2</v>
      </c>
      <c r="E184" s="877"/>
      <c r="F184" s="877"/>
      <c r="AA184"/>
      <c r="AB184"/>
      <c r="AC184"/>
      <c r="AD184"/>
      <c r="AE184"/>
      <c r="AF184"/>
      <c r="AG184"/>
      <c r="AH184"/>
      <c r="AI184"/>
    </row>
    <row r="185" spans="1:35" ht="12.75" customHeight="1" x14ac:dyDescent="0.2">
      <c r="A185" s="876" t="str">
        <f>D$2</f>
        <v>R-V2</v>
      </c>
      <c r="B185" s="618" t="s">
        <v>7235</v>
      </c>
      <c r="C185" s="877"/>
      <c r="D185" s="877" t="str">
        <f>D$2</f>
        <v>R-V2</v>
      </c>
      <c r="E185" s="877"/>
      <c r="F185" s="877"/>
      <c r="AA185"/>
      <c r="AB185"/>
      <c r="AC185"/>
      <c r="AD185"/>
      <c r="AE185"/>
      <c r="AF185"/>
      <c r="AG185"/>
      <c r="AH185"/>
      <c r="AI185"/>
    </row>
    <row r="186" spans="1:35" ht="12.75" customHeight="1" x14ac:dyDescent="0.2">
      <c r="A186" s="876"/>
      <c r="B186" s="618"/>
      <c r="C186" s="877"/>
      <c r="D186" s="877"/>
      <c r="E186" s="877"/>
      <c r="F186" s="877"/>
      <c r="AA186"/>
      <c r="AB186"/>
      <c r="AC186"/>
      <c r="AD186"/>
      <c r="AE186"/>
      <c r="AF186"/>
      <c r="AG186"/>
      <c r="AH186"/>
      <c r="AI186"/>
    </row>
    <row r="187" spans="1:35" ht="12.75" customHeight="1" x14ac:dyDescent="0.2">
      <c r="A187" s="876" t="str">
        <f>E$2</f>
        <v>R-V3</v>
      </c>
      <c r="B187" s="618" t="s">
        <v>7232</v>
      </c>
      <c r="C187" s="877"/>
      <c r="D187" s="877"/>
      <c r="E187" s="877" t="str">
        <f>E$2</f>
        <v>R-V3</v>
      </c>
      <c r="F187" s="877"/>
      <c r="AA187"/>
      <c r="AB187"/>
      <c r="AC187"/>
      <c r="AD187"/>
      <c r="AE187"/>
      <c r="AF187"/>
      <c r="AG187"/>
      <c r="AH187"/>
      <c r="AI187"/>
    </row>
    <row r="188" spans="1:35" ht="12.75" customHeight="1" x14ac:dyDescent="0.2">
      <c r="A188" s="876" t="str">
        <f>E$2</f>
        <v>R-V3</v>
      </c>
      <c r="B188" s="618" t="s">
        <v>7233</v>
      </c>
      <c r="C188" s="877"/>
      <c r="D188" s="877"/>
      <c r="E188" s="877" t="str">
        <f>E$2</f>
        <v>R-V3</v>
      </c>
      <c r="F188" s="877"/>
      <c r="AA188"/>
      <c r="AB188"/>
      <c r="AC188"/>
      <c r="AD188"/>
      <c r="AE188"/>
      <c r="AF188"/>
      <c r="AG188"/>
      <c r="AH188"/>
      <c r="AI188"/>
    </row>
    <row r="189" spans="1:35" ht="12.75" customHeight="1" x14ac:dyDescent="0.2">
      <c r="A189" s="876" t="str">
        <f>E$2</f>
        <v>R-V3</v>
      </c>
      <c r="B189" s="618" t="s">
        <v>7234</v>
      </c>
      <c r="C189" s="877"/>
      <c r="D189" s="877"/>
      <c r="E189" s="877" t="str">
        <f>E$2</f>
        <v>R-V3</v>
      </c>
      <c r="F189" s="877"/>
      <c r="AA189"/>
      <c r="AB189"/>
      <c r="AC189"/>
      <c r="AD189"/>
      <c r="AE189"/>
      <c r="AF189"/>
      <c r="AG189"/>
      <c r="AH189"/>
      <c r="AI189"/>
    </row>
    <row r="190" spans="1:35" ht="12.75" customHeight="1" x14ac:dyDescent="0.2">
      <c r="A190" s="876" t="str">
        <f>E$2</f>
        <v>R-V3</v>
      </c>
      <c r="B190" s="618" t="s">
        <v>7235</v>
      </c>
      <c r="C190" s="877"/>
      <c r="D190" s="877"/>
      <c r="E190" s="877" t="str">
        <f>E$2</f>
        <v>R-V3</v>
      </c>
      <c r="F190" s="877"/>
      <c r="AA190"/>
      <c r="AB190"/>
      <c r="AC190"/>
      <c r="AD190"/>
      <c r="AE190"/>
      <c r="AF190"/>
      <c r="AG190"/>
      <c r="AH190"/>
      <c r="AI190"/>
    </row>
    <row r="191" spans="1:35" ht="12.75" customHeight="1" x14ac:dyDescent="0.2">
      <c r="A191" s="876"/>
      <c r="B191" s="618"/>
      <c r="C191" s="877"/>
      <c r="D191" s="877"/>
      <c r="E191" s="877"/>
      <c r="F191" s="877"/>
      <c r="AA191"/>
      <c r="AB191"/>
      <c r="AC191"/>
      <c r="AD191"/>
      <c r="AE191"/>
      <c r="AF191"/>
      <c r="AG191"/>
      <c r="AH191"/>
      <c r="AI191"/>
    </row>
    <row r="192" spans="1:35" ht="12.75" customHeight="1" x14ac:dyDescent="0.2">
      <c r="A192" s="876" t="str">
        <f>F$2</f>
        <v>R-V4</v>
      </c>
      <c r="B192" s="618" t="s">
        <v>7232</v>
      </c>
      <c r="C192" s="877"/>
      <c r="D192" s="877"/>
      <c r="E192" s="877"/>
      <c r="F192" s="877" t="str">
        <f>F$2</f>
        <v>R-V4</v>
      </c>
      <c r="AA192"/>
      <c r="AB192"/>
      <c r="AC192"/>
      <c r="AD192"/>
      <c r="AE192"/>
      <c r="AF192"/>
      <c r="AG192"/>
      <c r="AH192"/>
      <c r="AI192"/>
    </row>
    <row r="193" spans="1:35" ht="12.75" customHeight="1" x14ac:dyDescent="0.2">
      <c r="A193" s="876" t="str">
        <f>F$2</f>
        <v>R-V4</v>
      </c>
      <c r="B193" s="618" t="s">
        <v>7233</v>
      </c>
      <c r="C193" s="877"/>
      <c r="D193" s="877"/>
      <c r="E193" s="877"/>
      <c r="F193" s="877" t="str">
        <f>F$2</f>
        <v>R-V4</v>
      </c>
      <c r="AA193"/>
      <c r="AB193"/>
      <c r="AC193"/>
      <c r="AD193"/>
      <c r="AE193"/>
      <c r="AF193"/>
      <c r="AG193"/>
      <c r="AH193"/>
      <c r="AI193"/>
    </row>
    <row r="194" spans="1:35" ht="12.75" customHeight="1" x14ac:dyDescent="0.2">
      <c r="A194" s="876" t="str">
        <f>F$2</f>
        <v>R-V4</v>
      </c>
      <c r="B194" s="618" t="s">
        <v>7234</v>
      </c>
      <c r="C194" s="877"/>
      <c r="D194" s="877"/>
      <c r="E194" s="877"/>
      <c r="F194" s="877" t="str">
        <f>F$2</f>
        <v>R-V4</v>
      </c>
      <c r="AA194"/>
      <c r="AB194"/>
      <c r="AC194"/>
      <c r="AD194"/>
      <c r="AE194"/>
      <c r="AF194"/>
      <c r="AG194"/>
      <c r="AH194"/>
      <c r="AI194"/>
    </row>
    <row r="195" spans="1:35" ht="12.75" customHeight="1" x14ac:dyDescent="0.2">
      <c r="A195" s="876" t="str">
        <f>F$2</f>
        <v>R-V4</v>
      </c>
      <c r="B195" s="618" t="s">
        <v>7235</v>
      </c>
      <c r="C195" s="877"/>
      <c r="D195" s="877"/>
      <c r="E195" s="877"/>
      <c r="F195" s="877" t="str">
        <f>F$2</f>
        <v>R-V4</v>
      </c>
      <c r="AA195"/>
      <c r="AB195"/>
      <c r="AC195"/>
      <c r="AD195"/>
      <c r="AE195"/>
      <c r="AF195"/>
      <c r="AG195"/>
      <c r="AH195"/>
      <c r="AI195"/>
    </row>
    <row r="196" spans="1:35" x14ac:dyDescent="0.2">
      <c r="C196" s="846"/>
      <c r="D196" s="846"/>
      <c r="E196" s="846"/>
      <c r="F196" s="846"/>
      <c r="AA196"/>
      <c r="AB196"/>
      <c r="AC196"/>
      <c r="AD196"/>
      <c r="AE196"/>
      <c r="AF196"/>
      <c r="AG196"/>
      <c r="AH196"/>
      <c r="AI196"/>
    </row>
    <row r="197" spans="1:35" x14ac:dyDescent="0.2">
      <c r="C197" s="913"/>
      <c r="D197" s="913"/>
      <c r="E197" s="913"/>
      <c r="F197" s="913"/>
      <c r="AA197"/>
      <c r="AB197"/>
      <c r="AC197"/>
      <c r="AD197"/>
      <c r="AE197"/>
      <c r="AF197"/>
      <c r="AG197"/>
      <c r="AH197"/>
      <c r="AI197"/>
    </row>
    <row r="198" spans="1:35" x14ac:dyDescent="0.2">
      <c r="C198" s="846"/>
      <c r="D198" s="846"/>
      <c r="E198" s="846"/>
      <c r="F198" s="846"/>
      <c r="AA198"/>
      <c r="AB198"/>
      <c r="AC198"/>
      <c r="AD198"/>
      <c r="AE198"/>
      <c r="AF198"/>
      <c r="AG198"/>
      <c r="AH198"/>
      <c r="AI198"/>
    </row>
    <row r="199" spans="1:35" x14ac:dyDescent="0.2">
      <c r="C199" s="846"/>
      <c r="D199" s="846"/>
      <c r="E199" s="846"/>
      <c r="F199" s="846"/>
      <c r="AA199"/>
      <c r="AB199"/>
      <c r="AC199"/>
      <c r="AD199"/>
      <c r="AE199"/>
      <c r="AF199"/>
      <c r="AG199"/>
      <c r="AH199"/>
      <c r="AI199"/>
    </row>
    <row r="200" spans="1:35" x14ac:dyDescent="0.2">
      <c r="C200" s="846"/>
      <c r="D200" s="846"/>
      <c r="E200" s="846"/>
      <c r="F200" s="846"/>
      <c r="AA200"/>
      <c r="AB200"/>
      <c r="AC200"/>
      <c r="AD200"/>
      <c r="AE200"/>
      <c r="AF200"/>
      <c r="AG200"/>
      <c r="AH200"/>
      <c r="AI200"/>
    </row>
    <row r="201" spans="1:35" x14ac:dyDescent="0.2">
      <c r="C201" s="846"/>
      <c r="D201" s="846"/>
      <c r="E201" s="846"/>
      <c r="F201" s="846"/>
      <c r="AA201"/>
      <c r="AB201"/>
      <c r="AC201"/>
      <c r="AD201"/>
      <c r="AE201"/>
      <c r="AF201"/>
      <c r="AG201"/>
      <c r="AH201"/>
      <c r="AI201"/>
    </row>
    <row r="202" spans="1:35" x14ac:dyDescent="0.2">
      <c r="C202" s="846"/>
      <c r="D202" s="846"/>
      <c r="E202" s="846"/>
      <c r="F202" s="846"/>
      <c r="AA202"/>
      <c r="AB202"/>
      <c r="AC202"/>
      <c r="AD202"/>
      <c r="AE202"/>
      <c r="AF202"/>
      <c r="AG202"/>
      <c r="AH202"/>
      <c r="AI202"/>
    </row>
    <row r="203" spans="1:35" x14ac:dyDescent="0.2">
      <c r="C203" s="846"/>
      <c r="D203" s="846"/>
      <c r="E203" s="846"/>
      <c r="F203" s="846"/>
      <c r="AA203"/>
      <c r="AB203"/>
      <c r="AC203"/>
      <c r="AD203"/>
      <c r="AE203"/>
      <c r="AF203"/>
      <c r="AG203"/>
      <c r="AH203"/>
      <c r="AI203"/>
    </row>
    <row r="204" spans="1:35" x14ac:dyDescent="0.2">
      <c r="C204" s="846"/>
      <c r="D204" s="846"/>
      <c r="E204" s="846"/>
      <c r="F204" s="846"/>
      <c r="AA204"/>
      <c r="AB204"/>
      <c r="AC204"/>
      <c r="AD204"/>
      <c r="AE204"/>
      <c r="AF204"/>
      <c r="AG204"/>
      <c r="AH204"/>
      <c r="AI204"/>
    </row>
    <row r="205" spans="1:35" x14ac:dyDescent="0.2">
      <c r="C205" s="846"/>
      <c r="D205" s="846"/>
      <c r="E205" s="846"/>
      <c r="F205" s="846"/>
      <c r="AA205"/>
      <c r="AB205"/>
      <c r="AC205"/>
      <c r="AD205"/>
      <c r="AE205"/>
      <c r="AF205"/>
      <c r="AG205"/>
      <c r="AH205"/>
      <c r="AI205"/>
    </row>
    <row r="206" spans="1:35" x14ac:dyDescent="0.2">
      <c r="C206" s="846"/>
      <c r="D206" s="846"/>
      <c r="E206" s="846"/>
      <c r="F206" s="846"/>
      <c r="AA206"/>
      <c r="AB206"/>
      <c r="AC206"/>
      <c r="AD206"/>
      <c r="AE206"/>
      <c r="AF206"/>
      <c r="AG206"/>
      <c r="AH206"/>
      <c r="AI206"/>
    </row>
    <row r="207" spans="1:35" x14ac:dyDescent="0.2">
      <c r="C207" s="846"/>
      <c r="D207" s="846"/>
      <c r="E207" s="846"/>
      <c r="F207" s="846"/>
      <c r="AA207"/>
      <c r="AB207"/>
      <c r="AC207"/>
      <c r="AD207"/>
      <c r="AE207"/>
      <c r="AF207"/>
      <c r="AG207"/>
      <c r="AH207"/>
      <c r="AI207"/>
    </row>
    <row r="208" spans="1:35" x14ac:dyDescent="0.2">
      <c r="C208" s="846"/>
      <c r="D208" s="846"/>
      <c r="E208" s="846"/>
      <c r="F208" s="846"/>
      <c r="AA208"/>
      <c r="AB208"/>
      <c r="AC208"/>
      <c r="AD208"/>
      <c r="AE208"/>
      <c r="AF208"/>
      <c r="AG208"/>
      <c r="AH208"/>
      <c r="AI208"/>
    </row>
    <row r="209" spans="3:35" x14ac:dyDescent="0.2">
      <c r="C209" s="846"/>
      <c r="D209" s="846"/>
      <c r="E209" s="846"/>
      <c r="F209" s="846"/>
      <c r="AA209"/>
      <c r="AB209"/>
      <c r="AC209"/>
      <c r="AD209"/>
      <c r="AE209"/>
      <c r="AF209"/>
      <c r="AG209"/>
      <c r="AH209"/>
      <c r="AI209"/>
    </row>
    <row r="210" spans="3:35" x14ac:dyDescent="0.2">
      <c r="C210" s="846"/>
      <c r="D210" s="846"/>
      <c r="E210" s="846"/>
      <c r="F210" s="846"/>
      <c r="AA210"/>
      <c r="AB210"/>
      <c r="AC210"/>
      <c r="AD210"/>
      <c r="AE210"/>
      <c r="AF210"/>
      <c r="AG210"/>
      <c r="AH210"/>
      <c r="AI210"/>
    </row>
    <row r="211" spans="3:35" x14ac:dyDescent="0.2">
      <c r="C211" s="846"/>
      <c r="D211" s="846"/>
      <c r="E211" s="846"/>
      <c r="F211" s="846"/>
      <c r="AA211"/>
      <c r="AB211"/>
      <c r="AC211"/>
      <c r="AD211"/>
      <c r="AE211"/>
      <c r="AF211"/>
      <c r="AG211"/>
      <c r="AH211"/>
      <c r="AI211"/>
    </row>
    <row r="212" spans="3:35" x14ac:dyDescent="0.2">
      <c r="C212" s="846"/>
      <c r="D212" s="846"/>
      <c r="E212" s="846"/>
      <c r="F212" s="846"/>
      <c r="AA212"/>
      <c r="AB212"/>
      <c r="AC212"/>
      <c r="AD212"/>
      <c r="AE212"/>
      <c r="AF212"/>
      <c r="AG212"/>
      <c r="AH212"/>
      <c r="AI212"/>
    </row>
    <row r="213" spans="3:35" x14ac:dyDescent="0.2">
      <c r="C213" s="846"/>
      <c r="D213" s="846"/>
      <c r="E213" s="846"/>
      <c r="F213" s="846"/>
      <c r="AA213"/>
      <c r="AB213"/>
      <c r="AC213"/>
      <c r="AD213"/>
      <c r="AE213"/>
      <c r="AF213"/>
      <c r="AG213"/>
      <c r="AH213"/>
      <c r="AI213"/>
    </row>
    <row r="214" spans="3:35" x14ac:dyDescent="0.2">
      <c r="C214" s="846"/>
      <c r="D214" s="846"/>
      <c r="E214" s="846"/>
      <c r="F214" s="846"/>
      <c r="AA214"/>
      <c r="AB214"/>
      <c r="AC214"/>
      <c r="AD214"/>
      <c r="AE214"/>
      <c r="AF214"/>
      <c r="AG214"/>
      <c r="AH214"/>
      <c r="AI214"/>
    </row>
    <row r="215" spans="3:35" x14ac:dyDescent="0.2">
      <c r="C215" s="846"/>
      <c r="D215" s="846"/>
      <c r="E215" s="846"/>
      <c r="F215" s="846"/>
      <c r="AA215"/>
      <c r="AB215"/>
      <c r="AC215"/>
      <c r="AD215"/>
      <c r="AE215"/>
      <c r="AF215"/>
      <c r="AG215"/>
      <c r="AH215"/>
      <c r="AI215"/>
    </row>
    <row r="216" spans="3:35" x14ac:dyDescent="0.2">
      <c r="C216" s="846"/>
      <c r="D216" s="846"/>
      <c r="E216" s="846"/>
      <c r="F216" s="846"/>
      <c r="AA216"/>
      <c r="AB216"/>
      <c r="AC216"/>
      <c r="AD216"/>
      <c r="AE216"/>
      <c r="AF216"/>
      <c r="AG216"/>
      <c r="AH216"/>
      <c r="AI216"/>
    </row>
    <row r="217" spans="3:35" x14ac:dyDescent="0.2">
      <c r="C217" s="846"/>
      <c r="D217" s="846"/>
      <c r="E217" s="846"/>
      <c r="F217" s="846"/>
      <c r="AA217"/>
      <c r="AB217"/>
      <c r="AC217"/>
      <c r="AD217"/>
      <c r="AE217"/>
      <c r="AF217"/>
      <c r="AG217"/>
      <c r="AH217"/>
      <c r="AI217"/>
    </row>
    <row r="218" spans="3:35" x14ac:dyDescent="0.2">
      <c r="C218" s="846"/>
      <c r="D218" s="846"/>
      <c r="E218" s="846"/>
      <c r="F218" s="846"/>
      <c r="AA218"/>
      <c r="AB218"/>
      <c r="AC218"/>
      <c r="AD218"/>
      <c r="AE218"/>
      <c r="AF218"/>
      <c r="AG218"/>
      <c r="AH218"/>
      <c r="AI218"/>
    </row>
    <row r="219" spans="3:35" x14ac:dyDescent="0.2">
      <c r="C219" s="846"/>
      <c r="D219" s="846"/>
      <c r="E219" s="846"/>
      <c r="F219" s="846"/>
      <c r="AA219"/>
      <c r="AB219"/>
      <c r="AC219"/>
      <c r="AD219"/>
      <c r="AE219"/>
      <c r="AF219"/>
      <c r="AG219"/>
      <c r="AH219"/>
      <c r="AI219"/>
    </row>
    <row r="220" spans="3:35" x14ac:dyDescent="0.2">
      <c r="C220" s="846"/>
      <c r="D220" s="846"/>
      <c r="E220" s="846"/>
      <c r="F220" s="846"/>
      <c r="AA220"/>
      <c r="AB220"/>
      <c r="AC220"/>
      <c r="AD220"/>
      <c r="AE220"/>
      <c r="AF220"/>
      <c r="AG220"/>
      <c r="AH220"/>
      <c r="AI220"/>
    </row>
    <row r="221" spans="3:35" x14ac:dyDescent="0.2">
      <c r="C221" s="846"/>
      <c r="D221" s="846"/>
      <c r="E221" s="846"/>
      <c r="F221" s="846"/>
      <c r="AA221"/>
      <c r="AB221"/>
      <c r="AC221"/>
      <c r="AD221"/>
      <c r="AE221"/>
      <c r="AF221"/>
      <c r="AG221"/>
      <c r="AH221"/>
      <c r="AI221"/>
    </row>
    <row r="222" spans="3:35" x14ac:dyDescent="0.2">
      <c r="C222" s="846"/>
      <c r="D222" s="846"/>
      <c r="E222" s="846"/>
      <c r="F222" s="846"/>
      <c r="AA222"/>
      <c r="AB222"/>
      <c r="AC222"/>
      <c r="AD222"/>
      <c r="AE222"/>
      <c r="AF222"/>
      <c r="AG222"/>
      <c r="AH222"/>
      <c r="AI222"/>
    </row>
    <row r="223" spans="3:35" x14ac:dyDescent="0.2">
      <c r="C223" s="846"/>
      <c r="D223" s="846"/>
      <c r="E223" s="846"/>
      <c r="F223" s="846"/>
      <c r="AA223"/>
      <c r="AB223"/>
      <c r="AC223"/>
      <c r="AD223"/>
      <c r="AE223"/>
      <c r="AF223"/>
      <c r="AG223"/>
      <c r="AH223"/>
      <c r="AI223"/>
    </row>
    <row r="224" spans="3:35" x14ac:dyDescent="0.2">
      <c r="C224" s="846"/>
      <c r="D224" s="846"/>
      <c r="E224" s="846"/>
      <c r="F224" s="846"/>
      <c r="AA224"/>
      <c r="AB224"/>
      <c r="AC224"/>
      <c r="AD224"/>
      <c r="AE224"/>
      <c r="AF224"/>
      <c r="AG224"/>
      <c r="AH224"/>
      <c r="AI224"/>
    </row>
    <row r="225" spans="3:35" x14ac:dyDescent="0.2">
      <c r="C225" s="846"/>
      <c r="D225" s="846"/>
      <c r="E225" s="846"/>
      <c r="F225" s="846"/>
      <c r="AA225"/>
      <c r="AB225"/>
      <c r="AC225"/>
      <c r="AD225"/>
      <c r="AE225"/>
      <c r="AF225"/>
      <c r="AG225"/>
      <c r="AH225"/>
      <c r="AI225"/>
    </row>
    <row r="226" spans="3:35" x14ac:dyDescent="0.2">
      <c r="C226" s="846"/>
      <c r="D226" s="846"/>
      <c r="E226" s="846"/>
      <c r="F226" s="846"/>
      <c r="AA226"/>
      <c r="AB226"/>
      <c r="AC226"/>
      <c r="AD226"/>
      <c r="AE226"/>
      <c r="AF226"/>
      <c r="AG226"/>
      <c r="AH226"/>
      <c r="AI226"/>
    </row>
    <row r="227" spans="3:35" x14ac:dyDescent="0.2">
      <c r="C227" s="846"/>
      <c r="D227" s="846"/>
      <c r="E227" s="846"/>
      <c r="F227" s="846"/>
      <c r="AA227"/>
      <c r="AB227"/>
      <c r="AC227"/>
      <c r="AD227"/>
      <c r="AE227"/>
      <c r="AF227"/>
      <c r="AG227"/>
      <c r="AH227"/>
      <c r="AI227"/>
    </row>
    <row r="228" spans="3:35" x14ac:dyDescent="0.2">
      <c r="C228" s="846"/>
      <c r="D228" s="846"/>
      <c r="E228" s="846"/>
      <c r="F228" s="846"/>
      <c r="AA228"/>
      <c r="AB228"/>
      <c r="AC228"/>
      <c r="AD228"/>
      <c r="AE228"/>
      <c r="AF228"/>
      <c r="AG228"/>
      <c r="AH228"/>
      <c r="AI228"/>
    </row>
    <row r="229" spans="3:35" x14ac:dyDescent="0.2">
      <c r="C229" s="846"/>
      <c r="D229" s="846"/>
      <c r="E229" s="846"/>
      <c r="F229" s="846"/>
      <c r="AA229"/>
      <c r="AB229"/>
      <c r="AC229"/>
      <c r="AD229"/>
      <c r="AE229"/>
      <c r="AF229"/>
      <c r="AG229"/>
      <c r="AH229"/>
      <c r="AI229"/>
    </row>
    <row r="230" spans="3:35" x14ac:dyDescent="0.2">
      <c r="C230" s="846"/>
      <c r="D230" s="846"/>
      <c r="E230" s="846"/>
      <c r="F230" s="846"/>
      <c r="AA230"/>
      <c r="AB230"/>
      <c r="AC230"/>
      <c r="AD230"/>
      <c r="AE230"/>
      <c r="AF230"/>
      <c r="AG230"/>
      <c r="AH230"/>
      <c r="AI230"/>
    </row>
    <row r="231" spans="3:35" x14ac:dyDescent="0.2">
      <c r="C231" s="846"/>
      <c r="D231" s="846"/>
      <c r="E231" s="846"/>
      <c r="F231" s="846"/>
      <c r="AA231"/>
      <c r="AB231"/>
      <c r="AC231"/>
      <c r="AD231"/>
      <c r="AE231"/>
      <c r="AF231"/>
      <c r="AG231"/>
      <c r="AH231"/>
      <c r="AI231"/>
    </row>
    <row r="232" spans="3:35" x14ac:dyDescent="0.2">
      <c r="C232" s="846"/>
      <c r="D232" s="846"/>
      <c r="E232" s="846"/>
      <c r="F232" s="846"/>
      <c r="AA232"/>
      <c r="AB232"/>
      <c r="AC232"/>
      <c r="AD232"/>
      <c r="AE232"/>
      <c r="AF232"/>
      <c r="AG232"/>
      <c r="AH232"/>
      <c r="AI232"/>
    </row>
    <row r="233" spans="3:35" x14ac:dyDescent="0.2">
      <c r="C233" s="846"/>
      <c r="D233" s="846"/>
      <c r="E233" s="846"/>
      <c r="F233" s="846"/>
      <c r="AA233"/>
      <c r="AB233"/>
      <c r="AC233"/>
      <c r="AD233"/>
      <c r="AE233"/>
      <c r="AF233"/>
      <c r="AG233"/>
      <c r="AH233"/>
      <c r="AI233"/>
    </row>
    <row r="234" spans="3:35" x14ac:dyDescent="0.2">
      <c r="C234" s="846"/>
      <c r="D234" s="846"/>
      <c r="E234" s="846"/>
      <c r="F234" s="846"/>
      <c r="AA234"/>
      <c r="AB234"/>
      <c r="AC234"/>
      <c r="AD234"/>
      <c r="AE234"/>
      <c r="AF234"/>
      <c r="AG234"/>
      <c r="AH234"/>
      <c r="AI234"/>
    </row>
    <row r="235" spans="3:35" x14ac:dyDescent="0.2">
      <c r="C235" s="846"/>
      <c r="D235" s="846"/>
      <c r="E235" s="846"/>
      <c r="F235" s="846"/>
      <c r="AA235"/>
      <c r="AB235"/>
      <c r="AC235"/>
      <c r="AD235"/>
      <c r="AE235"/>
      <c r="AF235"/>
      <c r="AG235"/>
      <c r="AH235"/>
      <c r="AI235"/>
    </row>
    <row r="236" spans="3:35" x14ac:dyDescent="0.2">
      <c r="C236" s="846"/>
      <c r="D236" s="846"/>
      <c r="E236" s="846"/>
      <c r="F236" s="846"/>
      <c r="AA236"/>
      <c r="AB236"/>
      <c r="AC236"/>
      <c r="AD236"/>
      <c r="AE236"/>
      <c r="AF236"/>
      <c r="AG236"/>
      <c r="AH236"/>
      <c r="AI236"/>
    </row>
    <row r="237" spans="3:35" x14ac:dyDescent="0.2">
      <c r="C237" s="846"/>
      <c r="D237" s="846"/>
      <c r="E237" s="846"/>
      <c r="F237" s="846"/>
      <c r="AA237"/>
      <c r="AB237"/>
      <c r="AC237"/>
      <c r="AD237"/>
      <c r="AE237"/>
      <c r="AF237"/>
      <c r="AG237"/>
      <c r="AH237"/>
      <c r="AI237"/>
    </row>
    <row r="238" spans="3:35" x14ac:dyDescent="0.2">
      <c r="C238" s="846"/>
      <c r="D238" s="846"/>
      <c r="E238" s="846"/>
      <c r="F238" s="846"/>
      <c r="AA238"/>
      <c r="AB238"/>
      <c r="AC238"/>
      <c r="AD238"/>
      <c r="AE238"/>
      <c r="AF238"/>
      <c r="AG238"/>
      <c r="AH238"/>
      <c r="AI238"/>
    </row>
    <row r="239" spans="3:35" x14ac:dyDescent="0.2">
      <c r="C239" s="846"/>
      <c r="D239" s="846"/>
      <c r="E239" s="846"/>
      <c r="F239" s="846"/>
      <c r="AA239"/>
      <c r="AB239"/>
      <c r="AC239"/>
      <c r="AD239"/>
      <c r="AE239"/>
      <c r="AF239"/>
      <c r="AG239"/>
      <c r="AH239"/>
      <c r="AI239"/>
    </row>
    <row r="240" spans="3:35" x14ac:dyDescent="0.2">
      <c r="C240" s="846"/>
      <c r="D240" s="846"/>
      <c r="E240" s="846"/>
      <c r="F240" s="846"/>
      <c r="AA240"/>
      <c r="AB240"/>
      <c r="AC240"/>
      <c r="AD240"/>
      <c r="AE240"/>
      <c r="AF240"/>
      <c r="AG240"/>
      <c r="AH240"/>
      <c r="AI240"/>
    </row>
    <row r="241" spans="3:35" x14ac:dyDescent="0.2">
      <c r="C241" s="846"/>
      <c r="D241" s="846"/>
      <c r="E241" s="846"/>
      <c r="F241" s="846"/>
      <c r="AA241"/>
      <c r="AB241"/>
      <c r="AC241"/>
      <c r="AD241"/>
      <c r="AE241"/>
      <c r="AF241"/>
      <c r="AG241"/>
      <c r="AH241"/>
      <c r="AI241"/>
    </row>
    <row r="242" spans="3:35" x14ac:dyDescent="0.2">
      <c r="C242" s="846"/>
      <c r="D242" s="846"/>
      <c r="E242" s="846"/>
      <c r="F242" s="846"/>
      <c r="AA242"/>
      <c r="AB242"/>
      <c r="AC242"/>
      <c r="AD242"/>
      <c r="AE242"/>
      <c r="AF242"/>
      <c r="AG242"/>
      <c r="AH242"/>
      <c r="AI242"/>
    </row>
    <row r="243" spans="3:35" x14ac:dyDescent="0.2">
      <c r="C243" s="846"/>
      <c r="D243" s="846"/>
      <c r="E243" s="846"/>
      <c r="F243" s="846"/>
      <c r="AA243"/>
      <c r="AB243"/>
      <c r="AC243"/>
      <c r="AD243"/>
      <c r="AE243"/>
      <c r="AF243"/>
      <c r="AG243"/>
      <c r="AH243"/>
      <c r="AI243"/>
    </row>
    <row r="244" spans="3:35" x14ac:dyDescent="0.2">
      <c r="C244" s="846"/>
      <c r="D244" s="846"/>
      <c r="E244" s="846"/>
      <c r="F244" s="846"/>
      <c r="AA244"/>
      <c r="AB244"/>
      <c r="AC244"/>
      <c r="AD244"/>
      <c r="AE244"/>
      <c r="AF244"/>
      <c r="AG244"/>
      <c r="AH244"/>
      <c r="AI244"/>
    </row>
    <row r="245" spans="3:35" x14ac:dyDescent="0.2">
      <c r="C245" s="846"/>
      <c r="D245" s="846"/>
      <c r="E245" s="846"/>
      <c r="F245" s="846"/>
      <c r="AA245"/>
      <c r="AB245"/>
      <c r="AC245"/>
      <c r="AD245"/>
      <c r="AE245"/>
      <c r="AF245"/>
      <c r="AG245"/>
      <c r="AH245"/>
      <c r="AI245"/>
    </row>
    <row r="246" spans="3:35" x14ac:dyDescent="0.2">
      <c r="C246" s="846"/>
      <c r="D246" s="846"/>
      <c r="E246" s="846"/>
      <c r="F246" s="846"/>
      <c r="AA246"/>
      <c r="AB246"/>
      <c r="AC246"/>
      <c r="AD246"/>
      <c r="AE246"/>
      <c r="AF246"/>
      <c r="AG246"/>
      <c r="AH246"/>
      <c r="AI246"/>
    </row>
    <row r="247" spans="3:35" x14ac:dyDescent="0.2">
      <c r="C247" s="846"/>
      <c r="D247" s="846"/>
      <c r="E247" s="846"/>
      <c r="F247" s="846"/>
      <c r="AA247"/>
      <c r="AB247"/>
      <c r="AC247"/>
      <c r="AD247"/>
      <c r="AE247"/>
      <c r="AF247"/>
      <c r="AG247"/>
      <c r="AH247"/>
      <c r="AI247"/>
    </row>
    <row r="248" spans="3:35" x14ac:dyDescent="0.2">
      <c r="C248" s="846"/>
      <c r="D248" s="846"/>
      <c r="E248" s="846"/>
      <c r="F248" s="846"/>
      <c r="AA248"/>
      <c r="AB248"/>
      <c r="AC248"/>
      <c r="AD248"/>
      <c r="AE248"/>
      <c r="AF248"/>
      <c r="AG248"/>
      <c r="AH248"/>
      <c r="AI248"/>
    </row>
    <row r="249" spans="3:35" x14ac:dyDescent="0.2">
      <c r="C249" s="846"/>
      <c r="D249" s="846"/>
      <c r="E249" s="846"/>
      <c r="F249" s="846"/>
      <c r="AA249"/>
      <c r="AB249"/>
      <c r="AC249"/>
      <c r="AD249"/>
      <c r="AE249"/>
      <c r="AF249"/>
      <c r="AG249"/>
      <c r="AH249"/>
      <c r="AI249"/>
    </row>
    <row r="250" spans="3:35" x14ac:dyDescent="0.2">
      <c r="C250" s="846"/>
      <c r="D250" s="846"/>
      <c r="E250" s="846"/>
      <c r="F250" s="846"/>
      <c r="AA250"/>
      <c r="AB250"/>
      <c r="AC250"/>
      <c r="AD250"/>
      <c r="AE250"/>
      <c r="AF250"/>
      <c r="AG250"/>
      <c r="AH250"/>
      <c r="AI250"/>
    </row>
    <row r="251" spans="3:35" x14ac:dyDescent="0.2">
      <c r="C251" s="846"/>
      <c r="D251" s="846"/>
      <c r="E251" s="846"/>
      <c r="F251" s="846"/>
      <c r="AA251"/>
      <c r="AB251"/>
      <c r="AC251"/>
      <c r="AD251"/>
      <c r="AE251"/>
      <c r="AF251"/>
      <c r="AG251"/>
      <c r="AH251"/>
      <c r="AI251"/>
    </row>
    <row r="252" spans="3:35" x14ac:dyDescent="0.2">
      <c r="C252" s="846"/>
      <c r="D252" s="846"/>
      <c r="E252" s="846"/>
      <c r="F252" s="846"/>
      <c r="AA252"/>
      <c r="AB252"/>
      <c r="AC252"/>
      <c r="AD252"/>
      <c r="AE252"/>
      <c r="AF252"/>
      <c r="AG252"/>
      <c r="AH252"/>
      <c r="AI252"/>
    </row>
    <row r="253" spans="3:35" x14ac:dyDescent="0.2">
      <c r="C253" s="846"/>
      <c r="D253" s="846"/>
      <c r="E253" s="846"/>
      <c r="F253" s="846"/>
      <c r="AA253"/>
      <c r="AB253"/>
      <c r="AC253"/>
      <c r="AD253"/>
      <c r="AE253"/>
      <c r="AF253"/>
      <c r="AG253"/>
      <c r="AH253"/>
      <c r="AI253"/>
    </row>
    <row r="254" spans="3:35" x14ac:dyDescent="0.2">
      <c r="C254" s="846"/>
      <c r="D254" s="846"/>
      <c r="E254" s="846"/>
      <c r="F254" s="846"/>
      <c r="AA254"/>
      <c r="AB254"/>
      <c r="AC254"/>
      <c r="AD254"/>
      <c r="AE254"/>
      <c r="AF254"/>
      <c r="AG254"/>
      <c r="AH254"/>
      <c r="AI254"/>
    </row>
    <row r="255" spans="3:35" x14ac:dyDescent="0.2">
      <c r="C255" s="846"/>
      <c r="D255" s="846"/>
      <c r="E255" s="846"/>
      <c r="F255" s="846"/>
      <c r="AA255"/>
      <c r="AB255"/>
      <c r="AC255"/>
      <c r="AD255"/>
      <c r="AE255"/>
      <c r="AF255"/>
      <c r="AG255"/>
      <c r="AH255"/>
      <c r="AI255"/>
    </row>
    <row r="256" spans="3:35" x14ac:dyDescent="0.2">
      <c r="C256" s="846"/>
      <c r="D256" s="846"/>
      <c r="E256" s="846"/>
      <c r="F256" s="846"/>
      <c r="AA256"/>
      <c r="AB256"/>
      <c r="AC256"/>
      <c r="AD256"/>
      <c r="AE256"/>
      <c r="AF256"/>
      <c r="AG256"/>
      <c r="AH256"/>
      <c r="AI256"/>
    </row>
    <row r="257" spans="3:35" x14ac:dyDescent="0.2">
      <c r="C257" s="846"/>
      <c r="D257" s="846"/>
      <c r="E257" s="846"/>
      <c r="F257" s="846"/>
      <c r="AA257"/>
      <c r="AB257"/>
      <c r="AC257"/>
      <c r="AD257"/>
      <c r="AE257"/>
      <c r="AF257"/>
      <c r="AG257"/>
      <c r="AH257"/>
      <c r="AI257"/>
    </row>
    <row r="258" spans="3:35" x14ac:dyDescent="0.2">
      <c r="C258" s="846"/>
      <c r="D258" s="846"/>
      <c r="E258" s="846"/>
      <c r="F258" s="846"/>
      <c r="AA258"/>
      <c r="AB258"/>
      <c r="AC258"/>
      <c r="AD258"/>
      <c r="AE258"/>
      <c r="AF258"/>
      <c r="AG258"/>
      <c r="AH258"/>
      <c r="AI258"/>
    </row>
    <row r="259" spans="3:35" x14ac:dyDescent="0.2">
      <c r="C259" s="846"/>
      <c r="D259" s="846"/>
      <c r="E259" s="846"/>
      <c r="F259" s="846"/>
      <c r="AA259"/>
      <c r="AB259"/>
      <c r="AC259"/>
      <c r="AD259"/>
      <c r="AE259"/>
      <c r="AF259"/>
      <c r="AG259"/>
      <c r="AH259"/>
      <c r="AI259"/>
    </row>
    <row r="260" spans="3:35" x14ac:dyDescent="0.2">
      <c r="C260" s="846"/>
      <c r="D260" s="846"/>
      <c r="E260" s="846"/>
      <c r="F260" s="846"/>
      <c r="AA260"/>
      <c r="AB260"/>
      <c r="AC260"/>
      <c r="AD260"/>
      <c r="AE260"/>
      <c r="AF260"/>
      <c r="AG260"/>
      <c r="AH260"/>
      <c r="AI260"/>
    </row>
    <row r="261" spans="3:35" x14ac:dyDescent="0.2">
      <c r="C261" s="846"/>
      <c r="D261" s="846"/>
      <c r="E261" s="846"/>
      <c r="F261" s="846"/>
      <c r="AA261"/>
      <c r="AB261"/>
      <c r="AC261"/>
      <c r="AD261"/>
      <c r="AE261"/>
      <c r="AF261"/>
      <c r="AG261"/>
      <c r="AH261"/>
      <c r="AI261"/>
    </row>
    <row r="262" spans="3:35" x14ac:dyDescent="0.2">
      <c r="C262" s="846"/>
      <c r="D262" s="846"/>
      <c r="E262" s="846"/>
      <c r="F262" s="846"/>
      <c r="AA262"/>
      <c r="AB262"/>
      <c r="AC262"/>
      <c r="AD262"/>
      <c r="AE262"/>
      <c r="AF262"/>
      <c r="AG262"/>
      <c r="AH262"/>
      <c r="AI262"/>
    </row>
    <row r="263" spans="3:35" x14ac:dyDescent="0.2">
      <c r="C263" s="846"/>
      <c r="D263" s="846"/>
      <c r="E263" s="846"/>
      <c r="F263" s="846"/>
      <c r="AA263"/>
      <c r="AB263"/>
      <c r="AC263"/>
      <c r="AD263"/>
      <c r="AE263"/>
      <c r="AF263"/>
      <c r="AG263"/>
      <c r="AH263"/>
      <c r="AI263"/>
    </row>
    <row r="264" spans="3:35" x14ac:dyDescent="0.2">
      <c r="C264" s="846"/>
      <c r="D264" s="846"/>
      <c r="E264" s="846"/>
      <c r="F264" s="846"/>
      <c r="AA264"/>
      <c r="AB264"/>
      <c r="AC264"/>
      <c r="AD264"/>
      <c r="AE264"/>
      <c r="AF264"/>
      <c r="AG264"/>
      <c r="AH264"/>
      <c r="AI264"/>
    </row>
    <row r="265" spans="3:35" x14ac:dyDescent="0.2">
      <c r="C265" s="846"/>
      <c r="D265" s="846"/>
      <c r="E265" s="846"/>
      <c r="F265" s="846"/>
      <c r="AA265"/>
      <c r="AB265"/>
      <c r="AC265"/>
      <c r="AD265"/>
      <c r="AE265"/>
      <c r="AF265"/>
      <c r="AG265"/>
      <c r="AH265"/>
      <c r="AI265"/>
    </row>
    <row r="266" spans="3:35" x14ac:dyDescent="0.2">
      <c r="C266" s="846"/>
      <c r="D266" s="846"/>
      <c r="E266" s="846"/>
      <c r="F266" s="846"/>
      <c r="AA266"/>
      <c r="AB266"/>
      <c r="AC266"/>
      <c r="AD266"/>
      <c r="AE266"/>
      <c r="AF266"/>
      <c r="AG266"/>
      <c r="AH266"/>
      <c r="AI266"/>
    </row>
    <row r="267" spans="3:35" x14ac:dyDescent="0.2">
      <c r="C267" s="846"/>
      <c r="D267" s="846"/>
      <c r="E267" s="846"/>
      <c r="F267" s="846"/>
      <c r="AA267"/>
      <c r="AB267"/>
      <c r="AC267"/>
      <c r="AD267"/>
      <c r="AE267"/>
      <c r="AF267"/>
      <c r="AG267"/>
      <c r="AH267"/>
      <c r="AI267"/>
    </row>
    <row r="268" spans="3:35" x14ac:dyDescent="0.2">
      <c r="C268" s="846"/>
      <c r="D268" s="846"/>
      <c r="E268" s="846"/>
      <c r="F268" s="846"/>
      <c r="AA268"/>
      <c r="AB268"/>
      <c r="AC268"/>
      <c r="AD268"/>
      <c r="AE268"/>
      <c r="AF268"/>
      <c r="AG268"/>
      <c r="AH268"/>
      <c r="AI268"/>
    </row>
    <row r="269" spans="3:35" x14ac:dyDescent="0.2">
      <c r="C269" s="846"/>
      <c r="D269" s="846"/>
      <c r="E269" s="846"/>
      <c r="F269" s="846"/>
      <c r="AA269"/>
      <c r="AB269"/>
      <c r="AC269"/>
      <c r="AD269"/>
      <c r="AE269"/>
      <c r="AF269"/>
      <c r="AG269"/>
      <c r="AH269"/>
      <c r="AI269"/>
    </row>
    <row r="270" spans="3:35" x14ac:dyDescent="0.2">
      <c r="C270" s="846"/>
      <c r="D270" s="846"/>
      <c r="E270" s="846"/>
      <c r="F270" s="846"/>
      <c r="AA270"/>
      <c r="AB270"/>
      <c r="AC270"/>
      <c r="AD270"/>
      <c r="AE270"/>
      <c r="AF270"/>
      <c r="AG270"/>
      <c r="AH270"/>
      <c r="AI270"/>
    </row>
    <row r="271" spans="3:35" x14ac:dyDescent="0.2">
      <c r="C271" s="846"/>
      <c r="D271" s="846"/>
      <c r="E271" s="846"/>
      <c r="F271" s="846"/>
      <c r="AA271"/>
      <c r="AB271"/>
      <c r="AC271"/>
      <c r="AD271"/>
      <c r="AE271"/>
      <c r="AF271"/>
      <c r="AG271"/>
      <c r="AH271"/>
      <c r="AI271"/>
    </row>
    <row r="272" spans="3:35" x14ac:dyDescent="0.2">
      <c r="C272" s="846"/>
      <c r="D272" s="846"/>
      <c r="E272" s="846"/>
      <c r="F272" s="846"/>
      <c r="AA272"/>
      <c r="AB272"/>
      <c r="AC272"/>
      <c r="AD272"/>
      <c r="AE272"/>
      <c r="AF272"/>
      <c r="AG272"/>
      <c r="AH272"/>
      <c r="AI272"/>
    </row>
    <row r="273" spans="3:35" x14ac:dyDescent="0.2">
      <c r="C273" s="846"/>
      <c r="D273" s="846"/>
      <c r="E273" s="846"/>
      <c r="F273" s="846"/>
      <c r="AA273"/>
      <c r="AB273"/>
      <c r="AC273"/>
      <c r="AD273"/>
      <c r="AE273"/>
      <c r="AF273"/>
      <c r="AG273"/>
      <c r="AH273"/>
      <c r="AI273"/>
    </row>
    <row r="274" spans="3:35" x14ac:dyDescent="0.2">
      <c r="C274" s="846"/>
      <c r="D274" s="846"/>
      <c r="E274" s="846"/>
      <c r="F274" s="846"/>
      <c r="AA274"/>
      <c r="AB274"/>
      <c r="AC274"/>
      <c r="AD274"/>
      <c r="AE274"/>
      <c r="AF274"/>
      <c r="AG274"/>
      <c r="AH274"/>
      <c r="AI274"/>
    </row>
    <row r="275" spans="3:35" x14ac:dyDescent="0.2">
      <c r="C275" s="846"/>
      <c r="D275" s="846"/>
      <c r="E275" s="846"/>
      <c r="F275" s="846"/>
      <c r="AA275"/>
      <c r="AB275"/>
      <c r="AC275"/>
      <c r="AD275"/>
      <c r="AE275"/>
      <c r="AF275"/>
      <c r="AG275"/>
      <c r="AH275"/>
      <c r="AI275"/>
    </row>
    <row r="276" spans="3:35" x14ac:dyDescent="0.2">
      <c r="C276" s="846"/>
      <c r="D276" s="846"/>
      <c r="E276" s="846"/>
      <c r="F276" s="846"/>
      <c r="AA276"/>
      <c r="AB276"/>
      <c r="AC276"/>
      <c r="AD276"/>
      <c r="AE276"/>
      <c r="AF276"/>
      <c r="AG276"/>
      <c r="AH276"/>
      <c r="AI276"/>
    </row>
    <row r="277" spans="3:35" x14ac:dyDescent="0.2">
      <c r="C277" s="846"/>
      <c r="D277" s="846"/>
      <c r="E277" s="846"/>
      <c r="F277" s="846"/>
      <c r="AA277"/>
      <c r="AB277"/>
      <c r="AC277"/>
      <c r="AD277"/>
      <c r="AE277"/>
      <c r="AF277"/>
      <c r="AG277"/>
      <c r="AH277"/>
      <c r="AI277"/>
    </row>
    <row r="278" spans="3:35" x14ac:dyDescent="0.2">
      <c r="C278" s="846"/>
      <c r="D278" s="846"/>
      <c r="E278" s="846"/>
      <c r="F278" s="846"/>
      <c r="AA278"/>
      <c r="AB278"/>
      <c r="AC278"/>
      <c r="AD278"/>
      <c r="AE278"/>
      <c r="AF278"/>
      <c r="AG278"/>
      <c r="AH278"/>
      <c r="AI278"/>
    </row>
    <row r="279" spans="3:35" x14ac:dyDescent="0.2">
      <c r="C279" s="846"/>
      <c r="D279" s="846"/>
      <c r="E279" s="846"/>
      <c r="F279" s="846"/>
      <c r="AA279"/>
      <c r="AB279"/>
      <c r="AC279"/>
      <c r="AD279"/>
      <c r="AE279"/>
      <c r="AF279"/>
      <c r="AG279"/>
      <c r="AH279"/>
      <c r="AI279"/>
    </row>
    <row r="280" spans="3:35" x14ac:dyDescent="0.2">
      <c r="C280" s="846"/>
      <c r="D280" s="846"/>
      <c r="E280" s="846"/>
      <c r="F280" s="846"/>
      <c r="AA280"/>
      <c r="AB280"/>
      <c r="AC280"/>
      <c r="AD280"/>
      <c r="AE280"/>
      <c r="AF280"/>
      <c r="AG280"/>
      <c r="AH280"/>
      <c r="AI280"/>
    </row>
    <row r="281" spans="3:35" x14ac:dyDescent="0.2">
      <c r="C281" s="846"/>
      <c r="D281" s="846"/>
      <c r="E281" s="846"/>
      <c r="F281" s="846"/>
      <c r="AA281"/>
      <c r="AB281"/>
      <c r="AC281"/>
      <c r="AD281"/>
      <c r="AE281"/>
      <c r="AF281"/>
      <c r="AG281"/>
      <c r="AH281"/>
      <c r="AI281"/>
    </row>
    <row r="282" spans="3:35" x14ac:dyDescent="0.2">
      <c r="C282" s="846"/>
      <c r="D282" s="846"/>
      <c r="E282" s="846"/>
      <c r="F282" s="846"/>
      <c r="AA282"/>
      <c r="AB282"/>
      <c r="AC282"/>
      <c r="AD282"/>
      <c r="AE282"/>
      <c r="AF282"/>
      <c r="AG282"/>
      <c r="AH282"/>
      <c r="AI282"/>
    </row>
    <row r="283" spans="3:35" x14ac:dyDescent="0.2">
      <c r="C283" s="846"/>
      <c r="D283" s="846"/>
      <c r="E283" s="846"/>
      <c r="F283" s="846"/>
      <c r="AA283"/>
      <c r="AB283"/>
      <c r="AC283"/>
      <c r="AD283"/>
      <c r="AE283"/>
      <c r="AF283"/>
      <c r="AG283"/>
      <c r="AH283"/>
      <c r="AI283"/>
    </row>
    <row r="284" spans="3:35" x14ac:dyDescent="0.2">
      <c r="C284" s="846"/>
      <c r="D284" s="846"/>
      <c r="E284" s="846"/>
      <c r="F284" s="846"/>
      <c r="AA284"/>
      <c r="AB284"/>
      <c r="AC284"/>
      <c r="AD284"/>
      <c r="AE284"/>
      <c r="AF284"/>
      <c r="AG284"/>
      <c r="AH284"/>
      <c r="AI284"/>
    </row>
    <row r="285" spans="3:35" x14ac:dyDescent="0.2">
      <c r="C285" s="846"/>
      <c r="D285" s="846"/>
      <c r="E285" s="846"/>
      <c r="F285" s="846"/>
      <c r="AA285"/>
      <c r="AB285"/>
      <c r="AC285"/>
      <c r="AD285"/>
      <c r="AE285"/>
      <c r="AF285"/>
      <c r="AG285"/>
      <c r="AH285"/>
      <c r="AI285"/>
    </row>
    <row r="286" spans="3:35" x14ac:dyDescent="0.2">
      <c r="C286" s="846"/>
      <c r="D286" s="846"/>
      <c r="E286" s="846"/>
      <c r="F286" s="846"/>
      <c r="AA286"/>
      <c r="AB286"/>
      <c r="AC286"/>
      <c r="AD286"/>
      <c r="AE286"/>
      <c r="AF286"/>
      <c r="AG286"/>
      <c r="AH286"/>
      <c r="AI286"/>
    </row>
    <row r="287" spans="3:35" x14ac:dyDescent="0.2">
      <c r="C287" s="846"/>
      <c r="D287" s="846"/>
      <c r="E287" s="846"/>
      <c r="F287" s="846"/>
      <c r="AA287"/>
      <c r="AB287"/>
      <c r="AC287"/>
      <c r="AD287"/>
      <c r="AE287"/>
      <c r="AF287"/>
      <c r="AG287"/>
      <c r="AH287"/>
      <c r="AI287"/>
    </row>
    <row r="288" spans="3:35" x14ac:dyDescent="0.2">
      <c r="C288" s="846"/>
      <c r="D288" s="846"/>
      <c r="E288" s="846"/>
      <c r="F288" s="846"/>
      <c r="AA288"/>
      <c r="AB288"/>
      <c r="AC288"/>
      <c r="AD288"/>
      <c r="AE288"/>
      <c r="AF288"/>
      <c r="AG288"/>
      <c r="AH288"/>
      <c r="AI288"/>
    </row>
    <row r="289" spans="3:35" x14ac:dyDescent="0.2">
      <c r="C289" s="846"/>
      <c r="D289" s="846"/>
      <c r="E289" s="846"/>
      <c r="F289" s="846"/>
      <c r="AA289"/>
      <c r="AB289"/>
      <c r="AC289"/>
      <c r="AD289"/>
      <c r="AE289"/>
      <c r="AF289"/>
      <c r="AG289"/>
      <c r="AH289"/>
      <c r="AI289"/>
    </row>
    <row r="290" spans="3:35" x14ac:dyDescent="0.2">
      <c r="C290" s="846"/>
      <c r="D290" s="846"/>
      <c r="E290" s="846"/>
      <c r="F290" s="846"/>
      <c r="AA290"/>
      <c r="AB290"/>
      <c r="AC290"/>
      <c r="AD290"/>
      <c r="AE290"/>
      <c r="AF290"/>
      <c r="AG290"/>
      <c r="AH290"/>
      <c r="AI290"/>
    </row>
    <row r="291" spans="3:35" x14ac:dyDescent="0.2">
      <c r="C291" s="846"/>
      <c r="D291" s="846"/>
      <c r="E291" s="846"/>
      <c r="F291" s="846"/>
      <c r="AA291"/>
      <c r="AB291"/>
      <c r="AC291"/>
      <c r="AD291"/>
      <c r="AE291"/>
      <c r="AF291"/>
      <c r="AG291"/>
      <c r="AH291"/>
      <c r="AI291"/>
    </row>
    <row r="292" spans="3:35" x14ac:dyDescent="0.2">
      <c r="C292" s="846"/>
      <c r="D292" s="846"/>
      <c r="E292" s="846"/>
      <c r="F292" s="846"/>
      <c r="AA292"/>
      <c r="AB292"/>
      <c r="AC292"/>
      <c r="AD292"/>
      <c r="AE292"/>
      <c r="AF292"/>
      <c r="AG292"/>
      <c r="AH292"/>
      <c r="AI292"/>
    </row>
    <row r="293" spans="3:35" x14ac:dyDescent="0.2">
      <c r="C293" s="846"/>
      <c r="D293" s="846"/>
      <c r="E293" s="846"/>
      <c r="F293" s="846"/>
      <c r="AA293"/>
      <c r="AB293"/>
      <c r="AC293"/>
      <c r="AD293"/>
      <c r="AE293"/>
      <c r="AF293"/>
      <c r="AG293"/>
      <c r="AH293"/>
      <c r="AI293"/>
    </row>
    <row r="294" spans="3:35" x14ac:dyDescent="0.2">
      <c r="C294" s="846"/>
      <c r="D294" s="846"/>
      <c r="E294" s="846"/>
      <c r="F294" s="846"/>
      <c r="AA294"/>
      <c r="AB294"/>
      <c r="AC294"/>
      <c r="AD294"/>
      <c r="AE294"/>
      <c r="AF294"/>
      <c r="AG294"/>
      <c r="AH294"/>
      <c r="AI294"/>
    </row>
    <row r="295" spans="3:35" x14ac:dyDescent="0.2">
      <c r="C295" s="846"/>
      <c r="D295" s="846"/>
      <c r="E295" s="846"/>
      <c r="F295" s="846"/>
      <c r="AA295"/>
      <c r="AB295"/>
      <c r="AC295"/>
      <c r="AD295"/>
      <c r="AE295"/>
      <c r="AF295"/>
      <c r="AG295"/>
      <c r="AH295"/>
      <c r="AI295"/>
    </row>
    <row r="296" spans="3:35" x14ac:dyDescent="0.2">
      <c r="C296" s="846"/>
      <c r="D296" s="846"/>
      <c r="E296" s="846"/>
      <c r="F296" s="846"/>
      <c r="AA296"/>
      <c r="AB296"/>
      <c r="AC296"/>
      <c r="AD296"/>
      <c r="AE296"/>
      <c r="AF296"/>
      <c r="AG296"/>
      <c r="AH296"/>
      <c r="AI296"/>
    </row>
    <row r="297" spans="3:35" x14ac:dyDescent="0.2">
      <c r="C297" s="846"/>
      <c r="D297" s="846"/>
      <c r="E297" s="846"/>
      <c r="F297" s="846"/>
      <c r="AA297"/>
      <c r="AB297"/>
      <c r="AC297"/>
      <c r="AD297"/>
      <c r="AE297"/>
      <c r="AF297"/>
      <c r="AG297"/>
      <c r="AH297"/>
      <c r="AI297"/>
    </row>
    <row r="298" spans="3:35" x14ac:dyDescent="0.2">
      <c r="C298" s="846"/>
      <c r="D298" s="846"/>
      <c r="E298" s="846"/>
      <c r="F298" s="846"/>
      <c r="AA298"/>
      <c r="AB298"/>
      <c r="AC298"/>
      <c r="AD298"/>
      <c r="AE298"/>
      <c r="AF298"/>
      <c r="AG298"/>
      <c r="AH298"/>
      <c r="AI298"/>
    </row>
    <row r="299" spans="3:35" x14ac:dyDescent="0.2">
      <c r="C299" s="846"/>
      <c r="D299" s="846"/>
      <c r="E299" s="846"/>
      <c r="F299" s="846"/>
      <c r="AA299"/>
      <c r="AB299"/>
      <c r="AC299"/>
      <c r="AD299"/>
      <c r="AE299"/>
      <c r="AF299"/>
      <c r="AG299"/>
      <c r="AH299"/>
      <c r="AI299"/>
    </row>
    <row r="300" spans="3:35" x14ac:dyDescent="0.2">
      <c r="C300" s="846"/>
      <c r="D300" s="846"/>
      <c r="E300" s="846"/>
      <c r="F300" s="846"/>
      <c r="AA300"/>
      <c r="AB300"/>
      <c r="AC300"/>
      <c r="AD300"/>
      <c r="AE300"/>
      <c r="AF300"/>
      <c r="AG300"/>
      <c r="AH300"/>
      <c r="AI300"/>
    </row>
    <row r="301" spans="3:35" x14ac:dyDescent="0.2">
      <c r="C301" s="892"/>
      <c r="D301" s="892"/>
      <c r="E301" s="892"/>
      <c r="F301" s="892"/>
      <c r="AA301"/>
      <c r="AB301"/>
      <c r="AC301"/>
      <c r="AD301"/>
      <c r="AE301"/>
      <c r="AF301"/>
      <c r="AG301"/>
      <c r="AH301"/>
      <c r="AI301"/>
    </row>
    <row r="302" spans="3:35" x14ac:dyDescent="0.2">
      <c r="C302" s="892"/>
      <c r="D302" s="892"/>
      <c r="E302" s="892"/>
      <c r="F302" s="892"/>
      <c r="AA302"/>
      <c r="AB302"/>
      <c r="AC302"/>
      <c r="AD302"/>
      <c r="AE302"/>
      <c r="AF302"/>
      <c r="AG302"/>
      <c r="AH302"/>
      <c r="AI302"/>
    </row>
    <row r="303" spans="3:35" x14ac:dyDescent="0.2">
      <c r="C303" s="905"/>
      <c r="D303" s="905"/>
      <c r="E303" s="905"/>
      <c r="F303" s="905"/>
      <c r="AA303"/>
      <c r="AB303"/>
      <c r="AC303"/>
      <c r="AD303"/>
      <c r="AE303"/>
      <c r="AF303"/>
      <c r="AG303"/>
      <c r="AH303"/>
      <c r="AI303"/>
    </row>
    <row r="304" spans="3:35" x14ac:dyDescent="0.2">
      <c r="C304" s="892"/>
      <c r="D304" s="892"/>
      <c r="E304" s="892"/>
      <c r="F304" s="892"/>
      <c r="AA304"/>
      <c r="AB304"/>
      <c r="AC304"/>
      <c r="AD304"/>
      <c r="AE304"/>
      <c r="AF304"/>
      <c r="AG304"/>
      <c r="AH304"/>
      <c r="AI304"/>
    </row>
    <row r="305" spans="3:35" x14ac:dyDescent="0.2">
      <c r="C305" s="892"/>
      <c r="D305" s="892"/>
      <c r="E305" s="892"/>
      <c r="F305" s="892"/>
      <c r="AA305"/>
      <c r="AB305"/>
      <c r="AC305"/>
      <c r="AD305"/>
      <c r="AE305"/>
      <c r="AF305"/>
      <c r="AG305"/>
      <c r="AH305"/>
      <c r="AI305"/>
    </row>
    <row r="306" spans="3:35" x14ac:dyDescent="0.2">
      <c r="C306" s="892"/>
      <c r="D306" s="892"/>
      <c r="E306" s="892"/>
      <c r="F306" s="892"/>
      <c r="AA306"/>
      <c r="AB306"/>
      <c r="AC306"/>
      <c r="AD306"/>
      <c r="AE306"/>
      <c r="AF306"/>
      <c r="AG306"/>
      <c r="AH306"/>
      <c r="AI306"/>
    </row>
    <row r="307" spans="3:35" x14ac:dyDescent="0.2">
      <c r="C307" s="892"/>
      <c r="D307" s="892"/>
      <c r="E307" s="892"/>
      <c r="F307" s="892"/>
      <c r="AA307"/>
      <c r="AB307"/>
      <c r="AC307"/>
      <c r="AD307"/>
      <c r="AE307"/>
      <c r="AF307"/>
      <c r="AG307"/>
      <c r="AH307"/>
      <c r="AI307"/>
    </row>
    <row r="308" spans="3:35" x14ac:dyDescent="0.2">
      <c r="C308" s="892"/>
      <c r="D308" s="892"/>
      <c r="E308" s="892"/>
      <c r="F308" s="892"/>
      <c r="AA308"/>
      <c r="AB308"/>
      <c r="AC308"/>
      <c r="AD308"/>
      <c r="AE308"/>
      <c r="AF308"/>
      <c r="AG308"/>
      <c r="AH308"/>
      <c r="AI308"/>
    </row>
    <row r="309" spans="3:35" x14ac:dyDescent="0.2">
      <c r="C309" s="892"/>
      <c r="D309" s="892"/>
      <c r="E309" s="892"/>
      <c r="F309" s="892"/>
      <c r="AA309"/>
      <c r="AB309"/>
      <c r="AC309"/>
      <c r="AD309"/>
      <c r="AE309"/>
      <c r="AF309"/>
      <c r="AG309"/>
      <c r="AH309"/>
      <c r="AI309"/>
    </row>
    <row r="310" spans="3:35" x14ac:dyDescent="0.2">
      <c r="C310" s="892"/>
      <c r="D310" s="892"/>
      <c r="E310" s="892"/>
      <c r="F310" s="892"/>
      <c r="AA310"/>
      <c r="AB310"/>
      <c r="AC310"/>
      <c r="AD310"/>
      <c r="AE310"/>
      <c r="AF310"/>
      <c r="AG310"/>
      <c r="AH310"/>
      <c r="AI310"/>
    </row>
    <row r="311" spans="3:35" x14ac:dyDescent="0.2">
      <c r="C311" s="892"/>
      <c r="D311" s="892"/>
      <c r="E311" s="892"/>
      <c r="F311" s="892"/>
      <c r="AA311"/>
      <c r="AB311"/>
      <c r="AC311"/>
      <c r="AD311"/>
      <c r="AE311"/>
      <c r="AF311"/>
      <c r="AG311"/>
      <c r="AH311"/>
      <c r="AI311"/>
    </row>
    <row r="312" spans="3:35" x14ac:dyDescent="0.2">
      <c r="AA312"/>
      <c r="AB312"/>
      <c r="AC312"/>
      <c r="AD312"/>
      <c r="AE312"/>
      <c r="AF312"/>
      <c r="AG312"/>
      <c r="AH312"/>
      <c r="AI312"/>
    </row>
    <row r="313" spans="3:35" x14ac:dyDescent="0.2">
      <c r="C313" s="892"/>
      <c r="D313" s="892"/>
      <c r="E313" s="892"/>
      <c r="F313" s="892"/>
      <c r="AA313"/>
      <c r="AB313"/>
      <c r="AC313"/>
      <c r="AD313"/>
      <c r="AE313"/>
      <c r="AF313"/>
      <c r="AG313"/>
      <c r="AH313"/>
      <c r="AI313"/>
    </row>
    <row r="314" spans="3:35" x14ac:dyDescent="0.2">
      <c r="C314" s="892"/>
      <c r="D314" s="892"/>
      <c r="E314" s="892"/>
      <c r="F314" s="892"/>
      <c r="AA314"/>
      <c r="AB314"/>
      <c r="AC314"/>
      <c r="AD314"/>
      <c r="AE314"/>
      <c r="AF314"/>
      <c r="AG314"/>
      <c r="AH314"/>
      <c r="AI314"/>
    </row>
    <row r="315" spans="3:35" x14ac:dyDescent="0.2">
      <c r="C315" s="892"/>
      <c r="D315" s="892"/>
      <c r="E315" s="892"/>
      <c r="F315" s="892"/>
      <c r="AA315"/>
      <c r="AB315"/>
      <c r="AC315"/>
      <c r="AD315"/>
      <c r="AE315"/>
      <c r="AF315"/>
      <c r="AG315"/>
      <c r="AH315"/>
      <c r="AI315"/>
    </row>
    <row r="316" spans="3:35" x14ac:dyDescent="0.2">
      <c r="C316" s="892"/>
      <c r="D316" s="892"/>
      <c r="E316" s="892"/>
      <c r="F316" s="892"/>
      <c r="AA316"/>
      <c r="AB316"/>
      <c r="AC316"/>
      <c r="AD316"/>
      <c r="AE316"/>
      <c r="AF316"/>
      <c r="AG316"/>
      <c r="AH316"/>
      <c r="AI316"/>
    </row>
    <row r="317" spans="3:35" x14ac:dyDescent="0.2">
      <c r="C317" s="892"/>
      <c r="D317" s="892"/>
      <c r="E317" s="892"/>
      <c r="F317" s="892"/>
      <c r="AA317"/>
      <c r="AB317"/>
      <c r="AC317"/>
      <c r="AD317"/>
      <c r="AE317"/>
      <c r="AF317"/>
      <c r="AG317"/>
      <c r="AH317"/>
      <c r="AI317"/>
    </row>
    <row r="318" spans="3:35" x14ac:dyDescent="0.2">
      <c r="C318" s="892"/>
      <c r="D318" s="892"/>
      <c r="E318" s="892"/>
      <c r="F318" s="892"/>
      <c r="AA318"/>
      <c r="AB318"/>
      <c r="AC318"/>
      <c r="AD318"/>
      <c r="AE318"/>
      <c r="AF318"/>
      <c r="AG318"/>
      <c r="AH318"/>
      <c r="AI318"/>
    </row>
    <row r="319" spans="3:35" x14ac:dyDescent="0.2">
      <c r="C319" s="892"/>
      <c r="D319" s="892"/>
      <c r="E319" s="892"/>
      <c r="F319" s="892"/>
      <c r="AA319"/>
      <c r="AB319"/>
      <c r="AC319"/>
      <c r="AD319"/>
      <c r="AE319"/>
      <c r="AF319"/>
      <c r="AG319"/>
      <c r="AH319"/>
      <c r="AI319"/>
    </row>
    <row r="320" spans="3:35" x14ac:dyDescent="0.2">
      <c r="C320" s="892"/>
      <c r="D320" s="892"/>
      <c r="E320" s="892"/>
      <c r="F320" s="892"/>
      <c r="AA320"/>
      <c r="AB320"/>
      <c r="AC320"/>
      <c r="AD320"/>
      <c r="AE320"/>
      <c r="AF320"/>
      <c r="AG320"/>
      <c r="AH320"/>
      <c r="AI320"/>
    </row>
    <row r="321" spans="3:35" x14ac:dyDescent="0.2">
      <c r="C321" s="892"/>
      <c r="D321" s="892"/>
      <c r="E321" s="892"/>
      <c r="F321" s="892"/>
      <c r="AA321"/>
      <c r="AB321"/>
      <c r="AC321"/>
      <c r="AD321"/>
      <c r="AE321"/>
      <c r="AF321"/>
      <c r="AG321"/>
      <c r="AH321"/>
      <c r="AI321"/>
    </row>
    <row r="322" spans="3:35" x14ac:dyDescent="0.2">
      <c r="C322" s="892"/>
      <c r="D322" s="892"/>
      <c r="E322" s="892"/>
      <c r="F322" s="892"/>
      <c r="AA322"/>
      <c r="AB322"/>
      <c r="AC322"/>
      <c r="AD322"/>
      <c r="AE322"/>
      <c r="AF322"/>
      <c r="AG322"/>
      <c r="AH322"/>
      <c r="AI322"/>
    </row>
    <row r="323" spans="3:35" x14ac:dyDescent="0.2">
      <c r="C323" s="892"/>
      <c r="D323" s="892"/>
      <c r="E323" s="892"/>
      <c r="F323" s="892"/>
      <c r="AA323"/>
      <c r="AB323"/>
      <c r="AC323"/>
      <c r="AD323"/>
      <c r="AE323"/>
      <c r="AF323"/>
      <c r="AG323"/>
      <c r="AH323"/>
      <c r="AI323"/>
    </row>
    <row r="324" spans="3:35" x14ac:dyDescent="0.2">
      <c r="C324" s="892"/>
      <c r="D324" s="892"/>
      <c r="E324" s="892"/>
      <c r="F324" s="892"/>
      <c r="AA324"/>
      <c r="AB324"/>
      <c r="AC324"/>
      <c r="AD324"/>
      <c r="AE324"/>
      <c r="AF324"/>
      <c r="AG324"/>
      <c r="AH324"/>
      <c r="AI324"/>
    </row>
    <row r="325" spans="3:35" x14ac:dyDescent="0.2">
      <c r="C325" s="892"/>
      <c r="D325" s="892"/>
      <c r="E325" s="892"/>
      <c r="F325" s="892"/>
      <c r="AA325"/>
      <c r="AB325"/>
      <c r="AC325"/>
      <c r="AD325"/>
      <c r="AE325"/>
      <c r="AF325"/>
      <c r="AG325"/>
      <c r="AH325"/>
      <c r="AI325"/>
    </row>
    <row r="326" spans="3:35" x14ac:dyDescent="0.2">
      <c r="C326" s="892"/>
      <c r="D326" s="892"/>
      <c r="E326" s="892"/>
      <c r="F326" s="892"/>
      <c r="AA326"/>
      <c r="AB326"/>
      <c r="AC326"/>
      <c r="AD326"/>
      <c r="AE326"/>
      <c r="AF326"/>
      <c r="AG326"/>
      <c r="AH326"/>
      <c r="AI326"/>
    </row>
    <row r="327" spans="3:35" x14ac:dyDescent="0.2">
      <c r="AA327"/>
      <c r="AB327"/>
      <c r="AC327"/>
      <c r="AD327"/>
      <c r="AE327"/>
      <c r="AF327"/>
      <c r="AG327"/>
      <c r="AH327"/>
      <c r="AI327"/>
    </row>
    <row r="328" spans="3:35" x14ac:dyDescent="0.2">
      <c r="AA328"/>
      <c r="AB328"/>
      <c r="AC328"/>
      <c r="AD328"/>
      <c r="AE328"/>
      <c r="AF328"/>
      <c r="AG328"/>
      <c r="AH328"/>
      <c r="AI328"/>
    </row>
    <row r="329" spans="3:35" x14ac:dyDescent="0.2">
      <c r="AA329"/>
      <c r="AB329"/>
      <c r="AC329"/>
      <c r="AD329"/>
      <c r="AE329"/>
      <c r="AF329"/>
      <c r="AG329"/>
      <c r="AH329"/>
      <c r="AI329"/>
    </row>
    <row r="330" spans="3:35" x14ac:dyDescent="0.2">
      <c r="AA330"/>
      <c r="AB330"/>
      <c r="AC330"/>
      <c r="AD330"/>
      <c r="AE330"/>
      <c r="AF330"/>
      <c r="AG330"/>
      <c r="AH330"/>
      <c r="AI330"/>
    </row>
    <row r="331" spans="3:35" x14ac:dyDescent="0.2">
      <c r="AA331"/>
      <c r="AB331"/>
      <c r="AC331"/>
      <c r="AD331"/>
      <c r="AE331"/>
      <c r="AF331"/>
      <c r="AG331"/>
      <c r="AH331"/>
      <c r="AI331"/>
    </row>
    <row r="332" spans="3:35" x14ac:dyDescent="0.2">
      <c r="AA332"/>
      <c r="AB332"/>
      <c r="AC332"/>
      <c r="AD332"/>
      <c r="AE332"/>
      <c r="AF332"/>
      <c r="AG332"/>
      <c r="AH332"/>
      <c r="AI332"/>
    </row>
    <row r="333" spans="3:35" x14ac:dyDescent="0.2">
      <c r="AA333"/>
      <c r="AB333"/>
      <c r="AC333"/>
      <c r="AD333"/>
      <c r="AE333"/>
      <c r="AF333"/>
      <c r="AG333"/>
      <c r="AH333"/>
      <c r="AI333"/>
    </row>
    <row r="334" spans="3:35" x14ac:dyDescent="0.2">
      <c r="AA334"/>
      <c r="AB334"/>
      <c r="AC334"/>
      <c r="AD334"/>
      <c r="AE334"/>
      <c r="AF334"/>
      <c r="AG334"/>
      <c r="AH334"/>
      <c r="AI334"/>
    </row>
    <row r="335" spans="3:35" x14ac:dyDescent="0.2">
      <c r="AA335"/>
      <c r="AB335"/>
      <c r="AC335"/>
      <c r="AD335"/>
      <c r="AE335"/>
      <c r="AF335"/>
      <c r="AG335"/>
      <c r="AH335"/>
      <c r="AI335"/>
    </row>
    <row r="336" spans="3: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C5:F175 A12:B19 A5:B10 A21:B28 A30:B38 A40:B43 A45:B48 A50:B54 A56:B70 A72:B81 A83:B90 A92:B98 A100:B108 A110:B115 A117:B127 A129:B134 A136:B142 A144:B150 A152:B158 A160:B175">
    <cfRule type="expression" dxfId="212" priority="3" stopIfTrue="1">
      <formula>AND(NOT($K5=""),$K$1=1)</formula>
    </cfRule>
  </conditionalFormatting>
  <conditionalFormatting sqref="G5:L175">
    <cfRule type="expression" dxfId="211" priority="1" stopIfTrue="1">
      <formula>AND(NOT($K5=""),$K$1=1)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indexed="47"/>
  </sheetPr>
  <dimension ref="A1:AI400"/>
  <sheetViews>
    <sheetView workbookViewId="0">
      <pane xSplit="12" ySplit="2" topLeftCell="M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10" style="901" customWidth="1"/>
    <col min="2" max="2" width="88" style="902" customWidth="1"/>
    <col min="3" max="3" width="4.28515625" style="816" customWidth="1"/>
    <col min="4" max="4" width="6.28515625" style="816" customWidth="1"/>
    <col min="5" max="6" width="5.140625" style="816" bestFit="1" customWidth="1"/>
    <col min="7" max="9" width="4.7109375" style="903" customWidth="1" outlineLevel="1"/>
    <col min="10" max="10" width="4.140625" style="904" customWidth="1" outlineLevel="1"/>
    <col min="11" max="11" width="10.7109375" style="889" customWidth="1" outlineLevel="1"/>
    <col min="12" max="12" width="12.140625" style="890" customWidth="1"/>
    <col min="13" max="13" width="20.42578125" style="846" customWidth="1"/>
    <col min="14" max="14" width="11" style="168" customWidth="1"/>
    <col min="15" max="26" width="11.28515625" style="168"/>
    <col min="27" max="34" width="13" style="169" hidden="1" customWidth="1"/>
    <col min="35" max="35" width="13" style="169" customWidth="1"/>
    <col min="36" max="16384" width="11.28515625" style="169"/>
  </cols>
  <sheetData>
    <row r="1" spans="1:35" s="648" customFormat="1" ht="18" x14ac:dyDescent="0.25">
      <c r="A1" s="776" t="s">
        <v>7455</v>
      </c>
      <c r="B1" s="777"/>
      <c r="C1" s="778">
        <v>1</v>
      </c>
      <c r="D1" s="1963" t="str">
        <f>"variante"&amp;IF(C1&gt;1,"s","")</f>
        <v>variante</v>
      </c>
      <c r="E1" s="1964"/>
      <c r="F1" s="778"/>
      <c r="G1" s="893"/>
      <c r="H1" s="893"/>
      <c r="I1" s="893"/>
      <c r="J1" s="894"/>
      <c r="K1" s="895">
        <f>'ISO 27002'!F2</f>
        <v>0</v>
      </c>
      <c r="L1" s="778"/>
      <c r="M1" s="896"/>
      <c r="N1" s="611"/>
      <c r="O1" s="611"/>
      <c r="P1" s="611"/>
      <c r="Q1" s="611"/>
      <c r="R1" s="611"/>
      <c r="S1" s="611"/>
      <c r="T1" s="611"/>
      <c r="U1" s="611"/>
      <c r="V1" s="611"/>
      <c r="W1" s="611"/>
      <c r="X1" s="611"/>
      <c r="Y1" s="611"/>
      <c r="Z1" s="611"/>
    </row>
    <row r="2" spans="1:35" s="648" customFormat="1" x14ac:dyDescent="0.2">
      <c r="A2" s="545" t="s">
        <v>3585</v>
      </c>
      <c r="B2" s="625" t="s">
        <v>3675</v>
      </c>
      <c r="C2" s="587" t="s">
        <v>3676</v>
      </c>
      <c r="D2" s="587" t="s">
        <v>3677</v>
      </c>
      <c r="E2" s="587" t="s">
        <v>3678</v>
      </c>
      <c r="F2" s="587" t="s">
        <v>3679</v>
      </c>
      <c r="G2" s="588" t="s">
        <v>1428</v>
      </c>
      <c r="H2" s="588" t="s">
        <v>3680</v>
      </c>
      <c r="I2" s="588" t="s">
        <v>2054</v>
      </c>
      <c r="J2" s="588" t="s">
        <v>3681</v>
      </c>
      <c r="K2" s="588">
        <v>2013</v>
      </c>
      <c r="L2" s="588">
        <v>2005</v>
      </c>
      <c r="M2" s="588" t="s">
        <v>3682</v>
      </c>
      <c r="N2" s="611"/>
      <c r="O2" s="611"/>
      <c r="P2" s="611"/>
      <c r="Q2" s="611"/>
      <c r="R2" s="611"/>
      <c r="S2" s="611"/>
      <c r="T2" s="611"/>
      <c r="U2" s="611"/>
      <c r="V2" s="611"/>
      <c r="W2" s="611"/>
      <c r="X2" s="611"/>
      <c r="Y2" s="611"/>
      <c r="Z2" s="611"/>
    </row>
    <row r="3" spans="1:35" x14ac:dyDescent="0.2">
      <c r="A3" s="627" t="s">
        <v>5605</v>
      </c>
      <c r="B3" s="627" t="s">
        <v>6844</v>
      </c>
      <c r="C3" s="885"/>
      <c r="D3" s="1160"/>
      <c r="E3" s="1160"/>
      <c r="F3" s="885"/>
      <c r="G3" s="1442"/>
      <c r="H3" s="1442"/>
      <c r="I3" s="1442"/>
      <c r="J3" s="1441"/>
      <c r="K3" s="1441"/>
      <c r="L3" s="1441"/>
      <c r="M3" s="897"/>
    </row>
    <row r="4" spans="1:35" s="648" customFormat="1" outlineLevel="1" x14ac:dyDescent="0.2">
      <c r="A4" s="898" t="s">
        <v>6386</v>
      </c>
      <c r="B4" s="899" t="s">
        <v>5606</v>
      </c>
      <c r="C4" s="885"/>
      <c r="D4" s="1160"/>
      <c r="E4" s="1160"/>
      <c r="F4" s="885"/>
      <c r="G4" s="1441"/>
      <c r="H4" s="1443"/>
      <c r="I4" s="1443"/>
      <c r="J4" s="1441"/>
      <c r="K4" s="1441"/>
      <c r="L4" s="1441"/>
      <c r="M4" s="900"/>
      <c r="N4" s="611"/>
      <c r="O4" s="611"/>
      <c r="P4" s="611"/>
      <c r="Q4" s="611"/>
      <c r="R4" s="611"/>
      <c r="S4" s="611"/>
      <c r="T4" s="611"/>
      <c r="U4" s="611"/>
      <c r="V4" s="611"/>
      <c r="W4" s="611"/>
      <c r="X4" s="611"/>
      <c r="Y4" s="611"/>
      <c r="Z4" s="611"/>
      <c r="AA4"/>
      <c r="AB4"/>
      <c r="AC4"/>
      <c r="AD4"/>
      <c r="AE4"/>
      <c r="AF4"/>
      <c r="AG4"/>
      <c r="AH4"/>
      <c r="AI4"/>
    </row>
    <row r="5" spans="1:35" ht="22.5" outlineLevel="2" x14ac:dyDescent="0.2">
      <c r="A5" s="636" t="s">
        <v>5607</v>
      </c>
      <c r="B5" s="636" t="s">
        <v>2115</v>
      </c>
      <c r="C5" s="887"/>
      <c r="D5" s="1161"/>
      <c r="E5" s="1161"/>
      <c r="F5" s="887"/>
      <c r="G5" s="1441">
        <v>2</v>
      </c>
      <c r="H5" s="1443"/>
      <c r="I5" s="1443"/>
      <c r="J5" s="1441" t="s">
        <v>1592</v>
      </c>
      <c r="K5" s="1441" t="s">
        <v>3579</v>
      </c>
      <c r="L5" s="1441" t="s">
        <v>5608</v>
      </c>
      <c r="M5" s="897"/>
      <c r="AA5">
        <f>IF(AND('03 Loc'!C5&gt;Tmin, NOT('03 Loc'!$I5="")),'03 Loc'!$I5,0)</f>
        <v>0</v>
      </c>
      <c r="AB5">
        <f>IF(AND('03 Loc'!D5&gt;Tmin, NOT('03 Loc'!$I5="")),'03 Loc'!$I5,0)</f>
        <v>0</v>
      </c>
      <c r="AC5">
        <f>IF(AND('03 Loc'!E5&gt;Tmin, NOT('03 Loc'!$I5="")),'03 Loc'!$I5,0)</f>
        <v>0</v>
      </c>
      <c r="AD5">
        <f>IF(AND('03 Loc'!F5&gt;Tmin, NOT('03 Loc'!$I5="")),'03 Loc'!$I5,0)</f>
        <v>0</v>
      </c>
      <c r="AE5">
        <f>IF(AND('03 Loc'!C5&lt;Tmax, NOT('03 Loc'!$H5="")),'03 Loc'!$H5,4)</f>
        <v>4</v>
      </c>
      <c r="AF5">
        <f>IF(AND('03 Loc'!D5&lt;Tmax, NOT('03 Loc'!$H5="")),'03 Loc'!$H5,4)</f>
        <v>4</v>
      </c>
      <c r="AG5">
        <f>IF(AND('03 Loc'!E5&lt;Tmax, NOT('03 Loc'!$H5="")),'03 Loc'!$H5,4)</f>
        <v>4</v>
      </c>
      <c r="AH5">
        <f>IF(AND('03 Loc'!F5&lt;Tmax, NOT('03 Loc'!$H5="")),'03 Loc'!$H5,4)</f>
        <v>4</v>
      </c>
      <c r="AI5"/>
    </row>
    <row r="6" spans="1:35" outlineLevel="2" x14ac:dyDescent="0.2">
      <c r="A6" s="636" t="s">
        <v>5609</v>
      </c>
      <c r="B6" s="636" t="s">
        <v>2151</v>
      </c>
      <c r="C6" s="887"/>
      <c r="D6" s="1161"/>
      <c r="E6" s="1161"/>
      <c r="F6" s="887"/>
      <c r="G6" s="1441">
        <v>4</v>
      </c>
      <c r="H6" s="1441"/>
      <c r="I6" s="1443"/>
      <c r="J6" s="1441" t="s">
        <v>1592</v>
      </c>
      <c r="K6" s="1441" t="s">
        <v>3579</v>
      </c>
      <c r="L6" s="1441" t="s">
        <v>5608</v>
      </c>
      <c r="M6" s="897"/>
      <c r="AA6">
        <f>IF(AND('03 Loc'!C6&gt;Tmin, NOT('03 Loc'!$I6="")),'03 Loc'!$I6,0)</f>
        <v>0</v>
      </c>
      <c r="AB6">
        <f>IF(AND('03 Loc'!D6&gt;Tmin, NOT('03 Loc'!$I6="")),'03 Loc'!$I6,0)</f>
        <v>0</v>
      </c>
      <c r="AC6">
        <f>IF(AND('03 Loc'!E6&gt;Tmin, NOT('03 Loc'!$I6="")),'03 Loc'!$I6,0)</f>
        <v>0</v>
      </c>
      <c r="AD6">
        <f>IF(AND('03 Loc'!F6&gt;Tmin, NOT('03 Loc'!$I6="")),'03 Loc'!$I6,0)</f>
        <v>0</v>
      </c>
      <c r="AE6">
        <f>IF(AND('03 Loc'!C6&lt;Tmax, NOT('03 Loc'!$H6="")),'03 Loc'!$H6,4)</f>
        <v>4</v>
      </c>
      <c r="AF6">
        <f>IF(AND('03 Loc'!D6&lt;Tmax, NOT('03 Loc'!$H6="")),'03 Loc'!$H6,4)</f>
        <v>4</v>
      </c>
      <c r="AG6">
        <f>IF(AND('03 Loc'!E6&lt;Tmax, NOT('03 Loc'!$H6="")),'03 Loc'!$H6,4)</f>
        <v>4</v>
      </c>
      <c r="AH6">
        <f>IF(AND('03 Loc'!F6&lt;Tmax, NOT('03 Loc'!$H6="")),'03 Loc'!$H6,4)</f>
        <v>4</v>
      </c>
      <c r="AI6"/>
    </row>
    <row r="7" spans="1:35" ht="22.5" outlineLevel="2" x14ac:dyDescent="0.2">
      <c r="A7" s="636" t="s">
        <v>2152</v>
      </c>
      <c r="B7" s="636" t="s">
        <v>2153</v>
      </c>
      <c r="C7" s="887"/>
      <c r="D7" s="1161"/>
      <c r="E7" s="1161"/>
      <c r="F7" s="887"/>
      <c r="G7" s="1441">
        <v>2</v>
      </c>
      <c r="H7" s="1441"/>
      <c r="I7" s="1443"/>
      <c r="J7" s="1441" t="s">
        <v>1592</v>
      </c>
      <c r="K7" s="1441" t="s">
        <v>3579</v>
      </c>
      <c r="L7" s="1441" t="s">
        <v>5608</v>
      </c>
      <c r="M7" s="897"/>
      <c r="AA7">
        <f>IF(AND('03 Loc'!C7&gt;Tmin, NOT('03 Loc'!$I7="")),'03 Loc'!$I7,0)</f>
        <v>0</v>
      </c>
      <c r="AB7">
        <f>IF(AND('03 Loc'!D7&gt;Tmin, NOT('03 Loc'!$I7="")),'03 Loc'!$I7,0)</f>
        <v>0</v>
      </c>
      <c r="AC7">
        <f>IF(AND('03 Loc'!E7&gt;Tmin, NOT('03 Loc'!$I7="")),'03 Loc'!$I7,0)</f>
        <v>0</v>
      </c>
      <c r="AD7">
        <f>IF(AND('03 Loc'!F7&gt;Tmin, NOT('03 Loc'!$I7="")),'03 Loc'!$I7,0)</f>
        <v>0</v>
      </c>
      <c r="AE7">
        <f>IF(AND('03 Loc'!C7&lt;Tmax, NOT('03 Loc'!$H7="")),'03 Loc'!$H7,4)</f>
        <v>4</v>
      </c>
      <c r="AF7">
        <f>IF(AND('03 Loc'!D7&lt;Tmax, NOT('03 Loc'!$H7="")),'03 Loc'!$H7,4)</f>
        <v>4</v>
      </c>
      <c r="AG7">
        <f>IF(AND('03 Loc'!E7&lt;Tmax, NOT('03 Loc'!$H7="")),'03 Loc'!$H7,4)</f>
        <v>4</v>
      </c>
      <c r="AH7">
        <f>IF(AND('03 Loc'!F7&lt;Tmax, NOT('03 Loc'!$H7="")),'03 Loc'!$H7,4)</f>
        <v>4</v>
      </c>
      <c r="AI7"/>
    </row>
    <row r="8" spans="1:35" ht="33.75" outlineLevel="2" x14ac:dyDescent="0.2">
      <c r="A8" s="636" t="s">
        <v>2154</v>
      </c>
      <c r="B8" s="636" t="s">
        <v>2155</v>
      </c>
      <c r="C8" s="887"/>
      <c r="D8" s="1161"/>
      <c r="E8" s="1161"/>
      <c r="F8" s="887"/>
      <c r="G8" s="1441">
        <v>2</v>
      </c>
      <c r="H8" s="1441">
        <v>3</v>
      </c>
      <c r="I8" s="1443"/>
      <c r="J8" s="1441" t="s">
        <v>2349</v>
      </c>
      <c r="K8" s="1441"/>
      <c r="L8" s="1441"/>
      <c r="M8" s="897"/>
      <c r="AA8">
        <f>IF(AND('03 Loc'!C8&gt;Tmin, NOT('03 Loc'!$I8="")),'03 Loc'!$I8,0)</f>
        <v>0</v>
      </c>
      <c r="AB8">
        <f>IF(AND('03 Loc'!D8&gt;Tmin, NOT('03 Loc'!$I8="")),'03 Loc'!$I8,0)</f>
        <v>0</v>
      </c>
      <c r="AC8">
        <f>IF(AND('03 Loc'!E8&gt;Tmin, NOT('03 Loc'!$I8="")),'03 Loc'!$I8,0)</f>
        <v>0</v>
      </c>
      <c r="AD8">
        <f>IF(AND('03 Loc'!F8&gt;Tmin, NOT('03 Loc'!$I8="")),'03 Loc'!$I8,0)</f>
        <v>0</v>
      </c>
      <c r="AE8">
        <f>IF(AND('03 Loc'!C8&lt;Tmax, NOT('03 Loc'!$H8="")),'03 Loc'!$H8,4)</f>
        <v>3</v>
      </c>
      <c r="AF8">
        <f>IF(AND('03 Loc'!D8&lt;Tmax, NOT('03 Loc'!$H8="")),'03 Loc'!$H8,4)</f>
        <v>3</v>
      </c>
      <c r="AG8">
        <f>IF(AND('03 Loc'!E8&lt;Tmax, NOT('03 Loc'!$H8="")),'03 Loc'!$H8,4)</f>
        <v>3</v>
      </c>
      <c r="AH8">
        <f>IF(AND('03 Loc'!F8&lt;Tmax, NOT('03 Loc'!$H8="")),'03 Loc'!$H8,4)</f>
        <v>3</v>
      </c>
      <c r="AI8"/>
    </row>
    <row r="9" spans="1:35" ht="22.5" outlineLevel="2" x14ac:dyDescent="0.2">
      <c r="A9" s="636" t="s">
        <v>2156</v>
      </c>
      <c r="B9" s="636" t="s">
        <v>2963</v>
      </c>
      <c r="C9" s="887"/>
      <c r="D9" s="1161"/>
      <c r="E9" s="1161"/>
      <c r="F9" s="887"/>
      <c r="G9" s="1441">
        <v>2</v>
      </c>
      <c r="H9" s="1465"/>
      <c r="I9" s="1443">
        <v>3</v>
      </c>
      <c r="J9" s="1441" t="s">
        <v>2964</v>
      </c>
      <c r="K9" s="1441"/>
      <c r="L9" s="1441"/>
      <c r="M9" s="897"/>
      <c r="AA9">
        <f>IF(AND('03 Loc'!C9&gt;Tmin, NOT('03 Loc'!$I9="")),'03 Loc'!$I9,0)</f>
        <v>0</v>
      </c>
      <c r="AB9">
        <f>IF(AND('03 Loc'!D9&gt;Tmin, NOT('03 Loc'!$I9="")),'03 Loc'!$I9,0)</f>
        <v>0</v>
      </c>
      <c r="AC9">
        <f>IF(AND('03 Loc'!E9&gt;Tmin, NOT('03 Loc'!$I9="")),'03 Loc'!$I9,0)</f>
        <v>0</v>
      </c>
      <c r="AD9">
        <f>IF(AND('03 Loc'!F9&gt;Tmin, NOT('03 Loc'!$I9="")),'03 Loc'!$I9,0)</f>
        <v>0</v>
      </c>
      <c r="AE9">
        <f>IF(AND('03 Loc'!C9&lt;Tmax, NOT('03 Loc'!$H9="")),'03 Loc'!$H9,4)</f>
        <v>4</v>
      </c>
      <c r="AF9">
        <f>IF(AND('03 Loc'!D9&lt;Tmax, NOT('03 Loc'!$H9="")),'03 Loc'!$H9,4)</f>
        <v>4</v>
      </c>
      <c r="AG9">
        <f>IF(AND('03 Loc'!E9&lt;Tmax, NOT('03 Loc'!$H9="")),'03 Loc'!$H9,4)</f>
        <v>4</v>
      </c>
      <c r="AH9">
        <f>IF(AND('03 Loc'!F9&lt;Tmax, NOT('03 Loc'!$H9="")),'03 Loc'!$H9,4)</f>
        <v>4</v>
      </c>
      <c r="AI9"/>
    </row>
    <row r="10" spans="1:35" outlineLevel="2" x14ac:dyDescent="0.2">
      <c r="A10" s="636" t="s">
        <v>2965</v>
      </c>
      <c r="B10" s="636" t="s">
        <v>135</v>
      </c>
      <c r="C10" s="887"/>
      <c r="D10" s="1161"/>
      <c r="E10" s="1161"/>
      <c r="F10" s="887"/>
      <c r="G10" s="1441">
        <v>2</v>
      </c>
      <c r="H10" s="1441">
        <v>2</v>
      </c>
      <c r="I10" s="1443"/>
      <c r="J10" s="1443" t="s">
        <v>1592</v>
      </c>
      <c r="K10" s="1441"/>
      <c r="L10" s="1441"/>
      <c r="M10" s="897"/>
      <c r="AA10">
        <f>IF(AND('03 Loc'!C10&gt;Tmin, NOT('03 Loc'!$I10="")),'03 Loc'!$I10,0)</f>
        <v>0</v>
      </c>
      <c r="AB10">
        <f>IF(AND('03 Loc'!D10&gt;Tmin, NOT('03 Loc'!$I10="")),'03 Loc'!$I10,0)</f>
        <v>0</v>
      </c>
      <c r="AC10">
        <f>IF(AND('03 Loc'!E10&gt;Tmin, NOT('03 Loc'!$I10="")),'03 Loc'!$I10,0)</f>
        <v>0</v>
      </c>
      <c r="AD10">
        <f>IF(AND('03 Loc'!F10&gt;Tmin, NOT('03 Loc'!$I10="")),'03 Loc'!$I10,0)</f>
        <v>0</v>
      </c>
      <c r="AE10">
        <f>IF(AND('03 Loc'!C10&lt;Tmax, NOT('03 Loc'!$H10="")),'03 Loc'!$H10,4)</f>
        <v>2</v>
      </c>
      <c r="AF10">
        <f>IF(AND('03 Loc'!D10&lt;Tmax, NOT('03 Loc'!$H10="")),'03 Loc'!$H10,4)</f>
        <v>2</v>
      </c>
      <c r="AG10">
        <f>IF(AND('03 Loc'!E10&lt;Tmax, NOT('03 Loc'!$H10="")),'03 Loc'!$H10,4)</f>
        <v>2</v>
      </c>
      <c r="AH10">
        <f>IF(AND('03 Loc'!F10&lt;Tmax, NOT('03 Loc'!$H10="")),'03 Loc'!$H10,4)</f>
        <v>2</v>
      </c>
      <c r="AI10"/>
    </row>
    <row r="11" spans="1:35" outlineLevel="1" x14ac:dyDescent="0.2">
      <c r="A11" s="898" t="s">
        <v>6388</v>
      </c>
      <c r="B11" s="899" t="s">
        <v>2966</v>
      </c>
      <c r="C11" s="887"/>
      <c r="D11" s="1161"/>
      <c r="E11" s="1161"/>
      <c r="F11" s="887"/>
      <c r="G11" s="1441"/>
      <c r="H11" s="1443"/>
      <c r="I11" s="1443"/>
      <c r="J11" s="1441"/>
      <c r="K11" s="1441"/>
      <c r="L11" s="1441"/>
      <c r="M11" s="897"/>
      <c r="AA11"/>
      <c r="AB11"/>
      <c r="AC11"/>
      <c r="AD11"/>
      <c r="AE11"/>
      <c r="AF11"/>
      <c r="AG11"/>
      <c r="AH11"/>
      <c r="AI11"/>
    </row>
    <row r="12" spans="1:35" ht="22.5" outlineLevel="2" x14ac:dyDescent="0.2">
      <c r="A12" s="636" t="s">
        <v>2967</v>
      </c>
      <c r="B12" s="636" t="s">
        <v>2968</v>
      </c>
      <c r="C12" s="887"/>
      <c r="D12" s="1161"/>
      <c r="E12" s="1161"/>
      <c r="F12" s="887"/>
      <c r="G12" s="1441">
        <v>1</v>
      </c>
      <c r="H12" s="1441">
        <v>2</v>
      </c>
      <c r="I12" s="1441"/>
      <c r="J12" s="1441" t="s">
        <v>4246</v>
      </c>
      <c r="K12" s="1441" t="s">
        <v>3579</v>
      </c>
      <c r="L12" s="1441" t="s">
        <v>5608</v>
      </c>
      <c r="M12" s="897"/>
      <c r="AA12">
        <f>IF(AND('03 Loc'!C12&gt;Tmin, NOT('03 Loc'!$I12="")),'03 Loc'!$I12,0)</f>
        <v>0</v>
      </c>
      <c r="AB12">
        <f>IF(AND('03 Loc'!D12&gt;Tmin, NOT('03 Loc'!$I12="")),'03 Loc'!$I12,0)</f>
        <v>0</v>
      </c>
      <c r="AC12">
        <f>IF(AND('03 Loc'!E12&gt;Tmin, NOT('03 Loc'!$I12="")),'03 Loc'!$I12,0)</f>
        <v>0</v>
      </c>
      <c r="AD12">
        <f>IF(AND('03 Loc'!F12&gt;Tmin, NOT('03 Loc'!$I12="")),'03 Loc'!$I12,0)</f>
        <v>0</v>
      </c>
      <c r="AE12">
        <f>IF(AND('03 Loc'!C12&lt;Tmax, NOT('03 Loc'!$H12="")),'03 Loc'!$H12,4)</f>
        <v>2</v>
      </c>
      <c r="AF12">
        <f>IF(AND('03 Loc'!D12&lt;Tmax, NOT('03 Loc'!$H12="")),'03 Loc'!$H12,4)</f>
        <v>2</v>
      </c>
      <c r="AG12">
        <f>IF(AND('03 Loc'!E12&lt;Tmax, NOT('03 Loc'!$H12="")),'03 Loc'!$H12,4)</f>
        <v>2</v>
      </c>
      <c r="AH12">
        <f>IF(AND('03 Loc'!F12&lt;Tmax, NOT('03 Loc'!$H12="")),'03 Loc'!$H12,4)</f>
        <v>2</v>
      </c>
      <c r="AI12"/>
    </row>
    <row r="13" spans="1:35" ht="33.75" outlineLevel="2" x14ac:dyDescent="0.2">
      <c r="A13" s="636" t="s">
        <v>2969</v>
      </c>
      <c r="B13" s="636" t="s">
        <v>3062</v>
      </c>
      <c r="C13" s="887"/>
      <c r="D13" s="1161"/>
      <c r="E13" s="1161"/>
      <c r="F13" s="887"/>
      <c r="G13" s="1441">
        <v>4</v>
      </c>
      <c r="H13" s="1441"/>
      <c r="I13" s="1441">
        <v>2</v>
      </c>
      <c r="J13" s="1441" t="s">
        <v>4246</v>
      </c>
      <c r="K13" s="1441" t="s">
        <v>3579</v>
      </c>
      <c r="L13" s="1441" t="s">
        <v>5608</v>
      </c>
      <c r="M13" s="897"/>
      <c r="AA13">
        <f>IF(AND('03 Loc'!C13&gt;Tmin, NOT('03 Loc'!$I13="")),'03 Loc'!$I13,0)</f>
        <v>0</v>
      </c>
      <c r="AB13">
        <f>IF(AND('03 Loc'!D13&gt;Tmin, NOT('03 Loc'!$I13="")),'03 Loc'!$I13,0)</f>
        <v>0</v>
      </c>
      <c r="AC13">
        <f>IF(AND('03 Loc'!E13&gt;Tmin, NOT('03 Loc'!$I13="")),'03 Loc'!$I13,0)</f>
        <v>0</v>
      </c>
      <c r="AD13">
        <f>IF(AND('03 Loc'!F13&gt;Tmin, NOT('03 Loc'!$I13="")),'03 Loc'!$I13,0)</f>
        <v>0</v>
      </c>
      <c r="AE13">
        <f>IF(AND('03 Loc'!C13&lt;Tmax, NOT('03 Loc'!$H13="")),'03 Loc'!$H13,4)</f>
        <v>4</v>
      </c>
      <c r="AF13">
        <f>IF(AND('03 Loc'!D13&lt;Tmax, NOT('03 Loc'!$H13="")),'03 Loc'!$H13,4)</f>
        <v>4</v>
      </c>
      <c r="AG13">
        <f>IF(AND('03 Loc'!E13&lt;Tmax, NOT('03 Loc'!$H13="")),'03 Loc'!$H13,4)</f>
        <v>4</v>
      </c>
      <c r="AH13">
        <f>IF(AND('03 Loc'!F13&lt;Tmax, NOT('03 Loc'!$H13="")),'03 Loc'!$H13,4)</f>
        <v>4</v>
      </c>
      <c r="AI13"/>
    </row>
    <row r="14" spans="1:35" ht="22.5" outlineLevel="2" x14ac:dyDescent="0.2">
      <c r="A14" s="636" t="s">
        <v>3063</v>
      </c>
      <c r="B14" s="636" t="s">
        <v>3932</v>
      </c>
      <c r="C14" s="887"/>
      <c r="D14" s="1161"/>
      <c r="E14" s="1161"/>
      <c r="F14" s="887"/>
      <c r="G14" s="1441">
        <v>4</v>
      </c>
      <c r="H14" s="1441"/>
      <c r="I14" s="1441"/>
      <c r="J14" s="1441" t="s">
        <v>2109</v>
      </c>
      <c r="K14" s="1441"/>
      <c r="L14" s="1441"/>
      <c r="M14" s="897"/>
      <c r="AA14">
        <f>IF(AND('03 Loc'!C14&gt;Tmin, NOT('03 Loc'!$I14="")),'03 Loc'!$I14,0)</f>
        <v>0</v>
      </c>
      <c r="AB14">
        <f>IF(AND('03 Loc'!D14&gt;Tmin, NOT('03 Loc'!$I14="")),'03 Loc'!$I14,0)</f>
        <v>0</v>
      </c>
      <c r="AC14">
        <f>IF(AND('03 Loc'!E14&gt;Tmin, NOT('03 Loc'!$I14="")),'03 Loc'!$I14,0)</f>
        <v>0</v>
      </c>
      <c r="AD14">
        <f>IF(AND('03 Loc'!F14&gt;Tmin, NOT('03 Loc'!$I14="")),'03 Loc'!$I14,0)</f>
        <v>0</v>
      </c>
      <c r="AE14">
        <f>IF(AND('03 Loc'!C14&lt;Tmax, NOT('03 Loc'!$H14="")),'03 Loc'!$H14,4)</f>
        <v>4</v>
      </c>
      <c r="AF14">
        <f>IF(AND('03 Loc'!D14&lt;Tmax, NOT('03 Loc'!$H14="")),'03 Loc'!$H14,4)</f>
        <v>4</v>
      </c>
      <c r="AG14">
        <f>IF(AND('03 Loc'!E14&lt;Tmax, NOT('03 Loc'!$H14="")),'03 Loc'!$H14,4)</f>
        <v>4</v>
      </c>
      <c r="AH14">
        <f>IF(AND('03 Loc'!F14&lt;Tmax, NOT('03 Loc'!$H14="")),'03 Loc'!$H14,4)</f>
        <v>4</v>
      </c>
      <c r="AI14"/>
    </row>
    <row r="15" spans="1:35" ht="26.25" customHeight="1" outlineLevel="2" x14ac:dyDescent="0.2">
      <c r="A15" s="636" t="s">
        <v>2959</v>
      </c>
      <c r="B15" s="636" t="s">
        <v>983</v>
      </c>
      <c r="C15" s="887"/>
      <c r="D15" s="1161"/>
      <c r="E15" s="1161"/>
      <c r="F15" s="887"/>
      <c r="G15" s="1443">
        <v>4</v>
      </c>
      <c r="H15" s="1441">
        <v>2</v>
      </c>
      <c r="I15" s="1441"/>
      <c r="J15" s="1443" t="s">
        <v>1592</v>
      </c>
      <c r="K15" s="1441"/>
      <c r="L15" s="1441"/>
      <c r="M15" s="897"/>
      <c r="AA15">
        <f>IF(AND('03 Loc'!C15&gt;Tmin, NOT('03 Loc'!$I15="")),'03 Loc'!$I15,0)</f>
        <v>0</v>
      </c>
      <c r="AB15">
        <f>IF(AND('03 Loc'!D15&gt;Tmin, NOT('03 Loc'!$I15="")),'03 Loc'!$I15,0)</f>
        <v>0</v>
      </c>
      <c r="AC15">
        <f>IF(AND('03 Loc'!E15&gt;Tmin, NOT('03 Loc'!$I15="")),'03 Loc'!$I15,0)</f>
        <v>0</v>
      </c>
      <c r="AD15">
        <f>IF(AND('03 Loc'!F15&gt;Tmin, NOT('03 Loc'!$I15="")),'03 Loc'!$I15,0)</f>
        <v>0</v>
      </c>
      <c r="AE15">
        <f>IF(AND('03 Loc'!C15&lt;Tmax, NOT('03 Loc'!$H15="")),'03 Loc'!$H15,4)</f>
        <v>2</v>
      </c>
      <c r="AF15">
        <f>IF(AND('03 Loc'!D15&lt;Tmax, NOT('03 Loc'!$H15="")),'03 Loc'!$H15,4)</f>
        <v>2</v>
      </c>
      <c r="AG15">
        <f>IF(AND('03 Loc'!E15&lt;Tmax, NOT('03 Loc'!$H15="")),'03 Loc'!$H15,4)</f>
        <v>2</v>
      </c>
      <c r="AH15">
        <f>IF(AND('03 Loc'!F15&lt;Tmax, NOT('03 Loc'!$H15="")),'03 Loc'!$H15,4)</f>
        <v>2</v>
      </c>
      <c r="AI15"/>
    </row>
    <row r="16" spans="1:35" ht="33.75" outlineLevel="2" x14ac:dyDescent="0.2">
      <c r="A16" s="636" t="s">
        <v>984</v>
      </c>
      <c r="B16" s="636" t="s">
        <v>1792</v>
      </c>
      <c r="C16" s="887"/>
      <c r="D16" s="1161"/>
      <c r="E16" s="1161"/>
      <c r="F16" s="887"/>
      <c r="G16" s="1441">
        <v>2</v>
      </c>
      <c r="H16" s="1441">
        <v>3</v>
      </c>
      <c r="I16" s="1441"/>
      <c r="J16" s="1443" t="s">
        <v>2349</v>
      </c>
      <c r="K16" s="1441"/>
      <c r="L16" s="1441"/>
      <c r="M16" s="897"/>
      <c r="AA16">
        <f>IF(AND('03 Loc'!C16&gt;Tmin, NOT('03 Loc'!$I16="")),'03 Loc'!$I16,0)</f>
        <v>0</v>
      </c>
      <c r="AB16">
        <f>IF(AND('03 Loc'!D16&gt;Tmin, NOT('03 Loc'!$I16="")),'03 Loc'!$I16,0)</f>
        <v>0</v>
      </c>
      <c r="AC16">
        <f>IF(AND('03 Loc'!E16&gt;Tmin, NOT('03 Loc'!$I16="")),'03 Loc'!$I16,0)</f>
        <v>0</v>
      </c>
      <c r="AD16">
        <f>IF(AND('03 Loc'!F16&gt;Tmin, NOT('03 Loc'!$I16="")),'03 Loc'!$I16,0)</f>
        <v>0</v>
      </c>
      <c r="AE16">
        <f>IF(AND('03 Loc'!C16&lt;Tmax, NOT('03 Loc'!$H16="")),'03 Loc'!$H16,4)</f>
        <v>3</v>
      </c>
      <c r="AF16">
        <f>IF(AND('03 Loc'!D16&lt;Tmax, NOT('03 Loc'!$H16="")),'03 Loc'!$H16,4)</f>
        <v>3</v>
      </c>
      <c r="AG16">
        <f>IF(AND('03 Loc'!E16&lt;Tmax, NOT('03 Loc'!$H16="")),'03 Loc'!$H16,4)</f>
        <v>3</v>
      </c>
      <c r="AH16">
        <f>IF(AND('03 Loc'!F16&lt;Tmax, NOT('03 Loc'!$H16="")),'03 Loc'!$H16,4)</f>
        <v>3</v>
      </c>
      <c r="AI16"/>
    </row>
    <row r="17" spans="1:35" outlineLevel="1" x14ac:dyDescent="0.2">
      <c r="A17" s="898" t="s">
        <v>2339</v>
      </c>
      <c r="B17" s="899" t="s">
        <v>2340</v>
      </c>
      <c r="C17" s="887"/>
      <c r="D17" s="1161"/>
      <c r="E17" s="1161"/>
      <c r="F17" s="887"/>
      <c r="G17" s="1441"/>
      <c r="H17" s="1443"/>
      <c r="I17" s="1443"/>
      <c r="J17" s="1443"/>
      <c r="K17" s="1441"/>
      <c r="L17" s="1441"/>
      <c r="M17" s="897"/>
      <c r="AA17"/>
      <c r="AB17"/>
      <c r="AC17"/>
      <c r="AD17"/>
      <c r="AE17"/>
      <c r="AF17"/>
      <c r="AG17"/>
      <c r="AH17"/>
      <c r="AI17"/>
    </row>
    <row r="18" spans="1:35" ht="22.5" outlineLevel="2" x14ac:dyDescent="0.2">
      <c r="A18" s="636" t="s">
        <v>1793</v>
      </c>
      <c r="B18" s="636" t="s">
        <v>4781</v>
      </c>
      <c r="C18" s="887"/>
      <c r="D18" s="1161"/>
      <c r="E18" s="1161"/>
      <c r="F18" s="887"/>
      <c r="G18" s="1441">
        <v>4</v>
      </c>
      <c r="H18" s="1441"/>
      <c r="I18" s="1441"/>
      <c r="J18" s="1443" t="s">
        <v>1592</v>
      </c>
      <c r="K18" s="1441" t="s">
        <v>3579</v>
      </c>
      <c r="L18" s="1441" t="s">
        <v>5608</v>
      </c>
      <c r="M18" s="897"/>
      <c r="AA18">
        <f>IF(AND('03 Loc'!C18&gt;Tmin, NOT('03 Loc'!$I18="")),'03 Loc'!$I18,0)</f>
        <v>0</v>
      </c>
      <c r="AB18">
        <f>IF(AND('03 Loc'!D18&gt;Tmin, NOT('03 Loc'!$I18="")),'03 Loc'!$I18,0)</f>
        <v>0</v>
      </c>
      <c r="AC18">
        <f>IF(AND('03 Loc'!E18&gt;Tmin, NOT('03 Loc'!$I18="")),'03 Loc'!$I18,0)</f>
        <v>0</v>
      </c>
      <c r="AD18">
        <f>IF(AND('03 Loc'!F18&gt;Tmin, NOT('03 Loc'!$I18="")),'03 Loc'!$I18,0)</f>
        <v>0</v>
      </c>
      <c r="AE18">
        <f>IF(AND('03 Loc'!C18&lt;Tmax, NOT('03 Loc'!$H18="")),'03 Loc'!$H18,4)</f>
        <v>4</v>
      </c>
      <c r="AF18">
        <f>IF(AND('03 Loc'!D18&lt;Tmax, NOT('03 Loc'!$H18="")),'03 Loc'!$H18,4)</f>
        <v>4</v>
      </c>
      <c r="AG18">
        <f>IF(AND('03 Loc'!E18&lt;Tmax, NOT('03 Loc'!$H18="")),'03 Loc'!$H18,4)</f>
        <v>4</v>
      </c>
      <c r="AH18">
        <f>IF(AND('03 Loc'!F18&lt;Tmax, NOT('03 Loc'!$H18="")),'03 Loc'!$H18,4)</f>
        <v>4</v>
      </c>
      <c r="AI18"/>
    </row>
    <row r="19" spans="1:35" ht="22.5" outlineLevel="2" x14ac:dyDescent="0.2">
      <c r="A19" s="636" t="s">
        <v>4782</v>
      </c>
      <c r="B19" s="636" t="s">
        <v>6406</v>
      </c>
      <c r="C19" s="887"/>
      <c r="D19" s="1161"/>
      <c r="E19" s="1161"/>
      <c r="F19" s="887"/>
      <c r="G19" s="1441">
        <v>4</v>
      </c>
      <c r="H19" s="1441"/>
      <c r="I19" s="1441"/>
      <c r="J19" s="1443" t="s">
        <v>2109</v>
      </c>
      <c r="K19" s="1441"/>
      <c r="L19" s="1441"/>
      <c r="M19" s="897"/>
      <c r="AA19">
        <f>IF(AND('03 Loc'!C19&gt;Tmin, NOT('03 Loc'!$I19="")),'03 Loc'!$I19,0)</f>
        <v>0</v>
      </c>
      <c r="AB19">
        <f>IF(AND('03 Loc'!D19&gt;Tmin, NOT('03 Loc'!$I19="")),'03 Loc'!$I19,0)</f>
        <v>0</v>
      </c>
      <c r="AC19">
        <f>IF(AND('03 Loc'!E19&gt;Tmin, NOT('03 Loc'!$I19="")),'03 Loc'!$I19,0)</f>
        <v>0</v>
      </c>
      <c r="AD19">
        <f>IF(AND('03 Loc'!F19&gt;Tmin, NOT('03 Loc'!$I19="")),'03 Loc'!$I19,0)</f>
        <v>0</v>
      </c>
      <c r="AE19">
        <f>IF(AND('03 Loc'!C19&lt;Tmax, NOT('03 Loc'!$H19="")),'03 Loc'!$H19,4)</f>
        <v>4</v>
      </c>
      <c r="AF19">
        <f>IF(AND('03 Loc'!D19&lt;Tmax, NOT('03 Loc'!$H19="")),'03 Loc'!$H19,4)</f>
        <v>4</v>
      </c>
      <c r="AG19">
        <f>IF(AND('03 Loc'!E19&lt;Tmax, NOT('03 Loc'!$H19="")),'03 Loc'!$H19,4)</f>
        <v>4</v>
      </c>
      <c r="AH19">
        <f>IF(AND('03 Loc'!F19&lt;Tmax, NOT('03 Loc'!$H19="")),'03 Loc'!$H19,4)</f>
        <v>4</v>
      </c>
      <c r="AI19"/>
    </row>
    <row r="20" spans="1:35" ht="33.75" outlineLevel="2" x14ac:dyDescent="0.2">
      <c r="A20" s="636" t="s">
        <v>6407</v>
      </c>
      <c r="B20" s="636" t="s">
        <v>74</v>
      </c>
      <c r="C20" s="887"/>
      <c r="D20" s="1161"/>
      <c r="E20" s="1161"/>
      <c r="F20" s="887"/>
      <c r="G20" s="1441">
        <v>2</v>
      </c>
      <c r="H20" s="1441"/>
      <c r="I20" s="1441"/>
      <c r="J20" s="1443" t="s">
        <v>2329</v>
      </c>
      <c r="K20" s="1441" t="s">
        <v>3579</v>
      </c>
      <c r="L20" s="1441" t="s">
        <v>5608</v>
      </c>
      <c r="M20" s="897"/>
      <c r="AA20">
        <f>IF(AND('03 Loc'!C20&gt;Tmin, NOT('03 Loc'!$I20="")),'03 Loc'!$I20,0)</f>
        <v>0</v>
      </c>
      <c r="AB20">
        <f>IF(AND('03 Loc'!D20&gt;Tmin, NOT('03 Loc'!$I20="")),'03 Loc'!$I20,0)</f>
        <v>0</v>
      </c>
      <c r="AC20">
        <f>IF(AND('03 Loc'!E20&gt;Tmin, NOT('03 Loc'!$I20="")),'03 Loc'!$I20,0)</f>
        <v>0</v>
      </c>
      <c r="AD20">
        <f>IF(AND('03 Loc'!F20&gt;Tmin, NOT('03 Loc'!$I20="")),'03 Loc'!$I20,0)</f>
        <v>0</v>
      </c>
      <c r="AE20">
        <f>IF(AND('03 Loc'!C20&lt;Tmax, NOT('03 Loc'!$H20="")),'03 Loc'!$H20,4)</f>
        <v>4</v>
      </c>
      <c r="AF20">
        <f>IF(AND('03 Loc'!D20&lt;Tmax, NOT('03 Loc'!$H20="")),'03 Loc'!$H20,4)</f>
        <v>4</v>
      </c>
      <c r="AG20">
        <f>IF(AND('03 Loc'!E20&lt;Tmax, NOT('03 Loc'!$H20="")),'03 Loc'!$H20,4)</f>
        <v>4</v>
      </c>
      <c r="AH20">
        <f>IF(AND('03 Loc'!F20&lt;Tmax, NOT('03 Loc'!$H20="")),'03 Loc'!$H20,4)</f>
        <v>4</v>
      </c>
      <c r="AI20"/>
    </row>
    <row r="21" spans="1:35" ht="22.5" outlineLevel="2" x14ac:dyDescent="0.2">
      <c r="A21" s="636" t="s">
        <v>75</v>
      </c>
      <c r="B21" s="636" t="s">
        <v>77</v>
      </c>
      <c r="C21" s="887"/>
      <c r="D21" s="1161"/>
      <c r="E21" s="1161"/>
      <c r="F21" s="887"/>
      <c r="G21" s="1441">
        <v>1</v>
      </c>
      <c r="H21" s="1441">
        <v>3</v>
      </c>
      <c r="I21" s="1441"/>
      <c r="J21" s="1443" t="s">
        <v>2964</v>
      </c>
      <c r="K21" s="1441"/>
      <c r="L21" s="1441"/>
      <c r="M21" s="897"/>
      <c r="AA21">
        <f>IF(AND('03 Loc'!C21&gt;Tmin, NOT('03 Loc'!$I21="")),'03 Loc'!$I21,0)</f>
        <v>0</v>
      </c>
      <c r="AB21">
        <f>IF(AND('03 Loc'!D21&gt;Tmin, NOT('03 Loc'!$I21="")),'03 Loc'!$I21,0)</f>
        <v>0</v>
      </c>
      <c r="AC21">
        <f>IF(AND('03 Loc'!E21&gt;Tmin, NOT('03 Loc'!$I21="")),'03 Loc'!$I21,0)</f>
        <v>0</v>
      </c>
      <c r="AD21">
        <f>IF(AND('03 Loc'!F21&gt;Tmin, NOT('03 Loc'!$I21="")),'03 Loc'!$I21,0)</f>
        <v>0</v>
      </c>
      <c r="AE21">
        <f>IF(AND('03 Loc'!C21&lt;Tmax, NOT('03 Loc'!$H21="")),'03 Loc'!$H21,4)</f>
        <v>3</v>
      </c>
      <c r="AF21">
        <f>IF(AND('03 Loc'!D21&lt;Tmax, NOT('03 Loc'!$H21="")),'03 Loc'!$H21,4)</f>
        <v>3</v>
      </c>
      <c r="AG21">
        <f>IF(AND('03 Loc'!E21&lt;Tmax, NOT('03 Loc'!$H21="")),'03 Loc'!$H21,4)</f>
        <v>3</v>
      </c>
      <c r="AH21">
        <f>IF(AND('03 Loc'!F21&lt;Tmax, NOT('03 Loc'!$H21="")),'03 Loc'!$H21,4)</f>
        <v>3</v>
      </c>
      <c r="AI21"/>
    </row>
    <row r="22" spans="1:35" outlineLevel="2" x14ac:dyDescent="0.2">
      <c r="A22" s="636" t="s">
        <v>2369</v>
      </c>
      <c r="B22" s="636" t="s">
        <v>1649</v>
      </c>
      <c r="C22" s="887"/>
      <c r="D22" s="887"/>
      <c r="E22" s="887"/>
      <c r="F22" s="887"/>
      <c r="G22" s="1441">
        <v>4</v>
      </c>
      <c r="H22" s="1441"/>
      <c r="I22" s="1441"/>
      <c r="J22" s="1443" t="s">
        <v>1592</v>
      </c>
      <c r="K22" s="1441"/>
      <c r="L22" s="1441"/>
      <c r="M22" s="897"/>
      <c r="AA22">
        <f>IF(AND('03 Loc'!C22&gt;Tmin, NOT('03 Loc'!$I22="")),'03 Loc'!$I22,0)</f>
        <v>0</v>
      </c>
      <c r="AB22">
        <f>IF(AND('03 Loc'!D22&gt;Tmin, NOT('03 Loc'!$I22="")),'03 Loc'!$I22,0)</f>
        <v>0</v>
      </c>
      <c r="AC22">
        <f>IF(AND('03 Loc'!E22&gt;Tmin, NOT('03 Loc'!$I22="")),'03 Loc'!$I22,0)</f>
        <v>0</v>
      </c>
      <c r="AD22">
        <f>IF(AND('03 Loc'!F22&gt;Tmin, NOT('03 Loc'!$I22="")),'03 Loc'!$I22,0)</f>
        <v>0</v>
      </c>
      <c r="AE22">
        <f>IF(AND('03 Loc'!C22&lt;Tmax, NOT('03 Loc'!$H22="")),'03 Loc'!$H22,4)</f>
        <v>4</v>
      </c>
      <c r="AF22">
        <f>IF(AND('03 Loc'!D22&lt;Tmax, NOT('03 Loc'!$H22="")),'03 Loc'!$H22,4)</f>
        <v>4</v>
      </c>
      <c r="AG22">
        <f>IF(AND('03 Loc'!E22&lt;Tmax, NOT('03 Loc'!$H22="")),'03 Loc'!$H22,4)</f>
        <v>4</v>
      </c>
      <c r="AH22">
        <f>IF(AND('03 Loc'!F22&lt;Tmax, NOT('03 Loc'!$H22="")),'03 Loc'!$H22,4)</f>
        <v>4</v>
      </c>
      <c r="AI22"/>
    </row>
    <row r="23" spans="1:35" ht="22.5" outlineLevel="2" x14ac:dyDescent="0.2">
      <c r="A23" s="636" t="s">
        <v>2370</v>
      </c>
      <c r="B23" s="636" t="s">
        <v>1030</v>
      </c>
      <c r="C23" s="887"/>
      <c r="D23" s="887"/>
      <c r="E23" s="887"/>
      <c r="F23" s="887"/>
      <c r="G23" s="1441">
        <v>2</v>
      </c>
      <c r="H23" s="1441">
        <v>2</v>
      </c>
      <c r="I23" s="1441"/>
      <c r="J23" s="1443" t="s">
        <v>2349</v>
      </c>
      <c r="K23" s="1441"/>
      <c r="L23" s="1441"/>
      <c r="M23" s="897"/>
      <c r="AA23">
        <f>IF(AND('03 Loc'!C23&gt;Tmin, NOT('03 Loc'!$I23="")),'03 Loc'!$I23,0)</f>
        <v>0</v>
      </c>
      <c r="AB23">
        <f>IF(AND('03 Loc'!D23&gt;Tmin, NOT('03 Loc'!$I23="")),'03 Loc'!$I23,0)</f>
        <v>0</v>
      </c>
      <c r="AC23">
        <f>IF(AND('03 Loc'!E23&gt;Tmin, NOT('03 Loc'!$I23="")),'03 Loc'!$I23,0)</f>
        <v>0</v>
      </c>
      <c r="AD23">
        <f>IF(AND('03 Loc'!F23&gt;Tmin, NOT('03 Loc'!$I23="")),'03 Loc'!$I23,0)</f>
        <v>0</v>
      </c>
      <c r="AE23">
        <f>IF(AND('03 Loc'!C23&lt;Tmax, NOT('03 Loc'!$H23="")),'03 Loc'!$H23,4)</f>
        <v>2</v>
      </c>
      <c r="AF23">
        <f>IF(AND('03 Loc'!D23&lt;Tmax, NOT('03 Loc'!$H23="")),'03 Loc'!$H23,4)</f>
        <v>2</v>
      </c>
      <c r="AG23">
        <f>IF(AND('03 Loc'!E23&lt;Tmax, NOT('03 Loc'!$H23="")),'03 Loc'!$H23,4)</f>
        <v>2</v>
      </c>
      <c r="AH23">
        <f>IF(AND('03 Loc'!F23&lt;Tmax, NOT('03 Loc'!$H23="")),'03 Loc'!$H23,4)</f>
        <v>2</v>
      </c>
      <c r="AI23"/>
    </row>
    <row r="24" spans="1:35" ht="22.5" outlineLevel="2" x14ac:dyDescent="0.2">
      <c r="A24" s="636" t="s">
        <v>1031</v>
      </c>
      <c r="B24" s="636" t="s">
        <v>1032</v>
      </c>
      <c r="C24" s="887"/>
      <c r="D24" s="887"/>
      <c r="E24" s="887"/>
      <c r="F24" s="887"/>
      <c r="G24" s="1441">
        <v>2</v>
      </c>
      <c r="H24" s="1441">
        <v>3</v>
      </c>
      <c r="I24" s="1441"/>
      <c r="J24" s="1443" t="s">
        <v>2109</v>
      </c>
      <c r="K24" s="1441"/>
      <c r="L24" s="1441"/>
      <c r="M24" s="897"/>
      <c r="AA24">
        <f>IF(AND('03 Loc'!C24&gt;Tmin, NOT('03 Loc'!$I24="")),'03 Loc'!$I24,0)</f>
        <v>0</v>
      </c>
      <c r="AB24">
        <f>IF(AND('03 Loc'!D24&gt;Tmin, NOT('03 Loc'!$I24="")),'03 Loc'!$I24,0)</f>
        <v>0</v>
      </c>
      <c r="AC24">
        <f>IF(AND('03 Loc'!E24&gt;Tmin, NOT('03 Loc'!$I24="")),'03 Loc'!$I24,0)</f>
        <v>0</v>
      </c>
      <c r="AD24">
        <f>IF(AND('03 Loc'!F24&gt;Tmin, NOT('03 Loc'!$I24="")),'03 Loc'!$I24,0)</f>
        <v>0</v>
      </c>
      <c r="AE24">
        <f>IF(AND('03 Loc'!C24&lt;Tmax, NOT('03 Loc'!$H24="")),'03 Loc'!$H24,4)</f>
        <v>3</v>
      </c>
      <c r="AF24">
        <f>IF(AND('03 Loc'!D24&lt;Tmax, NOT('03 Loc'!$H24="")),'03 Loc'!$H24,4)</f>
        <v>3</v>
      </c>
      <c r="AG24">
        <f>IF(AND('03 Loc'!E24&lt;Tmax, NOT('03 Loc'!$H24="")),'03 Loc'!$H24,4)</f>
        <v>3</v>
      </c>
      <c r="AH24">
        <f>IF(AND('03 Loc'!F24&lt;Tmax, NOT('03 Loc'!$H24="")),'03 Loc'!$H24,4)</f>
        <v>3</v>
      </c>
      <c r="AI24"/>
    </row>
    <row r="25" spans="1:35" outlineLevel="1" x14ac:dyDescent="0.2">
      <c r="A25" s="898" t="s">
        <v>2341</v>
      </c>
      <c r="B25" s="899" t="s">
        <v>2342</v>
      </c>
      <c r="C25" s="887"/>
      <c r="D25" s="887"/>
      <c r="E25" s="887"/>
      <c r="F25" s="887"/>
      <c r="G25" s="1441"/>
      <c r="H25" s="1443"/>
      <c r="I25" s="1443"/>
      <c r="J25" s="1443"/>
      <c r="K25" s="1441"/>
      <c r="L25" s="1441"/>
      <c r="M25" s="897"/>
      <c r="AA25"/>
      <c r="AB25"/>
      <c r="AC25"/>
      <c r="AD25"/>
      <c r="AE25"/>
      <c r="AF25"/>
      <c r="AG25"/>
      <c r="AH25"/>
      <c r="AI25"/>
    </row>
    <row r="26" spans="1:35" outlineLevel="2" x14ac:dyDescent="0.2">
      <c r="A26" s="636" t="s">
        <v>1018</v>
      </c>
      <c r="B26" s="636" t="s">
        <v>2043</v>
      </c>
      <c r="C26" s="887"/>
      <c r="D26" s="887"/>
      <c r="E26" s="887"/>
      <c r="F26" s="887"/>
      <c r="G26" s="1441">
        <v>4</v>
      </c>
      <c r="H26" s="1443"/>
      <c r="I26" s="1443"/>
      <c r="J26" s="1443" t="s">
        <v>4246</v>
      </c>
      <c r="K26" s="1441" t="s">
        <v>6814</v>
      </c>
      <c r="L26" s="1441" t="s">
        <v>1019</v>
      </c>
      <c r="M26" s="897"/>
      <c r="AA26">
        <f>IF(AND('03 Loc'!C26&gt;Tmin, NOT('03 Loc'!$I26="")),'03 Loc'!$I26,0)</f>
        <v>0</v>
      </c>
      <c r="AB26">
        <f>IF(AND('03 Loc'!D26&gt;Tmin, NOT('03 Loc'!$I26="")),'03 Loc'!$I26,0)</f>
        <v>0</v>
      </c>
      <c r="AC26">
        <f>IF(AND('03 Loc'!E26&gt;Tmin, NOT('03 Loc'!$I26="")),'03 Loc'!$I26,0)</f>
        <v>0</v>
      </c>
      <c r="AD26">
        <f>IF(AND('03 Loc'!F26&gt;Tmin, NOT('03 Loc'!$I26="")),'03 Loc'!$I26,0)</f>
        <v>0</v>
      </c>
      <c r="AE26">
        <f>IF(AND('03 Loc'!C26&lt;Tmax, NOT('03 Loc'!$H26="")),'03 Loc'!$H26,4)</f>
        <v>4</v>
      </c>
      <c r="AF26">
        <f>IF(AND('03 Loc'!D26&lt;Tmax, NOT('03 Loc'!$H26="")),'03 Loc'!$H26,4)</f>
        <v>4</v>
      </c>
      <c r="AG26">
        <f>IF(AND('03 Loc'!E26&lt;Tmax, NOT('03 Loc'!$H26="")),'03 Loc'!$H26,4)</f>
        <v>4</v>
      </c>
      <c r="AH26">
        <f>IF(AND('03 Loc'!F26&lt;Tmax, NOT('03 Loc'!$H26="")),'03 Loc'!$H26,4)</f>
        <v>4</v>
      </c>
      <c r="AI26"/>
    </row>
    <row r="27" spans="1:35" outlineLevel="2" x14ac:dyDescent="0.2">
      <c r="A27" s="636" t="s">
        <v>1020</v>
      </c>
      <c r="B27" s="636" t="s">
        <v>2397</v>
      </c>
      <c r="C27" s="887"/>
      <c r="D27" s="887"/>
      <c r="E27" s="887"/>
      <c r="F27" s="887"/>
      <c r="G27" s="1441">
        <v>2</v>
      </c>
      <c r="H27" s="1441"/>
      <c r="I27" s="1441"/>
      <c r="J27" s="1441" t="s">
        <v>1592</v>
      </c>
      <c r="K27" s="1441" t="s">
        <v>6814</v>
      </c>
      <c r="L27" s="1441" t="s">
        <v>1019</v>
      </c>
      <c r="M27" s="897"/>
      <c r="AA27">
        <f>IF(AND('03 Loc'!C27&gt;Tmin, NOT('03 Loc'!$I27="")),'03 Loc'!$I27,0)</f>
        <v>0</v>
      </c>
      <c r="AB27">
        <f>IF(AND('03 Loc'!D27&gt;Tmin, NOT('03 Loc'!$I27="")),'03 Loc'!$I27,0)</f>
        <v>0</v>
      </c>
      <c r="AC27">
        <f>IF(AND('03 Loc'!E27&gt;Tmin, NOT('03 Loc'!$I27="")),'03 Loc'!$I27,0)</f>
        <v>0</v>
      </c>
      <c r="AD27">
        <f>IF(AND('03 Loc'!F27&gt;Tmin, NOT('03 Loc'!$I27="")),'03 Loc'!$I27,0)</f>
        <v>0</v>
      </c>
      <c r="AE27">
        <f>IF(AND('03 Loc'!C27&lt;Tmax, NOT('03 Loc'!$H27="")),'03 Loc'!$H27,4)</f>
        <v>4</v>
      </c>
      <c r="AF27">
        <f>IF(AND('03 Loc'!D27&lt;Tmax, NOT('03 Loc'!$H27="")),'03 Loc'!$H27,4)</f>
        <v>4</v>
      </c>
      <c r="AG27">
        <f>IF(AND('03 Loc'!E27&lt;Tmax, NOT('03 Loc'!$H27="")),'03 Loc'!$H27,4)</f>
        <v>4</v>
      </c>
      <c r="AH27">
        <f>IF(AND('03 Loc'!F27&lt;Tmax, NOT('03 Loc'!$H27="")),'03 Loc'!$H27,4)</f>
        <v>4</v>
      </c>
      <c r="AI27"/>
    </row>
    <row r="28" spans="1:35" ht="22.5" outlineLevel="2" x14ac:dyDescent="0.2">
      <c r="A28" s="636" t="s">
        <v>2398</v>
      </c>
      <c r="B28" s="636" t="s">
        <v>1847</v>
      </c>
      <c r="C28" s="887"/>
      <c r="D28" s="887"/>
      <c r="E28" s="887"/>
      <c r="F28" s="887"/>
      <c r="G28" s="1441">
        <v>4</v>
      </c>
      <c r="H28" s="1441"/>
      <c r="I28" s="1441"/>
      <c r="J28" s="1443" t="s">
        <v>1592</v>
      </c>
      <c r="K28" s="1441" t="s">
        <v>6814</v>
      </c>
      <c r="L28" s="1441" t="s">
        <v>1019</v>
      </c>
      <c r="M28" s="897"/>
      <c r="AA28">
        <f>IF(AND('03 Loc'!C28&gt;Tmin, NOT('03 Loc'!$I28="")),'03 Loc'!$I28,0)</f>
        <v>0</v>
      </c>
      <c r="AB28">
        <f>IF(AND('03 Loc'!D28&gt;Tmin, NOT('03 Loc'!$I28="")),'03 Loc'!$I28,0)</f>
        <v>0</v>
      </c>
      <c r="AC28">
        <f>IF(AND('03 Loc'!E28&gt;Tmin, NOT('03 Loc'!$I28="")),'03 Loc'!$I28,0)</f>
        <v>0</v>
      </c>
      <c r="AD28">
        <f>IF(AND('03 Loc'!F28&gt;Tmin, NOT('03 Loc'!$I28="")),'03 Loc'!$I28,0)</f>
        <v>0</v>
      </c>
      <c r="AE28">
        <f>IF(AND('03 Loc'!C28&lt;Tmax, NOT('03 Loc'!$H28="")),'03 Loc'!$H28,4)</f>
        <v>4</v>
      </c>
      <c r="AF28">
        <f>IF(AND('03 Loc'!D28&lt;Tmax, NOT('03 Loc'!$H28="")),'03 Loc'!$H28,4)</f>
        <v>4</v>
      </c>
      <c r="AG28">
        <f>IF(AND('03 Loc'!E28&lt;Tmax, NOT('03 Loc'!$H28="")),'03 Loc'!$H28,4)</f>
        <v>4</v>
      </c>
      <c r="AH28">
        <f>IF(AND('03 Loc'!F28&lt;Tmax, NOT('03 Loc'!$H28="")),'03 Loc'!$H28,4)</f>
        <v>4</v>
      </c>
      <c r="AI28"/>
    </row>
    <row r="29" spans="1:35" outlineLevel="2" x14ac:dyDescent="0.2">
      <c r="A29" s="636" t="s">
        <v>3748</v>
      </c>
      <c r="B29" s="636" t="s">
        <v>3825</v>
      </c>
      <c r="C29" s="887"/>
      <c r="D29" s="887"/>
      <c r="E29" s="887"/>
      <c r="F29" s="887"/>
      <c r="G29" s="1441">
        <v>2</v>
      </c>
      <c r="H29" s="1441"/>
      <c r="I29" s="1441"/>
      <c r="J29" s="1443" t="s">
        <v>4246</v>
      </c>
      <c r="K29" s="1441" t="s">
        <v>6814</v>
      </c>
      <c r="L29" s="1441" t="s">
        <v>1019</v>
      </c>
      <c r="M29" s="897"/>
      <c r="AA29">
        <f>IF(AND('03 Loc'!C29&gt;Tmin, NOT('03 Loc'!$I29="")),'03 Loc'!$I29,0)</f>
        <v>0</v>
      </c>
      <c r="AB29">
        <f>IF(AND('03 Loc'!D29&gt;Tmin, NOT('03 Loc'!$I29="")),'03 Loc'!$I29,0)</f>
        <v>0</v>
      </c>
      <c r="AC29">
        <f>IF(AND('03 Loc'!E29&gt;Tmin, NOT('03 Loc'!$I29="")),'03 Loc'!$I29,0)</f>
        <v>0</v>
      </c>
      <c r="AD29">
        <f>IF(AND('03 Loc'!F29&gt;Tmin, NOT('03 Loc'!$I29="")),'03 Loc'!$I29,0)</f>
        <v>0</v>
      </c>
      <c r="AE29">
        <f>IF(AND('03 Loc'!C29&lt;Tmax, NOT('03 Loc'!$H29="")),'03 Loc'!$H29,4)</f>
        <v>4</v>
      </c>
      <c r="AF29">
        <f>IF(AND('03 Loc'!D29&lt;Tmax, NOT('03 Loc'!$H29="")),'03 Loc'!$H29,4)</f>
        <v>4</v>
      </c>
      <c r="AG29">
        <f>IF(AND('03 Loc'!E29&lt;Tmax, NOT('03 Loc'!$H29="")),'03 Loc'!$H29,4)</f>
        <v>4</v>
      </c>
      <c r="AH29">
        <f>IF(AND('03 Loc'!F29&lt;Tmax, NOT('03 Loc'!$H29="")),'03 Loc'!$H29,4)</f>
        <v>4</v>
      </c>
      <c r="AI29"/>
    </row>
    <row r="30" spans="1:35" outlineLevel="2" x14ac:dyDescent="0.2">
      <c r="A30" s="636" t="s">
        <v>3385</v>
      </c>
      <c r="B30" s="636" t="s">
        <v>3386</v>
      </c>
      <c r="C30" s="887"/>
      <c r="D30" s="887"/>
      <c r="E30" s="887"/>
      <c r="F30" s="887"/>
      <c r="G30" s="1441">
        <v>2</v>
      </c>
      <c r="H30" s="1441">
        <v>3</v>
      </c>
      <c r="I30" s="1441"/>
      <c r="J30" s="1443" t="s">
        <v>2109</v>
      </c>
      <c r="K30" s="1441"/>
      <c r="L30" s="1441"/>
      <c r="M30" s="897"/>
      <c r="AA30">
        <f>IF(AND('03 Loc'!C30&gt;Tmin, NOT('03 Loc'!$I30="")),'03 Loc'!$I30,0)</f>
        <v>0</v>
      </c>
      <c r="AB30">
        <f>IF(AND('03 Loc'!D30&gt;Tmin, NOT('03 Loc'!$I30="")),'03 Loc'!$I30,0)</f>
        <v>0</v>
      </c>
      <c r="AC30">
        <f>IF(AND('03 Loc'!E30&gt;Tmin, NOT('03 Loc'!$I30="")),'03 Loc'!$I30,0)</f>
        <v>0</v>
      </c>
      <c r="AD30">
        <f>IF(AND('03 Loc'!F30&gt;Tmin, NOT('03 Loc'!$I30="")),'03 Loc'!$I30,0)</f>
        <v>0</v>
      </c>
      <c r="AE30">
        <f>IF(AND('03 Loc'!C30&lt;Tmax, NOT('03 Loc'!$H30="")),'03 Loc'!$H30,4)</f>
        <v>3</v>
      </c>
      <c r="AF30">
        <f>IF(AND('03 Loc'!D30&lt;Tmax, NOT('03 Loc'!$H30="")),'03 Loc'!$H30,4)</f>
        <v>3</v>
      </c>
      <c r="AG30">
        <f>IF(AND('03 Loc'!E30&lt;Tmax, NOT('03 Loc'!$H30="")),'03 Loc'!$H30,4)</f>
        <v>3</v>
      </c>
      <c r="AH30">
        <f>IF(AND('03 Loc'!F30&lt;Tmax, NOT('03 Loc'!$H30="")),'03 Loc'!$H30,4)</f>
        <v>3</v>
      </c>
      <c r="AI30"/>
    </row>
    <row r="31" spans="1:35" outlineLevel="2" x14ac:dyDescent="0.2">
      <c r="A31" s="636" t="s">
        <v>3387</v>
      </c>
      <c r="B31" s="636" t="s">
        <v>3388</v>
      </c>
      <c r="C31" s="887"/>
      <c r="D31" s="887"/>
      <c r="E31" s="887"/>
      <c r="F31" s="887"/>
      <c r="G31" s="1441">
        <v>2</v>
      </c>
      <c r="H31" s="1441">
        <v>2</v>
      </c>
      <c r="I31" s="1441"/>
      <c r="J31" s="1443" t="s">
        <v>2109</v>
      </c>
      <c r="K31" s="1441"/>
      <c r="L31" s="1441"/>
      <c r="M31" s="897"/>
      <c r="AA31">
        <f>IF(AND('03 Loc'!C31&gt;Tmin, NOT('03 Loc'!$I31="")),'03 Loc'!$I31,0)</f>
        <v>0</v>
      </c>
      <c r="AB31">
        <f>IF(AND('03 Loc'!D31&gt;Tmin, NOT('03 Loc'!$I31="")),'03 Loc'!$I31,0)</f>
        <v>0</v>
      </c>
      <c r="AC31">
        <f>IF(AND('03 Loc'!E31&gt;Tmin, NOT('03 Loc'!$I31="")),'03 Loc'!$I31,0)</f>
        <v>0</v>
      </c>
      <c r="AD31">
        <f>IF(AND('03 Loc'!F31&gt;Tmin, NOT('03 Loc'!$I31="")),'03 Loc'!$I31,0)</f>
        <v>0</v>
      </c>
      <c r="AE31">
        <f>IF(AND('03 Loc'!C31&lt;Tmax, NOT('03 Loc'!$H31="")),'03 Loc'!$H31,4)</f>
        <v>2</v>
      </c>
      <c r="AF31">
        <f>IF(AND('03 Loc'!D31&lt;Tmax, NOT('03 Loc'!$H31="")),'03 Loc'!$H31,4)</f>
        <v>2</v>
      </c>
      <c r="AG31">
        <f>IF(AND('03 Loc'!E31&lt;Tmax, NOT('03 Loc'!$H31="")),'03 Loc'!$H31,4)</f>
        <v>2</v>
      </c>
      <c r="AH31">
        <f>IF(AND('03 Loc'!F31&lt;Tmax, NOT('03 Loc'!$H31="")),'03 Loc'!$H31,4)</f>
        <v>2</v>
      </c>
      <c r="AI31"/>
    </row>
    <row r="32" spans="1:35" outlineLevel="1" x14ac:dyDescent="0.2">
      <c r="A32" s="898" t="s">
        <v>2343</v>
      </c>
      <c r="B32" s="899" t="s">
        <v>2344</v>
      </c>
      <c r="C32" s="887"/>
      <c r="D32" s="887"/>
      <c r="E32" s="887"/>
      <c r="F32" s="887"/>
      <c r="G32" s="1441"/>
      <c r="H32" s="1443"/>
      <c r="I32" s="1443"/>
      <c r="J32" s="1443"/>
      <c r="K32" s="1441"/>
      <c r="L32" s="1441"/>
      <c r="M32" s="897"/>
      <c r="AA32"/>
      <c r="AB32"/>
      <c r="AC32"/>
      <c r="AD32"/>
      <c r="AE32"/>
      <c r="AF32"/>
      <c r="AG32"/>
      <c r="AH32"/>
      <c r="AI32"/>
    </row>
    <row r="33" spans="1:35" outlineLevel="2" x14ac:dyDescent="0.2">
      <c r="A33" s="636" t="s">
        <v>3389</v>
      </c>
      <c r="B33" s="636" t="s">
        <v>3390</v>
      </c>
      <c r="C33" s="887"/>
      <c r="D33" s="887"/>
      <c r="E33" s="887"/>
      <c r="F33" s="887"/>
      <c r="G33" s="1441">
        <v>4</v>
      </c>
      <c r="H33" s="1441"/>
      <c r="I33" s="1441"/>
      <c r="J33" s="1443" t="s">
        <v>4246</v>
      </c>
      <c r="K33" s="1441"/>
      <c r="L33" s="1441"/>
      <c r="M33" s="897"/>
      <c r="AA33">
        <f>IF(AND('03 Loc'!C33&gt;Tmin, NOT('03 Loc'!$I33="")),'03 Loc'!$I33,0)</f>
        <v>0</v>
      </c>
      <c r="AB33">
        <f>IF(AND('03 Loc'!D33&gt;Tmin, NOT('03 Loc'!$I33="")),'03 Loc'!$I33,0)</f>
        <v>0</v>
      </c>
      <c r="AC33">
        <f>IF(AND('03 Loc'!E33&gt;Tmin, NOT('03 Loc'!$I33="")),'03 Loc'!$I33,0)</f>
        <v>0</v>
      </c>
      <c r="AD33">
        <f>IF(AND('03 Loc'!F33&gt;Tmin, NOT('03 Loc'!$I33="")),'03 Loc'!$I33,0)</f>
        <v>0</v>
      </c>
      <c r="AE33">
        <f>IF(AND('03 Loc'!C33&lt;Tmax, NOT('03 Loc'!$H33="")),'03 Loc'!$H33,4)</f>
        <v>4</v>
      </c>
      <c r="AF33">
        <f>IF(AND('03 Loc'!D33&lt;Tmax, NOT('03 Loc'!$H33="")),'03 Loc'!$H33,4)</f>
        <v>4</v>
      </c>
      <c r="AG33">
        <f>IF(AND('03 Loc'!E33&lt;Tmax, NOT('03 Loc'!$H33="")),'03 Loc'!$H33,4)</f>
        <v>4</v>
      </c>
      <c r="AH33">
        <f>IF(AND('03 Loc'!F33&lt;Tmax, NOT('03 Loc'!$H33="")),'03 Loc'!$H33,4)</f>
        <v>4</v>
      </c>
      <c r="AI33"/>
    </row>
    <row r="34" spans="1:35" ht="22.5" outlineLevel="2" x14ac:dyDescent="0.2">
      <c r="A34" s="636" t="s">
        <v>3391</v>
      </c>
      <c r="B34" s="636" t="s">
        <v>3392</v>
      </c>
      <c r="C34" s="887"/>
      <c r="D34" s="887"/>
      <c r="E34" s="887"/>
      <c r="F34" s="887"/>
      <c r="G34" s="1441">
        <v>4</v>
      </c>
      <c r="H34" s="1441"/>
      <c r="I34" s="1441"/>
      <c r="J34" s="1443" t="s">
        <v>4246</v>
      </c>
      <c r="K34" s="1441"/>
      <c r="L34" s="1441"/>
      <c r="M34" s="897"/>
      <c r="AA34">
        <f>IF(AND('03 Loc'!C34&gt;Tmin, NOT('03 Loc'!$I34="")),'03 Loc'!$I34,0)</f>
        <v>0</v>
      </c>
      <c r="AB34">
        <f>IF(AND('03 Loc'!D34&gt;Tmin, NOT('03 Loc'!$I34="")),'03 Loc'!$I34,0)</f>
        <v>0</v>
      </c>
      <c r="AC34">
        <f>IF(AND('03 Loc'!E34&gt;Tmin, NOT('03 Loc'!$I34="")),'03 Loc'!$I34,0)</f>
        <v>0</v>
      </c>
      <c r="AD34">
        <f>IF(AND('03 Loc'!F34&gt;Tmin, NOT('03 Loc'!$I34="")),'03 Loc'!$I34,0)</f>
        <v>0</v>
      </c>
      <c r="AE34">
        <f>IF(AND('03 Loc'!C34&lt;Tmax, NOT('03 Loc'!$H34="")),'03 Loc'!$H34,4)</f>
        <v>4</v>
      </c>
      <c r="AF34">
        <f>IF(AND('03 Loc'!D34&lt;Tmax, NOT('03 Loc'!$H34="")),'03 Loc'!$H34,4)</f>
        <v>4</v>
      </c>
      <c r="AG34">
        <f>IF(AND('03 Loc'!E34&lt;Tmax, NOT('03 Loc'!$H34="")),'03 Loc'!$H34,4)</f>
        <v>4</v>
      </c>
      <c r="AH34">
        <f>IF(AND('03 Loc'!F34&lt;Tmax, NOT('03 Loc'!$H34="")),'03 Loc'!$H34,4)</f>
        <v>4</v>
      </c>
      <c r="AI34"/>
    </row>
    <row r="35" spans="1:35" outlineLevel="2" x14ac:dyDescent="0.2">
      <c r="A35" s="636" t="s">
        <v>5915</v>
      </c>
      <c r="B35" s="636" t="s">
        <v>5148</v>
      </c>
      <c r="C35" s="887"/>
      <c r="D35" s="887"/>
      <c r="E35" s="887"/>
      <c r="F35" s="887"/>
      <c r="G35" s="1441">
        <v>2</v>
      </c>
      <c r="H35" s="1441">
        <v>3</v>
      </c>
      <c r="I35" s="1441"/>
      <c r="J35" s="1443" t="s">
        <v>2109</v>
      </c>
      <c r="K35" s="1441"/>
      <c r="L35" s="1441"/>
      <c r="M35" s="897"/>
      <c r="AA35">
        <f>IF(AND('03 Loc'!C35&gt;Tmin, NOT('03 Loc'!$I35="")),'03 Loc'!$I35,0)</f>
        <v>0</v>
      </c>
      <c r="AB35">
        <f>IF(AND('03 Loc'!D35&gt;Tmin, NOT('03 Loc'!$I35="")),'03 Loc'!$I35,0)</f>
        <v>0</v>
      </c>
      <c r="AC35">
        <f>IF(AND('03 Loc'!E35&gt;Tmin, NOT('03 Loc'!$I35="")),'03 Loc'!$I35,0)</f>
        <v>0</v>
      </c>
      <c r="AD35">
        <f>IF(AND('03 Loc'!F35&gt;Tmin, NOT('03 Loc'!$I35="")),'03 Loc'!$I35,0)</f>
        <v>0</v>
      </c>
      <c r="AE35">
        <f>IF(AND('03 Loc'!C35&lt;Tmax, NOT('03 Loc'!$H35="")),'03 Loc'!$H35,4)</f>
        <v>3</v>
      </c>
      <c r="AF35">
        <f>IF(AND('03 Loc'!D35&lt;Tmax, NOT('03 Loc'!$H35="")),'03 Loc'!$H35,4)</f>
        <v>3</v>
      </c>
      <c r="AG35">
        <f>IF(AND('03 Loc'!E35&lt;Tmax, NOT('03 Loc'!$H35="")),'03 Loc'!$H35,4)</f>
        <v>3</v>
      </c>
      <c r="AH35">
        <f>IF(AND('03 Loc'!F35&lt;Tmax, NOT('03 Loc'!$H35="")),'03 Loc'!$H35,4)</f>
        <v>3</v>
      </c>
      <c r="AI35"/>
    </row>
    <row r="36" spans="1:35" outlineLevel="1" x14ac:dyDescent="0.2">
      <c r="A36" s="898" t="s">
        <v>1055</v>
      </c>
      <c r="B36" s="899" t="s">
        <v>1441</v>
      </c>
      <c r="C36" s="887"/>
      <c r="D36" s="887"/>
      <c r="E36" s="887"/>
      <c r="F36" s="887"/>
      <c r="G36" s="1441"/>
      <c r="H36" s="1443"/>
      <c r="I36" s="1443"/>
      <c r="J36" s="1443"/>
      <c r="K36" s="1441"/>
      <c r="L36" s="1441"/>
      <c r="M36" s="897"/>
      <c r="AA36"/>
      <c r="AB36"/>
      <c r="AC36"/>
      <c r="AD36"/>
      <c r="AE36"/>
      <c r="AF36"/>
      <c r="AG36"/>
      <c r="AH36"/>
      <c r="AI36"/>
    </row>
    <row r="37" spans="1:35" ht="22.5" outlineLevel="2" x14ac:dyDescent="0.2">
      <c r="A37" s="636" t="s">
        <v>5149</v>
      </c>
      <c r="B37" s="636" t="s">
        <v>1773</v>
      </c>
      <c r="C37" s="887"/>
      <c r="D37" s="887"/>
      <c r="E37" s="887"/>
      <c r="F37" s="887"/>
      <c r="G37" s="1441">
        <v>4</v>
      </c>
      <c r="H37" s="1441"/>
      <c r="I37" s="1441"/>
      <c r="J37" s="1443" t="s">
        <v>1592</v>
      </c>
      <c r="K37" s="1441"/>
      <c r="L37" s="1441" t="s">
        <v>5608</v>
      </c>
      <c r="M37" s="897"/>
      <c r="AA37">
        <f>IF(AND('03 Loc'!C37&gt;Tmin, NOT('03 Loc'!$I37="")),'03 Loc'!$I37,0)</f>
        <v>0</v>
      </c>
      <c r="AB37">
        <f>IF(AND('03 Loc'!D37&gt;Tmin, NOT('03 Loc'!$I37="")),'03 Loc'!$I37,0)</f>
        <v>0</v>
      </c>
      <c r="AC37">
        <f>IF(AND('03 Loc'!E37&gt;Tmin, NOT('03 Loc'!$I37="")),'03 Loc'!$I37,0)</f>
        <v>0</v>
      </c>
      <c r="AD37">
        <f>IF(AND('03 Loc'!F37&gt;Tmin, NOT('03 Loc'!$I37="")),'03 Loc'!$I37,0)</f>
        <v>0</v>
      </c>
      <c r="AE37">
        <f>IF(AND('03 Loc'!C37&lt;Tmax, NOT('03 Loc'!$H37="")),'03 Loc'!$H37,4)</f>
        <v>4</v>
      </c>
      <c r="AF37">
        <f>IF(AND('03 Loc'!D37&lt;Tmax, NOT('03 Loc'!$H37="")),'03 Loc'!$H37,4)</f>
        <v>4</v>
      </c>
      <c r="AG37">
        <f>IF(AND('03 Loc'!E37&lt;Tmax, NOT('03 Loc'!$H37="")),'03 Loc'!$H37,4)</f>
        <v>4</v>
      </c>
      <c r="AH37">
        <f>IF(AND('03 Loc'!F37&lt;Tmax, NOT('03 Loc'!$H37="")),'03 Loc'!$H37,4)</f>
        <v>4</v>
      </c>
      <c r="AI37"/>
    </row>
    <row r="38" spans="1:35" outlineLevel="2" x14ac:dyDescent="0.2">
      <c r="A38" s="636" t="s">
        <v>5150</v>
      </c>
      <c r="B38" s="636" t="s">
        <v>5151</v>
      </c>
      <c r="C38" s="887"/>
      <c r="D38" s="887"/>
      <c r="E38" s="887"/>
      <c r="F38" s="887"/>
      <c r="G38" s="1441">
        <v>4</v>
      </c>
      <c r="H38" s="1441"/>
      <c r="I38" s="1441"/>
      <c r="J38" s="1443" t="s">
        <v>2109</v>
      </c>
      <c r="K38" s="1441"/>
      <c r="L38" s="1441"/>
      <c r="M38" s="897"/>
      <c r="AA38">
        <f>IF(AND('03 Loc'!C38&gt;Tmin, NOT('03 Loc'!$I38="")),'03 Loc'!$I38,0)</f>
        <v>0</v>
      </c>
      <c r="AB38">
        <f>IF(AND('03 Loc'!D38&gt;Tmin, NOT('03 Loc'!$I38="")),'03 Loc'!$I38,0)</f>
        <v>0</v>
      </c>
      <c r="AC38">
        <f>IF(AND('03 Loc'!E38&gt;Tmin, NOT('03 Loc'!$I38="")),'03 Loc'!$I38,0)</f>
        <v>0</v>
      </c>
      <c r="AD38">
        <f>IF(AND('03 Loc'!F38&gt;Tmin, NOT('03 Loc'!$I38="")),'03 Loc'!$I38,0)</f>
        <v>0</v>
      </c>
      <c r="AE38">
        <f>IF(AND('03 Loc'!C38&lt;Tmax, NOT('03 Loc'!$H38="")),'03 Loc'!$H38,4)</f>
        <v>4</v>
      </c>
      <c r="AF38">
        <f>IF(AND('03 Loc'!D38&lt;Tmax, NOT('03 Loc'!$H38="")),'03 Loc'!$H38,4)</f>
        <v>4</v>
      </c>
      <c r="AG38">
        <f>IF(AND('03 Loc'!E38&lt;Tmax, NOT('03 Loc'!$H38="")),'03 Loc'!$H38,4)</f>
        <v>4</v>
      </c>
      <c r="AH38">
        <f>IF(AND('03 Loc'!F38&lt;Tmax, NOT('03 Loc'!$H38="")),'03 Loc'!$H38,4)</f>
        <v>4</v>
      </c>
      <c r="AI38"/>
    </row>
    <row r="39" spans="1:35" ht="22.5" outlineLevel="2" x14ac:dyDescent="0.2">
      <c r="A39" s="636" t="s">
        <v>5152</v>
      </c>
      <c r="B39" s="636" t="s">
        <v>5887</v>
      </c>
      <c r="C39" s="887"/>
      <c r="D39" s="887"/>
      <c r="E39" s="887"/>
      <c r="F39" s="887"/>
      <c r="G39" s="1441">
        <v>4</v>
      </c>
      <c r="H39" s="1441"/>
      <c r="I39" s="1441"/>
      <c r="J39" s="1443" t="s">
        <v>1592</v>
      </c>
      <c r="K39" s="1441"/>
      <c r="L39" s="1441"/>
      <c r="M39" s="897"/>
      <c r="AA39">
        <f>IF(AND('03 Loc'!C39&gt;Tmin, NOT('03 Loc'!$I39="")),'03 Loc'!$I39,0)</f>
        <v>0</v>
      </c>
      <c r="AB39">
        <f>IF(AND('03 Loc'!D39&gt;Tmin, NOT('03 Loc'!$I39="")),'03 Loc'!$I39,0)</f>
        <v>0</v>
      </c>
      <c r="AC39">
        <f>IF(AND('03 Loc'!E39&gt;Tmin, NOT('03 Loc'!$I39="")),'03 Loc'!$I39,0)</f>
        <v>0</v>
      </c>
      <c r="AD39">
        <f>IF(AND('03 Loc'!F39&gt;Tmin, NOT('03 Loc'!$I39="")),'03 Loc'!$I39,0)</f>
        <v>0</v>
      </c>
      <c r="AE39">
        <f>IF(AND('03 Loc'!C39&lt;Tmax, NOT('03 Loc'!$H39="")),'03 Loc'!$H39,4)</f>
        <v>4</v>
      </c>
      <c r="AF39">
        <f>IF(AND('03 Loc'!D39&lt;Tmax, NOT('03 Loc'!$H39="")),'03 Loc'!$H39,4)</f>
        <v>4</v>
      </c>
      <c r="AG39">
        <f>IF(AND('03 Loc'!E39&lt;Tmax, NOT('03 Loc'!$H39="")),'03 Loc'!$H39,4)</f>
        <v>4</v>
      </c>
      <c r="AH39">
        <f>IF(AND('03 Loc'!F39&lt;Tmax, NOT('03 Loc'!$H39="")),'03 Loc'!$H39,4)</f>
        <v>4</v>
      </c>
      <c r="AI39"/>
    </row>
    <row r="40" spans="1:35" ht="22.5" outlineLevel="2" x14ac:dyDescent="0.2">
      <c r="A40" s="636" t="s">
        <v>5888</v>
      </c>
      <c r="B40" s="636" t="s">
        <v>5863</v>
      </c>
      <c r="C40" s="887"/>
      <c r="D40" s="887"/>
      <c r="E40" s="887"/>
      <c r="F40" s="887"/>
      <c r="G40" s="1441">
        <v>2</v>
      </c>
      <c r="H40" s="1441">
        <v>2</v>
      </c>
      <c r="I40" s="1441"/>
      <c r="J40" s="1443" t="s">
        <v>2349</v>
      </c>
      <c r="K40" s="1441"/>
      <c r="L40" s="1441"/>
      <c r="M40" s="897"/>
      <c r="AA40">
        <f>IF(AND('03 Loc'!C40&gt;Tmin, NOT('03 Loc'!$I40="")),'03 Loc'!$I40,0)</f>
        <v>0</v>
      </c>
      <c r="AB40">
        <f>IF(AND('03 Loc'!D40&gt;Tmin, NOT('03 Loc'!$I40="")),'03 Loc'!$I40,0)</f>
        <v>0</v>
      </c>
      <c r="AC40">
        <f>IF(AND('03 Loc'!E40&gt;Tmin, NOT('03 Loc'!$I40="")),'03 Loc'!$I40,0)</f>
        <v>0</v>
      </c>
      <c r="AD40">
        <f>IF(AND('03 Loc'!F40&gt;Tmin, NOT('03 Loc'!$I40="")),'03 Loc'!$I40,0)</f>
        <v>0</v>
      </c>
      <c r="AE40">
        <f>IF(AND('03 Loc'!C40&lt;Tmax, NOT('03 Loc'!$H40="")),'03 Loc'!$H40,4)</f>
        <v>2</v>
      </c>
      <c r="AF40">
        <f>IF(AND('03 Loc'!D40&lt;Tmax, NOT('03 Loc'!$H40="")),'03 Loc'!$H40,4)</f>
        <v>2</v>
      </c>
      <c r="AG40">
        <f>IF(AND('03 Loc'!E40&lt;Tmax, NOT('03 Loc'!$H40="")),'03 Loc'!$H40,4)</f>
        <v>2</v>
      </c>
      <c r="AH40">
        <f>IF(AND('03 Loc'!F40&lt;Tmax, NOT('03 Loc'!$H40="")),'03 Loc'!$H40,4)</f>
        <v>2</v>
      </c>
      <c r="AI40"/>
    </row>
    <row r="41" spans="1:35" ht="22.5" outlineLevel="2" x14ac:dyDescent="0.2">
      <c r="A41" s="636" t="s">
        <v>5102</v>
      </c>
      <c r="B41" s="636" t="s">
        <v>5103</v>
      </c>
      <c r="C41" s="887"/>
      <c r="D41" s="887"/>
      <c r="E41" s="887"/>
      <c r="F41" s="887"/>
      <c r="G41" s="1441">
        <v>2</v>
      </c>
      <c r="H41" s="1441">
        <v>3</v>
      </c>
      <c r="I41" s="1441"/>
      <c r="J41" s="1443" t="s">
        <v>2109</v>
      </c>
      <c r="K41" s="1441"/>
      <c r="L41" s="1441"/>
      <c r="M41" s="897"/>
      <c r="AA41">
        <f>IF(AND('03 Loc'!C41&gt;Tmin, NOT('03 Loc'!$I41="")),'03 Loc'!$I41,0)</f>
        <v>0</v>
      </c>
      <c r="AB41">
        <f>IF(AND('03 Loc'!D41&gt;Tmin, NOT('03 Loc'!$I41="")),'03 Loc'!$I41,0)</f>
        <v>0</v>
      </c>
      <c r="AC41">
        <f>IF(AND('03 Loc'!E41&gt;Tmin, NOT('03 Loc'!$I41="")),'03 Loc'!$I41,0)</f>
        <v>0</v>
      </c>
      <c r="AD41">
        <f>IF(AND('03 Loc'!F41&gt;Tmin, NOT('03 Loc'!$I41="")),'03 Loc'!$I41,0)</f>
        <v>0</v>
      </c>
      <c r="AE41">
        <f>IF(AND('03 Loc'!C41&lt;Tmax, NOT('03 Loc'!$H41="")),'03 Loc'!$H41,4)</f>
        <v>3</v>
      </c>
      <c r="AF41">
        <f>IF(AND('03 Loc'!D41&lt;Tmax, NOT('03 Loc'!$H41="")),'03 Loc'!$H41,4)</f>
        <v>3</v>
      </c>
      <c r="AG41">
        <f>IF(AND('03 Loc'!E41&lt;Tmax, NOT('03 Loc'!$H41="")),'03 Loc'!$H41,4)</f>
        <v>3</v>
      </c>
      <c r="AH41">
        <f>IF(AND('03 Loc'!F41&lt;Tmax, NOT('03 Loc'!$H41="")),'03 Loc'!$H41,4)</f>
        <v>3</v>
      </c>
      <c r="AI41"/>
    </row>
    <row r="42" spans="1:35" x14ac:dyDescent="0.2">
      <c r="A42" s="644" t="s">
        <v>5104</v>
      </c>
      <c r="B42" s="644" t="s">
        <v>5105</v>
      </c>
      <c r="C42" s="887"/>
      <c r="D42" s="887"/>
      <c r="E42" s="887"/>
      <c r="F42" s="887"/>
      <c r="G42" s="1441"/>
      <c r="H42" s="1441"/>
      <c r="I42" s="1441"/>
      <c r="J42" s="1443"/>
      <c r="K42" s="1441"/>
      <c r="L42" s="1441"/>
      <c r="M42" s="897"/>
      <c r="AA42"/>
      <c r="AB42"/>
      <c r="AC42"/>
      <c r="AD42"/>
      <c r="AE42"/>
      <c r="AF42"/>
      <c r="AG42"/>
      <c r="AH42"/>
      <c r="AI42"/>
    </row>
    <row r="43" spans="1:35" outlineLevel="1" x14ac:dyDescent="0.2">
      <c r="A43" s="898" t="s">
        <v>3354</v>
      </c>
      <c r="B43" s="899" t="s">
        <v>3355</v>
      </c>
      <c r="C43" s="887"/>
      <c r="D43" s="887"/>
      <c r="E43" s="887"/>
      <c r="F43" s="887"/>
      <c r="G43" s="1442"/>
      <c r="H43" s="1442"/>
      <c r="I43" s="1442"/>
      <c r="J43" s="1443"/>
      <c r="K43" s="1441"/>
      <c r="L43" s="1441"/>
      <c r="M43" s="897"/>
      <c r="AA43"/>
      <c r="AB43"/>
      <c r="AC43"/>
      <c r="AD43"/>
      <c r="AE43"/>
      <c r="AF43"/>
      <c r="AG43"/>
      <c r="AH43"/>
      <c r="AI43"/>
    </row>
    <row r="44" spans="1:35" ht="56.25" outlineLevel="2" x14ac:dyDescent="0.2">
      <c r="A44" s="636" t="s">
        <v>5106</v>
      </c>
      <c r="B44" s="636" t="s">
        <v>4000</v>
      </c>
      <c r="C44" s="887"/>
      <c r="D44" s="887"/>
      <c r="E44" s="887"/>
      <c r="F44" s="887"/>
      <c r="G44" s="1441">
        <v>4</v>
      </c>
      <c r="H44" s="1441">
        <v>2</v>
      </c>
      <c r="I44" s="1441">
        <v>2</v>
      </c>
      <c r="J44" s="1443" t="s">
        <v>4246</v>
      </c>
      <c r="K44" s="1441" t="s">
        <v>6907</v>
      </c>
      <c r="L44" s="1441" t="s">
        <v>5107</v>
      </c>
      <c r="M44" s="897"/>
      <c r="AA44">
        <f>IF(AND('03 Loc'!C44&gt;Tmin, NOT('03 Loc'!$I44="")),'03 Loc'!$I44,0)</f>
        <v>0</v>
      </c>
      <c r="AB44">
        <f>IF(AND('03 Loc'!D44&gt;Tmin, NOT('03 Loc'!$I44="")),'03 Loc'!$I44,0)</f>
        <v>0</v>
      </c>
      <c r="AC44">
        <f>IF(AND('03 Loc'!E44&gt;Tmin, NOT('03 Loc'!$I44="")),'03 Loc'!$I44,0)</f>
        <v>0</v>
      </c>
      <c r="AD44">
        <f>IF(AND('03 Loc'!F44&gt;Tmin, NOT('03 Loc'!$I44="")),'03 Loc'!$I44,0)</f>
        <v>0</v>
      </c>
      <c r="AE44">
        <f>IF(AND('03 Loc'!C44&lt;Tmax, NOT('03 Loc'!$H44="")),'03 Loc'!$H44,4)</f>
        <v>2</v>
      </c>
      <c r="AF44">
        <f>IF(AND('03 Loc'!D44&lt;Tmax, NOT('03 Loc'!$H44="")),'03 Loc'!$H44,4)</f>
        <v>2</v>
      </c>
      <c r="AG44">
        <f>IF(AND('03 Loc'!E44&lt;Tmax, NOT('03 Loc'!$H44="")),'03 Loc'!$H44,4)</f>
        <v>2</v>
      </c>
      <c r="AH44">
        <f>IF(AND('03 Loc'!F44&lt;Tmax, NOT('03 Loc'!$H44="")),'03 Loc'!$H44,4)</f>
        <v>2</v>
      </c>
      <c r="AI44"/>
    </row>
    <row r="45" spans="1:35" outlineLevel="2" x14ac:dyDescent="0.2">
      <c r="A45" s="636" t="s">
        <v>5108</v>
      </c>
      <c r="B45" s="636" t="s">
        <v>5109</v>
      </c>
      <c r="C45" s="887"/>
      <c r="D45" s="887"/>
      <c r="E45" s="887"/>
      <c r="F45" s="887"/>
      <c r="G45" s="1441">
        <v>4</v>
      </c>
      <c r="H45" s="1441"/>
      <c r="I45" s="1441"/>
      <c r="J45" s="1443" t="s">
        <v>1592</v>
      </c>
      <c r="K45" s="1441"/>
      <c r="L45" s="1441"/>
      <c r="M45" s="897"/>
      <c r="AA45">
        <f>IF(AND('03 Loc'!C45&gt;Tmin, NOT('03 Loc'!$I45="")),'03 Loc'!$I45,0)</f>
        <v>0</v>
      </c>
      <c r="AB45">
        <f>IF(AND('03 Loc'!D45&gt;Tmin, NOT('03 Loc'!$I45="")),'03 Loc'!$I45,0)</f>
        <v>0</v>
      </c>
      <c r="AC45">
        <f>IF(AND('03 Loc'!E45&gt;Tmin, NOT('03 Loc'!$I45="")),'03 Loc'!$I45,0)</f>
        <v>0</v>
      </c>
      <c r="AD45">
        <f>IF(AND('03 Loc'!F45&gt;Tmin, NOT('03 Loc'!$I45="")),'03 Loc'!$I45,0)</f>
        <v>0</v>
      </c>
      <c r="AE45">
        <f>IF(AND('03 Loc'!C45&lt;Tmax, NOT('03 Loc'!$H45="")),'03 Loc'!$H45,4)</f>
        <v>4</v>
      </c>
      <c r="AF45">
        <f>IF(AND('03 Loc'!D45&lt;Tmax, NOT('03 Loc'!$H45="")),'03 Loc'!$H45,4)</f>
        <v>4</v>
      </c>
      <c r="AG45">
        <f>IF(AND('03 Loc'!E45&lt;Tmax, NOT('03 Loc'!$H45="")),'03 Loc'!$H45,4)</f>
        <v>4</v>
      </c>
      <c r="AH45">
        <f>IF(AND('03 Loc'!F45&lt;Tmax, NOT('03 Loc'!$H45="")),'03 Loc'!$H45,4)</f>
        <v>4</v>
      </c>
      <c r="AI45"/>
    </row>
    <row r="46" spans="1:35" ht="22.5" outlineLevel="2" x14ac:dyDescent="0.2">
      <c r="A46" s="636" t="s">
        <v>6693</v>
      </c>
      <c r="B46" s="636" t="s">
        <v>1160</v>
      </c>
      <c r="C46" s="887"/>
      <c r="D46" s="887"/>
      <c r="E46" s="887"/>
      <c r="F46" s="887"/>
      <c r="G46" s="1441">
        <v>4</v>
      </c>
      <c r="H46" s="1441"/>
      <c r="I46" s="1441"/>
      <c r="J46" s="1443" t="s">
        <v>4246</v>
      </c>
      <c r="K46" s="1441"/>
      <c r="L46" s="1441"/>
      <c r="M46" s="897"/>
      <c r="AA46">
        <f>IF(AND('03 Loc'!C46&gt;Tmin, NOT('03 Loc'!$I46="")),'03 Loc'!$I46,0)</f>
        <v>0</v>
      </c>
      <c r="AB46">
        <f>IF(AND('03 Loc'!D46&gt;Tmin, NOT('03 Loc'!$I46="")),'03 Loc'!$I46,0)</f>
        <v>0</v>
      </c>
      <c r="AC46">
        <f>IF(AND('03 Loc'!E46&gt;Tmin, NOT('03 Loc'!$I46="")),'03 Loc'!$I46,0)</f>
        <v>0</v>
      </c>
      <c r="AD46">
        <f>IF(AND('03 Loc'!F46&gt;Tmin, NOT('03 Loc'!$I46="")),'03 Loc'!$I46,0)</f>
        <v>0</v>
      </c>
      <c r="AE46">
        <f>IF(AND('03 Loc'!C46&lt;Tmax, NOT('03 Loc'!$H46="")),'03 Loc'!$H46,4)</f>
        <v>4</v>
      </c>
      <c r="AF46">
        <f>IF(AND('03 Loc'!D46&lt;Tmax, NOT('03 Loc'!$H46="")),'03 Loc'!$H46,4)</f>
        <v>4</v>
      </c>
      <c r="AG46">
        <f>IF(AND('03 Loc'!E46&lt;Tmax, NOT('03 Loc'!$H46="")),'03 Loc'!$H46,4)</f>
        <v>4</v>
      </c>
      <c r="AH46">
        <f>IF(AND('03 Loc'!F46&lt;Tmax, NOT('03 Loc'!$H46="")),'03 Loc'!$H46,4)</f>
        <v>4</v>
      </c>
      <c r="AI46"/>
    </row>
    <row r="47" spans="1:35" outlineLevel="2" x14ac:dyDescent="0.2">
      <c r="A47" s="636" t="s">
        <v>6694</v>
      </c>
      <c r="B47" s="636" t="s">
        <v>2111</v>
      </c>
      <c r="C47" s="887"/>
      <c r="D47" s="887"/>
      <c r="E47" s="887"/>
      <c r="F47" s="887"/>
      <c r="G47" s="1441">
        <v>4</v>
      </c>
      <c r="H47" s="1441">
        <v>2</v>
      </c>
      <c r="I47" s="1441"/>
      <c r="J47" s="1443" t="s">
        <v>1592</v>
      </c>
      <c r="K47" s="1441"/>
      <c r="L47" s="1441"/>
      <c r="M47" s="897"/>
      <c r="AA47">
        <f>IF(AND('03 Loc'!C47&gt;Tmin, NOT('03 Loc'!$I47="")),'03 Loc'!$I47,0)</f>
        <v>0</v>
      </c>
      <c r="AB47">
        <f>IF(AND('03 Loc'!D47&gt;Tmin, NOT('03 Loc'!$I47="")),'03 Loc'!$I47,0)</f>
        <v>0</v>
      </c>
      <c r="AC47">
        <f>IF(AND('03 Loc'!E47&gt;Tmin, NOT('03 Loc'!$I47="")),'03 Loc'!$I47,0)</f>
        <v>0</v>
      </c>
      <c r="AD47">
        <f>IF(AND('03 Loc'!F47&gt;Tmin, NOT('03 Loc'!$I47="")),'03 Loc'!$I47,0)</f>
        <v>0</v>
      </c>
      <c r="AE47">
        <f>IF(AND('03 Loc'!C47&lt;Tmax, NOT('03 Loc'!$H47="")),'03 Loc'!$H47,4)</f>
        <v>2</v>
      </c>
      <c r="AF47">
        <f>IF(AND('03 Loc'!D47&lt;Tmax, NOT('03 Loc'!$H47="")),'03 Loc'!$H47,4)</f>
        <v>2</v>
      </c>
      <c r="AG47">
        <f>IF(AND('03 Loc'!E47&lt;Tmax, NOT('03 Loc'!$H47="")),'03 Loc'!$H47,4)</f>
        <v>2</v>
      </c>
      <c r="AH47">
        <f>IF(AND('03 Loc'!F47&lt;Tmax, NOT('03 Loc'!$H47="")),'03 Loc'!$H47,4)</f>
        <v>2</v>
      </c>
      <c r="AI47"/>
    </row>
    <row r="48" spans="1:35" ht="22.5" outlineLevel="2" x14ac:dyDescent="0.2">
      <c r="A48" s="636" t="s">
        <v>6695</v>
      </c>
      <c r="B48" s="636" t="s">
        <v>1034</v>
      </c>
      <c r="C48" s="887"/>
      <c r="D48" s="887"/>
      <c r="E48" s="887"/>
      <c r="F48" s="887"/>
      <c r="G48" s="1441">
        <v>4</v>
      </c>
      <c r="H48" s="1441"/>
      <c r="I48" s="1441"/>
      <c r="J48" s="1443" t="s">
        <v>1592</v>
      </c>
      <c r="K48" s="1441"/>
      <c r="L48" s="1441"/>
      <c r="M48" s="897"/>
      <c r="AA48">
        <f>IF(AND('03 Loc'!C48&gt;Tmin, NOT('03 Loc'!$I48="")),'03 Loc'!$I48,0)</f>
        <v>0</v>
      </c>
      <c r="AB48">
        <f>IF(AND('03 Loc'!D48&gt;Tmin, NOT('03 Loc'!$I48="")),'03 Loc'!$I48,0)</f>
        <v>0</v>
      </c>
      <c r="AC48">
        <f>IF(AND('03 Loc'!E48&gt;Tmin, NOT('03 Loc'!$I48="")),'03 Loc'!$I48,0)</f>
        <v>0</v>
      </c>
      <c r="AD48">
        <f>IF(AND('03 Loc'!F48&gt;Tmin, NOT('03 Loc'!$I48="")),'03 Loc'!$I48,0)</f>
        <v>0</v>
      </c>
      <c r="AE48">
        <f>IF(AND('03 Loc'!C48&lt;Tmax, NOT('03 Loc'!$H48="")),'03 Loc'!$H48,4)</f>
        <v>4</v>
      </c>
      <c r="AF48">
        <f>IF(AND('03 Loc'!D48&lt;Tmax, NOT('03 Loc'!$H48="")),'03 Loc'!$H48,4)</f>
        <v>4</v>
      </c>
      <c r="AG48">
        <f>IF(AND('03 Loc'!E48&lt;Tmax, NOT('03 Loc'!$H48="")),'03 Loc'!$H48,4)</f>
        <v>4</v>
      </c>
      <c r="AH48">
        <f>IF(AND('03 Loc'!F48&lt;Tmax, NOT('03 Loc'!$H48="")),'03 Loc'!$H48,4)</f>
        <v>4</v>
      </c>
      <c r="AI48"/>
    </row>
    <row r="49" spans="1:35" ht="22.5" outlineLevel="2" x14ac:dyDescent="0.2">
      <c r="A49" s="636" t="s">
        <v>6696</v>
      </c>
      <c r="B49" s="636" t="s">
        <v>2110</v>
      </c>
      <c r="C49" s="887"/>
      <c r="D49" s="887"/>
      <c r="E49" s="887"/>
      <c r="F49" s="887"/>
      <c r="G49" s="1441">
        <v>1</v>
      </c>
      <c r="H49" s="1441">
        <v>3</v>
      </c>
      <c r="I49" s="1441"/>
      <c r="J49" s="1443" t="s">
        <v>2349</v>
      </c>
      <c r="K49" s="1441"/>
      <c r="L49" s="1441"/>
      <c r="M49" s="897"/>
      <c r="AA49">
        <f>IF(AND('03 Loc'!C49&gt;Tmin, NOT('03 Loc'!$I49="")),'03 Loc'!$I49,0)</f>
        <v>0</v>
      </c>
      <c r="AB49">
        <f>IF(AND('03 Loc'!D49&gt;Tmin, NOT('03 Loc'!$I49="")),'03 Loc'!$I49,0)</f>
        <v>0</v>
      </c>
      <c r="AC49">
        <f>IF(AND('03 Loc'!E49&gt;Tmin, NOT('03 Loc'!$I49="")),'03 Loc'!$I49,0)</f>
        <v>0</v>
      </c>
      <c r="AD49">
        <f>IF(AND('03 Loc'!F49&gt;Tmin, NOT('03 Loc'!$I49="")),'03 Loc'!$I49,0)</f>
        <v>0</v>
      </c>
      <c r="AE49">
        <f>IF(AND('03 Loc'!C49&lt;Tmax, NOT('03 Loc'!$H49="")),'03 Loc'!$H49,4)</f>
        <v>3</v>
      </c>
      <c r="AF49">
        <f>IF(AND('03 Loc'!D49&lt;Tmax, NOT('03 Loc'!$H49="")),'03 Loc'!$H49,4)</f>
        <v>3</v>
      </c>
      <c r="AG49">
        <f>IF(AND('03 Loc'!E49&lt;Tmax, NOT('03 Loc'!$H49="")),'03 Loc'!$H49,4)</f>
        <v>3</v>
      </c>
      <c r="AH49">
        <f>IF(AND('03 Loc'!F49&lt;Tmax, NOT('03 Loc'!$H49="")),'03 Loc'!$H49,4)</f>
        <v>3</v>
      </c>
      <c r="AI49"/>
    </row>
    <row r="50" spans="1:35" ht="22.5" outlineLevel="2" x14ac:dyDescent="0.2">
      <c r="A50" s="636" t="s">
        <v>6697</v>
      </c>
      <c r="B50" s="636" t="s">
        <v>2112</v>
      </c>
      <c r="C50" s="887"/>
      <c r="D50" s="887"/>
      <c r="E50" s="887"/>
      <c r="F50" s="887"/>
      <c r="G50" s="1441">
        <v>1</v>
      </c>
      <c r="H50" s="1441">
        <v>3</v>
      </c>
      <c r="I50" s="1441"/>
      <c r="J50" s="1443" t="s">
        <v>2109</v>
      </c>
      <c r="K50" s="1441" t="s">
        <v>6907</v>
      </c>
      <c r="L50" s="1441" t="s">
        <v>5107</v>
      </c>
      <c r="M50" s="897"/>
      <c r="AA50">
        <f>IF(AND('03 Loc'!C50&gt;Tmin, NOT('03 Loc'!$I50="")),'03 Loc'!$I50,0)</f>
        <v>0</v>
      </c>
      <c r="AB50">
        <f>IF(AND('03 Loc'!D50&gt;Tmin, NOT('03 Loc'!$I50="")),'03 Loc'!$I50,0)</f>
        <v>0</v>
      </c>
      <c r="AC50">
        <f>IF(AND('03 Loc'!E50&gt;Tmin, NOT('03 Loc'!$I50="")),'03 Loc'!$I50,0)</f>
        <v>0</v>
      </c>
      <c r="AD50">
        <f>IF(AND('03 Loc'!F50&gt;Tmin, NOT('03 Loc'!$I50="")),'03 Loc'!$I50,0)</f>
        <v>0</v>
      </c>
      <c r="AE50">
        <f>IF(AND('03 Loc'!C50&lt;Tmax, NOT('03 Loc'!$H50="")),'03 Loc'!$H50,4)</f>
        <v>3</v>
      </c>
      <c r="AF50">
        <f>IF(AND('03 Loc'!D50&lt;Tmax, NOT('03 Loc'!$H50="")),'03 Loc'!$H50,4)</f>
        <v>3</v>
      </c>
      <c r="AG50">
        <f>IF(AND('03 Loc'!E50&lt;Tmax, NOT('03 Loc'!$H50="")),'03 Loc'!$H50,4)</f>
        <v>3</v>
      </c>
      <c r="AH50">
        <f>IF(AND('03 Loc'!F50&lt;Tmax, NOT('03 Loc'!$H50="")),'03 Loc'!$H50,4)</f>
        <v>3</v>
      </c>
      <c r="AI50"/>
    </row>
    <row r="51" spans="1:35" outlineLevel="1" x14ac:dyDescent="0.2">
      <c r="A51" s="898" t="s">
        <v>3356</v>
      </c>
      <c r="B51" s="899" t="s">
        <v>3251</v>
      </c>
      <c r="C51" s="887"/>
      <c r="D51" s="887"/>
      <c r="E51" s="887"/>
      <c r="F51" s="887"/>
      <c r="G51" s="1441"/>
      <c r="H51" s="1441"/>
      <c r="I51" s="1441"/>
      <c r="J51" s="1443"/>
      <c r="K51" s="1441"/>
      <c r="L51" s="1441"/>
      <c r="M51" s="897"/>
      <c r="AA51"/>
      <c r="AB51"/>
      <c r="AC51"/>
      <c r="AD51"/>
      <c r="AE51"/>
      <c r="AF51"/>
      <c r="AG51"/>
      <c r="AH51"/>
      <c r="AI51"/>
    </row>
    <row r="52" spans="1:35" ht="22.5" outlineLevel="2" x14ac:dyDescent="0.2">
      <c r="A52" s="636" t="s">
        <v>6698</v>
      </c>
      <c r="B52" s="636" t="s">
        <v>6699</v>
      </c>
      <c r="C52" s="887"/>
      <c r="D52" s="887"/>
      <c r="E52" s="887"/>
      <c r="F52" s="887"/>
      <c r="G52" s="1441">
        <v>4</v>
      </c>
      <c r="H52" s="1441">
        <v>2</v>
      </c>
      <c r="I52" s="1441"/>
      <c r="J52" s="1443" t="s">
        <v>4246</v>
      </c>
      <c r="K52" s="1441"/>
      <c r="L52" s="1441"/>
      <c r="M52" s="897"/>
      <c r="AA52">
        <f>IF(AND('03 Loc'!C52&gt;Tmin, NOT('03 Loc'!$I52="")),'03 Loc'!$I52,0)</f>
        <v>0</v>
      </c>
      <c r="AB52">
        <f>IF(AND('03 Loc'!D52&gt;Tmin, NOT('03 Loc'!$I52="")),'03 Loc'!$I52,0)</f>
        <v>0</v>
      </c>
      <c r="AC52">
        <f>IF(AND('03 Loc'!E52&gt;Tmin, NOT('03 Loc'!$I52="")),'03 Loc'!$I52,0)</f>
        <v>0</v>
      </c>
      <c r="AD52">
        <f>IF(AND('03 Loc'!F52&gt;Tmin, NOT('03 Loc'!$I52="")),'03 Loc'!$I52,0)</f>
        <v>0</v>
      </c>
      <c r="AE52">
        <f>IF(AND('03 Loc'!C52&lt;Tmax, NOT('03 Loc'!$H52="")),'03 Loc'!$H52,4)</f>
        <v>2</v>
      </c>
      <c r="AF52">
        <f>IF(AND('03 Loc'!D52&lt;Tmax, NOT('03 Loc'!$H52="")),'03 Loc'!$H52,4)</f>
        <v>2</v>
      </c>
      <c r="AG52">
        <f>IF(AND('03 Loc'!E52&lt;Tmax, NOT('03 Loc'!$H52="")),'03 Loc'!$H52,4)</f>
        <v>2</v>
      </c>
      <c r="AH52">
        <f>IF(AND('03 Loc'!F52&lt;Tmax, NOT('03 Loc'!$H52="")),'03 Loc'!$H52,4)</f>
        <v>2</v>
      </c>
      <c r="AI52"/>
    </row>
    <row r="53" spans="1:35" ht="67.5" outlineLevel="2" x14ac:dyDescent="0.2">
      <c r="A53" s="636" t="s">
        <v>6700</v>
      </c>
      <c r="B53" s="636" t="s">
        <v>1012</v>
      </c>
      <c r="C53" s="887"/>
      <c r="D53" s="887"/>
      <c r="E53" s="887"/>
      <c r="F53" s="887"/>
      <c r="G53" s="1441">
        <v>4</v>
      </c>
      <c r="H53" s="1441">
        <v>2</v>
      </c>
      <c r="I53" s="1441"/>
      <c r="J53" s="1443" t="s">
        <v>1592</v>
      </c>
      <c r="K53" s="1441"/>
      <c r="L53" s="1441"/>
      <c r="M53" s="897"/>
      <c r="AA53">
        <f>IF(AND('03 Loc'!C53&gt;Tmin, NOT('03 Loc'!$I53="")),'03 Loc'!$I53,0)</f>
        <v>0</v>
      </c>
      <c r="AB53">
        <f>IF(AND('03 Loc'!D53&gt;Tmin, NOT('03 Loc'!$I53="")),'03 Loc'!$I53,0)</f>
        <v>0</v>
      </c>
      <c r="AC53">
        <f>IF(AND('03 Loc'!E53&gt;Tmin, NOT('03 Loc'!$I53="")),'03 Loc'!$I53,0)</f>
        <v>0</v>
      </c>
      <c r="AD53">
        <f>IF(AND('03 Loc'!F53&gt;Tmin, NOT('03 Loc'!$I53="")),'03 Loc'!$I53,0)</f>
        <v>0</v>
      </c>
      <c r="AE53">
        <f>IF(AND('03 Loc'!C53&lt;Tmax, NOT('03 Loc'!$H53="")),'03 Loc'!$H53,4)</f>
        <v>2</v>
      </c>
      <c r="AF53">
        <f>IF(AND('03 Loc'!D53&lt;Tmax, NOT('03 Loc'!$H53="")),'03 Loc'!$H53,4)</f>
        <v>2</v>
      </c>
      <c r="AG53">
        <f>IF(AND('03 Loc'!E53&lt;Tmax, NOT('03 Loc'!$H53="")),'03 Loc'!$H53,4)</f>
        <v>2</v>
      </c>
      <c r="AH53">
        <f>IF(AND('03 Loc'!F53&lt;Tmax, NOT('03 Loc'!$H53="")),'03 Loc'!$H53,4)</f>
        <v>2</v>
      </c>
      <c r="AI53"/>
    </row>
    <row r="54" spans="1:35" ht="22.5" outlineLevel="2" x14ac:dyDescent="0.2">
      <c r="A54" s="636" t="s">
        <v>6701</v>
      </c>
      <c r="B54" s="636" t="s">
        <v>6702</v>
      </c>
      <c r="C54" s="887"/>
      <c r="D54" s="887"/>
      <c r="E54" s="887"/>
      <c r="F54" s="887"/>
      <c r="G54" s="1441">
        <v>4</v>
      </c>
      <c r="H54" s="1441"/>
      <c r="I54" s="1441"/>
      <c r="J54" s="1443" t="s">
        <v>1592</v>
      </c>
      <c r="K54" s="1441"/>
      <c r="L54" s="1441"/>
      <c r="M54" s="897"/>
      <c r="AA54">
        <f>IF(AND('03 Loc'!C54&gt;Tmin, NOT('03 Loc'!$I54="")),'03 Loc'!$I54,0)</f>
        <v>0</v>
      </c>
      <c r="AB54">
        <f>IF(AND('03 Loc'!D54&gt;Tmin, NOT('03 Loc'!$I54="")),'03 Loc'!$I54,0)</f>
        <v>0</v>
      </c>
      <c r="AC54">
        <f>IF(AND('03 Loc'!E54&gt;Tmin, NOT('03 Loc'!$I54="")),'03 Loc'!$I54,0)</f>
        <v>0</v>
      </c>
      <c r="AD54">
        <f>IF(AND('03 Loc'!F54&gt;Tmin, NOT('03 Loc'!$I54="")),'03 Loc'!$I54,0)</f>
        <v>0</v>
      </c>
      <c r="AE54">
        <f>IF(AND('03 Loc'!C54&lt;Tmax, NOT('03 Loc'!$H54="")),'03 Loc'!$H54,4)</f>
        <v>4</v>
      </c>
      <c r="AF54">
        <f>IF(AND('03 Loc'!D54&lt;Tmax, NOT('03 Loc'!$H54="")),'03 Loc'!$H54,4)</f>
        <v>4</v>
      </c>
      <c r="AG54">
        <f>IF(AND('03 Loc'!E54&lt;Tmax, NOT('03 Loc'!$H54="")),'03 Loc'!$H54,4)</f>
        <v>4</v>
      </c>
      <c r="AH54">
        <f>IF(AND('03 Loc'!F54&lt;Tmax, NOT('03 Loc'!$H54="")),'03 Loc'!$H54,4)</f>
        <v>4</v>
      </c>
      <c r="AI54"/>
    </row>
    <row r="55" spans="1:35" ht="22.5" outlineLevel="2" x14ac:dyDescent="0.2">
      <c r="A55" s="636" t="s">
        <v>6703</v>
      </c>
      <c r="B55" s="636" t="s">
        <v>2923</v>
      </c>
      <c r="C55" s="887"/>
      <c r="D55" s="887"/>
      <c r="E55" s="887"/>
      <c r="F55" s="887"/>
      <c r="G55" s="1441">
        <v>4</v>
      </c>
      <c r="H55" s="1465"/>
      <c r="I55" s="1465"/>
      <c r="J55" s="1443" t="s">
        <v>1592</v>
      </c>
      <c r="K55" s="1441"/>
      <c r="L55" s="1441"/>
      <c r="M55" s="897"/>
      <c r="AA55">
        <f>IF(AND('03 Loc'!C55&gt;Tmin, NOT('03 Loc'!$I55="")),'03 Loc'!$I55,0)</f>
        <v>0</v>
      </c>
      <c r="AB55">
        <f>IF(AND('03 Loc'!D55&gt;Tmin, NOT('03 Loc'!$I55="")),'03 Loc'!$I55,0)</f>
        <v>0</v>
      </c>
      <c r="AC55">
        <f>IF(AND('03 Loc'!E55&gt;Tmin, NOT('03 Loc'!$I55="")),'03 Loc'!$I55,0)</f>
        <v>0</v>
      </c>
      <c r="AD55">
        <f>IF(AND('03 Loc'!F55&gt;Tmin, NOT('03 Loc'!$I55="")),'03 Loc'!$I55,0)</f>
        <v>0</v>
      </c>
      <c r="AE55">
        <f>IF(AND('03 Loc'!C55&lt;Tmax, NOT('03 Loc'!$H55="")),'03 Loc'!$H55,4)</f>
        <v>4</v>
      </c>
      <c r="AF55">
        <f>IF(AND('03 Loc'!D55&lt;Tmax, NOT('03 Loc'!$H55="")),'03 Loc'!$H55,4)</f>
        <v>4</v>
      </c>
      <c r="AG55">
        <f>IF(AND('03 Loc'!E55&lt;Tmax, NOT('03 Loc'!$H55="")),'03 Loc'!$H55,4)</f>
        <v>4</v>
      </c>
      <c r="AH55">
        <f>IF(AND('03 Loc'!F55&lt;Tmax, NOT('03 Loc'!$H55="")),'03 Loc'!$H55,4)</f>
        <v>4</v>
      </c>
      <c r="AI55"/>
    </row>
    <row r="56" spans="1:35" outlineLevel="2" x14ac:dyDescent="0.2">
      <c r="A56" s="636" t="s">
        <v>2924</v>
      </c>
      <c r="B56" s="636" t="s">
        <v>1297</v>
      </c>
      <c r="C56" s="887"/>
      <c r="D56" s="887"/>
      <c r="E56" s="887"/>
      <c r="F56" s="887"/>
      <c r="G56" s="1441">
        <v>4</v>
      </c>
      <c r="H56" s="1441">
        <v>2</v>
      </c>
      <c r="I56" s="1441"/>
      <c r="J56" s="1443" t="s">
        <v>2329</v>
      </c>
      <c r="K56" s="1441"/>
      <c r="L56" s="1441"/>
      <c r="M56" s="897"/>
      <c r="AA56">
        <f>IF(AND('03 Loc'!C56&gt;Tmin, NOT('03 Loc'!$I56="")),'03 Loc'!$I56,0)</f>
        <v>0</v>
      </c>
      <c r="AB56">
        <f>IF(AND('03 Loc'!D56&gt;Tmin, NOT('03 Loc'!$I56="")),'03 Loc'!$I56,0)</f>
        <v>0</v>
      </c>
      <c r="AC56">
        <f>IF(AND('03 Loc'!E56&gt;Tmin, NOT('03 Loc'!$I56="")),'03 Loc'!$I56,0)</f>
        <v>0</v>
      </c>
      <c r="AD56">
        <f>IF(AND('03 Loc'!F56&gt;Tmin, NOT('03 Loc'!$I56="")),'03 Loc'!$I56,0)</f>
        <v>0</v>
      </c>
      <c r="AE56">
        <f>IF(AND('03 Loc'!C56&lt;Tmax, NOT('03 Loc'!$H56="")),'03 Loc'!$H56,4)</f>
        <v>2</v>
      </c>
      <c r="AF56">
        <f>IF(AND('03 Loc'!D56&lt;Tmax, NOT('03 Loc'!$H56="")),'03 Loc'!$H56,4)</f>
        <v>2</v>
      </c>
      <c r="AG56">
        <f>IF(AND('03 Loc'!E56&lt;Tmax, NOT('03 Loc'!$H56="")),'03 Loc'!$H56,4)</f>
        <v>2</v>
      </c>
      <c r="AH56">
        <f>IF(AND('03 Loc'!F56&lt;Tmax, NOT('03 Loc'!$H56="")),'03 Loc'!$H56,4)</f>
        <v>2</v>
      </c>
      <c r="AI56"/>
    </row>
    <row r="57" spans="1:35" ht="45" outlineLevel="2" x14ac:dyDescent="0.2">
      <c r="A57" s="636" t="s">
        <v>2925</v>
      </c>
      <c r="B57" s="636" t="s">
        <v>2021</v>
      </c>
      <c r="C57" s="887"/>
      <c r="D57" s="887"/>
      <c r="E57" s="887"/>
      <c r="F57" s="887"/>
      <c r="G57" s="1441">
        <v>2</v>
      </c>
      <c r="H57" s="1441">
        <v>2</v>
      </c>
      <c r="I57" s="1441"/>
      <c r="J57" s="1443" t="s">
        <v>1592</v>
      </c>
      <c r="K57" s="1441"/>
      <c r="L57" s="1441"/>
      <c r="M57" s="897"/>
      <c r="AA57">
        <f>IF(AND('03 Loc'!C57&gt;Tmin, NOT('03 Loc'!$I57="")),'03 Loc'!$I57,0)</f>
        <v>0</v>
      </c>
      <c r="AB57">
        <f>IF(AND('03 Loc'!D57&gt;Tmin, NOT('03 Loc'!$I57="")),'03 Loc'!$I57,0)</f>
        <v>0</v>
      </c>
      <c r="AC57">
        <f>IF(AND('03 Loc'!E57&gt;Tmin, NOT('03 Loc'!$I57="")),'03 Loc'!$I57,0)</f>
        <v>0</v>
      </c>
      <c r="AD57">
        <f>IF(AND('03 Loc'!F57&gt;Tmin, NOT('03 Loc'!$I57="")),'03 Loc'!$I57,0)</f>
        <v>0</v>
      </c>
      <c r="AE57">
        <f>IF(AND('03 Loc'!C57&lt;Tmax, NOT('03 Loc'!$H57="")),'03 Loc'!$H57,4)</f>
        <v>2</v>
      </c>
      <c r="AF57">
        <f>IF(AND('03 Loc'!D57&lt;Tmax, NOT('03 Loc'!$H57="")),'03 Loc'!$H57,4)</f>
        <v>2</v>
      </c>
      <c r="AG57">
        <f>IF(AND('03 Loc'!E57&lt;Tmax, NOT('03 Loc'!$H57="")),'03 Loc'!$H57,4)</f>
        <v>2</v>
      </c>
      <c r="AH57">
        <f>IF(AND('03 Loc'!F57&lt;Tmax, NOT('03 Loc'!$H57="")),'03 Loc'!$H57,4)</f>
        <v>2</v>
      </c>
      <c r="AI57"/>
    </row>
    <row r="58" spans="1:35" ht="22.5" outlineLevel="2" x14ac:dyDescent="0.2">
      <c r="A58" s="636" t="s">
        <v>2022</v>
      </c>
      <c r="B58" s="636" t="s">
        <v>9</v>
      </c>
      <c r="C58" s="887"/>
      <c r="D58" s="887"/>
      <c r="E58" s="887"/>
      <c r="F58" s="887"/>
      <c r="G58" s="1441">
        <v>4</v>
      </c>
      <c r="H58" s="1441">
        <v>2</v>
      </c>
      <c r="I58" s="1441"/>
      <c r="J58" s="1443" t="s">
        <v>1592</v>
      </c>
      <c r="K58" s="1441"/>
      <c r="L58" s="1441"/>
      <c r="M58" s="897"/>
      <c r="AA58">
        <f>IF(AND('03 Loc'!C58&gt;Tmin, NOT('03 Loc'!$I58="")),'03 Loc'!$I58,0)</f>
        <v>0</v>
      </c>
      <c r="AB58">
        <f>IF(AND('03 Loc'!D58&gt;Tmin, NOT('03 Loc'!$I58="")),'03 Loc'!$I58,0)</f>
        <v>0</v>
      </c>
      <c r="AC58">
        <f>IF(AND('03 Loc'!E58&gt;Tmin, NOT('03 Loc'!$I58="")),'03 Loc'!$I58,0)</f>
        <v>0</v>
      </c>
      <c r="AD58">
        <f>IF(AND('03 Loc'!F58&gt;Tmin, NOT('03 Loc'!$I58="")),'03 Loc'!$I58,0)</f>
        <v>0</v>
      </c>
      <c r="AE58">
        <f>IF(AND('03 Loc'!C58&lt;Tmax, NOT('03 Loc'!$H58="")),'03 Loc'!$H58,4)</f>
        <v>2</v>
      </c>
      <c r="AF58">
        <f>IF(AND('03 Loc'!D58&lt;Tmax, NOT('03 Loc'!$H58="")),'03 Loc'!$H58,4)</f>
        <v>2</v>
      </c>
      <c r="AG58">
        <f>IF(AND('03 Loc'!E58&lt;Tmax, NOT('03 Loc'!$H58="")),'03 Loc'!$H58,4)</f>
        <v>2</v>
      </c>
      <c r="AH58">
        <f>IF(AND('03 Loc'!F58&lt;Tmax, NOT('03 Loc'!$H58="")),'03 Loc'!$H58,4)</f>
        <v>2</v>
      </c>
      <c r="AI58"/>
    </row>
    <row r="59" spans="1:35" outlineLevel="2" x14ac:dyDescent="0.2">
      <c r="A59" s="636" t="s">
        <v>2023</v>
      </c>
      <c r="B59" s="636" t="s">
        <v>1222</v>
      </c>
      <c r="C59" s="887"/>
      <c r="D59" s="887"/>
      <c r="E59" s="887"/>
      <c r="F59" s="887"/>
      <c r="G59" s="1441">
        <v>1</v>
      </c>
      <c r="H59" s="1441"/>
      <c r="I59" s="1441"/>
      <c r="J59" s="1443" t="s">
        <v>2329</v>
      </c>
      <c r="K59" s="1441" t="s">
        <v>6963</v>
      </c>
      <c r="L59" s="1441" t="s">
        <v>7262</v>
      </c>
      <c r="M59" s="897"/>
      <c r="AA59">
        <f>IF(AND('03 Loc'!C59&gt;Tmin, NOT('03 Loc'!$I59="")),'03 Loc'!$I59,0)</f>
        <v>0</v>
      </c>
      <c r="AB59">
        <f>IF(AND('03 Loc'!D59&gt;Tmin, NOT('03 Loc'!$I59="")),'03 Loc'!$I59,0)</f>
        <v>0</v>
      </c>
      <c r="AC59">
        <f>IF(AND('03 Loc'!E59&gt;Tmin, NOT('03 Loc'!$I59="")),'03 Loc'!$I59,0)</f>
        <v>0</v>
      </c>
      <c r="AD59">
        <f>IF(AND('03 Loc'!F59&gt;Tmin, NOT('03 Loc'!$I59="")),'03 Loc'!$I59,0)</f>
        <v>0</v>
      </c>
      <c r="AE59">
        <f>IF(AND('03 Loc'!C59&lt;Tmax, NOT('03 Loc'!$H59="")),'03 Loc'!$H59,4)</f>
        <v>4</v>
      </c>
      <c r="AF59">
        <f>IF(AND('03 Loc'!D59&lt;Tmax, NOT('03 Loc'!$H59="")),'03 Loc'!$H59,4)</f>
        <v>4</v>
      </c>
      <c r="AG59">
        <f>IF(AND('03 Loc'!E59&lt;Tmax, NOT('03 Loc'!$H59="")),'03 Loc'!$H59,4)</f>
        <v>4</v>
      </c>
      <c r="AH59">
        <f>IF(AND('03 Loc'!F59&lt;Tmax, NOT('03 Loc'!$H59="")),'03 Loc'!$H59,4)</f>
        <v>4</v>
      </c>
      <c r="AI59"/>
    </row>
    <row r="60" spans="1:35" ht="22.5" outlineLevel="2" x14ac:dyDescent="0.2">
      <c r="A60" s="636" t="s">
        <v>1223</v>
      </c>
      <c r="B60" s="636" t="s">
        <v>83</v>
      </c>
      <c r="C60" s="887"/>
      <c r="D60" s="887"/>
      <c r="E60" s="887"/>
      <c r="F60" s="887"/>
      <c r="G60" s="1441">
        <v>1</v>
      </c>
      <c r="H60" s="1441">
        <v>2</v>
      </c>
      <c r="I60" s="1441"/>
      <c r="J60" s="1443" t="s">
        <v>2109</v>
      </c>
      <c r="K60" s="1441"/>
      <c r="L60" s="1441"/>
      <c r="M60" s="897"/>
      <c r="AA60">
        <f>IF(AND('03 Loc'!C60&gt;Tmin, NOT('03 Loc'!$I60="")),'03 Loc'!$I60,0)</f>
        <v>0</v>
      </c>
      <c r="AB60">
        <f>IF(AND('03 Loc'!D60&gt;Tmin, NOT('03 Loc'!$I60="")),'03 Loc'!$I60,0)</f>
        <v>0</v>
      </c>
      <c r="AC60">
        <f>IF(AND('03 Loc'!E60&gt;Tmin, NOT('03 Loc'!$I60="")),'03 Loc'!$I60,0)</f>
        <v>0</v>
      </c>
      <c r="AD60">
        <f>IF(AND('03 Loc'!F60&gt;Tmin, NOT('03 Loc'!$I60="")),'03 Loc'!$I60,0)</f>
        <v>0</v>
      </c>
      <c r="AE60">
        <f>IF(AND('03 Loc'!C60&lt;Tmax, NOT('03 Loc'!$H60="")),'03 Loc'!$H60,4)</f>
        <v>2</v>
      </c>
      <c r="AF60">
        <f>IF(AND('03 Loc'!D60&lt;Tmax, NOT('03 Loc'!$H60="")),'03 Loc'!$H60,4)</f>
        <v>2</v>
      </c>
      <c r="AG60">
        <f>IF(AND('03 Loc'!E60&lt;Tmax, NOT('03 Loc'!$H60="")),'03 Loc'!$H60,4)</f>
        <v>2</v>
      </c>
      <c r="AH60">
        <f>IF(AND('03 Loc'!F60&lt;Tmax, NOT('03 Loc'!$H60="")),'03 Loc'!$H60,4)</f>
        <v>2</v>
      </c>
      <c r="AI60"/>
    </row>
    <row r="61" spans="1:35" ht="22.5" outlineLevel="2" x14ac:dyDescent="0.2">
      <c r="A61" s="636" t="s">
        <v>84</v>
      </c>
      <c r="B61" s="636" t="s">
        <v>1351</v>
      </c>
      <c r="C61" s="887"/>
      <c r="D61" s="887"/>
      <c r="E61" s="887"/>
      <c r="F61" s="887"/>
      <c r="G61" s="1441">
        <v>4</v>
      </c>
      <c r="H61" s="1441"/>
      <c r="I61" s="1441"/>
      <c r="J61" s="1443" t="s">
        <v>2964</v>
      </c>
      <c r="K61" s="1441"/>
      <c r="L61" s="1441"/>
      <c r="M61" s="897"/>
      <c r="AA61">
        <f>IF(AND('03 Loc'!C61&gt;Tmin, NOT('03 Loc'!$I61="")),'03 Loc'!$I61,0)</f>
        <v>0</v>
      </c>
      <c r="AB61">
        <f>IF(AND('03 Loc'!D61&gt;Tmin, NOT('03 Loc'!$I61="")),'03 Loc'!$I61,0)</f>
        <v>0</v>
      </c>
      <c r="AC61">
        <f>IF(AND('03 Loc'!E61&gt;Tmin, NOT('03 Loc'!$I61="")),'03 Loc'!$I61,0)</f>
        <v>0</v>
      </c>
      <c r="AD61">
        <f>IF(AND('03 Loc'!F61&gt;Tmin, NOT('03 Loc'!$I61="")),'03 Loc'!$I61,0)</f>
        <v>0</v>
      </c>
      <c r="AE61">
        <f>IF(AND('03 Loc'!C61&lt;Tmax, NOT('03 Loc'!$H61="")),'03 Loc'!$H61,4)</f>
        <v>4</v>
      </c>
      <c r="AF61">
        <f>IF(AND('03 Loc'!D61&lt;Tmax, NOT('03 Loc'!$H61="")),'03 Loc'!$H61,4)</f>
        <v>4</v>
      </c>
      <c r="AG61">
        <f>IF(AND('03 Loc'!E61&lt;Tmax, NOT('03 Loc'!$H61="")),'03 Loc'!$H61,4)</f>
        <v>4</v>
      </c>
      <c r="AH61">
        <f>IF(AND('03 Loc'!F61&lt;Tmax, NOT('03 Loc'!$H61="")),'03 Loc'!$H61,4)</f>
        <v>4</v>
      </c>
      <c r="AI61"/>
    </row>
    <row r="62" spans="1:35" outlineLevel="1" x14ac:dyDescent="0.2">
      <c r="A62" s="898" t="s">
        <v>3252</v>
      </c>
      <c r="B62" s="899" t="s">
        <v>1352</v>
      </c>
      <c r="C62" s="887"/>
      <c r="D62" s="887"/>
      <c r="E62" s="887"/>
      <c r="F62" s="887"/>
      <c r="G62" s="1441"/>
      <c r="H62" s="1441"/>
      <c r="I62" s="1441"/>
      <c r="J62" s="1443"/>
      <c r="K62" s="1441"/>
      <c r="L62" s="1441"/>
      <c r="M62" s="897"/>
      <c r="AA62"/>
      <c r="AB62"/>
      <c r="AC62"/>
      <c r="AD62"/>
      <c r="AE62"/>
      <c r="AF62"/>
      <c r="AG62"/>
      <c r="AH62"/>
      <c r="AI62"/>
    </row>
    <row r="63" spans="1:35" outlineLevel="2" x14ac:dyDescent="0.2">
      <c r="A63" s="636" t="s">
        <v>1353</v>
      </c>
      <c r="B63" s="636" t="s">
        <v>1306</v>
      </c>
      <c r="C63" s="887"/>
      <c r="D63" s="887"/>
      <c r="E63" s="887"/>
      <c r="F63" s="887"/>
      <c r="G63" s="1441">
        <v>4</v>
      </c>
      <c r="H63" s="1441"/>
      <c r="I63" s="1441"/>
      <c r="J63" s="1443" t="s">
        <v>4246</v>
      </c>
      <c r="K63" s="1441" t="s">
        <v>7104</v>
      </c>
      <c r="L63" s="1441" t="s">
        <v>7263</v>
      </c>
      <c r="M63" s="897"/>
      <c r="AA63">
        <f>IF(AND('03 Loc'!C63&gt;Tmin, NOT('03 Loc'!$I63="")),'03 Loc'!$I63,0)</f>
        <v>0</v>
      </c>
      <c r="AB63">
        <f>IF(AND('03 Loc'!D63&gt;Tmin, NOT('03 Loc'!$I63="")),'03 Loc'!$I63,0)</f>
        <v>0</v>
      </c>
      <c r="AC63">
        <f>IF(AND('03 Loc'!E63&gt;Tmin, NOT('03 Loc'!$I63="")),'03 Loc'!$I63,0)</f>
        <v>0</v>
      </c>
      <c r="AD63">
        <f>IF(AND('03 Loc'!F63&gt;Tmin, NOT('03 Loc'!$I63="")),'03 Loc'!$I63,0)</f>
        <v>0</v>
      </c>
      <c r="AE63">
        <f>IF(AND('03 Loc'!C63&lt;Tmax, NOT('03 Loc'!$H63="")),'03 Loc'!$H63,4)</f>
        <v>4</v>
      </c>
      <c r="AF63">
        <f>IF(AND('03 Loc'!D63&lt;Tmax, NOT('03 Loc'!$H63="")),'03 Loc'!$H63,4)</f>
        <v>4</v>
      </c>
      <c r="AG63">
        <f>IF(AND('03 Loc'!E63&lt;Tmax, NOT('03 Loc'!$H63="")),'03 Loc'!$H63,4)</f>
        <v>4</v>
      </c>
      <c r="AH63">
        <f>IF(AND('03 Loc'!F63&lt;Tmax, NOT('03 Loc'!$H63="")),'03 Loc'!$H63,4)</f>
        <v>4</v>
      </c>
      <c r="AI63"/>
    </row>
    <row r="64" spans="1:35" ht="22.5" outlineLevel="2" x14ac:dyDescent="0.2">
      <c r="A64" s="636" t="s">
        <v>1307</v>
      </c>
      <c r="B64" s="636" t="s">
        <v>10</v>
      </c>
      <c r="C64" s="887"/>
      <c r="D64" s="887"/>
      <c r="E64" s="887"/>
      <c r="F64" s="887"/>
      <c r="G64" s="1441">
        <v>4</v>
      </c>
      <c r="H64" s="1441"/>
      <c r="I64" s="1441">
        <v>3</v>
      </c>
      <c r="J64" s="1443" t="s">
        <v>2329</v>
      </c>
      <c r="K64" s="1441"/>
      <c r="L64" s="1441"/>
      <c r="M64" s="897"/>
      <c r="AA64">
        <f>IF(AND('03 Loc'!C64&gt;Tmin, NOT('03 Loc'!$I64="")),'03 Loc'!$I64,0)</f>
        <v>0</v>
      </c>
      <c r="AB64">
        <f>IF(AND('03 Loc'!D64&gt;Tmin, NOT('03 Loc'!$I64="")),'03 Loc'!$I64,0)</f>
        <v>0</v>
      </c>
      <c r="AC64">
        <f>IF(AND('03 Loc'!E64&gt;Tmin, NOT('03 Loc'!$I64="")),'03 Loc'!$I64,0)</f>
        <v>0</v>
      </c>
      <c r="AD64">
        <f>IF(AND('03 Loc'!F64&gt;Tmin, NOT('03 Loc'!$I64="")),'03 Loc'!$I64,0)</f>
        <v>0</v>
      </c>
      <c r="AE64">
        <f>IF(AND('03 Loc'!C64&lt;Tmax, NOT('03 Loc'!$H64="")),'03 Loc'!$H64,4)</f>
        <v>4</v>
      </c>
      <c r="AF64">
        <f>IF(AND('03 Loc'!D64&lt;Tmax, NOT('03 Loc'!$H64="")),'03 Loc'!$H64,4)</f>
        <v>4</v>
      </c>
      <c r="AG64">
        <f>IF(AND('03 Loc'!E64&lt;Tmax, NOT('03 Loc'!$H64="")),'03 Loc'!$H64,4)</f>
        <v>4</v>
      </c>
      <c r="AH64">
        <f>IF(AND('03 Loc'!F64&lt;Tmax, NOT('03 Loc'!$H64="")),'03 Loc'!$H64,4)</f>
        <v>4</v>
      </c>
      <c r="AI64"/>
    </row>
    <row r="65" spans="1:35" ht="33.75" outlineLevel="2" x14ac:dyDescent="0.2">
      <c r="A65" s="636" t="s">
        <v>1308</v>
      </c>
      <c r="B65" s="636" t="s">
        <v>116</v>
      </c>
      <c r="C65" s="887"/>
      <c r="D65" s="887"/>
      <c r="E65" s="887"/>
      <c r="F65" s="887"/>
      <c r="G65" s="1441">
        <v>4</v>
      </c>
      <c r="H65" s="1465"/>
      <c r="I65" s="1441">
        <v>3</v>
      </c>
      <c r="J65" s="1443" t="s">
        <v>1592</v>
      </c>
      <c r="K65" s="1441"/>
      <c r="L65" s="1441"/>
      <c r="M65" s="897"/>
      <c r="AA65">
        <f>IF(AND('03 Loc'!C65&gt;Tmin, NOT('03 Loc'!$I65="")),'03 Loc'!$I65,0)</f>
        <v>0</v>
      </c>
      <c r="AB65">
        <f>IF(AND('03 Loc'!D65&gt;Tmin, NOT('03 Loc'!$I65="")),'03 Loc'!$I65,0)</f>
        <v>0</v>
      </c>
      <c r="AC65">
        <f>IF(AND('03 Loc'!E65&gt;Tmin, NOT('03 Loc'!$I65="")),'03 Loc'!$I65,0)</f>
        <v>0</v>
      </c>
      <c r="AD65">
        <f>IF(AND('03 Loc'!F65&gt;Tmin, NOT('03 Loc'!$I65="")),'03 Loc'!$I65,0)</f>
        <v>0</v>
      </c>
      <c r="AE65">
        <f>IF(AND('03 Loc'!C65&lt;Tmax, NOT('03 Loc'!$H65="")),'03 Loc'!$H65,4)</f>
        <v>4</v>
      </c>
      <c r="AF65">
        <f>IF(AND('03 Loc'!D65&lt;Tmax, NOT('03 Loc'!$H65="")),'03 Loc'!$H65,4)</f>
        <v>4</v>
      </c>
      <c r="AG65">
        <f>IF(AND('03 Loc'!E65&lt;Tmax, NOT('03 Loc'!$H65="")),'03 Loc'!$H65,4)</f>
        <v>4</v>
      </c>
      <c r="AH65">
        <f>IF(AND('03 Loc'!F65&lt;Tmax, NOT('03 Loc'!$H65="")),'03 Loc'!$H65,4)</f>
        <v>4</v>
      </c>
      <c r="AI65"/>
    </row>
    <row r="66" spans="1:35" ht="33.75" outlineLevel="2" x14ac:dyDescent="0.2">
      <c r="A66" s="636" t="s">
        <v>1309</v>
      </c>
      <c r="B66" s="636" t="s">
        <v>966</v>
      </c>
      <c r="C66" s="887"/>
      <c r="D66" s="887"/>
      <c r="E66" s="887"/>
      <c r="F66" s="887"/>
      <c r="G66" s="1441">
        <v>4</v>
      </c>
      <c r="H66" s="1441">
        <v>3</v>
      </c>
      <c r="I66" s="1441"/>
      <c r="J66" s="1443" t="s">
        <v>1592</v>
      </c>
      <c r="K66" s="1441"/>
      <c r="L66" s="1441"/>
      <c r="M66" s="897"/>
      <c r="AA66">
        <f>IF(AND('03 Loc'!C66&gt;Tmin, NOT('03 Loc'!$I66="")),'03 Loc'!$I66,0)</f>
        <v>0</v>
      </c>
      <c r="AB66">
        <f>IF(AND('03 Loc'!D66&gt;Tmin, NOT('03 Loc'!$I66="")),'03 Loc'!$I66,0)</f>
        <v>0</v>
      </c>
      <c r="AC66">
        <f>IF(AND('03 Loc'!E66&gt;Tmin, NOT('03 Loc'!$I66="")),'03 Loc'!$I66,0)</f>
        <v>0</v>
      </c>
      <c r="AD66">
        <f>IF(AND('03 Loc'!F66&gt;Tmin, NOT('03 Loc'!$I66="")),'03 Loc'!$I66,0)</f>
        <v>0</v>
      </c>
      <c r="AE66">
        <f>IF(AND('03 Loc'!C66&lt;Tmax, NOT('03 Loc'!$H66="")),'03 Loc'!$H66,4)</f>
        <v>3</v>
      </c>
      <c r="AF66">
        <f>IF(AND('03 Loc'!D66&lt;Tmax, NOT('03 Loc'!$H66="")),'03 Loc'!$H66,4)</f>
        <v>3</v>
      </c>
      <c r="AG66">
        <f>IF(AND('03 Loc'!E66&lt;Tmax, NOT('03 Loc'!$H66="")),'03 Loc'!$H66,4)</f>
        <v>3</v>
      </c>
      <c r="AH66">
        <f>IF(AND('03 Loc'!F66&lt;Tmax, NOT('03 Loc'!$H66="")),'03 Loc'!$H66,4)</f>
        <v>3</v>
      </c>
      <c r="AI66"/>
    </row>
    <row r="67" spans="1:35" ht="22.5" outlineLevel="2" x14ac:dyDescent="0.2">
      <c r="A67" s="636" t="s">
        <v>967</v>
      </c>
      <c r="B67" s="636" t="s">
        <v>4699</v>
      </c>
      <c r="C67" s="887"/>
      <c r="D67" s="887"/>
      <c r="E67" s="887"/>
      <c r="F67" s="887"/>
      <c r="G67" s="1441">
        <v>2</v>
      </c>
      <c r="H67" s="1441">
        <v>2</v>
      </c>
      <c r="I67" s="1441"/>
      <c r="J67" s="1443" t="s">
        <v>2349</v>
      </c>
      <c r="K67" s="1441"/>
      <c r="L67" s="1441"/>
      <c r="M67" s="897"/>
      <c r="AA67">
        <f>IF(AND('03 Loc'!C67&gt;Tmin, NOT('03 Loc'!$I67="")),'03 Loc'!$I67,0)</f>
        <v>0</v>
      </c>
      <c r="AB67">
        <f>IF(AND('03 Loc'!D67&gt;Tmin, NOT('03 Loc'!$I67="")),'03 Loc'!$I67,0)</f>
        <v>0</v>
      </c>
      <c r="AC67">
        <f>IF(AND('03 Loc'!E67&gt;Tmin, NOT('03 Loc'!$I67="")),'03 Loc'!$I67,0)</f>
        <v>0</v>
      </c>
      <c r="AD67">
        <f>IF(AND('03 Loc'!F67&gt;Tmin, NOT('03 Loc'!$I67="")),'03 Loc'!$I67,0)</f>
        <v>0</v>
      </c>
      <c r="AE67">
        <f>IF(AND('03 Loc'!C67&lt;Tmax, NOT('03 Loc'!$H67="")),'03 Loc'!$H67,4)</f>
        <v>2</v>
      </c>
      <c r="AF67">
        <f>IF(AND('03 Loc'!D67&lt;Tmax, NOT('03 Loc'!$H67="")),'03 Loc'!$H67,4)</f>
        <v>2</v>
      </c>
      <c r="AG67">
        <f>IF(AND('03 Loc'!E67&lt;Tmax, NOT('03 Loc'!$H67="")),'03 Loc'!$H67,4)</f>
        <v>2</v>
      </c>
      <c r="AH67">
        <f>IF(AND('03 Loc'!F67&lt;Tmax, NOT('03 Loc'!$H67="")),'03 Loc'!$H67,4)</f>
        <v>2</v>
      </c>
      <c r="AI67"/>
    </row>
    <row r="68" spans="1:35" ht="22.5" outlineLevel="2" x14ac:dyDescent="0.2">
      <c r="A68" s="636" t="s">
        <v>968</v>
      </c>
      <c r="B68" s="636" t="s">
        <v>6166</v>
      </c>
      <c r="C68" s="887"/>
      <c r="D68" s="887"/>
      <c r="E68" s="887"/>
      <c r="F68" s="887"/>
      <c r="G68" s="1441">
        <v>2</v>
      </c>
      <c r="H68" s="1441">
        <v>2</v>
      </c>
      <c r="I68" s="1441"/>
      <c r="J68" s="1443" t="s">
        <v>2107</v>
      </c>
      <c r="K68" s="1441"/>
      <c r="L68" s="1441"/>
      <c r="M68" s="897"/>
      <c r="AA68">
        <f>IF(AND('03 Loc'!C68&gt;Tmin, NOT('03 Loc'!$I68="")),'03 Loc'!$I68,0)</f>
        <v>0</v>
      </c>
      <c r="AB68">
        <f>IF(AND('03 Loc'!D68&gt;Tmin, NOT('03 Loc'!$I68="")),'03 Loc'!$I68,0)</f>
        <v>0</v>
      </c>
      <c r="AC68">
        <f>IF(AND('03 Loc'!E68&gt;Tmin, NOT('03 Loc'!$I68="")),'03 Loc'!$I68,0)</f>
        <v>0</v>
      </c>
      <c r="AD68">
        <f>IF(AND('03 Loc'!F68&gt;Tmin, NOT('03 Loc'!$I68="")),'03 Loc'!$I68,0)</f>
        <v>0</v>
      </c>
      <c r="AE68">
        <f>IF(AND('03 Loc'!C68&lt;Tmax, NOT('03 Loc'!$H68="")),'03 Loc'!$H68,4)</f>
        <v>2</v>
      </c>
      <c r="AF68">
        <f>IF(AND('03 Loc'!D68&lt;Tmax, NOT('03 Loc'!$H68="")),'03 Loc'!$H68,4)</f>
        <v>2</v>
      </c>
      <c r="AG68">
        <f>IF(AND('03 Loc'!E68&lt;Tmax, NOT('03 Loc'!$H68="")),'03 Loc'!$H68,4)</f>
        <v>2</v>
      </c>
      <c r="AH68">
        <f>IF(AND('03 Loc'!F68&lt;Tmax, NOT('03 Loc'!$H68="")),'03 Loc'!$H68,4)</f>
        <v>2</v>
      </c>
      <c r="AI68"/>
    </row>
    <row r="69" spans="1:35" ht="33.75" outlineLevel="2" x14ac:dyDescent="0.2">
      <c r="A69" s="636" t="s">
        <v>969</v>
      </c>
      <c r="B69" s="636" t="s">
        <v>1021</v>
      </c>
      <c r="C69" s="887"/>
      <c r="D69" s="887"/>
      <c r="E69" s="887"/>
      <c r="F69" s="887"/>
      <c r="G69" s="1441">
        <v>2</v>
      </c>
      <c r="H69" s="1441">
        <v>3</v>
      </c>
      <c r="I69" s="1441"/>
      <c r="J69" s="1443" t="s">
        <v>2109</v>
      </c>
      <c r="K69" s="1441"/>
      <c r="L69" s="1441"/>
      <c r="M69" s="897"/>
      <c r="AA69">
        <f>IF(AND('03 Loc'!C69&gt;Tmin, NOT('03 Loc'!$I69="")),'03 Loc'!$I69,0)</f>
        <v>0</v>
      </c>
      <c r="AB69">
        <f>IF(AND('03 Loc'!D69&gt;Tmin, NOT('03 Loc'!$I69="")),'03 Loc'!$I69,0)</f>
        <v>0</v>
      </c>
      <c r="AC69">
        <f>IF(AND('03 Loc'!E69&gt;Tmin, NOT('03 Loc'!$I69="")),'03 Loc'!$I69,0)</f>
        <v>0</v>
      </c>
      <c r="AD69">
        <f>IF(AND('03 Loc'!F69&gt;Tmin, NOT('03 Loc'!$I69="")),'03 Loc'!$I69,0)</f>
        <v>0</v>
      </c>
      <c r="AE69">
        <f>IF(AND('03 Loc'!C69&lt;Tmax, NOT('03 Loc'!$H69="")),'03 Loc'!$H69,4)</f>
        <v>3</v>
      </c>
      <c r="AF69">
        <f>IF(AND('03 Loc'!D69&lt;Tmax, NOT('03 Loc'!$H69="")),'03 Loc'!$H69,4)</f>
        <v>3</v>
      </c>
      <c r="AG69">
        <f>IF(AND('03 Loc'!E69&lt;Tmax, NOT('03 Loc'!$H69="")),'03 Loc'!$H69,4)</f>
        <v>3</v>
      </c>
      <c r="AH69">
        <f>IF(AND('03 Loc'!F69&lt;Tmax, NOT('03 Loc'!$H69="")),'03 Loc'!$H69,4)</f>
        <v>3</v>
      </c>
      <c r="AI69"/>
    </row>
    <row r="70" spans="1:35" outlineLevel="1" x14ac:dyDescent="0.2">
      <c r="A70" s="898" t="s">
        <v>3254</v>
      </c>
      <c r="B70" s="899" t="s">
        <v>1022</v>
      </c>
      <c r="C70" s="887"/>
      <c r="D70" s="887"/>
      <c r="E70" s="887"/>
      <c r="F70" s="887"/>
      <c r="G70" s="1441"/>
      <c r="H70" s="1441"/>
      <c r="I70" s="1441"/>
      <c r="J70" s="1443"/>
      <c r="K70" s="1441"/>
      <c r="L70" s="1441"/>
      <c r="M70" s="897"/>
      <c r="AA70"/>
      <c r="AB70"/>
      <c r="AC70"/>
      <c r="AD70"/>
      <c r="AE70"/>
      <c r="AF70"/>
      <c r="AG70"/>
      <c r="AH70"/>
      <c r="AI70"/>
    </row>
    <row r="71" spans="1:35" ht="22.5" outlineLevel="2" x14ac:dyDescent="0.2">
      <c r="A71" s="636" t="s">
        <v>1023</v>
      </c>
      <c r="B71" s="636" t="s">
        <v>4551</v>
      </c>
      <c r="C71" s="887"/>
      <c r="D71" s="887"/>
      <c r="E71" s="887"/>
      <c r="F71" s="887"/>
      <c r="G71" s="1441">
        <v>4</v>
      </c>
      <c r="H71" s="1441">
        <v>2</v>
      </c>
      <c r="I71" s="1441"/>
      <c r="J71" s="1443" t="s">
        <v>4246</v>
      </c>
      <c r="K71" s="1441"/>
      <c r="L71" s="1441"/>
      <c r="M71" s="897"/>
      <c r="AA71">
        <f>IF(AND('03 Loc'!C71&gt;Tmin, NOT('03 Loc'!$I71="")),'03 Loc'!$I71,0)</f>
        <v>0</v>
      </c>
      <c r="AB71">
        <f>IF(AND('03 Loc'!D71&gt;Tmin, NOT('03 Loc'!$I71="")),'03 Loc'!$I71,0)</f>
        <v>0</v>
      </c>
      <c r="AC71">
        <f>IF(AND('03 Loc'!E71&gt;Tmin, NOT('03 Loc'!$I71="")),'03 Loc'!$I71,0)</f>
        <v>0</v>
      </c>
      <c r="AD71">
        <f>IF(AND('03 Loc'!F71&gt;Tmin, NOT('03 Loc'!$I71="")),'03 Loc'!$I71,0)</f>
        <v>0</v>
      </c>
      <c r="AE71">
        <f>IF(AND('03 Loc'!C71&lt;Tmax, NOT('03 Loc'!$H71="")),'03 Loc'!$H71,4)</f>
        <v>2</v>
      </c>
      <c r="AF71">
        <f>IF(AND('03 Loc'!D71&lt;Tmax, NOT('03 Loc'!$H71="")),'03 Loc'!$H71,4)</f>
        <v>2</v>
      </c>
      <c r="AG71">
        <f>IF(AND('03 Loc'!E71&lt;Tmax, NOT('03 Loc'!$H71="")),'03 Loc'!$H71,4)</f>
        <v>2</v>
      </c>
      <c r="AH71">
        <f>IF(AND('03 Loc'!F71&lt;Tmax, NOT('03 Loc'!$H71="")),'03 Loc'!$H71,4)</f>
        <v>2</v>
      </c>
      <c r="AI71"/>
    </row>
    <row r="72" spans="1:35" ht="22.5" outlineLevel="2" x14ac:dyDescent="0.2">
      <c r="A72" s="636" t="s">
        <v>4552</v>
      </c>
      <c r="B72" s="636" t="s">
        <v>2578</v>
      </c>
      <c r="C72" s="887"/>
      <c r="D72" s="887"/>
      <c r="E72" s="887"/>
      <c r="F72" s="887"/>
      <c r="G72" s="1441">
        <v>4</v>
      </c>
      <c r="H72" s="1441">
        <v>2</v>
      </c>
      <c r="I72" s="1441"/>
      <c r="J72" s="1443" t="s">
        <v>1592</v>
      </c>
      <c r="K72" s="1441"/>
      <c r="L72" s="1441"/>
      <c r="M72" s="897"/>
      <c r="AA72">
        <f>IF(AND('03 Loc'!C72&gt;Tmin, NOT('03 Loc'!$I72="")),'03 Loc'!$I72,0)</f>
        <v>0</v>
      </c>
      <c r="AB72">
        <f>IF(AND('03 Loc'!D72&gt;Tmin, NOT('03 Loc'!$I72="")),'03 Loc'!$I72,0)</f>
        <v>0</v>
      </c>
      <c r="AC72">
        <f>IF(AND('03 Loc'!E72&gt;Tmin, NOT('03 Loc'!$I72="")),'03 Loc'!$I72,0)</f>
        <v>0</v>
      </c>
      <c r="AD72">
        <f>IF(AND('03 Loc'!F72&gt;Tmin, NOT('03 Loc'!$I72="")),'03 Loc'!$I72,0)</f>
        <v>0</v>
      </c>
      <c r="AE72">
        <f>IF(AND('03 Loc'!C72&lt;Tmax, NOT('03 Loc'!$H72="")),'03 Loc'!$H72,4)</f>
        <v>2</v>
      </c>
      <c r="AF72">
        <f>IF(AND('03 Loc'!D72&lt;Tmax, NOT('03 Loc'!$H72="")),'03 Loc'!$H72,4)</f>
        <v>2</v>
      </c>
      <c r="AG72">
        <f>IF(AND('03 Loc'!E72&lt;Tmax, NOT('03 Loc'!$H72="")),'03 Loc'!$H72,4)</f>
        <v>2</v>
      </c>
      <c r="AH72">
        <f>IF(AND('03 Loc'!F72&lt;Tmax, NOT('03 Loc'!$H72="")),'03 Loc'!$H72,4)</f>
        <v>2</v>
      </c>
      <c r="AI72"/>
    </row>
    <row r="73" spans="1:35" outlineLevel="2" x14ac:dyDescent="0.2">
      <c r="A73" s="636" t="s">
        <v>98</v>
      </c>
      <c r="B73" s="636" t="s">
        <v>1504</v>
      </c>
      <c r="C73" s="887"/>
      <c r="D73" s="887"/>
      <c r="E73" s="887"/>
      <c r="F73" s="887"/>
      <c r="G73" s="1441">
        <v>4</v>
      </c>
      <c r="H73" s="1441">
        <v>2</v>
      </c>
      <c r="I73" s="1441"/>
      <c r="J73" s="1443" t="s">
        <v>1592</v>
      </c>
      <c r="K73" s="1441"/>
      <c r="L73" s="1441"/>
      <c r="M73" s="897"/>
      <c r="AA73">
        <f>IF(AND('03 Loc'!C73&gt;Tmin, NOT('03 Loc'!$I73="")),'03 Loc'!$I73,0)</f>
        <v>0</v>
      </c>
      <c r="AB73">
        <f>IF(AND('03 Loc'!D73&gt;Tmin, NOT('03 Loc'!$I73="")),'03 Loc'!$I73,0)</f>
        <v>0</v>
      </c>
      <c r="AC73">
        <f>IF(AND('03 Loc'!E73&gt;Tmin, NOT('03 Loc'!$I73="")),'03 Loc'!$I73,0)</f>
        <v>0</v>
      </c>
      <c r="AD73">
        <f>IF(AND('03 Loc'!F73&gt;Tmin, NOT('03 Loc'!$I73="")),'03 Loc'!$I73,0)</f>
        <v>0</v>
      </c>
      <c r="AE73">
        <f>IF(AND('03 Loc'!C73&lt;Tmax, NOT('03 Loc'!$H73="")),'03 Loc'!$H73,4)</f>
        <v>2</v>
      </c>
      <c r="AF73">
        <f>IF(AND('03 Loc'!D73&lt;Tmax, NOT('03 Loc'!$H73="")),'03 Loc'!$H73,4)</f>
        <v>2</v>
      </c>
      <c r="AG73">
        <f>IF(AND('03 Loc'!E73&lt;Tmax, NOT('03 Loc'!$H73="")),'03 Loc'!$H73,4)</f>
        <v>2</v>
      </c>
      <c r="AH73">
        <f>IF(AND('03 Loc'!F73&lt;Tmax, NOT('03 Loc'!$H73="")),'03 Loc'!$H73,4)</f>
        <v>2</v>
      </c>
      <c r="AI73"/>
    </row>
    <row r="74" spans="1:35" ht="22.5" outlineLevel="2" x14ac:dyDescent="0.2">
      <c r="A74" s="636" t="s">
        <v>1505</v>
      </c>
      <c r="B74" s="636" t="s">
        <v>1506</v>
      </c>
      <c r="C74" s="887"/>
      <c r="D74" s="887"/>
      <c r="E74" s="887"/>
      <c r="F74" s="887"/>
      <c r="G74" s="1441">
        <v>4</v>
      </c>
      <c r="H74" s="1441">
        <v>3</v>
      </c>
      <c r="I74" s="1441"/>
      <c r="J74" s="1443" t="s">
        <v>2329</v>
      </c>
      <c r="K74" s="1441"/>
      <c r="L74" s="1441"/>
      <c r="M74" s="897"/>
      <c r="AA74">
        <f>IF(AND('03 Loc'!C74&gt;Tmin, NOT('03 Loc'!$I74="")),'03 Loc'!$I74,0)</f>
        <v>0</v>
      </c>
      <c r="AB74">
        <f>IF(AND('03 Loc'!D74&gt;Tmin, NOT('03 Loc'!$I74="")),'03 Loc'!$I74,0)</f>
        <v>0</v>
      </c>
      <c r="AC74">
        <f>IF(AND('03 Loc'!E74&gt;Tmin, NOT('03 Loc'!$I74="")),'03 Loc'!$I74,0)</f>
        <v>0</v>
      </c>
      <c r="AD74">
        <f>IF(AND('03 Loc'!F74&gt;Tmin, NOT('03 Loc'!$I74="")),'03 Loc'!$I74,0)</f>
        <v>0</v>
      </c>
      <c r="AE74">
        <f>IF(AND('03 Loc'!C74&lt;Tmax, NOT('03 Loc'!$H74="")),'03 Loc'!$H74,4)</f>
        <v>3</v>
      </c>
      <c r="AF74">
        <f>IF(AND('03 Loc'!D74&lt;Tmax, NOT('03 Loc'!$H74="")),'03 Loc'!$H74,4)</f>
        <v>3</v>
      </c>
      <c r="AG74">
        <f>IF(AND('03 Loc'!E74&lt;Tmax, NOT('03 Loc'!$H74="")),'03 Loc'!$H74,4)</f>
        <v>3</v>
      </c>
      <c r="AH74">
        <f>IF(AND('03 Loc'!F74&lt;Tmax, NOT('03 Loc'!$H74="")),'03 Loc'!$H74,4)</f>
        <v>3</v>
      </c>
      <c r="AI74"/>
    </row>
    <row r="75" spans="1:35" ht="22.5" outlineLevel="2" x14ac:dyDescent="0.2">
      <c r="A75" s="636" t="s">
        <v>1507</v>
      </c>
      <c r="B75" s="636" t="s">
        <v>4744</v>
      </c>
      <c r="C75" s="887"/>
      <c r="D75" s="887"/>
      <c r="E75" s="887"/>
      <c r="F75" s="887"/>
      <c r="G75" s="1441">
        <v>4</v>
      </c>
      <c r="H75" s="1441">
        <v>3</v>
      </c>
      <c r="I75" s="1441"/>
      <c r="J75" s="1443" t="s">
        <v>2329</v>
      </c>
      <c r="K75" s="1441"/>
      <c r="L75" s="1441"/>
      <c r="M75" s="897"/>
      <c r="AA75">
        <f>IF(AND('03 Loc'!C75&gt;Tmin, NOT('03 Loc'!$I75="")),'03 Loc'!$I75,0)</f>
        <v>0</v>
      </c>
      <c r="AB75">
        <f>IF(AND('03 Loc'!D75&gt;Tmin, NOT('03 Loc'!$I75="")),'03 Loc'!$I75,0)</f>
        <v>0</v>
      </c>
      <c r="AC75">
        <f>IF(AND('03 Loc'!E75&gt;Tmin, NOT('03 Loc'!$I75="")),'03 Loc'!$I75,0)</f>
        <v>0</v>
      </c>
      <c r="AD75">
        <f>IF(AND('03 Loc'!F75&gt;Tmin, NOT('03 Loc'!$I75="")),'03 Loc'!$I75,0)</f>
        <v>0</v>
      </c>
      <c r="AE75">
        <f>IF(AND('03 Loc'!C75&lt;Tmax, NOT('03 Loc'!$H75="")),'03 Loc'!$H75,4)</f>
        <v>3</v>
      </c>
      <c r="AF75">
        <f>IF(AND('03 Loc'!D75&lt;Tmax, NOT('03 Loc'!$H75="")),'03 Loc'!$H75,4)</f>
        <v>3</v>
      </c>
      <c r="AG75">
        <f>IF(AND('03 Loc'!E75&lt;Tmax, NOT('03 Loc'!$H75="")),'03 Loc'!$H75,4)</f>
        <v>3</v>
      </c>
      <c r="AH75">
        <f>IF(AND('03 Loc'!F75&lt;Tmax, NOT('03 Loc'!$H75="")),'03 Loc'!$H75,4)</f>
        <v>3</v>
      </c>
      <c r="AI75"/>
    </row>
    <row r="76" spans="1:35" ht="22.5" outlineLevel="2" x14ac:dyDescent="0.2">
      <c r="A76" s="636" t="s">
        <v>1508</v>
      </c>
      <c r="B76" s="636" t="s">
        <v>4746</v>
      </c>
      <c r="C76" s="887"/>
      <c r="D76" s="887"/>
      <c r="E76" s="887"/>
      <c r="F76" s="887"/>
      <c r="G76" s="1441">
        <v>4</v>
      </c>
      <c r="H76" s="1441">
        <v>2</v>
      </c>
      <c r="I76" s="1441"/>
      <c r="J76" s="1443" t="s">
        <v>1592</v>
      </c>
      <c r="K76" s="1441"/>
      <c r="L76" s="1441"/>
      <c r="M76" s="897"/>
      <c r="AA76">
        <f>IF(AND('03 Loc'!C76&gt;Tmin, NOT('03 Loc'!$I76="")),'03 Loc'!$I76,0)</f>
        <v>0</v>
      </c>
      <c r="AB76">
        <f>IF(AND('03 Loc'!D76&gt;Tmin, NOT('03 Loc'!$I76="")),'03 Loc'!$I76,0)</f>
        <v>0</v>
      </c>
      <c r="AC76">
        <f>IF(AND('03 Loc'!E76&gt;Tmin, NOT('03 Loc'!$I76="")),'03 Loc'!$I76,0)</f>
        <v>0</v>
      </c>
      <c r="AD76">
        <f>IF(AND('03 Loc'!F76&gt;Tmin, NOT('03 Loc'!$I76="")),'03 Loc'!$I76,0)</f>
        <v>0</v>
      </c>
      <c r="AE76">
        <f>IF(AND('03 Loc'!C76&lt;Tmax, NOT('03 Loc'!$H76="")),'03 Loc'!$H76,4)</f>
        <v>2</v>
      </c>
      <c r="AF76">
        <f>IF(AND('03 Loc'!D76&lt;Tmax, NOT('03 Loc'!$H76="")),'03 Loc'!$H76,4)</f>
        <v>2</v>
      </c>
      <c r="AG76">
        <f>IF(AND('03 Loc'!E76&lt;Tmax, NOT('03 Loc'!$H76="")),'03 Loc'!$H76,4)</f>
        <v>2</v>
      </c>
      <c r="AH76">
        <f>IF(AND('03 Loc'!F76&lt;Tmax, NOT('03 Loc'!$H76="")),'03 Loc'!$H76,4)</f>
        <v>2</v>
      </c>
      <c r="AI76"/>
    </row>
    <row r="77" spans="1:35" ht="22.5" outlineLevel="2" x14ac:dyDescent="0.2">
      <c r="A77" s="636" t="s">
        <v>1509</v>
      </c>
      <c r="B77" s="636" t="s">
        <v>3132</v>
      </c>
      <c r="C77" s="887"/>
      <c r="D77" s="887"/>
      <c r="E77" s="887"/>
      <c r="F77" s="887"/>
      <c r="G77" s="1441">
        <v>4</v>
      </c>
      <c r="H77" s="1441">
        <v>3</v>
      </c>
      <c r="I77" s="1441"/>
      <c r="J77" s="1443" t="s">
        <v>2329</v>
      </c>
      <c r="K77" s="1441"/>
      <c r="L77" s="1441"/>
      <c r="M77" s="897"/>
      <c r="AA77">
        <f>IF(AND('03 Loc'!C77&gt;Tmin, NOT('03 Loc'!$I77="")),'03 Loc'!$I77,0)</f>
        <v>0</v>
      </c>
      <c r="AB77">
        <f>IF(AND('03 Loc'!D77&gt;Tmin, NOT('03 Loc'!$I77="")),'03 Loc'!$I77,0)</f>
        <v>0</v>
      </c>
      <c r="AC77">
        <f>IF(AND('03 Loc'!E77&gt;Tmin, NOT('03 Loc'!$I77="")),'03 Loc'!$I77,0)</f>
        <v>0</v>
      </c>
      <c r="AD77">
        <f>IF(AND('03 Loc'!F77&gt;Tmin, NOT('03 Loc'!$I77="")),'03 Loc'!$I77,0)</f>
        <v>0</v>
      </c>
      <c r="AE77">
        <f>IF(AND('03 Loc'!C77&lt;Tmax, NOT('03 Loc'!$H77="")),'03 Loc'!$H77,4)</f>
        <v>3</v>
      </c>
      <c r="AF77">
        <f>IF(AND('03 Loc'!D77&lt;Tmax, NOT('03 Loc'!$H77="")),'03 Loc'!$H77,4)</f>
        <v>3</v>
      </c>
      <c r="AG77">
        <f>IF(AND('03 Loc'!E77&lt;Tmax, NOT('03 Loc'!$H77="")),'03 Loc'!$H77,4)</f>
        <v>3</v>
      </c>
      <c r="AH77">
        <f>IF(AND('03 Loc'!F77&lt;Tmax, NOT('03 Loc'!$H77="")),'03 Loc'!$H77,4)</f>
        <v>3</v>
      </c>
      <c r="AI77"/>
    </row>
    <row r="78" spans="1:35" outlineLevel="2" x14ac:dyDescent="0.2">
      <c r="A78" s="636" t="s">
        <v>1510</v>
      </c>
      <c r="B78" s="636" t="s">
        <v>3134</v>
      </c>
      <c r="C78" s="887"/>
      <c r="D78" s="887"/>
      <c r="E78" s="887"/>
      <c r="F78" s="887"/>
      <c r="G78" s="1441">
        <v>2</v>
      </c>
      <c r="H78" s="1441"/>
      <c r="I78" s="1441"/>
      <c r="J78" s="1443" t="s">
        <v>1592</v>
      </c>
      <c r="K78" s="1441"/>
      <c r="L78" s="1441"/>
      <c r="M78" s="897"/>
      <c r="AA78">
        <f>IF(AND('03 Loc'!C78&gt;Tmin, NOT('03 Loc'!$I78="")),'03 Loc'!$I78,0)</f>
        <v>0</v>
      </c>
      <c r="AB78">
        <f>IF(AND('03 Loc'!D78&gt;Tmin, NOT('03 Loc'!$I78="")),'03 Loc'!$I78,0)</f>
        <v>0</v>
      </c>
      <c r="AC78">
        <f>IF(AND('03 Loc'!E78&gt;Tmin, NOT('03 Loc'!$I78="")),'03 Loc'!$I78,0)</f>
        <v>0</v>
      </c>
      <c r="AD78">
        <f>IF(AND('03 Loc'!F78&gt;Tmin, NOT('03 Loc'!$I78="")),'03 Loc'!$I78,0)</f>
        <v>0</v>
      </c>
      <c r="AE78">
        <f>IF(AND('03 Loc'!C78&lt;Tmax, NOT('03 Loc'!$H78="")),'03 Loc'!$H78,4)</f>
        <v>4</v>
      </c>
      <c r="AF78">
        <f>IF(AND('03 Loc'!D78&lt;Tmax, NOT('03 Loc'!$H78="")),'03 Loc'!$H78,4)</f>
        <v>4</v>
      </c>
      <c r="AG78">
        <f>IF(AND('03 Loc'!E78&lt;Tmax, NOT('03 Loc'!$H78="")),'03 Loc'!$H78,4)</f>
        <v>4</v>
      </c>
      <c r="AH78">
        <f>IF(AND('03 Loc'!F78&lt;Tmax, NOT('03 Loc'!$H78="")),'03 Loc'!$H78,4)</f>
        <v>4</v>
      </c>
      <c r="AI78"/>
    </row>
    <row r="79" spans="1:35" ht="22.5" outlineLevel="2" x14ac:dyDescent="0.2">
      <c r="A79" s="636" t="s">
        <v>1511</v>
      </c>
      <c r="B79" s="636" t="s">
        <v>3136</v>
      </c>
      <c r="C79" s="887"/>
      <c r="D79" s="887"/>
      <c r="E79" s="887"/>
      <c r="F79" s="887"/>
      <c r="G79" s="1441">
        <v>2</v>
      </c>
      <c r="H79" s="1441">
        <v>3</v>
      </c>
      <c r="I79" s="1441"/>
      <c r="J79" s="1443" t="s">
        <v>2349</v>
      </c>
      <c r="K79" s="1441"/>
      <c r="L79" s="1441"/>
      <c r="M79" s="897"/>
      <c r="AA79">
        <f>IF(AND('03 Loc'!C79&gt;Tmin, NOT('03 Loc'!$I79="")),'03 Loc'!$I79,0)</f>
        <v>0</v>
      </c>
      <c r="AB79">
        <f>IF(AND('03 Loc'!D79&gt;Tmin, NOT('03 Loc'!$I79="")),'03 Loc'!$I79,0)</f>
        <v>0</v>
      </c>
      <c r="AC79">
        <f>IF(AND('03 Loc'!E79&gt;Tmin, NOT('03 Loc'!$I79="")),'03 Loc'!$I79,0)</f>
        <v>0</v>
      </c>
      <c r="AD79">
        <f>IF(AND('03 Loc'!F79&gt;Tmin, NOT('03 Loc'!$I79="")),'03 Loc'!$I79,0)</f>
        <v>0</v>
      </c>
      <c r="AE79">
        <f>IF(AND('03 Loc'!C79&lt;Tmax, NOT('03 Loc'!$H79="")),'03 Loc'!$H79,4)</f>
        <v>3</v>
      </c>
      <c r="AF79">
        <f>IF(AND('03 Loc'!D79&lt;Tmax, NOT('03 Loc'!$H79="")),'03 Loc'!$H79,4)</f>
        <v>3</v>
      </c>
      <c r="AG79">
        <f>IF(AND('03 Loc'!E79&lt;Tmax, NOT('03 Loc'!$H79="")),'03 Loc'!$H79,4)</f>
        <v>3</v>
      </c>
      <c r="AH79">
        <f>IF(AND('03 Loc'!F79&lt;Tmax, NOT('03 Loc'!$H79="")),'03 Loc'!$H79,4)</f>
        <v>3</v>
      </c>
      <c r="AI79"/>
    </row>
    <row r="80" spans="1:35" ht="22.5" outlineLevel="2" x14ac:dyDescent="0.2">
      <c r="A80" s="636" t="s">
        <v>1512</v>
      </c>
      <c r="B80" s="636" t="s">
        <v>3138</v>
      </c>
      <c r="C80" s="887"/>
      <c r="D80" s="887"/>
      <c r="E80" s="887"/>
      <c r="F80" s="887"/>
      <c r="G80" s="1441">
        <v>2</v>
      </c>
      <c r="H80" s="1441">
        <v>3</v>
      </c>
      <c r="I80" s="1441"/>
      <c r="J80" s="1443" t="s">
        <v>2109</v>
      </c>
      <c r="K80" s="1441"/>
      <c r="L80" s="1441"/>
      <c r="M80" s="897"/>
      <c r="AA80">
        <f>IF(AND('03 Loc'!C80&gt;Tmin, NOT('03 Loc'!$I80="")),'03 Loc'!$I80,0)</f>
        <v>0</v>
      </c>
      <c r="AB80">
        <f>IF(AND('03 Loc'!D80&gt;Tmin, NOT('03 Loc'!$I80="")),'03 Loc'!$I80,0)</f>
        <v>0</v>
      </c>
      <c r="AC80">
        <f>IF(AND('03 Loc'!E80&gt;Tmin, NOT('03 Loc'!$I80="")),'03 Loc'!$I80,0)</f>
        <v>0</v>
      </c>
      <c r="AD80">
        <f>IF(AND('03 Loc'!F80&gt;Tmin, NOT('03 Loc'!$I80="")),'03 Loc'!$I80,0)</f>
        <v>0</v>
      </c>
      <c r="AE80">
        <f>IF(AND('03 Loc'!C80&lt;Tmax, NOT('03 Loc'!$H80="")),'03 Loc'!$H80,4)</f>
        <v>3</v>
      </c>
      <c r="AF80">
        <f>IF(AND('03 Loc'!D80&lt;Tmax, NOT('03 Loc'!$H80="")),'03 Loc'!$H80,4)</f>
        <v>3</v>
      </c>
      <c r="AG80">
        <f>IF(AND('03 Loc'!E80&lt;Tmax, NOT('03 Loc'!$H80="")),'03 Loc'!$H80,4)</f>
        <v>3</v>
      </c>
      <c r="AH80">
        <f>IF(AND('03 Loc'!F80&lt;Tmax, NOT('03 Loc'!$H80="")),'03 Loc'!$H80,4)</f>
        <v>3</v>
      </c>
      <c r="AI80"/>
    </row>
    <row r="81" spans="1:35" outlineLevel="1" x14ac:dyDescent="0.2">
      <c r="A81" s="898" t="s">
        <v>3360</v>
      </c>
      <c r="B81" s="899" t="s">
        <v>1664</v>
      </c>
      <c r="C81" s="887"/>
      <c r="D81" s="887"/>
      <c r="E81" s="887"/>
      <c r="F81" s="887"/>
      <c r="G81" s="1441"/>
      <c r="H81" s="1441"/>
      <c r="I81" s="1441"/>
      <c r="J81" s="1443"/>
      <c r="K81" s="1441"/>
      <c r="L81" s="1441"/>
      <c r="M81" s="897"/>
      <c r="AA81"/>
      <c r="AB81"/>
      <c r="AC81"/>
      <c r="AD81"/>
      <c r="AE81"/>
      <c r="AF81"/>
      <c r="AG81"/>
      <c r="AH81"/>
      <c r="AI81"/>
    </row>
    <row r="82" spans="1:35" ht="22.5" outlineLevel="2" x14ac:dyDescent="0.2">
      <c r="A82" s="636" t="s">
        <v>1513</v>
      </c>
      <c r="B82" s="636" t="s">
        <v>4408</v>
      </c>
      <c r="C82" s="887"/>
      <c r="D82" s="887"/>
      <c r="E82" s="887"/>
      <c r="F82" s="887"/>
      <c r="G82" s="1441">
        <v>4</v>
      </c>
      <c r="H82" s="1441"/>
      <c r="I82" s="1441"/>
      <c r="J82" s="1443" t="s">
        <v>1592</v>
      </c>
      <c r="K82" s="1441"/>
      <c r="L82" s="1441"/>
      <c r="M82" s="897"/>
      <c r="AA82">
        <f>IF(AND('03 Loc'!C82&gt;Tmin, NOT('03 Loc'!$I82="")),'03 Loc'!$I82,0)</f>
        <v>0</v>
      </c>
      <c r="AB82">
        <f>IF(AND('03 Loc'!D82&gt;Tmin, NOT('03 Loc'!$I82="")),'03 Loc'!$I82,0)</f>
        <v>0</v>
      </c>
      <c r="AC82">
        <f>IF(AND('03 Loc'!E82&gt;Tmin, NOT('03 Loc'!$I82="")),'03 Loc'!$I82,0)</f>
        <v>0</v>
      </c>
      <c r="AD82">
        <f>IF(AND('03 Loc'!F82&gt;Tmin, NOT('03 Loc'!$I82="")),'03 Loc'!$I82,0)</f>
        <v>0</v>
      </c>
      <c r="AE82">
        <f>IF(AND('03 Loc'!C82&lt;Tmax, NOT('03 Loc'!$H82="")),'03 Loc'!$H82,4)</f>
        <v>4</v>
      </c>
      <c r="AF82">
        <f>IF(AND('03 Loc'!D82&lt;Tmax, NOT('03 Loc'!$H82="")),'03 Loc'!$H82,4)</f>
        <v>4</v>
      </c>
      <c r="AG82">
        <f>IF(AND('03 Loc'!E82&lt;Tmax, NOT('03 Loc'!$H82="")),'03 Loc'!$H82,4)</f>
        <v>4</v>
      </c>
      <c r="AH82">
        <f>IF(AND('03 Loc'!F82&lt;Tmax, NOT('03 Loc'!$H82="")),'03 Loc'!$H82,4)</f>
        <v>4</v>
      </c>
      <c r="AI82"/>
    </row>
    <row r="83" spans="1:35" ht="22.5" outlineLevel="2" x14ac:dyDescent="0.2">
      <c r="A83" s="636" t="s">
        <v>4409</v>
      </c>
      <c r="B83" s="636" t="s">
        <v>4744</v>
      </c>
      <c r="C83" s="887"/>
      <c r="D83" s="887"/>
      <c r="E83" s="887"/>
      <c r="F83" s="887"/>
      <c r="G83" s="1441">
        <v>4</v>
      </c>
      <c r="H83" s="1441">
        <v>3</v>
      </c>
      <c r="I83" s="1441"/>
      <c r="J83" s="1443" t="s">
        <v>2329</v>
      </c>
      <c r="K83" s="1441"/>
      <c r="L83" s="1441"/>
      <c r="M83" s="897"/>
      <c r="AA83">
        <f>IF(AND('03 Loc'!C83&gt;Tmin, NOT('03 Loc'!$I83="")),'03 Loc'!$I83,0)</f>
        <v>0</v>
      </c>
      <c r="AB83">
        <f>IF(AND('03 Loc'!D83&gt;Tmin, NOT('03 Loc'!$I83="")),'03 Loc'!$I83,0)</f>
        <v>0</v>
      </c>
      <c r="AC83">
        <f>IF(AND('03 Loc'!E83&gt;Tmin, NOT('03 Loc'!$I83="")),'03 Loc'!$I83,0)</f>
        <v>0</v>
      </c>
      <c r="AD83">
        <f>IF(AND('03 Loc'!F83&gt;Tmin, NOT('03 Loc'!$I83="")),'03 Loc'!$I83,0)</f>
        <v>0</v>
      </c>
      <c r="AE83">
        <f>IF(AND('03 Loc'!C83&lt;Tmax, NOT('03 Loc'!$H83="")),'03 Loc'!$H83,4)</f>
        <v>3</v>
      </c>
      <c r="AF83">
        <f>IF(AND('03 Loc'!D83&lt;Tmax, NOT('03 Loc'!$H83="")),'03 Loc'!$H83,4)</f>
        <v>3</v>
      </c>
      <c r="AG83">
        <f>IF(AND('03 Loc'!E83&lt;Tmax, NOT('03 Loc'!$H83="")),'03 Loc'!$H83,4)</f>
        <v>3</v>
      </c>
      <c r="AH83">
        <f>IF(AND('03 Loc'!F83&lt;Tmax, NOT('03 Loc'!$H83="")),'03 Loc'!$H83,4)</f>
        <v>3</v>
      </c>
      <c r="AI83"/>
    </row>
    <row r="84" spans="1:35" ht="22.5" outlineLevel="2" x14ac:dyDescent="0.2">
      <c r="A84" s="636" t="s">
        <v>4410</v>
      </c>
      <c r="B84" s="636" t="s">
        <v>4411</v>
      </c>
      <c r="C84" s="887"/>
      <c r="D84" s="887"/>
      <c r="E84" s="887"/>
      <c r="F84" s="887"/>
      <c r="G84" s="1441">
        <v>4</v>
      </c>
      <c r="H84" s="1441"/>
      <c r="I84" s="1441"/>
      <c r="J84" s="1443" t="s">
        <v>1592</v>
      </c>
      <c r="K84" s="1441"/>
      <c r="L84" s="1441"/>
      <c r="M84" s="897"/>
      <c r="AA84">
        <f>IF(AND('03 Loc'!C84&gt;Tmin, NOT('03 Loc'!$I84="")),'03 Loc'!$I84,0)</f>
        <v>0</v>
      </c>
      <c r="AB84">
        <f>IF(AND('03 Loc'!D84&gt;Tmin, NOT('03 Loc'!$I84="")),'03 Loc'!$I84,0)</f>
        <v>0</v>
      </c>
      <c r="AC84">
        <f>IF(AND('03 Loc'!E84&gt;Tmin, NOT('03 Loc'!$I84="")),'03 Loc'!$I84,0)</f>
        <v>0</v>
      </c>
      <c r="AD84">
        <f>IF(AND('03 Loc'!F84&gt;Tmin, NOT('03 Loc'!$I84="")),'03 Loc'!$I84,0)</f>
        <v>0</v>
      </c>
      <c r="AE84">
        <f>IF(AND('03 Loc'!C84&lt;Tmax, NOT('03 Loc'!$H84="")),'03 Loc'!$H84,4)</f>
        <v>4</v>
      </c>
      <c r="AF84">
        <f>IF(AND('03 Loc'!D84&lt;Tmax, NOT('03 Loc'!$H84="")),'03 Loc'!$H84,4)</f>
        <v>4</v>
      </c>
      <c r="AG84">
        <f>IF(AND('03 Loc'!E84&lt;Tmax, NOT('03 Loc'!$H84="")),'03 Loc'!$H84,4)</f>
        <v>4</v>
      </c>
      <c r="AH84">
        <f>IF(AND('03 Loc'!F84&lt;Tmax, NOT('03 Loc'!$H84="")),'03 Loc'!$H84,4)</f>
        <v>4</v>
      </c>
      <c r="AI84"/>
    </row>
    <row r="85" spans="1:35" ht="22.5" outlineLevel="2" x14ac:dyDescent="0.2">
      <c r="A85" s="636" t="s">
        <v>4412</v>
      </c>
      <c r="B85" s="636" t="s">
        <v>3132</v>
      </c>
      <c r="C85" s="887"/>
      <c r="D85" s="887"/>
      <c r="E85" s="887"/>
      <c r="F85" s="887"/>
      <c r="G85" s="1441">
        <v>4</v>
      </c>
      <c r="H85" s="1441">
        <v>3</v>
      </c>
      <c r="I85" s="1441"/>
      <c r="J85" s="1443" t="s">
        <v>2329</v>
      </c>
      <c r="K85" s="1441"/>
      <c r="L85" s="1441"/>
      <c r="M85" s="897"/>
      <c r="AA85">
        <f>IF(AND('03 Loc'!C85&gt;Tmin, NOT('03 Loc'!$I85="")),'03 Loc'!$I85,0)</f>
        <v>0</v>
      </c>
      <c r="AB85">
        <f>IF(AND('03 Loc'!D85&gt;Tmin, NOT('03 Loc'!$I85="")),'03 Loc'!$I85,0)</f>
        <v>0</v>
      </c>
      <c r="AC85">
        <f>IF(AND('03 Loc'!E85&gt;Tmin, NOT('03 Loc'!$I85="")),'03 Loc'!$I85,0)</f>
        <v>0</v>
      </c>
      <c r="AD85">
        <f>IF(AND('03 Loc'!F85&gt;Tmin, NOT('03 Loc'!$I85="")),'03 Loc'!$I85,0)</f>
        <v>0</v>
      </c>
      <c r="AE85">
        <f>IF(AND('03 Loc'!C85&lt;Tmax, NOT('03 Loc'!$H85="")),'03 Loc'!$H85,4)</f>
        <v>3</v>
      </c>
      <c r="AF85">
        <f>IF(AND('03 Loc'!D85&lt;Tmax, NOT('03 Loc'!$H85="")),'03 Loc'!$H85,4)</f>
        <v>3</v>
      </c>
      <c r="AG85">
        <f>IF(AND('03 Loc'!E85&lt;Tmax, NOT('03 Loc'!$H85="")),'03 Loc'!$H85,4)</f>
        <v>3</v>
      </c>
      <c r="AH85">
        <f>IF(AND('03 Loc'!F85&lt;Tmax, NOT('03 Loc'!$H85="")),'03 Loc'!$H85,4)</f>
        <v>3</v>
      </c>
      <c r="AI85"/>
    </row>
    <row r="86" spans="1:35" outlineLevel="2" x14ac:dyDescent="0.2">
      <c r="A86" s="636" t="s">
        <v>4413</v>
      </c>
      <c r="B86" s="636" t="s">
        <v>3134</v>
      </c>
      <c r="C86" s="887"/>
      <c r="D86" s="887"/>
      <c r="E86" s="887"/>
      <c r="F86" s="887"/>
      <c r="G86" s="1441">
        <v>2</v>
      </c>
      <c r="H86" s="1441"/>
      <c r="I86" s="1441"/>
      <c r="J86" s="1443" t="s">
        <v>1592</v>
      </c>
      <c r="K86" s="1441"/>
      <c r="L86" s="1441"/>
      <c r="M86" s="897"/>
      <c r="AA86">
        <f>IF(AND('03 Loc'!C86&gt;Tmin, NOT('03 Loc'!$I86="")),'03 Loc'!$I86,0)</f>
        <v>0</v>
      </c>
      <c r="AB86">
        <f>IF(AND('03 Loc'!D86&gt;Tmin, NOT('03 Loc'!$I86="")),'03 Loc'!$I86,0)</f>
        <v>0</v>
      </c>
      <c r="AC86">
        <f>IF(AND('03 Loc'!E86&gt;Tmin, NOT('03 Loc'!$I86="")),'03 Loc'!$I86,0)</f>
        <v>0</v>
      </c>
      <c r="AD86">
        <f>IF(AND('03 Loc'!F86&gt;Tmin, NOT('03 Loc'!$I86="")),'03 Loc'!$I86,0)</f>
        <v>0</v>
      </c>
      <c r="AE86">
        <f>IF(AND('03 Loc'!C86&lt;Tmax, NOT('03 Loc'!$H86="")),'03 Loc'!$H86,4)</f>
        <v>4</v>
      </c>
      <c r="AF86">
        <f>IF(AND('03 Loc'!D86&lt;Tmax, NOT('03 Loc'!$H86="")),'03 Loc'!$H86,4)</f>
        <v>4</v>
      </c>
      <c r="AG86">
        <f>IF(AND('03 Loc'!E86&lt;Tmax, NOT('03 Loc'!$H86="")),'03 Loc'!$H86,4)</f>
        <v>4</v>
      </c>
      <c r="AH86">
        <f>IF(AND('03 Loc'!F86&lt;Tmax, NOT('03 Loc'!$H86="")),'03 Loc'!$H86,4)</f>
        <v>4</v>
      </c>
      <c r="AI86"/>
    </row>
    <row r="87" spans="1:35" outlineLevel="2" x14ac:dyDescent="0.2">
      <c r="A87" s="636" t="s">
        <v>4414</v>
      </c>
      <c r="B87" s="636" t="s">
        <v>4415</v>
      </c>
      <c r="C87" s="887"/>
      <c r="D87" s="887"/>
      <c r="E87" s="887"/>
      <c r="F87" s="887"/>
      <c r="G87" s="1441">
        <v>1</v>
      </c>
      <c r="H87" s="1441"/>
      <c r="I87" s="1441"/>
      <c r="J87" s="1443" t="s">
        <v>2329</v>
      </c>
      <c r="K87" s="1441"/>
      <c r="L87" s="1441"/>
      <c r="M87" s="897"/>
      <c r="AA87">
        <f>IF(AND('03 Loc'!C87&gt;Tmin, NOT('03 Loc'!$I87="")),'03 Loc'!$I87,0)</f>
        <v>0</v>
      </c>
      <c r="AB87">
        <f>IF(AND('03 Loc'!D87&gt;Tmin, NOT('03 Loc'!$I87="")),'03 Loc'!$I87,0)</f>
        <v>0</v>
      </c>
      <c r="AC87">
        <f>IF(AND('03 Loc'!E87&gt;Tmin, NOT('03 Loc'!$I87="")),'03 Loc'!$I87,0)</f>
        <v>0</v>
      </c>
      <c r="AD87">
        <f>IF(AND('03 Loc'!F87&gt;Tmin, NOT('03 Loc'!$I87="")),'03 Loc'!$I87,0)</f>
        <v>0</v>
      </c>
      <c r="AE87">
        <f>IF(AND('03 Loc'!C87&lt;Tmax, NOT('03 Loc'!$H87="")),'03 Loc'!$H87,4)</f>
        <v>4</v>
      </c>
      <c r="AF87">
        <f>IF(AND('03 Loc'!D87&lt;Tmax, NOT('03 Loc'!$H87="")),'03 Loc'!$H87,4)</f>
        <v>4</v>
      </c>
      <c r="AG87">
        <f>IF(AND('03 Loc'!E87&lt;Tmax, NOT('03 Loc'!$H87="")),'03 Loc'!$H87,4)</f>
        <v>4</v>
      </c>
      <c r="AH87">
        <f>IF(AND('03 Loc'!F87&lt;Tmax, NOT('03 Loc'!$H87="")),'03 Loc'!$H87,4)</f>
        <v>4</v>
      </c>
      <c r="AI87"/>
    </row>
    <row r="88" spans="1:35" ht="22.5" outlineLevel="2" x14ac:dyDescent="0.2">
      <c r="A88" s="636" t="s">
        <v>4416</v>
      </c>
      <c r="B88" s="636" t="s">
        <v>4417</v>
      </c>
      <c r="C88" s="887"/>
      <c r="D88" s="887"/>
      <c r="E88" s="887"/>
      <c r="F88" s="887"/>
      <c r="G88" s="1441">
        <v>2</v>
      </c>
      <c r="H88" s="1441">
        <v>3</v>
      </c>
      <c r="I88" s="1441"/>
      <c r="J88" s="1443" t="s">
        <v>2349</v>
      </c>
      <c r="K88" s="1441"/>
      <c r="L88" s="1441"/>
      <c r="M88" s="897"/>
      <c r="AA88">
        <f>IF(AND('03 Loc'!C88&gt;Tmin, NOT('03 Loc'!$I88="")),'03 Loc'!$I88,0)</f>
        <v>0</v>
      </c>
      <c r="AB88">
        <f>IF(AND('03 Loc'!D88&gt;Tmin, NOT('03 Loc'!$I88="")),'03 Loc'!$I88,0)</f>
        <v>0</v>
      </c>
      <c r="AC88">
        <f>IF(AND('03 Loc'!E88&gt;Tmin, NOT('03 Loc'!$I88="")),'03 Loc'!$I88,0)</f>
        <v>0</v>
      </c>
      <c r="AD88">
        <f>IF(AND('03 Loc'!F88&gt;Tmin, NOT('03 Loc'!$I88="")),'03 Loc'!$I88,0)</f>
        <v>0</v>
      </c>
      <c r="AE88">
        <f>IF(AND('03 Loc'!C88&lt;Tmax, NOT('03 Loc'!$H88="")),'03 Loc'!$H88,4)</f>
        <v>3</v>
      </c>
      <c r="AF88">
        <f>IF(AND('03 Loc'!D88&lt;Tmax, NOT('03 Loc'!$H88="")),'03 Loc'!$H88,4)</f>
        <v>3</v>
      </c>
      <c r="AG88">
        <f>IF(AND('03 Loc'!E88&lt;Tmax, NOT('03 Loc'!$H88="")),'03 Loc'!$H88,4)</f>
        <v>3</v>
      </c>
      <c r="AH88">
        <f>IF(AND('03 Loc'!F88&lt;Tmax, NOT('03 Loc'!$H88="")),'03 Loc'!$H88,4)</f>
        <v>3</v>
      </c>
      <c r="AI88"/>
    </row>
    <row r="89" spans="1:35" outlineLevel="2" x14ac:dyDescent="0.2">
      <c r="A89" s="636" t="s">
        <v>4418</v>
      </c>
      <c r="B89" s="636" t="s">
        <v>2113</v>
      </c>
      <c r="C89" s="887"/>
      <c r="D89" s="887"/>
      <c r="E89" s="887"/>
      <c r="F89" s="887"/>
      <c r="G89" s="1441">
        <v>2</v>
      </c>
      <c r="H89" s="1441">
        <v>3</v>
      </c>
      <c r="I89" s="1441"/>
      <c r="J89" s="1443" t="s">
        <v>2109</v>
      </c>
      <c r="K89" s="1441"/>
      <c r="L89" s="1441"/>
      <c r="M89" s="897"/>
      <c r="AA89">
        <f>IF(AND('03 Loc'!C89&gt;Tmin, NOT('03 Loc'!$I89="")),'03 Loc'!$I89,0)</f>
        <v>0</v>
      </c>
      <c r="AB89">
        <f>IF(AND('03 Loc'!D89&gt;Tmin, NOT('03 Loc'!$I89="")),'03 Loc'!$I89,0)</f>
        <v>0</v>
      </c>
      <c r="AC89">
        <f>IF(AND('03 Loc'!E89&gt;Tmin, NOT('03 Loc'!$I89="")),'03 Loc'!$I89,0)</f>
        <v>0</v>
      </c>
      <c r="AD89">
        <f>IF(AND('03 Loc'!F89&gt;Tmin, NOT('03 Loc'!$I89="")),'03 Loc'!$I89,0)</f>
        <v>0</v>
      </c>
      <c r="AE89">
        <f>IF(AND('03 Loc'!C89&lt;Tmax, NOT('03 Loc'!$H89="")),'03 Loc'!$H89,4)</f>
        <v>3</v>
      </c>
      <c r="AF89">
        <f>IF(AND('03 Loc'!D89&lt;Tmax, NOT('03 Loc'!$H89="")),'03 Loc'!$H89,4)</f>
        <v>3</v>
      </c>
      <c r="AG89">
        <f>IF(AND('03 Loc'!E89&lt;Tmax, NOT('03 Loc'!$H89="")),'03 Loc'!$H89,4)</f>
        <v>3</v>
      </c>
      <c r="AH89">
        <f>IF(AND('03 Loc'!F89&lt;Tmax, NOT('03 Loc'!$H89="")),'03 Loc'!$H89,4)</f>
        <v>3</v>
      </c>
      <c r="AI89"/>
    </row>
    <row r="90" spans="1:35" outlineLevel="1" x14ac:dyDescent="0.2">
      <c r="A90" s="898" t="s">
        <v>1665</v>
      </c>
      <c r="B90" s="899" t="s">
        <v>1666</v>
      </c>
      <c r="C90" s="887"/>
      <c r="D90" s="887"/>
      <c r="E90" s="887"/>
      <c r="F90" s="887"/>
      <c r="G90" s="1441"/>
      <c r="H90" s="1441"/>
      <c r="I90" s="1441"/>
      <c r="J90" s="1443"/>
      <c r="K90" s="1441"/>
      <c r="L90" s="1441"/>
      <c r="M90" s="897"/>
      <c r="AA90"/>
      <c r="AB90"/>
      <c r="AC90"/>
      <c r="AD90"/>
      <c r="AE90"/>
      <c r="AF90"/>
      <c r="AG90"/>
      <c r="AH90"/>
      <c r="AI90"/>
    </row>
    <row r="91" spans="1:35" ht="33.75" outlineLevel="2" x14ac:dyDescent="0.2">
      <c r="A91" s="636" t="s">
        <v>4419</v>
      </c>
      <c r="B91" s="636" t="s">
        <v>6345</v>
      </c>
      <c r="C91" s="887"/>
      <c r="D91" s="887"/>
      <c r="E91" s="887"/>
      <c r="F91" s="887"/>
      <c r="G91" s="1441">
        <v>4</v>
      </c>
      <c r="H91" s="1441"/>
      <c r="I91" s="1441">
        <v>3</v>
      </c>
      <c r="J91" s="1443" t="s">
        <v>1592</v>
      </c>
      <c r="K91" s="1441" t="s">
        <v>6963</v>
      </c>
      <c r="L91" s="1441" t="s">
        <v>7262</v>
      </c>
      <c r="M91" s="897"/>
      <c r="AA91">
        <f>IF(AND('03 Loc'!C91&gt;Tmin, NOT('03 Loc'!$I91="")),'03 Loc'!$I91,0)</f>
        <v>0</v>
      </c>
      <c r="AB91">
        <f>IF(AND('03 Loc'!D91&gt;Tmin, NOT('03 Loc'!$I91="")),'03 Loc'!$I91,0)</f>
        <v>0</v>
      </c>
      <c r="AC91">
        <f>IF(AND('03 Loc'!E91&gt;Tmin, NOT('03 Loc'!$I91="")),'03 Loc'!$I91,0)</f>
        <v>0</v>
      </c>
      <c r="AD91">
        <f>IF(AND('03 Loc'!F91&gt;Tmin, NOT('03 Loc'!$I91="")),'03 Loc'!$I91,0)</f>
        <v>0</v>
      </c>
      <c r="AE91">
        <f>IF(AND('03 Loc'!C91&lt;Tmax, NOT('03 Loc'!$H91="")),'03 Loc'!$H91,4)</f>
        <v>4</v>
      </c>
      <c r="AF91">
        <f>IF(AND('03 Loc'!D91&lt;Tmax, NOT('03 Loc'!$H91="")),'03 Loc'!$H91,4)</f>
        <v>4</v>
      </c>
      <c r="AG91">
        <f>IF(AND('03 Loc'!E91&lt;Tmax, NOT('03 Loc'!$H91="")),'03 Loc'!$H91,4)</f>
        <v>4</v>
      </c>
      <c r="AH91">
        <f>IF(AND('03 Loc'!F91&lt;Tmax, NOT('03 Loc'!$H91="")),'03 Loc'!$H91,4)</f>
        <v>4</v>
      </c>
      <c r="AI91"/>
    </row>
    <row r="92" spans="1:35" ht="22.5" outlineLevel="2" x14ac:dyDescent="0.2">
      <c r="A92" s="636" t="s">
        <v>6346</v>
      </c>
      <c r="B92" s="636" t="s">
        <v>4744</v>
      </c>
      <c r="C92" s="887"/>
      <c r="D92" s="887"/>
      <c r="E92" s="887"/>
      <c r="F92" s="887"/>
      <c r="G92" s="1441">
        <v>4</v>
      </c>
      <c r="H92" s="1441">
        <v>3</v>
      </c>
      <c r="I92" s="1441"/>
      <c r="J92" s="1443" t="s">
        <v>2329</v>
      </c>
      <c r="K92" s="1441"/>
      <c r="L92" s="1441"/>
      <c r="M92" s="897"/>
      <c r="AA92">
        <f>IF(AND('03 Loc'!C92&gt;Tmin, NOT('03 Loc'!$I92="")),'03 Loc'!$I92,0)</f>
        <v>0</v>
      </c>
      <c r="AB92">
        <f>IF(AND('03 Loc'!D92&gt;Tmin, NOT('03 Loc'!$I92="")),'03 Loc'!$I92,0)</f>
        <v>0</v>
      </c>
      <c r="AC92">
        <f>IF(AND('03 Loc'!E92&gt;Tmin, NOT('03 Loc'!$I92="")),'03 Loc'!$I92,0)</f>
        <v>0</v>
      </c>
      <c r="AD92">
        <f>IF(AND('03 Loc'!F92&gt;Tmin, NOT('03 Loc'!$I92="")),'03 Loc'!$I92,0)</f>
        <v>0</v>
      </c>
      <c r="AE92">
        <f>IF(AND('03 Loc'!C92&lt;Tmax, NOT('03 Loc'!$H92="")),'03 Loc'!$H92,4)</f>
        <v>3</v>
      </c>
      <c r="AF92">
        <f>IF(AND('03 Loc'!D92&lt;Tmax, NOT('03 Loc'!$H92="")),'03 Loc'!$H92,4)</f>
        <v>3</v>
      </c>
      <c r="AG92">
        <f>IF(AND('03 Loc'!E92&lt;Tmax, NOT('03 Loc'!$H92="")),'03 Loc'!$H92,4)</f>
        <v>3</v>
      </c>
      <c r="AH92">
        <f>IF(AND('03 Loc'!F92&lt;Tmax, NOT('03 Loc'!$H92="")),'03 Loc'!$H92,4)</f>
        <v>3</v>
      </c>
      <c r="AI92"/>
    </row>
    <row r="93" spans="1:35" ht="22.5" outlineLevel="2" x14ac:dyDescent="0.2">
      <c r="A93" s="636" t="s">
        <v>6851</v>
      </c>
      <c r="B93" s="636" t="s">
        <v>4858</v>
      </c>
      <c r="C93" s="887"/>
      <c r="D93" s="887"/>
      <c r="E93" s="887"/>
      <c r="F93" s="887"/>
      <c r="G93" s="1441">
        <v>2</v>
      </c>
      <c r="H93" s="1441">
        <v>2</v>
      </c>
      <c r="I93" s="1441"/>
      <c r="J93" s="1443" t="s">
        <v>1592</v>
      </c>
      <c r="K93" s="1441"/>
      <c r="L93" s="1441"/>
      <c r="M93" s="897"/>
      <c r="AA93">
        <f>IF(AND('03 Loc'!C93&gt;Tmin, NOT('03 Loc'!$I93="")),'03 Loc'!$I93,0)</f>
        <v>0</v>
      </c>
      <c r="AB93">
        <f>IF(AND('03 Loc'!D93&gt;Tmin, NOT('03 Loc'!$I93="")),'03 Loc'!$I93,0)</f>
        <v>0</v>
      </c>
      <c r="AC93">
        <f>IF(AND('03 Loc'!E93&gt;Tmin, NOT('03 Loc'!$I93="")),'03 Loc'!$I93,0)</f>
        <v>0</v>
      </c>
      <c r="AD93">
        <f>IF(AND('03 Loc'!F93&gt;Tmin, NOT('03 Loc'!$I93="")),'03 Loc'!$I93,0)</f>
        <v>0</v>
      </c>
      <c r="AE93">
        <f>IF(AND('03 Loc'!C93&lt;Tmax, NOT('03 Loc'!$H93="")),'03 Loc'!$H93,4)</f>
        <v>2</v>
      </c>
      <c r="AF93">
        <f>IF(AND('03 Loc'!D93&lt;Tmax, NOT('03 Loc'!$H93="")),'03 Loc'!$H93,4)</f>
        <v>2</v>
      </c>
      <c r="AG93">
        <f>IF(AND('03 Loc'!E93&lt;Tmax, NOT('03 Loc'!$H93="")),'03 Loc'!$H93,4)</f>
        <v>2</v>
      </c>
      <c r="AH93">
        <f>IF(AND('03 Loc'!F93&lt;Tmax, NOT('03 Loc'!$H93="")),'03 Loc'!$H93,4)</f>
        <v>2</v>
      </c>
      <c r="AI93"/>
    </row>
    <row r="94" spans="1:35" ht="22.5" outlineLevel="2" x14ac:dyDescent="0.2">
      <c r="A94" s="636" t="s">
        <v>4859</v>
      </c>
      <c r="B94" s="636" t="s">
        <v>3132</v>
      </c>
      <c r="C94" s="887"/>
      <c r="D94" s="887"/>
      <c r="E94" s="887"/>
      <c r="F94" s="887"/>
      <c r="G94" s="1441">
        <v>4</v>
      </c>
      <c r="H94" s="1441">
        <v>3</v>
      </c>
      <c r="I94" s="1441"/>
      <c r="J94" s="1443" t="s">
        <v>2329</v>
      </c>
      <c r="K94" s="1441"/>
      <c r="L94" s="1441"/>
      <c r="M94" s="897"/>
      <c r="AA94">
        <f>IF(AND('03 Loc'!C94&gt;Tmin, NOT('03 Loc'!$I94="")),'03 Loc'!$I94,0)</f>
        <v>0</v>
      </c>
      <c r="AB94">
        <f>IF(AND('03 Loc'!D94&gt;Tmin, NOT('03 Loc'!$I94="")),'03 Loc'!$I94,0)</f>
        <v>0</v>
      </c>
      <c r="AC94">
        <f>IF(AND('03 Loc'!E94&gt;Tmin, NOT('03 Loc'!$I94="")),'03 Loc'!$I94,0)</f>
        <v>0</v>
      </c>
      <c r="AD94">
        <f>IF(AND('03 Loc'!F94&gt;Tmin, NOT('03 Loc'!$I94="")),'03 Loc'!$I94,0)</f>
        <v>0</v>
      </c>
      <c r="AE94">
        <f>IF(AND('03 Loc'!C94&lt;Tmax, NOT('03 Loc'!$H94="")),'03 Loc'!$H94,4)</f>
        <v>3</v>
      </c>
      <c r="AF94">
        <f>IF(AND('03 Loc'!D94&lt;Tmax, NOT('03 Loc'!$H94="")),'03 Loc'!$H94,4)</f>
        <v>3</v>
      </c>
      <c r="AG94">
        <f>IF(AND('03 Loc'!E94&lt;Tmax, NOT('03 Loc'!$H94="")),'03 Loc'!$H94,4)</f>
        <v>3</v>
      </c>
      <c r="AH94">
        <f>IF(AND('03 Loc'!F94&lt;Tmax, NOT('03 Loc'!$H94="")),'03 Loc'!$H94,4)</f>
        <v>3</v>
      </c>
      <c r="AI94"/>
    </row>
    <row r="95" spans="1:35" outlineLevel="2" x14ac:dyDescent="0.2">
      <c r="A95" s="636" t="s">
        <v>4860</v>
      </c>
      <c r="B95" s="636" t="s">
        <v>4861</v>
      </c>
      <c r="C95" s="887"/>
      <c r="D95" s="887"/>
      <c r="E95" s="887"/>
      <c r="F95" s="887"/>
      <c r="G95" s="1441">
        <v>4</v>
      </c>
      <c r="H95" s="1443">
        <v>2</v>
      </c>
      <c r="I95" s="1443"/>
      <c r="J95" s="1443" t="s">
        <v>1592</v>
      </c>
      <c r="K95" s="1441"/>
      <c r="L95" s="1441"/>
      <c r="M95" s="897"/>
      <c r="AA95">
        <f>IF(AND('03 Loc'!C95&gt;Tmin, NOT('03 Loc'!$I95="")),'03 Loc'!$I95,0)</f>
        <v>0</v>
      </c>
      <c r="AB95">
        <f>IF(AND('03 Loc'!D95&gt;Tmin, NOT('03 Loc'!$I95="")),'03 Loc'!$I95,0)</f>
        <v>0</v>
      </c>
      <c r="AC95">
        <f>IF(AND('03 Loc'!E95&gt;Tmin, NOT('03 Loc'!$I95="")),'03 Loc'!$I95,0)</f>
        <v>0</v>
      </c>
      <c r="AD95">
        <f>IF(AND('03 Loc'!F95&gt;Tmin, NOT('03 Loc'!$I95="")),'03 Loc'!$I95,0)</f>
        <v>0</v>
      </c>
      <c r="AE95">
        <f>IF(AND('03 Loc'!C95&lt;Tmax, NOT('03 Loc'!$H95="")),'03 Loc'!$H95,4)</f>
        <v>2</v>
      </c>
      <c r="AF95">
        <f>IF(AND('03 Loc'!D95&lt;Tmax, NOT('03 Loc'!$H95="")),'03 Loc'!$H95,4)</f>
        <v>2</v>
      </c>
      <c r="AG95">
        <f>IF(AND('03 Loc'!E95&lt;Tmax, NOT('03 Loc'!$H95="")),'03 Loc'!$H95,4)</f>
        <v>2</v>
      </c>
      <c r="AH95">
        <f>IF(AND('03 Loc'!F95&lt;Tmax, NOT('03 Loc'!$H95="")),'03 Loc'!$H95,4)</f>
        <v>2</v>
      </c>
      <c r="AI95"/>
    </row>
    <row r="96" spans="1:35" outlineLevel="2" x14ac:dyDescent="0.2">
      <c r="A96" s="636" t="s">
        <v>2385</v>
      </c>
      <c r="B96" s="636" t="s">
        <v>2386</v>
      </c>
      <c r="C96" s="887"/>
      <c r="D96" s="887"/>
      <c r="E96" s="887"/>
      <c r="F96" s="887"/>
      <c r="G96" s="1441">
        <v>1</v>
      </c>
      <c r="H96" s="1441"/>
      <c r="I96" s="1441"/>
      <c r="J96" s="1443" t="s">
        <v>2329</v>
      </c>
      <c r="K96" s="1441"/>
      <c r="L96" s="1441"/>
      <c r="M96" s="897"/>
      <c r="AA96">
        <f>IF(AND('03 Loc'!C96&gt;Tmin, NOT('03 Loc'!$I96="")),'03 Loc'!$I96,0)</f>
        <v>0</v>
      </c>
      <c r="AB96">
        <f>IF(AND('03 Loc'!D96&gt;Tmin, NOT('03 Loc'!$I96="")),'03 Loc'!$I96,0)</f>
        <v>0</v>
      </c>
      <c r="AC96">
        <f>IF(AND('03 Loc'!E96&gt;Tmin, NOT('03 Loc'!$I96="")),'03 Loc'!$I96,0)</f>
        <v>0</v>
      </c>
      <c r="AD96">
        <f>IF(AND('03 Loc'!F96&gt;Tmin, NOT('03 Loc'!$I96="")),'03 Loc'!$I96,0)</f>
        <v>0</v>
      </c>
      <c r="AE96">
        <f>IF(AND('03 Loc'!C96&lt;Tmax, NOT('03 Loc'!$H96="")),'03 Loc'!$H96,4)</f>
        <v>4</v>
      </c>
      <c r="AF96">
        <f>IF(AND('03 Loc'!D96&lt;Tmax, NOT('03 Loc'!$H96="")),'03 Loc'!$H96,4)</f>
        <v>4</v>
      </c>
      <c r="AG96">
        <f>IF(AND('03 Loc'!E96&lt;Tmax, NOT('03 Loc'!$H96="")),'03 Loc'!$H96,4)</f>
        <v>4</v>
      </c>
      <c r="AH96">
        <f>IF(AND('03 Loc'!F96&lt;Tmax, NOT('03 Loc'!$H96="")),'03 Loc'!$H96,4)</f>
        <v>4</v>
      </c>
      <c r="AI96"/>
    </row>
    <row r="97" spans="1:35" ht="22.5" outlineLevel="2" x14ac:dyDescent="0.2">
      <c r="A97" s="636" t="s">
        <v>2387</v>
      </c>
      <c r="B97" s="636" t="s">
        <v>2388</v>
      </c>
      <c r="C97" s="887"/>
      <c r="D97" s="887"/>
      <c r="E97" s="887"/>
      <c r="F97" s="887"/>
      <c r="G97" s="1441">
        <v>2</v>
      </c>
      <c r="H97" s="1441">
        <v>3</v>
      </c>
      <c r="I97" s="1441"/>
      <c r="J97" s="1443" t="s">
        <v>2349</v>
      </c>
      <c r="K97" s="1441"/>
      <c r="L97" s="1441"/>
      <c r="M97" s="897"/>
      <c r="AA97">
        <f>IF(AND('03 Loc'!C97&gt;Tmin, NOT('03 Loc'!$I97="")),'03 Loc'!$I97,0)</f>
        <v>0</v>
      </c>
      <c r="AB97">
        <f>IF(AND('03 Loc'!D97&gt;Tmin, NOT('03 Loc'!$I97="")),'03 Loc'!$I97,0)</f>
        <v>0</v>
      </c>
      <c r="AC97">
        <f>IF(AND('03 Loc'!E97&gt;Tmin, NOT('03 Loc'!$I97="")),'03 Loc'!$I97,0)</f>
        <v>0</v>
      </c>
      <c r="AD97">
        <f>IF(AND('03 Loc'!F97&gt;Tmin, NOT('03 Loc'!$I97="")),'03 Loc'!$I97,0)</f>
        <v>0</v>
      </c>
      <c r="AE97">
        <f>IF(AND('03 Loc'!C97&lt;Tmax, NOT('03 Loc'!$H97="")),'03 Loc'!$H97,4)</f>
        <v>3</v>
      </c>
      <c r="AF97">
        <f>IF(AND('03 Loc'!D97&lt;Tmax, NOT('03 Loc'!$H97="")),'03 Loc'!$H97,4)</f>
        <v>3</v>
      </c>
      <c r="AG97">
        <f>IF(AND('03 Loc'!E97&lt;Tmax, NOT('03 Loc'!$H97="")),'03 Loc'!$H97,4)</f>
        <v>3</v>
      </c>
      <c r="AH97">
        <f>IF(AND('03 Loc'!F97&lt;Tmax, NOT('03 Loc'!$H97="")),'03 Loc'!$H97,4)</f>
        <v>3</v>
      </c>
      <c r="AI97"/>
    </row>
    <row r="98" spans="1:35" ht="22.5" outlineLevel="2" x14ac:dyDescent="0.2">
      <c r="A98" s="636" t="s">
        <v>2389</v>
      </c>
      <c r="B98" s="636" t="s">
        <v>2390</v>
      </c>
      <c r="C98" s="887"/>
      <c r="D98" s="887"/>
      <c r="E98" s="887"/>
      <c r="F98" s="887"/>
      <c r="G98" s="1441">
        <v>2</v>
      </c>
      <c r="H98" s="1441">
        <v>3</v>
      </c>
      <c r="I98" s="1441"/>
      <c r="J98" s="1443" t="s">
        <v>2109</v>
      </c>
      <c r="K98" s="1441"/>
      <c r="L98" s="1441"/>
      <c r="M98" s="897"/>
      <c r="AA98">
        <f>IF(AND('03 Loc'!C98&gt;Tmin, NOT('03 Loc'!$I98="")),'03 Loc'!$I98,0)</f>
        <v>0</v>
      </c>
      <c r="AB98">
        <f>IF(AND('03 Loc'!D98&gt;Tmin, NOT('03 Loc'!$I98="")),'03 Loc'!$I98,0)</f>
        <v>0</v>
      </c>
      <c r="AC98">
        <f>IF(AND('03 Loc'!E98&gt;Tmin, NOT('03 Loc'!$I98="")),'03 Loc'!$I98,0)</f>
        <v>0</v>
      </c>
      <c r="AD98">
        <f>IF(AND('03 Loc'!F98&gt;Tmin, NOT('03 Loc'!$I98="")),'03 Loc'!$I98,0)</f>
        <v>0</v>
      </c>
      <c r="AE98">
        <f>IF(AND('03 Loc'!C98&lt;Tmax, NOT('03 Loc'!$H98="")),'03 Loc'!$H98,4)</f>
        <v>3</v>
      </c>
      <c r="AF98">
        <f>IF(AND('03 Loc'!D98&lt;Tmax, NOT('03 Loc'!$H98="")),'03 Loc'!$H98,4)</f>
        <v>3</v>
      </c>
      <c r="AG98">
        <f>IF(AND('03 Loc'!E98&lt;Tmax, NOT('03 Loc'!$H98="")),'03 Loc'!$H98,4)</f>
        <v>3</v>
      </c>
      <c r="AH98">
        <f>IF(AND('03 Loc'!F98&lt;Tmax, NOT('03 Loc'!$H98="")),'03 Loc'!$H98,4)</f>
        <v>3</v>
      </c>
      <c r="AI98"/>
    </row>
    <row r="99" spans="1:35" outlineLevel="1" x14ac:dyDescent="0.2">
      <c r="A99" s="898" t="s">
        <v>1667</v>
      </c>
      <c r="B99" s="899" t="s">
        <v>1668</v>
      </c>
      <c r="C99" s="887"/>
      <c r="D99" s="887"/>
      <c r="E99" s="887"/>
      <c r="F99" s="887"/>
      <c r="G99" s="1441"/>
      <c r="H99" s="1443"/>
      <c r="I99" s="1443"/>
      <c r="J99" s="1443"/>
      <c r="K99" s="1441"/>
      <c r="L99" s="1441"/>
      <c r="M99" s="897"/>
      <c r="AA99"/>
      <c r="AB99"/>
      <c r="AC99"/>
      <c r="AD99"/>
      <c r="AE99"/>
      <c r="AF99"/>
      <c r="AG99"/>
      <c r="AH99"/>
      <c r="AI99"/>
    </row>
    <row r="100" spans="1:35" outlineLevel="2" x14ac:dyDescent="0.2">
      <c r="A100" s="636" t="s">
        <v>2391</v>
      </c>
      <c r="B100" s="636" t="s">
        <v>2392</v>
      </c>
      <c r="C100" s="887"/>
      <c r="D100" s="887"/>
      <c r="E100" s="887"/>
      <c r="F100" s="887"/>
      <c r="G100" s="1441">
        <v>2</v>
      </c>
      <c r="H100" s="1441">
        <v>2</v>
      </c>
      <c r="I100" s="1441"/>
      <c r="J100" s="1443" t="s">
        <v>1592</v>
      </c>
      <c r="K100" s="1441"/>
      <c r="L100" s="1441"/>
      <c r="M100" s="897"/>
      <c r="AA100">
        <f>IF(AND('03 Loc'!C100&gt;Tmin, NOT('03 Loc'!$I100="")),'03 Loc'!$I100,0)</f>
        <v>0</v>
      </c>
      <c r="AB100">
        <f>IF(AND('03 Loc'!D100&gt;Tmin, NOT('03 Loc'!$I100="")),'03 Loc'!$I100,0)</f>
        <v>0</v>
      </c>
      <c r="AC100">
        <f>IF(AND('03 Loc'!E100&gt;Tmin, NOT('03 Loc'!$I100="")),'03 Loc'!$I100,0)</f>
        <v>0</v>
      </c>
      <c r="AD100">
        <f>IF(AND('03 Loc'!F100&gt;Tmin, NOT('03 Loc'!$I100="")),'03 Loc'!$I100,0)</f>
        <v>0</v>
      </c>
      <c r="AE100">
        <f>IF(AND('03 Loc'!C100&lt;Tmax, NOT('03 Loc'!$H100="")),'03 Loc'!$H100,4)</f>
        <v>2</v>
      </c>
      <c r="AF100">
        <f>IF(AND('03 Loc'!D100&lt;Tmax, NOT('03 Loc'!$H100="")),'03 Loc'!$H100,4)</f>
        <v>2</v>
      </c>
      <c r="AG100">
        <f>IF(AND('03 Loc'!E100&lt;Tmax, NOT('03 Loc'!$H100="")),'03 Loc'!$H100,4)</f>
        <v>2</v>
      </c>
      <c r="AH100">
        <f>IF(AND('03 Loc'!F100&lt;Tmax, NOT('03 Loc'!$H100="")),'03 Loc'!$H100,4)</f>
        <v>2</v>
      </c>
      <c r="AI100"/>
    </row>
    <row r="101" spans="1:35" ht="22.5" outlineLevel="2" x14ac:dyDescent="0.2">
      <c r="A101" s="636" t="s">
        <v>2393</v>
      </c>
      <c r="B101" s="636" t="s">
        <v>2394</v>
      </c>
      <c r="C101" s="887"/>
      <c r="D101" s="887"/>
      <c r="E101" s="887"/>
      <c r="F101" s="887"/>
      <c r="G101" s="1441">
        <v>4</v>
      </c>
      <c r="H101" s="1441">
        <v>3</v>
      </c>
      <c r="I101" s="1441"/>
      <c r="J101" s="1443" t="s">
        <v>2329</v>
      </c>
      <c r="K101" s="1441"/>
      <c r="L101" s="1441"/>
      <c r="M101" s="897"/>
      <c r="AA101">
        <f>IF(AND('03 Loc'!C101&gt;Tmin, NOT('03 Loc'!$I101="")),'03 Loc'!$I101,0)</f>
        <v>0</v>
      </c>
      <c r="AB101">
        <f>IF(AND('03 Loc'!D101&gt;Tmin, NOT('03 Loc'!$I101="")),'03 Loc'!$I101,0)</f>
        <v>0</v>
      </c>
      <c r="AC101">
        <f>IF(AND('03 Loc'!E101&gt;Tmin, NOT('03 Loc'!$I101="")),'03 Loc'!$I101,0)</f>
        <v>0</v>
      </c>
      <c r="AD101">
        <f>IF(AND('03 Loc'!F101&gt;Tmin, NOT('03 Loc'!$I101="")),'03 Loc'!$I101,0)</f>
        <v>0</v>
      </c>
      <c r="AE101">
        <f>IF(AND('03 Loc'!C101&lt;Tmax, NOT('03 Loc'!$H101="")),'03 Loc'!$H101,4)</f>
        <v>3</v>
      </c>
      <c r="AF101">
        <f>IF(AND('03 Loc'!D101&lt;Tmax, NOT('03 Loc'!$H101="")),'03 Loc'!$H101,4)</f>
        <v>3</v>
      </c>
      <c r="AG101">
        <f>IF(AND('03 Loc'!E101&lt;Tmax, NOT('03 Loc'!$H101="")),'03 Loc'!$H101,4)</f>
        <v>3</v>
      </c>
      <c r="AH101">
        <f>IF(AND('03 Loc'!F101&lt;Tmax, NOT('03 Loc'!$H101="")),'03 Loc'!$H101,4)</f>
        <v>3</v>
      </c>
      <c r="AI101"/>
    </row>
    <row r="102" spans="1:35" ht="22.5" outlineLevel="2" x14ac:dyDescent="0.2">
      <c r="A102" s="636" t="s">
        <v>2395</v>
      </c>
      <c r="B102" s="636" t="s">
        <v>11</v>
      </c>
      <c r="C102" s="887"/>
      <c r="D102" s="887"/>
      <c r="E102" s="887"/>
      <c r="F102" s="887"/>
      <c r="G102" s="1441">
        <v>2</v>
      </c>
      <c r="H102" s="1441">
        <v>2</v>
      </c>
      <c r="I102" s="1441"/>
      <c r="J102" s="1443" t="s">
        <v>1592</v>
      </c>
      <c r="K102" s="1441"/>
      <c r="L102" s="1441"/>
      <c r="M102" s="897"/>
      <c r="AA102">
        <f>IF(AND('03 Loc'!C102&gt;Tmin, NOT('03 Loc'!$I102="")),'03 Loc'!$I102,0)</f>
        <v>0</v>
      </c>
      <c r="AB102">
        <f>IF(AND('03 Loc'!D102&gt;Tmin, NOT('03 Loc'!$I102="")),'03 Loc'!$I102,0)</f>
        <v>0</v>
      </c>
      <c r="AC102">
        <f>IF(AND('03 Loc'!E102&gt;Tmin, NOT('03 Loc'!$I102="")),'03 Loc'!$I102,0)</f>
        <v>0</v>
      </c>
      <c r="AD102">
        <f>IF(AND('03 Loc'!F102&gt;Tmin, NOT('03 Loc'!$I102="")),'03 Loc'!$I102,0)</f>
        <v>0</v>
      </c>
      <c r="AE102">
        <f>IF(AND('03 Loc'!C102&lt;Tmax, NOT('03 Loc'!$H102="")),'03 Loc'!$H102,4)</f>
        <v>2</v>
      </c>
      <c r="AF102">
        <f>IF(AND('03 Loc'!D102&lt;Tmax, NOT('03 Loc'!$H102="")),'03 Loc'!$H102,4)</f>
        <v>2</v>
      </c>
      <c r="AG102">
        <f>IF(AND('03 Loc'!E102&lt;Tmax, NOT('03 Loc'!$H102="")),'03 Loc'!$H102,4)</f>
        <v>2</v>
      </c>
      <c r="AH102">
        <f>IF(AND('03 Loc'!F102&lt;Tmax, NOT('03 Loc'!$H102="")),'03 Loc'!$H102,4)</f>
        <v>2</v>
      </c>
      <c r="AI102"/>
    </row>
    <row r="103" spans="1:35" ht="22.5" outlineLevel="2" x14ac:dyDescent="0.2">
      <c r="A103" s="636" t="s">
        <v>2396</v>
      </c>
      <c r="B103" s="636" t="s">
        <v>6845</v>
      </c>
      <c r="C103" s="887"/>
      <c r="D103" s="887"/>
      <c r="E103" s="887"/>
      <c r="F103" s="887"/>
      <c r="G103" s="1441">
        <v>2</v>
      </c>
      <c r="H103" s="1441">
        <v>3</v>
      </c>
      <c r="I103" s="1441"/>
      <c r="J103" s="1443" t="s">
        <v>1592</v>
      </c>
      <c r="K103" s="1441"/>
      <c r="L103" s="1441"/>
      <c r="M103" s="897"/>
      <c r="AA103">
        <f>IF(AND('03 Loc'!C103&gt;Tmin, NOT('03 Loc'!$I103="")),'03 Loc'!$I103,0)</f>
        <v>0</v>
      </c>
      <c r="AB103">
        <f>IF(AND('03 Loc'!D103&gt;Tmin, NOT('03 Loc'!$I103="")),'03 Loc'!$I103,0)</f>
        <v>0</v>
      </c>
      <c r="AC103">
        <f>IF(AND('03 Loc'!E103&gt;Tmin, NOT('03 Loc'!$I103="")),'03 Loc'!$I103,0)</f>
        <v>0</v>
      </c>
      <c r="AD103">
        <f>IF(AND('03 Loc'!F103&gt;Tmin, NOT('03 Loc'!$I103="")),'03 Loc'!$I103,0)</f>
        <v>0</v>
      </c>
      <c r="AE103">
        <f>IF(AND('03 Loc'!C103&lt;Tmax, NOT('03 Loc'!$H103="")),'03 Loc'!$H103,4)</f>
        <v>3</v>
      </c>
      <c r="AF103">
        <f>IF(AND('03 Loc'!D103&lt;Tmax, NOT('03 Loc'!$H103="")),'03 Loc'!$H103,4)</f>
        <v>3</v>
      </c>
      <c r="AG103">
        <f>IF(AND('03 Loc'!E103&lt;Tmax, NOT('03 Loc'!$H103="")),'03 Loc'!$H103,4)</f>
        <v>3</v>
      </c>
      <c r="AH103">
        <f>IF(AND('03 Loc'!F103&lt;Tmax, NOT('03 Loc'!$H103="")),'03 Loc'!$H103,4)</f>
        <v>3</v>
      </c>
      <c r="AI103"/>
    </row>
    <row r="104" spans="1:35" ht="35.25" customHeight="1" outlineLevel="2" x14ac:dyDescent="0.2">
      <c r="A104" s="636" t="s">
        <v>2336</v>
      </c>
      <c r="B104" s="636" t="s">
        <v>2374</v>
      </c>
      <c r="C104" s="887"/>
      <c r="D104" s="887"/>
      <c r="E104" s="887"/>
      <c r="F104" s="887"/>
      <c r="G104" s="1441">
        <v>2</v>
      </c>
      <c r="H104" s="1441">
        <v>3</v>
      </c>
      <c r="I104" s="1441"/>
      <c r="J104" s="1443" t="s">
        <v>2109</v>
      </c>
      <c r="K104" s="1441"/>
      <c r="L104" s="1441"/>
      <c r="M104" s="897"/>
      <c r="AA104">
        <f>IF(AND('03 Loc'!C104&gt;Tmin, NOT('03 Loc'!$I104="")),'03 Loc'!$I104,0)</f>
        <v>0</v>
      </c>
      <c r="AB104">
        <f>IF(AND('03 Loc'!D104&gt;Tmin, NOT('03 Loc'!$I104="")),'03 Loc'!$I104,0)</f>
        <v>0</v>
      </c>
      <c r="AC104">
        <f>IF(AND('03 Loc'!E104&gt;Tmin, NOT('03 Loc'!$I104="")),'03 Loc'!$I104,0)</f>
        <v>0</v>
      </c>
      <c r="AD104">
        <f>IF(AND('03 Loc'!F104&gt;Tmin, NOT('03 Loc'!$I104="")),'03 Loc'!$I104,0)</f>
        <v>0</v>
      </c>
      <c r="AE104">
        <f>IF(AND('03 Loc'!C104&lt;Tmax, NOT('03 Loc'!$H104="")),'03 Loc'!$H104,4)</f>
        <v>3</v>
      </c>
      <c r="AF104">
        <f>IF(AND('03 Loc'!D104&lt;Tmax, NOT('03 Loc'!$H104="")),'03 Loc'!$H104,4)</f>
        <v>3</v>
      </c>
      <c r="AG104">
        <f>IF(AND('03 Loc'!E104&lt;Tmax, NOT('03 Loc'!$H104="")),'03 Loc'!$H104,4)</f>
        <v>3</v>
      </c>
      <c r="AH104">
        <f>IF(AND('03 Loc'!F104&lt;Tmax, NOT('03 Loc'!$H104="")),'03 Loc'!$H104,4)</f>
        <v>3</v>
      </c>
      <c r="AI104"/>
    </row>
    <row r="105" spans="1:35" outlineLevel="1" x14ac:dyDescent="0.2">
      <c r="A105" s="898" t="s">
        <v>1669</v>
      </c>
      <c r="B105" s="899" t="s">
        <v>6846</v>
      </c>
      <c r="C105" s="887"/>
      <c r="D105" s="887"/>
      <c r="E105" s="887"/>
      <c r="F105" s="887"/>
      <c r="G105" s="1441"/>
      <c r="H105" s="1443"/>
      <c r="I105" s="1443"/>
      <c r="J105" s="1443"/>
      <c r="K105" s="1441"/>
      <c r="L105" s="1441"/>
      <c r="M105" s="897"/>
      <c r="AA105"/>
      <c r="AB105"/>
      <c r="AC105"/>
      <c r="AD105"/>
      <c r="AE105"/>
      <c r="AF105"/>
      <c r="AG105"/>
      <c r="AH105"/>
      <c r="AI105"/>
    </row>
    <row r="106" spans="1:35" outlineLevel="2" x14ac:dyDescent="0.2">
      <c r="A106" s="636" t="s">
        <v>2337</v>
      </c>
      <c r="B106" s="636" t="s">
        <v>1777</v>
      </c>
      <c r="C106" s="887"/>
      <c r="D106" s="887"/>
      <c r="E106" s="887"/>
      <c r="F106" s="887"/>
      <c r="G106" s="1441">
        <v>1</v>
      </c>
      <c r="H106" s="1441"/>
      <c r="I106" s="1441"/>
      <c r="J106" s="1443" t="s">
        <v>1592</v>
      </c>
      <c r="K106" s="1441" t="s">
        <v>6962</v>
      </c>
      <c r="L106" s="1441" t="s">
        <v>7264</v>
      </c>
      <c r="M106" s="897"/>
      <c r="AA106">
        <f>IF(AND('03 Loc'!C106&gt;Tmin, NOT('03 Loc'!$I106="")),'03 Loc'!$I106,0)</f>
        <v>0</v>
      </c>
      <c r="AB106">
        <f>IF(AND('03 Loc'!D106&gt;Tmin, NOT('03 Loc'!$I106="")),'03 Loc'!$I106,0)</f>
        <v>0</v>
      </c>
      <c r="AC106">
        <f>IF(AND('03 Loc'!E106&gt;Tmin, NOT('03 Loc'!$I106="")),'03 Loc'!$I106,0)</f>
        <v>0</v>
      </c>
      <c r="AD106">
        <f>IF(AND('03 Loc'!F106&gt;Tmin, NOT('03 Loc'!$I106="")),'03 Loc'!$I106,0)</f>
        <v>0</v>
      </c>
      <c r="AE106">
        <f>IF(AND('03 Loc'!C106&lt;Tmax, NOT('03 Loc'!$H106="")),'03 Loc'!$H106,4)</f>
        <v>4</v>
      </c>
      <c r="AF106">
        <f>IF(AND('03 Loc'!D106&lt;Tmax, NOT('03 Loc'!$H106="")),'03 Loc'!$H106,4)</f>
        <v>4</v>
      </c>
      <c r="AG106">
        <f>IF(AND('03 Loc'!E106&lt;Tmax, NOT('03 Loc'!$H106="")),'03 Loc'!$H106,4)</f>
        <v>4</v>
      </c>
      <c r="AH106">
        <f>IF(AND('03 Loc'!F106&lt;Tmax, NOT('03 Loc'!$H106="")),'03 Loc'!$H106,4)</f>
        <v>4</v>
      </c>
      <c r="AI106"/>
    </row>
    <row r="107" spans="1:35" ht="33.75" outlineLevel="2" x14ac:dyDescent="0.2">
      <c r="A107" s="636" t="s">
        <v>1778</v>
      </c>
      <c r="B107" s="636" t="s">
        <v>3401</v>
      </c>
      <c r="C107" s="887"/>
      <c r="D107" s="887"/>
      <c r="E107" s="887"/>
      <c r="F107" s="887"/>
      <c r="G107" s="1441">
        <v>1</v>
      </c>
      <c r="H107" s="1441"/>
      <c r="I107" s="1441"/>
      <c r="J107" s="1443" t="s">
        <v>1592</v>
      </c>
      <c r="K107" s="1441" t="s">
        <v>6962</v>
      </c>
      <c r="L107" s="1441" t="s">
        <v>7264</v>
      </c>
      <c r="M107" s="897"/>
      <c r="AA107">
        <f>IF(AND('03 Loc'!C107&gt;Tmin, NOT('03 Loc'!$I107="")),'03 Loc'!$I107,0)</f>
        <v>0</v>
      </c>
      <c r="AB107">
        <f>IF(AND('03 Loc'!D107&gt;Tmin, NOT('03 Loc'!$I107="")),'03 Loc'!$I107,0)</f>
        <v>0</v>
      </c>
      <c r="AC107">
        <f>IF(AND('03 Loc'!E107&gt;Tmin, NOT('03 Loc'!$I107="")),'03 Loc'!$I107,0)</f>
        <v>0</v>
      </c>
      <c r="AD107">
        <f>IF(AND('03 Loc'!F107&gt;Tmin, NOT('03 Loc'!$I107="")),'03 Loc'!$I107,0)</f>
        <v>0</v>
      </c>
      <c r="AE107">
        <f>IF(AND('03 Loc'!C107&lt;Tmax, NOT('03 Loc'!$H107="")),'03 Loc'!$H107,4)</f>
        <v>4</v>
      </c>
      <c r="AF107">
        <f>IF(AND('03 Loc'!D107&lt;Tmax, NOT('03 Loc'!$H107="")),'03 Loc'!$H107,4)</f>
        <v>4</v>
      </c>
      <c r="AG107">
        <f>IF(AND('03 Loc'!E107&lt;Tmax, NOT('03 Loc'!$H107="")),'03 Loc'!$H107,4)</f>
        <v>4</v>
      </c>
      <c r="AH107">
        <f>IF(AND('03 Loc'!F107&lt;Tmax, NOT('03 Loc'!$H107="")),'03 Loc'!$H107,4)</f>
        <v>4</v>
      </c>
      <c r="AI107"/>
    </row>
    <row r="108" spans="1:35" outlineLevel="2" x14ac:dyDescent="0.2">
      <c r="A108" s="636" t="s">
        <v>1779</v>
      </c>
      <c r="B108" s="636" t="s">
        <v>1780</v>
      </c>
      <c r="C108" s="887"/>
      <c r="D108" s="887"/>
      <c r="E108" s="887"/>
      <c r="F108" s="887"/>
      <c r="G108" s="1441">
        <v>1</v>
      </c>
      <c r="H108" s="1441"/>
      <c r="I108" s="1441"/>
      <c r="J108" s="1443" t="s">
        <v>1592</v>
      </c>
      <c r="K108" s="1441" t="s">
        <v>6962</v>
      </c>
      <c r="L108" s="1441" t="s">
        <v>7264</v>
      </c>
      <c r="M108" s="897"/>
      <c r="AA108">
        <f>IF(AND('03 Loc'!C108&gt;Tmin, NOT('03 Loc'!$I108="")),'03 Loc'!$I108,0)</f>
        <v>0</v>
      </c>
      <c r="AB108">
        <f>IF(AND('03 Loc'!D108&gt;Tmin, NOT('03 Loc'!$I108="")),'03 Loc'!$I108,0)</f>
        <v>0</v>
      </c>
      <c r="AC108">
        <f>IF(AND('03 Loc'!E108&gt;Tmin, NOT('03 Loc'!$I108="")),'03 Loc'!$I108,0)</f>
        <v>0</v>
      </c>
      <c r="AD108">
        <f>IF(AND('03 Loc'!F108&gt;Tmin, NOT('03 Loc'!$I108="")),'03 Loc'!$I108,0)</f>
        <v>0</v>
      </c>
      <c r="AE108">
        <f>IF(AND('03 Loc'!C108&lt;Tmax, NOT('03 Loc'!$H108="")),'03 Loc'!$H108,4)</f>
        <v>4</v>
      </c>
      <c r="AF108">
        <f>IF(AND('03 Loc'!D108&lt;Tmax, NOT('03 Loc'!$H108="")),'03 Loc'!$H108,4)</f>
        <v>4</v>
      </c>
      <c r="AG108">
        <f>IF(AND('03 Loc'!E108&lt;Tmax, NOT('03 Loc'!$H108="")),'03 Loc'!$H108,4)</f>
        <v>4</v>
      </c>
      <c r="AH108">
        <f>IF(AND('03 Loc'!F108&lt;Tmax, NOT('03 Loc'!$H108="")),'03 Loc'!$H108,4)</f>
        <v>4</v>
      </c>
      <c r="AI108"/>
    </row>
    <row r="109" spans="1:35" x14ac:dyDescent="0.2">
      <c r="A109" s="644" t="s">
        <v>1781</v>
      </c>
      <c r="B109" s="644" t="s">
        <v>1782</v>
      </c>
      <c r="C109" s="887"/>
      <c r="D109" s="887"/>
      <c r="E109" s="887"/>
      <c r="F109" s="887"/>
      <c r="G109" s="1441"/>
      <c r="H109" s="1441"/>
      <c r="I109" s="1441"/>
      <c r="J109" s="1443"/>
      <c r="K109" s="1441"/>
      <c r="L109" s="1441"/>
      <c r="M109" s="897"/>
      <c r="AA109"/>
      <c r="AB109"/>
      <c r="AC109"/>
      <c r="AD109"/>
      <c r="AE109"/>
      <c r="AF109"/>
      <c r="AG109"/>
      <c r="AH109"/>
      <c r="AI109"/>
    </row>
    <row r="110" spans="1:35" outlineLevel="1" x14ac:dyDescent="0.2">
      <c r="A110" s="898" t="s">
        <v>5220</v>
      </c>
      <c r="B110" s="899" t="s">
        <v>5221</v>
      </c>
      <c r="C110" s="887"/>
      <c r="D110" s="887"/>
      <c r="E110" s="887"/>
      <c r="F110" s="887"/>
      <c r="G110" s="1441"/>
      <c r="H110" s="1441"/>
      <c r="I110" s="1441"/>
      <c r="J110" s="1443"/>
      <c r="K110" s="1441"/>
      <c r="L110" s="1441"/>
      <c r="M110" s="897"/>
      <c r="AA110"/>
      <c r="AB110"/>
      <c r="AC110"/>
      <c r="AD110"/>
      <c r="AE110"/>
      <c r="AF110"/>
      <c r="AG110"/>
      <c r="AH110"/>
      <c r="AI110"/>
    </row>
    <row r="111" spans="1:35" ht="56.25" outlineLevel="2" x14ac:dyDescent="0.2">
      <c r="A111" s="636" t="s">
        <v>1783</v>
      </c>
      <c r="B111" s="636" t="s">
        <v>2236</v>
      </c>
      <c r="C111" s="887"/>
      <c r="D111" s="887"/>
      <c r="E111" s="887"/>
      <c r="F111" s="887"/>
      <c r="G111" s="1441">
        <v>4</v>
      </c>
      <c r="H111" s="1441">
        <v>2</v>
      </c>
      <c r="I111" s="1441"/>
      <c r="J111" s="1443" t="s">
        <v>1592</v>
      </c>
      <c r="K111" s="1441" t="s">
        <v>6906</v>
      </c>
      <c r="L111" s="1441" t="s">
        <v>7260</v>
      </c>
      <c r="M111" s="897"/>
      <c r="AA111">
        <f>IF(AND('03 Loc'!C111&gt;Tmin, NOT('03 Loc'!$I111="")),'03 Loc'!$I111,0)</f>
        <v>0</v>
      </c>
      <c r="AB111">
        <f>IF(AND('03 Loc'!D111&gt;Tmin, NOT('03 Loc'!$I111="")),'03 Loc'!$I111,0)</f>
        <v>0</v>
      </c>
      <c r="AC111">
        <f>IF(AND('03 Loc'!E111&gt;Tmin, NOT('03 Loc'!$I111="")),'03 Loc'!$I111,0)</f>
        <v>0</v>
      </c>
      <c r="AD111">
        <f>IF(AND('03 Loc'!F111&gt;Tmin, NOT('03 Loc'!$I111="")),'03 Loc'!$I111,0)</f>
        <v>0</v>
      </c>
      <c r="AE111">
        <f>IF(AND('03 Loc'!C111&lt;Tmax, NOT('03 Loc'!$H111="")),'03 Loc'!$H111,4)</f>
        <v>2</v>
      </c>
      <c r="AF111">
        <f>IF(AND('03 Loc'!D111&lt;Tmax, NOT('03 Loc'!$H111="")),'03 Loc'!$H111,4)</f>
        <v>2</v>
      </c>
      <c r="AG111">
        <f>IF(AND('03 Loc'!E111&lt;Tmax, NOT('03 Loc'!$H111="")),'03 Loc'!$H111,4)</f>
        <v>2</v>
      </c>
      <c r="AH111">
        <f>IF(AND('03 Loc'!F111&lt;Tmax, NOT('03 Loc'!$H111="")),'03 Loc'!$H111,4)</f>
        <v>2</v>
      </c>
      <c r="AI111"/>
    </row>
    <row r="112" spans="1:35" ht="45" outlineLevel="2" x14ac:dyDescent="0.2">
      <c r="A112" s="636" t="s">
        <v>1784</v>
      </c>
      <c r="B112" s="636" t="s">
        <v>988</v>
      </c>
      <c r="C112" s="887"/>
      <c r="D112" s="887"/>
      <c r="E112" s="887"/>
      <c r="F112" s="887"/>
      <c r="G112" s="1441">
        <v>4</v>
      </c>
      <c r="H112" s="1441"/>
      <c r="I112" s="1441"/>
      <c r="J112" s="1443" t="s">
        <v>2329</v>
      </c>
      <c r="K112" s="1441"/>
      <c r="L112" s="1441"/>
      <c r="M112" s="897"/>
      <c r="AA112">
        <f>IF(AND('03 Loc'!C112&gt;Tmin, NOT('03 Loc'!$I112="")),'03 Loc'!$I112,0)</f>
        <v>0</v>
      </c>
      <c r="AB112">
        <f>IF(AND('03 Loc'!D112&gt;Tmin, NOT('03 Loc'!$I112="")),'03 Loc'!$I112,0)</f>
        <v>0</v>
      </c>
      <c r="AC112">
        <f>IF(AND('03 Loc'!E112&gt;Tmin, NOT('03 Loc'!$I112="")),'03 Loc'!$I112,0)</f>
        <v>0</v>
      </c>
      <c r="AD112">
        <f>IF(AND('03 Loc'!F112&gt;Tmin, NOT('03 Loc'!$I112="")),'03 Loc'!$I112,0)</f>
        <v>0</v>
      </c>
      <c r="AE112">
        <f>IF(AND('03 Loc'!C112&lt;Tmax, NOT('03 Loc'!$H112="")),'03 Loc'!$H112,4)</f>
        <v>4</v>
      </c>
      <c r="AF112">
        <f>IF(AND('03 Loc'!D112&lt;Tmax, NOT('03 Loc'!$H112="")),'03 Loc'!$H112,4)</f>
        <v>4</v>
      </c>
      <c r="AG112">
        <f>IF(AND('03 Loc'!E112&lt;Tmax, NOT('03 Loc'!$H112="")),'03 Loc'!$H112,4)</f>
        <v>4</v>
      </c>
      <c r="AH112">
        <f>IF(AND('03 Loc'!F112&lt;Tmax, NOT('03 Loc'!$H112="")),'03 Loc'!$H112,4)</f>
        <v>4</v>
      </c>
      <c r="AI112"/>
    </row>
    <row r="113" spans="1:35" ht="22.5" outlineLevel="2" x14ac:dyDescent="0.2">
      <c r="A113" s="636" t="s">
        <v>1785</v>
      </c>
      <c r="B113" s="636" t="s">
        <v>1845</v>
      </c>
      <c r="C113" s="887"/>
      <c r="D113" s="887"/>
      <c r="E113" s="887"/>
      <c r="F113" s="887"/>
      <c r="G113" s="1441">
        <v>2</v>
      </c>
      <c r="H113" s="1441">
        <v>3</v>
      </c>
      <c r="I113" s="1441"/>
      <c r="J113" s="1443" t="s">
        <v>2107</v>
      </c>
      <c r="K113" s="1441"/>
      <c r="L113" s="1441"/>
      <c r="M113" s="897"/>
      <c r="AA113">
        <f>IF(AND('03 Loc'!C113&gt;Tmin, NOT('03 Loc'!$I113="")),'03 Loc'!$I113,0)</f>
        <v>0</v>
      </c>
      <c r="AB113">
        <f>IF(AND('03 Loc'!D113&gt;Tmin, NOT('03 Loc'!$I113="")),'03 Loc'!$I113,0)</f>
        <v>0</v>
      </c>
      <c r="AC113">
        <f>IF(AND('03 Loc'!E113&gt;Tmin, NOT('03 Loc'!$I113="")),'03 Loc'!$I113,0)</f>
        <v>0</v>
      </c>
      <c r="AD113">
        <f>IF(AND('03 Loc'!F113&gt;Tmin, NOT('03 Loc'!$I113="")),'03 Loc'!$I113,0)</f>
        <v>0</v>
      </c>
      <c r="AE113">
        <f>IF(AND('03 Loc'!C113&lt;Tmax, NOT('03 Loc'!$H113="")),'03 Loc'!$H113,4)</f>
        <v>3</v>
      </c>
      <c r="AF113">
        <f>IF(AND('03 Loc'!D113&lt;Tmax, NOT('03 Loc'!$H113="")),'03 Loc'!$H113,4)</f>
        <v>3</v>
      </c>
      <c r="AG113">
        <f>IF(AND('03 Loc'!E113&lt;Tmax, NOT('03 Loc'!$H113="")),'03 Loc'!$H113,4)</f>
        <v>3</v>
      </c>
      <c r="AH113">
        <f>IF(AND('03 Loc'!F113&lt;Tmax, NOT('03 Loc'!$H113="")),'03 Loc'!$H113,4)</f>
        <v>3</v>
      </c>
      <c r="AI113"/>
    </row>
    <row r="114" spans="1:35" ht="22.5" outlineLevel="2" x14ac:dyDescent="0.2">
      <c r="A114" s="636" t="s">
        <v>1846</v>
      </c>
      <c r="B114" s="636" t="s">
        <v>2879</v>
      </c>
      <c r="C114" s="887"/>
      <c r="D114" s="887"/>
      <c r="E114" s="887"/>
      <c r="F114" s="887"/>
      <c r="G114" s="1441">
        <v>2</v>
      </c>
      <c r="H114" s="1441">
        <v>3</v>
      </c>
      <c r="I114" s="1441"/>
      <c r="J114" s="1443" t="s">
        <v>2964</v>
      </c>
      <c r="K114" s="1441"/>
      <c r="L114" s="1441"/>
      <c r="M114" s="897"/>
      <c r="AA114">
        <f>IF(AND('03 Loc'!C114&gt;Tmin, NOT('03 Loc'!$I114="")),'03 Loc'!$I114,0)</f>
        <v>0</v>
      </c>
      <c r="AB114">
        <f>IF(AND('03 Loc'!D114&gt;Tmin, NOT('03 Loc'!$I114="")),'03 Loc'!$I114,0)</f>
        <v>0</v>
      </c>
      <c r="AC114">
        <f>IF(AND('03 Loc'!E114&gt;Tmin, NOT('03 Loc'!$I114="")),'03 Loc'!$I114,0)</f>
        <v>0</v>
      </c>
      <c r="AD114">
        <f>IF(AND('03 Loc'!F114&gt;Tmin, NOT('03 Loc'!$I114="")),'03 Loc'!$I114,0)</f>
        <v>0</v>
      </c>
      <c r="AE114">
        <f>IF(AND('03 Loc'!C114&lt;Tmax, NOT('03 Loc'!$H114="")),'03 Loc'!$H114,4)</f>
        <v>3</v>
      </c>
      <c r="AF114">
        <f>IF(AND('03 Loc'!D114&lt;Tmax, NOT('03 Loc'!$H114="")),'03 Loc'!$H114,4)</f>
        <v>3</v>
      </c>
      <c r="AG114">
        <f>IF(AND('03 Loc'!E114&lt;Tmax, NOT('03 Loc'!$H114="")),'03 Loc'!$H114,4)</f>
        <v>3</v>
      </c>
      <c r="AH114">
        <f>IF(AND('03 Loc'!F114&lt;Tmax, NOT('03 Loc'!$H114="")),'03 Loc'!$H114,4)</f>
        <v>3</v>
      </c>
      <c r="AI114"/>
    </row>
    <row r="115" spans="1:35" outlineLevel="1" x14ac:dyDescent="0.2">
      <c r="A115" s="898" t="s">
        <v>5222</v>
      </c>
      <c r="B115" s="899" t="s">
        <v>5223</v>
      </c>
      <c r="C115" s="887"/>
      <c r="D115" s="887"/>
      <c r="E115" s="887"/>
      <c r="F115" s="887"/>
      <c r="G115" s="1441"/>
      <c r="H115" s="1441"/>
      <c r="I115" s="1441"/>
      <c r="J115" s="1443"/>
      <c r="K115" s="1441"/>
      <c r="L115" s="1441"/>
      <c r="M115" s="897"/>
      <c r="AA115"/>
      <c r="AB115"/>
      <c r="AC115"/>
      <c r="AD115"/>
      <c r="AE115"/>
      <c r="AF115"/>
      <c r="AG115"/>
      <c r="AH115"/>
      <c r="AI115"/>
    </row>
    <row r="116" spans="1:35" ht="22.5" outlineLevel="2" x14ac:dyDescent="0.2">
      <c r="A116" s="636" t="s">
        <v>2880</v>
      </c>
      <c r="B116" s="636" t="s">
        <v>2881</v>
      </c>
      <c r="C116" s="887"/>
      <c r="D116" s="887"/>
      <c r="E116" s="887"/>
      <c r="F116" s="887"/>
      <c r="G116" s="1441">
        <v>4</v>
      </c>
      <c r="H116" s="1441"/>
      <c r="I116" s="1441"/>
      <c r="J116" s="1443" t="s">
        <v>1592</v>
      </c>
      <c r="K116" s="1441" t="s">
        <v>6906</v>
      </c>
      <c r="L116" s="1441" t="s">
        <v>7260</v>
      </c>
      <c r="M116" s="897"/>
      <c r="AA116">
        <f>IF(AND('03 Loc'!C116&gt;Tmin, NOT('03 Loc'!$I116="")),'03 Loc'!$I116,0)</f>
        <v>0</v>
      </c>
      <c r="AB116">
        <f>IF(AND('03 Loc'!D116&gt;Tmin, NOT('03 Loc'!$I116="")),'03 Loc'!$I116,0)</f>
        <v>0</v>
      </c>
      <c r="AC116">
        <f>IF(AND('03 Loc'!E116&gt;Tmin, NOT('03 Loc'!$I116="")),'03 Loc'!$I116,0)</f>
        <v>0</v>
      </c>
      <c r="AD116">
        <f>IF(AND('03 Loc'!F116&gt;Tmin, NOT('03 Loc'!$I116="")),'03 Loc'!$I116,0)</f>
        <v>0</v>
      </c>
      <c r="AE116">
        <f>IF(AND('03 Loc'!C116&lt;Tmax, NOT('03 Loc'!$H116="")),'03 Loc'!$H116,4)</f>
        <v>4</v>
      </c>
      <c r="AF116">
        <f>IF(AND('03 Loc'!D116&lt;Tmax, NOT('03 Loc'!$H116="")),'03 Loc'!$H116,4)</f>
        <v>4</v>
      </c>
      <c r="AG116">
        <f>IF(AND('03 Loc'!E116&lt;Tmax, NOT('03 Loc'!$H116="")),'03 Loc'!$H116,4)</f>
        <v>4</v>
      </c>
      <c r="AH116">
        <f>IF(AND('03 Loc'!F116&lt;Tmax, NOT('03 Loc'!$H116="")),'03 Loc'!$H116,4)</f>
        <v>4</v>
      </c>
      <c r="AI116"/>
    </row>
    <row r="117" spans="1:35" ht="22.5" outlineLevel="2" x14ac:dyDescent="0.2">
      <c r="A117" s="636" t="s">
        <v>2882</v>
      </c>
      <c r="B117" s="636" t="s">
        <v>5470</v>
      </c>
      <c r="C117" s="887"/>
      <c r="D117" s="887"/>
      <c r="E117" s="887"/>
      <c r="F117" s="887"/>
      <c r="G117" s="1441">
        <v>4</v>
      </c>
      <c r="H117" s="1441"/>
      <c r="I117" s="1441"/>
      <c r="J117" s="1443" t="s">
        <v>1592</v>
      </c>
      <c r="K117" s="1441" t="s">
        <v>6906</v>
      </c>
      <c r="L117" s="1441" t="s">
        <v>7260</v>
      </c>
      <c r="M117" s="897"/>
      <c r="AA117">
        <f>IF(AND('03 Loc'!C117&gt;Tmin, NOT('03 Loc'!$I117="")),'03 Loc'!$I117,0)</f>
        <v>0</v>
      </c>
      <c r="AB117">
        <f>IF(AND('03 Loc'!D117&gt;Tmin, NOT('03 Loc'!$I117="")),'03 Loc'!$I117,0)</f>
        <v>0</v>
      </c>
      <c r="AC117">
        <f>IF(AND('03 Loc'!E117&gt;Tmin, NOT('03 Loc'!$I117="")),'03 Loc'!$I117,0)</f>
        <v>0</v>
      </c>
      <c r="AD117">
        <f>IF(AND('03 Loc'!F117&gt;Tmin, NOT('03 Loc'!$I117="")),'03 Loc'!$I117,0)</f>
        <v>0</v>
      </c>
      <c r="AE117">
        <f>IF(AND('03 Loc'!C117&lt;Tmax, NOT('03 Loc'!$H117="")),'03 Loc'!$H117,4)</f>
        <v>4</v>
      </c>
      <c r="AF117">
        <f>IF(AND('03 Loc'!D117&lt;Tmax, NOT('03 Loc'!$H117="")),'03 Loc'!$H117,4)</f>
        <v>4</v>
      </c>
      <c r="AG117">
        <f>IF(AND('03 Loc'!E117&lt;Tmax, NOT('03 Loc'!$H117="")),'03 Loc'!$H117,4)</f>
        <v>4</v>
      </c>
      <c r="AH117">
        <f>IF(AND('03 Loc'!F117&lt;Tmax, NOT('03 Loc'!$H117="")),'03 Loc'!$H117,4)</f>
        <v>4</v>
      </c>
      <c r="AI117"/>
    </row>
    <row r="118" spans="1:35" ht="22.5" outlineLevel="2" x14ac:dyDescent="0.2">
      <c r="A118" s="636" t="s">
        <v>5471</v>
      </c>
      <c r="B118" s="636" t="s">
        <v>3826</v>
      </c>
      <c r="C118" s="887"/>
      <c r="D118" s="887"/>
      <c r="E118" s="887"/>
      <c r="F118" s="887"/>
      <c r="G118" s="1441">
        <v>4</v>
      </c>
      <c r="H118" s="1441"/>
      <c r="I118" s="1441"/>
      <c r="J118" s="1443" t="s">
        <v>2329</v>
      </c>
      <c r="K118" s="1441" t="s">
        <v>6906</v>
      </c>
      <c r="L118" s="1441" t="s">
        <v>7260</v>
      </c>
      <c r="M118" s="897"/>
      <c r="AA118">
        <f>IF(AND('03 Loc'!C118&gt;Tmin, NOT('03 Loc'!$I118="")),'03 Loc'!$I118,0)</f>
        <v>0</v>
      </c>
      <c r="AB118">
        <f>IF(AND('03 Loc'!D118&gt;Tmin, NOT('03 Loc'!$I118="")),'03 Loc'!$I118,0)</f>
        <v>0</v>
      </c>
      <c r="AC118">
        <f>IF(AND('03 Loc'!E118&gt;Tmin, NOT('03 Loc'!$I118="")),'03 Loc'!$I118,0)</f>
        <v>0</v>
      </c>
      <c r="AD118">
        <f>IF(AND('03 Loc'!F118&gt;Tmin, NOT('03 Loc'!$I118="")),'03 Loc'!$I118,0)</f>
        <v>0</v>
      </c>
      <c r="AE118">
        <f>IF(AND('03 Loc'!C118&lt;Tmax, NOT('03 Loc'!$H118="")),'03 Loc'!$H118,4)</f>
        <v>4</v>
      </c>
      <c r="AF118">
        <f>IF(AND('03 Loc'!D118&lt;Tmax, NOT('03 Loc'!$H118="")),'03 Loc'!$H118,4)</f>
        <v>4</v>
      </c>
      <c r="AG118">
        <f>IF(AND('03 Loc'!E118&lt;Tmax, NOT('03 Loc'!$H118="")),'03 Loc'!$H118,4)</f>
        <v>4</v>
      </c>
      <c r="AH118">
        <f>IF(AND('03 Loc'!F118&lt;Tmax, NOT('03 Loc'!$H118="")),'03 Loc'!$H118,4)</f>
        <v>4</v>
      </c>
      <c r="AI118"/>
    </row>
    <row r="119" spans="1:35" ht="45" outlineLevel="2" x14ac:dyDescent="0.2">
      <c r="A119" s="636" t="s">
        <v>2762</v>
      </c>
      <c r="B119" s="636" t="s">
        <v>1719</v>
      </c>
      <c r="C119" s="887"/>
      <c r="D119" s="887"/>
      <c r="E119" s="887"/>
      <c r="F119" s="887"/>
      <c r="G119" s="1441">
        <v>2</v>
      </c>
      <c r="H119" s="1441">
        <v>2</v>
      </c>
      <c r="I119" s="1441"/>
      <c r="J119" s="1443" t="s">
        <v>1592</v>
      </c>
      <c r="K119" s="1441"/>
      <c r="L119" s="1441"/>
      <c r="M119" s="897"/>
      <c r="AA119">
        <f>IF(AND('03 Loc'!C119&gt;Tmin, NOT('03 Loc'!$I119="")),'03 Loc'!$I119,0)</f>
        <v>0</v>
      </c>
      <c r="AB119">
        <f>IF(AND('03 Loc'!D119&gt;Tmin, NOT('03 Loc'!$I119="")),'03 Loc'!$I119,0)</f>
        <v>0</v>
      </c>
      <c r="AC119">
        <f>IF(AND('03 Loc'!E119&gt;Tmin, NOT('03 Loc'!$I119="")),'03 Loc'!$I119,0)</f>
        <v>0</v>
      </c>
      <c r="AD119">
        <f>IF(AND('03 Loc'!F119&gt;Tmin, NOT('03 Loc'!$I119="")),'03 Loc'!$I119,0)</f>
        <v>0</v>
      </c>
      <c r="AE119">
        <f>IF(AND('03 Loc'!C119&lt;Tmax, NOT('03 Loc'!$H119="")),'03 Loc'!$H119,4)</f>
        <v>2</v>
      </c>
      <c r="AF119">
        <f>IF(AND('03 Loc'!D119&lt;Tmax, NOT('03 Loc'!$H119="")),'03 Loc'!$H119,4)</f>
        <v>2</v>
      </c>
      <c r="AG119">
        <f>IF(AND('03 Loc'!E119&lt;Tmax, NOT('03 Loc'!$H119="")),'03 Loc'!$H119,4)</f>
        <v>2</v>
      </c>
      <c r="AH119">
        <f>IF(AND('03 Loc'!F119&lt;Tmax, NOT('03 Loc'!$H119="")),'03 Loc'!$H119,4)</f>
        <v>2</v>
      </c>
      <c r="AI119"/>
    </row>
    <row r="120" spans="1:35" outlineLevel="2" x14ac:dyDescent="0.2">
      <c r="A120" s="636" t="s">
        <v>6284</v>
      </c>
      <c r="B120" s="636" t="s">
        <v>2889</v>
      </c>
      <c r="C120" s="887"/>
      <c r="D120" s="887"/>
      <c r="E120" s="887"/>
      <c r="F120" s="887"/>
      <c r="G120" s="1441">
        <v>4</v>
      </c>
      <c r="H120" s="1441">
        <v>3</v>
      </c>
      <c r="I120" s="1441"/>
      <c r="J120" s="1443" t="s">
        <v>2329</v>
      </c>
      <c r="K120" s="1441"/>
      <c r="L120" s="1441"/>
      <c r="M120" s="897"/>
      <c r="AA120">
        <f>IF(AND('03 Loc'!C120&gt;Tmin, NOT('03 Loc'!$I120="")),'03 Loc'!$I120,0)</f>
        <v>0</v>
      </c>
      <c r="AB120">
        <f>IF(AND('03 Loc'!D120&gt;Tmin, NOT('03 Loc'!$I120="")),'03 Loc'!$I120,0)</f>
        <v>0</v>
      </c>
      <c r="AC120">
        <f>IF(AND('03 Loc'!E120&gt;Tmin, NOT('03 Loc'!$I120="")),'03 Loc'!$I120,0)</f>
        <v>0</v>
      </c>
      <c r="AD120">
        <f>IF(AND('03 Loc'!F120&gt;Tmin, NOT('03 Loc'!$I120="")),'03 Loc'!$I120,0)</f>
        <v>0</v>
      </c>
      <c r="AE120">
        <f>IF(AND('03 Loc'!C120&lt;Tmax, NOT('03 Loc'!$H120="")),'03 Loc'!$H120,4)</f>
        <v>3</v>
      </c>
      <c r="AF120">
        <f>IF(AND('03 Loc'!D120&lt;Tmax, NOT('03 Loc'!$H120="")),'03 Loc'!$H120,4)</f>
        <v>3</v>
      </c>
      <c r="AG120">
        <f>IF(AND('03 Loc'!E120&lt;Tmax, NOT('03 Loc'!$H120="")),'03 Loc'!$H120,4)</f>
        <v>3</v>
      </c>
      <c r="AH120">
        <f>IF(AND('03 Loc'!F120&lt;Tmax, NOT('03 Loc'!$H120="")),'03 Loc'!$H120,4)</f>
        <v>3</v>
      </c>
      <c r="AI120"/>
    </row>
    <row r="121" spans="1:35" outlineLevel="2" x14ac:dyDescent="0.2">
      <c r="A121" s="636" t="s">
        <v>2890</v>
      </c>
      <c r="B121" s="636" t="s">
        <v>3134</v>
      </c>
      <c r="C121" s="887"/>
      <c r="D121" s="887"/>
      <c r="E121" s="887"/>
      <c r="F121" s="887"/>
      <c r="G121" s="1441">
        <v>2</v>
      </c>
      <c r="H121" s="1441">
        <v>3</v>
      </c>
      <c r="I121" s="1441"/>
      <c r="J121" s="1443" t="s">
        <v>1592</v>
      </c>
      <c r="K121" s="1441"/>
      <c r="L121" s="1441"/>
      <c r="M121" s="897"/>
      <c r="AA121">
        <f>IF(AND('03 Loc'!C121&gt;Tmin, NOT('03 Loc'!$I121="")),'03 Loc'!$I121,0)</f>
        <v>0</v>
      </c>
      <c r="AB121">
        <f>IF(AND('03 Loc'!D121&gt;Tmin, NOT('03 Loc'!$I121="")),'03 Loc'!$I121,0)</f>
        <v>0</v>
      </c>
      <c r="AC121">
        <f>IF(AND('03 Loc'!E121&gt;Tmin, NOT('03 Loc'!$I121="")),'03 Loc'!$I121,0)</f>
        <v>0</v>
      </c>
      <c r="AD121">
        <f>IF(AND('03 Loc'!F121&gt;Tmin, NOT('03 Loc'!$I121="")),'03 Loc'!$I121,0)</f>
        <v>0</v>
      </c>
      <c r="AE121">
        <f>IF(AND('03 Loc'!C121&lt;Tmax, NOT('03 Loc'!$H121="")),'03 Loc'!$H121,4)</f>
        <v>3</v>
      </c>
      <c r="AF121">
        <f>IF(AND('03 Loc'!D121&lt;Tmax, NOT('03 Loc'!$H121="")),'03 Loc'!$H121,4)</f>
        <v>3</v>
      </c>
      <c r="AG121">
        <f>IF(AND('03 Loc'!E121&lt;Tmax, NOT('03 Loc'!$H121="")),'03 Loc'!$H121,4)</f>
        <v>3</v>
      </c>
      <c r="AH121">
        <f>IF(AND('03 Loc'!F121&lt;Tmax, NOT('03 Loc'!$H121="")),'03 Loc'!$H121,4)</f>
        <v>3</v>
      </c>
      <c r="AI121"/>
    </row>
    <row r="122" spans="1:35" ht="22.5" outlineLevel="2" x14ac:dyDescent="0.2">
      <c r="A122" s="636" t="s">
        <v>1939</v>
      </c>
      <c r="B122" s="636" t="s">
        <v>1940</v>
      </c>
      <c r="C122" s="887"/>
      <c r="D122" s="887"/>
      <c r="E122" s="887"/>
      <c r="F122" s="887"/>
      <c r="G122" s="1441">
        <v>2</v>
      </c>
      <c r="H122" s="1465"/>
      <c r="I122" s="1441"/>
      <c r="J122" s="1443" t="s">
        <v>2349</v>
      </c>
      <c r="K122" s="1441"/>
      <c r="L122" s="1441"/>
      <c r="M122" s="897"/>
      <c r="AA122">
        <f>IF(AND('03 Loc'!C122&gt;Tmin, NOT('03 Loc'!$I122="")),'03 Loc'!$I122,0)</f>
        <v>0</v>
      </c>
      <c r="AB122">
        <f>IF(AND('03 Loc'!D122&gt;Tmin, NOT('03 Loc'!$I122="")),'03 Loc'!$I122,0)</f>
        <v>0</v>
      </c>
      <c r="AC122">
        <f>IF(AND('03 Loc'!E122&gt;Tmin, NOT('03 Loc'!$I122="")),'03 Loc'!$I122,0)</f>
        <v>0</v>
      </c>
      <c r="AD122">
        <f>IF(AND('03 Loc'!F122&gt;Tmin, NOT('03 Loc'!$I122="")),'03 Loc'!$I122,0)</f>
        <v>0</v>
      </c>
      <c r="AE122">
        <f>IF(AND('03 Loc'!C122&lt;Tmax, NOT('03 Loc'!$H122="")),'03 Loc'!$H122,4)</f>
        <v>4</v>
      </c>
      <c r="AF122">
        <f>IF(AND('03 Loc'!D122&lt;Tmax, NOT('03 Loc'!$H122="")),'03 Loc'!$H122,4)</f>
        <v>4</v>
      </c>
      <c r="AG122">
        <f>IF(AND('03 Loc'!E122&lt;Tmax, NOT('03 Loc'!$H122="")),'03 Loc'!$H122,4)</f>
        <v>4</v>
      </c>
      <c r="AH122">
        <f>IF(AND('03 Loc'!F122&lt;Tmax, NOT('03 Loc'!$H122="")),'03 Loc'!$H122,4)</f>
        <v>4</v>
      </c>
      <c r="AI122"/>
    </row>
    <row r="123" spans="1:35" outlineLevel="2" x14ac:dyDescent="0.2">
      <c r="A123" s="636" t="s">
        <v>1941</v>
      </c>
      <c r="B123" s="636" t="s">
        <v>2114</v>
      </c>
      <c r="C123" s="887"/>
      <c r="D123" s="887"/>
      <c r="E123" s="887"/>
      <c r="F123" s="887"/>
      <c r="G123" s="1441">
        <v>2</v>
      </c>
      <c r="H123" s="1441">
        <v>3</v>
      </c>
      <c r="I123" s="1441"/>
      <c r="J123" s="1443" t="s">
        <v>2109</v>
      </c>
      <c r="K123" s="1441"/>
      <c r="L123" s="1441"/>
      <c r="M123" s="897"/>
      <c r="AA123">
        <f>IF(AND('03 Loc'!C123&gt;Tmin, NOT('03 Loc'!$I123="")),'03 Loc'!$I123,0)</f>
        <v>0</v>
      </c>
      <c r="AB123">
        <f>IF(AND('03 Loc'!D123&gt;Tmin, NOT('03 Loc'!$I123="")),'03 Loc'!$I123,0)</f>
        <v>0</v>
      </c>
      <c r="AC123">
        <f>IF(AND('03 Loc'!E123&gt;Tmin, NOT('03 Loc'!$I123="")),'03 Loc'!$I123,0)</f>
        <v>0</v>
      </c>
      <c r="AD123">
        <f>IF(AND('03 Loc'!F123&gt;Tmin, NOT('03 Loc'!$I123="")),'03 Loc'!$I123,0)</f>
        <v>0</v>
      </c>
      <c r="AE123">
        <f>IF(AND('03 Loc'!C123&lt;Tmax, NOT('03 Loc'!$H123="")),'03 Loc'!$H123,4)</f>
        <v>3</v>
      </c>
      <c r="AF123">
        <f>IF(AND('03 Loc'!D123&lt;Tmax, NOT('03 Loc'!$H123="")),'03 Loc'!$H123,4)</f>
        <v>3</v>
      </c>
      <c r="AG123">
        <f>IF(AND('03 Loc'!E123&lt;Tmax, NOT('03 Loc'!$H123="")),'03 Loc'!$H123,4)</f>
        <v>3</v>
      </c>
      <c r="AH123">
        <f>IF(AND('03 Loc'!F123&lt;Tmax, NOT('03 Loc'!$H123="")),'03 Loc'!$H123,4)</f>
        <v>3</v>
      </c>
      <c r="AI123"/>
    </row>
    <row r="124" spans="1:35" outlineLevel="2" x14ac:dyDescent="0.2">
      <c r="A124" s="636" t="s">
        <v>1942</v>
      </c>
      <c r="B124" s="636" t="s">
        <v>2065</v>
      </c>
      <c r="C124" s="887"/>
      <c r="D124" s="887"/>
      <c r="E124" s="887"/>
      <c r="F124" s="887"/>
      <c r="G124" s="1441">
        <v>2</v>
      </c>
      <c r="H124" s="1465"/>
      <c r="I124" s="1441"/>
      <c r="J124" s="1443" t="s">
        <v>2109</v>
      </c>
      <c r="K124" s="1441"/>
      <c r="L124" s="1441"/>
      <c r="M124" s="897"/>
      <c r="AA124">
        <f>IF(AND('03 Loc'!C124&gt;Tmin, NOT('03 Loc'!$I124="")),'03 Loc'!$I124,0)</f>
        <v>0</v>
      </c>
      <c r="AB124">
        <f>IF(AND('03 Loc'!D124&gt;Tmin, NOT('03 Loc'!$I124="")),'03 Loc'!$I124,0)</f>
        <v>0</v>
      </c>
      <c r="AC124">
        <f>IF(AND('03 Loc'!E124&gt;Tmin, NOT('03 Loc'!$I124="")),'03 Loc'!$I124,0)</f>
        <v>0</v>
      </c>
      <c r="AD124">
        <f>IF(AND('03 Loc'!F124&gt;Tmin, NOT('03 Loc'!$I124="")),'03 Loc'!$I124,0)</f>
        <v>0</v>
      </c>
      <c r="AE124">
        <f>IF(AND('03 Loc'!C124&lt;Tmax, NOT('03 Loc'!$H124="")),'03 Loc'!$H124,4)</f>
        <v>4</v>
      </c>
      <c r="AF124">
        <f>IF(AND('03 Loc'!D124&lt;Tmax, NOT('03 Loc'!$H124="")),'03 Loc'!$H124,4)</f>
        <v>4</v>
      </c>
      <c r="AG124">
        <f>IF(AND('03 Loc'!E124&lt;Tmax, NOT('03 Loc'!$H124="")),'03 Loc'!$H124,4)</f>
        <v>4</v>
      </c>
      <c r="AH124">
        <f>IF(AND('03 Loc'!F124&lt;Tmax, NOT('03 Loc'!$H124="")),'03 Loc'!$H124,4)</f>
        <v>4</v>
      </c>
      <c r="AI124"/>
    </row>
    <row r="125" spans="1:35" outlineLevel="1" x14ac:dyDescent="0.2">
      <c r="A125" s="898" t="s">
        <v>5224</v>
      </c>
      <c r="B125" s="899" t="s">
        <v>1943</v>
      </c>
      <c r="C125" s="887"/>
      <c r="D125" s="887"/>
      <c r="E125" s="887"/>
      <c r="F125" s="887"/>
      <c r="G125" s="1441"/>
      <c r="H125" s="1441"/>
      <c r="I125" s="1441"/>
      <c r="J125" s="1443"/>
      <c r="K125" s="1441"/>
      <c r="L125" s="1441"/>
      <c r="M125" s="897"/>
      <c r="AA125"/>
      <c r="AB125"/>
      <c r="AC125"/>
      <c r="AD125"/>
      <c r="AE125"/>
      <c r="AF125"/>
      <c r="AG125"/>
      <c r="AH125"/>
      <c r="AI125"/>
    </row>
    <row r="126" spans="1:35" ht="22.5" outlineLevel="2" x14ac:dyDescent="0.2">
      <c r="A126" s="636" t="s">
        <v>1944</v>
      </c>
      <c r="B126" s="636" t="s">
        <v>1897</v>
      </c>
      <c r="C126" s="887"/>
      <c r="D126" s="887"/>
      <c r="E126" s="887"/>
      <c r="F126" s="887"/>
      <c r="G126" s="1441">
        <v>2</v>
      </c>
      <c r="H126" s="1441"/>
      <c r="I126" s="1441"/>
      <c r="J126" s="1443" t="s">
        <v>1592</v>
      </c>
      <c r="K126" s="1441"/>
      <c r="L126" s="1441"/>
      <c r="M126" s="897"/>
      <c r="AA126">
        <f>IF(AND('03 Loc'!C126&gt;Tmin, NOT('03 Loc'!$I126="")),'03 Loc'!$I126,0)</f>
        <v>0</v>
      </c>
      <c r="AB126">
        <f>IF(AND('03 Loc'!D126&gt;Tmin, NOT('03 Loc'!$I126="")),'03 Loc'!$I126,0)</f>
        <v>0</v>
      </c>
      <c r="AC126">
        <f>IF(AND('03 Loc'!E126&gt;Tmin, NOT('03 Loc'!$I126="")),'03 Loc'!$I126,0)</f>
        <v>0</v>
      </c>
      <c r="AD126">
        <f>IF(AND('03 Loc'!F126&gt;Tmin, NOT('03 Loc'!$I126="")),'03 Loc'!$I126,0)</f>
        <v>0</v>
      </c>
      <c r="AE126">
        <f>IF(AND('03 Loc'!C126&lt;Tmax, NOT('03 Loc'!$H126="")),'03 Loc'!$H126,4)</f>
        <v>4</v>
      </c>
      <c r="AF126">
        <f>IF(AND('03 Loc'!D126&lt;Tmax, NOT('03 Loc'!$H126="")),'03 Loc'!$H126,4)</f>
        <v>4</v>
      </c>
      <c r="AG126">
        <f>IF(AND('03 Loc'!E126&lt;Tmax, NOT('03 Loc'!$H126="")),'03 Loc'!$H126,4)</f>
        <v>4</v>
      </c>
      <c r="AH126">
        <f>IF(AND('03 Loc'!F126&lt;Tmax, NOT('03 Loc'!$H126="")),'03 Loc'!$H126,4)</f>
        <v>4</v>
      </c>
      <c r="AI126"/>
    </row>
    <row r="127" spans="1:35" ht="22.5" outlineLevel="2" x14ac:dyDescent="0.2">
      <c r="A127" s="636" t="s">
        <v>1898</v>
      </c>
      <c r="B127" s="636" t="s">
        <v>3754</v>
      </c>
      <c r="C127" s="887"/>
      <c r="D127" s="887"/>
      <c r="E127" s="887"/>
      <c r="F127" s="887"/>
      <c r="G127" s="1441">
        <v>2</v>
      </c>
      <c r="H127" s="1441">
        <v>2</v>
      </c>
      <c r="I127" s="1441">
        <v>3</v>
      </c>
      <c r="J127" s="1443" t="s">
        <v>1592</v>
      </c>
      <c r="K127" s="1441"/>
      <c r="L127" s="1441"/>
      <c r="M127" s="897"/>
      <c r="AA127">
        <f>IF(AND('03 Loc'!C127&gt;Tmin, NOT('03 Loc'!$I127="")),'03 Loc'!$I127,0)</f>
        <v>0</v>
      </c>
      <c r="AB127">
        <f>IF(AND('03 Loc'!D127&gt;Tmin, NOT('03 Loc'!$I127="")),'03 Loc'!$I127,0)</f>
        <v>0</v>
      </c>
      <c r="AC127">
        <f>IF(AND('03 Loc'!E127&gt;Tmin, NOT('03 Loc'!$I127="")),'03 Loc'!$I127,0)</f>
        <v>0</v>
      </c>
      <c r="AD127">
        <f>IF(AND('03 Loc'!F127&gt;Tmin, NOT('03 Loc'!$I127="")),'03 Loc'!$I127,0)</f>
        <v>0</v>
      </c>
      <c r="AE127">
        <f>IF(AND('03 Loc'!C127&lt;Tmax, NOT('03 Loc'!$H127="")),'03 Loc'!$H127,4)</f>
        <v>2</v>
      </c>
      <c r="AF127">
        <f>IF(AND('03 Loc'!D127&lt;Tmax, NOT('03 Loc'!$H127="")),'03 Loc'!$H127,4)</f>
        <v>2</v>
      </c>
      <c r="AG127">
        <f>IF(AND('03 Loc'!E127&lt;Tmax, NOT('03 Loc'!$H127="")),'03 Loc'!$H127,4)</f>
        <v>2</v>
      </c>
      <c r="AH127">
        <f>IF(AND('03 Loc'!F127&lt;Tmax, NOT('03 Loc'!$H127="")),'03 Loc'!$H127,4)</f>
        <v>2</v>
      </c>
      <c r="AI127"/>
    </row>
    <row r="128" spans="1:35" outlineLevel="2" x14ac:dyDescent="0.2">
      <c r="A128" s="636" t="s">
        <v>3755</v>
      </c>
      <c r="B128" s="636" t="s">
        <v>1720</v>
      </c>
      <c r="C128" s="887"/>
      <c r="D128" s="887"/>
      <c r="E128" s="887"/>
      <c r="F128" s="887"/>
      <c r="G128" s="1441">
        <v>2</v>
      </c>
      <c r="H128" s="1465"/>
      <c r="I128" s="1441">
        <v>3</v>
      </c>
      <c r="J128" s="1443" t="s">
        <v>1592</v>
      </c>
      <c r="K128" s="1441"/>
      <c r="L128" s="1441"/>
      <c r="M128" s="897"/>
      <c r="AA128">
        <f>IF(AND('03 Loc'!C128&gt;Tmin, NOT('03 Loc'!$I128="")),'03 Loc'!$I128,0)</f>
        <v>0</v>
      </c>
      <c r="AB128">
        <f>IF(AND('03 Loc'!D128&gt;Tmin, NOT('03 Loc'!$I128="")),'03 Loc'!$I128,0)</f>
        <v>0</v>
      </c>
      <c r="AC128">
        <f>IF(AND('03 Loc'!E128&gt;Tmin, NOT('03 Loc'!$I128="")),'03 Loc'!$I128,0)</f>
        <v>0</v>
      </c>
      <c r="AD128">
        <f>IF(AND('03 Loc'!F128&gt;Tmin, NOT('03 Loc'!$I128="")),'03 Loc'!$I128,0)</f>
        <v>0</v>
      </c>
      <c r="AE128">
        <f>IF(AND('03 Loc'!C128&lt;Tmax, NOT('03 Loc'!$H128="")),'03 Loc'!$H128,4)</f>
        <v>4</v>
      </c>
      <c r="AF128">
        <f>IF(AND('03 Loc'!D128&lt;Tmax, NOT('03 Loc'!$H128="")),'03 Loc'!$H128,4)</f>
        <v>4</v>
      </c>
      <c r="AG128">
        <f>IF(AND('03 Loc'!E128&lt;Tmax, NOT('03 Loc'!$H128="")),'03 Loc'!$H128,4)</f>
        <v>4</v>
      </c>
      <c r="AH128">
        <f>IF(AND('03 Loc'!F128&lt;Tmax, NOT('03 Loc'!$H128="")),'03 Loc'!$H128,4)</f>
        <v>4</v>
      </c>
      <c r="AI128"/>
    </row>
    <row r="129" spans="1:35" outlineLevel="2" x14ac:dyDescent="0.2">
      <c r="A129" s="636" t="s">
        <v>3756</v>
      </c>
      <c r="B129" s="636" t="s">
        <v>2065</v>
      </c>
      <c r="C129" s="887"/>
      <c r="D129" s="887"/>
      <c r="E129" s="887"/>
      <c r="F129" s="887"/>
      <c r="G129" s="1441">
        <v>2</v>
      </c>
      <c r="H129" s="1465"/>
      <c r="I129" s="1441">
        <v>3</v>
      </c>
      <c r="J129" s="1443" t="s">
        <v>2964</v>
      </c>
      <c r="K129" s="1441"/>
      <c r="L129" s="1441"/>
      <c r="M129" s="897"/>
      <c r="AA129">
        <f>IF(AND('03 Loc'!C129&gt;Tmin, NOT('03 Loc'!$I129="")),'03 Loc'!$I129,0)</f>
        <v>0</v>
      </c>
      <c r="AB129">
        <f>IF(AND('03 Loc'!D129&gt;Tmin, NOT('03 Loc'!$I129="")),'03 Loc'!$I129,0)</f>
        <v>0</v>
      </c>
      <c r="AC129">
        <f>IF(AND('03 Loc'!E129&gt;Tmin, NOT('03 Loc'!$I129="")),'03 Loc'!$I129,0)</f>
        <v>0</v>
      </c>
      <c r="AD129">
        <f>IF(AND('03 Loc'!F129&gt;Tmin, NOT('03 Loc'!$I129="")),'03 Loc'!$I129,0)</f>
        <v>0</v>
      </c>
      <c r="AE129">
        <f>IF(AND('03 Loc'!C129&lt;Tmax, NOT('03 Loc'!$H129="")),'03 Loc'!$H129,4)</f>
        <v>4</v>
      </c>
      <c r="AF129">
        <f>IF(AND('03 Loc'!D129&lt;Tmax, NOT('03 Loc'!$H129="")),'03 Loc'!$H129,4)</f>
        <v>4</v>
      </c>
      <c r="AG129">
        <f>IF(AND('03 Loc'!E129&lt;Tmax, NOT('03 Loc'!$H129="")),'03 Loc'!$H129,4)</f>
        <v>4</v>
      </c>
      <c r="AH129">
        <f>IF(AND('03 Loc'!F129&lt;Tmax, NOT('03 Loc'!$H129="")),'03 Loc'!$H129,4)</f>
        <v>4</v>
      </c>
      <c r="AI129"/>
    </row>
    <row r="130" spans="1:35" x14ac:dyDescent="0.2">
      <c r="A130" s="644" t="s">
        <v>3757</v>
      </c>
      <c r="B130" s="644" t="s">
        <v>3758</v>
      </c>
      <c r="C130" s="887"/>
      <c r="D130" s="887"/>
      <c r="E130" s="887"/>
      <c r="F130" s="887"/>
      <c r="G130" s="1441"/>
      <c r="H130" s="1441"/>
      <c r="I130" s="1441"/>
      <c r="J130" s="1443"/>
      <c r="K130" s="1441"/>
      <c r="L130" s="1441"/>
      <c r="M130" s="897"/>
      <c r="AA130"/>
      <c r="AB130"/>
      <c r="AC130"/>
      <c r="AD130"/>
      <c r="AE130"/>
      <c r="AF130"/>
      <c r="AG130"/>
      <c r="AH130"/>
      <c r="AI130"/>
    </row>
    <row r="131" spans="1:35" outlineLevel="1" x14ac:dyDescent="0.2">
      <c r="A131" s="898" t="s">
        <v>5225</v>
      </c>
      <c r="B131" s="899" t="s">
        <v>5226</v>
      </c>
      <c r="C131" s="887"/>
      <c r="D131" s="887"/>
      <c r="E131" s="887"/>
      <c r="F131" s="887"/>
      <c r="G131" s="1441"/>
      <c r="H131" s="1441"/>
      <c r="I131" s="1441"/>
      <c r="J131" s="1443"/>
      <c r="K131" s="1441"/>
      <c r="L131" s="1441"/>
      <c r="M131" s="897"/>
      <c r="AA131"/>
      <c r="AB131"/>
      <c r="AC131"/>
      <c r="AD131"/>
      <c r="AE131"/>
      <c r="AF131"/>
      <c r="AG131"/>
      <c r="AH131"/>
      <c r="AI131"/>
    </row>
    <row r="132" spans="1:35" ht="45" outlineLevel="2" x14ac:dyDescent="0.2">
      <c r="A132" s="636" t="s">
        <v>3759</v>
      </c>
      <c r="B132" s="636" t="s">
        <v>1208</v>
      </c>
      <c r="C132" s="887"/>
      <c r="D132" s="887"/>
      <c r="E132" s="887"/>
      <c r="F132" s="887"/>
      <c r="G132" s="1441">
        <v>4</v>
      </c>
      <c r="H132" s="1441">
        <v>2</v>
      </c>
      <c r="I132" s="1441"/>
      <c r="J132" s="1443" t="s">
        <v>1592</v>
      </c>
      <c r="K132" s="1441" t="s">
        <v>6906</v>
      </c>
      <c r="L132" s="1441" t="s">
        <v>7260</v>
      </c>
      <c r="M132" s="897"/>
      <c r="AA132">
        <f>IF(AND('03 Loc'!C132&gt;Tmin, NOT('03 Loc'!$I132="")),'03 Loc'!$I132,0)</f>
        <v>0</v>
      </c>
      <c r="AB132">
        <f>IF(AND('03 Loc'!D132&gt;Tmin, NOT('03 Loc'!$I132="")),'03 Loc'!$I132,0)</f>
        <v>0</v>
      </c>
      <c r="AC132">
        <f>IF(AND('03 Loc'!E132&gt;Tmin, NOT('03 Loc'!$I132="")),'03 Loc'!$I132,0)</f>
        <v>0</v>
      </c>
      <c r="AD132">
        <f>IF(AND('03 Loc'!F132&gt;Tmin, NOT('03 Loc'!$I132="")),'03 Loc'!$I132,0)</f>
        <v>0</v>
      </c>
      <c r="AE132">
        <f>IF(AND('03 Loc'!C132&lt;Tmax, NOT('03 Loc'!$H132="")),'03 Loc'!$H132,4)</f>
        <v>2</v>
      </c>
      <c r="AF132">
        <f>IF(AND('03 Loc'!D132&lt;Tmax, NOT('03 Loc'!$H132="")),'03 Loc'!$H132,4)</f>
        <v>2</v>
      </c>
      <c r="AG132">
        <f>IF(AND('03 Loc'!E132&lt;Tmax, NOT('03 Loc'!$H132="")),'03 Loc'!$H132,4)</f>
        <v>2</v>
      </c>
      <c r="AH132">
        <f>IF(AND('03 Loc'!F132&lt;Tmax, NOT('03 Loc'!$H132="")),'03 Loc'!$H132,4)</f>
        <v>2</v>
      </c>
      <c r="AI132"/>
    </row>
    <row r="133" spans="1:35" ht="67.5" outlineLevel="2" x14ac:dyDescent="0.2">
      <c r="A133" s="636" t="s">
        <v>3760</v>
      </c>
      <c r="B133" s="636" t="s">
        <v>3100</v>
      </c>
      <c r="C133" s="887"/>
      <c r="D133" s="887"/>
      <c r="E133" s="887"/>
      <c r="F133" s="887"/>
      <c r="G133" s="1441">
        <v>4</v>
      </c>
      <c r="H133" s="1441"/>
      <c r="I133" s="1441"/>
      <c r="J133" s="1443" t="s">
        <v>2329</v>
      </c>
      <c r="K133" s="1441"/>
      <c r="L133" s="1441"/>
      <c r="M133" s="897"/>
      <c r="AA133">
        <f>IF(AND('03 Loc'!C133&gt;Tmin, NOT('03 Loc'!$I133="")),'03 Loc'!$I133,0)</f>
        <v>0</v>
      </c>
      <c r="AB133">
        <f>IF(AND('03 Loc'!D133&gt;Tmin, NOT('03 Loc'!$I133="")),'03 Loc'!$I133,0)</f>
        <v>0</v>
      </c>
      <c r="AC133">
        <f>IF(AND('03 Loc'!E133&gt;Tmin, NOT('03 Loc'!$I133="")),'03 Loc'!$I133,0)</f>
        <v>0</v>
      </c>
      <c r="AD133">
        <f>IF(AND('03 Loc'!F133&gt;Tmin, NOT('03 Loc'!$I133="")),'03 Loc'!$I133,0)</f>
        <v>0</v>
      </c>
      <c r="AE133">
        <f>IF(AND('03 Loc'!C133&lt;Tmax, NOT('03 Loc'!$H133="")),'03 Loc'!$H133,4)</f>
        <v>4</v>
      </c>
      <c r="AF133">
        <f>IF(AND('03 Loc'!D133&lt;Tmax, NOT('03 Loc'!$H133="")),'03 Loc'!$H133,4)</f>
        <v>4</v>
      </c>
      <c r="AG133">
        <f>IF(AND('03 Loc'!E133&lt;Tmax, NOT('03 Loc'!$H133="")),'03 Loc'!$H133,4)</f>
        <v>4</v>
      </c>
      <c r="AH133">
        <f>IF(AND('03 Loc'!F133&lt;Tmax, NOT('03 Loc'!$H133="")),'03 Loc'!$H133,4)</f>
        <v>4</v>
      </c>
      <c r="AI133"/>
    </row>
    <row r="134" spans="1:35" ht="22.5" outlineLevel="2" x14ac:dyDescent="0.2">
      <c r="A134" s="636" t="s">
        <v>3761</v>
      </c>
      <c r="B134" s="636" t="s">
        <v>3437</v>
      </c>
      <c r="C134" s="887"/>
      <c r="D134" s="887"/>
      <c r="E134" s="887"/>
      <c r="F134" s="887"/>
      <c r="G134" s="1441">
        <v>2</v>
      </c>
      <c r="H134" s="1441">
        <v>3</v>
      </c>
      <c r="I134" s="1441"/>
      <c r="J134" s="1443" t="s">
        <v>2107</v>
      </c>
      <c r="K134" s="1441"/>
      <c r="L134" s="1441"/>
      <c r="M134" s="897"/>
      <c r="AA134">
        <f>IF(AND('03 Loc'!C134&gt;Tmin, NOT('03 Loc'!$I134="")),'03 Loc'!$I134,0)</f>
        <v>0</v>
      </c>
      <c r="AB134">
        <f>IF(AND('03 Loc'!D134&gt;Tmin, NOT('03 Loc'!$I134="")),'03 Loc'!$I134,0)</f>
        <v>0</v>
      </c>
      <c r="AC134">
        <f>IF(AND('03 Loc'!E134&gt;Tmin, NOT('03 Loc'!$I134="")),'03 Loc'!$I134,0)</f>
        <v>0</v>
      </c>
      <c r="AD134">
        <f>IF(AND('03 Loc'!F134&gt;Tmin, NOT('03 Loc'!$I134="")),'03 Loc'!$I134,0)</f>
        <v>0</v>
      </c>
      <c r="AE134">
        <f>IF(AND('03 Loc'!C134&lt;Tmax, NOT('03 Loc'!$H134="")),'03 Loc'!$H134,4)</f>
        <v>3</v>
      </c>
      <c r="AF134">
        <f>IF(AND('03 Loc'!D134&lt;Tmax, NOT('03 Loc'!$H134="")),'03 Loc'!$H134,4)</f>
        <v>3</v>
      </c>
      <c r="AG134">
        <f>IF(AND('03 Loc'!E134&lt;Tmax, NOT('03 Loc'!$H134="")),'03 Loc'!$H134,4)</f>
        <v>3</v>
      </c>
      <c r="AH134">
        <f>IF(AND('03 Loc'!F134&lt;Tmax, NOT('03 Loc'!$H134="")),'03 Loc'!$H134,4)</f>
        <v>3</v>
      </c>
      <c r="AI134"/>
    </row>
    <row r="135" spans="1:35" ht="22.5" outlineLevel="2" x14ac:dyDescent="0.2">
      <c r="A135" s="636" t="s">
        <v>2080</v>
      </c>
      <c r="B135" s="636" t="s">
        <v>3101</v>
      </c>
      <c r="C135" s="887"/>
      <c r="D135" s="887"/>
      <c r="E135" s="887"/>
      <c r="F135" s="887"/>
      <c r="G135" s="1441">
        <v>4</v>
      </c>
      <c r="H135" s="1441"/>
      <c r="I135" s="1441"/>
      <c r="J135" s="1443" t="s">
        <v>2964</v>
      </c>
      <c r="K135" s="1441"/>
      <c r="L135" s="1441"/>
      <c r="M135" s="897"/>
      <c r="AA135">
        <f>IF(AND('03 Loc'!C135&gt;Tmin, NOT('03 Loc'!$I135="")),'03 Loc'!$I135,0)</f>
        <v>0</v>
      </c>
      <c r="AB135">
        <f>IF(AND('03 Loc'!D135&gt;Tmin, NOT('03 Loc'!$I135="")),'03 Loc'!$I135,0)</f>
        <v>0</v>
      </c>
      <c r="AC135">
        <f>IF(AND('03 Loc'!E135&gt;Tmin, NOT('03 Loc'!$I135="")),'03 Loc'!$I135,0)</f>
        <v>0</v>
      </c>
      <c r="AD135">
        <f>IF(AND('03 Loc'!F135&gt;Tmin, NOT('03 Loc'!$I135="")),'03 Loc'!$I135,0)</f>
        <v>0</v>
      </c>
      <c r="AE135">
        <f>IF(AND('03 Loc'!C135&lt;Tmax, NOT('03 Loc'!$H135="")),'03 Loc'!$H135,4)</f>
        <v>4</v>
      </c>
      <c r="AF135">
        <f>IF(AND('03 Loc'!D135&lt;Tmax, NOT('03 Loc'!$H135="")),'03 Loc'!$H135,4)</f>
        <v>4</v>
      </c>
      <c r="AG135">
        <f>IF(AND('03 Loc'!E135&lt;Tmax, NOT('03 Loc'!$H135="")),'03 Loc'!$H135,4)</f>
        <v>4</v>
      </c>
      <c r="AH135">
        <f>IF(AND('03 Loc'!F135&lt;Tmax, NOT('03 Loc'!$H135="")),'03 Loc'!$H135,4)</f>
        <v>4</v>
      </c>
      <c r="AI135"/>
    </row>
    <row r="136" spans="1:35" ht="33.75" outlineLevel="2" x14ac:dyDescent="0.2">
      <c r="A136" s="636" t="s">
        <v>2081</v>
      </c>
      <c r="B136" s="636" t="s">
        <v>1485</v>
      </c>
      <c r="C136" s="887"/>
      <c r="D136" s="887"/>
      <c r="E136" s="887"/>
      <c r="F136" s="887"/>
      <c r="G136" s="1441">
        <v>2</v>
      </c>
      <c r="H136" s="1441">
        <v>3</v>
      </c>
      <c r="I136" s="1441"/>
      <c r="J136" s="1443" t="s">
        <v>2964</v>
      </c>
      <c r="K136" s="1441"/>
      <c r="L136" s="1441"/>
      <c r="M136" s="897"/>
      <c r="AA136">
        <f>IF(AND('03 Loc'!C136&gt;Tmin, NOT('03 Loc'!$I136="")),'03 Loc'!$I136,0)</f>
        <v>0</v>
      </c>
      <c r="AB136">
        <f>IF(AND('03 Loc'!D136&gt;Tmin, NOT('03 Loc'!$I136="")),'03 Loc'!$I136,0)</f>
        <v>0</v>
      </c>
      <c r="AC136">
        <f>IF(AND('03 Loc'!E136&gt;Tmin, NOT('03 Loc'!$I136="")),'03 Loc'!$I136,0)</f>
        <v>0</v>
      </c>
      <c r="AD136">
        <f>IF(AND('03 Loc'!F136&gt;Tmin, NOT('03 Loc'!$I136="")),'03 Loc'!$I136,0)</f>
        <v>0</v>
      </c>
      <c r="AE136">
        <f>IF(AND('03 Loc'!C136&lt;Tmax, NOT('03 Loc'!$H136="")),'03 Loc'!$H136,4)</f>
        <v>3</v>
      </c>
      <c r="AF136">
        <f>IF(AND('03 Loc'!D136&lt;Tmax, NOT('03 Loc'!$H136="")),'03 Loc'!$H136,4)</f>
        <v>3</v>
      </c>
      <c r="AG136">
        <f>IF(AND('03 Loc'!E136&lt;Tmax, NOT('03 Loc'!$H136="")),'03 Loc'!$H136,4)</f>
        <v>3</v>
      </c>
      <c r="AH136">
        <f>IF(AND('03 Loc'!F136&lt;Tmax, NOT('03 Loc'!$H136="")),'03 Loc'!$H136,4)</f>
        <v>3</v>
      </c>
      <c r="AI136"/>
    </row>
    <row r="137" spans="1:35" outlineLevel="1" x14ac:dyDescent="0.2">
      <c r="A137" s="898" t="s">
        <v>5227</v>
      </c>
      <c r="B137" s="899" t="s">
        <v>5228</v>
      </c>
      <c r="C137" s="887"/>
      <c r="D137" s="887"/>
      <c r="E137" s="887"/>
      <c r="F137" s="887"/>
      <c r="G137" s="1441"/>
      <c r="H137" s="1441"/>
      <c r="I137" s="1441"/>
      <c r="J137" s="1443"/>
      <c r="K137" s="1441"/>
      <c r="L137" s="1441"/>
      <c r="M137" s="897"/>
      <c r="AA137"/>
      <c r="AB137"/>
      <c r="AC137"/>
      <c r="AD137"/>
      <c r="AE137"/>
      <c r="AF137"/>
      <c r="AG137"/>
      <c r="AH137"/>
      <c r="AI137"/>
    </row>
    <row r="138" spans="1:35" ht="22.5" outlineLevel="2" x14ac:dyDescent="0.2">
      <c r="A138" s="636" t="s">
        <v>2082</v>
      </c>
      <c r="B138" s="636" t="s">
        <v>921</v>
      </c>
      <c r="C138" s="887"/>
      <c r="D138" s="887"/>
      <c r="E138" s="887"/>
      <c r="F138" s="887"/>
      <c r="G138" s="1441">
        <v>2</v>
      </c>
      <c r="H138" s="1441"/>
      <c r="I138" s="1441"/>
      <c r="J138" s="1443" t="s">
        <v>4246</v>
      </c>
      <c r="K138" s="1441" t="s">
        <v>6906</v>
      </c>
      <c r="L138" s="1441" t="s">
        <v>7260</v>
      </c>
      <c r="M138" s="897"/>
      <c r="AA138">
        <f>IF(AND('03 Loc'!C138&gt;Tmin, NOT('03 Loc'!$I138="")),'03 Loc'!$I138,0)</f>
        <v>0</v>
      </c>
      <c r="AB138">
        <f>IF(AND('03 Loc'!D138&gt;Tmin, NOT('03 Loc'!$I138="")),'03 Loc'!$I138,0)</f>
        <v>0</v>
      </c>
      <c r="AC138">
        <f>IF(AND('03 Loc'!E138&gt;Tmin, NOT('03 Loc'!$I138="")),'03 Loc'!$I138,0)</f>
        <v>0</v>
      </c>
      <c r="AD138">
        <f>IF(AND('03 Loc'!F138&gt;Tmin, NOT('03 Loc'!$I138="")),'03 Loc'!$I138,0)</f>
        <v>0</v>
      </c>
      <c r="AE138">
        <f>IF(AND('03 Loc'!C138&lt;Tmax, NOT('03 Loc'!$H138="")),'03 Loc'!$H138,4)</f>
        <v>4</v>
      </c>
      <c r="AF138">
        <f>IF(AND('03 Loc'!D138&lt;Tmax, NOT('03 Loc'!$H138="")),'03 Loc'!$H138,4)</f>
        <v>4</v>
      </c>
      <c r="AG138">
        <f>IF(AND('03 Loc'!E138&lt;Tmax, NOT('03 Loc'!$H138="")),'03 Loc'!$H138,4)</f>
        <v>4</v>
      </c>
      <c r="AH138">
        <f>IF(AND('03 Loc'!F138&lt;Tmax, NOT('03 Loc'!$H138="")),'03 Loc'!$H138,4)</f>
        <v>4</v>
      </c>
      <c r="AI138"/>
    </row>
    <row r="139" spans="1:35" ht="22.5" outlineLevel="2" x14ac:dyDescent="0.2">
      <c r="A139" s="636" t="s">
        <v>922</v>
      </c>
      <c r="B139" s="636" t="s">
        <v>923</v>
      </c>
      <c r="C139" s="887"/>
      <c r="D139" s="887"/>
      <c r="E139" s="887"/>
      <c r="F139" s="887"/>
      <c r="G139" s="1441">
        <v>4</v>
      </c>
      <c r="H139" s="1441"/>
      <c r="I139" s="1441">
        <v>2</v>
      </c>
      <c r="J139" s="1443" t="s">
        <v>1592</v>
      </c>
      <c r="K139" s="1441"/>
      <c r="L139" s="1441"/>
      <c r="M139" s="897"/>
      <c r="AA139">
        <f>IF(AND('03 Loc'!C139&gt;Tmin, NOT('03 Loc'!$I139="")),'03 Loc'!$I139,0)</f>
        <v>0</v>
      </c>
      <c r="AB139">
        <f>IF(AND('03 Loc'!D139&gt;Tmin, NOT('03 Loc'!$I139="")),'03 Loc'!$I139,0)</f>
        <v>0</v>
      </c>
      <c r="AC139">
        <f>IF(AND('03 Loc'!E139&gt;Tmin, NOT('03 Loc'!$I139="")),'03 Loc'!$I139,0)</f>
        <v>0</v>
      </c>
      <c r="AD139">
        <f>IF(AND('03 Loc'!F139&gt;Tmin, NOT('03 Loc'!$I139="")),'03 Loc'!$I139,0)</f>
        <v>0</v>
      </c>
      <c r="AE139">
        <f>IF(AND('03 Loc'!C139&lt;Tmax, NOT('03 Loc'!$H139="")),'03 Loc'!$H139,4)</f>
        <v>4</v>
      </c>
      <c r="AF139">
        <f>IF(AND('03 Loc'!D139&lt;Tmax, NOT('03 Loc'!$H139="")),'03 Loc'!$H139,4)</f>
        <v>4</v>
      </c>
      <c r="AG139">
        <f>IF(AND('03 Loc'!E139&lt;Tmax, NOT('03 Loc'!$H139="")),'03 Loc'!$H139,4)</f>
        <v>4</v>
      </c>
      <c r="AH139">
        <f>IF(AND('03 Loc'!F139&lt;Tmax, NOT('03 Loc'!$H139="")),'03 Loc'!$H139,4)</f>
        <v>4</v>
      </c>
      <c r="AI139"/>
    </row>
    <row r="140" spans="1:35" ht="22.5" outlineLevel="2" x14ac:dyDescent="0.2">
      <c r="A140" s="636" t="s">
        <v>924</v>
      </c>
      <c r="B140" s="636" t="s">
        <v>1908</v>
      </c>
      <c r="C140" s="887"/>
      <c r="D140" s="887"/>
      <c r="E140" s="887"/>
      <c r="F140" s="887"/>
      <c r="G140" s="1441">
        <v>2</v>
      </c>
      <c r="H140" s="1441"/>
      <c r="I140" s="1441"/>
      <c r="J140" s="1443" t="s">
        <v>1592</v>
      </c>
      <c r="K140" s="1441"/>
      <c r="L140" s="1441"/>
      <c r="M140" s="897"/>
      <c r="AA140">
        <f>IF(AND('03 Loc'!C140&gt;Tmin, NOT('03 Loc'!$I140="")),'03 Loc'!$I140,0)</f>
        <v>0</v>
      </c>
      <c r="AB140">
        <f>IF(AND('03 Loc'!D140&gt;Tmin, NOT('03 Loc'!$I140="")),'03 Loc'!$I140,0)</f>
        <v>0</v>
      </c>
      <c r="AC140">
        <f>IF(AND('03 Loc'!E140&gt;Tmin, NOT('03 Loc'!$I140="")),'03 Loc'!$I140,0)</f>
        <v>0</v>
      </c>
      <c r="AD140">
        <f>IF(AND('03 Loc'!F140&gt;Tmin, NOT('03 Loc'!$I140="")),'03 Loc'!$I140,0)</f>
        <v>0</v>
      </c>
      <c r="AE140">
        <f>IF(AND('03 Loc'!C140&lt;Tmax, NOT('03 Loc'!$H140="")),'03 Loc'!$H140,4)</f>
        <v>4</v>
      </c>
      <c r="AF140">
        <f>IF(AND('03 Loc'!D140&lt;Tmax, NOT('03 Loc'!$H140="")),'03 Loc'!$H140,4)</f>
        <v>4</v>
      </c>
      <c r="AG140">
        <f>IF(AND('03 Loc'!E140&lt;Tmax, NOT('03 Loc'!$H140="")),'03 Loc'!$H140,4)</f>
        <v>4</v>
      </c>
      <c r="AH140">
        <f>IF(AND('03 Loc'!F140&lt;Tmax, NOT('03 Loc'!$H140="")),'03 Loc'!$H140,4)</f>
        <v>4</v>
      </c>
      <c r="AI140"/>
    </row>
    <row r="141" spans="1:35" ht="22.5" outlineLevel="2" x14ac:dyDescent="0.2">
      <c r="A141" s="636" t="s">
        <v>5265</v>
      </c>
      <c r="B141" s="636" t="s">
        <v>2062</v>
      </c>
      <c r="C141" s="887"/>
      <c r="D141" s="887"/>
      <c r="E141" s="887"/>
      <c r="F141" s="887"/>
      <c r="G141" s="1441">
        <v>4</v>
      </c>
      <c r="H141" s="1441">
        <v>2</v>
      </c>
      <c r="I141" s="1441"/>
      <c r="J141" s="1443" t="s">
        <v>2349</v>
      </c>
      <c r="K141" s="1441"/>
      <c r="L141" s="1441"/>
      <c r="M141" s="897"/>
      <c r="AA141">
        <f>IF(AND('03 Loc'!C141&gt;Tmin, NOT('03 Loc'!$I141="")),'03 Loc'!$I141,0)</f>
        <v>0</v>
      </c>
      <c r="AB141">
        <f>IF(AND('03 Loc'!D141&gt;Tmin, NOT('03 Loc'!$I141="")),'03 Loc'!$I141,0)</f>
        <v>0</v>
      </c>
      <c r="AC141">
        <f>IF(AND('03 Loc'!E141&gt;Tmin, NOT('03 Loc'!$I141="")),'03 Loc'!$I141,0)</f>
        <v>0</v>
      </c>
      <c r="AD141">
        <f>IF(AND('03 Loc'!F141&gt;Tmin, NOT('03 Loc'!$I141="")),'03 Loc'!$I141,0)</f>
        <v>0</v>
      </c>
      <c r="AE141">
        <f>IF(AND('03 Loc'!C141&lt;Tmax, NOT('03 Loc'!$H141="")),'03 Loc'!$H141,4)</f>
        <v>2</v>
      </c>
      <c r="AF141">
        <f>IF(AND('03 Loc'!D141&lt;Tmax, NOT('03 Loc'!$H141="")),'03 Loc'!$H141,4)</f>
        <v>2</v>
      </c>
      <c r="AG141">
        <f>IF(AND('03 Loc'!E141&lt;Tmax, NOT('03 Loc'!$H141="")),'03 Loc'!$H141,4)</f>
        <v>2</v>
      </c>
      <c r="AH141">
        <f>IF(AND('03 Loc'!F141&lt;Tmax, NOT('03 Loc'!$H141="")),'03 Loc'!$H141,4)</f>
        <v>2</v>
      </c>
      <c r="AI141"/>
    </row>
    <row r="142" spans="1:35" outlineLevel="2" x14ac:dyDescent="0.2">
      <c r="A142" s="636" t="s">
        <v>2063</v>
      </c>
      <c r="B142" s="636" t="s">
        <v>1486</v>
      </c>
      <c r="C142" s="887"/>
      <c r="D142" s="887"/>
      <c r="E142" s="887"/>
      <c r="F142" s="887"/>
      <c r="G142" s="1441">
        <v>2</v>
      </c>
      <c r="H142" s="1441">
        <v>3</v>
      </c>
      <c r="I142" s="1441"/>
      <c r="J142" s="1443" t="s">
        <v>2109</v>
      </c>
      <c r="K142" s="1441"/>
      <c r="L142" s="1441"/>
      <c r="M142" s="897"/>
      <c r="AA142">
        <f>IF(AND('03 Loc'!C142&gt;Tmin, NOT('03 Loc'!$I142="")),'03 Loc'!$I142,0)</f>
        <v>0</v>
      </c>
      <c r="AB142">
        <f>IF(AND('03 Loc'!D142&gt;Tmin, NOT('03 Loc'!$I142="")),'03 Loc'!$I142,0)</f>
        <v>0</v>
      </c>
      <c r="AC142">
        <f>IF(AND('03 Loc'!E142&gt;Tmin, NOT('03 Loc'!$I142="")),'03 Loc'!$I142,0)</f>
        <v>0</v>
      </c>
      <c r="AD142">
        <f>IF(AND('03 Loc'!F142&gt;Tmin, NOT('03 Loc'!$I142="")),'03 Loc'!$I142,0)</f>
        <v>0</v>
      </c>
      <c r="AE142">
        <f>IF(AND('03 Loc'!C142&lt;Tmax, NOT('03 Loc'!$H142="")),'03 Loc'!$H142,4)</f>
        <v>3</v>
      </c>
      <c r="AF142">
        <f>IF(AND('03 Loc'!D142&lt;Tmax, NOT('03 Loc'!$H142="")),'03 Loc'!$H142,4)</f>
        <v>3</v>
      </c>
      <c r="AG142">
        <f>IF(AND('03 Loc'!E142&lt;Tmax, NOT('03 Loc'!$H142="")),'03 Loc'!$H142,4)</f>
        <v>3</v>
      </c>
      <c r="AH142">
        <f>IF(AND('03 Loc'!F142&lt;Tmax, NOT('03 Loc'!$H142="")),'03 Loc'!$H142,4)</f>
        <v>3</v>
      </c>
      <c r="AI142"/>
    </row>
    <row r="143" spans="1:35" outlineLevel="2" x14ac:dyDescent="0.2">
      <c r="A143" s="636" t="s">
        <v>2064</v>
      </c>
      <c r="B143" s="636" t="s">
        <v>2065</v>
      </c>
      <c r="C143" s="887"/>
      <c r="D143" s="887"/>
      <c r="E143" s="887"/>
      <c r="F143" s="887"/>
      <c r="G143" s="1441">
        <v>2</v>
      </c>
      <c r="H143" s="1441">
        <v>3</v>
      </c>
      <c r="I143" s="1441"/>
      <c r="J143" s="1443" t="s">
        <v>2109</v>
      </c>
      <c r="K143" s="1441"/>
      <c r="L143" s="1441"/>
      <c r="M143" s="897"/>
      <c r="AA143">
        <f>IF(AND('03 Loc'!C143&gt;Tmin, NOT('03 Loc'!$I143="")),'03 Loc'!$I143,0)</f>
        <v>0</v>
      </c>
      <c r="AB143">
        <f>IF(AND('03 Loc'!D143&gt;Tmin, NOT('03 Loc'!$I143="")),'03 Loc'!$I143,0)</f>
        <v>0</v>
      </c>
      <c r="AC143">
        <f>IF(AND('03 Loc'!E143&gt;Tmin, NOT('03 Loc'!$I143="")),'03 Loc'!$I143,0)</f>
        <v>0</v>
      </c>
      <c r="AD143">
        <f>IF(AND('03 Loc'!F143&gt;Tmin, NOT('03 Loc'!$I143="")),'03 Loc'!$I143,0)</f>
        <v>0</v>
      </c>
      <c r="AE143">
        <f>IF(AND('03 Loc'!C143&lt;Tmax, NOT('03 Loc'!$H143="")),'03 Loc'!$H143,4)</f>
        <v>3</v>
      </c>
      <c r="AF143">
        <f>IF(AND('03 Loc'!D143&lt;Tmax, NOT('03 Loc'!$H143="")),'03 Loc'!$H143,4)</f>
        <v>3</v>
      </c>
      <c r="AG143">
        <f>IF(AND('03 Loc'!E143&lt;Tmax, NOT('03 Loc'!$H143="")),'03 Loc'!$H143,4)</f>
        <v>3</v>
      </c>
      <c r="AH143">
        <f>IF(AND('03 Loc'!F143&lt;Tmax, NOT('03 Loc'!$H143="")),'03 Loc'!$H143,4)</f>
        <v>3</v>
      </c>
      <c r="AI143"/>
    </row>
    <row r="144" spans="1:35" outlineLevel="1" x14ac:dyDescent="0.2">
      <c r="A144" s="898" t="s">
        <v>3017</v>
      </c>
      <c r="B144" s="899" t="s">
        <v>3018</v>
      </c>
      <c r="C144" s="887"/>
      <c r="D144" s="887"/>
      <c r="E144" s="887"/>
      <c r="F144" s="887"/>
      <c r="G144" s="1441"/>
      <c r="H144" s="1441"/>
      <c r="I144" s="1441"/>
      <c r="J144" s="1443"/>
      <c r="K144" s="1441"/>
      <c r="L144" s="1441"/>
      <c r="M144" s="897"/>
      <c r="AA144"/>
      <c r="AB144"/>
      <c r="AC144"/>
      <c r="AD144"/>
      <c r="AE144"/>
      <c r="AF144"/>
      <c r="AG144"/>
      <c r="AH144"/>
      <c r="AI144"/>
    </row>
    <row r="145" spans="1:35" ht="33.75" outlineLevel="2" x14ac:dyDescent="0.2">
      <c r="A145" s="636" t="s">
        <v>2066</v>
      </c>
      <c r="B145" s="636" t="s">
        <v>2067</v>
      </c>
      <c r="C145" s="887"/>
      <c r="D145" s="887"/>
      <c r="E145" s="887"/>
      <c r="F145" s="887"/>
      <c r="G145" s="1441">
        <v>2</v>
      </c>
      <c r="H145" s="1441">
        <v>1</v>
      </c>
      <c r="I145" s="1441"/>
      <c r="J145" s="1443" t="s">
        <v>4246</v>
      </c>
      <c r="K145" s="1441"/>
      <c r="L145" s="1441"/>
      <c r="M145" s="897"/>
      <c r="AA145">
        <f>IF(AND('03 Loc'!C145&gt;Tmin, NOT('03 Loc'!$I145="")),'03 Loc'!$I145,0)</f>
        <v>0</v>
      </c>
      <c r="AB145">
        <f>IF(AND('03 Loc'!D145&gt;Tmin, NOT('03 Loc'!$I145="")),'03 Loc'!$I145,0)</f>
        <v>0</v>
      </c>
      <c r="AC145">
        <f>IF(AND('03 Loc'!E145&gt;Tmin, NOT('03 Loc'!$I145="")),'03 Loc'!$I145,0)</f>
        <v>0</v>
      </c>
      <c r="AD145">
        <f>IF(AND('03 Loc'!F145&gt;Tmin, NOT('03 Loc'!$I145="")),'03 Loc'!$I145,0)</f>
        <v>0</v>
      </c>
      <c r="AE145">
        <f>IF(AND('03 Loc'!C145&lt;Tmax, NOT('03 Loc'!$H145="")),'03 Loc'!$H145,4)</f>
        <v>1</v>
      </c>
      <c r="AF145">
        <f>IF(AND('03 Loc'!D145&lt;Tmax, NOT('03 Loc'!$H145="")),'03 Loc'!$H145,4)</f>
        <v>1</v>
      </c>
      <c r="AG145">
        <f>IF(AND('03 Loc'!E145&lt;Tmax, NOT('03 Loc'!$H145="")),'03 Loc'!$H145,4)</f>
        <v>1</v>
      </c>
      <c r="AH145">
        <f>IF(AND('03 Loc'!F145&lt;Tmax, NOT('03 Loc'!$H145="")),'03 Loc'!$H145,4)</f>
        <v>1</v>
      </c>
      <c r="AI145"/>
    </row>
    <row r="146" spans="1:35" outlineLevel="2" x14ac:dyDescent="0.2">
      <c r="A146" s="636" t="s">
        <v>2068</v>
      </c>
      <c r="B146" s="636" t="s">
        <v>2889</v>
      </c>
      <c r="C146" s="887"/>
      <c r="D146" s="887"/>
      <c r="E146" s="887"/>
      <c r="F146" s="887"/>
      <c r="G146" s="1441">
        <v>2</v>
      </c>
      <c r="H146" s="1441">
        <v>3</v>
      </c>
      <c r="I146" s="1441"/>
      <c r="J146" s="1443" t="s">
        <v>1592</v>
      </c>
      <c r="K146" s="1441"/>
      <c r="L146" s="1441"/>
      <c r="M146" s="897"/>
      <c r="AA146">
        <f>IF(AND('03 Loc'!C146&gt;Tmin, NOT('03 Loc'!$I146="")),'03 Loc'!$I146,0)</f>
        <v>0</v>
      </c>
      <c r="AB146">
        <f>IF(AND('03 Loc'!D146&gt;Tmin, NOT('03 Loc'!$I146="")),'03 Loc'!$I146,0)</f>
        <v>0</v>
      </c>
      <c r="AC146">
        <f>IF(AND('03 Loc'!E146&gt;Tmin, NOT('03 Loc'!$I146="")),'03 Loc'!$I146,0)</f>
        <v>0</v>
      </c>
      <c r="AD146">
        <f>IF(AND('03 Loc'!F146&gt;Tmin, NOT('03 Loc'!$I146="")),'03 Loc'!$I146,0)</f>
        <v>0</v>
      </c>
      <c r="AE146">
        <f>IF(AND('03 Loc'!C146&lt;Tmax, NOT('03 Loc'!$H146="")),'03 Loc'!$H146,4)</f>
        <v>3</v>
      </c>
      <c r="AF146">
        <f>IF(AND('03 Loc'!D146&lt;Tmax, NOT('03 Loc'!$H146="")),'03 Loc'!$H146,4)</f>
        <v>3</v>
      </c>
      <c r="AG146">
        <f>IF(AND('03 Loc'!E146&lt;Tmax, NOT('03 Loc'!$H146="")),'03 Loc'!$H146,4)</f>
        <v>3</v>
      </c>
      <c r="AH146">
        <f>IF(AND('03 Loc'!F146&lt;Tmax, NOT('03 Loc'!$H146="")),'03 Loc'!$H146,4)</f>
        <v>3</v>
      </c>
      <c r="AI146"/>
    </row>
    <row r="147" spans="1:35" outlineLevel="2" x14ac:dyDescent="0.2">
      <c r="A147" s="636" t="s">
        <v>2069</v>
      </c>
      <c r="B147" s="636" t="s">
        <v>3134</v>
      </c>
      <c r="C147" s="887"/>
      <c r="D147" s="887"/>
      <c r="E147" s="887"/>
      <c r="F147" s="887"/>
      <c r="G147" s="1441">
        <v>2</v>
      </c>
      <c r="H147" s="1441">
        <v>3</v>
      </c>
      <c r="I147" s="1441"/>
      <c r="J147" s="1443" t="s">
        <v>1592</v>
      </c>
      <c r="K147" s="1441"/>
      <c r="L147" s="1441"/>
      <c r="M147" s="897"/>
      <c r="AA147">
        <f>IF(AND('03 Loc'!C147&gt;Tmin, NOT('03 Loc'!$I147="")),'03 Loc'!$I147,0)</f>
        <v>0</v>
      </c>
      <c r="AB147">
        <f>IF(AND('03 Loc'!D147&gt;Tmin, NOT('03 Loc'!$I147="")),'03 Loc'!$I147,0)</f>
        <v>0</v>
      </c>
      <c r="AC147">
        <f>IF(AND('03 Loc'!E147&gt;Tmin, NOT('03 Loc'!$I147="")),'03 Loc'!$I147,0)</f>
        <v>0</v>
      </c>
      <c r="AD147">
        <f>IF(AND('03 Loc'!F147&gt;Tmin, NOT('03 Loc'!$I147="")),'03 Loc'!$I147,0)</f>
        <v>0</v>
      </c>
      <c r="AE147">
        <f>IF(AND('03 Loc'!C147&lt;Tmax, NOT('03 Loc'!$H147="")),'03 Loc'!$H147,4)</f>
        <v>3</v>
      </c>
      <c r="AF147">
        <f>IF(AND('03 Loc'!D147&lt;Tmax, NOT('03 Loc'!$H147="")),'03 Loc'!$H147,4)</f>
        <v>3</v>
      </c>
      <c r="AG147">
        <f>IF(AND('03 Loc'!E147&lt;Tmax, NOT('03 Loc'!$H147="")),'03 Loc'!$H147,4)</f>
        <v>3</v>
      </c>
      <c r="AH147">
        <f>IF(AND('03 Loc'!F147&lt;Tmax, NOT('03 Loc'!$H147="")),'03 Loc'!$H147,4)</f>
        <v>3</v>
      </c>
      <c r="AI147"/>
    </row>
    <row r="148" spans="1:35" outlineLevel="2" x14ac:dyDescent="0.2">
      <c r="A148" s="636" t="s">
        <v>2070</v>
      </c>
      <c r="B148" s="636" t="s">
        <v>3858</v>
      </c>
      <c r="C148" s="887"/>
      <c r="D148" s="887"/>
      <c r="E148" s="887"/>
      <c r="F148" s="887"/>
      <c r="G148" s="1441">
        <v>4</v>
      </c>
      <c r="H148" s="1441"/>
      <c r="I148" s="1441"/>
      <c r="J148" s="1443" t="s">
        <v>1592</v>
      </c>
      <c r="K148" s="1441"/>
      <c r="L148" s="1441"/>
      <c r="M148" s="897"/>
      <c r="AA148">
        <f>IF(AND('03 Loc'!C148&gt;Tmin, NOT('03 Loc'!$I148="")),'03 Loc'!$I148,0)</f>
        <v>0</v>
      </c>
      <c r="AB148">
        <f>IF(AND('03 Loc'!D148&gt;Tmin, NOT('03 Loc'!$I148="")),'03 Loc'!$I148,0)</f>
        <v>0</v>
      </c>
      <c r="AC148">
        <f>IF(AND('03 Loc'!E148&gt;Tmin, NOT('03 Loc'!$I148="")),'03 Loc'!$I148,0)</f>
        <v>0</v>
      </c>
      <c r="AD148">
        <f>IF(AND('03 Loc'!F148&gt;Tmin, NOT('03 Loc'!$I148="")),'03 Loc'!$I148,0)</f>
        <v>0</v>
      </c>
      <c r="AE148">
        <f>IF(AND('03 Loc'!C148&lt;Tmax, NOT('03 Loc'!$H148="")),'03 Loc'!$H148,4)</f>
        <v>4</v>
      </c>
      <c r="AF148">
        <f>IF(AND('03 Loc'!D148&lt;Tmax, NOT('03 Loc'!$H148="")),'03 Loc'!$H148,4)</f>
        <v>4</v>
      </c>
      <c r="AG148">
        <f>IF(AND('03 Loc'!E148&lt;Tmax, NOT('03 Loc'!$H148="")),'03 Loc'!$H148,4)</f>
        <v>4</v>
      </c>
      <c r="AH148">
        <f>IF(AND('03 Loc'!F148&lt;Tmax, NOT('03 Loc'!$H148="")),'03 Loc'!$H148,4)</f>
        <v>4</v>
      </c>
      <c r="AI148"/>
    </row>
    <row r="149" spans="1:35" ht="22.5" outlineLevel="2" x14ac:dyDescent="0.2">
      <c r="A149" s="636" t="s">
        <v>3859</v>
      </c>
      <c r="B149" s="636" t="s">
        <v>4863</v>
      </c>
      <c r="C149" s="887"/>
      <c r="D149" s="887"/>
      <c r="E149" s="887"/>
      <c r="F149" s="887"/>
      <c r="G149" s="1441">
        <v>1</v>
      </c>
      <c r="H149" s="1441"/>
      <c r="I149" s="1441"/>
      <c r="J149" s="1443" t="s">
        <v>1592</v>
      </c>
      <c r="K149" s="1441"/>
      <c r="L149" s="1441"/>
      <c r="M149" s="897"/>
      <c r="AA149">
        <f>IF(AND('03 Loc'!C149&gt;Tmin, NOT('03 Loc'!$I149="")),'03 Loc'!$I149,0)</f>
        <v>0</v>
      </c>
      <c r="AB149">
        <f>IF(AND('03 Loc'!D149&gt;Tmin, NOT('03 Loc'!$I149="")),'03 Loc'!$I149,0)</f>
        <v>0</v>
      </c>
      <c r="AC149">
        <f>IF(AND('03 Loc'!E149&gt;Tmin, NOT('03 Loc'!$I149="")),'03 Loc'!$I149,0)</f>
        <v>0</v>
      </c>
      <c r="AD149">
        <f>IF(AND('03 Loc'!F149&gt;Tmin, NOT('03 Loc'!$I149="")),'03 Loc'!$I149,0)</f>
        <v>0</v>
      </c>
      <c r="AE149">
        <f>IF(AND('03 Loc'!C149&lt;Tmax, NOT('03 Loc'!$H149="")),'03 Loc'!$H149,4)</f>
        <v>4</v>
      </c>
      <c r="AF149">
        <f>IF(AND('03 Loc'!D149&lt;Tmax, NOT('03 Loc'!$H149="")),'03 Loc'!$H149,4)</f>
        <v>4</v>
      </c>
      <c r="AG149">
        <f>IF(AND('03 Loc'!E149&lt;Tmax, NOT('03 Loc'!$H149="")),'03 Loc'!$H149,4)</f>
        <v>4</v>
      </c>
      <c r="AH149">
        <f>IF(AND('03 Loc'!F149&lt;Tmax, NOT('03 Loc'!$H149="")),'03 Loc'!$H149,4)</f>
        <v>4</v>
      </c>
      <c r="AI149"/>
    </row>
    <row r="150" spans="1:35" ht="22.5" outlineLevel="2" x14ac:dyDescent="0.2">
      <c r="A150" s="636" t="s">
        <v>4864</v>
      </c>
      <c r="B150" s="636" t="s">
        <v>4803</v>
      </c>
      <c r="C150" s="887"/>
      <c r="D150" s="887"/>
      <c r="E150" s="887"/>
      <c r="F150" s="887"/>
      <c r="G150" s="1441">
        <v>4</v>
      </c>
      <c r="H150" s="1441">
        <v>2</v>
      </c>
      <c r="I150" s="1441"/>
      <c r="J150" s="1443" t="s">
        <v>1592</v>
      </c>
      <c r="K150" s="1441" t="s">
        <v>6906</v>
      </c>
      <c r="L150" s="1441" t="s">
        <v>7260</v>
      </c>
      <c r="M150" s="897"/>
      <c r="AA150">
        <f>IF(AND('03 Loc'!C150&gt;Tmin, NOT('03 Loc'!$I150="")),'03 Loc'!$I150,0)</f>
        <v>0</v>
      </c>
      <c r="AB150">
        <f>IF(AND('03 Loc'!D150&gt;Tmin, NOT('03 Loc'!$I150="")),'03 Loc'!$I150,0)</f>
        <v>0</v>
      </c>
      <c r="AC150">
        <f>IF(AND('03 Loc'!E150&gt;Tmin, NOT('03 Loc'!$I150="")),'03 Loc'!$I150,0)</f>
        <v>0</v>
      </c>
      <c r="AD150">
        <f>IF(AND('03 Loc'!F150&gt;Tmin, NOT('03 Loc'!$I150="")),'03 Loc'!$I150,0)</f>
        <v>0</v>
      </c>
      <c r="AE150">
        <f>IF(AND('03 Loc'!C150&lt;Tmax, NOT('03 Loc'!$H150="")),'03 Loc'!$H150,4)</f>
        <v>2</v>
      </c>
      <c r="AF150">
        <f>IF(AND('03 Loc'!D150&lt;Tmax, NOT('03 Loc'!$H150="")),'03 Loc'!$H150,4)</f>
        <v>2</v>
      </c>
      <c r="AG150">
        <f>IF(AND('03 Loc'!E150&lt;Tmax, NOT('03 Loc'!$H150="")),'03 Loc'!$H150,4)</f>
        <v>2</v>
      </c>
      <c r="AH150">
        <f>IF(AND('03 Loc'!F150&lt;Tmax, NOT('03 Loc'!$H150="")),'03 Loc'!$H150,4)</f>
        <v>2</v>
      </c>
      <c r="AI150"/>
    </row>
    <row r="151" spans="1:35" ht="22.5" outlineLevel="2" x14ac:dyDescent="0.2">
      <c r="A151" s="636" t="s">
        <v>4804</v>
      </c>
      <c r="B151" s="636" t="s">
        <v>4805</v>
      </c>
      <c r="C151" s="887"/>
      <c r="D151" s="887"/>
      <c r="E151" s="887"/>
      <c r="F151" s="887"/>
      <c r="G151" s="1441">
        <v>2</v>
      </c>
      <c r="H151" s="1441"/>
      <c r="I151" s="1441"/>
      <c r="J151" s="1443" t="s">
        <v>1592</v>
      </c>
      <c r="K151" s="1441"/>
      <c r="L151" s="1441"/>
      <c r="M151" s="897"/>
      <c r="AA151">
        <f>IF(AND('03 Loc'!C151&gt;Tmin, NOT('03 Loc'!$I151="")),'03 Loc'!$I151,0)</f>
        <v>0</v>
      </c>
      <c r="AB151">
        <f>IF(AND('03 Loc'!D151&gt;Tmin, NOT('03 Loc'!$I151="")),'03 Loc'!$I151,0)</f>
        <v>0</v>
      </c>
      <c r="AC151">
        <f>IF(AND('03 Loc'!E151&gt;Tmin, NOT('03 Loc'!$I151="")),'03 Loc'!$I151,0)</f>
        <v>0</v>
      </c>
      <c r="AD151">
        <f>IF(AND('03 Loc'!F151&gt;Tmin, NOT('03 Loc'!$I151="")),'03 Loc'!$I151,0)</f>
        <v>0</v>
      </c>
      <c r="AE151">
        <f>IF(AND('03 Loc'!C151&lt;Tmax, NOT('03 Loc'!$H151="")),'03 Loc'!$H151,4)</f>
        <v>4</v>
      </c>
      <c r="AF151">
        <f>IF(AND('03 Loc'!D151&lt;Tmax, NOT('03 Loc'!$H151="")),'03 Loc'!$H151,4)</f>
        <v>4</v>
      </c>
      <c r="AG151">
        <f>IF(AND('03 Loc'!E151&lt;Tmax, NOT('03 Loc'!$H151="")),'03 Loc'!$H151,4)</f>
        <v>4</v>
      </c>
      <c r="AH151">
        <f>IF(AND('03 Loc'!F151&lt;Tmax, NOT('03 Loc'!$H151="")),'03 Loc'!$H151,4)</f>
        <v>4</v>
      </c>
      <c r="AI151"/>
    </row>
    <row r="152" spans="1:35" ht="22.5" outlineLevel="2" x14ac:dyDescent="0.2">
      <c r="A152" s="636" t="s">
        <v>4806</v>
      </c>
      <c r="B152" s="636" t="s">
        <v>6</v>
      </c>
      <c r="C152" s="887"/>
      <c r="D152" s="887"/>
      <c r="E152" s="887"/>
      <c r="F152" s="887"/>
      <c r="G152" s="1441">
        <v>4</v>
      </c>
      <c r="H152" s="1441">
        <v>2</v>
      </c>
      <c r="I152" s="1441"/>
      <c r="J152" s="1443" t="s">
        <v>2349</v>
      </c>
      <c r="K152" s="1441"/>
      <c r="L152" s="1441"/>
      <c r="M152" s="897"/>
      <c r="AA152">
        <f>IF(AND('03 Loc'!C152&gt;Tmin, NOT('03 Loc'!$I152="")),'03 Loc'!$I152,0)</f>
        <v>0</v>
      </c>
      <c r="AB152">
        <f>IF(AND('03 Loc'!D152&gt;Tmin, NOT('03 Loc'!$I152="")),'03 Loc'!$I152,0)</f>
        <v>0</v>
      </c>
      <c r="AC152">
        <f>IF(AND('03 Loc'!E152&gt;Tmin, NOT('03 Loc'!$I152="")),'03 Loc'!$I152,0)</f>
        <v>0</v>
      </c>
      <c r="AD152">
        <f>IF(AND('03 Loc'!F152&gt;Tmin, NOT('03 Loc'!$I152="")),'03 Loc'!$I152,0)</f>
        <v>0</v>
      </c>
      <c r="AE152">
        <f>IF(AND('03 Loc'!C152&lt;Tmax, NOT('03 Loc'!$H152="")),'03 Loc'!$H152,4)</f>
        <v>2</v>
      </c>
      <c r="AF152">
        <f>IF(AND('03 Loc'!D152&lt;Tmax, NOT('03 Loc'!$H152="")),'03 Loc'!$H152,4)</f>
        <v>2</v>
      </c>
      <c r="AG152">
        <f>IF(AND('03 Loc'!E152&lt;Tmax, NOT('03 Loc'!$H152="")),'03 Loc'!$H152,4)</f>
        <v>2</v>
      </c>
      <c r="AH152">
        <f>IF(AND('03 Loc'!F152&lt;Tmax, NOT('03 Loc'!$H152="")),'03 Loc'!$H152,4)</f>
        <v>2</v>
      </c>
      <c r="AI152"/>
    </row>
    <row r="153" spans="1:35" ht="22.5" outlineLevel="2" x14ac:dyDescent="0.2">
      <c r="A153" s="636" t="s">
        <v>7</v>
      </c>
      <c r="B153" s="636" t="s">
        <v>8</v>
      </c>
      <c r="C153" s="887"/>
      <c r="D153" s="887"/>
      <c r="E153" s="887"/>
      <c r="F153" s="887"/>
      <c r="G153" s="1441">
        <v>4</v>
      </c>
      <c r="H153" s="1441"/>
      <c r="I153" s="1441"/>
      <c r="J153" s="1443" t="s">
        <v>4246</v>
      </c>
      <c r="K153" s="1441"/>
      <c r="L153" s="1441"/>
      <c r="M153" s="897"/>
      <c r="AA153">
        <f>IF(AND('03 Loc'!C153&gt;Tmin, NOT('03 Loc'!$I153="")),'03 Loc'!$I153,0)</f>
        <v>0</v>
      </c>
      <c r="AB153">
        <f>IF(AND('03 Loc'!D153&gt;Tmin, NOT('03 Loc'!$I153="")),'03 Loc'!$I153,0)</f>
        <v>0</v>
      </c>
      <c r="AC153">
        <f>IF(AND('03 Loc'!E153&gt;Tmin, NOT('03 Loc'!$I153="")),'03 Loc'!$I153,0)</f>
        <v>0</v>
      </c>
      <c r="AD153">
        <f>IF(AND('03 Loc'!F153&gt;Tmin, NOT('03 Loc'!$I153="")),'03 Loc'!$I153,0)</f>
        <v>0</v>
      </c>
      <c r="AE153">
        <f>IF(AND('03 Loc'!C153&lt;Tmax, NOT('03 Loc'!$H153="")),'03 Loc'!$H153,4)</f>
        <v>4</v>
      </c>
      <c r="AF153">
        <f>IF(AND('03 Loc'!D153&lt;Tmax, NOT('03 Loc'!$H153="")),'03 Loc'!$H153,4)</f>
        <v>4</v>
      </c>
      <c r="AG153">
        <f>IF(AND('03 Loc'!E153&lt;Tmax, NOT('03 Loc'!$H153="")),'03 Loc'!$H153,4)</f>
        <v>4</v>
      </c>
      <c r="AH153">
        <f>IF(AND('03 Loc'!F153&lt;Tmax, NOT('03 Loc'!$H153="")),'03 Loc'!$H153,4)</f>
        <v>4</v>
      </c>
      <c r="AI153"/>
    </row>
    <row r="154" spans="1:35" outlineLevel="2" x14ac:dyDescent="0.2">
      <c r="A154" s="636" t="s">
        <v>1453</v>
      </c>
      <c r="B154" s="636" t="s">
        <v>1403</v>
      </c>
      <c r="C154" s="887"/>
      <c r="D154" s="887"/>
      <c r="E154" s="887"/>
      <c r="F154" s="887"/>
      <c r="G154" s="1441">
        <v>2</v>
      </c>
      <c r="H154" s="1441"/>
      <c r="I154" s="1441"/>
      <c r="J154" s="1443" t="s">
        <v>1592</v>
      </c>
      <c r="K154" s="1441"/>
      <c r="L154" s="1441"/>
      <c r="M154" s="897"/>
      <c r="AA154">
        <f>IF(AND('03 Loc'!C154&gt;Tmin, NOT('03 Loc'!$I154="")),'03 Loc'!$I154,0)</f>
        <v>0</v>
      </c>
      <c r="AB154">
        <f>IF(AND('03 Loc'!D154&gt;Tmin, NOT('03 Loc'!$I154="")),'03 Loc'!$I154,0)</f>
        <v>0</v>
      </c>
      <c r="AC154">
        <f>IF(AND('03 Loc'!E154&gt;Tmin, NOT('03 Loc'!$I154="")),'03 Loc'!$I154,0)</f>
        <v>0</v>
      </c>
      <c r="AD154">
        <f>IF(AND('03 Loc'!F154&gt;Tmin, NOT('03 Loc'!$I154="")),'03 Loc'!$I154,0)</f>
        <v>0</v>
      </c>
      <c r="AE154">
        <f>IF(AND('03 Loc'!C154&lt;Tmax, NOT('03 Loc'!$H154="")),'03 Loc'!$H154,4)</f>
        <v>4</v>
      </c>
      <c r="AF154">
        <f>IF(AND('03 Loc'!D154&lt;Tmax, NOT('03 Loc'!$H154="")),'03 Loc'!$H154,4)</f>
        <v>4</v>
      </c>
      <c r="AG154">
        <f>IF(AND('03 Loc'!E154&lt;Tmax, NOT('03 Loc'!$H154="")),'03 Loc'!$H154,4)</f>
        <v>4</v>
      </c>
      <c r="AH154">
        <f>IF(AND('03 Loc'!F154&lt;Tmax, NOT('03 Loc'!$H154="")),'03 Loc'!$H154,4)</f>
        <v>4</v>
      </c>
      <c r="AI154"/>
    </row>
    <row r="155" spans="1:35" ht="22.5" outlineLevel="2" x14ac:dyDescent="0.2">
      <c r="A155" s="636" t="s">
        <v>1404</v>
      </c>
      <c r="B155" s="636" t="s">
        <v>1405</v>
      </c>
      <c r="C155" s="887"/>
      <c r="D155" s="887"/>
      <c r="E155" s="887"/>
      <c r="F155" s="887"/>
      <c r="G155" s="1441">
        <v>2</v>
      </c>
      <c r="H155" s="1441">
        <v>3</v>
      </c>
      <c r="I155" s="1441"/>
      <c r="J155" s="1443" t="s">
        <v>2109</v>
      </c>
      <c r="K155" s="1441"/>
      <c r="L155" s="1441"/>
      <c r="M155" s="897"/>
      <c r="AA155">
        <f>IF(AND('03 Loc'!C155&gt;Tmin, NOT('03 Loc'!$I155="")),'03 Loc'!$I155,0)</f>
        <v>0</v>
      </c>
      <c r="AB155">
        <f>IF(AND('03 Loc'!D155&gt;Tmin, NOT('03 Loc'!$I155="")),'03 Loc'!$I155,0)</f>
        <v>0</v>
      </c>
      <c r="AC155">
        <f>IF(AND('03 Loc'!E155&gt;Tmin, NOT('03 Loc'!$I155="")),'03 Loc'!$I155,0)</f>
        <v>0</v>
      </c>
      <c r="AD155">
        <f>IF(AND('03 Loc'!F155&gt;Tmin, NOT('03 Loc'!$I155="")),'03 Loc'!$I155,0)</f>
        <v>0</v>
      </c>
      <c r="AE155">
        <f>IF(AND('03 Loc'!C155&lt;Tmax, NOT('03 Loc'!$H155="")),'03 Loc'!$H155,4)</f>
        <v>3</v>
      </c>
      <c r="AF155">
        <f>IF(AND('03 Loc'!D155&lt;Tmax, NOT('03 Loc'!$H155="")),'03 Loc'!$H155,4)</f>
        <v>3</v>
      </c>
      <c r="AG155">
        <f>IF(AND('03 Loc'!E155&lt;Tmax, NOT('03 Loc'!$H155="")),'03 Loc'!$H155,4)</f>
        <v>3</v>
      </c>
      <c r="AH155">
        <f>IF(AND('03 Loc'!F155&lt;Tmax, NOT('03 Loc'!$H155="")),'03 Loc'!$H155,4)</f>
        <v>3</v>
      </c>
      <c r="AI155"/>
    </row>
    <row r="156" spans="1:35" x14ac:dyDescent="0.2">
      <c r="C156" s="846"/>
      <c r="D156" s="846"/>
      <c r="E156" s="846"/>
      <c r="F156" s="846"/>
      <c r="AA156"/>
      <c r="AB156"/>
      <c r="AC156"/>
      <c r="AD156"/>
      <c r="AE156"/>
      <c r="AF156"/>
      <c r="AG156"/>
      <c r="AH156"/>
      <c r="AI156"/>
    </row>
    <row r="157" spans="1:35" ht="12.75" customHeight="1" x14ac:dyDescent="0.2">
      <c r="A157" s="876" t="str">
        <f>C$2</f>
        <v>R-V1</v>
      </c>
      <c r="B157" s="618" t="s">
        <v>7232</v>
      </c>
      <c r="C157" s="877" t="str">
        <f>C$2</f>
        <v>R-V1</v>
      </c>
      <c r="D157" s="877"/>
      <c r="E157" s="877"/>
      <c r="F157" s="877"/>
      <c r="AA157"/>
      <c r="AB157"/>
      <c r="AC157"/>
      <c r="AD157"/>
      <c r="AE157"/>
      <c r="AF157"/>
      <c r="AG157"/>
      <c r="AH157"/>
      <c r="AI157"/>
    </row>
    <row r="158" spans="1:35" ht="12.75" customHeight="1" x14ac:dyDescent="0.2">
      <c r="A158" s="876" t="str">
        <f>C$2</f>
        <v>R-V1</v>
      </c>
      <c r="B158" s="618" t="s">
        <v>7233</v>
      </c>
      <c r="C158" s="877" t="str">
        <f>C$2</f>
        <v>R-V1</v>
      </c>
      <c r="D158" s="877"/>
      <c r="E158" s="877"/>
      <c r="F158" s="877"/>
      <c r="AA158"/>
      <c r="AB158"/>
      <c r="AC158"/>
      <c r="AD158"/>
      <c r="AE158"/>
      <c r="AF158"/>
      <c r="AG158"/>
      <c r="AH158"/>
      <c r="AI158"/>
    </row>
    <row r="159" spans="1:35" ht="12.75" customHeight="1" x14ac:dyDescent="0.2">
      <c r="A159" s="876" t="str">
        <f>C$2</f>
        <v>R-V1</v>
      </c>
      <c r="B159" s="618" t="s">
        <v>7234</v>
      </c>
      <c r="C159" s="877" t="str">
        <f>C$2</f>
        <v>R-V1</v>
      </c>
      <c r="D159" s="877"/>
      <c r="E159" s="877"/>
      <c r="F159" s="877"/>
      <c r="AA159"/>
      <c r="AB159"/>
      <c r="AC159"/>
      <c r="AD159"/>
      <c r="AE159"/>
      <c r="AF159"/>
      <c r="AG159"/>
      <c r="AH159"/>
      <c r="AI159"/>
    </row>
    <row r="160" spans="1:35" ht="12.75" customHeight="1" x14ac:dyDescent="0.2">
      <c r="A160" s="876" t="str">
        <f>C$2</f>
        <v>R-V1</v>
      </c>
      <c r="B160" s="618" t="s">
        <v>7235</v>
      </c>
      <c r="C160" s="877" t="str">
        <f>C$2</f>
        <v>R-V1</v>
      </c>
      <c r="D160" s="877"/>
      <c r="E160" s="877"/>
      <c r="F160" s="877"/>
      <c r="AA160"/>
      <c r="AB160"/>
      <c r="AC160"/>
      <c r="AD160"/>
      <c r="AE160"/>
      <c r="AF160"/>
      <c r="AG160"/>
      <c r="AH160"/>
      <c r="AI160"/>
    </row>
    <row r="161" spans="1:35" ht="12.75" customHeight="1" x14ac:dyDescent="0.2">
      <c r="A161" s="876"/>
      <c r="B161" s="618"/>
      <c r="C161" s="877"/>
      <c r="D161" s="877"/>
      <c r="E161" s="877"/>
      <c r="F161" s="877"/>
      <c r="AA161"/>
      <c r="AB161"/>
      <c r="AC161"/>
      <c r="AD161"/>
      <c r="AE161"/>
      <c r="AF161"/>
      <c r="AG161"/>
      <c r="AH161"/>
      <c r="AI161"/>
    </row>
    <row r="162" spans="1:35" ht="12.75" customHeight="1" x14ac:dyDescent="0.2">
      <c r="A162" s="876" t="str">
        <f>D$2</f>
        <v>R-V2</v>
      </c>
      <c r="B162" s="618" t="s">
        <v>7232</v>
      </c>
      <c r="C162" s="877"/>
      <c r="D162" s="877" t="str">
        <f>D$2</f>
        <v>R-V2</v>
      </c>
      <c r="E162" s="877"/>
      <c r="F162" s="877"/>
      <c r="AA162"/>
      <c r="AB162"/>
      <c r="AC162"/>
      <c r="AD162"/>
      <c r="AE162"/>
      <c r="AF162"/>
      <c r="AG162"/>
      <c r="AH162"/>
      <c r="AI162"/>
    </row>
    <row r="163" spans="1:35" ht="12.75" customHeight="1" x14ac:dyDescent="0.2">
      <c r="A163" s="876" t="str">
        <f>D$2</f>
        <v>R-V2</v>
      </c>
      <c r="B163" s="618" t="s">
        <v>7233</v>
      </c>
      <c r="C163" s="877"/>
      <c r="D163" s="877" t="str">
        <f>D$2</f>
        <v>R-V2</v>
      </c>
      <c r="E163" s="877"/>
      <c r="F163" s="877"/>
      <c r="AA163"/>
      <c r="AB163"/>
      <c r="AC163"/>
      <c r="AD163"/>
      <c r="AE163"/>
      <c r="AF163"/>
      <c r="AG163"/>
      <c r="AH163"/>
      <c r="AI163"/>
    </row>
    <row r="164" spans="1:35" ht="12.75" customHeight="1" x14ac:dyDescent="0.2">
      <c r="A164" s="876" t="str">
        <f>D$2</f>
        <v>R-V2</v>
      </c>
      <c r="B164" s="618" t="s">
        <v>7234</v>
      </c>
      <c r="C164" s="877"/>
      <c r="D164" s="877" t="str">
        <f>D$2</f>
        <v>R-V2</v>
      </c>
      <c r="E164" s="877"/>
      <c r="F164" s="877"/>
      <c r="AA164"/>
      <c r="AB164"/>
      <c r="AC164"/>
      <c r="AD164"/>
      <c r="AE164"/>
      <c r="AF164"/>
      <c r="AG164"/>
      <c r="AH164"/>
      <c r="AI164"/>
    </row>
    <row r="165" spans="1:35" ht="12.75" customHeight="1" x14ac:dyDescent="0.2">
      <c r="A165" s="876" t="str">
        <f>D$2</f>
        <v>R-V2</v>
      </c>
      <c r="B165" s="618" t="s">
        <v>7235</v>
      </c>
      <c r="C165" s="877"/>
      <c r="D165" s="877" t="str">
        <f>D$2</f>
        <v>R-V2</v>
      </c>
      <c r="E165" s="877"/>
      <c r="F165" s="877"/>
      <c r="AA165"/>
      <c r="AB165"/>
      <c r="AC165"/>
      <c r="AD165"/>
      <c r="AE165"/>
      <c r="AF165"/>
      <c r="AG165"/>
      <c r="AH165"/>
      <c r="AI165"/>
    </row>
    <row r="166" spans="1:35" ht="12.75" customHeight="1" x14ac:dyDescent="0.2">
      <c r="A166" s="876"/>
      <c r="B166" s="618"/>
      <c r="C166" s="877"/>
      <c r="D166" s="877"/>
      <c r="E166" s="877"/>
      <c r="F166" s="877"/>
      <c r="AA166"/>
      <c r="AB166"/>
      <c r="AC166"/>
      <c r="AD166"/>
      <c r="AE166"/>
      <c r="AF166"/>
      <c r="AG166"/>
      <c r="AH166"/>
      <c r="AI166"/>
    </row>
    <row r="167" spans="1:35" ht="12.75" customHeight="1" x14ac:dyDescent="0.2">
      <c r="A167" s="876" t="str">
        <f>E$2</f>
        <v>R-V3</v>
      </c>
      <c r="B167" s="618" t="s">
        <v>7232</v>
      </c>
      <c r="C167" s="877"/>
      <c r="D167" s="877"/>
      <c r="E167" s="877" t="str">
        <f>E$2</f>
        <v>R-V3</v>
      </c>
      <c r="F167" s="877"/>
      <c r="AA167"/>
      <c r="AB167"/>
      <c r="AC167"/>
      <c r="AD167"/>
      <c r="AE167"/>
      <c r="AF167"/>
      <c r="AG167"/>
      <c r="AH167"/>
      <c r="AI167"/>
    </row>
    <row r="168" spans="1:35" ht="12.75" customHeight="1" x14ac:dyDescent="0.2">
      <c r="A168" s="876" t="str">
        <f>E$2</f>
        <v>R-V3</v>
      </c>
      <c r="B168" s="618" t="s">
        <v>7233</v>
      </c>
      <c r="C168" s="877"/>
      <c r="D168" s="877"/>
      <c r="E168" s="877" t="str">
        <f>E$2</f>
        <v>R-V3</v>
      </c>
      <c r="F168" s="877"/>
      <c r="AA168"/>
      <c r="AB168"/>
      <c r="AC168"/>
      <c r="AD168"/>
      <c r="AE168"/>
      <c r="AF168"/>
      <c r="AG168"/>
      <c r="AH168"/>
      <c r="AI168"/>
    </row>
    <row r="169" spans="1:35" ht="12.75" customHeight="1" x14ac:dyDescent="0.2">
      <c r="A169" s="876" t="str">
        <f>E$2</f>
        <v>R-V3</v>
      </c>
      <c r="B169" s="618" t="s">
        <v>7234</v>
      </c>
      <c r="C169" s="877"/>
      <c r="D169" s="877"/>
      <c r="E169" s="877" t="str">
        <f>E$2</f>
        <v>R-V3</v>
      </c>
      <c r="F169" s="877"/>
      <c r="AA169"/>
      <c r="AB169"/>
      <c r="AC169"/>
      <c r="AD169"/>
      <c r="AE169"/>
      <c r="AF169"/>
      <c r="AG169"/>
      <c r="AH169"/>
      <c r="AI169"/>
    </row>
    <row r="170" spans="1:35" ht="12.75" customHeight="1" x14ac:dyDescent="0.2">
      <c r="A170" s="876" t="str">
        <f>E$2</f>
        <v>R-V3</v>
      </c>
      <c r="B170" s="618" t="s">
        <v>7235</v>
      </c>
      <c r="C170" s="877"/>
      <c r="D170" s="877"/>
      <c r="E170" s="877" t="str">
        <f>E$2</f>
        <v>R-V3</v>
      </c>
      <c r="F170" s="877"/>
      <c r="AA170"/>
      <c r="AB170"/>
      <c r="AC170"/>
      <c r="AD170"/>
      <c r="AE170"/>
      <c r="AF170"/>
      <c r="AG170"/>
      <c r="AH170"/>
      <c r="AI170"/>
    </row>
    <row r="171" spans="1:35" ht="12.75" customHeight="1" x14ac:dyDescent="0.2">
      <c r="A171" s="876"/>
      <c r="B171" s="618"/>
      <c r="C171" s="877"/>
      <c r="D171" s="877"/>
      <c r="E171" s="877"/>
      <c r="F171" s="877"/>
      <c r="AA171"/>
      <c r="AB171"/>
      <c r="AC171"/>
      <c r="AD171"/>
      <c r="AE171"/>
      <c r="AF171"/>
      <c r="AG171"/>
      <c r="AH171"/>
      <c r="AI171"/>
    </row>
    <row r="172" spans="1:35" ht="12.75" customHeight="1" x14ac:dyDescent="0.2">
      <c r="A172" s="876" t="str">
        <f>F$2</f>
        <v>R-V4</v>
      </c>
      <c r="B172" s="618" t="s">
        <v>7232</v>
      </c>
      <c r="C172" s="877"/>
      <c r="D172" s="877"/>
      <c r="E172" s="877"/>
      <c r="F172" s="877" t="str">
        <f>F$2</f>
        <v>R-V4</v>
      </c>
      <c r="AA172"/>
      <c r="AB172"/>
      <c r="AC172"/>
      <c r="AD172"/>
      <c r="AE172"/>
      <c r="AF172"/>
      <c r="AG172"/>
      <c r="AH172"/>
      <c r="AI172"/>
    </row>
    <row r="173" spans="1:35" ht="12.75" customHeight="1" x14ac:dyDescent="0.2">
      <c r="A173" s="876" t="str">
        <f>F$2</f>
        <v>R-V4</v>
      </c>
      <c r="B173" s="618" t="s">
        <v>7233</v>
      </c>
      <c r="C173" s="877"/>
      <c r="D173" s="877"/>
      <c r="E173" s="877"/>
      <c r="F173" s="877" t="str">
        <f>F$2</f>
        <v>R-V4</v>
      </c>
      <c r="AA173"/>
      <c r="AB173"/>
      <c r="AC173"/>
      <c r="AD173"/>
      <c r="AE173"/>
      <c r="AF173"/>
      <c r="AG173"/>
      <c r="AH173"/>
      <c r="AI173"/>
    </row>
    <row r="174" spans="1:35" ht="12.75" customHeight="1" x14ac:dyDescent="0.2">
      <c r="A174" s="876" t="str">
        <f>F$2</f>
        <v>R-V4</v>
      </c>
      <c r="B174" s="618" t="s">
        <v>7234</v>
      </c>
      <c r="C174" s="877"/>
      <c r="D174" s="877"/>
      <c r="E174" s="877"/>
      <c r="F174" s="877" t="str">
        <f>F$2</f>
        <v>R-V4</v>
      </c>
      <c r="AA174"/>
      <c r="AB174"/>
      <c r="AC174"/>
      <c r="AD174"/>
      <c r="AE174"/>
      <c r="AF174"/>
      <c r="AG174"/>
      <c r="AH174"/>
      <c r="AI174"/>
    </row>
    <row r="175" spans="1:35" ht="12.75" customHeight="1" x14ac:dyDescent="0.2">
      <c r="A175" s="876" t="str">
        <f>F$2</f>
        <v>R-V4</v>
      </c>
      <c r="B175" s="618" t="s">
        <v>7235</v>
      </c>
      <c r="C175" s="877"/>
      <c r="D175" s="877"/>
      <c r="E175" s="877"/>
      <c r="F175" s="877" t="str">
        <f>F$2</f>
        <v>R-V4</v>
      </c>
      <c r="AA175"/>
      <c r="AB175"/>
      <c r="AC175"/>
      <c r="AD175"/>
      <c r="AE175"/>
      <c r="AF175"/>
      <c r="AG175"/>
      <c r="AH175"/>
      <c r="AI175"/>
    </row>
    <row r="176" spans="1:35" x14ac:dyDescent="0.2">
      <c r="C176" s="905"/>
      <c r="D176" s="905"/>
      <c r="E176" s="905"/>
      <c r="F176" s="905"/>
      <c r="AA176"/>
      <c r="AB176"/>
      <c r="AC176"/>
      <c r="AD176"/>
      <c r="AE176"/>
      <c r="AF176"/>
      <c r="AG176"/>
      <c r="AH176"/>
      <c r="AI176"/>
    </row>
    <row r="177" spans="3:35" x14ac:dyDescent="0.2">
      <c r="C177" s="892"/>
      <c r="D177" s="892"/>
      <c r="E177" s="892"/>
      <c r="F177" s="892"/>
      <c r="AA177"/>
      <c r="AB177"/>
      <c r="AC177"/>
      <c r="AD177"/>
      <c r="AE177"/>
      <c r="AF177"/>
      <c r="AG177"/>
      <c r="AH177"/>
      <c r="AI177"/>
    </row>
    <row r="178" spans="3:35" x14ac:dyDescent="0.2">
      <c r="C178" s="892"/>
      <c r="D178" s="892"/>
      <c r="E178" s="892"/>
      <c r="F178" s="892"/>
      <c r="AA178"/>
      <c r="AB178"/>
      <c r="AC178"/>
      <c r="AD178"/>
      <c r="AE178"/>
      <c r="AF178"/>
      <c r="AG178"/>
      <c r="AH178"/>
      <c r="AI178"/>
    </row>
    <row r="179" spans="3:35" x14ac:dyDescent="0.2">
      <c r="C179" s="892"/>
      <c r="D179" s="892"/>
      <c r="E179" s="892"/>
      <c r="F179" s="892"/>
      <c r="AA179"/>
      <c r="AB179"/>
      <c r="AC179"/>
      <c r="AD179"/>
      <c r="AE179"/>
      <c r="AF179"/>
      <c r="AG179"/>
      <c r="AH179"/>
      <c r="AI179"/>
    </row>
    <row r="180" spans="3:35" x14ac:dyDescent="0.2">
      <c r="C180" s="892"/>
      <c r="D180" s="892"/>
      <c r="E180" s="892"/>
      <c r="F180" s="892"/>
      <c r="AA180"/>
      <c r="AB180"/>
      <c r="AC180"/>
      <c r="AD180"/>
      <c r="AE180"/>
      <c r="AF180"/>
      <c r="AG180"/>
      <c r="AH180"/>
      <c r="AI180"/>
    </row>
    <row r="181" spans="3:35" x14ac:dyDescent="0.2">
      <c r="C181" s="892"/>
      <c r="D181" s="892"/>
      <c r="E181" s="892"/>
      <c r="F181" s="892"/>
      <c r="AA181"/>
      <c r="AB181"/>
      <c r="AC181"/>
      <c r="AD181"/>
      <c r="AE181"/>
      <c r="AF181"/>
      <c r="AG181"/>
      <c r="AH181"/>
      <c r="AI181"/>
    </row>
    <row r="182" spans="3:35" x14ac:dyDescent="0.2">
      <c r="C182" s="892"/>
      <c r="D182" s="892"/>
      <c r="E182" s="892"/>
      <c r="F182" s="892"/>
      <c r="AA182"/>
      <c r="AB182"/>
      <c r="AC182"/>
      <c r="AD182"/>
      <c r="AE182"/>
      <c r="AF182"/>
      <c r="AG182"/>
      <c r="AH182"/>
      <c r="AI182"/>
    </row>
    <row r="183" spans="3:35" x14ac:dyDescent="0.2">
      <c r="C183" s="892"/>
      <c r="D183" s="892"/>
      <c r="E183" s="892"/>
      <c r="F183" s="892"/>
      <c r="AA183"/>
      <c r="AB183"/>
      <c r="AC183"/>
      <c r="AD183"/>
      <c r="AE183"/>
      <c r="AF183"/>
      <c r="AG183"/>
      <c r="AH183"/>
      <c r="AI183"/>
    </row>
    <row r="184" spans="3:35" x14ac:dyDescent="0.2">
      <c r="C184" s="892"/>
      <c r="D184" s="892"/>
      <c r="E184" s="892"/>
      <c r="F184" s="892"/>
      <c r="AA184"/>
      <c r="AB184"/>
      <c r="AC184"/>
      <c r="AD184"/>
      <c r="AE184"/>
      <c r="AF184"/>
      <c r="AG184"/>
      <c r="AH184"/>
      <c r="AI184"/>
    </row>
    <row r="185" spans="3:35" x14ac:dyDescent="0.2">
      <c r="AA185"/>
      <c r="AB185"/>
      <c r="AC185"/>
      <c r="AD185"/>
      <c r="AE185"/>
      <c r="AF185"/>
      <c r="AG185"/>
      <c r="AH185"/>
      <c r="AI185"/>
    </row>
    <row r="186" spans="3:35" x14ac:dyDescent="0.2">
      <c r="C186" s="892"/>
      <c r="D186" s="892"/>
      <c r="E186" s="892"/>
      <c r="F186" s="892"/>
      <c r="AA186"/>
      <c r="AB186"/>
      <c r="AC186"/>
      <c r="AD186"/>
      <c r="AE186"/>
      <c r="AF186"/>
      <c r="AG186"/>
      <c r="AH186"/>
      <c r="AI186"/>
    </row>
    <row r="187" spans="3:35" x14ac:dyDescent="0.2">
      <c r="C187" s="892"/>
      <c r="D187" s="892"/>
      <c r="E187" s="892"/>
      <c r="F187" s="892"/>
      <c r="AA187"/>
      <c r="AB187"/>
      <c r="AC187"/>
      <c r="AD187"/>
      <c r="AE187"/>
      <c r="AF187"/>
      <c r="AG187"/>
      <c r="AH187"/>
      <c r="AI187"/>
    </row>
    <row r="188" spans="3:35" x14ac:dyDescent="0.2">
      <c r="C188" s="892"/>
      <c r="D188" s="892"/>
      <c r="E188" s="892"/>
      <c r="F188" s="892"/>
      <c r="AA188"/>
      <c r="AB188"/>
      <c r="AC188"/>
      <c r="AD188"/>
      <c r="AE188"/>
      <c r="AF188"/>
      <c r="AG188"/>
      <c r="AH188"/>
      <c r="AI188"/>
    </row>
    <row r="189" spans="3:35" x14ac:dyDescent="0.2">
      <c r="C189" s="892"/>
      <c r="D189" s="892"/>
      <c r="E189" s="892"/>
      <c r="F189" s="892"/>
      <c r="AA189"/>
      <c r="AB189"/>
      <c r="AC189"/>
      <c r="AD189"/>
      <c r="AE189"/>
      <c r="AF189"/>
      <c r="AG189"/>
      <c r="AH189"/>
      <c r="AI189"/>
    </row>
    <row r="190" spans="3:35" x14ac:dyDescent="0.2">
      <c r="C190" s="892"/>
      <c r="D190" s="892"/>
      <c r="E190" s="892"/>
      <c r="F190" s="892"/>
      <c r="AA190"/>
      <c r="AB190"/>
      <c r="AC190"/>
      <c r="AD190"/>
      <c r="AE190"/>
      <c r="AF190"/>
      <c r="AG190"/>
      <c r="AH190"/>
      <c r="AI190"/>
    </row>
    <row r="191" spans="3:35" x14ac:dyDescent="0.2">
      <c r="C191" s="892"/>
      <c r="D191" s="892"/>
      <c r="E191" s="892"/>
      <c r="F191" s="892"/>
      <c r="AA191"/>
      <c r="AB191"/>
      <c r="AC191"/>
      <c r="AD191"/>
      <c r="AE191"/>
      <c r="AF191"/>
      <c r="AG191"/>
      <c r="AH191"/>
      <c r="AI191"/>
    </row>
    <row r="192" spans="3:35" x14ac:dyDescent="0.2">
      <c r="C192" s="892"/>
      <c r="D192" s="892"/>
      <c r="E192" s="892"/>
      <c r="F192" s="892"/>
      <c r="AA192"/>
      <c r="AB192"/>
      <c r="AC192"/>
      <c r="AD192"/>
      <c r="AE192"/>
      <c r="AF192"/>
      <c r="AG192"/>
      <c r="AH192"/>
      <c r="AI192"/>
    </row>
    <row r="193" spans="3:35" x14ac:dyDescent="0.2">
      <c r="C193" s="892"/>
      <c r="D193" s="892"/>
      <c r="E193" s="892"/>
      <c r="F193" s="892"/>
      <c r="AA193"/>
      <c r="AB193"/>
      <c r="AC193"/>
      <c r="AD193"/>
      <c r="AE193"/>
      <c r="AF193"/>
      <c r="AG193"/>
      <c r="AH193"/>
      <c r="AI193"/>
    </row>
    <row r="194" spans="3:35" x14ac:dyDescent="0.2">
      <c r="C194" s="892"/>
      <c r="D194" s="892"/>
      <c r="E194" s="892"/>
      <c r="F194" s="892"/>
      <c r="AA194"/>
      <c r="AB194"/>
      <c r="AC194"/>
      <c r="AD194"/>
      <c r="AE194"/>
      <c r="AF194"/>
      <c r="AG194"/>
      <c r="AH194"/>
      <c r="AI194"/>
    </row>
    <row r="195" spans="3:35" x14ac:dyDescent="0.2">
      <c r="C195" s="892"/>
      <c r="D195" s="892"/>
      <c r="E195" s="892"/>
      <c r="F195" s="892"/>
      <c r="AA195"/>
      <c r="AB195"/>
      <c r="AC195"/>
      <c r="AD195"/>
      <c r="AE195"/>
      <c r="AF195"/>
      <c r="AG195"/>
      <c r="AH195"/>
      <c r="AI195"/>
    </row>
    <row r="196" spans="3:35" x14ac:dyDescent="0.2">
      <c r="C196" s="892"/>
      <c r="D196" s="892"/>
      <c r="E196" s="892"/>
      <c r="F196" s="892"/>
      <c r="AA196"/>
      <c r="AB196"/>
      <c r="AC196"/>
      <c r="AD196"/>
      <c r="AE196"/>
      <c r="AF196"/>
      <c r="AG196"/>
      <c r="AH196"/>
      <c r="AI196"/>
    </row>
    <row r="197" spans="3:35" x14ac:dyDescent="0.2">
      <c r="C197" s="892"/>
      <c r="D197" s="892"/>
      <c r="E197" s="892"/>
      <c r="F197" s="892"/>
      <c r="AA197"/>
      <c r="AB197"/>
      <c r="AC197"/>
      <c r="AD197"/>
      <c r="AE197"/>
      <c r="AF197"/>
      <c r="AG197"/>
      <c r="AH197"/>
      <c r="AI197"/>
    </row>
    <row r="198" spans="3:35" x14ac:dyDescent="0.2">
      <c r="C198" s="892"/>
      <c r="D198" s="892"/>
      <c r="E198" s="892"/>
      <c r="F198" s="892"/>
      <c r="AA198"/>
      <c r="AB198"/>
      <c r="AC198"/>
      <c r="AD198"/>
      <c r="AE198"/>
      <c r="AF198"/>
      <c r="AG198"/>
      <c r="AH198"/>
      <c r="AI198"/>
    </row>
    <row r="199" spans="3:35" x14ac:dyDescent="0.2">
      <c r="C199" s="892"/>
      <c r="D199" s="892"/>
      <c r="E199" s="892"/>
      <c r="F199" s="892"/>
      <c r="AA199"/>
      <c r="AB199"/>
      <c r="AC199"/>
      <c r="AD199"/>
      <c r="AE199"/>
      <c r="AF199"/>
      <c r="AG199"/>
      <c r="AH199"/>
      <c r="AI199"/>
    </row>
    <row r="200" spans="3:35" x14ac:dyDescent="0.2">
      <c r="AA200"/>
      <c r="AB200"/>
      <c r="AC200"/>
      <c r="AD200"/>
      <c r="AE200"/>
      <c r="AF200"/>
      <c r="AG200"/>
      <c r="AH200"/>
      <c r="AI200"/>
    </row>
    <row r="201" spans="3:35" x14ac:dyDescent="0.2">
      <c r="AA201"/>
      <c r="AB201"/>
      <c r="AC201"/>
      <c r="AD201"/>
      <c r="AE201"/>
      <c r="AF201"/>
      <c r="AG201"/>
      <c r="AH201"/>
      <c r="AI201"/>
    </row>
    <row r="202" spans="3:35" x14ac:dyDescent="0.2">
      <c r="AA202"/>
      <c r="AB202"/>
      <c r="AC202"/>
      <c r="AD202"/>
      <c r="AE202"/>
      <c r="AF202"/>
      <c r="AG202"/>
      <c r="AH202"/>
      <c r="AI202"/>
    </row>
    <row r="203" spans="3:35" x14ac:dyDescent="0.2">
      <c r="AA203"/>
      <c r="AB203"/>
      <c r="AC203"/>
      <c r="AD203"/>
      <c r="AE203"/>
      <c r="AF203"/>
      <c r="AG203"/>
      <c r="AH203"/>
      <c r="AI203"/>
    </row>
    <row r="204" spans="3:35" x14ac:dyDescent="0.2">
      <c r="AA204"/>
      <c r="AB204"/>
      <c r="AC204"/>
      <c r="AD204"/>
      <c r="AE204"/>
      <c r="AF204"/>
      <c r="AG204"/>
      <c r="AH204"/>
      <c r="AI204"/>
    </row>
    <row r="205" spans="3:35" x14ac:dyDescent="0.2">
      <c r="AA205"/>
      <c r="AB205"/>
      <c r="AC205"/>
      <c r="AD205"/>
      <c r="AE205"/>
      <c r="AF205"/>
      <c r="AG205"/>
      <c r="AH205"/>
      <c r="AI205"/>
    </row>
    <row r="206" spans="3:35" x14ac:dyDescent="0.2">
      <c r="AA206"/>
      <c r="AB206"/>
      <c r="AC206"/>
      <c r="AD206"/>
      <c r="AE206"/>
      <c r="AF206"/>
      <c r="AG206"/>
      <c r="AH206"/>
      <c r="AI206"/>
    </row>
    <row r="207" spans="3:35" x14ac:dyDescent="0.2">
      <c r="AA207"/>
      <c r="AB207"/>
      <c r="AC207"/>
      <c r="AD207"/>
      <c r="AE207"/>
      <c r="AF207"/>
      <c r="AG207"/>
      <c r="AH207"/>
      <c r="AI207"/>
    </row>
    <row r="208" spans="3:35" x14ac:dyDescent="0.2">
      <c r="AA208"/>
      <c r="AB208"/>
      <c r="AC208"/>
      <c r="AD208"/>
      <c r="AE208"/>
      <c r="AF208"/>
      <c r="AG208"/>
      <c r="AH208"/>
      <c r="AI208"/>
    </row>
    <row r="209" spans="27:35" x14ac:dyDescent="0.2">
      <c r="AA209"/>
      <c r="AB209"/>
      <c r="AC209"/>
      <c r="AD209"/>
      <c r="AE209"/>
      <c r="AF209"/>
      <c r="AG209"/>
      <c r="AH209"/>
      <c r="AI209"/>
    </row>
    <row r="210" spans="27:35" x14ac:dyDescent="0.2">
      <c r="AA210"/>
      <c r="AB210"/>
      <c r="AC210"/>
      <c r="AD210"/>
      <c r="AE210"/>
      <c r="AF210"/>
      <c r="AG210"/>
      <c r="AH210"/>
      <c r="AI210"/>
    </row>
    <row r="211" spans="27:35" x14ac:dyDescent="0.2">
      <c r="AA211"/>
      <c r="AB211"/>
      <c r="AC211"/>
      <c r="AD211"/>
      <c r="AE211"/>
      <c r="AF211"/>
      <c r="AG211"/>
      <c r="AH211"/>
      <c r="AI211"/>
    </row>
    <row r="212" spans="27:35" x14ac:dyDescent="0.2">
      <c r="AA212"/>
      <c r="AB212"/>
      <c r="AC212"/>
      <c r="AD212"/>
      <c r="AE212"/>
      <c r="AF212"/>
      <c r="AG212"/>
      <c r="AH212"/>
      <c r="AI212"/>
    </row>
    <row r="213" spans="27:35" x14ac:dyDescent="0.2">
      <c r="AA213"/>
      <c r="AB213"/>
      <c r="AC213"/>
      <c r="AD213"/>
      <c r="AE213"/>
      <c r="AF213"/>
      <c r="AG213"/>
      <c r="AH213"/>
      <c r="AI213"/>
    </row>
    <row r="214" spans="27:35" x14ac:dyDescent="0.2">
      <c r="AA214"/>
      <c r="AB214"/>
      <c r="AC214"/>
      <c r="AD214"/>
      <c r="AE214"/>
      <c r="AF214"/>
      <c r="AG214"/>
      <c r="AH214"/>
      <c r="AI214"/>
    </row>
    <row r="215" spans="27:35" x14ac:dyDescent="0.2">
      <c r="AA215"/>
      <c r="AB215"/>
      <c r="AC215"/>
      <c r="AD215"/>
      <c r="AE215"/>
      <c r="AF215"/>
      <c r="AG215"/>
      <c r="AH215"/>
      <c r="AI215"/>
    </row>
    <row r="216" spans="27:35" x14ac:dyDescent="0.2">
      <c r="AA216"/>
      <c r="AB216"/>
      <c r="AC216"/>
      <c r="AD216"/>
      <c r="AE216"/>
      <c r="AF216"/>
      <c r="AG216"/>
      <c r="AH216"/>
      <c r="AI216"/>
    </row>
    <row r="217" spans="27:35" x14ac:dyDescent="0.2">
      <c r="AA217"/>
      <c r="AB217"/>
      <c r="AC217"/>
      <c r="AD217"/>
      <c r="AE217"/>
      <c r="AF217"/>
      <c r="AG217"/>
      <c r="AH217"/>
      <c r="AI217"/>
    </row>
    <row r="218" spans="27:35" x14ac:dyDescent="0.2">
      <c r="AA218"/>
      <c r="AB218"/>
      <c r="AC218"/>
      <c r="AD218"/>
      <c r="AE218"/>
      <c r="AF218"/>
      <c r="AG218"/>
      <c r="AH218"/>
      <c r="AI218"/>
    </row>
    <row r="219" spans="27:35" x14ac:dyDescent="0.2">
      <c r="AA219"/>
      <c r="AB219"/>
      <c r="AC219"/>
      <c r="AD219"/>
      <c r="AE219"/>
      <c r="AF219"/>
      <c r="AG219"/>
      <c r="AH219"/>
      <c r="AI219"/>
    </row>
    <row r="220" spans="27:35" x14ac:dyDescent="0.2">
      <c r="AA220"/>
      <c r="AB220"/>
      <c r="AC220"/>
      <c r="AD220"/>
      <c r="AE220"/>
      <c r="AF220"/>
      <c r="AG220"/>
      <c r="AH220"/>
      <c r="AI220"/>
    </row>
    <row r="221" spans="27:35" x14ac:dyDescent="0.2">
      <c r="AA221"/>
      <c r="AB221"/>
      <c r="AC221"/>
      <c r="AD221"/>
      <c r="AE221"/>
      <c r="AF221"/>
      <c r="AG221"/>
      <c r="AH221"/>
      <c r="AI221"/>
    </row>
    <row r="222" spans="27:35" x14ac:dyDescent="0.2">
      <c r="AA222"/>
      <c r="AB222"/>
      <c r="AC222"/>
      <c r="AD222"/>
      <c r="AE222"/>
      <c r="AF222"/>
      <c r="AG222"/>
      <c r="AH222"/>
      <c r="AI222"/>
    </row>
    <row r="223" spans="27:35" x14ac:dyDescent="0.2">
      <c r="AA223"/>
      <c r="AB223"/>
      <c r="AC223"/>
      <c r="AD223"/>
      <c r="AE223"/>
      <c r="AF223"/>
      <c r="AG223"/>
      <c r="AH223"/>
      <c r="AI223"/>
    </row>
    <row r="224" spans="27: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A5:B10 A12:B16 A18:B24 A26:B31 A33:B35 A37:B42 A44:B50 A52:B61 A63:B69 A71:B80 A82:B89 A91:B98 A100:B104 A106:B109 A111:B114 A116:B124 A126:B130 A132:B136 A138:B143 A145:B155 C5:F155">
    <cfRule type="expression" dxfId="210" priority="3" stopIfTrue="1">
      <formula>AND(NOT($K5=""),$K$1=1)</formula>
    </cfRule>
  </conditionalFormatting>
  <conditionalFormatting sqref="G5:L155">
    <cfRule type="expression" dxfId="209" priority="1" stopIfTrue="1">
      <formula>AND(NOT($K5=""),$K$1=1)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indexed="47"/>
  </sheetPr>
  <dimension ref="A1:AI400"/>
  <sheetViews>
    <sheetView workbookViewId="0">
      <pane ySplit="2" topLeftCell="A3" activePane="bottomLeft" state="frozen"/>
      <selection activeCell="I304" sqref="I304"/>
      <selection pane="bottomLeft" sqref="A1:B1"/>
    </sheetView>
  </sheetViews>
  <sheetFormatPr baseColWidth="10" defaultColWidth="11.42578125" defaultRowHeight="12.75" outlineLevelRow="2" outlineLevelCol="1" x14ac:dyDescent="0.2"/>
  <cols>
    <col min="1" max="1" width="10.140625" style="659" customWidth="1"/>
    <col min="2" max="2" width="85.42578125" style="659" customWidth="1"/>
    <col min="3" max="3" width="5.140625" style="816" bestFit="1" customWidth="1"/>
    <col min="4" max="4" width="5.42578125" style="816" customWidth="1"/>
    <col min="5" max="6" width="5.140625" style="816" bestFit="1" customWidth="1"/>
    <col min="7" max="10" width="4.140625" style="879" customWidth="1" outlineLevel="1"/>
    <col min="11" max="12" width="10.7109375" style="889" customWidth="1" outlineLevel="1"/>
    <col min="13" max="13" width="23.7109375" style="881" customWidth="1"/>
    <col min="14" max="14" width="11.28515625" style="168" customWidth="1"/>
    <col min="15" max="26" width="11.42578125" style="663"/>
    <col min="27" max="34" width="1" style="659" hidden="1" customWidth="1"/>
    <col min="35" max="35" width="12.140625" style="659" customWidth="1"/>
    <col min="36" max="16384" width="11.42578125" style="659"/>
  </cols>
  <sheetData>
    <row r="1" spans="1:35" s="661" customFormat="1" ht="45" customHeight="1" x14ac:dyDescent="0.2">
      <c r="A1" s="1965" t="s">
        <v>7456</v>
      </c>
      <c r="B1" s="1966"/>
      <c r="C1" s="778">
        <v>1</v>
      </c>
      <c r="D1" s="1967" t="str">
        <f>"variante"&amp;IF(C1&gt;1,"s","")</f>
        <v>variante</v>
      </c>
      <c r="E1" s="1968"/>
      <c r="F1" s="779"/>
      <c r="G1" s="780"/>
      <c r="H1" s="780"/>
      <c r="I1" s="780"/>
      <c r="J1" s="780"/>
      <c r="K1" s="882">
        <f>'ISO 27002'!F2</f>
        <v>0</v>
      </c>
      <c r="L1" s="882"/>
      <c r="M1" s="883"/>
      <c r="N1" s="611"/>
      <c r="O1" s="775"/>
      <c r="P1" s="775"/>
      <c r="Q1" s="775"/>
      <c r="R1" s="775"/>
      <c r="S1" s="775"/>
      <c r="T1" s="775"/>
      <c r="U1" s="775"/>
      <c r="V1" s="775"/>
      <c r="W1" s="775"/>
      <c r="X1" s="775"/>
      <c r="Y1" s="775"/>
      <c r="Z1" s="775"/>
    </row>
    <row r="2" spans="1:35" s="661" customFormat="1" ht="12.75" customHeight="1" x14ac:dyDescent="0.2">
      <c r="A2" s="545" t="s">
        <v>3585</v>
      </c>
      <c r="B2" s="545" t="s">
        <v>3675</v>
      </c>
      <c r="C2" s="587" t="s">
        <v>3676</v>
      </c>
      <c r="D2" s="587" t="s">
        <v>3677</v>
      </c>
      <c r="E2" s="587" t="s">
        <v>3678</v>
      </c>
      <c r="F2" s="587" t="s">
        <v>3679</v>
      </c>
      <c r="G2" s="588" t="s">
        <v>1428</v>
      </c>
      <c r="H2" s="588" t="s">
        <v>3680</v>
      </c>
      <c r="I2" s="588" t="s">
        <v>2054</v>
      </c>
      <c r="J2" s="588" t="s">
        <v>3681</v>
      </c>
      <c r="K2" s="588">
        <v>2013</v>
      </c>
      <c r="L2" s="588">
        <v>2005</v>
      </c>
      <c r="M2" s="588" t="s">
        <v>3682</v>
      </c>
      <c r="N2" s="611"/>
      <c r="O2" s="775"/>
      <c r="P2" s="775"/>
      <c r="Q2" s="775"/>
      <c r="R2" s="775"/>
      <c r="S2" s="775"/>
      <c r="T2" s="775"/>
      <c r="U2" s="775"/>
      <c r="V2" s="775"/>
      <c r="W2" s="775"/>
      <c r="X2" s="775"/>
      <c r="Y2" s="775"/>
      <c r="Z2" s="775"/>
    </row>
    <row r="3" spans="1:35" x14ac:dyDescent="0.2">
      <c r="A3" s="884" t="s">
        <v>2754</v>
      </c>
      <c r="B3" s="884" t="s">
        <v>5560</v>
      </c>
      <c r="C3" s="885"/>
      <c r="D3" s="1160"/>
      <c r="E3" s="1160"/>
      <c r="F3" s="885"/>
      <c r="G3" s="1466"/>
      <c r="H3" s="1466"/>
      <c r="I3" s="1466"/>
      <c r="J3" s="1466"/>
      <c r="K3" s="1459"/>
      <c r="L3" s="1459"/>
      <c r="M3" s="886"/>
    </row>
    <row r="4" spans="1:35" outlineLevel="1" x14ac:dyDescent="0.2">
      <c r="A4" s="633" t="s">
        <v>4326</v>
      </c>
      <c r="B4" s="634" t="s">
        <v>4601</v>
      </c>
      <c r="C4" s="885"/>
      <c r="D4" s="1160"/>
      <c r="E4" s="1160"/>
      <c r="F4" s="885"/>
      <c r="G4" s="1466"/>
      <c r="H4" s="1466"/>
      <c r="I4" s="1466"/>
      <c r="J4" s="1466"/>
      <c r="K4" s="1459"/>
      <c r="L4" s="1459"/>
      <c r="M4" s="886"/>
      <c r="AA4"/>
      <c r="AB4"/>
      <c r="AC4"/>
      <c r="AD4"/>
      <c r="AE4"/>
      <c r="AF4"/>
      <c r="AG4"/>
      <c r="AH4"/>
      <c r="AI4"/>
    </row>
    <row r="5" spans="1:35" ht="22.5" outlineLevel="2" x14ac:dyDescent="0.2">
      <c r="A5" s="636" t="s">
        <v>1406</v>
      </c>
      <c r="B5" s="636" t="s">
        <v>3586</v>
      </c>
      <c r="C5" s="887"/>
      <c r="D5" s="1161"/>
      <c r="E5" s="1161"/>
      <c r="F5" s="887"/>
      <c r="G5" s="1445">
        <v>4</v>
      </c>
      <c r="H5" s="1445">
        <v>2</v>
      </c>
      <c r="I5" s="1445"/>
      <c r="J5" s="1445" t="s">
        <v>1592</v>
      </c>
      <c r="K5" s="1459"/>
      <c r="L5" s="1459"/>
      <c r="M5" s="887"/>
      <c r="AA5">
        <f>IF(AND('04 Wan'!C5&gt;Tmin, NOT('04 Wan'!$I5="")),'04 Wan'!$I5,0)</f>
        <v>0</v>
      </c>
      <c r="AB5">
        <f>IF(AND('04 Wan'!D5&gt;Tmin, NOT('04 Wan'!$I5="")),'04 Wan'!$I5,0)</f>
        <v>0</v>
      </c>
      <c r="AC5">
        <f>IF(AND('04 Wan'!E5&gt;Tmin, NOT('04 Wan'!$I5="")),'04 Wan'!$I5,0)</f>
        <v>0</v>
      </c>
      <c r="AD5">
        <f>IF(AND('04 Wan'!F5&gt;Tmin, NOT('04 Wan'!$I5="")),'04 Wan'!$I5,0)</f>
        <v>0</v>
      </c>
      <c r="AE5">
        <f>IF(AND('04 Wan'!C5&lt;Tmax, NOT('04 Wan'!$H5="")),'04 Wan'!$H5,4)</f>
        <v>2</v>
      </c>
      <c r="AF5">
        <f>IF(AND('04 Wan'!D5&lt;Tmax, NOT('04 Wan'!$H5="")),'04 Wan'!$H5,4)</f>
        <v>2</v>
      </c>
      <c r="AG5">
        <f>IF(AND('04 Wan'!E5&lt;Tmax, NOT('04 Wan'!$H5="")),'04 Wan'!$H5,4)</f>
        <v>2</v>
      </c>
      <c r="AH5">
        <f>IF(AND('04 Wan'!F5&lt;Tmax, NOT('04 Wan'!$H5="")),'04 Wan'!$H5,4)</f>
        <v>2</v>
      </c>
      <c r="AI5"/>
    </row>
    <row r="6" spans="1:35" ht="33.75" outlineLevel="2" x14ac:dyDescent="0.2">
      <c r="A6" s="636" t="s">
        <v>3587</v>
      </c>
      <c r="B6" s="636" t="s">
        <v>5398</v>
      </c>
      <c r="C6" s="887"/>
      <c r="D6" s="1161"/>
      <c r="E6" s="1161"/>
      <c r="F6" s="887"/>
      <c r="G6" s="1445">
        <v>4</v>
      </c>
      <c r="H6" s="1445">
        <v>2</v>
      </c>
      <c r="I6" s="1445"/>
      <c r="J6" s="1445" t="s">
        <v>2329</v>
      </c>
      <c r="K6" s="1459"/>
      <c r="L6" s="1459"/>
      <c r="M6" s="887"/>
      <c r="AA6">
        <f>IF(AND('04 Wan'!C6&gt;Tmin, NOT('04 Wan'!$I6="")),'04 Wan'!$I6,0)</f>
        <v>0</v>
      </c>
      <c r="AB6">
        <f>IF(AND('04 Wan'!D6&gt;Tmin, NOT('04 Wan'!$I6="")),'04 Wan'!$I6,0)</f>
        <v>0</v>
      </c>
      <c r="AC6">
        <f>IF(AND('04 Wan'!E6&gt;Tmin, NOT('04 Wan'!$I6="")),'04 Wan'!$I6,0)</f>
        <v>0</v>
      </c>
      <c r="AD6">
        <f>IF(AND('04 Wan'!F6&gt;Tmin, NOT('04 Wan'!$I6="")),'04 Wan'!$I6,0)</f>
        <v>0</v>
      </c>
      <c r="AE6">
        <f>IF(AND('04 Wan'!C6&lt;Tmax, NOT('04 Wan'!$H6="")),'04 Wan'!$H6,4)</f>
        <v>2</v>
      </c>
      <c r="AF6">
        <f>IF(AND('04 Wan'!D6&lt;Tmax, NOT('04 Wan'!$H6="")),'04 Wan'!$H6,4)</f>
        <v>2</v>
      </c>
      <c r="AG6">
        <f>IF(AND('04 Wan'!E6&lt;Tmax, NOT('04 Wan'!$H6="")),'04 Wan'!$H6,4)</f>
        <v>2</v>
      </c>
      <c r="AH6">
        <f>IF(AND('04 Wan'!F6&lt;Tmax, NOT('04 Wan'!$H6="")),'04 Wan'!$H6,4)</f>
        <v>2</v>
      </c>
      <c r="AI6"/>
    </row>
    <row r="7" spans="1:35" ht="22.5" outlineLevel="2" x14ac:dyDescent="0.2">
      <c r="A7" s="636" t="s">
        <v>3588</v>
      </c>
      <c r="B7" s="636" t="s">
        <v>79</v>
      </c>
      <c r="C7" s="887"/>
      <c r="D7" s="1161"/>
      <c r="E7" s="1161"/>
      <c r="F7" s="887"/>
      <c r="G7" s="1445">
        <v>4</v>
      </c>
      <c r="H7" s="1445">
        <v>2</v>
      </c>
      <c r="I7" s="1445"/>
      <c r="J7" s="1445" t="s">
        <v>1592</v>
      </c>
      <c r="K7" s="1459"/>
      <c r="L7" s="1459"/>
      <c r="M7" s="887"/>
      <c r="AA7">
        <f>IF(AND('04 Wan'!C7&gt;Tmin, NOT('04 Wan'!$I7="")),'04 Wan'!$I7,0)</f>
        <v>0</v>
      </c>
      <c r="AB7">
        <f>IF(AND('04 Wan'!D7&gt;Tmin, NOT('04 Wan'!$I7="")),'04 Wan'!$I7,0)</f>
        <v>0</v>
      </c>
      <c r="AC7">
        <f>IF(AND('04 Wan'!E7&gt;Tmin, NOT('04 Wan'!$I7="")),'04 Wan'!$I7,0)</f>
        <v>0</v>
      </c>
      <c r="AD7">
        <f>IF(AND('04 Wan'!F7&gt;Tmin, NOT('04 Wan'!$I7="")),'04 Wan'!$I7,0)</f>
        <v>0</v>
      </c>
      <c r="AE7">
        <f>IF(AND('04 Wan'!C7&lt;Tmax, NOT('04 Wan'!$H7="")),'04 Wan'!$H7,4)</f>
        <v>2</v>
      </c>
      <c r="AF7">
        <f>IF(AND('04 Wan'!D7&lt;Tmax, NOT('04 Wan'!$H7="")),'04 Wan'!$H7,4)</f>
        <v>2</v>
      </c>
      <c r="AG7">
        <f>IF(AND('04 Wan'!E7&lt;Tmax, NOT('04 Wan'!$H7="")),'04 Wan'!$H7,4)</f>
        <v>2</v>
      </c>
      <c r="AH7">
        <f>IF(AND('04 Wan'!F7&lt;Tmax, NOT('04 Wan'!$H7="")),'04 Wan'!$H7,4)</f>
        <v>2</v>
      </c>
      <c r="AI7"/>
    </row>
    <row r="8" spans="1:35" ht="22.5" outlineLevel="2" x14ac:dyDescent="0.2">
      <c r="A8" s="636" t="s">
        <v>80</v>
      </c>
      <c r="B8" s="636" t="s">
        <v>81</v>
      </c>
      <c r="C8" s="887"/>
      <c r="D8" s="1161"/>
      <c r="E8" s="1161"/>
      <c r="F8" s="887"/>
      <c r="G8" s="1445">
        <v>4</v>
      </c>
      <c r="H8" s="1445">
        <v>2</v>
      </c>
      <c r="I8" s="1445"/>
      <c r="J8" s="1445" t="s">
        <v>2329</v>
      </c>
      <c r="K8" s="1459"/>
      <c r="L8" s="1459"/>
      <c r="M8" s="887"/>
      <c r="AA8">
        <f>IF(AND('04 Wan'!C8&gt;Tmin, NOT('04 Wan'!$I8="")),'04 Wan'!$I8,0)</f>
        <v>0</v>
      </c>
      <c r="AB8">
        <f>IF(AND('04 Wan'!D8&gt;Tmin, NOT('04 Wan'!$I8="")),'04 Wan'!$I8,0)</f>
        <v>0</v>
      </c>
      <c r="AC8">
        <f>IF(AND('04 Wan'!E8&gt;Tmin, NOT('04 Wan'!$I8="")),'04 Wan'!$I8,0)</f>
        <v>0</v>
      </c>
      <c r="AD8">
        <f>IF(AND('04 Wan'!F8&gt;Tmin, NOT('04 Wan'!$I8="")),'04 Wan'!$I8,0)</f>
        <v>0</v>
      </c>
      <c r="AE8">
        <f>IF(AND('04 Wan'!C8&lt;Tmax, NOT('04 Wan'!$H8="")),'04 Wan'!$H8,4)</f>
        <v>2</v>
      </c>
      <c r="AF8">
        <f>IF(AND('04 Wan'!D8&lt;Tmax, NOT('04 Wan'!$H8="")),'04 Wan'!$H8,4)</f>
        <v>2</v>
      </c>
      <c r="AG8">
        <f>IF(AND('04 Wan'!E8&lt;Tmax, NOT('04 Wan'!$H8="")),'04 Wan'!$H8,4)</f>
        <v>2</v>
      </c>
      <c r="AH8">
        <f>IF(AND('04 Wan'!F8&lt;Tmax, NOT('04 Wan'!$H8="")),'04 Wan'!$H8,4)</f>
        <v>2</v>
      </c>
      <c r="AI8"/>
    </row>
    <row r="9" spans="1:35" ht="14.25" customHeight="1" outlineLevel="2" x14ac:dyDescent="0.2">
      <c r="A9" s="636" t="s">
        <v>82</v>
      </c>
      <c r="B9" s="636" t="s">
        <v>1639</v>
      </c>
      <c r="C9" s="887"/>
      <c r="D9" s="1161"/>
      <c r="E9" s="1161"/>
      <c r="F9" s="887"/>
      <c r="G9" s="1445">
        <v>4</v>
      </c>
      <c r="H9" s="1445"/>
      <c r="I9" s="1445"/>
      <c r="J9" s="1445" t="s">
        <v>1592</v>
      </c>
      <c r="K9" s="1459"/>
      <c r="L9" s="1459"/>
      <c r="M9" s="887"/>
      <c r="AA9">
        <f>IF(AND('04 Wan'!C9&gt;Tmin, NOT('04 Wan'!$I9="")),'04 Wan'!$I9,0)</f>
        <v>0</v>
      </c>
      <c r="AB9">
        <f>IF(AND('04 Wan'!D9&gt;Tmin, NOT('04 Wan'!$I9="")),'04 Wan'!$I9,0)</f>
        <v>0</v>
      </c>
      <c r="AC9">
        <f>IF(AND('04 Wan'!E9&gt;Tmin, NOT('04 Wan'!$I9="")),'04 Wan'!$I9,0)</f>
        <v>0</v>
      </c>
      <c r="AD9">
        <f>IF(AND('04 Wan'!F9&gt;Tmin, NOT('04 Wan'!$I9="")),'04 Wan'!$I9,0)</f>
        <v>0</v>
      </c>
      <c r="AE9">
        <f>IF(AND('04 Wan'!C9&lt;Tmax, NOT('04 Wan'!$H9="")),'04 Wan'!$H9,4)</f>
        <v>4</v>
      </c>
      <c r="AF9">
        <f>IF(AND('04 Wan'!D9&lt;Tmax, NOT('04 Wan'!$H9="")),'04 Wan'!$H9,4)</f>
        <v>4</v>
      </c>
      <c r="AG9">
        <f>IF(AND('04 Wan'!E9&lt;Tmax, NOT('04 Wan'!$H9="")),'04 Wan'!$H9,4)</f>
        <v>4</v>
      </c>
      <c r="AH9">
        <f>IF(AND('04 Wan'!F9&lt;Tmax, NOT('04 Wan'!$H9="")),'04 Wan'!$H9,4)</f>
        <v>4</v>
      </c>
      <c r="AI9"/>
    </row>
    <row r="10" spans="1:35" ht="24" customHeight="1" outlineLevel="2" x14ac:dyDescent="0.2">
      <c r="A10" s="636" t="s">
        <v>1640</v>
      </c>
      <c r="B10" s="636" t="s">
        <v>4809</v>
      </c>
      <c r="C10" s="887"/>
      <c r="D10" s="1161"/>
      <c r="E10" s="1161"/>
      <c r="F10" s="887"/>
      <c r="G10" s="1445">
        <v>4</v>
      </c>
      <c r="H10" s="1445">
        <v>2</v>
      </c>
      <c r="I10" s="1445"/>
      <c r="J10" s="1445" t="s">
        <v>1592</v>
      </c>
      <c r="K10" s="1459"/>
      <c r="L10" s="1459"/>
      <c r="M10" s="887"/>
      <c r="AA10">
        <f>IF(AND('04 Wan'!C10&gt;Tmin, NOT('04 Wan'!$I10="")),'04 Wan'!$I10,0)</f>
        <v>0</v>
      </c>
      <c r="AB10">
        <f>IF(AND('04 Wan'!D10&gt;Tmin, NOT('04 Wan'!$I10="")),'04 Wan'!$I10,0)</f>
        <v>0</v>
      </c>
      <c r="AC10">
        <f>IF(AND('04 Wan'!E10&gt;Tmin, NOT('04 Wan'!$I10="")),'04 Wan'!$I10,0)</f>
        <v>0</v>
      </c>
      <c r="AD10">
        <f>IF(AND('04 Wan'!F10&gt;Tmin, NOT('04 Wan'!$I10="")),'04 Wan'!$I10,0)</f>
        <v>0</v>
      </c>
      <c r="AE10">
        <f>IF(AND('04 Wan'!C10&lt;Tmax, NOT('04 Wan'!$H10="")),'04 Wan'!$H10,4)</f>
        <v>2</v>
      </c>
      <c r="AF10">
        <f>IF(AND('04 Wan'!D10&lt;Tmax, NOT('04 Wan'!$H10="")),'04 Wan'!$H10,4)</f>
        <v>2</v>
      </c>
      <c r="AG10">
        <f>IF(AND('04 Wan'!E10&lt;Tmax, NOT('04 Wan'!$H10="")),'04 Wan'!$H10,4)</f>
        <v>2</v>
      </c>
      <c r="AH10">
        <f>IF(AND('04 Wan'!F10&lt;Tmax, NOT('04 Wan'!$H10="")),'04 Wan'!$H10,4)</f>
        <v>2</v>
      </c>
      <c r="AI10"/>
    </row>
    <row r="11" spans="1:35" ht="22.5" outlineLevel="2" x14ac:dyDescent="0.2">
      <c r="A11" s="636" t="s">
        <v>1642</v>
      </c>
      <c r="B11" s="636" t="s">
        <v>5611</v>
      </c>
      <c r="C11" s="887"/>
      <c r="D11" s="1161"/>
      <c r="E11" s="1161"/>
      <c r="F11" s="887"/>
      <c r="G11" s="1445">
        <v>2</v>
      </c>
      <c r="H11" s="1445">
        <v>2</v>
      </c>
      <c r="I11" s="1445"/>
      <c r="J11" s="1445" t="s">
        <v>2107</v>
      </c>
      <c r="K11" s="1459"/>
      <c r="L11" s="1459"/>
      <c r="M11" s="887"/>
      <c r="O11" s="888"/>
      <c r="AA11">
        <f>IF(AND('04 Wan'!C11&gt;Tmin, NOT('04 Wan'!$I11="")),'04 Wan'!$I11,0)</f>
        <v>0</v>
      </c>
      <c r="AB11">
        <f>IF(AND('04 Wan'!D11&gt;Tmin, NOT('04 Wan'!$I11="")),'04 Wan'!$I11,0)</f>
        <v>0</v>
      </c>
      <c r="AC11">
        <f>IF(AND('04 Wan'!E11&gt;Tmin, NOT('04 Wan'!$I11="")),'04 Wan'!$I11,0)</f>
        <v>0</v>
      </c>
      <c r="AD11">
        <f>IF(AND('04 Wan'!F11&gt;Tmin, NOT('04 Wan'!$I11="")),'04 Wan'!$I11,0)</f>
        <v>0</v>
      </c>
      <c r="AE11">
        <f>IF(AND('04 Wan'!C11&lt;Tmax, NOT('04 Wan'!$H11="")),'04 Wan'!$H11,4)</f>
        <v>2</v>
      </c>
      <c r="AF11">
        <f>IF(AND('04 Wan'!D11&lt;Tmax, NOT('04 Wan'!$H11="")),'04 Wan'!$H11,4)</f>
        <v>2</v>
      </c>
      <c r="AG11">
        <f>IF(AND('04 Wan'!E11&lt;Tmax, NOT('04 Wan'!$H11="")),'04 Wan'!$H11,4)</f>
        <v>2</v>
      </c>
      <c r="AH11">
        <f>IF(AND('04 Wan'!F11&lt;Tmax, NOT('04 Wan'!$H11="")),'04 Wan'!$H11,4)</f>
        <v>2</v>
      </c>
      <c r="AI11"/>
    </row>
    <row r="12" spans="1:35" ht="22.5" outlineLevel="2" x14ac:dyDescent="0.2">
      <c r="A12" s="636" t="s">
        <v>5612</v>
      </c>
      <c r="B12" s="636" t="s">
        <v>0</v>
      </c>
      <c r="C12" s="887"/>
      <c r="D12" s="1161"/>
      <c r="E12" s="1161"/>
      <c r="F12" s="887"/>
      <c r="G12" s="1445">
        <v>2</v>
      </c>
      <c r="H12" s="1445">
        <v>3</v>
      </c>
      <c r="I12" s="1445"/>
      <c r="J12" s="1445" t="s">
        <v>2349</v>
      </c>
      <c r="K12" s="1459"/>
      <c r="L12" s="1459"/>
      <c r="M12" s="887"/>
      <c r="O12" s="888"/>
      <c r="AA12">
        <f>IF(AND('04 Wan'!C12&gt;Tmin, NOT('04 Wan'!$I12="")),'04 Wan'!$I12,0)</f>
        <v>0</v>
      </c>
      <c r="AB12">
        <f>IF(AND('04 Wan'!D12&gt;Tmin, NOT('04 Wan'!$I12="")),'04 Wan'!$I12,0)</f>
        <v>0</v>
      </c>
      <c r="AC12">
        <f>IF(AND('04 Wan'!E12&gt;Tmin, NOT('04 Wan'!$I12="")),'04 Wan'!$I12,0)</f>
        <v>0</v>
      </c>
      <c r="AD12">
        <f>IF(AND('04 Wan'!F12&gt;Tmin, NOT('04 Wan'!$I12="")),'04 Wan'!$I12,0)</f>
        <v>0</v>
      </c>
      <c r="AE12">
        <f>IF(AND('04 Wan'!C12&lt;Tmax, NOT('04 Wan'!$H12="")),'04 Wan'!$H12,4)</f>
        <v>3</v>
      </c>
      <c r="AF12">
        <f>IF(AND('04 Wan'!D12&lt;Tmax, NOT('04 Wan'!$H12="")),'04 Wan'!$H12,4)</f>
        <v>3</v>
      </c>
      <c r="AG12">
        <f>IF(AND('04 Wan'!E12&lt;Tmax, NOT('04 Wan'!$H12="")),'04 Wan'!$H12,4)</f>
        <v>3</v>
      </c>
      <c r="AH12">
        <f>IF(AND('04 Wan'!F12&lt;Tmax, NOT('04 Wan'!$H12="")),'04 Wan'!$H12,4)</f>
        <v>3</v>
      </c>
      <c r="AI12"/>
    </row>
    <row r="13" spans="1:35" outlineLevel="2" x14ac:dyDescent="0.2">
      <c r="A13" s="636" t="s">
        <v>1</v>
      </c>
      <c r="B13" s="636" t="s">
        <v>2</v>
      </c>
      <c r="C13" s="887"/>
      <c r="D13" s="1161"/>
      <c r="E13" s="1161"/>
      <c r="F13" s="887"/>
      <c r="G13" s="1445">
        <v>2</v>
      </c>
      <c r="H13" s="1445">
        <v>3</v>
      </c>
      <c r="I13" s="1445"/>
      <c r="J13" s="1445" t="s">
        <v>2109</v>
      </c>
      <c r="K13" s="1459"/>
      <c r="L13" s="1459"/>
      <c r="M13" s="887"/>
      <c r="AA13">
        <f>IF(AND('04 Wan'!C13&gt;Tmin, NOT('04 Wan'!$I13="")),'04 Wan'!$I13,0)</f>
        <v>0</v>
      </c>
      <c r="AB13">
        <f>IF(AND('04 Wan'!D13&gt;Tmin, NOT('04 Wan'!$I13="")),'04 Wan'!$I13,0)</f>
        <v>0</v>
      </c>
      <c r="AC13">
        <f>IF(AND('04 Wan'!E13&gt;Tmin, NOT('04 Wan'!$I13="")),'04 Wan'!$I13,0)</f>
        <v>0</v>
      </c>
      <c r="AD13">
        <f>IF(AND('04 Wan'!F13&gt;Tmin, NOT('04 Wan'!$I13="")),'04 Wan'!$I13,0)</f>
        <v>0</v>
      </c>
      <c r="AE13">
        <f>IF(AND('04 Wan'!C13&lt;Tmax, NOT('04 Wan'!$H13="")),'04 Wan'!$H13,4)</f>
        <v>3</v>
      </c>
      <c r="AF13">
        <f>IF(AND('04 Wan'!D13&lt;Tmax, NOT('04 Wan'!$H13="")),'04 Wan'!$H13,4)</f>
        <v>3</v>
      </c>
      <c r="AG13">
        <f>IF(AND('04 Wan'!E13&lt;Tmax, NOT('04 Wan'!$H13="")),'04 Wan'!$H13,4)</f>
        <v>3</v>
      </c>
      <c r="AH13">
        <f>IF(AND('04 Wan'!F13&lt;Tmax, NOT('04 Wan'!$H13="")),'04 Wan'!$H13,4)</f>
        <v>3</v>
      </c>
      <c r="AI13"/>
    </row>
    <row r="14" spans="1:35" outlineLevel="2" x14ac:dyDescent="0.2">
      <c r="A14" s="636" t="s">
        <v>3</v>
      </c>
      <c r="B14" s="636" t="s">
        <v>4</v>
      </c>
      <c r="C14" s="887"/>
      <c r="D14" s="1161"/>
      <c r="E14" s="1161"/>
      <c r="F14" s="887"/>
      <c r="G14" s="1445">
        <v>1</v>
      </c>
      <c r="H14" s="1445">
        <v>3</v>
      </c>
      <c r="I14" s="1445"/>
      <c r="J14" s="1445" t="s">
        <v>2109</v>
      </c>
      <c r="K14" s="1459"/>
      <c r="L14" s="1459"/>
      <c r="M14" s="887"/>
      <c r="O14" s="888"/>
      <c r="AA14">
        <f>IF(AND('04 Wan'!C14&gt;Tmin, NOT('04 Wan'!$I14="")),'04 Wan'!$I14,0)</f>
        <v>0</v>
      </c>
      <c r="AB14">
        <f>IF(AND('04 Wan'!D14&gt;Tmin, NOT('04 Wan'!$I14="")),'04 Wan'!$I14,0)</f>
        <v>0</v>
      </c>
      <c r="AC14">
        <f>IF(AND('04 Wan'!E14&gt;Tmin, NOT('04 Wan'!$I14="")),'04 Wan'!$I14,0)</f>
        <v>0</v>
      </c>
      <c r="AD14">
        <f>IF(AND('04 Wan'!F14&gt;Tmin, NOT('04 Wan'!$I14="")),'04 Wan'!$I14,0)</f>
        <v>0</v>
      </c>
      <c r="AE14">
        <f>IF(AND('04 Wan'!C14&lt;Tmax, NOT('04 Wan'!$H14="")),'04 Wan'!$H14,4)</f>
        <v>3</v>
      </c>
      <c r="AF14">
        <f>IF(AND('04 Wan'!D14&lt;Tmax, NOT('04 Wan'!$H14="")),'04 Wan'!$H14,4)</f>
        <v>3</v>
      </c>
      <c r="AG14">
        <f>IF(AND('04 Wan'!E14&lt;Tmax, NOT('04 Wan'!$H14="")),'04 Wan'!$H14,4)</f>
        <v>3</v>
      </c>
      <c r="AH14">
        <f>IF(AND('04 Wan'!F14&lt;Tmax, NOT('04 Wan'!$H14="")),'04 Wan'!$H14,4)</f>
        <v>3</v>
      </c>
      <c r="AI14"/>
    </row>
    <row r="15" spans="1:35" ht="26.25" customHeight="1" outlineLevel="2" x14ac:dyDescent="0.2">
      <c r="A15" s="636" t="s">
        <v>5</v>
      </c>
      <c r="B15" s="636" t="s">
        <v>5967</v>
      </c>
      <c r="C15" s="887"/>
      <c r="D15" s="1161"/>
      <c r="E15" s="1161"/>
      <c r="F15" s="887"/>
      <c r="G15" s="1445">
        <v>1</v>
      </c>
      <c r="H15" s="1445">
        <v>3</v>
      </c>
      <c r="I15" s="1445"/>
      <c r="J15" s="1445" t="s">
        <v>2109</v>
      </c>
      <c r="K15" s="1459"/>
      <c r="L15" s="1459"/>
      <c r="M15" s="887"/>
      <c r="O15" s="888"/>
      <c r="AA15">
        <f>IF(AND('04 Wan'!C15&gt;Tmin, NOT('04 Wan'!$I15="")),'04 Wan'!$I15,0)</f>
        <v>0</v>
      </c>
      <c r="AB15">
        <f>IF(AND('04 Wan'!D15&gt;Tmin, NOT('04 Wan'!$I15="")),'04 Wan'!$I15,0)</f>
        <v>0</v>
      </c>
      <c r="AC15">
        <f>IF(AND('04 Wan'!E15&gt;Tmin, NOT('04 Wan'!$I15="")),'04 Wan'!$I15,0)</f>
        <v>0</v>
      </c>
      <c r="AD15">
        <f>IF(AND('04 Wan'!F15&gt;Tmin, NOT('04 Wan'!$I15="")),'04 Wan'!$I15,0)</f>
        <v>0</v>
      </c>
      <c r="AE15">
        <f>IF(AND('04 Wan'!C15&lt;Tmax, NOT('04 Wan'!$H15="")),'04 Wan'!$H15,4)</f>
        <v>3</v>
      </c>
      <c r="AF15">
        <f>IF(AND('04 Wan'!D15&lt;Tmax, NOT('04 Wan'!$H15="")),'04 Wan'!$H15,4)</f>
        <v>3</v>
      </c>
      <c r="AG15">
        <f>IF(AND('04 Wan'!E15&lt;Tmax, NOT('04 Wan'!$H15="")),'04 Wan'!$H15,4)</f>
        <v>3</v>
      </c>
      <c r="AH15">
        <f>IF(AND('04 Wan'!F15&lt;Tmax, NOT('04 Wan'!$H15="")),'04 Wan'!$H15,4)</f>
        <v>3</v>
      </c>
      <c r="AI15"/>
    </row>
    <row r="16" spans="1:35" outlineLevel="1" x14ac:dyDescent="0.2">
      <c r="A16" s="633" t="s">
        <v>4602</v>
      </c>
      <c r="B16" s="634" t="s">
        <v>92</v>
      </c>
      <c r="C16" s="887"/>
      <c r="D16" s="1161"/>
      <c r="E16" s="1161"/>
      <c r="F16" s="887"/>
      <c r="G16" s="1445"/>
      <c r="H16" s="1445"/>
      <c r="I16" s="1445"/>
      <c r="J16" s="1445"/>
      <c r="K16" s="1459"/>
      <c r="L16" s="1459"/>
      <c r="M16" s="887"/>
      <c r="AA16"/>
      <c r="AB16"/>
      <c r="AC16"/>
      <c r="AD16"/>
      <c r="AE16"/>
      <c r="AF16"/>
      <c r="AG16"/>
      <c r="AH16"/>
      <c r="AI16"/>
    </row>
    <row r="17" spans="1:35" outlineLevel="2" x14ac:dyDescent="0.2">
      <c r="A17" s="636" t="s">
        <v>5968</v>
      </c>
      <c r="B17" s="636" t="s">
        <v>2025</v>
      </c>
      <c r="C17" s="887"/>
      <c r="D17" s="1161"/>
      <c r="E17" s="1161"/>
      <c r="F17" s="887"/>
      <c r="G17" s="1445">
        <v>2</v>
      </c>
      <c r="H17" s="1445"/>
      <c r="I17" s="1445"/>
      <c r="J17" s="1445" t="s">
        <v>4246</v>
      </c>
      <c r="K17" s="1459" t="s">
        <v>4434</v>
      </c>
      <c r="L17" s="1459" t="s">
        <v>1717</v>
      </c>
      <c r="M17" s="887"/>
      <c r="AA17">
        <f>IF(AND('04 Wan'!C17&gt;Tmin, NOT('04 Wan'!$I17="")),'04 Wan'!$I17,0)</f>
        <v>0</v>
      </c>
      <c r="AB17">
        <f>IF(AND('04 Wan'!D17&gt;Tmin, NOT('04 Wan'!$I17="")),'04 Wan'!$I17,0)</f>
        <v>0</v>
      </c>
      <c r="AC17">
        <f>IF(AND('04 Wan'!E17&gt;Tmin, NOT('04 Wan'!$I17="")),'04 Wan'!$I17,0)</f>
        <v>0</v>
      </c>
      <c r="AD17">
        <f>IF(AND('04 Wan'!F17&gt;Tmin, NOT('04 Wan'!$I17="")),'04 Wan'!$I17,0)</f>
        <v>0</v>
      </c>
      <c r="AE17">
        <f>IF(AND('04 Wan'!C17&lt;Tmax, NOT('04 Wan'!$H17="")),'04 Wan'!$H17,4)</f>
        <v>4</v>
      </c>
      <c r="AF17">
        <f>IF(AND('04 Wan'!D17&lt;Tmax, NOT('04 Wan'!$H17="")),'04 Wan'!$H17,4)</f>
        <v>4</v>
      </c>
      <c r="AG17">
        <f>IF(AND('04 Wan'!E17&lt;Tmax, NOT('04 Wan'!$H17="")),'04 Wan'!$H17,4)</f>
        <v>4</v>
      </c>
      <c r="AH17">
        <f>IF(AND('04 Wan'!F17&lt;Tmax, NOT('04 Wan'!$H17="")),'04 Wan'!$H17,4)</f>
        <v>4</v>
      </c>
      <c r="AI17"/>
    </row>
    <row r="18" spans="1:35" ht="22.5" outlineLevel="2" x14ac:dyDescent="0.2">
      <c r="A18" s="636" t="s">
        <v>5969</v>
      </c>
      <c r="B18" s="636" t="s">
        <v>4865</v>
      </c>
      <c r="C18" s="887"/>
      <c r="D18" s="1161"/>
      <c r="E18" s="1161"/>
      <c r="F18" s="887"/>
      <c r="G18" s="1445">
        <v>4</v>
      </c>
      <c r="H18" s="1445"/>
      <c r="I18" s="1445"/>
      <c r="J18" s="1445" t="s">
        <v>1592</v>
      </c>
      <c r="K18" s="1459"/>
      <c r="L18" s="1459"/>
      <c r="M18" s="887"/>
      <c r="AA18">
        <f>IF(AND('04 Wan'!C18&gt;Tmin, NOT('04 Wan'!$I18="")),'04 Wan'!$I18,0)</f>
        <v>0</v>
      </c>
      <c r="AB18">
        <f>IF(AND('04 Wan'!D18&gt;Tmin, NOT('04 Wan'!$I18="")),'04 Wan'!$I18,0)</f>
        <v>0</v>
      </c>
      <c r="AC18">
        <f>IF(AND('04 Wan'!E18&gt;Tmin, NOT('04 Wan'!$I18="")),'04 Wan'!$I18,0)</f>
        <v>0</v>
      </c>
      <c r="AD18">
        <f>IF(AND('04 Wan'!F18&gt;Tmin, NOT('04 Wan'!$I18="")),'04 Wan'!$I18,0)</f>
        <v>0</v>
      </c>
      <c r="AE18">
        <f>IF(AND('04 Wan'!C18&lt;Tmax, NOT('04 Wan'!$H18="")),'04 Wan'!$H18,4)</f>
        <v>4</v>
      </c>
      <c r="AF18">
        <f>IF(AND('04 Wan'!D18&lt;Tmax, NOT('04 Wan'!$H18="")),'04 Wan'!$H18,4)</f>
        <v>4</v>
      </c>
      <c r="AG18">
        <f>IF(AND('04 Wan'!E18&lt;Tmax, NOT('04 Wan'!$H18="")),'04 Wan'!$H18,4)</f>
        <v>4</v>
      </c>
      <c r="AH18">
        <f>IF(AND('04 Wan'!F18&lt;Tmax, NOT('04 Wan'!$H18="")),'04 Wan'!$H18,4)</f>
        <v>4</v>
      </c>
      <c r="AI18"/>
    </row>
    <row r="19" spans="1:35" outlineLevel="2" x14ac:dyDescent="0.2">
      <c r="A19" s="636" t="s">
        <v>3843</v>
      </c>
      <c r="B19" s="636" t="s">
        <v>4867</v>
      </c>
      <c r="C19" s="887"/>
      <c r="D19" s="1161"/>
      <c r="E19" s="1161"/>
      <c r="F19" s="887"/>
      <c r="G19" s="1445">
        <v>4</v>
      </c>
      <c r="H19" s="1445">
        <v>2</v>
      </c>
      <c r="I19" s="1445"/>
      <c r="J19" s="1445" t="s">
        <v>1592</v>
      </c>
      <c r="K19" s="1459"/>
      <c r="L19" s="1459"/>
      <c r="M19" s="887"/>
      <c r="AA19">
        <f>IF(AND('04 Wan'!C19&gt;Tmin, NOT('04 Wan'!$I19="")),'04 Wan'!$I19,0)</f>
        <v>0</v>
      </c>
      <c r="AB19">
        <f>IF(AND('04 Wan'!D19&gt;Tmin, NOT('04 Wan'!$I19="")),'04 Wan'!$I19,0)</f>
        <v>0</v>
      </c>
      <c r="AC19">
        <f>IF(AND('04 Wan'!E19&gt;Tmin, NOT('04 Wan'!$I19="")),'04 Wan'!$I19,0)</f>
        <v>0</v>
      </c>
      <c r="AD19">
        <f>IF(AND('04 Wan'!F19&gt;Tmin, NOT('04 Wan'!$I19="")),'04 Wan'!$I19,0)</f>
        <v>0</v>
      </c>
      <c r="AE19">
        <f>IF(AND('04 Wan'!C19&lt;Tmax, NOT('04 Wan'!$H19="")),'04 Wan'!$H19,4)</f>
        <v>2</v>
      </c>
      <c r="AF19">
        <f>IF(AND('04 Wan'!D19&lt;Tmax, NOT('04 Wan'!$H19="")),'04 Wan'!$H19,4)</f>
        <v>2</v>
      </c>
      <c r="AG19">
        <f>IF(AND('04 Wan'!E19&lt;Tmax, NOT('04 Wan'!$H19="")),'04 Wan'!$H19,4)</f>
        <v>2</v>
      </c>
      <c r="AH19">
        <f>IF(AND('04 Wan'!F19&lt;Tmax, NOT('04 Wan'!$H19="")),'04 Wan'!$H19,4)</f>
        <v>2</v>
      </c>
      <c r="AI19"/>
    </row>
    <row r="20" spans="1:35" ht="24.75" customHeight="1" outlineLevel="2" x14ac:dyDescent="0.2">
      <c r="A20" s="636" t="s">
        <v>2713</v>
      </c>
      <c r="B20" s="636" t="s">
        <v>1627</v>
      </c>
      <c r="C20" s="887"/>
      <c r="D20" s="1161"/>
      <c r="E20" s="1161"/>
      <c r="F20" s="887"/>
      <c r="G20" s="1445">
        <v>4</v>
      </c>
      <c r="H20" s="1445">
        <v>2</v>
      </c>
      <c r="I20" s="1445"/>
      <c r="J20" s="1445" t="s">
        <v>2329</v>
      </c>
      <c r="K20" s="1459"/>
      <c r="L20" s="1459"/>
      <c r="M20" s="887"/>
      <c r="AA20">
        <f>IF(AND('04 Wan'!C20&gt;Tmin, NOT('04 Wan'!$I20="")),'04 Wan'!$I20,0)</f>
        <v>0</v>
      </c>
      <c r="AB20">
        <f>IF(AND('04 Wan'!D20&gt;Tmin, NOT('04 Wan'!$I20="")),'04 Wan'!$I20,0)</f>
        <v>0</v>
      </c>
      <c r="AC20">
        <f>IF(AND('04 Wan'!E20&gt;Tmin, NOT('04 Wan'!$I20="")),'04 Wan'!$I20,0)</f>
        <v>0</v>
      </c>
      <c r="AD20">
        <f>IF(AND('04 Wan'!F20&gt;Tmin, NOT('04 Wan'!$I20="")),'04 Wan'!$I20,0)</f>
        <v>0</v>
      </c>
      <c r="AE20">
        <f>IF(AND('04 Wan'!C20&lt;Tmax, NOT('04 Wan'!$H20="")),'04 Wan'!$H20,4)</f>
        <v>2</v>
      </c>
      <c r="AF20">
        <f>IF(AND('04 Wan'!D20&lt;Tmax, NOT('04 Wan'!$H20="")),'04 Wan'!$H20,4)</f>
        <v>2</v>
      </c>
      <c r="AG20">
        <f>IF(AND('04 Wan'!E20&lt;Tmax, NOT('04 Wan'!$H20="")),'04 Wan'!$H20,4)</f>
        <v>2</v>
      </c>
      <c r="AH20">
        <f>IF(AND('04 Wan'!F20&lt;Tmax, NOT('04 Wan'!$H20="")),'04 Wan'!$H20,4)</f>
        <v>2</v>
      </c>
      <c r="AI20"/>
    </row>
    <row r="21" spans="1:35" ht="22.5" outlineLevel="2" x14ac:dyDescent="0.2">
      <c r="A21" s="636" t="s">
        <v>2714</v>
      </c>
      <c r="B21" s="636" t="s">
        <v>1572</v>
      </c>
      <c r="C21" s="887"/>
      <c r="D21" s="1161"/>
      <c r="E21" s="1161"/>
      <c r="F21" s="887"/>
      <c r="G21" s="1445">
        <v>2</v>
      </c>
      <c r="H21" s="1445">
        <v>3</v>
      </c>
      <c r="I21" s="1445"/>
      <c r="J21" s="1445" t="s">
        <v>2349</v>
      </c>
      <c r="K21" s="1459"/>
      <c r="L21" s="1459"/>
      <c r="M21" s="887"/>
      <c r="AA21">
        <f>IF(AND('04 Wan'!C21&gt;Tmin, NOT('04 Wan'!$I21="")),'04 Wan'!$I21,0)</f>
        <v>0</v>
      </c>
      <c r="AB21">
        <f>IF(AND('04 Wan'!D21&gt;Tmin, NOT('04 Wan'!$I21="")),'04 Wan'!$I21,0)</f>
        <v>0</v>
      </c>
      <c r="AC21">
        <f>IF(AND('04 Wan'!E21&gt;Tmin, NOT('04 Wan'!$I21="")),'04 Wan'!$I21,0)</f>
        <v>0</v>
      </c>
      <c r="AD21">
        <f>IF(AND('04 Wan'!F21&gt;Tmin, NOT('04 Wan'!$I21="")),'04 Wan'!$I21,0)</f>
        <v>0</v>
      </c>
      <c r="AE21">
        <f>IF(AND('04 Wan'!C21&lt;Tmax, NOT('04 Wan'!$H21="")),'04 Wan'!$H21,4)</f>
        <v>3</v>
      </c>
      <c r="AF21">
        <f>IF(AND('04 Wan'!D21&lt;Tmax, NOT('04 Wan'!$H21="")),'04 Wan'!$H21,4)</f>
        <v>3</v>
      </c>
      <c r="AG21">
        <f>IF(AND('04 Wan'!E21&lt;Tmax, NOT('04 Wan'!$H21="")),'04 Wan'!$H21,4)</f>
        <v>3</v>
      </c>
      <c r="AH21">
        <f>IF(AND('04 Wan'!F21&lt;Tmax, NOT('04 Wan'!$H21="")),'04 Wan'!$H21,4)</f>
        <v>3</v>
      </c>
      <c r="AI21"/>
    </row>
    <row r="22" spans="1:35" ht="24.75" customHeight="1" outlineLevel="2" x14ac:dyDescent="0.2">
      <c r="A22" s="636" t="s">
        <v>2249</v>
      </c>
      <c r="B22" s="636" t="s">
        <v>1574</v>
      </c>
      <c r="C22" s="887"/>
      <c r="D22" s="887"/>
      <c r="E22" s="887"/>
      <c r="F22" s="887"/>
      <c r="G22" s="1445">
        <v>4</v>
      </c>
      <c r="H22" s="1445"/>
      <c r="I22" s="1445"/>
      <c r="J22" s="1445" t="s">
        <v>2107</v>
      </c>
      <c r="K22" s="1459"/>
      <c r="L22" s="1459"/>
      <c r="M22" s="887"/>
      <c r="AA22">
        <f>IF(AND('04 Wan'!C22&gt;Tmin, NOT('04 Wan'!$I22="")),'04 Wan'!$I22,0)</f>
        <v>0</v>
      </c>
      <c r="AB22">
        <f>IF(AND('04 Wan'!D22&gt;Tmin, NOT('04 Wan'!$I22="")),'04 Wan'!$I22,0)</f>
        <v>0</v>
      </c>
      <c r="AC22">
        <f>IF(AND('04 Wan'!E22&gt;Tmin, NOT('04 Wan'!$I22="")),'04 Wan'!$I22,0)</f>
        <v>0</v>
      </c>
      <c r="AD22">
        <f>IF(AND('04 Wan'!F22&gt;Tmin, NOT('04 Wan'!$I22="")),'04 Wan'!$I22,0)</f>
        <v>0</v>
      </c>
      <c r="AE22">
        <f>IF(AND('04 Wan'!C22&lt;Tmax, NOT('04 Wan'!$H22="")),'04 Wan'!$H22,4)</f>
        <v>4</v>
      </c>
      <c r="AF22">
        <f>IF(AND('04 Wan'!D22&lt;Tmax, NOT('04 Wan'!$H22="")),'04 Wan'!$H22,4)</f>
        <v>4</v>
      </c>
      <c r="AG22">
        <f>IF(AND('04 Wan'!E22&lt;Tmax, NOT('04 Wan'!$H22="")),'04 Wan'!$H22,4)</f>
        <v>4</v>
      </c>
      <c r="AH22">
        <f>IF(AND('04 Wan'!F22&lt;Tmax, NOT('04 Wan'!$H22="")),'04 Wan'!$H22,4)</f>
        <v>4</v>
      </c>
      <c r="AI22"/>
    </row>
    <row r="23" spans="1:35" ht="22.5" outlineLevel="2" x14ac:dyDescent="0.2">
      <c r="A23" s="636" t="s">
        <v>2250</v>
      </c>
      <c r="B23" s="636" t="s">
        <v>1394</v>
      </c>
      <c r="C23" s="887"/>
      <c r="D23" s="887"/>
      <c r="E23" s="887"/>
      <c r="F23" s="887"/>
      <c r="G23" s="1445">
        <v>4</v>
      </c>
      <c r="H23" s="1445"/>
      <c r="I23" s="1445"/>
      <c r="J23" s="1445" t="s">
        <v>2329</v>
      </c>
      <c r="K23" s="1459"/>
      <c r="L23" s="1459"/>
      <c r="M23" s="887"/>
      <c r="AA23">
        <f>IF(AND('04 Wan'!C23&gt;Tmin, NOT('04 Wan'!$I23="")),'04 Wan'!$I23,0)</f>
        <v>0</v>
      </c>
      <c r="AB23">
        <f>IF(AND('04 Wan'!D23&gt;Tmin, NOT('04 Wan'!$I23="")),'04 Wan'!$I23,0)</f>
        <v>0</v>
      </c>
      <c r="AC23">
        <f>IF(AND('04 Wan'!E23&gt;Tmin, NOT('04 Wan'!$I23="")),'04 Wan'!$I23,0)</f>
        <v>0</v>
      </c>
      <c r="AD23">
        <f>IF(AND('04 Wan'!F23&gt;Tmin, NOT('04 Wan'!$I23="")),'04 Wan'!$I23,0)</f>
        <v>0</v>
      </c>
      <c r="AE23">
        <f>IF(AND('04 Wan'!C23&lt;Tmax, NOT('04 Wan'!$H23="")),'04 Wan'!$H23,4)</f>
        <v>4</v>
      </c>
      <c r="AF23">
        <f>IF(AND('04 Wan'!D23&lt;Tmax, NOT('04 Wan'!$H23="")),'04 Wan'!$H23,4)</f>
        <v>4</v>
      </c>
      <c r="AG23">
        <f>IF(AND('04 Wan'!E23&lt;Tmax, NOT('04 Wan'!$H23="")),'04 Wan'!$H23,4)</f>
        <v>4</v>
      </c>
      <c r="AH23">
        <f>IF(AND('04 Wan'!F23&lt;Tmax, NOT('04 Wan'!$H23="")),'04 Wan'!$H23,4)</f>
        <v>4</v>
      </c>
      <c r="AI23"/>
    </row>
    <row r="24" spans="1:35" outlineLevel="2" x14ac:dyDescent="0.2">
      <c r="A24" s="636" t="s">
        <v>2251</v>
      </c>
      <c r="B24" s="636" t="s">
        <v>2573</v>
      </c>
      <c r="C24" s="887"/>
      <c r="D24" s="887"/>
      <c r="E24" s="887"/>
      <c r="F24" s="887"/>
      <c r="G24" s="1445">
        <v>2</v>
      </c>
      <c r="H24" s="1445">
        <v>3</v>
      </c>
      <c r="I24" s="1445"/>
      <c r="J24" s="1445" t="s">
        <v>2109</v>
      </c>
      <c r="K24" s="1459"/>
      <c r="L24" s="1459"/>
      <c r="M24" s="887"/>
      <c r="AA24">
        <f>IF(AND('04 Wan'!C24&gt;Tmin, NOT('04 Wan'!$I24="")),'04 Wan'!$I24,0)</f>
        <v>0</v>
      </c>
      <c r="AB24">
        <f>IF(AND('04 Wan'!D24&gt;Tmin, NOT('04 Wan'!$I24="")),'04 Wan'!$I24,0)</f>
        <v>0</v>
      </c>
      <c r="AC24">
        <f>IF(AND('04 Wan'!E24&gt;Tmin, NOT('04 Wan'!$I24="")),'04 Wan'!$I24,0)</f>
        <v>0</v>
      </c>
      <c r="AD24">
        <f>IF(AND('04 Wan'!F24&gt;Tmin, NOT('04 Wan'!$I24="")),'04 Wan'!$I24,0)</f>
        <v>0</v>
      </c>
      <c r="AE24">
        <f>IF(AND('04 Wan'!C24&lt;Tmax, NOT('04 Wan'!$H24="")),'04 Wan'!$H24,4)</f>
        <v>3</v>
      </c>
      <c r="AF24">
        <f>IF(AND('04 Wan'!D24&lt;Tmax, NOT('04 Wan'!$H24="")),'04 Wan'!$H24,4)</f>
        <v>3</v>
      </c>
      <c r="AG24">
        <f>IF(AND('04 Wan'!E24&lt;Tmax, NOT('04 Wan'!$H24="")),'04 Wan'!$H24,4)</f>
        <v>3</v>
      </c>
      <c r="AH24">
        <f>IF(AND('04 Wan'!F24&lt;Tmax, NOT('04 Wan'!$H24="")),'04 Wan'!$H24,4)</f>
        <v>3</v>
      </c>
      <c r="AI24"/>
    </row>
    <row r="25" spans="1:35" outlineLevel="1" x14ac:dyDescent="0.2">
      <c r="A25" s="633" t="s">
        <v>4603</v>
      </c>
      <c r="B25" s="634" t="s">
        <v>94</v>
      </c>
      <c r="C25" s="887"/>
      <c r="D25" s="887"/>
      <c r="E25" s="887"/>
      <c r="F25" s="887"/>
      <c r="G25" s="1445"/>
      <c r="H25" s="1445"/>
      <c r="I25" s="1445"/>
      <c r="J25" s="1445"/>
      <c r="K25" s="1459"/>
      <c r="L25" s="1459"/>
      <c r="M25" s="887"/>
      <c r="AA25"/>
      <c r="AB25"/>
      <c r="AC25"/>
      <c r="AD25"/>
      <c r="AE25"/>
      <c r="AF25"/>
      <c r="AG25"/>
      <c r="AH25"/>
      <c r="AI25"/>
    </row>
    <row r="26" spans="1:35" ht="22.5" outlineLevel="2" x14ac:dyDescent="0.2">
      <c r="A26" s="636" t="s">
        <v>2024</v>
      </c>
      <c r="B26" s="636" t="s">
        <v>905</v>
      </c>
      <c r="C26" s="887"/>
      <c r="D26" s="887"/>
      <c r="E26" s="887"/>
      <c r="F26" s="887"/>
      <c r="G26" s="1445">
        <v>2</v>
      </c>
      <c r="H26" s="1445"/>
      <c r="I26" s="1445"/>
      <c r="J26" s="1445" t="s">
        <v>1592</v>
      </c>
      <c r="K26" s="1459"/>
      <c r="L26" s="1459"/>
      <c r="M26" s="887"/>
      <c r="AA26">
        <f>IF(AND('04 Wan'!C26&gt;Tmin, NOT('04 Wan'!$I26="")),'04 Wan'!$I26,0)</f>
        <v>0</v>
      </c>
      <c r="AB26">
        <f>IF(AND('04 Wan'!D26&gt;Tmin, NOT('04 Wan'!$I26="")),'04 Wan'!$I26,0)</f>
        <v>0</v>
      </c>
      <c r="AC26">
        <f>IF(AND('04 Wan'!E26&gt;Tmin, NOT('04 Wan'!$I26="")),'04 Wan'!$I26,0)</f>
        <v>0</v>
      </c>
      <c r="AD26">
        <f>IF(AND('04 Wan'!F26&gt;Tmin, NOT('04 Wan'!$I26="")),'04 Wan'!$I26,0)</f>
        <v>0</v>
      </c>
      <c r="AE26">
        <f>IF(AND('04 Wan'!C26&lt;Tmax, NOT('04 Wan'!$H26="")),'04 Wan'!$H26,4)</f>
        <v>4</v>
      </c>
      <c r="AF26">
        <f>IF(AND('04 Wan'!D26&lt;Tmax, NOT('04 Wan'!$H26="")),'04 Wan'!$H26,4)</f>
        <v>4</v>
      </c>
      <c r="AG26">
        <f>IF(AND('04 Wan'!E26&lt;Tmax, NOT('04 Wan'!$H26="")),'04 Wan'!$H26,4)</f>
        <v>4</v>
      </c>
      <c r="AH26">
        <f>IF(AND('04 Wan'!F26&lt;Tmax, NOT('04 Wan'!$H26="")),'04 Wan'!$H26,4)</f>
        <v>4</v>
      </c>
      <c r="AI26"/>
    </row>
    <row r="27" spans="1:35" ht="22.5" outlineLevel="2" x14ac:dyDescent="0.2">
      <c r="A27" s="636" t="s">
        <v>1718</v>
      </c>
      <c r="B27" s="636" t="s">
        <v>2576</v>
      </c>
      <c r="C27" s="887"/>
      <c r="D27" s="887"/>
      <c r="E27" s="887"/>
      <c r="F27" s="887"/>
      <c r="G27" s="1445">
        <v>2</v>
      </c>
      <c r="H27" s="1445"/>
      <c r="I27" s="1445"/>
      <c r="J27" s="1445" t="s">
        <v>1592</v>
      </c>
      <c r="K27" s="1459"/>
      <c r="L27" s="1459"/>
      <c r="M27" s="887"/>
      <c r="AA27">
        <f>IF(AND('04 Wan'!C27&gt;Tmin, NOT('04 Wan'!$I27="")),'04 Wan'!$I27,0)</f>
        <v>0</v>
      </c>
      <c r="AB27">
        <f>IF(AND('04 Wan'!D27&gt;Tmin, NOT('04 Wan'!$I27="")),'04 Wan'!$I27,0)</f>
        <v>0</v>
      </c>
      <c r="AC27">
        <f>IF(AND('04 Wan'!E27&gt;Tmin, NOT('04 Wan'!$I27="")),'04 Wan'!$I27,0)</f>
        <v>0</v>
      </c>
      <c r="AD27">
        <f>IF(AND('04 Wan'!F27&gt;Tmin, NOT('04 Wan'!$I27="")),'04 Wan'!$I27,0)</f>
        <v>0</v>
      </c>
      <c r="AE27">
        <f>IF(AND('04 Wan'!C27&lt;Tmax, NOT('04 Wan'!$H27="")),'04 Wan'!$H27,4)</f>
        <v>4</v>
      </c>
      <c r="AF27">
        <f>IF(AND('04 Wan'!D27&lt;Tmax, NOT('04 Wan'!$H27="")),'04 Wan'!$H27,4)</f>
        <v>4</v>
      </c>
      <c r="AG27">
        <f>IF(AND('04 Wan'!E27&lt;Tmax, NOT('04 Wan'!$H27="")),'04 Wan'!$H27,4)</f>
        <v>4</v>
      </c>
      <c r="AH27">
        <f>IF(AND('04 Wan'!F27&lt;Tmax, NOT('04 Wan'!$H27="")),'04 Wan'!$H27,4)</f>
        <v>4</v>
      </c>
      <c r="AI27"/>
    </row>
    <row r="28" spans="1:35" ht="33.75" outlineLevel="2" x14ac:dyDescent="0.2">
      <c r="A28" s="636" t="s">
        <v>4866</v>
      </c>
      <c r="B28" s="636" t="s">
        <v>1618</v>
      </c>
      <c r="C28" s="887"/>
      <c r="D28" s="887"/>
      <c r="E28" s="887"/>
      <c r="F28" s="887"/>
      <c r="G28" s="1445">
        <v>2</v>
      </c>
      <c r="H28" s="1445">
        <v>2</v>
      </c>
      <c r="I28" s="1445"/>
      <c r="J28" s="1445" t="s">
        <v>1592</v>
      </c>
      <c r="K28" s="1459"/>
      <c r="L28" s="1459"/>
      <c r="M28" s="887"/>
      <c r="AA28">
        <f>IF(AND('04 Wan'!C28&gt;Tmin, NOT('04 Wan'!$I28="")),'04 Wan'!$I28,0)</f>
        <v>0</v>
      </c>
      <c r="AB28">
        <f>IF(AND('04 Wan'!D28&gt;Tmin, NOT('04 Wan'!$I28="")),'04 Wan'!$I28,0)</f>
        <v>0</v>
      </c>
      <c r="AC28">
        <f>IF(AND('04 Wan'!E28&gt;Tmin, NOT('04 Wan'!$I28="")),'04 Wan'!$I28,0)</f>
        <v>0</v>
      </c>
      <c r="AD28">
        <f>IF(AND('04 Wan'!F28&gt;Tmin, NOT('04 Wan'!$I28="")),'04 Wan'!$I28,0)</f>
        <v>0</v>
      </c>
      <c r="AE28">
        <f>IF(AND('04 Wan'!C28&lt;Tmax, NOT('04 Wan'!$H28="")),'04 Wan'!$H28,4)</f>
        <v>2</v>
      </c>
      <c r="AF28">
        <f>IF(AND('04 Wan'!D28&lt;Tmax, NOT('04 Wan'!$H28="")),'04 Wan'!$H28,4)</f>
        <v>2</v>
      </c>
      <c r="AG28">
        <f>IF(AND('04 Wan'!E28&lt;Tmax, NOT('04 Wan'!$H28="")),'04 Wan'!$H28,4)</f>
        <v>2</v>
      </c>
      <c r="AH28">
        <f>IF(AND('04 Wan'!F28&lt;Tmax, NOT('04 Wan'!$H28="")),'04 Wan'!$H28,4)</f>
        <v>2</v>
      </c>
      <c r="AI28"/>
    </row>
    <row r="29" spans="1:35" ht="22.5" outlineLevel="2" x14ac:dyDescent="0.2">
      <c r="A29" s="636" t="s">
        <v>1626</v>
      </c>
      <c r="B29" s="636" t="s">
        <v>4801</v>
      </c>
      <c r="C29" s="887"/>
      <c r="D29" s="887"/>
      <c r="E29" s="887"/>
      <c r="F29" s="887"/>
      <c r="G29" s="1445">
        <v>4</v>
      </c>
      <c r="H29" s="1445"/>
      <c r="I29" s="1445"/>
      <c r="J29" s="1445" t="s">
        <v>2329</v>
      </c>
      <c r="K29" s="1459"/>
      <c r="L29" s="1459"/>
      <c r="M29" s="887"/>
      <c r="AA29">
        <f>IF(AND('04 Wan'!C29&gt;Tmin, NOT('04 Wan'!$I29="")),'04 Wan'!$I29,0)</f>
        <v>0</v>
      </c>
      <c r="AB29">
        <f>IF(AND('04 Wan'!D29&gt;Tmin, NOT('04 Wan'!$I29="")),'04 Wan'!$I29,0)</f>
        <v>0</v>
      </c>
      <c r="AC29">
        <f>IF(AND('04 Wan'!E29&gt;Tmin, NOT('04 Wan'!$I29="")),'04 Wan'!$I29,0)</f>
        <v>0</v>
      </c>
      <c r="AD29">
        <f>IF(AND('04 Wan'!F29&gt;Tmin, NOT('04 Wan'!$I29="")),'04 Wan'!$I29,0)</f>
        <v>0</v>
      </c>
      <c r="AE29">
        <f>IF(AND('04 Wan'!C29&lt;Tmax, NOT('04 Wan'!$H29="")),'04 Wan'!$H29,4)</f>
        <v>4</v>
      </c>
      <c r="AF29">
        <f>IF(AND('04 Wan'!D29&lt;Tmax, NOT('04 Wan'!$H29="")),'04 Wan'!$H29,4)</f>
        <v>4</v>
      </c>
      <c r="AG29">
        <f>IF(AND('04 Wan'!E29&lt;Tmax, NOT('04 Wan'!$H29="")),'04 Wan'!$H29,4)</f>
        <v>4</v>
      </c>
      <c r="AH29">
        <f>IF(AND('04 Wan'!F29&lt;Tmax, NOT('04 Wan'!$H29="")),'04 Wan'!$H29,4)</f>
        <v>4</v>
      </c>
      <c r="AI29"/>
    </row>
    <row r="30" spans="1:35" ht="22.5" outlineLevel="2" x14ac:dyDescent="0.2">
      <c r="A30" s="636" t="s">
        <v>1628</v>
      </c>
      <c r="B30" s="636" t="s">
        <v>5643</v>
      </c>
      <c r="C30" s="887"/>
      <c r="D30" s="887"/>
      <c r="E30" s="887"/>
      <c r="F30" s="887"/>
      <c r="G30" s="1445">
        <v>4</v>
      </c>
      <c r="H30" s="1445">
        <v>3</v>
      </c>
      <c r="I30" s="1445"/>
      <c r="J30" s="1445" t="s">
        <v>2349</v>
      </c>
      <c r="K30" s="1459"/>
      <c r="L30" s="1459"/>
      <c r="M30" s="887"/>
      <c r="AA30">
        <f>IF(AND('04 Wan'!C30&gt;Tmin, NOT('04 Wan'!$I30="")),'04 Wan'!$I30,0)</f>
        <v>0</v>
      </c>
      <c r="AB30">
        <f>IF(AND('04 Wan'!D30&gt;Tmin, NOT('04 Wan'!$I30="")),'04 Wan'!$I30,0)</f>
        <v>0</v>
      </c>
      <c r="AC30">
        <f>IF(AND('04 Wan'!E30&gt;Tmin, NOT('04 Wan'!$I30="")),'04 Wan'!$I30,0)</f>
        <v>0</v>
      </c>
      <c r="AD30">
        <f>IF(AND('04 Wan'!F30&gt;Tmin, NOT('04 Wan'!$I30="")),'04 Wan'!$I30,0)</f>
        <v>0</v>
      </c>
      <c r="AE30">
        <f>IF(AND('04 Wan'!C30&lt;Tmax, NOT('04 Wan'!$H30="")),'04 Wan'!$H30,4)</f>
        <v>3</v>
      </c>
      <c r="AF30">
        <f>IF(AND('04 Wan'!D30&lt;Tmax, NOT('04 Wan'!$H30="")),'04 Wan'!$H30,4)</f>
        <v>3</v>
      </c>
      <c r="AG30">
        <f>IF(AND('04 Wan'!E30&lt;Tmax, NOT('04 Wan'!$H30="")),'04 Wan'!$H30,4)</f>
        <v>3</v>
      </c>
      <c r="AH30">
        <f>IF(AND('04 Wan'!F30&lt;Tmax, NOT('04 Wan'!$H30="")),'04 Wan'!$H30,4)</f>
        <v>3</v>
      </c>
      <c r="AI30"/>
    </row>
    <row r="31" spans="1:35" ht="25.5" customHeight="1" outlineLevel="2" x14ac:dyDescent="0.2">
      <c r="A31" s="636" t="s">
        <v>1573</v>
      </c>
      <c r="B31" s="636" t="s">
        <v>1152</v>
      </c>
      <c r="C31" s="887"/>
      <c r="D31" s="887"/>
      <c r="E31" s="887"/>
      <c r="F31" s="887"/>
      <c r="G31" s="1445">
        <v>4</v>
      </c>
      <c r="H31" s="1445"/>
      <c r="I31" s="1445"/>
      <c r="J31" s="1445" t="s">
        <v>2329</v>
      </c>
      <c r="K31" s="1459"/>
      <c r="L31" s="1459"/>
      <c r="M31" s="887"/>
      <c r="AA31">
        <f>IF(AND('04 Wan'!C31&gt;Tmin, NOT('04 Wan'!$I31="")),'04 Wan'!$I31,0)</f>
        <v>0</v>
      </c>
      <c r="AB31">
        <f>IF(AND('04 Wan'!D31&gt;Tmin, NOT('04 Wan'!$I31="")),'04 Wan'!$I31,0)</f>
        <v>0</v>
      </c>
      <c r="AC31">
        <f>IF(AND('04 Wan'!E31&gt;Tmin, NOT('04 Wan'!$I31="")),'04 Wan'!$I31,0)</f>
        <v>0</v>
      </c>
      <c r="AD31">
        <f>IF(AND('04 Wan'!F31&gt;Tmin, NOT('04 Wan'!$I31="")),'04 Wan'!$I31,0)</f>
        <v>0</v>
      </c>
      <c r="AE31">
        <f>IF(AND('04 Wan'!C31&lt;Tmax, NOT('04 Wan'!$H31="")),'04 Wan'!$H31,4)</f>
        <v>4</v>
      </c>
      <c r="AF31">
        <f>IF(AND('04 Wan'!D31&lt;Tmax, NOT('04 Wan'!$H31="")),'04 Wan'!$H31,4)</f>
        <v>4</v>
      </c>
      <c r="AG31">
        <f>IF(AND('04 Wan'!E31&lt;Tmax, NOT('04 Wan'!$H31="")),'04 Wan'!$H31,4)</f>
        <v>4</v>
      </c>
      <c r="AH31">
        <f>IF(AND('04 Wan'!F31&lt;Tmax, NOT('04 Wan'!$H31="")),'04 Wan'!$H31,4)</f>
        <v>4</v>
      </c>
      <c r="AI31"/>
    </row>
    <row r="32" spans="1:35" ht="22.5" outlineLevel="2" x14ac:dyDescent="0.2">
      <c r="A32" s="636" t="s">
        <v>1575</v>
      </c>
      <c r="B32" s="636" t="s">
        <v>1154</v>
      </c>
      <c r="C32" s="887"/>
      <c r="D32" s="887"/>
      <c r="E32" s="887"/>
      <c r="F32" s="887"/>
      <c r="G32" s="1445">
        <v>2</v>
      </c>
      <c r="H32" s="1445">
        <v>3</v>
      </c>
      <c r="I32" s="1445"/>
      <c r="J32" s="1445" t="s">
        <v>2109</v>
      </c>
      <c r="K32" s="1459"/>
      <c r="L32" s="1459"/>
      <c r="M32" s="887"/>
      <c r="AA32">
        <f>IF(AND('04 Wan'!C32&gt;Tmin, NOT('04 Wan'!$I32="")),'04 Wan'!$I32,0)</f>
        <v>0</v>
      </c>
      <c r="AB32">
        <f>IF(AND('04 Wan'!D32&gt;Tmin, NOT('04 Wan'!$I32="")),'04 Wan'!$I32,0)</f>
        <v>0</v>
      </c>
      <c r="AC32">
        <f>IF(AND('04 Wan'!E32&gt;Tmin, NOT('04 Wan'!$I32="")),'04 Wan'!$I32,0)</f>
        <v>0</v>
      </c>
      <c r="AD32">
        <f>IF(AND('04 Wan'!F32&gt;Tmin, NOT('04 Wan'!$I32="")),'04 Wan'!$I32,0)</f>
        <v>0</v>
      </c>
      <c r="AE32">
        <f>IF(AND('04 Wan'!C32&lt;Tmax, NOT('04 Wan'!$H32="")),'04 Wan'!$H32,4)</f>
        <v>3</v>
      </c>
      <c r="AF32">
        <f>IF(AND('04 Wan'!D32&lt;Tmax, NOT('04 Wan'!$H32="")),'04 Wan'!$H32,4)</f>
        <v>3</v>
      </c>
      <c r="AG32">
        <f>IF(AND('04 Wan'!E32&lt;Tmax, NOT('04 Wan'!$H32="")),'04 Wan'!$H32,4)</f>
        <v>3</v>
      </c>
      <c r="AH32">
        <f>IF(AND('04 Wan'!F32&lt;Tmax, NOT('04 Wan'!$H32="")),'04 Wan'!$H32,4)</f>
        <v>3</v>
      </c>
      <c r="AI32"/>
    </row>
    <row r="33" spans="1:35" outlineLevel="1" x14ac:dyDescent="0.2">
      <c r="A33" s="633" t="s">
        <v>93</v>
      </c>
      <c r="B33" s="634" t="s">
        <v>96</v>
      </c>
      <c r="C33" s="887"/>
      <c r="D33" s="887"/>
      <c r="E33" s="887"/>
      <c r="F33" s="887"/>
      <c r="G33" s="1445"/>
      <c r="H33" s="1445"/>
      <c r="I33" s="1445"/>
      <c r="J33" s="1445"/>
      <c r="K33" s="1459"/>
      <c r="L33" s="1459"/>
      <c r="M33" s="887"/>
      <c r="AA33"/>
      <c r="AB33"/>
      <c r="AC33"/>
      <c r="AD33"/>
      <c r="AE33"/>
      <c r="AF33"/>
      <c r="AG33"/>
      <c r="AH33"/>
      <c r="AI33"/>
    </row>
    <row r="34" spans="1:35" ht="22.5" outlineLevel="2" x14ac:dyDescent="0.2">
      <c r="A34" s="636" t="s">
        <v>2574</v>
      </c>
      <c r="B34" s="636" t="s">
        <v>2280</v>
      </c>
      <c r="C34" s="887"/>
      <c r="D34" s="887"/>
      <c r="E34" s="887"/>
      <c r="F34" s="887"/>
      <c r="G34" s="1445">
        <v>4</v>
      </c>
      <c r="H34" s="1445"/>
      <c r="I34" s="1445"/>
      <c r="J34" s="1445" t="s">
        <v>4246</v>
      </c>
      <c r="K34" s="1459" t="s">
        <v>978</v>
      </c>
      <c r="L34" s="1459" t="s">
        <v>7313</v>
      </c>
      <c r="M34" s="887"/>
      <c r="AA34">
        <f>IF(AND('04 Wan'!C34&gt;Tmin, NOT('04 Wan'!$I34="")),'04 Wan'!$I34,0)</f>
        <v>0</v>
      </c>
      <c r="AB34">
        <f>IF(AND('04 Wan'!D34&gt;Tmin, NOT('04 Wan'!$I34="")),'04 Wan'!$I34,0)</f>
        <v>0</v>
      </c>
      <c r="AC34">
        <f>IF(AND('04 Wan'!E34&gt;Tmin, NOT('04 Wan'!$I34="")),'04 Wan'!$I34,0)</f>
        <v>0</v>
      </c>
      <c r="AD34">
        <f>IF(AND('04 Wan'!F34&gt;Tmin, NOT('04 Wan'!$I34="")),'04 Wan'!$I34,0)</f>
        <v>0</v>
      </c>
      <c r="AE34">
        <f>IF(AND('04 Wan'!C34&lt;Tmax, NOT('04 Wan'!$H34="")),'04 Wan'!$H34,4)</f>
        <v>4</v>
      </c>
      <c r="AF34">
        <f>IF(AND('04 Wan'!D34&lt;Tmax, NOT('04 Wan'!$H34="")),'04 Wan'!$H34,4)</f>
        <v>4</v>
      </c>
      <c r="AG34">
        <f>IF(AND('04 Wan'!E34&lt;Tmax, NOT('04 Wan'!$H34="")),'04 Wan'!$H34,4)</f>
        <v>4</v>
      </c>
      <c r="AH34">
        <f>IF(AND('04 Wan'!F34&lt;Tmax, NOT('04 Wan'!$H34="")),'04 Wan'!$H34,4)</f>
        <v>4</v>
      </c>
      <c r="AI34"/>
    </row>
    <row r="35" spans="1:35" outlineLevel="2" x14ac:dyDescent="0.2">
      <c r="A35" s="636" t="s">
        <v>2575</v>
      </c>
      <c r="B35" s="636" t="s">
        <v>2281</v>
      </c>
      <c r="C35" s="887"/>
      <c r="D35" s="887"/>
      <c r="E35" s="887"/>
      <c r="F35" s="887"/>
      <c r="G35" s="1445">
        <v>2</v>
      </c>
      <c r="H35" s="1445">
        <v>2</v>
      </c>
      <c r="I35" s="1445"/>
      <c r="J35" s="1445" t="s">
        <v>1592</v>
      </c>
      <c r="K35" s="1459" t="s">
        <v>978</v>
      </c>
      <c r="L35" s="1459" t="s">
        <v>7313</v>
      </c>
      <c r="M35" s="887"/>
      <c r="AA35">
        <f>IF(AND('04 Wan'!C35&gt;Tmin, NOT('04 Wan'!$I35="")),'04 Wan'!$I35,0)</f>
        <v>0</v>
      </c>
      <c r="AB35">
        <f>IF(AND('04 Wan'!D35&gt;Tmin, NOT('04 Wan'!$I35="")),'04 Wan'!$I35,0)</f>
        <v>0</v>
      </c>
      <c r="AC35">
        <f>IF(AND('04 Wan'!E35&gt;Tmin, NOT('04 Wan'!$I35="")),'04 Wan'!$I35,0)</f>
        <v>0</v>
      </c>
      <c r="AD35">
        <f>IF(AND('04 Wan'!F35&gt;Tmin, NOT('04 Wan'!$I35="")),'04 Wan'!$I35,0)</f>
        <v>0</v>
      </c>
      <c r="AE35">
        <f>IF(AND('04 Wan'!C35&lt;Tmax, NOT('04 Wan'!$H35="")),'04 Wan'!$H35,4)</f>
        <v>2</v>
      </c>
      <c r="AF35">
        <f>IF(AND('04 Wan'!D35&lt;Tmax, NOT('04 Wan'!$H35="")),'04 Wan'!$H35,4)</f>
        <v>2</v>
      </c>
      <c r="AG35">
        <f>IF(AND('04 Wan'!E35&lt;Tmax, NOT('04 Wan'!$H35="")),'04 Wan'!$H35,4)</f>
        <v>2</v>
      </c>
      <c r="AH35">
        <f>IF(AND('04 Wan'!F35&lt;Tmax, NOT('04 Wan'!$H35="")),'04 Wan'!$H35,4)</f>
        <v>2</v>
      </c>
      <c r="AI35"/>
    </row>
    <row r="36" spans="1:35" ht="22.5" outlineLevel="2" x14ac:dyDescent="0.2">
      <c r="A36" s="636" t="s">
        <v>2577</v>
      </c>
      <c r="B36" s="636" t="s">
        <v>5663</v>
      </c>
      <c r="C36" s="887"/>
      <c r="D36" s="887"/>
      <c r="E36" s="887"/>
      <c r="F36" s="887"/>
      <c r="G36" s="1445">
        <v>4</v>
      </c>
      <c r="H36" s="1445">
        <v>2</v>
      </c>
      <c r="I36" s="1445"/>
      <c r="J36" s="1445" t="s">
        <v>4246</v>
      </c>
      <c r="K36" s="1459" t="s">
        <v>978</v>
      </c>
      <c r="L36" s="1459" t="s">
        <v>7313</v>
      </c>
      <c r="M36" s="887"/>
      <c r="AA36">
        <f>IF(AND('04 Wan'!C36&gt;Tmin, NOT('04 Wan'!$I36="")),'04 Wan'!$I36,0)</f>
        <v>0</v>
      </c>
      <c r="AB36">
        <f>IF(AND('04 Wan'!D36&gt;Tmin, NOT('04 Wan'!$I36="")),'04 Wan'!$I36,0)</f>
        <v>0</v>
      </c>
      <c r="AC36">
        <f>IF(AND('04 Wan'!E36&gt;Tmin, NOT('04 Wan'!$I36="")),'04 Wan'!$I36,0)</f>
        <v>0</v>
      </c>
      <c r="AD36">
        <f>IF(AND('04 Wan'!F36&gt;Tmin, NOT('04 Wan'!$I36="")),'04 Wan'!$I36,0)</f>
        <v>0</v>
      </c>
      <c r="AE36">
        <f>IF(AND('04 Wan'!C36&lt;Tmax, NOT('04 Wan'!$H36="")),'04 Wan'!$H36,4)</f>
        <v>2</v>
      </c>
      <c r="AF36">
        <f>IF(AND('04 Wan'!D36&lt;Tmax, NOT('04 Wan'!$H36="")),'04 Wan'!$H36,4)</f>
        <v>2</v>
      </c>
      <c r="AG36">
        <f>IF(AND('04 Wan'!E36&lt;Tmax, NOT('04 Wan'!$H36="")),'04 Wan'!$H36,4)</f>
        <v>2</v>
      </c>
      <c r="AH36">
        <f>IF(AND('04 Wan'!F36&lt;Tmax, NOT('04 Wan'!$H36="")),'04 Wan'!$H36,4)</f>
        <v>2</v>
      </c>
      <c r="AI36"/>
    </row>
    <row r="37" spans="1:35" ht="36" customHeight="1" outlineLevel="2" x14ac:dyDescent="0.2">
      <c r="A37" s="636" t="s">
        <v>1619</v>
      </c>
      <c r="B37" s="636" t="s">
        <v>2761</v>
      </c>
      <c r="C37" s="887"/>
      <c r="D37" s="887"/>
      <c r="E37" s="887"/>
      <c r="F37" s="887"/>
      <c r="G37" s="1445">
        <v>4</v>
      </c>
      <c r="H37" s="1445">
        <v>3</v>
      </c>
      <c r="I37" s="1445"/>
      <c r="J37" s="1445" t="s">
        <v>2349</v>
      </c>
      <c r="K37" s="1459" t="s">
        <v>978</v>
      </c>
      <c r="L37" s="1459" t="s">
        <v>7313</v>
      </c>
      <c r="M37" s="887"/>
      <c r="AA37">
        <f>IF(AND('04 Wan'!C37&gt;Tmin, NOT('04 Wan'!$I37="")),'04 Wan'!$I37,0)</f>
        <v>0</v>
      </c>
      <c r="AB37">
        <f>IF(AND('04 Wan'!D37&gt;Tmin, NOT('04 Wan'!$I37="")),'04 Wan'!$I37,0)</f>
        <v>0</v>
      </c>
      <c r="AC37">
        <f>IF(AND('04 Wan'!E37&gt;Tmin, NOT('04 Wan'!$I37="")),'04 Wan'!$I37,0)</f>
        <v>0</v>
      </c>
      <c r="AD37">
        <f>IF(AND('04 Wan'!F37&gt;Tmin, NOT('04 Wan'!$I37="")),'04 Wan'!$I37,0)</f>
        <v>0</v>
      </c>
      <c r="AE37">
        <f>IF(AND('04 Wan'!C37&lt;Tmax, NOT('04 Wan'!$H37="")),'04 Wan'!$H37,4)</f>
        <v>3</v>
      </c>
      <c r="AF37">
        <f>IF(AND('04 Wan'!D37&lt;Tmax, NOT('04 Wan'!$H37="")),'04 Wan'!$H37,4)</f>
        <v>3</v>
      </c>
      <c r="AG37">
        <f>IF(AND('04 Wan'!E37&lt;Tmax, NOT('04 Wan'!$H37="")),'04 Wan'!$H37,4)</f>
        <v>3</v>
      </c>
      <c r="AH37">
        <f>IF(AND('04 Wan'!F37&lt;Tmax, NOT('04 Wan'!$H37="")),'04 Wan'!$H37,4)</f>
        <v>3</v>
      </c>
      <c r="AI37"/>
    </row>
    <row r="38" spans="1:35" ht="22.5" outlineLevel="2" x14ac:dyDescent="0.2">
      <c r="A38" s="636" t="s">
        <v>4802</v>
      </c>
      <c r="B38" s="636" t="s">
        <v>5668</v>
      </c>
      <c r="C38" s="887"/>
      <c r="D38" s="887"/>
      <c r="E38" s="887"/>
      <c r="F38" s="887"/>
      <c r="G38" s="1445">
        <v>4</v>
      </c>
      <c r="H38" s="1445">
        <v>2</v>
      </c>
      <c r="I38" s="1445"/>
      <c r="J38" s="1445" t="s">
        <v>2329</v>
      </c>
      <c r="K38" s="1459" t="s">
        <v>978</v>
      </c>
      <c r="L38" s="1459" t="s">
        <v>7313</v>
      </c>
      <c r="M38" s="887"/>
      <c r="AA38">
        <f>IF(AND('04 Wan'!C38&gt;Tmin, NOT('04 Wan'!$I38="")),'04 Wan'!$I38,0)</f>
        <v>0</v>
      </c>
      <c r="AB38">
        <f>IF(AND('04 Wan'!D38&gt;Tmin, NOT('04 Wan'!$I38="")),'04 Wan'!$I38,0)</f>
        <v>0</v>
      </c>
      <c r="AC38">
        <f>IF(AND('04 Wan'!E38&gt;Tmin, NOT('04 Wan'!$I38="")),'04 Wan'!$I38,0)</f>
        <v>0</v>
      </c>
      <c r="AD38">
        <f>IF(AND('04 Wan'!F38&gt;Tmin, NOT('04 Wan'!$I38="")),'04 Wan'!$I38,0)</f>
        <v>0</v>
      </c>
      <c r="AE38">
        <f>IF(AND('04 Wan'!C38&lt;Tmax, NOT('04 Wan'!$H38="")),'04 Wan'!$H38,4)</f>
        <v>2</v>
      </c>
      <c r="AF38">
        <f>IF(AND('04 Wan'!D38&lt;Tmax, NOT('04 Wan'!$H38="")),'04 Wan'!$H38,4)</f>
        <v>2</v>
      </c>
      <c r="AG38">
        <f>IF(AND('04 Wan'!E38&lt;Tmax, NOT('04 Wan'!$H38="")),'04 Wan'!$H38,4)</f>
        <v>2</v>
      </c>
      <c r="AH38">
        <f>IF(AND('04 Wan'!F38&lt;Tmax, NOT('04 Wan'!$H38="")),'04 Wan'!$H38,4)</f>
        <v>2</v>
      </c>
      <c r="AI38"/>
    </row>
    <row r="39" spans="1:35" ht="45" outlineLevel="2" x14ac:dyDescent="0.2">
      <c r="A39" s="636" t="s">
        <v>5644</v>
      </c>
      <c r="B39" s="636" t="s">
        <v>1765</v>
      </c>
      <c r="C39" s="887"/>
      <c r="D39" s="887"/>
      <c r="E39" s="887"/>
      <c r="F39" s="887"/>
      <c r="G39" s="1445">
        <v>4</v>
      </c>
      <c r="H39" s="1445"/>
      <c r="I39" s="1445"/>
      <c r="J39" s="1445" t="s">
        <v>2329</v>
      </c>
      <c r="K39" s="1459" t="s">
        <v>978</v>
      </c>
      <c r="L39" s="1459" t="s">
        <v>7313</v>
      </c>
      <c r="M39" s="887"/>
      <c r="AA39">
        <f>IF(AND('04 Wan'!C39&gt;Tmin, NOT('04 Wan'!$I39="")),'04 Wan'!$I39,0)</f>
        <v>0</v>
      </c>
      <c r="AB39">
        <f>IF(AND('04 Wan'!D39&gt;Tmin, NOT('04 Wan'!$I39="")),'04 Wan'!$I39,0)</f>
        <v>0</v>
      </c>
      <c r="AC39">
        <f>IF(AND('04 Wan'!E39&gt;Tmin, NOT('04 Wan'!$I39="")),'04 Wan'!$I39,0)</f>
        <v>0</v>
      </c>
      <c r="AD39">
        <f>IF(AND('04 Wan'!F39&gt;Tmin, NOT('04 Wan'!$I39="")),'04 Wan'!$I39,0)</f>
        <v>0</v>
      </c>
      <c r="AE39">
        <f>IF(AND('04 Wan'!C39&lt;Tmax, NOT('04 Wan'!$H39="")),'04 Wan'!$H39,4)</f>
        <v>4</v>
      </c>
      <c r="AF39">
        <f>IF(AND('04 Wan'!D39&lt;Tmax, NOT('04 Wan'!$H39="")),'04 Wan'!$H39,4)</f>
        <v>4</v>
      </c>
      <c r="AG39">
        <f>IF(AND('04 Wan'!E39&lt;Tmax, NOT('04 Wan'!$H39="")),'04 Wan'!$H39,4)</f>
        <v>4</v>
      </c>
      <c r="AH39">
        <f>IF(AND('04 Wan'!F39&lt;Tmax, NOT('04 Wan'!$H39="")),'04 Wan'!$H39,4)</f>
        <v>4</v>
      </c>
      <c r="AI39"/>
    </row>
    <row r="40" spans="1:35" outlineLevel="2" x14ac:dyDescent="0.2">
      <c r="A40" s="636" t="s">
        <v>1153</v>
      </c>
      <c r="B40" s="636" t="s">
        <v>4639</v>
      </c>
      <c r="C40" s="887"/>
      <c r="D40" s="887"/>
      <c r="E40" s="887"/>
      <c r="F40" s="887"/>
      <c r="G40" s="1445">
        <v>2</v>
      </c>
      <c r="H40" s="1445">
        <v>3</v>
      </c>
      <c r="I40" s="1445"/>
      <c r="J40" s="1445" t="s">
        <v>2109</v>
      </c>
      <c r="K40" s="1459" t="s">
        <v>978</v>
      </c>
      <c r="L40" s="1459" t="s">
        <v>7313</v>
      </c>
      <c r="M40" s="887"/>
      <c r="AA40">
        <f>IF(AND('04 Wan'!C40&gt;Tmin, NOT('04 Wan'!$I40="")),'04 Wan'!$I40,0)</f>
        <v>0</v>
      </c>
      <c r="AB40">
        <f>IF(AND('04 Wan'!D40&gt;Tmin, NOT('04 Wan'!$I40="")),'04 Wan'!$I40,0)</f>
        <v>0</v>
      </c>
      <c r="AC40">
        <f>IF(AND('04 Wan'!E40&gt;Tmin, NOT('04 Wan'!$I40="")),'04 Wan'!$I40,0)</f>
        <v>0</v>
      </c>
      <c r="AD40">
        <f>IF(AND('04 Wan'!F40&gt;Tmin, NOT('04 Wan'!$I40="")),'04 Wan'!$I40,0)</f>
        <v>0</v>
      </c>
      <c r="AE40">
        <f>IF(AND('04 Wan'!C40&lt;Tmax, NOT('04 Wan'!$H40="")),'04 Wan'!$H40,4)</f>
        <v>3</v>
      </c>
      <c r="AF40">
        <f>IF(AND('04 Wan'!D40&lt;Tmax, NOT('04 Wan'!$H40="")),'04 Wan'!$H40,4)</f>
        <v>3</v>
      </c>
      <c r="AG40">
        <f>IF(AND('04 Wan'!E40&lt;Tmax, NOT('04 Wan'!$H40="")),'04 Wan'!$H40,4)</f>
        <v>3</v>
      </c>
      <c r="AH40">
        <f>IF(AND('04 Wan'!F40&lt;Tmax, NOT('04 Wan'!$H40="")),'04 Wan'!$H40,4)</f>
        <v>3</v>
      </c>
      <c r="AI40"/>
    </row>
    <row r="41" spans="1:35" outlineLevel="2" x14ac:dyDescent="0.2">
      <c r="A41" s="636" t="s">
        <v>2252</v>
      </c>
      <c r="B41" s="636" t="s">
        <v>4641</v>
      </c>
      <c r="C41" s="887"/>
      <c r="D41" s="887"/>
      <c r="E41" s="887"/>
      <c r="F41" s="887"/>
      <c r="G41" s="1445">
        <v>2</v>
      </c>
      <c r="H41" s="1445">
        <v>3</v>
      </c>
      <c r="I41" s="1445"/>
      <c r="J41" s="1445" t="s">
        <v>2109</v>
      </c>
      <c r="K41" s="1459"/>
      <c r="L41" s="1459"/>
      <c r="M41" s="887"/>
      <c r="AA41">
        <f>IF(AND('04 Wan'!C41&gt;Tmin, NOT('04 Wan'!$I41="")),'04 Wan'!$I41,0)</f>
        <v>0</v>
      </c>
      <c r="AB41">
        <f>IF(AND('04 Wan'!D41&gt;Tmin, NOT('04 Wan'!$I41="")),'04 Wan'!$I41,0)</f>
        <v>0</v>
      </c>
      <c r="AC41">
        <f>IF(AND('04 Wan'!E41&gt;Tmin, NOT('04 Wan'!$I41="")),'04 Wan'!$I41,0)</f>
        <v>0</v>
      </c>
      <c r="AD41">
        <f>IF(AND('04 Wan'!F41&gt;Tmin, NOT('04 Wan'!$I41="")),'04 Wan'!$I41,0)</f>
        <v>0</v>
      </c>
      <c r="AE41">
        <f>IF(AND('04 Wan'!C41&lt;Tmax, NOT('04 Wan'!$H41="")),'04 Wan'!$H41,4)</f>
        <v>3</v>
      </c>
      <c r="AF41">
        <f>IF(AND('04 Wan'!D41&lt;Tmax, NOT('04 Wan'!$H41="")),'04 Wan'!$H41,4)</f>
        <v>3</v>
      </c>
      <c r="AG41">
        <f>IF(AND('04 Wan'!E41&lt;Tmax, NOT('04 Wan'!$H41="")),'04 Wan'!$H41,4)</f>
        <v>3</v>
      </c>
      <c r="AH41">
        <f>IF(AND('04 Wan'!F41&lt;Tmax, NOT('04 Wan'!$H41="")),'04 Wan'!$H41,4)</f>
        <v>3</v>
      </c>
      <c r="AI41"/>
    </row>
    <row r="42" spans="1:35" outlineLevel="1" x14ac:dyDescent="0.2">
      <c r="A42" s="633" t="s">
        <v>95</v>
      </c>
      <c r="B42" s="634" t="s">
        <v>5027</v>
      </c>
      <c r="C42" s="887"/>
      <c r="D42" s="887"/>
      <c r="E42" s="887"/>
      <c r="F42" s="887"/>
      <c r="G42" s="1445"/>
      <c r="H42" s="1445"/>
      <c r="I42" s="1445"/>
      <c r="J42" s="1445"/>
      <c r="K42" s="1459"/>
      <c r="L42" s="1459"/>
      <c r="M42" s="887"/>
      <c r="AA42"/>
      <c r="AB42"/>
      <c r="AC42"/>
      <c r="AD42"/>
      <c r="AE42"/>
      <c r="AF42"/>
      <c r="AG42"/>
      <c r="AH42"/>
      <c r="AI42"/>
    </row>
    <row r="43" spans="1:35" ht="22.5" outlineLevel="2" x14ac:dyDescent="0.2">
      <c r="A43" s="636" t="s">
        <v>1710</v>
      </c>
      <c r="B43" s="636" t="s">
        <v>3029</v>
      </c>
      <c r="C43" s="887"/>
      <c r="D43" s="887"/>
      <c r="E43" s="887"/>
      <c r="F43" s="887"/>
      <c r="G43" s="1445">
        <v>4</v>
      </c>
      <c r="H43" s="1445"/>
      <c r="I43" s="1445">
        <v>2</v>
      </c>
      <c r="J43" s="1445" t="s">
        <v>4246</v>
      </c>
      <c r="K43" s="1459" t="s">
        <v>6903</v>
      </c>
      <c r="L43" s="1459" t="s">
        <v>5895</v>
      </c>
      <c r="M43" s="887"/>
      <c r="AA43">
        <f>IF(AND('04 Wan'!C43&gt;Tmin, NOT('04 Wan'!$I43="")),'04 Wan'!$I43,0)</f>
        <v>0</v>
      </c>
      <c r="AB43">
        <f>IF(AND('04 Wan'!D43&gt;Tmin, NOT('04 Wan'!$I43="")),'04 Wan'!$I43,0)</f>
        <v>0</v>
      </c>
      <c r="AC43">
        <f>IF(AND('04 Wan'!E43&gt;Tmin, NOT('04 Wan'!$I43="")),'04 Wan'!$I43,0)</f>
        <v>0</v>
      </c>
      <c r="AD43">
        <f>IF(AND('04 Wan'!F43&gt;Tmin, NOT('04 Wan'!$I43="")),'04 Wan'!$I43,0)</f>
        <v>0</v>
      </c>
      <c r="AE43">
        <f>IF(AND('04 Wan'!C43&lt;Tmax, NOT('04 Wan'!$H43="")),'04 Wan'!$H43,4)</f>
        <v>4</v>
      </c>
      <c r="AF43">
        <f>IF(AND('04 Wan'!D43&lt;Tmax, NOT('04 Wan'!$H43="")),'04 Wan'!$H43,4)</f>
        <v>4</v>
      </c>
      <c r="AG43">
        <f>IF(AND('04 Wan'!E43&lt;Tmax, NOT('04 Wan'!$H43="")),'04 Wan'!$H43,4)</f>
        <v>4</v>
      </c>
      <c r="AH43">
        <f>IF(AND('04 Wan'!F43&lt;Tmax, NOT('04 Wan'!$H43="")),'04 Wan'!$H43,4)</f>
        <v>4</v>
      </c>
      <c r="AI43"/>
    </row>
    <row r="44" spans="1:35" outlineLevel="2" x14ac:dyDescent="0.2">
      <c r="A44" s="636" t="s">
        <v>1287</v>
      </c>
      <c r="B44" s="636" t="s">
        <v>1749</v>
      </c>
      <c r="C44" s="887"/>
      <c r="D44" s="887"/>
      <c r="E44" s="887"/>
      <c r="F44" s="887"/>
      <c r="G44" s="1445">
        <v>4</v>
      </c>
      <c r="H44" s="1445"/>
      <c r="I44" s="1445">
        <v>2</v>
      </c>
      <c r="J44" s="1445" t="s">
        <v>1592</v>
      </c>
      <c r="K44" s="1459" t="s">
        <v>6903</v>
      </c>
      <c r="L44" s="1459" t="s">
        <v>5895</v>
      </c>
      <c r="M44" s="887"/>
      <c r="AA44">
        <f>IF(AND('04 Wan'!C44&gt;Tmin, NOT('04 Wan'!$I44="")),'04 Wan'!$I44,0)</f>
        <v>0</v>
      </c>
      <c r="AB44">
        <f>IF(AND('04 Wan'!D44&gt;Tmin, NOT('04 Wan'!$I44="")),'04 Wan'!$I44,0)</f>
        <v>0</v>
      </c>
      <c r="AC44">
        <f>IF(AND('04 Wan'!E44&gt;Tmin, NOT('04 Wan'!$I44="")),'04 Wan'!$I44,0)</f>
        <v>0</v>
      </c>
      <c r="AD44">
        <f>IF(AND('04 Wan'!F44&gt;Tmin, NOT('04 Wan'!$I44="")),'04 Wan'!$I44,0)</f>
        <v>0</v>
      </c>
      <c r="AE44">
        <f>IF(AND('04 Wan'!C44&lt;Tmax, NOT('04 Wan'!$H44="")),'04 Wan'!$H44,4)</f>
        <v>4</v>
      </c>
      <c r="AF44">
        <f>IF(AND('04 Wan'!D44&lt;Tmax, NOT('04 Wan'!$H44="")),'04 Wan'!$H44,4)</f>
        <v>4</v>
      </c>
      <c r="AG44">
        <f>IF(AND('04 Wan'!E44&lt;Tmax, NOT('04 Wan'!$H44="")),'04 Wan'!$H44,4)</f>
        <v>4</v>
      </c>
      <c r="AH44">
        <f>IF(AND('04 Wan'!F44&lt;Tmax, NOT('04 Wan'!$H44="")),'04 Wan'!$H44,4)</f>
        <v>4</v>
      </c>
      <c r="AI44"/>
    </row>
    <row r="45" spans="1:35" ht="33.75" outlineLevel="2" x14ac:dyDescent="0.2">
      <c r="A45" s="636" t="s">
        <v>2282</v>
      </c>
      <c r="B45" s="636" t="s">
        <v>2892</v>
      </c>
      <c r="C45" s="887"/>
      <c r="D45" s="887"/>
      <c r="E45" s="887"/>
      <c r="F45" s="887"/>
      <c r="G45" s="1445">
        <v>4</v>
      </c>
      <c r="H45" s="1445"/>
      <c r="I45" s="1445"/>
      <c r="J45" s="1445" t="s">
        <v>4246</v>
      </c>
      <c r="K45" s="1459" t="s">
        <v>6903</v>
      </c>
      <c r="L45" s="1459" t="s">
        <v>5895</v>
      </c>
      <c r="M45" s="887"/>
      <c r="AA45">
        <f>IF(AND('04 Wan'!C45&gt;Tmin, NOT('04 Wan'!$I45="")),'04 Wan'!$I45,0)</f>
        <v>0</v>
      </c>
      <c r="AB45">
        <f>IF(AND('04 Wan'!D45&gt;Tmin, NOT('04 Wan'!$I45="")),'04 Wan'!$I45,0)</f>
        <v>0</v>
      </c>
      <c r="AC45">
        <f>IF(AND('04 Wan'!E45&gt;Tmin, NOT('04 Wan'!$I45="")),'04 Wan'!$I45,0)</f>
        <v>0</v>
      </c>
      <c r="AD45">
        <f>IF(AND('04 Wan'!F45&gt;Tmin, NOT('04 Wan'!$I45="")),'04 Wan'!$I45,0)</f>
        <v>0</v>
      </c>
      <c r="AE45">
        <f>IF(AND('04 Wan'!C45&lt;Tmax, NOT('04 Wan'!$H45="")),'04 Wan'!$H45,4)</f>
        <v>4</v>
      </c>
      <c r="AF45">
        <f>IF(AND('04 Wan'!D45&lt;Tmax, NOT('04 Wan'!$H45="")),'04 Wan'!$H45,4)</f>
        <v>4</v>
      </c>
      <c r="AG45">
        <f>IF(AND('04 Wan'!E45&lt;Tmax, NOT('04 Wan'!$H45="")),'04 Wan'!$H45,4)</f>
        <v>4</v>
      </c>
      <c r="AH45">
        <f>IF(AND('04 Wan'!F45&lt;Tmax, NOT('04 Wan'!$H45="")),'04 Wan'!$H45,4)</f>
        <v>4</v>
      </c>
      <c r="AI45"/>
    </row>
    <row r="46" spans="1:35" outlineLevel="2" x14ac:dyDescent="0.2">
      <c r="A46" s="636" t="s">
        <v>5591</v>
      </c>
      <c r="B46" s="636" t="s">
        <v>3030</v>
      </c>
      <c r="C46" s="887"/>
      <c r="D46" s="887"/>
      <c r="E46" s="887"/>
      <c r="F46" s="887"/>
      <c r="G46" s="1445">
        <v>4</v>
      </c>
      <c r="H46" s="1445">
        <v>2</v>
      </c>
      <c r="I46" s="1445"/>
      <c r="J46" s="1445" t="s">
        <v>2109</v>
      </c>
      <c r="K46" s="1459" t="s">
        <v>6903</v>
      </c>
      <c r="L46" s="1459" t="s">
        <v>7314</v>
      </c>
      <c r="M46" s="887"/>
      <c r="AA46">
        <f>IF(AND('04 Wan'!C46&gt;Tmin, NOT('04 Wan'!$I46="")),'04 Wan'!$I46,0)</f>
        <v>0</v>
      </c>
      <c r="AB46">
        <f>IF(AND('04 Wan'!D46&gt;Tmin, NOT('04 Wan'!$I46="")),'04 Wan'!$I46,0)</f>
        <v>0</v>
      </c>
      <c r="AC46">
        <f>IF(AND('04 Wan'!E46&gt;Tmin, NOT('04 Wan'!$I46="")),'04 Wan'!$I46,0)</f>
        <v>0</v>
      </c>
      <c r="AD46">
        <f>IF(AND('04 Wan'!F46&gt;Tmin, NOT('04 Wan'!$I46="")),'04 Wan'!$I46,0)</f>
        <v>0</v>
      </c>
      <c r="AE46">
        <f>IF(AND('04 Wan'!C46&lt;Tmax, NOT('04 Wan'!$H46="")),'04 Wan'!$H46,4)</f>
        <v>2</v>
      </c>
      <c r="AF46">
        <f>IF(AND('04 Wan'!D46&lt;Tmax, NOT('04 Wan'!$H46="")),'04 Wan'!$H46,4)</f>
        <v>2</v>
      </c>
      <c r="AG46">
        <f>IF(AND('04 Wan'!E46&lt;Tmax, NOT('04 Wan'!$H46="")),'04 Wan'!$H46,4)</f>
        <v>2</v>
      </c>
      <c r="AH46">
        <f>IF(AND('04 Wan'!F46&lt;Tmax, NOT('04 Wan'!$H46="")),'04 Wan'!$H46,4)</f>
        <v>2</v>
      </c>
      <c r="AI46"/>
    </row>
    <row r="47" spans="1:35" ht="22.5" outlineLevel="2" x14ac:dyDescent="0.2">
      <c r="A47" s="636" t="s">
        <v>5592</v>
      </c>
      <c r="B47" s="636" t="s">
        <v>4810</v>
      </c>
      <c r="C47" s="887"/>
      <c r="D47" s="887"/>
      <c r="E47" s="887"/>
      <c r="F47" s="887"/>
      <c r="G47" s="1445">
        <v>4</v>
      </c>
      <c r="H47" s="1445">
        <v>2</v>
      </c>
      <c r="I47" s="1445"/>
      <c r="J47" s="1445" t="s">
        <v>1592</v>
      </c>
      <c r="K47" s="1459" t="s">
        <v>6903</v>
      </c>
      <c r="L47" s="1459" t="s">
        <v>7314</v>
      </c>
      <c r="M47" s="887"/>
      <c r="AA47">
        <f>IF(AND('04 Wan'!C47&gt;Tmin, NOT('04 Wan'!$I47="")),'04 Wan'!$I47,0)</f>
        <v>0</v>
      </c>
      <c r="AB47">
        <f>IF(AND('04 Wan'!D47&gt;Tmin, NOT('04 Wan'!$I47="")),'04 Wan'!$I47,0)</f>
        <v>0</v>
      </c>
      <c r="AC47">
        <f>IF(AND('04 Wan'!E47&gt;Tmin, NOT('04 Wan'!$I47="")),'04 Wan'!$I47,0)</f>
        <v>0</v>
      </c>
      <c r="AD47">
        <f>IF(AND('04 Wan'!F47&gt;Tmin, NOT('04 Wan'!$I47="")),'04 Wan'!$I47,0)</f>
        <v>0</v>
      </c>
      <c r="AE47">
        <f>IF(AND('04 Wan'!C47&lt;Tmax, NOT('04 Wan'!$H47="")),'04 Wan'!$H47,4)</f>
        <v>2</v>
      </c>
      <c r="AF47">
        <f>IF(AND('04 Wan'!D47&lt;Tmax, NOT('04 Wan'!$H47="")),'04 Wan'!$H47,4)</f>
        <v>2</v>
      </c>
      <c r="AG47">
        <f>IF(AND('04 Wan'!E47&lt;Tmax, NOT('04 Wan'!$H47="")),'04 Wan'!$H47,4)</f>
        <v>2</v>
      </c>
      <c r="AH47">
        <f>IF(AND('04 Wan'!F47&lt;Tmax, NOT('04 Wan'!$H47="")),'04 Wan'!$H47,4)</f>
        <v>2</v>
      </c>
      <c r="AI47"/>
    </row>
    <row r="48" spans="1:35" ht="33.75" outlineLevel="2" x14ac:dyDescent="0.2">
      <c r="A48" s="636" t="s">
        <v>5669</v>
      </c>
      <c r="B48" s="636" t="s">
        <v>2894</v>
      </c>
      <c r="C48" s="887"/>
      <c r="D48" s="887"/>
      <c r="E48" s="887"/>
      <c r="F48" s="887"/>
      <c r="G48" s="1445">
        <v>4</v>
      </c>
      <c r="H48" s="1445">
        <v>2</v>
      </c>
      <c r="I48" s="1445"/>
      <c r="J48" s="1445" t="s">
        <v>1592</v>
      </c>
      <c r="K48" s="1459"/>
      <c r="L48" s="1459"/>
      <c r="M48" s="887"/>
      <c r="AA48">
        <f>IF(AND('04 Wan'!C48&gt;Tmin, NOT('04 Wan'!$I48="")),'04 Wan'!$I48,0)</f>
        <v>0</v>
      </c>
      <c r="AB48">
        <f>IF(AND('04 Wan'!D48&gt;Tmin, NOT('04 Wan'!$I48="")),'04 Wan'!$I48,0)</f>
        <v>0</v>
      </c>
      <c r="AC48">
        <f>IF(AND('04 Wan'!E48&gt;Tmin, NOT('04 Wan'!$I48="")),'04 Wan'!$I48,0)</f>
        <v>0</v>
      </c>
      <c r="AD48">
        <f>IF(AND('04 Wan'!F48&gt;Tmin, NOT('04 Wan'!$I48="")),'04 Wan'!$I48,0)</f>
        <v>0</v>
      </c>
      <c r="AE48">
        <f>IF(AND('04 Wan'!C48&lt;Tmax, NOT('04 Wan'!$H48="")),'04 Wan'!$H48,4)</f>
        <v>2</v>
      </c>
      <c r="AF48">
        <f>IF(AND('04 Wan'!D48&lt;Tmax, NOT('04 Wan'!$H48="")),'04 Wan'!$H48,4)</f>
        <v>2</v>
      </c>
      <c r="AG48">
        <f>IF(AND('04 Wan'!E48&lt;Tmax, NOT('04 Wan'!$H48="")),'04 Wan'!$H48,4)</f>
        <v>2</v>
      </c>
      <c r="AH48">
        <f>IF(AND('04 Wan'!F48&lt;Tmax, NOT('04 Wan'!$H48="")),'04 Wan'!$H48,4)</f>
        <v>2</v>
      </c>
      <c r="AI48"/>
    </row>
    <row r="49" spans="1:35" outlineLevel="2" x14ac:dyDescent="0.2">
      <c r="A49" s="636" t="s">
        <v>5670</v>
      </c>
      <c r="B49" s="636" t="s">
        <v>3140</v>
      </c>
      <c r="C49" s="887"/>
      <c r="D49" s="887"/>
      <c r="E49" s="887"/>
      <c r="F49" s="887"/>
      <c r="G49" s="1445">
        <v>2</v>
      </c>
      <c r="H49" s="1445">
        <v>2</v>
      </c>
      <c r="I49" s="1445"/>
      <c r="J49" s="1445" t="s">
        <v>2329</v>
      </c>
      <c r="K49" s="1459"/>
      <c r="L49" s="1459"/>
      <c r="M49" s="887"/>
      <c r="AA49">
        <f>IF(AND('04 Wan'!C49&gt;Tmin, NOT('04 Wan'!$I49="")),'04 Wan'!$I49,0)</f>
        <v>0</v>
      </c>
      <c r="AB49">
        <f>IF(AND('04 Wan'!D49&gt;Tmin, NOT('04 Wan'!$I49="")),'04 Wan'!$I49,0)</f>
        <v>0</v>
      </c>
      <c r="AC49">
        <f>IF(AND('04 Wan'!E49&gt;Tmin, NOT('04 Wan'!$I49="")),'04 Wan'!$I49,0)</f>
        <v>0</v>
      </c>
      <c r="AD49">
        <f>IF(AND('04 Wan'!F49&gt;Tmin, NOT('04 Wan'!$I49="")),'04 Wan'!$I49,0)</f>
        <v>0</v>
      </c>
      <c r="AE49">
        <f>IF(AND('04 Wan'!C49&lt;Tmax, NOT('04 Wan'!$H49="")),'04 Wan'!$H49,4)</f>
        <v>2</v>
      </c>
      <c r="AF49">
        <f>IF(AND('04 Wan'!D49&lt;Tmax, NOT('04 Wan'!$H49="")),'04 Wan'!$H49,4)</f>
        <v>2</v>
      </c>
      <c r="AG49">
        <f>IF(AND('04 Wan'!E49&lt;Tmax, NOT('04 Wan'!$H49="")),'04 Wan'!$H49,4)</f>
        <v>2</v>
      </c>
      <c r="AH49">
        <f>IF(AND('04 Wan'!F49&lt;Tmax, NOT('04 Wan'!$H49="")),'04 Wan'!$H49,4)</f>
        <v>2</v>
      </c>
      <c r="AI49"/>
    </row>
    <row r="50" spans="1:35" ht="22.5" outlineLevel="2" x14ac:dyDescent="0.2">
      <c r="A50" s="636" t="s">
        <v>4640</v>
      </c>
      <c r="B50" s="636" t="s">
        <v>3141</v>
      </c>
      <c r="C50" s="887"/>
      <c r="D50" s="887"/>
      <c r="E50" s="887"/>
      <c r="F50" s="887"/>
      <c r="G50" s="1445">
        <v>2</v>
      </c>
      <c r="H50" s="1445"/>
      <c r="I50" s="1445">
        <v>3</v>
      </c>
      <c r="J50" s="1445" t="s">
        <v>2349</v>
      </c>
      <c r="K50" s="1459"/>
      <c r="L50" s="1459"/>
      <c r="M50" s="887"/>
      <c r="AA50">
        <f>IF(AND('04 Wan'!C50&gt;Tmin, NOT('04 Wan'!$I50="")),'04 Wan'!$I50,0)</f>
        <v>0</v>
      </c>
      <c r="AB50">
        <f>IF(AND('04 Wan'!D50&gt;Tmin, NOT('04 Wan'!$I50="")),'04 Wan'!$I50,0)</f>
        <v>0</v>
      </c>
      <c r="AC50">
        <f>IF(AND('04 Wan'!E50&gt;Tmin, NOT('04 Wan'!$I50="")),'04 Wan'!$I50,0)</f>
        <v>0</v>
      </c>
      <c r="AD50">
        <f>IF(AND('04 Wan'!F50&gt;Tmin, NOT('04 Wan'!$I50="")),'04 Wan'!$I50,0)</f>
        <v>0</v>
      </c>
      <c r="AE50">
        <f>IF(AND('04 Wan'!C50&lt;Tmax, NOT('04 Wan'!$H50="")),'04 Wan'!$H50,4)</f>
        <v>4</v>
      </c>
      <c r="AF50">
        <f>IF(AND('04 Wan'!D50&lt;Tmax, NOT('04 Wan'!$H50="")),'04 Wan'!$H50,4)</f>
        <v>4</v>
      </c>
      <c r="AG50">
        <f>IF(AND('04 Wan'!E50&lt;Tmax, NOT('04 Wan'!$H50="")),'04 Wan'!$H50,4)</f>
        <v>4</v>
      </c>
      <c r="AH50">
        <f>IF(AND('04 Wan'!F50&lt;Tmax, NOT('04 Wan'!$H50="")),'04 Wan'!$H50,4)</f>
        <v>4</v>
      </c>
      <c r="AI50"/>
    </row>
    <row r="51" spans="1:35" ht="22.5" outlineLevel="2" x14ac:dyDescent="0.2">
      <c r="A51" s="636" t="s">
        <v>2253</v>
      </c>
      <c r="B51" s="636" t="s">
        <v>123</v>
      </c>
      <c r="C51" s="887"/>
      <c r="D51" s="887"/>
      <c r="E51" s="887"/>
      <c r="F51" s="887"/>
      <c r="G51" s="1445">
        <v>2</v>
      </c>
      <c r="H51" s="1445"/>
      <c r="I51" s="1445"/>
      <c r="J51" s="1445" t="s">
        <v>2329</v>
      </c>
      <c r="K51" s="1459"/>
      <c r="L51" s="1459"/>
      <c r="M51" s="887"/>
      <c r="AA51">
        <f>IF(AND('04 Wan'!C51&gt;Tmin, NOT('04 Wan'!$I51="")),'04 Wan'!$I51,0)</f>
        <v>0</v>
      </c>
      <c r="AB51">
        <f>IF(AND('04 Wan'!D51&gt;Tmin, NOT('04 Wan'!$I51="")),'04 Wan'!$I51,0)</f>
        <v>0</v>
      </c>
      <c r="AC51">
        <f>IF(AND('04 Wan'!E51&gt;Tmin, NOT('04 Wan'!$I51="")),'04 Wan'!$I51,0)</f>
        <v>0</v>
      </c>
      <c r="AD51">
        <f>IF(AND('04 Wan'!F51&gt;Tmin, NOT('04 Wan'!$I51="")),'04 Wan'!$I51,0)</f>
        <v>0</v>
      </c>
      <c r="AE51">
        <f>IF(AND('04 Wan'!C51&lt;Tmax, NOT('04 Wan'!$H51="")),'04 Wan'!$H51,4)</f>
        <v>4</v>
      </c>
      <c r="AF51">
        <f>IF(AND('04 Wan'!D51&lt;Tmax, NOT('04 Wan'!$H51="")),'04 Wan'!$H51,4)</f>
        <v>4</v>
      </c>
      <c r="AG51">
        <f>IF(AND('04 Wan'!E51&lt;Tmax, NOT('04 Wan'!$H51="")),'04 Wan'!$H51,4)</f>
        <v>4</v>
      </c>
      <c r="AH51">
        <f>IF(AND('04 Wan'!F51&lt;Tmax, NOT('04 Wan'!$H51="")),'04 Wan'!$H51,4)</f>
        <v>4</v>
      </c>
      <c r="AI51"/>
    </row>
    <row r="52" spans="1:35" outlineLevel="2" x14ac:dyDescent="0.2">
      <c r="A52" s="636" t="s">
        <v>2254</v>
      </c>
      <c r="B52" s="636" t="s">
        <v>124</v>
      </c>
      <c r="C52" s="887"/>
      <c r="D52" s="887"/>
      <c r="E52" s="887"/>
      <c r="F52" s="887"/>
      <c r="G52" s="1445">
        <v>2</v>
      </c>
      <c r="H52" s="1445">
        <v>3</v>
      </c>
      <c r="I52" s="1445"/>
      <c r="J52" s="1445" t="s">
        <v>2109</v>
      </c>
      <c r="K52" s="1459"/>
      <c r="L52" s="1459"/>
      <c r="M52" s="887"/>
      <c r="AA52">
        <f>IF(AND('04 Wan'!C52&gt;Tmin, NOT('04 Wan'!$I52="")),'04 Wan'!$I52,0)</f>
        <v>0</v>
      </c>
      <c r="AB52">
        <f>IF(AND('04 Wan'!D52&gt;Tmin, NOT('04 Wan'!$I52="")),'04 Wan'!$I52,0)</f>
        <v>0</v>
      </c>
      <c r="AC52">
        <f>IF(AND('04 Wan'!E52&gt;Tmin, NOT('04 Wan'!$I52="")),'04 Wan'!$I52,0)</f>
        <v>0</v>
      </c>
      <c r="AD52">
        <f>IF(AND('04 Wan'!F52&gt;Tmin, NOT('04 Wan'!$I52="")),'04 Wan'!$I52,0)</f>
        <v>0</v>
      </c>
      <c r="AE52">
        <f>IF(AND('04 Wan'!C52&lt;Tmax, NOT('04 Wan'!$H52="")),'04 Wan'!$H52,4)</f>
        <v>3</v>
      </c>
      <c r="AF52">
        <f>IF(AND('04 Wan'!D52&lt;Tmax, NOT('04 Wan'!$H52="")),'04 Wan'!$H52,4)</f>
        <v>3</v>
      </c>
      <c r="AG52">
        <f>IF(AND('04 Wan'!E52&lt;Tmax, NOT('04 Wan'!$H52="")),'04 Wan'!$H52,4)</f>
        <v>3</v>
      </c>
      <c r="AH52">
        <f>IF(AND('04 Wan'!F52&lt;Tmax, NOT('04 Wan'!$H52="")),'04 Wan'!$H52,4)</f>
        <v>3</v>
      </c>
      <c r="AI52"/>
    </row>
    <row r="53" spans="1:35" outlineLevel="1" x14ac:dyDescent="0.2">
      <c r="A53" s="633" t="s">
        <v>97</v>
      </c>
      <c r="B53" s="634" t="s">
        <v>5028</v>
      </c>
      <c r="C53" s="887"/>
      <c r="D53" s="887"/>
      <c r="E53" s="887"/>
      <c r="F53" s="887"/>
      <c r="G53" s="1445"/>
      <c r="H53" s="1445"/>
      <c r="I53" s="1445"/>
      <c r="J53" s="1445"/>
      <c r="K53" s="1459"/>
      <c r="L53" s="1459"/>
      <c r="M53" s="887"/>
      <c r="AA53"/>
      <c r="AB53"/>
      <c r="AC53"/>
      <c r="AD53"/>
      <c r="AE53"/>
      <c r="AF53"/>
      <c r="AG53"/>
      <c r="AH53"/>
      <c r="AI53"/>
    </row>
    <row r="54" spans="1:35" ht="22.5" outlineLevel="2" x14ac:dyDescent="0.2">
      <c r="A54" s="636" t="s">
        <v>4405</v>
      </c>
      <c r="B54" s="636" t="s">
        <v>4852</v>
      </c>
      <c r="C54" s="887"/>
      <c r="D54" s="887"/>
      <c r="E54" s="887"/>
      <c r="F54" s="887"/>
      <c r="G54" s="1445">
        <v>2</v>
      </c>
      <c r="H54" s="1445"/>
      <c r="I54" s="1445"/>
      <c r="J54" s="1445" t="s">
        <v>1592</v>
      </c>
      <c r="K54" s="1453" t="s">
        <v>7105</v>
      </c>
      <c r="L54" s="1459"/>
      <c r="M54" s="887"/>
      <c r="AA54">
        <f>IF(AND('04 Wan'!C54&gt;Tmin, NOT('04 Wan'!$I54="")),'04 Wan'!$I54,0)</f>
        <v>0</v>
      </c>
      <c r="AB54">
        <f>IF(AND('04 Wan'!D54&gt;Tmin, NOT('04 Wan'!$I54="")),'04 Wan'!$I54,0)</f>
        <v>0</v>
      </c>
      <c r="AC54">
        <f>IF(AND('04 Wan'!E54&gt;Tmin, NOT('04 Wan'!$I54="")),'04 Wan'!$I54,0)</f>
        <v>0</v>
      </c>
      <c r="AD54">
        <f>IF(AND('04 Wan'!F54&gt;Tmin, NOT('04 Wan'!$I54="")),'04 Wan'!$I54,0)</f>
        <v>0</v>
      </c>
      <c r="AE54">
        <f>IF(AND('04 Wan'!C54&lt;Tmax, NOT('04 Wan'!$H54="")),'04 Wan'!$H54,4)</f>
        <v>4</v>
      </c>
      <c r="AF54">
        <f>IF(AND('04 Wan'!D54&lt;Tmax, NOT('04 Wan'!$H54="")),'04 Wan'!$H54,4)</f>
        <v>4</v>
      </c>
      <c r="AG54">
        <f>IF(AND('04 Wan'!E54&lt;Tmax, NOT('04 Wan'!$H54="")),'04 Wan'!$H54,4)</f>
        <v>4</v>
      </c>
      <c r="AH54">
        <f>IF(AND('04 Wan'!F54&lt;Tmax, NOT('04 Wan'!$H54="")),'04 Wan'!$H54,4)</f>
        <v>4</v>
      </c>
      <c r="AI54"/>
    </row>
    <row r="55" spans="1:35" ht="36.75" customHeight="1" outlineLevel="2" x14ac:dyDescent="0.2">
      <c r="A55" s="636" t="s">
        <v>4406</v>
      </c>
      <c r="B55" s="636" t="s">
        <v>6608</v>
      </c>
      <c r="C55" s="887"/>
      <c r="D55" s="887"/>
      <c r="E55" s="887"/>
      <c r="F55" s="887"/>
      <c r="G55" s="1445">
        <v>2</v>
      </c>
      <c r="H55" s="1445"/>
      <c r="I55" s="1445"/>
      <c r="J55" s="1445" t="s">
        <v>1592</v>
      </c>
      <c r="K55" s="1453" t="s">
        <v>7105</v>
      </c>
      <c r="L55" s="1459"/>
      <c r="M55" s="887"/>
      <c r="AA55">
        <f>IF(AND('04 Wan'!C55&gt;Tmin, NOT('04 Wan'!$I55="")),'04 Wan'!$I55,0)</f>
        <v>0</v>
      </c>
      <c r="AB55">
        <f>IF(AND('04 Wan'!D55&gt;Tmin, NOT('04 Wan'!$I55="")),'04 Wan'!$I55,0)</f>
        <v>0</v>
      </c>
      <c r="AC55">
        <f>IF(AND('04 Wan'!E55&gt;Tmin, NOT('04 Wan'!$I55="")),'04 Wan'!$I55,0)</f>
        <v>0</v>
      </c>
      <c r="AD55">
        <f>IF(AND('04 Wan'!F55&gt;Tmin, NOT('04 Wan'!$I55="")),'04 Wan'!$I55,0)</f>
        <v>0</v>
      </c>
      <c r="AE55">
        <f>IF(AND('04 Wan'!C55&lt;Tmax, NOT('04 Wan'!$H55="")),'04 Wan'!$H55,4)</f>
        <v>4</v>
      </c>
      <c r="AF55">
        <f>IF(AND('04 Wan'!D55&lt;Tmax, NOT('04 Wan'!$H55="")),'04 Wan'!$H55,4)</f>
        <v>4</v>
      </c>
      <c r="AG55">
        <f>IF(AND('04 Wan'!E55&lt;Tmax, NOT('04 Wan'!$H55="")),'04 Wan'!$H55,4)</f>
        <v>4</v>
      </c>
      <c r="AH55">
        <f>IF(AND('04 Wan'!F55&lt;Tmax, NOT('04 Wan'!$H55="")),'04 Wan'!$H55,4)</f>
        <v>4</v>
      </c>
      <c r="AI55"/>
    </row>
    <row r="56" spans="1:35" ht="22.5" outlineLevel="2" x14ac:dyDescent="0.2">
      <c r="A56" s="636" t="s">
        <v>4407</v>
      </c>
      <c r="B56" s="636" t="s">
        <v>6609</v>
      </c>
      <c r="C56" s="887"/>
      <c r="D56" s="887"/>
      <c r="E56" s="887"/>
      <c r="F56" s="887"/>
      <c r="G56" s="1445">
        <v>2</v>
      </c>
      <c r="H56" s="1445">
        <v>2</v>
      </c>
      <c r="I56" s="1445"/>
      <c r="J56" s="1445" t="s">
        <v>2329</v>
      </c>
      <c r="K56" s="1453" t="s">
        <v>6903</v>
      </c>
      <c r="L56" s="1459"/>
      <c r="M56" s="887"/>
      <c r="AA56">
        <f>IF(AND('04 Wan'!C56&gt;Tmin, NOT('04 Wan'!$I56="")),'04 Wan'!$I56,0)</f>
        <v>0</v>
      </c>
      <c r="AB56">
        <f>IF(AND('04 Wan'!D56&gt;Tmin, NOT('04 Wan'!$I56="")),'04 Wan'!$I56,0)</f>
        <v>0</v>
      </c>
      <c r="AC56">
        <f>IF(AND('04 Wan'!E56&gt;Tmin, NOT('04 Wan'!$I56="")),'04 Wan'!$I56,0)</f>
        <v>0</v>
      </c>
      <c r="AD56">
        <f>IF(AND('04 Wan'!F56&gt;Tmin, NOT('04 Wan'!$I56="")),'04 Wan'!$I56,0)</f>
        <v>0</v>
      </c>
      <c r="AE56">
        <f>IF(AND('04 Wan'!C56&lt;Tmax, NOT('04 Wan'!$H56="")),'04 Wan'!$H56,4)</f>
        <v>2</v>
      </c>
      <c r="AF56">
        <f>IF(AND('04 Wan'!D56&lt;Tmax, NOT('04 Wan'!$H56="")),'04 Wan'!$H56,4)</f>
        <v>2</v>
      </c>
      <c r="AG56">
        <f>IF(AND('04 Wan'!E56&lt;Tmax, NOT('04 Wan'!$H56="")),'04 Wan'!$H56,4)</f>
        <v>2</v>
      </c>
      <c r="AH56">
        <f>IF(AND('04 Wan'!F56&lt;Tmax, NOT('04 Wan'!$H56="")),'04 Wan'!$H56,4)</f>
        <v>2</v>
      </c>
      <c r="AI56"/>
    </row>
    <row r="57" spans="1:35" outlineLevel="2" x14ac:dyDescent="0.2">
      <c r="A57" s="636" t="s">
        <v>5262</v>
      </c>
      <c r="B57" s="636" t="s">
        <v>6610</v>
      </c>
      <c r="C57" s="887"/>
      <c r="D57" s="887"/>
      <c r="E57" s="887"/>
      <c r="F57" s="887"/>
      <c r="G57" s="1445">
        <v>2</v>
      </c>
      <c r="H57" s="1445">
        <v>3</v>
      </c>
      <c r="I57" s="1445"/>
      <c r="J57" s="1445" t="s">
        <v>2329</v>
      </c>
      <c r="K57" s="1453" t="s">
        <v>6903</v>
      </c>
      <c r="L57" s="1459"/>
      <c r="M57" s="887"/>
      <c r="AA57">
        <f>IF(AND('04 Wan'!C57&gt;Tmin, NOT('04 Wan'!$I57="")),'04 Wan'!$I57,0)</f>
        <v>0</v>
      </c>
      <c r="AB57">
        <f>IF(AND('04 Wan'!D57&gt;Tmin, NOT('04 Wan'!$I57="")),'04 Wan'!$I57,0)</f>
        <v>0</v>
      </c>
      <c r="AC57">
        <f>IF(AND('04 Wan'!E57&gt;Tmin, NOT('04 Wan'!$I57="")),'04 Wan'!$I57,0)</f>
        <v>0</v>
      </c>
      <c r="AD57">
        <f>IF(AND('04 Wan'!F57&gt;Tmin, NOT('04 Wan'!$I57="")),'04 Wan'!$I57,0)</f>
        <v>0</v>
      </c>
      <c r="AE57">
        <f>IF(AND('04 Wan'!C57&lt;Tmax, NOT('04 Wan'!$H57="")),'04 Wan'!$H57,4)</f>
        <v>3</v>
      </c>
      <c r="AF57">
        <f>IF(AND('04 Wan'!D57&lt;Tmax, NOT('04 Wan'!$H57="")),'04 Wan'!$H57,4)</f>
        <v>3</v>
      </c>
      <c r="AG57">
        <f>IF(AND('04 Wan'!E57&lt;Tmax, NOT('04 Wan'!$H57="")),'04 Wan'!$H57,4)</f>
        <v>3</v>
      </c>
      <c r="AH57">
        <f>IF(AND('04 Wan'!F57&lt;Tmax, NOT('04 Wan'!$H57="")),'04 Wan'!$H57,4)</f>
        <v>3</v>
      </c>
      <c r="AI57"/>
    </row>
    <row r="58" spans="1:35" ht="13.5" customHeight="1" outlineLevel="2" x14ac:dyDescent="0.2">
      <c r="A58" s="636" t="s">
        <v>1317</v>
      </c>
      <c r="B58" s="636" t="s">
        <v>5878</v>
      </c>
      <c r="C58" s="887"/>
      <c r="D58" s="887"/>
      <c r="E58" s="887"/>
      <c r="F58" s="887"/>
      <c r="G58" s="1445">
        <v>2</v>
      </c>
      <c r="H58" s="1445">
        <v>3</v>
      </c>
      <c r="I58" s="1445"/>
      <c r="J58" s="1445" t="s">
        <v>2109</v>
      </c>
      <c r="K58" s="1453" t="s">
        <v>6903</v>
      </c>
      <c r="L58" s="1459"/>
      <c r="M58" s="887"/>
      <c r="AA58">
        <f>IF(AND('04 Wan'!C58&gt;Tmin, NOT('04 Wan'!$I58="")),'04 Wan'!$I58,0)</f>
        <v>0</v>
      </c>
      <c r="AB58">
        <f>IF(AND('04 Wan'!D58&gt;Tmin, NOT('04 Wan'!$I58="")),'04 Wan'!$I58,0)</f>
        <v>0</v>
      </c>
      <c r="AC58">
        <f>IF(AND('04 Wan'!E58&gt;Tmin, NOT('04 Wan'!$I58="")),'04 Wan'!$I58,0)</f>
        <v>0</v>
      </c>
      <c r="AD58">
        <f>IF(AND('04 Wan'!F58&gt;Tmin, NOT('04 Wan'!$I58="")),'04 Wan'!$I58,0)</f>
        <v>0</v>
      </c>
      <c r="AE58">
        <f>IF(AND('04 Wan'!C58&lt;Tmax, NOT('04 Wan'!$H58="")),'04 Wan'!$H58,4)</f>
        <v>3</v>
      </c>
      <c r="AF58">
        <f>IF(AND('04 Wan'!D58&lt;Tmax, NOT('04 Wan'!$H58="")),'04 Wan'!$H58,4)</f>
        <v>3</v>
      </c>
      <c r="AG58">
        <f>IF(AND('04 Wan'!E58&lt;Tmax, NOT('04 Wan'!$H58="")),'04 Wan'!$H58,4)</f>
        <v>3</v>
      </c>
      <c r="AH58">
        <f>IF(AND('04 Wan'!F58&lt;Tmax, NOT('04 Wan'!$H58="")),'04 Wan'!$H58,4)</f>
        <v>3</v>
      </c>
      <c r="AI58"/>
    </row>
    <row r="59" spans="1:35" x14ac:dyDescent="0.2">
      <c r="A59" s="644" t="s">
        <v>2755</v>
      </c>
      <c r="B59" s="644" t="s">
        <v>2756</v>
      </c>
      <c r="C59" s="887"/>
      <c r="D59" s="887"/>
      <c r="E59" s="887"/>
      <c r="F59" s="887"/>
      <c r="G59" s="1445"/>
      <c r="H59" s="1445"/>
      <c r="I59" s="1445"/>
      <c r="J59" s="1445"/>
      <c r="K59" s="1459"/>
      <c r="L59" s="1459"/>
      <c r="M59" s="887"/>
      <c r="O59" s="888"/>
      <c r="AA59"/>
      <c r="AB59"/>
      <c r="AC59"/>
      <c r="AD59"/>
      <c r="AE59"/>
      <c r="AF59"/>
      <c r="AG59"/>
      <c r="AH59"/>
      <c r="AI59"/>
    </row>
    <row r="60" spans="1:35" outlineLevel="1" x14ac:dyDescent="0.2">
      <c r="A60" s="633" t="s">
        <v>5029</v>
      </c>
      <c r="B60" s="634" t="s">
        <v>5030</v>
      </c>
      <c r="C60" s="887"/>
      <c r="D60" s="887"/>
      <c r="E60" s="887"/>
      <c r="F60" s="887"/>
      <c r="G60" s="1445"/>
      <c r="H60" s="1445"/>
      <c r="I60" s="1445"/>
      <c r="J60" s="1445"/>
      <c r="K60" s="1459"/>
      <c r="L60" s="1459"/>
      <c r="M60" s="887"/>
      <c r="AA60"/>
      <c r="AB60"/>
      <c r="AC60"/>
      <c r="AD60"/>
      <c r="AE60"/>
      <c r="AF60"/>
      <c r="AG60"/>
      <c r="AH60"/>
      <c r="AI60"/>
    </row>
    <row r="61" spans="1:35" ht="15.75" customHeight="1" outlineLevel="2" x14ac:dyDescent="0.2">
      <c r="A61" s="636" t="s">
        <v>5879</v>
      </c>
      <c r="B61" s="636" t="s">
        <v>70</v>
      </c>
      <c r="C61" s="887"/>
      <c r="D61" s="887"/>
      <c r="E61" s="887"/>
      <c r="F61" s="887"/>
      <c r="G61" s="1445">
        <v>4</v>
      </c>
      <c r="H61" s="1445"/>
      <c r="I61" s="1445"/>
      <c r="J61" s="1445" t="s">
        <v>4246</v>
      </c>
      <c r="K61" s="1459"/>
      <c r="L61" s="1459"/>
      <c r="M61" s="887"/>
      <c r="AA61">
        <f>IF(AND('04 Wan'!C61&gt;Tmin, NOT('04 Wan'!$I61="")),'04 Wan'!$I61,0)</f>
        <v>0</v>
      </c>
      <c r="AB61">
        <f>IF(AND('04 Wan'!D61&gt;Tmin, NOT('04 Wan'!$I61="")),'04 Wan'!$I61,0)</f>
        <v>0</v>
      </c>
      <c r="AC61">
        <f>IF(AND('04 Wan'!E61&gt;Tmin, NOT('04 Wan'!$I61="")),'04 Wan'!$I61,0)</f>
        <v>0</v>
      </c>
      <c r="AD61">
        <f>IF(AND('04 Wan'!F61&gt;Tmin, NOT('04 Wan'!$I61="")),'04 Wan'!$I61,0)</f>
        <v>0</v>
      </c>
      <c r="AE61">
        <f>IF(AND('04 Wan'!C61&lt;Tmax, NOT('04 Wan'!$H61="")),'04 Wan'!$H61,4)</f>
        <v>4</v>
      </c>
      <c r="AF61">
        <f>IF(AND('04 Wan'!D61&lt;Tmax, NOT('04 Wan'!$H61="")),'04 Wan'!$H61,4)</f>
        <v>4</v>
      </c>
      <c r="AG61">
        <f>IF(AND('04 Wan'!E61&lt;Tmax, NOT('04 Wan'!$H61="")),'04 Wan'!$H61,4)</f>
        <v>4</v>
      </c>
      <c r="AH61">
        <f>IF(AND('04 Wan'!F61&lt;Tmax, NOT('04 Wan'!$H61="")),'04 Wan'!$H61,4)</f>
        <v>4</v>
      </c>
      <c r="AI61"/>
    </row>
    <row r="62" spans="1:35" outlineLevel="2" x14ac:dyDescent="0.2">
      <c r="A62" s="636" t="s">
        <v>71</v>
      </c>
      <c r="B62" s="636" t="s">
        <v>2893</v>
      </c>
      <c r="C62" s="887"/>
      <c r="D62" s="887"/>
      <c r="E62" s="887"/>
      <c r="F62" s="887"/>
      <c r="G62" s="1445">
        <v>2</v>
      </c>
      <c r="H62" s="1445">
        <v>2</v>
      </c>
      <c r="I62" s="1445"/>
      <c r="J62" s="1445" t="s">
        <v>2329</v>
      </c>
      <c r="K62" s="1459"/>
      <c r="L62" s="1459"/>
      <c r="M62" s="887"/>
      <c r="AA62">
        <f>IF(AND('04 Wan'!C62&gt;Tmin, NOT('04 Wan'!$I62="")),'04 Wan'!$I62,0)</f>
        <v>0</v>
      </c>
      <c r="AB62">
        <f>IF(AND('04 Wan'!D62&gt;Tmin, NOT('04 Wan'!$I62="")),'04 Wan'!$I62,0)</f>
        <v>0</v>
      </c>
      <c r="AC62">
        <f>IF(AND('04 Wan'!E62&gt;Tmin, NOT('04 Wan'!$I62="")),'04 Wan'!$I62,0)</f>
        <v>0</v>
      </c>
      <c r="AD62">
        <f>IF(AND('04 Wan'!F62&gt;Tmin, NOT('04 Wan'!$I62="")),'04 Wan'!$I62,0)</f>
        <v>0</v>
      </c>
      <c r="AE62">
        <f>IF(AND('04 Wan'!C62&lt;Tmax, NOT('04 Wan'!$H62="")),'04 Wan'!$H62,4)</f>
        <v>2</v>
      </c>
      <c r="AF62">
        <f>IF(AND('04 Wan'!D62&lt;Tmax, NOT('04 Wan'!$H62="")),'04 Wan'!$H62,4)</f>
        <v>2</v>
      </c>
      <c r="AG62">
        <f>IF(AND('04 Wan'!E62&lt;Tmax, NOT('04 Wan'!$H62="")),'04 Wan'!$H62,4)</f>
        <v>2</v>
      </c>
      <c r="AH62">
        <f>IF(AND('04 Wan'!F62&lt;Tmax, NOT('04 Wan'!$H62="")),'04 Wan'!$H62,4)</f>
        <v>2</v>
      </c>
      <c r="AI62"/>
    </row>
    <row r="63" spans="1:35" ht="22.5" outlineLevel="2" x14ac:dyDescent="0.2">
      <c r="A63" s="636" t="s">
        <v>72</v>
      </c>
      <c r="B63" s="636" t="s">
        <v>73</v>
      </c>
      <c r="C63" s="887"/>
      <c r="D63" s="887"/>
      <c r="E63" s="887"/>
      <c r="F63" s="887"/>
      <c r="G63" s="1445">
        <v>4</v>
      </c>
      <c r="H63" s="1445">
        <v>2</v>
      </c>
      <c r="I63" s="1445"/>
      <c r="J63" s="1445" t="s">
        <v>2329</v>
      </c>
      <c r="K63" s="1459"/>
      <c r="L63" s="1459"/>
      <c r="M63" s="887"/>
      <c r="AA63">
        <f>IF(AND('04 Wan'!C63&gt;Tmin, NOT('04 Wan'!$I63="")),'04 Wan'!$I63,0)</f>
        <v>0</v>
      </c>
      <c r="AB63">
        <f>IF(AND('04 Wan'!D63&gt;Tmin, NOT('04 Wan'!$I63="")),'04 Wan'!$I63,0)</f>
        <v>0</v>
      </c>
      <c r="AC63">
        <f>IF(AND('04 Wan'!E63&gt;Tmin, NOT('04 Wan'!$I63="")),'04 Wan'!$I63,0)</f>
        <v>0</v>
      </c>
      <c r="AD63">
        <f>IF(AND('04 Wan'!F63&gt;Tmin, NOT('04 Wan'!$I63="")),'04 Wan'!$I63,0)</f>
        <v>0</v>
      </c>
      <c r="AE63">
        <f>IF(AND('04 Wan'!C63&lt;Tmax, NOT('04 Wan'!$H63="")),'04 Wan'!$H63,4)</f>
        <v>2</v>
      </c>
      <c r="AF63">
        <f>IF(AND('04 Wan'!D63&lt;Tmax, NOT('04 Wan'!$H63="")),'04 Wan'!$H63,4)</f>
        <v>2</v>
      </c>
      <c r="AG63">
        <f>IF(AND('04 Wan'!E63&lt;Tmax, NOT('04 Wan'!$H63="")),'04 Wan'!$H63,4)</f>
        <v>2</v>
      </c>
      <c r="AH63">
        <f>IF(AND('04 Wan'!F63&lt;Tmax, NOT('04 Wan'!$H63="")),'04 Wan'!$H63,4)</f>
        <v>2</v>
      </c>
      <c r="AI63"/>
    </row>
    <row r="64" spans="1:35" ht="22.5" outlineLevel="2" x14ac:dyDescent="0.2">
      <c r="A64" s="636" t="s">
        <v>1524</v>
      </c>
      <c r="B64" s="636" t="s">
        <v>2458</v>
      </c>
      <c r="C64" s="887"/>
      <c r="D64" s="887"/>
      <c r="E64" s="887"/>
      <c r="F64" s="887"/>
      <c r="G64" s="1445">
        <v>4</v>
      </c>
      <c r="H64" s="1445">
        <v>2</v>
      </c>
      <c r="I64" s="1445"/>
      <c r="J64" s="1445" t="s">
        <v>1592</v>
      </c>
      <c r="K64" s="1459"/>
      <c r="L64" s="1459"/>
      <c r="M64" s="887"/>
      <c r="AA64">
        <f>IF(AND('04 Wan'!C64&gt;Tmin, NOT('04 Wan'!$I64="")),'04 Wan'!$I64,0)</f>
        <v>0</v>
      </c>
      <c r="AB64">
        <f>IF(AND('04 Wan'!D64&gt;Tmin, NOT('04 Wan'!$I64="")),'04 Wan'!$I64,0)</f>
        <v>0</v>
      </c>
      <c r="AC64">
        <f>IF(AND('04 Wan'!E64&gt;Tmin, NOT('04 Wan'!$I64="")),'04 Wan'!$I64,0)</f>
        <v>0</v>
      </c>
      <c r="AD64">
        <f>IF(AND('04 Wan'!F64&gt;Tmin, NOT('04 Wan'!$I64="")),'04 Wan'!$I64,0)</f>
        <v>0</v>
      </c>
      <c r="AE64">
        <f>IF(AND('04 Wan'!C64&lt;Tmax, NOT('04 Wan'!$H64="")),'04 Wan'!$H64,4)</f>
        <v>2</v>
      </c>
      <c r="AF64">
        <f>IF(AND('04 Wan'!D64&lt;Tmax, NOT('04 Wan'!$H64="")),'04 Wan'!$H64,4)</f>
        <v>2</v>
      </c>
      <c r="AG64">
        <f>IF(AND('04 Wan'!E64&lt;Tmax, NOT('04 Wan'!$H64="")),'04 Wan'!$H64,4)</f>
        <v>2</v>
      </c>
      <c r="AH64">
        <f>IF(AND('04 Wan'!F64&lt;Tmax, NOT('04 Wan'!$H64="")),'04 Wan'!$H64,4)</f>
        <v>2</v>
      </c>
      <c r="AI64"/>
    </row>
    <row r="65" spans="1:35" ht="24.75" customHeight="1" outlineLevel="2" x14ac:dyDescent="0.2">
      <c r="A65" s="636" t="s">
        <v>2459</v>
      </c>
      <c r="B65" s="636" t="s">
        <v>3289</v>
      </c>
      <c r="C65" s="887"/>
      <c r="D65" s="887"/>
      <c r="E65" s="887"/>
      <c r="F65" s="887"/>
      <c r="G65" s="1445">
        <v>2</v>
      </c>
      <c r="H65" s="1445"/>
      <c r="I65" s="1445"/>
      <c r="J65" s="1445" t="s">
        <v>1592</v>
      </c>
      <c r="K65" s="1459"/>
      <c r="L65" s="1459" t="s">
        <v>7315</v>
      </c>
      <c r="M65" s="887"/>
      <c r="AA65">
        <f>IF(AND('04 Wan'!C65&gt;Tmin, NOT('04 Wan'!$I65="")),'04 Wan'!$I65,0)</f>
        <v>0</v>
      </c>
      <c r="AB65">
        <f>IF(AND('04 Wan'!D65&gt;Tmin, NOT('04 Wan'!$I65="")),'04 Wan'!$I65,0)</f>
        <v>0</v>
      </c>
      <c r="AC65">
        <f>IF(AND('04 Wan'!E65&gt;Tmin, NOT('04 Wan'!$I65="")),'04 Wan'!$I65,0)</f>
        <v>0</v>
      </c>
      <c r="AD65">
        <f>IF(AND('04 Wan'!F65&gt;Tmin, NOT('04 Wan'!$I65="")),'04 Wan'!$I65,0)</f>
        <v>0</v>
      </c>
      <c r="AE65">
        <f>IF(AND('04 Wan'!C65&lt;Tmax, NOT('04 Wan'!$H65="")),'04 Wan'!$H65,4)</f>
        <v>4</v>
      </c>
      <c r="AF65">
        <f>IF(AND('04 Wan'!D65&lt;Tmax, NOT('04 Wan'!$H65="")),'04 Wan'!$H65,4)</f>
        <v>4</v>
      </c>
      <c r="AG65">
        <f>IF(AND('04 Wan'!E65&lt;Tmax, NOT('04 Wan'!$H65="")),'04 Wan'!$H65,4)</f>
        <v>4</v>
      </c>
      <c r="AH65">
        <f>IF(AND('04 Wan'!F65&lt;Tmax, NOT('04 Wan'!$H65="")),'04 Wan'!$H65,4)</f>
        <v>4</v>
      </c>
      <c r="AI65"/>
    </row>
    <row r="66" spans="1:35" ht="24.75" customHeight="1" outlineLevel="2" x14ac:dyDescent="0.2">
      <c r="A66" s="636" t="s">
        <v>3290</v>
      </c>
      <c r="B66" s="636" t="s">
        <v>6847</v>
      </c>
      <c r="C66" s="887"/>
      <c r="D66" s="887"/>
      <c r="E66" s="887"/>
      <c r="F66" s="887"/>
      <c r="G66" s="1445">
        <v>4</v>
      </c>
      <c r="H66" s="1445">
        <v>2</v>
      </c>
      <c r="I66" s="1445"/>
      <c r="J66" s="1445" t="s">
        <v>1592</v>
      </c>
      <c r="K66" s="1459"/>
      <c r="L66" s="1459" t="s">
        <v>7315</v>
      </c>
      <c r="M66" s="887"/>
      <c r="AA66">
        <f>IF(AND('04 Wan'!C66&gt;Tmin, NOT('04 Wan'!$I66="")),'04 Wan'!$I66,0)</f>
        <v>0</v>
      </c>
      <c r="AB66">
        <f>IF(AND('04 Wan'!D66&gt;Tmin, NOT('04 Wan'!$I66="")),'04 Wan'!$I66,0)</f>
        <v>0</v>
      </c>
      <c r="AC66">
        <f>IF(AND('04 Wan'!E66&gt;Tmin, NOT('04 Wan'!$I66="")),'04 Wan'!$I66,0)</f>
        <v>0</v>
      </c>
      <c r="AD66">
        <f>IF(AND('04 Wan'!F66&gt;Tmin, NOT('04 Wan'!$I66="")),'04 Wan'!$I66,0)</f>
        <v>0</v>
      </c>
      <c r="AE66">
        <f>IF(AND('04 Wan'!C66&lt;Tmax, NOT('04 Wan'!$H66="")),'04 Wan'!$H66,4)</f>
        <v>2</v>
      </c>
      <c r="AF66">
        <f>IF(AND('04 Wan'!D66&lt;Tmax, NOT('04 Wan'!$H66="")),'04 Wan'!$H66,4)</f>
        <v>2</v>
      </c>
      <c r="AG66">
        <f>IF(AND('04 Wan'!E66&lt;Tmax, NOT('04 Wan'!$H66="")),'04 Wan'!$H66,4)</f>
        <v>2</v>
      </c>
      <c r="AH66">
        <f>IF(AND('04 Wan'!F66&lt;Tmax, NOT('04 Wan'!$H66="")),'04 Wan'!$H66,4)</f>
        <v>2</v>
      </c>
      <c r="AI66"/>
    </row>
    <row r="67" spans="1:35" outlineLevel="2" x14ac:dyDescent="0.2">
      <c r="A67" s="636" t="s">
        <v>3291</v>
      </c>
      <c r="B67" s="636" t="s">
        <v>3292</v>
      </c>
      <c r="C67" s="887"/>
      <c r="D67" s="887"/>
      <c r="E67" s="887"/>
      <c r="F67" s="887"/>
      <c r="G67" s="1445">
        <v>4</v>
      </c>
      <c r="H67" s="1445">
        <v>3</v>
      </c>
      <c r="I67" s="1445"/>
      <c r="J67" s="1445" t="s">
        <v>1592</v>
      </c>
      <c r="K67" s="1459"/>
      <c r="L67" s="1459"/>
      <c r="M67" s="887"/>
      <c r="AA67">
        <f>IF(AND('04 Wan'!C67&gt;Tmin, NOT('04 Wan'!$I67="")),'04 Wan'!$I67,0)</f>
        <v>0</v>
      </c>
      <c r="AB67">
        <f>IF(AND('04 Wan'!D67&gt;Tmin, NOT('04 Wan'!$I67="")),'04 Wan'!$I67,0)</f>
        <v>0</v>
      </c>
      <c r="AC67">
        <f>IF(AND('04 Wan'!E67&gt;Tmin, NOT('04 Wan'!$I67="")),'04 Wan'!$I67,0)</f>
        <v>0</v>
      </c>
      <c r="AD67">
        <f>IF(AND('04 Wan'!F67&gt;Tmin, NOT('04 Wan'!$I67="")),'04 Wan'!$I67,0)</f>
        <v>0</v>
      </c>
      <c r="AE67">
        <f>IF(AND('04 Wan'!C67&lt;Tmax, NOT('04 Wan'!$H67="")),'04 Wan'!$H67,4)</f>
        <v>3</v>
      </c>
      <c r="AF67">
        <f>IF(AND('04 Wan'!D67&lt;Tmax, NOT('04 Wan'!$H67="")),'04 Wan'!$H67,4)</f>
        <v>3</v>
      </c>
      <c r="AG67">
        <f>IF(AND('04 Wan'!E67&lt;Tmax, NOT('04 Wan'!$H67="")),'04 Wan'!$H67,4)</f>
        <v>3</v>
      </c>
      <c r="AH67">
        <f>IF(AND('04 Wan'!F67&lt;Tmax, NOT('04 Wan'!$H67="")),'04 Wan'!$H67,4)</f>
        <v>3</v>
      </c>
      <c r="AI67"/>
    </row>
    <row r="68" spans="1:35" outlineLevel="2" x14ac:dyDescent="0.2">
      <c r="A68" s="636" t="s">
        <v>3293</v>
      </c>
      <c r="B68" s="636" t="s">
        <v>5362</v>
      </c>
      <c r="C68" s="887"/>
      <c r="D68" s="887"/>
      <c r="E68" s="887"/>
      <c r="F68" s="887"/>
      <c r="G68" s="1445">
        <v>4</v>
      </c>
      <c r="H68" s="1445">
        <v>3</v>
      </c>
      <c r="I68" s="1445"/>
      <c r="J68" s="1445" t="s">
        <v>1592</v>
      </c>
      <c r="K68" s="1459"/>
      <c r="L68" s="1459"/>
      <c r="M68" s="887"/>
      <c r="AA68">
        <f>IF(AND('04 Wan'!C68&gt;Tmin, NOT('04 Wan'!$I68="")),'04 Wan'!$I68,0)</f>
        <v>0</v>
      </c>
      <c r="AB68">
        <f>IF(AND('04 Wan'!D68&gt;Tmin, NOT('04 Wan'!$I68="")),'04 Wan'!$I68,0)</f>
        <v>0</v>
      </c>
      <c r="AC68">
        <f>IF(AND('04 Wan'!E68&gt;Tmin, NOT('04 Wan'!$I68="")),'04 Wan'!$I68,0)</f>
        <v>0</v>
      </c>
      <c r="AD68">
        <f>IF(AND('04 Wan'!F68&gt;Tmin, NOT('04 Wan'!$I68="")),'04 Wan'!$I68,0)</f>
        <v>0</v>
      </c>
      <c r="AE68">
        <f>IF(AND('04 Wan'!C68&lt;Tmax, NOT('04 Wan'!$H68="")),'04 Wan'!$H68,4)</f>
        <v>3</v>
      </c>
      <c r="AF68">
        <f>IF(AND('04 Wan'!D68&lt;Tmax, NOT('04 Wan'!$H68="")),'04 Wan'!$H68,4)</f>
        <v>3</v>
      </c>
      <c r="AG68">
        <f>IF(AND('04 Wan'!E68&lt;Tmax, NOT('04 Wan'!$H68="")),'04 Wan'!$H68,4)</f>
        <v>3</v>
      </c>
      <c r="AH68">
        <f>IF(AND('04 Wan'!F68&lt;Tmax, NOT('04 Wan'!$H68="")),'04 Wan'!$H68,4)</f>
        <v>3</v>
      </c>
      <c r="AI68"/>
    </row>
    <row r="69" spans="1:35" outlineLevel="2" x14ac:dyDescent="0.2">
      <c r="A69" s="636" t="s">
        <v>5363</v>
      </c>
      <c r="B69" s="636" t="s">
        <v>5364</v>
      </c>
      <c r="C69" s="887"/>
      <c r="D69" s="887"/>
      <c r="E69" s="887"/>
      <c r="F69" s="887"/>
      <c r="G69" s="1445">
        <v>2</v>
      </c>
      <c r="H69" s="1445">
        <v>2</v>
      </c>
      <c r="I69" s="1445"/>
      <c r="J69" s="1445" t="s">
        <v>2329</v>
      </c>
      <c r="K69" s="1459"/>
      <c r="L69" s="1459"/>
      <c r="M69" s="887"/>
      <c r="AA69">
        <f>IF(AND('04 Wan'!C69&gt;Tmin, NOT('04 Wan'!$I69="")),'04 Wan'!$I69,0)</f>
        <v>0</v>
      </c>
      <c r="AB69">
        <f>IF(AND('04 Wan'!D69&gt;Tmin, NOT('04 Wan'!$I69="")),'04 Wan'!$I69,0)</f>
        <v>0</v>
      </c>
      <c r="AC69">
        <f>IF(AND('04 Wan'!E69&gt;Tmin, NOT('04 Wan'!$I69="")),'04 Wan'!$I69,0)</f>
        <v>0</v>
      </c>
      <c r="AD69">
        <f>IF(AND('04 Wan'!F69&gt;Tmin, NOT('04 Wan'!$I69="")),'04 Wan'!$I69,0)</f>
        <v>0</v>
      </c>
      <c r="AE69">
        <f>IF(AND('04 Wan'!C69&lt;Tmax, NOT('04 Wan'!$H69="")),'04 Wan'!$H69,4)</f>
        <v>2</v>
      </c>
      <c r="AF69">
        <f>IF(AND('04 Wan'!D69&lt;Tmax, NOT('04 Wan'!$H69="")),'04 Wan'!$H69,4)</f>
        <v>2</v>
      </c>
      <c r="AG69">
        <f>IF(AND('04 Wan'!E69&lt;Tmax, NOT('04 Wan'!$H69="")),'04 Wan'!$H69,4)</f>
        <v>2</v>
      </c>
      <c r="AH69">
        <f>IF(AND('04 Wan'!F69&lt;Tmax, NOT('04 Wan'!$H69="")),'04 Wan'!$H69,4)</f>
        <v>2</v>
      </c>
      <c r="AI69"/>
    </row>
    <row r="70" spans="1:35" ht="22.5" outlineLevel="2" x14ac:dyDescent="0.2">
      <c r="A70" s="636" t="s">
        <v>5365</v>
      </c>
      <c r="B70" s="636" t="s">
        <v>1635</v>
      </c>
      <c r="C70" s="887"/>
      <c r="D70" s="887"/>
      <c r="E70" s="887"/>
      <c r="F70" s="887"/>
      <c r="G70" s="1445">
        <v>4</v>
      </c>
      <c r="H70" s="1445">
        <v>2</v>
      </c>
      <c r="I70" s="1445"/>
      <c r="J70" s="1445" t="s">
        <v>2329</v>
      </c>
      <c r="K70" s="1459"/>
      <c r="L70" s="1459"/>
      <c r="M70" s="887"/>
      <c r="AA70">
        <f>IF(AND('04 Wan'!C70&gt;Tmin, NOT('04 Wan'!$I70="")),'04 Wan'!$I70,0)</f>
        <v>0</v>
      </c>
      <c r="AB70">
        <f>IF(AND('04 Wan'!D70&gt;Tmin, NOT('04 Wan'!$I70="")),'04 Wan'!$I70,0)</f>
        <v>0</v>
      </c>
      <c r="AC70">
        <f>IF(AND('04 Wan'!E70&gt;Tmin, NOT('04 Wan'!$I70="")),'04 Wan'!$I70,0)</f>
        <v>0</v>
      </c>
      <c r="AD70">
        <f>IF(AND('04 Wan'!F70&gt;Tmin, NOT('04 Wan'!$I70="")),'04 Wan'!$I70,0)</f>
        <v>0</v>
      </c>
      <c r="AE70">
        <f>IF(AND('04 Wan'!C70&lt;Tmax, NOT('04 Wan'!$H70="")),'04 Wan'!$H70,4)</f>
        <v>2</v>
      </c>
      <c r="AF70">
        <f>IF(AND('04 Wan'!D70&lt;Tmax, NOT('04 Wan'!$H70="")),'04 Wan'!$H70,4)</f>
        <v>2</v>
      </c>
      <c r="AG70">
        <f>IF(AND('04 Wan'!E70&lt;Tmax, NOT('04 Wan'!$H70="")),'04 Wan'!$H70,4)</f>
        <v>2</v>
      </c>
      <c r="AH70">
        <f>IF(AND('04 Wan'!F70&lt;Tmax, NOT('04 Wan'!$H70="")),'04 Wan'!$H70,4)</f>
        <v>2</v>
      </c>
      <c r="AI70"/>
    </row>
    <row r="71" spans="1:35" ht="22.5" outlineLevel="2" x14ac:dyDescent="0.2">
      <c r="A71" s="636" t="s">
        <v>1636</v>
      </c>
      <c r="B71" s="636" t="s">
        <v>4656</v>
      </c>
      <c r="C71" s="887"/>
      <c r="D71" s="887"/>
      <c r="E71" s="887"/>
      <c r="F71" s="887"/>
      <c r="G71" s="1445">
        <v>4</v>
      </c>
      <c r="H71" s="1445">
        <v>2</v>
      </c>
      <c r="I71" s="1445"/>
      <c r="J71" s="1445" t="s">
        <v>1592</v>
      </c>
      <c r="K71" s="1459"/>
      <c r="L71" s="1459"/>
      <c r="M71" s="887"/>
      <c r="AA71">
        <f>IF(AND('04 Wan'!C71&gt;Tmin, NOT('04 Wan'!$I71="")),'04 Wan'!$I71,0)</f>
        <v>0</v>
      </c>
      <c r="AB71">
        <f>IF(AND('04 Wan'!D71&gt;Tmin, NOT('04 Wan'!$I71="")),'04 Wan'!$I71,0)</f>
        <v>0</v>
      </c>
      <c r="AC71">
        <f>IF(AND('04 Wan'!E71&gt;Tmin, NOT('04 Wan'!$I71="")),'04 Wan'!$I71,0)</f>
        <v>0</v>
      </c>
      <c r="AD71">
        <f>IF(AND('04 Wan'!F71&gt;Tmin, NOT('04 Wan'!$I71="")),'04 Wan'!$I71,0)</f>
        <v>0</v>
      </c>
      <c r="AE71">
        <f>IF(AND('04 Wan'!C71&lt;Tmax, NOT('04 Wan'!$H71="")),'04 Wan'!$H71,4)</f>
        <v>2</v>
      </c>
      <c r="AF71">
        <f>IF(AND('04 Wan'!D71&lt;Tmax, NOT('04 Wan'!$H71="")),'04 Wan'!$H71,4)</f>
        <v>2</v>
      </c>
      <c r="AG71">
        <f>IF(AND('04 Wan'!E71&lt;Tmax, NOT('04 Wan'!$H71="")),'04 Wan'!$H71,4)</f>
        <v>2</v>
      </c>
      <c r="AH71">
        <f>IF(AND('04 Wan'!F71&lt;Tmax, NOT('04 Wan'!$H71="")),'04 Wan'!$H71,4)</f>
        <v>2</v>
      </c>
      <c r="AI71"/>
    </row>
    <row r="72" spans="1:35" ht="22.5" outlineLevel="2" x14ac:dyDescent="0.2">
      <c r="A72" s="636" t="s">
        <v>4657</v>
      </c>
      <c r="B72" s="636" t="s">
        <v>2895</v>
      </c>
      <c r="C72" s="887"/>
      <c r="D72" s="887"/>
      <c r="E72" s="887"/>
      <c r="F72" s="887"/>
      <c r="G72" s="1445">
        <v>4</v>
      </c>
      <c r="H72" s="1445">
        <v>2</v>
      </c>
      <c r="I72" s="1445"/>
      <c r="J72" s="1445" t="s">
        <v>2329</v>
      </c>
      <c r="K72" s="1459"/>
      <c r="L72" s="1459"/>
      <c r="M72" s="887"/>
      <c r="AA72">
        <f>IF(AND('04 Wan'!C72&gt;Tmin, NOT('04 Wan'!$I72="")),'04 Wan'!$I72,0)</f>
        <v>0</v>
      </c>
      <c r="AB72">
        <f>IF(AND('04 Wan'!D72&gt;Tmin, NOT('04 Wan'!$I72="")),'04 Wan'!$I72,0)</f>
        <v>0</v>
      </c>
      <c r="AC72">
        <f>IF(AND('04 Wan'!E72&gt;Tmin, NOT('04 Wan'!$I72="")),'04 Wan'!$I72,0)</f>
        <v>0</v>
      </c>
      <c r="AD72">
        <f>IF(AND('04 Wan'!F72&gt;Tmin, NOT('04 Wan'!$I72="")),'04 Wan'!$I72,0)</f>
        <v>0</v>
      </c>
      <c r="AE72">
        <f>IF(AND('04 Wan'!C72&lt;Tmax, NOT('04 Wan'!$H72="")),'04 Wan'!$H72,4)</f>
        <v>2</v>
      </c>
      <c r="AF72">
        <f>IF(AND('04 Wan'!D72&lt;Tmax, NOT('04 Wan'!$H72="")),'04 Wan'!$H72,4)</f>
        <v>2</v>
      </c>
      <c r="AG72">
        <f>IF(AND('04 Wan'!E72&lt;Tmax, NOT('04 Wan'!$H72="")),'04 Wan'!$H72,4)</f>
        <v>2</v>
      </c>
      <c r="AH72">
        <f>IF(AND('04 Wan'!F72&lt;Tmax, NOT('04 Wan'!$H72="")),'04 Wan'!$H72,4)</f>
        <v>2</v>
      </c>
      <c r="AI72"/>
    </row>
    <row r="73" spans="1:35" ht="22.5" outlineLevel="2" x14ac:dyDescent="0.2">
      <c r="A73" s="636" t="s">
        <v>4658</v>
      </c>
      <c r="B73" s="636" t="s">
        <v>4808</v>
      </c>
      <c r="C73" s="887"/>
      <c r="D73" s="887"/>
      <c r="E73" s="887"/>
      <c r="F73" s="887"/>
      <c r="G73" s="1445">
        <v>4</v>
      </c>
      <c r="H73" s="1445">
        <v>3</v>
      </c>
      <c r="I73" s="1445"/>
      <c r="J73" s="1445" t="s">
        <v>2109</v>
      </c>
      <c r="K73" s="1459"/>
      <c r="L73" s="1459"/>
      <c r="M73" s="887"/>
      <c r="AA73">
        <f>IF(AND('04 Wan'!C73&gt;Tmin, NOT('04 Wan'!$I73="")),'04 Wan'!$I73,0)</f>
        <v>0</v>
      </c>
      <c r="AB73">
        <f>IF(AND('04 Wan'!D73&gt;Tmin, NOT('04 Wan'!$I73="")),'04 Wan'!$I73,0)</f>
        <v>0</v>
      </c>
      <c r="AC73">
        <f>IF(AND('04 Wan'!E73&gt;Tmin, NOT('04 Wan'!$I73="")),'04 Wan'!$I73,0)</f>
        <v>0</v>
      </c>
      <c r="AD73">
        <f>IF(AND('04 Wan'!F73&gt;Tmin, NOT('04 Wan'!$I73="")),'04 Wan'!$I73,0)</f>
        <v>0</v>
      </c>
      <c r="AE73">
        <f>IF(AND('04 Wan'!C73&lt;Tmax, NOT('04 Wan'!$H73="")),'04 Wan'!$H73,4)</f>
        <v>3</v>
      </c>
      <c r="AF73">
        <f>IF(AND('04 Wan'!D73&lt;Tmax, NOT('04 Wan'!$H73="")),'04 Wan'!$H73,4)</f>
        <v>3</v>
      </c>
      <c r="AG73">
        <f>IF(AND('04 Wan'!E73&lt;Tmax, NOT('04 Wan'!$H73="")),'04 Wan'!$H73,4)</f>
        <v>3</v>
      </c>
      <c r="AH73">
        <f>IF(AND('04 Wan'!F73&lt;Tmax, NOT('04 Wan'!$H73="")),'04 Wan'!$H73,4)</f>
        <v>3</v>
      </c>
      <c r="AI73"/>
    </row>
    <row r="74" spans="1:35" ht="22.5" outlineLevel="2" x14ac:dyDescent="0.2">
      <c r="A74" s="636" t="s">
        <v>2579</v>
      </c>
      <c r="B74" s="636" t="s">
        <v>2580</v>
      </c>
      <c r="C74" s="887"/>
      <c r="D74" s="887"/>
      <c r="E74" s="887"/>
      <c r="F74" s="887"/>
      <c r="G74" s="1445">
        <v>4</v>
      </c>
      <c r="H74" s="1445">
        <v>3</v>
      </c>
      <c r="I74" s="1445"/>
      <c r="J74" s="1445" t="s">
        <v>2109</v>
      </c>
      <c r="K74" s="1459"/>
      <c r="L74" s="1459" t="s">
        <v>7316</v>
      </c>
      <c r="M74" s="887"/>
      <c r="AA74">
        <f>IF(AND('04 Wan'!C74&gt;Tmin, NOT('04 Wan'!$I74="")),'04 Wan'!$I74,0)</f>
        <v>0</v>
      </c>
      <c r="AB74">
        <f>IF(AND('04 Wan'!D74&gt;Tmin, NOT('04 Wan'!$I74="")),'04 Wan'!$I74,0)</f>
        <v>0</v>
      </c>
      <c r="AC74">
        <f>IF(AND('04 Wan'!E74&gt;Tmin, NOT('04 Wan'!$I74="")),'04 Wan'!$I74,0)</f>
        <v>0</v>
      </c>
      <c r="AD74">
        <f>IF(AND('04 Wan'!F74&gt;Tmin, NOT('04 Wan'!$I74="")),'04 Wan'!$I74,0)</f>
        <v>0</v>
      </c>
      <c r="AE74">
        <f>IF(AND('04 Wan'!C74&lt;Tmax, NOT('04 Wan'!$H74="")),'04 Wan'!$H74,4)</f>
        <v>3</v>
      </c>
      <c r="AF74">
        <f>IF(AND('04 Wan'!D74&lt;Tmax, NOT('04 Wan'!$H74="")),'04 Wan'!$H74,4)</f>
        <v>3</v>
      </c>
      <c r="AG74">
        <f>IF(AND('04 Wan'!E74&lt;Tmax, NOT('04 Wan'!$H74="")),'04 Wan'!$H74,4)</f>
        <v>3</v>
      </c>
      <c r="AH74">
        <f>IF(AND('04 Wan'!F74&lt;Tmax, NOT('04 Wan'!$H74="")),'04 Wan'!$H74,4)</f>
        <v>3</v>
      </c>
      <c r="AI74"/>
    </row>
    <row r="75" spans="1:35" outlineLevel="1" x14ac:dyDescent="0.2">
      <c r="A75" s="633" t="s">
        <v>5031</v>
      </c>
      <c r="B75" s="634" t="s">
        <v>1472</v>
      </c>
      <c r="C75" s="887"/>
      <c r="D75" s="887"/>
      <c r="E75" s="887"/>
      <c r="F75" s="887"/>
      <c r="G75" s="1445"/>
      <c r="H75" s="1445"/>
      <c r="I75" s="1445"/>
      <c r="J75" s="1445"/>
      <c r="K75" s="1459"/>
      <c r="L75" s="1459"/>
      <c r="M75" s="887"/>
      <c r="AA75"/>
      <c r="AB75"/>
      <c r="AC75"/>
      <c r="AD75"/>
      <c r="AE75"/>
      <c r="AF75"/>
      <c r="AG75"/>
      <c r="AH75"/>
      <c r="AI75"/>
    </row>
    <row r="76" spans="1:35" ht="21.75" customHeight="1" outlineLevel="2" x14ac:dyDescent="0.2">
      <c r="A76" s="636" t="s">
        <v>2581</v>
      </c>
      <c r="B76" s="636" t="s">
        <v>2582</v>
      </c>
      <c r="C76" s="887"/>
      <c r="D76" s="887"/>
      <c r="E76" s="887"/>
      <c r="F76" s="887"/>
      <c r="G76" s="1445">
        <v>4</v>
      </c>
      <c r="H76" s="1445">
        <v>1</v>
      </c>
      <c r="I76" s="1445"/>
      <c r="J76" s="1445" t="s">
        <v>4246</v>
      </c>
      <c r="K76" s="1459"/>
      <c r="L76" s="1459"/>
      <c r="M76" s="887"/>
      <c r="AA76">
        <f>IF(AND('04 Wan'!C76&gt;Tmin, NOT('04 Wan'!$I76="")),'04 Wan'!$I76,0)</f>
        <v>0</v>
      </c>
      <c r="AB76">
        <f>IF(AND('04 Wan'!D76&gt;Tmin, NOT('04 Wan'!$I76="")),'04 Wan'!$I76,0)</f>
        <v>0</v>
      </c>
      <c r="AC76">
        <f>IF(AND('04 Wan'!E76&gt;Tmin, NOT('04 Wan'!$I76="")),'04 Wan'!$I76,0)</f>
        <v>0</v>
      </c>
      <c r="AD76">
        <f>IF(AND('04 Wan'!F76&gt;Tmin, NOT('04 Wan'!$I76="")),'04 Wan'!$I76,0)</f>
        <v>0</v>
      </c>
      <c r="AE76">
        <f>IF(AND('04 Wan'!C76&lt;Tmax, NOT('04 Wan'!$H76="")),'04 Wan'!$H76,4)</f>
        <v>1</v>
      </c>
      <c r="AF76">
        <f>IF(AND('04 Wan'!D76&lt;Tmax, NOT('04 Wan'!$H76="")),'04 Wan'!$H76,4)</f>
        <v>1</v>
      </c>
      <c r="AG76">
        <f>IF(AND('04 Wan'!E76&lt;Tmax, NOT('04 Wan'!$H76="")),'04 Wan'!$H76,4)</f>
        <v>1</v>
      </c>
      <c r="AH76">
        <f>IF(AND('04 Wan'!F76&lt;Tmax, NOT('04 Wan'!$H76="")),'04 Wan'!$H76,4)</f>
        <v>1</v>
      </c>
      <c r="AI76"/>
    </row>
    <row r="77" spans="1:35" ht="45" outlineLevel="2" x14ac:dyDescent="0.2">
      <c r="A77" s="636" t="s">
        <v>2583</v>
      </c>
      <c r="B77" s="636" t="s">
        <v>3106</v>
      </c>
      <c r="C77" s="887"/>
      <c r="D77" s="887"/>
      <c r="E77" s="887"/>
      <c r="F77" s="887"/>
      <c r="G77" s="1445">
        <v>4</v>
      </c>
      <c r="H77" s="1445">
        <v>2</v>
      </c>
      <c r="I77" s="1445"/>
      <c r="J77" s="1445" t="s">
        <v>1592</v>
      </c>
      <c r="K77" s="1459"/>
      <c r="L77" s="1459"/>
      <c r="M77" s="887"/>
      <c r="AA77">
        <f>IF(AND('04 Wan'!C77&gt;Tmin, NOT('04 Wan'!$I77="")),'04 Wan'!$I77,0)</f>
        <v>0</v>
      </c>
      <c r="AB77">
        <f>IF(AND('04 Wan'!D77&gt;Tmin, NOT('04 Wan'!$I77="")),'04 Wan'!$I77,0)</f>
        <v>0</v>
      </c>
      <c r="AC77">
        <f>IF(AND('04 Wan'!E77&gt;Tmin, NOT('04 Wan'!$I77="")),'04 Wan'!$I77,0)</f>
        <v>0</v>
      </c>
      <c r="AD77">
        <f>IF(AND('04 Wan'!F77&gt;Tmin, NOT('04 Wan'!$I77="")),'04 Wan'!$I77,0)</f>
        <v>0</v>
      </c>
      <c r="AE77">
        <f>IF(AND('04 Wan'!C77&lt;Tmax, NOT('04 Wan'!$H77="")),'04 Wan'!$H77,4)</f>
        <v>2</v>
      </c>
      <c r="AF77">
        <f>IF(AND('04 Wan'!D77&lt;Tmax, NOT('04 Wan'!$H77="")),'04 Wan'!$H77,4)</f>
        <v>2</v>
      </c>
      <c r="AG77">
        <f>IF(AND('04 Wan'!E77&lt;Tmax, NOT('04 Wan'!$H77="")),'04 Wan'!$H77,4)</f>
        <v>2</v>
      </c>
      <c r="AH77">
        <f>IF(AND('04 Wan'!F77&lt;Tmax, NOT('04 Wan'!$H77="")),'04 Wan'!$H77,4)</f>
        <v>2</v>
      </c>
      <c r="AI77"/>
    </row>
    <row r="78" spans="1:35" ht="57.75" customHeight="1" outlineLevel="2" x14ac:dyDescent="0.2">
      <c r="A78" s="636" t="s">
        <v>2584</v>
      </c>
      <c r="B78" s="636" t="s">
        <v>4786</v>
      </c>
      <c r="C78" s="887"/>
      <c r="D78" s="887"/>
      <c r="E78" s="887"/>
      <c r="F78" s="887"/>
      <c r="G78" s="1445">
        <v>4</v>
      </c>
      <c r="H78" s="1445">
        <v>3</v>
      </c>
      <c r="I78" s="1445"/>
      <c r="J78" s="1445" t="s">
        <v>1592</v>
      </c>
      <c r="K78" s="1459"/>
      <c r="L78" s="1459"/>
      <c r="M78" s="887"/>
      <c r="AA78">
        <f>IF(AND('04 Wan'!C78&gt;Tmin, NOT('04 Wan'!$I78="")),'04 Wan'!$I78,0)</f>
        <v>0</v>
      </c>
      <c r="AB78">
        <f>IF(AND('04 Wan'!D78&gt;Tmin, NOT('04 Wan'!$I78="")),'04 Wan'!$I78,0)</f>
        <v>0</v>
      </c>
      <c r="AC78">
        <f>IF(AND('04 Wan'!E78&gt;Tmin, NOT('04 Wan'!$I78="")),'04 Wan'!$I78,0)</f>
        <v>0</v>
      </c>
      <c r="AD78">
        <f>IF(AND('04 Wan'!F78&gt;Tmin, NOT('04 Wan'!$I78="")),'04 Wan'!$I78,0)</f>
        <v>0</v>
      </c>
      <c r="AE78">
        <f>IF(AND('04 Wan'!C78&lt;Tmax, NOT('04 Wan'!$H78="")),'04 Wan'!$H78,4)</f>
        <v>3</v>
      </c>
      <c r="AF78">
        <f>IF(AND('04 Wan'!D78&lt;Tmax, NOT('04 Wan'!$H78="")),'04 Wan'!$H78,4)</f>
        <v>3</v>
      </c>
      <c r="AG78">
        <f>IF(AND('04 Wan'!E78&lt;Tmax, NOT('04 Wan'!$H78="")),'04 Wan'!$H78,4)</f>
        <v>3</v>
      </c>
      <c r="AH78">
        <f>IF(AND('04 Wan'!F78&lt;Tmax, NOT('04 Wan'!$H78="")),'04 Wan'!$H78,4)</f>
        <v>3</v>
      </c>
      <c r="AI78"/>
    </row>
    <row r="79" spans="1:35" ht="57" customHeight="1" outlineLevel="2" x14ac:dyDescent="0.2">
      <c r="A79" s="636" t="s">
        <v>2585</v>
      </c>
      <c r="B79" s="636" t="s">
        <v>4540</v>
      </c>
      <c r="C79" s="887"/>
      <c r="D79" s="887"/>
      <c r="E79" s="887"/>
      <c r="F79" s="887"/>
      <c r="G79" s="1445">
        <v>4</v>
      </c>
      <c r="H79" s="1445">
        <v>3</v>
      </c>
      <c r="I79" s="1445"/>
      <c r="J79" s="1445" t="s">
        <v>2329</v>
      </c>
      <c r="K79" s="1459"/>
      <c r="L79" s="1459"/>
      <c r="M79" s="887"/>
      <c r="AA79">
        <f>IF(AND('04 Wan'!C79&gt;Tmin, NOT('04 Wan'!$I79="")),'04 Wan'!$I79,0)</f>
        <v>0</v>
      </c>
      <c r="AB79">
        <f>IF(AND('04 Wan'!D79&gt;Tmin, NOT('04 Wan'!$I79="")),'04 Wan'!$I79,0)</f>
        <v>0</v>
      </c>
      <c r="AC79">
        <f>IF(AND('04 Wan'!E79&gt;Tmin, NOT('04 Wan'!$I79="")),'04 Wan'!$I79,0)</f>
        <v>0</v>
      </c>
      <c r="AD79">
        <f>IF(AND('04 Wan'!F79&gt;Tmin, NOT('04 Wan'!$I79="")),'04 Wan'!$I79,0)</f>
        <v>0</v>
      </c>
      <c r="AE79">
        <f>IF(AND('04 Wan'!C79&lt;Tmax, NOT('04 Wan'!$H79="")),'04 Wan'!$H79,4)</f>
        <v>3</v>
      </c>
      <c r="AF79">
        <f>IF(AND('04 Wan'!D79&lt;Tmax, NOT('04 Wan'!$H79="")),'04 Wan'!$H79,4)</f>
        <v>3</v>
      </c>
      <c r="AG79">
        <f>IF(AND('04 Wan'!E79&lt;Tmax, NOT('04 Wan'!$H79="")),'04 Wan'!$H79,4)</f>
        <v>3</v>
      </c>
      <c r="AH79">
        <f>IF(AND('04 Wan'!F79&lt;Tmax, NOT('04 Wan'!$H79="")),'04 Wan'!$H79,4)</f>
        <v>3</v>
      </c>
      <c r="AI79"/>
    </row>
    <row r="80" spans="1:35" ht="22.5" outlineLevel="2" x14ac:dyDescent="0.2">
      <c r="A80" s="636" t="s">
        <v>3527</v>
      </c>
      <c r="B80" s="636" t="s">
        <v>4787</v>
      </c>
      <c r="C80" s="887"/>
      <c r="D80" s="887"/>
      <c r="E80" s="887"/>
      <c r="F80" s="887"/>
      <c r="G80" s="1445">
        <v>4</v>
      </c>
      <c r="H80" s="1445">
        <v>2</v>
      </c>
      <c r="I80" s="1445"/>
      <c r="J80" s="1445" t="s">
        <v>1592</v>
      </c>
      <c r="K80" s="1459"/>
      <c r="L80" s="1459"/>
      <c r="M80" s="887"/>
      <c r="AA80">
        <f>IF(AND('04 Wan'!C80&gt;Tmin, NOT('04 Wan'!$I80="")),'04 Wan'!$I80,0)</f>
        <v>0</v>
      </c>
      <c r="AB80">
        <f>IF(AND('04 Wan'!D80&gt;Tmin, NOT('04 Wan'!$I80="")),'04 Wan'!$I80,0)</f>
        <v>0</v>
      </c>
      <c r="AC80">
        <f>IF(AND('04 Wan'!E80&gt;Tmin, NOT('04 Wan'!$I80="")),'04 Wan'!$I80,0)</f>
        <v>0</v>
      </c>
      <c r="AD80">
        <f>IF(AND('04 Wan'!F80&gt;Tmin, NOT('04 Wan'!$I80="")),'04 Wan'!$I80,0)</f>
        <v>0</v>
      </c>
      <c r="AE80">
        <f>IF(AND('04 Wan'!C80&lt;Tmax, NOT('04 Wan'!$H80="")),'04 Wan'!$H80,4)</f>
        <v>2</v>
      </c>
      <c r="AF80">
        <f>IF(AND('04 Wan'!D80&lt;Tmax, NOT('04 Wan'!$H80="")),'04 Wan'!$H80,4)</f>
        <v>2</v>
      </c>
      <c r="AG80">
        <f>IF(AND('04 Wan'!E80&lt;Tmax, NOT('04 Wan'!$H80="")),'04 Wan'!$H80,4)</f>
        <v>2</v>
      </c>
      <c r="AH80">
        <f>IF(AND('04 Wan'!F80&lt;Tmax, NOT('04 Wan'!$H80="")),'04 Wan'!$H80,4)</f>
        <v>2</v>
      </c>
      <c r="AI80"/>
    </row>
    <row r="81" spans="1:35" ht="22.5" outlineLevel="2" x14ac:dyDescent="0.2">
      <c r="A81" s="636" t="s">
        <v>4788</v>
      </c>
      <c r="B81" s="636" t="s">
        <v>2662</v>
      </c>
      <c r="C81" s="887"/>
      <c r="D81" s="887"/>
      <c r="E81" s="887"/>
      <c r="F81" s="887"/>
      <c r="G81" s="1445">
        <v>4</v>
      </c>
      <c r="H81" s="1445">
        <v>2</v>
      </c>
      <c r="I81" s="1445"/>
      <c r="J81" s="1445" t="s">
        <v>2329</v>
      </c>
      <c r="K81" s="1459"/>
      <c r="L81" s="1459"/>
      <c r="M81" s="887"/>
      <c r="AA81">
        <f>IF(AND('04 Wan'!C81&gt;Tmin, NOT('04 Wan'!$I81="")),'04 Wan'!$I81,0)</f>
        <v>0</v>
      </c>
      <c r="AB81">
        <f>IF(AND('04 Wan'!D81&gt;Tmin, NOT('04 Wan'!$I81="")),'04 Wan'!$I81,0)</f>
        <v>0</v>
      </c>
      <c r="AC81">
        <f>IF(AND('04 Wan'!E81&gt;Tmin, NOT('04 Wan'!$I81="")),'04 Wan'!$I81,0)</f>
        <v>0</v>
      </c>
      <c r="AD81">
        <f>IF(AND('04 Wan'!F81&gt;Tmin, NOT('04 Wan'!$I81="")),'04 Wan'!$I81,0)</f>
        <v>0</v>
      </c>
      <c r="AE81">
        <f>IF(AND('04 Wan'!C81&lt;Tmax, NOT('04 Wan'!$H81="")),'04 Wan'!$H81,4)</f>
        <v>2</v>
      </c>
      <c r="AF81">
        <f>IF(AND('04 Wan'!D81&lt;Tmax, NOT('04 Wan'!$H81="")),'04 Wan'!$H81,4)</f>
        <v>2</v>
      </c>
      <c r="AG81">
        <f>IF(AND('04 Wan'!E81&lt;Tmax, NOT('04 Wan'!$H81="")),'04 Wan'!$H81,4)</f>
        <v>2</v>
      </c>
      <c r="AH81">
        <f>IF(AND('04 Wan'!F81&lt;Tmax, NOT('04 Wan'!$H81="")),'04 Wan'!$H81,4)</f>
        <v>2</v>
      </c>
      <c r="AI81"/>
    </row>
    <row r="82" spans="1:35" ht="36.75" customHeight="1" outlineLevel="2" x14ac:dyDescent="0.2">
      <c r="A82" s="636" t="s">
        <v>4789</v>
      </c>
      <c r="B82" s="636" t="s">
        <v>3164</v>
      </c>
      <c r="C82" s="887"/>
      <c r="D82" s="887"/>
      <c r="E82" s="887"/>
      <c r="F82" s="887"/>
      <c r="G82" s="1445">
        <v>4</v>
      </c>
      <c r="H82" s="1445">
        <v>3</v>
      </c>
      <c r="I82" s="1445"/>
      <c r="J82" s="1445" t="s">
        <v>2109</v>
      </c>
      <c r="K82" s="1459"/>
      <c r="L82" s="1459"/>
      <c r="M82" s="887"/>
      <c r="AA82">
        <f>IF(AND('04 Wan'!C82&gt;Tmin, NOT('04 Wan'!$I82="")),'04 Wan'!$I82,0)</f>
        <v>0</v>
      </c>
      <c r="AB82">
        <f>IF(AND('04 Wan'!D82&gt;Tmin, NOT('04 Wan'!$I82="")),'04 Wan'!$I82,0)</f>
        <v>0</v>
      </c>
      <c r="AC82">
        <f>IF(AND('04 Wan'!E82&gt;Tmin, NOT('04 Wan'!$I82="")),'04 Wan'!$I82,0)</f>
        <v>0</v>
      </c>
      <c r="AD82">
        <f>IF(AND('04 Wan'!F82&gt;Tmin, NOT('04 Wan'!$I82="")),'04 Wan'!$I82,0)</f>
        <v>0</v>
      </c>
      <c r="AE82">
        <f>IF(AND('04 Wan'!C82&lt;Tmax, NOT('04 Wan'!$H82="")),'04 Wan'!$H82,4)</f>
        <v>3</v>
      </c>
      <c r="AF82">
        <f>IF(AND('04 Wan'!D82&lt;Tmax, NOT('04 Wan'!$H82="")),'04 Wan'!$H82,4)</f>
        <v>3</v>
      </c>
      <c r="AG82">
        <f>IF(AND('04 Wan'!E82&lt;Tmax, NOT('04 Wan'!$H82="")),'04 Wan'!$H82,4)</f>
        <v>3</v>
      </c>
      <c r="AH82">
        <f>IF(AND('04 Wan'!F82&lt;Tmax, NOT('04 Wan'!$H82="")),'04 Wan'!$H82,4)</f>
        <v>3</v>
      </c>
      <c r="AI82"/>
    </row>
    <row r="83" spans="1:35" outlineLevel="1" x14ac:dyDescent="0.2">
      <c r="A83" s="633" t="s">
        <v>1473</v>
      </c>
      <c r="B83" s="634" t="s">
        <v>5638</v>
      </c>
      <c r="C83" s="887"/>
      <c r="D83" s="887"/>
      <c r="E83" s="887"/>
      <c r="F83" s="887"/>
      <c r="G83" s="1445"/>
      <c r="H83" s="1445"/>
      <c r="I83" s="1445"/>
      <c r="J83" s="1445"/>
      <c r="K83" s="1459"/>
      <c r="L83" s="1459"/>
      <c r="M83" s="887"/>
      <c r="AA83"/>
      <c r="AB83"/>
      <c r="AC83"/>
      <c r="AD83"/>
      <c r="AE83"/>
      <c r="AF83"/>
      <c r="AG83"/>
      <c r="AH83"/>
      <c r="AI83"/>
    </row>
    <row r="84" spans="1:35" ht="22.5" outlineLevel="2" x14ac:dyDescent="0.2">
      <c r="A84" s="636" t="s">
        <v>4790</v>
      </c>
      <c r="B84" s="636" t="s">
        <v>3857</v>
      </c>
      <c r="C84" s="887"/>
      <c r="D84" s="887"/>
      <c r="E84" s="887"/>
      <c r="F84" s="887"/>
      <c r="G84" s="1445">
        <v>4</v>
      </c>
      <c r="H84" s="1445">
        <v>1</v>
      </c>
      <c r="I84" s="1445"/>
      <c r="J84" s="1445" t="s">
        <v>4246</v>
      </c>
      <c r="K84" s="1459"/>
      <c r="L84" s="1459"/>
      <c r="M84" s="887"/>
      <c r="AA84">
        <f>IF(AND('04 Wan'!C84&gt;Tmin, NOT('04 Wan'!$I84="")),'04 Wan'!$I84,0)</f>
        <v>0</v>
      </c>
      <c r="AB84">
        <f>IF(AND('04 Wan'!D84&gt;Tmin, NOT('04 Wan'!$I84="")),'04 Wan'!$I84,0)</f>
        <v>0</v>
      </c>
      <c r="AC84">
        <f>IF(AND('04 Wan'!E84&gt;Tmin, NOT('04 Wan'!$I84="")),'04 Wan'!$I84,0)</f>
        <v>0</v>
      </c>
      <c r="AD84">
        <f>IF(AND('04 Wan'!F84&gt;Tmin, NOT('04 Wan'!$I84="")),'04 Wan'!$I84,0)</f>
        <v>0</v>
      </c>
      <c r="AE84">
        <f>IF(AND('04 Wan'!C84&lt;Tmax, NOT('04 Wan'!$H84="")),'04 Wan'!$H84,4)</f>
        <v>1</v>
      </c>
      <c r="AF84">
        <f>IF(AND('04 Wan'!D84&lt;Tmax, NOT('04 Wan'!$H84="")),'04 Wan'!$H84,4)</f>
        <v>1</v>
      </c>
      <c r="AG84">
        <f>IF(AND('04 Wan'!E84&lt;Tmax, NOT('04 Wan'!$H84="")),'04 Wan'!$H84,4)</f>
        <v>1</v>
      </c>
      <c r="AH84">
        <f>IF(AND('04 Wan'!F84&lt;Tmax, NOT('04 Wan'!$H84="")),'04 Wan'!$H84,4)</f>
        <v>1</v>
      </c>
      <c r="AI84"/>
    </row>
    <row r="85" spans="1:35" ht="33.75" outlineLevel="2" x14ac:dyDescent="0.2">
      <c r="A85" s="636" t="s">
        <v>970</v>
      </c>
      <c r="B85" s="636" t="s">
        <v>3115</v>
      </c>
      <c r="C85" s="887"/>
      <c r="D85" s="887"/>
      <c r="E85" s="887"/>
      <c r="F85" s="887"/>
      <c r="G85" s="1445">
        <v>4</v>
      </c>
      <c r="H85" s="1445">
        <v>2</v>
      </c>
      <c r="I85" s="1445"/>
      <c r="J85" s="1445" t="s">
        <v>1592</v>
      </c>
      <c r="K85" s="1459"/>
      <c r="L85" s="1459"/>
      <c r="M85" s="887"/>
      <c r="AA85">
        <f>IF(AND('04 Wan'!C85&gt;Tmin, NOT('04 Wan'!$I85="")),'04 Wan'!$I85,0)</f>
        <v>0</v>
      </c>
      <c r="AB85">
        <f>IF(AND('04 Wan'!D85&gt;Tmin, NOT('04 Wan'!$I85="")),'04 Wan'!$I85,0)</f>
        <v>0</v>
      </c>
      <c r="AC85">
        <f>IF(AND('04 Wan'!E85&gt;Tmin, NOT('04 Wan'!$I85="")),'04 Wan'!$I85,0)</f>
        <v>0</v>
      </c>
      <c r="AD85">
        <f>IF(AND('04 Wan'!F85&gt;Tmin, NOT('04 Wan'!$I85="")),'04 Wan'!$I85,0)</f>
        <v>0</v>
      </c>
      <c r="AE85">
        <f>IF(AND('04 Wan'!C85&lt;Tmax, NOT('04 Wan'!$H85="")),'04 Wan'!$H85,4)</f>
        <v>2</v>
      </c>
      <c r="AF85">
        <f>IF(AND('04 Wan'!D85&lt;Tmax, NOT('04 Wan'!$H85="")),'04 Wan'!$H85,4)</f>
        <v>2</v>
      </c>
      <c r="AG85">
        <f>IF(AND('04 Wan'!E85&lt;Tmax, NOT('04 Wan'!$H85="")),'04 Wan'!$H85,4)</f>
        <v>2</v>
      </c>
      <c r="AH85">
        <f>IF(AND('04 Wan'!F85&lt;Tmax, NOT('04 Wan'!$H85="")),'04 Wan'!$H85,4)</f>
        <v>2</v>
      </c>
      <c r="AI85"/>
    </row>
    <row r="86" spans="1:35" ht="56.25" customHeight="1" outlineLevel="2" x14ac:dyDescent="0.2">
      <c r="A86" s="636" t="s">
        <v>971</v>
      </c>
      <c r="B86" s="636" t="s">
        <v>4515</v>
      </c>
      <c r="C86" s="887"/>
      <c r="D86" s="887"/>
      <c r="E86" s="887"/>
      <c r="F86" s="887"/>
      <c r="G86" s="1445">
        <v>4</v>
      </c>
      <c r="H86" s="1445">
        <v>3</v>
      </c>
      <c r="I86" s="1445"/>
      <c r="J86" s="1445" t="s">
        <v>1592</v>
      </c>
      <c r="K86" s="1459"/>
      <c r="L86" s="1459"/>
      <c r="M86" s="887"/>
      <c r="AA86">
        <f>IF(AND('04 Wan'!C86&gt;Tmin, NOT('04 Wan'!$I86="")),'04 Wan'!$I86,0)</f>
        <v>0</v>
      </c>
      <c r="AB86">
        <f>IF(AND('04 Wan'!D86&gt;Tmin, NOT('04 Wan'!$I86="")),'04 Wan'!$I86,0)</f>
        <v>0</v>
      </c>
      <c r="AC86">
        <f>IF(AND('04 Wan'!E86&gt;Tmin, NOT('04 Wan'!$I86="")),'04 Wan'!$I86,0)</f>
        <v>0</v>
      </c>
      <c r="AD86">
        <f>IF(AND('04 Wan'!F86&gt;Tmin, NOT('04 Wan'!$I86="")),'04 Wan'!$I86,0)</f>
        <v>0</v>
      </c>
      <c r="AE86">
        <f>IF(AND('04 Wan'!C86&lt;Tmax, NOT('04 Wan'!$H86="")),'04 Wan'!$H86,4)</f>
        <v>3</v>
      </c>
      <c r="AF86">
        <f>IF(AND('04 Wan'!D86&lt;Tmax, NOT('04 Wan'!$H86="")),'04 Wan'!$H86,4)</f>
        <v>3</v>
      </c>
      <c r="AG86">
        <f>IF(AND('04 Wan'!E86&lt;Tmax, NOT('04 Wan'!$H86="")),'04 Wan'!$H86,4)</f>
        <v>3</v>
      </c>
      <c r="AH86">
        <f>IF(AND('04 Wan'!F86&lt;Tmax, NOT('04 Wan'!$H86="")),'04 Wan'!$H86,4)</f>
        <v>3</v>
      </c>
      <c r="AI86"/>
    </row>
    <row r="87" spans="1:35" ht="57.75" customHeight="1" outlineLevel="2" x14ac:dyDescent="0.2">
      <c r="A87" s="636" t="s">
        <v>972</v>
      </c>
      <c r="B87" s="636" t="s">
        <v>4540</v>
      </c>
      <c r="C87" s="887"/>
      <c r="D87" s="887"/>
      <c r="E87" s="887"/>
      <c r="F87" s="887"/>
      <c r="G87" s="1445">
        <v>4</v>
      </c>
      <c r="H87" s="1445">
        <v>3</v>
      </c>
      <c r="I87" s="1445"/>
      <c r="J87" s="1445" t="s">
        <v>2329</v>
      </c>
      <c r="K87" s="1459"/>
      <c r="L87" s="1459"/>
      <c r="M87" s="887"/>
      <c r="AA87">
        <f>IF(AND('04 Wan'!C87&gt;Tmin, NOT('04 Wan'!$I87="")),'04 Wan'!$I87,0)</f>
        <v>0</v>
      </c>
      <c r="AB87">
        <f>IF(AND('04 Wan'!D87&gt;Tmin, NOT('04 Wan'!$I87="")),'04 Wan'!$I87,0)</f>
        <v>0</v>
      </c>
      <c r="AC87">
        <f>IF(AND('04 Wan'!E87&gt;Tmin, NOT('04 Wan'!$I87="")),'04 Wan'!$I87,0)</f>
        <v>0</v>
      </c>
      <c r="AD87">
        <f>IF(AND('04 Wan'!F87&gt;Tmin, NOT('04 Wan'!$I87="")),'04 Wan'!$I87,0)</f>
        <v>0</v>
      </c>
      <c r="AE87">
        <f>IF(AND('04 Wan'!C87&lt;Tmax, NOT('04 Wan'!$H87="")),'04 Wan'!$H87,4)</f>
        <v>3</v>
      </c>
      <c r="AF87">
        <f>IF(AND('04 Wan'!D87&lt;Tmax, NOT('04 Wan'!$H87="")),'04 Wan'!$H87,4)</f>
        <v>3</v>
      </c>
      <c r="AG87">
        <f>IF(AND('04 Wan'!E87&lt;Tmax, NOT('04 Wan'!$H87="")),'04 Wan'!$H87,4)</f>
        <v>3</v>
      </c>
      <c r="AH87">
        <f>IF(AND('04 Wan'!F87&lt;Tmax, NOT('04 Wan'!$H87="")),'04 Wan'!$H87,4)</f>
        <v>3</v>
      </c>
      <c r="AI87"/>
    </row>
    <row r="88" spans="1:35" ht="22.5" outlineLevel="2" x14ac:dyDescent="0.2">
      <c r="A88" s="636" t="s">
        <v>973</v>
      </c>
      <c r="B88" s="636" t="s">
        <v>4787</v>
      </c>
      <c r="C88" s="887"/>
      <c r="D88" s="887"/>
      <c r="E88" s="887"/>
      <c r="F88" s="887"/>
      <c r="G88" s="1445">
        <v>4</v>
      </c>
      <c r="H88" s="1445">
        <v>2</v>
      </c>
      <c r="I88" s="1445"/>
      <c r="J88" s="1445" t="s">
        <v>1592</v>
      </c>
      <c r="K88" s="1459"/>
      <c r="L88" s="1459"/>
      <c r="M88" s="887"/>
      <c r="AA88">
        <f>IF(AND('04 Wan'!C88&gt;Tmin, NOT('04 Wan'!$I88="")),'04 Wan'!$I88,0)</f>
        <v>0</v>
      </c>
      <c r="AB88">
        <f>IF(AND('04 Wan'!D88&gt;Tmin, NOT('04 Wan'!$I88="")),'04 Wan'!$I88,0)</f>
        <v>0</v>
      </c>
      <c r="AC88">
        <f>IF(AND('04 Wan'!E88&gt;Tmin, NOT('04 Wan'!$I88="")),'04 Wan'!$I88,0)</f>
        <v>0</v>
      </c>
      <c r="AD88">
        <f>IF(AND('04 Wan'!F88&gt;Tmin, NOT('04 Wan'!$I88="")),'04 Wan'!$I88,0)</f>
        <v>0</v>
      </c>
      <c r="AE88">
        <f>IF(AND('04 Wan'!C88&lt;Tmax, NOT('04 Wan'!$H88="")),'04 Wan'!$H88,4)</f>
        <v>2</v>
      </c>
      <c r="AF88">
        <f>IF(AND('04 Wan'!D88&lt;Tmax, NOT('04 Wan'!$H88="")),'04 Wan'!$H88,4)</f>
        <v>2</v>
      </c>
      <c r="AG88">
        <f>IF(AND('04 Wan'!E88&lt;Tmax, NOT('04 Wan'!$H88="")),'04 Wan'!$H88,4)</f>
        <v>2</v>
      </c>
      <c r="AH88">
        <f>IF(AND('04 Wan'!F88&lt;Tmax, NOT('04 Wan'!$H88="")),'04 Wan'!$H88,4)</f>
        <v>2</v>
      </c>
      <c r="AI88"/>
    </row>
    <row r="89" spans="1:35" ht="22.5" outlineLevel="2" x14ac:dyDescent="0.2">
      <c r="A89" s="636" t="s">
        <v>974</v>
      </c>
      <c r="B89" s="636" t="s">
        <v>2662</v>
      </c>
      <c r="C89" s="887"/>
      <c r="D89" s="887"/>
      <c r="E89" s="887"/>
      <c r="F89" s="887"/>
      <c r="G89" s="1445">
        <v>4</v>
      </c>
      <c r="H89" s="1445">
        <v>2</v>
      </c>
      <c r="I89" s="1445"/>
      <c r="J89" s="1445" t="s">
        <v>2329</v>
      </c>
      <c r="K89" s="1459"/>
      <c r="L89" s="1459"/>
      <c r="M89" s="887"/>
      <c r="AA89">
        <f>IF(AND('04 Wan'!C89&gt;Tmin, NOT('04 Wan'!$I89="")),'04 Wan'!$I89,0)</f>
        <v>0</v>
      </c>
      <c r="AB89">
        <f>IF(AND('04 Wan'!D89&gt;Tmin, NOT('04 Wan'!$I89="")),'04 Wan'!$I89,0)</f>
        <v>0</v>
      </c>
      <c r="AC89">
        <f>IF(AND('04 Wan'!E89&gt;Tmin, NOT('04 Wan'!$I89="")),'04 Wan'!$I89,0)</f>
        <v>0</v>
      </c>
      <c r="AD89">
        <f>IF(AND('04 Wan'!F89&gt;Tmin, NOT('04 Wan'!$I89="")),'04 Wan'!$I89,0)</f>
        <v>0</v>
      </c>
      <c r="AE89">
        <f>IF(AND('04 Wan'!C89&lt;Tmax, NOT('04 Wan'!$H89="")),'04 Wan'!$H89,4)</f>
        <v>2</v>
      </c>
      <c r="AF89">
        <f>IF(AND('04 Wan'!D89&lt;Tmax, NOT('04 Wan'!$H89="")),'04 Wan'!$H89,4)</f>
        <v>2</v>
      </c>
      <c r="AG89">
        <f>IF(AND('04 Wan'!E89&lt;Tmax, NOT('04 Wan'!$H89="")),'04 Wan'!$H89,4)</f>
        <v>2</v>
      </c>
      <c r="AH89">
        <f>IF(AND('04 Wan'!F89&lt;Tmax, NOT('04 Wan'!$H89="")),'04 Wan'!$H89,4)</f>
        <v>2</v>
      </c>
      <c r="AI89"/>
    </row>
    <row r="90" spans="1:35" ht="36.75" customHeight="1" outlineLevel="2" x14ac:dyDescent="0.2">
      <c r="A90" s="636" t="s">
        <v>975</v>
      </c>
      <c r="B90" s="636" t="s">
        <v>3164</v>
      </c>
      <c r="C90" s="887"/>
      <c r="D90" s="887"/>
      <c r="E90" s="887"/>
      <c r="F90" s="887"/>
      <c r="G90" s="1445">
        <v>4</v>
      </c>
      <c r="H90" s="1445">
        <v>3</v>
      </c>
      <c r="I90" s="1445"/>
      <c r="J90" s="1445" t="s">
        <v>2109</v>
      </c>
      <c r="K90" s="1459"/>
      <c r="L90" s="1459"/>
      <c r="M90" s="887"/>
      <c r="AA90">
        <f>IF(AND('04 Wan'!C90&gt;Tmin, NOT('04 Wan'!$I90="")),'04 Wan'!$I90,0)</f>
        <v>0</v>
      </c>
      <c r="AB90">
        <f>IF(AND('04 Wan'!D90&gt;Tmin, NOT('04 Wan'!$I90="")),'04 Wan'!$I90,0)</f>
        <v>0</v>
      </c>
      <c r="AC90">
        <f>IF(AND('04 Wan'!E90&gt;Tmin, NOT('04 Wan'!$I90="")),'04 Wan'!$I90,0)</f>
        <v>0</v>
      </c>
      <c r="AD90">
        <f>IF(AND('04 Wan'!F90&gt;Tmin, NOT('04 Wan'!$I90="")),'04 Wan'!$I90,0)</f>
        <v>0</v>
      </c>
      <c r="AE90">
        <f>IF(AND('04 Wan'!C90&lt;Tmax, NOT('04 Wan'!$H90="")),'04 Wan'!$H90,4)</f>
        <v>3</v>
      </c>
      <c r="AF90">
        <f>IF(AND('04 Wan'!D90&lt;Tmax, NOT('04 Wan'!$H90="")),'04 Wan'!$H90,4)</f>
        <v>3</v>
      </c>
      <c r="AG90">
        <f>IF(AND('04 Wan'!E90&lt;Tmax, NOT('04 Wan'!$H90="")),'04 Wan'!$H90,4)</f>
        <v>3</v>
      </c>
      <c r="AH90">
        <f>IF(AND('04 Wan'!F90&lt;Tmax, NOT('04 Wan'!$H90="")),'04 Wan'!$H90,4)</f>
        <v>3</v>
      </c>
      <c r="AI90"/>
    </row>
    <row r="91" spans="1:35" x14ac:dyDescent="0.2">
      <c r="A91" s="644" t="s">
        <v>2757</v>
      </c>
      <c r="B91" s="644" t="s">
        <v>2758</v>
      </c>
      <c r="C91" s="887"/>
      <c r="D91" s="887"/>
      <c r="E91" s="887"/>
      <c r="F91" s="887"/>
      <c r="G91" s="1445"/>
      <c r="H91" s="1445"/>
      <c r="I91" s="1445"/>
      <c r="J91" s="1445"/>
      <c r="K91" s="1459"/>
      <c r="L91" s="1459"/>
      <c r="M91" s="887"/>
      <c r="AA91"/>
      <c r="AB91"/>
      <c r="AC91"/>
      <c r="AD91"/>
      <c r="AE91"/>
      <c r="AF91"/>
      <c r="AG91"/>
      <c r="AH91"/>
      <c r="AI91"/>
    </row>
    <row r="92" spans="1:35" ht="78" customHeight="1" outlineLevel="1" x14ac:dyDescent="0.2">
      <c r="A92" s="633" t="s">
        <v>5639</v>
      </c>
      <c r="B92" s="634" t="s">
        <v>917</v>
      </c>
      <c r="C92" s="887"/>
      <c r="D92" s="887"/>
      <c r="E92" s="887"/>
      <c r="F92" s="887"/>
      <c r="G92" s="1445"/>
      <c r="H92" s="1445"/>
      <c r="I92" s="1445"/>
      <c r="J92" s="1445"/>
      <c r="K92" s="1459"/>
      <c r="L92" s="1459"/>
      <c r="M92" s="887"/>
      <c r="AA92"/>
      <c r="AB92"/>
      <c r="AC92"/>
      <c r="AD92"/>
      <c r="AE92"/>
      <c r="AF92"/>
      <c r="AG92"/>
      <c r="AH92"/>
      <c r="AI92"/>
    </row>
    <row r="93" spans="1:35" ht="22.5" outlineLevel="2" x14ac:dyDescent="0.2">
      <c r="A93" s="636" t="s">
        <v>976</v>
      </c>
      <c r="B93" s="636" t="s">
        <v>977</v>
      </c>
      <c r="C93" s="887"/>
      <c r="D93" s="887"/>
      <c r="E93" s="887"/>
      <c r="F93" s="887"/>
      <c r="G93" s="1445">
        <v>4</v>
      </c>
      <c r="H93" s="1445"/>
      <c r="I93" s="1445"/>
      <c r="J93" s="1445" t="s">
        <v>1592</v>
      </c>
      <c r="K93" s="1459" t="s">
        <v>5882</v>
      </c>
      <c r="L93" s="1459" t="s">
        <v>978</v>
      </c>
      <c r="M93" s="887"/>
      <c r="AA93">
        <f>IF(AND('04 Wan'!C93&gt;Tmin, NOT('04 Wan'!$I93="")),'04 Wan'!$I93,0)</f>
        <v>0</v>
      </c>
      <c r="AB93">
        <f>IF(AND('04 Wan'!D93&gt;Tmin, NOT('04 Wan'!$I93="")),'04 Wan'!$I93,0)</f>
        <v>0</v>
      </c>
      <c r="AC93">
        <f>IF(AND('04 Wan'!E93&gt;Tmin, NOT('04 Wan'!$I93="")),'04 Wan'!$I93,0)</f>
        <v>0</v>
      </c>
      <c r="AD93">
        <f>IF(AND('04 Wan'!F93&gt;Tmin, NOT('04 Wan'!$I93="")),'04 Wan'!$I93,0)</f>
        <v>0</v>
      </c>
      <c r="AE93">
        <f>IF(AND('04 Wan'!C93&lt;Tmax, NOT('04 Wan'!$H93="")),'04 Wan'!$H93,4)</f>
        <v>4</v>
      </c>
      <c r="AF93">
        <f>IF(AND('04 Wan'!D93&lt;Tmax, NOT('04 Wan'!$H93="")),'04 Wan'!$H93,4)</f>
        <v>4</v>
      </c>
      <c r="AG93">
        <f>IF(AND('04 Wan'!E93&lt;Tmax, NOT('04 Wan'!$H93="")),'04 Wan'!$H93,4)</f>
        <v>4</v>
      </c>
      <c r="AH93">
        <f>IF(AND('04 Wan'!F93&lt;Tmax, NOT('04 Wan'!$H93="")),'04 Wan'!$H93,4)</f>
        <v>4</v>
      </c>
      <c r="AI93"/>
    </row>
    <row r="94" spans="1:35" ht="45" outlineLevel="2" x14ac:dyDescent="0.2">
      <c r="A94" s="636" t="s">
        <v>979</v>
      </c>
      <c r="B94" s="636" t="s">
        <v>3803</v>
      </c>
      <c r="C94" s="887"/>
      <c r="D94" s="887"/>
      <c r="E94" s="887"/>
      <c r="F94" s="887"/>
      <c r="G94" s="1445">
        <v>4</v>
      </c>
      <c r="H94" s="1445">
        <v>2</v>
      </c>
      <c r="I94" s="1445"/>
      <c r="J94" s="1445" t="s">
        <v>1592</v>
      </c>
      <c r="K94" s="1459"/>
      <c r="L94" s="1459"/>
      <c r="M94" s="887"/>
      <c r="AA94">
        <f>IF(AND('04 Wan'!C94&gt;Tmin, NOT('04 Wan'!$I94="")),'04 Wan'!$I94,0)</f>
        <v>0</v>
      </c>
      <c r="AB94">
        <f>IF(AND('04 Wan'!D94&gt;Tmin, NOT('04 Wan'!$I94="")),'04 Wan'!$I94,0)</f>
        <v>0</v>
      </c>
      <c r="AC94">
        <f>IF(AND('04 Wan'!E94&gt;Tmin, NOT('04 Wan'!$I94="")),'04 Wan'!$I94,0)</f>
        <v>0</v>
      </c>
      <c r="AD94">
        <f>IF(AND('04 Wan'!F94&gt;Tmin, NOT('04 Wan'!$I94="")),'04 Wan'!$I94,0)</f>
        <v>0</v>
      </c>
      <c r="AE94">
        <f>IF(AND('04 Wan'!C94&lt;Tmax, NOT('04 Wan'!$H94="")),'04 Wan'!$H94,4)</f>
        <v>2</v>
      </c>
      <c r="AF94">
        <f>IF(AND('04 Wan'!D94&lt;Tmax, NOT('04 Wan'!$H94="")),'04 Wan'!$H94,4)</f>
        <v>2</v>
      </c>
      <c r="AG94">
        <f>IF(AND('04 Wan'!E94&lt;Tmax, NOT('04 Wan'!$H94="")),'04 Wan'!$H94,4)</f>
        <v>2</v>
      </c>
      <c r="AH94">
        <f>IF(AND('04 Wan'!F94&lt;Tmax, NOT('04 Wan'!$H94="")),'04 Wan'!$H94,4)</f>
        <v>2</v>
      </c>
      <c r="AI94"/>
    </row>
    <row r="95" spans="1:35" ht="22.5" outlineLevel="2" x14ac:dyDescent="0.2">
      <c r="A95" s="636" t="s">
        <v>980</v>
      </c>
      <c r="B95" s="636" t="s">
        <v>981</v>
      </c>
      <c r="C95" s="887"/>
      <c r="D95" s="887"/>
      <c r="E95" s="887"/>
      <c r="F95" s="887"/>
      <c r="G95" s="1445">
        <v>4</v>
      </c>
      <c r="H95" s="1445">
        <v>3</v>
      </c>
      <c r="I95" s="1445"/>
      <c r="J95" s="1445" t="s">
        <v>2329</v>
      </c>
      <c r="K95" s="1458" t="s">
        <v>5713</v>
      </c>
      <c r="L95" s="1459" t="s">
        <v>7317</v>
      </c>
      <c r="M95" s="887"/>
      <c r="AA95">
        <f>IF(AND('04 Wan'!C95&gt;Tmin, NOT('04 Wan'!$I95="")),'04 Wan'!$I95,0)</f>
        <v>0</v>
      </c>
      <c r="AB95">
        <f>IF(AND('04 Wan'!D95&gt;Tmin, NOT('04 Wan'!$I95="")),'04 Wan'!$I95,0)</f>
        <v>0</v>
      </c>
      <c r="AC95">
        <f>IF(AND('04 Wan'!E95&gt;Tmin, NOT('04 Wan'!$I95="")),'04 Wan'!$I95,0)</f>
        <v>0</v>
      </c>
      <c r="AD95">
        <f>IF(AND('04 Wan'!F95&gt;Tmin, NOT('04 Wan'!$I95="")),'04 Wan'!$I95,0)</f>
        <v>0</v>
      </c>
      <c r="AE95">
        <f>IF(AND('04 Wan'!C95&lt;Tmax, NOT('04 Wan'!$H95="")),'04 Wan'!$H95,4)</f>
        <v>3</v>
      </c>
      <c r="AF95">
        <f>IF(AND('04 Wan'!D95&lt;Tmax, NOT('04 Wan'!$H95="")),'04 Wan'!$H95,4)</f>
        <v>3</v>
      </c>
      <c r="AG95">
        <f>IF(AND('04 Wan'!E95&lt;Tmax, NOT('04 Wan'!$H95="")),'04 Wan'!$H95,4)</f>
        <v>3</v>
      </c>
      <c r="AH95">
        <f>IF(AND('04 Wan'!F95&lt;Tmax, NOT('04 Wan'!$H95="")),'04 Wan'!$H95,4)</f>
        <v>3</v>
      </c>
      <c r="AI95"/>
    </row>
    <row r="96" spans="1:35" ht="55.5" customHeight="1" outlineLevel="2" x14ac:dyDescent="0.2">
      <c r="A96" s="636" t="s">
        <v>6109</v>
      </c>
      <c r="B96" s="636" t="s">
        <v>3640</v>
      </c>
      <c r="C96" s="887"/>
      <c r="D96" s="887"/>
      <c r="E96" s="887"/>
      <c r="F96" s="887"/>
      <c r="G96" s="1445">
        <v>4</v>
      </c>
      <c r="H96" s="1445">
        <v>3</v>
      </c>
      <c r="I96" s="1445">
        <v>3</v>
      </c>
      <c r="J96" s="1445" t="s">
        <v>2107</v>
      </c>
      <c r="K96" s="1459"/>
      <c r="L96" s="1459"/>
      <c r="M96" s="887"/>
      <c r="AA96">
        <f>IF(AND('04 Wan'!C96&gt;Tmin, NOT('04 Wan'!$I96="")),'04 Wan'!$I96,0)</f>
        <v>0</v>
      </c>
      <c r="AB96">
        <f>IF(AND('04 Wan'!D96&gt;Tmin, NOT('04 Wan'!$I96="")),'04 Wan'!$I96,0)</f>
        <v>0</v>
      </c>
      <c r="AC96">
        <f>IF(AND('04 Wan'!E96&gt;Tmin, NOT('04 Wan'!$I96="")),'04 Wan'!$I96,0)</f>
        <v>0</v>
      </c>
      <c r="AD96">
        <f>IF(AND('04 Wan'!F96&gt;Tmin, NOT('04 Wan'!$I96="")),'04 Wan'!$I96,0)</f>
        <v>0</v>
      </c>
      <c r="AE96">
        <f>IF(AND('04 Wan'!C96&lt;Tmax, NOT('04 Wan'!$H96="")),'04 Wan'!$H96,4)</f>
        <v>3</v>
      </c>
      <c r="AF96">
        <f>IF(AND('04 Wan'!D96&lt;Tmax, NOT('04 Wan'!$H96="")),'04 Wan'!$H96,4)</f>
        <v>3</v>
      </c>
      <c r="AG96">
        <f>IF(AND('04 Wan'!E96&lt;Tmax, NOT('04 Wan'!$H96="")),'04 Wan'!$H96,4)</f>
        <v>3</v>
      </c>
      <c r="AH96">
        <f>IF(AND('04 Wan'!F96&lt;Tmax, NOT('04 Wan'!$H96="")),'04 Wan'!$H96,4)</f>
        <v>3</v>
      </c>
      <c r="AI96"/>
    </row>
    <row r="97" spans="1:35" ht="22.5" outlineLevel="2" x14ac:dyDescent="0.2">
      <c r="A97" s="636" t="s">
        <v>6110</v>
      </c>
      <c r="B97" s="636" t="s">
        <v>6546</v>
      </c>
      <c r="C97" s="887"/>
      <c r="D97" s="887"/>
      <c r="E97" s="887"/>
      <c r="F97" s="887"/>
      <c r="G97" s="1445">
        <v>4</v>
      </c>
      <c r="H97" s="1445">
        <v>2</v>
      </c>
      <c r="I97" s="1445"/>
      <c r="J97" s="1445" t="s">
        <v>2349</v>
      </c>
      <c r="K97" s="1459"/>
      <c r="L97" s="1459"/>
      <c r="M97" s="887"/>
      <c r="AA97">
        <f>IF(AND('04 Wan'!C97&gt;Tmin, NOT('04 Wan'!$I97="")),'04 Wan'!$I97,0)</f>
        <v>0</v>
      </c>
      <c r="AB97">
        <f>IF(AND('04 Wan'!D97&gt;Tmin, NOT('04 Wan'!$I97="")),'04 Wan'!$I97,0)</f>
        <v>0</v>
      </c>
      <c r="AC97">
        <f>IF(AND('04 Wan'!E97&gt;Tmin, NOT('04 Wan'!$I97="")),'04 Wan'!$I97,0)</f>
        <v>0</v>
      </c>
      <c r="AD97">
        <f>IF(AND('04 Wan'!F97&gt;Tmin, NOT('04 Wan'!$I97="")),'04 Wan'!$I97,0)</f>
        <v>0</v>
      </c>
      <c r="AE97">
        <f>IF(AND('04 Wan'!C97&lt;Tmax, NOT('04 Wan'!$H97="")),'04 Wan'!$H97,4)</f>
        <v>2</v>
      </c>
      <c r="AF97">
        <f>IF(AND('04 Wan'!D97&lt;Tmax, NOT('04 Wan'!$H97="")),'04 Wan'!$H97,4)</f>
        <v>2</v>
      </c>
      <c r="AG97">
        <f>IF(AND('04 Wan'!E97&lt;Tmax, NOT('04 Wan'!$H97="")),'04 Wan'!$H97,4)</f>
        <v>2</v>
      </c>
      <c r="AH97">
        <f>IF(AND('04 Wan'!F97&lt;Tmax, NOT('04 Wan'!$H97="")),'04 Wan'!$H97,4)</f>
        <v>2</v>
      </c>
      <c r="AI97"/>
    </row>
    <row r="98" spans="1:35" ht="36.75" customHeight="1" outlineLevel="2" x14ac:dyDescent="0.2">
      <c r="A98" s="636" t="s">
        <v>6547</v>
      </c>
      <c r="B98" s="636" t="s">
        <v>2799</v>
      </c>
      <c r="C98" s="887"/>
      <c r="D98" s="887"/>
      <c r="E98" s="887"/>
      <c r="F98" s="887"/>
      <c r="G98" s="1445">
        <v>4</v>
      </c>
      <c r="H98" s="1445">
        <v>2</v>
      </c>
      <c r="I98" s="1445"/>
      <c r="J98" s="1445" t="s">
        <v>2349</v>
      </c>
      <c r="K98" s="1459"/>
      <c r="L98" s="1459"/>
      <c r="M98" s="887"/>
      <c r="AA98">
        <f>IF(AND('04 Wan'!C98&gt;Tmin, NOT('04 Wan'!$I98="")),'04 Wan'!$I98,0)</f>
        <v>0</v>
      </c>
      <c r="AB98">
        <f>IF(AND('04 Wan'!D98&gt;Tmin, NOT('04 Wan'!$I98="")),'04 Wan'!$I98,0)</f>
        <v>0</v>
      </c>
      <c r="AC98">
        <f>IF(AND('04 Wan'!E98&gt;Tmin, NOT('04 Wan'!$I98="")),'04 Wan'!$I98,0)</f>
        <v>0</v>
      </c>
      <c r="AD98">
        <f>IF(AND('04 Wan'!F98&gt;Tmin, NOT('04 Wan'!$I98="")),'04 Wan'!$I98,0)</f>
        <v>0</v>
      </c>
      <c r="AE98">
        <f>IF(AND('04 Wan'!C98&lt;Tmax, NOT('04 Wan'!$H98="")),'04 Wan'!$H98,4)</f>
        <v>2</v>
      </c>
      <c r="AF98">
        <f>IF(AND('04 Wan'!D98&lt;Tmax, NOT('04 Wan'!$H98="")),'04 Wan'!$H98,4)</f>
        <v>2</v>
      </c>
      <c r="AG98">
        <f>IF(AND('04 Wan'!E98&lt;Tmax, NOT('04 Wan'!$H98="")),'04 Wan'!$H98,4)</f>
        <v>2</v>
      </c>
      <c r="AH98">
        <f>IF(AND('04 Wan'!F98&lt;Tmax, NOT('04 Wan'!$H98="")),'04 Wan'!$H98,4)</f>
        <v>2</v>
      </c>
      <c r="AI98"/>
    </row>
    <row r="99" spans="1:35" ht="22.5" outlineLevel="2" x14ac:dyDescent="0.2">
      <c r="A99" s="636" t="s">
        <v>6548</v>
      </c>
      <c r="B99" s="636" t="s">
        <v>1680</v>
      </c>
      <c r="C99" s="887"/>
      <c r="D99" s="887"/>
      <c r="E99" s="887"/>
      <c r="F99" s="887"/>
      <c r="G99" s="1445">
        <v>4</v>
      </c>
      <c r="H99" s="1445">
        <v>3</v>
      </c>
      <c r="I99" s="1445"/>
      <c r="J99" s="1445" t="s">
        <v>2109</v>
      </c>
      <c r="K99" s="1459"/>
      <c r="L99" s="1459"/>
      <c r="M99" s="887"/>
      <c r="AA99">
        <f>IF(AND('04 Wan'!C99&gt;Tmin, NOT('04 Wan'!$I99="")),'04 Wan'!$I99,0)</f>
        <v>0</v>
      </c>
      <c r="AB99">
        <f>IF(AND('04 Wan'!D99&gt;Tmin, NOT('04 Wan'!$I99="")),'04 Wan'!$I99,0)</f>
        <v>0</v>
      </c>
      <c r="AC99">
        <f>IF(AND('04 Wan'!E99&gt;Tmin, NOT('04 Wan'!$I99="")),'04 Wan'!$I99,0)</f>
        <v>0</v>
      </c>
      <c r="AD99">
        <f>IF(AND('04 Wan'!F99&gt;Tmin, NOT('04 Wan'!$I99="")),'04 Wan'!$I99,0)</f>
        <v>0</v>
      </c>
      <c r="AE99">
        <f>IF(AND('04 Wan'!C99&lt;Tmax, NOT('04 Wan'!$H99="")),'04 Wan'!$H99,4)</f>
        <v>3</v>
      </c>
      <c r="AF99">
        <f>IF(AND('04 Wan'!D99&lt;Tmax, NOT('04 Wan'!$H99="")),'04 Wan'!$H99,4)</f>
        <v>3</v>
      </c>
      <c r="AG99">
        <f>IF(AND('04 Wan'!E99&lt;Tmax, NOT('04 Wan'!$H99="")),'04 Wan'!$H99,4)</f>
        <v>3</v>
      </c>
      <c r="AH99">
        <f>IF(AND('04 Wan'!F99&lt;Tmax, NOT('04 Wan'!$H99="")),'04 Wan'!$H99,4)</f>
        <v>3</v>
      </c>
      <c r="AI99"/>
    </row>
    <row r="100" spans="1:35" outlineLevel="1" x14ac:dyDescent="0.2">
      <c r="A100" s="633" t="s">
        <v>5641</v>
      </c>
      <c r="B100" s="634" t="s">
        <v>1681</v>
      </c>
      <c r="C100" s="887"/>
      <c r="D100" s="887"/>
      <c r="E100" s="887"/>
      <c r="F100" s="887"/>
      <c r="G100" s="1445"/>
      <c r="H100" s="1445"/>
      <c r="I100" s="1445"/>
      <c r="J100" s="1445"/>
      <c r="K100" s="1459"/>
      <c r="L100" s="1459"/>
      <c r="M100" s="887"/>
      <c r="AA100"/>
      <c r="AB100"/>
      <c r="AC100"/>
      <c r="AD100"/>
      <c r="AE100"/>
      <c r="AF100"/>
      <c r="AG100"/>
      <c r="AH100"/>
      <c r="AI100"/>
    </row>
    <row r="101" spans="1:35" ht="22.5" outlineLevel="2" x14ac:dyDescent="0.2">
      <c r="A101" s="636" t="s">
        <v>1682</v>
      </c>
      <c r="B101" s="636" t="s">
        <v>1655</v>
      </c>
      <c r="C101" s="887"/>
      <c r="D101" s="887"/>
      <c r="E101" s="887"/>
      <c r="F101" s="887"/>
      <c r="G101" s="1445">
        <v>4</v>
      </c>
      <c r="H101" s="1445"/>
      <c r="I101" s="1445"/>
      <c r="J101" s="1445" t="s">
        <v>1592</v>
      </c>
      <c r="K101" s="1459"/>
      <c r="L101" s="1459"/>
      <c r="M101" s="887"/>
      <c r="AA101">
        <f>IF(AND('04 Wan'!C101&gt;Tmin, NOT('04 Wan'!$I101="")),'04 Wan'!$I101,0)</f>
        <v>0</v>
      </c>
      <c r="AB101">
        <f>IF(AND('04 Wan'!D101&gt;Tmin, NOT('04 Wan'!$I101="")),'04 Wan'!$I101,0)</f>
        <v>0</v>
      </c>
      <c r="AC101">
        <f>IF(AND('04 Wan'!E101&gt;Tmin, NOT('04 Wan'!$I101="")),'04 Wan'!$I101,0)</f>
        <v>0</v>
      </c>
      <c r="AD101">
        <f>IF(AND('04 Wan'!F101&gt;Tmin, NOT('04 Wan'!$I101="")),'04 Wan'!$I101,0)</f>
        <v>0</v>
      </c>
      <c r="AE101">
        <f>IF(AND('04 Wan'!C101&lt;Tmax, NOT('04 Wan'!$H101="")),'04 Wan'!$H101,4)</f>
        <v>4</v>
      </c>
      <c r="AF101">
        <f>IF(AND('04 Wan'!D101&lt;Tmax, NOT('04 Wan'!$H101="")),'04 Wan'!$H101,4)</f>
        <v>4</v>
      </c>
      <c r="AG101">
        <f>IF(AND('04 Wan'!E101&lt;Tmax, NOT('04 Wan'!$H101="")),'04 Wan'!$H101,4)</f>
        <v>4</v>
      </c>
      <c r="AH101">
        <f>IF(AND('04 Wan'!F101&lt;Tmax, NOT('04 Wan'!$H101="")),'04 Wan'!$H101,4)</f>
        <v>4</v>
      </c>
      <c r="AI101"/>
    </row>
    <row r="102" spans="1:35" ht="47.25" customHeight="1" outlineLevel="2" x14ac:dyDescent="0.2">
      <c r="A102" s="636" t="s">
        <v>1656</v>
      </c>
      <c r="B102" s="636" t="s">
        <v>3493</v>
      </c>
      <c r="C102" s="887"/>
      <c r="D102" s="887"/>
      <c r="E102" s="887"/>
      <c r="F102" s="887"/>
      <c r="G102" s="1445">
        <v>4</v>
      </c>
      <c r="H102" s="1445">
        <v>2</v>
      </c>
      <c r="I102" s="1445"/>
      <c r="J102" s="1445" t="s">
        <v>1592</v>
      </c>
      <c r="K102" s="1459"/>
      <c r="L102" s="1459"/>
      <c r="M102" s="887"/>
      <c r="AA102">
        <f>IF(AND('04 Wan'!C102&gt;Tmin, NOT('04 Wan'!$I102="")),'04 Wan'!$I102,0)</f>
        <v>0</v>
      </c>
      <c r="AB102">
        <f>IF(AND('04 Wan'!D102&gt;Tmin, NOT('04 Wan'!$I102="")),'04 Wan'!$I102,0)</f>
        <v>0</v>
      </c>
      <c r="AC102">
        <f>IF(AND('04 Wan'!E102&gt;Tmin, NOT('04 Wan'!$I102="")),'04 Wan'!$I102,0)</f>
        <v>0</v>
      </c>
      <c r="AD102">
        <f>IF(AND('04 Wan'!F102&gt;Tmin, NOT('04 Wan'!$I102="")),'04 Wan'!$I102,0)</f>
        <v>0</v>
      </c>
      <c r="AE102">
        <f>IF(AND('04 Wan'!C102&lt;Tmax, NOT('04 Wan'!$H102="")),'04 Wan'!$H102,4)</f>
        <v>2</v>
      </c>
      <c r="AF102">
        <f>IF(AND('04 Wan'!D102&lt;Tmax, NOT('04 Wan'!$H102="")),'04 Wan'!$H102,4)</f>
        <v>2</v>
      </c>
      <c r="AG102">
        <f>IF(AND('04 Wan'!E102&lt;Tmax, NOT('04 Wan'!$H102="")),'04 Wan'!$H102,4)</f>
        <v>2</v>
      </c>
      <c r="AH102">
        <f>IF(AND('04 Wan'!F102&lt;Tmax, NOT('04 Wan'!$H102="")),'04 Wan'!$H102,4)</f>
        <v>2</v>
      </c>
      <c r="AI102"/>
    </row>
    <row r="103" spans="1:35" ht="24" customHeight="1" outlineLevel="2" x14ac:dyDescent="0.2">
      <c r="A103" s="636" t="s">
        <v>1657</v>
      </c>
      <c r="B103" s="636" t="s">
        <v>981</v>
      </c>
      <c r="C103" s="887"/>
      <c r="D103" s="887"/>
      <c r="E103" s="887"/>
      <c r="F103" s="887"/>
      <c r="G103" s="1445">
        <v>4</v>
      </c>
      <c r="H103" s="1445">
        <v>3</v>
      </c>
      <c r="I103" s="1445"/>
      <c r="J103" s="1445" t="s">
        <v>2329</v>
      </c>
      <c r="K103" s="1459"/>
      <c r="L103" s="1459"/>
      <c r="M103" s="887"/>
      <c r="AA103">
        <f>IF(AND('04 Wan'!C103&gt;Tmin, NOT('04 Wan'!$I103="")),'04 Wan'!$I103,0)</f>
        <v>0</v>
      </c>
      <c r="AB103">
        <f>IF(AND('04 Wan'!D103&gt;Tmin, NOT('04 Wan'!$I103="")),'04 Wan'!$I103,0)</f>
        <v>0</v>
      </c>
      <c r="AC103">
        <f>IF(AND('04 Wan'!E103&gt;Tmin, NOT('04 Wan'!$I103="")),'04 Wan'!$I103,0)</f>
        <v>0</v>
      </c>
      <c r="AD103">
        <f>IF(AND('04 Wan'!F103&gt;Tmin, NOT('04 Wan'!$I103="")),'04 Wan'!$I103,0)</f>
        <v>0</v>
      </c>
      <c r="AE103">
        <f>IF(AND('04 Wan'!C103&lt;Tmax, NOT('04 Wan'!$H103="")),'04 Wan'!$H103,4)</f>
        <v>3</v>
      </c>
      <c r="AF103">
        <f>IF(AND('04 Wan'!D103&lt;Tmax, NOT('04 Wan'!$H103="")),'04 Wan'!$H103,4)</f>
        <v>3</v>
      </c>
      <c r="AG103">
        <f>IF(AND('04 Wan'!E103&lt;Tmax, NOT('04 Wan'!$H103="")),'04 Wan'!$H103,4)</f>
        <v>3</v>
      </c>
      <c r="AH103">
        <f>IF(AND('04 Wan'!F103&lt;Tmax, NOT('04 Wan'!$H103="")),'04 Wan'!$H103,4)</f>
        <v>3</v>
      </c>
      <c r="AI103"/>
    </row>
    <row r="104" spans="1:35" ht="56.25" outlineLevel="2" x14ac:dyDescent="0.2">
      <c r="A104" s="636" t="s">
        <v>1658</v>
      </c>
      <c r="B104" s="636" t="s">
        <v>3821</v>
      </c>
      <c r="C104" s="887"/>
      <c r="D104" s="887"/>
      <c r="E104" s="887"/>
      <c r="F104" s="887"/>
      <c r="G104" s="1445">
        <v>4</v>
      </c>
      <c r="H104" s="1445">
        <v>3</v>
      </c>
      <c r="I104" s="1445">
        <v>3</v>
      </c>
      <c r="J104" s="1445" t="s">
        <v>2107</v>
      </c>
      <c r="K104" s="1459"/>
      <c r="L104" s="1459"/>
      <c r="M104" s="887"/>
      <c r="AA104">
        <f>IF(AND('04 Wan'!C104&gt;Tmin, NOT('04 Wan'!$I104="")),'04 Wan'!$I104,0)</f>
        <v>0</v>
      </c>
      <c r="AB104">
        <f>IF(AND('04 Wan'!D104&gt;Tmin, NOT('04 Wan'!$I104="")),'04 Wan'!$I104,0)</f>
        <v>0</v>
      </c>
      <c r="AC104">
        <f>IF(AND('04 Wan'!E104&gt;Tmin, NOT('04 Wan'!$I104="")),'04 Wan'!$I104,0)</f>
        <v>0</v>
      </c>
      <c r="AD104">
        <f>IF(AND('04 Wan'!F104&gt;Tmin, NOT('04 Wan'!$I104="")),'04 Wan'!$I104,0)</f>
        <v>0</v>
      </c>
      <c r="AE104">
        <f>IF(AND('04 Wan'!C104&lt;Tmax, NOT('04 Wan'!$H104="")),'04 Wan'!$H104,4)</f>
        <v>3</v>
      </c>
      <c r="AF104">
        <f>IF(AND('04 Wan'!D104&lt;Tmax, NOT('04 Wan'!$H104="")),'04 Wan'!$H104,4)</f>
        <v>3</v>
      </c>
      <c r="AG104">
        <f>IF(AND('04 Wan'!E104&lt;Tmax, NOT('04 Wan'!$H104="")),'04 Wan'!$H104,4)</f>
        <v>3</v>
      </c>
      <c r="AH104">
        <f>IF(AND('04 Wan'!F104&lt;Tmax, NOT('04 Wan'!$H104="")),'04 Wan'!$H104,4)</f>
        <v>3</v>
      </c>
      <c r="AI104"/>
    </row>
    <row r="105" spans="1:35" ht="22.5" outlineLevel="2" x14ac:dyDescent="0.2">
      <c r="A105" s="636" t="s">
        <v>1659</v>
      </c>
      <c r="B105" s="636" t="s">
        <v>3107</v>
      </c>
      <c r="C105" s="887"/>
      <c r="D105" s="887"/>
      <c r="E105" s="887"/>
      <c r="F105" s="887"/>
      <c r="G105" s="1445">
        <v>4</v>
      </c>
      <c r="H105" s="1445">
        <v>2</v>
      </c>
      <c r="I105" s="1445"/>
      <c r="J105" s="1445" t="s">
        <v>2349</v>
      </c>
      <c r="K105" s="1459"/>
      <c r="L105" s="1459"/>
      <c r="M105" s="887"/>
      <c r="AA105">
        <f>IF(AND('04 Wan'!C105&gt;Tmin, NOT('04 Wan'!$I105="")),'04 Wan'!$I105,0)</f>
        <v>0</v>
      </c>
      <c r="AB105">
        <f>IF(AND('04 Wan'!D105&gt;Tmin, NOT('04 Wan'!$I105="")),'04 Wan'!$I105,0)</f>
        <v>0</v>
      </c>
      <c r="AC105">
        <f>IF(AND('04 Wan'!E105&gt;Tmin, NOT('04 Wan'!$I105="")),'04 Wan'!$I105,0)</f>
        <v>0</v>
      </c>
      <c r="AD105">
        <f>IF(AND('04 Wan'!F105&gt;Tmin, NOT('04 Wan'!$I105="")),'04 Wan'!$I105,0)</f>
        <v>0</v>
      </c>
      <c r="AE105">
        <f>IF(AND('04 Wan'!C105&lt;Tmax, NOT('04 Wan'!$H105="")),'04 Wan'!$H105,4)</f>
        <v>2</v>
      </c>
      <c r="AF105">
        <f>IF(AND('04 Wan'!D105&lt;Tmax, NOT('04 Wan'!$H105="")),'04 Wan'!$H105,4)</f>
        <v>2</v>
      </c>
      <c r="AG105">
        <f>IF(AND('04 Wan'!E105&lt;Tmax, NOT('04 Wan'!$H105="")),'04 Wan'!$H105,4)</f>
        <v>2</v>
      </c>
      <c r="AH105">
        <f>IF(AND('04 Wan'!F105&lt;Tmax, NOT('04 Wan'!$H105="")),'04 Wan'!$H105,4)</f>
        <v>2</v>
      </c>
      <c r="AI105"/>
    </row>
    <row r="106" spans="1:35" ht="33.75" outlineLevel="2" x14ac:dyDescent="0.2">
      <c r="A106" s="636" t="s">
        <v>3108</v>
      </c>
      <c r="B106" s="636" t="s">
        <v>1449</v>
      </c>
      <c r="C106" s="887"/>
      <c r="D106" s="887"/>
      <c r="E106" s="887"/>
      <c r="F106" s="887"/>
      <c r="G106" s="1445">
        <v>4</v>
      </c>
      <c r="H106" s="1445">
        <v>2</v>
      </c>
      <c r="I106" s="1445"/>
      <c r="J106" s="1445" t="s">
        <v>2349</v>
      </c>
      <c r="K106" s="1459"/>
      <c r="L106" s="1459"/>
      <c r="M106" s="887"/>
      <c r="AA106">
        <f>IF(AND('04 Wan'!C106&gt;Tmin, NOT('04 Wan'!$I106="")),'04 Wan'!$I106,0)</f>
        <v>0</v>
      </c>
      <c r="AB106">
        <f>IF(AND('04 Wan'!D106&gt;Tmin, NOT('04 Wan'!$I106="")),'04 Wan'!$I106,0)</f>
        <v>0</v>
      </c>
      <c r="AC106">
        <f>IF(AND('04 Wan'!E106&gt;Tmin, NOT('04 Wan'!$I106="")),'04 Wan'!$I106,0)</f>
        <v>0</v>
      </c>
      <c r="AD106">
        <f>IF(AND('04 Wan'!F106&gt;Tmin, NOT('04 Wan'!$I106="")),'04 Wan'!$I106,0)</f>
        <v>0</v>
      </c>
      <c r="AE106">
        <f>IF(AND('04 Wan'!C106&lt;Tmax, NOT('04 Wan'!$H106="")),'04 Wan'!$H106,4)</f>
        <v>2</v>
      </c>
      <c r="AF106">
        <f>IF(AND('04 Wan'!D106&lt;Tmax, NOT('04 Wan'!$H106="")),'04 Wan'!$H106,4)</f>
        <v>2</v>
      </c>
      <c r="AG106">
        <f>IF(AND('04 Wan'!E106&lt;Tmax, NOT('04 Wan'!$H106="")),'04 Wan'!$H106,4)</f>
        <v>2</v>
      </c>
      <c r="AH106">
        <f>IF(AND('04 Wan'!F106&lt;Tmax, NOT('04 Wan'!$H106="")),'04 Wan'!$H106,4)</f>
        <v>2</v>
      </c>
      <c r="AI106"/>
    </row>
    <row r="107" spans="1:35" ht="13.5" customHeight="1" outlineLevel="2" x14ac:dyDescent="0.2">
      <c r="A107" s="636" t="s">
        <v>3109</v>
      </c>
      <c r="B107" s="636" t="s">
        <v>3898</v>
      </c>
      <c r="C107" s="887"/>
      <c r="D107" s="887"/>
      <c r="E107" s="887"/>
      <c r="F107" s="887"/>
      <c r="G107" s="1445">
        <v>4</v>
      </c>
      <c r="H107" s="1445">
        <v>3</v>
      </c>
      <c r="I107" s="1445"/>
      <c r="J107" s="1445" t="s">
        <v>2109</v>
      </c>
      <c r="K107" s="1459"/>
      <c r="L107" s="1459"/>
      <c r="M107" s="887"/>
      <c r="AA107">
        <f>IF(AND('04 Wan'!C107&gt;Tmin, NOT('04 Wan'!$I107="")),'04 Wan'!$I107,0)</f>
        <v>0</v>
      </c>
      <c r="AB107">
        <f>IF(AND('04 Wan'!D107&gt;Tmin, NOT('04 Wan'!$I107="")),'04 Wan'!$I107,0)</f>
        <v>0</v>
      </c>
      <c r="AC107">
        <f>IF(AND('04 Wan'!E107&gt;Tmin, NOT('04 Wan'!$I107="")),'04 Wan'!$I107,0)</f>
        <v>0</v>
      </c>
      <c r="AD107">
        <f>IF(AND('04 Wan'!F107&gt;Tmin, NOT('04 Wan'!$I107="")),'04 Wan'!$I107,0)</f>
        <v>0</v>
      </c>
      <c r="AE107">
        <f>IF(AND('04 Wan'!C107&lt;Tmax, NOT('04 Wan'!$H107="")),'04 Wan'!$H107,4)</f>
        <v>3</v>
      </c>
      <c r="AF107">
        <f>IF(AND('04 Wan'!D107&lt;Tmax, NOT('04 Wan'!$H107="")),'04 Wan'!$H107,4)</f>
        <v>3</v>
      </c>
      <c r="AG107">
        <f>IF(AND('04 Wan'!E107&lt;Tmax, NOT('04 Wan'!$H107="")),'04 Wan'!$H107,4)</f>
        <v>3</v>
      </c>
      <c r="AH107">
        <f>IF(AND('04 Wan'!F107&lt;Tmax, NOT('04 Wan'!$H107="")),'04 Wan'!$H107,4)</f>
        <v>3</v>
      </c>
      <c r="AI107"/>
    </row>
    <row r="108" spans="1:35" x14ac:dyDescent="0.2">
      <c r="A108" s="644" t="s">
        <v>2759</v>
      </c>
      <c r="B108" s="644" t="s">
        <v>2760</v>
      </c>
      <c r="C108" s="887"/>
      <c r="D108" s="887"/>
      <c r="E108" s="887"/>
      <c r="F108" s="887"/>
      <c r="G108" s="1445"/>
      <c r="H108" s="1445"/>
      <c r="I108" s="1445"/>
      <c r="J108" s="1445"/>
      <c r="K108" s="1459"/>
      <c r="L108" s="1459"/>
      <c r="M108" s="887"/>
      <c r="AA108"/>
      <c r="AB108"/>
      <c r="AC108"/>
      <c r="AD108"/>
      <c r="AE108"/>
      <c r="AF108"/>
      <c r="AG108"/>
      <c r="AH108"/>
      <c r="AI108"/>
    </row>
    <row r="109" spans="1:35" ht="12" customHeight="1" outlineLevel="1" x14ac:dyDescent="0.2">
      <c r="A109" s="633" t="s">
        <v>6463</v>
      </c>
      <c r="B109" s="634" t="s">
        <v>5857</v>
      </c>
      <c r="C109" s="887"/>
      <c r="D109" s="887"/>
      <c r="E109" s="887"/>
      <c r="F109" s="887"/>
      <c r="G109" s="1445"/>
      <c r="H109" s="1445"/>
      <c r="I109" s="1445"/>
      <c r="J109" s="1445"/>
      <c r="K109" s="1459"/>
      <c r="L109" s="1459"/>
      <c r="M109" s="887"/>
      <c r="AA109"/>
      <c r="AB109"/>
      <c r="AC109"/>
      <c r="AD109"/>
      <c r="AE109"/>
      <c r="AF109"/>
      <c r="AG109"/>
      <c r="AH109"/>
      <c r="AI109"/>
    </row>
    <row r="110" spans="1:35" ht="22.5" outlineLevel="2" x14ac:dyDescent="0.2">
      <c r="A110" s="636" t="s">
        <v>3899</v>
      </c>
      <c r="B110" s="636" t="s">
        <v>1989</v>
      </c>
      <c r="C110" s="887"/>
      <c r="D110" s="887"/>
      <c r="E110" s="887"/>
      <c r="F110" s="887"/>
      <c r="G110" s="1445">
        <v>4</v>
      </c>
      <c r="H110" s="1445"/>
      <c r="I110" s="1445"/>
      <c r="J110" s="1445" t="s">
        <v>1592</v>
      </c>
      <c r="K110" s="1459" t="s">
        <v>7106</v>
      </c>
      <c r="L110" s="1459" t="s">
        <v>7318</v>
      </c>
      <c r="M110" s="887"/>
      <c r="AA110">
        <f>IF(AND('04 Wan'!C110&gt;Tmin, NOT('04 Wan'!$I110="")),'04 Wan'!$I110,0)</f>
        <v>0</v>
      </c>
      <c r="AB110">
        <f>IF(AND('04 Wan'!D110&gt;Tmin, NOT('04 Wan'!$I110="")),'04 Wan'!$I110,0)</f>
        <v>0</v>
      </c>
      <c r="AC110">
        <f>IF(AND('04 Wan'!E110&gt;Tmin, NOT('04 Wan'!$I110="")),'04 Wan'!$I110,0)</f>
        <v>0</v>
      </c>
      <c r="AD110">
        <f>IF(AND('04 Wan'!F110&gt;Tmin, NOT('04 Wan'!$I110="")),'04 Wan'!$I110,0)</f>
        <v>0</v>
      </c>
      <c r="AE110">
        <f>IF(AND('04 Wan'!C110&lt;Tmax, NOT('04 Wan'!$H110="")),'04 Wan'!$H110,4)</f>
        <v>4</v>
      </c>
      <c r="AF110">
        <f>IF(AND('04 Wan'!D110&lt;Tmax, NOT('04 Wan'!$H110="")),'04 Wan'!$H110,4)</f>
        <v>4</v>
      </c>
      <c r="AG110">
        <f>IF(AND('04 Wan'!E110&lt;Tmax, NOT('04 Wan'!$H110="")),'04 Wan'!$H110,4)</f>
        <v>4</v>
      </c>
      <c r="AH110">
        <f>IF(AND('04 Wan'!F110&lt;Tmax, NOT('04 Wan'!$H110="")),'04 Wan'!$H110,4)</f>
        <v>4</v>
      </c>
      <c r="AI110"/>
    </row>
    <row r="111" spans="1:35" ht="22.5" outlineLevel="2" x14ac:dyDescent="0.2">
      <c r="A111" s="636" t="s">
        <v>1990</v>
      </c>
      <c r="B111" s="636" t="s">
        <v>3529</v>
      </c>
      <c r="C111" s="887"/>
      <c r="D111" s="887"/>
      <c r="E111" s="887"/>
      <c r="F111" s="887"/>
      <c r="G111" s="1445">
        <v>4</v>
      </c>
      <c r="H111" s="1445"/>
      <c r="I111" s="1445"/>
      <c r="J111" s="1445" t="s">
        <v>2329</v>
      </c>
      <c r="K111" s="1459" t="s">
        <v>7106</v>
      </c>
      <c r="L111" s="1459" t="s">
        <v>7318</v>
      </c>
      <c r="M111" s="887"/>
      <c r="AA111">
        <f>IF(AND('04 Wan'!C111&gt;Tmin, NOT('04 Wan'!$I111="")),'04 Wan'!$I111,0)</f>
        <v>0</v>
      </c>
      <c r="AB111">
        <f>IF(AND('04 Wan'!D111&gt;Tmin, NOT('04 Wan'!$I111="")),'04 Wan'!$I111,0)</f>
        <v>0</v>
      </c>
      <c r="AC111">
        <f>IF(AND('04 Wan'!E111&gt;Tmin, NOT('04 Wan'!$I111="")),'04 Wan'!$I111,0)</f>
        <v>0</v>
      </c>
      <c r="AD111">
        <f>IF(AND('04 Wan'!F111&gt;Tmin, NOT('04 Wan'!$I111="")),'04 Wan'!$I111,0)</f>
        <v>0</v>
      </c>
      <c r="AE111">
        <f>IF(AND('04 Wan'!C111&lt;Tmax, NOT('04 Wan'!$H111="")),'04 Wan'!$H111,4)</f>
        <v>4</v>
      </c>
      <c r="AF111">
        <f>IF(AND('04 Wan'!D111&lt;Tmax, NOT('04 Wan'!$H111="")),'04 Wan'!$H111,4)</f>
        <v>4</v>
      </c>
      <c r="AG111">
        <f>IF(AND('04 Wan'!E111&lt;Tmax, NOT('04 Wan'!$H111="")),'04 Wan'!$H111,4)</f>
        <v>4</v>
      </c>
      <c r="AH111">
        <f>IF(AND('04 Wan'!F111&lt;Tmax, NOT('04 Wan'!$H111="")),'04 Wan'!$H111,4)</f>
        <v>4</v>
      </c>
      <c r="AI111"/>
    </row>
    <row r="112" spans="1:35" s="651" customFormat="1" outlineLevel="2" x14ac:dyDescent="0.2">
      <c r="A112" s="636" t="s">
        <v>3530</v>
      </c>
      <c r="B112" s="636" t="s">
        <v>2001</v>
      </c>
      <c r="C112" s="887"/>
      <c r="D112" s="887"/>
      <c r="E112" s="887"/>
      <c r="F112" s="887"/>
      <c r="G112" s="1445">
        <v>4</v>
      </c>
      <c r="H112" s="1445"/>
      <c r="I112" s="1445"/>
      <c r="J112" s="1445" t="s">
        <v>1592</v>
      </c>
      <c r="K112" s="1459" t="s">
        <v>7106</v>
      </c>
      <c r="L112" s="1459" t="s">
        <v>7318</v>
      </c>
      <c r="M112" s="887"/>
      <c r="N112" s="168"/>
      <c r="O112" s="656"/>
      <c r="P112" s="656"/>
      <c r="Q112" s="656"/>
      <c r="R112" s="656"/>
      <c r="S112" s="656"/>
      <c r="T112" s="656"/>
      <c r="U112" s="656"/>
      <c r="V112" s="656"/>
      <c r="W112" s="656"/>
      <c r="X112" s="656"/>
      <c r="Y112" s="656"/>
      <c r="Z112" s="656"/>
      <c r="AA112">
        <f>IF(AND('04 Wan'!C112&gt;Tmin, NOT('04 Wan'!$I112="")),'04 Wan'!$I112,0)</f>
        <v>0</v>
      </c>
      <c r="AB112">
        <f>IF(AND('04 Wan'!D112&gt;Tmin, NOT('04 Wan'!$I112="")),'04 Wan'!$I112,0)</f>
        <v>0</v>
      </c>
      <c r="AC112">
        <f>IF(AND('04 Wan'!E112&gt;Tmin, NOT('04 Wan'!$I112="")),'04 Wan'!$I112,0)</f>
        <v>0</v>
      </c>
      <c r="AD112">
        <f>IF(AND('04 Wan'!F112&gt;Tmin, NOT('04 Wan'!$I112="")),'04 Wan'!$I112,0)</f>
        <v>0</v>
      </c>
      <c r="AE112">
        <f>IF(AND('04 Wan'!C112&lt;Tmax, NOT('04 Wan'!$H112="")),'04 Wan'!$H112,4)</f>
        <v>4</v>
      </c>
      <c r="AF112">
        <f>IF(AND('04 Wan'!D112&lt;Tmax, NOT('04 Wan'!$H112="")),'04 Wan'!$H112,4)</f>
        <v>4</v>
      </c>
      <c r="AG112">
        <f>IF(AND('04 Wan'!E112&lt;Tmax, NOT('04 Wan'!$H112="")),'04 Wan'!$H112,4)</f>
        <v>4</v>
      </c>
      <c r="AH112">
        <f>IF(AND('04 Wan'!F112&lt;Tmax, NOT('04 Wan'!$H112="")),'04 Wan'!$H112,4)</f>
        <v>4</v>
      </c>
      <c r="AI112"/>
    </row>
    <row r="113" spans="1:35" ht="22.5" outlineLevel="2" x14ac:dyDescent="0.2">
      <c r="A113" s="636" t="s">
        <v>1155</v>
      </c>
      <c r="B113" s="636" t="s">
        <v>3243</v>
      </c>
      <c r="C113" s="887"/>
      <c r="D113" s="887"/>
      <c r="E113" s="887"/>
      <c r="F113" s="887"/>
      <c r="G113" s="1445">
        <v>4</v>
      </c>
      <c r="H113" s="1445"/>
      <c r="I113" s="1445"/>
      <c r="J113" s="1445" t="s">
        <v>2329</v>
      </c>
      <c r="K113" s="1459"/>
      <c r="L113" s="1459"/>
      <c r="M113" s="887"/>
      <c r="AA113">
        <f>IF(AND('04 Wan'!C113&gt;Tmin, NOT('04 Wan'!$I113="")),'04 Wan'!$I113,0)</f>
        <v>0</v>
      </c>
      <c r="AB113">
        <f>IF(AND('04 Wan'!D113&gt;Tmin, NOT('04 Wan'!$I113="")),'04 Wan'!$I113,0)</f>
        <v>0</v>
      </c>
      <c r="AC113">
        <f>IF(AND('04 Wan'!E113&gt;Tmin, NOT('04 Wan'!$I113="")),'04 Wan'!$I113,0)</f>
        <v>0</v>
      </c>
      <c r="AD113">
        <f>IF(AND('04 Wan'!F113&gt;Tmin, NOT('04 Wan'!$I113="")),'04 Wan'!$I113,0)</f>
        <v>0</v>
      </c>
      <c r="AE113">
        <f>IF(AND('04 Wan'!C113&lt;Tmax, NOT('04 Wan'!$H113="")),'04 Wan'!$H113,4)</f>
        <v>4</v>
      </c>
      <c r="AF113">
        <f>IF(AND('04 Wan'!D113&lt;Tmax, NOT('04 Wan'!$H113="")),'04 Wan'!$H113,4)</f>
        <v>4</v>
      </c>
      <c r="AG113">
        <f>IF(AND('04 Wan'!E113&lt;Tmax, NOT('04 Wan'!$H113="")),'04 Wan'!$H113,4)</f>
        <v>4</v>
      </c>
      <c r="AH113">
        <f>IF(AND('04 Wan'!F113&lt;Tmax, NOT('04 Wan'!$H113="")),'04 Wan'!$H113,4)</f>
        <v>4</v>
      </c>
      <c r="AI113"/>
    </row>
    <row r="114" spans="1:35" ht="22.5" outlineLevel="2" x14ac:dyDescent="0.2">
      <c r="A114" s="636" t="s">
        <v>3244</v>
      </c>
      <c r="B114" s="636" t="s">
        <v>6848</v>
      </c>
      <c r="C114" s="887"/>
      <c r="D114" s="887"/>
      <c r="E114" s="887"/>
      <c r="F114" s="887"/>
      <c r="G114" s="1445">
        <v>4</v>
      </c>
      <c r="H114" s="1445">
        <v>2</v>
      </c>
      <c r="I114" s="1445"/>
      <c r="J114" s="1445" t="s">
        <v>2329</v>
      </c>
      <c r="K114" s="1459"/>
      <c r="L114" s="1459"/>
      <c r="M114" s="887"/>
      <c r="AA114">
        <f>IF(AND('04 Wan'!C114&gt;Tmin, NOT('04 Wan'!$I114="")),'04 Wan'!$I114,0)</f>
        <v>0</v>
      </c>
      <c r="AB114">
        <f>IF(AND('04 Wan'!D114&gt;Tmin, NOT('04 Wan'!$I114="")),'04 Wan'!$I114,0)</f>
        <v>0</v>
      </c>
      <c r="AC114">
        <f>IF(AND('04 Wan'!E114&gt;Tmin, NOT('04 Wan'!$I114="")),'04 Wan'!$I114,0)</f>
        <v>0</v>
      </c>
      <c r="AD114">
        <f>IF(AND('04 Wan'!F114&gt;Tmin, NOT('04 Wan'!$I114="")),'04 Wan'!$I114,0)</f>
        <v>0</v>
      </c>
      <c r="AE114">
        <f>IF(AND('04 Wan'!C114&lt;Tmax, NOT('04 Wan'!$H114="")),'04 Wan'!$H114,4)</f>
        <v>2</v>
      </c>
      <c r="AF114">
        <f>IF(AND('04 Wan'!D114&lt;Tmax, NOT('04 Wan'!$H114="")),'04 Wan'!$H114,4)</f>
        <v>2</v>
      </c>
      <c r="AG114">
        <f>IF(AND('04 Wan'!E114&lt;Tmax, NOT('04 Wan'!$H114="")),'04 Wan'!$H114,4)</f>
        <v>2</v>
      </c>
      <c r="AH114">
        <f>IF(AND('04 Wan'!F114&lt;Tmax, NOT('04 Wan'!$H114="")),'04 Wan'!$H114,4)</f>
        <v>2</v>
      </c>
      <c r="AI114"/>
    </row>
    <row r="115" spans="1:35" ht="22.5" outlineLevel="2" x14ac:dyDescent="0.2">
      <c r="A115" s="636" t="s">
        <v>3245</v>
      </c>
      <c r="B115" s="636" t="s">
        <v>4549</v>
      </c>
      <c r="C115" s="887"/>
      <c r="D115" s="887"/>
      <c r="E115" s="887"/>
      <c r="F115" s="887"/>
      <c r="G115" s="1445">
        <v>4</v>
      </c>
      <c r="H115" s="1445">
        <v>3</v>
      </c>
      <c r="I115" s="1445"/>
      <c r="J115" s="1445" t="s">
        <v>2329</v>
      </c>
      <c r="K115" s="1459"/>
      <c r="L115" s="1459"/>
      <c r="M115" s="887"/>
      <c r="AA115">
        <f>IF(AND('04 Wan'!C115&gt;Tmin, NOT('04 Wan'!$I115="")),'04 Wan'!$I115,0)</f>
        <v>0</v>
      </c>
      <c r="AB115">
        <f>IF(AND('04 Wan'!D115&gt;Tmin, NOT('04 Wan'!$I115="")),'04 Wan'!$I115,0)</f>
        <v>0</v>
      </c>
      <c r="AC115">
        <f>IF(AND('04 Wan'!E115&gt;Tmin, NOT('04 Wan'!$I115="")),'04 Wan'!$I115,0)</f>
        <v>0</v>
      </c>
      <c r="AD115">
        <f>IF(AND('04 Wan'!F115&gt;Tmin, NOT('04 Wan'!$I115="")),'04 Wan'!$I115,0)</f>
        <v>0</v>
      </c>
      <c r="AE115">
        <f>IF(AND('04 Wan'!C115&lt;Tmax, NOT('04 Wan'!$H115="")),'04 Wan'!$H115,4)</f>
        <v>3</v>
      </c>
      <c r="AF115">
        <f>IF(AND('04 Wan'!D115&lt;Tmax, NOT('04 Wan'!$H115="")),'04 Wan'!$H115,4)</f>
        <v>3</v>
      </c>
      <c r="AG115">
        <f>IF(AND('04 Wan'!E115&lt;Tmax, NOT('04 Wan'!$H115="")),'04 Wan'!$H115,4)</f>
        <v>3</v>
      </c>
      <c r="AH115">
        <f>IF(AND('04 Wan'!F115&lt;Tmax, NOT('04 Wan'!$H115="")),'04 Wan'!$H115,4)</f>
        <v>3</v>
      </c>
      <c r="AI115"/>
    </row>
    <row r="116" spans="1:35" ht="22.5" outlineLevel="2" x14ac:dyDescent="0.2">
      <c r="A116" s="636" t="s">
        <v>5381</v>
      </c>
      <c r="B116" s="636" t="s">
        <v>5366</v>
      </c>
      <c r="C116" s="887"/>
      <c r="D116" s="887"/>
      <c r="E116" s="887"/>
      <c r="F116" s="887"/>
      <c r="G116" s="1445">
        <v>4</v>
      </c>
      <c r="H116" s="1445"/>
      <c r="I116" s="1445"/>
      <c r="J116" s="1445" t="s">
        <v>2349</v>
      </c>
      <c r="K116" s="1459"/>
      <c r="L116" s="1459"/>
      <c r="M116" s="887"/>
      <c r="AA116">
        <f>IF(AND('04 Wan'!C116&gt;Tmin, NOT('04 Wan'!$I116="")),'04 Wan'!$I116,0)</f>
        <v>0</v>
      </c>
      <c r="AB116">
        <f>IF(AND('04 Wan'!D116&gt;Tmin, NOT('04 Wan'!$I116="")),'04 Wan'!$I116,0)</f>
        <v>0</v>
      </c>
      <c r="AC116">
        <f>IF(AND('04 Wan'!E116&gt;Tmin, NOT('04 Wan'!$I116="")),'04 Wan'!$I116,0)</f>
        <v>0</v>
      </c>
      <c r="AD116">
        <f>IF(AND('04 Wan'!F116&gt;Tmin, NOT('04 Wan'!$I116="")),'04 Wan'!$I116,0)</f>
        <v>0</v>
      </c>
      <c r="AE116">
        <f>IF(AND('04 Wan'!C116&lt;Tmax, NOT('04 Wan'!$H116="")),'04 Wan'!$H116,4)</f>
        <v>4</v>
      </c>
      <c r="AF116">
        <f>IF(AND('04 Wan'!D116&lt;Tmax, NOT('04 Wan'!$H116="")),'04 Wan'!$H116,4)</f>
        <v>4</v>
      </c>
      <c r="AG116">
        <f>IF(AND('04 Wan'!E116&lt;Tmax, NOT('04 Wan'!$H116="")),'04 Wan'!$H116,4)</f>
        <v>4</v>
      </c>
      <c r="AH116">
        <f>IF(AND('04 Wan'!F116&lt;Tmax, NOT('04 Wan'!$H116="")),'04 Wan'!$H116,4)</f>
        <v>4</v>
      </c>
      <c r="AI116"/>
    </row>
    <row r="117" spans="1:35" ht="22.5" outlineLevel="2" x14ac:dyDescent="0.2">
      <c r="A117" s="636" t="s">
        <v>5367</v>
      </c>
      <c r="B117" s="636" t="s">
        <v>4527</v>
      </c>
      <c r="C117" s="887"/>
      <c r="D117" s="887"/>
      <c r="E117" s="887"/>
      <c r="F117" s="887"/>
      <c r="G117" s="1445">
        <v>4</v>
      </c>
      <c r="H117" s="1445">
        <v>3</v>
      </c>
      <c r="I117" s="1445"/>
      <c r="J117" s="1445" t="s">
        <v>2349</v>
      </c>
      <c r="K117" s="1459" t="s">
        <v>1369</v>
      </c>
      <c r="L117" s="1459" t="s">
        <v>7318</v>
      </c>
      <c r="M117" s="887"/>
      <c r="AA117">
        <f>IF(AND('04 Wan'!C117&gt;Tmin, NOT('04 Wan'!$I117="")),'04 Wan'!$I117,0)</f>
        <v>0</v>
      </c>
      <c r="AB117">
        <f>IF(AND('04 Wan'!D117&gt;Tmin, NOT('04 Wan'!$I117="")),'04 Wan'!$I117,0)</f>
        <v>0</v>
      </c>
      <c r="AC117">
        <f>IF(AND('04 Wan'!E117&gt;Tmin, NOT('04 Wan'!$I117="")),'04 Wan'!$I117,0)</f>
        <v>0</v>
      </c>
      <c r="AD117">
        <f>IF(AND('04 Wan'!F117&gt;Tmin, NOT('04 Wan'!$I117="")),'04 Wan'!$I117,0)</f>
        <v>0</v>
      </c>
      <c r="AE117">
        <f>IF(AND('04 Wan'!C117&lt;Tmax, NOT('04 Wan'!$H117="")),'04 Wan'!$H117,4)</f>
        <v>3</v>
      </c>
      <c r="AF117">
        <f>IF(AND('04 Wan'!D117&lt;Tmax, NOT('04 Wan'!$H117="")),'04 Wan'!$H117,4)</f>
        <v>3</v>
      </c>
      <c r="AG117">
        <f>IF(AND('04 Wan'!E117&lt;Tmax, NOT('04 Wan'!$H117="")),'04 Wan'!$H117,4)</f>
        <v>3</v>
      </c>
      <c r="AH117">
        <f>IF(AND('04 Wan'!F117&lt;Tmax, NOT('04 Wan'!$H117="")),'04 Wan'!$H117,4)</f>
        <v>3</v>
      </c>
      <c r="AI117"/>
    </row>
    <row r="118" spans="1:35" ht="13.5" customHeight="1" outlineLevel="2" x14ac:dyDescent="0.2">
      <c r="A118" s="636" t="s">
        <v>4528</v>
      </c>
      <c r="B118" s="636" t="s">
        <v>6339</v>
      </c>
      <c r="C118" s="887"/>
      <c r="D118" s="887"/>
      <c r="E118" s="887"/>
      <c r="F118" s="887"/>
      <c r="G118" s="1445">
        <v>2</v>
      </c>
      <c r="H118" s="1445"/>
      <c r="I118" s="1445"/>
      <c r="J118" s="1445" t="s">
        <v>1592</v>
      </c>
      <c r="K118" s="1459" t="s">
        <v>2026</v>
      </c>
      <c r="L118" s="1459" t="s">
        <v>7319</v>
      </c>
      <c r="M118" s="887"/>
      <c r="AA118">
        <f>IF(AND('04 Wan'!C118&gt;Tmin, NOT('04 Wan'!$I118="")),'04 Wan'!$I118,0)</f>
        <v>0</v>
      </c>
      <c r="AB118">
        <f>IF(AND('04 Wan'!D118&gt;Tmin, NOT('04 Wan'!$I118="")),'04 Wan'!$I118,0)</f>
        <v>0</v>
      </c>
      <c r="AC118">
        <f>IF(AND('04 Wan'!E118&gt;Tmin, NOT('04 Wan'!$I118="")),'04 Wan'!$I118,0)</f>
        <v>0</v>
      </c>
      <c r="AD118">
        <f>IF(AND('04 Wan'!F118&gt;Tmin, NOT('04 Wan'!$I118="")),'04 Wan'!$I118,0)</f>
        <v>0</v>
      </c>
      <c r="AE118">
        <f>IF(AND('04 Wan'!C118&lt;Tmax, NOT('04 Wan'!$H118="")),'04 Wan'!$H118,4)</f>
        <v>4</v>
      </c>
      <c r="AF118">
        <f>IF(AND('04 Wan'!D118&lt;Tmax, NOT('04 Wan'!$H118="")),'04 Wan'!$H118,4)</f>
        <v>4</v>
      </c>
      <c r="AG118">
        <f>IF(AND('04 Wan'!E118&lt;Tmax, NOT('04 Wan'!$H118="")),'04 Wan'!$H118,4)</f>
        <v>4</v>
      </c>
      <c r="AH118">
        <f>IF(AND('04 Wan'!F118&lt;Tmax, NOT('04 Wan'!$H118="")),'04 Wan'!$H118,4)</f>
        <v>4</v>
      </c>
      <c r="AI118"/>
    </row>
    <row r="119" spans="1:35" ht="22.5" outlineLevel="2" x14ac:dyDescent="0.2">
      <c r="A119" s="636" t="s">
        <v>5032</v>
      </c>
      <c r="B119" s="636" t="s">
        <v>4985</v>
      </c>
      <c r="C119" s="887"/>
      <c r="D119" s="887"/>
      <c r="E119" s="887"/>
      <c r="F119" s="887"/>
      <c r="G119" s="1445">
        <v>2</v>
      </c>
      <c r="H119" s="1445">
        <v>3</v>
      </c>
      <c r="I119" s="1445"/>
      <c r="J119" s="1445" t="s">
        <v>2109</v>
      </c>
      <c r="K119" s="1459"/>
      <c r="L119" s="1459"/>
      <c r="M119" s="887"/>
      <c r="AA119">
        <f>IF(AND('04 Wan'!C119&gt;Tmin, NOT('04 Wan'!$I119="")),'04 Wan'!$I119,0)</f>
        <v>0</v>
      </c>
      <c r="AB119">
        <f>IF(AND('04 Wan'!D119&gt;Tmin, NOT('04 Wan'!$I119="")),'04 Wan'!$I119,0)</f>
        <v>0</v>
      </c>
      <c r="AC119">
        <f>IF(AND('04 Wan'!E119&gt;Tmin, NOT('04 Wan'!$I119="")),'04 Wan'!$I119,0)</f>
        <v>0</v>
      </c>
      <c r="AD119">
        <f>IF(AND('04 Wan'!F119&gt;Tmin, NOT('04 Wan'!$I119="")),'04 Wan'!$I119,0)</f>
        <v>0</v>
      </c>
      <c r="AE119">
        <f>IF(AND('04 Wan'!C119&lt;Tmax, NOT('04 Wan'!$H119="")),'04 Wan'!$H119,4)</f>
        <v>3</v>
      </c>
      <c r="AF119">
        <f>IF(AND('04 Wan'!D119&lt;Tmax, NOT('04 Wan'!$H119="")),'04 Wan'!$H119,4)</f>
        <v>3</v>
      </c>
      <c r="AG119">
        <f>IF(AND('04 Wan'!E119&lt;Tmax, NOT('04 Wan'!$H119="")),'04 Wan'!$H119,4)</f>
        <v>3</v>
      </c>
      <c r="AH119">
        <f>IF(AND('04 Wan'!F119&lt;Tmax, NOT('04 Wan'!$H119="")),'04 Wan'!$H119,4)</f>
        <v>3</v>
      </c>
      <c r="AI119"/>
    </row>
    <row r="120" spans="1:35" outlineLevel="1" x14ac:dyDescent="0.2">
      <c r="A120" s="633" t="s">
        <v>5858</v>
      </c>
      <c r="B120" s="634" t="s">
        <v>5859</v>
      </c>
      <c r="C120" s="887"/>
      <c r="D120" s="887"/>
      <c r="E120" s="887"/>
      <c r="F120" s="887"/>
      <c r="G120" s="1445"/>
      <c r="H120" s="1445"/>
      <c r="I120" s="1445"/>
      <c r="J120" s="1445"/>
      <c r="K120" s="1459"/>
      <c r="L120" s="1459"/>
      <c r="M120" s="887"/>
      <c r="AA120"/>
      <c r="AB120"/>
      <c r="AC120"/>
      <c r="AD120"/>
      <c r="AE120"/>
      <c r="AF120"/>
      <c r="AG120"/>
      <c r="AH120"/>
      <c r="AI120"/>
    </row>
    <row r="121" spans="1:35" ht="33.75" outlineLevel="2" x14ac:dyDescent="0.2">
      <c r="A121" s="636" t="s">
        <v>4986</v>
      </c>
      <c r="B121" s="636" t="s">
        <v>4987</v>
      </c>
      <c r="C121" s="887"/>
      <c r="D121" s="887"/>
      <c r="E121" s="887"/>
      <c r="F121" s="887"/>
      <c r="G121" s="1445">
        <v>2</v>
      </c>
      <c r="H121" s="1445"/>
      <c r="I121" s="1445"/>
      <c r="J121" s="1445" t="s">
        <v>4246</v>
      </c>
      <c r="K121" s="1459" t="s">
        <v>1369</v>
      </c>
      <c r="L121" s="1459" t="s">
        <v>7320</v>
      </c>
      <c r="M121" s="887"/>
      <c r="AA121">
        <f>IF(AND('04 Wan'!C121&gt;Tmin, NOT('04 Wan'!$I121="")),'04 Wan'!$I121,0)</f>
        <v>0</v>
      </c>
      <c r="AB121">
        <f>IF(AND('04 Wan'!D121&gt;Tmin, NOT('04 Wan'!$I121="")),'04 Wan'!$I121,0)</f>
        <v>0</v>
      </c>
      <c r="AC121">
        <f>IF(AND('04 Wan'!E121&gt;Tmin, NOT('04 Wan'!$I121="")),'04 Wan'!$I121,0)</f>
        <v>0</v>
      </c>
      <c r="AD121">
        <f>IF(AND('04 Wan'!F121&gt;Tmin, NOT('04 Wan'!$I121="")),'04 Wan'!$I121,0)</f>
        <v>0</v>
      </c>
      <c r="AE121">
        <f>IF(AND('04 Wan'!C121&lt;Tmax, NOT('04 Wan'!$H121="")),'04 Wan'!$H121,4)</f>
        <v>4</v>
      </c>
      <c r="AF121">
        <f>IF(AND('04 Wan'!D121&lt;Tmax, NOT('04 Wan'!$H121="")),'04 Wan'!$H121,4)</f>
        <v>4</v>
      </c>
      <c r="AG121">
        <f>IF(AND('04 Wan'!E121&lt;Tmax, NOT('04 Wan'!$H121="")),'04 Wan'!$H121,4)</f>
        <v>4</v>
      </c>
      <c r="AH121">
        <f>IF(AND('04 Wan'!F121&lt;Tmax, NOT('04 Wan'!$H121="")),'04 Wan'!$H121,4)</f>
        <v>4</v>
      </c>
      <c r="AI121"/>
    </row>
    <row r="122" spans="1:35" outlineLevel="2" x14ac:dyDescent="0.2">
      <c r="A122" s="636" t="s">
        <v>4988</v>
      </c>
      <c r="B122" s="636" t="s">
        <v>4989</v>
      </c>
      <c r="C122" s="887"/>
      <c r="D122" s="887"/>
      <c r="E122" s="887"/>
      <c r="F122" s="887"/>
      <c r="G122" s="1445">
        <v>4</v>
      </c>
      <c r="H122" s="1445"/>
      <c r="I122" s="1445"/>
      <c r="J122" s="1445" t="s">
        <v>4246</v>
      </c>
      <c r="K122" s="1459" t="s">
        <v>1369</v>
      </c>
      <c r="L122" s="1459" t="s">
        <v>7320</v>
      </c>
      <c r="M122" s="887"/>
      <c r="AA122">
        <f>IF(AND('04 Wan'!C122&gt;Tmin, NOT('04 Wan'!$I122="")),'04 Wan'!$I122,0)</f>
        <v>0</v>
      </c>
      <c r="AB122">
        <f>IF(AND('04 Wan'!D122&gt;Tmin, NOT('04 Wan'!$I122="")),'04 Wan'!$I122,0)</f>
        <v>0</v>
      </c>
      <c r="AC122">
        <f>IF(AND('04 Wan'!E122&gt;Tmin, NOT('04 Wan'!$I122="")),'04 Wan'!$I122,0)</f>
        <v>0</v>
      </c>
      <c r="AD122">
        <f>IF(AND('04 Wan'!F122&gt;Tmin, NOT('04 Wan'!$I122="")),'04 Wan'!$I122,0)</f>
        <v>0</v>
      </c>
      <c r="AE122">
        <f>IF(AND('04 Wan'!C122&lt;Tmax, NOT('04 Wan'!$H122="")),'04 Wan'!$H122,4)</f>
        <v>4</v>
      </c>
      <c r="AF122">
        <f>IF(AND('04 Wan'!D122&lt;Tmax, NOT('04 Wan'!$H122="")),'04 Wan'!$H122,4)</f>
        <v>4</v>
      </c>
      <c r="AG122">
        <f>IF(AND('04 Wan'!E122&lt;Tmax, NOT('04 Wan'!$H122="")),'04 Wan'!$H122,4)</f>
        <v>4</v>
      </c>
      <c r="AH122">
        <f>IF(AND('04 Wan'!F122&lt;Tmax, NOT('04 Wan'!$H122="")),'04 Wan'!$H122,4)</f>
        <v>4</v>
      </c>
      <c r="AI122"/>
    </row>
    <row r="123" spans="1:35" s="651" customFormat="1" ht="24" customHeight="1" outlineLevel="2" x14ac:dyDescent="0.2">
      <c r="A123" s="636" t="s">
        <v>4990</v>
      </c>
      <c r="B123" s="636" t="s">
        <v>4128</v>
      </c>
      <c r="C123" s="887"/>
      <c r="D123" s="887"/>
      <c r="E123" s="887"/>
      <c r="F123" s="887"/>
      <c r="G123" s="1445">
        <v>4</v>
      </c>
      <c r="H123" s="1445">
        <v>2</v>
      </c>
      <c r="I123" s="1445">
        <v>3</v>
      </c>
      <c r="J123" s="1445" t="s">
        <v>1592</v>
      </c>
      <c r="K123" s="1459"/>
      <c r="L123" s="1459"/>
      <c r="M123" s="887"/>
      <c r="N123" s="168"/>
      <c r="O123" s="656"/>
      <c r="P123" s="656"/>
      <c r="Q123" s="656"/>
      <c r="R123" s="656"/>
      <c r="S123" s="656"/>
      <c r="T123" s="656"/>
      <c r="U123" s="656"/>
      <c r="V123" s="656"/>
      <c r="W123" s="656"/>
      <c r="X123" s="656"/>
      <c r="Y123" s="656"/>
      <c r="Z123" s="656"/>
      <c r="AA123">
        <f>IF(AND('04 Wan'!C123&gt;Tmin, NOT('04 Wan'!$I123="")),'04 Wan'!$I123,0)</f>
        <v>0</v>
      </c>
      <c r="AB123">
        <f>IF(AND('04 Wan'!D123&gt;Tmin, NOT('04 Wan'!$I123="")),'04 Wan'!$I123,0)</f>
        <v>0</v>
      </c>
      <c r="AC123">
        <f>IF(AND('04 Wan'!E123&gt;Tmin, NOT('04 Wan'!$I123="")),'04 Wan'!$I123,0)</f>
        <v>0</v>
      </c>
      <c r="AD123">
        <f>IF(AND('04 Wan'!F123&gt;Tmin, NOT('04 Wan'!$I123="")),'04 Wan'!$I123,0)</f>
        <v>0</v>
      </c>
      <c r="AE123">
        <f>IF(AND('04 Wan'!C123&lt;Tmax, NOT('04 Wan'!$H123="")),'04 Wan'!$H123,4)</f>
        <v>2</v>
      </c>
      <c r="AF123">
        <f>IF(AND('04 Wan'!D123&lt;Tmax, NOT('04 Wan'!$H123="")),'04 Wan'!$H123,4)</f>
        <v>2</v>
      </c>
      <c r="AG123">
        <f>IF(AND('04 Wan'!E123&lt;Tmax, NOT('04 Wan'!$H123="")),'04 Wan'!$H123,4)</f>
        <v>2</v>
      </c>
      <c r="AH123">
        <f>IF(AND('04 Wan'!F123&lt;Tmax, NOT('04 Wan'!$H123="")),'04 Wan'!$H123,4)</f>
        <v>2</v>
      </c>
      <c r="AI123"/>
    </row>
    <row r="124" spans="1:35" s="651" customFormat="1" ht="33.75" outlineLevel="2" x14ac:dyDescent="0.2">
      <c r="A124" s="636" t="s">
        <v>4129</v>
      </c>
      <c r="B124" s="636" t="s">
        <v>4016</v>
      </c>
      <c r="C124" s="887"/>
      <c r="D124" s="887"/>
      <c r="E124" s="887"/>
      <c r="F124" s="887"/>
      <c r="G124" s="1445">
        <v>4</v>
      </c>
      <c r="H124" s="1445"/>
      <c r="I124" s="1445"/>
      <c r="J124" s="1445" t="s">
        <v>1592</v>
      </c>
      <c r="K124" s="1459"/>
      <c r="L124" s="1459"/>
      <c r="M124" s="887"/>
      <c r="N124" s="168"/>
      <c r="O124" s="656"/>
      <c r="P124" s="656"/>
      <c r="Q124" s="656"/>
      <c r="R124" s="656"/>
      <c r="S124" s="656"/>
      <c r="T124" s="656"/>
      <c r="U124" s="656"/>
      <c r="V124" s="656"/>
      <c r="W124" s="656"/>
      <c r="X124" s="656"/>
      <c r="Y124" s="656"/>
      <c r="Z124" s="656"/>
      <c r="AA124">
        <f>IF(AND('04 Wan'!C124&gt;Tmin, NOT('04 Wan'!$I124="")),'04 Wan'!$I124,0)</f>
        <v>0</v>
      </c>
      <c r="AB124">
        <f>IF(AND('04 Wan'!D124&gt;Tmin, NOT('04 Wan'!$I124="")),'04 Wan'!$I124,0)</f>
        <v>0</v>
      </c>
      <c r="AC124">
        <f>IF(AND('04 Wan'!E124&gt;Tmin, NOT('04 Wan'!$I124="")),'04 Wan'!$I124,0)</f>
        <v>0</v>
      </c>
      <c r="AD124">
        <f>IF(AND('04 Wan'!F124&gt;Tmin, NOT('04 Wan'!$I124="")),'04 Wan'!$I124,0)</f>
        <v>0</v>
      </c>
      <c r="AE124">
        <f>IF(AND('04 Wan'!C124&lt;Tmax, NOT('04 Wan'!$H124="")),'04 Wan'!$H124,4)</f>
        <v>4</v>
      </c>
      <c r="AF124">
        <f>IF(AND('04 Wan'!D124&lt;Tmax, NOT('04 Wan'!$H124="")),'04 Wan'!$H124,4)</f>
        <v>4</v>
      </c>
      <c r="AG124">
        <f>IF(AND('04 Wan'!E124&lt;Tmax, NOT('04 Wan'!$H124="")),'04 Wan'!$H124,4)</f>
        <v>4</v>
      </c>
      <c r="AH124">
        <f>IF(AND('04 Wan'!F124&lt;Tmax, NOT('04 Wan'!$H124="")),'04 Wan'!$H124,4)</f>
        <v>4</v>
      </c>
      <c r="AI124"/>
    </row>
    <row r="125" spans="1:35" ht="22.5" outlineLevel="2" x14ac:dyDescent="0.2">
      <c r="A125" s="636" t="s">
        <v>4017</v>
      </c>
      <c r="B125" s="636" t="s">
        <v>5432</v>
      </c>
      <c r="C125" s="887"/>
      <c r="D125" s="887"/>
      <c r="E125" s="887"/>
      <c r="F125" s="887"/>
      <c r="G125" s="1445">
        <v>4</v>
      </c>
      <c r="H125" s="1445"/>
      <c r="I125" s="1445"/>
      <c r="J125" s="1445" t="s">
        <v>2329</v>
      </c>
      <c r="K125" s="1459"/>
      <c r="L125" s="1459"/>
      <c r="M125" s="887"/>
      <c r="AA125">
        <f>IF(AND('04 Wan'!C125&gt;Tmin, NOT('04 Wan'!$I125="")),'04 Wan'!$I125,0)</f>
        <v>0</v>
      </c>
      <c r="AB125">
        <f>IF(AND('04 Wan'!D125&gt;Tmin, NOT('04 Wan'!$I125="")),'04 Wan'!$I125,0)</f>
        <v>0</v>
      </c>
      <c r="AC125">
        <f>IF(AND('04 Wan'!E125&gt;Tmin, NOT('04 Wan'!$I125="")),'04 Wan'!$I125,0)</f>
        <v>0</v>
      </c>
      <c r="AD125">
        <f>IF(AND('04 Wan'!F125&gt;Tmin, NOT('04 Wan'!$I125="")),'04 Wan'!$I125,0)</f>
        <v>0</v>
      </c>
      <c r="AE125">
        <f>IF(AND('04 Wan'!C125&lt;Tmax, NOT('04 Wan'!$H125="")),'04 Wan'!$H125,4)</f>
        <v>4</v>
      </c>
      <c r="AF125">
        <f>IF(AND('04 Wan'!D125&lt;Tmax, NOT('04 Wan'!$H125="")),'04 Wan'!$H125,4)</f>
        <v>4</v>
      </c>
      <c r="AG125">
        <f>IF(AND('04 Wan'!E125&lt;Tmax, NOT('04 Wan'!$H125="")),'04 Wan'!$H125,4)</f>
        <v>4</v>
      </c>
      <c r="AH125">
        <f>IF(AND('04 Wan'!F125&lt;Tmax, NOT('04 Wan'!$H125="")),'04 Wan'!$H125,4)</f>
        <v>4</v>
      </c>
      <c r="AI125"/>
    </row>
    <row r="126" spans="1:35" ht="22.5" outlineLevel="2" x14ac:dyDescent="0.2">
      <c r="A126" s="636" t="s">
        <v>5433</v>
      </c>
      <c r="B126" s="636" t="s">
        <v>5372</v>
      </c>
      <c r="C126" s="887"/>
      <c r="D126" s="887"/>
      <c r="E126" s="887"/>
      <c r="F126" s="887"/>
      <c r="G126" s="1445">
        <v>4</v>
      </c>
      <c r="H126" s="1445"/>
      <c r="I126" s="1445"/>
      <c r="J126" s="1445" t="s">
        <v>2349</v>
      </c>
      <c r="K126" s="1459" t="s">
        <v>2026</v>
      </c>
      <c r="L126" s="1459" t="s">
        <v>7319</v>
      </c>
      <c r="M126" s="887"/>
      <c r="AA126">
        <f>IF(AND('04 Wan'!C126&gt;Tmin, NOT('04 Wan'!$I126="")),'04 Wan'!$I126,0)</f>
        <v>0</v>
      </c>
      <c r="AB126">
        <f>IF(AND('04 Wan'!D126&gt;Tmin, NOT('04 Wan'!$I126="")),'04 Wan'!$I126,0)</f>
        <v>0</v>
      </c>
      <c r="AC126">
        <f>IF(AND('04 Wan'!E126&gt;Tmin, NOT('04 Wan'!$I126="")),'04 Wan'!$I126,0)</f>
        <v>0</v>
      </c>
      <c r="AD126">
        <f>IF(AND('04 Wan'!F126&gt;Tmin, NOT('04 Wan'!$I126="")),'04 Wan'!$I126,0)</f>
        <v>0</v>
      </c>
      <c r="AE126">
        <f>IF(AND('04 Wan'!C126&lt;Tmax, NOT('04 Wan'!$H126="")),'04 Wan'!$H126,4)</f>
        <v>4</v>
      </c>
      <c r="AF126">
        <f>IF(AND('04 Wan'!D126&lt;Tmax, NOT('04 Wan'!$H126="")),'04 Wan'!$H126,4)</f>
        <v>4</v>
      </c>
      <c r="AG126">
        <f>IF(AND('04 Wan'!E126&lt;Tmax, NOT('04 Wan'!$H126="")),'04 Wan'!$H126,4)</f>
        <v>4</v>
      </c>
      <c r="AH126">
        <f>IF(AND('04 Wan'!F126&lt;Tmax, NOT('04 Wan'!$H126="")),'04 Wan'!$H126,4)</f>
        <v>4</v>
      </c>
      <c r="AI126"/>
    </row>
    <row r="127" spans="1:35" ht="22.5" outlineLevel="2" x14ac:dyDescent="0.2">
      <c r="A127" s="636" t="s">
        <v>5373</v>
      </c>
      <c r="B127" s="636" t="s">
        <v>3149</v>
      </c>
      <c r="C127" s="887"/>
      <c r="D127" s="887"/>
      <c r="E127" s="887"/>
      <c r="F127" s="887"/>
      <c r="G127" s="1445">
        <v>4</v>
      </c>
      <c r="H127" s="1445"/>
      <c r="I127" s="1445"/>
      <c r="J127" s="1445" t="s">
        <v>2349</v>
      </c>
      <c r="K127" s="1459"/>
      <c r="L127" s="1459"/>
      <c r="M127" s="887"/>
      <c r="AA127">
        <f>IF(AND('04 Wan'!C127&gt;Tmin, NOT('04 Wan'!$I127="")),'04 Wan'!$I127,0)</f>
        <v>0</v>
      </c>
      <c r="AB127">
        <f>IF(AND('04 Wan'!D127&gt;Tmin, NOT('04 Wan'!$I127="")),'04 Wan'!$I127,0)</f>
        <v>0</v>
      </c>
      <c r="AC127">
        <f>IF(AND('04 Wan'!E127&gt;Tmin, NOT('04 Wan'!$I127="")),'04 Wan'!$I127,0)</f>
        <v>0</v>
      </c>
      <c r="AD127">
        <f>IF(AND('04 Wan'!F127&gt;Tmin, NOT('04 Wan'!$I127="")),'04 Wan'!$I127,0)</f>
        <v>0</v>
      </c>
      <c r="AE127">
        <f>IF(AND('04 Wan'!C127&lt;Tmax, NOT('04 Wan'!$H127="")),'04 Wan'!$H127,4)</f>
        <v>4</v>
      </c>
      <c r="AF127">
        <f>IF(AND('04 Wan'!D127&lt;Tmax, NOT('04 Wan'!$H127="")),'04 Wan'!$H127,4)</f>
        <v>4</v>
      </c>
      <c r="AG127">
        <f>IF(AND('04 Wan'!E127&lt;Tmax, NOT('04 Wan'!$H127="")),'04 Wan'!$H127,4)</f>
        <v>4</v>
      </c>
      <c r="AH127">
        <f>IF(AND('04 Wan'!F127&lt;Tmax, NOT('04 Wan'!$H127="")),'04 Wan'!$H127,4)</f>
        <v>4</v>
      </c>
      <c r="AI127"/>
    </row>
    <row r="128" spans="1:35" ht="14.25" customHeight="1" outlineLevel="2" x14ac:dyDescent="0.2">
      <c r="A128" s="636" t="s">
        <v>3150</v>
      </c>
      <c r="B128" s="636" t="s">
        <v>6733</v>
      </c>
      <c r="C128" s="887"/>
      <c r="D128" s="887"/>
      <c r="E128" s="887"/>
      <c r="F128" s="887"/>
      <c r="G128" s="1445">
        <v>2</v>
      </c>
      <c r="H128" s="1445"/>
      <c r="I128" s="1445"/>
      <c r="J128" s="1445" t="s">
        <v>1592</v>
      </c>
      <c r="K128" s="1459" t="s">
        <v>2026</v>
      </c>
      <c r="L128" s="1459" t="s">
        <v>7319</v>
      </c>
      <c r="M128" s="887"/>
      <c r="AA128">
        <f>IF(AND('04 Wan'!C128&gt;Tmin, NOT('04 Wan'!$I128="")),'04 Wan'!$I128,0)</f>
        <v>0</v>
      </c>
      <c r="AB128">
        <f>IF(AND('04 Wan'!D128&gt;Tmin, NOT('04 Wan'!$I128="")),'04 Wan'!$I128,0)</f>
        <v>0</v>
      </c>
      <c r="AC128">
        <f>IF(AND('04 Wan'!E128&gt;Tmin, NOT('04 Wan'!$I128="")),'04 Wan'!$I128,0)</f>
        <v>0</v>
      </c>
      <c r="AD128">
        <f>IF(AND('04 Wan'!F128&gt;Tmin, NOT('04 Wan'!$I128="")),'04 Wan'!$I128,0)</f>
        <v>0</v>
      </c>
      <c r="AE128">
        <f>IF(AND('04 Wan'!C128&lt;Tmax, NOT('04 Wan'!$H128="")),'04 Wan'!$H128,4)</f>
        <v>4</v>
      </c>
      <c r="AF128">
        <f>IF(AND('04 Wan'!D128&lt;Tmax, NOT('04 Wan'!$H128="")),'04 Wan'!$H128,4)</f>
        <v>4</v>
      </c>
      <c r="AG128">
        <f>IF(AND('04 Wan'!E128&lt;Tmax, NOT('04 Wan'!$H128="")),'04 Wan'!$H128,4)</f>
        <v>4</v>
      </c>
      <c r="AH128">
        <f>IF(AND('04 Wan'!F128&lt;Tmax, NOT('04 Wan'!$H128="")),'04 Wan'!$H128,4)</f>
        <v>4</v>
      </c>
      <c r="AI128"/>
    </row>
    <row r="129" spans="1:35" ht="14.25" customHeight="1" outlineLevel="2" x14ac:dyDescent="0.2">
      <c r="A129" s="636" t="s">
        <v>3151</v>
      </c>
      <c r="B129" s="636" t="s">
        <v>4110</v>
      </c>
      <c r="C129" s="887"/>
      <c r="D129" s="887"/>
      <c r="E129" s="887"/>
      <c r="F129" s="887"/>
      <c r="G129" s="1445">
        <v>2</v>
      </c>
      <c r="H129" s="1445"/>
      <c r="I129" s="1445"/>
      <c r="J129" s="1445" t="s">
        <v>1592</v>
      </c>
      <c r="K129" s="1459" t="s">
        <v>2026</v>
      </c>
      <c r="L129" s="1459" t="s">
        <v>7319</v>
      </c>
      <c r="M129" s="887"/>
      <c r="AA129">
        <f>IF(AND('04 Wan'!C129&gt;Tmin, NOT('04 Wan'!$I129="")),'04 Wan'!$I129,0)</f>
        <v>0</v>
      </c>
      <c r="AB129">
        <f>IF(AND('04 Wan'!D129&gt;Tmin, NOT('04 Wan'!$I129="")),'04 Wan'!$I129,0)</f>
        <v>0</v>
      </c>
      <c r="AC129">
        <f>IF(AND('04 Wan'!E129&gt;Tmin, NOT('04 Wan'!$I129="")),'04 Wan'!$I129,0)</f>
        <v>0</v>
      </c>
      <c r="AD129">
        <f>IF(AND('04 Wan'!F129&gt;Tmin, NOT('04 Wan'!$I129="")),'04 Wan'!$I129,0)</f>
        <v>0</v>
      </c>
      <c r="AE129">
        <f>IF(AND('04 Wan'!C129&lt;Tmax, NOT('04 Wan'!$H129="")),'04 Wan'!$H129,4)</f>
        <v>4</v>
      </c>
      <c r="AF129">
        <f>IF(AND('04 Wan'!D129&lt;Tmax, NOT('04 Wan'!$H129="")),'04 Wan'!$H129,4)</f>
        <v>4</v>
      </c>
      <c r="AG129">
        <f>IF(AND('04 Wan'!E129&lt;Tmax, NOT('04 Wan'!$H129="")),'04 Wan'!$H129,4)</f>
        <v>4</v>
      </c>
      <c r="AH129">
        <f>IF(AND('04 Wan'!F129&lt;Tmax, NOT('04 Wan'!$H129="")),'04 Wan'!$H129,4)</f>
        <v>4</v>
      </c>
      <c r="AI129"/>
    </row>
    <row r="130" spans="1:35" ht="22.5" outlineLevel="2" x14ac:dyDescent="0.2">
      <c r="A130" s="636" t="s">
        <v>3152</v>
      </c>
      <c r="B130" s="636" t="s">
        <v>3097</v>
      </c>
      <c r="C130" s="887"/>
      <c r="D130" s="887"/>
      <c r="E130" s="887"/>
      <c r="F130" s="887"/>
      <c r="G130" s="1445">
        <v>2</v>
      </c>
      <c r="H130" s="1445"/>
      <c r="I130" s="1445"/>
      <c r="J130" s="1445" t="s">
        <v>2109</v>
      </c>
      <c r="K130" s="1459"/>
      <c r="L130" s="1459"/>
      <c r="M130" s="887"/>
      <c r="AA130">
        <f>IF(AND('04 Wan'!C130&gt;Tmin, NOT('04 Wan'!$I130="")),'04 Wan'!$I130,0)</f>
        <v>0</v>
      </c>
      <c r="AB130">
        <f>IF(AND('04 Wan'!D130&gt;Tmin, NOT('04 Wan'!$I130="")),'04 Wan'!$I130,0)</f>
        <v>0</v>
      </c>
      <c r="AC130">
        <f>IF(AND('04 Wan'!E130&gt;Tmin, NOT('04 Wan'!$I130="")),'04 Wan'!$I130,0)</f>
        <v>0</v>
      </c>
      <c r="AD130">
        <f>IF(AND('04 Wan'!F130&gt;Tmin, NOT('04 Wan'!$I130="")),'04 Wan'!$I130,0)</f>
        <v>0</v>
      </c>
      <c r="AE130">
        <f>IF(AND('04 Wan'!C130&lt;Tmax, NOT('04 Wan'!$H130="")),'04 Wan'!$H130,4)</f>
        <v>4</v>
      </c>
      <c r="AF130">
        <f>IF(AND('04 Wan'!D130&lt;Tmax, NOT('04 Wan'!$H130="")),'04 Wan'!$H130,4)</f>
        <v>4</v>
      </c>
      <c r="AG130">
        <f>IF(AND('04 Wan'!E130&lt;Tmax, NOT('04 Wan'!$H130="")),'04 Wan'!$H130,4)</f>
        <v>4</v>
      </c>
      <c r="AH130">
        <f>IF(AND('04 Wan'!F130&lt;Tmax, NOT('04 Wan'!$H130="")),'04 Wan'!$H130,4)</f>
        <v>4</v>
      </c>
      <c r="AI130"/>
    </row>
    <row r="131" spans="1:35" s="651" customFormat="1" outlineLevel="1" x14ac:dyDescent="0.2">
      <c r="A131" s="633" t="s">
        <v>5860</v>
      </c>
      <c r="B131" s="634" t="s">
        <v>5861</v>
      </c>
      <c r="C131" s="887"/>
      <c r="D131" s="887"/>
      <c r="E131" s="887"/>
      <c r="F131" s="887"/>
      <c r="G131" s="1445"/>
      <c r="H131" s="1445"/>
      <c r="I131" s="1445"/>
      <c r="J131" s="1445"/>
      <c r="K131" s="1459"/>
      <c r="L131" s="1459"/>
      <c r="M131" s="887"/>
      <c r="N131" s="168"/>
      <c r="O131" s="656"/>
      <c r="P131" s="656"/>
      <c r="Q131" s="656"/>
      <c r="R131" s="656"/>
      <c r="S131" s="656"/>
      <c r="T131" s="656"/>
      <c r="U131" s="656"/>
      <c r="V131" s="656"/>
      <c r="W131" s="656"/>
      <c r="X131" s="656"/>
      <c r="Y131" s="656"/>
      <c r="Z131" s="656"/>
      <c r="AA131"/>
      <c r="AB131"/>
      <c r="AC131"/>
      <c r="AD131"/>
      <c r="AE131"/>
      <c r="AF131"/>
      <c r="AG131"/>
      <c r="AH131"/>
      <c r="AI131"/>
    </row>
    <row r="132" spans="1:35" ht="22.5" outlineLevel="2" x14ac:dyDescent="0.2">
      <c r="A132" s="636" t="s">
        <v>3098</v>
      </c>
      <c r="B132" s="636" t="s">
        <v>1450</v>
      </c>
      <c r="C132" s="887"/>
      <c r="D132" s="887"/>
      <c r="E132" s="887"/>
      <c r="F132" s="887"/>
      <c r="G132" s="1445">
        <v>2</v>
      </c>
      <c r="H132" s="1445"/>
      <c r="I132" s="1445"/>
      <c r="J132" s="1445" t="s">
        <v>4246</v>
      </c>
      <c r="K132" s="1459" t="s">
        <v>7107</v>
      </c>
      <c r="L132" s="1459" t="s">
        <v>7321</v>
      </c>
      <c r="M132" s="887"/>
      <c r="AA132">
        <f>IF(AND('04 Wan'!C132&gt;Tmin, NOT('04 Wan'!$I132="")),'04 Wan'!$I132,0)</f>
        <v>0</v>
      </c>
      <c r="AB132">
        <f>IF(AND('04 Wan'!D132&gt;Tmin, NOT('04 Wan'!$I132="")),'04 Wan'!$I132,0)</f>
        <v>0</v>
      </c>
      <c r="AC132">
        <f>IF(AND('04 Wan'!E132&gt;Tmin, NOT('04 Wan'!$I132="")),'04 Wan'!$I132,0)</f>
        <v>0</v>
      </c>
      <c r="AD132">
        <f>IF(AND('04 Wan'!F132&gt;Tmin, NOT('04 Wan'!$I132="")),'04 Wan'!$I132,0)</f>
        <v>0</v>
      </c>
      <c r="AE132">
        <f>IF(AND('04 Wan'!C132&lt;Tmax, NOT('04 Wan'!$H132="")),'04 Wan'!$H132,4)</f>
        <v>4</v>
      </c>
      <c r="AF132">
        <f>IF(AND('04 Wan'!D132&lt;Tmax, NOT('04 Wan'!$H132="")),'04 Wan'!$H132,4)</f>
        <v>4</v>
      </c>
      <c r="AG132">
        <f>IF(AND('04 Wan'!E132&lt;Tmax, NOT('04 Wan'!$H132="")),'04 Wan'!$H132,4)</f>
        <v>4</v>
      </c>
      <c r="AH132">
        <f>IF(AND('04 Wan'!F132&lt;Tmax, NOT('04 Wan'!$H132="")),'04 Wan'!$H132,4)</f>
        <v>4</v>
      </c>
      <c r="AI132"/>
    </row>
    <row r="133" spans="1:35" outlineLevel="2" x14ac:dyDescent="0.2">
      <c r="A133" s="636" t="s">
        <v>3099</v>
      </c>
      <c r="B133" s="636" t="s">
        <v>4043</v>
      </c>
      <c r="C133" s="887"/>
      <c r="D133" s="887"/>
      <c r="E133" s="887"/>
      <c r="F133" s="887"/>
      <c r="G133" s="1445">
        <v>2</v>
      </c>
      <c r="H133" s="1445"/>
      <c r="I133" s="1445"/>
      <c r="J133" s="1445" t="s">
        <v>1592</v>
      </c>
      <c r="K133" s="1459" t="s">
        <v>7107</v>
      </c>
      <c r="L133" s="1459" t="s">
        <v>7321</v>
      </c>
      <c r="M133" s="887"/>
      <c r="AA133">
        <f>IF(AND('04 Wan'!C133&gt;Tmin, NOT('04 Wan'!$I133="")),'04 Wan'!$I133,0)</f>
        <v>0</v>
      </c>
      <c r="AB133">
        <f>IF(AND('04 Wan'!D133&gt;Tmin, NOT('04 Wan'!$I133="")),'04 Wan'!$I133,0)</f>
        <v>0</v>
      </c>
      <c r="AC133">
        <f>IF(AND('04 Wan'!E133&gt;Tmin, NOT('04 Wan'!$I133="")),'04 Wan'!$I133,0)</f>
        <v>0</v>
      </c>
      <c r="AD133">
        <f>IF(AND('04 Wan'!F133&gt;Tmin, NOT('04 Wan'!$I133="")),'04 Wan'!$I133,0)</f>
        <v>0</v>
      </c>
      <c r="AE133">
        <f>IF(AND('04 Wan'!C133&lt;Tmax, NOT('04 Wan'!$H133="")),'04 Wan'!$H133,4)</f>
        <v>4</v>
      </c>
      <c r="AF133">
        <f>IF(AND('04 Wan'!D133&lt;Tmax, NOT('04 Wan'!$H133="")),'04 Wan'!$H133,4)</f>
        <v>4</v>
      </c>
      <c r="AG133">
        <f>IF(AND('04 Wan'!E133&lt;Tmax, NOT('04 Wan'!$H133="")),'04 Wan'!$H133,4)</f>
        <v>4</v>
      </c>
      <c r="AH133">
        <f>IF(AND('04 Wan'!F133&lt;Tmax, NOT('04 Wan'!$H133="")),'04 Wan'!$H133,4)</f>
        <v>4</v>
      </c>
      <c r="AI133"/>
    </row>
    <row r="134" spans="1:35" outlineLevel="2" x14ac:dyDescent="0.2">
      <c r="A134" s="636" t="s">
        <v>4044</v>
      </c>
      <c r="B134" s="636" t="s">
        <v>3494</v>
      </c>
      <c r="C134" s="887"/>
      <c r="D134" s="887"/>
      <c r="E134" s="887"/>
      <c r="F134" s="887"/>
      <c r="G134" s="1445">
        <v>2</v>
      </c>
      <c r="H134" s="1445">
        <v>2</v>
      </c>
      <c r="I134" s="1445"/>
      <c r="J134" s="1445" t="s">
        <v>1592</v>
      </c>
      <c r="K134" s="1459" t="s">
        <v>7107</v>
      </c>
      <c r="L134" s="1459" t="s">
        <v>7321</v>
      </c>
      <c r="M134" s="887"/>
      <c r="AA134">
        <f>IF(AND('04 Wan'!C134&gt;Tmin, NOT('04 Wan'!$I134="")),'04 Wan'!$I134,0)</f>
        <v>0</v>
      </c>
      <c r="AB134">
        <f>IF(AND('04 Wan'!D134&gt;Tmin, NOT('04 Wan'!$I134="")),'04 Wan'!$I134,0)</f>
        <v>0</v>
      </c>
      <c r="AC134">
        <f>IF(AND('04 Wan'!E134&gt;Tmin, NOT('04 Wan'!$I134="")),'04 Wan'!$I134,0)</f>
        <v>0</v>
      </c>
      <c r="AD134">
        <f>IF(AND('04 Wan'!F134&gt;Tmin, NOT('04 Wan'!$I134="")),'04 Wan'!$I134,0)</f>
        <v>0</v>
      </c>
      <c r="AE134">
        <f>IF(AND('04 Wan'!C134&lt;Tmax, NOT('04 Wan'!$H134="")),'04 Wan'!$H134,4)</f>
        <v>2</v>
      </c>
      <c r="AF134">
        <f>IF(AND('04 Wan'!D134&lt;Tmax, NOT('04 Wan'!$H134="")),'04 Wan'!$H134,4)</f>
        <v>2</v>
      </c>
      <c r="AG134">
        <f>IF(AND('04 Wan'!E134&lt;Tmax, NOT('04 Wan'!$H134="")),'04 Wan'!$H134,4)</f>
        <v>2</v>
      </c>
      <c r="AH134">
        <f>IF(AND('04 Wan'!F134&lt;Tmax, NOT('04 Wan'!$H134="")),'04 Wan'!$H134,4)</f>
        <v>2</v>
      </c>
      <c r="AI134"/>
    </row>
    <row r="135" spans="1:35" ht="22.5" outlineLevel="2" x14ac:dyDescent="0.2">
      <c r="A135" s="636" t="s">
        <v>3308</v>
      </c>
      <c r="B135" s="636" t="s">
        <v>3066</v>
      </c>
      <c r="C135" s="887"/>
      <c r="D135" s="887"/>
      <c r="E135" s="887"/>
      <c r="F135" s="887"/>
      <c r="G135" s="1445">
        <v>2</v>
      </c>
      <c r="H135" s="1445"/>
      <c r="I135" s="1445"/>
      <c r="J135" s="1445" t="s">
        <v>1592</v>
      </c>
      <c r="K135" s="1459" t="s">
        <v>7107</v>
      </c>
      <c r="L135" s="1459" t="s">
        <v>7321</v>
      </c>
      <c r="M135" s="887"/>
      <c r="AA135">
        <f>IF(AND('04 Wan'!C135&gt;Tmin, NOT('04 Wan'!$I135="")),'04 Wan'!$I135,0)</f>
        <v>0</v>
      </c>
      <c r="AB135">
        <f>IF(AND('04 Wan'!D135&gt;Tmin, NOT('04 Wan'!$I135="")),'04 Wan'!$I135,0)</f>
        <v>0</v>
      </c>
      <c r="AC135">
        <f>IF(AND('04 Wan'!E135&gt;Tmin, NOT('04 Wan'!$I135="")),'04 Wan'!$I135,0)</f>
        <v>0</v>
      </c>
      <c r="AD135">
        <f>IF(AND('04 Wan'!F135&gt;Tmin, NOT('04 Wan'!$I135="")),'04 Wan'!$I135,0)</f>
        <v>0</v>
      </c>
      <c r="AE135">
        <f>IF(AND('04 Wan'!C135&lt;Tmax, NOT('04 Wan'!$H135="")),'04 Wan'!$H135,4)</f>
        <v>4</v>
      </c>
      <c r="AF135">
        <f>IF(AND('04 Wan'!D135&lt;Tmax, NOT('04 Wan'!$H135="")),'04 Wan'!$H135,4)</f>
        <v>4</v>
      </c>
      <c r="AG135">
        <f>IF(AND('04 Wan'!E135&lt;Tmax, NOT('04 Wan'!$H135="")),'04 Wan'!$H135,4)</f>
        <v>4</v>
      </c>
      <c r="AH135">
        <f>IF(AND('04 Wan'!F135&lt;Tmax, NOT('04 Wan'!$H135="")),'04 Wan'!$H135,4)</f>
        <v>4</v>
      </c>
      <c r="AI135"/>
    </row>
    <row r="136" spans="1:35" outlineLevel="2" x14ac:dyDescent="0.2">
      <c r="A136" s="636" t="s">
        <v>3067</v>
      </c>
      <c r="B136" s="636" t="s">
        <v>3068</v>
      </c>
      <c r="C136" s="887"/>
      <c r="D136" s="887"/>
      <c r="E136" s="887"/>
      <c r="F136" s="887"/>
      <c r="G136" s="1445">
        <v>4</v>
      </c>
      <c r="H136" s="1445"/>
      <c r="I136" s="1445"/>
      <c r="J136" s="1445" t="s">
        <v>2329</v>
      </c>
      <c r="K136" s="1459" t="s">
        <v>7107</v>
      </c>
      <c r="L136" s="1459" t="s">
        <v>7321</v>
      </c>
      <c r="M136" s="887"/>
      <c r="AA136">
        <f>IF(AND('04 Wan'!C136&gt;Tmin, NOT('04 Wan'!$I136="")),'04 Wan'!$I136,0)</f>
        <v>0</v>
      </c>
      <c r="AB136">
        <f>IF(AND('04 Wan'!D136&gt;Tmin, NOT('04 Wan'!$I136="")),'04 Wan'!$I136,0)</f>
        <v>0</v>
      </c>
      <c r="AC136">
        <f>IF(AND('04 Wan'!E136&gt;Tmin, NOT('04 Wan'!$I136="")),'04 Wan'!$I136,0)</f>
        <v>0</v>
      </c>
      <c r="AD136">
        <f>IF(AND('04 Wan'!F136&gt;Tmin, NOT('04 Wan'!$I136="")),'04 Wan'!$I136,0)</f>
        <v>0</v>
      </c>
      <c r="AE136">
        <f>IF(AND('04 Wan'!C136&lt;Tmax, NOT('04 Wan'!$H136="")),'04 Wan'!$H136,4)</f>
        <v>4</v>
      </c>
      <c r="AF136">
        <f>IF(AND('04 Wan'!D136&lt;Tmax, NOT('04 Wan'!$H136="")),'04 Wan'!$H136,4)</f>
        <v>4</v>
      </c>
      <c r="AG136">
        <f>IF(AND('04 Wan'!E136&lt;Tmax, NOT('04 Wan'!$H136="")),'04 Wan'!$H136,4)</f>
        <v>4</v>
      </c>
      <c r="AH136">
        <f>IF(AND('04 Wan'!F136&lt;Tmax, NOT('04 Wan'!$H136="")),'04 Wan'!$H136,4)</f>
        <v>4</v>
      </c>
      <c r="AI136"/>
    </row>
    <row r="137" spans="1:35" ht="22.5" outlineLevel="2" x14ac:dyDescent="0.2">
      <c r="A137" s="636" t="s">
        <v>3069</v>
      </c>
      <c r="B137" s="636" t="s">
        <v>3070</v>
      </c>
      <c r="C137" s="887"/>
      <c r="D137" s="887"/>
      <c r="E137" s="887"/>
      <c r="F137" s="887"/>
      <c r="G137" s="1445">
        <v>4</v>
      </c>
      <c r="H137" s="1445"/>
      <c r="I137" s="1445"/>
      <c r="J137" s="1445" t="s">
        <v>2329</v>
      </c>
      <c r="K137" s="1458" t="s">
        <v>7108</v>
      </c>
      <c r="L137" s="1459"/>
      <c r="M137" s="887"/>
      <c r="AA137">
        <f>IF(AND('04 Wan'!C137&gt;Tmin, NOT('04 Wan'!$I137="")),'04 Wan'!$I137,0)</f>
        <v>0</v>
      </c>
      <c r="AB137">
        <f>IF(AND('04 Wan'!D137&gt;Tmin, NOT('04 Wan'!$I137="")),'04 Wan'!$I137,0)</f>
        <v>0</v>
      </c>
      <c r="AC137">
        <f>IF(AND('04 Wan'!E137&gt;Tmin, NOT('04 Wan'!$I137="")),'04 Wan'!$I137,0)</f>
        <v>0</v>
      </c>
      <c r="AD137">
        <f>IF(AND('04 Wan'!F137&gt;Tmin, NOT('04 Wan'!$I137="")),'04 Wan'!$I137,0)</f>
        <v>0</v>
      </c>
      <c r="AE137">
        <f>IF(AND('04 Wan'!C137&lt;Tmax, NOT('04 Wan'!$H137="")),'04 Wan'!$H137,4)</f>
        <v>4</v>
      </c>
      <c r="AF137">
        <f>IF(AND('04 Wan'!D137&lt;Tmax, NOT('04 Wan'!$H137="")),'04 Wan'!$H137,4)</f>
        <v>4</v>
      </c>
      <c r="AG137">
        <f>IF(AND('04 Wan'!E137&lt;Tmax, NOT('04 Wan'!$H137="")),'04 Wan'!$H137,4)</f>
        <v>4</v>
      </c>
      <c r="AH137">
        <f>IF(AND('04 Wan'!F137&lt;Tmax, NOT('04 Wan'!$H137="")),'04 Wan'!$H137,4)</f>
        <v>4</v>
      </c>
      <c r="AI137"/>
    </row>
    <row r="138" spans="1:35" ht="33.75" outlineLevel="2" x14ac:dyDescent="0.2">
      <c r="A138" s="636" t="s">
        <v>3071</v>
      </c>
      <c r="B138" s="636" t="s">
        <v>6081</v>
      </c>
      <c r="C138" s="887"/>
      <c r="D138" s="887"/>
      <c r="E138" s="887"/>
      <c r="F138" s="887"/>
      <c r="G138" s="1445">
        <v>4</v>
      </c>
      <c r="H138" s="1445">
        <v>3</v>
      </c>
      <c r="I138" s="1445"/>
      <c r="J138" s="1445" t="s">
        <v>2349</v>
      </c>
      <c r="K138" s="1459"/>
      <c r="L138" s="1459"/>
      <c r="M138" s="887"/>
      <c r="AA138">
        <f>IF(AND('04 Wan'!C138&gt;Tmin, NOT('04 Wan'!$I138="")),'04 Wan'!$I138,0)</f>
        <v>0</v>
      </c>
      <c r="AB138">
        <f>IF(AND('04 Wan'!D138&gt;Tmin, NOT('04 Wan'!$I138="")),'04 Wan'!$I138,0)</f>
        <v>0</v>
      </c>
      <c r="AC138">
        <f>IF(AND('04 Wan'!E138&gt;Tmin, NOT('04 Wan'!$I138="")),'04 Wan'!$I138,0)</f>
        <v>0</v>
      </c>
      <c r="AD138">
        <f>IF(AND('04 Wan'!F138&gt;Tmin, NOT('04 Wan'!$I138="")),'04 Wan'!$I138,0)</f>
        <v>0</v>
      </c>
      <c r="AE138">
        <f>IF(AND('04 Wan'!C138&lt;Tmax, NOT('04 Wan'!$H138="")),'04 Wan'!$H138,4)</f>
        <v>3</v>
      </c>
      <c r="AF138">
        <f>IF(AND('04 Wan'!D138&lt;Tmax, NOT('04 Wan'!$H138="")),'04 Wan'!$H138,4)</f>
        <v>3</v>
      </c>
      <c r="AG138">
        <f>IF(AND('04 Wan'!E138&lt;Tmax, NOT('04 Wan'!$H138="")),'04 Wan'!$H138,4)</f>
        <v>3</v>
      </c>
      <c r="AH138">
        <f>IF(AND('04 Wan'!F138&lt;Tmax, NOT('04 Wan'!$H138="")),'04 Wan'!$H138,4)</f>
        <v>3</v>
      </c>
      <c r="AI138"/>
    </row>
    <row r="139" spans="1:35" ht="22.5" outlineLevel="2" x14ac:dyDescent="0.2">
      <c r="A139" s="636" t="s">
        <v>3072</v>
      </c>
      <c r="B139" s="636" t="s">
        <v>4010</v>
      </c>
      <c r="C139" s="887"/>
      <c r="D139" s="887"/>
      <c r="E139" s="887"/>
      <c r="F139" s="887"/>
      <c r="G139" s="1445">
        <v>4</v>
      </c>
      <c r="H139" s="1445"/>
      <c r="I139" s="1445"/>
      <c r="J139" s="1445" t="s">
        <v>1592</v>
      </c>
      <c r="K139" s="1459" t="s">
        <v>7036</v>
      </c>
      <c r="L139" s="1459" t="s">
        <v>2666</v>
      </c>
      <c r="M139" s="887"/>
      <c r="AA139">
        <f>IF(AND('04 Wan'!C139&gt;Tmin, NOT('04 Wan'!$I139="")),'04 Wan'!$I139,0)</f>
        <v>0</v>
      </c>
      <c r="AB139">
        <f>IF(AND('04 Wan'!D139&gt;Tmin, NOT('04 Wan'!$I139="")),'04 Wan'!$I139,0)</f>
        <v>0</v>
      </c>
      <c r="AC139">
        <f>IF(AND('04 Wan'!E139&gt;Tmin, NOT('04 Wan'!$I139="")),'04 Wan'!$I139,0)</f>
        <v>0</v>
      </c>
      <c r="AD139">
        <f>IF(AND('04 Wan'!F139&gt;Tmin, NOT('04 Wan'!$I139="")),'04 Wan'!$I139,0)</f>
        <v>0</v>
      </c>
      <c r="AE139">
        <f>IF(AND('04 Wan'!C139&lt;Tmax, NOT('04 Wan'!$H139="")),'04 Wan'!$H139,4)</f>
        <v>4</v>
      </c>
      <c r="AF139">
        <f>IF(AND('04 Wan'!D139&lt;Tmax, NOT('04 Wan'!$H139="")),'04 Wan'!$H139,4)</f>
        <v>4</v>
      </c>
      <c r="AG139">
        <f>IF(AND('04 Wan'!E139&lt;Tmax, NOT('04 Wan'!$H139="")),'04 Wan'!$H139,4)</f>
        <v>4</v>
      </c>
      <c r="AH139">
        <f>IF(AND('04 Wan'!F139&lt;Tmax, NOT('04 Wan'!$H139="")),'04 Wan'!$H139,4)</f>
        <v>4</v>
      </c>
      <c r="AI139"/>
    </row>
    <row r="140" spans="1:35" x14ac:dyDescent="0.2">
      <c r="C140" s="846"/>
      <c r="D140" s="846"/>
      <c r="E140" s="846"/>
      <c r="F140" s="846"/>
      <c r="M140" s="890"/>
      <c r="AA140"/>
      <c r="AB140"/>
      <c r="AC140"/>
      <c r="AD140"/>
      <c r="AE140"/>
      <c r="AF140"/>
      <c r="AG140"/>
      <c r="AH140"/>
      <c r="AI140"/>
    </row>
    <row r="141" spans="1:35" ht="12.75" customHeight="1" x14ac:dyDescent="0.2">
      <c r="A141" s="876" t="str">
        <f>C$2</f>
        <v>R-V1</v>
      </c>
      <c r="B141" s="618" t="s">
        <v>7232</v>
      </c>
      <c r="C141" s="877" t="str">
        <f>C$2</f>
        <v>R-V1</v>
      </c>
      <c r="D141" s="877"/>
      <c r="E141" s="877"/>
      <c r="F141" s="877"/>
      <c r="G141" s="889"/>
      <c r="H141" s="889"/>
      <c r="I141" s="889"/>
      <c r="J141" s="889"/>
      <c r="M141" s="890"/>
      <c r="AA141"/>
      <c r="AB141"/>
      <c r="AC141"/>
      <c r="AD141"/>
      <c r="AE141"/>
      <c r="AF141"/>
      <c r="AG141"/>
      <c r="AH141"/>
      <c r="AI141"/>
    </row>
    <row r="142" spans="1:35" s="651" customFormat="1" ht="12.75" customHeight="1" x14ac:dyDescent="0.2">
      <c r="A142" s="876" t="str">
        <f>C$2</f>
        <v>R-V1</v>
      </c>
      <c r="B142" s="618" t="s">
        <v>7233</v>
      </c>
      <c r="C142" s="877" t="str">
        <f>C$2</f>
        <v>R-V1</v>
      </c>
      <c r="D142" s="877"/>
      <c r="E142" s="877"/>
      <c r="F142" s="877"/>
      <c r="G142" s="804"/>
      <c r="H142" s="804"/>
      <c r="I142" s="804"/>
      <c r="J142" s="804"/>
      <c r="K142" s="804"/>
      <c r="L142" s="804"/>
      <c r="M142" s="807"/>
      <c r="N142" s="168"/>
      <c r="O142" s="656"/>
      <c r="P142" s="656"/>
      <c r="Q142" s="656"/>
      <c r="R142" s="656"/>
      <c r="S142" s="656"/>
      <c r="T142" s="656"/>
      <c r="U142" s="656"/>
      <c r="V142" s="656"/>
      <c r="W142" s="656"/>
      <c r="X142" s="656"/>
      <c r="Y142" s="656"/>
      <c r="Z142" s="656"/>
      <c r="AA142"/>
      <c r="AB142"/>
      <c r="AC142"/>
      <c r="AD142"/>
      <c r="AE142"/>
      <c r="AF142"/>
      <c r="AG142"/>
      <c r="AH142"/>
      <c r="AI142"/>
    </row>
    <row r="143" spans="1:35" ht="12.75" customHeight="1" x14ac:dyDescent="0.2">
      <c r="A143" s="876" t="str">
        <f>C$2</f>
        <v>R-V1</v>
      </c>
      <c r="B143" s="618" t="s">
        <v>7234</v>
      </c>
      <c r="C143" s="877" t="str">
        <f>C$2</f>
        <v>R-V1</v>
      </c>
      <c r="D143" s="877"/>
      <c r="E143" s="877"/>
      <c r="F143" s="877"/>
      <c r="M143" s="890"/>
      <c r="AA143"/>
      <c r="AB143"/>
      <c r="AC143"/>
      <c r="AD143"/>
      <c r="AE143"/>
      <c r="AF143"/>
      <c r="AG143"/>
      <c r="AH143"/>
      <c r="AI143"/>
    </row>
    <row r="144" spans="1:35" ht="12.75" customHeight="1" x14ac:dyDescent="0.2">
      <c r="A144" s="876" t="str">
        <f>C$2</f>
        <v>R-V1</v>
      </c>
      <c r="B144" s="618" t="s">
        <v>7235</v>
      </c>
      <c r="C144" s="877" t="str">
        <f>C$2</f>
        <v>R-V1</v>
      </c>
      <c r="D144" s="877"/>
      <c r="E144" s="877"/>
      <c r="F144" s="877"/>
      <c r="M144" s="890"/>
      <c r="AA144"/>
      <c r="AB144"/>
      <c r="AC144"/>
      <c r="AD144"/>
      <c r="AE144"/>
      <c r="AF144"/>
      <c r="AG144"/>
      <c r="AH144"/>
      <c r="AI144"/>
    </row>
    <row r="145" spans="1:35" ht="12.75" customHeight="1" x14ac:dyDescent="0.2">
      <c r="A145" s="876"/>
      <c r="B145" s="618"/>
      <c r="C145" s="877"/>
      <c r="D145" s="877"/>
      <c r="E145" s="877"/>
      <c r="F145" s="877"/>
      <c r="M145" s="890"/>
      <c r="AA145"/>
      <c r="AB145"/>
      <c r="AC145"/>
      <c r="AD145"/>
      <c r="AE145"/>
      <c r="AF145"/>
      <c r="AG145"/>
      <c r="AH145"/>
      <c r="AI145"/>
    </row>
    <row r="146" spans="1:35" ht="12.75" customHeight="1" x14ac:dyDescent="0.2">
      <c r="A146" s="876" t="str">
        <f>D$2</f>
        <v>R-V2</v>
      </c>
      <c r="B146" s="618" t="s">
        <v>7232</v>
      </c>
      <c r="C146" s="877"/>
      <c r="D146" s="877" t="str">
        <f>D$2</f>
        <v>R-V2</v>
      </c>
      <c r="E146" s="877"/>
      <c r="F146" s="877"/>
      <c r="M146" s="890"/>
      <c r="AA146"/>
      <c r="AB146"/>
      <c r="AC146"/>
      <c r="AD146"/>
      <c r="AE146"/>
      <c r="AF146"/>
      <c r="AG146"/>
      <c r="AH146"/>
      <c r="AI146"/>
    </row>
    <row r="147" spans="1:35" ht="12.75" customHeight="1" x14ac:dyDescent="0.2">
      <c r="A147" s="876" t="str">
        <f>D$2</f>
        <v>R-V2</v>
      </c>
      <c r="B147" s="618" t="s">
        <v>7233</v>
      </c>
      <c r="C147" s="877"/>
      <c r="D147" s="877" t="str">
        <f>D$2</f>
        <v>R-V2</v>
      </c>
      <c r="E147" s="877"/>
      <c r="F147" s="877"/>
      <c r="M147" s="890"/>
      <c r="AA147"/>
      <c r="AB147"/>
      <c r="AC147"/>
      <c r="AD147"/>
      <c r="AE147"/>
      <c r="AF147"/>
      <c r="AG147"/>
      <c r="AH147"/>
      <c r="AI147"/>
    </row>
    <row r="148" spans="1:35" ht="12.75" customHeight="1" x14ac:dyDescent="0.2">
      <c r="A148" s="876" t="str">
        <f>D$2</f>
        <v>R-V2</v>
      </c>
      <c r="B148" s="618" t="s">
        <v>7234</v>
      </c>
      <c r="C148" s="877"/>
      <c r="D148" s="877" t="str">
        <f>D$2</f>
        <v>R-V2</v>
      </c>
      <c r="E148" s="877"/>
      <c r="F148" s="877"/>
      <c r="M148" s="890"/>
      <c r="AA148"/>
      <c r="AB148"/>
      <c r="AC148"/>
      <c r="AD148"/>
      <c r="AE148"/>
      <c r="AF148"/>
      <c r="AG148"/>
      <c r="AH148"/>
      <c r="AI148"/>
    </row>
    <row r="149" spans="1:35" ht="12.75" customHeight="1" x14ac:dyDescent="0.2">
      <c r="A149" s="876" t="str">
        <f>D$2</f>
        <v>R-V2</v>
      </c>
      <c r="B149" s="618" t="s">
        <v>7235</v>
      </c>
      <c r="C149" s="877"/>
      <c r="D149" s="877" t="str">
        <f>D$2</f>
        <v>R-V2</v>
      </c>
      <c r="E149" s="877"/>
      <c r="F149" s="877"/>
      <c r="M149" s="890"/>
      <c r="AA149"/>
      <c r="AB149"/>
      <c r="AC149"/>
      <c r="AD149"/>
      <c r="AE149"/>
      <c r="AF149"/>
      <c r="AG149"/>
      <c r="AH149"/>
      <c r="AI149"/>
    </row>
    <row r="150" spans="1:35" ht="12.75" customHeight="1" x14ac:dyDescent="0.2">
      <c r="A150" s="876"/>
      <c r="B150" s="618"/>
      <c r="C150" s="877"/>
      <c r="D150" s="877"/>
      <c r="E150" s="877"/>
      <c r="F150" s="877"/>
      <c r="G150" s="891"/>
      <c r="H150" s="891"/>
      <c r="I150" s="891"/>
      <c r="J150" s="891"/>
      <c r="M150" s="890"/>
      <c r="AA150"/>
      <c r="AB150"/>
      <c r="AC150"/>
      <c r="AD150"/>
      <c r="AE150"/>
      <c r="AF150"/>
      <c r="AG150"/>
      <c r="AH150"/>
      <c r="AI150"/>
    </row>
    <row r="151" spans="1:35" ht="12.75" customHeight="1" x14ac:dyDescent="0.2">
      <c r="A151" s="876" t="str">
        <f>E$2</f>
        <v>R-V3</v>
      </c>
      <c r="B151" s="618" t="s">
        <v>7232</v>
      </c>
      <c r="C151" s="877"/>
      <c r="D151" s="877"/>
      <c r="E151" s="877" t="str">
        <f>E$2</f>
        <v>R-V3</v>
      </c>
      <c r="F151" s="877"/>
      <c r="M151" s="890"/>
      <c r="AA151"/>
      <c r="AB151"/>
      <c r="AC151"/>
      <c r="AD151"/>
      <c r="AE151"/>
      <c r="AF151"/>
      <c r="AG151"/>
      <c r="AH151"/>
      <c r="AI151"/>
    </row>
    <row r="152" spans="1:35" ht="12.75" customHeight="1" x14ac:dyDescent="0.2">
      <c r="A152" s="876" t="str">
        <f>E$2</f>
        <v>R-V3</v>
      </c>
      <c r="B152" s="618" t="s">
        <v>7233</v>
      </c>
      <c r="C152" s="877"/>
      <c r="D152" s="877"/>
      <c r="E152" s="877" t="str">
        <f>E$2</f>
        <v>R-V3</v>
      </c>
      <c r="F152" s="877"/>
      <c r="M152" s="890"/>
      <c r="AA152"/>
      <c r="AB152"/>
      <c r="AC152"/>
      <c r="AD152"/>
      <c r="AE152"/>
      <c r="AF152"/>
      <c r="AG152"/>
      <c r="AH152"/>
      <c r="AI152"/>
    </row>
    <row r="153" spans="1:35" ht="12.75" customHeight="1" x14ac:dyDescent="0.2">
      <c r="A153" s="876" t="str">
        <f>E$2</f>
        <v>R-V3</v>
      </c>
      <c r="B153" s="618" t="s">
        <v>7234</v>
      </c>
      <c r="C153" s="877"/>
      <c r="D153" s="877"/>
      <c r="E153" s="877" t="str">
        <f>E$2</f>
        <v>R-V3</v>
      </c>
      <c r="F153" s="877"/>
      <c r="M153" s="890"/>
      <c r="AA153"/>
      <c r="AB153"/>
      <c r="AC153"/>
      <c r="AD153"/>
      <c r="AE153"/>
      <c r="AF153"/>
      <c r="AG153"/>
      <c r="AH153"/>
      <c r="AI153"/>
    </row>
    <row r="154" spans="1:35" ht="12.75" customHeight="1" x14ac:dyDescent="0.2">
      <c r="A154" s="876" t="str">
        <f>E$2</f>
        <v>R-V3</v>
      </c>
      <c r="B154" s="618" t="s">
        <v>7235</v>
      </c>
      <c r="C154" s="877"/>
      <c r="D154" s="877"/>
      <c r="E154" s="877" t="str">
        <f>E$2</f>
        <v>R-V3</v>
      </c>
      <c r="F154" s="877"/>
      <c r="M154" s="890"/>
      <c r="AA154"/>
      <c r="AB154"/>
      <c r="AC154"/>
      <c r="AD154"/>
      <c r="AE154"/>
      <c r="AF154"/>
      <c r="AG154"/>
      <c r="AH154"/>
      <c r="AI154"/>
    </row>
    <row r="155" spans="1:35" ht="12.75" customHeight="1" x14ac:dyDescent="0.2">
      <c r="A155" s="876"/>
      <c r="B155" s="618"/>
      <c r="C155" s="877"/>
      <c r="D155" s="877"/>
      <c r="E155" s="877"/>
      <c r="F155" s="877"/>
      <c r="M155" s="890"/>
      <c r="AA155"/>
      <c r="AB155"/>
      <c r="AC155"/>
      <c r="AD155"/>
      <c r="AE155"/>
      <c r="AF155"/>
      <c r="AG155"/>
      <c r="AH155"/>
      <c r="AI155"/>
    </row>
    <row r="156" spans="1:35" ht="12.75" customHeight="1" x14ac:dyDescent="0.2">
      <c r="A156" s="876" t="str">
        <f>F$2</f>
        <v>R-V4</v>
      </c>
      <c r="B156" s="618" t="s">
        <v>7232</v>
      </c>
      <c r="C156" s="877"/>
      <c r="D156" s="877"/>
      <c r="E156" s="877"/>
      <c r="F156" s="877" t="str">
        <f>F$2</f>
        <v>R-V4</v>
      </c>
      <c r="M156" s="890"/>
      <c r="AA156"/>
      <c r="AB156"/>
      <c r="AC156"/>
      <c r="AD156"/>
      <c r="AE156"/>
      <c r="AF156"/>
      <c r="AG156"/>
      <c r="AH156"/>
      <c r="AI156"/>
    </row>
    <row r="157" spans="1:35" ht="12.75" customHeight="1" x14ac:dyDescent="0.2">
      <c r="A157" s="876" t="str">
        <f>F$2</f>
        <v>R-V4</v>
      </c>
      <c r="B157" s="618" t="s">
        <v>7233</v>
      </c>
      <c r="C157" s="877"/>
      <c r="D157" s="877"/>
      <c r="E157" s="877"/>
      <c r="F157" s="877" t="str">
        <f>F$2</f>
        <v>R-V4</v>
      </c>
      <c r="M157" s="890"/>
      <c r="AA157"/>
      <c r="AB157"/>
      <c r="AC157"/>
      <c r="AD157"/>
      <c r="AE157"/>
      <c r="AF157"/>
      <c r="AG157"/>
      <c r="AH157"/>
      <c r="AI157"/>
    </row>
    <row r="158" spans="1:35" ht="12.75" customHeight="1" x14ac:dyDescent="0.2">
      <c r="A158" s="876" t="str">
        <f>F$2</f>
        <v>R-V4</v>
      </c>
      <c r="B158" s="618" t="s">
        <v>7234</v>
      </c>
      <c r="C158" s="877"/>
      <c r="D158" s="877"/>
      <c r="E158" s="877"/>
      <c r="F158" s="877" t="str">
        <f>F$2</f>
        <v>R-V4</v>
      </c>
      <c r="M158" s="890"/>
      <c r="AA158"/>
      <c r="AB158"/>
      <c r="AC158"/>
      <c r="AD158"/>
      <c r="AE158"/>
      <c r="AF158"/>
      <c r="AG158"/>
      <c r="AH158"/>
      <c r="AI158"/>
    </row>
    <row r="159" spans="1:35" ht="12.75" customHeight="1" x14ac:dyDescent="0.2">
      <c r="A159" s="876" t="str">
        <f>F$2</f>
        <v>R-V4</v>
      </c>
      <c r="B159" s="618" t="s">
        <v>7235</v>
      </c>
      <c r="C159" s="877"/>
      <c r="D159" s="877"/>
      <c r="E159" s="877"/>
      <c r="F159" s="877" t="str">
        <f>F$2</f>
        <v>R-V4</v>
      </c>
      <c r="M159" s="890"/>
      <c r="AA159"/>
      <c r="AB159"/>
      <c r="AC159"/>
      <c r="AD159"/>
      <c r="AE159"/>
      <c r="AF159"/>
      <c r="AG159"/>
      <c r="AH159"/>
      <c r="AI159"/>
    </row>
    <row r="160" spans="1:35" x14ac:dyDescent="0.2">
      <c r="C160" s="892"/>
      <c r="D160" s="892"/>
      <c r="E160" s="892"/>
      <c r="F160" s="892"/>
      <c r="M160" s="890"/>
      <c r="AA160"/>
      <c r="AB160"/>
      <c r="AC160"/>
      <c r="AD160"/>
      <c r="AE160"/>
      <c r="AF160"/>
      <c r="AG160"/>
      <c r="AH160"/>
      <c r="AI160"/>
    </row>
    <row r="161" spans="3:35" x14ac:dyDescent="0.2">
      <c r="C161" s="892"/>
      <c r="D161" s="892"/>
      <c r="E161" s="892"/>
      <c r="F161" s="892"/>
      <c r="M161" s="890"/>
      <c r="AA161"/>
      <c r="AB161"/>
      <c r="AC161"/>
      <c r="AD161"/>
      <c r="AE161"/>
      <c r="AF161"/>
      <c r="AG161"/>
      <c r="AH161"/>
      <c r="AI161"/>
    </row>
    <row r="162" spans="3:35" x14ac:dyDescent="0.2">
      <c r="C162" s="892"/>
      <c r="D162" s="892"/>
      <c r="E162" s="892"/>
      <c r="F162" s="892"/>
      <c r="M162" s="890"/>
      <c r="AA162"/>
      <c r="AB162"/>
      <c r="AC162"/>
      <c r="AD162"/>
      <c r="AE162"/>
      <c r="AF162"/>
      <c r="AG162"/>
      <c r="AH162"/>
      <c r="AI162"/>
    </row>
    <row r="163" spans="3:35" x14ac:dyDescent="0.2">
      <c r="C163" s="892"/>
      <c r="D163" s="892"/>
      <c r="E163" s="892"/>
      <c r="F163" s="892"/>
      <c r="M163" s="890"/>
      <c r="AA163"/>
      <c r="AB163"/>
      <c r="AC163"/>
      <c r="AD163"/>
      <c r="AE163"/>
      <c r="AF163"/>
      <c r="AG163"/>
      <c r="AH163"/>
      <c r="AI163"/>
    </row>
    <row r="164" spans="3:35" x14ac:dyDescent="0.2">
      <c r="C164" s="892"/>
      <c r="D164" s="892"/>
      <c r="E164" s="892"/>
      <c r="F164" s="892"/>
      <c r="M164" s="890"/>
      <c r="AA164"/>
      <c r="AB164"/>
      <c r="AC164"/>
      <c r="AD164"/>
      <c r="AE164"/>
      <c r="AF164"/>
      <c r="AG164"/>
      <c r="AH164"/>
      <c r="AI164"/>
    </row>
    <row r="165" spans="3:35" x14ac:dyDescent="0.2">
      <c r="C165" s="892"/>
      <c r="D165" s="892"/>
      <c r="E165" s="892"/>
      <c r="F165" s="892"/>
      <c r="M165" s="890"/>
      <c r="AA165"/>
      <c r="AB165"/>
      <c r="AC165"/>
      <c r="AD165"/>
      <c r="AE165"/>
      <c r="AF165"/>
      <c r="AG165"/>
      <c r="AH165"/>
      <c r="AI165"/>
    </row>
    <row r="166" spans="3:35" x14ac:dyDescent="0.2">
      <c r="C166" s="892"/>
      <c r="D166" s="892"/>
      <c r="E166" s="892"/>
      <c r="F166" s="892"/>
      <c r="M166" s="890"/>
      <c r="AA166"/>
      <c r="AB166"/>
      <c r="AC166"/>
      <c r="AD166"/>
      <c r="AE166"/>
      <c r="AF166"/>
      <c r="AG166"/>
      <c r="AH166"/>
      <c r="AI166"/>
    </row>
    <row r="167" spans="3:35" x14ac:dyDescent="0.2">
      <c r="C167" s="892"/>
      <c r="D167" s="892"/>
      <c r="E167" s="892"/>
      <c r="F167" s="892"/>
      <c r="M167" s="890"/>
      <c r="AA167"/>
      <c r="AB167"/>
      <c r="AC167"/>
      <c r="AD167"/>
      <c r="AE167"/>
      <c r="AF167"/>
      <c r="AG167"/>
      <c r="AH167"/>
      <c r="AI167"/>
    </row>
    <row r="168" spans="3:35" x14ac:dyDescent="0.2">
      <c r="C168" s="892"/>
      <c r="D168" s="892"/>
      <c r="E168" s="892"/>
      <c r="F168" s="892"/>
      <c r="M168" s="890"/>
      <c r="AA168"/>
      <c r="AB168"/>
      <c r="AC168"/>
      <c r="AD168"/>
      <c r="AE168"/>
      <c r="AF168"/>
      <c r="AG168"/>
      <c r="AH168"/>
      <c r="AI168"/>
    </row>
    <row r="169" spans="3:35" x14ac:dyDescent="0.2">
      <c r="C169" s="892"/>
      <c r="D169" s="892"/>
      <c r="E169" s="892"/>
      <c r="F169" s="892"/>
      <c r="M169" s="890"/>
      <c r="AA169"/>
      <c r="AB169"/>
      <c r="AC169"/>
      <c r="AD169"/>
      <c r="AE169"/>
      <c r="AF169"/>
      <c r="AG169"/>
      <c r="AH169"/>
      <c r="AI169"/>
    </row>
    <row r="170" spans="3:35" x14ac:dyDescent="0.2">
      <c r="C170" s="892"/>
      <c r="D170" s="892"/>
      <c r="E170" s="892"/>
      <c r="F170" s="892"/>
      <c r="M170" s="890"/>
      <c r="AA170"/>
      <c r="AB170"/>
      <c r="AC170"/>
      <c r="AD170"/>
      <c r="AE170"/>
      <c r="AF170"/>
      <c r="AG170"/>
      <c r="AH170"/>
      <c r="AI170"/>
    </row>
    <row r="171" spans="3:35" x14ac:dyDescent="0.2">
      <c r="C171" s="892"/>
      <c r="D171" s="892"/>
      <c r="E171" s="892"/>
      <c r="F171" s="892"/>
      <c r="M171" s="890"/>
      <c r="AA171"/>
      <c r="AB171"/>
      <c r="AC171"/>
      <c r="AD171"/>
      <c r="AE171"/>
      <c r="AF171"/>
      <c r="AG171"/>
      <c r="AH171"/>
      <c r="AI171"/>
    </row>
    <row r="172" spans="3:35" x14ac:dyDescent="0.2">
      <c r="C172" s="892"/>
      <c r="D172" s="892"/>
      <c r="E172" s="892"/>
      <c r="F172" s="892"/>
      <c r="M172" s="890"/>
      <c r="AA172"/>
      <c r="AB172"/>
      <c r="AC172"/>
      <c r="AD172"/>
      <c r="AE172"/>
      <c r="AF172"/>
      <c r="AG172"/>
      <c r="AH172"/>
      <c r="AI172"/>
    </row>
    <row r="173" spans="3:35" x14ac:dyDescent="0.2">
      <c r="C173" s="892"/>
      <c r="D173" s="892"/>
      <c r="E173" s="892"/>
      <c r="F173" s="892"/>
      <c r="M173" s="890"/>
      <c r="AA173"/>
      <c r="AB173"/>
      <c r="AC173"/>
      <c r="AD173"/>
      <c r="AE173"/>
      <c r="AF173"/>
      <c r="AG173"/>
      <c r="AH173"/>
      <c r="AI173"/>
    </row>
    <row r="174" spans="3:35" x14ac:dyDescent="0.2">
      <c r="M174" s="890"/>
      <c r="AA174"/>
      <c r="AB174"/>
      <c r="AC174"/>
      <c r="AD174"/>
      <c r="AE174"/>
      <c r="AF174"/>
      <c r="AG174"/>
      <c r="AH174"/>
      <c r="AI174"/>
    </row>
    <row r="175" spans="3:35" x14ac:dyDescent="0.2">
      <c r="M175" s="890"/>
      <c r="AA175"/>
      <c r="AB175"/>
      <c r="AC175"/>
      <c r="AD175"/>
      <c r="AE175"/>
      <c r="AF175"/>
      <c r="AG175"/>
      <c r="AH175"/>
      <c r="AI175"/>
    </row>
    <row r="176" spans="3:35" x14ac:dyDescent="0.2">
      <c r="M176" s="890"/>
      <c r="AA176"/>
      <c r="AB176"/>
      <c r="AC176"/>
      <c r="AD176"/>
      <c r="AE176"/>
      <c r="AF176"/>
      <c r="AG176"/>
      <c r="AH176"/>
      <c r="AI176"/>
    </row>
    <row r="177" spans="13:35" x14ac:dyDescent="0.2">
      <c r="M177" s="890"/>
      <c r="AA177"/>
      <c r="AB177"/>
      <c r="AC177"/>
      <c r="AD177"/>
      <c r="AE177"/>
      <c r="AF177"/>
      <c r="AG177"/>
      <c r="AH177"/>
      <c r="AI177"/>
    </row>
    <row r="178" spans="13:35" x14ac:dyDescent="0.2">
      <c r="M178" s="890"/>
      <c r="AA178"/>
      <c r="AB178"/>
      <c r="AC178"/>
      <c r="AD178"/>
      <c r="AE178"/>
      <c r="AF178"/>
      <c r="AG178"/>
      <c r="AH178"/>
      <c r="AI178"/>
    </row>
    <row r="179" spans="13:35" x14ac:dyDescent="0.2">
      <c r="M179" s="890"/>
      <c r="AA179"/>
      <c r="AB179"/>
      <c r="AC179"/>
      <c r="AD179"/>
      <c r="AE179"/>
      <c r="AF179"/>
      <c r="AG179"/>
      <c r="AH179"/>
      <c r="AI179"/>
    </row>
    <row r="180" spans="13:35" x14ac:dyDescent="0.2">
      <c r="M180" s="890"/>
      <c r="AA180"/>
      <c r="AB180"/>
      <c r="AC180"/>
      <c r="AD180"/>
      <c r="AE180"/>
      <c r="AF180"/>
      <c r="AG180"/>
      <c r="AH180"/>
      <c r="AI180"/>
    </row>
    <row r="181" spans="13:35" x14ac:dyDescent="0.2">
      <c r="M181" s="890"/>
      <c r="AA181"/>
      <c r="AB181"/>
      <c r="AC181"/>
      <c r="AD181"/>
      <c r="AE181"/>
      <c r="AF181"/>
      <c r="AG181"/>
      <c r="AH181"/>
      <c r="AI181"/>
    </row>
    <row r="182" spans="13:35" x14ac:dyDescent="0.2">
      <c r="M182" s="890"/>
      <c r="AA182"/>
      <c r="AB182"/>
      <c r="AC182"/>
      <c r="AD182"/>
      <c r="AE182"/>
      <c r="AF182"/>
      <c r="AG182"/>
      <c r="AH182"/>
      <c r="AI182"/>
    </row>
    <row r="183" spans="13:35" x14ac:dyDescent="0.2">
      <c r="M183" s="890"/>
      <c r="AA183"/>
      <c r="AB183"/>
      <c r="AC183"/>
      <c r="AD183"/>
      <c r="AE183"/>
      <c r="AF183"/>
      <c r="AG183"/>
      <c r="AH183"/>
      <c r="AI183"/>
    </row>
    <row r="184" spans="13:35" x14ac:dyDescent="0.2">
      <c r="M184" s="890"/>
      <c r="AA184"/>
      <c r="AB184"/>
      <c r="AC184"/>
      <c r="AD184"/>
      <c r="AE184"/>
      <c r="AF184"/>
      <c r="AG184"/>
      <c r="AH184"/>
      <c r="AI184"/>
    </row>
    <row r="185" spans="13:35" x14ac:dyDescent="0.2">
      <c r="M185" s="890"/>
      <c r="AA185"/>
      <c r="AB185"/>
      <c r="AC185"/>
      <c r="AD185"/>
      <c r="AE185"/>
      <c r="AF185"/>
      <c r="AG185"/>
      <c r="AH185"/>
      <c r="AI185"/>
    </row>
    <row r="186" spans="13:35" x14ac:dyDescent="0.2">
      <c r="M186" s="890"/>
      <c r="AA186"/>
      <c r="AB186"/>
      <c r="AC186"/>
      <c r="AD186"/>
      <c r="AE186"/>
      <c r="AF186"/>
      <c r="AG186"/>
      <c r="AH186"/>
      <c r="AI186"/>
    </row>
    <row r="187" spans="13:35" x14ac:dyDescent="0.2">
      <c r="M187" s="890"/>
      <c r="AA187"/>
      <c r="AB187"/>
      <c r="AC187"/>
      <c r="AD187"/>
      <c r="AE187"/>
      <c r="AF187"/>
      <c r="AG187"/>
      <c r="AH187"/>
      <c r="AI187"/>
    </row>
    <row r="188" spans="13:35" x14ac:dyDescent="0.2">
      <c r="M188" s="890"/>
      <c r="AA188"/>
      <c r="AB188"/>
      <c r="AC188"/>
      <c r="AD188"/>
      <c r="AE188"/>
      <c r="AF188"/>
      <c r="AG188"/>
      <c r="AH188"/>
      <c r="AI188"/>
    </row>
    <row r="189" spans="13:35" x14ac:dyDescent="0.2">
      <c r="M189" s="890"/>
      <c r="AA189"/>
      <c r="AB189"/>
      <c r="AC189"/>
      <c r="AD189"/>
      <c r="AE189"/>
      <c r="AF189"/>
      <c r="AG189"/>
      <c r="AH189"/>
      <c r="AI189"/>
    </row>
    <row r="190" spans="13:35" x14ac:dyDescent="0.2">
      <c r="M190" s="890"/>
      <c r="AA190"/>
      <c r="AB190"/>
      <c r="AC190"/>
      <c r="AD190"/>
      <c r="AE190"/>
      <c r="AF190"/>
      <c r="AG190"/>
      <c r="AH190"/>
      <c r="AI190"/>
    </row>
    <row r="191" spans="13:35" x14ac:dyDescent="0.2">
      <c r="M191" s="890"/>
      <c r="AA191"/>
      <c r="AB191"/>
      <c r="AC191"/>
      <c r="AD191"/>
      <c r="AE191"/>
      <c r="AF191"/>
      <c r="AG191"/>
      <c r="AH191"/>
      <c r="AI191"/>
    </row>
    <row r="192" spans="13:35" x14ac:dyDescent="0.2">
      <c r="M192" s="890"/>
      <c r="AA192"/>
      <c r="AB192"/>
      <c r="AC192"/>
      <c r="AD192"/>
      <c r="AE192"/>
      <c r="AF192"/>
      <c r="AG192"/>
      <c r="AH192"/>
      <c r="AI192"/>
    </row>
    <row r="193" spans="13:35" x14ac:dyDescent="0.2">
      <c r="M193" s="890"/>
      <c r="AA193"/>
      <c r="AB193"/>
      <c r="AC193"/>
      <c r="AD193"/>
      <c r="AE193"/>
      <c r="AF193"/>
      <c r="AG193"/>
      <c r="AH193"/>
      <c r="AI193"/>
    </row>
    <row r="194" spans="13:35" x14ac:dyDescent="0.2">
      <c r="M194" s="890"/>
      <c r="AA194"/>
      <c r="AB194"/>
      <c r="AC194"/>
      <c r="AD194"/>
      <c r="AE194"/>
      <c r="AF194"/>
      <c r="AG194"/>
      <c r="AH194"/>
      <c r="AI194"/>
    </row>
    <row r="195" spans="13:35" x14ac:dyDescent="0.2">
      <c r="M195" s="890"/>
      <c r="AA195"/>
      <c r="AB195"/>
      <c r="AC195"/>
      <c r="AD195"/>
      <c r="AE195"/>
      <c r="AF195"/>
      <c r="AG195"/>
      <c r="AH195"/>
      <c r="AI195"/>
    </row>
    <row r="196" spans="13:35" x14ac:dyDescent="0.2">
      <c r="M196" s="890"/>
      <c r="AA196"/>
      <c r="AB196"/>
      <c r="AC196"/>
      <c r="AD196"/>
      <c r="AE196"/>
      <c r="AF196"/>
      <c r="AG196"/>
      <c r="AH196"/>
      <c r="AI196"/>
    </row>
    <row r="197" spans="13:35" x14ac:dyDescent="0.2">
      <c r="M197" s="890"/>
      <c r="AA197"/>
      <c r="AB197"/>
      <c r="AC197"/>
      <c r="AD197"/>
      <c r="AE197"/>
      <c r="AF197"/>
      <c r="AG197"/>
      <c r="AH197"/>
      <c r="AI197"/>
    </row>
    <row r="198" spans="13:35" x14ac:dyDescent="0.2">
      <c r="M198" s="890"/>
      <c r="AA198"/>
      <c r="AB198"/>
      <c r="AC198"/>
      <c r="AD198"/>
      <c r="AE198"/>
      <c r="AF198"/>
      <c r="AG198"/>
      <c r="AH198"/>
      <c r="AI198"/>
    </row>
    <row r="199" spans="13:35" x14ac:dyDescent="0.2">
      <c r="M199" s="890"/>
      <c r="AA199"/>
      <c r="AB199"/>
      <c r="AC199"/>
      <c r="AD199"/>
      <c r="AE199"/>
      <c r="AF199"/>
      <c r="AG199"/>
      <c r="AH199"/>
      <c r="AI199"/>
    </row>
    <row r="200" spans="13:35" x14ac:dyDescent="0.2">
      <c r="M200" s="890"/>
      <c r="AA200"/>
      <c r="AB200"/>
      <c r="AC200"/>
      <c r="AD200"/>
      <c r="AE200"/>
      <c r="AF200"/>
      <c r="AG200"/>
      <c r="AH200"/>
      <c r="AI200"/>
    </row>
    <row r="201" spans="13:35" x14ac:dyDescent="0.2">
      <c r="M201" s="890"/>
      <c r="AA201"/>
      <c r="AB201"/>
      <c r="AC201"/>
      <c r="AD201"/>
      <c r="AE201"/>
      <c r="AF201"/>
      <c r="AG201"/>
      <c r="AH201"/>
      <c r="AI201"/>
    </row>
    <row r="202" spans="13:35" x14ac:dyDescent="0.2">
      <c r="M202" s="890"/>
      <c r="AA202"/>
      <c r="AB202"/>
      <c r="AC202"/>
      <c r="AD202"/>
      <c r="AE202"/>
      <c r="AF202"/>
      <c r="AG202"/>
      <c r="AH202"/>
      <c r="AI202"/>
    </row>
    <row r="203" spans="13:35" x14ac:dyDescent="0.2">
      <c r="M203" s="890"/>
      <c r="AA203"/>
      <c r="AB203"/>
      <c r="AC203"/>
      <c r="AD203"/>
      <c r="AE203"/>
      <c r="AF203"/>
      <c r="AG203"/>
      <c r="AH203"/>
      <c r="AI203"/>
    </row>
    <row r="204" spans="13:35" x14ac:dyDescent="0.2">
      <c r="M204" s="890"/>
      <c r="AA204"/>
      <c r="AB204"/>
      <c r="AC204"/>
      <c r="AD204"/>
      <c r="AE204"/>
      <c r="AF204"/>
      <c r="AG204"/>
      <c r="AH204"/>
      <c r="AI204"/>
    </row>
    <row r="205" spans="13:35" x14ac:dyDescent="0.2">
      <c r="M205" s="890"/>
      <c r="AA205"/>
      <c r="AB205"/>
      <c r="AC205"/>
      <c r="AD205"/>
      <c r="AE205"/>
      <c r="AF205"/>
      <c r="AG205"/>
      <c r="AH205"/>
      <c r="AI205"/>
    </row>
    <row r="206" spans="13:35" x14ac:dyDescent="0.2">
      <c r="M206" s="890"/>
      <c r="AA206"/>
      <c r="AB206"/>
      <c r="AC206"/>
      <c r="AD206"/>
      <c r="AE206"/>
      <c r="AF206"/>
      <c r="AG206"/>
      <c r="AH206"/>
      <c r="AI206"/>
    </row>
    <row r="207" spans="13:35" x14ac:dyDescent="0.2">
      <c r="M207" s="890"/>
      <c r="AA207"/>
      <c r="AB207"/>
      <c r="AC207"/>
      <c r="AD207"/>
      <c r="AE207"/>
      <c r="AF207"/>
      <c r="AG207"/>
      <c r="AH207"/>
      <c r="AI207"/>
    </row>
    <row r="208" spans="13:35" x14ac:dyDescent="0.2">
      <c r="M208" s="890"/>
      <c r="AA208"/>
      <c r="AB208"/>
      <c r="AC208"/>
      <c r="AD208"/>
      <c r="AE208"/>
      <c r="AF208"/>
      <c r="AG208"/>
      <c r="AH208"/>
      <c r="AI208"/>
    </row>
    <row r="209" spans="13:35" x14ac:dyDescent="0.2">
      <c r="M209" s="890"/>
      <c r="AA209"/>
      <c r="AB209"/>
      <c r="AC209"/>
      <c r="AD209"/>
      <c r="AE209"/>
      <c r="AF209"/>
      <c r="AG209"/>
      <c r="AH209"/>
      <c r="AI209"/>
    </row>
    <row r="210" spans="13:35" x14ac:dyDescent="0.2">
      <c r="M210" s="890"/>
      <c r="AA210"/>
      <c r="AB210"/>
      <c r="AC210"/>
      <c r="AD210"/>
      <c r="AE210"/>
      <c r="AF210"/>
      <c r="AG210"/>
      <c r="AH210"/>
      <c r="AI210"/>
    </row>
    <row r="211" spans="13:35" x14ac:dyDescent="0.2">
      <c r="M211" s="890"/>
      <c r="AA211"/>
      <c r="AB211"/>
      <c r="AC211"/>
      <c r="AD211"/>
      <c r="AE211"/>
      <c r="AF211"/>
      <c r="AG211"/>
      <c r="AH211"/>
      <c r="AI211"/>
    </row>
    <row r="212" spans="13:35" x14ac:dyDescent="0.2">
      <c r="M212" s="890"/>
      <c r="AA212"/>
      <c r="AB212"/>
      <c r="AC212"/>
      <c r="AD212"/>
      <c r="AE212"/>
      <c r="AF212"/>
      <c r="AG212"/>
      <c r="AH212"/>
      <c r="AI212"/>
    </row>
    <row r="213" spans="13:35" x14ac:dyDescent="0.2">
      <c r="M213" s="890"/>
      <c r="AA213"/>
      <c r="AB213"/>
      <c r="AC213"/>
      <c r="AD213"/>
      <c r="AE213"/>
      <c r="AF213"/>
      <c r="AG213"/>
      <c r="AH213"/>
      <c r="AI213"/>
    </row>
    <row r="214" spans="13:35" x14ac:dyDescent="0.2">
      <c r="M214" s="890"/>
      <c r="AA214"/>
      <c r="AB214"/>
      <c r="AC214"/>
      <c r="AD214"/>
      <c r="AE214"/>
      <c r="AF214"/>
      <c r="AG214"/>
      <c r="AH214"/>
      <c r="AI214"/>
    </row>
    <row r="215" spans="13:35" x14ac:dyDescent="0.2">
      <c r="M215" s="890"/>
      <c r="AA215"/>
      <c r="AB215"/>
      <c r="AC215"/>
      <c r="AD215"/>
      <c r="AE215"/>
      <c r="AF215"/>
      <c r="AG215"/>
      <c r="AH215"/>
      <c r="AI215"/>
    </row>
    <row r="216" spans="13:35" x14ac:dyDescent="0.2">
      <c r="M216" s="890"/>
      <c r="AA216"/>
      <c r="AB216"/>
      <c r="AC216"/>
      <c r="AD216"/>
      <c r="AE216"/>
      <c r="AF216"/>
      <c r="AG216"/>
      <c r="AH216"/>
      <c r="AI216"/>
    </row>
    <row r="217" spans="13:35" x14ac:dyDescent="0.2">
      <c r="M217" s="890"/>
      <c r="AA217"/>
      <c r="AB217"/>
      <c r="AC217"/>
      <c r="AD217"/>
      <c r="AE217"/>
      <c r="AF217"/>
      <c r="AG217"/>
      <c r="AH217"/>
      <c r="AI217"/>
    </row>
    <row r="218" spans="13:35" x14ac:dyDescent="0.2">
      <c r="M218" s="890"/>
      <c r="AA218"/>
      <c r="AB218"/>
      <c r="AC218"/>
      <c r="AD218"/>
      <c r="AE218"/>
      <c r="AF218"/>
      <c r="AG218"/>
      <c r="AH218"/>
      <c r="AI218"/>
    </row>
    <row r="219" spans="13:35" x14ac:dyDescent="0.2">
      <c r="M219" s="890"/>
      <c r="AA219"/>
      <c r="AB219"/>
      <c r="AC219"/>
      <c r="AD219"/>
      <c r="AE219"/>
      <c r="AF219"/>
      <c r="AG219"/>
      <c r="AH219"/>
      <c r="AI219"/>
    </row>
    <row r="220" spans="13:35" x14ac:dyDescent="0.2">
      <c r="M220" s="890"/>
      <c r="AA220"/>
      <c r="AB220"/>
      <c r="AC220"/>
      <c r="AD220"/>
      <c r="AE220"/>
      <c r="AF220"/>
      <c r="AG220"/>
      <c r="AH220"/>
      <c r="AI220"/>
    </row>
    <row r="221" spans="13:35" x14ac:dyDescent="0.2">
      <c r="M221" s="890"/>
      <c r="AA221"/>
      <c r="AB221"/>
      <c r="AC221"/>
      <c r="AD221"/>
      <c r="AE221"/>
      <c r="AF221"/>
      <c r="AG221"/>
      <c r="AH221"/>
      <c r="AI221"/>
    </row>
    <row r="222" spans="13:35" x14ac:dyDescent="0.2">
      <c r="M222" s="890"/>
      <c r="AA222"/>
      <c r="AB222"/>
      <c r="AC222"/>
      <c r="AD222"/>
      <c r="AE222"/>
      <c r="AF222"/>
      <c r="AG222"/>
      <c r="AH222"/>
      <c r="AI222"/>
    </row>
    <row r="223" spans="13:35" x14ac:dyDescent="0.2">
      <c r="M223" s="890"/>
      <c r="AA223"/>
      <c r="AB223"/>
      <c r="AC223"/>
      <c r="AD223"/>
      <c r="AE223"/>
      <c r="AF223"/>
      <c r="AG223"/>
      <c r="AH223"/>
      <c r="AI223"/>
    </row>
    <row r="224" spans="13:35" x14ac:dyDescent="0.2">
      <c r="M224" s="890"/>
      <c r="AA224"/>
      <c r="AB224"/>
      <c r="AC224"/>
      <c r="AD224"/>
      <c r="AE224"/>
      <c r="AF224"/>
      <c r="AG224"/>
      <c r="AH224"/>
      <c r="AI224"/>
    </row>
    <row r="225" spans="13:35" x14ac:dyDescent="0.2">
      <c r="M225" s="890"/>
      <c r="AA225"/>
      <c r="AB225"/>
      <c r="AC225"/>
      <c r="AD225"/>
      <c r="AE225"/>
      <c r="AF225"/>
      <c r="AG225"/>
      <c r="AH225"/>
      <c r="AI225"/>
    </row>
    <row r="226" spans="13:35" x14ac:dyDescent="0.2">
      <c r="M226" s="890"/>
      <c r="AA226"/>
      <c r="AB226"/>
      <c r="AC226"/>
      <c r="AD226"/>
      <c r="AE226"/>
      <c r="AF226"/>
      <c r="AG226"/>
      <c r="AH226"/>
      <c r="AI226"/>
    </row>
    <row r="227" spans="13:35" x14ac:dyDescent="0.2">
      <c r="M227" s="890"/>
      <c r="AA227"/>
      <c r="AB227"/>
      <c r="AC227"/>
      <c r="AD227"/>
      <c r="AE227"/>
      <c r="AF227"/>
      <c r="AG227"/>
      <c r="AH227"/>
      <c r="AI227"/>
    </row>
    <row r="228" spans="13:35" x14ac:dyDescent="0.2">
      <c r="M228" s="890"/>
      <c r="AA228"/>
      <c r="AB228"/>
      <c r="AC228"/>
      <c r="AD228"/>
      <c r="AE228"/>
      <c r="AF228"/>
      <c r="AG228"/>
      <c r="AH228"/>
      <c r="AI228"/>
    </row>
    <row r="229" spans="13:35" x14ac:dyDescent="0.2">
      <c r="M229" s="890"/>
      <c r="AA229"/>
      <c r="AB229"/>
      <c r="AC229"/>
      <c r="AD229"/>
      <c r="AE229"/>
      <c r="AF229"/>
      <c r="AG229"/>
      <c r="AH229"/>
      <c r="AI229"/>
    </row>
    <row r="230" spans="13:35" x14ac:dyDescent="0.2">
      <c r="M230" s="890"/>
      <c r="AA230"/>
      <c r="AB230"/>
      <c r="AC230"/>
      <c r="AD230"/>
      <c r="AE230"/>
      <c r="AF230"/>
      <c r="AG230"/>
      <c r="AH230"/>
      <c r="AI230"/>
    </row>
    <row r="231" spans="13:35" x14ac:dyDescent="0.2">
      <c r="M231" s="890"/>
      <c r="AA231"/>
      <c r="AB231"/>
      <c r="AC231"/>
      <c r="AD231"/>
      <c r="AE231"/>
      <c r="AF231"/>
      <c r="AG231"/>
      <c r="AH231"/>
      <c r="AI231"/>
    </row>
    <row r="232" spans="13:35" x14ac:dyDescent="0.2">
      <c r="M232" s="890"/>
      <c r="AA232"/>
      <c r="AB232"/>
      <c r="AC232"/>
      <c r="AD232"/>
      <c r="AE232"/>
      <c r="AF232"/>
      <c r="AG232"/>
      <c r="AH232"/>
      <c r="AI232"/>
    </row>
    <row r="233" spans="13:35" x14ac:dyDescent="0.2">
      <c r="M233" s="890"/>
      <c r="AA233"/>
      <c r="AB233"/>
      <c r="AC233"/>
      <c r="AD233"/>
      <c r="AE233"/>
      <c r="AF233"/>
      <c r="AG233"/>
      <c r="AH233"/>
      <c r="AI233"/>
    </row>
    <row r="234" spans="13:35" x14ac:dyDescent="0.2">
      <c r="M234" s="890"/>
      <c r="AA234"/>
      <c r="AB234"/>
      <c r="AC234"/>
      <c r="AD234"/>
      <c r="AE234"/>
      <c r="AF234"/>
      <c r="AG234"/>
      <c r="AH234"/>
      <c r="AI234"/>
    </row>
    <row r="235" spans="13:35" x14ac:dyDescent="0.2">
      <c r="M235" s="890"/>
      <c r="AA235"/>
      <c r="AB235"/>
      <c r="AC235"/>
      <c r="AD235"/>
      <c r="AE235"/>
      <c r="AF235"/>
      <c r="AG235"/>
      <c r="AH235"/>
      <c r="AI235"/>
    </row>
    <row r="236" spans="13:35" x14ac:dyDescent="0.2">
      <c r="M236" s="890"/>
      <c r="AA236"/>
      <c r="AB236"/>
      <c r="AC236"/>
      <c r="AD236"/>
      <c r="AE236"/>
      <c r="AF236"/>
      <c r="AG236"/>
      <c r="AH236"/>
      <c r="AI236"/>
    </row>
    <row r="237" spans="13:35" x14ac:dyDescent="0.2">
      <c r="M237" s="890"/>
      <c r="AA237"/>
      <c r="AB237"/>
      <c r="AC237"/>
      <c r="AD237"/>
      <c r="AE237"/>
      <c r="AF237"/>
      <c r="AG237"/>
      <c r="AH237"/>
      <c r="AI237"/>
    </row>
    <row r="238" spans="13:35" x14ac:dyDescent="0.2">
      <c r="M238" s="890"/>
      <c r="AA238"/>
      <c r="AB238"/>
      <c r="AC238"/>
      <c r="AD238"/>
      <c r="AE238"/>
      <c r="AF238"/>
      <c r="AG238"/>
      <c r="AH238"/>
      <c r="AI238"/>
    </row>
    <row r="239" spans="13:35" x14ac:dyDescent="0.2">
      <c r="M239" s="890"/>
      <c r="AA239"/>
      <c r="AB239"/>
      <c r="AC239"/>
      <c r="AD239"/>
      <c r="AE239"/>
      <c r="AF239"/>
      <c r="AG239"/>
      <c r="AH239"/>
      <c r="AI239"/>
    </row>
    <row r="240" spans="13:35" x14ac:dyDescent="0.2">
      <c r="M240" s="890"/>
      <c r="AA240"/>
      <c r="AB240"/>
      <c r="AC240"/>
      <c r="AD240"/>
      <c r="AE240"/>
      <c r="AF240"/>
      <c r="AG240"/>
      <c r="AH240"/>
      <c r="AI240"/>
    </row>
    <row r="241" spans="13:35" x14ac:dyDescent="0.2">
      <c r="M241" s="890"/>
      <c r="AA241"/>
      <c r="AB241"/>
      <c r="AC241"/>
      <c r="AD241"/>
      <c r="AE241"/>
      <c r="AF241"/>
      <c r="AG241"/>
      <c r="AH241"/>
      <c r="AI241"/>
    </row>
    <row r="242" spans="13:35" x14ac:dyDescent="0.2">
      <c r="M242" s="890"/>
      <c r="AA242"/>
      <c r="AB242"/>
      <c r="AC242"/>
      <c r="AD242"/>
      <c r="AE242"/>
      <c r="AF242"/>
      <c r="AG242"/>
      <c r="AH242"/>
      <c r="AI242"/>
    </row>
    <row r="243" spans="13:35" x14ac:dyDescent="0.2">
      <c r="M243" s="890"/>
      <c r="AA243"/>
      <c r="AB243"/>
      <c r="AC243"/>
      <c r="AD243"/>
      <c r="AE243"/>
      <c r="AF243"/>
      <c r="AG243"/>
      <c r="AH243"/>
      <c r="AI243"/>
    </row>
    <row r="244" spans="13:35" x14ac:dyDescent="0.2">
      <c r="M244" s="890"/>
      <c r="AA244"/>
      <c r="AB244"/>
      <c r="AC244"/>
      <c r="AD244"/>
      <c r="AE244"/>
      <c r="AF244"/>
      <c r="AG244"/>
      <c r="AH244"/>
      <c r="AI244"/>
    </row>
    <row r="245" spans="13:35" x14ac:dyDescent="0.2">
      <c r="M245" s="890"/>
      <c r="AA245"/>
      <c r="AB245"/>
      <c r="AC245"/>
      <c r="AD245"/>
      <c r="AE245"/>
      <c r="AF245"/>
      <c r="AG245"/>
      <c r="AH245"/>
      <c r="AI245"/>
    </row>
    <row r="246" spans="13:35" x14ac:dyDescent="0.2">
      <c r="M246" s="890"/>
      <c r="AA246"/>
      <c r="AB246"/>
      <c r="AC246"/>
      <c r="AD246"/>
      <c r="AE246"/>
      <c r="AF246"/>
      <c r="AG246"/>
      <c r="AH246"/>
      <c r="AI246"/>
    </row>
    <row r="247" spans="13:35" x14ac:dyDescent="0.2">
      <c r="M247" s="890"/>
      <c r="AA247"/>
      <c r="AB247"/>
      <c r="AC247"/>
      <c r="AD247"/>
      <c r="AE247"/>
      <c r="AF247"/>
      <c r="AG247"/>
      <c r="AH247"/>
      <c r="AI247"/>
    </row>
    <row r="248" spans="13:35" x14ac:dyDescent="0.2">
      <c r="M248" s="890"/>
      <c r="AA248"/>
      <c r="AB248"/>
      <c r="AC248"/>
      <c r="AD248"/>
      <c r="AE248"/>
      <c r="AF248"/>
      <c r="AG248"/>
      <c r="AH248"/>
      <c r="AI248"/>
    </row>
    <row r="249" spans="13:35" x14ac:dyDescent="0.2">
      <c r="M249" s="890"/>
      <c r="AA249"/>
      <c r="AB249"/>
      <c r="AC249"/>
      <c r="AD249"/>
      <c r="AE249"/>
      <c r="AF249"/>
      <c r="AG249"/>
      <c r="AH249"/>
      <c r="AI249"/>
    </row>
    <row r="250" spans="13:35" x14ac:dyDescent="0.2">
      <c r="M250" s="890"/>
      <c r="AA250"/>
      <c r="AB250"/>
      <c r="AC250"/>
      <c r="AD250"/>
      <c r="AE250"/>
      <c r="AF250"/>
      <c r="AG250"/>
      <c r="AH250"/>
      <c r="AI250"/>
    </row>
    <row r="251" spans="13:35" x14ac:dyDescent="0.2">
      <c r="M251" s="890"/>
      <c r="AA251"/>
      <c r="AB251"/>
      <c r="AC251"/>
      <c r="AD251"/>
      <c r="AE251"/>
      <c r="AF251"/>
      <c r="AG251"/>
      <c r="AH251"/>
      <c r="AI251"/>
    </row>
    <row r="252" spans="13:35" x14ac:dyDescent="0.2">
      <c r="M252" s="890"/>
      <c r="AA252"/>
      <c r="AB252"/>
      <c r="AC252"/>
      <c r="AD252"/>
      <c r="AE252"/>
      <c r="AF252"/>
      <c r="AG252"/>
      <c r="AH252"/>
      <c r="AI252"/>
    </row>
    <row r="253" spans="13:35" x14ac:dyDescent="0.2">
      <c r="M253" s="890"/>
      <c r="AA253"/>
      <c r="AB253"/>
      <c r="AC253"/>
      <c r="AD253"/>
      <c r="AE253"/>
      <c r="AF253"/>
      <c r="AG253"/>
      <c r="AH253"/>
      <c r="AI253"/>
    </row>
    <row r="254" spans="13:35" x14ac:dyDescent="0.2">
      <c r="M254" s="890"/>
      <c r="AA254"/>
      <c r="AB254"/>
      <c r="AC254"/>
      <c r="AD254"/>
      <c r="AE254"/>
      <c r="AF254"/>
      <c r="AG254"/>
      <c r="AH254"/>
      <c r="AI254"/>
    </row>
    <row r="255" spans="13:35" x14ac:dyDescent="0.2">
      <c r="M255" s="890"/>
      <c r="AA255"/>
      <c r="AB255"/>
      <c r="AC255"/>
      <c r="AD255"/>
      <c r="AE255"/>
      <c r="AF255"/>
      <c r="AG255"/>
      <c r="AH255"/>
      <c r="AI255"/>
    </row>
    <row r="256" spans="13:35" x14ac:dyDescent="0.2">
      <c r="M256" s="890"/>
      <c r="AA256"/>
      <c r="AB256"/>
      <c r="AC256"/>
      <c r="AD256"/>
      <c r="AE256"/>
      <c r="AF256"/>
      <c r="AG256"/>
      <c r="AH256"/>
      <c r="AI256"/>
    </row>
    <row r="257" spans="13:35" x14ac:dyDescent="0.2">
      <c r="M257" s="890"/>
      <c r="AA257"/>
      <c r="AB257"/>
      <c r="AC257"/>
      <c r="AD257"/>
      <c r="AE257"/>
      <c r="AF257"/>
      <c r="AG257"/>
      <c r="AH257"/>
      <c r="AI257"/>
    </row>
    <row r="258" spans="13:35" x14ac:dyDescent="0.2">
      <c r="M258" s="890"/>
      <c r="AA258"/>
      <c r="AB258"/>
      <c r="AC258"/>
      <c r="AD258"/>
      <c r="AE258"/>
      <c r="AF258"/>
      <c r="AG258"/>
      <c r="AH258"/>
      <c r="AI258"/>
    </row>
    <row r="259" spans="13:35" x14ac:dyDescent="0.2">
      <c r="M259" s="890"/>
      <c r="AA259"/>
      <c r="AB259"/>
      <c r="AC259"/>
      <c r="AD259"/>
      <c r="AE259"/>
      <c r="AF259"/>
      <c r="AG259"/>
      <c r="AH259"/>
      <c r="AI259"/>
    </row>
    <row r="260" spans="13:35" x14ac:dyDescent="0.2">
      <c r="M260" s="890"/>
      <c r="AA260"/>
      <c r="AB260"/>
      <c r="AC260"/>
      <c r="AD260"/>
      <c r="AE260"/>
      <c r="AF260"/>
      <c r="AG260"/>
      <c r="AH260"/>
      <c r="AI260"/>
    </row>
    <row r="261" spans="13:35" x14ac:dyDescent="0.2">
      <c r="M261" s="890"/>
      <c r="AA261"/>
      <c r="AB261"/>
      <c r="AC261"/>
      <c r="AD261"/>
      <c r="AE261"/>
      <c r="AF261"/>
      <c r="AG261"/>
      <c r="AH261"/>
      <c r="AI261"/>
    </row>
    <row r="262" spans="13:35" x14ac:dyDescent="0.2">
      <c r="M262" s="890"/>
      <c r="AA262"/>
      <c r="AB262"/>
      <c r="AC262"/>
      <c r="AD262"/>
      <c r="AE262"/>
      <c r="AF262"/>
      <c r="AG262"/>
      <c r="AH262"/>
      <c r="AI262"/>
    </row>
    <row r="263" spans="13:35" x14ac:dyDescent="0.2">
      <c r="M263" s="890"/>
      <c r="AA263"/>
      <c r="AB263"/>
      <c r="AC263"/>
      <c r="AD263"/>
      <c r="AE263"/>
      <c r="AF263"/>
      <c r="AG263"/>
      <c r="AH263"/>
      <c r="AI263"/>
    </row>
    <row r="264" spans="13:35" x14ac:dyDescent="0.2">
      <c r="M264" s="890"/>
      <c r="AA264"/>
      <c r="AB264"/>
      <c r="AC264"/>
      <c r="AD264"/>
      <c r="AE264"/>
      <c r="AF264"/>
      <c r="AG264"/>
      <c r="AH264"/>
      <c r="AI264"/>
    </row>
    <row r="265" spans="13:35" x14ac:dyDescent="0.2">
      <c r="M265" s="890"/>
      <c r="AA265"/>
      <c r="AB265"/>
      <c r="AC265"/>
      <c r="AD265"/>
      <c r="AE265"/>
      <c r="AF265"/>
      <c r="AG265"/>
      <c r="AH265"/>
      <c r="AI265"/>
    </row>
    <row r="266" spans="13:35" x14ac:dyDescent="0.2">
      <c r="M266" s="890"/>
      <c r="AA266"/>
      <c r="AB266"/>
      <c r="AC266"/>
      <c r="AD266"/>
      <c r="AE266"/>
      <c r="AF266"/>
      <c r="AG266"/>
      <c r="AH266"/>
      <c r="AI266"/>
    </row>
    <row r="267" spans="13:35" x14ac:dyDescent="0.2">
      <c r="M267" s="890"/>
      <c r="AA267"/>
      <c r="AB267"/>
      <c r="AC267"/>
      <c r="AD267"/>
      <c r="AE267"/>
      <c r="AF267"/>
      <c r="AG267"/>
      <c r="AH267"/>
      <c r="AI267"/>
    </row>
    <row r="268" spans="13:35" x14ac:dyDescent="0.2">
      <c r="M268" s="890"/>
      <c r="AA268"/>
      <c r="AB268"/>
      <c r="AC268"/>
      <c r="AD268"/>
      <c r="AE268"/>
      <c r="AF268"/>
      <c r="AG268"/>
      <c r="AH268"/>
      <c r="AI268"/>
    </row>
    <row r="269" spans="13:35" x14ac:dyDescent="0.2">
      <c r="M269" s="890"/>
      <c r="AA269"/>
      <c r="AB269"/>
      <c r="AC269"/>
      <c r="AD269"/>
      <c r="AE269"/>
      <c r="AF269"/>
      <c r="AG269"/>
      <c r="AH269"/>
      <c r="AI269"/>
    </row>
    <row r="270" spans="13:35" x14ac:dyDescent="0.2">
      <c r="M270" s="890"/>
      <c r="AA270"/>
      <c r="AB270"/>
      <c r="AC270"/>
      <c r="AD270"/>
      <c r="AE270"/>
      <c r="AF270"/>
      <c r="AG270"/>
      <c r="AH270"/>
      <c r="AI270"/>
    </row>
    <row r="271" spans="13:35" x14ac:dyDescent="0.2">
      <c r="M271" s="890"/>
      <c r="AA271"/>
      <c r="AB271"/>
      <c r="AC271"/>
      <c r="AD271"/>
      <c r="AE271"/>
      <c r="AF271"/>
      <c r="AG271"/>
      <c r="AH271"/>
      <c r="AI271"/>
    </row>
    <row r="272" spans="13:35" x14ac:dyDescent="0.2">
      <c r="M272" s="890"/>
      <c r="AA272"/>
      <c r="AB272"/>
      <c r="AC272"/>
      <c r="AD272"/>
      <c r="AE272"/>
      <c r="AF272"/>
      <c r="AG272"/>
      <c r="AH272"/>
      <c r="AI272"/>
    </row>
    <row r="273" spans="13:35" x14ac:dyDescent="0.2">
      <c r="M273" s="890"/>
      <c r="AA273"/>
      <c r="AB273"/>
      <c r="AC273"/>
      <c r="AD273"/>
      <c r="AE273"/>
      <c r="AF273"/>
      <c r="AG273"/>
      <c r="AH273"/>
      <c r="AI273"/>
    </row>
    <row r="274" spans="13:35" x14ac:dyDescent="0.2">
      <c r="M274" s="890"/>
      <c r="AA274"/>
      <c r="AB274"/>
      <c r="AC274"/>
      <c r="AD274"/>
      <c r="AE274"/>
      <c r="AF274"/>
      <c r="AG274"/>
      <c r="AH274"/>
      <c r="AI274"/>
    </row>
    <row r="275" spans="13:35" x14ac:dyDescent="0.2">
      <c r="M275" s="890"/>
      <c r="AA275"/>
      <c r="AB275"/>
      <c r="AC275"/>
      <c r="AD275"/>
      <c r="AE275"/>
      <c r="AF275"/>
      <c r="AG275"/>
      <c r="AH275"/>
      <c r="AI275"/>
    </row>
    <row r="276" spans="13:35" x14ac:dyDescent="0.2">
      <c r="M276" s="890"/>
      <c r="AA276"/>
      <c r="AB276"/>
      <c r="AC276"/>
      <c r="AD276"/>
      <c r="AE276"/>
      <c r="AF276"/>
      <c r="AG276"/>
      <c r="AH276"/>
      <c r="AI276"/>
    </row>
    <row r="277" spans="13:35" x14ac:dyDescent="0.2">
      <c r="M277" s="890"/>
      <c r="AA277"/>
      <c r="AB277"/>
      <c r="AC277"/>
      <c r="AD277"/>
      <c r="AE277"/>
      <c r="AF277"/>
      <c r="AG277"/>
      <c r="AH277"/>
      <c r="AI277"/>
    </row>
    <row r="278" spans="13:35" x14ac:dyDescent="0.2">
      <c r="M278" s="890"/>
      <c r="AA278"/>
      <c r="AB278"/>
      <c r="AC278"/>
      <c r="AD278"/>
      <c r="AE278"/>
      <c r="AF278"/>
      <c r="AG278"/>
      <c r="AH278"/>
      <c r="AI278"/>
    </row>
    <row r="279" spans="13:35" x14ac:dyDescent="0.2">
      <c r="M279" s="890"/>
      <c r="AA279"/>
      <c r="AB279"/>
      <c r="AC279"/>
      <c r="AD279"/>
      <c r="AE279"/>
      <c r="AF279"/>
      <c r="AG279"/>
      <c r="AH279"/>
      <c r="AI279"/>
    </row>
    <row r="280" spans="13:35" x14ac:dyDescent="0.2">
      <c r="M280" s="890"/>
      <c r="AA280"/>
      <c r="AB280"/>
      <c r="AC280"/>
      <c r="AD280"/>
      <c r="AE280"/>
      <c r="AF280"/>
      <c r="AG280"/>
      <c r="AH280"/>
      <c r="AI280"/>
    </row>
    <row r="281" spans="13:35" x14ac:dyDescent="0.2">
      <c r="M281" s="890"/>
      <c r="AA281"/>
      <c r="AB281"/>
      <c r="AC281"/>
      <c r="AD281"/>
      <c r="AE281"/>
      <c r="AF281"/>
      <c r="AG281"/>
      <c r="AH281"/>
      <c r="AI281"/>
    </row>
    <row r="282" spans="13:35" x14ac:dyDescent="0.2">
      <c r="M282" s="890"/>
      <c r="AA282"/>
      <c r="AB282"/>
      <c r="AC282"/>
      <c r="AD282"/>
      <c r="AE282"/>
      <c r="AF282"/>
      <c r="AG282"/>
      <c r="AH282"/>
      <c r="AI282"/>
    </row>
    <row r="283" spans="13:35" x14ac:dyDescent="0.2">
      <c r="M283" s="890"/>
      <c r="AA283"/>
      <c r="AB283"/>
      <c r="AC283"/>
      <c r="AD283"/>
      <c r="AE283"/>
      <c r="AF283"/>
      <c r="AG283"/>
      <c r="AH283"/>
      <c r="AI283"/>
    </row>
    <row r="284" spans="13:35" x14ac:dyDescent="0.2">
      <c r="M284" s="890"/>
      <c r="AA284"/>
      <c r="AB284"/>
      <c r="AC284"/>
      <c r="AD284"/>
      <c r="AE284"/>
      <c r="AF284"/>
      <c r="AG284"/>
      <c r="AH284"/>
      <c r="AI284"/>
    </row>
    <row r="285" spans="13:35" x14ac:dyDescent="0.2">
      <c r="M285" s="890"/>
      <c r="AA285"/>
      <c r="AB285"/>
      <c r="AC285"/>
      <c r="AD285"/>
      <c r="AE285"/>
      <c r="AF285"/>
      <c r="AG285"/>
      <c r="AH285"/>
      <c r="AI285"/>
    </row>
    <row r="286" spans="13:35" x14ac:dyDescent="0.2">
      <c r="M286" s="890"/>
      <c r="AA286"/>
      <c r="AB286"/>
      <c r="AC286"/>
      <c r="AD286"/>
      <c r="AE286"/>
      <c r="AF286"/>
      <c r="AG286"/>
      <c r="AH286"/>
      <c r="AI286"/>
    </row>
    <row r="287" spans="13:35" x14ac:dyDescent="0.2">
      <c r="M287" s="890"/>
      <c r="AA287"/>
      <c r="AB287"/>
      <c r="AC287"/>
      <c r="AD287"/>
      <c r="AE287"/>
      <c r="AF287"/>
      <c r="AG287"/>
      <c r="AH287"/>
      <c r="AI287"/>
    </row>
    <row r="288" spans="13:35" x14ac:dyDescent="0.2">
      <c r="M288" s="890"/>
      <c r="AA288"/>
      <c r="AB288"/>
      <c r="AC288"/>
      <c r="AD288"/>
      <c r="AE288"/>
      <c r="AF288"/>
      <c r="AG288"/>
      <c r="AH288"/>
      <c r="AI288"/>
    </row>
    <row r="289" spans="13:35" x14ac:dyDescent="0.2">
      <c r="M289" s="890"/>
      <c r="AA289"/>
      <c r="AB289"/>
      <c r="AC289"/>
      <c r="AD289"/>
      <c r="AE289"/>
      <c r="AF289"/>
      <c r="AG289"/>
      <c r="AH289"/>
      <c r="AI289"/>
    </row>
    <row r="290" spans="13:35" x14ac:dyDescent="0.2">
      <c r="M290" s="890"/>
      <c r="AA290"/>
      <c r="AB290"/>
      <c r="AC290"/>
      <c r="AD290"/>
      <c r="AE290"/>
      <c r="AF290"/>
      <c r="AG290"/>
      <c r="AH290"/>
      <c r="AI290"/>
    </row>
    <row r="291" spans="13:35" x14ac:dyDescent="0.2">
      <c r="M291" s="890"/>
      <c r="AA291"/>
      <c r="AB291"/>
      <c r="AC291"/>
      <c r="AD291"/>
      <c r="AE291"/>
      <c r="AF291"/>
      <c r="AG291"/>
      <c r="AH291"/>
      <c r="AI291"/>
    </row>
    <row r="292" spans="13:35" x14ac:dyDescent="0.2">
      <c r="M292" s="890"/>
      <c r="AA292"/>
      <c r="AB292"/>
      <c r="AC292"/>
      <c r="AD292"/>
      <c r="AE292"/>
      <c r="AF292"/>
      <c r="AG292"/>
      <c r="AH292"/>
      <c r="AI292"/>
    </row>
    <row r="293" spans="13:35" x14ac:dyDescent="0.2">
      <c r="M293" s="890"/>
      <c r="AA293"/>
      <c r="AB293"/>
      <c r="AC293"/>
      <c r="AD293"/>
      <c r="AE293"/>
      <c r="AF293"/>
      <c r="AG293"/>
      <c r="AH293"/>
      <c r="AI293"/>
    </row>
    <row r="294" spans="13:35" x14ac:dyDescent="0.2">
      <c r="M294" s="890"/>
      <c r="AA294"/>
      <c r="AB294"/>
      <c r="AC294"/>
      <c r="AD294"/>
      <c r="AE294"/>
      <c r="AF294"/>
      <c r="AG294"/>
      <c r="AH294"/>
      <c r="AI294"/>
    </row>
    <row r="295" spans="13:35" x14ac:dyDescent="0.2">
      <c r="M295" s="890"/>
      <c r="AA295"/>
      <c r="AB295"/>
      <c r="AC295"/>
      <c r="AD295"/>
      <c r="AE295"/>
      <c r="AF295"/>
      <c r="AG295"/>
      <c r="AH295"/>
      <c r="AI295"/>
    </row>
    <row r="296" spans="13:35" x14ac:dyDescent="0.2">
      <c r="M296" s="890"/>
      <c r="AA296"/>
      <c r="AB296"/>
      <c r="AC296"/>
      <c r="AD296"/>
      <c r="AE296"/>
      <c r="AF296"/>
      <c r="AG296"/>
      <c r="AH296"/>
      <c r="AI296"/>
    </row>
    <row r="297" spans="13:35" x14ac:dyDescent="0.2">
      <c r="M297" s="890"/>
      <c r="AA297"/>
      <c r="AB297"/>
      <c r="AC297"/>
      <c r="AD297"/>
      <c r="AE297"/>
      <c r="AF297"/>
      <c r="AG297"/>
      <c r="AH297"/>
      <c r="AI297"/>
    </row>
    <row r="298" spans="13:35" x14ac:dyDescent="0.2">
      <c r="M298" s="890"/>
      <c r="AA298"/>
      <c r="AB298"/>
      <c r="AC298"/>
      <c r="AD298"/>
      <c r="AE298"/>
      <c r="AF298"/>
      <c r="AG298"/>
      <c r="AH298"/>
      <c r="AI298"/>
    </row>
    <row r="299" spans="13:35" x14ac:dyDescent="0.2">
      <c r="M299" s="890"/>
      <c r="AA299"/>
      <c r="AB299"/>
      <c r="AC299"/>
      <c r="AD299"/>
      <c r="AE299"/>
      <c r="AF299"/>
      <c r="AG299"/>
      <c r="AH299"/>
      <c r="AI299"/>
    </row>
    <row r="300" spans="13:35" x14ac:dyDescent="0.2">
      <c r="M300" s="890"/>
      <c r="AA300"/>
      <c r="AB300"/>
      <c r="AC300"/>
      <c r="AD300"/>
      <c r="AE300"/>
      <c r="AF300"/>
      <c r="AG300"/>
      <c r="AH300"/>
      <c r="AI300"/>
    </row>
    <row r="301" spans="13:35" x14ac:dyDescent="0.2">
      <c r="AA301"/>
      <c r="AB301"/>
      <c r="AC301"/>
      <c r="AD301"/>
      <c r="AE301"/>
      <c r="AF301"/>
      <c r="AG301"/>
      <c r="AH301"/>
      <c r="AI301"/>
    </row>
    <row r="302" spans="13:35" x14ac:dyDescent="0.2">
      <c r="AA302"/>
      <c r="AB302"/>
      <c r="AC302"/>
      <c r="AD302"/>
      <c r="AE302"/>
      <c r="AF302"/>
      <c r="AG302"/>
      <c r="AH302"/>
      <c r="AI302"/>
    </row>
    <row r="303" spans="13:35" x14ac:dyDescent="0.2">
      <c r="AA303"/>
      <c r="AB303"/>
      <c r="AC303"/>
      <c r="AD303"/>
      <c r="AE303"/>
      <c r="AF303"/>
      <c r="AG303"/>
      <c r="AH303"/>
      <c r="AI303"/>
    </row>
    <row r="304" spans="13: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2">
    <mergeCell ref="A1:B1"/>
    <mergeCell ref="D1:E1"/>
  </mergeCells>
  <phoneticPr fontId="20" type="noConversion"/>
  <conditionalFormatting sqref="C5:J139 A5:B15 A17:B24 A26:B32 A34:B41 A43:B52 A54:B59 A61:B74 A76:B82 A84:B91 A93:B99 A101:B108 A110:B119 A121:B130 A132:B139 M5:M139">
    <cfRule type="expression" dxfId="208" priority="3" stopIfTrue="1">
      <formula>AND(NOT($K5=""),$K$1=1)</formula>
    </cfRule>
  </conditionalFormatting>
  <conditionalFormatting sqref="K5:L139">
    <cfRule type="expression" dxfId="207" priority="1" stopIfTrue="1">
      <formula>AND(NOT($K5=""),$K$1=1)</formula>
    </cfRule>
  </conditionalFormatting>
  <printOptions gridLines="1"/>
  <pageMargins left="0.39374999999999999" right="0.39374999999999999" top="0.39374999999999999" bottom="0.59097222222222223" header="0.51180555555555562" footer="0.31527777777777777"/>
  <pageSetup paperSize="9"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indexed="47"/>
  </sheetPr>
  <dimension ref="A1:AI400"/>
  <sheetViews>
    <sheetView workbookViewId="0">
      <pane xSplit="13" ySplit="2" topLeftCell="N3" activePane="bottomRight" state="frozen"/>
      <selection activeCell="I304" sqref="I304"/>
      <selection pane="topRight" activeCell="I304" sqref="I304"/>
      <selection pane="bottomLeft" activeCell="I304" sqref="I304"/>
      <selection pane="bottomRight" sqref="A1:B1"/>
    </sheetView>
  </sheetViews>
  <sheetFormatPr baseColWidth="10" defaultColWidth="11.28515625" defaultRowHeight="12.75" outlineLevelRow="2" outlineLevelCol="1" x14ac:dyDescent="0.2"/>
  <cols>
    <col min="1" max="1" width="8.85546875" style="658" customWidth="1"/>
    <col min="2" max="2" width="88.28515625" style="659" customWidth="1"/>
    <col min="3" max="3" width="5.140625" style="816" bestFit="1" customWidth="1"/>
    <col min="4" max="4" width="4.85546875" style="816" customWidth="1"/>
    <col min="5" max="6" width="5.140625" style="816" bestFit="1" customWidth="1"/>
    <col min="7" max="8" width="4.140625" style="879" customWidth="1" outlineLevel="1"/>
    <col min="9" max="10" width="4.140625" style="880" customWidth="1" outlineLevel="1"/>
    <col min="11" max="12" width="10.28515625" style="804" customWidth="1" outlineLevel="1"/>
    <col min="13" max="13" width="22.42578125" style="881" customWidth="1"/>
    <col min="14" max="26" width="11.28515625" style="168"/>
    <col min="27" max="34" width="12.7109375" style="169" hidden="1" customWidth="1"/>
    <col min="35" max="35" width="12.7109375" style="169" customWidth="1"/>
    <col min="36" max="16384" width="11.28515625" style="169"/>
  </cols>
  <sheetData>
    <row r="1" spans="1:35" ht="41.25" customHeight="1" x14ac:dyDescent="0.2">
      <c r="A1" s="1969" t="s">
        <v>7457</v>
      </c>
      <c r="B1" s="1970"/>
      <c r="C1" s="778">
        <v>1</v>
      </c>
      <c r="D1" s="1967" t="str">
        <f>"variante"&amp;IF(C1&gt;1,"s","")</f>
        <v>variante</v>
      </c>
      <c r="E1" s="1968"/>
      <c r="F1" s="779"/>
      <c r="G1" s="780"/>
      <c r="H1" s="780"/>
      <c r="I1" s="780"/>
      <c r="J1" s="780"/>
      <c r="K1" s="782">
        <f>'ISO 27002'!F2</f>
        <v>0</v>
      </c>
      <c r="L1" s="782"/>
      <c r="M1" s="862"/>
    </row>
    <row r="2" spans="1:35" s="648" customFormat="1" ht="12.75" customHeight="1" x14ac:dyDescent="0.2">
      <c r="A2" s="863" t="s">
        <v>3585</v>
      </c>
      <c r="B2" s="864" t="s">
        <v>4011</v>
      </c>
      <c r="C2" s="698" t="s">
        <v>3676</v>
      </c>
      <c r="D2" s="698" t="s">
        <v>3677</v>
      </c>
      <c r="E2" s="698" t="s">
        <v>3678</v>
      </c>
      <c r="F2" s="698" t="s">
        <v>3679</v>
      </c>
      <c r="G2" s="699" t="s">
        <v>1428</v>
      </c>
      <c r="H2" s="699" t="s">
        <v>3680</v>
      </c>
      <c r="I2" s="699" t="s">
        <v>2054</v>
      </c>
      <c r="J2" s="699" t="s">
        <v>3681</v>
      </c>
      <c r="K2" s="699">
        <v>2013</v>
      </c>
      <c r="L2" s="699">
        <v>2005</v>
      </c>
      <c r="M2" s="699" t="s">
        <v>3682</v>
      </c>
      <c r="N2" s="611"/>
      <c r="O2" s="611"/>
      <c r="P2" s="611"/>
      <c r="Q2" s="611"/>
      <c r="R2" s="611"/>
      <c r="S2" s="611"/>
      <c r="T2" s="611"/>
      <c r="U2" s="611"/>
      <c r="V2" s="611"/>
      <c r="W2" s="611"/>
      <c r="X2" s="611"/>
      <c r="Y2" s="611"/>
      <c r="Z2" s="611"/>
    </row>
    <row r="3" spans="1:35" x14ac:dyDescent="0.2">
      <c r="A3" s="865" t="s">
        <v>4012</v>
      </c>
      <c r="B3" s="865" t="s">
        <v>4013</v>
      </c>
      <c r="C3" s="797"/>
      <c r="D3" s="1159"/>
      <c r="E3" s="1159"/>
      <c r="F3" s="866"/>
      <c r="G3" s="1467"/>
      <c r="H3" s="1467"/>
      <c r="I3" s="1467"/>
      <c r="J3" s="1467"/>
      <c r="K3" s="1468"/>
      <c r="L3" s="1468"/>
      <c r="M3" s="867"/>
    </row>
    <row r="4" spans="1:35" outlineLevel="1" x14ac:dyDescent="0.2">
      <c r="A4" s="868" t="s">
        <v>5838</v>
      </c>
      <c r="B4" s="869" t="s">
        <v>6467</v>
      </c>
      <c r="C4" s="786"/>
      <c r="D4" s="1159"/>
      <c r="E4" s="1159"/>
      <c r="F4" s="866"/>
      <c r="G4" s="1467"/>
      <c r="H4" s="1467"/>
      <c r="I4" s="1467"/>
      <c r="J4" s="1467"/>
      <c r="K4" s="1468"/>
      <c r="L4" s="1468"/>
      <c r="M4" s="867"/>
      <c r="AA4"/>
      <c r="AB4"/>
      <c r="AC4"/>
      <c r="AD4"/>
      <c r="AE4"/>
      <c r="AF4"/>
      <c r="AG4"/>
      <c r="AH4"/>
      <c r="AI4"/>
    </row>
    <row r="5" spans="1:35" ht="36" customHeight="1" outlineLevel="2" x14ac:dyDescent="0.2">
      <c r="A5" s="870" t="s">
        <v>4014</v>
      </c>
      <c r="B5" s="870" t="s">
        <v>2438</v>
      </c>
      <c r="C5" s="786"/>
      <c r="D5" s="1159"/>
      <c r="E5" s="1159"/>
      <c r="F5" s="866"/>
      <c r="G5" s="1468">
        <v>4</v>
      </c>
      <c r="H5" s="1468"/>
      <c r="I5" s="1467"/>
      <c r="J5" s="1468" t="s">
        <v>4246</v>
      </c>
      <c r="K5" s="1468"/>
      <c r="L5" s="1468"/>
      <c r="M5" s="867"/>
      <c r="AA5">
        <f>IF(AND('05 Lan'!C5&gt;Tmin, NOT('05 Lan'!$I5="")),'05 Lan'!$I5,0)</f>
        <v>0</v>
      </c>
      <c r="AB5">
        <f>IF(AND('05 Lan'!D5&gt;Tmin, NOT('05 Lan'!$I5="")),'05 Lan'!$I5,0)</f>
        <v>0</v>
      </c>
      <c r="AC5">
        <f>IF(AND('05 Lan'!E5&gt;Tmin, NOT('05 Lan'!$I5="")),'05 Lan'!$I5,0)</f>
        <v>0</v>
      </c>
      <c r="AD5">
        <f>IF(AND('05 Lan'!F5&gt;Tmin, NOT('05 Lan'!$I5="")),'05 Lan'!$I5,0)</f>
        <v>0</v>
      </c>
      <c r="AE5">
        <f>IF(AND('05 Lan'!C5&lt;Tmax, NOT('05 Lan'!$H5="")),'05 Lan'!$H5,4)</f>
        <v>4</v>
      </c>
      <c r="AF5">
        <f>IF(AND('05 Lan'!D5&lt;Tmax, NOT('05 Lan'!$H5="")),'05 Lan'!$H5,4)</f>
        <v>4</v>
      </c>
      <c r="AG5">
        <f>IF(AND('05 Lan'!E5&lt;Tmax, NOT('05 Lan'!$H5="")),'05 Lan'!$H5,4)</f>
        <v>4</v>
      </c>
      <c r="AH5">
        <f>IF(AND('05 Lan'!F5&lt;Tmax, NOT('05 Lan'!$H5="")),'05 Lan'!$H5,4)</f>
        <v>4</v>
      </c>
      <c r="AI5"/>
    </row>
    <row r="6" spans="1:35" ht="22.5" outlineLevel="2" x14ac:dyDescent="0.2">
      <c r="A6" s="870" t="s">
        <v>4015</v>
      </c>
      <c r="B6" s="870" t="s">
        <v>2940</v>
      </c>
      <c r="C6" s="786"/>
      <c r="D6" s="1159"/>
      <c r="E6" s="1159"/>
      <c r="F6" s="866"/>
      <c r="G6" s="1468">
        <v>4</v>
      </c>
      <c r="H6" s="1468">
        <v>2</v>
      </c>
      <c r="I6" s="1467"/>
      <c r="J6" s="1468" t="s">
        <v>4246</v>
      </c>
      <c r="K6" s="1469" t="s">
        <v>6886</v>
      </c>
      <c r="L6" s="1468" t="s">
        <v>7322</v>
      </c>
      <c r="M6" s="867"/>
      <c r="AA6">
        <f>IF(AND('05 Lan'!C6&gt;Tmin, NOT('05 Lan'!$I6="")),'05 Lan'!$I6,0)</f>
        <v>0</v>
      </c>
      <c r="AB6">
        <f>IF(AND('05 Lan'!D6&gt;Tmin, NOT('05 Lan'!$I6="")),'05 Lan'!$I6,0)</f>
        <v>0</v>
      </c>
      <c r="AC6">
        <f>IF(AND('05 Lan'!E6&gt;Tmin, NOT('05 Lan'!$I6="")),'05 Lan'!$I6,0)</f>
        <v>0</v>
      </c>
      <c r="AD6">
        <f>IF(AND('05 Lan'!F6&gt;Tmin, NOT('05 Lan'!$I6="")),'05 Lan'!$I6,0)</f>
        <v>0</v>
      </c>
      <c r="AE6">
        <f>IF(AND('05 Lan'!C6&lt;Tmax, NOT('05 Lan'!$H6="")),'05 Lan'!$H6,4)</f>
        <v>2</v>
      </c>
      <c r="AF6">
        <f>IF(AND('05 Lan'!D6&lt;Tmax, NOT('05 Lan'!$H6="")),'05 Lan'!$H6,4)</f>
        <v>2</v>
      </c>
      <c r="AG6">
        <f>IF(AND('05 Lan'!E6&lt;Tmax, NOT('05 Lan'!$H6="")),'05 Lan'!$H6,4)</f>
        <v>2</v>
      </c>
      <c r="AH6">
        <f>IF(AND('05 Lan'!F6&lt;Tmax, NOT('05 Lan'!$H6="")),'05 Lan'!$H6,4)</f>
        <v>2</v>
      </c>
      <c r="AI6"/>
    </row>
    <row r="7" spans="1:35" ht="22.5" outlineLevel="2" x14ac:dyDescent="0.2">
      <c r="A7" s="870" t="s">
        <v>2941</v>
      </c>
      <c r="B7" s="870" t="s">
        <v>3981</v>
      </c>
      <c r="C7" s="786"/>
      <c r="D7" s="1159"/>
      <c r="E7" s="1159"/>
      <c r="F7" s="866"/>
      <c r="G7" s="1468">
        <v>4</v>
      </c>
      <c r="H7" s="1468">
        <v>2</v>
      </c>
      <c r="I7" s="1467"/>
      <c r="J7" s="1468" t="s">
        <v>4246</v>
      </c>
      <c r="K7" s="1469" t="s">
        <v>6886</v>
      </c>
      <c r="L7" s="1468" t="s">
        <v>7322</v>
      </c>
      <c r="M7" s="867"/>
      <c r="AA7">
        <f>IF(AND('05 Lan'!C7&gt;Tmin, NOT('05 Lan'!$I7="")),'05 Lan'!$I7,0)</f>
        <v>0</v>
      </c>
      <c r="AB7">
        <f>IF(AND('05 Lan'!D7&gt;Tmin, NOT('05 Lan'!$I7="")),'05 Lan'!$I7,0)</f>
        <v>0</v>
      </c>
      <c r="AC7">
        <f>IF(AND('05 Lan'!E7&gt;Tmin, NOT('05 Lan'!$I7="")),'05 Lan'!$I7,0)</f>
        <v>0</v>
      </c>
      <c r="AD7">
        <f>IF(AND('05 Lan'!F7&gt;Tmin, NOT('05 Lan'!$I7="")),'05 Lan'!$I7,0)</f>
        <v>0</v>
      </c>
      <c r="AE7">
        <f>IF(AND('05 Lan'!C7&lt;Tmax, NOT('05 Lan'!$H7="")),'05 Lan'!$H7,4)</f>
        <v>2</v>
      </c>
      <c r="AF7">
        <f>IF(AND('05 Lan'!D7&lt;Tmax, NOT('05 Lan'!$H7="")),'05 Lan'!$H7,4)</f>
        <v>2</v>
      </c>
      <c r="AG7">
        <f>IF(AND('05 Lan'!E7&lt;Tmax, NOT('05 Lan'!$H7="")),'05 Lan'!$H7,4)</f>
        <v>2</v>
      </c>
      <c r="AH7">
        <f>IF(AND('05 Lan'!F7&lt;Tmax, NOT('05 Lan'!$H7="")),'05 Lan'!$H7,4)</f>
        <v>2</v>
      </c>
      <c r="AI7"/>
    </row>
    <row r="8" spans="1:35" ht="15.75" customHeight="1" outlineLevel="2" x14ac:dyDescent="0.2">
      <c r="A8" s="870" t="s">
        <v>3895</v>
      </c>
      <c r="B8" s="870" t="s">
        <v>3896</v>
      </c>
      <c r="C8" s="786"/>
      <c r="D8" s="1159"/>
      <c r="E8" s="1159"/>
      <c r="F8" s="866"/>
      <c r="G8" s="1468">
        <v>2</v>
      </c>
      <c r="H8" s="1468"/>
      <c r="I8" s="1467"/>
      <c r="J8" s="1468" t="s">
        <v>1592</v>
      </c>
      <c r="K8" s="1469" t="s">
        <v>6886</v>
      </c>
      <c r="L8" s="1468" t="s">
        <v>7322</v>
      </c>
      <c r="M8" s="867"/>
      <c r="AA8">
        <f>IF(AND('05 Lan'!C8&gt;Tmin, NOT('05 Lan'!$I8="")),'05 Lan'!$I8,0)</f>
        <v>0</v>
      </c>
      <c r="AB8">
        <f>IF(AND('05 Lan'!D8&gt;Tmin, NOT('05 Lan'!$I8="")),'05 Lan'!$I8,0)</f>
        <v>0</v>
      </c>
      <c r="AC8">
        <f>IF(AND('05 Lan'!E8&gt;Tmin, NOT('05 Lan'!$I8="")),'05 Lan'!$I8,0)</f>
        <v>0</v>
      </c>
      <c r="AD8">
        <f>IF(AND('05 Lan'!F8&gt;Tmin, NOT('05 Lan'!$I8="")),'05 Lan'!$I8,0)</f>
        <v>0</v>
      </c>
      <c r="AE8">
        <f>IF(AND('05 Lan'!C8&lt;Tmax, NOT('05 Lan'!$H8="")),'05 Lan'!$H8,4)</f>
        <v>4</v>
      </c>
      <c r="AF8">
        <f>IF(AND('05 Lan'!D8&lt;Tmax, NOT('05 Lan'!$H8="")),'05 Lan'!$H8,4)</f>
        <v>4</v>
      </c>
      <c r="AG8">
        <f>IF(AND('05 Lan'!E8&lt;Tmax, NOT('05 Lan'!$H8="")),'05 Lan'!$H8,4)</f>
        <v>4</v>
      </c>
      <c r="AH8">
        <f>IF(AND('05 Lan'!F8&lt;Tmax, NOT('05 Lan'!$H8="")),'05 Lan'!$H8,4)</f>
        <v>4</v>
      </c>
      <c r="AI8"/>
    </row>
    <row r="9" spans="1:35" ht="15.75" customHeight="1" outlineLevel="2" x14ac:dyDescent="0.2">
      <c r="A9" s="870" t="s">
        <v>3897</v>
      </c>
      <c r="B9" s="870" t="s">
        <v>2701</v>
      </c>
      <c r="C9" s="786"/>
      <c r="D9" s="1159"/>
      <c r="E9" s="1159"/>
      <c r="F9" s="866"/>
      <c r="G9" s="1468">
        <v>2</v>
      </c>
      <c r="H9" s="1468"/>
      <c r="I9" s="1467"/>
      <c r="J9" s="1468" t="s">
        <v>1592</v>
      </c>
      <c r="K9" s="1469" t="s">
        <v>6886</v>
      </c>
      <c r="L9" s="1468" t="s">
        <v>7322</v>
      </c>
      <c r="M9" s="867"/>
      <c r="AA9">
        <f>IF(AND('05 Lan'!C9&gt;Tmin, NOT('05 Lan'!$I9="")),'05 Lan'!$I9,0)</f>
        <v>0</v>
      </c>
      <c r="AB9">
        <f>IF(AND('05 Lan'!D9&gt;Tmin, NOT('05 Lan'!$I9="")),'05 Lan'!$I9,0)</f>
        <v>0</v>
      </c>
      <c r="AC9">
        <f>IF(AND('05 Lan'!E9&gt;Tmin, NOT('05 Lan'!$I9="")),'05 Lan'!$I9,0)</f>
        <v>0</v>
      </c>
      <c r="AD9">
        <f>IF(AND('05 Lan'!F9&gt;Tmin, NOT('05 Lan'!$I9="")),'05 Lan'!$I9,0)</f>
        <v>0</v>
      </c>
      <c r="AE9">
        <f>IF(AND('05 Lan'!C9&lt;Tmax, NOT('05 Lan'!$H9="")),'05 Lan'!$H9,4)</f>
        <v>4</v>
      </c>
      <c r="AF9">
        <f>IF(AND('05 Lan'!D9&lt;Tmax, NOT('05 Lan'!$H9="")),'05 Lan'!$H9,4)</f>
        <v>4</v>
      </c>
      <c r="AG9">
        <f>IF(AND('05 Lan'!E9&lt;Tmax, NOT('05 Lan'!$H9="")),'05 Lan'!$H9,4)</f>
        <v>4</v>
      </c>
      <c r="AH9">
        <f>IF(AND('05 Lan'!F9&lt;Tmax, NOT('05 Lan'!$H9="")),'05 Lan'!$H9,4)</f>
        <v>4</v>
      </c>
      <c r="AI9"/>
    </row>
    <row r="10" spans="1:35" ht="25.5" customHeight="1" outlineLevel="2" x14ac:dyDescent="0.2">
      <c r="A10" s="870" t="s">
        <v>2702</v>
      </c>
      <c r="B10" s="870" t="s">
        <v>3822</v>
      </c>
      <c r="C10" s="786"/>
      <c r="D10" s="1159"/>
      <c r="E10" s="1159"/>
      <c r="F10" s="866"/>
      <c r="G10" s="1468">
        <v>4</v>
      </c>
      <c r="H10" s="1468">
        <v>2</v>
      </c>
      <c r="I10" s="1467"/>
      <c r="J10" s="1468" t="s">
        <v>1592</v>
      </c>
      <c r="K10" s="1469" t="s">
        <v>6886</v>
      </c>
      <c r="L10" s="1468" t="s">
        <v>7323</v>
      </c>
      <c r="M10" s="867"/>
      <c r="AA10">
        <f>IF(AND('05 Lan'!C10&gt;Tmin, NOT('05 Lan'!$I10="")),'05 Lan'!$I10,0)</f>
        <v>0</v>
      </c>
      <c r="AB10">
        <f>IF(AND('05 Lan'!D10&gt;Tmin, NOT('05 Lan'!$I10="")),'05 Lan'!$I10,0)</f>
        <v>0</v>
      </c>
      <c r="AC10">
        <f>IF(AND('05 Lan'!E10&gt;Tmin, NOT('05 Lan'!$I10="")),'05 Lan'!$I10,0)</f>
        <v>0</v>
      </c>
      <c r="AD10">
        <f>IF(AND('05 Lan'!F10&gt;Tmin, NOT('05 Lan'!$I10="")),'05 Lan'!$I10,0)</f>
        <v>0</v>
      </c>
      <c r="AE10">
        <f>IF(AND('05 Lan'!C10&lt;Tmax, NOT('05 Lan'!$H10="")),'05 Lan'!$H10,4)</f>
        <v>2</v>
      </c>
      <c r="AF10">
        <f>IF(AND('05 Lan'!D10&lt;Tmax, NOT('05 Lan'!$H10="")),'05 Lan'!$H10,4)</f>
        <v>2</v>
      </c>
      <c r="AG10">
        <f>IF(AND('05 Lan'!E10&lt;Tmax, NOT('05 Lan'!$H10="")),'05 Lan'!$H10,4)</f>
        <v>2</v>
      </c>
      <c r="AH10">
        <f>IF(AND('05 Lan'!F10&lt;Tmax, NOT('05 Lan'!$H10="")),'05 Lan'!$H10,4)</f>
        <v>2</v>
      </c>
      <c r="AI10"/>
    </row>
    <row r="11" spans="1:35" ht="24" customHeight="1" outlineLevel="2" x14ac:dyDescent="0.2">
      <c r="A11" s="870" t="s">
        <v>2703</v>
      </c>
      <c r="B11" s="870" t="s">
        <v>2704</v>
      </c>
      <c r="C11" s="786"/>
      <c r="D11" s="1159"/>
      <c r="E11" s="1159"/>
      <c r="F11" s="866"/>
      <c r="G11" s="1468">
        <v>4</v>
      </c>
      <c r="H11" s="1468">
        <v>3</v>
      </c>
      <c r="I11" s="1467"/>
      <c r="J11" s="1468" t="s">
        <v>2329</v>
      </c>
      <c r="K11" s="1468"/>
      <c r="L11" s="1468"/>
      <c r="M11" s="867"/>
      <c r="AA11">
        <f>IF(AND('05 Lan'!C11&gt;Tmin, NOT('05 Lan'!$I11="")),'05 Lan'!$I11,0)</f>
        <v>0</v>
      </c>
      <c r="AB11">
        <f>IF(AND('05 Lan'!D11&gt;Tmin, NOT('05 Lan'!$I11="")),'05 Lan'!$I11,0)</f>
        <v>0</v>
      </c>
      <c r="AC11">
        <f>IF(AND('05 Lan'!E11&gt;Tmin, NOT('05 Lan'!$I11="")),'05 Lan'!$I11,0)</f>
        <v>0</v>
      </c>
      <c r="AD11">
        <f>IF(AND('05 Lan'!F11&gt;Tmin, NOT('05 Lan'!$I11="")),'05 Lan'!$I11,0)</f>
        <v>0</v>
      </c>
      <c r="AE11">
        <f>IF(AND('05 Lan'!C11&lt;Tmax, NOT('05 Lan'!$H11="")),'05 Lan'!$H11,4)</f>
        <v>3</v>
      </c>
      <c r="AF11">
        <f>IF(AND('05 Lan'!D11&lt;Tmax, NOT('05 Lan'!$H11="")),'05 Lan'!$H11,4)</f>
        <v>3</v>
      </c>
      <c r="AG11">
        <f>IF(AND('05 Lan'!E11&lt;Tmax, NOT('05 Lan'!$H11="")),'05 Lan'!$H11,4)</f>
        <v>3</v>
      </c>
      <c r="AH11">
        <f>IF(AND('05 Lan'!F11&lt;Tmax, NOT('05 Lan'!$H11="")),'05 Lan'!$H11,4)</f>
        <v>3</v>
      </c>
      <c r="AI11"/>
    </row>
    <row r="12" spans="1:35" ht="36.75" customHeight="1" outlineLevel="2" x14ac:dyDescent="0.2">
      <c r="A12" s="870" t="s">
        <v>2705</v>
      </c>
      <c r="B12" s="870" t="s">
        <v>2437</v>
      </c>
      <c r="C12" s="786"/>
      <c r="D12" s="1159"/>
      <c r="E12" s="1159"/>
      <c r="F12" s="866"/>
      <c r="G12" s="1468">
        <v>4</v>
      </c>
      <c r="H12" s="1468">
        <v>2</v>
      </c>
      <c r="I12" s="1467"/>
      <c r="J12" s="1468" t="s">
        <v>1592</v>
      </c>
      <c r="K12" s="1468"/>
      <c r="L12" s="1468" t="s">
        <v>7315</v>
      </c>
      <c r="M12" s="871"/>
      <c r="AA12">
        <f>IF(AND('05 Lan'!C12&gt;Tmin, NOT('05 Lan'!$I12="")),'05 Lan'!$I12,0)</f>
        <v>0</v>
      </c>
      <c r="AB12">
        <f>IF(AND('05 Lan'!D12&gt;Tmin, NOT('05 Lan'!$I12="")),'05 Lan'!$I12,0)</f>
        <v>0</v>
      </c>
      <c r="AC12">
        <f>IF(AND('05 Lan'!E12&gt;Tmin, NOT('05 Lan'!$I12="")),'05 Lan'!$I12,0)</f>
        <v>0</v>
      </c>
      <c r="AD12">
        <f>IF(AND('05 Lan'!F12&gt;Tmin, NOT('05 Lan'!$I12="")),'05 Lan'!$I12,0)</f>
        <v>0</v>
      </c>
      <c r="AE12">
        <f>IF(AND('05 Lan'!C12&lt;Tmax, NOT('05 Lan'!$H12="")),'05 Lan'!$H12,4)</f>
        <v>2</v>
      </c>
      <c r="AF12">
        <f>IF(AND('05 Lan'!D12&lt;Tmax, NOT('05 Lan'!$H12="")),'05 Lan'!$H12,4)</f>
        <v>2</v>
      </c>
      <c r="AG12">
        <f>IF(AND('05 Lan'!E12&lt;Tmax, NOT('05 Lan'!$H12="")),'05 Lan'!$H12,4)</f>
        <v>2</v>
      </c>
      <c r="AH12">
        <f>IF(AND('05 Lan'!F12&lt;Tmax, NOT('05 Lan'!$H12="")),'05 Lan'!$H12,4)</f>
        <v>2</v>
      </c>
      <c r="AI12"/>
    </row>
    <row r="13" spans="1:35" ht="38.25" customHeight="1" outlineLevel="2" x14ac:dyDescent="0.2">
      <c r="A13" s="870" t="s">
        <v>2706</v>
      </c>
      <c r="B13" s="870" t="s">
        <v>1705</v>
      </c>
      <c r="C13" s="786"/>
      <c r="D13" s="1159"/>
      <c r="E13" s="1159"/>
      <c r="F13" s="866"/>
      <c r="G13" s="1468">
        <v>4</v>
      </c>
      <c r="H13" s="1468">
        <v>2</v>
      </c>
      <c r="I13" s="1467"/>
      <c r="J13" s="1468" t="s">
        <v>2329</v>
      </c>
      <c r="K13" s="1468"/>
      <c r="L13" s="1468"/>
      <c r="M13" s="867"/>
      <c r="AA13">
        <f>IF(AND('05 Lan'!C13&gt;Tmin, NOT('05 Lan'!$I13="")),'05 Lan'!$I13,0)</f>
        <v>0</v>
      </c>
      <c r="AB13">
        <f>IF(AND('05 Lan'!D13&gt;Tmin, NOT('05 Lan'!$I13="")),'05 Lan'!$I13,0)</f>
        <v>0</v>
      </c>
      <c r="AC13">
        <f>IF(AND('05 Lan'!E13&gt;Tmin, NOT('05 Lan'!$I13="")),'05 Lan'!$I13,0)</f>
        <v>0</v>
      </c>
      <c r="AD13">
        <f>IF(AND('05 Lan'!F13&gt;Tmin, NOT('05 Lan'!$I13="")),'05 Lan'!$I13,0)</f>
        <v>0</v>
      </c>
      <c r="AE13">
        <f>IF(AND('05 Lan'!C13&lt;Tmax, NOT('05 Lan'!$H13="")),'05 Lan'!$H13,4)</f>
        <v>2</v>
      </c>
      <c r="AF13">
        <f>IF(AND('05 Lan'!D13&lt;Tmax, NOT('05 Lan'!$H13="")),'05 Lan'!$H13,4)</f>
        <v>2</v>
      </c>
      <c r="AG13">
        <f>IF(AND('05 Lan'!E13&lt;Tmax, NOT('05 Lan'!$H13="")),'05 Lan'!$H13,4)</f>
        <v>2</v>
      </c>
      <c r="AH13">
        <f>IF(AND('05 Lan'!F13&lt;Tmax, NOT('05 Lan'!$H13="")),'05 Lan'!$H13,4)</f>
        <v>2</v>
      </c>
      <c r="AI13"/>
    </row>
    <row r="14" spans="1:35" ht="26.25" customHeight="1" outlineLevel="2" x14ac:dyDescent="0.2">
      <c r="A14" s="870" t="s">
        <v>4420</v>
      </c>
      <c r="B14" s="870" t="s">
        <v>4421</v>
      </c>
      <c r="C14" s="786"/>
      <c r="D14" s="1159"/>
      <c r="E14" s="1159"/>
      <c r="F14" s="866"/>
      <c r="G14" s="1468">
        <v>4</v>
      </c>
      <c r="H14" s="1468">
        <v>2</v>
      </c>
      <c r="I14" s="1467"/>
      <c r="J14" s="1468" t="s">
        <v>2329</v>
      </c>
      <c r="K14" s="1468"/>
      <c r="L14" s="1468"/>
      <c r="M14" s="867"/>
      <c r="AA14">
        <f>IF(AND('05 Lan'!C14&gt;Tmin, NOT('05 Lan'!$I14="")),'05 Lan'!$I14,0)</f>
        <v>0</v>
      </c>
      <c r="AB14">
        <f>IF(AND('05 Lan'!D14&gt;Tmin, NOT('05 Lan'!$I14="")),'05 Lan'!$I14,0)</f>
        <v>0</v>
      </c>
      <c r="AC14">
        <f>IF(AND('05 Lan'!E14&gt;Tmin, NOT('05 Lan'!$I14="")),'05 Lan'!$I14,0)</f>
        <v>0</v>
      </c>
      <c r="AD14">
        <f>IF(AND('05 Lan'!F14&gt;Tmin, NOT('05 Lan'!$I14="")),'05 Lan'!$I14,0)</f>
        <v>0</v>
      </c>
      <c r="AE14">
        <f>IF(AND('05 Lan'!C14&lt;Tmax, NOT('05 Lan'!$H14="")),'05 Lan'!$H14,4)</f>
        <v>2</v>
      </c>
      <c r="AF14">
        <f>IF(AND('05 Lan'!D14&lt;Tmax, NOT('05 Lan'!$H14="")),'05 Lan'!$H14,4)</f>
        <v>2</v>
      </c>
      <c r="AG14">
        <f>IF(AND('05 Lan'!E14&lt;Tmax, NOT('05 Lan'!$H14="")),'05 Lan'!$H14,4)</f>
        <v>2</v>
      </c>
      <c r="AH14">
        <f>IF(AND('05 Lan'!F14&lt;Tmax, NOT('05 Lan'!$H14="")),'05 Lan'!$H14,4)</f>
        <v>2</v>
      </c>
      <c r="AI14"/>
    </row>
    <row r="15" spans="1:35" ht="26.25" customHeight="1" outlineLevel="2" x14ac:dyDescent="0.2">
      <c r="A15" s="870" t="s">
        <v>4422</v>
      </c>
      <c r="B15" s="870" t="s">
        <v>2002</v>
      </c>
      <c r="C15" s="786"/>
      <c r="D15" s="1159"/>
      <c r="E15" s="1159"/>
      <c r="F15" s="866"/>
      <c r="G15" s="1468">
        <v>4</v>
      </c>
      <c r="H15" s="1468">
        <v>3</v>
      </c>
      <c r="I15" s="1467"/>
      <c r="J15" s="1468" t="s">
        <v>2109</v>
      </c>
      <c r="K15" s="1468"/>
      <c r="L15" s="1468"/>
      <c r="M15" s="871"/>
      <c r="AA15">
        <f>IF(AND('05 Lan'!C15&gt;Tmin, NOT('05 Lan'!$I15="")),'05 Lan'!$I15,0)</f>
        <v>0</v>
      </c>
      <c r="AB15">
        <f>IF(AND('05 Lan'!D15&gt;Tmin, NOT('05 Lan'!$I15="")),'05 Lan'!$I15,0)</f>
        <v>0</v>
      </c>
      <c r="AC15">
        <f>IF(AND('05 Lan'!E15&gt;Tmin, NOT('05 Lan'!$I15="")),'05 Lan'!$I15,0)</f>
        <v>0</v>
      </c>
      <c r="AD15">
        <f>IF(AND('05 Lan'!F15&gt;Tmin, NOT('05 Lan'!$I15="")),'05 Lan'!$I15,0)</f>
        <v>0</v>
      </c>
      <c r="AE15">
        <f>IF(AND('05 Lan'!C15&lt;Tmax, NOT('05 Lan'!$H15="")),'05 Lan'!$H15,4)</f>
        <v>3</v>
      </c>
      <c r="AF15">
        <f>IF(AND('05 Lan'!D15&lt;Tmax, NOT('05 Lan'!$H15="")),'05 Lan'!$H15,4)</f>
        <v>3</v>
      </c>
      <c r="AG15">
        <f>IF(AND('05 Lan'!E15&lt;Tmax, NOT('05 Lan'!$H15="")),'05 Lan'!$H15,4)</f>
        <v>3</v>
      </c>
      <c r="AH15">
        <f>IF(AND('05 Lan'!F15&lt;Tmax, NOT('05 Lan'!$H15="")),'05 Lan'!$H15,4)</f>
        <v>3</v>
      </c>
      <c r="AI15"/>
    </row>
    <row r="16" spans="1:35" ht="12.75" customHeight="1" outlineLevel="2" x14ac:dyDescent="0.2">
      <c r="A16" s="870" t="s">
        <v>1790</v>
      </c>
      <c r="B16" s="870" t="s">
        <v>2580</v>
      </c>
      <c r="C16" s="786"/>
      <c r="D16" s="1159"/>
      <c r="E16" s="1159"/>
      <c r="F16" s="866"/>
      <c r="G16" s="1468">
        <v>4</v>
      </c>
      <c r="H16" s="1468">
        <v>3</v>
      </c>
      <c r="I16" s="1467"/>
      <c r="J16" s="1468" t="s">
        <v>2109</v>
      </c>
      <c r="K16" s="1468"/>
      <c r="L16" s="1468" t="s">
        <v>7316</v>
      </c>
      <c r="M16" s="867"/>
      <c r="AA16">
        <f>IF(AND('05 Lan'!C16&gt;Tmin, NOT('05 Lan'!$I16="")),'05 Lan'!$I16,0)</f>
        <v>0</v>
      </c>
      <c r="AB16">
        <f>IF(AND('05 Lan'!D16&gt;Tmin, NOT('05 Lan'!$I16="")),'05 Lan'!$I16,0)</f>
        <v>0</v>
      </c>
      <c r="AC16">
        <f>IF(AND('05 Lan'!E16&gt;Tmin, NOT('05 Lan'!$I16="")),'05 Lan'!$I16,0)</f>
        <v>0</v>
      </c>
      <c r="AD16">
        <f>IF(AND('05 Lan'!F16&gt;Tmin, NOT('05 Lan'!$I16="")),'05 Lan'!$I16,0)</f>
        <v>0</v>
      </c>
      <c r="AE16">
        <f>IF(AND('05 Lan'!C16&lt;Tmax, NOT('05 Lan'!$H16="")),'05 Lan'!$H16,4)</f>
        <v>3</v>
      </c>
      <c r="AF16">
        <f>IF(AND('05 Lan'!D16&lt;Tmax, NOT('05 Lan'!$H16="")),'05 Lan'!$H16,4)</f>
        <v>3</v>
      </c>
      <c r="AG16">
        <f>IF(AND('05 Lan'!E16&lt;Tmax, NOT('05 Lan'!$H16="")),'05 Lan'!$H16,4)</f>
        <v>3</v>
      </c>
      <c r="AH16">
        <f>IF(AND('05 Lan'!F16&lt;Tmax, NOT('05 Lan'!$H16="")),'05 Lan'!$H16,4)</f>
        <v>3</v>
      </c>
      <c r="AI16"/>
    </row>
    <row r="17" spans="1:35" outlineLevel="1" x14ac:dyDescent="0.2">
      <c r="A17" s="868" t="s">
        <v>6468</v>
      </c>
      <c r="B17" s="869" t="s">
        <v>6469</v>
      </c>
      <c r="C17" s="786"/>
      <c r="D17" s="1159"/>
      <c r="E17" s="1159"/>
      <c r="F17" s="866"/>
      <c r="G17" s="1467"/>
      <c r="H17" s="1467"/>
      <c r="I17" s="1467"/>
      <c r="J17" s="1467"/>
      <c r="K17" s="1468"/>
      <c r="L17" s="1468"/>
      <c r="M17" s="867"/>
      <c r="AA17"/>
      <c r="AB17"/>
      <c r="AC17"/>
      <c r="AD17"/>
      <c r="AE17"/>
      <c r="AF17"/>
      <c r="AG17"/>
      <c r="AH17"/>
      <c r="AI17"/>
    </row>
    <row r="18" spans="1:35" ht="27" customHeight="1" outlineLevel="2" x14ac:dyDescent="0.2">
      <c r="A18" s="870" t="s">
        <v>1791</v>
      </c>
      <c r="B18" s="870" t="s">
        <v>1413</v>
      </c>
      <c r="C18" s="786"/>
      <c r="D18" s="1159"/>
      <c r="E18" s="1159"/>
      <c r="F18" s="866"/>
      <c r="G18" s="1468">
        <v>4</v>
      </c>
      <c r="H18" s="1468">
        <v>2</v>
      </c>
      <c r="I18" s="1467"/>
      <c r="J18" s="1468" t="s">
        <v>1592</v>
      </c>
      <c r="K18" s="1468"/>
      <c r="L18" s="1468"/>
      <c r="M18" s="867"/>
      <c r="AA18">
        <f>IF(AND('05 Lan'!C18&gt;Tmin, NOT('05 Lan'!$I18="")),'05 Lan'!$I18,0)</f>
        <v>0</v>
      </c>
      <c r="AB18">
        <f>IF(AND('05 Lan'!D18&gt;Tmin, NOT('05 Lan'!$I18="")),'05 Lan'!$I18,0)</f>
        <v>0</v>
      </c>
      <c r="AC18">
        <f>IF(AND('05 Lan'!E18&gt;Tmin, NOT('05 Lan'!$I18="")),'05 Lan'!$I18,0)</f>
        <v>0</v>
      </c>
      <c r="AD18">
        <f>IF(AND('05 Lan'!F18&gt;Tmin, NOT('05 Lan'!$I18="")),'05 Lan'!$I18,0)</f>
        <v>0</v>
      </c>
      <c r="AE18">
        <f>IF(AND('05 Lan'!C18&lt;Tmax, NOT('05 Lan'!$H18="")),'05 Lan'!$H18,4)</f>
        <v>2</v>
      </c>
      <c r="AF18">
        <f>IF(AND('05 Lan'!D18&lt;Tmax, NOT('05 Lan'!$H18="")),'05 Lan'!$H18,4)</f>
        <v>2</v>
      </c>
      <c r="AG18">
        <f>IF(AND('05 Lan'!E18&lt;Tmax, NOT('05 Lan'!$H18="")),'05 Lan'!$H18,4)</f>
        <v>2</v>
      </c>
      <c r="AH18">
        <f>IF(AND('05 Lan'!F18&lt;Tmax, NOT('05 Lan'!$H18="")),'05 Lan'!$H18,4)</f>
        <v>2</v>
      </c>
      <c r="AI18"/>
    </row>
    <row r="19" spans="1:35" ht="39" customHeight="1" outlineLevel="2" x14ac:dyDescent="0.2">
      <c r="A19" s="870" t="s">
        <v>1414</v>
      </c>
      <c r="B19" s="870" t="s">
        <v>2354</v>
      </c>
      <c r="C19" s="786"/>
      <c r="D19" s="1159"/>
      <c r="E19" s="1159"/>
      <c r="F19" s="866"/>
      <c r="G19" s="1468">
        <v>4</v>
      </c>
      <c r="H19" s="1468">
        <v>2</v>
      </c>
      <c r="I19" s="1467"/>
      <c r="J19" s="1468" t="s">
        <v>2329</v>
      </c>
      <c r="K19" s="1468"/>
      <c r="L19" s="1468"/>
      <c r="M19" s="867"/>
      <c r="AA19">
        <f>IF(AND('05 Lan'!C19&gt;Tmin, NOT('05 Lan'!$I19="")),'05 Lan'!$I19,0)</f>
        <v>0</v>
      </c>
      <c r="AB19">
        <f>IF(AND('05 Lan'!D19&gt;Tmin, NOT('05 Lan'!$I19="")),'05 Lan'!$I19,0)</f>
        <v>0</v>
      </c>
      <c r="AC19">
        <f>IF(AND('05 Lan'!E19&gt;Tmin, NOT('05 Lan'!$I19="")),'05 Lan'!$I19,0)</f>
        <v>0</v>
      </c>
      <c r="AD19">
        <f>IF(AND('05 Lan'!F19&gt;Tmin, NOT('05 Lan'!$I19="")),'05 Lan'!$I19,0)</f>
        <v>0</v>
      </c>
      <c r="AE19">
        <f>IF(AND('05 Lan'!C19&lt;Tmax, NOT('05 Lan'!$H19="")),'05 Lan'!$H19,4)</f>
        <v>2</v>
      </c>
      <c r="AF19">
        <f>IF(AND('05 Lan'!D19&lt;Tmax, NOT('05 Lan'!$H19="")),'05 Lan'!$H19,4)</f>
        <v>2</v>
      </c>
      <c r="AG19">
        <f>IF(AND('05 Lan'!E19&lt;Tmax, NOT('05 Lan'!$H19="")),'05 Lan'!$H19,4)</f>
        <v>2</v>
      </c>
      <c r="AH19">
        <f>IF(AND('05 Lan'!F19&lt;Tmax, NOT('05 Lan'!$H19="")),'05 Lan'!$H19,4)</f>
        <v>2</v>
      </c>
      <c r="AI19"/>
    </row>
    <row r="20" spans="1:35" ht="22.5" outlineLevel="2" x14ac:dyDescent="0.2">
      <c r="A20" s="870" t="s">
        <v>1415</v>
      </c>
      <c r="B20" s="870" t="s">
        <v>1416</v>
      </c>
      <c r="C20" s="786"/>
      <c r="D20" s="1159"/>
      <c r="E20" s="1159"/>
      <c r="F20" s="872"/>
      <c r="G20" s="1468">
        <v>4</v>
      </c>
      <c r="H20" s="1468">
        <v>2</v>
      </c>
      <c r="I20" s="1467"/>
      <c r="J20" s="1468" t="s">
        <v>1592</v>
      </c>
      <c r="K20" s="1468"/>
      <c r="L20" s="1468"/>
      <c r="M20" s="867"/>
      <c r="AA20">
        <f>IF(AND('05 Lan'!C20&gt;Tmin, NOT('05 Lan'!$I20="")),'05 Lan'!$I20,0)</f>
        <v>0</v>
      </c>
      <c r="AB20">
        <f>IF(AND('05 Lan'!D20&gt;Tmin, NOT('05 Lan'!$I20="")),'05 Lan'!$I20,0)</f>
        <v>0</v>
      </c>
      <c r="AC20">
        <f>IF(AND('05 Lan'!E20&gt;Tmin, NOT('05 Lan'!$I20="")),'05 Lan'!$I20,0)</f>
        <v>0</v>
      </c>
      <c r="AD20">
        <f>IF(AND('05 Lan'!F20&gt;Tmin, NOT('05 Lan'!$I20="")),'05 Lan'!$I20,0)</f>
        <v>0</v>
      </c>
      <c r="AE20">
        <f>IF(AND('05 Lan'!C20&lt;Tmax, NOT('05 Lan'!$H20="")),'05 Lan'!$H20,4)</f>
        <v>2</v>
      </c>
      <c r="AF20">
        <f>IF(AND('05 Lan'!D20&lt;Tmax, NOT('05 Lan'!$H20="")),'05 Lan'!$H20,4)</f>
        <v>2</v>
      </c>
      <c r="AG20">
        <f>IF(AND('05 Lan'!E20&lt;Tmax, NOT('05 Lan'!$H20="")),'05 Lan'!$H20,4)</f>
        <v>2</v>
      </c>
      <c r="AH20">
        <f>IF(AND('05 Lan'!F20&lt;Tmax, NOT('05 Lan'!$H20="")),'05 Lan'!$H20,4)</f>
        <v>2</v>
      </c>
      <c r="AI20"/>
    </row>
    <row r="21" spans="1:35" ht="22.5" outlineLevel="2" x14ac:dyDescent="0.2">
      <c r="A21" s="870" t="s">
        <v>1417</v>
      </c>
      <c r="B21" s="870" t="s">
        <v>81</v>
      </c>
      <c r="C21" s="786"/>
      <c r="D21" s="1159"/>
      <c r="E21" s="1159"/>
      <c r="F21" s="866"/>
      <c r="G21" s="1468">
        <v>4</v>
      </c>
      <c r="H21" s="1468">
        <v>2</v>
      </c>
      <c r="I21" s="1467"/>
      <c r="J21" s="1468" t="s">
        <v>2329</v>
      </c>
      <c r="K21" s="1468"/>
      <c r="L21" s="1468"/>
      <c r="M21" s="867"/>
      <c r="AA21">
        <f>IF(AND('05 Lan'!C21&gt;Tmin, NOT('05 Lan'!$I21="")),'05 Lan'!$I21,0)</f>
        <v>0</v>
      </c>
      <c r="AB21">
        <f>IF(AND('05 Lan'!D21&gt;Tmin, NOT('05 Lan'!$I21="")),'05 Lan'!$I21,0)</f>
        <v>0</v>
      </c>
      <c r="AC21">
        <f>IF(AND('05 Lan'!E21&gt;Tmin, NOT('05 Lan'!$I21="")),'05 Lan'!$I21,0)</f>
        <v>0</v>
      </c>
      <c r="AD21">
        <f>IF(AND('05 Lan'!F21&gt;Tmin, NOT('05 Lan'!$I21="")),'05 Lan'!$I21,0)</f>
        <v>0</v>
      </c>
      <c r="AE21">
        <f>IF(AND('05 Lan'!C21&lt;Tmax, NOT('05 Lan'!$H21="")),'05 Lan'!$H21,4)</f>
        <v>2</v>
      </c>
      <c r="AF21">
        <f>IF(AND('05 Lan'!D21&lt;Tmax, NOT('05 Lan'!$H21="")),'05 Lan'!$H21,4)</f>
        <v>2</v>
      </c>
      <c r="AG21">
        <f>IF(AND('05 Lan'!E21&lt;Tmax, NOT('05 Lan'!$H21="")),'05 Lan'!$H21,4)</f>
        <v>2</v>
      </c>
      <c r="AH21">
        <f>IF(AND('05 Lan'!F21&lt;Tmax, NOT('05 Lan'!$H21="")),'05 Lan'!$H21,4)</f>
        <v>2</v>
      </c>
      <c r="AI21"/>
    </row>
    <row r="22" spans="1:35" outlineLevel="2" x14ac:dyDescent="0.2">
      <c r="A22" s="870" t="s">
        <v>1418</v>
      </c>
      <c r="B22" s="870" t="s">
        <v>1419</v>
      </c>
      <c r="C22" s="786"/>
      <c r="D22" s="866"/>
      <c r="E22" s="866"/>
      <c r="F22" s="866"/>
      <c r="G22" s="1468">
        <v>4</v>
      </c>
      <c r="H22" s="1468"/>
      <c r="I22" s="1467"/>
      <c r="J22" s="1468" t="s">
        <v>1592</v>
      </c>
      <c r="K22" s="1468"/>
      <c r="L22" s="1468"/>
      <c r="M22" s="867"/>
      <c r="AA22">
        <f>IF(AND('05 Lan'!C22&gt;Tmin, NOT('05 Lan'!$I22="")),'05 Lan'!$I22,0)</f>
        <v>0</v>
      </c>
      <c r="AB22">
        <f>IF(AND('05 Lan'!D22&gt;Tmin, NOT('05 Lan'!$I22="")),'05 Lan'!$I22,0)</f>
        <v>0</v>
      </c>
      <c r="AC22">
        <f>IF(AND('05 Lan'!E22&gt;Tmin, NOT('05 Lan'!$I22="")),'05 Lan'!$I22,0)</f>
        <v>0</v>
      </c>
      <c r="AD22">
        <f>IF(AND('05 Lan'!F22&gt;Tmin, NOT('05 Lan'!$I22="")),'05 Lan'!$I22,0)</f>
        <v>0</v>
      </c>
      <c r="AE22">
        <f>IF(AND('05 Lan'!C22&lt;Tmax, NOT('05 Lan'!$H22="")),'05 Lan'!$H22,4)</f>
        <v>4</v>
      </c>
      <c r="AF22">
        <f>IF(AND('05 Lan'!D22&lt;Tmax, NOT('05 Lan'!$H22="")),'05 Lan'!$H22,4)</f>
        <v>4</v>
      </c>
      <c r="AG22">
        <f>IF(AND('05 Lan'!E22&lt;Tmax, NOT('05 Lan'!$H22="")),'05 Lan'!$H22,4)</f>
        <v>4</v>
      </c>
      <c r="AH22">
        <f>IF(AND('05 Lan'!F22&lt;Tmax, NOT('05 Lan'!$H22="")),'05 Lan'!$H22,4)</f>
        <v>4</v>
      </c>
      <c r="AI22"/>
    </row>
    <row r="23" spans="1:35" ht="22.5" outlineLevel="2" x14ac:dyDescent="0.2">
      <c r="A23" s="870" t="s">
        <v>1420</v>
      </c>
      <c r="B23" s="870" t="s">
        <v>1641</v>
      </c>
      <c r="C23" s="786"/>
      <c r="D23" s="866"/>
      <c r="E23" s="866"/>
      <c r="F23" s="866"/>
      <c r="G23" s="1468">
        <v>4</v>
      </c>
      <c r="H23" s="1468">
        <v>2</v>
      </c>
      <c r="I23" s="1467"/>
      <c r="J23" s="1468" t="s">
        <v>1592</v>
      </c>
      <c r="K23" s="1468"/>
      <c r="L23" s="1468"/>
      <c r="M23" s="867"/>
      <c r="AA23">
        <f>IF(AND('05 Lan'!C23&gt;Tmin, NOT('05 Lan'!$I23="")),'05 Lan'!$I23,0)</f>
        <v>0</v>
      </c>
      <c r="AB23">
        <f>IF(AND('05 Lan'!D23&gt;Tmin, NOT('05 Lan'!$I23="")),'05 Lan'!$I23,0)</f>
        <v>0</v>
      </c>
      <c r="AC23">
        <f>IF(AND('05 Lan'!E23&gt;Tmin, NOT('05 Lan'!$I23="")),'05 Lan'!$I23,0)</f>
        <v>0</v>
      </c>
      <c r="AD23">
        <f>IF(AND('05 Lan'!F23&gt;Tmin, NOT('05 Lan'!$I23="")),'05 Lan'!$I23,0)</f>
        <v>0</v>
      </c>
      <c r="AE23">
        <f>IF(AND('05 Lan'!C23&lt;Tmax, NOT('05 Lan'!$H23="")),'05 Lan'!$H23,4)</f>
        <v>2</v>
      </c>
      <c r="AF23">
        <f>IF(AND('05 Lan'!D23&lt;Tmax, NOT('05 Lan'!$H23="")),'05 Lan'!$H23,4)</f>
        <v>2</v>
      </c>
      <c r="AG23">
        <f>IF(AND('05 Lan'!E23&lt;Tmax, NOT('05 Lan'!$H23="")),'05 Lan'!$H23,4)</f>
        <v>2</v>
      </c>
      <c r="AH23">
        <f>IF(AND('05 Lan'!F23&lt;Tmax, NOT('05 Lan'!$H23="")),'05 Lan'!$H23,4)</f>
        <v>2</v>
      </c>
      <c r="AI23"/>
    </row>
    <row r="24" spans="1:35" ht="15" customHeight="1" outlineLevel="2" x14ac:dyDescent="0.2">
      <c r="A24" s="870" t="s">
        <v>1421</v>
      </c>
      <c r="B24" s="870" t="s">
        <v>2198</v>
      </c>
      <c r="C24" s="786"/>
      <c r="D24" s="866"/>
      <c r="E24" s="866"/>
      <c r="F24" s="866"/>
      <c r="G24" s="1468">
        <v>2</v>
      </c>
      <c r="H24" s="1467"/>
      <c r="I24" s="1467"/>
      <c r="J24" s="1468" t="s">
        <v>1592</v>
      </c>
      <c r="K24" s="1468"/>
      <c r="L24" s="1468"/>
      <c r="M24" s="867"/>
      <c r="AA24">
        <f>IF(AND('05 Lan'!C24&gt;Tmin, NOT('05 Lan'!$I24="")),'05 Lan'!$I24,0)</f>
        <v>0</v>
      </c>
      <c r="AB24">
        <f>IF(AND('05 Lan'!D24&gt;Tmin, NOT('05 Lan'!$I24="")),'05 Lan'!$I24,0)</f>
        <v>0</v>
      </c>
      <c r="AC24">
        <f>IF(AND('05 Lan'!E24&gt;Tmin, NOT('05 Lan'!$I24="")),'05 Lan'!$I24,0)</f>
        <v>0</v>
      </c>
      <c r="AD24">
        <f>IF(AND('05 Lan'!F24&gt;Tmin, NOT('05 Lan'!$I24="")),'05 Lan'!$I24,0)</f>
        <v>0</v>
      </c>
      <c r="AE24">
        <f>IF(AND('05 Lan'!C24&lt;Tmax, NOT('05 Lan'!$H24="")),'05 Lan'!$H24,4)</f>
        <v>4</v>
      </c>
      <c r="AF24">
        <f>IF(AND('05 Lan'!D24&lt;Tmax, NOT('05 Lan'!$H24="")),'05 Lan'!$H24,4)</f>
        <v>4</v>
      </c>
      <c r="AG24">
        <f>IF(AND('05 Lan'!E24&lt;Tmax, NOT('05 Lan'!$H24="")),'05 Lan'!$H24,4)</f>
        <v>4</v>
      </c>
      <c r="AH24">
        <f>IF(AND('05 Lan'!F24&lt;Tmax, NOT('05 Lan'!$H24="")),'05 Lan'!$H24,4)</f>
        <v>4</v>
      </c>
      <c r="AI24"/>
    </row>
    <row r="25" spans="1:35" ht="22.5" outlineLevel="2" x14ac:dyDescent="0.2">
      <c r="A25" s="870" t="s">
        <v>2199</v>
      </c>
      <c r="B25" s="870" t="s">
        <v>1118</v>
      </c>
      <c r="C25" s="786"/>
      <c r="D25" s="866"/>
      <c r="E25" s="866"/>
      <c r="F25" s="866"/>
      <c r="G25" s="1468">
        <v>2</v>
      </c>
      <c r="H25" s="1468">
        <v>2</v>
      </c>
      <c r="I25" s="1467"/>
      <c r="J25" s="1468" t="s">
        <v>2349</v>
      </c>
      <c r="K25" s="1468"/>
      <c r="L25" s="1468"/>
      <c r="M25" s="867"/>
      <c r="AA25">
        <f>IF(AND('05 Lan'!C25&gt;Tmin, NOT('05 Lan'!$I25="")),'05 Lan'!$I25,0)</f>
        <v>0</v>
      </c>
      <c r="AB25">
        <f>IF(AND('05 Lan'!D25&gt;Tmin, NOT('05 Lan'!$I25="")),'05 Lan'!$I25,0)</f>
        <v>0</v>
      </c>
      <c r="AC25">
        <f>IF(AND('05 Lan'!E25&gt;Tmin, NOT('05 Lan'!$I25="")),'05 Lan'!$I25,0)</f>
        <v>0</v>
      </c>
      <c r="AD25">
        <f>IF(AND('05 Lan'!F25&gt;Tmin, NOT('05 Lan'!$I25="")),'05 Lan'!$I25,0)</f>
        <v>0</v>
      </c>
      <c r="AE25">
        <f>IF(AND('05 Lan'!C25&lt;Tmax, NOT('05 Lan'!$H25="")),'05 Lan'!$H25,4)</f>
        <v>2</v>
      </c>
      <c r="AF25">
        <f>IF(AND('05 Lan'!D25&lt;Tmax, NOT('05 Lan'!$H25="")),'05 Lan'!$H25,4)</f>
        <v>2</v>
      </c>
      <c r="AG25">
        <f>IF(AND('05 Lan'!E25&lt;Tmax, NOT('05 Lan'!$H25="")),'05 Lan'!$H25,4)</f>
        <v>2</v>
      </c>
      <c r="AH25">
        <f>IF(AND('05 Lan'!F25&lt;Tmax, NOT('05 Lan'!$H25="")),'05 Lan'!$H25,4)</f>
        <v>2</v>
      </c>
      <c r="AI25"/>
    </row>
    <row r="26" spans="1:35" ht="22.5" outlineLevel="2" x14ac:dyDescent="0.2">
      <c r="A26" s="870" t="s">
        <v>1119</v>
      </c>
      <c r="B26" s="870" t="s">
        <v>1120</v>
      </c>
      <c r="C26" s="786"/>
      <c r="D26" s="866"/>
      <c r="E26" s="866"/>
      <c r="F26" s="866"/>
      <c r="G26" s="1468">
        <v>2</v>
      </c>
      <c r="H26" s="1468">
        <v>3</v>
      </c>
      <c r="I26" s="1467"/>
      <c r="J26" s="1468" t="s">
        <v>2349</v>
      </c>
      <c r="K26" s="1468"/>
      <c r="L26" s="1468"/>
      <c r="M26" s="867"/>
      <c r="AA26">
        <f>IF(AND('05 Lan'!C26&gt;Tmin, NOT('05 Lan'!$I26="")),'05 Lan'!$I26,0)</f>
        <v>0</v>
      </c>
      <c r="AB26">
        <f>IF(AND('05 Lan'!D26&gt;Tmin, NOT('05 Lan'!$I26="")),'05 Lan'!$I26,0)</f>
        <v>0</v>
      </c>
      <c r="AC26">
        <f>IF(AND('05 Lan'!E26&gt;Tmin, NOT('05 Lan'!$I26="")),'05 Lan'!$I26,0)</f>
        <v>0</v>
      </c>
      <c r="AD26">
        <f>IF(AND('05 Lan'!F26&gt;Tmin, NOT('05 Lan'!$I26="")),'05 Lan'!$I26,0)</f>
        <v>0</v>
      </c>
      <c r="AE26">
        <f>IF(AND('05 Lan'!C26&lt;Tmax, NOT('05 Lan'!$H26="")),'05 Lan'!$H26,4)</f>
        <v>3</v>
      </c>
      <c r="AF26">
        <f>IF(AND('05 Lan'!D26&lt;Tmax, NOT('05 Lan'!$H26="")),'05 Lan'!$H26,4)</f>
        <v>3</v>
      </c>
      <c r="AG26">
        <f>IF(AND('05 Lan'!E26&lt;Tmax, NOT('05 Lan'!$H26="")),'05 Lan'!$H26,4)</f>
        <v>3</v>
      </c>
      <c r="AH26">
        <f>IF(AND('05 Lan'!F26&lt;Tmax, NOT('05 Lan'!$H26="")),'05 Lan'!$H26,4)</f>
        <v>3</v>
      </c>
      <c r="AI26"/>
    </row>
    <row r="27" spans="1:35" outlineLevel="2" x14ac:dyDescent="0.2">
      <c r="A27" s="870" t="s">
        <v>1121</v>
      </c>
      <c r="B27" s="870" t="s">
        <v>2</v>
      </c>
      <c r="C27" s="786"/>
      <c r="D27" s="866"/>
      <c r="E27" s="866"/>
      <c r="F27" s="866"/>
      <c r="G27" s="1468">
        <v>2</v>
      </c>
      <c r="H27" s="1468">
        <v>3</v>
      </c>
      <c r="I27" s="1467"/>
      <c r="J27" s="1468" t="s">
        <v>2109</v>
      </c>
      <c r="K27" s="1468"/>
      <c r="L27" s="1468"/>
      <c r="M27" s="867"/>
      <c r="AA27">
        <f>IF(AND('05 Lan'!C27&gt;Tmin, NOT('05 Lan'!$I27="")),'05 Lan'!$I27,0)</f>
        <v>0</v>
      </c>
      <c r="AB27">
        <f>IF(AND('05 Lan'!D27&gt;Tmin, NOT('05 Lan'!$I27="")),'05 Lan'!$I27,0)</f>
        <v>0</v>
      </c>
      <c r="AC27">
        <f>IF(AND('05 Lan'!E27&gt;Tmin, NOT('05 Lan'!$I27="")),'05 Lan'!$I27,0)</f>
        <v>0</v>
      </c>
      <c r="AD27">
        <f>IF(AND('05 Lan'!F27&gt;Tmin, NOT('05 Lan'!$I27="")),'05 Lan'!$I27,0)</f>
        <v>0</v>
      </c>
      <c r="AE27">
        <f>IF(AND('05 Lan'!C27&lt;Tmax, NOT('05 Lan'!$H27="")),'05 Lan'!$H27,4)</f>
        <v>3</v>
      </c>
      <c r="AF27">
        <f>IF(AND('05 Lan'!D27&lt;Tmax, NOT('05 Lan'!$H27="")),'05 Lan'!$H27,4)</f>
        <v>3</v>
      </c>
      <c r="AG27">
        <f>IF(AND('05 Lan'!E27&lt;Tmax, NOT('05 Lan'!$H27="")),'05 Lan'!$H27,4)</f>
        <v>3</v>
      </c>
      <c r="AH27">
        <f>IF(AND('05 Lan'!F27&lt;Tmax, NOT('05 Lan'!$H27="")),'05 Lan'!$H27,4)</f>
        <v>3</v>
      </c>
      <c r="AI27"/>
    </row>
    <row r="28" spans="1:35" outlineLevel="2" x14ac:dyDescent="0.2">
      <c r="A28" s="870" t="s">
        <v>1122</v>
      </c>
      <c r="B28" s="870" t="s">
        <v>4</v>
      </c>
      <c r="C28" s="786"/>
      <c r="D28" s="866"/>
      <c r="E28" s="866"/>
      <c r="F28" s="872"/>
      <c r="G28" s="1468">
        <v>1</v>
      </c>
      <c r="H28" s="1468">
        <v>3</v>
      </c>
      <c r="I28" s="1467"/>
      <c r="J28" s="1468" t="s">
        <v>2109</v>
      </c>
      <c r="K28" s="1468"/>
      <c r="L28" s="1468"/>
      <c r="M28" s="867"/>
      <c r="AA28">
        <f>IF(AND('05 Lan'!C28&gt;Tmin, NOT('05 Lan'!$I28="")),'05 Lan'!$I28,0)</f>
        <v>0</v>
      </c>
      <c r="AB28">
        <f>IF(AND('05 Lan'!D28&gt;Tmin, NOT('05 Lan'!$I28="")),'05 Lan'!$I28,0)</f>
        <v>0</v>
      </c>
      <c r="AC28">
        <f>IF(AND('05 Lan'!E28&gt;Tmin, NOT('05 Lan'!$I28="")),'05 Lan'!$I28,0)</f>
        <v>0</v>
      </c>
      <c r="AD28">
        <f>IF(AND('05 Lan'!F28&gt;Tmin, NOT('05 Lan'!$I28="")),'05 Lan'!$I28,0)</f>
        <v>0</v>
      </c>
      <c r="AE28">
        <f>IF(AND('05 Lan'!C28&lt;Tmax, NOT('05 Lan'!$H28="")),'05 Lan'!$H28,4)</f>
        <v>3</v>
      </c>
      <c r="AF28">
        <f>IF(AND('05 Lan'!D28&lt;Tmax, NOT('05 Lan'!$H28="")),'05 Lan'!$H28,4)</f>
        <v>3</v>
      </c>
      <c r="AG28">
        <f>IF(AND('05 Lan'!E28&lt;Tmax, NOT('05 Lan'!$H28="")),'05 Lan'!$H28,4)</f>
        <v>3</v>
      </c>
      <c r="AH28">
        <f>IF(AND('05 Lan'!F28&lt;Tmax, NOT('05 Lan'!$H28="")),'05 Lan'!$H28,4)</f>
        <v>3</v>
      </c>
      <c r="AI28"/>
    </row>
    <row r="29" spans="1:35" outlineLevel="2" x14ac:dyDescent="0.2">
      <c r="A29" s="870" t="s">
        <v>1123</v>
      </c>
      <c r="B29" s="870" t="s">
        <v>5967</v>
      </c>
      <c r="C29" s="786"/>
      <c r="D29" s="866"/>
      <c r="E29" s="866"/>
      <c r="F29" s="866"/>
      <c r="G29" s="1468">
        <v>1</v>
      </c>
      <c r="H29" s="1468">
        <v>3</v>
      </c>
      <c r="I29" s="1467"/>
      <c r="J29" s="1468" t="s">
        <v>2109</v>
      </c>
      <c r="K29" s="1468"/>
      <c r="L29" s="1468"/>
      <c r="M29" s="867"/>
      <c r="AA29">
        <f>IF(AND('05 Lan'!C29&gt;Tmin, NOT('05 Lan'!$I29="")),'05 Lan'!$I29,0)</f>
        <v>0</v>
      </c>
      <c r="AB29">
        <f>IF(AND('05 Lan'!D29&gt;Tmin, NOT('05 Lan'!$I29="")),'05 Lan'!$I29,0)</f>
        <v>0</v>
      </c>
      <c r="AC29">
        <f>IF(AND('05 Lan'!E29&gt;Tmin, NOT('05 Lan'!$I29="")),'05 Lan'!$I29,0)</f>
        <v>0</v>
      </c>
      <c r="AD29">
        <f>IF(AND('05 Lan'!F29&gt;Tmin, NOT('05 Lan'!$I29="")),'05 Lan'!$I29,0)</f>
        <v>0</v>
      </c>
      <c r="AE29">
        <f>IF(AND('05 Lan'!C29&lt;Tmax, NOT('05 Lan'!$H29="")),'05 Lan'!$H29,4)</f>
        <v>3</v>
      </c>
      <c r="AF29">
        <f>IF(AND('05 Lan'!D29&lt;Tmax, NOT('05 Lan'!$H29="")),'05 Lan'!$H29,4)</f>
        <v>3</v>
      </c>
      <c r="AG29">
        <f>IF(AND('05 Lan'!E29&lt;Tmax, NOT('05 Lan'!$H29="")),'05 Lan'!$H29,4)</f>
        <v>3</v>
      </c>
      <c r="AH29">
        <f>IF(AND('05 Lan'!F29&lt;Tmax, NOT('05 Lan'!$H29="")),'05 Lan'!$H29,4)</f>
        <v>3</v>
      </c>
      <c r="AI29"/>
    </row>
    <row r="30" spans="1:35" outlineLevel="1" x14ac:dyDescent="0.2">
      <c r="A30" s="868" t="s">
        <v>6470</v>
      </c>
      <c r="B30" s="869" t="s">
        <v>6471</v>
      </c>
      <c r="C30" s="786"/>
      <c r="D30" s="866"/>
      <c r="E30" s="866"/>
      <c r="F30" s="866"/>
      <c r="G30" s="1468"/>
      <c r="H30" s="1468"/>
      <c r="I30" s="1467"/>
      <c r="J30" s="1467"/>
      <c r="K30" s="1468"/>
      <c r="L30" s="1468"/>
      <c r="M30" s="867"/>
      <c r="AA30"/>
      <c r="AB30"/>
      <c r="AC30"/>
      <c r="AD30"/>
      <c r="AE30"/>
      <c r="AF30"/>
      <c r="AG30"/>
      <c r="AH30"/>
      <c r="AI30"/>
    </row>
    <row r="31" spans="1:35" outlineLevel="2" x14ac:dyDescent="0.2">
      <c r="A31" s="870" t="s">
        <v>1124</v>
      </c>
      <c r="B31" s="870" t="s">
        <v>4358</v>
      </c>
      <c r="C31" s="786"/>
      <c r="D31" s="866"/>
      <c r="E31" s="866"/>
      <c r="F31" s="866"/>
      <c r="G31" s="1468">
        <v>2</v>
      </c>
      <c r="H31" s="1468"/>
      <c r="I31" s="1467"/>
      <c r="J31" s="1468" t="s">
        <v>4246</v>
      </c>
      <c r="K31" s="1468" t="s">
        <v>4434</v>
      </c>
      <c r="L31" s="1468" t="s">
        <v>1717</v>
      </c>
      <c r="M31" s="867"/>
      <c r="AA31">
        <f>IF(AND('05 Lan'!C31&gt;Tmin, NOT('05 Lan'!$I31="")),'05 Lan'!$I31,0)</f>
        <v>0</v>
      </c>
      <c r="AB31">
        <f>IF(AND('05 Lan'!D31&gt;Tmin, NOT('05 Lan'!$I31="")),'05 Lan'!$I31,0)</f>
        <v>0</v>
      </c>
      <c r="AC31">
        <f>IF(AND('05 Lan'!E31&gt;Tmin, NOT('05 Lan'!$I31="")),'05 Lan'!$I31,0)</f>
        <v>0</v>
      </c>
      <c r="AD31">
        <f>IF(AND('05 Lan'!F31&gt;Tmin, NOT('05 Lan'!$I31="")),'05 Lan'!$I31,0)</f>
        <v>0</v>
      </c>
      <c r="AE31">
        <f>IF(AND('05 Lan'!C31&lt;Tmax, NOT('05 Lan'!$H31="")),'05 Lan'!$H31,4)</f>
        <v>4</v>
      </c>
      <c r="AF31">
        <f>IF(AND('05 Lan'!D31&lt;Tmax, NOT('05 Lan'!$H31="")),'05 Lan'!$H31,4)</f>
        <v>4</v>
      </c>
      <c r="AG31">
        <f>IF(AND('05 Lan'!E31&lt;Tmax, NOT('05 Lan'!$H31="")),'05 Lan'!$H31,4)</f>
        <v>4</v>
      </c>
      <c r="AH31">
        <f>IF(AND('05 Lan'!F31&lt;Tmax, NOT('05 Lan'!$H31="")),'05 Lan'!$H31,4)</f>
        <v>4</v>
      </c>
      <c r="AI31"/>
    </row>
    <row r="32" spans="1:35" ht="22.5" outlineLevel="2" x14ac:dyDescent="0.2">
      <c r="A32" s="870" t="s">
        <v>2171</v>
      </c>
      <c r="B32" s="870" t="s">
        <v>4865</v>
      </c>
      <c r="C32" s="786"/>
      <c r="D32" s="866"/>
      <c r="E32" s="866"/>
      <c r="F32" s="866"/>
      <c r="G32" s="1468">
        <v>4</v>
      </c>
      <c r="H32" s="1468"/>
      <c r="I32" s="1467"/>
      <c r="J32" s="1468" t="s">
        <v>1592</v>
      </c>
      <c r="K32" s="1468"/>
      <c r="L32" s="1468"/>
      <c r="M32" s="867"/>
      <c r="AA32">
        <f>IF(AND('05 Lan'!C32&gt;Tmin, NOT('05 Lan'!$I32="")),'05 Lan'!$I32,0)</f>
        <v>0</v>
      </c>
      <c r="AB32">
        <f>IF(AND('05 Lan'!D32&gt;Tmin, NOT('05 Lan'!$I32="")),'05 Lan'!$I32,0)</f>
        <v>0</v>
      </c>
      <c r="AC32">
        <f>IF(AND('05 Lan'!E32&gt;Tmin, NOT('05 Lan'!$I32="")),'05 Lan'!$I32,0)</f>
        <v>0</v>
      </c>
      <c r="AD32">
        <f>IF(AND('05 Lan'!F32&gt;Tmin, NOT('05 Lan'!$I32="")),'05 Lan'!$I32,0)</f>
        <v>0</v>
      </c>
      <c r="AE32">
        <f>IF(AND('05 Lan'!C32&lt;Tmax, NOT('05 Lan'!$H32="")),'05 Lan'!$H32,4)</f>
        <v>4</v>
      </c>
      <c r="AF32">
        <f>IF(AND('05 Lan'!D32&lt;Tmax, NOT('05 Lan'!$H32="")),'05 Lan'!$H32,4)</f>
        <v>4</v>
      </c>
      <c r="AG32">
        <f>IF(AND('05 Lan'!E32&lt;Tmax, NOT('05 Lan'!$H32="")),'05 Lan'!$H32,4)</f>
        <v>4</v>
      </c>
      <c r="AH32">
        <f>IF(AND('05 Lan'!F32&lt;Tmax, NOT('05 Lan'!$H32="")),'05 Lan'!$H32,4)</f>
        <v>4</v>
      </c>
      <c r="AI32"/>
    </row>
    <row r="33" spans="1:35" outlineLevel="2" x14ac:dyDescent="0.2">
      <c r="A33" s="870" t="s">
        <v>2172</v>
      </c>
      <c r="B33" s="870" t="s">
        <v>4867</v>
      </c>
      <c r="C33" s="786"/>
      <c r="D33" s="866"/>
      <c r="E33" s="866"/>
      <c r="F33" s="866"/>
      <c r="G33" s="1468">
        <v>4</v>
      </c>
      <c r="H33" s="1468">
        <v>2</v>
      </c>
      <c r="I33" s="1467"/>
      <c r="J33" s="1468" t="s">
        <v>1592</v>
      </c>
      <c r="K33" s="1468"/>
      <c r="L33" s="1468"/>
      <c r="M33" s="867"/>
      <c r="AA33">
        <f>IF(AND('05 Lan'!C33&gt;Tmin, NOT('05 Lan'!$I33="")),'05 Lan'!$I33,0)</f>
        <v>0</v>
      </c>
      <c r="AB33">
        <f>IF(AND('05 Lan'!D33&gt;Tmin, NOT('05 Lan'!$I33="")),'05 Lan'!$I33,0)</f>
        <v>0</v>
      </c>
      <c r="AC33">
        <f>IF(AND('05 Lan'!E33&gt;Tmin, NOT('05 Lan'!$I33="")),'05 Lan'!$I33,0)</f>
        <v>0</v>
      </c>
      <c r="AD33">
        <f>IF(AND('05 Lan'!F33&gt;Tmin, NOT('05 Lan'!$I33="")),'05 Lan'!$I33,0)</f>
        <v>0</v>
      </c>
      <c r="AE33">
        <f>IF(AND('05 Lan'!C33&lt;Tmax, NOT('05 Lan'!$H33="")),'05 Lan'!$H33,4)</f>
        <v>2</v>
      </c>
      <c r="AF33">
        <f>IF(AND('05 Lan'!D33&lt;Tmax, NOT('05 Lan'!$H33="")),'05 Lan'!$H33,4)</f>
        <v>2</v>
      </c>
      <c r="AG33">
        <f>IF(AND('05 Lan'!E33&lt;Tmax, NOT('05 Lan'!$H33="")),'05 Lan'!$H33,4)</f>
        <v>2</v>
      </c>
      <c r="AH33">
        <f>IF(AND('05 Lan'!F33&lt;Tmax, NOT('05 Lan'!$H33="")),'05 Lan'!$H33,4)</f>
        <v>2</v>
      </c>
      <c r="AI33"/>
    </row>
    <row r="34" spans="1:35" ht="12" customHeight="1" outlineLevel="2" x14ac:dyDescent="0.2">
      <c r="A34" s="870" t="s">
        <v>2173</v>
      </c>
      <c r="B34" s="870" t="s">
        <v>1627</v>
      </c>
      <c r="C34" s="786"/>
      <c r="D34" s="866"/>
      <c r="E34" s="866"/>
      <c r="F34" s="866"/>
      <c r="G34" s="1468">
        <v>4</v>
      </c>
      <c r="H34" s="1468">
        <v>2</v>
      </c>
      <c r="I34" s="1467"/>
      <c r="J34" s="1468" t="s">
        <v>2329</v>
      </c>
      <c r="K34" s="1468"/>
      <c r="L34" s="1468"/>
      <c r="M34" s="867"/>
      <c r="AA34">
        <f>IF(AND('05 Lan'!C34&gt;Tmin, NOT('05 Lan'!$I34="")),'05 Lan'!$I34,0)</f>
        <v>0</v>
      </c>
      <c r="AB34">
        <f>IF(AND('05 Lan'!D34&gt;Tmin, NOT('05 Lan'!$I34="")),'05 Lan'!$I34,0)</f>
        <v>0</v>
      </c>
      <c r="AC34">
        <f>IF(AND('05 Lan'!E34&gt;Tmin, NOT('05 Lan'!$I34="")),'05 Lan'!$I34,0)</f>
        <v>0</v>
      </c>
      <c r="AD34">
        <f>IF(AND('05 Lan'!F34&gt;Tmin, NOT('05 Lan'!$I34="")),'05 Lan'!$I34,0)</f>
        <v>0</v>
      </c>
      <c r="AE34">
        <f>IF(AND('05 Lan'!C34&lt;Tmax, NOT('05 Lan'!$H34="")),'05 Lan'!$H34,4)</f>
        <v>2</v>
      </c>
      <c r="AF34">
        <f>IF(AND('05 Lan'!D34&lt;Tmax, NOT('05 Lan'!$H34="")),'05 Lan'!$H34,4)</f>
        <v>2</v>
      </c>
      <c r="AG34">
        <f>IF(AND('05 Lan'!E34&lt;Tmax, NOT('05 Lan'!$H34="")),'05 Lan'!$H34,4)</f>
        <v>2</v>
      </c>
      <c r="AH34">
        <f>IF(AND('05 Lan'!F34&lt;Tmax, NOT('05 Lan'!$H34="")),'05 Lan'!$H34,4)</f>
        <v>2</v>
      </c>
      <c r="AI34"/>
    </row>
    <row r="35" spans="1:35" ht="22.5" outlineLevel="2" x14ac:dyDescent="0.2">
      <c r="A35" s="870" t="s">
        <v>5188</v>
      </c>
      <c r="B35" s="870" t="s">
        <v>1572</v>
      </c>
      <c r="C35" s="786"/>
      <c r="D35" s="866"/>
      <c r="E35" s="866"/>
      <c r="F35" s="866"/>
      <c r="G35" s="1468">
        <v>2</v>
      </c>
      <c r="H35" s="1468">
        <v>3</v>
      </c>
      <c r="I35" s="1467"/>
      <c r="J35" s="1468" t="s">
        <v>2349</v>
      </c>
      <c r="K35" s="1468"/>
      <c r="L35" s="1468"/>
      <c r="M35" s="867"/>
      <c r="AA35">
        <f>IF(AND('05 Lan'!C35&gt;Tmin, NOT('05 Lan'!$I35="")),'05 Lan'!$I35,0)</f>
        <v>0</v>
      </c>
      <c r="AB35">
        <f>IF(AND('05 Lan'!D35&gt;Tmin, NOT('05 Lan'!$I35="")),'05 Lan'!$I35,0)</f>
        <v>0</v>
      </c>
      <c r="AC35">
        <f>IF(AND('05 Lan'!E35&gt;Tmin, NOT('05 Lan'!$I35="")),'05 Lan'!$I35,0)</f>
        <v>0</v>
      </c>
      <c r="AD35">
        <f>IF(AND('05 Lan'!F35&gt;Tmin, NOT('05 Lan'!$I35="")),'05 Lan'!$I35,0)</f>
        <v>0</v>
      </c>
      <c r="AE35">
        <f>IF(AND('05 Lan'!C35&lt;Tmax, NOT('05 Lan'!$H35="")),'05 Lan'!$H35,4)</f>
        <v>3</v>
      </c>
      <c r="AF35">
        <f>IF(AND('05 Lan'!D35&lt;Tmax, NOT('05 Lan'!$H35="")),'05 Lan'!$H35,4)</f>
        <v>3</v>
      </c>
      <c r="AG35">
        <f>IF(AND('05 Lan'!E35&lt;Tmax, NOT('05 Lan'!$H35="")),'05 Lan'!$H35,4)</f>
        <v>3</v>
      </c>
      <c r="AH35">
        <f>IF(AND('05 Lan'!F35&lt;Tmax, NOT('05 Lan'!$H35="")),'05 Lan'!$H35,4)</f>
        <v>3</v>
      </c>
      <c r="AI35"/>
    </row>
    <row r="36" spans="1:35" ht="22.5" outlineLevel="2" x14ac:dyDescent="0.2">
      <c r="A36" s="870" t="s">
        <v>2255</v>
      </c>
      <c r="B36" s="870" t="s">
        <v>1574</v>
      </c>
      <c r="C36" s="786"/>
      <c r="D36" s="866"/>
      <c r="E36" s="866"/>
      <c r="F36" s="866"/>
      <c r="G36" s="1468">
        <v>4</v>
      </c>
      <c r="H36" s="1468"/>
      <c r="I36" s="1467"/>
      <c r="J36" s="1468" t="s">
        <v>2349</v>
      </c>
      <c r="K36" s="1468"/>
      <c r="L36" s="1468"/>
      <c r="M36" s="867"/>
      <c r="AA36">
        <f>IF(AND('05 Lan'!C36&gt;Tmin, NOT('05 Lan'!$I36="")),'05 Lan'!$I36,0)</f>
        <v>0</v>
      </c>
      <c r="AB36">
        <f>IF(AND('05 Lan'!D36&gt;Tmin, NOT('05 Lan'!$I36="")),'05 Lan'!$I36,0)</f>
        <v>0</v>
      </c>
      <c r="AC36">
        <f>IF(AND('05 Lan'!E36&gt;Tmin, NOT('05 Lan'!$I36="")),'05 Lan'!$I36,0)</f>
        <v>0</v>
      </c>
      <c r="AD36">
        <f>IF(AND('05 Lan'!F36&gt;Tmin, NOT('05 Lan'!$I36="")),'05 Lan'!$I36,0)</f>
        <v>0</v>
      </c>
      <c r="AE36">
        <f>IF(AND('05 Lan'!C36&lt;Tmax, NOT('05 Lan'!$H36="")),'05 Lan'!$H36,4)</f>
        <v>4</v>
      </c>
      <c r="AF36">
        <f>IF(AND('05 Lan'!D36&lt;Tmax, NOT('05 Lan'!$H36="")),'05 Lan'!$H36,4)</f>
        <v>4</v>
      </c>
      <c r="AG36">
        <f>IF(AND('05 Lan'!E36&lt;Tmax, NOT('05 Lan'!$H36="")),'05 Lan'!$H36,4)</f>
        <v>4</v>
      </c>
      <c r="AH36">
        <f>IF(AND('05 Lan'!F36&lt;Tmax, NOT('05 Lan'!$H36="")),'05 Lan'!$H36,4)</f>
        <v>4</v>
      </c>
      <c r="AI36"/>
    </row>
    <row r="37" spans="1:35" ht="22.5" outlineLevel="2" x14ac:dyDescent="0.2">
      <c r="A37" s="870" t="s">
        <v>2256</v>
      </c>
      <c r="B37" s="870" t="s">
        <v>1394</v>
      </c>
      <c r="C37" s="786"/>
      <c r="D37" s="866"/>
      <c r="E37" s="866"/>
      <c r="F37" s="866"/>
      <c r="G37" s="1468">
        <v>4</v>
      </c>
      <c r="H37" s="1468"/>
      <c r="I37" s="1467"/>
      <c r="J37" s="1468" t="s">
        <v>2329</v>
      </c>
      <c r="K37" s="1468"/>
      <c r="L37" s="1468"/>
      <c r="M37" s="867"/>
      <c r="AA37">
        <f>IF(AND('05 Lan'!C37&gt;Tmin, NOT('05 Lan'!$I37="")),'05 Lan'!$I37,0)</f>
        <v>0</v>
      </c>
      <c r="AB37">
        <f>IF(AND('05 Lan'!D37&gt;Tmin, NOT('05 Lan'!$I37="")),'05 Lan'!$I37,0)</f>
        <v>0</v>
      </c>
      <c r="AC37">
        <f>IF(AND('05 Lan'!E37&gt;Tmin, NOT('05 Lan'!$I37="")),'05 Lan'!$I37,0)</f>
        <v>0</v>
      </c>
      <c r="AD37">
        <f>IF(AND('05 Lan'!F37&gt;Tmin, NOT('05 Lan'!$I37="")),'05 Lan'!$I37,0)</f>
        <v>0</v>
      </c>
      <c r="AE37">
        <f>IF(AND('05 Lan'!C37&lt;Tmax, NOT('05 Lan'!$H37="")),'05 Lan'!$H37,4)</f>
        <v>4</v>
      </c>
      <c r="AF37">
        <f>IF(AND('05 Lan'!D37&lt;Tmax, NOT('05 Lan'!$H37="")),'05 Lan'!$H37,4)</f>
        <v>4</v>
      </c>
      <c r="AG37">
        <f>IF(AND('05 Lan'!E37&lt;Tmax, NOT('05 Lan'!$H37="")),'05 Lan'!$H37,4)</f>
        <v>4</v>
      </c>
      <c r="AH37">
        <f>IF(AND('05 Lan'!F37&lt;Tmax, NOT('05 Lan'!$H37="")),'05 Lan'!$H37,4)</f>
        <v>4</v>
      </c>
      <c r="AI37"/>
    </row>
    <row r="38" spans="1:35" outlineLevel="2" x14ac:dyDescent="0.2">
      <c r="A38" s="870" t="s">
        <v>2257</v>
      </c>
      <c r="B38" s="870" t="s">
        <v>2573</v>
      </c>
      <c r="C38" s="786"/>
      <c r="D38" s="866"/>
      <c r="E38" s="866"/>
      <c r="F38" s="866"/>
      <c r="G38" s="1468">
        <v>2</v>
      </c>
      <c r="H38" s="1468">
        <v>3</v>
      </c>
      <c r="I38" s="1467"/>
      <c r="J38" s="1468" t="s">
        <v>2109</v>
      </c>
      <c r="K38" s="1468"/>
      <c r="L38" s="1468"/>
      <c r="M38" s="867"/>
      <c r="AA38">
        <f>IF(AND('05 Lan'!C38&gt;Tmin, NOT('05 Lan'!$I38="")),'05 Lan'!$I38,0)</f>
        <v>0</v>
      </c>
      <c r="AB38">
        <f>IF(AND('05 Lan'!D38&gt;Tmin, NOT('05 Lan'!$I38="")),'05 Lan'!$I38,0)</f>
        <v>0</v>
      </c>
      <c r="AC38">
        <f>IF(AND('05 Lan'!E38&gt;Tmin, NOT('05 Lan'!$I38="")),'05 Lan'!$I38,0)</f>
        <v>0</v>
      </c>
      <c r="AD38">
        <f>IF(AND('05 Lan'!F38&gt;Tmin, NOT('05 Lan'!$I38="")),'05 Lan'!$I38,0)</f>
        <v>0</v>
      </c>
      <c r="AE38">
        <f>IF(AND('05 Lan'!C38&lt;Tmax, NOT('05 Lan'!$H38="")),'05 Lan'!$H38,4)</f>
        <v>3</v>
      </c>
      <c r="AF38">
        <f>IF(AND('05 Lan'!D38&lt;Tmax, NOT('05 Lan'!$H38="")),'05 Lan'!$H38,4)</f>
        <v>3</v>
      </c>
      <c r="AG38">
        <f>IF(AND('05 Lan'!E38&lt;Tmax, NOT('05 Lan'!$H38="")),'05 Lan'!$H38,4)</f>
        <v>3</v>
      </c>
      <c r="AH38">
        <f>IF(AND('05 Lan'!F38&lt;Tmax, NOT('05 Lan'!$H38="")),'05 Lan'!$H38,4)</f>
        <v>3</v>
      </c>
      <c r="AI38"/>
    </row>
    <row r="39" spans="1:35" outlineLevel="1" x14ac:dyDescent="0.2">
      <c r="A39" s="868" t="s">
        <v>2962</v>
      </c>
      <c r="B39" s="869" t="s">
        <v>6480</v>
      </c>
      <c r="C39" s="786"/>
      <c r="D39" s="866"/>
      <c r="E39" s="866"/>
      <c r="F39" s="866"/>
      <c r="G39" s="1468"/>
      <c r="H39" s="1468"/>
      <c r="I39" s="1467"/>
      <c r="J39" s="1467"/>
      <c r="K39" s="1468"/>
      <c r="L39" s="1468"/>
      <c r="M39" s="867"/>
      <c r="AA39"/>
      <c r="AB39"/>
      <c r="AC39"/>
      <c r="AD39"/>
      <c r="AE39"/>
      <c r="AF39"/>
      <c r="AG39"/>
      <c r="AH39"/>
      <c r="AI39"/>
    </row>
    <row r="40" spans="1:35" ht="16.5" customHeight="1" outlineLevel="2" x14ac:dyDescent="0.2">
      <c r="A40" s="870" t="s">
        <v>4357</v>
      </c>
      <c r="B40" s="870" t="s">
        <v>906</v>
      </c>
      <c r="C40" s="786"/>
      <c r="D40" s="866"/>
      <c r="E40" s="866"/>
      <c r="F40" s="866"/>
      <c r="G40" s="1468">
        <v>2</v>
      </c>
      <c r="H40" s="1468"/>
      <c r="I40" s="1468"/>
      <c r="J40" s="1468" t="s">
        <v>4246</v>
      </c>
      <c r="K40" s="1468"/>
      <c r="L40" s="1468"/>
      <c r="M40" s="867"/>
      <c r="AA40">
        <f>IF(AND('05 Lan'!C40&gt;Tmin, NOT('05 Lan'!$I40="")),'05 Lan'!$I40,0)</f>
        <v>0</v>
      </c>
      <c r="AB40">
        <f>IF(AND('05 Lan'!D40&gt;Tmin, NOT('05 Lan'!$I40="")),'05 Lan'!$I40,0)</f>
        <v>0</v>
      </c>
      <c r="AC40">
        <f>IF(AND('05 Lan'!E40&gt;Tmin, NOT('05 Lan'!$I40="")),'05 Lan'!$I40,0)</f>
        <v>0</v>
      </c>
      <c r="AD40">
        <f>IF(AND('05 Lan'!F40&gt;Tmin, NOT('05 Lan'!$I40="")),'05 Lan'!$I40,0)</f>
        <v>0</v>
      </c>
      <c r="AE40">
        <f>IF(AND('05 Lan'!C40&lt;Tmax, NOT('05 Lan'!$H40="")),'05 Lan'!$H40,4)</f>
        <v>4</v>
      </c>
      <c r="AF40">
        <f>IF(AND('05 Lan'!D40&lt;Tmax, NOT('05 Lan'!$H40="")),'05 Lan'!$H40,4)</f>
        <v>4</v>
      </c>
      <c r="AG40">
        <f>IF(AND('05 Lan'!E40&lt;Tmax, NOT('05 Lan'!$H40="")),'05 Lan'!$H40,4)</f>
        <v>4</v>
      </c>
      <c r="AH40">
        <f>IF(AND('05 Lan'!F40&lt;Tmax, NOT('05 Lan'!$H40="")),'05 Lan'!$H40,4)</f>
        <v>4</v>
      </c>
      <c r="AI40"/>
    </row>
    <row r="41" spans="1:35" ht="15.75" customHeight="1" outlineLevel="2" x14ac:dyDescent="0.2">
      <c r="A41" s="870" t="s">
        <v>4359</v>
      </c>
      <c r="B41" s="870" t="s">
        <v>2576</v>
      </c>
      <c r="C41" s="786"/>
      <c r="D41" s="866"/>
      <c r="E41" s="866"/>
      <c r="F41" s="866"/>
      <c r="G41" s="1468">
        <v>2</v>
      </c>
      <c r="H41" s="1468"/>
      <c r="I41" s="1468"/>
      <c r="J41" s="1468" t="s">
        <v>4246</v>
      </c>
      <c r="K41" s="1468"/>
      <c r="L41" s="1468"/>
      <c r="M41" s="867"/>
      <c r="AA41">
        <f>IF(AND('05 Lan'!C41&gt;Tmin, NOT('05 Lan'!$I41="")),'05 Lan'!$I41,0)</f>
        <v>0</v>
      </c>
      <c r="AB41">
        <f>IF(AND('05 Lan'!D41&gt;Tmin, NOT('05 Lan'!$I41="")),'05 Lan'!$I41,0)</f>
        <v>0</v>
      </c>
      <c r="AC41">
        <f>IF(AND('05 Lan'!E41&gt;Tmin, NOT('05 Lan'!$I41="")),'05 Lan'!$I41,0)</f>
        <v>0</v>
      </c>
      <c r="AD41">
        <f>IF(AND('05 Lan'!F41&gt;Tmin, NOT('05 Lan'!$I41="")),'05 Lan'!$I41,0)</f>
        <v>0</v>
      </c>
      <c r="AE41">
        <f>IF(AND('05 Lan'!C41&lt;Tmax, NOT('05 Lan'!$H41="")),'05 Lan'!$H41,4)</f>
        <v>4</v>
      </c>
      <c r="AF41">
        <f>IF(AND('05 Lan'!D41&lt;Tmax, NOT('05 Lan'!$H41="")),'05 Lan'!$H41,4)</f>
        <v>4</v>
      </c>
      <c r="AG41">
        <f>IF(AND('05 Lan'!E41&lt;Tmax, NOT('05 Lan'!$H41="")),'05 Lan'!$H41,4)</f>
        <v>4</v>
      </c>
      <c r="AH41">
        <f>IF(AND('05 Lan'!F41&lt;Tmax, NOT('05 Lan'!$H41="")),'05 Lan'!$H41,4)</f>
        <v>4</v>
      </c>
      <c r="AI41"/>
    </row>
    <row r="42" spans="1:35" ht="27.75" customHeight="1" outlineLevel="2" x14ac:dyDescent="0.2">
      <c r="A42" s="870" t="s">
        <v>4360</v>
      </c>
      <c r="B42" s="870" t="s">
        <v>4289</v>
      </c>
      <c r="C42" s="786"/>
      <c r="D42" s="866"/>
      <c r="E42" s="866"/>
      <c r="F42" s="866"/>
      <c r="G42" s="1468">
        <v>2</v>
      </c>
      <c r="H42" s="1468">
        <v>2</v>
      </c>
      <c r="I42" s="1468"/>
      <c r="J42" s="1468" t="s">
        <v>1592</v>
      </c>
      <c r="K42" s="1468"/>
      <c r="L42" s="1468"/>
      <c r="M42" s="867"/>
      <c r="AA42">
        <f>IF(AND('05 Lan'!C42&gt;Tmin, NOT('05 Lan'!$I42="")),'05 Lan'!$I42,0)</f>
        <v>0</v>
      </c>
      <c r="AB42">
        <f>IF(AND('05 Lan'!D42&gt;Tmin, NOT('05 Lan'!$I42="")),'05 Lan'!$I42,0)</f>
        <v>0</v>
      </c>
      <c r="AC42">
        <f>IF(AND('05 Lan'!E42&gt;Tmin, NOT('05 Lan'!$I42="")),'05 Lan'!$I42,0)</f>
        <v>0</v>
      </c>
      <c r="AD42">
        <f>IF(AND('05 Lan'!F42&gt;Tmin, NOT('05 Lan'!$I42="")),'05 Lan'!$I42,0)</f>
        <v>0</v>
      </c>
      <c r="AE42">
        <f>IF(AND('05 Lan'!C42&lt;Tmax, NOT('05 Lan'!$H42="")),'05 Lan'!$H42,4)</f>
        <v>2</v>
      </c>
      <c r="AF42">
        <f>IF(AND('05 Lan'!D42&lt;Tmax, NOT('05 Lan'!$H42="")),'05 Lan'!$H42,4)</f>
        <v>2</v>
      </c>
      <c r="AG42">
        <f>IF(AND('05 Lan'!E42&lt;Tmax, NOT('05 Lan'!$H42="")),'05 Lan'!$H42,4)</f>
        <v>2</v>
      </c>
      <c r="AH42">
        <f>IF(AND('05 Lan'!F42&lt;Tmax, NOT('05 Lan'!$H42="")),'05 Lan'!$H42,4)</f>
        <v>2</v>
      </c>
      <c r="AI42"/>
    </row>
    <row r="43" spans="1:35" ht="22.5" outlineLevel="2" x14ac:dyDescent="0.2">
      <c r="A43" s="870" t="s">
        <v>4361</v>
      </c>
      <c r="B43" s="870" t="s">
        <v>4291</v>
      </c>
      <c r="C43" s="786"/>
      <c r="D43" s="866"/>
      <c r="E43" s="866"/>
      <c r="F43" s="866"/>
      <c r="G43" s="1468">
        <v>4</v>
      </c>
      <c r="H43" s="1468"/>
      <c r="I43" s="1468"/>
      <c r="J43" s="1468" t="s">
        <v>2329</v>
      </c>
      <c r="K43" s="1468"/>
      <c r="L43" s="1468"/>
      <c r="M43" s="867"/>
      <c r="AA43">
        <f>IF(AND('05 Lan'!C43&gt;Tmin, NOT('05 Lan'!$I43="")),'05 Lan'!$I43,0)</f>
        <v>0</v>
      </c>
      <c r="AB43">
        <f>IF(AND('05 Lan'!D43&gt;Tmin, NOT('05 Lan'!$I43="")),'05 Lan'!$I43,0)</f>
        <v>0</v>
      </c>
      <c r="AC43">
        <f>IF(AND('05 Lan'!E43&gt;Tmin, NOT('05 Lan'!$I43="")),'05 Lan'!$I43,0)</f>
        <v>0</v>
      </c>
      <c r="AD43">
        <f>IF(AND('05 Lan'!F43&gt;Tmin, NOT('05 Lan'!$I43="")),'05 Lan'!$I43,0)</f>
        <v>0</v>
      </c>
      <c r="AE43">
        <f>IF(AND('05 Lan'!C43&lt;Tmax, NOT('05 Lan'!$H43="")),'05 Lan'!$H43,4)</f>
        <v>4</v>
      </c>
      <c r="AF43">
        <f>IF(AND('05 Lan'!D43&lt;Tmax, NOT('05 Lan'!$H43="")),'05 Lan'!$H43,4)</f>
        <v>4</v>
      </c>
      <c r="AG43">
        <f>IF(AND('05 Lan'!E43&lt;Tmax, NOT('05 Lan'!$H43="")),'05 Lan'!$H43,4)</f>
        <v>4</v>
      </c>
      <c r="AH43">
        <f>IF(AND('05 Lan'!F43&lt;Tmax, NOT('05 Lan'!$H43="")),'05 Lan'!$H43,4)</f>
        <v>4</v>
      </c>
      <c r="AI43"/>
    </row>
    <row r="44" spans="1:35" ht="22.5" outlineLevel="2" x14ac:dyDescent="0.2">
      <c r="A44" s="870" t="s">
        <v>4362</v>
      </c>
      <c r="B44" s="870" t="s">
        <v>4317</v>
      </c>
      <c r="C44" s="786"/>
      <c r="D44" s="866"/>
      <c r="E44" s="866"/>
      <c r="F44" s="866"/>
      <c r="G44" s="1468">
        <v>4</v>
      </c>
      <c r="H44" s="1468">
        <v>3</v>
      </c>
      <c r="I44" s="1467"/>
      <c r="J44" s="1468" t="s">
        <v>2349</v>
      </c>
      <c r="K44" s="1468"/>
      <c r="L44" s="1468"/>
      <c r="M44" s="867"/>
      <c r="AA44">
        <f>IF(AND('05 Lan'!C44&gt;Tmin, NOT('05 Lan'!$I44="")),'05 Lan'!$I44,0)</f>
        <v>0</v>
      </c>
      <c r="AB44">
        <f>IF(AND('05 Lan'!D44&gt;Tmin, NOT('05 Lan'!$I44="")),'05 Lan'!$I44,0)</f>
        <v>0</v>
      </c>
      <c r="AC44">
        <f>IF(AND('05 Lan'!E44&gt;Tmin, NOT('05 Lan'!$I44="")),'05 Lan'!$I44,0)</f>
        <v>0</v>
      </c>
      <c r="AD44">
        <f>IF(AND('05 Lan'!F44&gt;Tmin, NOT('05 Lan'!$I44="")),'05 Lan'!$I44,0)</f>
        <v>0</v>
      </c>
      <c r="AE44">
        <f>IF(AND('05 Lan'!C44&lt;Tmax, NOT('05 Lan'!$H44="")),'05 Lan'!$H44,4)</f>
        <v>3</v>
      </c>
      <c r="AF44">
        <f>IF(AND('05 Lan'!D44&lt;Tmax, NOT('05 Lan'!$H44="")),'05 Lan'!$H44,4)</f>
        <v>3</v>
      </c>
      <c r="AG44">
        <f>IF(AND('05 Lan'!E44&lt;Tmax, NOT('05 Lan'!$H44="")),'05 Lan'!$H44,4)</f>
        <v>3</v>
      </c>
      <c r="AH44">
        <f>IF(AND('05 Lan'!F44&lt;Tmax, NOT('05 Lan'!$H44="")),'05 Lan'!$H44,4)</f>
        <v>3</v>
      </c>
      <c r="AI44"/>
    </row>
    <row r="45" spans="1:35" ht="12.75" customHeight="1" outlineLevel="2" x14ac:dyDescent="0.2">
      <c r="A45" s="870" t="s">
        <v>4363</v>
      </c>
      <c r="B45" s="870" t="s">
        <v>1152</v>
      </c>
      <c r="C45" s="786"/>
      <c r="D45" s="866"/>
      <c r="E45" s="866"/>
      <c r="F45" s="866"/>
      <c r="G45" s="1468">
        <v>4</v>
      </c>
      <c r="H45" s="1468"/>
      <c r="I45" s="1467"/>
      <c r="J45" s="1468" t="s">
        <v>2329</v>
      </c>
      <c r="K45" s="1468"/>
      <c r="L45" s="1468"/>
      <c r="M45" s="867"/>
      <c r="AA45">
        <f>IF(AND('05 Lan'!C45&gt;Tmin, NOT('05 Lan'!$I45="")),'05 Lan'!$I45,0)</f>
        <v>0</v>
      </c>
      <c r="AB45">
        <f>IF(AND('05 Lan'!D45&gt;Tmin, NOT('05 Lan'!$I45="")),'05 Lan'!$I45,0)</f>
        <v>0</v>
      </c>
      <c r="AC45">
        <f>IF(AND('05 Lan'!E45&gt;Tmin, NOT('05 Lan'!$I45="")),'05 Lan'!$I45,0)</f>
        <v>0</v>
      </c>
      <c r="AD45">
        <f>IF(AND('05 Lan'!F45&gt;Tmin, NOT('05 Lan'!$I45="")),'05 Lan'!$I45,0)</f>
        <v>0</v>
      </c>
      <c r="AE45">
        <f>IF(AND('05 Lan'!C45&lt;Tmax, NOT('05 Lan'!$H45="")),'05 Lan'!$H45,4)</f>
        <v>4</v>
      </c>
      <c r="AF45">
        <f>IF(AND('05 Lan'!D45&lt;Tmax, NOT('05 Lan'!$H45="")),'05 Lan'!$H45,4)</f>
        <v>4</v>
      </c>
      <c r="AG45">
        <f>IF(AND('05 Lan'!E45&lt;Tmax, NOT('05 Lan'!$H45="")),'05 Lan'!$H45,4)</f>
        <v>4</v>
      </c>
      <c r="AH45">
        <f>IF(AND('05 Lan'!F45&lt;Tmax, NOT('05 Lan'!$H45="")),'05 Lan'!$H45,4)</f>
        <v>4</v>
      </c>
      <c r="AI45"/>
    </row>
    <row r="46" spans="1:35" ht="22.5" outlineLevel="2" x14ac:dyDescent="0.2">
      <c r="A46" s="870" t="s">
        <v>4364</v>
      </c>
      <c r="B46" s="870" t="s">
        <v>2165</v>
      </c>
      <c r="C46" s="786"/>
      <c r="D46" s="866"/>
      <c r="E46" s="866"/>
      <c r="F46" s="866"/>
      <c r="G46" s="1468">
        <v>2</v>
      </c>
      <c r="H46" s="1468">
        <v>3</v>
      </c>
      <c r="I46" s="1467"/>
      <c r="J46" s="1468" t="s">
        <v>2109</v>
      </c>
      <c r="K46" s="1468"/>
      <c r="L46" s="1468"/>
      <c r="M46" s="867"/>
      <c r="AA46">
        <f>IF(AND('05 Lan'!C46&gt;Tmin, NOT('05 Lan'!$I46="")),'05 Lan'!$I46,0)</f>
        <v>0</v>
      </c>
      <c r="AB46">
        <f>IF(AND('05 Lan'!D46&gt;Tmin, NOT('05 Lan'!$I46="")),'05 Lan'!$I46,0)</f>
        <v>0</v>
      </c>
      <c r="AC46">
        <f>IF(AND('05 Lan'!E46&gt;Tmin, NOT('05 Lan'!$I46="")),'05 Lan'!$I46,0)</f>
        <v>0</v>
      </c>
      <c r="AD46">
        <f>IF(AND('05 Lan'!F46&gt;Tmin, NOT('05 Lan'!$I46="")),'05 Lan'!$I46,0)</f>
        <v>0</v>
      </c>
      <c r="AE46">
        <f>IF(AND('05 Lan'!C46&lt;Tmax, NOT('05 Lan'!$H46="")),'05 Lan'!$H46,4)</f>
        <v>3</v>
      </c>
      <c r="AF46">
        <f>IF(AND('05 Lan'!D46&lt;Tmax, NOT('05 Lan'!$H46="")),'05 Lan'!$H46,4)</f>
        <v>3</v>
      </c>
      <c r="AG46">
        <f>IF(AND('05 Lan'!E46&lt;Tmax, NOT('05 Lan'!$H46="")),'05 Lan'!$H46,4)</f>
        <v>3</v>
      </c>
      <c r="AH46">
        <f>IF(AND('05 Lan'!F46&lt;Tmax, NOT('05 Lan'!$H46="")),'05 Lan'!$H46,4)</f>
        <v>3</v>
      </c>
      <c r="AI46"/>
    </row>
    <row r="47" spans="1:35" outlineLevel="1" x14ac:dyDescent="0.2">
      <c r="A47" s="868" t="s">
        <v>6472</v>
      </c>
      <c r="B47" s="869" t="s">
        <v>6482</v>
      </c>
      <c r="C47" s="786"/>
      <c r="D47" s="866"/>
      <c r="E47" s="866"/>
      <c r="F47" s="866"/>
      <c r="G47" s="1468"/>
      <c r="H47" s="1468"/>
      <c r="I47" s="1467"/>
      <c r="J47" s="1467"/>
      <c r="K47" s="1468"/>
      <c r="L47" s="1468"/>
      <c r="M47" s="867"/>
      <c r="AA47"/>
      <c r="AB47"/>
      <c r="AC47"/>
      <c r="AD47"/>
      <c r="AE47"/>
      <c r="AF47"/>
      <c r="AG47"/>
      <c r="AH47"/>
      <c r="AI47"/>
    </row>
    <row r="48" spans="1:35" ht="22.5" outlineLevel="2" x14ac:dyDescent="0.2">
      <c r="A48" s="870" t="s">
        <v>4365</v>
      </c>
      <c r="B48" s="870" t="s">
        <v>2184</v>
      </c>
      <c r="C48" s="786"/>
      <c r="D48" s="866"/>
      <c r="E48" s="866"/>
      <c r="F48" s="866"/>
      <c r="G48" s="1468">
        <v>4</v>
      </c>
      <c r="H48" s="1468"/>
      <c r="I48" s="1467"/>
      <c r="J48" s="1468" t="s">
        <v>4246</v>
      </c>
      <c r="K48" s="1468" t="s">
        <v>978</v>
      </c>
      <c r="L48" s="1468" t="s">
        <v>7313</v>
      </c>
      <c r="M48" s="867"/>
      <c r="AA48">
        <f>IF(AND('05 Lan'!C48&gt;Tmin, NOT('05 Lan'!$I48="")),'05 Lan'!$I48,0)</f>
        <v>0</v>
      </c>
      <c r="AB48">
        <f>IF(AND('05 Lan'!D48&gt;Tmin, NOT('05 Lan'!$I48="")),'05 Lan'!$I48,0)</f>
        <v>0</v>
      </c>
      <c r="AC48">
        <f>IF(AND('05 Lan'!E48&gt;Tmin, NOT('05 Lan'!$I48="")),'05 Lan'!$I48,0)</f>
        <v>0</v>
      </c>
      <c r="AD48">
        <f>IF(AND('05 Lan'!F48&gt;Tmin, NOT('05 Lan'!$I48="")),'05 Lan'!$I48,0)</f>
        <v>0</v>
      </c>
      <c r="AE48">
        <f>IF(AND('05 Lan'!C48&lt;Tmax, NOT('05 Lan'!$H48="")),'05 Lan'!$H48,4)</f>
        <v>4</v>
      </c>
      <c r="AF48">
        <f>IF(AND('05 Lan'!D48&lt;Tmax, NOT('05 Lan'!$H48="")),'05 Lan'!$H48,4)</f>
        <v>4</v>
      </c>
      <c r="AG48">
        <f>IF(AND('05 Lan'!E48&lt;Tmax, NOT('05 Lan'!$H48="")),'05 Lan'!$H48,4)</f>
        <v>4</v>
      </c>
      <c r="AH48">
        <f>IF(AND('05 Lan'!F48&lt;Tmax, NOT('05 Lan'!$H48="")),'05 Lan'!$H48,4)</f>
        <v>4</v>
      </c>
      <c r="AI48"/>
    </row>
    <row r="49" spans="1:35" outlineLevel="2" x14ac:dyDescent="0.2">
      <c r="A49" s="870" t="s">
        <v>4366</v>
      </c>
      <c r="B49" s="870" t="s">
        <v>2281</v>
      </c>
      <c r="C49" s="786"/>
      <c r="D49" s="866"/>
      <c r="E49" s="866"/>
      <c r="F49" s="866"/>
      <c r="G49" s="1468">
        <v>2</v>
      </c>
      <c r="H49" s="1468">
        <v>2</v>
      </c>
      <c r="I49" s="1467"/>
      <c r="J49" s="1468" t="s">
        <v>1592</v>
      </c>
      <c r="K49" s="1468" t="s">
        <v>978</v>
      </c>
      <c r="L49" s="1468" t="s">
        <v>7313</v>
      </c>
      <c r="M49" s="867"/>
      <c r="AA49">
        <f>IF(AND('05 Lan'!C49&gt;Tmin, NOT('05 Lan'!$I49="")),'05 Lan'!$I49,0)</f>
        <v>0</v>
      </c>
      <c r="AB49">
        <f>IF(AND('05 Lan'!D49&gt;Tmin, NOT('05 Lan'!$I49="")),'05 Lan'!$I49,0)</f>
        <v>0</v>
      </c>
      <c r="AC49">
        <f>IF(AND('05 Lan'!E49&gt;Tmin, NOT('05 Lan'!$I49="")),'05 Lan'!$I49,0)</f>
        <v>0</v>
      </c>
      <c r="AD49">
        <f>IF(AND('05 Lan'!F49&gt;Tmin, NOT('05 Lan'!$I49="")),'05 Lan'!$I49,0)</f>
        <v>0</v>
      </c>
      <c r="AE49">
        <f>IF(AND('05 Lan'!C49&lt;Tmax, NOT('05 Lan'!$H49="")),'05 Lan'!$H49,4)</f>
        <v>2</v>
      </c>
      <c r="AF49">
        <f>IF(AND('05 Lan'!D49&lt;Tmax, NOT('05 Lan'!$H49="")),'05 Lan'!$H49,4)</f>
        <v>2</v>
      </c>
      <c r="AG49">
        <f>IF(AND('05 Lan'!E49&lt;Tmax, NOT('05 Lan'!$H49="")),'05 Lan'!$H49,4)</f>
        <v>2</v>
      </c>
      <c r="AH49">
        <f>IF(AND('05 Lan'!F49&lt;Tmax, NOT('05 Lan'!$H49="")),'05 Lan'!$H49,4)</f>
        <v>2</v>
      </c>
      <c r="AI49"/>
    </row>
    <row r="50" spans="1:35" ht="22.5" outlineLevel="2" x14ac:dyDescent="0.2">
      <c r="A50" s="870" t="s">
        <v>4367</v>
      </c>
      <c r="B50" s="870" t="s">
        <v>5663</v>
      </c>
      <c r="C50" s="786"/>
      <c r="D50" s="866"/>
      <c r="E50" s="866"/>
      <c r="F50" s="866"/>
      <c r="G50" s="1468">
        <v>4</v>
      </c>
      <c r="H50" s="1468">
        <v>2</v>
      </c>
      <c r="I50" s="1467"/>
      <c r="J50" s="1468" t="s">
        <v>4246</v>
      </c>
      <c r="K50" s="1468" t="s">
        <v>978</v>
      </c>
      <c r="L50" s="1468" t="s">
        <v>7313</v>
      </c>
      <c r="M50" s="867"/>
      <c r="AA50">
        <f>IF(AND('05 Lan'!C50&gt;Tmin, NOT('05 Lan'!$I50="")),'05 Lan'!$I50,0)</f>
        <v>0</v>
      </c>
      <c r="AB50">
        <f>IF(AND('05 Lan'!D50&gt;Tmin, NOT('05 Lan'!$I50="")),'05 Lan'!$I50,0)</f>
        <v>0</v>
      </c>
      <c r="AC50">
        <f>IF(AND('05 Lan'!E50&gt;Tmin, NOT('05 Lan'!$I50="")),'05 Lan'!$I50,0)</f>
        <v>0</v>
      </c>
      <c r="AD50">
        <f>IF(AND('05 Lan'!F50&gt;Tmin, NOT('05 Lan'!$I50="")),'05 Lan'!$I50,0)</f>
        <v>0</v>
      </c>
      <c r="AE50">
        <f>IF(AND('05 Lan'!C50&lt;Tmax, NOT('05 Lan'!$H50="")),'05 Lan'!$H50,4)</f>
        <v>2</v>
      </c>
      <c r="AF50">
        <f>IF(AND('05 Lan'!D50&lt;Tmax, NOT('05 Lan'!$H50="")),'05 Lan'!$H50,4)</f>
        <v>2</v>
      </c>
      <c r="AG50">
        <f>IF(AND('05 Lan'!E50&lt;Tmax, NOT('05 Lan'!$H50="")),'05 Lan'!$H50,4)</f>
        <v>2</v>
      </c>
      <c r="AH50">
        <f>IF(AND('05 Lan'!F50&lt;Tmax, NOT('05 Lan'!$H50="")),'05 Lan'!$H50,4)</f>
        <v>2</v>
      </c>
      <c r="AI50"/>
    </row>
    <row r="51" spans="1:35" ht="38.25" customHeight="1" outlineLevel="2" x14ac:dyDescent="0.2">
      <c r="A51" s="870" t="s">
        <v>4290</v>
      </c>
      <c r="B51" s="870" t="s">
        <v>2761</v>
      </c>
      <c r="C51" s="786"/>
      <c r="D51" s="866"/>
      <c r="E51" s="866"/>
      <c r="F51" s="866"/>
      <c r="G51" s="1468">
        <v>4</v>
      </c>
      <c r="H51" s="1468">
        <v>3</v>
      </c>
      <c r="I51" s="1467"/>
      <c r="J51" s="1468" t="s">
        <v>2349</v>
      </c>
      <c r="K51" s="1468" t="s">
        <v>978</v>
      </c>
      <c r="L51" s="1468" t="s">
        <v>7313</v>
      </c>
      <c r="M51" s="867"/>
      <c r="AA51">
        <f>IF(AND('05 Lan'!C51&gt;Tmin, NOT('05 Lan'!$I51="")),'05 Lan'!$I51,0)</f>
        <v>0</v>
      </c>
      <c r="AB51">
        <f>IF(AND('05 Lan'!D51&gt;Tmin, NOT('05 Lan'!$I51="")),'05 Lan'!$I51,0)</f>
        <v>0</v>
      </c>
      <c r="AC51">
        <f>IF(AND('05 Lan'!E51&gt;Tmin, NOT('05 Lan'!$I51="")),'05 Lan'!$I51,0)</f>
        <v>0</v>
      </c>
      <c r="AD51">
        <f>IF(AND('05 Lan'!F51&gt;Tmin, NOT('05 Lan'!$I51="")),'05 Lan'!$I51,0)</f>
        <v>0</v>
      </c>
      <c r="AE51">
        <f>IF(AND('05 Lan'!C51&lt;Tmax, NOT('05 Lan'!$H51="")),'05 Lan'!$H51,4)</f>
        <v>3</v>
      </c>
      <c r="AF51">
        <f>IF(AND('05 Lan'!D51&lt;Tmax, NOT('05 Lan'!$H51="")),'05 Lan'!$H51,4)</f>
        <v>3</v>
      </c>
      <c r="AG51">
        <f>IF(AND('05 Lan'!E51&lt;Tmax, NOT('05 Lan'!$H51="")),'05 Lan'!$H51,4)</f>
        <v>3</v>
      </c>
      <c r="AH51">
        <f>IF(AND('05 Lan'!F51&lt;Tmax, NOT('05 Lan'!$H51="")),'05 Lan'!$H51,4)</f>
        <v>3</v>
      </c>
      <c r="AI51"/>
    </row>
    <row r="52" spans="1:35" ht="22.5" outlineLevel="2" x14ac:dyDescent="0.2">
      <c r="A52" s="870" t="s">
        <v>4292</v>
      </c>
      <c r="B52" s="870" t="s">
        <v>4203</v>
      </c>
      <c r="C52" s="786"/>
      <c r="D52" s="866"/>
      <c r="E52" s="866"/>
      <c r="F52" s="866"/>
      <c r="G52" s="1468">
        <v>4</v>
      </c>
      <c r="H52" s="1468">
        <v>2</v>
      </c>
      <c r="I52" s="1467"/>
      <c r="J52" s="1468" t="s">
        <v>2329</v>
      </c>
      <c r="K52" s="1468" t="s">
        <v>978</v>
      </c>
      <c r="L52" s="1468" t="s">
        <v>7313</v>
      </c>
      <c r="M52" s="867"/>
      <c r="AA52">
        <f>IF(AND('05 Lan'!C52&gt;Tmin, NOT('05 Lan'!$I52="")),'05 Lan'!$I52,0)</f>
        <v>0</v>
      </c>
      <c r="AB52">
        <f>IF(AND('05 Lan'!D52&gt;Tmin, NOT('05 Lan'!$I52="")),'05 Lan'!$I52,0)</f>
        <v>0</v>
      </c>
      <c r="AC52">
        <f>IF(AND('05 Lan'!E52&gt;Tmin, NOT('05 Lan'!$I52="")),'05 Lan'!$I52,0)</f>
        <v>0</v>
      </c>
      <c r="AD52">
        <f>IF(AND('05 Lan'!F52&gt;Tmin, NOT('05 Lan'!$I52="")),'05 Lan'!$I52,0)</f>
        <v>0</v>
      </c>
      <c r="AE52">
        <f>IF(AND('05 Lan'!C52&lt;Tmax, NOT('05 Lan'!$H52="")),'05 Lan'!$H52,4)</f>
        <v>2</v>
      </c>
      <c r="AF52">
        <f>IF(AND('05 Lan'!D52&lt;Tmax, NOT('05 Lan'!$H52="")),'05 Lan'!$H52,4)</f>
        <v>2</v>
      </c>
      <c r="AG52">
        <f>IF(AND('05 Lan'!E52&lt;Tmax, NOT('05 Lan'!$H52="")),'05 Lan'!$H52,4)</f>
        <v>2</v>
      </c>
      <c r="AH52">
        <f>IF(AND('05 Lan'!F52&lt;Tmax, NOT('05 Lan'!$H52="")),'05 Lan'!$H52,4)</f>
        <v>2</v>
      </c>
      <c r="AI52"/>
    </row>
    <row r="53" spans="1:35" ht="45" customHeight="1" outlineLevel="2" x14ac:dyDescent="0.2">
      <c r="A53" s="870" t="s">
        <v>2200</v>
      </c>
      <c r="B53" s="870" t="s">
        <v>1765</v>
      </c>
      <c r="C53" s="786"/>
      <c r="D53" s="866"/>
      <c r="E53" s="866"/>
      <c r="F53" s="866"/>
      <c r="G53" s="1468">
        <v>4</v>
      </c>
      <c r="H53" s="1468"/>
      <c r="I53" s="1467"/>
      <c r="J53" s="1468" t="s">
        <v>2329</v>
      </c>
      <c r="K53" s="1468" t="s">
        <v>978</v>
      </c>
      <c r="L53" s="1468" t="s">
        <v>7313</v>
      </c>
      <c r="M53" s="867"/>
      <c r="AA53">
        <f>IF(AND('05 Lan'!C53&gt;Tmin, NOT('05 Lan'!$I53="")),'05 Lan'!$I53,0)</f>
        <v>0</v>
      </c>
      <c r="AB53">
        <f>IF(AND('05 Lan'!D53&gt;Tmin, NOT('05 Lan'!$I53="")),'05 Lan'!$I53,0)</f>
        <v>0</v>
      </c>
      <c r="AC53">
        <f>IF(AND('05 Lan'!E53&gt;Tmin, NOT('05 Lan'!$I53="")),'05 Lan'!$I53,0)</f>
        <v>0</v>
      </c>
      <c r="AD53">
        <f>IF(AND('05 Lan'!F53&gt;Tmin, NOT('05 Lan'!$I53="")),'05 Lan'!$I53,0)</f>
        <v>0</v>
      </c>
      <c r="AE53">
        <f>IF(AND('05 Lan'!C53&lt;Tmax, NOT('05 Lan'!$H53="")),'05 Lan'!$H53,4)</f>
        <v>4</v>
      </c>
      <c r="AF53">
        <f>IF(AND('05 Lan'!D53&lt;Tmax, NOT('05 Lan'!$H53="")),'05 Lan'!$H53,4)</f>
        <v>4</v>
      </c>
      <c r="AG53">
        <f>IF(AND('05 Lan'!E53&lt;Tmax, NOT('05 Lan'!$H53="")),'05 Lan'!$H53,4)</f>
        <v>4</v>
      </c>
      <c r="AH53">
        <f>IF(AND('05 Lan'!F53&lt;Tmax, NOT('05 Lan'!$H53="")),'05 Lan'!$H53,4)</f>
        <v>4</v>
      </c>
      <c r="AI53"/>
    </row>
    <row r="54" spans="1:35" outlineLevel="2" x14ac:dyDescent="0.2">
      <c r="A54" s="870" t="s">
        <v>2201</v>
      </c>
      <c r="B54" s="870" t="s">
        <v>4639</v>
      </c>
      <c r="C54" s="786"/>
      <c r="D54" s="866"/>
      <c r="E54" s="866"/>
      <c r="F54" s="866"/>
      <c r="G54" s="1468">
        <v>2</v>
      </c>
      <c r="H54" s="1468">
        <v>3</v>
      </c>
      <c r="I54" s="1467"/>
      <c r="J54" s="1468" t="s">
        <v>2107</v>
      </c>
      <c r="K54" s="1468" t="s">
        <v>978</v>
      </c>
      <c r="L54" s="1468" t="s">
        <v>7313</v>
      </c>
      <c r="M54" s="867"/>
      <c r="AA54">
        <f>IF(AND('05 Lan'!C54&gt;Tmin, NOT('05 Lan'!$I54="")),'05 Lan'!$I54,0)</f>
        <v>0</v>
      </c>
      <c r="AB54">
        <f>IF(AND('05 Lan'!D54&gt;Tmin, NOT('05 Lan'!$I54="")),'05 Lan'!$I54,0)</f>
        <v>0</v>
      </c>
      <c r="AC54">
        <f>IF(AND('05 Lan'!E54&gt;Tmin, NOT('05 Lan'!$I54="")),'05 Lan'!$I54,0)</f>
        <v>0</v>
      </c>
      <c r="AD54">
        <f>IF(AND('05 Lan'!F54&gt;Tmin, NOT('05 Lan'!$I54="")),'05 Lan'!$I54,0)</f>
        <v>0</v>
      </c>
      <c r="AE54">
        <f>IF(AND('05 Lan'!C54&lt;Tmax, NOT('05 Lan'!$H54="")),'05 Lan'!$H54,4)</f>
        <v>3</v>
      </c>
      <c r="AF54">
        <f>IF(AND('05 Lan'!D54&lt;Tmax, NOT('05 Lan'!$H54="")),'05 Lan'!$H54,4)</f>
        <v>3</v>
      </c>
      <c r="AG54">
        <f>IF(AND('05 Lan'!E54&lt;Tmax, NOT('05 Lan'!$H54="")),'05 Lan'!$H54,4)</f>
        <v>3</v>
      </c>
      <c r="AH54">
        <f>IF(AND('05 Lan'!F54&lt;Tmax, NOT('05 Lan'!$H54="")),'05 Lan'!$H54,4)</f>
        <v>3</v>
      </c>
      <c r="AI54"/>
    </row>
    <row r="55" spans="1:35" outlineLevel="2" x14ac:dyDescent="0.2">
      <c r="A55" s="870" t="s">
        <v>1266</v>
      </c>
      <c r="B55" s="870" t="s">
        <v>4641</v>
      </c>
      <c r="C55" s="786"/>
      <c r="D55" s="866"/>
      <c r="E55" s="866"/>
      <c r="F55" s="866"/>
      <c r="G55" s="1468">
        <v>2</v>
      </c>
      <c r="H55" s="1468">
        <v>3</v>
      </c>
      <c r="I55" s="1467"/>
      <c r="J55" s="1468" t="s">
        <v>2109</v>
      </c>
      <c r="K55" s="1468"/>
      <c r="L55" s="1468"/>
      <c r="M55" s="867"/>
      <c r="AA55">
        <f>IF(AND('05 Lan'!C55&gt;Tmin, NOT('05 Lan'!$I55="")),'05 Lan'!$I55,0)</f>
        <v>0</v>
      </c>
      <c r="AB55">
        <f>IF(AND('05 Lan'!D55&gt;Tmin, NOT('05 Lan'!$I55="")),'05 Lan'!$I55,0)</f>
        <v>0</v>
      </c>
      <c r="AC55">
        <f>IF(AND('05 Lan'!E55&gt;Tmin, NOT('05 Lan'!$I55="")),'05 Lan'!$I55,0)</f>
        <v>0</v>
      </c>
      <c r="AD55">
        <f>IF(AND('05 Lan'!F55&gt;Tmin, NOT('05 Lan'!$I55="")),'05 Lan'!$I55,0)</f>
        <v>0</v>
      </c>
      <c r="AE55">
        <f>IF(AND('05 Lan'!C55&lt;Tmax, NOT('05 Lan'!$H55="")),'05 Lan'!$H55,4)</f>
        <v>3</v>
      </c>
      <c r="AF55">
        <f>IF(AND('05 Lan'!D55&lt;Tmax, NOT('05 Lan'!$H55="")),'05 Lan'!$H55,4)</f>
        <v>3</v>
      </c>
      <c r="AG55">
        <f>IF(AND('05 Lan'!E55&lt;Tmax, NOT('05 Lan'!$H55="")),'05 Lan'!$H55,4)</f>
        <v>3</v>
      </c>
      <c r="AH55">
        <f>IF(AND('05 Lan'!F55&lt;Tmax, NOT('05 Lan'!$H55="")),'05 Lan'!$H55,4)</f>
        <v>3</v>
      </c>
      <c r="AI55"/>
    </row>
    <row r="56" spans="1:35" outlineLevel="1" x14ac:dyDescent="0.2">
      <c r="A56" s="868" t="s">
        <v>6481</v>
      </c>
      <c r="B56" s="869" t="s">
        <v>6484</v>
      </c>
      <c r="C56" s="786"/>
      <c r="D56" s="866"/>
      <c r="E56" s="866"/>
      <c r="F56" s="866"/>
      <c r="G56" s="1468"/>
      <c r="H56" s="1468"/>
      <c r="I56" s="1467"/>
      <c r="J56" s="1467"/>
      <c r="K56" s="1468"/>
      <c r="L56" s="1468"/>
      <c r="M56" s="867"/>
      <c r="AA56"/>
      <c r="AB56"/>
      <c r="AC56"/>
      <c r="AD56"/>
      <c r="AE56"/>
      <c r="AF56"/>
      <c r="AG56"/>
      <c r="AH56"/>
      <c r="AI56"/>
    </row>
    <row r="57" spans="1:35" ht="12.75" customHeight="1" outlineLevel="2" x14ac:dyDescent="0.2">
      <c r="A57" s="870" t="s">
        <v>2166</v>
      </c>
      <c r="B57" s="870" t="s">
        <v>3823</v>
      </c>
      <c r="C57" s="786"/>
      <c r="D57" s="866"/>
      <c r="E57" s="866"/>
      <c r="F57" s="866"/>
      <c r="G57" s="1468">
        <v>4</v>
      </c>
      <c r="H57" s="1468"/>
      <c r="I57" s="1468">
        <v>2</v>
      </c>
      <c r="J57" s="1468" t="s">
        <v>4246</v>
      </c>
      <c r="K57" s="1470" t="s">
        <v>7109</v>
      </c>
      <c r="L57" s="1468" t="s">
        <v>5895</v>
      </c>
      <c r="M57" s="867"/>
      <c r="AA57">
        <f>IF(AND('05 Lan'!C57&gt;Tmin, NOT('05 Lan'!$I57="")),'05 Lan'!$I57,0)</f>
        <v>0</v>
      </c>
      <c r="AB57">
        <f>IF(AND('05 Lan'!D57&gt;Tmin, NOT('05 Lan'!$I57="")),'05 Lan'!$I57,0)</f>
        <v>0</v>
      </c>
      <c r="AC57">
        <f>IF(AND('05 Lan'!E57&gt;Tmin, NOT('05 Lan'!$I57="")),'05 Lan'!$I57,0)</f>
        <v>0</v>
      </c>
      <c r="AD57">
        <f>IF(AND('05 Lan'!F57&gt;Tmin, NOT('05 Lan'!$I57="")),'05 Lan'!$I57,0)</f>
        <v>0</v>
      </c>
      <c r="AE57">
        <f>IF(AND('05 Lan'!C57&lt;Tmax, NOT('05 Lan'!$H57="")),'05 Lan'!$H57,4)</f>
        <v>4</v>
      </c>
      <c r="AF57">
        <f>IF(AND('05 Lan'!D57&lt;Tmax, NOT('05 Lan'!$H57="")),'05 Lan'!$H57,4)</f>
        <v>4</v>
      </c>
      <c r="AG57">
        <f>IF(AND('05 Lan'!E57&lt;Tmax, NOT('05 Lan'!$H57="")),'05 Lan'!$H57,4)</f>
        <v>4</v>
      </c>
      <c r="AH57">
        <f>IF(AND('05 Lan'!F57&lt;Tmax, NOT('05 Lan'!$H57="")),'05 Lan'!$H57,4)</f>
        <v>4</v>
      </c>
      <c r="AI57"/>
    </row>
    <row r="58" spans="1:35" ht="12.75" customHeight="1" outlineLevel="2" x14ac:dyDescent="0.2">
      <c r="A58" s="870" t="s">
        <v>2185</v>
      </c>
      <c r="B58" s="870" t="s">
        <v>1749</v>
      </c>
      <c r="C58" s="786"/>
      <c r="D58" s="866"/>
      <c r="E58" s="866"/>
      <c r="F58" s="866"/>
      <c r="G58" s="1468">
        <v>4</v>
      </c>
      <c r="H58" s="1468"/>
      <c r="I58" s="1468">
        <v>2</v>
      </c>
      <c r="J58" s="1468" t="s">
        <v>1592</v>
      </c>
      <c r="K58" s="1470" t="s">
        <v>7109</v>
      </c>
      <c r="L58" s="1468" t="s">
        <v>5895</v>
      </c>
      <c r="M58" s="867"/>
      <c r="AA58">
        <f>IF(AND('05 Lan'!C58&gt;Tmin, NOT('05 Lan'!$I58="")),'05 Lan'!$I58,0)</f>
        <v>0</v>
      </c>
      <c r="AB58">
        <f>IF(AND('05 Lan'!D58&gt;Tmin, NOT('05 Lan'!$I58="")),'05 Lan'!$I58,0)</f>
        <v>0</v>
      </c>
      <c r="AC58">
        <f>IF(AND('05 Lan'!E58&gt;Tmin, NOT('05 Lan'!$I58="")),'05 Lan'!$I58,0)</f>
        <v>0</v>
      </c>
      <c r="AD58">
        <f>IF(AND('05 Lan'!F58&gt;Tmin, NOT('05 Lan'!$I58="")),'05 Lan'!$I58,0)</f>
        <v>0</v>
      </c>
      <c r="AE58">
        <f>IF(AND('05 Lan'!C58&lt;Tmax, NOT('05 Lan'!$H58="")),'05 Lan'!$H58,4)</f>
        <v>4</v>
      </c>
      <c r="AF58">
        <f>IF(AND('05 Lan'!D58&lt;Tmax, NOT('05 Lan'!$H58="")),'05 Lan'!$H58,4)</f>
        <v>4</v>
      </c>
      <c r="AG58">
        <f>IF(AND('05 Lan'!E58&lt;Tmax, NOT('05 Lan'!$H58="")),'05 Lan'!$H58,4)</f>
        <v>4</v>
      </c>
      <c r="AH58">
        <f>IF(AND('05 Lan'!F58&lt;Tmax, NOT('05 Lan'!$H58="")),'05 Lan'!$H58,4)</f>
        <v>4</v>
      </c>
      <c r="AI58"/>
    </row>
    <row r="59" spans="1:35" ht="33.75" outlineLevel="2" x14ac:dyDescent="0.2">
      <c r="A59" s="870" t="s">
        <v>2186</v>
      </c>
      <c r="B59" s="870" t="s">
        <v>2892</v>
      </c>
      <c r="C59" s="786"/>
      <c r="D59" s="866"/>
      <c r="E59" s="866"/>
      <c r="F59" s="866"/>
      <c r="G59" s="1468">
        <v>4</v>
      </c>
      <c r="H59" s="1468"/>
      <c r="I59" s="1468"/>
      <c r="J59" s="1468" t="s">
        <v>4246</v>
      </c>
      <c r="K59" s="1470" t="s">
        <v>7109</v>
      </c>
      <c r="L59" s="1468" t="s">
        <v>5895</v>
      </c>
      <c r="M59" s="867"/>
      <c r="AA59">
        <f>IF(AND('05 Lan'!C59&gt;Tmin, NOT('05 Lan'!$I59="")),'05 Lan'!$I59,0)</f>
        <v>0</v>
      </c>
      <c r="AB59">
        <f>IF(AND('05 Lan'!D59&gt;Tmin, NOT('05 Lan'!$I59="")),'05 Lan'!$I59,0)</f>
        <v>0</v>
      </c>
      <c r="AC59">
        <f>IF(AND('05 Lan'!E59&gt;Tmin, NOT('05 Lan'!$I59="")),'05 Lan'!$I59,0)</f>
        <v>0</v>
      </c>
      <c r="AD59">
        <f>IF(AND('05 Lan'!F59&gt;Tmin, NOT('05 Lan'!$I59="")),'05 Lan'!$I59,0)</f>
        <v>0</v>
      </c>
      <c r="AE59">
        <f>IF(AND('05 Lan'!C59&lt;Tmax, NOT('05 Lan'!$H59="")),'05 Lan'!$H59,4)</f>
        <v>4</v>
      </c>
      <c r="AF59">
        <f>IF(AND('05 Lan'!D59&lt;Tmax, NOT('05 Lan'!$H59="")),'05 Lan'!$H59,4)</f>
        <v>4</v>
      </c>
      <c r="AG59">
        <f>IF(AND('05 Lan'!E59&lt;Tmax, NOT('05 Lan'!$H59="")),'05 Lan'!$H59,4)</f>
        <v>4</v>
      </c>
      <c r="AH59">
        <f>IF(AND('05 Lan'!F59&lt;Tmax, NOT('05 Lan'!$H59="")),'05 Lan'!$H59,4)</f>
        <v>4</v>
      </c>
      <c r="AI59"/>
    </row>
    <row r="60" spans="1:35" ht="33.75" outlineLevel="2" x14ac:dyDescent="0.2">
      <c r="A60" s="870" t="s">
        <v>2187</v>
      </c>
      <c r="B60" s="870" t="s">
        <v>3030</v>
      </c>
      <c r="C60" s="786"/>
      <c r="D60" s="866"/>
      <c r="E60" s="866"/>
      <c r="F60" s="866"/>
      <c r="G60" s="1468">
        <v>4</v>
      </c>
      <c r="H60" s="1468">
        <v>2</v>
      </c>
      <c r="I60" s="1467"/>
      <c r="J60" s="1468" t="s">
        <v>2109</v>
      </c>
      <c r="K60" s="1470" t="s">
        <v>7110</v>
      </c>
      <c r="L60" s="1468" t="s">
        <v>7249</v>
      </c>
      <c r="M60" s="867"/>
      <c r="AA60">
        <f>IF(AND('05 Lan'!C60&gt;Tmin, NOT('05 Lan'!$I60="")),'05 Lan'!$I60,0)</f>
        <v>0</v>
      </c>
      <c r="AB60">
        <f>IF(AND('05 Lan'!D60&gt;Tmin, NOT('05 Lan'!$I60="")),'05 Lan'!$I60,0)</f>
        <v>0</v>
      </c>
      <c r="AC60">
        <f>IF(AND('05 Lan'!E60&gt;Tmin, NOT('05 Lan'!$I60="")),'05 Lan'!$I60,0)</f>
        <v>0</v>
      </c>
      <c r="AD60">
        <f>IF(AND('05 Lan'!F60&gt;Tmin, NOT('05 Lan'!$I60="")),'05 Lan'!$I60,0)</f>
        <v>0</v>
      </c>
      <c r="AE60">
        <f>IF(AND('05 Lan'!C60&lt;Tmax, NOT('05 Lan'!$H60="")),'05 Lan'!$H60,4)</f>
        <v>2</v>
      </c>
      <c r="AF60">
        <f>IF(AND('05 Lan'!D60&lt;Tmax, NOT('05 Lan'!$H60="")),'05 Lan'!$H60,4)</f>
        <v>2</v>
      </c>
      <c r="AG60">
        <f>IF(AND('05 Lan'!E60&lt;Tmax, NOT('05 Lan'!$H60="")),'05 Lan'!$H60,4)</f>
        <v>2</v>
      </c>
      <c r="AH60">
        <f>IF(AND('05 Lan'!F60&lt;Tmax, NOT('05 Lan'!$H60="")),'05 Lan'!$H60,4)</f>
        <v>2</v>
      </c>
      <c r="AI60"/>
    </row>
    <row r="61" spans="1:35" ht="33.75" outlineLevel="2" x14ac:dyDescent="0.2">
      <c r="A61" s="870" t="s">
        <v>2188</v>
      </c>
      <c r="B61" s="870" t="s">
        <v>1750</v>
      </c>
      <c r="C61" s="786"/>
      <c r="D61" s="866"/>
      <c r="E61" s="866"/>
      <c r="F61" s="866"/>
      <c r="G61" s="1468">
        <v>4</v>
      </c>
      <c r="H61" s="1468">
        <v>2</v>
      </c>
      <c r="I61" s="1467"/>
      <c r="J61" s="1468" t="s">
        <v>1592</v>
      </c>
      <c r="K61" s="1470" t="s">
        <v>7110</v>
      </c>
      <c r="L61" s="1468" t="s">
        <v>7249</v>
      </c>
      <c r="M61" s="867"/>
      <c r="AA61">
        <f>IF(AND('05 Lan'!C61&gt;Tmin, NOT('05 Lan'!$I61="")),'05 Lan'!$I61,0)</f>
        <v>0</v>
      </c>
      <c r="AB61">
        <f>IF(AND('05 Lan'!D61&gt;Tmin, NOT('05 Lan'!$I61="")),'05 Lan'!$I61,0)</f>
        <v>0</v>
      </c>
      <c r="AC61">
        <f>IF(AND('05 Lan'!E61&gt;Tmin, NOT('05 Lan'!$I61="")),'05 Lan'!$I61,0)</f>
        <v>0</v>
      </c>
      <c r="AD61">
        <f>IF(AND('05 Lan'!F61&gt;Tmin, NOT('05 Lan'!$I61="")),'05 Lan'!$I61,0)</f>
        <v>0</v>
      </c>
      <c r="AE61">
        <f>IF(AND('05 Lan'!C61&lt;Tmax, NOT('05 Lan'!$H61="")),'05 Lan'!$H61,4)</f>
        <v>2</v>
      </c>
      <c r="AF61">
        <f>IF(AND('05 Lan'!D61&lt;Tmax, NOT('05 Lan'!$H61="")),'05 Lan'!$H61,4)</f>
        <v>2</v>
      </c>
      <c r="AG61">
        <f>IF(AND('05 Lan'!E61&lt;Tmax, NOT('05 Lan'!$H61="")),'05 Lan'!$H61,4)</f>
        <v>2</v>
      </c>
      <c r="AH61">
        <f>IF(AND('05 Lan'!F61&lt;Tmax, NOT('05 Lan'!$H61="")),'05 Lan'!$H61,4)</f>
        <v>2</v>
      </c>
      <c r="AI61"/>
    </row>
    <row r="62" spans="1:35" ht="33.75" outlineLevel="2" x14ac:dyDescent="0.2">
      <c r="A62" s="870" t="s">
        <v>4204</v>
      </c>
      <c r="B62" s="870" t="s">
        <v>2348</v>
      </c>
      <c r="C62" s="786"/>
      <c r="D62" s="866"/>
      <c r="E62" s="866"/>
      <c r="F62" s="866"/>
      <c r="G62" s="1468">
        <v>4</v>
      </c>
      <c r="H62" s="1468">
        <v>2</v>
      </c>
      <c r="I62" s="1467"/>
      <c r="J62" s="1468" t="s">
        <v>1592</v>
      </c>
      <c r="K62" s="1470"/>
      <c r="L62" s="1468"/>
      <c r="M62" s="867"/>
      <c r="AA62">
        <f>IF(AND('05 Lan'!C62&gt;Tmin, NOT('05 Lan'!$I62="")),'05 Lan'!$I62,0)</f>
        <v>0</v>
      </c>
      <c r="AB62">
        <f>IF(AND('05 Lan'!D62&gt;Tmin, NOT('05 Lan'!$I62="")),'05 Lan'!$I62,0)</f>
        <v>0</v>
      </c>
      <c r="AC62">
        <f>IF(AND('05 Lan'!E62&gt;Tmin, NOT('05 Lan'!$I62="")),'05 Lan'!$I62,0)</f>
        <v>0</v>
      </c>
      <c r="AD62">
        <f>IF(AND('05 Lan'!F62&gt;Tmin, NOT('05 Lan'!$I62="")),'05 Lan'!$I62,0)</f>
        <v>0</v>
      </c>
      <c r="AE62">
        <f>IF(AND('05 Lan'!C62&lt;Tmax, NOT('05 Lan'!$H62="")),'05 Lan'!$H62,4)</f>
        <v>2</v>
      </c>
      <c r="AF62">
        <f>IF(AND('05 Lan'!D62&lt;Tmax, NOT('05 Lan'!$H62="")),'05 Lan'!$H62,4)</f>
        <v>2</v>
      </c>
      <c r="AG62">
        <f>IF(AND('05 Lan'!E62&lt;Tmax, NOT('05 Lan'!$H62="")),'05 Lan'!$H62,4)</f>
        <v>2</v>
      </c>
      <c r="AH62">
        <f>IF(AND('05 Lan'!F62&lt;Tmax, NOT('05 Lan'!$H62="")),'05 Lan'!$H62,4)</f>
        <v>2</v>
      </c>
      <c r="AI62"/>
    </row>
    <row r="63" spans="1:35" outlineLevel="2" x14ac:dyDescent="0.2">
      <c r="A63" s="870" t="s">
        <v>4205</v>
      </c>
      <c r="B63" s="870" t="s">
        <v>3140</v>
      </c>
      <c r="C63" s="786"/>
      <c r="D63" s="866"/>
      <c r="E63" s="866"/>
      <c r="F63" s="866"/>
      <c r="G63" s="1468">
        <v>2</v>
      </c>
      <c r="H63" s="1468">
        <v>2</v>
      </c>
      <c r="I63" s="1467"/>
      <c r="J63" s="1468" t="s">
        <v>2329</v>
      </c>
      <c r="K63" s="1468"/>
      <c r="L63" s="1468"/>
      <c r="M63" s="867"/>
      <c r="AA63">
        <f>IF(AND('05 Lan'!C63&gt;Tmin, NOT('05 Lan'!$I63="")),'05 Lan'!$I63,0)</f>
        <v>0</v>
      </c>
      <c r="AB63">
        <f>IF(AND('05 Lan'!D63&gt;Tmin, NOT('05 Lan'!$I63="")),'05 Lan'!$I63,0)</f>
        <v>0</v>
      </c>
      <c r="AC63">
        <f>IF(AND('05 Lan'!E63&gt;Tmin, NOT('05 Lan'!$I63="")),'05 Lan'!$I63,0)</f>
        <v>0</v>
      </c>
      <c r="AD63">
        <f>IF(AND('05 Lan'!F63&gt;Tmin, NOT('05 Lan'!$I63="")),'05 Lan'!$I63,0)</f>
        <v>0</v>
      </c>
      <c r="AE63">
        <f>IF(AND('05 Lan'!C63&lt;Tmax, NOT('05 Lan'!$H63="")),'05 Lan'!$H63,4)</f>
        <v>2</v>
      </c>
      <c r="AF63">
        <f>IF(AND('05 Lan'!D63&lt;Tmax, NOT('05 Lan'!$H63="")),'05 Lan'!$H63,4)</f>
        <v>2</v>
      </c>
      <c r="AG63">
        <f>IF(AND('05 Lan'!E63&lt;Tmax, NOT('05 Lan'!$H63="")),'05 Lan'!$H63,4)</f>
        <v>2</v>
      </c>
      <c r="AH63">
        <f>IF(AND('05 Lan'!F63&lt;Tmax, NOT('05 Lan'!$H63="")),'05 Lan'!$H63,4)</f>
        <v>2</v>
      </c>
      <c r="AI63"/>
    </row>
    <row r="64" spans="1:35" ht="13.5" customHeight="1" outlineLevel="2" x14ac:dyDescent="0.2">
      <c r="A64" s="870" t="s">
        <v>4206</v>
      </c>
      <c r="B64" s="870" t="s">
        <v>3141</v>
      </c>
      <c r="C64" s="786"/>
      <c r="D64" s="866"/>
      <c r="E64" s="866"/>
      <c r="F64" s="866"/>
      <c r="G64" s="1468">
        <v>2</v>
      </c>
      <c r="H64" s="1468"/>
      <c r="I64" s="1468">
        <v>3</v>
      </c>
      <c r="J64" s="1468" t="s">
        <v>2349</v>
      </c>
      <c r="K64" s="1468"/>
      <c r="L64" s="1468"/>
      <c r="M64" s="867"/>
      <c r="AA64">
        <f>IF(AND('05 Lan'!C64&gt;Tmin, NOT('05 Lan'!$I64="")),'05 Lan'!$I64,0)</f>
        <v>0</v>
      </c>
      <c r="AB64">
        <f>IF(AND('05 Lan'!D64&gt;Tmin, NOT('05 Lan'!$I64="")),'05 Lan'!$I64,0)</f>
        <v>0</v>
      </c>
      <c r="AC64">
        <f>IF(AND('05 Lan'!E64&gt;Tmin, NOT('05 Lan'!$I64="")),'05 Lan'!$I64,0)</f>
        <v>0</v>
      </c>
      <c r="AD64">
        <f>IF(AND('05 Lan'!F64&gt;Tmin, NOT('05 Lan'!$I64="")),'05 Lan'!$I64,0)</f>
        <v>0</v>
      </c>
      <c r="AE64">
        <f>IF(AND('05 Lan'!C64&lt;Tmax, NOT('05 Lan'!$H64="")),'05 Lan'!$H64,4)</f>
        <v>4</v>
      </c>
      <c r="AF64">
        <f>IF(AND('05 Lan'!D64&lt;Tmax, NOT('05 Lan'!$H64="")),'05 Lan'!$H64,4)</f>
        <v>4</v>
      </c>
      <c r="AG64">
        <f>IF(AND('05 Lan'!E64&lt;Tmax, NOT('05 Lan'!$H64="")),'05 Lan'!$H64,4)</f>
        <v>4</v>
      </c>
      <c r="AH64">
        <f>IF(AND('05 Lan'!F64&lt;Tmax, NOT('05 Lan'!$H64="")),'05 Lan'!$H64,4)</f>
        <v>4</v>
      </c>
      <c r="AI64"/>
    </row>
    <row r="65" spans="1:35" ht="22.5" outlineLevel="2" x14ac:dyDescent="0.2">
      <c r="A65" s="870" t="s">
        <v>1267</v>
      </c>
      <c r="B65" s="870" t="s">
        <v>123</v>
      </c>
      <c r="C65" s="786"/>
      <c r="D65" s="866"/>
      <c r="E65" s="866"/>
      <c r="F65" s="866"/>
      <c r="G65" s="1468">
        <v>2</v>
      </c>
      <c r="H65" s="1468"/>
      <c r="I65" s="1467"/>
      <c r="J65" s="1468" t="s">
        <v>2329</v>
      </c>
      <c r="K65" s="1468"/>
      <c r="L65" s="1468"/>
      <c r="M65" s="867"/>
      <c r="AA65">
        <f>IF(AND('05 Lan'!C65&gt;Tmin, NOT('05 Lan'!$I65="")),'05 Lan'!$I65,0)</f>
        <v>0</v>
      </c>
      <c r="AB65">
        <f>IF(AND('05 Lan'!D65&gt;Tmin, NOT('05 Lan'!$I65="")),'05 Lan'!$I65,0)</f>
        <v>0</v>
      </c>
      <c r="AC65">
        <f>IF(AND('05 Lan'!E65&gt;Tmin, NOT('05 Lan'!$I65="")),'05 Lan'!$I65,0)</f>
        <v>0</v>
      </c>
      <c r="AD65">
        <f>IF(AND('05 Lan'!F65&gt;Tmin, NOT('05 Lan'!$I65="")),'05 Lan'!$I65,0)</f>
        <v>0</v>
      </c>
      <c r="AE65">
        <f>IF(AND('05 Lan'!C65&lt;Tmax, NOT('05 Lan'!$H65="")),'05 Lan'!$H65,4)</f>
        <v>4</v>
      </c>
      <c r="AF65">
        <f>IF(AND('05 Lan'!D65&lt;Tmax, NOT('05 Lan'!$H65="")),'05 Lan'!$H65,4)</f>
        <v>4</v>
      </c>
      <c r="AG65">
        <f>IF(AND('05 Lan'!E65&lt;Tmax, NOT('05 Lan'!$H65="")),'05 Lan'!$H65,4)</f>
        <v>4</v>
      </c>
      <c r="AH65">
        <f>IF(AND('05 Lan'!F65&lt;Tmax, NOT('05 Lan'!$H65="")),'05 Lan'!$H65,4)</f>
        <v>4</v>
      </c>
      <c r="AI65"/>
    </row>
    <row r="66" spans="1:35" outlineLevel="2" x14ac:dyDescent="0.2">
      <c r="A66" s="870" t="s">
        <v>1268</v>
      </c>
      <c r="B66" s="870" t="s">
        <v>124</v>
      </c>
      <c r="C66" s="786"/>
      <c r="D66" s="866"/>
      <c r="E66" s="866"/>
      <c r="F66" s="866"/>
      <c r="G66" s="1468">
        <v>2</v>
      </c>
      <c r="H66" s="1468">
        <v>3</v>
      </c>
      <c r="I66" s="1467"/>
      <c r="J66" s="1468" t="s">
        <v>2109</v>
      </c>
      <c r="K66" s="1468"/>
      <c r="L66" s="1468"/>
      <c r="M66" s="867"/>
      <c r="AA66">
        <f>IF(AND('05 Lan'!C66&gt;Tmin, NOT('05 Lan'!$I66="")),'05 Lan'!$I66,0)</f>
        <v>0</v>
      </c>
      <c r="AB66">
        <f>IF(AND('05 Lan'!D66&gt;Tmin, NOT('05 Lan'!$I66="")),'05 Lan'!$I66,0)</f>
        <v>0</v>
      </c>
      <c r="AC66">
        <f>IF(AND('05 Lan'!E66&gt;Tmin, NOT('05 Lan'!$I66="")),'05 Lan'!$I66,0)</f>
        <v>0</v>
      </c>
      <c r="AD66">
        <f>IF(AND('05 Lan'!F66&gt;Tmin, NOT('05 Lan'!$I66="")),'05 Lan'!$I66,0)</f>
        <v>0</v>
      </c>
      <c r="AE66">
        <f>IF(AND('05 Lan'!C66&lt;Tmax, NOT('05 Lan'!$H66="")),'05 Lan'!$H66,4)</f>
        <v>3</v>
      </c>
      <c r="AF66">
        <f>IF(AND('05 Lan'!D66&lt;Tmax, NOT('05 Lan'!$H66="")),'05 Lan'!$H66,4)</f>
        <v>3</v>
      </c>
      <c r="AG66">
        <f>IF(AND('05 Lan'!E66&lt;Tmax, NOT('05 Lan'!$H66="")),'05 Lan'!$H66,4)</f>
        <v>3</v>
      </c>
      <c r="AH66">
        <f>IF(AND('05 Lan'!F66&lt;Tmax, NOT('05 Lan'!$H66="")),'05 Lan'!$H66,4)</f>
        <v>3</v>
      </c>
      <c r="AI66"/>
    </row>
    <row r="67" spans="1:35" outlineLevel="1" x14ac:dyDescent="0.2">
      <c r="A67" s="868" t="s">
        <v>6483</v>
      </c>
      <c r="B67" s="869" t="s">
        <v>5028</v>
      </c>
      <c r="C67" s="786"/>
      <c r="D67" s="866"/>
      <c r="E67" s="866"/>
      <c r="F67" s="866"/>
      <c r="G67" s="1468"/>
      <c r="H67" s="1468"/>
      <c r="I67" s="1467"/>
      <c r="J67" s="1467"/>
      <c r="K67" s="1468"/>
      <c r="L67" s="1468"/>
      <c r="M67" s="867"/>
      <c r="AA67"/>
      <c r="AB67"/>
      <c r="AC67"/>
      <c r="AD67"/>
      <c r="AE67"/>
      <c r="AF67"/>
      <c r="AG67"/>
      <c r="AH67"/>
      <c r="AI67"/>
    </row>
    <row r="68" spans="1:35" ht="22.5" outlineLevel="2" x14ac:dyDescent="0.2">
      <c r="A68" s="870" t="s">
        <v>3844</v>
      </c>
      <c r="B68" s="870" t="s">
        <v>4852</v>
      </c>
      <c r="C68" s="786"/>
      <c r="D68" s="866"/>
      <c r="E68" s="866"/>
      <c r="F68" s="866"/>
      <c r="G68" s="1468">
        <v>2</v>
      </c>
      <c r="H68" s="1468"/>
      <c r="I68" s="1467"/>
      <c r="J68" s="1468" t="s">
        <v>1592</v>
      </c>
      <c r="K68" s="1468" t="s">
        <v>5072</v>
      </c>
      <c r="L68" s="1468"/>
      <c r="M68" s="867"/>
      <c r="AA68">
        <f>IF(AND('05 Lan'!C68&gt;Tmin, NOT('05 Lan'!$I68="")),'05 Lan'!$I68,0)</f>
        <v>0</v>
      </c>
      <c r="AB68">
        <f>IF(AND('05 Lan'!D68&gt;Tmin, NOT('05 Lan'!$I68="")),'05 Lan'!$I68,0)</f>
        <v>0</v>
      </c>
      <c r="AC68">
        <f>IF(AND('05 Lan'!E68&gt;Tmin, NOT('05 Lan'!$I68="")),'05 Lan'!$I68,0)</f>
        <v>0</v>
      </c>
      <c r="AD68">
        <f>IF(AND('05 Lan'!F68&gt;Tmin, NOT('05 Lan'!$I68="")),'05 Lan'!$I68,0)</f>
        <v>0</v>
      </c>
      <c r="AE68">
        <f>IF(AND('05 Lan'!C68&lt;Tmax, NOT('05 Lan'!$H68="")),'05 Lan'!$H68,4)</f>
        <v>4</v>
      </c>
      <c r="AF68">
        <f>IF(AND('05 Lan'!D68&lt;Tmax, NOT('05 Lan'!$H68="")),'05 Lan'!$H68,4)</f>
        <v>4</v>
      </c>
      <c r="AG68">
        <f>IF(AND('05 Lan'!E68&lt;Tmax, NOT('05 Lan'!$H68="")),'05 Lan'!$H68,4)</f>
        <v>4</v>
      </c>
      <c r="AH68">
        <f>IF(AND('05 Lan'!F68&lt;Tmax, NOT('05 Lan'!$H68="")),'05 Lan'!$H68,4)</f>
        <v>4</v>
      </c>
      <c r="AI68"/>
    </row>
    <row r="69" spans="1:35" ht="36" customHeight="1" outlineLevel="2" x14ac:dyDescent="0.2">
      <c r="A69" s="870" t="s">
        <v>3845</v>
      </c>
      <c r="B69" s="870" t="s">
        <v>6608</v>
      </c>
      <c r="C69" s="786"/>
      <c r="D69" s="866"/>
      <c r="E69" s="866"/>
      <c r="F69" s="866"/>
      <c r="G69" s="1468">
        <v>2</v>
      </c>
      <c r="H69" s="1468"/>
      <c r="I69" s="1467"/>
      <c r="J69" s="1468" t="s">
        <v>1592</v>
      </c>
      <c r="K69" s="1468" t="s">
        <v>5072</v>
      </c>
      <c r="L69" s="1468"/>
      <c r="M69" s="867"/>
      <c r="AA69">
        <f>IF(AND('05 Lan'!C69&gt;Tmin, NOT('05 Lan'!$I69="")),'05 Lan'!$I69,0)</f>
        <v>0</v>
      </c>
      <c r="AB69">
        <f>IF(AND('05 Lan'!D69&gt;Tmin, NOT('05 Lan'!$I69="")),'05 Lan'!$I69,0)</f>
        <v>0</v>
      </c>
      <c r="AC69">
        <f>IF(AND('05 Lan'!E69&gt;Tmin, NOT('05 Lan'!$I69="")),'05 Lan'!$I69,0)</f>
        <v>0</v>
      </c>
      <c r="AD69">
        <f>IF(AND('05 Lan'!F69&gt;Tmin, NOT('05 Lan'!$I69="")),'05 Lan'!$I69,0)</f>
        <v>0</v>
      </c>
      <c r="AE69">
        <f>IF(AND('05 Lan'!C69&lt;Tmax, NOT('05 Lan'!$H69="")),'05 Lan'!$H69,4)</f>
        <v>4</v>
      </c>
      <c r="AF69">
        <f>IF(AND('05 Lan'!D69&lt;Tmax, NOT('05 Lan'!$H69="")),'05 Lan'!$H69,4)</f>
        <v>4</v>
      </c>
      <c r="AG69">
        <f>IF(AND('05 Lan'!E69&lt;Tmax, NOT('05 Lan'!$H69="")),'05 Lan'!$H69,4)</f>
        <v>4</v>
      </c>
      <c r="AH69">
        <f>IF(AND('05 Lan'!F69&lt;Tmax, NOT('05 Lan'!$H69="")),'05 Lan'!$H69,4)</f>
        <v>4</v>
      </c>
      <c r="AI69"/>
    </row>
    <row r="70" spans="1:35" ht="22.5" outlineLevel="2" x14ac:dyDescent="0.2">
      <c r="A70" s="870" t="s">
        <v>5570</v>
      </c>
      <c r="B70" s="870" t="s">
        <v>6609</v>
      </c>
      <c r="C70" s="786"/>
      <c r="D70" s="866"/>
      <c r="E70" s="866"/>
      <c r="F70" s="866"/>
      <c r="G70" s="1468">
        <v>2</v>
      </c>
      <c r="H70" s="1468">
        <v>2</v>
      </c>
      <c r="I70" s="1467"/>
      <c r="J70" s="1468" t="s">
        <v>2329</v>
      </c>
      <c r="K70" s="1468"/>
      <c r="L70" s="1468"/>
      <c r="M70" s="867"/>
      <c r="AA70">
        <f>IF(AND('05 Lan'!C70&gt;Tmin, NOT('05 Lan'!$I70="")),'05 Lan'!$I70,0)</f>
        <v>0</v>
      </c>
      <c r="AB70">
        <f>IF(AND('05 Lan'!D70&gt;Tmin, NOT('05 Lan'!$I70="")),'05 Lan'!$I70,0)</f>
        <v>0</v>
      </c>
      <c r="AC70">
        <f>IF(AND('05 Lan'!E70&gt;Tmin, NOT('05 Lan'!$I70="")),'05 Lan'!$I70,0)</f>
        <v>0</v>
      </c>
      <c r="AD70">
        <f>IF(AND('05 Lan'!F70&gt;Tmin, NOT('05 Lan'!$I70="")),'05 Lan'!$I70,0)</f>
        <v>0</v>
      </c>
      <c r="AE70">
        <f>IF(AND('05 Lan'!C70&lt;Tmax, NOT('05 Lan'!$H70="")),'05 Lan'!$H70,4)</f>
        <v>2</v>
      </c>
      <c r="AF70">
        <f>IF(AND('05 Lan'!D70&lt;Tmax, NOT('05 Lan'!$H70="")),'05 Lan'!$H70,4)</f>
        <v>2</v>
      </c>
      <c r="AG70">
        <f>IF(AND('05 Lan'!E70&lt;Tmax, NOT('05 Lan'!$H70="")),'05 Lan'!$H70,4)</f>
        <v>2</v>
      </c>
      <c r="AH70">
        <f>IF(AND('05 Lan'!F70&lt;Tmax, NOT('05 Lan'!$H70="")),'05 Lan'!$H70,4)</f>
        <v>2</v>
      </c>
      <c r="AI70"/>
    </row>
    <row r="71" spans="1:35" outlineLevel="2" x14ac:dyDescent="0.2">
      <c r="A71" s="870" t="s">
        <v>5571</v>
      </c>
      <c r="B71" s="870" t="s">
        <v>6610</v>
      </c>
      <c r="C71" s="786"/>
      <c r="D71" s="866"/>
      <c r="E71" s="866"/>
      <c r="F71" s="866"/>
      <c r="G71" s="1468">
        <v>2</v>
      </c>
      <c r="H71" s="1468">
        <v>3</v>
      </c>
      <c r="I71" s="1467"/>
      <c r="J71" s="1468" t="s">
        <v>2329</v>
      </c>
      <c r="K71" s="1468"/>
      <c r="L71" s="1468"/>
      <c r="M71" s="867"/>
      <c r="AA71">
        <f>IF(AND('05 Lan'!C71&gt;Tmin, NOT('05 Lan'!$I71="")),'05 Lan'!$I71,0)</f>
        <v>0</v>
      </c>
      <c r="AB71">
        <f>IF(AND('05 Lan'!D71&gt;Tmin, NOT('05 Lan'!$I71="")),'05 Lan'!$I71,0)</f>
        <v>0</v>
      </c>
      <c r="AC71">
        <f>IF(AND('05 Lan'!E71&gt;Tmin, NOT('05 Lan'!$I71="")),'05 Lan'!$I71,0)</f>
        <v>0</v>
      </c>
      <c r="AD71">
        <f>IF(AND('05 Lan'!F71&gt;Tmin, NOT('05 Lan'!$I71="")),'05 Lan'!$I71,0)</f>
        <v>0</v>
      </c>
      <c r="AE71">
        <f>IF(AND('05 Lan'!C71&lt;Tmax, NOT('05 Lan'!$H71="")),'05 Lan'!$H71,4)</f>
        <v>3</v>
      </c>
      <c r="AF71">
        <f>IF(AND('05 Lan'!D71&lt;Tmax, NOT('05 Lan'!$H71="")),'05 Lan'!$H71,4)</f>
        <v>3</v>
      </c>
      <c r="AG71">
        <f>IF(AND('05 Lan'!E71&lt;Tmax, NOT('05 Lan'!$H71="")),'05 Lan'!$H71,4)</f>
        <v>3</v>
      </c>
      <c r="AH71">
        <f>IF(AND('05 Lan'!F71&lt;Tmax, NOT('05 Lan'!$H71="")),'05 Lan'!$H71,4)</f>
        <v>3</v>
      </c>
      <c r="AI71"/>
    </row>
    <row r="72" spans="1:35" outlineLevel="2" x14ac:dyDescent="0.2">
      <c r="A72" s="870" t="s">
        <v>5572</v>
      </c>
      <c r="B72" s="870" t="s">
        <v>5878</v>
      </c>
      <c r="C72" s="786"/>
      <c r="D72" s="866"/>
      <c r="E72" s="866"/>
      <c r="F72" s="866"/>
      <c r="G72" s="1468">
        <v>2</v>
      </c>
      <c r="H72" s="1468">
        <v>3</v>
      </c>
      <c r="I72" s="1467"/>
      <c r="J72" s="1468" t="s">
        <v>2109</v>
      </c>
      <c r="K72" s="1468"/>
      <c r="L72" s="1468"/>
      <c r="M72" s="867"/>
      <c r="AA72">
        <f>IF(AND('05 Lan'!C72&gt;Tmin, NOT('05 Lan'!$I72="")),'05 Lan'!$I72,0)</f>
        <v>0</v>
      </c>
      <c r="AB72">
        <f>IF(AND('05 Lan'!D72&gt;Tmin, NOT('05 Lan'!$I72="")),'05 Lan'!$I72,0)</f>
        <v>0</v>
      </c>
      <c r="AC72">
        <f>IF(AND('05 Lan'!E72&gt;Tmin, NOT('05 Lan'!$I72="")),'05 Lan'!$I72,0)</f>
        <v>0</v>
      </c>
      <c r="AD72">
        <f>IF(AND('05 Lan'!F72&gt;Tmin, NOT('05 Lan'!$I72="")),'05 Lan'!$I72,0)</f>
        <v>0</v>
      </c>
      <c r="AE72">
        <f>IF(AND('05 Lan'!C72&lt;Tmax, NOT('05 Lan'!$H72="")),'05 Lan'!$H72,4)</f>
        <v>3</v>
      </c>
      <c r="AF72">
        <f>IF(AND('05 Lan'!D72&lt;Tmax, NOT('05 Lan'!$H72="")),'05 Lan'!$H72,4)</f>
        <v>3</v>
      </c>
      <c r="AG72">
        <f>IF(AND('05 Lan'!E72&lt;Tmax, NOT('05 Lan'!$H72="")),'05 Lan'!$H72,4)</f>
        <v>3</v>
      </c>
      <c r="AH72">
        <f>IF(AND('05 Lan'!F72&lt;Tmax, NOT('05 Lan'!$H72="")),'05 Lan'!$H72,4)</f>
        <v>3</v>
      </c>
      <c r="AI72"/>
    </row>
    <row r="73" spans="1:35" x14ac:dyDescent="0.2">
      <c r="A73" s="873" t="s">
        <v>1751</v>
      </c>
      <c r="B73" s="873" t="s">
        <v>1752</v>
      </c>
      <c r="C73" s="786"/>
      <c r="D73" s="866"/>
      <c r="E73" s="866"/>
      <c r="F73" s="866"/>
      <c r="G73" s="1467"/>
      <c r="H73" s="1467"/>
      <c r="I73" s="1467"/>
      <c r="J73" s="1467"/>
      <c r="K73" s="1468"/>
      <c r="L73" s="1468"/>
      <c r="M73" s="867"/>
      <c r="AA73"/>
      <c r="AB73"/>
      <c r="AC73"/>
      <c r="AD73"/>
      <c r="AE73"/>
      <c r="AF73"/>
      <c r="AG73"/>
      <c r="AH73"/>
      <c r="AI73"/>
    </row>
    <row r="74" spans="1:35" outlineLevel="1" x14ac:dyDescent="0.2">
      <c r="A74" s="868" t="s">
        <v>1454</v>
      </c>
      <c r="B74" s="869" t="s">
        <v>1455</v>
      </c>
      <c r="C74" s="786"/>
      <c r="D74" s="866"/>
      <c r="E74" s="866"/>
      <c r="F74" s="866"/>
      <c r="G74" s="1467"/>
      <c r="H74" s="1467"/>
      <c r="I74" s="1467"/>
      <c r="J74" s="1467"/>
      <c r="K74" s="1468"/>
      <c r="L74" s="1468"/>
      <c r="M74" s="867"/>
      <c r="AA74"/>
      <c r="AB74"/>
      <c r="AC74"/>
      <c r="AD74"/>
      <c r="AE74"/>
      <c r="AF74"/>
      <c r="AG74"/>
      <c r="AH74"/>
      <c r="AI74"/>
    </row>
    <row r="75" spans="1:35" ht="22.5" outlineLevel="2" x14ac:dyDescent="0.2">
      <c r="A75" s="870" t="s">
        <v>1753</v>
      </c>
      <c r="B75" s="870" t="s">
        <v>5871</v>
      </c>
      <c r="C75" s="786"/>
      <c r="D75" s="866"/>
      <c r="E75" s="866"/>
      <c r="F75" s="866"/>
      <c r="G75" s="1468">
        <v>2</v>
      </c>
      <c r="H75" s="1468"/>
      <c r="I75" s="1467"/>
      <c r="J75" s="1468" t="s">
        <v>4246</v>
      </c>
      <c r="K75" s="1468" t="s">
        <v>7111</v>
      </c>
      <c r="L75" s="1468" t="s">
        <v>3577</v>
      </c>
      <c r="M75" s="867"/>
      <c r="AA75">
        <f>IF(AND('05 Lan'!C75&gt;Tmin, NOT('05 Lan'!$I75="")),'05 Lan'!$I75,0)</f>
        <v>0</v>
      </c>
      <c r="AB75">
        <f>IF(AND('05 Lan'!D75&gt;Tmin, NOT('05 Lan'!$I75="")),'05 Lan'!$I75,0)</f>
        <v>0</v>
      </c>
      <c r="AC75">
        <f>IF(AND('05 Lan'!E75&gt;Tmin, NOT('05 Lan'!$I75="")),'05 Lan'!$I75,0)</f>
        <v>0</v>
      </c>
      <c r="AD75">
        <f>IF(AND('05 Lan'!F75&gt;Tmin, NOT('05 Lan'!$I75="")),'05 Lan'!$I75,0)</f>
        <v>0</v>
      </c>
      <c r="AE75">
        <f>IF(AND('05 Lan'!C75&lt;Tmax, NOT('05 Lan'!$H75="")),'05 Lan'!$H75,4)</f>
        <v>4</v>
      </c>
      <c r="AF75">
        <f>IF(AND('05 Lan'!D75&lt;Tmax, NOT('05 Lan'!$H75="")),'05 Lan'!$H75,4)</f>
        <v>4</v>
      </c>
      <c r="AG75">
        <f>IF(AND('05 Lan'!E75&lt;Tmax, NOT('05 Lan'!$H75="")),'05 Lan'!$H75,4)</f>
        <v>4</v>
      </c>
      <c r="AH75">
        <f>IF(AND('05 Lan'!F75&lt;Tmax, NOT('05 Lan'!$H75="")),'05 Lan'!$H75,4)</f>
        <v>4</v>
      </c>
      <c r="AI75"/>
    </row>
    <row r="76" spans="1:35" outlineLevel="2" x14ac:dyDescent="0.2">
      <c r="A76" s="870" t="s">
        <v>3578</v>
      </c>
      <c r="B76" s="870" t="s">
        <v>2439</v>
      </c>
      <c r="C76" s="786"/>
      <c r="D76" s="866"/>
      <c r="E76" s="866"/>
      <c r="F76" s="866"/>
      <c r="G76" s="1468">
        <v>2</v>
      </c>
      <c r="H76" s="1468"/>
      <c r="I76" s="1467"/>
      <c r="J76" s="1468" t="s">
        <v>1592</v>
      </c>
      <c r="K76" s="1470" t="s">
        <v>6477</v>
      </c>
      <c r="L76" s="1468" t="s">
        <v>3579</v>
      </c>
      <c r="M76" s="867"/>
      <c r="AA76">
        <f>IF(AND('05 Lan'!C76&gt;Tmin, NOT('05 Lan'!$I76="")),'05 Lan'!$I76,0)</f>
        <v>0</v>
      </c>
      <c r="AB76">
        <f>IF(AND('05 Lan'!D76&gt;Tmin, NOT('05 Lan'!$I76="")),'05 Lan'!$I76,0)</f>
        <v>0</v>
      </c>
      <c r="AC76">
        <f>IF(AND('05 Lan'!E76&gt;Tmin, NOT('05 Lan'!$I76="")),'05 Lan'!$I76,0)</f>
        <v>0</v>
      </c>
      <c r="AD76">
        <f>IF(AND('05 Lan'!F76&gt;Tmin, NOT('05 Lan'!$I76="")),'05 Lan'!$I76,0)</f>
        <v>0</v>
      </c>
      <c r="AE76">
        <f>IF(AND('05 Lan'!C76&lt;Tmax, NOT('05 Lan'!$H76="")),'05 Lan'!$H76,4)</f>
        <v>4</v>
      </c>
      <c r="AF76">
        <f>IF(AND('05 Lan'!D76&lt;Tmax, NOT('05 Lan'!$H76="")),'05 Lan'!$H76,4)</f>
        <v>4</v>
      </c>
      <c r="AG76">
        <f>IF(AND('05 Lan'!E76&lt;Tmax, NOT('05 Lan'!$H76="")),'05 Lan'!$H76,4)</f>
        <v>4</v>
      </c>
      <c r="AH76">
        <f>IF(AND('05 Lan'!F76&lt;Tmax, NOT('05 Lan'!$H76="")),'05 Lan'!$H76,4)</f>
        <v>4</v>
      </c>
      <c r="AI76"/>
    </row>
    <row r="77" spans="1:35" ht="90" customHeight="1" outlineLevel="2" x14ac:dyDescent="0.2">
      <c r="A77" s="870" t="s">
        <v>3580</v>
      </c>
      <c r="B77" s="870" t="s">
        <v>2409</v>
      </c>
      <c r="C77" s="786"/>
      <c r="D77" s="866"/>
      <c r="E77" s="866"/>
      <c r="F77" s="866"/>
      <c r="G77" s="1468">
        <v>4</v>
      </c>
      <c r="H77" s="1468">
        <v>2</v>
      </c>
      <c r="I77" s="1467"/>
      <c r="J77" s="1468" t="s">
        <v>4246</v>
      </c>
      <c r="K77" s="1468"/>
      <c r="L77" s="1468"/>
      <c r="M77" s="867"/>
      <c r="AA77">
        <f>IF(AND('05 Lan'!C77&gt;Tmin, NOT('05 Lan'!$I77="")),'05 Lan'!$I77,0)</f>
        <v>0</v>
      </c>
      <c r="AB77">
        <f>IF(AND('05 Lan'!D77&gt;Tmin, NOT('05 Lan'!$I77="")),'05 Lan'!$I77,0)</f>
        <v>0</v>
      </c>
      <c r="AC77">
        <f>IF(AND('05 Lan'!E77&gt;Tmin, NOT('05 Lan'!$I77="")),'05 Lan'!$I77,0)</f>
        <v>0</v>
      </c>
      <c r="AD77">
        <f>IF(AND('05 Lan'!F77&gt;Tmin, NOT('05 Lan'!$I77="")),'05 Lan'!$I77,0)</f>
        <v>0</v>
      </c>
      <c r="AE77">
        <f>IF(AND('05 Lan'!C77&lt;Tmax, NOT('05 Lan'!$H77="")),'05 Lan'!$H77,4)</f>
        <v>2</v>
      </c>
      <c r="AF77">
        <f>IF(AND('05 Lan'!D77&lt;Tmax, NOT('05 Lan'!$H77="")),'05 Lan'!$H77,4)</f>
        <v>2</v>
      </c>
      <c r="AG77">
        <f>IF(AND('05 Lan'!E77&lt;Tmax, NOT('05 Lan'!$H77="")),'05 Lan'!$H77,4)</f>
        <v>2</v>
      </c>
      <c r="AH77">
        <f>IF(AND('05 Lan'!F77&lt;Tmax, NOT('05 Lan'!$H77="")),'05 Lan'!$H77,4)</f>
        <v>2</v>
      </c>
      <c r="AI77"/>
    </row>
    <row r="78" spans="1:35" ht="45" outlineLevel="2" x14ac:dyDescent="0.2">
      <c r="A78" s="870" t="s">
        <v>3581</v>
      </c>
      <c r="B78" s="870" t="s">
        <v>5140</v>
      </c>
      <c r="C78" s="786"/>
      <c r="D78" s="866"/>
      <c r="E78" s="866"/>
      <c r="F78" s="866"/>
      <c r="G78" s="1468">
        <v>4</v>
      </c>
      <c r="H78" s="1468">
        <v>2</v>
      </c>
      <c r="I78" s="1467"/>
      <c r="J78" s="1468" t="s">
        <v>1592</v>
      </c>
      <c r="K78" s="1468"/>
      <c r="L78" s="1468"/>
      <c r="M78" s="867"/>
      <c r="AA78">
        <f>IF(AND('05 Lan'!C78&gt;Tmin, NOT('05 Lan'!$I78="")),'05 Lan'!$I78,0)</f>
        <v>0</v>
      </c>
      <c r="AB78">
        <f>IF(AND('05 Lan'!D78&gt;Tmin, NOT('05 Lan'!$I78="")),'05 Lan'!$I78,0)</f>
        <v>0</v>
      </c>
      <c r="AC78">
        <f>IF(AND('05 Lan'!E78&gt;Tmin, NOT('05 Lan'!$I78="")),'05 Lan'!$I78,0)</f>
        <v>0</v>
      </c>
      <c r="AD78">
        <f>IF(AND('05 Lan'!F78&gt;Tmin, NOT('05 Lan'!$I78="")),'05 Lan'!$I78,0)</f>
        <v>0</v>
      </c>
      <c r="AE78">
        <f>IF(AND('05 Lan'!C78&lt;Tmax, NOT('05 Lan'!$H78="")),'05 Lan'!$H78,4)</f>
        <v>2</v>
      </c>
      <c r="AF78">
        <f>IF(AND('05 Lan'!D78&lt;Tmax, NOT('05 Lan'!$H78="")),'05 Lan'!$H78,4)</f>
        <v>2</v>
      </c>
      <c r="AG78">
        <f>IF(AND('05 Lan'!E78&lt;Tmax, NOT('05 Lan'!$H78="")),'05 Lan'!$H78,4)</f>
        <v>2</v>
      </c>
      <c r="AH78">
        <f>IF(AND('05 Lan'!F78&lt;Tmax, NOT('05 Lan'!$H78="")),'05 Lan'!$H78,4)</f>
        <v>2</v>
      </c>
      <c r="AI78"/>
    </row>
    <row r="79" spans="1:35" ht="22.5" outlineLevel="2" x14ac:dyDescent="0.2">
      <c r="A79" s="870" t="s">
        <v>4429</v>
      </c>
      <c r="B79" s="870" t="s">
        <v>5141</v>
      </c>
      <c r="C79" s="786"/>
      <c r="D79" s="866"/>
      <c r="E79" s="866"/>
      <c r="F79" s="866"/>
      <c r="G79" s="1468">
        <v>2</v>
      </c>
      <c r="H79" s="1468"/>
      <c r="I79" s="1467"/>
      <c r="J79" s="1468" t="s">
        <v>2329</v>
      </c>
      <c r="K79" s="1468"/>
      <c r="L79" s="1468"/>
      <c r="M79" s="867"/>
      <c r="AA79">
        <f>IF(AND('05 Lan'!C79&gt;Tmin, NOT('05 Lan'!$I79="")),'05 Lan'!$I79,0)</f>
        <v>0</v>
      </c>
      <c r="AB79">
        <f>IF(AND('05 Lan'!D79&gt;Tmin, NOT('05 Lan'!$I79="")),'05 Lan'!$I79,0)</f>
        <v>0</v>
      </c>
      <c r="AC79">
        <f>IF(AND('05 Lan'!E79&gt;Tmin, NOT('05 Lan'!$I79="")),'05 Lan'!$I79,0)</f>
        <v>0</v>
      </c>
      <c r="AD79">
        <f>IF(AND('05 Lan'!F79&gt;Tmin, NOT('05 Lan'!$I79="")),'05 Lan'!$I79,0)</f>
        <v>0</v>
      </c>
      <c r="AE79">
        <f>IF(AND('05 Lan'!C79&lt;Tmax, NOT('05 Lan'!$H79="")),'05 Lan'!$H79,4)</f>
        <v>4</v>
      </c>
      <c r="AF79">
        <f>IF(AND('05 Lan'!D79&lt;Tmax, NOT('05 Lan'!$H79="")),'05 Lan'!$H79,4)</f>
        <v>4</v>
      </c>
      <c r="AG79">
        <f>IF(AND('05 Lan'!E79&lt;Tmax, NOT('05 Lan'!$H79="")),'05 Lan'!$H79,4)</f>
        <v>4</v>
      </c>
      <c r="AH79">
        <f>IF(AND('05 Lan'!F79&lt;Tmax, NOT('05 Lan'!$H79="")),'05 Lan'!$H79,4)</f>
        <v>4</v>
      </c>
      <c r="AI79"/>
    </row>
    <row r="80" spans="1:35" ht="27" customHeight="1" outlineLevel="2" x14ac:dyDescent="0.2">
      <c r="A80" s="870" t="s">
        <v>4430</v>
      </c>
      <c r="B80" s="870" t="s">
        <v>5087</v>
      </c>
      <c r="C80" s="786"/>
      <c r="D80" s="866"/>
      <c r="E80" s="866"/>
      <c r="F80" s="866"/>
      <c r="G80" s="1468">
        <v>4</v>
      </c>
      <c r="H80" s="1468">
        <v>2</v>
      </c>
      <c r="I80" s="1467"/>
      <c r="J80" s="1468" t="s">
        <v>1592</v>
      </c>
      <c r="K80" s="1468"/>
      <c r="L80" s="1468"/>
      <c r="M80" s="867"/>
      <c r="AA80">
        <f>IF(AND('05 Lan'!C80&gt;Tmin, NOT('05 Lan'!$I80="")),'05 Lan'!$I80,0)</f>
        <v>0</v>
      </c>
      <c r="AB80">
        <f>IF(AND('05 Lan'!D80&gt;Tmin, NOT('05 Lan'!$I80="")),'05 Lan'!$I80,0)</f>
        <v>0</v>
      </c>
      <c r="AC80">
        <f>IF(AND('05 Lan'!E80&gt;Tmin, NOT('05 Lan'!$I80="")),'05 Lan'!$I80,0)</f>
        <v>0</v>
      </c>
      <c r="AD80">
        <f>IF(AND('05 Lan'!F80&gt;Tmin, NOT('05 Lan'!$I80="")),'05 Lan'!$I80,0)</f>
        <v>0</v>
      </c>
      <c r="AE80">
        <f>IF(AND('05 Lan'!C80&lt;Tmax, NOT('05 Lan'!$H80="")),'05 Lan'!$H80,4)</f>
        <v>2</v>
      </c>
      <c r="AF80">
        <f>IF(AND('05 Lan'!D80&lt;Tmax, NOT('05 Lan'!$H80="")),'05 Lan'!$H80,4)</f>
        <v>2</v>
      </c>
      <c r="AG80">
        <f>IF(AND('05 Lan'!E80&lt;Tmax, NOT('05 Lan'!$H80="")),'05 Lan'!$H80,4)</f>
        <v>2</v>
      </c>
      <c r="AH80">
        <f>IF(AND('05 Lan'!F80&lt;Tmax, NOT('05 Lan'!$H80="")),'05 Lan'!$H80,4)</f>
        <v>2</v>
      </c>
      <c r="AI80"/>
    </row>
    <row r="81" spans="1:35" ht="58.5" customHeight="1" outlineLevel="2" x14ac:dyDescent="0.2">
      <c r="A81" s="870" t="s">
        <v>4431</v>
      </c>
      <c r="B81" s="870" t="s">
        <v>5142</v>
      </c>
      <c r="C81" s="786"/>
      <c r="D81" s="866"/>
      <c r="E81" s="866"/>
      <c r="F81" s="866"/>
      <c r="G81" s="1468">
        <v>4</v>
      </c>
      <c r="H81" s="1468">
        <v>3</v>
      </c>
      <c r="I81" s="1467"/>
      <c r="J81" s="1468" t="s">
        <v>2349</v>
      </c>
      <c r="K81" s="1468"/>
      <c r="L81" s="1468"/>
      <c r="M81" s="867"/>
      <c r="AA81">
        <f>IF(AND('05 Lan'!C81&gt;Tmin, NOT('05 Lan'!$I81="")),'05 Lan'!$I81,0)</f>
        <v>0</v>
      </c>
      <c r="AB81">
        <f>IF(AND('05 Lan'!D81&gt;Tmin, NOT('05 Lan'!$I81="")),'05 Lan'!$I81,0)</f>
        <v>0</v>
      </c>
      <c r="AC81">
        <f>IF(AND('05 Lan'!E81&gt;Tmin, NOT('05 Lan'!$I81="")),'05 Lan'!$I81,0)</f>
        <v>0</v>
      </c>
      <c r="AD81">
        <f>IF(AND('05 Lan'!F81&gt;Tmin, NOT('05 Lan'!$I81="")),'05 Lan'!$I81,0)</f>
        <v>0</v>
      </c>
      <c r="AE81">
        <f>IF(AND('05 Lan'!C81&lt;Tmax, NOT('05 Lan'!$H81="")),'05 Lan'!$H81,4)</f>
        <v>3</v>
      </c>
      <c r="AF81">
        <f>IF(AND('05 Lan'!D81&lt;Tmax, NOT('05 Lan'!$H81="")),'05 Lan'!$H81,4)</f>
        <v>3</v>
      </c>
      <c r="AG81">
        <f>IF(AND('05 Lan'!E81&lt;Tmax, NOT('05 Lan'!$H81="")),'05 Lan'!$H81,4)</f>
        <v>3</v>
      </c>
      <c r="AH81">
        <f>IF(AND('05 Lan'!F81&lt;Tmax, NOT('05 Lan'!$H81="")),'05 Lan'!$H81,4)</f>
        <v>3</v>
      </c>
      <c r="AI81"/>
    </row>
    <row r="82" spans="1:35" ht="22.5" outlineLevel="2" x14ac:dyDescent="0.2">
      <c r="A82" s="870" t="s">
        <v>4432</v>
      </c>
      <c r="B82" s="870" t="s">
        <v>5101</v>
      </c>
      <c r="C82" s="786"/>
      <c r="D82" s="866"/>
      <c r="E82" s="866"/>
      <c r="F82" s="866"/>
      <c r="G82" s="1468">
        <v>4</v>
      </c>
      <c r="H82" s="1468">
        <v>2</v>
      </c>
      <c r="I82" s="1467"/>
      <c r="J82" s="1468" t="s">
        <v>2109</v>
      </c>
      <c r="K82" s="1468" t="s">
        <v>6477</v>
      </c>
      <c r="L82" s="1468" t="s">
        <v>4434</v>
      </c>
      <c r="M82" s="867"/>
      <c r="AA82">
        <f>IF(AND('05 Lan'!C82&gt;Tmin, NOT('05 Lan'!$I82="")),'05 Lan'!$I82,0)</f>
        <v>0</v>
      </c>
      <c r="AB82">
        <f>IF(AND('05 Lan'!D82&gt;Tmin, NOT('05 Lan'!$I82="")),'05 Lan'!$I82,0)</f>
        <v>0</v>
      </c>
      <c r="AC82">
        <f>IF(AND('05 Lan'!E82&gt;Tmin, NOT('05 Lan'!$I82="")),'05 Lan'!$I82,0)</f>
        <v>0</v>
      </c>
      <c r="AD82">
        <f>IF(AND('05 Lan'!F82&gt;Tmin, NOT('05 Lan'!$I82="")),'05 Lan'!$I82,0)</f>
        <v>0</v>
      </c>
      <c r="AE82">
        <f>IF(AND('05 Lan'!C82&lt;Tmax, NOT('05 Lan'!$H82="")),'05 Lan'!$H82,4)</f>
        <v>2</v>
      </c>
      <c r="AF82">
        <f>IF(AND('05 Lan'!D82&lt;Tmax, NOT('05 Lan'!$H82="")),'05 Lan'!$H82,4)</f>
        <v>2</v>
      </c>
      <c r="AG82">
        <f>IF(AND('05 Lan'!E82&lt;Tmax, NOT('05 Lan'!$H82="")),'05 Lan'!$H82,4)</f>
        <v>2</v>
      </c>
      <c r="AH82">
        <f>IF(AND('05 Lan'!F82&lt;Tmax, NOT('05 Lan'!$H82="")),'05 Lan'!$H82,4)</f>
        <v>2</v>
      </c>
      <c r="AI82"/>
    </row>
    <row r="83" spans="1:35" outlineLevel="1" x14ac:dyDescent="0.2">
      <c r="A83" s="868" t="s">
        <v>1456</v>
      </c>
      <c r="B83" s="869" t="s">
        <v>1457</v>
      </c>
      <c r="C83" s="786"/>
      <c r="D83" s="866"/>
      <c r="E83" s="866"/>
      <c r="F83" s="866"/>
      <c r="G83" s="1468"/>
      <c r="H83" s="1468"/>
      <c r="I83" s="1467"/>
      <c r="J83" s="1467"/>
      <c r="K83" s="1468"/>
      <c r="L83" s="1468"/>
      <c r="M83" s="867"/>
      <c r="AA83"/>
      <c r="AB83"/>
      <c r="AC83"/>
      <c r="AD83"/>
      <c r="AE83"/>
      <c r="AF83"/>
      <c r="AG83"/>
      <c r="AH83"/>
      <c r="AI83"/>
    </row>
    <row r="84" spans="1:35" ht="22.5" outlineLevel="2" x14ac:dyDescent="0.2">
      <c r="A84" s="870" t="s">
        <v>2530</v>
      </c>
      <c r="B84" s="870" t="s">
        <v>3590</v>
      </c>
      <c r="C84" s="786"/>
      <c r="D84" s="866"/>
      <c r="E84" s="866"/>
      <c r="F84" s="866"/>
      <c r="G84" s="1468">
        <v>4</v>
      </c>
      <c r="H84" s="1468">
        <v>2</v>
      </c>
      <c r="I84" s="1467"/>
      <c r="J84" s="1468" t="s">
        <v>4246</v>
      </c>
      <c r="K84" s="1468" t="s">
        <v>5107</v>
      </c>
      <c r="L84" s="1468"/>
      <c r="M84" s="867"/>
      <c r="AA84">
        <f>IF(AND('05 Lan'!C84&gt;Tmin, NOT('05 Lan'!$I84="")),'05 Lan'!$I84,0)</f>
        <v>0</v>
      </c>
      <c r="AB84">
        <f>IF(AND('05 Lan'!D84&gt;Tmin, NOT('05 Lan'!$I84="")),'05 Lan'!$I84,0)</f>
        <v>0</v>
      </c>
      <c r="AC84">
        <f>IF(AND('05 Lan'!E84&gt;Tmin, NOT('05 Lan'!$I84="")),'05 Lan'!$I84,0)</f>
        <v>0</v>
      </c>
      <c r="AD84">
        <f>IF(AND('05 Lan'!F84&gt;Tmin, NOT('05 Lan'!$I84="")),'05 Lan'!$I84,0)</f>
        <v>0</v>
      </c>
      <c r="AE84">
        <f>IF(AND('05 Lan'!C84&lt;Tmax, NOT('05 Lan'!$H84="")),'05 Lan'!$H84,4)</f>
        <v>2</v>
      </c>
      <c r="AF84">
        <f>IF(AND('05 Lan'!D84&lt;Tmax, NOT('05 Lan'!$H84="")),'05 Lan'!$H84,4)</f>
        <v>2</v>
      </c>
      <c r="AG84">
        <f>IF(AND('05 Lan'!E84&lt;Tmax, NOT('05 Lan'!$H84="")),'05 Lan'!$H84,4)</f>
        <v>2</v>
      </c>
      <c r="AH84">
        <f>IF(AND('05 Lan'!F84&lt;Tmax, NOT('05 Lan'!$H84="")),'05 Lan'!$H84,4)</f>
        <v>2</v>
      </c>
      <c r="AI84"/>
    </row>
    <row r="85" spans="1:35" outlineLevel="2" x14ac:dyDescent="0.2">
      <c r="A85" s="870" t="s">
        <v>3591</v>
      </c>
      <c r="B85" s="870" t="s">
        <v>2440</v>
      </c>
      <c r="C85" s="786"/>
      <c r="D85" s="866"/>
      <c r="E85" s="866"/>
      <c r="F85" s="866"/>
      <c r="G85" s="1468">
        <v>2</v>
      </c>
      <c r="H85" s="1468"/>
      <c r="I85" s="1467"/>
      <c r="J85" s="1468" t="s">
        <v>1592</v>
      </c>
      <c r="K85" s="1468" t="s">
        <v>5107</v>
      </c>
      <c r="L85" s="1468"/>
      <c r="M85" s="867"/>
      <c r="AA85">
        <f>IF(AND('05 Lan'!C85&gt;Tmin, NOT('05 Lan'!$I85="")),'05 Lan'!$I85,0)</f>
        <v>0</v>
      </c>
      <c r="AB85">
        <f>IF(AND('05 Lan'!D85&gt;Tmin, NOT('05 Lan'!$I85="")),'05 Lan'!$I85,0)</f>
        <v>0</v>
      </c>
      <c r="AC85">
        <f>IF(AND('05 Lan'!E85&gt;Tmin, NOT('05 Lan'!$I85="")),'05 Lan'!$I85,0)</f>
        <v>0</v>
      </c>
      <c r="AD85">
        <f>IF(AND('05 Lan'!F85&gt;Tmin, NOT('05 Lan'!$I85="")),'05 Lan'!$I85,0)</f>
        <v>0</v>
      </c>
      <c r="AE85">
        <f>IF(AND('05 Lan'!C85&lt;Tmax, NOT('05 Lan'!$H85="")),'05 Lan'!$H85,4)</f>
        <v>4</v>
      </c>
      <c r="AF85">
        <f>IF(AND('05 Lan'!D85&lt;Tmax, NOT('05 Lan'!$H85="")),'05 Lan'!$H85,4)</f>
        <v>4</v>
      </c>
      <c r="AG85">
        <f>IF(AND('05 Lan'!E85&lt;Tmax, NOT('05 Lan'!$H85="")),'05 Lan'!$H85,4)</f>
        <v>4</v>
      </c>
      <c r="AH85">
        <f>IF(AND('05 Lan'!F85&lt;Tmax, NOT('05 Lan'!$H85="")),'05 Lan'!$H85,4)</f>
        <v>4</v>
      </c>
      <c r="AI85"/>
    </row>
    <row r="86" spans="1:35" ht="69.75" customHeight="1" outlineLevel="2" x14ac:dyDescent="0.2">
      <c r="A86" s="870" t="s">
        <v>3593</v>
      </c>
      <c r="B86" s="870" t="s">
        <v>1341</v>
      </c>
      <c r="C86" s="786"/>
      <c r="D86" s="866"/>
      <c r="E86" s="866"/>
      <c r="F86" s="866"/>
      <c r="G86" s="1468">
        <v>4</v>
      </c>
      <c r="H86" s="1468">
        <v>2</v>
      </c>
      <c r="I86" s="1467"/>
      <c r="J86" s="1468" t="s">
        <v>2329</v>
      </c>
      <c r="K86" s="1468" t="s">
        <v>7112</v>
      </c>
      <c r="L86" s="1468" t="s">
        <v>3579</v>
      </c>
      <c r="M86" s="867"/>
      <c r="AA86">
        <f>IF(AND('05 Lan'!C86&gt;Tmin, NOT('05 Lan'!$I86="")),'05 Lan'!$I86,0)</f>
        <v>0</v>
      </c>
      <c r="AB86">
        <f>IF(AND('05 Lan'!D86&gt;Tmin, NOT('05 Lan'!$I86="")),'05 Lan'!$I86,0)</f>
        <v>0</v>
      </c>
      <c r="AC86">
        <f>IF(AND('05 Lan'!E86&gt;Tmin, NOT('05 Lan'!$I86="")),'05 Lan'!$I86,0)</f>
        <v>0</v>
      </c>
      <c r="AD86">
        <f>IF(AND('05 Lan'!F86&gt;Tmin, NOT('05 Lan'!$I86="")),'05 Lan'!$I86,0)</f>
        <v>0</v>
      </c>
      <c r="AE86">
        <f>IF(AND('05 Lan'!C86&lt;Tmax, NOT('05 Lan'!$H86="")),'05 Lan'!$H86,4)</f>
        <v>2</v>
      </c>
      <c r="AF86">
        <f>IF(AND('05 Lan'!D86&lt;Tmax, NOT('05 Lan'!$H86="")),'05 Lan'!$H86,4)</f>
        <v>2</v>
      </c>
      <c r="AG86">
        <f>IF(AND('05 Lan'!E86&lt;Tmax, NOT('05 Lan'!$H86="")),'05 Lan'!$H86,4)</f>
        <v>2</v>
      </c>
      <c r="AH86">
        <f>IF(AND('05 Lan'!F86&lt;Tmax, NOT('05 Lan'!$H86="")),'05 Lan'!$H86,4)</f>
        <v>2</v>
      </c>
      <c r="AI86"/>
    </row>
    <row r="87" spans="1:35" ht="24.75" customHeight="1" outlineLevel="2" x14ac:dyDescent="0.2">
      <c r="A87" s="870" t="s">
        <v>3594</v>
      </c>
      <c r="B87" s="870" t="s">
        <v>6849</v>
      </c>
      <c r="C87" s="786"/>
      <c r="D87" s="866"/>
      <c r="E87" s="866"/>
      <c r="F87" s="866"/>
      <c r="G87" s="1468">
        <v>2</v>
      </c>
      <c r="H87" s="1468"/>
      <c r="I87" s="1467"/>
      <c r="J87" s="1468" t="s">
        <v>1592</v>
      </c>
      <c r="K87" s="1468" t="s">
        <v>7113</v>
      </c>
      <c r="L87" s="1468" t="s">
        <v>4434</v>
      </c>
      <c r="M87" s="867"/>
      <c r="AA87">
        <f>IF(AND('05 Lan'!C87&gt;Tmin, NOT('05 Lan'!$I87="")),'05 Lan'!$I87,0)</f>
        <v>0</v>
      </c>
      <c r="AB87">
        <f>IF(AND('05 Lan'!D87&gt;Tmin, NOT('05 Lan'!$I87="")),'05 Lan'!$I87,0)</f>
        <v>0</v>
      </c>
      <c r="AC87">
        <f>IF(AND('05 Lan'!E87&gt;Tmin, NOT('05 Lan'!$I87="")),'05 Lan'!$I87,0)</f>
        <v>0</v>
      </c>
      <c r="AD87">
        <f>IF(AND('05 Lan'!F87&gt;Tmin, NOT('05 Lan'!$I87="")),'05 Lan'!$I87,0)</f>
        <v>0</v>
      </c>
      <c r="AE87">
        <f>IF(AND('05 Lan'!C87&lt;Tmax, NOT('05 Lan'!$H87="")),'05 Lan'!$H87,4)</f>
        <v>4</v>
      </c>
      <c r="AF87">
        <f>IF(AND('05 Lan'!D87&lt;Tmax, NOT('05 Lan'!$H87="")),'05 Lan'!$H87,4)</f>
        <v>4</v>
      </c>
      <c r="AG87">
        <f>IF(AND('05 Lan'!E87&lt;Tmax, NOT('05 Lan'!$H87="")),'05 Lan'!$H87,4)</f>
        <v>4</v>
      </c>
      <c r="AH87">
        <f>IF(AND('05 Lan'!F87&lt;Tmax, NOT('05 Lan'!$H87="")),'05 Lan'!$H87,4)</f>
        <v>4</v>
      </c>
      <c r="AI87"/>
    </row>
    <row r="88" spans="1:35" ht="27" customHeight="1" outlineLevel="2" x14ac:dyDescent="0.2">
      <c r="A88" s="870" t="s">
        <v>3595</v>
      </c>
      <c r="B88" s="870" t="s">
        <v>6850</v>
      </c>
      <c r="C88" s="786"/>
      <c r="D88" s="866"/>
      <c r="E88" s="866"/>
      <c r="F88" s="866"/>
      <c r="G88" s="1468">
        <v>2</v>
      </c>
      <c r="H88" s="1468"/>
      <c r="I88" s="1467"/>
      <c r="J88" s="1468" t="s">
        <v>2329</v>
      </c>
      <c r="K88" s="1468" t="s">
        <v>7113</v>
      </c>
      <c r="L88" s="1468" t="s">
        <v>4434</v>
      </c>
      <c r="M88" s="867"/>
      <c r="AA88">
        <f>IF(AND('05 Lan'!C88&gt;Tmin, NOT('05 Lan'!$I88="")),'05 Lan'!$I88,0)</f>
        <v>0</v>
      </c>
      <c r="AB88">
        <f>IF(AND('05 Lan'!D88&gt;Tmin, NOT('05 Lan'!$I88="")),'05 Lan'!$I88,0)</f>
        <v>0</v>
      </c>
      <c r="AC88">
        <f>IF(AND('05 Lan'!E88&gt;Tmin, NOT('05 Lan'!$I88="")),'05 Lan'!$I88,0)</f>
        <v>0</v>
      </c>
      <c r="AD88">
        <f>IF(AND('05 Lan'!F88&gt;Tmin, NOT('05 Lan'!$I88="")),'05 Lan'!$I88,0)</f>
        <v>0</v>
      </c>
      <c r="AE88">
        <f>IF(AND('05 Lan'!C88&lt;Tmax, NOT('05 Lan'!$H88="")),'05 Lan'!$H88,4)</f>
        <v>4</v>
      </c>
      <c r="AF88">
        <f>IF(AND('05 Lan'!D88&lt;Tmax, NOT('05 Lan'!$H88="")),'05 Lan'!$H88,4)</f>
        <v>4</v>
      </c>
      <c r="AG88">
        <f>IF(AND('05 Lan'!E88&lt;Tmax, NOT('05 Lan'!$H88="")),'05 Lan'!$H88,4)</f>
        <v>4</v>
      </c>
      <c r="AH88">
        <f>IF(AND('05 Lan'!F88&lt;Tmax, NOT('05 Lan'!$H88="")),'05 Lan'!$H88,4)</f>
        <v>4</v>
      </c>
      <c r="AI88"/>
    </row>
    <row r="89" spans="1:35" ht="17.25" customHeight="1" outlineLevel="2" x14ac:dyDescent="0.2">
      <c r="A89" s="870" t="s">
        <v>3596</v>
      </c>
      <c r="B89" s="870" t="s">
        <v>6809</v>
      </c>
      <c r="C89" s="786"/>
      <c r="D89" s="866"/>
      <c r="E89" s="866"/>
      <c r="F89" s="866"/>
      <c r="G89" s="1468">
        <v>1</v>
      </c>
      <c r="H89" s="1468"/>
      <c r="I89" s="1467"/>
      <c r="J89" s="1468" t="s">
        <v>2109</v>
      </c>
      <c r="K89" s="1468" t="s">
        <v>5107</v>
      </c>
      <c r="L89" s="1468"/>
      <c r="M89" s="867"/>
      <c r="AA89">
        <f>IF(AND('05 Lan'!C89&gt;Tmin, NOT('05 Lan'!$I89="")),'05 Lan'!$I89,0)</f>
        <v>0</v>
      </c>
      <c r="AB89">
        <f>IF(AND('05 Lan'!D89&gt;Tmin, NOT('05 Lan'!$I89="")),'05 Lan'!$I89,0)</f>
        <v>0</v>
      </c>
      <c r="AC89">
        <f>IF(AND('05 Lan'!E89&gt;Tmin, NOT('05 Lan'!$I89="")),'05 Lan'!$I89,0)</f>
        <v>0</v>
      </c>
      <c r="AD89">
        <f>IF(AND('05 Lan'!F89&gt;Tmin, NOT('05 Lan'!$I89="")),'05 Lan'!$I89,0)</f>
        <v>0</v>
      </c>
      <c r="AE89">
        <f>IF(AND('05 Lan'!C89&lt;Tmax, NOT('05 Lan'!$H89="")),'05 Lan'!$H89,4)</f>
        <v>4</v>
      </c>
      <c r="AF89">
        <f>IF(AND('05 Lan'!D89&lt;Tmax, NOT('05 Lan'!$H89="")),'05 Lan'!$H89,4)</f>
        <v>4</v>
      </c>
      <c r="AG89">
        <f>IF(AND('05 Lan'!E89&lt;Tmax, NOT('05 Lan'!$H89="")),'05 Lan'!$H89,4)</f>
        <v>4</v>
      </c>
      <c r="AH89">
        <f>IF(AND('05 Lan'!F89&lt;Tmax, NOT('05 Lan'!$H89="")),'05 Lan'!$H89,4)</f>
        <v>4</v>
      </c>
      <c r="AI89"/>
    </row>
    <row r="90" spans="1:35" ht="22.5" outlineLevel="2" x14ac:dyDescent="0.2">
      <c r="A90" s="870" t="s">
        <v>6810</v>
      </c>
      <c r="B90" s="870" t="s">
        <v>6811</v>
      </c>
      <c r="C90" s="786"/>
      <c r="D90" s="866"/>
      <c r="E90" s="866"/>
      <c r="F90" s="866"/>
      <c r="G90" s="1468">
        <v>1</v>
      </c>
      <c r="H90" s="1468">
        <v>2</v>
      </c>
      <c r="I90" s="1467"/>
      <c r="J90" s="1468" t="s">
        <v>2109</v>
      </c>
      <c r="K90" s="1468" t="s">
        <v>7113</v>
      </c>
      <c r="L90" s="1468" t="s">
        <v>4434</v>
      </c>
      <c r="M90" s="867"/>
      <c r="AA90">
        <f>IF(AND('05 Lan'!C90&gt;Tmin, NOT('05 Lan'!$I90="")),'05 Lan'!$I90,0)</f>
        <v>0</v>
      </c>
      <c r="AB90">
        <f>IF(AND('05 Lan'!D90&gt;Tmin, NOT('05 Lan'!$I90="")),'05 Lan'!$I90,0)</f>
        <v>0</v>
      </c>
      <c r="AC90">
        <f>IF(AND('05 Lan'!E90&gt;Tmin, NOT('05 Lan'!$I90="")),'05 Lan'!$I90,0)</f>
        <v>0</v>
      </c>
      <c r="AD90">
        <f>IF(AND('05 Lan'!F90&gt;Tmin, NOT('05 Lan'!$I90="")),'05 Lan'!$I90,0)</f>
        <v>0</v>
      </c>
      <c r="AE90">
        <f>IF(AND('05 Lan'!C90&lt;Tmax, NOT('05 Lan'!$H90="")),'05 Lan'!$H90,4)</f>
        <v>2</v>
      </c>
      <c r="AF90">
        <f>IF(AND('05 Lan'!D90&lt;Tmax, NOT('05 Lan'!$H90="")),'05 Lan'!$H90,4)</f>
        <v>2</v>
      </c>
      <c r="AG90">
        <f>IF(AND('05 Lan'!E90&lt;Tmax, NOT('05 Lan'!$H90="")),'05 Lan'!$H90,4)</f>
        <v>2</v>
      </c>
      <c r="AH90">
        <f>IF(AND('05 Lan'!F90&lt;Tmax, NOT('05 Lan'!$H90="")),'05 Lan'!$H90,4)</f>
        <v>2</v>
      </c>
      <c r="AI90"/>
    </row>
    <row r="91" spans="1:35" ht="35.25" customHeight="1" outlineLevel="1" x14ac:dyDescent="0.2">
      <c r="A91" s="868" t="s">
        <v>1458</v>
      </c>
      <c r="B91" s="869" t="s">
        <v>6503</v>
      </c>
      <c r="C91" s="786"/>
      <c r="D91" s="866"/>
      <c r="E91" s="866"/>
      <c r="F91" s="866"/>
      <c r="G91" s="1467"/>
      <c r="H91" s="1467"/>
      <c r="I91" s="1467"/>
      <c r="J91" s="1467"/>
      <c r="K91" s="1468"/>
      <c r="L91" s="1468"/>
      <c r="M91" s="867"/>
      <c r="AA91"/>
      <c r="AB91"/>
      <c r="AC91"/>
      <c r="AD91"/>
      <c r="AE91"/>
      <c r="AF91"/>
      <c r="AG91"/>
      <c r="AH91"/>
      <c r="AI91"/>
    </row>
    <row r="92" spans="1:35" ht="13.5" customHeight="1" outlineLevel="2" x14ac:dyDescent="0.2">
      <c r="A92" s="870" t="s">
        <v>6812</v>
      </c>
      <c r="B92" s="870" t="s">
        <v>1721</v>
      </c>
      <c r="C92" s="786"/>
      <c r="D92" s="866"/>
      <c r="E92" s="866"/>
      <c r="F92" s="866"/>
      <c r="G92" s="1468">
        <v>4</v>
      </c>
      <c r="H92" s="1468">
        <v>1</v>
      </c>
      <c r="I92" s="1468"/>
      <c r="J92" s="1468" t="s">
        <v>4246</v>
      </c>
      <c r="K92" s="1468"/>
      <c r="L92" s="1468"/>
      <c r="M92" s="867"/>
      <c r="AA92">
        <f>IF(AND('05 Lan'!C92&gt;Tmin, NOT('05 Lan'!$I92="")),'05 Lan'!$I92,0)</f>
        <v>0</v>
      </c>
      <c r="AB92">
        <f>IF(AND('05 Lan'!D92&gt;Tmin, NOT('05 Lan'!$I92="")),'05 Lan'!$I92,0)</f>
        <v>0</v>
      </c>
      <c r="AC92">
        <f>IF(AND('05 Lan'!E92&gt;Tmin, NOT('05 Lan'!$I92="")),'05 Lan'!$I92,0)</f>
        <v>0</v>
      </c>
      <c r="AD92">
        <f>IF(AND('05 Lan'!F92&gt;Tmin, NOT('05 Lan'!$I92="")),'05 Lan'!$I92,0)</f>
        <v>0</v>
      </c>
      <c r="AE92">
        <f>IF(AND('05 Lan'!C92&lt;Tmax, NOT('05 Lan'!$H92="")),'05 Lan'!$H92,4)</f>
        <v>1</v>
      </c>
      <c r="AF92">
        <f>IF(AND('05 Lan'!D92&lt;Tmax, NOT('05 Lan'!$H92="")),'05 Lan'!$H92,4)</f>
        <v>1</v>
      </c>
      <c r="AG92">
        <f>IF(AND('05 Lan'!E92&lt;Tmax, NOT('05 Lan'!$H92="")),'05 Lan'!$H92,4)</f>
        <v>1</v>
      </c>
      <c r="AH92">
        <f>IF(AND('05 Lan'!F92&lt;Tmax, NOT('05 Lan'!$H92="")),'05 Lan'!$H92,4)</f>
        <v>1</v>
      </c>
      <c r="AI92"/>
    </row>
    <row r="93" spans="1:35" ht="82.5" customHeight="1" outlineLevel="2" x14ac:dyDescent="0.2">
      <c r="A93" s="870" t="s">
        <v>6813</v>
      </c>
      <c r="B93" s="870" t="s">
        <v>1216</v>
      </c>
      <c r="C93" s="786"/>
      <c r="D93" s="866"/>
      <c r="E93" s="866"/>
      <c r="F93" s="866"/>
      <c r="G93" s="1468">
        <v>4</v>
      </c>
      <c r="H93" s="1468">
        <v>2</v>
      </c>
      <c r="I93" s="1468"/>
      <c r="J93" s="1468" t="s">
        <v>1592</v>
      </c>
      <c r="K93" s="1468"/>
      <c r="L93" s="1468" t="s">
        <v>6814</v>
      </c>
      <c r="M93" s="867"/>
      <c r="AA93">
        <f>IF(AND('05 Lan'!C93&gt;Tmin, NOT('05 Lan'!$I93="")),'05 Lan'!$I93,0)</f>
        <v>0</v>
      </c>
      <c r="AB93">
        <f>IF(AND('05 Lan'!D93&gt;Tmin, NOT('05 Lan'!$I93="")),'05 Lan'!$I93,0)</f>
        <v>0</v>
      </c>
      <c r="AC93">
        <f>IF(AND('05 Lan'!E93&gt;Tmin, NOT('05 Lan'!$I93="")),'05 Lan'!$I93,0)</f>
        <v>0</v>
      </c>
      <c r="AD93">
        <f>IF(AND('05 Lan'!F93&gt;Tmin, NOT('05 Lan'!$I93="")),'05 Lan'!$I93,0)</f>
        <v>0</v>
      </c>
      <c r="AE93">
        <f>IF(AND('05 Lan'!C93&lt;Tmax, NOT('05 Lan'!$H93="")),'05 Lan'!$H93,4)</f>
        <v>2</v>
      </c>
      <c r="AF93">
        <f>IF(AND('05 Lan'!D93&lt;Tmax, NOT('05 Lan'!$H93="")),'05 Lan'!$H93,4)</f>
        <v>2</v>
      </c>
      <c r="AG93">
        <f>IF(AND('05 Lan'!E93&lt;Tmax, NOT('05 Lan'!$H93="")),'05 Lan'!$H93,4)</f>
        <v>2</v>
      </c>
      <c r="AH93">
        <f>IF(AND('05 Lan'!F93&lt;Tmax, NOT('05 Lan'!$H93="")),'05 Lan'!$H93,4)</f>
        <v>2</v>
      </c>
      <c r="AI93"/>
    </row>
    <row r="94" spans="1:35" ht="51.75" customHeight="1" outlineLevel="2" x14ac:dyDescent="0.2">
      <c r="A94" s="870" t="s">
        <v>6815</v>
      </c>
      <c r="B94" s="870" t="s">
        <v>5371</v>
      </c>
      <c r="C94" s="786"/>
      <c r="D94" s="866"/>
      <c r="E94" s="866"/>
      <c r="F94" s="866"/>
      <c r="G94" s="1468">
        <v>4</v>
      </c>
      <c r="H94" s="1468">
        <v>2</v>
      </c>
      <c r="I94" s="1468"/>
      <c r="J94" s="1468" t="s">
        <v>2329</v>
      </c>
      <c r="K94" s="1468"/>
      <c r="L94" s="1468"/>
      <c r="M94" s="867"/>
      <c r="AA94">
        <f>IF(AND('05 Lan'!C94&gt;Tmin, NOT('05 Lan'!$I94="")),'05 Lan'!$I94,0)</f>
        <v>0</v>
      </c>
      <c r="AB94">
        <f>IF(AND('05 Lan'!D94&gt;Tmin, NOT('05 Lan'!$I94="")),'05 Lan'!$I94,0)</f>
        <v>0</v>
      </c>
      <c r="AC94">
        <f>IF(AND('05 Lan'!E94&gt;Tmin, NOT('05 Lan'!$I94="")),'05 Lan'!$I94,0)</f>
        <v>0</v>
      </c>
      <c r="AD94">
        <f>IF(AND('05 Lan'!F94&gt;Tmin, NOT('05 Lan'!$I94="")),'05 Lan'!$I94,0)</f>
        <v>0</v>
      </c>
      <c r="AE94">
        <f>IF(AND('05 Lan'!C94&lt;Tmax, NOT('05 Lan'!$H94="")),'05 Lan'!$H94,4)</f>
        <v>2</v>
      </c>
      <c r="AF94">
        <f>IF(AND('05 Lan'!D94&lt;Tmax, NOT('05 Lan'!$H94="")),'05 Lan'!$H94,4)</f>
        <v>2</v>
      </c>
      <c r="AG94">
        <f>IF(AND('05 Lan'!E94&lt;Tmax, NOT('05 Lan'!$H94="")),'05 Lan'!$H94,4)</f>
        <v>2</v>
      </c>
      <c r="AH94">
        <f>IF(AND('05 Lan'!F94&lt;Tmax, NOT('05 Lan'!$H94="")),'05 Lan'!$H94,4)</f>
        <v>2</v>
      </c>
      <c r="AI94"/>
    </row>
    <row r="95" spans="1:35" ht="70.5" customHeight="1" outlineLevel="2" x14ac:dyDescent="0.2">
      <c r="A95" s="870" t="s">
        <v>6816</v>
      </c>
      <c r="B95" s="870" t="s">
        <v>1363</v>
      </c>
      <c r="C95" s="786"/>
      <c r="D95" s="866"/>
      <c r="E95" s="866"/>
      <c r="F95" s="866"/>
      <c r="G95" s="1468">
        <v>4</v>
      </c>
      <c r="H95" s="1468">
        <v>3</v>
      </c>
      <c r="I95" s="1468"/>
      <c r="J95" s="1468" t="s">
        <v>1592</v>
      </c>
      <c r="K95" s="1468"/>
      <c r="L95" s="1468"/>
      <c r="M95" s="867"/>
      <c r="AA95">
        <f>IF(AND('05 Lan'!C95&gt;Tmin, NOT('05 Lan'!$I95="")),'05 Lan'!$I95,0)</f>
        <v>0</v>
      </c>
      <c r="AB95">
        <f>IF(AND('05 Lan'!D95&gt;Tmin, NOT('05 Lan'!$I95="")),'05 Lan'!$I95,0)</f>
        <v>0</v>
      </c>
      <c r="AC95">
        <f>IF(AND('05 Lan'!E95&gt;Tmin, NOT('05 Lan'!$I95="")),'05 Lan'!$I95,0)</f>
        <v>0</v>
      </c>
      <c r="AD95">
        <f>IF(AND('05 Lan'!F95&gt;Tmin, NOT('05 Lan'!$I95="")),'05 Lan'!$I95,0)</f>
        <v>0</v>
      </c>
      <c r="AE95">
        <f>IF(AND('05 Lan'!C95&lt;Tmax, NOT('05 Lan'!$H95="")),'05 Lan'!$H95,4)</f>
        <v>3</v>
      </c>
      <c r="AF95">
        <f>IF(AND('05 Lan'!D95&lt;Tmax, NOT('05 Lan'!$H95="")),'05 Lan'!$H95,4)</f>
        <v>3</v>
      </c>
      <c r="AG95">
        <f>IF(AND('05 Lan'!E95&lt;Tmax, NOT('05 Lan'!$H95="")),'05 Lan'!$H95,4)</f>
        <v>3</v>
      </c>
      <c r="AH95">
        <f>IF(AND('05 Lan'!F95&lt;Tmax, NOT('05 Lan'!$H95="")),'05 Lan'!$H95,4)</f>
        <v>3</v>
      </c>
      <c r="AI95"/>
    </row>
    <row r="96" spans="1:35" ht="60" customHeight="1" outlineLevel="2" x14ac:dyDescent="0.2">
      <c r="A96" s="870" t="s">
        <v>6817</v>
      </c>
      <c r="B96" s="870" t="s">
        <v>2878</v>
      </c>
      <c r="C96" s="786"/>
      <c r="D96" s="866"/>
      <c r="E96" s="866"/>
      <c r="F96" s="866"/>
      <c r="G96" s="1468">
        <v>4</v>
      </c>
      <c r="H96" s="1468">
        <v>3</v>
      </c>
      <c r="I96" s="1468"/>
      <c r="J96" s="1468" t="s">
        <v>2329</v>
      </c>
      <c r="K96" s="1468"/>
      <c r="L96" s="1468"/>
      <c r="M96" s="867"/>
      <c r="AA96">
        <f>IF(AND('05 Lan'!C96&gt;Tmin, NOT('05 Lan'!$I96="")),'05 Lan'!$I96,0)</f>
        <v>0</v>
      </c>
      <c r="AB96">
        <f>IF(AND('05 Lan'!D96&gt;Tmin, NOT('05 Lan'!$I96="")),'05 Lan'!$I96,0)</f>
        <v>0</v>
      </c>
      <c r="AC96">
        <f>IF(AND('05 Lan'!E96&gt;Tmin, NOT('05 Lan'!$I96="")),'05 Lan'!$I96,0)</f>
        <v>0</v>
      </c>
      <c r="AD96">
        <f>IF(AND('05 Lan'!F96&gt;Tmin, NOT('05 Lan'!$I96="")),'05 Lan'!$I96,0)</f>
        <v>0</v>
      </c>
      <c r="AE96">
        <f>IF(AND('05 Lan'!C96&lt;Tmax, NOT('05 Lan'!$H96="")),'05 Lan'!$H96,4)</f>
        <v>3</v>
      </c>
      <c r="AF96">
        <f>IF(AND('05 Lan'!D96&lt;Tmax, NOT('05 Lan'!$H96="")),'05 Lan'!$H96,4)</f>
        <v>3</v>
      </c>
      <c r="AG96">
        <f>IF(AND('05 Lan'!E96&lt;Tmax, NOT('05 Lan'!$H96="")),'05 Lan'!$H96,4)</f>
        <v>3</v>
      </c>
      <c r="AH96">
        <f>IF(AND('05 Lan'!F96&lt;Tmax, NOT('05 Lan'!$H96="")),'05 Lan'!$H96,4)</f>
        <v>3</v>
      </c>
      <c r="AI96"/>
    </row>
    <row r="97" spans="1:35" ht="22.5" outlineLevel="2" x14ac:dyDescent="0.2">
      <c r="A97" s="870" t="s">
        <v>4036</v>
      </c>
      <c r="B97" s="870" t="s">
        <v>4318</v>
      </c>
      <c r="C97" s="786"/>
      <c r="D97" s="866"/>
      <c r="E97" s="866"/>
      <c r="F97" s="866"/>
      <c r="G97" s="1468">
        <v>4</v>
      </c>
      <c r="H97" s="1468">
        <v>2</v>
      </c>
      <c r="I97" s="1468"/>
      <c r="J97" s="1468" t="s">
        <v>1592</v>
      </c>
      <c r="K97" s="1468"/>
      <c r="L97" s="1468"/>
      <c r="M97" s="867"/>
      <c r="AA97">
        <f>IF(AND('05 Lan'!C97&gt;Tmin, NOT('05 Lan'!$I97="")),'05 Lan'!$I97,0)</f>
        <v>0</v>
      </c>
      <c r="AB97">
        <f>IF(AND('05 Lan'!D97&gt;Tmin, NOT('05 Lan'!$I97="")),'05 Lan'!$I97,0)</f>
        <v>0</v>
      </c>
      <c r="AC97">
        <f>IF(AND('05 Lan'!E97&gt;Tmin, NOT('05 Lan'!$I97="")),'05 Lan'!$I97,0)</f>
        <v>0</v>
      </c>
      <c r="AD97">
        <f>IF(AND('05 Lan'!F97&gt;Tmin, NOT('05 Lan'!$I97="")),'05 Lan'!$I97,0)</f>
        <v>0</v>
      </c>
      <c r="AE97">
        <f>IF(AND('05 Lan'!C97&lt;Tmax, NOT('05 Lan'!$H97="")),'05 Lan'!$H97,4)</f>
        <v>2</v>
      </c>
      <c r="AF97">
        <f>IF(AND('05 Lan'!D97&lt;Tmax, NOT('05 Lan'!$H97="")),'05 Lan'!$H97,4)</f>
        <v>2</v>
      </c>
      <c r="AG97">
        <f>IF(AND('05 Lan'!E97&lt;Tmax, NOT('05 Lan'!$H97="")),'05 Lan'!$H97,4)</f>
        <v>2</v>
      </c>
      <c r="AH97">
        <f>IF(AND('05 Lan'!F97&lt;Tmax, NOT('05 Lan'!$H97="")),'05 Lan'!$H97,4)</f>
        <v>2</v>
      </c>
      <c r="AI97"/>
    </row>
    <row r="98" spans="1:35" ht="22.5" outlineLevel="2" x14ac:dyDescent="0.2">
      <c r="A98" s="870" t="s">
        <v>4319</v>
      </c>
      <c r="B98" s="870" t="s">
        <v>5338</v>
      </c>
      <c r="C98" s="786"/>
      <c r="D98" s="866"/>
      <c r="E98" s="866"/>
      <c r="F98" s="866"/>
      <c r="G98" s="1468">
        <v>4</v>
      </c>
      <c r="H98" s="1468">
        <v>2</v>
      </c>
      <c r="I98" s="1468"/>
      <c r="J98" s="1468" t="s">
        <v>1592</v>
      </c>
      <c r="K98" s="1468"/>
      <c r="L98" s="1468"/>
      <c r="M98" s="867"/>
      <c r="AA98">
        <f>IF(AND('05 Lan'!C98&gt;Tmin, NOT('05 Lan'!$I98="")),'05 Lan'!$I98,0)</f>
        <v>0</v>
      </c>
      <c r="AB98">
        <f>IF(AND('05 Lan'!D98&gt;Tmin, NOT('05 Lan'!$I98="")),'05 Lan'!$I98,0)</f>
        <v>0</v>
      </c>
      <c r="AC98">
        <f>IF(AND('05 Lan'!E98&gt;Tmin, NOT('05 Lan'!$I98="")),'05 Lan'!$I98,0)</f>
        <v>0</v>
      </c>
      <c r="AD98">
        <f>IF(AND('05 Lan'!F98&gt;Tmin, NOT('05 Lan'!$I98="")),'05 Lan'!$I98,0)</f>
        <v>0</v>
      </c>
      <c r="AE98">
        <f>IF(AND('05 Lan'!C98&lt;Tmax, NOT('05 Lan'!$H98="")),'05 Lan'!$H98,4)</f>
        <v>2</v>
      </c>
      <c r="AF98">
        <f>IF(AND('05 Lan'!D98&lt;Tmax, NOT('05 Lan'!$H98="")),'05 Lan'!$H98,4)</f>
        <v>2</v>
      </c>
      <c r="AG98">
        <f>IF(AND('05 Lan'!E98&lt;Tmax, NOT('05 Lan'!$H98="")),'05 Lan'!$H98,4)</f>
        <v>2</v>
      </c>
      <c r="AH98">
        <f>IF(AND('05 Lan'!F98&lt;Tmax, NOT('05 Lan'!$H98="")),'05 Lan'!$H98,4)</f>
        <v>2</v>
      </c>
      <c r="AI98"/>
    </row>
    <row r="99" spans="1:35" ht="22.5" outlineLevel="2" x14ac:dyDescent="0.2">
      <c r="A99" s="870" t="s">
        <v>4320</v>
      </c>
      <c r="B99" s="870" t="s">
        <v>5738</v>
      </c>
      <c r="C99" s="786"/>
      <c r="D99" s="866"/>
      <c r="E99" s="866"/>
      <c r="F99" s="866"/>
      <c r="G99" s="1468">
        <v>4</v>
      </c>
      <c r="H99" s="1468">
        <v>2</v>
      </c>
      <c r="I99" s="1468"/>
      <c r="J99" s="1468" t="s">
        <v>2329</v>
      </c>
      <c r="K99" s="1468"/>
      <c r="L99" s="1468"/>
      <c r="M99" s="867"/>
      <c r="AA99">
        <f>IF(AND('05 Lan'!C99&gt;Tmin, NOT('05 Lan'!$I99="")),'05 Lan'!$I99,0)</f>
        <v>0</v>
      </c>
      <c r="AB99">
        <f>IF(AND('05 Lan'!D99&gt;Tmin, NOT('05 Lan'!$I99="")),'05 Lan'!$I99,0)</f>
        <v>0</v>
      </c>
      <c r="AC99">
        <f>IF(AND('05 Lan'!E99&gt;Tmin, NOT('05 Lan'!$I99="")),'05 Lan'!$I99,0)</f>
        <v>0</v>
      </c>
      <c r="AD99">
        <f>IF(AND('05 Lan'!F99&gt;Tmin, NOT('05 Lan'!$I99="")),'05 Lan'!$I99,0)</f>
        <v>0</v>
      </c>
      <c r="AE99">
        <f>IF(AND('05 Lan'!C99&lt;Tmax, NOT('05 Lan'!$H99="")),'05 Lan'!$H99,4)</f>
        <v>2</v>
      </c>
      <c r="AF99">
        <f>IF(AND('05 Lan'!D99&lt;Tmax, NOT('05 Lan'!$H99="")),'05 Lan'!$H99,4)</f>
        <v>2</v>
      </c>
      <c r="AG99">
        <f>IF(AND('05 Lan'!E99&lt;Tmax, NOT('05 Lan'!$H99="")),'05 Lan'!$H99,4)</f>
        <v>2</v>
      </c>
      <c r="AH99">
        <f>IF(AND('05 Lan'!F99&lt;Tmax, NOT('05 Lan'!$H99="")),'05 Lan'!$H99,4)</f>
        <v>2</v>
      </c>
      <c r="AI99"/>
    </row>
    <row r="100" spans="1:35" ht="64.5" customHeight="1" outlineLevel="2" x14ac:dyDescent="0.2">
      <c r="A100" s="870" t="s">
        <v>4321</v>
      </c>
      <c r="B100" s="870" t="s">
        <v>1284</v>
      </c>
      <c r="C100" s="786"/>
      <c r="D100" s="866"/>
      <c r="E100" s="866"/>
      <c r="F100" s="866"/>
      <c r="G100" s="1468">
        <v>4</v>
      </c>
      <c r="H100" s="1468">
        <v>2</v>
      </c>
      <c r="I100" s="1468"/>
      <c r="J100" s="1468" t="s">
        <v>2109</v>
      </c>
      <c r="K100" s="1468"/>
      <c r="L100" s="1468"/>
      <c r="M100" s="867"/>
      <c r="AA100">
        <f>IF(AND('05 Lan'!C100&gt;Tmin, NOT('05 Lan'!$I100="")),'05 Lan'!$I100,0)</f>
        <v>0</v>
      </c>
      <c r="AB100">
        <f>IF(AND('05 Lan'!D100&gt;Tmin, NOT('05 Lan'!$I100="")),'05 Lan'!$I100,0)</f>
        <v>0</v>
      </c>
      <c r="AC100">
        <f>IF(AND('05 Lan'!E100&gt;Tmin, NOT('05 Lan'!$I100="")),'05 Lan'!$I100,0)</f>
        <v>0</v>
      </c>
      <c r="AD100">
        <f>IF(AND('05 Lan'!F100&gt;Tmin, NOT('05 Lan'!$I100="")),'05 Lan'!$I100,0)</f>
        <v>0</v>
      </c>
      <c r="AE100">
        <f>IF(AND('05 Lan'!C100&lt;Tmax, NOT('05 Lan'!$H100="")),'05 Lan'!$H100,4)</f>
        <v>2</v>
      </c>
      <c r="AF100">
        <f>IF(AND('05 Lan'!D100&lt;Tmax, NOT('05 Lan'!$H100="")),'05 Lan'!$H100,4)</f>
        <v>2</v>
      </c>
      <c r="AG100">
        <f>IF(AND('05 Lan'!E100&lt;Tmax, NOT('05 Lan'!$H100="")),'05 Lan'!$H100,4)</f>
        <v>2</v>
      </c>
      <c r="AH100">
        <f>IF(AND('05 Lan'!F100&lt;Tmax, NOT('05 Lan'!$H100="")),'05 Lan'!$H100,4)</f>
        <v>2</v>
      </c>
      <c r="AI100"/>
    </row>
    <row r="101" spans="1:35" ht="38.25" customHeight="1" outlineLevel="2" x14ac:dyDescent="0.2">
      <c r="A101" s="870" t="s">
        <v>4322</v>
      </c>
      <c r="B101" s="870" t="s">
        <v>3164</v>
      </c>
      <c r="C101" s="786"/>
      <c r="D101" s="866"/>
      <c r="E101" s="866"/>
      <c r="F101" s="866"/>
      <c r="G101" s="1468">
        <v>4</v>
      </c>
      <c r="H101" s="1468">
        <v>3</v>
      </c>
      <c r="I101" s="1468"/>
      <c r="J101" s="1468" t="s">
        <v>2109</v>
      </c>
      <c r="K101" s="1468"/>
      <c r="L101" s="1468"/>
      <c r="M101" s="867"/>
      <c r="AA101">
        <f>IF(AND('05 Lan'!C101&gt;Tmin, NOT('05 Lan'!$I101="")),'05 Lan'!$I101,0)</f>
        <v>0</v>
      </c>
      <c r="AB101">
        <f>IF(AND('05 Lan'!D101&gt;Tmin, NOT('05 Lan'!$I101="")),'05 Lan'!$I101,0)</f>
        <v>0</v>
      </c>
      <c r="AC101">
        <f>IF(AND('05 Lan'!E101&gt;Tmin, NOT('05 Lan'!$I101="")),'05 Lan'!$I101,0)</f>
        <v>0</v>
      </c>
      <c r="AD101">
        <f>IF(AND('05 Lan'!F101&gt;Tmin, NOT('05 Lan'!$I101="")),'05 Lan'!$I101,0)</f>
        <v>0</v>
      </c>
      <c r="AE101">
        <f>IF(AND('05 Lan'!C101&lt;Tmax, NOT('05 Lan'!$H101="")),'05 Lan'!$H101,4)</f>
        <v>3</v>
      </c>
      <c r="AF101">
        <f>IF(AND('05 Lan'!D101&lt;Tmax, NOT('05 Lan'!$H101="")),'05 Lan'!$H101,4)</f>
        <v>3</v>
      </c>
      <c r="AG101">
        <f>IF(AND('05 Lan'!E101&lt;Tmax, NOT('05 Lan'!$H101="")),'05 Lan'!$H101,4)</f>
        <v>3</v>
      </c>
      <c r="AH101">
        <f>IF(AND('05 Lan'!F101&lt;Tmax, NOT('05 Lan'!$H101="")),'05 Lan'!$H101,4)</f>
        <v>3</v>
      </c>
      <c r="AI101"/>
    </row>
    <row r="102" spans="1:35" ht="21" outlineLevel="1" x14ac:dyDescent="0.2">
      <c r="A102" s="868" t="s">
        <v>5674</v>
      </c>
      <c r="B102" s="869" t="s">
        <v>4995</v>
      </c>
      <c r="C102" s="786"/>
      <c r="D102" s="866"/>
      <c r="E102" s="866"/>
      <c r="F102" s="866"/>
      <c r="G102" s="1467"/>
      <c r="H102" s="1467"/>
      <c r="I102" s="1468"/>
      <c r="J102" s="1468"/>
      <c r="K102" s="1468"/>
      <c r="L102" s="1468"/>
      <c r="M102" s="867"/>
      <c r="AA102"/>
      <c r="AB102"/>
      <c r="AC102"/>
      <c r="AD102"/>
      <c r="AE102"/>
      <c r="AF102"/>
      <c r="AG102"/>
      <c r="AH102"/>
      <c r="AI102"/>
    </row>
    <row r="103" spans="1:35" ht="22.5" outlineLevel="2" x14ac:dyDescent="0.2">
      <c r="A103" s="870" t="s">
        <v>5889</v>
      </c>
      <c r="B103" s="870" t="s">
        <v>5724</v>
      </c>
      <c r="C103" s="786"/>
      <c r="D103" s="866"/>
      <c r="E103" s="866"/>
      <c r="F103" s="866"/>
      <c r="G103" s="1468">
        <v>4</v>
      </c>
      <c r="H103" s="1468">
        <v>1</v>
      </c>
      <c r="I103" s="1468"/>
      <c r="J103" s="1468" t="s">
        <v>4246</v>
      </c>
      <c r="K103" s="1468"/>
      <c r="L103" s="1468"/>
      <c r="M103" s="867"/>
      <c r="AA103">
        <f>IF(AND('05 Lan'!C103&gt;Tmin, NOT('05 Lan'!$I103="")),'05 Lan'!$I103,0)</f>
        <v>0</v>
      </c>
      <c r="AB103">
        <f>IF(AND('05 Lan'!D103&gt;Tmin, NOT('05 Lan'!$I103="")),'05 Lan'!$I103,0)</f>
        <v>0</v>
      </c>
      <c r="AC103">
        <f>IF(AND('05 Lan'!E103&gt;Tmin, NOT('05 Lan'!$I103="")),'05 Lan'!$I103,0)</f>
        <v>0</v>
      </c>
      <c r="AD103">
        <f>IF(AND('05 Lan'!F103&gt;Tmin, NOT('05 Lan'!$I103="")),'05 Lan'!$I103,0)</f>
        <v>0</v>
      </c>
      <c r="AE103">
        <f>IF(AND('05 Lan'!C103&lt;Tmax, NOT('05 Lan'!$H103="")),'05 Lan'!$H103,4)</f>
        <v>1</v>
      </c>
      <c r="AF103">
        <f>IF(AND('05 Lan'!D103&lt;Tmax, NOT('05 Lan'!$H103="")),'05 Lan'!$H103,4)</f>
        <v>1</v>
      </c>
      <c r="AG103">
        <f>IF(AND('05 Lan'!E103&lt;Tmax, NOT('05 Lan'!$H103="")),'05 Lan'!$H103,4)</f>
        <v>1</v>
      </c>
      <c r="AH103">
        <f>IF(AND('05 Lan'!F103&lt;Tmax, NOT('05 Lan'!$H103="")),'05 Lan'!$H103,4)</f>
        <v>1</v>
      </c>
      <c r="AI103"/>
    </row>
    <row r="104" spans="1:35" ht="22.5" outlineLevel="2" x14ac:dyDescent="0.2">
      <c r="A104" s="870" t="s">
        <v>5725</v>
      </c>
      <c r="B104" s="870" t="s">
        <v>4006</v>
      </c>
      <c r="C104" s="786"/>
      <c r="D104" s="866"/>
      <c r="E104" s="866"/>
      <c r="F104" s="866"/>
      <c r="G104" s="1468">
        <v>4</v>
      </c>
      <c r="H104" s="1468">
        <v>2</v>
      </c>
      <c r="I104" s="1468"/>
      <c r="J104" s="1468" t="s">
        <v>1592</v>
      </c>
      <c r="K104" s="1468"/>
      <c r="L104" s="1468"/>
      <c r="M104" s="867"/>
      <c r="AA104">
        <f>IF(AND('05 Lan'!C104&gt;Tmin, NOT('05 Lan'!$I104="")),'05 Lan'!$I104,0)</f>
        <v>0</v>
      </c>
      <c r="AB104">
        <f>IF(AND('05 Lan'!D104&gt;Tmin, NOT('05 Lan'!$I104="")),'05 Lan'!$I104,0)</f>
        <v>0</v>
      </c>
      <c r="AC104">
        <f>IF(AND('05 Lan'!E104&gt;Tmin, NOT('05 Lan'!$I104="")),'05 Lan'!$I104,0)</f>
        <v>0</v>
      </c>
      <c r="AD104">
        <f>IF(AND('05 Lan'!F104&gt;Tmin, NOT('05 Lan'!$I104="")),'05 Lan'!$I104,0)</f>
        <v>0</v>
      </c>
      <c r="AE104">
        <f>IF(AND('05 Lan'!C104&lt;Tmax, NOT('05 Lan'!$H104="")),'05 Lan'!$H104,4)</f>
        <v>2</v>
      </c>
      <c r="AF104">
        <f>IF(AND('05 Lan'!D104&lt;Tmax, NOT('05 Lan'!$H104="")),'05 Lan'!$H104,4)</f>
        <v>2</v>
      </c>
      <c r="AG104">
        <f>IF(AND('05 Lan'!E104&lt;Tmax, NOT('05 Lan'!$H104="")),'05 Lan'!$H104,4)</f>
        <v>2</v>
      </c>
      <c r="AH104">
        <f>IF(AND('05 Lan'!F104&lt;Tmax, NOT('05 Lan'!$H104="")),'05 Lan'!$H104,4)</f>
        <v>2</v>
      </c>
      <c r="AI104"/>
    </row>
    <row r="105" spans="1:35" outlineLevel="2" x14ac:dyDescent="0.2">
      <c r="A105" s="870" t="s">
        <v>4007</v>
      </c>
      <c r="B105" s="870" t="s">
        <v>3947</v>
      </c>
      <c r="C105" s="786"/>
      <c r="D105" s="866"/>
      <c r="E105" s="866"/>
      <c r="F105" s="866"/>
      <c r="G105" s="1468">
        <v>4</v>
      </c>
      <c r="H105" s="1468">
        <v>3</v>
      </c>
      <c r="I105" s="1468"/>
      <c r="J105" s="1468" t="s">
        <v>2109</v>
      </c>
      <c r="K105" s="1468"/>
      <c r="L105" s="1468"/>
      <c r="M105" s="867"/>
      <c r="AA105">
        <f>IF(AND('05 Lan'!C105&gt;Tmin, NOT('05 Lan'!$I105="")),'05 Lan'!$I105,0)</f>
        <v>0</v>
      </c>
      <c r="AB105">
        <f>IF(AND('05 Lan'!D105&gt;Tmin, NOT('05 Lan'!$I105="")),'05 Lan'!$I105,0)</f>
        <v>0</v>
      </c>
      <c r="AC105">
        <f>IF(AND('05 Lan'!E105&gt;Tmin, NOT('05 Lan'!$I105="")),'05 Lan'!$I105,0)</f>
        <v>0</v>
      </c>
      <c r="AD105">
        <f>IF(AND('05 Lan'!F105&gt;Tmin, NOT('05 Lan'!$I105="")),'05 Lan'!$I105,0)</f>
        <v>0</v>
      </c>
      <c r="AE105">
        <f>IF(AND('05 Lan'!C105&lt;Tmax, NOT('05 Lan'!$H105="")),'05 Lan'!$H105,4)</f>
        <v>3</v>
      </c>
      <c r="AF105">
        <f>IF(AND('05 Lan'!D105&lt;Tmax, NOT('05 Lan'!$H105="")),'05 Lan'!$H105,4)</f>
        <v>3</v>
      </c>
      <c r="AG105">
        <f>IF(AND('05 Lan'!E105&lt;Tmax, NOT('05 Lan'!$H105="")),'05 Lan'!$H105,4)</f>
        <v>3</v>
      </c>
      <c r="AH105">
        <f>IF(AND('05 Lan'!F105&lt;Tmax, NOT('05 Lan'!$H105="")),'05 Lan'!$H105,4)</f>
        <v>3</v>
      </c>
      <c r="AI105"/>
    </row>
    <row r="106" spans="1:35" ht="22.5" outlineLevel="2" x14ac:dyDescent="0.2">
      <c r="A106" s="870" t="s">
        <v>3948</v>
      </c>
      <c r="B106" s="870" t="s">
        <v>2446</v>
      </c>
      <c r="C106" s="786"/>
      <c r="D106" s="866"/>
      <c r="E106" s="866"/>
      <c r="F106" s="866"/>
      <c r="G106" s="1468">
        <v>4</v>
      </c>
      <c r="H106" s="1468">
        <v>3</v>
      </c>
      <c r="I106" s="1468"/>
      <c r="J106" s="1468" t="s">
        <v>2109</v>
      </c>
      <c r="K106" s="1468"/>
      <c r="L106" s="1468"/>
      <c r="M106" s="867"/>
      <c r="AA106">
        <f>IF(AND('05 Lan'!C106&gt;Tmin, NOT('05 Lan'!$I106="")),'05 Lan'!$I106,0)</f>
        <v>0</v>
      </c>
      <c r="AB106">
        <f>IF(AND('05 Lan'!D106&gt;Tmin, NOT('05 Lan'!$I106="")),'05 Lan'!$I106,0)</f>
        <v>0</v>
      </c>
      <c r="AC106">
        <f>IF(AND('05 Lan'!E106&gt;Tmin, NOT('05 Lan'!$I106="")),'05 Lan'!$I106,0)</f>
        <v>0</v>
      </c>
      <c r="AD106">
        <f>IF(AND('05 Lan'!F106&gt;Tmin, NOT('05 Lan'!$I106="")),'05 Lan'!$I106,0)</f>
        <v>0</v>
      </c>
      <c r="AE106">
        <f>IF(AND('05 Lan'!C106&lt;Tmax, NOT('05 Lan'!$H106="")),'05 Lan'!$H106,4)</f>
        <v>3</v>
      </c>
      <c r="AF106">
        <f>IF(AND('05 Lan'!D106&lt;Tmax, NOT('05 Lan'!$H106="")),'05 Lan'!$H106,4)</f>
        <v>3</v>
      </c>
      <c r="AG106">
        <f>IF(AND('05 Lan'!E106&lt;Tmax, NOT('05 Lan'!$H106="")),'05 Lan'!$H106,4)</f>
        <v>3</v>
      </c>
      <c r="AH106">
        <f>IF(AND('05 Lan'!F106&lt;Tmax, NOT('05 Lan'!$H106="")),'05 Lan'!$H106,4)</f>
        <v>3</v>
      </c>
      <c r="AI106"/>
    </row>
    <row r="107" spans="1:35" ht="27" customHeight="1" outlineLevel="1" x14ac:dyDescent="0.2">
      <c r="A107" s="868" t="s">
        <v>42</v>
      </c>
      <c r="B107" s="869" t="s">
        <v>6829</v>
      </c>
      <c r="C107" s="786"/>
      <c r="D107" s="866"/>
      <c r="E107" s="866"/>
      <c r="F107" s="866"/>
      <c r="G107" s="1467"/>
      <c r="H107" s="1467"/>
      <c r="I107" s="1467"/>
      <c r="J107" s="1467"/>
      <c r="K107" s="1468"/>
      <c r="L107" s="1468"/>
      <c r="M107" s="867"/>
      <c r="AA107"/>
      <c r="AB107"/>
      <c r="AC107"/>
      <c r="AD107"/>
      <c r="AE107"/>
      <c r="AF107"/>
      <c r="AG107"/>
      <c r="AH107"/>
      <c r="AI107"/>
    </row>
    <row r="108" spans="1:35" outlineLevel="2" x14ac:dyDescent="0.2">
      <c r="A108" s="870" t="s">
        <v>2447</v>
      </c>
      <c r="B108" s="870" t="s">
        <v>1285</v>
      </c>
      <c r="C108" s="786"/>
      <c r="D108" s="866"/>
      <c r="E108" s="866"/>
      <c r="F108" s="866"/>
      <c r="G108" s="1468">
        <v>4</v>
      </c>
      <c r="H108" s="1468">
        <v>2</v>
      </c>
      <c r="I108" s="1467"/>
      <c r="J108" s="1468" t="s">
        <v>4246</v>
      </c>
      <c r="K108" s="1468"/>
      <c r="L108" s="1468" t="s">
        <v>7258</v>
      </c>
      <c r="M108" s="867"/>
      <c r="AA108">
        <f>IF(AND('05 Lan'!C108&gt;Tmin, NOT('05 Lan'!$I108="")),'05 Lan'!$I108,0)</f>
        <v>0</v>
      </c>
      <c r="AB108">
        <f>IF(AND('05 Lan'!D108&gt;Tmin, NOT('05 Lan'!$I108="")),'05 Lan'!$I108,0)</f>
        <v>0</v>
      </c>
      <c r="AC108">
        <f>IF(AND('05 Lan'!E108&gt;Tmin, NOT('05 Lan'!$I108="")),'05 Lan'!$I108,0)</f>
        <v>0</v>
      </c>
      <c r="AD108">
        <f>IF(AND('05 Lan'!F108&gt;Tmin, NOT('05 Lan'!$I108="")),'05 Lan'!$I108,0)</f>
        <v>0</v>
      </c>
      <c r="AE108">
        <f>IF(AND('05 Lan'!C108&lt;Tmax, NOT('05 Lan'!$H108="")),'05 Lan'!$H108,4)</f>
        <v>2</v>
      </c>
      <c r="AF108">
        <f>IF(AND('05 Lan'!D108&lt;Tmax, NOT('05 Lan'!$H108="")),'05 Lan'!$H108,4)</f>
        <v>2</v>
      </c>
      <c r="AG108">
        <f>IF(AND('05 Lan'!E108&lt;Tmax, NOT('05 Lan'!$H108="")),'05 Lan'!$H108,4)</f>
        <v>2</v>
      </c>
      <c r="AH108">
        <f>IF(AND('05 Lan'!F108&lt;Tmax, NOT('05 Lan'!$H108="")),'05 Lan'!$H108,4)</f>
        <v>2</v>
      </c>
      <c r="AI108"/>
    </row>
    <row r="109" spans="1:35" ht="93" customHeight="1" outlineLevel="2" x14ac:dyDescent="0.2">
      <c r="A109" s="870" t="s">
        <v>2448</v>
      </c>
      <c r="B109" s="870" t="s">
        <v>1882</v>
      </c>
      <c r="C109" s="786"/>
      <c r="D109" s="866"/>
      <c r="E109" s="866"/>
      <c r="F109" s="866"/>
      <c r="G109" s="1468">
        <v>4</v>
      </c>
      <c r="H109" s="1468">
        <v>2</v>
      </c>
      <c r="I109" s="1467"/>
      <c r="J109" s="1468" t="s">
        <v>1592</v>
      </c>
      <c r="K109" s="1468"/>
      <c r="L109" s="1468" t="s">
        <v>7258</v>
      </c>
      <c r="M109" s="867"/>
      <c r="AA109">
        <f>IF(AND('05 Lan'!C109&gt;Tmin, NOT('05 Lan'!$I109="")),'05 Lan'!$I109,0)</f>
        <v>0</v>
      </c>
      <c r="AB109">
        <f>IF(AND('05 Lan'!D109&gt;Tmin, NOT('05 Lan'!$I109="")),'05 Lan'!$I109,0)</f>
        <v>0</v>
      </c>
      <c r="AC109">
        <f>IF(AND('05 Lan'!E109&gt;Tmin, NOT('05 Lan'!$I109="")),'05 Lan'!$I109,0)</f>
        <v>0</v>
      </c>
      <c r="AD109">
        <f>IF(AND('05 Lan'!F109&gt;Tmin, NOT('05 Lan'!$I109="")),'05 Lan'!$I109,0)</f>
        <v>0</v>
      </c>
      <c r="AE109">
        <f>IF(AND('05 Lan'!C109&lt;Tmax, NOT('05 Lan'!$H109="")),'05 Lan'!$H109,4)</f>
        <v>2</v>
      </c>
      <c r="AF109">
        <f>IF(AND('05 Lan'!D109&lt;Tmax, NOT('05 Lan'!$H109="")),'05 Lan'!$H109,4)</f>
        <v>2</v>
      </c>
      <c r="AG109">
        <f>IF(AND('05 Lan'!E109&lt;Tmax, NOT('05 Lan'!$H109="")),'05 Lan'!$H109,4)</f>
        <v>2</v>
      </c>
      <c r="AH109">
        <f>IF(AND('05 Lan'!F109&lt;Tmax, NOT('05 Lan'!$H109="")),'05 Lan'!$H109,4)</f>
        <v>2</v>
      </c>
      <c r="AI109"/>
    </row>
    <row r="110" spans="1:35" ht="47.25" customHeight="1" outlineLevel="2" x14ac:dyDescent="0.2">
      <c r="A110" s="870" t="s">
        <v>2449</v>
      </c>
      <c r="B110" s="870" t="s">
        <v>5661</v>
      </c>
      <c r="C110" s="786"/>
      <c r="D110" s="866"/>
      <c r="E110" s="866"/>
      <c r="F110" s="866"/>
      <c r="G110" s="1468">
        <v>4</v>
      </c>
      <c r="H110" s="1468">
        <v>2</v>
      </c>
      <c r="I110" s="1467"/>
      <c r="J110" s="1468" t="s">
        <v>2329</v>
      </c>
      <c r="K110" s="1468"/>
      <c r="L110" s="1468" t="s">
        <v>7258</v>
      </c>
      <c r="M110" s="867"/>
      <c r="AA110">
        <f>IF(AND('05 Lan'!C110&gt;Tmin, NOT('05 Lan'!$I110="")),'05 Lan'!$I110,0)</f>
        <v>0</v>
      </c>
      <c r="AB110">
        <f>IF(AND('05 Lan'!D110&gt;Tmin, NOT('05 Lan'!$I110="")),'05 Lan'!$I110,0)</f>
        <v>0</v>
      </c>
      <c r="AC110">
        <f>IF(AND('05 Lan'!E110&gt;Tmin, NOT('05 Lan'!$I110="")),'05 Lan'!$I110,0)</f>
        <v>0</v>
      </c>
      <c r="AD110">
        <f>IF(AND('05 Lan'!F110&gt;Tmin, NOT('05 Lan'!$I110="")),'05 Lan'!$I110,0)</f>
        <v>0</v>
      </c>
      <c r="AE110">
        <f>IF(AND('05 Lan'!C110&lt;Tmax, NOT('05 Lan'!$H110="")),'05 Lan'!$H110,4)</f>
        <v>2</v>
      </c>
      <c r="AF110">
        <f>IF(AND('05 Lan'!D110&lt;Tmax, NOT('05 Lan'!$H110="")),'05 Lan'!$H110,4)</f>
        <v>2</v>
      </c>
      <c r="AG110">
        <f>IF(AND('05 Lan'!E110&lt;Tmax, NOT('05 Lan'!$H110="")),'05 Lan'!$H110,4)</f>
        <v>2</v>
      </c>
      <c r="AH110">
        <f>IF(AND('05 Lan'!F110&lt;Tmax, NOT('05 Lan'!$H110="")),'05 Lan'!$H110,4)</f>
        <v>2</v>
      </c>
      <c r="AI110"/>
    </row>
    <row r="111" spans="1:35" ht="69" customHeight="1" outlineLevel="2" x14ac:dyDescent="0.2">
      <c r="A111" s="870" t="s">
        <v>2450</v>
      </c>
      <c r="B111" s="870" t="s">
        <v>1363</v>
      </c>
      <c r="C111" s="786"/>
      <c r="D111" s="866"/>
      <c r="E111" s="866"/>
      <c r="F111" s="866"/>
      <c r="G111" s="1468">
        <v>4</v>
      </c>
      <c r="H111" s="1468">
        <v>3</v>
      </c>
      <c r="I111" s="1468"/>
      <c r="J111" s="1468" t="s">
        <v>1592</v>
      </c>
      <c r="K111" s="1468"/>
      <c r="L111" s="1468"/>
      <c r="M111" s="867"/>
      <c r="AA111">
        <f>IF(AND('05 Lan'!C111&gt;Tmin, NOT('05 Lan'!$I111="")),'05 Lan'!$I111,0)</f>
        <v>0</v>
      </c>
      <c r="AB111">
        <f>IF(AND('05 Lan'!D111&gt;Tmin, NOT('05 Lan'!$I111="")),'05 Lan'!$I111,0)</f>
        <v>0</v>
      </c>
      <c r="AC111">
        <f>IF(AND('05 Lan'!E111&gt;Tmin, NOT('05 Lan'!$I111="")),'05 Lan'!$I111,0)</f>
        <v>0</v>
      </c>
      <c r="AD111">
        <f>IF(AND('05 Lan'!F111&gt;Tmin, NOT('05 Lan'!$I111="")),'05 Lan'!$I111,0)</f>
        <v>0</v>
      </c>
      <c r="AE111">
        <f>IF(AND('05 Lan'!C111&lt;Tmax, NOT('05 Lan'!$H111="")),'05 Lan'!$H111,4)</f>
        <v>3</v>
      </c>
      <c r="AF111">
        <f>IF(AND('05 Lan'!D111&lt;Tmax, NOT('05 Lan'!$H111="")),'05 Lan'!$H111,4)</f>
        <v>3</v>
      </c>
      <c r="AG111">
        <f>IF(AND('05 Lan'!E111&lt;Tmax, NOT('05 Lan'!$H111="")),'05 Lan'!$H111,4)</f>
        <v>3</v>
      </c>
      <c r="AH111">
        <f>IF(AND('05 Lan'!F111&lt;Tmax, NOT('05 Lan'!$H111="")),'05 Lan'!$H111,4)</f>
        <v>3</v>
      </c>
      <c r="AI111"/>
    </row>
    <row r="112" spans="1:35" ht="57.75" customHeight="1" outlineLevel="2" x14ac:dyDescent="0.2">
      <c r="A112" s="870" t="s">
        <v>2451</v>
      </c>
      <c r="B112" s="870" t="s">
        <v>2878</v>
      </c>
      <c r="C112" s="786"/>
      <c r="D112" s="866"/>
      <c r="E112" s="866"/>
      <c r="F112" s="866"/>
      <c r="G112" s="1468">
        <v>4</v>
      </c>
      <c r="H112" s="1468">
        <v>3</v>
      </c>
      <c r="I112" s="1468"/>
      <c r="J112" s="1468" t="s">
        <v>2329</v>
      </c>
      <c r="K112" s="1468"/>
      <c r="L112" s="1468"/>
      <c r="M112" s="867"/>
      <c r="AA112">
        <f>IF(AND('05 Lan'!C112&gt;Tmin, NOT('05 Lan'!$I112="")),'05 Lan'!$I112,0)</f>
        <v>0</v>
      </c>
      <c r="AB112">
        <f>IF(AND('05 Lan'!D112&gt;Tmin, NOT('05 Lan'!$I112="")),'05 Lan'!$I112,0)</f>
        <v>0</v>
      </c>
      <c r="AC112">
        <f>IF(AND('05 Lan'!E112&gt;Tmin, NOT('05 Lan'!$I112="")),'05 Lan'!$I112,0)</f>
        <v>0</v>
      </c>
      <c r="AD112">
        <f>IF(AND('05 Lan'!F112&gt;Tmin, NOT('05 Lan'!$I112="")),'05 Lan'!$I112,0)</f>
        <v>0</v>
      </c>
      <c r="AE112">
        <f>IF(AND('05 Lan'!C112&lt;Tmax, NOT('05 Lan'!$H112="")),'05 Lan'!$H112,4)</f>
        <v>3</v>
      </c>
      <c r="AF112">
        <f>IF(AND('05 Lan'!D112&lt;Tmax, NOT('05 Lan'!$H112="")),'05 Lan'!$H112,4)</f>
        <v>3</v>
      </c>
      <c r="AG112">
        <f>IF(AND('05 Lan'!E112&lt;Tmax, NOT('05 Lan'!$H112="")),'05 Lan'!$H112,4)</f>
        <v>3</v>
      </c>
      <c r="AH112">
        <f>IF(AND('05 Lan'!F112&lt;Tmax, NOT('05 Lan'!$H112="")),'05 Lan'!$H112,4)</f>
        <v>3</v>
      </c>
      <c r="AI112"/>
    </row>
    <row r="113" spans="1:35" ht="22.5" outlineLevel="2" x14ac:dyDescent="0.2">
      <c r="A113" s="870" t="s">
        <v>2452</v>
      </c>
      <c r="B113" s="870" t="s">
        <v>4708</v>
      </c>
      <c r="C113" s="786"/>
      <c r="D113" s="866"/>
      <c r="E113" s="866"/>
      <c r="F113" s="866"/>
      <c r="G113" s="1468">
        <v>4</v>
      </c>
      <c r="H113" s="1468">
        <v>2</v>
      </c>
      <c r="I113" s="1467"/>
      <c r="J113" s="1468" t="s">
        <v>1592</v>
      </c>
      <c r="K113" s="1468"/>
      <c r="L113" s="1468"/>
      <c r="M113" s="867"/>
      <c r="AA113">
        <f>IF(AND('05 Lan'!C113&gt;Tmin, NOT('05 Lan'!$I113="")),'05 Lan'!$I113,0)</f>
        <v>0</v>
      </c>
      <c r="AB113">
        <f>IF(AND('05 Lan'!D113&gt;Tmin, NOT('05 Lan'!$I113="")),'05 Lan'!$I113,0)</f>
        <v>0</v>
      </c>
      <c r="AC113">
        <f>IF(AND('05 Lan'!E113&gt;Tmin, NOT('05 Lan'!$I113="")),'05 Lan'!$I113,0)</f>
        <v>0</v>
      </c>
      <c r="AD113">
        <f>IF(AND('05 Lan'!F113&gt;Tmin, NOT('05 Lan'!$I113="")),'05 Lan'!$I113,0)</f>
        <v>0</v>
      </c>
      <c r="AE113">
        <f>IF(AND('05 Lan'!C113&lt;Tmax, NOT('05 Lan'!$H113="")),'05 Lan'!$H113,4)</f>
        <v>2</v>
      </c>
      <c r="AF113">
        <f>IF(AND('05 Lan'!D113&lt;Tmax, NOT('05 Lan'!$H113="")),'05 Lan'!$H113,4)</f>
        <v>2</v>
      </c>
      <c r="AG113">
        <f>IF(AND('05 Lan'!E113&lt;Tmax, NOT('05 Lan'!$H113="")),'05 Lan'!$H113,4)</f>
        <v>2</v>
      </c>
      <c r="AH113">
        <f>IF(AND('05 Lan'!F113&lt;Tmax, NOT('05 Lan'!$H113="")),'05 Lan'!$H113,4)</f>
        <v>2</v>
      </c>
      <c r="AI113"/>
    </row>
    <row r="114" spans="1:35" ht="24.75" customHeight="1" outlineLevel="2" x14ac:dyDescent="0.2">
      <c r="A114" s="870" t="s">
        <v>4709</v>
      </c>
      <c r="B114" s="870" t="s">
        <v>5338</v>
      </c>
      <c r="C114" s="786"/>
      <c r="D114" s="866"/>
      <c r="E114" s="866"/>
      <c r="F114" s="866"/>
      <c r="G114" s="1468">
        <v>4</v>
      </c>
      <c r="H114" s="1468">
        <v>2</v>
      </c>
      <c r="I114" s="1468"/>
      <c r="J114" s="1468" t="s">
        <v>1592</v>
      </c>
      <c r="K114" s="1468"/>
      <c r="L114" s="1468"/>
      <c r="M114" s="867"/>
      <c r="AA114">
        <f>IF(AND('05 Lan'!C114&gt;Tmin, NOT('05 Lan'!$I114="")),'05 Lan'!$I114,0)</f>
        <v>0</v>
      </c>
      <c r="AB114">
        <f>IF(AND('05 Lan'!D114&gt;Tmin, NOT('05 Lan'!$I114="")),'05 Lan'!$I114,0)</f>
        <v>0</v>
      </c>
      <c r="AC114">
        <f>IF(AND('05 Lan'!E114&gt;Tmin, NOT('05 Lan'!$I114="")),'05 Lan'!$I114,0)</f>
        <v>0</v>
      </c>
      <c r="AD114">
        <f>IF(AND('05 Lan'!F114&gt;Tmin, NOT('05 Lan'!$I114="")),'05 Lan'!$I114,0)</f>
        <v>0</v>
      </c>
      <c r="AE114">
        <f>IF(AND('05 Lan'!C114&lt;Tmax, NOT('05 Lan'!$H114="")),'05 Lan'!$H114,4)</f>
        <v>2</v>
      </c>
      <c r="AF114">
        <f>IF(AND('05 Lan'!D114&lt;Tmax, NOT('05 Lan'!$H114="")),'05 Lan'!$H114,4)</f>
        <v>2</v>
      </c>
      <c r="AG114">
        <f>IF(AND('05 Lan'!E114&lt;Tmax, NOT('05 Lan'!$H114="")),'05 Lan'!$H114,4)</f>
        <v>2</v>
      </c>
      <c r="AH114">
        <f>IF(AND('05 Lan'!F114&lt;Tmax, NOT('05 Lan'!$H114="")),'05 Lan'!$H114,4)</f>
        <v>2</v>
      </c>
      <c r="AI114"/>
    </row>
    <row r="115" spans="1:35" ht="24.75" customHeight="1" outlineLevel="2" x14ac:dyDescent="0.2">
      <c r="A115" s="870" t="s">
        <v>4710</v>
      </c>
      <c r="B115" s="870" t="s">
        <v>5738</v>
      </c>
      <c r="C115" s="786"/>
      <c r="D115" s="866"/>
      <c r="E115" s="866"/>
      <c r="F115" s="866"/>
      <c r="G115" s="1468">
        <v>4</v>
      </c>
      <c r="H115" s="1468">
        <v>2</v>
      </c>
      <c r="I115" s="1468"/>
      <c r="J115" s="1468" t="s">
        <v>2329</v>
      </c>
      <c r="K115" s="1468"/>
      <c r="L115" s="1468"/>
      <c r="M115" s="867"/>
      <c r="AA115">
        <f>IF(AND('05 Lan'!C115&gt;Tmin, NOT('05 Lan'!$I115="")),'05 Lan'!$I115,0)</f>
        <v>0</v>
      </c>
      <c r="AB115">
        <f>IF(AND('05 Lan'!D115&gt;Tmin, NOT('05 Lan'!$I115="")),'05 Lan'!$I115,0)</f>
        <v>0</v>
      </c>
      <c r="AC115">
        <f>IF(AND('05 Lan'!E115&gt;Tmin, NOT('05 Lan'!$I115="")),'05 Lan'!$I115,0)</f>
        <v>0</v>
      </c>
      <c r="AD115">
        <f>IF(AND('05 Lan'!F115&gt;Tmin, NOT('05 Lan'!$I115="")),'05 Lan'!$I115,0)</f>
        <v>0</v>
      </c>
      <c r="AE115">
        <f>IF(AND('05 Lan'!C115&lt;Tmax, NOT('05 Lan'!$H115="")),'05 Lan'!$H115,4)</f>
        <v>2</v>
      </c>
      <c r="AF115">
        <f>IF(AND('05 Lan'!D115&lt;Tmax, NOT('05 Lan'!$H115="")),'05 Lan'!$H115,4)</f>
        <v>2</v>
      </c>
      <c r="AG115">
        <f>IF(AND('05 Lan'!E115&lt;Tmax, NOT('05 Lan'!$H115="")),'05 Lan'!$H115,4)</f>
        <v>2</v>
      </c>
      <c r="AH115">
        <f>IF(AND('05 Lan'!F115&lt;Tmax, NOT('05 Lan'!$H115="")),'05 Lan'!$H115,4)</f>
        <v>2</v>
      </c>
      <c r="AI115"/>
    </row>
    <row r="116" spans="1:35" ht="58.5" customHeight="1" outlineLevel="2" x14ac:dyDescent="0.2">
      <c r="A116" s="870" t="s">
        <v>4711</v>
      </c>
      <c r="B116" s="870" t="s">
        <v>1284</v>
      </c>
      <c r="C116" s="786"/>
      <c r="D116" s="866"/>
      <c r="E116" s="866"/>
      <c r="F116" s="866"/>
      <c r="G116" s="1468">
        <v>4</v>
      </c>
      <c r="H116" s="1468">
        <v>2</v>
      </c>
      <c r="I116" s="1467"/>
      <c r="J116" s="1468" t="s">
        <v>2109</v>
      </c>
      <c r="K116" s="1468"/>
      <c r="L116" s="1468"/>
      <c r="M116" s="867"/>
      <c r="AA116">
        <f>IF(AND('05 Lan'!C116&gt;Tmin, NOT('05 Lan'!$I116="")),'05 Lan'!$I116,0)</f>
        <v>0</v>
      </c>
      <c r="AB116">
        <f>IF(AND('05 Lan'!D116&gt;Tmin, NOT('05 Lan'!$I116="")),'05 Lan'!$I116,0)</f>
        <v>0</v>
      </c>
      <c r="AC116">
        <f>IF(AND('05 Lan'!E116&gt;Tmin, NOT('05 Lan'!$I116="")),'05 Lan'!$I116,0)</f>
        <v>0</v>
      </c>
      <c r="AD116">
        <f>IF(AND('05 Lan'!F116&gt;Tmin, NOT('05 Lan'!$I116="")),'05 Lan'!$I116,0)</f>
        <v>0</v>
      </c>
      <c r="AE116">
        <f>IF(AND('05 Lan'!C116&lt;Tmax, NOT('05 Lan'!$H116="")),'05 Lan'!$H116,4)</f>
        <v>2</v>
      </c>
      <c r="AF116">
        <f>IF(AND('05 Lan'!D116&lt;Tmax, NOT('05 Lan'!$H116="")),'05 Lan'!$H116,4)</f>
        <v>2</v>
      </c>
      <c r="AG116">
        <f>IF(AND('05 Lan'!E116&lt;Tmax, NOT('05 Lan'!$H116="")),'05 Lan'!$H116,4)</f>
        <v>2</v>
      </c>
      <c r="AH116">
        <f>IF(AND('05 Lan'!F116&lt;Tmax, NOT('05 Lan'!$H116="")),'05 Lan'!$H116,4)</f>
        <v>2</v>
      </c>
      <c r="AI116"/>
    </row>
    <row r="117" spans="1:35" ht="38.25" customHeight="1" outlineLevel="2" x14ac:dyDescent="0.2">
      <c r="A117" s="870" t="s">
        <v>4712</v>
      </c>
      <c r="B117" s="870" t="s">
        <v>3164</v>
      </c>
      <c r="C117" s="786"/>
      <c r="D117" s="866"/>
      <c r="E117" s="866"/>
      <c r="F117" s="866"/>
      <c r="G117" s="1468">
        <v>4</v>
      </c>
      <c r="H117" s="1468">
        <v>3</v>
      </c>
      <c r="I117" s="1467"/>
      <c r="J117" s="1468" t="s">
        <v>2109</v>
      </c>
      <c r="K117" s="1468"/>
      <c r="L117" s="1468"/>
      <c r="M117" s="867"/>
      <c r="AA117">
        <f>IF(AND('05 Lan'!C117&gt;Tmin, NOT('05 Lan'!$I117="")),'05 Lan'!$I117,0)</f>
        <v>0</v>
      </c>
      <c r="AB117">
        <f>IF(AND('05 Lan'!D117&gt;Tmin, NOT('05 Lan'!$I117="")),'05 Lan'!$I117,0)</f>
        <v>0</v>
      </c>
      <c r="AC117">
        <f>IF(AND('05 Lan'!E117&gt;Tmin, NOT('05 Lan'!$I117="")),'05 Lan'!$I117,0)</f>
        <v>0</v>
      </c>
      <c r="AD117">
        <f>IF(AND('05 Lan'!F117&gt;Tmin, NOT('05 Lan'!$I117="")),'05 Lan'!$I117,0)</f>
        <v>0</v>
      </c>
      <c r="AE117">
        <f>IF(AND('05 Lan'!C117&lt;Tmax, NOT('05 Lan'!$H117="")),'05 Lan'!$H117,4)</f>
        <v>3</v>
      </c>
      <c r="AF117">
        <f>IF(AND('05 Lan'!D117&lt;Tmax, NOT('05 Lan'!$H117="")),'05 Lan'!$H117,4)</f>
        <v>3</v>
      </c>
      <c r="AG117">
        <f>IF(AND('05 Lan'!E117&lt;Tmax, NOT('05 Lan'!$H117="")),'05 Lan'!$H117,4)</f>
        <v>3</v>
      </c>
      <c r="AH117">
        <f>IF(AND('05 Lan'!F117&lt;Tmax, NOT('05 Lan'!$H117="")),'05 Lan'!$H117,4)</f>
        <v>3</v>
      </c>
      <c r="AI117"/>
    </row>
    <row r="118" spans="1:35" ht="15.75" customHeight="1" outlineLevel="1" x14ac:dyDescent="0.2">
      <c r="A118" s="868" t="s">
        <v>5010</v>
      </c>
      <c r="B118" s="869" t="s">
        <v>4996</v>
      </c>
      <c r="C118" s="786"/>
      <c r="D118" s="866"/>
      <c r="E118" s="866"/>
      <c r="F118" s="866"/>
      <c r="G118" s="1467"/>
      <c r="H118" s="1467"/>
      <c r="I118" s="1467"/>
      <c r="J118" s="1467"/>
      <c r="K118" s="1468"/>
      <c r="L118" s="1468"/>
      <c r="M118" s="867"/>
      <c r="AA118"/>
      <c r="AB118"/>
      <c r="AC118"/>
      <c r="AD118"/>
      <c r="AE118"/>
      <c r="AF118"/>
      <c r="AG118"/>
      <c r="AH118"/>
      <c r="AI118"/>
    </row>
    <row r="119" spans="1:35" outlineLevel="2" x14ac:dyDescent="0.2">
      <c r="A119" s="870" t="s">
        <v>4713</v>
      </c>
      <c r="B119" s="870" t="s">
        <v>4714</v>
      </c>
      <c r="C119" s="786"/>
      <c r="D119" s="866"/>
      <c r="E119" s="866"/>
      <c r="F119" s="866"/>
      <c r="G119" s="1468">
        <v>4</v>
      </c>
      <c r="H119" s="1468">
        <v>2</v>
      </c>
      <c r="I119" s="1467"/>
      <c r="J119" s="1468" t="s">
        <v>4246</v>
      </c>
      <c r="K119" s="1468"/>
      <c r="L119" s="1468"/>
      <c r="M119" s="867"/>
      <c r="AA119">
        <f>IF(AND('05 Lan'!C119&gt;Tmin, NOT('05 Lan'!$I119="")),'05 Lan'!$I119,0)</f>
        <v>0</v>
      </c>
      <c r="AB119">
        <f>IF(AND('05 Lan'!D119&gt;Tmin, NOT('05 Lan'!$I119="")),'05 Lan'!$I119,0)</f>
        <v>0</v>
      </c>
      <c r="AC119">
        <f>IF(AND('05 Lan'!E119&gt;Tmin, NOT('05 Lan'!$I119="")),'05 Lan'!$I119,0)</f>
        <v>0</v>
      </c>
      <c r="AD119">
        <f>IF(AND('05 Lan'!F119&gt;Tmin, NOT('05 Lan'!$I119="")),'05 Lan'!$I119,0)</f>
        <v>0</v>
      </c>
      <c r="AE119">
        <f>IF(AND('05 Lan'!C119&lt;Tmax, NOT('05 Lan'!$H119="")),'05 Lan'!$H119,4)</f>
        <v>2</v>
      </c>
      <c r="AF119">
        <f>IF(AND('05 Lan'!D119&lt;Tmax, NOT('05 Lan'!$H119="")),'05 Lan'!$H119,4)</f>
        <v>2</v>
      </c>
      <c r="AG119">
        <f>IF(AND('05 Lan'!E119&lt;Tmax, NOT('05 Lan'!$H119="")),'05 Lan'!$H119,4)</f>
        <v>2</v>
      </c>
      <c r="AH119">
        <f>IF(AND('05 Lan'!F119&lt;Tmax, NOT('05 Lan'!$H119="")),'05 Lan'!$H119,4)</f>
        <v>2</v>
      </c>
      <c r="AI119"/>
    </row>
    <row r="120" spans="1:35" ht="22.5" outlineLevel="2" x14ac:dyDescent="0.2">
      <c r="A120" s="870" t="s">
        <v>4715</v>
      </c>
      <c r="B120" s="870" t="s">
        <v>1286</v>
      </c>
      <c r="C120" s="786"/>
      <c r="D120" s="866"/>
      <c r="E120" s="866"/>
      <c r="F120" s="866"/>
      <c r="G120" s="1468">
        <v>4</v>
      </c>
      <c r="H120" s="1468">
        <v>2</v>
      </c>
      <c r="I120" s="1467"/>
      <c r="J120" s="1468" t="s">
        <v>4246</v>
      </c>
      <c r="K120" s="1468"/>
      <c r="L120" s="1468"/>
      <c r="M120" s="867"/>
      <c r="AA120">
        <f>IF(AND('05 Lan'!C120&gt;Tmin, NOT('05 Lan'!$I120="")),'05 Lan'!$I120,0)</f>
        <v>0</v>
      </c>
      <c r="AB120">
        <f>IF(AND('05 Lan'!D120&gt;Tmin, NOT('05 Lan'!$I120="")),'05 Lan'!$I120,0)</f>
        <v>0</v>
      </c>
      <c r="AC120">
        <f>IF(AND('05 Lan'!E120&gt;Tmin, NOT('05 Lan'!$I120="")),'05 Lan'!$I120,0)</f>
        <v>0</v>
      </c>
      <c r="AD120">
        <f>IF(AND('05 Lan'!F120&gt;Tmin, NOT('05 Lan'!$I120="")),'05 Lan'!$I120,0)</f>
        <v>0</v>
      </c>
      <c r="AE120">
        <f>IF(AND('05 Lan'!C120&lt;Tmax, NOT('05 Lan'!$H120="")),'05 Lan'!$H120,4)</f>
        <v>2</v>
      </c>
      <c r="AF120">
        <f>IF(AND('05 Lan'!D120&lt;Tmax, NOT('05 Lan'!$H120="")),'05 Lan'!$H120,4)</f>
        <v>2</v>
      </c>
      <c r="AG120">
        <f>IF(AND('05 Lan'!E120&lt;Tmax, NOT('05 Lan'!$H120="")),'05 Lan'!$H120,4)</f>
        <v>2</v>
      </c>
      <c r="AH120">
        <f>IF(AND('05 Lan'!F120&lt;Tmax, NOT('05 Lan'!$H120="")),'05 Lan'!$H120,4)</f>
        <v>2</v>
      </c>
      <c r="AI120"/>
    </row>
    <row r="121" spans="1:35" ht="92.25" customHeight="1" outlineLevel="2" x14ac:dyDescent="0.2">
      <c r="A121" s="870" t="s">
        <v>4716</v>
      </c>
      <c r="B121" s="870" t="s">
        <v>1841</v>
      </c>
      <c r="C121" s="786"/>
      <c r="D121" s="866"/>
      <c r="E121" s="866"/>
      <c r="F121" s="866"/>
      <c r="G121" s="1468">
        <v>4</v>
      </c>
      <c r="H121" s="1468">
        <v>2</v>
      </c>
      <c r="I121" s="1467"/>
      <c r="J121" s="1468" t="s">
        <v>1592</v>
      </c>
      <c r="K121" s="1468"/>
      <c r="L121" s="1468"/>
      <c r="M121" s="867"/>
      <c r="AA121">
        <f>IF(AND('05 Lan'!C121&gt;Tmin, NOT('05 Lan'!$I121="")),'05 Lan'!$I121,0)</f>
        <v>0</v>
      </c>
      <c r="AB121">
        <f>IF(AND('05 Lan'!D121&gt;Tmin, NOT('05 Lan'!$I121="")),'05 Lan'!$I121,0)</f>
        <v>0</v>
      </c>
      <c r="AC121">
        <f>IF(AND('05 Lan'!E121&gt;Tmin, NOT('05 Lan'!$I121="")),'05 Lan'!$I121,0)</f>
        <v>0</v>
      </c>
      <c r="AD121">
        <f>IF(AND('05 Lan'!F121&gt;Tmin, NOT('05 Lan'!$I121="")),'05 Lan'!$I121,0)</f>
        <v>0</v>
      </c>
      <c r="AE121">
        <f>IF(AND('05 Lan'!C121&lt;Tmax, NOT('05 Lan'!$H121="")),'05 Lan'!$H121,4)</f>
        <v>2</v>
      </c>
      <c r="AF121">
        <f>IF(AND('05 Lan'!D121&lt;Tmax, NOT('05 Lan'!$H121="")),'05 Lan'!$H121,4)</f>
        <v>2</v>
      </c>
      <c r="AG121">
        <f>IF(AND('05 Lan'!E121&lt;Tmax, NOT('05 Lan'!$H121="")),'05 Lan'!$H121,4)</f>
        <v>2</v>
      </c>
      <c r="AH121">
        <f>IF(AND('05 Lan'!F121&lt;Tmax, NOT('05 Lan'!$H121="")),'05 Lan'!$H121,4)</f>
        <v>2</v>
      </c>
      <c r="AI121"/>
    </row>
    <row r="122" spans="1:35" ht="46.5" customHeight="1" outlineLevel="2" x14ac:dyDescent="0.2">
      <c r="A122" s="870" t="s">
        <v>4717</v>
      </c>
      <c r="B122" s="870" t="s">
        <v>5661</v>
      </c>
      <c r="C122" s="786"/>
      <c r="D122" s="866"/>
      <c r="E122" s="866"/>
      <c r="F122" s="866"/>
      <c r="G122" s="1468">
        <v>4</v>
      </c>
      <c r="H122" s="1468">
        <v>2</v>
      </c>
      <c r="I122" s="1467"/>
      <c r="J122" s="1468" t="s">
        <v>2329</v>
      </c>
      <c r="K122" s="1468"/>
      <c r="L122" s="1468"/>
      <c r="M122" s="867"/>
      <c r="AA122">
        <f>IF(AND('05 Lan'!C122&gt;Tmin, NOT('05 Lan'!$I122="")),'05 Lan'!$I122,0)</f>
        <v>0</v>
      </c>
      <c r="AB122">
        <f>IF(AND('05 Lan'!D122&gt;Tmin, NOT('05 Lan'!$I122="")),'05 Lan'!$I122,0)</f>
        <v>0</v>
      </c>
      <c r="AC122">
        <f>IF(AND('05 Lan'!E122&gt;Tmin, NOT('05 Lan'!$I122="")),'05 Lan'!$I122,0)</f>
        <v>0</v>
      </c>
      <c r="AD122">
        <f>IF(AND('05 Lan'!F122&gt;Tmin, NOT('05 Lan'!$I122="")),'05 Lan'!$I122,0)</f>
        <v>0</v>
      </c>
      <c r="AE122">
        <f>IF(AND('05 Lan'!C122&lt;Tmax, NOT('05 Lan'!$H122="")),'05 Lan'!$H122,4)</f>
        <v>2</v>
      </c>
      <c r="AF122">
        <f>IF(AND('05 Lan'!D122&lt;Tmax, NOT('05 Lan'!$H122="")),'05 Lan'!$H122,4)</f>
        <v>2</v>
      </c>
      <c r="AG122">
        <f>IF(AND('05 Lan'!E122&lt;Tmax, NOT('05 Lan'!$H122="")),'05 Lan'!$H122,4)</f>
        <v>2</v>
      </c>
      <c r="AH122">
        <f>IF(AND('05 Lan'!F122&lt;Tmax, NOT('05 Lan'!$H122="")),'05 Lan'!$H122,4)</f>
        <v>2</v>
      </c>
      <c r="AI122"/>
    </row>
    <row r="123" spans="1:35" ht="69.75" customHeight="1" outlineLevel="2" x14ac:dyDescent="0.2">
      <c r="A123" s="870" t="s">
        <v>4718</v>
      </c>
      <c r="B123" s="870" t="s">
        <v>1363</v>
      </c>
      <c r="C123" s="786"/>
      <c r="D123" s="866"/>
      <c r="E123" s="866"/>
      <c r="F123" s="866"/>
      <c r="G123" s="1468">
        <v>4</v>
      </c>
      <c r="H123" s="1468">
        <v>3</v>
      </c>
      <c r="I123" s="1468"/>
      <c r="J123" s="1468" t="s">
        <v>1592</v>
      </c>
      <c r="K123" s="1468"/>
      <c r="L123" s="1468"/>
      <c r="M123" s="867"/>
      <c r="AA123">
        <f>IF(AND('05 Lan'!C123&gt;Tmin, NOT('05 Lan'!$I123="")),'05 Lan'!$I123,0)</f>
        <v>0</v>
      </c>
      <c r="AB123">
        <f>IF(AND('05 Lan'!D123&gt;Tmin, NOT('05 Lan'!$I123="")),'05 Lan'!$I123,0)</f>
        <v>0</v>
      </c>
      <c r="AC123">
        <f>IF(AND('05 Lan'!E123&gt;Tmin, NOT('05 Lan'!$I123="")),'05 Lan'!$I123,0)</f>
        <v>0</v>
      </c>
      <c r="AD123">
        <f>IF(AND('05 Lan'!F123&gt;Tmin, NOT('05 Lan'!$I123="")),'05 Lan'!$I123,0)</f>
        <v>0</v>
      </c>
      <c r="AE123">
        <f>IF(AND('05 Lan'!C123&lt;Tmax, NOT('05 Lan'!$H123="")),'05 Lan'!$H123,4)</f>
        <v>3</v>
      </c>
      <c r="AF123">
        <f>IF(AND('05 Lan'!D123&lt;Tmax, NOT('05 Lan'!$H123="")),'05 Lan'!$H123,4)</f>
        <v>3</v>
      </c>
      <c r="AG123">
        <f>IF(AND('05 Lan'!E123&lt;Tmax, NOT('05 Lan'!$H123="")),'05 Lan'!$H123,4)</f>
        <v>3</v>
      </c>
      <c r="AH123">
        <f>IF(AND('05 Lan'!F123&lt;Tmax, NOT('05 Lan'!$H123="")),'05 Lan'!$H123,4)</f>
        <v>3</v>
      </c>
      <c r="AI123"/>
    </row>
    <row r="124" spans="1:35" ht="65.25" customHeight="1" outlineLevel="2" x14ac:dyDescent="0.2">
      <c r="A124" s="870" t="s">
        <v>4719</v>
      </c>
      <c r="B124" s="870" t="s">
        <v>2878</v>
      </c>
      <c r="C124" s="786"/>
      <c r="D124" s="866"/>
      <c r="E124" s="866"/>
      <c r="F124" s="866"/>
      <c r="G124" s="1468">
        <v>4</v>
      </c>
      <c r="H124" s="1468">
        <v>3</v>
      </c>
      <c r="I124" s="1468"/>
      <c r="J124" s="1468" t="s">
        <v>2329</v>
      </c>
      <c r="K124" s="1468"/>
      <c r="L124" s="1468"/>
      <c r="M124" s="867"/>
      <c r="AA124">
        <f>IF(AND('05 Lan'!C124&gt;Tmin, NOT('05 Lan'!$I124="")),'05 Lan'!$I124,0)</f>
        <v>0</v>
      </c>
      <c r="AB124">
        <f>IF(AND('05 Lan'!D124&gt;Tmin, NOT('05 Lan'!$I124="")),'05 Lan'!$I124,0)</f>
        <v>0</v>
      </c>
      <c r="AC124">
        <f>IF(AND('05 Lan'!E124&gt;Tmin, NOT('05 Lan'!$I124="")),'05 Lan'!$I124,0)</f>
        <v>0</v>
      </c>
      <c r="AD124">
        <f>IF(AND('05 Lan'!F124&gt;Tmin, NOT('05 Lan'!$I124="")),'05 Lan'!$I124,0)</f>
        <v>0</v>
      </c>
      <c r="AE124">
        <f>IF(AND('05 Lan'!C124&lt;Tmax, NOT('05 Lan'!$H124="")),'05 Lan'!$H124,4)</f>
        <v>3</v>
      </c>
      <c r="AF124">
        <f>IF(AND('05 Lan'!D124&lt;Tmax, NOT('05 Lan'!$H124="")),'05 Lan'!$H124,4)</f>
        <v>3</v>
      </c>
      <c r="AG124">
        <f>IF(AND('05 Lan'!E124&lt;Tmax, NOT('05 Lan'!$H124="")),'05 Lan'!$H124,4)</f>
        <v>3</v>
      </c>
      <c r="AH124">
        <f>IF(AND('05 Lan'!F124&lt;Tmax, NOT('05 Lan'!$H124="")),'05 Lan'!$H124,4)</f>
        <v>3</v>
      </c>
      <c r="AI124"/>
    </row>
    <row r="125" spans="1:35" ht="22.5" outlineLevel="2" x14ac:dyDescent="0.2">
      <c r="A125" s="870" t="s">
        <v>4720</v>
      </c>
      <c r="B125" s="870" t="s">
        <v>4708</v>
      </c>
      <c r="C125" s="786"/>
      <c r="D125" s="866"/>
      <c r="E125" s="866"/>
      <c r="F125" s="866"/>
      <c r="G125" s="1468">
        <v>4</v>
      </c>
      <c r="H125" s="1468">
        <v>2</v>
      </c>
      <c r="I125" s="1467"/>
      <c r="J125" s="1468" t="s">
        <v>1592</v>
      </c>
      <c r="K125" s="1468"/>
      <c r="L125" s="1468"/>
      <c r="M125" s="867"/>
      <c r="AA125">
        <f>IF(AND('05 Lan'!C125&gt;Tmin, NOT('05 Lan'!$I125="")),'05 Lan'!$I125,0)</f>
        <v>0</v>
      </c>
      <c r="AB125">
        <f>IF(AND('05 Lan'!D125&gt;Tmin, NOT('05 Lan'!$I125="")),'05 Lan'!$I125,0)</f>
        <v>0</v>
      </c>
      <c r="AC125">
        <f>IF(AND('05 Lan'!E125&gt;Tmin, NOT('05 Lan'!$I125="")),'05 Lan'!$I125,0)</f>
        <v>0</v>
      </c>
      <c r="AD125">
        <f>IF(AND('05 Lan'!F125&gt;Tmin, NOT('05 Lan'!$I125="")),'05 Lan'!$I125,0)</f>
        <v>0</v>
      </c>
      <c r="AE125">
        <f>IF(AND('05 Lan'!C125&lt;Tmax, NOT('05 Lan'!$H125="")),'05 Lan'!$H125,4)</f>
        <v>2</v>
      </c>
      <c r="AF125">
        <f>IF(AND('05 Lan'!D125&lt;Tmax, NOT('05 Lan'!$H125="")),'05 Lan'!$H125,4)</f>
        <v>2</v>
      </c>
      <c r="AG125">
        <f>IF(AND('05 Lan'!E125&lt;Tmax, NOT('05 Lan'!$H125="")),'05 Lan'!$H125,4)</f>
        <v>2</v>
      </c>
      <c r="AH125">
        <f>IF(AND('05 Lan'!F125&lt;Tmax, NOT('05 Lan'!$H125="")),'05 Lan'!$H125,4)</f>
        <v>2</v>
      </c>
      <c r="AI125"/>
    </row>
    <row r="126" spans="1:35" ht="24.75" customHeight="1" outlineLevel="2" x14ac:dyDescent="0.2">
      <c r="A126" s="870" t="s">
        <v>4721</v>
      </c>
      <c r="B126" s="870" t="s">
        <v>5338</v>
      </c>
      <c r="C126" s="786"/>
      <c r="D126" s="866"/>
      <c r="E126" s="866"/>
      <c r="F126" s="866"/>
      <c r="G126" s="1468">
        <v>4</v>
      </c>
      <c r="H126" s="1468">
        <v>2</v>
      </c>
      <c r="I126" s="1468"/>
      <c r="J126" s="1468" t="s">
        <v>1592</v>
      </c>
      <c r="K126" s="1468"/>
      <c r="L126" s="1468"/>
      <c r="M126" s="867"/>
      <c r="AA126">
        <f>IF(AND('05 Lan'!C126&gt;Tmin, NOT('05 Lan'!$I126="")),'05 Lan'!$I126,0)</f>
        <v>0</v>
      </c>
      <c r="AB126">
        <f>IF(AND('05 Lan'!D126&gt;Tmin, NOT('05 Lan'!$I126="")),'05 Lan'!$I126,0)</f>
        <v>0</v>
      </c>
      <c r="AC126">
        <f>IF(AND('05 Lan'!E126&gt;Tmin, NOT('05 Lan'!$I126="")),'05 Lan'!$I126,0)</f>
        <v>0</v>
      </c>
      <c r="AD126">
        <f>IF(AND('05 Lan'!F126&gt;Tmin, NOT('05 Lan'!$I126="")),'05 Lan'!$I126,0)</f>
        <v>0</v>
      </c>
      <c r="AE126">
        <f>IF(AND('05 Lan'!C126&lt;Tmax, NOT('05 Lan'!$H126="")),'05 Lan'!$H126,4)</f>
        <v>2</v>
      </c>
      <c r="AF126">
        <f>IF(AND('05 Lan'!D126&lt;Tmax, NOT('05 Lan'!$H126="")),'05 Lan'!$H126,4)</f>
        <v>2</v>
      </c>
      <c r="AG126">
        <f>IF(AND('05 Lan'!E126&lt;Tmax, NOT('05 Lan'!$H126="")),'05 Lan'!$H126,4)</f>
        <v>2</v>
      </c>
      <c r="AH126">
        <f>IF(AND('05 Lan'!F126&lt;Tmax, NOT('05 Lan'!$H126="")),'05 Lan'!$H126,4)</f>
        <v>2</v>
      </c>
      <c r="AI126"/>
    </row>
    <row r="127" spans="1:35" ht="24.75" customHeight="1" outlineLevel="2" x14ac:dyDescent="0.2">
      <c r="A127" s="870" t="s">
        <v>4722</v>
      </c>
      <c r="B127" s="870" t="s">
        <v>5738</v>
      </c>
      <c r="C127" s="786"/>
      <c r="D127" s="866"/>
      <c r="E127" s="866"/>
      <c r="F127" s="866"/>
      <c r="G127" s="1468">
        <v>4</v>
      </c>
      <c r="H127" s="1468">
        <v>2</v>
      </c>
      <c r="I127" s="1468"/>
      <c r="J127" s="1468" t="s">
        <v>2329</v>
      </c>
      <c r="K127" s="1468"/>
      <c r="L127" s="1468"/>
      <c r="M127" s="867"/>
      <c r="AA127">
        <f>IF(AND('05 Lan'!C127&gt;Tmin, NOT('05 Lan'!$I127="")),'05 Lan'!$I127,0)</f>
        <v>0</v>
      </c>
      <c r="AB127">
        <f>IF(AND('05 Lan'!D127&gt;Tmin, NOT('05 Lan'!$I127="")),'05 Lan'!$I127,0)</f>
        <v>0</v>
      </c>
      <c r="AC127">
        <f>IF(AND('05 Lan'!E127&gt;Tmin, NOT('05 Lan'!$I127="")),'05 Lan'!$I127,0)</f>
        <v>0</v>
      </c>
      <c r="AD127">
        <f>IF(AND('05 Lan'!F127&gt;Tmin, NOT('05 Lan'!$I127="")),'05 Lan'!$I127,0)</f>
        <v>0</v>
      </c>
      <c r="AE127">
        <f>IF(AND('05 Lan'!C127&lt;Tmax, NOT('05 Lan'!$H127="")),'05 Lan'!$H127,4)</f>
        <v>2</v>
      </c>
      <c r="AF127">
        <f>IF(AND('05 Lan'!D127&lt;Tmax, NOT('05 Lan'!$H127="")),'05 Lan'!$H127,4)</f>
        <v>2</v>
      </c>
      <c r="AG127">
        <f>IF(AND('05 Lan'!E127&lt;Tmax, NOT('05 Lan'!$H127="")),'05 Lan'!$H127,4)</f>
        <v>2</v>
      </c>
      <c r="AH127">
        <f>IF(AND('05 Lan'!F127&lt;Tmax, NOT('05 Lan'!$H127="")),'05 Lan'!$H127,4)</f>
        <v>2</v>
      </c>
      <c r="AI127"/>
    </row>
    <row r="128" spans="1:35" ht="58.5" customHeight="1" outlineLevel="2" x14ac:dyDescent="0.2">
      <c r="A128" s="870" t="s">
        <v>4723</v>
      </c>
      <c r="B128" s="870" t="s">
        <v>1246</v>
      </c>
      <c r="C128" s="786"/>
      <c r="D128" s="866"/>
      <c r="E128" s="866"/>
      <c r="F128" s="866"/>
      <c r="G128" s="1468">
        <v>4</v>
      </c>
      <c r="H128" s="1468">
        <v>2</v>
      </c>
      <c r="I128" s="1467"/>
      <c r="J128" s="1468" t="s">
        <v>2109</v>
      </c>
      <c r="K128" s="1468"/>
      <c r="L128" s="1468"/>
      <c r="M128" s="867"/>
      <c r="AA128">
        <f>IF(AND('05 Lan'!C128&gt;Tmin, NOT('05 Lan'!$I128="")),'05 Lan'!$I128,0)</f>
        <v>0</v>
      </c>
      <c r="AB128">
        <f>IF(AND('05 Lan'!D128&gt;Tmin, NOT('05 Lan'!$I128="")),'05 Lan'!$I128,0)</f>
        <v>0</v>
      </c>
      <c r="AC128">
        <f>IF(AND('05 Lan'!E128&gt;Tmin, NOT('05 Lan'!$I128="")),'05 Lan'!$I128,0)</f>
        <v>0</v>
      </c>
      <c r="AD128">
        <f>IF(AND('05 Lan'!F128&gt;Tmin, NOT('05 Lan'!$I128="")),'05 Lan'!$I128,0)</f>
        <v>0</v>
      </c>
      <c r="AE128">
        <f>IF(AND('05 Lan'!C128&lt;Tmax, NOT('05 Lan'!$H128="")),'05 Lan'!$H128,4)</f>
        <v>2</v>
      </c>
      <c r="AF128">
        <f>IF(AND('05 Lan'!D128&lt;Tmax, NOT('05 Lan'!$H128="")),'05 Lan'!$H128,4)</f>
        <v>2</v>
      </c>
      <c r="AG128">
        <f>IF(AND('05 Lan'!E128&lt;Tmax, NOT('05 Lan'!$H128="")),'05 Lan'!$H128,4)</f>
        <v>2</v>
      </c>
      <c r="AH128">
        <f>IF(AND('05 Lan'!F128&lt;Tmax, NOT('05 Lan'!$H128="")),'05 Lan'!$H128,4)</f>
        <v>2</v>
      </c>
      <c r="AI128"/>
    </row>
    <row r="129" spans="1:35" ht="36" customHeight="1" outlineLevel="2" x14ac:dyDescent="0.2">
      <c r="A129" s="870" t="s">
        <v>4724</v>
      </c>
      <c r="B129" s="870" t="s">
        <v>1910</v>
      </c>
      <c r="C129" s="786"/>
      <c r="D129" s="866"/>
      <c r="E129" s="866"/>
      <c r="F129" s="866"/>
      <c r="G129" s="1468">
        <v>4</v>
      </c>
      <c r="H129" s="1468">
        <v>3</v>
      </c>
      <c r="I129" s="1467"/>
      <c r="J129" s="1468" t="s">
        <v>2109</v>
      </c>
      <c r="K129" s="1468"/>
      <c r="L129" s="1468"/>
      <c r="M129" s="867"/>
      <c r="AA129">
        <f>IF(AND('05 Lan'!C129&gt;Tmin, NOT('05 Lan'!$I129="")),'05 Lan'!$I129,0)</f>
        <v>0</v>
      </c>
      <c r="AB129">
        <f>IF(AND('05 Lan'!D129&gt;Tmin, NOT('05 Lan'!$I129="")),'05 Lan'!$I129,0)</f>
        <v>0</v>
      </c>
      <c r="AC129">
        <f>IF(AND('05 Lan'!E129&gt;Tmin, NOT('05 Lan'!$I129="")),'05 Lan'!$I129,0)</f>
        <v>0</v>
      </c>
      <c r="AD129">
        <f>IF(AND('05 Lan'!F129&gt;Tmin, NOT('05 Lan'!$I129="")),'05 Lan'!$I129,0)</f>
        <v>0</v>
      </c>
      <c r="AE129">
        <f>IF(AND('05 Lan'!C129&lt;Tmax, NOT('05 Lan'!$H129="")),'05 Lan'!$H129,4)</f>
        <v>3</v>
      </c>
      <c r="AF129">
        <f>IF(AND('05 Lan'!D129&lt;Tmax, NOT('05 Lan'!$H129="")),'05 Lan'!$H129,4)</f>
        <v>3</v>
      </c>
      <c r="AG129">
        <f>IF(AND('05 Lan'!E129&lt;Tmax, NOT('05 Lan'!$H129="")),'05 Lan'!$H129,4)</f>
        <v>3</v>
      </c>
      <c r="AH129">
        <f>IF(AND('05 Lan'!F129&lt;Tmax, NOT('05 Lan'!$H129="")),'05 Lan'!$H129,4)</f>
        <v>3</v>
      </c>
      <c r="AI129"/>
    </row>
    <row r="130" spans="1:35" outlineLevel="1" x14ac:dyDescent="0.2">
      <c r="A130" s="868" t="s">
        <v>5011</v>
      </c>
      <c r="B130" s="869" t="s">
        <v>5012</v>
      </c>
      <c r="C130" s="786"/>
      <c r="D130" s="866"/>
      <c r="E130" s="866"/>
      <c r="F130" s="866"/>
      <c r="G130" s="1468"/>
      <c r="H130" s="1468"/>
      <c r="I130" s="1467"/>
      <c r="J130" s="1467"/>
      <c r="K130" s="1468"/>
      <c r="L130" s="1468"/>
      <c r="M130" s="867"/>
      <c r="AA130"/>
      <c r="AB130"/>
      <c r="AC130"/>
      <c r="AD130"/>
      <c r="AE130"/>
      <c r="AF130"/>
      <c r="AG130"/>
      <c r="AH130"/>
      <c r="AI130"/>
    </row>
    <row r="131" spans="1:35" outlineLevel="2" x14ac:dyDescent="0.2">
      <c r="A131" s="870" t="s">
        <v>4725</v>
      </c>
      <c r="B131" s="870" t="s">
        <v>4726</v>
      </c>
      <c r="C131" s="786"/>
      <c r="D131" s="866"/>
      <c r="E131" s="866"/>
      <c r="F131" s="866"/>
      <c r="G131" s="1468">
        <v>2</v>
      </c>
      <c r="H131" s="1468"/>
      <c r="I131" s="1467"/>
      <c r="J131" s="1468" t="s">
        <v>4246</v>
      </c>
      <c r="K131" s="1468"/>
      <c r="L131" s="1468"/>
      <c r="M131" s="867"/>
      <c r="AA131">
        <f>IF(AND('05 Lan'!C131&gt;Tmin, NOT('05 Lan'!$I131="")),'05 Lan'!$I131,0)</f>
        <v>0</v>
      </c>
      <c r="AB131">
        <f>IF(AND('05 Lan'!D131&gt;Tmin, NOT('05 Lan'!$I131="")),'05 Lan'!$I131,0)</f>
        <v>0</v>
      </c>
      <c r="AC131">
        <f>IF(AND('05 Lan'!E131&gt;Tmin, NOT('05 Lan'!$I131="")),'05 Lan'!$I131,0)</f>
        <v>0</v>
      </c>
      <c r="AD131">
        <f>IF(AND('05 Lan'!F131&gt;Tmin, NOT('05 Lan'!$I131="")),'05 Lan'!$I131,0)</f>
        <v>0</v>
      </c>
      <c r="AE131">
        <f>IF(AND('05 Lan'!C131&lt;Tmax, NOT('05 Lan'!$H131="")),'05 Lan'!$H131,4)</f>
        <v>4</v>
      </c>
      <c r="AF131">
        <f>IF(AND('05 Lan'!D131&lt;Tmax, NOT('05 Lan'!$H131="")),'05 Lan'!$H131,4)</f>
        <v>4</v>
      </c>
      <c r="AG131">
        <f>IF(AND('05 Lan'!E131&lt;Tmax, NOT('05 Lan'!$H131="")),'05 Lan'!$H131,4)</f>
        <v>4</v>
      </c>
      <c r="AH131">
        <f>IF(AND('05 Lan'!F131&lt;Tmax, NOT('05 Lan'!$H131="")),'05 Lan'!$H131,4)</f>
        <v>4</v>
      </c>
      <c r="AI131"/>
    </row>
    <row r="132" spans="1:35" ht="14.25" customHeight="1" outlineLevel="2" x14ac:dyDescent="0.2">
      <c r="A132" s="870" t="s">
        <v>4727</v>
      </c>
      <c r="B132" s="870" t="s">
        <v>3860</v>
      </c>
      <c r="C132" s="786"/>
      <c r="D132" s="866"/>
      <c r="E132" s="866"/>
      <c r="F132" s="866"/>
      <c r="G132" s="1468">
        <v>4</v>
      </c>
      <c r="H132" s="1468">
        <v>2</v>
      </c>
      <c r="I132" s="1467"/>
      <c r="J132" s="1468" t="s">
        <v>1592</v>
      </c>
      <c r="K132" s="1468"/>
      <c r="L132" s="1468"/>
      <c r="M132" s="867"/>
      <c r="AA132">
        <f>IF(AND('05 Lan'!C132&gt;Tmin, NOT('05 Lan'!$I132="")),'05 Lan'!$I132,0)</f>
        <v>0</v>
      </c>
      <c r="AB132">
        <f>IF(AND('05 Lan'!D132&gt;Tmin, NOT('05 Lan'!$I132="")),'05 Lan'!$I132,0)</f>
        <v>0</v>
      </c>
      <c r="AC132">
        <f>IF(AND('05 Lan'!E132&gt;Tmin, NOT('05 Lan'!$I132="")),'05 Lan'!$I132,0)</f>
        <v>0</v>
      </c>
      <c r="AD132">
        <f>IF(AND('05 Lan'!F132&gt;Tmin, NOT('05 Lan'!$I132="")),'05 Lan'!$I132,0)</f>
        <v>0</v>
      </c>
      <c r="AE132">
        <f>IF(AND('05 Lan'!C132&lt;Tmax, NOT('05 Lan'!$H132="")),'05 Lan'!$H132,4)</f>
        <v>2</v>
      </c>
      <c r="AF132">
        <f>IF(AND('05 Lan'!D132&lt;Tmax, NOT('05 Lan'!$H132="")),'05 Lan'!$H132,4)</f>
        <v>2</v>
      </c>
      <c r="AG132">
        <f>IF(AND('05 Lan'!E132&lt;Tmax, NOT('05 Lan'!$H132="")),'05 Lan'!$H132,4)</f>
        <v>2</v>
      </c>
      <c r="AH132">
        <f>IF(AND('05 Lan'!F132&lt;Tmax, NOT('05 Lan'!$H132="")),'05 Lan'!$H132,4)</f>
        <v>2</v>
      </c>
      <c r="AI132"/>
    </row>
    <row r="133" spans="1:35" outlineLevel="2" x14ac:dyDescent="0.2">
      <c r="A133" s="870" t="s">
        <v>3861</v>
      </c>
      <c r="B133" s="870" t="s">
        <v>3862</v>
      </c>
      <c r="C133" s="786"/>
      <c r="D133" s="866"/>
      <c r="E133" s="866"/>
      <c r="F133" s="866"/>
      <c r="G133" s="1468">
        <v>4</v>
      </c>
      <c r="H133" s="1468">
        <v>2</v>
      </c>
      <c r="I133" s="1467"/>
      <c r="J133" s="1468" t="s">
        <v>1592</v>
      </c>
      <c r="K133" s="1468"/>
      <c r="L133" s="1468"/>
      <c r="M133" s="867"/>
      <c r="AA133">
        <f>IF(AND('05 Lan'!C133&gt;Tmin, NOT('05 Lan'!$I133="")),'05 Lan'!$I133,0)</f>
        <v>0</v>
      </c>
      <c r="AB133">
        <f>IF(AND('05 Lan'!D133&gt;Tmin, NOT('05 Lan'!$I133="")),'05 Lan'!$I133,0)</f>
        <v>0</v>
      </c>
      <c r="AC133">
        <f>IF(AND('05 Lan'!E133&gt;Tmin, NOT('05 Lan'!$I133="")),'05 Lan'!$I133,0)</f>
        <v>0</v>
      </c>
      <c r="AD133">
        <f>IF(AND('05 Lan'!F133&gt;Tmin, NOT('05 Lan'!$I133="")),'05 Lan'!$I133,0)</f>
        <v>0</v>
      </c>
      <c r="AE133">
        <f>IF(AND('05 Lan'!C133&lt;Tmax, NOT('05 Lan'!$H133="")),'05 Lan'!$H133,4)</f>
        <v>2</v>
      </c>
      <c r="AF133">
        <f>IF(AND('05 Lan'!D133&lt;Tmax, NOT('05 Lan'!$H133="")),'05 Lan'!$H133,4)</f>
        <v>2</v>
      </c>
      <c r="AG133">
        <f>IF(AND('05 Lan'!E133&lt;Tmax, NOT('05 Lan'!$H133="")),'05 Lan'!$H133,4)</f>
        <v>2</v>
      </c>
      <c r="AH133">
        <f>IF(AND('05 Lan'!F133&lt;Tmax, NOT('05 Lan'!$H133="")),'05 Lan'!$H133,4)</f>
        <v>2</v>
      </c>
      <c r="AI133"/>
    </row>
    <row r="134" spans="1:35" ht="46.5" customHeight="1" outlineLevel="2" x14ac:dyDescent="0.2">
      <c r="A134" s="870" t="s">
        <v>3863</v>
      </c>
      <c r="B134" s="870" t="s">
        <v>3836</v>
      </c>
      <c r="C134" s="786"/>
      <c r="D134" s="866"/>
      <c r="E134" s="866"/>
      <c r="F134" s="866"/>
      <c r="G134" s="1468">
        <v>4</v>
      </c>
      <c r="H134" s="1468">
        <v>2</v>
      </c>
      <c r="I134" s="1467"/>
      <c r="J134" s="1468" t="s">
        <v>4246</v>
      </c>
      <c r="K134" s="1468"/>
      <c r="L134" s="1468"/>
      <c r="M134" s="867"/>
      <c r="AA134">
        <f>IF(AND('05 Lan'!C134&gt;Tmin, NOT('05 Lan'!$I134="")),'05 Lan'!$I134,0)</f>
        <v>0</v>
      </c>
      <c r="AB134">
        <f>IF(AND('05 Lan'!D134&gt;Tmin, NOT('05 Lan'!$I134="")),'05 Lan'!$I134,0)</f>
        <v>0</v>
      </c>
      <c r="AC134">
        <f>IF(AND('05 Lan'!E134&gt;Tmin, NOT('05 Lan'!$I134="")),'05 Lan'!$I134,0)</f>
        <v>0</v>
      </c>
      <c r="AD134">
        <f>IF(AND('05 Lan'!F134&gt;Tmin, NOT('05 Lan'!$I134="")),'05 Lan'!$I134,0)</f>
        <v>0</v>
      </c>
      <c r="AE134">
        <f>IF(AND('05 Lan'!C134&lt;Tmax, NOT('05 Lan'!$H134="")),'05 Lan'!$H134,4)</f>
        <v>2</v>
      </c>
      <c r="AF134">
        <f>IF(AND('05 Lan'!D134&lt;Tmax, NOT('05 Lan'!$H134="")),'05 Lan'!$H134,4)</f>
        <v>2</v>
      </c>
      <c r="AG134">
        <f>IF(AND('05 Lan'!E134&lt;Tmax, NOT('05 Lan'!$H134="")),'05 Lan'!$H134,4)</f>
        <v>2</v>
      </c>
      <c r="AH134">
        <f>IF(AND('05 Lan'!F134&lt;Tmax, NOT('05 Lan'!$H134="")),'05 Lan'!$H134,4)</f>
        <v>2</v>
      </c>
      <c r="AI134"/>
    </row>
    <row r="135" spans="1:35" ht="22.5" outlineLevel="2" x14ac:dyDescent="0.2">
      <c r="A135" s="870" t="s">
        <v>3864</v>
      </c>
      <c r="B135" s="870" t="s">
        <v>3865</v>
      </c>
      <c r="C135" s="786"/>
      <c r="D135" s="866"/>
      <c r="E135" s="866"/>
      <c r="F135" s="866"/>
      <c r="G135" s="1468">
        <v>4</v>
      </c>
      <c r="H135" s="1468">
        <v>2</v>
      </c>
      <c r="I135" s="1467"/>
      <c r="J135" s="1468" t="s">
        <v>2329</v>
      </c>
      <c r="K135" s="1468"/>
      <c r="L135" s="1468"/>
      <c r="M135" s="867"/>
      <c r="AA135">
        <f>IF(AND('05 Lan'!C135&gt;Tmin, NOT('05 Lan'!$I135="")),'05 Lan'!$I135,0)</f>
        <v>0</v>
      </c>
      <c r="AB135">
        <f>IF(AND('05 Lan'!D135&gt;Tmin, NOT('05 Lan'!$I135="")),'05 Lan'!$I135,0)</f>
        <v>0</v>
      </c>
      <c r="AC135">
        <f>IF(AND('05 Lan'!E135&gt;Tmin, NOT('05 Lan'!$I135="")),'05 Lan'!$I135,0)</f>
        <v>0</v>
      </c>
      <c r="AD135">
        <f>IF(AND('05 Lan'!F135&gt;Tmin, NOT('05 Lan'!$I135="")),'05 Lan'!$I135,0)</f>
        <v>0</v>
      </c>
      <c r="AE135">
        <f>IF(AND('05 Lan'!C135&lt;Tmax, NOT('05 Lan'!$H135="")),'05 Lan'!$H135,4)</f>
        <v>2</v>
      </c>
      <c r="AF135">
        <f>IF(AND('05 Lan'!D135&lt;Tmax, NOT('05 Lan'!$H135="")),'05 Lan'!$H135,4)</f>
        <v>2</v>
      </c>
      <c r="AG135">
        <f>IF(AND('05 Lan'!E135&lt;Tmax, NOT('05 Lan'!$H135="")),'05 Lan'!$H135,4)</f>
        <v>2</v>
      </c>
      <c r="AH135">
        <f>IF(AND('05 Lan'!F135&lt;Tmax, NOT('05 Lan'!$H135="")),'05 Lan'!$H135,4)</f>
        <v>2</v>
      </c>
      <c r="AI135"/>
    </row>
    <row r="136" spans="1:35" ht="13.5" customHeight="1" outlineLevel="2" x14ac:dyDescent="0.2">
      <c r="A136" s="870" t="s">
        <v>3866</v>
      </c>
      <c r="B136" s="870" t="s">
        <v>5662</v>
      </c>
      <c r="C136" s="786"/>
      <c r="D136" s="866"/>
      <c r="E136" s="866"/>
      <c r="F136" s="866"/>
      <c r="G136" s="1468">
        <v>4</v>
      </c>
      <c r="H136" s="1468">
        <v>2</v>
      </c>
      <c r="I136" s="1467"/>
      <c r="J136" s="1468" t="s">
        <v>2329</v>
      </c>
      <c r="K136" s="1468"/>
      <c r="L136" s="1468"/>
      <c r="M136" s="867"/>
      <c r="AA136">
        <f>IF(AND('05 Lan'!C136&gt;Tmin, NOT('05 Lan'!$I136="")),'05 Lan'!$I136,0)</f>
        <v>0</v>
      </c>
      <c r="AB136">
        <f>IF(AND('05 Lan'!D136&gt;Tmin, NOT('05 Lan'!$I136="")),'05 Lan'!$I136,0)</f>
        <v>0</v>
      </c>
      <c r="AC136">
        <f>IF(AND('05 Lan'!E136&gt;Tmin, NOT('05 Lan'!$I136="")),'05 Lan'!$I136,0)</f>
        <v>0</v>
      </c>
      <c r="AD136">
        <f>IF(AND('05 Lan'!F136&gt;Tmin, NOT('05 Lan'!$I136="")),'05 Lan'!$I136,0)</f>
        <v>0</v>
      </c>
      <c r="AE136">
        <f>IF(AND('05 Lan'!C136&lt;Tmax, NOT('05 Lan'!$H136="")),'05 Lan'!$H136,4)</f>
        <v>2</v>
      </c>
      <c r="AF136">
        <f>IF(AND('05 Lan'!D136&lt;Tmax, NOT('05 Lan'!$H136="")),'05 Lan'!$H136,4)</f>
        <v>2</v>
      </c>
      <c r="AG136">
        <f>IF(AND('05 Lan'!E136&lt;Tmax, NOT('05 Lan'!$H136="")),'05 Lan'!$H136,4)</f>
        <v>2</v>
      </c>
      <c r="AH136">
        <f>IF(AND('05 Lan'!F136&lt;Tmax, NOT('05 Lan'!$H136="")),'05 Lan'!$H136,4)</f>
        <v>2</v>
      </c>
      <c r="AI136"/>
    </row>
    <row r="137" spans="1:35" ht="22.5" outlineLevel="2" x14ac:dyDescent="0.2">
      <c r="A137" s="870" t="s">
        <v>3478</v>
      </c>
      <c r="B137" s="870" t="s">
        <v>3597</v>
      </c>
      <c r="C137" s="786"/>
      <c r="D137" s="866"/>
      <c r="E137" s="866"/>
      <c r="F137" s="866"/>
      <c r="G137" s="1468">
        <v>4</v>
      </c>
      <c r="H137" s="1468"/>
      <c r="I137" s="1467"/>
      <c r="J137" s="1468" t="s">
        <v>1592</v>
      </c>
      <c r="K137" s="1468"/>
      <c r="L137" s="1468"/>
      <c r="M137" s="867"/>
      <c r="AA137">
        <f>IF(AND('05 Lan'!C137&gt;Tmin, NOT('05 Lan'!$I137="")),'05 Lan'!$I137,0)</f>
        <v>0</v>
      </c>
      <c r="AB137">
        <f>IF(AND('05 Lan'!D137&gt;Tmin, NOT('05 Lan'!$I137="")),'05 Lan'!$I137,0)</f>
        <v>0</v>
      </c>
      <c r="AC137">
        <f>IF(AND('05 Lan'!E137&gt;Tmin, NOT('05 Lan'!$I137="")),'05 Lan'!$I137,0)</f>
        <v>0</v>
      </c>
      <c r="AD137">
        <f>IF(AND('05 Lan'!F137&gt;Tmin, NOT('05 Lan'!$I137="")),'05 Lan'!$I137,0)</f>
        <v>0</v>
      </c>
      <c r="AE137">
        <f>IF(AND('05 Lan'!C137&lt;Tmax, NOT('05 Lan'!$H137="")),'05 Lan'!$H137,4)</f>
        <v>4</v>
      </c>
      <c r="AF137">
        <f>IF(AND('05 Lan'!D137&lt;Tmax, NOT('05 Lan'!$H137="")),'05 Lan'!$H137,4)</f>
        <v>4</v>
      </c>
      <c r="AG137">
        <f>IF(AND('05 Lan'!E137&lt;Tmax, NOT('05 Lan'!$H137="")),'05 Lan'!$H137,4)</f>
        <v>4</v>
      </c>
      <c r="AH137">
        <f>IF(AND('05 Lan'!F137&lt;Tmax, NOT('05 Lan'!$H137="")),'05 Lan'!$H137,4)</f>
        <v>4</v>
      </c>
      <c r="AI137"/>
    </row>
    <row r="138" spans="1:35" ht="22.5" outlineLevel="2" x14ac:dyDescent="0.2">
      <c r="A138" s="870" t="s">
        <v>3598</v>
      </c>
      <c r="B138" s="870" t="s">
        <v>3599</v>
      </c>
      <c r="C138" s="786"/>
      <c r="D138" s="866"/>
      <c r="E138" s="866"/>
      <c r="F138" s="866"/>
      <c r="G138" s="1468">
        <v>3</v>
      </c>
      <c r="H138" s="1468"/>
      <c r="I138" s="1467"/>
      <c r="J138" s="1468" t="s">
        <v>2329</v>
      </c>
      <c r="K138" s="1468"/>
      <c r="L138" s="1468" t="s">
        <v>7324</v>
      </c>
      <c r="M138" s="867"/>
      <c r="AA138">
        <f>IF(AND('05 Lan'!C138&gt;Tmin, NOT('05 Lan'!$I138="")),'05 Lan'!$I138,0)</f>
        <v>0</v>
      </c>
      <c r="AB138">
        <f>IF(AND('05 Lan'!D138&gt;Tmin, NOT('05 Lan'!$I138="")),'05 Lan'!$I138,0)</f>
        <v>0</v>
      </c>
      <c r="AC138">
        <f>IF(AND('05 Lan'!E138&gt;Tmin, NOT('05 Lan'!$I138="")),'05 Lan'!$I138,0)</f>
        <v>0</v>
      </c>
      <c r="AD138">
        <f>IF(AND('05 Lan'!F138&gt;Tmin, NOT('05 Lan'!$I138="")),'05 Lan'!$I138,0)</f>
        <v>0</v>
      </c>
      <c r="AE138">
        <f>IF(AND('05 Lan'!C138&lt;Tmax, NOT('05 Lan'!$H138="")),'05 Lan'!$H138,4)</f>
        <v>4</v>
      </c>
      <c r="AF138">
        <f>IF(AND('05 Lan'!D138&lt;Tmax, NOT('05 Lan'!$H138="")),'05 Lan'!$H138,4)</f>
        <v>4</v>
      </c>
      <c r="AG138">
        <f>IF(AND('05 Lan'!E138&lt;Tmax, NOT('05 Lan'!$H138="")),'05 Lan'!$H138,4)</f>
        <v>4</v>
      </c>
      <c r="AH138">
        <f>IF(AND('05 Lan'!F138&lt;Tmax, NOT('05 Lan'!$H138="")),'05 Lan'!$H138,4)</f>
        <v>4</v>
      </c>
      <c r="AI138"/>
    </row>
    <row r="139" spans="1:35" ht="44.25" customHeight="1" outlineLevel="2" x14ac:dyDescent="0.2">
      <c r="A139" s="870" t="s">
        <v>3600</v>
      </c>
      <c r="B139" s="870" t="s">
        <v>2844</v>
      </c>
      <c r="C139" s="786"/>
      <c r="D139" s="866"/>
      <c r="E139" s="866"/>
      <c r="F139" s="866"/>
      <c r="G139" s="1468">
        <v>4</v>
      </c>
      <c r="H139" s="1468">
        <v>2</v>
      </c>
      <c r="I139" s="1467"/>
      <c r="J139" s="1468" t="s">
        <v>2349</v>
      </c>
      <c r="K139" s="1468"/>
      <c r="L139" s="1468"/>
      <c r="M139" s="867"/>
      <c r="AA139">
        <f>IF(AND('05 Lan'!C139&gt;Tmin, NOT('05 Lan'!$I139="")),'05 Lan'!$I139,0)</f>
        <v>0</v>
      </c>
      <c r="AB139">
        <f>IF(AND('05 Lan'!D139&gt;Tmin, NOT('05 Lan'!$I139="")),'05 Lan'!$I139,0)</f>
        <v>0</v>
      </c>
      <c r="AC139">
        <f>IF(AND('05 Lan'!E139&gt;Tmin, NOT('05 Lan'!$I139="")),'05 Lan'!$I139,0)</f>
        <v>0</v>
      </c>
      <c r="AD139">
        <f>IF(AND('05 Lan'!F139&gt;Tmin, NOT('05 Lan'!$I139="")),'05 Lan'!$I139,0)</f>
        <v>0</v>
      </c>
      <c r="AE139">
        <f>IF(AND('05 Lan'!C139&lt;Tmax, NOT('05 Lan'!$H139="")),'05 Lan'!$H139,4)</f>
        <v>2</v>
      </c>
      <c r="AF139">
        <f>IF(AND('05 Lan'!D139&lt;Tmax, NOT('05 Lan'!$H139="")),'05 Lan'!$H139,4)</f>
        <v>2</v>
      </c>
      <c r="AG139">
        <f>IF(AND('05 Lan'!E139&lt;Tmax, NOT('05 Lan'!$H139="")),'05 Lan'!$H139,4)</f>
        <v>2</v>
      </c>
      <c r="AH139">
        <f>IF(AND('05 Lan'!F139&lt;Tmax, NOT('05 Lan'!$H139="")),'05 Lan'!$H139,4)</f>
        <v>2</v>
      </c>
      <c r="AI139"/>
    </row>
    <row r="140" spans="1:35" outlineLevel="2" x14ac:dyDescent="0.2">
      <c r="A140" s="870" t="s">
        <v>3601</v>
      </c>
      <c r="B140" s="870" t="s">
        <v>4424</v>
      </c>
      <c r="C140" s="786"/>
      <c r="D140" s="866"/>
      <c r="E140" s="866"/>
      <c r="F140" s="866"/>
      <c r="G140" s="1468">
        <v>2</v>
      </c>
      <c r="H140" s="1468">
        <v>3</v>
      </c>
      <c r="I140" s="1467"/>
      <c r="J140" s="1468" t="s">
        <v>2109</v>
      </c>
      <c r="K140" s="1469" t="s">
        <v>7068</v>
      </c>
      <c r="L140" s="1468" t="s">
        <v>4425</v>
      </c>
      <c r="M140" s="867"/>
      <c r="AA140">
        <f>IF(AND('05 Lan'!C140&gt;Tmin, NOT('05 Lan'!$I140="")),'05 Lan'!$I140,0)</f>
        <v>0</v>
      </c>
      <c r="AB140">
        <f>IF(AND('05 Lan'!D140&gt;Tmin, NOT('05 Lan'!$I140="")),'05 Lan'!$I140,0)</f>
        <v>0</v>
      </c>
      <c r="AC140">
        <f>IF(AND('05 Lan'!E140&gt;Tmin, NOT('05 Lan'!$I140="")),'05 Lan'!$I140,0)</f>
        <v>0</v>
      </c>
      <c r="AD140">
        <f>IF(AND('05 Lan'!F140&gt;Tmin, NOT('05 Lan'!$I140="")),'05 Lan'!$I140,0)</f>
        <v>0</v>
      </c>
      <c r="AE140">
        <f>IF(AND('05 Lan'!C140&lt;Tmax, NOT('05 Lan'!$H140="")),'05 Lan'!$H140,4)</f>
        <v>3</v>
      </c>
      <c r="AF140">
        <f>IF(AND('05 Lan'!D140&lt;Tmax, NOT('05 Lan'!$H140="")),'05 Lan'!$H140,4)</f>
        <v>3</v>
      </c>
      <c r="AG140">
        <f>IF(AND('05 Lan'!E140&lt;Tmax, NOT('05 Lan'!$H140="")),'05 Lan'!$H140,4)</f>
        <v>3</v>
      </c>
      <c r="AH140">
        <f>IF(AND('05 Lan'!F140&lt;Tmax, NOT('05 Lan'!$H140="")),'05 Lan'!$H140,4)</f>
        <v>3</v>
      </c>
      <c r="AI140"/>
    </row>
    <row r="141" spans="1:35" outlineLevel="1" x14ac:dyDescent="0.2">
      <c r="A141" s="868" t="s">
        <v>5013</v>
      </c>
      <c r="B141" s="869" t="s">
        <v>5014</v>
      </c>
      <c r="C141" s="786"/>
      <c r="D141" s="866"/>
      <c r="E141" s="866"/>
      <c r="F141" s="866"/>
      <c r="G141" s="1467"/>
      <c r="H141" s="1467"/>
      <c r="I141" s="1467"/>
      <c r="J141" s="1467"/>
      <c r="K141" s="1468"/>
      <c r="L141" s="1468"/>
      <c r="M141" s="867"/>
      <c r="AA141"/>
      <c r="AB141"/>
      <c r="AC141"/>
      <c r="AD141"/>
      <c r="AE141"/>
      <c r="AF141"/>
      <c r="AG141"/>
      <c r="AH141"/>
      <c r="AI141"/>
    </row>
    <row r="142" spans="1:35" outlineLevel="2" x14ac:dyDescent="0.2">
      <c r="A142" s="870" t="s">
        <v>4426</v>
      </c>
      <c r="B142" s="870" t="s">
        <v>4427</v>
      </c>
      <c r="C142" s="786"/>
      <c r="D142" s="866"/>
      <c r="E142" s="866"/>
      <c r="F142" s="866"/>
      <c r="G142" s="1468">
        <v>2</v>
      </c>
      <c r="H142" s="1468"/>
      <c r="I142" s="1467"/>
      <c r="J142" s="1468" t="s">
        <v>4246</v>
      </c>
      <c r="K142" s="1468"/>
      <c r="L142" s="1468" t="s">
        <v>7258</v>
      </c>
      <c r="M142" s="867"/>
      <c r="AA142">
        <f>IF(AND('05 Lan'!C142&gt;Tmin, NOT('05 Lan'!$I142="")),'05 Lan'!$I142,0)</f>
        <v>0</v>
      </c>
      <c r="AB142">
        <f>IF(AND('05 Lan'!D142&gt;Tmin, NOT('05 Lan'!$I142="")),'05 Lan'!$I142,0)</f>
        <v>0</v>
      </c>
      <c r="AC142">
        <f>IF(AND('05 Lan'!E142&gt;Tmin, NOT('05 Lan'!$I142="")),'05 Lan'!$I142,0)</f>
        <v>0</v>
      </c>
      <c r="AD142">
        <f>IF(AND('05 Lan'!F142&gt;Tmin, NOT('05 Lan'!$I142="")),'05 Lan'!$I142,0)</f>
        <v>0</v>
      </c>
      <c r="AE142">
        <f>IF(AND('05 Lan'!C142&lt;Tmax, NOT('05 Lan'!$H142="")),'05 Lan'!$H142,4)</f>
        <v>4</v>
      </c>
      <c r="AF142">
        <f>IF(AND('05 Lan'!D142&lt;Tmax, NOT('05 Lan'!$H142="")),'05 Lan'!$H142,4)</f>
        <v>4</v>
      </c>
      <c r="AG142">
        <f>IF(AND('05 Lan'!E142&lt;Tmax, NOT('05 Lan'!$H142="")),'05 Lan'!$H142,4)</f>
        <v>4</v>
      </c>
      <c r="AH142">
        <f>IF(AND('05 Lan'!F142&lt;Tmax, NOT('05 Lan'!$H142="")),'05 Lan'!$H142,4)</f>
        <v>4</v>
      </c>
      <c r="AI142"/>
    </row>
    <row r="143" spans="1:35" ht="14.25" customHeight="1" outlineLevel="2" x14ac:dyDescent="0.2">
      <c r="A143" s="870" t="s">
        <v>4428</v>
      </c>
      <c r="B143" s="870" t="s">
        <v>4276</v>
      </c>
      <c r="C143" s="786"/>
      <c r="D143" s="866"/>
      <c r="E143" s="866"/>
      <c r="F143" s="866"/>
      <c r="G143" s="1468">
        <v>1</v>
      </c>
      <c r="H143" s="1468"/>
      <c r="I143" s="1467"/>
      <c r="J143" s="1468" t="s">
        <v>1592</v>
      </c>
      <c r="K143" s="1468"/>
      <c r="L143" s="1468" t="s">
        <v>7258</v>
      </c>
      <c r="M143" s="867"/>
      <c r="AA143">
        <f>IF(AND('05 Lan'!C143&gt;Tmin, NOT('05 Lan'!$I143="")),'05 Lan'!$I143,0)</f>
        <v>0</v>
      </c>
      <c r="AB143">
        <f>IF(AND('05 Lan'!D143&gt;Tmin, NOT('05 Lan'!$I143="")),'05 Lan'!$I143,0)</f>
        <v>0</v>
      </c>
      <c r="AC143">
        <f>IF(AND('05 Lan'!E143&gt;Tmin, NOT('05 Lan'!$I143="")),'05 Lan'!$I143,0)</f>
        <v>0</v>
      </c>
      <c r="AD143">
        <f>IF(AND('05 Lan'!F143&gt;Tmin, NOT('05 Lan'!$I143="")),'05 Lan'!$I143,0)</f>
        <v>0</v>
      </c>
      <c r="AE143">
        <f>IF(AND('05 Lan'!C143&lt;Tmax, NOT('05 Lan'!$H143="")),'05 Lan'!$H143,4)</f>
        <v>4</v>
      </c>
      <c r="AF143">
        <f>IF(AND('05 Lan'!D143&lt;Tmax, NOT('05 Lan'!$H143="")),'05 Lan'!$H143,4)</f>
        <v>4</v>
      </c>
      <c r="AG143">
        <f>IF(AND('05 Lan'!E143&lt;Tmax, NOT('05 Lan'!$H143="")),'05 Lan'!$H143,4)</f>
        <v>4</v>
      </c>
      <c r="AH143">
        <f>IF(AND('05 Lan'!F143&lt;Tmax, NOT('05 Lan'!$H143="")),'05 Lan'!$H143,4)</f>
        <v>4</v>
      </c>
      <c r="AI143"/>
    </row>
    <row r="144" spans="1:35" ht="35.25" customHeight="1" outlineLevel="2" x14ac:dyDescent="0.2">
      <c r="A144" s="870" t="s">
        <v>4277</v>
      </c>
      <c r="B144" s="870" t="s">
        <v>1844</v>
      </c>
      <c r="C144" s="786"/>
      <c r="D144" s="866"/>
      <c r="E144" s="866"/>
      <c r="F144" s="866"/>
      <c r="G144" s="1468">
        <v>4</v>
      </c>
      <c r="H144" s="1468">
        <v>2</v>
      </c>
      <c r="I144" s="1467"/>
      <c r="J144" s="1468" t="s">
        <v>1592</v>
      </c>
      <c r="K144" s="1468"/>
      <c r="L144" s="1468" t="s">
        <v>7258</v>
      </c>
      <c r="M144" s="867"/>
      <c r="AA144">
        <f>IF(AND('05 Lan'!C144&gt;Tmin, NOT('05 Lan'!$I144="")),'05 Lan'!$I144,0)</f>
        <v>0</v>
      </c>
      <c r="AB144">
        <f>IF(AND('05 Lan'!D144&gt;Tmin, NOT('05 Lan'!$I144="")),'05 Lan'!$I144,0)</f>
        <v>0</v>
      </c>
      <c r="AC144">
        <f>IF(AND('05 Lan'!E144&gt;Tmin, NOT('05 Lan'!$I144="")),'05 Lan'!$I144,0)</f>
        <v>0</v>
      </c>
      <c r="AD144">
        <f>IF(AND('05 Lan'!F144&gt;Tmin, NOT('05 Lan'!$I144="")),'05 Lan'!$I144,0)</f>
        <v>0</v>
      </c>
      <c r="AE144">
        <f>IF(AND('05 Lan'!C144&lt;Tmax, NOT('05 Lan'!$H144="")),'05 Lan'!$H144,4)</f>
        <v>2</v>
      </c>
      <c r="AF144">
        <f>IF(AND('05 Lan'!D144&lt;Tmax, NOT('05 Lan'!$H144="")),'05 Lan'!$H144,4)</f>
        <v>2</v>
      </c>
      <c r="AG144">
        <f>IF(AND('05 Lan'!E144&lt;Tmax, NOT('05 Lan'!$H144="")),'05 Lan'!$H144,4)</f>
        <v>2</v>
      </c>
      <c r="AH144">
        <f>IF(AND('05 Lan'!F144&lt;Tmax, NOT('05 Lan'!$H144="")),'05 Lan'!$H144,4)</f>
        <v>2</v>
      </c>
      <c r="AI144"/>
    </row>
    <row r="145" spans="1:35" ht="25.5" customHeight="1" outlineLevel="2" x14ac:dyDescent="0.2">
      <c r="A145" s="870" t="s">
        <v>4278</v>
      </c>
      <c r="B145" s="870" t="s">
        <v>4279</v>
      </c>
      <c r="C145" s="786"/>
      <c r="D145" s="866"/>
      <c r="E145" s="866"/>
      <c r="F145" s="866"/>
      <c r="G145" s="1468">
        <v>4</v>
      </c>
      <c r="H145" s="1468">
        <v>2</v>
      </c>
      <c r="I145" s="1467"/>
      <c r="J145" s="1468" t="s">
        <v>1592</v>
      </c>
      <c r="K145" s="1468"/>
      <c r="L145" s="1468"/>
      <c r="M145" s="867"/>
      <c r="AA145">
        <f>IF(AND('05 Lan'!C145&gt;Tmin, NOT('05 Lan'!$I145="")),'05 Lan'!$I145,0)</f>
        <v>0</v>
      </c>
      <c r="AB145">
        <f>IF(AND('05 Lan'!D145&gt;Tmin, NOT('05 Lan'!$I145="")),'05 Lan'!$I145,0)</f>
        <v>0</v>
      </c>
      <c r="AC145">
        <f>IF(AND('05 Lan'!E145&gt;Tmin, NOT('05 Lan'!$I145="")),'05 Lan'!$I145,0)</f>
        <v>0</v>
      </c>
      <c r="AD145">
        <f>IF(AND('05 Lan'!F145&gt;Tmin, NOT('05 Lan'!$I145="")),'05 Lan'!$I145,0)</f>
        <v>0</v>
      </c>
      <c r="AE145">
        <f>IF(AND('05 Lan'!C145&lt;Tmax, NOT('05 Lan'!$H145="")),'05 Lan'!$H145,4)</f>
        <v>2</v>
      </c>
      <c r="AF145">
        <f>IF(AND('05 Lan'!D145&lt;Tmax, NOT('05 Lan'!$H145="")),'05 Lan'!$H145,4)</f>
        <v>2</v>
      </c>
      <c r="AG145">
        <f>IF(AND('05 Lan'!E145&lt;Tmax, NOT('05 Lan'!$H145="")),'05 Lan'!$H145,4)</f>
        <v>2</v>
      </c>
      <c r="AH145">
        <f>IF(AND('05 Lan'!F145&lt;Tmax, NOT('05 Lan'!$H145="")),'05 Lan'!$H145,4)</f>
        <v>2</v>
      </c>
      <c r="AI145"/>
    </row>
    <row r="146" spans="1:35" outlineLevel="2" x14ac:dyDescent="0.2">
      <c r="A146" s="870" t="s">
        <v>4280</v>
      </c>
      <c r="B146" s="870" t="s">
        <v>4351</v>
      </c>
      <c r="C146" s="786"/>
      <c r="D146" s="866"/>
      <c r="E146" s="866"/>
      <c r="F146" s="866"/>
      <c r="G146" s="1468">
        <v>4</v>
      </c>
      <c r="H146" s="1468">
        <v>2</v>
      </c>
      <c r="I146" s="1467"/>
      <c r="J146" s="1468" t="s">
        <v>1592</v>
      </c>
      <c r="K146" s="1468"/>
      <c r="L146" s="1468"/>
      <c r="M146" s="867"/>
      <c r="AA146">
        <f>IF(AND('05 Lan'!C146&gt;Tmin, NOT('05 Lan'!$I146="")),'05 Lan'!$I146,0)</f>
        <v>0</v>
      </c>
      <c r="AB146">
        <f>IF(AND('05 Lan'!D146&gt;Tmin, NOT('05 Lan'!$I146="")),'05 Lan'!$I146,0)</f>
        <v>0</v>
      </c>
      <c r="AC146">
        <f>IF(AND('05 Lan'!E146&gt;Tmin, NOT('05 Lan'!$I146="")),'05 Lan'!$I146,0)</f>
        <v>0</v>
      </c>
      <c r="AD146">
        <f>IF(AND('05 Lan'!F146&gt;Tmin, NOT('05 Lan'!$I146="")),'05 Lan'!$I146,0)</f>
        <v>0</v>
      </c>
      <c r="AE146">
        <f>IF(AND('05 Lan'!C146&lt;Tmax, NOT('05 Lan'!$H146="")),'05 Lan'!$H146,4)</f>
        <v>2</v>
      </c>
      <c r="AF146">
        <f>IF(AND('05 Lan'!D146&lt;Tmax, NOT('05 Lan'!$H146="")),'05 Lan'!$H146,4)</f>
        <v>2</v>
      </c>
      <c r="AG146">
        <f>IF(AND('05 Lan'!E146&lt;Tmax, NOT('05 Lan'!$H146="")),'05 Lan'!$H146,4)</f>
        <v>2</v>
      </c>
      <c r="AH146">
        <f>IF(AND('05 Lan'!F146&lt;Tmax, NOT('05 Lan'!$H146="")),'05 Lan'!$H146,4)</f>
        <v>2</v>
      </c>
      <c r="AI146"/>
    </row>
    <row r="147" spans="1:35" ht="22.5" outlineLevel="2" x14ac:dyDescent="0.2">
      <c r="A147" s="870" t="s">
        <v>4352</v>
      </c>
      <c r="B147" s="870" t="s">
        <v>3597</v>
      </c>
      <c r="C147" s="786"/>
      <c r="D147" s="866"/>
      <c r="E147" s="874"/>
      <c r="F147" s="874"/>
      <c r="G147" s="1468">
        <v>4</v>
      </c>
      <c r="H147" s="1468"/>
      <c r="I147" s="1467"/>
      <c r="J147" s="1468" t="s">
        <v>1592</v>
      </c>
      <c r="K147" s="1468"/>
      <c r="L147" s="1468"/>
      <c r="M147" s="867"/>
      <c r="AA147">
        <f>IF(AND('05 Lan'!C147&gt;Tmin, NOT('05 Lan'!$I147="")),'05 Lan'!$I147,0)</f>
        <v>0</v>
      </c>
      <c r="AB147">
        <f>IF(AND('05 Lan'!D147&gt;Tmin, NOT('05 Lan'!$I147="")),'05 Lan'!$I147,0)</f>
        <v>0</v>
      </c>
      <c r="AC147">
        <f>IF(AND('05 Lan'!E147&gt;Tmin, NOT('05 Lan'!$I147="")),'05 Lan'!$I147,0)</f>
        <v>0</v>
      </c>
      <c r="AD147">
        <f>IF(AND('05 Lan'!F147&gt;Tmin, NOT('05 Lan'!$I147="")),'05 Lan'!$I147,0)</f>
        <v>0</v>
      </c>
      <c r="AE147">
        <f>IF(AND('05 Lan'!C147&lt;Tmax, NOT('05 Lan'!$H147="")),'05 Lan'!$H147,4)</f>
        <v>4</v>
      </c>
      <c r="AF147">
        <f>IF(AND('05 Lan'!D147&lt;Tmax, NOT('05 Lan'!$H147="")),'05 Lan'!$H147,4)</f>
        <v>4</v>
      </c>
      <c r="AG147">
        <f>IF(AND('05 Lan'!E147&lt;Tmax, NOT('05 Lan'!$H147="")),'05 Lan'!$H147,4)</f>
        <v>4</v>
      </c>
      <c r="AH147">
        <f>IF(AND('05 Lan'!F147&lt;Tmax, NOT('05 Lan'!$H147="")),'05 Lan'!$H147,4)</f>
        <v>4</v>
      </c>
      <c r="AI147"/>
    </row>
    <row r="148" spans="1:35" ht="46.5" customHeight="1" outlineLevel="2" x14ac:dyDescent="0.2">
      <c r="A148" s="870" t="s">
        <v>4353</v>
      </c>
      <c r="B148" s="870" t="s">
        <v>2843</v>
      </c>
      <c r="C148" s="786"/>
      <c r="D148" s="866"/>
      <c r="E148" s="874"/>
      <c r="F148" s="874"/>
      <c r="G148" s="1468">
        <v>4</v>
      </c>
      <c r="H148" s="1468">
        <v>2</v>
      </c>
      <c r="I148" s="1467"/>
      <c r="J148" s="1468" t="s">
        <v>2349</v>
      </c>
      <c r="K148" s="1468"/>
      <c r="L148" s="1468"/>
      <c r="M148" s="867"/>
      <c r="AA148">
        <f>IF(AND('05 Lan'!C148&gt;Tmin, NOT('05 Lan'!$I148="")),'05 Lan'!$I148,0)</f>
        <v>0</v>
      </c>
      <c r="AB148">
        <f>IF(AND('05 Lan'!D148&gt;Tmin, NOT('05 Lan'!$I148="")),'05 Lan'!$I148,0)</f>
        <v>0</v>
      </c>
      <c r="AC148">
        <f>IF(AND('05 Lan'!E148&gt;Tmin, NOT('05 Lan'!$I148="")),'05 Lan'!$I148,0)</f>
        <v>0</v>
      </c>
      <c r="AD148">
        <f>IF(AND('05 Lan'!F148&gt;Tmin, NOT('05 Lan'!$I148="")),'05 Lan'!$I148,0)</f>
        <v>0</v>
      </c>
      <c r="AE148">
        <f>IF(AND('05 Lan'!C148&lt;Tmax, NOT('05 Lan'!$H148="")),'05 Lan'!$H148,4)</f>
        <v>2</v>
      </c>
      <c r="AF148">
        <f>IF(AND('05 Lan'!D148&lt;Tmax, NOT('05 Lan'!$H148="")),'05 Lan'!$H148,4)</f>
        <v>2</v>
      </c>
      <c r="AG148">
        <f>IF(AND('05 Lan'!E148&lt;Tmax, NOT('05 Lan'!$H148="")),'05 Lan'!$H148,4)</f>
        <v>2</v>
      </c>
      <c r="AH148">
        <f>IF(AND('05 Lan'!F148&lt;Tmax, NOT('05 Lan'!$H148="")),'05 Lan'!$H148,4)</f>
        <v>2</v>
      </c>
      <c r="AI148"/>
    </row>
    <row r="149" spans="1:35" ht="14.25" customHeight="1" outlineLevel="2" x14ac:dyDescent="0.2">
      <c r="A149" s="870" t="s">
        <v>4354</v>
      </c>
      <c r="B149" s="870" t="s">
        <v>2160</v>
      </c>
      <c r="C149" s="786"/>
      <c r="D149" s="866"/>
      <c r="E149" s="875"/>
      <c r="F149" s="875"/>
      <c r="G149" s="1468">
        <v>2</v>
      </c>
      <c r="H149" s="1468">
        <v>3</v>
      </c>
      <c r="I149" s="1467"/>
      <c r="J149" s="1468" t="s">
        <v>2109</v>
      </c>
      <c r="K149" s="1468"/>
      <c r="L149" s="1468"/>
      <c r="M149" s="867"/>
      <c r="AA149">
        <f>IF(AND('05 Lan'!C149&gt;Tmin, NOT('05 Lan'!$I149="")),'05 Lan'!$I149,0)</f>
        <v>0</v>
      </c>
      <c r="AB149">
        <f>IF(AND('05 Lan'!D149&gt;Tmin, NOT('05 Lan'!$I149="")),'05 Lan'!$I149,0)</f>
        <v>0</v>
      </c>
      <c r="AC149">
        <f>IF(AND('05 Lan'!E149&gt;Tmin, NOT('05 Lan'!$I149="")),'05 Lan'!$I149,0)</f>
        <v>0</v>
      </c>
      <c r="AD149">
        <f>IF(AND('05 Lan'!F149&gt;Tmin, NOT('05 Lan'!$I149="")),'05 Lan'!$I149,0)</f>
        <v>0</v>
      </c>
      <c r="AE149">
        <f>IF(AND('05 Lan'!C149&lt;Tmax, NOT('05 Lan'!$H149="")),'05 Lan'!$H149,4)</f>
        <v>3</v>
      </c>
      <c r="AF149">
        <f>IF(AND('05 Lan'!D149&lt;Tmax, NOT('05 Lan'!$H149="")),'05 Lan'!$H149,4)</f>
        <v>3</v>
      </c>
      <c r="AG149">
        <f>IF(AND('05 Lan'!E149&lt;Tmax, NOT('05 Lan'!$H149="")),'05 Lan'!$H149,4)</f>
        <v>3</v>
      </c>
      <c r="AH149">
        <f>IF(AND('05 Lan'!F149&lt;Tmax, NOT('05 Lan'!$H149="")),'05 Lan'!$H149,4)</f>
        <v>3</v>
      </c>
      <c r="AI149"/>
    </row>
    <row r="150" spans="1:35" outlineLevel="1" x14ac:dyDescent="0.2">
      <c r="A150" s="868" t="s">
        <v>5015</v>
      </c>
      <c r="B150" s="869" t="s">
        <v>5070</v>
      </c>
      <c r="C150" s="786"/>
      <c r="D150" s="866"/>
      <c r="E150" s="874"/>
      <c r="F150" s="874"/>
      <c r="G150" s="1467"/>
      <c r="H150" s="1467"/>
      <c r="I150" s="1467"/>
      <c r="J150" s="1468"/>
      <c r="K150" s="1468"/>
      <c r="L150" s="1468"/>
      <c r="M150" s="867"/>
      <c r="AA150"/>
      <c r="AB150"/>
      <c r="AC150"/>
      <c r="AD150"/>
      <c r="AE150"/>
      <c r="AF150"/>
      <c r="AG150"/>
      <c r="AH150"/>
      <c r="AI150"/>
    </row>
    <row r="151" spans="1:35" ht="22.5" outlineLevel="2" x14ac:dyDescent="0.2">
      <c r="A151" s="870" t="s">
        <v>2161</v>
      </c>
      <c r="B151" s="870" t="s">
        <v>2116</v>
      </c>
      <c r="C151" s="786"/>
      <c r="D151" s="866"/>
      <c r="E151" s="874"/>
      <c r="F151" s="874"/>
      <c r="G151" s="1468">
        <v>4</v>
      </c>
      <c r="H151" s="1468">
        <v>1</v>
      </c>
      <c r="I151" s="1467"/>
      <c r="J151" s="1468" t="s">
        <v>1592</v>
      </c>
      <c r="K151" s="1468"/>
      <c r="L151" s="1468"/>
      <c r="M151" s="867"/>
      <c r="AA151">
        <f>IF(AND('05 Lan'!C151&gt;Tmin, NOT('05 Lan'!$I151="")),'05 Lan'!$I151,0)</f>
        <v>0</v>
      </c>
      <c r="AB151">
        <f>IF(AND('05 Lan'!D151&gt;Tmin, NOT('05 Lan'!$I151="")),'05 Lan'!$I151,0)</f>
        <v>0</v>
      </c>
      <c r="AC151">
        <f>IF(AND('05 Lan'!E151&gt;Tmin, NOT('05 Lan'!$I151="")),'05 Lan'!$I151,0)</f>
        <v>0</v>
      </c>
      <c r="AD151">
        <f>IF(AND('05 Lan'!F151&gt;Tmin, NOT('05 Lan'!$I151="")),'05 Lan'!$I151,0)</f>
        <v>0</v>
      </c>
      <c r="AE151">
        <f>IF(AND('05 Lan'!C151&lt;Tmax, NOT('05 Lan'!$H151="")),'05 Lan'!$H151,4)</f>
        <v>1</v>
      </c>
      <c r="AF151">
        <f>IF(AND('05 Lan'!D151&lt;Tmax, NOT('05 Lan'!$H151="")),'05 Lan'!$H151,4)</f>
        <v>1</v>
      </c>
      <c r="AG151">
        <f>IF(AND('05 Lan'!E151&lt;Tmax, NOT('05 Lan'!$H151="")),'05 Lan'!$H151,4)</f>
        <v>1</v>
      </c>
      <c r="AH151">
        <f>IF(AND('05 Lan'!F151&lt;Tmax, NOT('05 Lan'!$H151="")),'05 Lan'!$H151,4)</f>
        <v>1</v>
      </c>
      <c r="AI151"/>
    </row>
    <row r="152" spans="1:35" ht="13.5" customHeight="1" outlineLevel="2" x14ac:dyDescent="0.2">
      <c r="A152" s="870" t="s">
        <v>2117</v>
      </c>
      <c r="B152" s="870" t="s">
        <v>2118</v>
      </c>
      <c r="C152" s="786"/>
      <c r="D152" s="866"/>
      <c r="E152" s="874"/>
      <c r="F152" s="874"/>
      <c r="G152" s="1468">
        <v>4</v>
      </c>
      <c r="H152" s="1468">
        <v>1</v>
      </c>
      <c r="I152" s="1467"/>
      <c r="J152" s="1468" t="s">
        <v>1592</v>
      </c>
      <c r="K152" s="1468"/>
      <c r="L152" s="1468"/>
      <c r="M152" s="867"/>
      <c r="AA152">
        <f>IF(AND('05 Lan'!C152&gt;Tmin, NOT('05 Lan'!$I152="")),'05 Lan'!$I152,0)</f>
        <v>0</v>
      </c>
      <c r="AB152">
        <f>IF(AND('05 Lan'!D152&gt;Tmin, NOT('05 Lan'!$I152="")),'05 Lan'!$I152,0)</f>
        <v>0</v>
      </c>
      <c r="AC152">
        <f>IF(AND('05 Lan'!E152&gt;Tmin, NOT('05 Lan'!$I152="")),'05 Lan'!$I152,0)</f>
        <v>0</v>
      </c>
      <c r="AD152">
        <f>IF(AND('05 Lan'!F152&gt;Tmin, NOT('05 Lan'!$I152="")),'05 Lan'!$I152,0)</f>
        <v>0</v>
      </c>
      <c r="AE152">
        <f>IF(AND('05 Lan'!C152&lt;Tmax, NOT('05 Lan'!$H152="")),'05 Lan'!$H152,4)</f>
        <v>1</v>
      </c>
      <c r="AF152">
        <f>IF(AND('05 Lan'!D152&lt;Tmax, NOT('05 Lan'!$H152="")),'05 Lan'!$H152,4)</f>
        <v>1</v>
      </c>
      <c r="AG152">
        <f>IF(AND('05 Lan'!E152&lt;Tmax, NOT('05 Lan'!$H152="")),'05 Lan'!$H152,4)</f>
        <v>1</v>
      </c>
      <c r="AH152">
        <f>IF(AND('05 Lan'!F152&lt;Tmax, NOT('05 Lan'!$H152="")),'05 Lan'!$H152,4)</f>
        <v>1</v>
      </c>
      <c r="AI152"/>
    </row>
    <row r="153" spans="1:35" ht="36.75" customHeight="1" outlineLevel="2" x14ac:dyDescent="0.2">
      <c r="A153" s="870" t="s">
        <v>2119</v>
      </c>
      <c r="B153" s="870" t="s">
        <v>5143</v>
      </c>
      <c r="C153" s="786"/>
      <c r="D153" s="866"/>
      <c r="E153" s="874"/>
      <c r="F153" s="874"/>
      <c r="G153" s="1468">
        <v>4</v>
      </c>
      <c r="H153" s="1468">
        <v>2</v>
      </c>
      <c r="I153" s="1467"/>
      <c r="J153" s="1468" t="s">
        <v>2329</v>
      </c>
      <c r="K153" s="1468"/>
      <c r="L153" s="1468"/>
      <c r="M153" s="867"/>
      <c r="AA153">
        <f>IF(AND('05 Lan'!C153&gt;Tmin, NOT('05 Lan'!$I153="")),'05 Lan'!$I153,0)</f>
        <v>0</v>
      </c>
      <c r="AB153">
        <f>IF(AND('05 Lan'!D153&gt;Tmin, NOT('05 Lan'!$I153="")),'05 Lan'!$I153,0)</f>
        <v>0</v>
      </c>
      <c r="AC153">
        <f>IF(AND('05 Lan'!E153&gt;Tmin, NOT('05 Lan'!$I153="")),'05 Lan'!$I153,0)</f>
        <v>0</v>
      </c>
      <c r="AD153">
        <f>IF(AND('05 Lan'!F153&gt;Tmin, NOT('05 Lan'!$I153="")),'05 Lan'!$I153,0)</f>
        <v>0</v>
      </c>
      <c r="AE153">
        <f>IF(AND('05 Lan'!C153&lt;Tmax, NOT('05 Lan'!$H153="")),'05 Lan'!$H153,4)</f>
        <v>2</v>
      </c>
      <c r="AF153">
        <f>IF(AND('05 Lan'!D153&lt;Tmax, NOT('05 Lan'!$H153="")),'05 Lan'!$H153,4)</f>
        <v>2</v>
      </c>
      <c r="AG153">
        <f>IF(AND('05 Lan'!E153&lt;Tmax, NOT('05 Lan'!$H153="")),'05 Lan'!$H153,4)</f>
        <v>2</v>
      </c>
      <c r="AH153">
        <f>IF(AND('05 Lan'!F153&lt;Tmax, NOT('05 Lan'!$H153="")),'05 Lan'!$H153,4)</f>
        <v>2</v>
      </c>
      <c r="AI153"/>
    </row>
    <row r="154" spans="1:35" ht="70.5" customHeight="1" outlineLevel="2" x14ac:dyDescent="0.2">
      <c r="A154" s="870" t="s">
        <v>2120</v>
      </c>
      <c r="B154" s="870" t="s">
        <v>1363</v>
      </c>
      <c r="C154" s="786"/>
      <c r="D154" s="866"/>
      <c r="E154" s="874"/>
      <c r="F154" s="874"/>
      <c r="G154" s="1468">
        <v>4</v>
      </c>
      <c r="H154" s="1468">
        <v>3</v>
      </c>
      <c r="I154" s="1468"/>
      <c r="J154" s="1468" t="s">
        <v>1592</v>
      </c>
      <c r="K154" s="1468"/>
      <c r="L154" s="1468"/>
      <c r="M154" s="867"/>
      <c r="AA154">
        <f>IF(AND('05 Lan'!C154&gt;Tmin, NOT('05 Lan'!$I154="")),'05 Lan'!$I154,0)</f>
        <v>0</v>
      </c>
      <c r="AB154">
        <f>IF(AND('05 Lan'!D154&gt;Tmin, NOT('05 Lan'!$I154="")),'05 Lan'!$I154,0)</f>
        <v>0</v>
      </c>
      <c r="AC154">
        <f>IF(AND('05 Lan'!E154&gt;Tmin, NOT('05 Lan'!$I154="")),'05 Lan'!$I154,0)</f>
        <v>0</v>
      </c>
      <c r="AD154">
        <f>IF(AND('05 Lan'!F154&gt;Tmin, NOT('05 Lan'!$I154="")),'05 Lan'!$I154,0)</f>
        <v>0</v>
      </c>
      <c r="AE154">
        <f>IF(AND('05 Lan'!C154&lt;Tmax, NOT('05 Lan'!$H154="")),'05 Lan'!$H154,4)</f>
        <v>3</v>
      </c>
      <c r="AF154">
        <f>IF(AND('05 Lan'!D154&lt;Tmax, NOT('05 Lan'!$H154="")),'05 Lan'!$H154,4)</f>
        <v>3</v>
      </c>
      <c r="AG154">
        <f>IF(AND('05 Lan'!E154&lt;Tmax, NOT('05 Lan'!$H154="")),'05 Lan'!$H154,4)</f>
        <v>3</v>
      </c>
      <c r="AH154">
        <f>IF(AND('05 Lan'!F154&lt;Tmax, NOT('05 Lan'!$H154="")),'05 Lan'!$H154,4)</f>
        <v>3</v>
      </c>
      <c r="AI154"/>
    </row>
    <row r="155" spans="1:35" ht="66" customHeight="1" outlineLevel="2" x14ac:dyDescent="0.2">
      <c r="A155" s="870" t="s">
        <v>2121</v>
      </c>
      <c r="B155" s="870" t="s">
        <v>2763</v>
      </c>
      <c r="C155" s="786"/>
      <c r="D155" s="866"/>
      <c r="E155" s="874"/>
      <c r="F155" s="874"/>
      <c r="G155" s="1468">
        <v>4</v>
      </c>
      <c r="H155" s="1468">
        <v>3</v>
      </c>
      <c r="I155" s="1468"/>
      <c r="J155" s="1468" t="s">
        <v>2329</v>
      </c>
      <c r="K155" s="1468"/>
      <c r="L155" s="1468"/>
      <c r="M155" s="867"/>
      <c r="AA155">
        <f>IF(AND('05 Lan'!C155&gt;Tmin, NOT('05 Lan'!$I155="")),'05 Lan'!$I155,0)</f>
        <v>0</v>
      </c>
      <c r="AB155">
        <f>IF(AND('05 Lan'!D155&gt;Tmin, NOT('05 Lan'!$I155="")),'05 Lan'!$I155,0)</f>
        <v>0</v>
      </c>
      <c r="AC155">
        <f>IF(AND('05 Lan'!E155&gt;Tmin, NOT('05 Lan'!$I155="")),'05 Lan'!$I155,0)</f>
        <v>0</v>
      </c>
      <c r="AD155">
        <f>IF(AND('05 Lan'!F155&gt;Tmin, NOT('05 Lan'!$I155="")),'05 Lan'!$I155,0)</f>
        <v>0</v>
      </c>
      <c r="AE155">
        <f>IF(AND('05 Lan'!C155&lt;Tmax, NOT('05 Lan'!$H155="")),'05 Lan'!$H155,4)</f>
        <v>3</v>
      </c>
      <c r="AF155">
        <f>IF(AND('05 Lan'!D155&lt;Tmax, NOT('05 Lan'!$H155="")),'05 Lan'!$H155,4)</f>
        <v>3</v>
      </c>
      <c r="AG155">
        <f>IF(AND('05 Lan'!E155&lt;Tmax, NOT('05 Lan'!$H155="")),'05 Lan'!$H155,4)</f>
        <v>3</v>
      </c>
      <c r="AH155">
        <f>IF(AND('05 Lan'!F155&lt;Tmax, NOT('05 Lan'!$H155="")),'05 Lan'!$H155,4)</f>
        <v>3</v>
      </c>
      <c r="AI155"/>
    </row>
    <row r="156" spans="1:35" ht="22.5" outlineLevel="2" x14ac:dyDescent="0.2">
      <c r="A156" s="870" t="s">
        <v>2122</v>
      </c>
      <c r="B156" s="870" t="s">
        <v>4787</v>
      </c>
      <c r="C156" s="786"/>
      <c r="D156" s="866"/>
      <c r="E156" s="874"/>
      <c r="F156" s="874"/>
      <c r="G156" s="1468">
        <v>4</v>
      </c>
      <c r="H156" s="1468">
        <v>2</v>
      </c>
      <c r="I156" s="1467"/>
      <c r="J156" s="1468" t="s">
        <v>1592</v>
      </c>
      <c r="K156" s="1468"/>
      <c r="L156" s="1468"/>
      <c r="M156" s="867"/>
      <c r="AA156">
        <f>IF(AND('05 Lan'!C156&gt;Tmin, NOT('05 Lan'!$I156="")),'05 Lan'!$I156,0)</f>
        <v>0</v>
      </c>
      <c r="AB156">
        <f>IF(AND('05 Lan'!D156&gt;Tmin, NOT('05 Lan'!$I156="")),'05 Lan'!$I156,0)</f>
        <v>0</v>
      </c>
      <c r="AC156">
        <f>IF(AND('05 Lan'!E156&gt;Tmin, NOT('05 Lan'!$I156="")),'05 Lan'!$I156,0)</f>
        <v>0</v>
      </c>
      <c r="AD156">
        <f>IF(AND('05 Lan'!F156&gt;Tmin, NOT('05 Lan'!$I156="")),'05 Lan'!$I156,0)</f>
        <v>0</v>
      </c>
      <c r="AE156">
        <f>IF(AND('05 Lan'!C156&lt;Tmax, NOT('05 Lan'!$H156="")),'05 Lan'!$H156,4)</f>
        <v>2</v>
      </c>
      <c r="AF156">
        <f>IF(AND('05 Lan'!D156&lt;Tmax, NOT('05 Lan'!$H156="")),'05 Lan'!$H156,4)</f>
        <v>2</v>
      </c>
      <c r="AG156">
        <f>IF(AND('05 Lan'!E156&lt;Tmax, NOT('05 Lan'!$H156="")),'05 Lan'!$H156,4)</f>
        <v>2</v>
      </c>
      <c r="AH156">
        <f>IF(AND('05 Lan'!F156&lt;Tmax, NOT('05 Lan'!$H156="")),'05 Lan'!$H156,4)</f>
        <v>2</v>
      </c>
      <c r="AI156"/>
    </row>
    <row r="157" spans="1:35" ht="22.5" outlineLevel="2" x14ac:dyDescent="0.2">
      <c r="A157" s="870" t="s">
        <v>2123</v>
      </c>
      <c r="B157" s="870" t="s">
        <v>2662</v>
      </c>
      <c r="C157" s="786"/>
      <c r="D157" s="866"/>
      <c r="E157" s="874"/>
      <c r="F157" s="874"/>
      <c r="G157" s="1468">
        <v>4</v>
      </c>
      <c r="H157" s="1468">
        <v>2</v>
      </c>
      <c r="I157" s="1467"/>
      <c r="J157" s="1468" t="s">
        <v>2329</v>
      </c>
      <c r="K157" s="1468"/>
      <c r="L157" s="1468"/>
      <c r="M157" s="867"/>
      <c r="AA157">
        <f>IF(AND('05 Lan'!C157&gt;Tmin, NOT('05 Lan'!$I157="")),'05 Lan'!$I157,0)</f>
        <v>0</v>
      </c>
      <c r="AB157">
        <f>IF(AND('05 Lan'!D157&gt;Tmin, NOT('05 Lan'!$I157="")),'05 Lan'!$I157,0)</f>
        <v>0</v>
      </c>
      <c r="AC157">
        <f>IF(AND('05 Lan'!E157&gt;Tmin, NOT('05 Lan'!$I157="")),'05 Lan'!$I157,0)</f>
        <v>0</v>
      </c>
      <c r="AD157">
        <f>IF(AND('05 Lan'!F157&gt;Tmin, NOT('05 Lan'!$I157="")),'05 Lan'!$I157,0)</f>
        <v>0</v>
      </c>
      <c r="AE157">
        <f>IF(AND('05 Lan'!C157&lt;Tmax, NOT('05 Lan'!$H157="")),'05 Lan'!$H157,4)</f>
        <v>2</v>
      </c>
      <c r="AF157">
        <f>IF(AND('05 Lan'!D157&lt;Tmax, NOT('05 Lan'!$H157="")),'05 Lan'!$H157,4)</f>
        <v>2</v>
      </c>
      <c r="AG157">
        <f>IF(AND('05 Lan'!E157&lt;Tmax, NOT('05 Lan'!$H157="")),'05 Lan'!$H157,4)</f>
        <v>2</v>
      </c>
      <c r="AH157">
        <f>IF(AND('05 Lan'!F157&lt;Tmax, NOT('05 Lan'!$H157="")),'05 Lan'!$H157,4)</f>
        <v>2</v>
      </c>
      <c r="AI157"/>
    </row>
    <row r="158" spans="1:35" ht="40.5" customHeight="1" outlineLevel="2" x14ac:dyDescent="0.2">
      <c r="A158" s="870" t="s">
        <v>2055</v>
      </c>
      <c r="B158" s="870" t="s">
        <v>1013</v>
      </c>
      <c r="C158" s="786"/>
      <c r="D158" s="866"/>
      <c r="E158" s="874"/>
      <c r="F158" s="874"/>
      <c r="G158" s="1468">
        <v>4</v>
      </c>
      <c r="H158" s="1468">
        <v>3</v>
      </c>
      <c r="I158" s="1467"/>
      <c r="J158" s="1468" t="s">
        <v>2349</v>
      </c>
      <c r="K158" s="1468"/>
      <c r="L158" s="1468"/>
      <c r="M158" s="867"/>
      <c r="AA158">
        <f>IF(AND('05 Lan'!C158&gt;Tmin, NOT('05 Lan'!$I158="")),'05 Lan'!$I158,0)</f>
        <v>0</v>
      </c>
      <c r="AB158">
        <f>IF(AND('05 Lan'!D158&gt;Tmin, NOT('05 Lan'!$I158="")),'05 Lan'!$I158,0)</f>
        <v>0</v>
      </c>
      <c r="AC158">
        <f>IF(AND('05 Lan'!E158&gt;Tmin, NOT('05 Lan'!$I158="")),'05 Lan'!$I158,0)</f>
        <v>0</v>
      </c>
      <c r="AD158">
        <f>IF(AND('05 Lan'!F158&gt;Tmin, NOT('05 Lan'!$I158="")),'05 Lan'!$I158,0)</f>
        <v>0</v>
      </c>
      <c r="AE158">
        <f>IF(AND('05 Lan'!C158&lt;Tmax, NOT('05 Lan'!$H158="")),'05 Lan'!$H158,4)</f>
        <v>3</v>
      </c>
      <c r="AF158">
        <f>IF(AND('05 Lan'!D158&lt;Tmax, NOT('05 Lan'!$H158="")),'05 Lan'!$H158,4)</f>
        <v>3</v>
      </c>
      <c r="AG158">
        <f>IF(AND('05 Lan'!E158&lt;Tmax, NOT('05 Lan'!$H158="")),'05 Lan'!$H158,4)</f>
        <v>3</v>
      </c>
      <c r="AH158">
        <f>IF(AND('05 Lan'!F158&lt;Tmax, NOT('05 Lan'!$H158="")),'05 Lan'!$H158,4)</f>
        <v>3</v>
      </c>
      <c r="AI158"/>
    </row>
    <row r="159" spans="1:35" x14ac:dyDescent="0.2">
      <c r="A159" s="873" t="s">
        <v>2056</v>
      </c>
      <c r="B159" s="873" t="s">
        <v>2124</v>
      </c>
      <c r="C159" s="786"/>
      <c r="D159" s="866"/>
      <c r="E159" s="874"/>
      <c r="F159" s="874"/>
      <c r="G159" s="1468"/>
      <c r="H159" s="1468"/>
      <c r="I159" s="1467"/>
      <c r="J159" s="1467"/>
      <c r="K159" s="1468"/>
      <c r="L159" s="1468"/>
      <c r="M159" s="867"/>
      <c r="AA159"/>
      <c r="AB159"/>
      <c r="AC159"/>
      <c r="AD159"/>
      <c r="AE159"/>
      <c r="AF159"/>
      <c r="AG159"/>
      <c r="AH159"/>
      <c r="AI159"/>
    </row>
    <row r="160" spans="1:35" ht="63" customHeight="1" outlineLevel="1" x14ac:dyDescent="0.2">
      <c r="A160" s="868" t="s">
        <v>6766</v>
      </c>
      <c r="B160" s="869" t="s">
        <v>2407</v>
      </c>
      <c r="C160" s="786"/>
      <c r="D160" s="866"/>
      <c r="E160" s="874"/>
      <c r="F160" s="874"/>
      <c r="G160" s="1468"/>
      <c r="H160" s="1468"/>
      <c r="I160" s="1467"/>
      <c r="J160" s="1467"/>
      <c r="K160" s="1468"/>
      <c r="L160" s="1468"/>
      <c r="M160" s="867"/>
      <c r="AA160"/>
      <c r="AB160"/>
      <c r="AC160"/>
      <c r="AD160"/>
      <c r="AE160"/>
      <c r="AF160"/>
      <c r="AG160"/>
      <c r="AH160"/>
      <c r="AI160"/>
    </row>
    <row r="161" spans="1:35" ht="22.5" outlineLevel="2" x14ac:dyDescent="0.2">
      <c r="A161" s="870" t="s">
        <v>1395</v>
      </c>
      <c r="B161" s="870" t="s">
        <v>6504</v>
      </c>
      <c r="C161" s="786"/>
      <c r="D161" s="866"/>
      <c r="E161" s="874"/>
      <c r="F161" s="874"/>
      <c r="G161" s="1468">
        <v>4</v>
      </c>
      <c r="H161" s="1468"/>
      <c r="I161" s="1467"/>
      <c r="J161" s="1468" t="s">
        <v>4246</v>
      </c>
      <c r="K161" s="1468" t="s">
        <v>5882</v>
      </c>
      <c r="L161" s="1468" t="s">
        <v>978</v>
      </c>
      <c r="M161" s="867"/>
      <c r="AA161">
        <f>IF(AND('05 Lan'!C161&gt;Tmin, NOT('05 Lan'!$I161="")),'05 Lan'!$I161,0)</f>
        <v>0</v>
      </c>
      <c r="AB161">
        <f>IF(AND('05 Lan'!D161&gt;Tmin, NOT('05 Lan'!$I161="")),'05 Lan'!$I161,0)</f>
        <v>0</v>
      </c>
      <c r="AC161">
        <f>IF(AND('05 Lan'!E161&gt;Tmin, NOT('05 Lan'!$I161="")),'05 Lan'!$I161,0)</f>
        <v>0</v>
      </c>
      <c r="AD161">
        <f>IF(AND('05 Lan'!F161&gt;Tmin, NOT('05 Lan'!$I161="")),'05 Lan'!$I161,0)</f>
        <v>0</v>
      </c>
      <c r="AE161">
        <f>IF(AND('05 Lan'!C161&lt;Tmax, NOT('05 Lan'!$H161="")),'05 Lan'!$H161,4)</f>
        <v>4</v>
      </c>
      <c r="AF161">
        <f>IF(AND('05 Lan'!D161&lt;Tmax, NOT('05 Lan'!$H161="")),'05 Lan'!$H161,4)</f>
        <v>4</v>
      </c>
      <c r="AG161">
        <f>IF(AND('05 Lan'!E161&lt;Tmax, NOT('05 Lan'!$H161="")),'05 Lan'!$H161,4)</f>
        <v>4</v>
      </c>
      <c r="AH161">
        <f>IF(AND('05 Lan'!F161&lt;Tmax, NOT('05 Lan'!$H161="")),'05 Lan'!$H161,4)</f>
        <v>4</v>
      </c>
      <c r="AI161"/>
    </row>
    <row r="162" spans="1:35" ht="37.5" customHeight="1" outlineLevel="2" x14ac:dyDescent="0.2">
      <c r="A162" s="870" t="s">
        <v>1396</v>
      </c>
      <c r="B162" s="870" t="s">
        <v>3803</v>
      </c>
      <c r="C162" s="786"/>
      <c r="D162" s="866"/>
      <c r="E162" s="874"/>
      <c r="F162" s="874"/>
      <c r="G162" s="1468">
        <v>4</v>
      </c>
      <c r="H162" s="1468">
        <v>2</v>
      </c>
      <c r="I162" s="1467"/>
      <c r="J162" s="1468" t="s">
        <v>1592</v>
      </c>
      <c r="K162" s="1468"/>
      <c r="L162" s="1468"/>
      <c r="M162" s="867"/>
      <c r="AA162">
        <f>IF(AND('05 Lan'!C162&gt;Tmin, NOT('05 Lan'!$I162="")),'05 Lan'!$I162,0)</f>
        <v>0</v>
      </c>
      <c r="AB162">
        <f>IF(AND('05 Lan'!D162&gt;Tmin, NOT('05 Lan'!$I162="")),'05 Lan'!$I162,0)</f>
        <v>0</v>
      </c>
      <c r="AC162">
        <f>IF(AND('05 Lan'!E162&gt;Tmin, NOT('05 Lan'!$I162="")),'05 Lan'!$I162,0)</f>
        <v>0</v>
      </c>
      <c r="AD162">
        <f>IF(AND('05 Lan'!F162&gt;Tmin, NOT('05 Lan'!$I162="")),'05 Lan'!$I162,0)</f>
        <v>0</v>
      </c>
      <c r="AE162">
        <f>IF(AND('05 Lan'!C162&lt;Tmax, NOT('05 Lan'!$H162="")),'05 Lan'!$H162,4)</f>
        <v>2</v>
      </c>
      <c r="AF162">
        <f>IF(AND('05 Lan'!D162&lt;Tmax, NOT('05 Lan'!$H162="")),'05 Lan'!$H162,4)</f>
        <v>2</v>
      </c>
      <c r="AG162">
        <f>IF(AND('05 Lan'!E162&lt;Tmax, NOT('05 Lan'!$H162="")),'05 Lan'!$H162,4)</f>
        <v>2</v>
      </c>
      <c r="AH162">
        <f>IF(AND('05 Lan'!F162&lt;Tmax, NOT('05 Lan'!$H162="")),'05 Lan'!$H162,4)</f>
        <v>2</v>
      </c>
      <c r="AI162"/>
    </row>
    <row r="163" spans="1:35" ht="22.5" outlineLevel="2" x14ac:dyDescent="0.2">
      <c r="A163" s="870" t="s">
        <v>1397</v>
      </c>
      <c r="B163" s="870" t="s">
        <v>981</v>
      </c>
      <c r="C163" s="786"/>
      <c r="D163" s="866"/>
      <c r="E163" s="874"/>
      <c r="F163" s="874"/>
      <c r="G163" s="1468">
        <v>4</v>
      </c>
      <c r="H163" s="1468">
        <v>3</v>
      </c>
      <c r="I163" s="1467"/>
      <c r="J163" s="1468" t="s">
        <v>1592</v>
      </c>
      <c r="K163" s="1468" t="s">
        <v>5713</v>
      </c>
      <c r="L163" s="1468" t="s">
        <v>7317</v>
      </c>
      <c r="M163" s="867"/>
      <c r="AA163">
        <f>IF(AND('05 Lan'!C163&gt;Tmin, NOT('05 Lan'!$I163="")),'05 Lan'!$I163,0)</f>
        <v>0</v>
      </c>
      <c r="AB163">
        <f>IF(AND('05 Lan'!D163&gt;Tmin, NOT('05 Lan'!$I163="")),'05 Lan'!$I163,0)</f>
        <v>0</v>
      </c>
      <c r="AC163">
        <f>IF(AND('05 Lan'!E163&gt;Tmin, NOT('05 Lan'!$I163="")),'05 Lan'!$I163,0)</f>
        <v>0</v>
      </c>
      <c r="AD163">
        <f>IF(AND('05 Lan'!F163&gt;Tmin, NOT('05 Lan'!$I163="")),'05 Lan'!$I163,0)</f>
        <v>0</v>
      </c>
      <c r="AE163">
        <f>IF(AND('05 Lan'!C163&lt;Tmax, NOT('05 Lan'!$H163="")),'05 Lan'!$H163,4)</f>
        <v>3</v>
      </c>
      <c r="AF163">
        <f>IF(AND('05 Lan'!D163&lt;Tmax, NOT('05 Lan'!$H163="")),'05 Lan'!$H163,4)</f>
        <v>3</v>
      </c>
      <c r="AG163">
        <f>IF(AND('05 Lan'!E163&lt;Tmax, NOT('05 Lan'!$H163="")),'05 Lan'!$H163,4)</f>
        <v>3</v>
      </c>
      <c r="AH163">
        <f>IF(AND('05 Lan'!F163&lt;Tmax, NOT('05 Lan'!$H163="")),'05 Lan'!$H163,4)</f>
        <v>3</v>
      </c>
      <c r="AI163"/>
    </row>
    <row r="164" spans="1:35" ht="59.25" customHeight="1" outlineLevel="2" x14ac:dyDescent="0.2">
      <c r="A164" s="870" t="s">
        <v>1398</v>
      </c>
      <c r="B164" s="870" t="s">
        <v>3640</v>
      </c>
      <c r="C164" s="786"/>
      <c r="D164" s="866"/>
      <c r="E164" s="874"/>
      <c r="F164" s="874"/>
      <c r="G164" s="1468">
        <v>4</v>
      </c>
      <c r="H164" s="1468">
        <v>3</v>
      </c>
      <c r="I164" s="1468">
        <v>3</v>
      </c>
      <c r="J164" s="1468" t="s">
        <v>2107</v>
      </c>
      <c r="K164" s="1468"/>
      <c r="L164" s="1468"/>
      <c r="M164" s="867"/>
      <c r="AA164">
        <f>IF(AND('05 Lan'!C164&gt;Tmin, NOT('05 Lan'!$I164="")),'05 Lan'!$I164,0)</f>
        <v>0</v>
      </c>
      <c r="AB164">
        <f>IF(AND('05 Lan'!D164&gt;Tmin, NOT('05 Lan'!$I164="")),'05 Lan'!$I164,0)</f>
        <v>0</v>
      </c>
      <c r="AC164">
        <f>IF(AND('05 Lan'!E164&gt;Tmin, NOT('05 Lan'!$I164="")),'05 Lan'!$I164,0)</f>
        <v>0</v>
      </c>
      <c r="AD164">
        <f>IF(AND('05 Lan'!F164&gt;Tmin, NOT('05 Lan'!$I164="")),'05 Lan'!$I164,0)</f>
        <v>0</v>
      </c>
      <c r="AE164">
        <f>IF(AND('05 Lan'!C164&lt;Tmax, NOT('05 Lan'!$H164="")),'05 Lan'!$H164,4)</f>
        <v>3</v>
      </c>
      <c r="AF164">
        <f>IF(AND('05 Lan'!D164&lt;Tmax, NOT('05 Lan'!$H164="")),'05 Lan'!$H164,4)</f>
        <v>3</v>
      </c>
      <c r="AG164">
        <f>IF(AND('05 Lan'!E164&lt;Tmax, NOT('05 Lan'!$H164="")),'05 Lan'!$H164,4)</f>
        <v>3</v>
      </c>
      <c r="AH164">
        <f>IF(AND('05 Lan'!F164&lt;Tmax, NOT('05 Lan'!$H164="")),'05 Lan'!$H164,4)</f>
        <v>3</v>
      </c>
      <c r="AI164"/>
    </row>
    <row r="165" spans="1:35" ht="22.5" outlineLevel="2" x14ac:dyDescent="0.2">
      <c r="A165" s="870" t="s">
        <v>1399</v>
      </c>
      <c r="B165" s="870" t="s">
        <v>6546</v>
      </c>
      <c r="C165" s="786"/>
      <c r="D165" s="866"/>
      <c r="E165" s="874"/>
      <c r="F165" s="874"/>
      <c r="G165" s="1468">
        <v>4</v>
      </c>
      <c r="H165" s="1468">
        <v>2</v>
      </c>
      <c r="I165" s="1467"/>
      <c r="J165" s="1468" t="s">
        <v>2349</v>
      </c>
      <c r="K165" s="1468"/>
      <c r="L165" s="1468"/>
      <c r="M165" s="867"/>
      <c r="AA165">
        <f>IF(AND('05 Lan'!C165&gt;Tmin, NOT('05 Lan'!$I165="")),'05 Lan'!$I165,0)</f>
        <v>0</v>
      </c>
      <c r="AB165">
        <f>IF(AND('05 Lan'!D165&gt;Tmin, NOT('05 Lan'!$I165="")),'05 Lan'!$I165,0)</f>
        <v>0</v>
      </c>
      <c r="AC165">
        <f>IF(AND('05 Lan'!E165&gt;Tmin, NOT('05 Lan'!$I165="")),'05 Lan'!$I165,0)</f>
        <v>0</v>
      </c>
      <c r="AD165">
        <f>IF(AND('05 Lan'!F165&gt;Tmin, NOT('05 Lan'!$I165="")),'05 Lan'!$I165,0)</f>
        <v>0</v>
      </c>
      <c r="AE165">
        <f>IF(AND('05 Lan'!C165&lt;Tmax, NOT('05 Lan'!$H165="")),'05 Lan'!$H165,4)</f>
        <v>2</v>
      </c>
      <c r="AF165">
        <f>IF(AND('05 Lan'!D165&lt;Tmax, NOT('05 Lan'!$H165="")),'05 Lan'!$H165,4)</f>
        <v>2</v>
      </c>
      <c r="AG165">
        <f>IF(AND('05 Lan'!E165&lt;Tmax, NOT('05 Lan'!$H165="")),'05 Lan'!$H165,4)</f>
        <v>2</v>
      </c>
      <c r="AH165">
        <f>IF(AND('05 Lan'!F165&lt;Tmax, NOT('05 Lan'!$H165="")),'05 Lan'!$H165,4)</f>
        <v>2</v>
      </c>
      <c r="AI165"/>
    </row>
    <row r="166" spans="1:35" ht="34.5" customHeight="1" outlineLevel="2" x14ac:dyDescent="0.2">
      <c r="A166" s="870" t="s">
        <v>1400</v>
      </c>
      <c r="B166" s="870" t="s">
        <v>1907</v>
      </c>
      <c r="C166" s="786"/>
      <c r="D166" s="866"/>
      <c r="E166" s="874"/>
      <c r="F166" s="874"/>
      <c r="G166" s="1468">
        <v>4</v>
      </c>
      <c r="H166" s="1468">
        <v>2</v>
      </c>
      <c r="I166" s="1467"/>
      <c r="J166" s="1468" t="s">
        <v>2349</v>
      </c>
      <c r="K166" s="1468"/>
      <c r="L166" s="1468"/>
      <c r="M166" s="867"/>
      <c r="AA166">
        <f>IF(AND('05 Lan'!C166&gt;Tmin, NOT('05 Lan'!$I166="")),'05 Lan'!$I166,0)</f>
        <v>0</v>
      </c>
      <c r="AB166">
        <f>IF(AND('05 Lan'!D166&gt;Tmin, NOT('05 Lan'!$I166="")),'05 Lan'!$I166,0)</f>
        <v>0</v>
      </c>
      <c r="AC166">
        <f>IF(AND('05 Lan'!E166&gt;Tmin, NOT('05 Lan'!$I166="")),'05 Lan'!$I166,0)</f>
        <v>0</v>
      </c>
      <c r="AD166">
        <f>IF(AND('05 Lan'!F166&gt;Tmin, NOT('05 Lan'!$I166="")),'05 Lan'!$I166,0)</f>
        <v>0</v>
      </c>
      <c r="AE166">
        <f>IF(AND('05 Lan'!C166&lt;Tmax, NOT('05 Lan'!$H166="")),'05 Lan'!$H166,4)</f>
        <v>2</v>
      </c>
      <c r="AF166">
        <f>IF(AND('05 Lan'!D166&lt;Tmax, NOT('05 Lan'!$H166="")),'05 Lan'!$H166,4)</f>
        <v>2</v>
      </c>
      <c r="AG166">
        <f>IF(AND('05 Lan'!E166&lt;Tmax, NOT('05 Lan'!$H166="")),'05 Lan'!$H166,4)</f>
        <v>2</v>
      </c>
      <c r="AH166">
        <f>IF(AND('05 Lan'!F166&lt;Tmax, NOT('05 Lan'!$H166="")),'05 Lan'!$H166,4)</f>
        <v>2</v>
      </c>
      <c r="AI166"/>
    </row>
    <row r="167" spans="1:35" ht="22.5" outlineLevel="2" x14ac:dyDescent="0.2">
      <c r="A167" s="870" t="s">
        <v>3177</v>
      </c>
      <c r="B167" s="870" t="s">
        <v>1680</v>
      </c>
      <c r="C167" s="786"/>
      <c r="D167" s="866"/>
      <c r="E167" s="874"/>
      <c r="F167" s="874"/>
      <c r="G167" s="1468">
        <v>4</v>
      </c>
      <c r="H167" s="1468">
        <v>3</v>
      </c>
      <c r="I167" s="1467"/>
      <c r="J167" s="1468" t="s">
        <v>2109</v>
      </c>
      <c r="K167" s="1468"/>
      <c r="L167" s="1468"/>
      <c r="M167" s="867"/>
      <c r="AA167">
        <f>IF(AND('05 Lan'!C167&gt;Tmin, NOT('05 Lan'!$I167="")),'05 Lan'!$I167,0)</f>
        <v>0</v>
      </c>
      <c r="AB167">
        <f>IF(AND('05 Lan'!D167&gt;Tmin, NOT('05 Lan'!$I167="")),'05 Lan'!$I167,0)</f>
        <v>0</v>
      </c>
      <c r="AC167">
        <f>IF(AND('05 Lan'!E167&gt;Tmin, NOT('05 Lan'!$I167="")),'05 Lan'!$I167,0)</f>
        <v>0</v>
      </c>
      <c r="AD167">
        <f>IF(AND('05 Lan'!F167&gt;Tmin, NOT('05 Lan'!$I167="")),'05 Lan'!$I167,0)</f>
        <v>0</v>
      </c>
      <c r="AE167">
        <f>IF(AND('05 Lan'!C167&lt;Tmax, NOT('05 Lan'!$H167="")),'05 Lan'!$H167,4)</f>
        <v>3</v>
      </c>
      <c r="AF167">
        <f>IF(AND('05 Lan'!D167&lt;Tmax, NOT('05 Lan'!$H167="")),'05 Lan'!$H167,4)</f>
        <v>3</v>
      </c>
      <c r="AG167">
        <f>IF(AND('05 Lan'!E167&lt;Tmax, NOT('05 Lan'!$H167="")),'05 Lan'!$H167,4)</f>
        <v>3</v>
      </c>
      <c r="AH167">
        <f>IF(AND('05 Lan'!F167&lt;Tmax, NOT('05 Lan'!$H167="")),'05 Lan'!$H167,4)</f>
        <v>3</v>
      </c>
      <c r="AI167"/>
    </row>
    <row r="168" spans="1:35" outlineLevel="1" x14ac:dyDescent="0.2">
      <c r="A168" s="868" t="s">
        <v>6768</v>
      </c>
      <c r="B168" s="869" t="s">
        <v>6769</v>
      </c>
      <c r="C168" s="786"/>
      <c r="D168" s="866"/>
      <c r="E168" s="874"/>
      <c r="F168" s="874"/>
      <c r="G168" s="1468"/>
      <c r="H168" s="1468"/>
      <c r="I168" s="1467"/>
      <c r="J168" s="1468"/>
      <c r="K168" s="1468"/>
      <c r="L168" s="1468"/>
      <c r="M168" s="867"/>
      <c r="AA168"/>
      <c r="AB168"/>
      <c r="AC168"/>
      <c r="AD168"/>
      <c r="AE168"/>
      <c r="AF168"/>
      <c r="AG168"/>
      <c r="AH168"/>
      <c r="AI168"/>
    </row>
    <row r="169" spans="1:35" ht="22.5" outlineLevel="2" x14ac:dyDescent="0.2">
      <c r="A169" s="870" t="s">
        <v>3178</v>
      </c>
      <c r="B169" s="870" t="s">
        <v>6802</v>
      </c>
      <c r="C169" s="786"/>
      <c r="D169" s="866"/>
      <c r="E169" s="874"/>
      <c r="F169" s="874"/>
      <c r="G169" s="1468">
        <v>4</v>
      </c>
      <c r="H169" s="1468"/>
      <c r="I169" s="1467"/>
      <c r="J169" s="1468" t="s">
        <v>4246</v>
      </c>
      <c r="K169" s="1468"/>
      <c r="L169" s="1468"/>
      <c r="M169" s="867"/>
      <c r="AA169">
        <f>IF(AND('05 Lan'!C169&gt;Tmin, NOT('05 Lan'!$I169="")),'05 Lan'!$I169,0)</f>
        <v>0</v>
      </c>
      <c r="AB169">
        <f>IF(AND('05 Lan'!D169&gt;Tmin, NOT('05 Lan'!$I169="")),'05 Lan'!$I169,0)</f>
        <v>0</v>
      </c>
      <c r="AC169">
        <f>IF(AND('05 Lan'!E169&gt;Tmin, NOT('05 Lan'!$I169="")),'05 Lan'!$I169,0)</f>
        <v>0</v>
      </c>
      <c r="AD169">
        <f>IF(AND('05 Lan'!F169&gt;Tmin, NOT('05 Lan'!$I169="")),'05 Lan'!$I169,0)</f>
        <v>0</v>
      </c>
      <c r="AE169">
        <f>IF(AND('05 Lan'!C169&lt;Tmax, NOT('05 Lan'!$H169="")),'05 Lan'!$H169,4)</f>
        <v>4</v>
      </c>
      <c r="AF169">
        <f>IF(AND('05 Lan'!D169&lt;Tmax, NOT('05 Lan'!$H169="")),'05 Lan'!$H169,4)</f>
        <v>4</v>
      </c>
      <c r="AG169">
        <f>IF(AND('05 Lan'!E169&lt;Tmax, NOT('05 Lan'!$H169="")),'05 Lan'!$H169,4)</f>
        <v>4</v>
      </c>
      <c r="AH169">
        <f>IF(AND('05 Lan'!F169&lt;Tmax, NOT('05 Lan'!$H169="")),'05 Lan'!$H169,4)</f>
        <v>4</v>
      </c>
      <c r="AI169"/>
    </row>
    <row r="170" spans="1:35" ht="38.25" customHeight="1" outlineLevel="2" x14ac:dyDescent="0.2">
      <c r="A170" s="870" t="s">
        <v>3179</v>
      </c>
      <c r="B170" s="870" t="s">
        <v>3493</v>
      </c>
      <c r="C170" s="786"/>
      <c r="D170" s="866"/>
      <c r="E170" s="874"/>
      <c r="F170" s="874"/>
      <c r="G170" s="1468">
        <v>4</v>
      </c>
      <c r="H170" s="1468">
        <v>2</v>
      </c>
      <c r="I170" s="1467"/>
      <c r="J170" s="1468" t="s">
        <v>1592</v>
      </c>
      <c r="K170" s="1468"/>
      <c r="L170" s="1468"/>
      <c r="M170" s="867"/>
      <c r="AA170">
        <f>IF(AND('05 Lan'!C170&gt;Tmin, NOT('05 Lan'!$I170="")),'05 Lan'!$I170,0)</f>
        <v>0</v>
      </c>
      <c r="AB170">
        <f>IF(AND('05 Lan'!D170&gt;Tmin, NOT('05 Lan'!$I170="")),'05 Lan'!$I170,0)</f>
        <v>0</v>
      </c>
      <c r="AC170">
        <f>IF(AND('05 Lan'!E170&gt;Tmin, NOT('05 Lan'!$I170="")),'05 Lan'!$I170,0)</f>
        <v>0</v>
      </c>
      <c r="AD170">
        <f>IF(AND('05 Lan'!F170&gt;Tmin, NOT('05 Lan'!$I170="")),'05 Lan'!$I170,0)</f>
        <v>0</v>
      </c>
      <c r="AE170">
        <f>IF(AND('05 Lan'!C170&lt;Tmax, NOT('05 Lan'!$H170="")),'05 Lan'!$H170,4)</f>
        <v>2</v>
      </c>
      <c r="AF170">
        <f>IF(AND('05 Lan'!D170&lt;Tmax, NOT('05 Lan'!$H170="")),'05 Lan'!$H170,4)</f>
        <v>2</v>
      </c>
      <c r="AG170">
        <f>IF(AND('05 Lan'!E170&lt;Tmax, NOT('05 Lan'!$H170="")),'05 Lan'!$H170,4)</f>
        <v>2</v>
      </c>
      <c r="AH170">
        <f>IF(AND('05 Lan'!F170&lt;Tmax, NOT('05 Lan'!$H170="")),'05 Lan'!$H170,4)</f>
        <v>2</v>
      </c>
      <c r="AI170"/>
    </row>
    <row r="171" spans="1:35" ht="22.5" outlineLevel="2" x14ac:dyDescent="0.2">
      <c r="A171" s="870" t="s">
        <v>3180</v>
      </c>
      <c r="B171" s="870" t="s">
        <v>981</v>
      </c>
      <c r="C171" s="786"/>
      <c r="D171" s="866"/>
      <c r="E171" s="874"/>
      <c r="F171" s="874"/>
      <c r="G171" s="1468">
        <v>4</v>
      </c>
      <c r="H171" s="1468">
        <v>3</v>
      </c>
      <c r="I171" s="1467"/>
      <c r="J171" s="1468" t="s">
        <v>1592</v>
      </c>
      <c r="K171" s="1468"/>
      <c r="L171" s="1468"/>
      <c r="M171" s="867"/>
      <c r="AA171">
        <f>IF(AND('05 Lan'!C171&gt;Tmin, NOT('05 Lan'!$I171="")),'05 Lan'!$I171,0)</f>
        <v>0</v>
      </c>
      <c r="AB171">
        <f>IF(AND('05 Lan'!D171&gt;Tmin, NOT('05 Lan'!$I171="")),'05 Lan'!$I171,0)</f>
        <v>0</v>
      </c>
      <c r="AC171">
        <f>IF(AND('05 Lan'!E171&gt;Tmin, NOT('05 Lan'!$I171="")),'05 Lan'!$I171,0)</f>
        <v>0</v>
      </c>
      <c r="AD171">
        <f>IF(AND('05 Lan'!F171&gt;Tmin, NOT('05 Lan'!$I171="")),'05 Lan'!$I171,0)</f>
        <v>0</v>
      </c>
      <c r="AE171">
        <f>IF(AND('05 Lan'!C171&lt;Tmax, NOT('05 Lan'!$H171="")),'05 Lan'!$H171,4)</f>
        <v>3</v>
      </c>
      <c r="AF171">
        <f>IF(AND('05 Lan'!D171&lt;Tmax, NOT('05 Lan'!$H171="")),'05 Lan'!$H171,4)</f>
        <v>3</v>
      </c>
      <c r="AG171">
        <f>IF(AND('05 Lan'!E171&lt;Tmax, NOT('05 Lan'!$H171="")),'05 Lan'!$H171,4)</f>
        <v>3</v>
      </c>
      <c r="AH171">
        <f>IF(AND('05 Lan'!F171&lt;Tmax, NOT('05 Lan'!$H171="")),'05 Lan'!$H171,4)</f>
        <v>3</v>
      </c>
      <c r="AI171"/>
    </row>
    <row r="172" spans="1:35" ht="58.5" customHeight="1" outlineLevel="2" x14ac:dyDescent="0.2">
      <c r="A172" s="870" t="s">
        <v>3181</v>
      </c>
      <c r="B172" s="870" t="s">
        <v>3821</v>
      </c>
      <c r="C172" s="786"/>
      <c r="D172" s="866"/>
      <c r="E172" s="874"/>
      <c r="F172" s="874"/>
      <c r="G172" s="1468">
        <v>4</v>
      </c>
      <c r="H172" s="1468">
        <v>3</v>
      </c>
      <c r="I172" s="1468">
        <v>3</v>
      </c>
      <c r="J172" s="1468" t="s">
        <v>2107</v>
      </c>
      <c r="K172" s="1468"/>
      <c r="L172" s="1468"/>
      <c r="M172" s="867"/>
      <c r="AA172">
        <f>IF(AND('05 Lan'!C172&gt;Tmin, NOT('05 Lan'!$I172="")),'05 Lan'!$I172,0)</f>
        <v>0</v>
      </c>
      <c r="AB172">
        <f>IF(AND('05 Lan'!D172&gt;Tmin, NOT('05 Lan'!$I172="")),'05 Lan'!$I172,0)</f>
        <v>0</v>
      </c>
      <c r="AC172">
        <f>IF(AND('05 Lan'!E172&gt;Tmin, NOT('05 Lan'!$I172="")),'05 Lan'!$I172,0)</f>
        <v>0</v>
      </c>
      <c r="AD172">
        <f>IF(AND('05 Lan'!F172&gt;Tmin, NOT('05 Lan'!$I172="")),'05 Lan'!$I172,0)</f>
        <v>0</v>
      </c>
      <c r="AE172">
        <f>IF(AND('05 Lan'!C172&lt;Tmax, NOT('05 Lan'!$H172="")),'05 Lan'!$H172,4)</f>
        <v>3</v>
      </c>
      <c r="AF172">
        <f>IF(AND('05 Lan'!D172&lt;Tmax, NOT('05 Lan'!$H172="")),'05 Lan'!$H172,4)</f>
        <v>3</v>
      </c>
      <c r="AG172">
        <f>IF(AND('05 Lan'!E172&lt;Tmax, NOT('05 Lan'!$H172="")),'05 Lan'!$H172,4)</f>
        <v>3</v>
      </c>
      <c r="AH172">
        <f>IF(AND('05 Lan'!F172&lt;Tmax, NOT('05 Lan'!$H172="")),'05 Lan'!$H172,4)</f>
        <v>3</v>
      </c>
      <c r="AI172"/>
    </row>
    <row r="173" spans="1:35" ht="22.5" outlineLevel="2" x14ac:dyDescent="0.2">
      <c r="A173" s="870" t="s">
        <v>3182</v>
      </c>
      <c r="B173" s="870" t="s">
        <v>3107</v>
      </c>
      <c r="C173" s="786"/>
      <c r="D173" s="866"/>
      <c r="E173" s="874"/>
      <c r="F173" s="874"/>
      <c r="G173" s="1468">
        <v>4</v>
      </c>
      <c r="H173" s="1468">
        <v>2</v>
      </c>
      <c r="I173" s="1468"/>
      <c r="J173" s="1468" t="s">
        <v>2349</v>
      </c>
      <c r="K173" s="1468"/>
      <c r="L173" s="1468"/>
      <c r="M173" s="867"/>
      <c r="AA173">
        <f>IF(AND('05 Lan'!C173&gt;Tmin, NOT('05 Lan'!$I173="")),'05 Lan'!$I173,0)</f>
        <v>0</v>
      </c>
      <c r="AB173">
        <f>IF(AND('05 Lan'!D173&gt;Tmin, NOT('05 Lan'!$I173="")),'05 Lan'!$I173,0)</f>
        <v>0</v>
      </c>
      <c r="AC173">
        <f>IF(AND('05 Lan'!E173&gt;Tmin, NOT('05 Lan'!$I173="")),'05 Lan'!$I173,0)</f>
        <v>0</v>
      </c>
      <c r="AD173">
        <f>IF(AND('05 Lan'!F173&gt;Tmin, NOT('05 Lan'!$I173="")),'05 Lan'!$I173,0)</f>
        <v>0</v>
      </c>
      <c r="AE173">
        <f>IF(AND('05 Lan'!C173&lt;Tmax, NOT('05 Lan'!$H173="")),'05 Lan'!$H173,4)</f>
        <v>2</v>
      </c>
      <c r="AF173">
        <f>IF(AND('05 Lan'!D173&lt;Tmax, NOT('05 Lan'!$H173="")),'05 Lan'!$H173,4)</f>
        <v>2</v>
      </c>
      <c r="AG173">
        <f>IF(AND('05 Lan'!E173&lt;Tmax, NOT('05 Lan'!$H173="")),'05 Lan'!$H173,4)</f>
        <v>2</v>
      </c>
      <c r="AH173">
        <f>IF(AND('05 Lan'!F173&lt;Tmax, NOT('05 Lan'!$H173="")),'05 Lan'!$H173,4)</f>
        <v>2</v>
      </c>
      <c r="AI173"/>
    </row>
    <row r="174" spans="1:35" ht="40.5" customHeight="1" outlineLevel="2" x14ac:dyDescent="0.2">
      <c r="A174" s="870" t="s">
        <v>3183</v>
      </c>
      <c r="B174" s="870" t="s">
        <v>1756</v>
      </c>
      <c r="C174" s="786"/>
      <c r="D174" s="866"/>
      <c r="E174" s="874"/>
      <c r="F174" s="874"/>
      <c r="G174" s="1468">
        <v>4</v>
      </c>
      <c r="H174" s="1468">
        <v>2</v>
      </c>
      <c r="I174" s="1468"/>
      <c r="J174" s="1468" t="s">
        <v>2349</v>
      </c>
      <c r="K174" s="1468"/>
      <c r="L174" s="1468"/>
      <c r="M174" s="867"/>
      <c r="AA174">
        <f>IF(AND('05 Lan'!C174&gt;Tmin, NOT('05 Lan'!$I174="")),'05 Lan'!$I174,0)</f>
        <v>0</v>
      </c>
      <c r="AB174">
        <f>IF(AND('05 Lan'!D174&gt;Tmin, NOT('05 Lan'!$I174="")),'05 Lan'!$I174,0)</f>
        <v>0</v>
      </c>
      <c r="AC174">
        <f>IF(AND('05 Lan'!E174&gt;Tmin, NOT('05 Lan'!$I174="")),'05 Lan'!$I174,0)</f>
        <v>0</v>
      </c>
      <c r="AD174">
        <f>IF(AND('05 Lan'!F174&gt;Tmin, NOT('05 Lan'!$I174="")),'05 Lan'!$I174,0)</f>
        <v>0</v>
      </c>
      <c r="AE174">
        <f>IF(AND('05 Lan'!C174&lt;Tmax, NOT('05 Lan'!$H174="")),'05 Lan'!$H174,4)</f>
        <v>2</v>
      </c>
      <c r="AF174">
        <f>IF(AND('05 Lan'!D174&lt;Tmax, NOT('05 Lan'!$H174="")),'05 Lan'!$H174,4)</f>
        <v>2</v>
      </c>
      <c r="AG174">
        <f>IF(AND('05 Lan'!E174&lt;Tmax, NOT('05 Lan'!$H174="")),'05 Lan'!$H174,4)</f>
        <v>2</v>
      </c>
      <c r="AH174">
        <f>IF(AND('05 Lan'!F174&lt;Tmax, NOT('05 Lan'!$H174="")),'05 Lan'!$H174,4)</f>
        <v>2</v>
      </c>
      <c r="AI174"/>
    </row>
    <row r="175" spans="1:35" ht="22.5" outlineLevel="2" x14ac:dyDescent="0.2">
      <c r="A175" s="870" t="s">
        <v>3338</v>
      </c>
      <c r="B175" s="870" t="s">
        <v>3898</v>
      </c>
      <c r="C175" s="786"/>
      <c r="D175" s="866"/>
      <c r="E175" s="874"/>
      <c r="F175" s="874"/>
      <c r="G175" s="1468">
        <v>4</v>
      </c>
      <c r="H175" s="1468">
        <v>3</v>
      </c>
      <c r="I175" s="1468"/>
      <c r="J175" s="1468" t="s">
        <v>2109</v>
      </c>
      <c r="K175" s="1468"/>
      <c r="L175" s="1468"/>
      <c r="M175" s="867"/>
      <c r="AA175">
        <f>IF(AND('05 Lan'!C175&gt;Tmin, NOT('05 Lan'!$I175="")),'05 Lan'!$I175,0)</f>
        <v>0</v>
      </c>
      <c r="AB175">
        <f>IF(AND('05 Lan'!D175&gt;Tmin, NOT('05 Lan'!$I175="")),'05 Lan'!$I175,0)</f>
        <v>0</v>
      </c>
      <c r="AC175">
        <f>IF(AND('05 Lan'!E175&gt;Tmin, NOT('05 Lan'!$I175="")),'05 Lan'!$I175,0)</f>
        <v>0</v>
      </c>
      <c r="AD175">
        <f>IF(AND('05 Lan'!F175&gt;Tmin, NOT('05 Lan'!$I175="")),'05 Lan'!$I175,0)</f>
        <v>0</v>
      </c>
      <c r="AE175">
        <f>IF(AND('05 Lan'!C175&lt;Tmax, NOT('05 Lan'!$H175="")),'05 Lan'!$H175,4)</f>
        <v>3</v>
      </c>
      <c r="AF175">
        <f>IF(AND('05 Lan'!D175&lt;Tmax, NOT('05 Lan'!$H175="")),'05 Lan'!$H175,4)</f>
        <v>3</v>
      </c>
      <c r="AG175">
        <f>IF(AND('05 Lan'!E175&lt;Tmax, NOT('05 Lan'!$H175="")),'05 Lan'!$H175,4)</f>
        <v>3</v>
      </c>
      <c r="AH175">
        <f>IF(AND('05 Lan'!F175&lt;Tmax, NOT('05 Lan'!$H175="")),'05 Lan'!$H175,4)</f>
        <v>3</v>
      </c>
      <c r="AI175"/>
    </row>
    <row r="176" spans="1:35" ht="15" customHeight="1" outlineLevel="1" x14ac:dyDescent="0.2">
      <c r="A176" s="868" t="s">
        <v>6770</v>
      </c>
      <c r="B176" s="869" t="s">
        <v>6771</v>
      </c>
      <c r="C176" s="786"/>
      <c r="D176" s="866"/>
      <c r="E176" s="874"/>
      <c r="F176" s="874"/>
      <c r="G176" s="1468"/>
      <c r="H176" s="1468"/>
      <c r="I176" s="1468"/>
      <c r="J176" s="1468"/>
      <c r="K176" s="1468"/>
      <c r="L176" s="1468"/>
      <c r="M176" s="867"/>
      <c r="AA176"/>
      <c r="AB176"/>
      <c r="AC176"/>
      <c r="AD176"/>
      <c r="AE176"/>
      <c r="AF176"/>
      <c r="AG176"/>
      <c r="AH176"/>
      <c r="AI176"/>
    </row>
    <row r="177" spans="1:35" ht="22.5" outlineLevel="2" x14ac:dyDescent="0.2">
      <c r="A177" s="870" t="s">
        <v>3339</v>
      </c>
      <c r="B177" s="870" t="s">
        <v>3340</v>
      </c>
      <c r="C177" s="786"/>
      <c r="D177" s="866"/>
      <c r="E177" s="874"/>
      <c r="F177" s="874"/>
      <c r="G177" s="1468">
        <v>4</v>
      </c>
      <c r="H177" s="1468"/>
      <c r="I177" s="1468"/>
      <c r="J177" s="1468" t="s">
        <v>4246</v>
      </c>
      <c r="K177" s="1468" t="s">
        <v>5882</v>
      </c>
      <c r="L177" s="1468" t="s">
        <v>978</v>
      </c>
      <c r="M177" s="867"/>
      <c r="AA177">
        <f>IF(AND('05 Lan'!C177&gt;Tmin, NOT('05 Lan'!$I177="")),'05 Lan'!$I177,0)</f>
        <v>0</v>
      </c>
      <c r="AB177">
        <f>IF(AND('05 Lan'!D177&gt;Tmin, NOT('05 Lan'!$I177="")),'05 Lan'!$I177,0)</f>
        <v>0</v>
      </c>
      <c r="AC177">
        <f>IF(AND('05 Lan'!E177&gt;Tmin, NOT('05 Lan'!$I177="")),'05 Lan'!$I177,0)</f>
        <v>0</v>
      </c>
      <c r="AD177">
        <f>IF(AND('05 Lan'!F177&gt;Tmin, NOT('05 Lan'!$I177="")),'05 Lan'!$I177,0)</f>
        <v>0</v>
      </c>
      <c r="AE177">
        <f>IF(AND('05 Lan'!C177&lt;Tmax, NOT('05 Lan'!$H177="")),'05 Lan'!$H177,4)</f>
        <v>4</v>
      </c>
      <c r="AF177">
        <f>IF(AND('05 Lan'!D177&lt;Tmax, NOT('05 Lan'!$H177="")),'05 Lan'!$H177,4)</f>
        <v>4</v>
      </c>
      <c r="AG177">
        <f>IF(AND('05 Lan'!E177&lt;Tmax, NOT('05 Lan'!$H177="")),'05 Lan'!$H177,4)</f>
        <v>4</v>
      </c>
      <c r="AH177">
        <f>IF(AND('05 Lan'!F177&lt;Tmax, NOT('05 Lan'!$H177="")),'05 Lan'!$H177,4)</f>
        <v>4</v>
      </c>
      <c r="AI177"/>
    </row>
    <row r="178" spans="1:35" ht="39.75" customHeight="1" outlineLevel="2" x14ac:dyDescent="0.2">
      <c r="A178" s="870" t="s">
        <v>3341</v>
      </c>
      <c r="B178" s="870" t="s">
        <v>3803</v>
      </c>
      <c r="C178" s="786"/>
      <c r="D178" s="866"/>
      <c r="E178" s="874"/>
      <c r="F178" s="874"/>
      <c r="G178" s="1468">
        <v>4</v>
      </c>
      <c r="H178" s="1468">
        <v>2</v>
      </c>
      <c r="I178" s="1468"/>
      <c r="J178" s="1468" t="s">
        <v>1592</v>
      </c>
      <c r="K178" s="1468"/>
      <c r="L178" s="1468"/>
      <c r="M178" s="867"/>
      <c r="AA178">
        <f>IF(AND('05 Lan'!C178&gt;Tmin, NOT('05 Lan'!$I178="")),'05 Lan'!$I178,0)</f>
        <v>0</v>
      </c>
      <c r="AB178">
        <f>IF(AND('05 Lan'!D178&gt;Tmin, NOT('05 Lan'!$I178="")),'05 Lan'!$I178,0)</f>
        <v>0</v>
      </c>
      <c r="AC178">
        <f>IF(AND('05 Lan'!E178&gt;Tmin, NOT('05 Lan'!$I178="")),'05 Lan'!$I178,0)</f>
        <v>0</v>
      </c>
      <c r="AD178">
        <f>IF(AND('05 Lan'!F178&gt;Tmin, NOT('05 Lan'!$I178="")),'05 Lan'!$I178,0)</f>
        <v>0</v>
      </c>
      <c r="AE178">
        <f>IF(AND('05 Lan'!C178&lt;Tmax, NOT('05 Lan'!$H178="")),'05 Lan'!$H178,4)</f>
        <v>2</v>
      </c>
      <c r="AF178">
        <f>IF(AND('05 Lan'!D178&lt;Tmax, NOT('05 Lan'!$H178="")),'05 Lan'!$H178,4)</f>
        <v>2</v>
      </c>
      <c r="AG178">
        <f>IF(AND('05 Lan'!E178&lt;Tmax, NOT('05 Lan'!$H178="")),'05 Lan'!$H178,4)</f>
        <v>2</v>
      </c>
      <c r="AH178">
        <f>IF(AND('05 Lan'!F178&lt;Tmax, NOT('05 Lan'!$H178="")),'05 Lan'!$H178,4)</f>
        <v>2</v>
      </c>
      <c r="AI178"/>
    </row>
    <row r="179" spans="1:35" ht="22.5" outlineLevel="2" x14ac:dyDescent="0.2">
      <c r="A179" s="870" t="s">
        <v>3342</v>
      </c>
      <c r="B179" s="870" t="s">
        <v>981</v>
      </c>
      <c r="C179" s="786"/>
      <c r="D179" s="866"/>
      <c r="E179" s="874"/>
      <c r="F179" s="874"/>
      <c r="G179" s="1468">
        <v>4</v>
      </c>
      <c r="H179" s="1468">
        <v>3</v>
      </c>
      <c r="I179" s="1468"/>
      <c r="J179" s="1468" t="s">
        <v>1592</v>
      </c>
      <c r="K179" s="1468" t="s">
        <v>5713</v>
      </c>
      <c r="L179" s="1468" t="s">
        <v>7317</v>
      </c>
      <c r="M179" s="867"/>
      <c r="AA179">
        <f>IF(AND('05 Lan'!C179&gt;Tmin, NOT('05 Lan'!$I179="")),'05 Lan'!$I179,0)</f>
        <v>0</v>
      </c>
      <c r="AB179">
        <f>IF(AND('05 Lan'!D179&gt;Tmin, NOT('05 Lan'!$I179="")),'05 Lan'!$I179,0)</f>
        <v>0</v>
      </c>
      <c r="AC179">
        <f>IF(AND('05 Lan'!E179&gt;Tmin, NOT('05 Lan'!$I179="")),'05 Lan'!$I179,0)</f>
        <v>0</v>
      </c>
      <c r="AD179">
        <f>IF(AND('05 Lan'!F179&gt;Tmin, NOT('05 Lan'!$I179="")),'05 Lan'!$I179,0)</f>
        <v>0</v>
      </c>
      <c r="AE179">
        <f>IF(AND('05 Lan'!C179&lt;Tmax, NOT('05 Lan'!$H179="")),'05 Lan'!$H179,4)</f>
        <v>3</v>
      </c>
      <c r="AF179">
        <f>IF(AND('05 Lan'!D179&lt;Tmax, NOT('05 Lan'!$H179="")),'05 Lan'!$H179,4)</f>
        <v>3</v>
      </c>
      <c r="AG179">
        <f>IF(AND('05 Lan'!E179&lt;Tmax, NOT('05 Lan'!$H179="")),'05 Lan'!$H179,4)</f>
        <v>3</v>
      </c>
      <c r="AH179">
        <f>IF(AND('05 Lan'!F179&lt;Tmax, NOT('05 Lan'!$H179="")),'05 Lan'!$H179,4)</f>
        <v>3</v>
      </c>
      <c r="AI179"/>
    </row>
    <row r="180" spans="1:35" ht="57.75" customHeight="1" outlineLevel="2" x14ac:dyDescent="0.2">
      <c r="A180" s="870" t="s">
        <v>3343</v>
      </c>
      <c r="B180" s="870" t="s">
        <v>3640</v>
      </c>
      <c r="C180" s="786"/>
      <c r="D180" s="866"/>
      <c r="E180" s="874"/>
      <c r="F180" s="874"/>
      <c r="G180" s="1468">
        <v>4</v>
      </c>
      <c r="H180" s="1468">
        <v>3</v>
      </c>
      <c r="I180" s="1468">
        <v>3</v>
      </c>
      <c r="J180" s="1468" t="s">
        <v>2349</v>
      </c>
      <c r="K180" s="1468"/>
      <c r="L180" s="1468"/>
      <c r="M180" s="867"/>
      <c r="AA180">
        <f>IF(AND('05 Lan'!C180&gt;Tmin, NOT('05 Lan'!$I180="")),'05 Lan'!$I180,0)</f>
        <v>0</v>
      </c>
      <c r="AB180">
        <f>IF(AND('05 Lan'!D180&gt;Tmin, NOT('05 Lan'!$I180="")),'05 Lan'!$I180,0)</f>
        <v>0</v>
      </c>
      <c r="AC180">
        <f>IF(AND('05 Lan'!E180&gt;Tmin, NOT('05 Lan'!$I180="")),'05 Lan'!$I180,0)</f>
        <v>0</v>
      </c>
      <c r="AD180">
        <f>IF(AND('05 Lan'!F180&gt;Tmin, NOT('05 Lan'!$I180="")),'05 Lan'!$I180,0)</f>
        <v>0</v>
      </c>
      <c r="AE180">
        <f>IF(AND('05 Lan'!C180&lt;Tmax, NOT('05 Lan'!$H180="")),'05 Lan'!$H180,4)</f>
        <v>3</v>
      </c>
      <c r="AF180">
        <f>IF(AND('05 Lan'!D180&lt;Tmax, NOT('05 Lan'!$H180="")),'05 Lan'!$H180,4)</f>
        <v>3</v>
      </c>
      <c r="AG180">
        <f>IF(AND('05 Lan'!E180&lt;Tmax, NOT('05 Lan'!$H180="")),'05 Lan'!$H180,4)</f>
        <v>3</v>
      </c>
      <c r="AH180">
        <f>IF(AND('05 Lan'!F180&lt;Tmax, NOT('05 Lan'!$H180="")),'05 Lan'!$H180,4)</f>
        <v>3</v>
      </c>
      <c r="AI180"/>
    </row>
    <row r="181" spans="1:35" outlineLevel="2" x14ac:dyDescent="0.2">
      <c r="A181" s="870" t="s">
        <v>3344</v>
      </c>
      <c r="B181" s="870" t="s">
        <v>4244</v>
      </c>
      <c r="C181" s="786"/>
      <c r="D181" s="866"/>
      <c r="E181" s="874"/>
      <c r="F181" s="874"/>
      <c r="G181" s="1468">
        <v>4</v>
      </c>
      <c r="H181" s="1468">
        <v>2</v>
      </c>
      <c r="I181" s="1467"/>
      <c r="J181" s="1468" t="s">
        <v>2349</v>
      </c>
      <c r="K181" s="1468"/>
      <c r="L181" s="1468"/>
      <c r="M181" s="867"/>
      <c r="AA181">
        <f>IF(AND('05 Lan'!C181&gt;Tmin, NOT('05 Lan'!$I181="")),'05 Lan'!$I181,0)</f>
        <v>0</v>
      </c>
      <c r="AB181">
        <f>IF(AND('05 Lan'!D181&gt;Tmin, NOT('05 Lan'!$I181="")),'05 Lan'!$I181,0)</f>
        <v>0</v>
      </c>
      <c r="AC181">
        <f>IF(AND('05 Lan'!E181&gt;Tmin, NOT('05 Lan'!$I181="")),'05 Lan'!$I181,0)</f>
        <v>0</v>
      </c>
      <c r="AD181">
        <f>IF(AND('05 Lan'!F181&gt;Tmin, NOT('05 Lan'!$I181="")),'05 Lan'!$I181,0)</f>
        <v>0</v>
      </c>
      <c r="AE181">
        <f>IF(AND('05 Lan'!C181&lt;Tmax, NOT('05 Lan'!$H181="")),'05 Lan'!$H181,4)</f>
        <v>2</v>
      </c>
      <c r="AF181">
        <f>IF(AND('05 Lan'!D181&lt;Tmax, NOT('05 Lan'!$H181="")),'05 Lan'!$H181,4)</f>
        <v>2</v>
      </c>
      <c r="AG181">
        <f>IF(AND('05 Lan'!E181&lt;Tmax, NOT('05 Lan'!$H181="")),'05 Lan'!$H181,4)</f>
        <v>2</v>
      </c>
      <c r="AH181">
        <f>IF(AND('05 Lan'!F181&lt;Tmax, NOT('05 Lan'!$H181="")),'05 Lan'!$H181,4)</f>
        <v>2</v>
      </c>
      <c r="AI181"/>
    </row>
    <row r="182" spans="1:35" outlineLevel="1" x14ac:dyDescent="0.2">
      <c r="A182" s="868" t="s">
        <v>6772</v>
      </c>
      <c r="B182" s="869" t="s">
        <v>6773</v>
      </c>
      <c r="C182" s="786"/>
      <c r="D182" s="866"/>
      <c r="E182" s="874"/>
      <c r="F182" s="874"/>
      <c r="G182" s="1468"/>
      <c r="H182" s="1468"/>
      <c r="I182" s="1467"/>
      <c r="J182" s="1467"/>
      <c r="K182" s="1468"/>
      <c r="L182" s="1468"/>
      <c r="M182" s="867"/>
      <c r="AA182"/>
      <c r="AB182"/>
      <c r="AC182"/>
      <c r="AD182"/>
      <c r="AE182"/>
      <c r="AF182"/>
      <c r="AG182"/>
      <c r="AH182"/>
      <c r="AI182"/>
    </row>
    <row r="183" spans="1:35" ht="22.5" outlineLevel="2" x14ac:dyDescent="0.2">
      <c r="A183" s="870" t="s">
        <v>4245</v>
      </c>
      <c r="B183" s="870" t="s">
        <v>2681</v>
      </c>
      <c r="C183" s="786"/>
      <c r="D183" s="866"/>
      <c r="E183" s="874"/>
      <c r="F183" s="874"/>
      <c r="G183" s="1468">
        <v>4</v>
      </c>
      <c r="H183" s="1468"/>
      <c r="I183" s="1467"/>
      <c r="J183" s="1468" t="s">
        <v>1592</v>
      </c>
      <c r="K183" s="1468"/>
      <c r="L183" s="1468"/>
      <c r="M183" s="867"/>
      <c r="AA183">
        <f>IF(AND('05 Lan'!C183&gt;Tmin, NOT('05 Lan'!$I183="")),'05 Lan'!$I183,0)</f>
        <v>0</v>
      </c>
      <c r="AB183">
        <f>IF(AND('05 Lan'!D183&gt;Tmin, NOT('05 Lan'!$I183="")),'05 Lan'!$I183,0)</f>
        <v>0</v>
      </c>
      <c r="AC183">
        <f>IF(AND('05 Lan'!E183&gt;Tmin, NOT('05 Lan'!$I183="")),'05 Lan'!$I183,0)</f>
        <v>0</v>
      </c>
      <c r="AD183">
        <f>IF(AND('05 Lan'!F183&gt;Tmin, NOT('05 Lan'!$I183="")),'05 Lan'!$I183,0)</f>
        <v>0</v>
      </c>
      <c r="AE183">
        <f>IF(AND('05 Lan'!C183&lt;Tmax, NOT('05 Lan'!$H183="")),'05 Lan'!$H183,4)</f>
        <v>4</v>
      </c>
      <c r="AF183">
        <f>IF(AND('05 Lan'!D183&lt;Tmax, NOT('05 Lan'!$H183="")),'05 Lan'!$H183,4)</f>
        <v>4</v>
      </c>
      <c r="AG183">
        <f>IF(AND('05 Lan'!E183&lt;Tmax, NOT('05 Lan'!$H183="")),'05 Lan'!$H183,4)</f>
        <v>4</v>
      </c>
      <c r="AH183">
        <f>IF(AND('05 Lan'!F183&lt;Tmax, NOT('05 Lan'!$H183="")),'05 Lan'!$H183,4)</f>
        <v>4</v>
      </c>
      <c r="AI183"/>
    </row>
    <row r="184" spans="1:35" ht="35.25" customHeight="1" outlineLevel="2" x14ac:dyDescent="0.2">
      <c r="A184" s="870" t="s">
        <v>2682</v>
      </c>
      <c r="B184" s="870" t="s">
        <v>3493</v>
      </c>
      <c r="C184" s="786"/>
      <c r="D184" s="866"/>
      <c r="E184" s="874"/>
      <c r="F184" s="874"/>
      <c r="G184" s="1468">
        <v>4</v>
      </c>
      <c r="H184" s="1468">
        <v>2</v>
      </c>
      <c r="I184" s="1467"/>
      <c r="J184" s="1468" t="s">
        <v>1592</v>
      </c>
      <c r="K184" s="1468"/>
      <c r="L184" s="1468"/>
      <c r="M184" s="867"/>
      <c r="AA184">
        <f>IF(AND('05 Lan'!C184&gt;Tmin, NOT('05 Lan'!$I184="")),'05 Lan'!$I184,0)</f>
        <v>0</v>
      </c>
      <c r="AB184">
        <f>IF(AND('05 Lan'!D184&gt;Tmin, NOT('05 Lan'!$I184="")),'05 Lan'!$I184,0)</f>
        <v>0</v>
      </c>
      <c r="AC184">
        <f>IF(AND('05 Lan'!E184&gt;Tmin, NOT('05 Lan'!$I184="")),'05 Lan'!$I184,0)</f>
        <v>0</v>
      </c>
      <c r="AD184">
        <f>IF(AND('05 Lan'!F184&gt;Tmin, NOT('05 Lan'!$I184="")),'05 Lan'!$I184,0)</f>
        <v>0</v>
      </c>
      <c r="AE184">
        <f>IF(AND('05 Lan'!C184&lt;Tmax, NOT('05 Lan'!$H184="")),'05 Lan'!$H184,4)</f>
        <v>2</v>
      </c>
      <c r="AF184">
        <f>IF(AND('05 Lan'!D184&lt;Tmax, NOT('05 Lan'!$H184="")),'05 Lan'!$H184,4)</f>
        <v>2</v>
      </c>
      <c r="AG184">
        <f>IF(AND('05 Lan'!E184&lt;Tmax, NOT('05 Lan'!$H184="")),'05 Lan'!$H184,4)</f>
        <v>2</v>
      </c>
      <c r="AH184">
        <f>IF(AND('05 Lan'!F184&lt;Tmax, NOT('05 Lan'!$H184="")),'05 Lan'!$H184,4)</f>
        <v>2</v>
      </c>
      <c r="AI184"/>
    </row>
    <row r="185" spans="1:35" ht="22.5" outlineLevel="2" x14ac:dyDescent="0.2">
      <c r="A185" s="870" t="s">
        <v>2683</v>
      </c>
      <c r="B185" s="870" t="s">
        <v>981</v>
      </c>
      <c r="C185" s="786"/>
      <c r="D185" s="866"/>
      <c r="E185" s="874"/>
      <c r="F185" s="874"/>
      <c r="G185" s="1468">
        <v>4</v>
      </c>
      <c r="H185" s="1468">
        <v>3</v>
      </c>
      <c r="I185" s="1467"/>
      <c r="J185" s="1468" t="s">
        <v>2329</v>
      </c>
      <c r="K185" s="1468"/>
      <c r="L185" s="1468"/>
      <c r="M185" s="867"/>
      <c r="AA185">
        <f>IF(AND('05 Lan'!C185&gt;Tmin, NOT('05 Lan'!$I185="")),'05 Lan'!$I185,0)</f>
        <v>0</v>
      </c>
      <c r="AB185">
        <f>IF(AND('05 Lan'!D185&gt;Tmin, NOT('05 Lan'!$I185="")),'05 Lan'!$I185,0)</f>
        <v>0</v>
      </c>
      <c r="AC185">
        <f>IF(AND('05 Lan'!E185&gt;Tmin, NOT('05 Lan'!$I185="")),'05 Lan'!$I185,0)</f>
        <v>0</v>
      </c>
      <c r="AD185">
        <f>IF(AND('05 Lan'!F185&gt;Tmin, NOT('05 Lan'!$I185="")),'05 Lan'!$I185,0)</f>
        <v>0</v>
      </c>
      <c r="AE185">
        <f>IF(AND('05 Lan'!C185&lt;Tmax, NOT('05 Lan'!$H185="")),'05 Lan'!$H185,4)</f>
        <v>3</v>
      </c>
      <c r="AF185">
        <f>IF(AND('05 Lan'!D185&lt;Tmax, NOT('05 Lan'!$H185="")),'05 Lan'!$H185,4)</f>
        <v>3</v>
      </c>
      <c r="AG185">
        <f>IF(AND('05 Lan'!E185&lt;Tmax, NOT('05 Lan'!$H185="")),'05 Lan'!$H185,4)</f>
        <v>3</v>
      </c>
      <c r="AH185">
        <f>IF(AND('05 Lan'!F185&lt;Tmax, NOT('05 Lan'!$H185="")),'05 Lan'!$H185,4)</f>
        <v>3</v>
      </c>
      <c r="AI185"/>
    </row>
    <row r="186" spans="1:35" ht="58.5" customHeight="1" outlineLevel="2" x14ac:dyDescent="0.2">
      <c r="A186" s="870" t="s">
        <v>2684</v>
      </c>
      <c r="B186" s="870" t="s">
        <v>3821</v>
      </c>
      <c r="C186" s="786"/>
      <c r="D186" s="866"/>
      <c r="E186" s="874"/>
      <c r="F186" s="874"/>
      <c r="G186" s="1468">
        <v>4</v>
      </c>
      <c r="H186" s="1468">
        <v>3</v>
      </c>
      <c r="I186" s="1468">
        <v>3</v>
      </c>
      <c r="J186" s="1468" t="s">
        <v>2107</v>
      </c>
      <c r="K186" s="1468"/>
      <c r="L186" s="1468"/>
      <c r="M186" s="867"/>
      <c r="AA186">
        <f>IF(AND('05 Lan'!C186&gt;Tmin, NOT('05 Lan'!$I186="")),'05 Lan'!$I186,0)</f>
        <v>0</v>
      </c>
      <c r="AB186">
        <f>IF(AND('05 Lan'!D186&gt;Tmin, NOT('05 Lan'!$I186="")),'05 Lan'!$I186,0)</f>
        <v>0</v>
      </c>
      <c r="AC186">
        <f>IF(AND('05 Lan'!E186&gt;Tmin, NOT('05 Lan'!$I186="")),'05 Lan'!$I186,0)</f>
        <v>0</v>
      </c>
      <c r="AD186">
        <f>IF(AND('05 Lan'!F186&gt;Tmin, NOT('05 Lan'!$I186="")),'05 Lan'!$I186,0)</f>
        <v>0</v>
      </c>
      <c r="AE186">
        <f>IF(AND('05 Lan'!C186&lt;Tmax, NOT('05 Lan'!$H186="")),'05 Lan'!$H186,4)</f>
        <v>3</v>
      </c>
      <c r="AF186">
        <f>IF(AND('05 Lan'!D186&lt;Tmax, NOT('05 Lan'!$H186="")),'05 Lan'!$H186,4)</f>
        <v>3</v>
      </c>
      <c r="AG186">
        <f>IF(AND('05 Lan'!E186&lt;Tmax, NOT('05 Lan'!$H186="")),'05 Lan'!$H186,4)</f>
        <v>3</v>
      </c>
      <c r="AH186">
        <f>IF(AND('05 Lan'!F186&lt;Tmax, NOT('05 Lan'!$H186="")),'05 Lan'!$H186,4)</f>
        <v>3</v>
      </c>
      <c r="AI186"/>
    </row>
    <row r="187" spans="1:35" outlineLevel="2" x14ac:dyDescent="0.2">
      <c r="A187" s="870" t="s">
        <v>2685</v>
      </c>
      <c r="B187" s="870" t="s">
        <v>3868</v>
      </c>
      <c r="C187" s="786"/>
      <c r="D187" s="866"/>
      <c r="E187" s="874"/>
      <c r="F187" s="874"/>
      <c r="G187" s="1468">
        <v>4</v>
      </c>
      <c r="H187" s="1468">
        <v>2</v>
      </c>
      <c r="I187" s="1467"/>
      <c r="J187" s="1468" t="s">
        <v>2349</v>
      </c>
      <c r="K187" s="1468"/>
      <c r="L187" s="1468"/>
      <c r="M187" s="867"/>
      <c r="AA187">
        <f>IF(AND('05 Lan'!C187&gt;Tmin, NOT('05 Lan'!$I187="")),'05 Lan'!$I187,0)</f>
        <v>0</v>
      </c>
      <c r="AB187">
        <f>IF(AND('05 Lan'!D187&gt;Tmin, NOT('05 Lan'!$I187="")),'05 Lan'!$I187,0)</f>
        <v>0</v>
      </c>
      <c r="AC187">
        <f>IF(AND('05 Lan'!E187&gt;Tmin, NOT('05 Lan'!$I187="")),'05 Lan'!$I187,0)</f>
        <v>0</v>
      </c>
      <c r="AD187">
        <f>IF(AND('05 Lan'!F187&gt;Tmin, NOT('05 Lan'!$I187="")),'05 Lan'!$I187,0)</f>
        <v>0</v>
      </c>
      <c r="AE187">
        <f>IF(AND('05 Lan'!C187&lt;Tmax, NOT('05 Lan'!$H187="")),'05 Lan'!$H187,4)</f>
        <v>2</v>
      </c>
      <c r="AF187">
        <f>IF(AND('05 Lan'!D187&lt;Tmax, NOT('05 Lan'!$H187="")),'05 Lan'!$H187,4)</f>
        <v>2</v>
      </c>
      <c r="AG187">
        <f>IF(AND('05 Lan'!E187&lt;Tmax, NOT('05 Lan'!$H187="")),'05 Lan'!$H187,4)</f>
        <v>2</v>
      </c>
      <c r="AH187">
        <f>IF(AND('05 Lan'!F187&lt;Tmax, NOT('05 Lan'!$H187="")),'05 Lan'!$H187,4)</f>
        <v>2</v>
      </c>
      <c r="AI187"/>
    </row>
    <row r="188" spans="1:35" x14ac:dyDescent="0.2">
      <c r="A188" s="873" t="s">
        <v>3869</v>
      </c>
      <c r="B188" s="873" t="s">
        <v>6168</v>
      </c>
      <c r="C188" s="786"/>
      <c r="D188" s="866"/>
      <c r="E188" s="874"/>
      <c r="F188" s="874"/>
      <c r="G188" s="1468"/>
      <c r="H188" s="1468"/>
      <c r="I188" s="1467"/>
      <c r="J188" s="1467"/>
      <c r="K188" s="1468"/>
      <c r="L188" s="1468"/>
      <c r="M188" s="867"/>
      <c r="AA188"/>
      <c r="AB188"/>
      <c r="AC188"/>
      <c r="AD188"/>
      <c r="AE188"/>
      <c r="AF188"/>
      <c r="AG188"/>
      <c r="AH188"/>
      <c r="AI188"/>
    </row>
    <row r="189" spans="1:35" outlineLevel="1" x14ac:dyDescent="0.2">
      <c r="A189" s="868" t="s">
        <v>6438</v>
      </c>
      <c r="B189" s="869" t="s">
        <v>1139</v>
      </c>
      <c r="C189" s="786"/>
      <c r="D189" s="866"/>
      <c r="E189" s="874"/>
      <c r="F189" s="874"/>
      <c r="G189" s="1468"/>
      <c r="H189" s="1468"/>
      <c r="I189" s="1467"/>
      <c r="J189" s="1467"/>
      <c r="K189" s="1468"/>
      <c r="L189" s="1468"/>
      <c r="M189" s="867"/>
      <c r="AA189"/>
      <c r="AB189"/>
      <c r="AC189"/>
      <c r="AD189"/>
      <c r="AE189"/>
      <c r="AF189"/>
      <c r="AG189"/>
      <c r="AH189"/>
      <c r="AI189"/>
    </row>
    <row r="190" spans="1:35" ht="22.5" outlineLevel="2" x14ac:dyDescent="0.2">
      <c r="A190" s="870" t="s">
        <v>6169</v>
      </c>
      <c r="B190" s="870" t="s">
        <v>2724</v>
      </c>
      <c r="C190" s="786"/>
      <c r="D190" s="866"/>
      <c r="E190" s="874"/>
      <c r="F190" s="874"/>
      <c r="G190" s="1468">
        <v>4</v>
      </c>
      <c r="H190" s="1468"/>
      <c r="I190" s="1467"/>
      <c r="J190" s="1468" t="s">
        <v>1592</v>
      </c>
      <c r="K190" s="1468" t="s">
        <v>7106</v>
      </c>
      <c r="L190" s="1468" t="s">
        <v>7318</v>
      </c>
      <c r="M190" s="867"/>
      <c r="AA190">
        <f>IF(AND('05 Lan'!C190&gt;Tmin, NOT('05 Lan'!$I190="")),'05 Lan'!$I190,0)</f>
        <v>0</v>
      </c>
      <c r="AB190">
        <f>IF(AND('05 Lan'!D190&gt;Tmin, NOT('05 Lan'!$I190="")),'05 Lan'!$I190,0)</f>
        <v>0</v>
      </c>
      <c r="AC190">
        <f>IF(AND('05 Lan'!E190&gt;Tmin, NOT('05 Lan'!$I190="")),'05 Lan'!$I190,0)</f>
        <v>0</v>
      </c>
      <c r="AD190">
        <f>IF(AND('05 Lan'!F190&gt;Tmin, NOT('05 Lan'!$I190="")),'05 Lan'!$I190,0)</f>
        <v>0</v>
      </c>
      <c r="AE190">
        <f>IF(AND('05 Lan'!C190&lt;Tmax, NOT('05 Lan'!$H190="")),'05 Lan'!$H190,4)</f>
        <v>4</v>
      </c>
      <c r="AF190">
        <f>IF(AND('05 Lan'!D190&lt;Tmax, NOT('05 Lan'!$H190="")),'05 Lan'!$H190,4)</f>
        <v>4</v>
      </c>
      <c r="AG190">
        <f>IF(AND('05 Lan'!E190&lt;Tmax, NOT('05 Lan'!$H190="")),'05 Lan'!$H190,4)</f>
        <v>4</v>
      </c>
      <c r="AH190">
        <f>IF(AND('05 Lan'!F190&lt;Tmax, NOT('05 Lan'!$H190="")),'05 Lan'!$H190,4)</f>
        <v>4</v>
      </c>
      <c r="AI190"/>
    </row>
    <row r="191" spans="1:35" ht="22.5" outlineLevel="2" x14ac:dyDescent="0.2">
      <c r="A191" s="870" t="s">
        <v>2725</v>
      </c>
      <c r="B191" s="870" t="s">
        <v>3529</v>
      </c>
      <c r="C191" s="786"/>
      <c r="D191" s="866"/>
      <c r="E191" s="874"/>
      <c r="F191" s="874"/>
      <c r="G191" s="1468">
        <v>4</v>
      </c>
      <c r="H191" s="1468"/>
      <c r="I191" s="1467"/>
      <c r="J191" s="1468" t="s">
        <v>2329</v>
      </c>
      <c r="K191" s="1468" t="s">
        <v>7106</v>
      </c>
      <c r="L191" s="1468" t="s">
        <v>7318</v>
      </c>
      <c r="M191" s="867"/>
      <c r="AA191">
        <f>IF(AND('05 Lan'!C191&gt;Tmin, NOT('05 Lan'!$I191="")),'05 Lan'!$I191,0)</f>
        <v>0</v>
      </c>
      <c r="AB191">
        <f>IF(AND('05 Lan'!D191&gt;Tmin, NOT('05 Lan'!$I191="")),'05 Lan'!$I191,0)</f>
        <v>0</v>
      </c>
      <c r="AC191">
        <f>IF(AND('05 Lan'!E191&gt;Tmin, NOT('05 Lan'!$I191="")),'05 Lan'!$I191,0)</f>
        <v>0</v>
      </c>
      <c r="AD191">
        <f>IF(AND('05 Lan'!F191&gt;Tmin, NOT('05 Lan'!$I191="")),'05 Lan'!$I191,0)</f>
        <v>0</v>
      </c>
      <c r="AE191">
        <f>IF(AND('05 Lan'!C191&lt;Tmax, NOT('05 Lan'!$H191="")),'05 Lan'!$H191,4)</f>
        <v>4</v>
      </c>
      <c r="AF191">
        <f>IF(AND('05 Lan'!D191&lt;Tmax, NOT('05 Lan'!$H191="")),'05 Lan'!$H191,4)</f>
        <v>4</v>
      </c>
      <c r="AG191">
        <f>IF(AND('05 Lan'!E191&lt;Tmax, NOT('05 Lan'!$H191="")),'05 Lan'!$H191,4)</f>
        <v>4</v>
      </c>
      <c r="AH191">
        <f>IF(AND('05 Lan'!F191&lt;Tmax, NOT('05 Lan'!$H191="")),'05 Lan'!$H191,4)</f>
        <v>4</v>
      </c>
      <c r="AI191"/>
    </row>
    <row r="192" spans="1:35" s="230" customFormat="1" outlineLevel="2" x14ac:dyDescent="0.2">
      <c r="A192" s="870" t="s">
        <v>2726</v>
      </c>
      <c r="B192" s="870" t="s">
        <v>2727</v>
      </c>
      <c r="C192" s="786"/>
      <c r="D192" s="866"/>
      <c r="E192" s="874"/>
      <c r="F192" s="874"/>
      <c r="G192" s="1468">
        <v>4</v>
      </c>
      <c r="H192" s="1468"/>
      <c r="I192" s="1467"/>
      <c r="J192" s="1468" t="s">
        <v>1592</v>
      </c>
      <c r="K192" s="1468" t="s">
        <v>7114</v>
      </c>
      <c r="L192" s="1468" t="s">
        <v>7318</v>
      </c>
      <c r="M192" s="867"/>
      <c r="N192" s="168"/>
      <c r="O192" s="624"/>
      <c r="P192" s="624"/>
      <c r="Q192" s="624"/>
      <c r="R192" s="624"/>
      <c r="S192" s="624"/>
      <c r="T192" s="624"/>
      <c r="U192" s="624"/>
      <c r="V192" s="624"/>
      <c r="W192" s="624"/>
      <c r="X192" s="624"/>
      <c r="Y192" s="624"/>
      <c r="Z192" s="624"/>
      <c r="AA192">
        <f>IF(AND('05 Lan'!C192&gt;Tmin, NOT('05 Lan'!$I192="")),'05 Lan'!$I192,0)</f>
        <v>0</v>
      </c>
      <c r="AB192">
        <f>IF(AND('05 Lan'!D192&gt;Tmin, NOT('05 Lan'!$I192="")),'05 Lan'!$I192,0)</f>
        <v>0</v>
      </c>
      <c r="AC192">
        <f>IF(AND('05 Lan'!E192&gt;Tmin, NOT('05 Lan'!$I192="")),'05 Lan'!$I192,0)</f>
        <v>0</v>
      </c>
      <c r="AD192">
        <f>IF(AND('05 Lan'!F192&gt;Tmin, NOT('05 Lan'!$I192="")),'05 Lan'!$I192,0)</f>
        <v>0</v>
      </c>
      <c r="AE192">
        <f>IF(AND('05 Lan'!C192&lt;Tmax, NOT('05 Lan'!$H192="")),'05 Lan'!$H192,4)</f>
        <v>4</v>
      </c>
      <c r="AF192">
        <f>IF(AND('05 Lan'!D192&lt;Tmax, NOT('05 Lan'!$H192="")),'05 Lan'!$H192,4)</f>
        <v>4</v>
      </c>
      <c r="AG192">
        <f>IF(AND('05 Lan'!E192&lt;Tmax, NOT('05 Lan'!$H192="")),'05 Lan'!$H192,4)</f>
        <v>4</v>
      </c>
      <c r="AH192">
        <f>IF(AND('05 Lan'!F192&lt;Tmax, NOT('05 Lan'!$H192="")),'05 Lan'!$H192,4)</f>
        <v>4</v>
      </c>
      <c r="AI192"/>
    </row>
    <row r="193" spans="1:35" ht="22.5" outlineLevel="2" x14ac:dyDescent="0.2">
      <c r="A193" s="870" t="s">
        <v>2728</v>
      </c>
      <c r="B193" s="870" t="s">
        <v>2729</v>
      </c>
      <c r="C193" s="786"/>
      <c r="D193" s="866"/>
      <c r="E193" s="874"/>
      <c r="F193" s="874"/>
      <c r="G193" s="1468">
        <v>4</v>
      </c>
      <c r="H193" s="1468"/>
      <c r="I193" s="1467"/>
      <c r="J193" s="1468" t="s">
        <v>2329</v>
      </c>
      <c r="K193" s="1468"/>
      <c r="L193" s="1468"/>
      <c r="M193" s="867"/>
      <c r="AA193">
        <f>IF(AND('05 Lan'!C193&gt;Tmin, NOT('05 Lan'!$I193="")),'05 Lan'!$I193,0)</f>
        <v>0</v>
      </c>
      <c r="AB193">
        <f>IF(AND('05 Lan'!D193&gt;Tmin, NOT('05 Lan'!$I193="")),'05 Lan'!$I193,0)</f>
        <v>0</v>
      </c>
      <c r="AC193">
        <f>IF(AND('05 Lan'!E193&gt;Tmin, NOT('05 Lan'!$I193="")),'05 Lan'!$I193,0)</f>
        <v>0</v>
      </c>
      <c r="AD193">
        <f>IF(AND('05 Lan'!F193&gt;Tmin, NOT('05 Lan'!$I193="")),'05 Lan'!$I193,0)</f>
        <v>0</v>
      </c>
      <c r="AE193">
        <f>IF(AND('05 Lan'!C193&lt;Tmax, NOT('05 Lan'!$H193="")),'05 Lan'!$H193,4)</f>
        <v>4</v>
      </c>
      <c r="AF193">
        <f>IF(AND('05 Lan'!D193&lt;Tmax, NOT('05 Lan'!$H193="")),'05 Lan'!$H193,4)</f>
        <v>4</v>
      </c>
      <c r="AG193">
        <f>IF(AND('05 Lan'!E193&lt;Tmax, NOT('05 Lan'!$H193="")),'05 Lan'!$H193,4)</f>
        <v>4</v>
      </c>
      <c r="AH193">
        <f>IF(AND('05 Lan'!F193&lt;Tmax, NOT('05 Lan'!$H193="")),'05 Lan'!$H193,4)</f>
        <v>4</v>
      </c>
      <c r="AI193"/>
    </row>
    <row r="194" spans="1:35" ht="22.5" outlineLevel="2" x14ac:dyDescent="0.2">
      <c r="A194" s="870" t="s">
        <v>2730</v>
      </c>
      <c r="B194" s="870" t="s">
        <v>6803</v>
      </c>
      <c r="C194" s="786"/>
      <c r="D194" s="866"/>
      <c r="E194" s="874"/>
      <c r="F194" s="874"/>
      <c r="G194" s="1468">
        <v>4</v>
      </c>
      <c r="H194" s="1468">
        <v>2</v>
      </c>
      <c r="I194" s="1467"/>
      <c r="J194" s="1468" t="s">
        <v>2329</v>
      </c>
      <c r="K194" s="1468"/>
      <c r="L194" s="1468"/>
      <c r="M194" s="867"/>
      <c r="AA194">
        <f>IF(AND('05 Lan'!C194&gt;Tmin, NOT('05 Lan'!$I194="")),'05 Lan'!$I194,0)</f>
        <v>0</v>
      </c>
      <c r="AB194">
        <f>IF(AND('05 Lan'!D194&gt;Tmin, NOT('05 Lan'!$I194="")),'05 Lan'!$I194,0)</f>
        <v>0</v>
      </c>
      <c r="AC194">
        <f>IF(AND('05 Lan'!E194&gt;Tmin, NOT('05 Lan'!$I194="")),'05 Lan'!$I194,0)</f>
        <v>0</v>
      </c>
      <c r="AD194">
        <f>IF(AND('05 Lan'!F194&gt;Tmin, NOT('05 Lan'!$I194="")),'05 Lan'!$I194,0)</f>
        <v>0</v>
      </c>
      <c r="AE194">
        <f>IF(AND('05 Lan'!C194&lt;Tmax, NOT('05 Lan'!$H194="")),'05 Lan'!$H194,4)</f>
        <v>2</v>
      </c>
      <c r="AF194">
        <f>IF(AND('05 Lan'!D194&lt;Tmax, NOT('05 Lan'!$H194="")),'05 Lan'!$H194,4)</f>
        <v>2</v>
      </c>
      <c r="AG194">
        <f>IF(AND('05 Lan'!E194&lt;Tmax, NOT('05 Lan'!$H194="")),'05 Lan'!$H194,4)</f>
        <v>2</v>
      </c>
      <c r="AH194">
        <f>IF(AND('05 Lan'!F194&lt;Tmax, NOT('05 Lan'!$H194="")),'05 Lan'!$H194,4)</f>
        <v>2</v>
      </c>
      <c r="AI194"/>
    </row>
    <row r="195" spans="1:35" ht="22.5" outlineLevel="2" x14ac:dyDescent="0.2">
      <c r="A195" s="870" t="s">
        <v>4635</v>
      </c>
      <c r="B195" s="870" t="s">
        <v>4549</v>
      </c>
      <c r="C195" s="786"/>
      <c r="D195" s="866"/>
      <c r="E195" s="874"/>
      <c r="F195" s="874"/>
      <c r="G195" s="1468">
        <v>4</v>
      </c>
      <c r="H195" s="1468">
        <v>3</v>
      </c>
      <c r="I195" s="1467"/>
      <c r="J195" s="1468" t="s">
        <v>2329</v>
      </c>
      <c r="K195" s="1468"/>
      <c r="L195" s="1468"/>
      <c r="M195" s="867"/>
      <c r="AA195">
        <f>IF(AND('05 Lan'!C195&gt;Tmin, NOT('05 Lan'!$I195="")),'05 Lan'!$I195,0)</f>
        <v>0</v>
      </c>
      <c r="AB195">
        <f>IF(AND('05 Lan'!D195&gt;Tmin, NOT('05 Lan'!$I195="")),'05 Lan'!$I195,0)</f>
        <v>0</v>
      </c>
      <c r="AC195">
        <f>IF(AND('05 Lan'!E195&gt;Tmin, NOT('05 Lan'!$I195="")),'05 Lan'!$I195,0)</f>
        <v>0</v>
      </c>
      <c r="AD195">
        <f>IF(AND('05 Lan'!F195&gt;Tmin, NOT('05 Lan'!$I195="")),'05 Lan'!$I195,0)</f>
        <v>0</v>
      </c>
      <c r="AE195">
        <f>IF(AND('05 Lan'!C195&lt;Tmax, NOT('05 Lan'!$H195="")),'05 Lan'!$H195,4)</f>
        <v>3</v>
      </c>
      <c r="AF195">
        <f>IF(AND('05 Lan'!D195&lt;Tmax, NOT('05 Lan'!$H195="")),'05 Lan'!$H195,4)</f>
        <v>3</v>
      </c>
      <c r="AG195">
        <f>IF(AND('05 Lan'!E195&lt;Tmax, NOT('05 Lan'!$H195="")),'05 Lan'!$H195,4)</f>
        <v>3</v>
      </c>
      <c r="AH195">
        <f>IF(AND('05 Lan'!F195&lt;Tmax, NOT('05 Lan'!$H195="")),'05 Lan'!$H195,4)</f>
        <v>3</v>
      </c>
      <c r="AI195"/>
    </row>
    <row r="196" spans="1:35" ht="12.75" customHeight="1" outlineLevel="2" x14ac:dyDescent="0.2">
      <c r="A196" s="870" t="s">
        <v>4636</v>
      </c>
      <c r="B196" s="870" t="s">
        <v>5366</v>
      </c>
      <c r="C196" s="786"/>
      <c r="D196" s="866"/>
      <c r="E196" s="874"/>
      <c r="F196" s="874"/>
      <c r="G196" s="1468">
        <v>4</v>
      </c>
      <c r="H196" s="1468"/>
      <c r="I196" s="1467"/>
      <c r="J196" s="1468" t="s">
        <v>2349</v>
      </c>
      <c r="K196" s="1468"/>
      <c r="L196" s="1468"/>
      <c r="M196" s="867"/>
      <c r="AA196">
        <f>IF(AND('05 Lan'!C196&gt;Tmin, NOT('05 Lan'!$I196="")),'05 Lan'!$I196,0)</f>
        <v>0</v>
      </c>
      <c r="AB196">
        <f>IF(AND('05 Lan'!D196&gt;Tmin, NOT('05 Lan'!$I196="")),'05 Lan'!$I196,0)</f>
        <v>0</v>
      </c>
      <c r="AC196">
        <f>IF(AND('05 Lan'!E196&gt;Tmin, NOT('05 Lan'!$I196="")),'05 Lan'!$I196,0)</f>
        <v>0</v>
      </c>
      <c r="AD196">
        <f>IF(AND('05 Lan'!F196&gt;Tmin, NOT('05 Lan'!$I196="")),'05 Lan'!$I196,0)</f>
        <v>0</v>
      </c>
      <c r="AE196">
        <f>IF(AND('05 Lan'!C196&lt;Tmax, NOT('05 Lan'!$H196="")),'05 Lan'!$H196,4)</f>
        <v>4</v>
      </c>
      <c r="AF196">
        <f>IF(AND('05 Lan'!D196&lt;Tmax, NOT('05 Lan'!$H196="")),'05 Lan'!$H196,4)</f>
        <v>4</v>
      </c>
      <c r="AG196">
        <f>IF(AND('05 Lan'!E196&lt;Tmax, NOT('05 Lan'!$H196="")),'05 Lan'!$H196,4)</f>
        <v>4</v>
      </c>
      <c r="AH196">
        <f>IF(AND('05 Lan'!F196&lt;Tmax, NOT('05 Lan'!$H196="")),'05 Lan'!$H196,4)</f>
        <v>4</v>
      </c>
      <c r="AI196"/>
    </row>
    <row r="197" spans="1:35" outlineLevel="2" x14ac:dyDescent="0.2">
      <c r="A197" s="870" t="s">
        <v>4637</v>
      </c>
      <c r="B197" s="870" t="s">
        <v>3709</v>
      </c>
      <c r="C197" s="786"/>
      <c r="D197" s="866"/>
      <c r="E197" s="874"/>
      <c r="F197" s="874"/>
      <c r="G197" s="1468">
        <v>4</v>
      </c>
      <c r="H197" s="1468">
        <v>3</v>
      </c>
      <c r="I197" s="1467"/>
      <c r="J197" s="1468" t="s">
        <v>2349</v>
      </c>
      <c r="K197" s="1468" t="s">
        <v>1369</v>
      </c>
      <c r="L197" s="1468" t="s">
        <v>7318</v>
      </c>
      <c r="M197" s="867"/>
      <c r="AA197">
        <f>IF(AND('05 Lan'!C197&gt;Tmin, NOT('05 Lan'!$I197="")),'05 Lan'!$I197,0)</f>
        <v>0</v>
      </c>
      <c r="AB197">
        <f>IF(AND('05 Lan'!D197&gt;Tmin, NOT('05 Lan'!$I197="")),'05 Lan'!$I197,0)</f>
        <v>0</v>
      </c>
      <c r="AC197">
        <f>IF(AND('05 Lan'!E197&gt;Tmin, NOT('05 Lan'!$I197="")),'05 Lan'!$I197,0)</f>
        <v>0</v>
      </c>
      <c r="AD197">
        <f>IF(AND('05 Lan'!F197&gt;Tmin, NOT('05 Lan'!$I197="")),'05 Lan'!$I197,0)</f>
        <v>0</v>
      </c>
      <c r="AE197">
        <f>IF(AND('05 Lan'!C197&lt;Tmax, NOT('05 Lan'!$H197="")),'05 Lan'!$H197,4)</f>
        <v>3</v>
      </c>
      <c r="AF197">
        <f>IF(AND('05 Lan'!D197&lt;Tmax, NOT('05 Lan'!$H197="")),'05 Lan'!$H197,4)</f>
        <v>3</v>
      </c>
      <c r="AG197">
        <f>IF(AND('05 Lan'!E197&lt;Tmax, NOT('05 Lan'!$H197="")),'05 Lan'!$H197,4)</f>
        <v>3</v>
      </c>
      <c r="AH197">
        <f>IF(AND('05 Lan'!F197&lt;Tmax, NOT('05 Lan'!$H197="")),'05 Lan'!$H197,4)</f>
        <v>3</v>
      </c>
      <c r="AI197"/>
    </row>
    <row r="198" spans="1:35" ht="12.75" customHeight="1" outlineLevel="2" x14ac:dyDescent="0.2">
      <c r="A198" s="870" t="s">
        <v>3710</v>
      </c>
      <c r="B198" s="870" t="s">
        <v>2355</v>
      </c>
      <c r="C198" s="786"/>
      <c r="D198" s="866"/>
      <c r="E198" s="874"/>
      <c r="F198" s="874"/>
      <c r="G198" s="1468">
        <v>2</v>
      </c>
      <c r="H198" s="1468"/>
      <c r="I198" s="1467"/>
      <c r="J198" s="1468" t="s">
        <v>1592</v>
      </c>
      <c r="K198" s="1468" t="s">
        <v>2026</v>
      </c>
      <c r="L198" s="1468" t="s">
        <v>7319</v>
      </c>
      <c r="M198" s="867"/>
      <c r="AA198">
        <f>IF(AND('05 Lan'!C198&gt;Tmin, NOT('05 Lan'!$I198="")),'05 Lan'!$I198,0)</f>
        <v>0</v>
      </c>
      <c r="AB198">
        <f>IF(AND('05 Lan'!D198&gt;Tmin, NOT('05 Lan'!$I198="")),'05 Lan'!$I198,0)</f>
        <v>0</v>
      </c>
      <c r="AC198">
        <f>IF(AND('05 Lan'!E198&gt;Tmin, NOT('05 Lan'!$I198="")),'05 Lan'!$I198,0)</f>
        <v>0</v>
      </c>
      <c r="AD198">
        <f>IF(AND('05 Lan'!F198&gt;Tmin, NOT('05 Lan'!$I198="")),'05 Lan'!$I198,0)</f>
        <v>0</v>
      </c>
      <c r="AE198">
        <f>IF(AND('05 Lan'!C198&lt;Tmax, NOT('05 Lan'!$H198="")),'05 Lan'!$H198,4)</f>
        <v>4</v>
      </c>
      <c r="AF198">
        <f>IF(AND('05 Lan'!D198&lt;Tmax, NOT('05 Lan'!$H198="")),'05 Lan'!$H198,4)</f>
        <v>4</v>
      </c>
      <c r="AG198">
        <f>IF(AND('05 Lan'!E198&lt;Tmax, NOT('05 Lan'!$H198="")),'05 Lan'!$H198,4)</f>
        <v>4</v>
      </c>
      <c r="AH198">
        <f>IF(AND('05 Lan'!F198&lt;Tmax, NOT('05 Lan'!$H198="")),'05 Lan'!$H198,4)</f>
        <v>4</v>
      </c>
      <c r="AI198"/>
    </row>
    <row r="199" spans="1:35" ht="24.75" customHeight="1" outlineLevel="2" x14ac:dyDescent="0.2">
      <c r="A199" s="870" t="s">
        <v>3711</v>
      </c>
      <c r="B199" s="870" t="s">
        <v>3712</v>
      </c>
      <c r="C199" s="786"/>
      <c r="D199" s="866"/>
      <c r="E199" s="874"/>
      <c r="F199" s="874"/>
      <c r="G199" s="1468">
        <v>2</v>
      </c>
      <c r="H199" s="1468">
        <v>3</v>
      </c>
      <c r="I199" s="1467"/>
      <c r="J199" s="1468" t="s">
        <v>2109</v>
      </c>
      <c r="K199" s="1468"/>
      <c r="L199" s="1468"/>
      <c r="M199" s="867"/>
      <c r="AA199">
        <f>IF(AND('05 Lan'!C199&gt;Tmin, NOT('05 Lan'!$I199="")),'05 Lan'!$I199,0)</f>
        <v>0</v>
      </c>
      <c r="AB199">
        <f>IF(AND('05 Lan'!D199&gt;Tmin, NOT('05 Lan'!$I199="")),'05 Lan'!$I199,0)</f>
        <v>0</v>
      </c>
      <c r="AC199">
        <f>IF(AND('05 Lan'!E199&gt;Tmin, NOT('05 Lan'!$I199="")),'05 Lan'!$I199,0)</f>
        <v>0</v>
      </c>
      <c r="AD199">
        <f>IF(AND('05 Lan'!F199&gt;Tmin, NOT('05 Lan'!$I199="")),'05 Lan'!$I199,0)</f>
        <v>0</v>
      </c>
      <c r="AE199">
        <f>IF(AND('05 Lan'!C199&lt;Tmax, NOT('05 Lan'!$H199="")),'05 Lan'!$H199,4)</f>
        <v>3</v>
      </c>
      <c r="AF199">
        <f>IF(AND('05 Lan'!D199&lt;Tmax, NOT('05 Lan'!$H199="")),'05 Lan'!$H199,4)</f>
        <v>3</v>
      </c>
      <c r="AG199">
        <f>IF(AND('05 Lan'!E199&lt;Tmax, NOT('05 Lan'!$H199="")),'05 Lan'!$H199,4)</f>
        <v>3</v>
      </c>
      <c r="AH199">
        <f>IF(AND('05 Lan'!F199&lt;Tmax, NOT('05 Lan'!$H199="")),'05 Lan'!$H199,4)</f>
        <v>3</v>
      </c>
      <c r="AI199"/>
    </row>
    <row r="200" spans="1:35" outlineLevel="1" x14ac:dyDescent="0.2">
      <c r="A200" s="868" t="s">
        <v>1140</v>
      </c>
      <c r="B200" s="869" t="s">
        <v>1141</v>
      </c>
      <c r="C200" s="786"/>
      <c r="D200" s="866"/>
      <c r="E200" s="874"/>
      <c r="F200" s="874"/>
      <c r="G200" s="1468"/>
      <c r="H200" s="1468"/>
      <c r="I200" s="1467"/>
      <c r="J200" s="1468"/>
      <c r="K200" s="1468"/>
      <c r="L200" s="1468"/>
      <c r="M200" s="867"/>
      <c r="AA200"/>
      <c r="AB200"/>
      <c r="AC200"/>
      <c r="AD200"/>
      <c r="AE200"/>
      <c r="AF200"/>
      <c r="AG200"/>
      <c r="AH200"/>
      <c r="AI200"/>
    </row>
    <row r="201" spans="1:35" ht="24" customHeight="1" outlineLevel="2" x14ac:dyDescent="0.2">
      <c r="A201" s="870" t="s">
        <v>3713</v>
      </c>
      <c r="B201" s="870" t="s">
        <v>5466</v>
      </c>
      <c r="C201" s="786"/>
      <c r="D201" s="866"/>
      <c r="E201" s="874"/>
      <c r="F201" s="874"/>
      <c r="G201" s="1468">
        <v>2</v>
      </c>
      <c r="H201" s="1468"/>
      <c r="I201" s="1467"/>
      <c r="J201" s="1468" t="s">
        <v>4246</v>
      </c>
      <c r="K201" s="1468" t="s">
        <v>1369</v>
      </c>
      <c r="L201" s="1468" t="s">
        <v>7320</v>
      </c>
      <c r="M201" s="867"/>
      <c r="AA201">
        <f>IF(AND('05 Lan'!C201&gt;Tmin, NOT('05 Lan'!$I201="")),'05 Lan'!$I201,0)</f>
        <v>0</v>
      </c>
      <c r="AB201">
        <f>IF(AND('05 Lan'!D201&gt;Tmin, NOT('05 Lan'!$I201="")),'05 Lan'!$I201,0)</f>
        <v>0</v>
      </c>
      <c r="AC201">
        <f>IF(AND('05 Lan'!E201&gt;Tmin, NOT('05 Lan'!$I201="")),'05 Lan'!$I201,0)</f>
        <v>0</v>
      </c>
      <c r="AD201">
        <f>IF(AND('05 Lan'!F201&gt;Tmin, NOT('05 Lan'!$I201="")),'05 Lan'!$I201,0)</f>
        <v>0</v>
      </c>
      <c r="AE201">
        <f>IF(AND('05 Lan'!C201&lt;Tmax, NOT('05 Lan'!$H201="")),'05 Lan'!$H201,4)</f>
        <v>4</v>
      </c>
      <c r="AF201">
        <f>IF(AND('05 Lan'!D201&lt;Tmax, NOT('05 Lan'!$H201="")),'05 Lan'!$H201,4)</f>
        <v>4</v>
      </c>
      <c r="AG201">
        <f>IF(AND('05 Lan'!E201&lt;Tmax, NOT('05 Lan'!$H201="")),'05 Lan'!$H201,4)</f>
        <v>4</v>
      </c>
      <c r="AH201">
        <f>IF(AND('05 Lan'!F201&lt;Tmax, NOT('05 Lan'!$H201="")),'05 Lan'!$H201,4)</f>
        <v>4</v>
      </c>
      <c r="AI201"/>
    </row>
    <row r="202" spans="1:35" outlineLevel="2" x14ac:dyDescent="0.2">
      <c r="A202" s="870" t="s">
        <v>5467</v>
      </c>
      <c r="B202" s="870" t="s">
        <v>4989</v>
      </c>
      <c r="C202" s="786"/>
      <c r="D202" s="866"/>
      <c r="E202" s="874"/>
      <c r="F202" s="874"/>
      <c r="G202" s="1468">
        <v>4</v>
      </c>
      <c r="H202" s="1468"/>
      <c r="I202" s="1467"/>
      <c r="J202" s="1468" t="s">
        <v>4246</v>
      </c>
      <c r="K202" s="1468" t="s">
        <v>1369</v>
      </c>
      <c r="L202" s="1468" t="s">
        <v>7320</v>
      </c>
      <c r="M202" s="867"/>
      <c r="AA202">
        <f>IF(AND('05 Lan'!C202&gt;Tmin, NOT('05 Lan'!$I202="")),'05 Lan'!$I202,0)</f>
        <v>0</v>
      </c>
      <c r="AB202">
        <f>IF(AND('05 Lan'!D202&gt;Tmin, NOT('05 Lan'!$I202="")),'05 Lan'!$I202,0)</f>
        <v>0</v>
      </c>
      <c r="AC202">
        <f>IF(AND('05 Lan'!E202&gt;Tmin, NOT('05 Lan'!$I202="")),'05 Lan'!$I202,0)</f>
        <v>0</v>
      </c>
      <c r="AD202">
        <f>IF(AND('05 Lan'!F202&gt;Tmin, NOT('05 Lan'!$I202="")),'05 Lan'!$I202,0)</f>
        <v>0</v>
      </c>
      <c r="AE202">
        <f>IF(AND('05 Lan'!C202&lt;Tmax, NOT('05 Lan'!$H202="")),'05 Lan'!$H202,4)</f>
        <v>4</v>
      </c>
      <c r="AF202">
        <f>IF(AND('05 Lan'!D202&lt;Tmax, NOT('05 Lan'!$H202="")),'05 Lan'!$H202,4)</f>
        <v>4</v>
      </c>
      <c r="AG202">
        <f>IF(AND('05 Lan'!E202&lt;Tmax, NOT('05 Lan'!$H202="")),'05 Lan'!$H202,4)</f>
        <v>4</v>
      </c>
      <c r="AH202">
        <f>IF(AND('05 Lan'!F202&lt;Tmax, NOT('05 Lan'!$H202="")),'05 Lan'!$H202,4)</f>
        <v>4</v>
      </c>
      <c r="AI202"/>
    </row>
    <row r="203" spans="1:35" s="230" customFormat="1" ht="22.5" outlineLevel="2" x14ac:dyDescent="0.2">
      <c r="A203" s="870" t="s">
        <v>5468</v>
      </c>
      <c r="B203" s="870" t="s">
        <v>4128</v>
      </c>
      <c r="C203" s="786"/>
      <c r="D203" s="866"/>
      <c r="E203" s="874"/>
      <c r="F203" s="874"/>
      <c r="G203" s="1468">
        <v>4</v>
      </c>
      <c r="H203" s="1468">
        <v>2</v>
      </c>
      <c r="I203" s="1467">
        <v>3</v>
      </c>
      <c r="J203" s="1468" t="s">
        <v>1592</v>
      </c>
      <c r="K203" s="1468"/>
      <c r="L203" s="1468"/>
      <c r="M203" s="867"/>
      <c r="N203" s="168"/>
      <c r="O203" s="624"/>
      <c r="P203" s="624"/>
      <c r="Q203" s="624"/>
      <c r="R203" s="624"/>
      <c r="S203" s="624"/>
      <c r="T203" s="624"/>
      <c r="U203" s="624"/>
      <c r="V203" s="624"/>
      <c r="W203" s="624"/>
      <c r="X203" s="624"/>
      <c r="Y203" s="624"/>
      <c r="Z203" s="624"/>
      <c r="AA203">
        <f>IF(AND('05 Lan'!C203&gt;Tmin, NOT('05 Lan'!$I203="")),'05 Lan'!$I203,0)</f>
        <v>0</v>
      </c>
      <c r="AB203">
        <f>IF(AND('05 Lan'!D203&gt;Tmin, NOT('05 Lan'!$I203="")),'05 Lan'!$I203,0)</f>
        <v>0</v>
      </c>
      <c r="AC203">
        <f>IF(AND('05 Lan'!E203&gt;Tmin, NOT('05 Lan'!$I203="")),'05 Lan'!$I203,0)</f>
        <v>0</v>
      </c>
      <c r="AD203">
        <f>IF(AND('05 Lan'!F203&gt;Tmin, NOT('05 Lan'!$I203="")),'05 Lan'!$I203,0)</f>
        <v>0</v>
      </c>
      <c r="AE203">
        <f>IF(AND('05 Lan'!C203&lt;Tmax, NOT('05 Lan'!$H203="")),'05 Lan'!$H203,4)</f>
        <v>2</v>
      </c>
      <c r="AF203">
        <f>IF(AND('05 Lan'!D203&lt;Tmax, NOT('05 Lan'!$H203="")),'05 Lan'!$H203,4)</f>
        <v>2</v>
      </c>
      <c r="AG203">
        <f>IF(AND('05 Lan'!E203&lt;Tmax, NOT('05 Lan'!$H203="")),'05 Lan'!$H203,4)</f>
        <v>2</v>
      </c>
      <c r="AH203">
        <f>IF(AND('05 Lan'!F203&lt;Tmax, NOT('05 Lan'!$H203="")),'05 Lan'!$H203,4)</f>
        <v>2</v>
      </c>
      <c r="AI203"/>
    </row>
    <row r="204" spans="1:35" s="230" customFormat="1" ht="24" customHeight="1" outlineLevel="2" x14ac:dyDescent="0.2">
      <c r="A204" s="870" t="s">
        <v>5469</v>
      </c>
      <c r="B204" s="870" t="s">
        <v>4016</v>
      </c>
      <c r="C204" s="786"/>
      <c r="D204" s="866"/>
      <c r="E204" s="874"/>
      <c r="F204" s="874"/>
      <c r="G204" s="1468">
        <v>4</v>
      </c>
      <c r="H204" s="1468"/>
      <c r="I204" s="1467"/>
      <c r="J204" s="1468" t="s">
        <v>1592</v>
      </c>
      <c r="K204" s="1468"/>
      <c r="L204" s="1468"/>
      <c r="M204" s="867"/>
      <c r="N204" s="168"/>
      <c r="O204" s="624"/>
      <c r="P204" s="624"/>
      <c r="Q204" s="624"/>
      <c r="R204" s="624"/>
      <c r="S204" s="624"/>
      <c r="T204" s="624"/>
      <c r="U204" s="624"/>
      <c r="V204" s="624"/>
      <c r="W204" s="624"/>
      <c r="X204" s="624"/>
      <c r="Y204" s="624"/>
      <c r="Z204" s="624"/>
      <c r="AA204">
        <f>IF(AND('05 Lan'!C204&gt;Tmin, NOT('05 Lan'!$I204="")),'05 Lan'!$I204,0)</f>
        <v>0</v>
      </c>
      <c r="AB204">
        <f>IF(AND('05 Lan'!D204&gt;Tmin, NOT('05 Lan'!$I204="")),'05 Lan'!$I204,0)</f>
        <v>0</v>
      </c>
      <c r="AC204">
        <f>IF(AND('05 Lan'!E204&gt;Tmin, NOT('05 Lan'!$I204="")),'05 Lan'!$I204,0)</f>
        <v>0</v>
      </c>
      <c r="AD204">
        <f>IF(AND('05 Lan'!F204&gt;Tmin, NOT('05 Lan'!$I204="")),'05 Lan'!$I204,0)</f>
        <v>0</v>
      </c>
      <c r="AE204">
        <f>IF(AND('05 Lan'!C204&lt;Tmax, NOT('05 Lan'!$H204="")),'05 Lan'!$H204,4)</f>
        <v>4</v>
      </c>
      <c r="AF204">
        <f>IF(AND('05 Lan'!D204&lt;Tmax, NOT('05 Lan'!$H204="")),'05 Lan'!$H204,4)</f>
        <v>4</v>
      </c>
      <c r="AG204">
        <f>IF(AND('05 Lan'!E204&lt;Tmax, NOT('05 Lan'!$H204="")),'05 Lan'!$H204,4)</f>
        <v>4</v>
      </c>
      <c r="AH204">
        <f>IF(AND('05 Lan'!F204&lt;Tmax, NOT('05 Lan'!$H204="")),'05 Lan'!$H204,4)</f>
        <v>4</v>
      </c>
      <c r="AI204"/>
    </row>
    <row r="205" spans="1:35" ht="22.5" outlineLevel="2" x14ac:dyDescent="0.2">
      <c r="A205" s="870" t="s">
        <v>4667</v>
      </c>
      <c r="B205" s="870" t="s">
        <v>5432</v>
      </c>
      <c r="C205" s="786"/>
      <c r="D205" s="866"/>
      <c r="E205" s="874"/>
      <c r="F205" s="874"/>
      <c r="G205" s="1468">
        <v>4</v>
      </c>
      <c r="H205" s="1468"/>
      <c r="I205" s="1467"/>
      <c r="J205" s="1468" t="s">
        <v>2329</v>
      </c>
      <c r="K205" s="1468"/>
      <c r="L205" s="1468"/>
      <c r="M205" s="867"/>
      <c r="AA205">
        <f>IF(AND('05 Lan'!C205&gt;Tmin, NOT('05 Lan'!$I205="")),'05 Lan'!$I205,0)</f>
        <v>0</v>
      </c>
      <c r="AB205">
        <f>IF(AND('05 Lan'!D205&gt;Tmin, NOT('05 Lan'!$I205="")),'05 Lan'!$I205,0)</f>
        <v>0</v>
      </c>
      <c r="AC205">
        <f>IF(AND('05 Lan'!E205&gt;Tmin, NOT('05 Lan'!$I205="")),'05 Lan'!$I205,0)</f>
        <v>0</v>
      </c>
      <c r="AD205">
        <f>IF(AND('05 Lan'!F205&gt;Tmin, NOT('05 Lan'!$I205="")),'05 Lan'!$I205,0)</f>
        <v>0</v>
      </c>
      <c r="AE205">
        <f>IF(AND('05 Lan'!C205&lt;Tmax, NOT('05 Lan'!$H205="")),'05 Lan'!$H205,4)</f>
        <v>4</v>
      </c>
      <c r="AF205">
        <f>IF(AND('05 Lan'!D205&lt;Tmax, NOT('05 Lan'!$H205="")),'05 Lan'!$H205,4)</f>
        <v>4</v>
      </c>
      <c r="AG205">
        <f>IF(AND('05 Lan'!E205&lt;Tmax, NOT('05 Lan'!$H205="")),'05 Lan'!$H205,4)</f>
        <v>4</v>
      </c>
      <c r="AH205">
        <f>IF(AND('05 Lan'!F205&lt;Tmax, NOT('05 Lan'!$H205="")),'05 Lan'!$H205,4)</f>
        <v>4</v>
      </c>
      <c r="AI205"/>
    </row>
    <row r="206" spans="1:35" ht="22.5" outlineLevel="2" x14ac:dyDescent="0.2">
      <c r="A206" s="870" t="s">
        <v>4668</v>
      </c>
      <c r="B206" s="870" t="s">
        <v>5372</v>
      </c>
      <c r="C206" s="786"/>
      <c r="D206" s="866"/>
      <c r="E206" s="874"/>
      <c r="F206" s="874"/>
      <c r="G206" s="1468">
        <v>4</v>
      </c>
      <c r="H206" s="1468"/>
      <c r="I206" s="1467"/>
      <c r="J206" s="1468" t="s">
        <v>2349</v>
      </c>
      <c r="K206" s="1468" t="s">
        <v>2026</v>
      </c>
      <c r="L206" s="1468" t="s">
        <v>7319</v>
      </c>
      <c r="M206" s="867"/>
      <c r="AA206">
        <f>IF(AND('05 Lan'!C206&gt;Tmin, NOT('05 Lan'!$I206="")),'05 Lan'!$I206,0)</f>
        <v>0</v>
      </c>
      <c r="AB206">
        <f>IF(AND('05 Lan'!D206&gt;Tmin, NOT('05 Lan'!$I206="")),'05 Lan'!$I206,0)</f>
        <v>0</v>
      </c>
      <c r="AC206">
        <f>IF(AND('05 Lan'!E206&gt;Tmin, NOT('05 Lan'!$I206="")),'05 Lan'!$I206,0)</f>
        <v>0</v>
      </c>
      <c r="AD206">
        <f>IF(AND('05 Lan'!F206&gt;Tmin, NOT('05 Lan'!$I206="")),'05 Lan'!$I206,0)</f>
        <v>0</v>
      </c>
      <c r="AE206">
        <f>IF(AND('05 Lan'!C206&lt;Tmax, NOT('05 Lan'!$H206="")),'05 Lan'!$H206,4)</f>
        <v>4</v>
      </c>
      <c r="AF206">
        <f>IF(AND('05 Lan'!D206&lt;Tmax, NOT('05 Lan'!$H206="")),'05 Lan'!$H206,4)</f>
        <v>4</v>
      </c>
      <c r="AG206">
        <f>IF(AND('05 Lan'!E206&lt;Tmax, NOT('05 Lan'!$H206="")),'05 Lan'!$H206,4)</f>
        <v>4</v>
      </c>
      <c r="AH206">
        <f>IF(AND('05 Lan'!F206&lt;Tmax, NOT('05 Lan'!$H206="")),'05 Lan'!$H206,4)</f>
        <v>4</v>
      </c>
      <c r="AI206"/>
    </row>
    <row r="207" spans="1:35" ht="22.5" outlineLevel="2" x14ac:dyDescent="0.2">
      <c r="A207" s="870" t="s">
        <v>4669</v>
      </c>
      <c r="B207" s="870" t="s">
        <v>3149</v>
      </c>
      <c r="C207" s="786"/>
      <c r="D207" s="866"/>
      <c r="E207" s="874"/>
      <c r="F207" s="874"/>
      <c r="G207" s="1468">
        <v>4</v>
      </c>
      <c r="H207" s="1468"/>
      <c r="I207" s="1467"/>
      <c r="J207" s="1468" t="s">
        <v>2349</v>
      </c>
      <c r="K207" s="1468"/>
      <c r="L207" s="1468"/>
      <c r="M207" s="867"/>
      <c r="AA207">
        <f>IF(AND('05 Lan'!C207&gt;Tmin, NOT('05 Lan'!$I207="")),'05 Lan'!$I207,0)</f>
        <v>0</v>
      </c>
      <c r="AB207">
        <f>IF(AND('05 Lan'!D207&gt;Tmin, NOT('05 Lan'!$I207="")),'05 Lan'!$I207,0)</f>
        <v>0</v>
      </c>
      <c r="AC207">
        <f>IF(AND('05 Lan'!E207&gt;Tmin, NOT('05 Lan'!$I207="")),'05 Lan'!$I207,0)</f>
        <v>0</v>
      </c>
      <c r="AD207">
        <f>IF(AND('05 Lan'!F207&gt;Tmin, NOT('05 Lan'!$I207="")),'05 Lan'!$I207,0)</f>
        <v>0</v>
      </c>
      <c r="AE207">
        <f>IF(AND('05 Lan'!C207&lt;Tmax, NOT('05 Lan'!$H207="")),'05 Lan'!$H207,4)</f>
        <v>4</v>
      </c>
      <c r="AF207">
        <f>IF(AND('05 Lan'!D207&lt;Tmax, NOT('05 Lan'!$H207="")),'05 Lan'!$H207,4)</f>
        <v>4</v>
      </c>
      <c r="AG207">
        <f>IF(AND('05 Lan'!E207&lt;Tmax, NOT('05 Lan'!$H207="")),'05 Lan'!$H207,4)</f>
        <v>4</v>
      </c>
      <c r="AH207">
        <f>IF(AND('05 Lan'!F207&lt;Tmax, NOT('05 Lan'!$H207="")),'05 Lan'!$H207,4)</f>
        <v>4</v>
      </c>
      <c r="AI207"/>
    </row>
    <row r="208" spans="1:35" ht="12" customHeight="1" outlineLevel="2" x14ac:dyDescent="0.2">
      <c r="A208" s="870" t="s">
        <v>4670</v>
      </c>
      <c r="B208" s="870" t="s">
        <v>6733</v>
      </c>
      <c r="C208" s="786"/>
      <c r="D208" s="866"/>
      <c r="E208" s="874"/>
      <c r="F208" s="874"/>
      <c r="G208" s="1468">
        <v>2</v>
      </c>
      <c r="H208" s="1468"/>
      <c r="I208" s="1467"/>
      <c r="J208" s="1468" t="s">
        <v>1592</v>
      </c>
      <c r="K208" s="1468" t="s">
        <v>2026</v>
      </c>
      <c r="L208" s="1468" t="s">
        <v>7319</v>
      </c>
      <c r="M208" s="867"/>
      <c r="AA208">
        <f>IF(AND('05 Lan'!C208&gt;Tmin, NOT('05 Lan'!$I208="")),'05 Lan'!$I208,0)</f>
        <v>0</v>
      </c>
      <c r="AB208">
        <f>IF(AND('05 Lan'!D208&gt;Tmin, NOT('05 Lan'!$I208="")),'05 Lan'!$I208,0)</f>
        <v>0</v>
      </c>
      <c r="AC208">
        <f>IF(AND('05 Lan'!E208&gt;Tmin, NOT('05 Lan'!$I208="")),'05 Lan'!$I208,0)</f>
        <v>0</v>
      </c>
      <c r="AD208">
        <f>IF(AND('05 Lan'!F208&gt;Tmin, NOT('05 Lan'!$I208="")),'05 Lan'!$I208,0)</f>
        <v>0</v>
      </c>
      <c r="AE208">
        <f>IF(AND('05 Lan'!C208&lt;Tmax, NOT('05 Lan'!$H208="")),'05 Lan'!$H208,4)</f>
        <v>4</v>
      </c>
      <c r="AF208">
        <f>IF(AND('05 Lan'!D208&lt;Tmax, NOT('05 Lan'!$H208="")),'05 Lan'!$H208,4)</f>
        <v>4</v>
      </c>
      <c r="AG208">
        <f>IF(AND('05 Lan'!E208&lt;Tmax, NOT('05 Lan'!$H208="")),'05 Lan'!$H208,4)</f>
        <v>4</v>
      </c>
      <c r="AH208">
        <f>IF(AND('05 Lan'!F208&lt;Tmax, NOT('05 Lan'!$H208="")),'05 Lan'!$H208,4)</f>
        <v>4</v>
      </c>
      <c r="AI208"/>
    </row>
    <row r="209" spans="1:35" ht="12" customHeight="1" outlineLevel="2" x14ac:dyDescent="0.2">
      <c r="A209" s="870" t="s">
        <v>4671</v>
      </c>
      <c r="B209" s="870" t="s">
        <v>4110</v>
      </c>
      <c r="C209" s="786"/>
      <c r="D209" s="866"/>
      <c r="E209" s="874"/>
      <c r="F209" s="874"/>
      <c r="G209" s="1468">
        <v>2</v>
      </c>
      <c r="H209" s="1468"/>
      <c r="I209" s="1467"/>
      <c r="J209" s="1468" t="s">
        <v>1592</v>
      </c>
      <c r="K209" s="1468" t="s">
        <v>2026</v>
      </c>
      <c r="L209" s="1468" t="s">
        <v>7319</v>
      </c>
      <c r="M209" s="867"/>
      <c r="AA209">
        <f>IF(AND('05 Lan'!C209&gt;Tmin, NOT('05 Lan'!$I209="")),'05 Lan'!$I209,0)</f>
        <v>0</v>
      </c>
      <c r="AB209">
        <f>IF(AND('05 Lan'!D209&gt;Tmin, NOT('05 Lan'!$I209="")),'05 Lan'!$I209,0)</f>
        <v>0</v>
      </c>
      <c r="AC209">
        <f>IF(AND('05 Lan'!E209&gt;Tmin, NOT('05 Lan'!$I209="")),'05 Lan'!$I209,0)</f>
        <v>0</v>
      </c>
      <c r="AD209">
        <f>IF(AND('05 Lan'!F209&gt;Tmin, NOT('05 Lan'!$I209="")),'05 Lan'!$I209,0)</f>
        <v>0</v>
      </c>
      <c r="AE209">
        <f>IF(AND('05 Lan'!C209&lt;Tmax, NOT('05 Lan'!$H209="")),'05 Lan'!$H209,4)</f>
        <v>4</v>
      </c>
      <c r="AF209">
        <f>IF(AND('05 Lan'!D209&lt;Tmax, NOT('05 Lan'!$H209="")),'05 Lan'!$H209,4)</f>
        <v>4</v>
      </c>
      <c r="AG209">
        <f>IF(AND('05 Lan'!E209&lt;Tmax, NOT('05 Lan'!$H209="")),'05 Lan'!$H209,4)</f>
        <v>4</v>
      </c>
      <c r="AH209">
        <f>IF(AND('05 Lan'!F209&lt;Tmax, NOT('05 Lan'!$H209="")),'05 Lan'!$H209,4)</f>
        <v>4</v>
      </c>
      <c r="AI209"/>
    </row>
    <row r="210" spans="1:35" ht="22.5" outlineLevel="2" x14ac:dyDescent="0.2">
      <c r="A210" s="870" t="s">
        <v>4672</v>
      </c>
      <c r="B210" s="870" t="s">
        <v>3097</v>
      </c>
      <c r="C210" s="786"/>
      <c r="D210" s="866"/>
      <c r="E210" s="874"/>
      <c r="F210" s="874"/>
      <c r="G210" s="1468">
        <v>2</v>
      </c>
      <c r="H210" s="1468"/>
      <c r="I210" s="1467"/>
      <c r="J210" s="1468" t="s">
        <v>2109</v>
      </c>
      <c r="K210" s="1468"/>
      <c r="L210" s="1468"/>
      <c r="M210" s="867"/>
      <c r="AA210">
        <f>IF(AND('05 Lan'!C210&gt;Tmin, NOT('05 Lan'!$I210="")),'05 Lan'!$I210,0)</f>
        <v>0</v>
      </c>
      <c r="AB210">
        <f>IF(AND('05 Lan'!D210&gt;Tmin, NOT('05 Lan'!$I210="")),'05 Lan'!$I210,0)</f>
        <v>0</v>
      </c>
      <c r="AC210">
        <f>IF(AND('05 Lan'!E210&gt;Tmin, NOT('05 Lan'!$I210="")),'05 Lan'!$I210,0)</f>
        <v>0</v>
      </c>
      <c r="AD210">
        <f>IF(AND('05 Lan'!F210&gt;Tmin, NOT('05 Lan'!$I210="")),'05 Lan'!$I210,0)</f>
        <v>0</v>
      </c>
      <c r="AE210">
        <f>IF(AND('05 Lan'!C210&lt;Tmax, NOT('05 Lan'!$H210="")),'05 Lan'!$H210,4)</f>
        <v>4</v>
      </c>
      <c r="AF210">
        <f>IF(AND('05 Lan'!D210&lt;Tmax, NOT('05 Lan'!$H210="")),'05 Lan'!$H210,4)</f>
        <v>4</v>
      </c>
      <c r="AG210">
        <f>IF(AND('05 Lan'!E210&lt;Tmax, NOT('05 Lan'!$H210="")),'05 Lan'!$H210,4)</f>
        <v>4</v>
      </c>
      <c r="AH210">
        <f>IF(AND('05 Lan'!F210&lt;Tmax, NOT('05 Lan'!$H210="")),'05 Lan'!$H210,4)</f>
        <v>4</v>
      </c>
      <c r="AI210"/>
    </row>
    <row r="211" spans="1:35" s="230" customFormat="1" outlineLevel="1" x14ac:dyDescent="0.2">
      <c r="A211" s="868" t="s">
        <v>1142</v>
      </c>
      <c r="B211" s="869" t="s">
        <v>1143</v>
      </c>
      <c r="C211" s="786"/>
      <c r="D211" s="866"/>
      <c r="E211" s="874"/>
      <c r="F211" s="874"/>
      <c r="G211" s="1468"/>
      <c r="H211" s="1468"/>
      <c r="I211" s="1467"/>
      <c r="J211" s="1468"/>
      <c r="K211" s="1468"/>
      <c r="L211" s="1468"/>
      <c r="M211" s="867"/>
      <c r="N211" s="168"/>
      <c r="O211" s="624"/>
      <c r="P211" s="624"/>
      <c r="Q211" s="624"/>
      <c r="R211" s="624"/>
      <c r="S211" s="624"/>
      <c r="T211" s="624"/>
      <c r="U211" s="624"/>
      <c r="V211" s="624"/>
      <c r="W211" s="624"/>
      <c r="X211" s="624"/>
      <c r="Y211" s="624"/>
      <c r="Z211" s="624"/>
      <c r="AA211"/>
      <c r="AB211"/>
      <c r="AC211"/>
      <c r="AD211"/>
      <c r="AE211"/>
      <c r="AF211"/>
      <c r="AG211"/>
      <c r="AH211"/>
      <c r="AI211"/>
    </row>
    <row r="212" spans="1:35" ht="12.75" customHeight="1" outlineLevel="2" x14ac:dyDescent="0.2">
      <c r="A212" s="870" t="s">
        <v>4673</v>
      </c>
      <c r="B212" s="870" t="s">
        <v>2408</v>
      </c>
      <c r="C212" s="786"/>
      <c r="D212" s="866"/>
      <c r="E212" s="874"/>
      <c r="F212" s="874"/>
      <c r="G212" s="1468">
        <v>2</v>
      </c>
      <c r="H212" s="1468"/>
      <c r="I212" s="1467"/>
      <c r="J212" s="1468" t="s">
        <v>4246</v>
      </c>
      <c r="K212" s="1468" t="s">
        <v>7107</v>
      </c>
      <c r="L212" s="1468" t="s">
        <v>7321</v>
      </c>
      <c r="M212" s="867"/>
      <c r="AA212">
        <f>IF(AND('05 Lan'!C212&gt;Tmin, NOT('05 Lan'!$I212="")),'05 Lan'!$I212,0)</f>
        <v>0</v>
      </c>
      <c r="AB212">
        <f>IF(AND('05 Lan'!D212&gt;Tmin, NOT('05 Lan'!$I212="")),'05 Lan'!$I212,0)</f>
        <v>0</v>
      </c>
      <c r="AC212">
        <f>IF(AND('05 Lan'!E212&gt;Tmin, NOT('05 Lan'!$I212="")),'05 Lan'!$I212,0)</f>
        <v>0</v>
      </c>
      <c r="AD212">
        <f>IF(AND('05 Lan'!F212&gt;Tmin, NOT('05 Lan'!$I212="")),'05 Lan'!$I212,0)</f>
        <v>0</v>
      </c>
      <c r="AE212">
        <f>IF(AND('05 Lan'!C212&lt;Tmax, NOT('05 Lan'!$H212="")),'05 Lan'!$H212,4)</f>
        <v>4</v>
      </c>
      <c r="AF212">
        <f>IF(AND('05 Lan'!D212&lt;Tmax, NOT('05 Lan'!$H212="")),'05 Lan'!$H212,4)</f>
        <v>4</v>
      </c>
      <c r="AG212">
        <f>IF(AND('05 Lan'!E212&lt;Tmax, NOT('05 Lan'!$H212="")),'05 Lan'!$H212,4)</f>
        <v>4</v>
      </c>
      <c r="AH212">
        <f>IF(AND('05 Lan'!F212&lt;Tmax, NOT('05 Lan'!$H212="")),'05 Lan'!$H212,4)</f>
        <v>4</v>
      </c>
      <c r="AI212"/>
    </row>
    <row r="213" spans="1:35" ht="12.75" customHeight="1" outlineLevel="2" x14ac:dyDescent="0.2">
      <c r="A213" s="870" t="s">
        <v>4674</v>
      </c>
      <c r="B213" s="870" t="s">
        <v>4675</v>
      </c>
      <c r="C213" s="786"/>
      <c r="D213" s="866"/>
      <c r="E213" s="874"/>
      <c r="F213" s="874"/>
      <c r="G213" s="1468">
        <v>2</v>
      </c>
      <c r="H213" s="1468"/>
      <c r="I213" s="1467"/>
      <c r="J213" s="1468" t="s">
        <v>1592</v>
      </c>
      <c r="K213" s="1468" t="s">
        <v>7107</v>
      </c>
      <c r="L213" s="1468" t="s">
        <v>7321</v>
      </c>
      <c r="M213" s="867"/>
      <c r="AA213">
        <f>IF(AND('05 Lan'!C213&gt;Tmin, NOT('05 Lan'!$I213="")),'05 Lan'!$I213,0)</f>
        <v>0</v>
      </c>
      <c r="AB213">
        <f>IF(AND('05 Lan'!D213&gt;Tmin, NOT('05 Lan'!$I213="")),'05 Lan'!$I213,0)</f>
        <v>0</v>
      </c>
      <c r="AC213">
        <f>IF(AND('05 Lan'!E213&gt;Tmin, NOT('05 Lan'!$I213="")),'05 Lan'!$I213,0)</f>
        <v>0</v>
      </c>
      <c r="AD213">
        <f>IF(AND('05 Lan'!F213&gt;Tmin, NOT('05 Lan'!$I213="")),'05 Lan'!$I213,0)</f>
        <v>0</v>
      </c>
      <c r="AE213">
        <f>IF(AND('05 Lan'!C213&lt;Tmax, NOT('05 Lan'!$H213="")),'05 Lan'!$H213,4)</f>
        <v>4</v>
      </c>
      <c r="AF213">
        <f>IF(AND('05 Lan'!D213&lt;Tmax, NOT('05 Lan'!$H213="")),'05 Lan'!$H213,4)</f>
        <v>4</v>
      </c>
      <c r="AG213">
        <f>IF(AND('05 Lan'!E213&lt;Tmax, NOT('05 Lan'!$H213="")),'05 Lan'!$H213,4)</f>
        <v>4</v>
      </c>
      <c r="AH213">
        <f>IF(AND('05 Lan'!F213&lt;Tmax, NOT('05 Lan'!$H213="")),'05 Lan'!$H213,4)</f>
        <v>4</v>
      </c>
      <c r="AI213"/>
    </row>
    <row r="214" spans="1:35" ht="22.5" outlineLevel="2" x14ac:dyDescent="0.2">
      <c r="A214" s="870" t="s">
        <v>4676</v>
      </c>
      <c r="B214" s="870" t="s">
        <v>3307</v>
      </c>
      <c r="C214" s="786"/>
      <c r="D214" s="866"/>
      <c r="E214" s="874"/>
      <c r="F214" s="874"/>
      <c r="G214" s="1468">
        <v>2</v>
      </c>
      <c r="H214" s="1468">
        <v>2</v>
      </c>
      <c r="I214" s="1467"/>
      <c r="J214" s="1468" t="s">
        <v>1592</v>
      </c>
      <c r="K214" s="1468" t="s">
        <v>7107</v>
      </c>
      <c r="L214" s="1468" t="s">
        <v>7321</v>
      </c>
      <c r="M214" s="867"/>
      <c r="AA214">
        <f>IF(AND('05 Lan'!C214&gt;Tmin, NOT('05 Lan'!$I214="")),'05 Lan'!$I214,0)</f>
        <v>0</v>
      </c>
      <c r="AB214">
        <f>IF(AND('05 Lan'!D214&gt;Tmin, NOT('05 Lan'!$I214="")),'05 Lan'!$I214,0)</f>
        <v>0</v>
      </c>
      <c r="AC214">
        <f>IF(AND('05 Lan'!E214&gt;Tmin, NOT('05 Lan'!$I214="")),'05 Lan'!$I214,0)</f>
        <v>0</v>
      </c>
      <c r="AD214">
        <f>IF(AND('05 Lan'!F214&gt;Tmin, NOT('05 Lan'!$I214="")),'05 Lan'!$I214,0)</f>
        <v>0</v>
      </c>
      <c r="AE214">
        <f>IF(AND('05 Lan'!C214&lt;Tmax, NOT('05 Lan'!$H214="")),'05 Lan'!$H214,4)</f>
        <v>2</v>
      </c>
      <c r="AF214">
        <f>IF(AND('05 Lan'!D214&lt;Tmax, NOT('05 Lan'!$H214="")),'05 Lan'!$H214,4)</f>
        <v>2</v>
      </c>
      <c r="AG214">
        <f>IF(AND('05 Lan'!E214&lt;Tmax, NOT('05 Lan'!$H214="")),'05 Lan'!$H214,4)</f>
        <v>2</v>
      </c>
      <c r="AH214">
        <f>IF(AND('05 Lan'!F214&lt;Tmax, NOT('05 Lan'!$H214="")),'05 Lan'!$H214,4)</f>
        <v>2</v>
      </c>
      <c r="AI214"/>
    </row>
    <row r="215" spans="1:35" ht="12.75" customHeight="1" outlineLevel="2" x14ac:dyDescent="0.2">
      <c r="A215" s="870" t="s">
        <v>4677</v>
      </c>
      <c r="B215" s="870" t="s">
        <v>3066</v>
      </c>
      <c r="C215" s="786"/>
      <c r="D215" s="866"/>
      <c r="E215" s="874"/>
      <c r="F215" s="874"/>
      <c r="G215" s="1468">
        <v>2</v>
      </c>
      <c r="H215" s="1468"/>
      <c r="I215" s="1467"/>
      <c r="J215" s="1468" t="s">
        <v>1592</v>
      </c>
      <c r="K215" s="1468" t="s">
        <v>7107</v>
      </c>
      <c r="L215" s="1468" t="s">
        <v>7321</v>
      </c>
      <c r="M215" s="867"/>
      <c r="AA215">
        <f>IF(AND('05 Lan'!C215&gt;Tmin, NOT('05 Lan'!$I215="")),'05 Lan'!$I215,0)</f>
        <v>0</v>
      </c>
      <c r="AB215">
        <f>IF(AND('05 Lan'!D215&gt;Tmin, NOT('05 Lan'!$I215="")),'05 Lan'!$I215,0)</f>
        <v>0</v>
      </c>
      <c r="AC215">
        <f>IF(AND('05 Lan'!E215&gt;Tmin, NOT('05 Lan'!$I215="")),'05 Lan'!$I215,0)</f>
        <v>0</v>
      </c>
      <c r="AD215">
        <f>IF(AND('05 Lan'!F215&gt;Tmin, NOT('05 Lan'!$I215="")),'05 Lan'!$I215,0)</f>
        <v>0</v>
      </c>
      <c r="AE215">
        <f>IF(AND('05 Lan'!C215&lt;Tmax, NOT('05 Lan'!$H215="")),'05 Lan'!$H215,4)</f>
        <v>4</v>
      </c>
      <c r="AF215">
        <f>IF(AND('05 Lan'!D215&lt;Tmax, NOT('05 Lan'!$H215="")),'05 Lan'!$H215,4)</f>
        <v>4</v>
      </c>
      <c r="AG215">
        <f>IF(AND('05 Lan'!E215&lt;Tmax, NOT('05 Lan'!$H215="")),'05 Lan'!$H215,4)</f>
        <v>4</v>
      </c>
      <c r="AH215">
        <f>IF(AND('05 Lan'!F215&lt;Tmax, NOT('05 Lan'!$H215="")),'05 Lan'!$H215,4)</f>
        <v>4</v>
      </c>
      <c r="AI215"/>
    </row>
    <row r="216" spans="1:35" ht="22.5" outlineLevel="2" x14ac:dyDescent="0.2">
      <c r="A216" s="870" t="s">
        <v>4678</v>
      </c>
      <c r="B216" s="870" t="s">
        <v>3068</v>
      </c>
      <c r="C216" s="786"/>
      <c r="D216" s="866"/>
      <c r="E216" s="874"/>
      <c r="F216" s="874"/>
      <c r="G216" s="1468">
        <v>4</v>
      </c>
      <c r="H216" s="1468"/>
      <c r="I216" s="1467"/>
      <c r="J216" s="1468" t="s">
        <v>2329</v>
      </c>
      <c r="K216" s="1468" t="s">
        <v>7107</v>
      </c>
      <c r="L216" s="1468" t="s">
        <v>7321</v>
      </c>
      <c r="M216" s="867"/>
      <c r="AA216">
        <f>IF(AND('05 Lan'!C216&gt;Tmin, NOT('05 Lan'!$I216="")),'05 Lan'!$I216,0)</f>
        <v>0</v>
      </c>
      <c r="AB216">
        <f>IF(AND('05 Lan'!D216&gt;Tmin, NOT('05 Lan'!$I216="")),'05 Lan'!$I216,0)</f>
        <v>0</v>
      </c>
      <c r="AC216">
        <f>IF(AND('05 Lan'!E216&gt;Tmin, NOT('05 Lan'!$I216="")),'05 Lan'!$I216,0)</f>
        <v>0</v>
      </c>
      <c r="AD216">
        <f>IF(AND('05 Lan'!F216&gt;Tmin, NOT('05 Lan'!$I216="")),'05 Lan'!$I216,0)</f>
        <v>0</v>
      </c>
      <c r="AE216">
        <f>IF(AND('05 Lan'!C216&lt;Tmax, NOT('05 Lan'!$H216="")),'05 Lan'!$H216,4)</f>
        <v>4</v>
      </c>
      <c r="AF216">
        <f>IF(AND('05 Lan'!D216&lt;Tmax, NOT('05 Lan'!$H216="")),'05 Lan'!$H216,4)</f>
        <v>4</v>
      </c>
      <c r="AG216">
        <f>IF(AND('05 Lan'!E216&lt;Tmax, NOT('05 Lan'!$H216="")),'05 Lan'!$H216,4)</f>
        <v>4</v>
      </c>
      <c r="AH216">
        <f>IF(AND('05 Lan'!F216&lt;Tmax, NOT('05 Lan'!$H216="")),'05 Lan'!$H216,4)</f>
        <v>4</v>
      </c>
      <c r="AI216"/>
    </row>
    <row r="217" spans="1:35" ht="21.75" customHeight="1" outlineLevel="2" x14ac:dyDescent="0.2">
      <c r="A217" s="870" t="s">
        <v>3738</v>
      </c>
      <c r="B217" s="870" t="s">
        <v>3070</v>
      </c>
      <c r="C217" s="786"/>
      <c r="D217" s="866"/>
      <c r="E217" s="874"/>
      <c r="F217" s="874"/>
      <c r="G217" s="1468">
        <v>4</v>
      </c>
      <c r="H217" s="1468"/>
      <c r="I217" s="1467"/>
      <c r="J217" s="1468" t="s">
        <v>2329</v>
      </c>
      <c r="K217" s="1468" t="s">
        <v>7115</v>
      </c>
      <c r="L217" s="1468"/>
      <c r="M217" s="867"/>
      <c r="AA217">
        <f>IF(AND('05 Lan'!C217&gt;Tmin, NOT('05 Lan'!$I217="")),'05 Lan'!$I217,0)</f>
        <v>0</v>
      </c>
      <c r="AB217">
        <f>IF(AND('05 Lan'!D217&gt;Tmin, NOT('05 Lan'!$I217="")),'05 Lan'!$I217,0)</f>
        <v>0</v>
      </c>
      <c r="AC217">
        <f>IF(AND('05 Lan'!E217&gt;Tmin, NOT('05 Lan'!$I217="")),'05 Lan'!$I217,0)</f>
        <v>0</v>
      </c>
      <c r="AD217">
        <f>IF(AND('05 Lan'!F217&gt;Tmin, NOT('05 Lan'!$I217="")),'05 Lan'!$I217,0)</f>
        <v>0</v>
      </c>
      <c r="AE217">
        <f>IF(AND('05 Lan'!C217&lt;Tmax, NOT('05 Lan'!$H217="")),'05 Lan'!$H217,4)</f>
        <v>4</v>
      </c>
      <c r="AF217">
        <f>IF(AND('05 Lan'!D217&lt;Tmax, NOT('05 Lan'!$H217="")),'05 Lan'!$H217,4)</f>
        <v>4</v>
      </c>
      <c r="AG217">
        <f>IF(AND('05 Lan'!E217&lt;Tmax, NOT('05 Lan'!$H217="")),'05 Lan'!$H217,4)</f>
        <v>4</v>
      </c>
      <c r="AH217">
        <f>IF(AND('05 Lan'!F217&lt;Tmax, NOT('05 Lan'!$H217="")),'05 Lan'!$H217,4)</f>
        <v>4</v>
      </c>
      <c r="AI217"/>
    </row>
    <row r="218" spans="1:35" ht="35.25" customHeight="1" outlineLevel="2" x14ac:dyDescent="0.2">
      <c r="A218" s="870" t="s">
        <v>2664</v>
      </c>
      <c r="B218" s="870" t="s">
        <v>6081</v>
      </c>
      <c r="C218" s="786"/>
      <c r="D218" s="866"/>
      <c r="E218" s="874"/>
      <c r="F218" s="874"/>
      <c r="G218" s="1468">
        <v>4</v>
      </c>
      <c r="H218" s="1468">
        <v>3</v>
      </c>
      <c r="I218" s="1467"/>
      <c r="J218" s="1468" t="s">
        <v>2349</v>
      </c>
      <c r="K218" s="1468"/>
      <c r="L218" s="1468"/>
      <c r="M218" s="867"/>
      <c r="AA218">
        <f>IF(AND('05 Lan'!C218&gt;Tmin, NOT('05 Lan'!$I218="")),'05 Lan'!$I218,0)</f>
        <v>0</v>
      </c>
      <c r="AB218">
        <f>IF(AND('05 Lan'!D218&gt;Tmin, NOT('05 Lan'!$I218="")),'05 Lan'!$I218,0)</f>
        <v>0</v>
      </c>
      <c r="AC218">
        <f>IF(AND('05 Lan'!E218&gt;Tmin, NOT('05 Lan'!$I218="")),'05 Lan'!$I218,0)</f>
        <v>0</v>
      </c>
      <c r="AD218">
        <f>IF(AND('05 Lan'!F218&gt;Tmin, NOT('05 Lan'!$I218="")),'05 Lan'!$I218,0)</f>
        <v>0</v>
      </c>
      <c r="AE218">
        <f>IF(AND('05 Lan'!C218&lt;Tmax, NOT('05 Lan'!$H218="")),'05 Lan'!$H218,4)</f>
        <v>3</v>
      </c>
      <c r="AF218">
        <f>IF(AND('05 Lan'!D218&lt;Tmax, NOT('05 Lan'!$H218="")),'05 Lan'!$H218,4)</f>
        <v>3</v>
      </c>
      <c r="AG218">
        <f>IF(AND('05 Lan'!E218&lt;Tmax, NOT('05 Lan'!$H218="")),'05 Lan'!$H218,4)</f>
        <v>3</v>
      </c>
      <c r="AH218">
        <f>IF(AND('05 Lan'!F218&lt;Tmax, NOT('05 Lan'!$H218="")),'05 Lan'!$H218,4)</f>
        <v>3</v>
      </c>
      <c r="AI218"/>
    </row>
    <row r="219" spans="1:35" ht="22.5" outlineLevel="2" x14ac:dyDescent="0.2">
      <c r="A219" s="870" t="s">
        <v>2665</v>
      </c>
      <c r="B219" s="870" t="s">
        <v>4010</v>
      </c>
      <c r="C219" s="786"/>
      <c r="D219" s="866"/>
      <c r="E219" s="874"/>
      <c r="F219" s="874"/>
      <c r="G219" s="1468">
        <v>4</v>
      </c>
      <c r="H219" s="1468"/>
      <c r="I219" s="1467"/>
      <c r="J219" s="1468" t="s">
        <v>1592</v>
      </c>
      <c r="K219" s="1469" t="s">
        <v>7036</v>
      </c>
      <c r="L219" s="1468" t="s">
        <v>2666</v>
      </c>
      <c r="M219" s="867"/>
      <c r="AA219">
        <f>IF(AND('05 Lan'!C219&gt;Tmin, NOT('05 Lan'!$I219="")),'05 Lan'!$I219,0)</f>
        <v>0</v>
      </c>
      <c r="AB219">
        <f>IF(AND('05 Lan'!D219&gt;Tmin, NOT('05 Lan'!$I219="")),'05 Lan'!$I219,0)</f>
        <v>0</v>
      </c>
      <c r="AC219">
        <f>IF(AND('05 Lan'!E219&gt;Tmin, NOT('05 Lan'!$I219="")),'05 Lan'!$I219,0)</f>
        <v>0</v>
      </c>
      <c r="AD219">
        <f>IF(AND('05 Lan'!F219&gt;Tmin, NOT('05 Lan'!$I219="")),'05 Lan'!$I219,0)</f>
        <v>0</v>
      </c>
      <c r="AE219">
        <f>IF(AND('05 Lan'!C219&lt;Tmax, NOT('05 Lan'!$H219="")),'05 Lan'!$H219,4)</f>
        <v>4</v>
      </c>
      <c r="AF219">
        <f>IF(AND('05 Lan'!D219&lt;Tmax, NOT('05 Lan'!$H219="")),'05 Lan'!$H219,4)</f>
        <v>4</v>
      </c>
      <c r="AG219">
        <f>IF(AND('05 Lan'!E219&lt;Tmax, NOT('05 Lan'!$H219="")),'05 Lan'!$H219,4)</f>
        <v>4</v>
      </c>
      <c r="AH219">
        <f>IF(AND('05 Lan'!F219&lt;Tmax, NOT('05 Lan'!$H219="")),'05 Lan'!$H219,4)</f>
        <v>4</v>
      </c>
      <c r="AI219"/>
    </row>
    <row r="220" spans="1:35" x14ac:dyDescent="0.2">
      <c r="C220" s="801"/>
      <c r="D220" s="801"/>
      <c r="E220" s="805"/>
      <c r="F220" s="805"/>
      <c r="G220" s="804"/>
      <c r="H220" s="804"/>
      <c r="I220" s="804"/>
      <c r="J220" s="804"/>
      <c r="M220" s="807"/>
      <c r="AA220"/>
      <c r="AB220"/>
      <c r="AC220"/>
      <c r="AD220"/>
      <c r="AE220"/>
      <c r="AF220"/>
      <c r="AG220"/>
      <c r="AH220"/>
      <c r="AI220"/>
    </row>
    <row r="221" spans="1:35" ht="12.75" customHeight="1" x14ac:dyDescent="0.2">
      <c r="A221" s="876" t="str">
        <f>C$2</f>
        <v>R-V1</v>
      </c>
      <c r="B221" s="618" t="s">
        <v>7232</v>
      </c>
      <c r="C221" s="877" t="str">
        <f>C$2</f>
        <v>R-V1</v>
      </c>
      <c r="D221" s="877"/>
      <c r="E221" s="877"/>
      <c r="F221" s="877"/>
      <c r="G221" s="804"/>
      <c r="H221" s="804"/>
      <c r="I221" s="804"/>
      <c r="J221" s="804"/>
      <c r="M221" s="807"/>
      <c r="AA221"/>
      <c r="AB221"/>
      <c r="AC221"/>
      <c r="AD221"/>
      <c r="AE221"/>
      <c r="AF221"/>
      <c r="AG221"/>
      <c r="AH221"/>
      <c r="AI221"/>
    </row>
    <row r="222" spans="1:35" ht="12.75" customHeight="1" x14ac:dyDescent="0.2">
      <c r="A222" s="876" t="str">
        <f>C$2</f>
        <v>R-V1</v>
      </c>
      <c r="B222" s="618" t="s">
        <v>7233</v>
      </c>
      <c r="C222" s="877" t="str">
        <f>C$2</f>
        <v>R-V1</v>
      </c>
      <c r="D222" s="877"/>
      <c r="E222" s="877"/>
      <c r="F222" s="877"/>
      <c r="G222" s="804"/>
      <c r="H222" s="804"/>
      <c r="I222" s="804"/>
      <c r="J222" s="804"/>
      <c r="M222" s="807"/>
      <c r="AA222"/>
      <c r="AB222"/>
      <c r="AC222"/>
      <c r="AD222"/>
      <c r="AE222"/>
      <c r="AF222"/>
      <c r="AG222"/>
      <c r="AH222"/>
      <c r="AI222"/>
    </row>
    <row r="223" spans="1:35" ht="12.75" customHeight="1" x14ac:dyDescent="0.2">
      <c r="A223" s="876" t="str">
        <f>C$2</f>
        <v>R-V1</v>
      </c>
      <c r="B223" s="618" t="s">
        <v>7234</v>
      </c>
      <c r="C223" s="877" t="str">
        <f>C$2</f>
        <v>R-V1</v>
      </c>
      <c r="D223" s="877"/>
      <c r="E223" s="877"/>
      <c r="F223" s="877"/>
      <c r="G223" s="804"/>
      <c r="H223" s="804"/>
      <c r="I223" s="804"/>
      <c r="J223" s="804"/>
      <c r="M223" s="807"/>
      <c r="AA223"/>
      <c r="AB223"/>
      <c r="AC223"/>
      <c r="AD223"/>
      <c r="AE223"/>
      <c r="AF223"/>
      <c r="AG223"/>
      <c r="AH223"/>
      <c r="AI223"/>
    </row>
    <row r="224" spans="1:35" ht="12.75" customHeight="1" x14ac:dyDescent="0.2">
      <c r="A224" s="876" t="str">
        <f>C$2</f>
        <v>R-V1</v>
      </c>
      <c r="B224" s="618" t="s">
        <v>7235</v>
      </c>
      <c r="C224" s="877" t="str">
        <f>C$2</f>
        <v>R-V1</v>
      </c>
      <c r="D224" s="877"/>
      <c r="E224" s="877"/>
      <c r="F224" s="877"/>
      <c r="G224" s="804"/>
      <c r="H224" s="804"/>
      <c r="I224" s="804"/>
      <c r="J224" s="804"/>
      <c r="M224" s="807"/>
      <c r="AA224"/>
      <c r="AB224"/>
      <c r="AC224"/>
      <c r="AD224"/>
      <c r="AE224"/>
      <c r="AF224"/>
      <c r="AG224"/>
      <c r="AH224"/>
      <c r="AI224"/>
    </row>
    <row r="225" spans="1:35" ht="12.75" customHeight="1" x14ac:dyDescent="0.2">
      <c r="A225" s="876"/>
      <c r="B225" s="618"/>
      <c r="C225" s="877"/>
      <c r="D225" s="877"/>
      <c r="E225" s="877"/>
      <c r="F225" s="877"/>
      <c r="G225" s="804"/>
      <c r="H225" s="804"/>
      <c r="I225" s="804"/>
      <c r="J225" s="804"/>
      <c r="M225" s="807"/>
      <c r="AA225"/>
      <c r="AB225"/>
      <c r="AC225"/>
      <c r="AD225"/>
      <c r="AE225"/>
      <c r="AF225"/>
      <c r="AG225"/>
      <c r="AH225"/>
      <c r="AI225"/>
    </row>
    <row r="226" spans="1:35" ht="12.75" customHeight="1" x14ac:dyDescent="0.2">
      <c r="A226" s="876" t="str">
        <f>D$2</f>
        <v>R-V2</v>
      </c>
      <c r="B226" s="618" t="s">
        <v>7232</v>
      </c>
      <c r="C226" s="877"/>
      <c r="D226" s="877" t="str">
        <f>D$2</f>
        <v>R-V2</v>
      </c>
      <c r="E226" s="877"/>
      <c r="F226" s="877"/>
      <c r="G226" s="804"/>
      <c r="H226" s="804"/>
      <c r="I226" s="878"/>
      <c r="J226" s="804"/>
      <c r="M226" s="807"/>
      <c r="AA226"/>
      <c r="AB226"/>
      <c r="AC226"/>
      <c r="AD226"/>
      <c r="AE226"/>
      <c r="AF226"/>
      <c r="AG226"/>
      <c r="AH226"/>
      <c r="AI226"/>
    </row>
    <row r="227" spans="1:35" ht="12.75" customHeight="1" x14ac:dyDescent="0.2">
      <c r="A227" s="876" t="str">
        <f>D$2</f>
        <v>R-V2</v>
      </c>
      <c r="B227" s="618" t="s">
        <v>7233</v>
      </c>
      <c r="C227" s="877"/>
      <c r="D227" s="877" t="str">
        <f>D$2</f>
        <v>R-V2</v>
      </c>
      <c r="E227" s="877"/>
      <c r="F227" s="877"/>
      <c r="G227" s="804"/>
      <c r="H227" s="804"/>
      <c r="I227" s="878"/>
      <c r="J227" s="878"/>
      <c r="M227" s="807"/>
      <c r="AA227"/>
      <c r="AB227"/>
      <c r="AC227"/>
      <c r="AD227"/>
      <c r="AE227"/>
      <c r="AF227"/>
      <c r="AG227"/>
      <c r="AH227"/>
      <c r="AI227"/>
    </row>
    <row r="228" spans="1:35" ht="12.75" customHeight="1" x14ac:dyDescent="0.2">
      <c r="A228" s="876" t="str">
        <f>D$2</f>
        <v>R-V2</v>
      </c>
      <c r="B228" s="618" t="s">
        <v>7234</v>
      </c>
      <c r="C228" s="877"/>
      <c r="D228" s="877" t="str">
        <f>D$2</f>
        <v>R-V2</v>
      </c>
      <c r="E228" s="877"/>
      <c r="F228" s="877"/>
      <c r="G228" s="804"/>
      <c r="H228" s="804"/>
      <c r="I228" s="878"/>
      <c r="J228" s="804"/>
      <c r="M228" s="807"/>
      <c r="AA228"/>
      <c r="AB228"/>
      <c r="AC228"/>
      <c r="AD228"/>
      <c r="AE228"/>
      <c r="AF228"/>
      <c r="AG228"/>
      <c r="AH228"/>
      <c r="AI228"/>
    </row>
    <row r="229" spans="1:35" ht="12.75" customHeight="1" x14ac:dyDescent="0.2">
      <c r="A229" s="876" t="str">
        <f>D$2</f>
        <v>R-V2</v>
      </c>
      <c r="B229" s="618" t="s">
        <v>7235</v>
      </c>
      <c r="C229" s="877"/>
      <c r="D229" s="877" t="str">
        <f>D$2</f>
        <v>R-V2</v>
      </c>
      <c r="E229" s="877"/>
      <c r="F229" s="877"/>
      <c r="G229" s="804"/>
      <c r="H229" s="804"/>
      <c r="I229" s="878"/>
      <c r="J229" s="804"/>
      <c r="M229" s="807"/>
      <c r="AA229"/>
      <c r="AB229"/>
      <c r="AC229"/>
      <c r="AD229"/>
      <c r="AE229"/>
      <c r="AF229"/>
      <c r="AG229"/>
      <c r="AH229"/>
      <c r="AI229"/>
    </row>
    <row r="230" spans="1:35" ht="12.75" customHeight="1" x14ac:dyDescent="0.2">
      <c r="A230" s="876"/>
      <c r="B230" s="618"/>
      <c r="C230" s="877"/>
      <c r="D230" s="877"/>
      <c r="E230" s="877"/>
      <c r="F230" s="877"/>
      <c r="G230" s="804"/>
      <c r="H230" s="804"/>
      <c r="I230" s="878"/>
      <c r="J230" s="804"/>
      <c r="M230" s="807"/>
      <c r="AA230"/>
      <c r="AB230"/>
      <c r="AC230"/>
      <c r="AD230"/>
      <c r="AE230"/>
      <c r="AF230"/>
      <c r="AG230"/>
      <c r="AH230"/>
      <c r="AI230"/>
    </row>
    <row r="231" spans="1:35" ht="12.75" customHeight="1" x14ac:dyDescent="0.2">
      <c r="A231" s="876" t="str">
        <f>E$2</f>
        <v>R-V3</v>
      </c>
      <c r="B231" s="618" t="s">
        <v>7232</v>
      </c>
      <c r="C231" s="877"/>
      <c r="D231" s="877"/>
      <c r="E231" s="877" t="str">
        <f>E$2</f>
        <v>R-V3</v>
      </c>
      <c r="F231" s="877"/>
      <c r="G231" s="804"/>
      <c r="H231" s="804"/>
      <c r="I231" s="804"/>
      <c r="J231" s="804"/>
      <c r="M231" s="807"/>
      <c r="AA231"/>
      <c r="AB231"/>
      <c r="AC231"/>
      <c r="AD231"/>
      <c r="AE231"/>
      <c r="AF231"/>
      <c r="AG231"/>
      <c r="AH231"/>
      <c r="AI231"/>
    </row>
    <row r="232" spans="1:35" ht="12.75" customHeight="1" x14ac:dyDescent="0.2">
      <c r="A232" s="876" t="str">
        <f>E$2</f>
        <v>R-V3</v>
      </c>
      <c r="B232" s="618" t="s">
        <v>7233</v>
      </c>
      <c r="C232" s="877"/>
      <c r="D232" s="877"/>
      <c r="E232" s="877" t="str">
        <f>E$2</f>
        <v>R-V3</v>
      </c>
      <c r="F232" s="877"/>
      <c r="G232" s="804"/>
      <c r="H232" s="804"/>
      <c r="I232" s="878"/>
      <c r="J232" s="804"/>
      <c r="M232" s="807"/>
      <c r="AA232"/>
      <c r="AB232"/>
      <c r="AC232"/>
      <c r="AD232"/>
      <c r="AE232"/>
      <c r="AF232"/>
      <c r="AG232"/>
      <c r="AH232"/>
      <c r="AI232"/>
    </row>
    <row r="233" spans="1:35" ht="12.75" customHeight="1" x14ac:dyDescent="0.2">
      <c r="A233" s="876" t="str">
        <f>E$2</f>
        <v>R-V3</v>
      </c>
      <c r="B233" s="618" t="s">
        <v>7234</v>
      </c>
      <c r="C233" s="877"/>
      <c r="D233" s="877"/>
      <c r="E233" s="877" t="str">
        <f>E$2</f>
        <v>R-V3</v>
      </c>
      <c r="F233" s="877"/>
      <c r="G233" s="804"/>
      <c r="H233" s="804"/>
      <c r="I233" s="878"/>
      <c r="J233" s="878"/>
      <c r="M233" s="807"/>
      <c r="AA233"/>
      <c r="AB233"/>
      <c r="AC233"/>
      <c r="AD233"/>
      <c r="AE233"/>
      <c r="AF233"/>
      <c r="AG233"/>
      <c r="AH233"/>
      <c r="AI233"/>
    </row>
    <row r="234" spans="1:35" ht="12.75" customHeight="1" x14ac:dyDescent="0.2">
      <c r="A234" s="876" t="str">
        <f>E$2</f>
        <v>R-V3</v>
      </c>
      <c r="B234" s="618" t="s">
        <v>7235</v>
      </c>
      <c r="C234" s="877"/>
      <c r="D234" s="877"/>
      <c r="E234" s="877" t="str">
        <f>E$2</f>
        <v>R-V3</v>
      </c>
      <c r="F234" s="877"/>
      <c r="G234" s="804"/>
      <c r="H234" s="804"/>
      <c r="I234" s="878"/>
      <c r="J234" s="878"/>
      <c r="M234" s="807"/>
      <c r="AA234"/>
      <c r="AB234"/>
      <c r="AC234"/>
      <c r="AD234"/>
      <c r="AE234"/>
      <c r="AF234"/>
      <c r="AG234"/>
      <c r="AH234"/>
      <c r="AI234"/>
    </row>
    <row r="235" spans="1:35" ht="12.75" customHeight="1" x14ac:dyDescent="0.2">
      <c r="A235" s="876"/>
      <c r="B235" s="618"/>
      <c r="C235" s="877"/>
      <c r="D235" s="877"/>
      <c r="E235" s="877"/>
      <c r="F235" s="877"/>
      <c r="G235" s="804"/>
      <c r="H235" s="804"/>
      <c r="I235" s="878"/>
      <c r="J235" s="804"/>
      <c r="M235" s="807"/>
      <c r="AA235"/>
      <c r="AB235"/>
      <c r="AC235"/>
      <c r="AD235"/>
      <c r="AE235"/>
      <c r="AF235"/>
      <c r="AG235"/>
      <c r="AH235"/>
      <c r="AI235"/>
    </row>
    <row r="236" spans="1:35" ht="12.75" customHeight="1" x14ac:dyDescent="0.2">
      <c r="A236" s="876" t="str">
        <f>F$2</f>
        <v>R-V4</v>
      </c>
      <c r="B236" s="618" t="s">
        <v>7232</v>
      </c>
      <c r="C236" s="877"/>
      <c r="D236" s="877"/>
      <c r="E236" s="877"/>
      <c r="F236" s="877" t="str">
        <f>F$2</f>
        <v>R-V4</v>
      </c>
      <c r="G236" s="804"/>
      <c r="H236" s="804"/>
      <c r="I236" s="878"/>
      <c r="J236" s="804"/>
      <c r="M236" s="807"/>
      <c r="AA236"/>
      <c r="AB236"/>
      <c r="AC236"/>
      <c r="AD236"/>
      <c r="AE236"/>
      <c r="AF236"/>
      <c r="AG236"/>
      <c r="AH236"/>
      <c r="AI236"/>
    </row>
    <row r="237" spans="1:35" ht="12.75" customHeight="1" x14ac:dyDescent="0.2">
      <c r="A237" s="876" t="str">
        <f>F$2</f>
        <v>R-V4</v>
      </c>
      <c r="B237" s="618" t="s">
        <v>7233</v>
      </c>
      <c r="C237" s="877"/>
      <c r="D237" s="877"/>
      <c r="E237" s="877"/>
      <c r="F237" s="877" t="str">
        <f>F$2</f>
        <v>R-V4</v>
      </c>
      <c r="G237" s="804"/>
      <c r="H237" s="804"/>
      <c r="I237" s="878"/>
      <c r="J237" s="804"/>
      <c r="M237" s="807"/>
      <c r="AA237"/>
      <c r="AB237"/>
      <c r="AC237"/>
      <c r="AD237"/>
      <c r="AE237"/>
      <c r="AF237"/>
      <c r="AG237"/>
      <c r="AH237"/>
      <c r="AI237"/>
    </row>
    <row r="238" spans="1:35" ht="12.75" customHeight="1" x14ac:dyDescent="0.2">
      <c r="A238" s="876" t="str">
        <f>F$2</f>
        <v>R-V4</v>
      </c>
      <c r="B238" s="618" t="s">
        <v>7234</v>
      </c>
      <c r="C238" s="877"/>
      <c r="D238" s="877"/>
      <c r="E238" s="877"/>
      <c r="F238" s="877" t="str">
        <f>F$2</f>
        <v>R-V4</v>
      </c>
      <c r="G238" s="804"/>
      <c r="H238" s="804"/>
      <c r="I238" s="878"/>
      <c r="J238" s="804"/>
      <c r="M238" s="807"/>
      <c r="AA238"/>
      <c r="AB238"/>
      <c r="AC238"/>
      <c r="AD238"/>
      <c r="AE238"/>
      <c r="AF238"/>
      <c r="AG238"/>
      <c r="AH238"/>
      <c r="AI238"/>
    </row>
    <row r="239" spans="1:35" ht="12.75" customHeight="1" x14ac:dyDescent="0.2">
      <c r="A239" s="876" t="str">
        <f>F$2</f>
        <v>R-V4</v>
      </c>
      <c r="B239" s="618" t="s">
        <v>7235</v>
      </c>
      <c r="C239" s="877"/>
      <c r="D239" s="877"/>
      <c r="E239" s="877"/>
      <c r="F239" s="877" t="str">
        <f>F$2</f>
        <v>R-V4</v>
      </c>
      <c r="G239" s="804"/>
      <c r="H239" s="804"/>
      <c r="I239" s="878"/>
      <c r="J239" s="804"/>
      <c r="M239" s="807"/>
      <c r="AA239"/>
      <c r="AB239"/>
      <c r="AC239"/>
      <c r="AD239"/>
      <c r="AE239"/>
      <c r="AF239"/>
      <c r="AG239"/>
      <c r="AH239"/>
      <c r="AI239"/>
    </row>
    <row r="240" spans="1:35" x14ac:dyDescent="0.2">
      <c r="C240" s="801"/>
      <c r="D240" s="801"/>
      <c r="E240" s="805"/>
      <c r="F240" s="805"/>
      <c r="G240" s="804"/>
      <c r="H240" s="804"/>
      <c r="I240" s="878"/>
      <c r="J240" s="804"/>
      <c r="M240" s="807"/>
      <c r="AA240"/>
      <c r="AB240"/>
      <c r="AC240"/>
      <c r="AD240"/>
      <c r="AE240"/>
      <c r="AF240"/>
      <c r="AG240"/>
      <c r="AH240"/>
      <c r="AI240"/>
    </row>
    <row r="241" spans="3:35" x14ac:dyDescent="0.2">
      <c r="C241" s="801"/>
      <c r="D241" s="801"/>
      <c r="E241" s="805"/>
      <c r="F241" s="805"/>
      <c r="G241" s="804"/>
      <c r="H241" s="804"/>
      <c r="I241" s="878"/>
      <c r="J241" s="804"/>
      <c r="M241" s="807"/>
      <c r="AA241"/>
      <c r="AB241"/>
      <c r="AC241"/>
      <c r="AD241"/>
      <c r="AE241"/>
      <c r="AF241"/>
      <c r="AG241"/>
      <c r="AH241"/>
      <c r="AI241"/>
    </row>
    <row r="242" spans="3:35" x14ac:dyDescent="0.2">
      <c r="C242" s="801"/>
      <c r="D242" s="801"/>
      <c r="E242" s="805"/>
      <c r="F242" s="805"/>
      <c r="G242" s="804"/>
      <c r="H242" s="804"/>
      <c r="I242" s="878"/>
      <c r="J242" s="804"/>
      <c r="M242" s="807"/>
      <c r="AA242"/>
      <c r="AB242"/>
      <c r="AC242"/>
      <c r="AD242"/>
      <c r="AE242"/>
      <c r="AF242"/>
      <c r="AG242"/>
      <c r="AH242"/>
      <c r="AI242"/>
    </row>
    <row r="243" spans="3:35" x14ac:dyDescent="0.2">
      <c r="C243" s="801"/>
      <c r="D243" s="801"/>
      <c r="E243" s="805"/>
      <c r="F243" s="805"/>
      <c r="G243" s="804"/>
      <c r="H243" s="804"/>
      <c r="I243" s="878"/>
      <c r="J243" s="804"/>
      <c r="M243" s="807"/>
      <c r="AA243"/>
      <c r="AB243"/>
      <c r="AC243"/>
      <c r="AD243"/>
      <c r="AE243"/>
      <c r="AF243"/>
      <c r="AG243"/>
      <c r="AH243"/>
      <c r="AI243"/>
    </row>
    <row r="244" spans="3:35" x14ac:dyDescent="0.2">
      <c r="C244" s="801"/>
      <c r="D244" s="801"/>
      <c r="E244" s="805"/>
      <c r="F244" s="805"/>
      <c r="G244" s="804"/>
      <c r="H244" s="804"/>
      <c r="I244" s="878"/>
      <c r="J244" s="804"/>
      <c r="M244" s="807"/>
      <c r="AA244"/>
      <c r="AB244"/>
      <c r="AC244"/>
      <c r="AD244"/>
      <c r="AE244"/>
      <c r="AF244"/>
      <c r="AG244"/>
      <c r="AH244"/>
      <c r="AI244"/>
    </row>
    <row r="245" spans="3:35" x14ac:dyDescent="0.2">
      <c r="C245" s="801"/>
      <c r="D245" s="801"/>
      <c r="E245" s="805"/>
      <c r="F245" s="805"/>
      <c r="G245" s="804"/>
      <c r="H245" s="804"/>
      <c r="I245" s="878"/>
      <c r="J245" s="804"/>
      <c r="M245" s="807"/>
      <c r="AA245"/>
      <c r="AB245"/>
      <c r="AC245"/>
      <c r="AD245"/>
      <c r="AE245"/>
      <c r="AF245"/>
      <c r="AG245"/>
      <c r="AH245"/>
      <c r="AI245"/>
    </row>
    <row r="246" spans="3:35" x14ac:dyDescent="0.2">
      <c r="C246" s="801"/>
      <c r="D246" s="801"/>
      <c r="E246" s="805"/>
      <c r="F246" s="805"/>
      <c r="G246" s="804"/>
      <c r="H246" s="804"/>
      <c r="I246" s="878"/>
      <c r="J246" s="804"/>
      <c r="M246" s="807"/>
      <c r="AA246"/>
      <c r="AB246"/>
      <c r="AC246"/>
      <c r="AD246"/>
      <c r="AE246"/>
      <c r="AF246"/>
      <c r="AG246"/>
      <c r="AH246"/>
      <c r="AI246"/>
    </row>
    <row r="247" spans="3:35" x14ac:dyDescent="0.2">
      <c r="C247" s="801"/>
      <c r="D247" s="801"/>
      <c r="E247" s="805"/>
      <c r="F247" s="805"/>
      <c r="G247" s="804"/>
      <c r="H247" s="804"/>
      <c r="I247" s="878"/>
      <c r="J247" s="804"/>
      <c r="M247" s="807"/>
      <c r="AA247"/>
      <c r="AB247"/>
      <c r="AC247"/>
      <c r="AD247"/>
      <c r="AE247"/>
      <c r="AF247"/>
      <c r="AG247"/>
      <c r="AH247"/>
      <c r="AI247"/>
    </row>
    <row r="248" spans="3:35" x14ac:dyDescent="0.2">
      <c r="C248" s="801"/>
      <c r="D248" s="801"/>
      <c r="E248" s="805"/>
      <c r="F248" s="805"/>
      <c r="G248" s="804"/>
      <c r="H248" s="804"/>
      <c r="I248" s="878"/>
      <c r="J248" s="804"/>
      <c r="M248" s="807"/>
      <c r="AA248"/>
      <c r="AB248"/>
      <c r="AC248"/>
      <c r="AD248"/>
      <c r="AE248"/>
      <c r="AF248"/>
      <c r="AG248"/>
      <c r="AH248"/>
      <c r="AI248"/>
    </row>
    <row r="249" spans="3:35" x14ac:dyDescent="0.2">
      <c r="C249" s="801"/>
      <c r="D249" s="801"/>
      <c r="E249" s="805"/>
      <c r="F249" s="805"/>
      <c r="G249" s="804"/>
      <c r="H249" s="804"/>
      <c r="I249" s="878"/>
      <c r="J249" s="804"/>
      <c r="M249" s="807"/>
      <c r="AA249"/>
      <c r="AB249"/>
      <c r="AC249"/>
      <c r="AD249"/>
      <c r="AE249"/>
      <c r="AF249"/>
      <c r="AG249"/>
      <c r="AH249"/>
      <c r="AI249"/>
    </row>
    <row r="250" spans="3:35" x14ac:dyDescent="0.2">
      <c r="C250" s="801"/>
      <c r="D250" s="801"/>
      <c r="E250" s="805"/>
      <c r="F250" s="805"/>
      <c r="G250" s="804"/>
      <c r="H250" s="804"/>
      <c r="I250" s="878"/>
      <c r="J250" s="804"/>
      <c r="M250" s="807"/>
      <c r="AA250"/>
      <c r="AB250"/>
      <c r="AC250"/>
      <c r="AD250"/>
      <c r="AE250"/>
      <c r="AF250"/>
      <c r="AG250"/>
      <c r="AH250"/>
      <c r="AI250"/>
    </row>
    <row r="251" spans="3:35" x14ac:dyDescent="0.2">
      <c r="C251" s="801"/>
      <c r="D251" s="801"/>
      <c r="E251" s="805"/>
      <c r="F251" s="805"/>
      <c r="G251" s="804"/>
      <c r="H251" s="804"/>
      <c r="I251" s="878"/>
      <c r="J251" s="804"/>
      <c r="M251" s="807"/>
      <c r="AA251"/>
      <c r="AB251"/>
      <c r="AC251"/>
      <c r="AD251"/>
      <c r="AE251"/>
      <c r="AF251"/>
      <c r="AG251"/>
      <c r="AH251"/>
      <c r="AI251"/>
    </row>
    <row r="252" spans="3:35" x14ac:dyDescent="0.2">
      <c r="C252" s="801"/>
      <c r="D252" s="801"/>
      <c r="E252" s="805"/>
      <c r="F252" s="805"/>
      <c r="G252" s="804"/>
      <c r="H252" s="804"/>
      <c r="I252" s="878"/>
      <c r="J252" s="804"/>
      <c r="M252" s="807"/>
      <c r="AA252"/>
      <c r="AB252"/>
      <c r="AC252"/>
      <c r="AD252"/>
      <c r="AE252"/>
      <c r="AF252"/>
      <c r="AG252"/>
      <c r="AH252"/>
      <c r="AI252"/>
    </row>
    <row r="253" spans="3:35" x14ac:dyDescent="0.2">
      <c r="C253" s="801"/>
      <c r="D253" s="801"/>
      <c r="E253" s="805"/>
      <c r="F253" s="805"/>
      <c r="G253" s="804"/>
      <c r="H253" s="804"/>
      <c r="I253" s="878"/>
      <c r="J253" s="804"/>
      <c r="M253" s="807"/>
      <c r="AA253"/>
      <c r="AB253"/>
      <c r="AC253"/>
      <c r="AD253"/>
      <c r="AE253"/>
      <c r="AF253"/>
      <c r="AG253"/>
      <c r="AH253"/>
      <c r="AI253"/>
    </row>
    <row r="254" spans="3:35" x14ac:dyDescent="0.2">
      <c r="C254" s="801"/>
      <c r="D254" s="801"/>
      <c r="E254" s="805"/>
      <c r="F254" s="805"/>
      <c r="G254" s="804"/>
      <c r="H254" s="804"/>
      <c r="I254" s="878"/>
      <c r="J254" s="804"/>
      <c r="M254" s="807"/>
      <c r="AA254"/>
      <c r="AB254"/>
      <c r="AC254"/>
      <c r="AD254"/>
      <c r="AE254"/>
      <c r="AF254"/>
      <c r="AG254"/>
      <c r="AH254"/>
      <c r="AI254"/>
    </row>
    <row r="255" spans="3:35" x14ac:dyDescent="0.2">
      <c r="C255" s="801"/>
      <c r="D255" s="801"/>
      <c r="E255" s="805"/>
      <c r="F255" s="805"/>
      <c r="G255" s="804"/>
      <c r="H255" s="804"/>
      <c r="I255" s="878"/>
      <c r="J255" s="804"/>
      <c r="M255" s="807"/>
      <c r="AA255"/>
      <c r="AB255"/>
      <c r="AC255"/>
      <c r="AD255"/>
      <c r="AE255"/>
      <c r="AF255"/>
      <c r="AG255"/>
      <c r="AH255"/>
      <c r="AI255"/>
    </row>
    <row r="256" spans="3:35" x14ac:dyDescent="0.2">
      <c r="C256" s="801"/>
      <c r="D256" s="801"/>
      <c r="E256" s="805"/>
      <c r="F256" s="805"/>
      <c r="G256" s="804"/>
      <c r="H256" s="804"/>
      <c r="I256" s="878"/>
      <c r="J256" s="804"/>
      <c r="M256" s="807"/>
      <c r="AA256"/>
      <c r="AB256"/>
      <c r="AC256"/>
      <c r="AD256"/>
      <c r="AE256"/>
      <c r="AF256"/>
      <c r="AG256"/>
      <c r="AH256"/>
      <c r="AI256"/>
    </row>
    <row r="257" spans="3:35" x14ac:dyDescent="0.2">
      <c r="C257" s="801"/>
      <c r="D257" s="801"/>
      <c r="E257" s="805"/>
      <c r="F257" s="805"/>
      <c r="G257" s="804"/>
      <c r="H257" s="804"/>
      <c r="I257" s="878"/>
      <c r="J257" s="804"/>
      <c r="M257" s="807"/>
      <c r="AA257"/>
      <c r="AB257"/>
      <c r="AC257"/>
      <c r="AD257"/>
      <c r="AE257"/>
      <c r="AF257"/>
      <c r="AG257"/>
      <c r="AH257"/>
      <c r="AI257"/>
    </row>
    <row r="258" spans="3:35" x14ac:dyDescent="0.2">
      <c r="C258" s="801"/>
      <c r="D258" s="801"/>
      <c r="E258" s="805"/>
      <c r="F258" s="805"/>
      <c r="G258" s="804"/>
      <c r="H258" s="804"/>
      <c r="I258" s="878"/>
      <c r="J258" s="804"/>
      <c r="M258" s="807"/>
      <c r="AA258"/>
      <c r="AB258"/>
      <c r="AC258"/>
      <c r="AD258"/>
      <c r="AE258"/>
      <c r="AF258"/>
      <c r="AG258"/>
      <c r="AH258"/>
      <c r="AI258"/>
    </row>
    <row r="259" spans="3:35" x14ac:dyDescent="0.2">
      <c r="C259" s="801"/>
      <c r="D259" s="801"/>
      <c r="E259" s="805"/>
      <c r="F259" s="805"/>
      <c r="G259" s="804"/>
      <c r="H259" s="804"/>
      <c r="I259" s="878"/>
      <c r="J259" s="804"/>
      <c r="M259" s="807"/>
      <c r="AA259"/>
      <c r="AB259"/>
      <c r="AC259"/>
      <c r="AD259"/>
      <c r="AE259"/>
      <c r="AF259"/>
      <c r="AG259"/>
      <c r="AH259"/>
      <c r="AI259"/>
    </row>
    <row r="260" spans="3:35" x14ac:dyDescent="0.2">
      <c r="C260" s="801"/>
      <c r="D260" s="801"/>
      <c r="E260" s="805"/>
      <c r="F260" s="805"/>
      <c r="G260" s="804"/>
      <c r="H260" s="804"/>
      <c r="I260" s="878"/>
      <c r="J260" s="804"/>
      <c r="M260" s="807"/>
      <c r="AA260"/>
      <c r="AB260"/>
      <c r="AC260"/>
      <c r="AD260"/>
      <c r="AE260"/>
      <c r="AF260"/>
      <c r="AG260"/>
      <c r="AH260"/>
      <c r="AI260"/>
    </row>
    <row r="261" spans="3:35" x14ac:dyDescent="0.2">
      <c r="C261" s="801"/>
      <c r="D261" s="801"/>
      <c r="E261" s="805"/>
      <c r="F261" s="805"/>
      <c r="G261" s="804"/>
      <c r="H261" s="804"/>
      <c r="I261" s="878"/>
      <c r="J261" s="804"/>
      <c r="M261" s="807"/>
      <c r="AA261"/>
      <c r="AB261"/>
      <c r="AC261"/>
      <c r="AD261"/>
      <c r="AE261"/>
      <c r="AF261"/>
      <c r="AG261"/>
      <c r="AH261"/>
      <c r="AI261"/>
    </row>
    <row r="262" spans="3:35" x14ac:dyDescent="0.2">
      <c r="C262" s="801"/>
      <c r="D262" s="801"/>
      <c r="E262" s="805"/>
      <c r="F262" s="805"/>
      <c r="G262" s="804"/>
      <c r="H262" s="804"/>
      <c r="I262" s="878"/>
      <c r="J262" s="804"/>
      <c r="M262" s="807"/>
      <c r="AA262"/>
      <c r="AB262"/>
      <c r="AC262"/>
      <c r="AD262"/>
      <c r="AE262"/>
      <c r="AF262"/>
      <c r="AG262"/>
      <c r="AH262"/>
      <c r="AI262"/>
    </row>
    <row r="263" spans="3:35" x14ac:dyDescent="0.2">
      <c r="C263" s="801"/>
      <c r="D263" s="801"/>
      <c r="E263" s="805"/>
      <c r="F263" s="805"/>
      <c r="G263" s="804"/>
      <c r="H263" s="804"/>
      <c r="I263" s="878"/>
      <c r="J263" s="804"/>
      <c r="M263" s="807"/>
      <c r="AA263"/>
      <c r="AB263"/>
      <c r="AC263"/>
      <c r="AD263"/>
      <c r="AE263"/>
      <c r="AF263"/>
      <c r="AG263"/>
      <c r="AH263"/>
      <c r="AI263"/>
    </row>
    <row r="264" spans="3:35" x14ac:dyDescent="0.2">
      <c r="C264" s="801"/>
      <c r="D264" s="801"/>
      <c r="E264" s="805"/>
      <c r="F264" s="805"/>
      <c r="G264" s="804"/>
      <c r="H264" s="804"/>
      <c r="I264" s="878"/>
      <c r="J264" s="804"/>
      <c r="K264" s="806"/>
      <c r="M264" s="807"/>
      <c r="AA264"/>
      <c r="AB264"/>
      <c r="AC264"/>
      <c r="AD264"/>
      <c r="AE264"/>
      <c r="AF264"/>
      <c r="AG264"/>
      <c r="AH264"/>
      <c r="AI264"/>
    </row>
    <row r="265" spans="3:35" x14ac:dyDescent="0.2">
      <c r="AA265"/>
      <c r="AB265"/>
      <c r="AC265"/>
      <c r="AD265"/>
      <c r="AE265"/>
      <c r="AF265"/>
      <c r="AG265"/>
      <c r="AH265"/>
      <c r="AI265"/>
    </row>
    <row r="266" spans="3:35" x14ac:dyDescent="0.2">
      <c r="AA266"/>
      <c r="AB266"/>
      <c r="AC266"/>
      <c r="AD266"/>
      <c r="AE266"/>
      <c r="AF266"/>
      <c r="AG266"/>
      <c r="AH266"/>
      <c r="AI266"/>
    </row>
    <row r="267" spans="3:35" x14ac:dyDescent="0.2">
      <c r="AA267"/>
      <c r="AB267"/>
      <c r="AC267"/>
      <c r="AD267"/>
      <c r="AE267"/>
      <c r="AF267"/>
      <c r="AG267"/>
      <c r="AH267"/>
      <c r="AI267"/>
    </row>
    <row r="268" spans="3:35" x14ac:dyDescent="0.2">
      <c r="AA268"/>
      <c r="AB268"/>
      <c r="AC268"/>
      <c r="AD268"/>
      <c r="AE268"/>
      <c r="AF268"/>
      <c r="AG268"/>
      <c r="AH268"/>
      <c r="AI268"/>
    </row>
    <row r="269" spans="3:35" x14ac:dyDescent="0.2">
      <c r="AA269"/>
      <c r="AB269"/>
      <c r="AC269"/>
      <c r="AD269"/>
      <c r="AE269"/>
      <c r="AF269"/>
      <c r="AG269"/>
      <c r="AH269"/>
      <c r="AI269"/>
    </row>
    <row r="270" spans="3:35" x14ac:dyDescent="0.2">
      <c r="AA270"/>
      <c r="AB270"/>
      <c r="AC270"/>
      <c r="AD270"/>
      <c r="AE270"/>
      <c r="AF270"/>
      <c r="AG270"/>
      <c r="AH270"/>
      <c r="AI270"/>
    </row>
    <row r="271" spans="3:35" x14ac:dyDescent="0.2">
      <c r="AA271"/>
      <c r="AB271"/>
      <c r="AC271"/>
      <c r="AD271"/>
      <c r="AE271"/>
      <c r="AF271"/>
      <c r="AG271"/>
      <c r="AH271"/>
      <c r="AI271"/>
    </row>
    <row r="272" spans="3: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2">
    <mergeCell ref="A1:B1"/>
    <mergeCell ref="D1:E1"/>
  </mergeCells>
  <phoneticPr fontId="5" type="noConversion"/>
  <conditionalFormatting sqref="A5:B5">
    <cfRule type="expression" dxfId="206" priority="26" stopIfTrue="1">
      <formula>AND(NOT($K5=""),$K$1=1)</formula>
    </cfRule>
  </conditionalFormatting>
  <conditionalFormatting sqref="A7:B16 A18:B29 A31:B38 A40:B46 A48:B55 A57:B66 A68:B73 A75:B82 A84:B90 A92:B101 A103:B106 A108:B117 A119:B129 A131:B140 A142:B149 A151:B159 A161:B167 A169:B175 A177:B181 A183:B188 A190:B199 A201:B210 A212:B219">
    <cfRule type="expression" dxfId="205" priority="45" stopIfTrue="1">
      <formula>AND(NOT($K6=""),$K$1=1)</formula>
    </cfRule>
  </conditionalFormatting>
  <conditionalFormatting sqref="A6:B6">
    <cfRule type="expression" dxfId="204" priority="46" stopIfTrue="1">
      <formula>AND(NOT(#REF!=""),$K$1=1)</formula>
    </cfRule>
  </conditionalFormatting>
  <conditionalFormatting sqref="C220:M220 C240:M264 G221:M239">
    <cfRule type="expression" dxfId="203" priority="24">
      <formula>AND(NOT($K220=""),$K$1=1)</formula>
    </cfRule>
  </conditionalFormatting>
  <conditionalFormatting sqref="C220 C240:C264">
    <cfRule type="expression" dxfId="202" priority="23">
      <formula>AND(NOT($K220=""),$K$1=1)</formula>
    </cfRule>
  </conditionalFormatting>
  <conditionalFormatting sqref="C220 C240:C264">
    <cfRule type="expression" dxfId="201" priority="22">
      <formula>AND(NOT($K220=""),$K$1=1)</formula>
    </cfRule>
  </conditionalFormatting>
  <conditionalFormatting sqref="C220 C240:C264">
    <cfRule type="expression" dxfId="200" priority="18" stopIfTrue="1">
      <formula>AND(NOT($K220=""),$K$1=1)</formula>
    </cfRule>
  </conditionalFormatting>
  <conditionalFormatting sqref="C220 C240:C264">
    <cfRule type="expression" dxfId="199" priority="17" stopIfTrue="1">
      <formula>AND(NOT($K220=""),$K$1=1)</formula>
    </cfRule>
  </conditionalFormatting>
  <conditionalFormatting sqref="C5:M219">
    <cfRule type="expression" dxfId="198" priority="8">
      <formula>AND(NOT($K5=""),$K$1=1)</formula>
    </cfRule>
  </conditionalFormatting>
  <conditionalFormatting sqref="C6:C219">
    <cfRule type="expression" dxfId="197" priority="7">
      <formula>AND(NOT($K6=""),$K$1=1)</formula>
    </cfRule>
  </conditionalFormatting>
  <conditionalFormatting sqref="C6:C219">
    <cfRule type="expression" dxfId="196" priority="6">
      <formula>AND(NOT($K6=""),$K$1=1)</formula>
    </cfRule>
  </conditionalFormatting>
  <conditionalFormatting sqref="C5">
    <cfRule type="expression" dxfId="195" priority="5">
      <formula>AND(NOT($K5=""),$K$1=1)</formula>
    </cfRule>
  </conditionalFormatting>
  <conditionalFormatting sqref="C5">
    <cfRule type="expression" dxfId="194" priority="4">
      <formula>AND(NOT($K5=""),$K$1=1)</formula>
    </cfRule>
  </conditionalFormatting>
  <conditionalFormatting sqref="C5">
    <cfRule type="expression" dxfId="193" priority="3" stopIfTrue="1">
      <formula>AND(NOT($K5=""),$K$1=1)</formula>
    </cfRule>
  </conditionalFormatting>
  <conditionalFormatting sqref="C6:C219">
    <cfRule type="expression" dxfId="192" priority="2" stopIfTrue="1">
      <formula>AND(NOT($K6=""),$K$1=1)</formula>
    </cfRule>
  </conditionalFormatting>
  <conditionalFormatting sqref="C4:C219">
    <cfRule type="expression" dxfId="191"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tabColor indexed="47"/>
  </sheetPr>
  <dimension ref="A1:AI400"/>
  <sheetViews>
    <sheetView workbookViewId="0">
      <pane xSplit="12" ySplit="2" topLeftCell="M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10" style="836" customWidth="1"/>
    <col min="2" max="2" width="86.28515625" style="856" customWidth="1"/>
    <col min="3" max="3" width="4.42578125" style="783" bestFit="1" customWidth="1"/>
    <col min="4" max="4" width="5.28515625" style="783" customWidth="1"/>
    <col min="5" max="6" width="5.140625" style="783" bestFit="1" customWidth="1"/>
    <col min="7" max="10" width="4.28515625" style="845" customWidth="1" outlineLevel="1"/>
    <col min="11" max="11" width="10.7109375" style="833" customWidth="1" outlineLevel="1"/>
    <col min="12" max="12" width="10.42578125" style="783" customWidth="1"/>
    <col min="13" max="13" width="22.5703125" style="846" customWidth="1"/>
    <col min="14" max="25" width="11.28515625" style="581"/>
    <col min="26" max="26" width="13.42578125" style="581" customWidth="1"/>
    <col min="27" max="34" width="13.42578125" style="819" hidden="1" customWidth="1"/>
    <col min="35" max="35" width="13.42578125" style="819" customWidth="1"/>
    <col min="36" max="16384" width="11.28515625" style="819"/>
  </cols>
  <sheetData>
    <row r="1" spans="1:35" ht="18" x14ac:dyDescent="0.25">
      <c r="A1" s="776" t="s">
        <v>5562</v>
      </c>
      <c r="B1" s="777"/>
      <c r="C1" s="779">
        <v>1</v>
      </c>
      <c r="D1" s="1968" t="str">
        <f>"variante"&amp;IF(C1&gt;1,"s","")</f>
        <v>variante</v>
      </c>
      <c r="E1" s="1968"/>
      <c r="F1" s="779"/>
      <c r="G1" s="780"/>
      <c r="H1" s="780"/>
      <c r="I1" s="780"/>
      <c r="J1" s="780"/>
      <c r="K1" s="782">
        <f>'ISO 27002'!F2</f>
        <v>0</v>
      </c>
      <c r="M1" s="818"/>
    </row>
    <row r="2" spans="1:35" s="643" customFormat="1" ht="17.25" customHeight="1" x14ac:dyDescent="0.2">
      <c r="A2" s="545" t="s">
        <v>3585</v>
      </c>
      <c r="B2" s="853" t="s">
        <v>4011</v>
      </c>
      <c r="C2" s="784" t="s">
        <v>3676</v>
      </c>
      <c r="D2" s="698" t="s">
        <v>3677</v>
      </c>
      <c r="E2" s="698" t="s">
        <v>3678</v>
      </c>
      <c r="F2" s="698" t="s">
        <v>3679</v>
      </c>
      <c r="G2" s="699" t="s">
        <v>1428</v>
      </c>
      <c r="H2" s="699" t="s">
        <v>3680</v>
      </c>
      <c r="I2" s="699" t="s">
        <v>2054</v>
      </c>
      <c r="J2" s="699" t="s">
        <v>3681</v>
      </c>
      <c r="K2" s="699">
        <v>2013</v>
      </c>
      <c r="L2" s="699">
        <v>2005</v>
      </c>
      <c r="M2" s="699" t="s">
        <v>3682</v>
      </c>
      <c r="N2" s="679"/>
      <c r="O2" s="679"/>
      <c r="P2" s="679"/>
      <c r="Q2" s="679"/>
      <c r="R2" s="679"/>
      <c r="S2" s="679"/>
      <c r="T2" s="679"/>
      <c r="U2" s="679"/>
      <c r="V2" s="679"/>
      <c r="W2" s="679"/>
      <c r="X2" s="679"/>
      <c r="Y2" s="679"/>
      <c r="Z2" s="679"/>
    </row>
    <row r="3" spans="1:35" x14ac:dyDescent="0.2">
      <c r="A3" s="627" t="s">
        <v>2667</v>
      </c>
      <c r="B3" s="627" t="s">
        <v>2604</v>
      </c>
      <c r="C3" s="821"/>
      <c r="D3" s="1158"/>
      <c r="E3" s="1158"/>
      <c r="F3" s="822"/>
      <c r="G3" s="1471"/>
      <c r="H3" s="1471"/>
      <c r="I3" s="1471"/>
      <c r="J3" s="1471"/>
      <c r="K3" s="1472"/>
      <c r="L3" s="1472"/>
      <c r="M3" s="854"/>
    </row>
    <row r="4" spans="1:35" ht="21" outlineLevel="1" x14ac:dyDescent="0.2">
      <c r="A4" s="633" t="s">
        <v>41</v>
      </c>
      <c r="B4" s="634" t="s">
        <v>6804</v>
      </c>
      <c r="C4" s="786"/>
      <c r="D4" s="1158"/>
      <c r="E4" s="1158"/>
      <c r="F4" s="822"/>
      <c r="G4" s="1471"/>
      <c r="H4" s="1471"/>
      <c r="I4" s="1471"/>
      <c r="J4" s="1471"/>
      <c r="K4" s="1472"/>
      <c r="L4" s="1472"/>
      <c r="M4" s="854"/>
      <c r="AA4"/>
      <c r="AB4"/>
      <c r="AC4"/>
      <c r="AD4"/>
      <c r="AE4"/>
      <c r="AF4"/>
      <c r="AG4"/>
      <c r="AH4"/>
      <c r="AI4"/>
    </row>
    <row r="5" spans="1:35" ht="33.75" outlineLevel="2" x14ac:dyDescent="0.2">
      <c r="A5" s="636" t="s">
        <v>2605</v>
      </c>
      <c r="B5" s="636" t="s">
        <v>2139</v>
      </c>
      <c r="C5" s="786"/>
      <c r="D5" s="1158"/>
      <c r="E5" s="1158"/>
      <c r="F5" s="822"/>
      <c r="G5" s="1473">
        <v>4</v>
      </c>
      <c r="H5" s="1473">
        <v>1</v>
      </c>
      <c r="I5" s="1473"/>
      <c r="J5" s="1473" t="s">
        <v>4246</v>
      </c>
      <c r="K5" s="1472"/>
      <c r="L5" s="1472"/>
      <c r="M5" s="854"/>
      <c r="AA5">
        <f>IF(AND('06 Exr'!C5&gt;Tmin, NOT('06 Exr'!$I5="")),'06 Exr'!$I5,0)</f>
        <v>0</v>
      </c>
      <c r="AB5">
        <f>IF(AND('06 Exr'!D5&gt;Tmin, NOT('06 Exr'!$I5="")),'06 Exr'!$I5,0)</f>
        <v>0</v>
      </c>
      <c r="AC5">
        <f>IF(AND('06 Exr'!E5&gt;Tmin, NOT('06 Exr'!$I5="")),'06 Exr'!$I5,0)</f>
        <v>0</v>
      </c>
      <c r="AD5">
        <f>IF(AND('06 Exr'!F5&gt;Tmin, NOT('06 Exr'!$I5="")),'06 Exr'!$I5,0)</f>
        <v>0</v>
      </c>
      <c r="AE5">
        <f>IF(AND('06 Exr'!C5&lt;Tmax, NOT('06 Exr'!$H5="")),'06 Exr'!$H5,4)</f>
        <v>1</v>
      </c>
      <c r="AF5">
        <f>IF(AND('06 Exr'!D5&lt;Tmax, NOT('06 Exr'!$H5="")),'06 Exr'!$H5,4)</f>
        <v>1</v>
      </c>
      <c r="AG5">
        <f>IF(AND('06 Exr'!E5&lt;Tmax, NOT('06 Exr'!$H5="")),'06 Exr'!$H5,4)</f>
        <v>1</v>
      </c>
      <c r="AH5">
        <f>IF(AND('06 Exr'!F5&lt;Tmax, NOT('06 Exr'!$H5="")),'06 Exr'!$H5,4)</f>
        <v>1</v>
      </c>
      <c r="AI5"/>
    </row>
    <row r="6" spans="1:35" ht="22.5" outlineLevel="2" x14ac:dyDescent="0.2">
      <c r="A6" s="636" t="s">
        <v>2140</v>
      </c>
      <c r="B6" s="636" t="s">
        <v>2141</v>
      </c>
      <c r="C6" s="786"/>
      <c r="D6" s="1158"/>
      <c r="E6" s="1158"/>
      <c r="F6" s="822"/>
      <c r="G6" s="1473">
        <v>4</v>
      </c>
      <c r="H6" s="1473"/>
      <c r="I6" s="1473"/>
      <c r="J6" s="1473" t="s">
        <v>1592</v>
      </c>
      <c r="K6" s="1472"/>
      <c r="L6" s="1472"/>
      <c r="M6" s="854"/>
      <c r="AA6">
        <f>IF(AND('06 Exr'!C6&gt;Tmin, NOT('06 Exr'!$I6="")),'06 Exr'!$I6,0)</f>
        <v>0</v>
      </c>
      <c r="AB6">
        <f>IF(AND('06 Exr'!D6&gt;Tmin, NOT('06 Exr'!$I6="")),'06 Exr'!$I6,0)</f>
        <v>0</v>
      </c>
      <c r="AC6">
        <f>IF(AND('06 Exr'!E6&gt;Tmin, NOT('06 Exr'!$I6="")),'06 Exr'!$I6,0)</f>
        <v>0</v>
      </c>
      <c r="AD6">
        <f>IF(AND('06 Exr'!F6&gt;Tmin, NOT('06 Exr'!$I6="")),'06 Exr'!$I6,0)</f>
        <v>0</v>
      </c>
      <c r="AE6">
        <f>IF(AND('06 Exr'!C6&lt;Tmax, NOT('06 Exr'!$H6="")),'06 Exr'!$H6,4)</f>
        <v>4</v>
      </c>
      <c r="AF6">
        <f>IF(AND('06 Exr'!D6&lt;Tmax, NOT('06 Exr'!$H6="")),'06 Exr'!$H6,4)</f>
        <v>4</v>
      </c>
      <c r="AG6">
        <f>IF(AND('06 Exr'!E6&lt;Tmax, NOT('06 Exr'!$H6="")),'06 Exr'!$H6,4)</f>
        <v>4</v>
      </c>
      <c r="AH6">
        <f>IF(AND('06 Exr'!F6&lt;Tmax, NOT('06 Exr'!$H6="")),'06 Exr'!$H6,4)</f>
        <v>4</v>
      </c>
      <c r="AI6"/>
    </row>
    <row r="7" spans="1:35" ht="22.5" outlineLevel="2" x14ac:dyDescent="0.2">
      <c r="A7" s="636" t="s">
        <v>2142</v>
      </c>
      <c r="B7" s="636" t="s">
        <v>3201</v>
      </c>
      <c r="C7" s="786"/>
      <c r="D7" s="1158"/>
      <c r="E7" s="1158"/>
      <c r="F7" s="822"/>
      <c r="G7" s="1473">
        <v>2</v>
      </c>
      <c r="H7" s="1473">
        <v>2</v>
      </c>
      <c r="I7" s="1473"/>
      <c r="J7" s="1473" t="s">
        <v>2329</v>
      </c>
      <c r="K7" s="1472"/>
      <c r="L7" s="1472"/>
      <c r="M7" s="854"/>
      <c r="AA7">
        <f>IF(AND('06 Exr'!C7&gt;Tmin, NOT('06 Exr'!$I7="")),'06 Exr'!$I7,0)</f>
        <v>0</v>
      </c>
      <c r="AB7">
        <f>IF(AND('06 Exr'!D7&gt;Tmin, NOT('06 Exr'!$I7="")),'06 Exr'!$I7,0)</f>
        <v>0</v>
      </c>
      <c r="AC7">
        <f>IF(AND('06 Exr'!E7&gt;Tmin, NOT('06 Exr'!$I7="")),'06 Exr'!$I7,0)</f>
        <v>0</v>
      </c>
      <c r="AD7">
        <f>IF(AND('06 Exr'!F7&gt;Tmin, NOT('06 Exr'!$I7="")),'06 Exr'!$I7,0)</f>
        <v>0</v>
      </c>
      <c r="AE7">
        <f>IF(AND('06 Exr'!C7&lt;Tmax, NOT('06 Exr'!$H7="")),'06 Exr'!$H7,4)</f>
        <v>2</v>
      </c>
      <c r="AF7">
        <f>IF(AND('06 Exr'!D7&lt;Tmax, NOT('06 Exr'!$H7="")),'06 Exr'!$H7,4)</f>
        <v>2</v>
      </c>
      <c r="AG7">
        <f>IF(AND('06 Exr'!E7&lt;Tmax, NOT('06 Exr'!$H7="")),'06 Exr'!$H7,4)</f>
        <v>2</v>
      </c>
      <c r="AH7">
        <f>IF(AND('06 Exr'!F7&lt;Tmax, NOT('06 Exr'!$H7="")),'06 Exr'!$H7,4)</f>
        <v>2</v>
      </c>
      <c r="AI7"/>
    </row>
    <row r="8" spans="1:35" ht="45" outlineLevel="2" x14ac:dyDescent="0.2">
      <c r="A8" s="636" t="s">
        <v>3202</v>
      </c>
      <c r="B8" s="636" t="s">
        <v>3831</v>
      </c>
      <c r="C8" s="786"/>
      <c r="D8" s="1158"/>
      <c r="E8" s="1158"/>
      <c r="F8" s="822"/>
      <c r="G8" s="1473">
        <v>4</v>
      </c>
      <c r="H8" s="1473">
        <v>2</v>
      </c>
      <c r="I8" s="1473"/>
      <c r="J8" s="1473" t="s">
        <v>2329</v>
      </c>
      <c r="K8" s="1472"/>
      <c r="L8" s="1472"/>
      <c r="M8" s="854"/>
      <c r="AA8">
        <f>IF(AND('06 Exr'!C8&gt;Tmin, NOT('06 Exr'!$I8="")),'06 Exr'!$I8,0)</f>
        <v>0</v>
      </c>
      <c r="AB8">
        <f>IF(AND('06 Exr'!D8&gt;Tmin, NOT('06 Exr'!$I8="")),'06 Exr'!$I8,0)</f>
        <v>0</v>
      </c>
      <c r="AC8">
        <f>IF(AND('06 Exr'!E8&gt;Tmin, NOT('06 Exr'!$I8="")),'06 Exr'!$I8,0)</f>
        <v>0</v>
      </c>
      <c r="AD8">
        <f>IF(AND('06 Exr'!F8&gt;Tmin, NOT('06 Exr'!$I8="")),'06 Exr'!$I8,0)</f>
        <v>0</v>
      </c>
      <c r="AE8">
        <f>IF(AND('06 Exr'!C8&lt;Tmax, NOT('06 Exr'!$H8="")),'06 Exr'!$H8,4)</f>
        <v>2</v>
      </c>
      <c r="AF8">
        <f>IF(AND('06 Exr'!D8&lt;Tmax, NOT('06 Exr'!$H8="")),'06 Exr'!$H8,4)</f>
        <v>2</v>
      </c>
      <c r="AG8">
        <f>IF(AND('06 Exr'!E8&lt;Tmax, NOT('06 Exr'!$H8="")),'06 Exr'!$H8,4)</f>
        <v>2</v>
      </c>
      <c r="AH8">
        <f>IF(AND('06 Exr'!F8&lt;Tmax, NOT('06 Exr'!$H8="")),'06 Exr'!$H8,4)</f>
        <v>2</v>
      </c>
      <c r="AI8"/>
    </row>
    <row r="9" spans="1:35" ht="27.75" customHeight="1" outlineLevel="2" x14ac:dyDescent="0.2">
      <c r="A9" s="636" t="s">
        <v>3203</v>
      </c>
      <c r="B9" s="636" t="s">
        <v>4191</v>
      </c>
      <c r="C9" s="786"/>
      <c r="D9" s="1158"/>
      <c r="E9" s="1158"/>
      <c r="F9" s="822"/>
      <c r="G9" s="1473">
        <v>4</v>
      </c>
      <c r="H9" s="1473">
        <v>3</v>
      </c>
      <c r="I9" s="1473"/>
      <c r="J9" s="1473" t="s">
        <v>2329</v>
      </c>
      <c r="K9" s="1472"/>
      <c r="L9" s="1472"/>
      <c r="M9" s="854"/>
      <c r="AA9">
        <f>IF(AND('06 Exr'!C9&gt;Tmin, NOT('06 Exr'!$I9="")),'06 Exr'!$I9,0)</f>
        <v>0</v>
      </c>
      <c r="AB9">
        <f>IF(AND('06 Exr'!D9&gt;Tmin, NOT('06 Exr'!$I9="")),'06 Exr'!$I9,0)</f>
        <v>0</v>
      </c>
      <c r="AC9">
        <f>IF(AND('06 Exr'!E9&gt;Tmin, NOT('06 Exr'!$I9="")),'06 Exr'!$I9,0)</f>
        <v>0</v>
      </c>
      <c r="AD9">
        <f>IF(AND('06 Exr'!F9&gt;Tmin, NOT('06 Exr'!$I9="")),'06 Exr'!$I9,0)</f>
        <v>0</v>
      </c>
      <c r="AE9">
        <f>IF(AND('06 Exr'!C9&lt;Tmax, NOT('06 Exr'!$H9="")),'06 Exr'!$H9,4)</f>
        <v>3</v>
      </c>
      <c r="AF9">
        <f>IF(AND('06 Exr'!D9&lt;Tmax, NOT('06 Exr'!$H9="")),'06 Exr'!$H9,4)</f>
        <v>3</v>
      </c>
      <c r="AG9">
        <f>IF(AND('06 Exr'!E9&lt;Tmax, NOT('06 Exr'!$H9="")),'06 Exr'!$H9,4)</f>
        <v>3</v>
      </c>
      <c r="AH9">
        <f>IF(AND('06 Exr'!F9&lt;Tmax, NOT('06 Exr'!$H9="")),'06 Exr'!$H9,4)</f>
        <v>3</v>
      </c>
      <c r="AI9"/>
    </row>
    <row r="10" spans="1:35" ht="33.75" outlineLevel="2" x14ac:dyDescent="0.2">
      <c r="A10" s="636" t="s">
        <v>4192</v>
      </c>
      <c r="B10" s="636" t="s">
        <v>4158</v>
      </c>
      <c r="C10" s="786"/>
      <c r="D10" s="1158"/>
      <c r="E10" s="1158"/>
      <c r="F10" s="822"/>
      <c r="G10" s="1473">
        <v>4</v>
      </c>
      <c r="H10" s="1473">
        <v>3</v>
      </c>
      <c r="I10" s="1473"/>
      <c r="J10" s="1473" t="s">
        <v>1592</v>
      </c>
      <c r="K10" s="1472"/>
      <c r="L10" s="1472"/>
      <c r="M10" s="854"/>
      <c r="AA10">
        <f>IF(AND('06 Exr'!C10&gt;Tmin, NOT('06 Exr'!$I10="")),'06 Exr'!$I10,0)</f>
        <v>0</v>
      </c>
      <c r="AB10">
        <f>IF(AND('06 Exr'!D10&gt;Tmin, NOT('06 Exr'!$I10="")),'06 Exr'!$I10,0)</f>
        <v>0</v>
      </c>
      <c r="AC10">
        <f>IF(AND('06 Exr'!E10&gt;Tmin, NOT('06 Exr'!$I10="")),'06 Exr'!$I10,0)</f>
        <v>0</v>
      </c>
      <c r="AD10">
        <f>IF(AND('06 Exr'!F10&gt;Tmin, NOT('06 Exr'!$I10="")),'06 Exr'!$I10,0)</f>
        <v>0</v>
      </c>
      <c r="AE10">
        <f>IF(AND('06 Exr'!C10&lt;Tmax, NOT('06 Exr'!$H10="")),'06 Exr'!$H10,4)</f>
        <v>3</v>
      </c>
      <c r="AF10">
        <f>IF(AND('06 Exr'!D10&lt;Tmax, NOT('06 Exr'!$H10="")),'06 Exr'!$H10,4)</f>
        <v>3</v>
      </c>
      <c r="AG10">
        <f>IF(AND('06 Exr'!E10&lt;Tmax, NOT('06 Exr'!$H10="")),'06 Exr'!$H10,4)</f>
        <v>3</v>
      </c>
      <c r="AH10">
        <f>IF(AND('06 Exr'!F10&lt;Tmax, NOT('06 Exr'!$H10="")),'06 Exr'!$H10,4)</f>
        <v>3</v>
      </c>
      <c r="AI10"/>
    </row>
    <row r="11" spans="1:35" ht="45" outlineLevel="2" x14ac:dyDescent="0.2">
      <c r="A11" s="636" t="s">
        <v>4193</v>
      </c>
      <c r="B11" s="636" t="s">
        <v>4467</v>
      </c>
      <c r="C11" s="786"/>
      <c r="D11" s="1158"/>
      <c r="E11" s="1158"/>
      <c r="F11" s="822"/>
      <c r="G11" s="1473">
        <v>4</v>
      </c>
      <c r="H11" s="1473">
        <v>2</v>
      </c>
      <c r="I11" s="1474"/>
      <c r="J11" s="1474" t="s">
        <v>1592</v>
      </c>
      <c r="K11" s="1472"/>
      <c r="L11" s="1472"/>
      <c r="M11" s="854"/>
      <c r="AA11">
        <f>IF(AND('06 Exr'!C11&gt;Tmin, NOT('06 Exr'!$I11="")),'06 Exr'!$I11,0)</f>
        <v>0</v>
      </c>
      <c r="AB11">
        <f>IF(AND('06 Exr'!D11&gt;Tmin, NOT('06 Exr'!$I11="")),'06 Exr'!$I11,0)</f>
        <v>0</v>
      </c>
      <c r="AC11">
        <f>IF(AND('06 Exr'!E11&gt;Tmin, NOT('06 Exr'!$I11="")),'06 Exr'!$I11,0)</f>
        <v>0</v>
      </c>
      <c r="AD11">
        <f>IF(AND('06 Exr'!F11&gt;Tmin, NOT('06 Exr'!$I11="")),'06 Exr'!$I11,0)</f>
        <v>0</v>
      </c>
      <c r="AE11">
        <f>IF(AND('06 Exr'!C11&lt;Tmax, NOT('06 Exr'!$H11="")),'06 Exr'!$H11,4)</f>
        <v>2</v>
      </c>
      <c r="AF11">
        <f>IF(AND('06 Exr'!D11&lt;Tmax, NOT('06 Exr'!$H11="")),'06 Exr'!$H11,4)</f>
        <v>2</v>
      </c>
      <c r="AG11">
        <f>IF(AND('06 Exr'!E11&lt;Tmax, NOT('06 Exr'!$H11="")),'06 Exr'!$H11,4)</f>
        <v>2</v>
      </c>
      <c r="AH11">
        <f>IF(AND('06 Exr'!F11&lt;Tmax, NOT('06 Exr'!$H11="")),'06 Exr'!$H11,4)</f>
        <v>2</v>
      </c>
      <c r="AI11"/>
    </row>
    <row r="12" spans="1:35" outlineLevel="2" x14ac:dyDescent="0.2">
      <c r="A12" s="636" t="s">
        <v>4194</v>
      </c>
      <c r="B12" s="636" t="s">
        <v>4195</v>
      </c>
      <c r="C12" s="786"/>
      <c r="D12" s="1158"/>
      <c r="E12" s="1158"/>
      <c r="F12" s="822"/>
      <c r="G12" s="1473">
        <v>2</v>
      </c>
      <c r="H12" s="1473"/>
      <c r="I12" s="1473"/>
      <c r="J12" s="1473" t="s">
        <v>1592</v>
      </c>
      <c r="K12" s="1472"/>
      <c r="L12" s="1472"/>
      <c r="M12" s="854"/>
      <c r="AA12">
        <f>IF(AND('06 Exr'!C12&gt;Tmin, NOT('06 Exr'!$I12="")),'06 Exr'!$I12,0)</f>
        <v>0</v>
      </c>
      <c r="AB12">
        <f>IF(AND('06 Exr'!D12&gt;Tmin, NOT('06 Exr'!$I12="")),'06 Exr'!$I12,0)</f>
        <v>0</v>
      </c>
      <c r="AC12">
        <f>IF(AND('06 Exr'!E12&gt;Tmin, NOT('06 Exr'!$I12="")),'06 Exr'!$I12,0)</f>
        <v>0</v>
      </c>
      <c r="AD12">
        <f>IF(AND('06 Exr'!F12&gt;Tmin, NOT('06 Exr'!$I12="")),'06 Exr'!$I12,0)</f>
        <v>0</v>
      </c>
      <c r="AE12">
        <f>IF(AND('06 Exr'!C12&lt;Tmax, NOT('06 Exr'!$H12="")),'06 Exr'!$H12,4)</f>
        <v>4</v>
      </c>
      <c r="AF12">
        <f>IF(AND('06 Exr'!D12&lt;Tmax, NOT('06 Exr'!$H12="")),'06 Exr'!$H12,4)</f>
        <v>4</v>
      </c>
      <c r="AG12">
        <f>IF(AND('06 Exr'!E12&lt;Tmax, NOT('06 Exr'!$H12="")),'06 Exr'!$H12,4)</f>
        <v>4</v>
      </c>
      <c r="AH12">
        <f>IF(AND('06 Exr'!F12&lt;Tmax, NOT('06 Exr'!$H12="")),'06 Exr'!$H12,4)</f>
        <v>4</v>
      </c>
      <c r="AI12"/>
    </row>
    <row r="13" spans="1:35" ht="22.5" outlineLevel="2" x14ac:dyDescent="0.2">
      <c r="A13" s="636" t="s">
        <v>4196</v>
      </c>
      <c r="B13" s="636" t="s">
        <v>3154</v>
      </c>
      <c r="C13" s="786"/>
      <c r="D13" s="1158"/>
      <c r="E13" s="1158"/>
      <c r="F13" s="822"/>
      <c r="G13" s="1473">
        <v>2</v>
      </c>
      <c r="H13" s="1473">
        <v>3</v>
      </c>
      <c r="I13" s="1474"/>
      <c r="J13" s="1473" t="s">
        <v>2349</v>
      </c>
      <c r="K13" s="1472"/>
      <c r="L13" s="1472"/>
      <c r="M13" s="854"/>
      <c r="AA13">
        <f>IF(AND('06 Exr'!C13&gt;Tmin, NOT('06 Exr'!$I13="")),'06 Exr'!$I13,0)</f>
        <v>0</v>
      </c>
      <c r="AB13">
        <f>IF(AND('06 Exr'!D13&gt;Tmin, NOT('06 Exr'!$I13="")),'06 Exr'!$I13,0)</f>
        <v>0</v>
      </c>
      <c r="AC13">
        <f>IF(AND('06 Exr'!E13&gt;Tmin, NOT('06 Exr'!$I13="")),'06 Exr'!$I13,0)</f>
        <v>0</v>
      </c>
      <c r="AD13">
        <f>IF(AND('06 Exr'!F13&gt;Tmin, NOT('06 Exr'!$I13="")),'06 Exr'!$I13,0)</f>
        <v>0</v>
      </c>
      <c r="AE13">
        <f>IF(AND('06 Exr'!C13&lt;Tmax, NOT('06 Exr'!$H13="")),'06 Exr'!$H13,4)</f>
        <v>3</v>
      </c>
      <c r="AF13">
        <f>IF(AND('06 Exr'!D13&lt;Tmax, NOT('06 Exr'!$H13="")),'06 Exr'!$H13,4)</f>
        <v>3</v>
      </c>
      <c r="AG13">
        <f>IF(AND('06 Exr'!E13&lt;Tmax, NOT('06 Exr'!$H13="")),'06 Exr'!$H13,4)</f>
        <v>3</v>
      </c>
      <c r="AH13">
        <f>IF(AND('06 Exr'!F13&lt;Tmax, NOT('06 Exr'!$H13="")),'06 Exr'!$H13,4)</f>
        <v>3</v>
      </c>
      <c r="AI13"/>
    </row>
    <row r="14" spans="1:35" ht="22.5" outlineLevel="2" x14ac:dyDescent="0.2">
      <c r="A14" s="636" t="s">
        <v>4197</v>
      </c>
      <c r="B14" s="636" t="s">
        <v>2709</v>
      </c>
      <c r="C14" s="786"/>
      <c r="D14" s="1158"/>
      <c r="E14" s="1158"/>
      <c r="F14" s="822"/>
      <c r="G14" s="1473">
        <v>2</v>
      </c>
      <c r="H14" s="1473">
        <v>3</v>
      </c>
      <c r="I14" s="1474"/>
      <c r="J14" s="1473" t="s">
        <v>2349</v>
      </c>
      <c r="K14" s="1472"/>
      <c r="L14" s="1472"/>
      <c r="M14" s="854"/>
      <c r="AA14">
        <f>IF(AND('06 Exr'!C14&gt;Tmin, NOT('06 Exr'!$I14="")),'06 Exr'!$I14,0)</f>
        <v>0</v>
      </c>
      <c r="AB14">
        <f>IF(AND('06 Exr'!D14&gt;Tmin, NOT('06 Exr'!$I14="")),'06 Exr'!$I14,0)</f>
        <v>0</v>
      </c>
      <c r="AC14">
        <f>IF(AND('06 Exr'!E14&gt;Tmin, NOT('06 Exr'!$I14="")),'06 Exr'!$I14,0)</f>
        <v>0</v>
      </c>
      <c r="AD14">
        <f>IF(AND('06 Exr'!F14&gt;Tmin, NOT('06 Exr'!$I14="")),'06 Exr'!$I14,0)</f>
        <v>0</v>
      </c>
      <c r="AE14">
        <f>IF(AND('06 Exr'!C14&lt;Tmax, NOT('06 Exr'!$H14="")),'06 Exr'!$H14,4)</f>
        <v>3</v>
      </c>
      <c r="AF14">
        <f>IF(AND('06 Exr'!D14&lt;Tmax, NOT('06 Exr'!$H14="")),'06 Exr'!$H14,4)</f>
        <v>3</v>
      </c>
      <c r="AG14">
        <f>IF(AND('06 Exr'!E14&lt;Tmax, NOT('06 Exr'!$H14="")),'06 Exr'!$H14,4)</f>
        <v>3</v>
      </c>
      <c r="AH14">
        <f>IF(AND('06 Exr'!F14&lt;Tmax, NOT('06 Exr'!$H14="")),'06 Exr'!$H14,4)</f>
        <v>3</v>
      </c>
      <c r="AI14"/>
    </row>
    <row r="15" spans="1:35" s="643" customFormat="1" ht="26.25" customHeight="1" outlineLevel="2" x14ac:dyDescent="0.2">
      <c r="A15" s="636" t="s">
        <v>4198</v>
      </c>
      <c r="B15" s="636" t="s">
        <v>5699</v>
      </c>
      <c r="C15" s="786"/>
      <c r="D15" s="1158"/>
      <c r="E15" s="1158"/>
      <c r="F15" s="822"/>
      <c r="G15" s="1473">
        <v>2</v>
      </c>
      <c r="H15" s="1473">
        <v>3</v>
      </c>
      <c r="I15" s="1474"/>
      <c r="J15" s="1473" t="s">
        <v>2109</v>
      </c>
      <c r="K15" s="1472"/>
      <c r="L15" s="1472"/>
      <c r="M15" s="854"/>
      <c r="N15" s="679"/>
      <c r="O15" s="679"/>
      <c r="P15" s="679"/>
      <c r="Q15" s="679"/>
      <c r="R15" s="679"/>
      <c r="S15" s="679"/>
      <c r="T15" s="679"/>
      <c r="U15" s="679"/>
      <c r="V15" s="679"/>
      <c r="W15" s="679"/>
      <c r="X15" s="679"/>
      <c r="Y15" s="679"/>
      <c r="Z15" s="679"/>
      <c r="AA15">
        <f>IF(AND('06 Exr'!C15&gt;Tmin, NOT('06 Exr'!$I15="")),'06 Exr'!$I15,0)</f>
        <v>0</v>
      </c>
      <c r="AB15">
        <f>IF(AND('06 Exr'!D15&gt;Tmin, NOT('06 Exr'!$I15="")),'06 Exr'!$I15,0)</f>
        <v>0</v>
      </c>
      <c r="AC15">
        <f>IF(AND('06 Exr'!E15&gt;Tmin, NOT('06 Exr'!$I15="")),'06 Exr'!$I15,0)</f>
        <v>0</v>
      </c>
      <c r="AD15">
        <f>IF(AND('06 Exr'!F15&gt;Tmin, NOT('06 Exr'!$I15="")),'06 Exr'!$I15,0)</f>
        <v>0</v>
      </c>
      <c r="AE15">
        <f>IF(AND('06 Exr'!C15&lt;Tmax, NOT('06 Exr'!$H15="")),'06 Exr'!$H15,4)</f>
        <v>3</v>
      </c>
      <c r="AF15">
        <f>IF(AND('06 Exr'!D15&lt;Tmax, NOT('06 Exr'!$H15="")),'06 Exr'!$H15,4)</f>
        <v>3</v>
      </c>
      <c r="AG15">
        <f>IF(AND('06 Exr'!E15&lt;Tmax, NOT('06 Exr'!$H15="")),'06 Exr'!$H15,4)</f>
        <v>3</v>
      </c>
      <c r="AH15">
        <f>IF(AND('06 Exr'!F15&lt;Tmax, NOT('06 Exr'!$H15="")),'06 Exr'!$H15,4)</f>
        <v>3</v>
      </c>
      <c r="AI15"/>
    </row>
    <row r="16" spans="1:35" ht="24.75" customHeight="1" outlineLevel="1" x14ac:dyDescent="0.2">
      <c r="A16" s="633" t="s">
        <v>4530</v>
      </c>
      <c r="B16" s="634" t="s">
        <v>4510</v>
      </c>
      <c r="C16" s="786"/>
      <c r="D16" s="1158"/>
      <c r="E16" s="1158"/>
      <c r="F16" s="822"/>
      <c r="G16" s="1473"/>
      <c r="H16" s="1473"/>
      <c r="I16" s="1473"/>
      <c r="J16" s="1473"/>
      <c r="K16" s="1472"/>
      <c r="L16" s="1472"/>
      <c r="M16" s="854"/>
      <c r="AA16"/>
      <c r="AB16"/>
      <c r="AC16"/>
      <c r="AD16"/>
      <c r="AE16"/>
      <c r="AF16"/>
      <c r="AG16"/>
      <c r="AH16"/>
      <c r="AI16"/>
    </row>
    <row r="17" spans="1:35" ht="22.5" outlineLevel="2" x14ac:dyDescent="0.2">
      <c r="A17" s="636" t="s">
        <v>5700</v>
      </c>
      <c r="B17" s="636" t="s">
        <v>5712</v>
      </c>
      <c r="C17" s="786"/>
      <c r="D17" s="1158"/>
      <c r="E17" s="1158"/>
      <c r="F17" s="822"/>
      <c r="G17" s="1473">
        <v>2</v>
      </c>
      <c r="H17" s="1473">
        <v>2</v>
      </c>
      <c r="I17" s="1473"/>
      <c r="J17" s="1473" t="s">
        <v>4246</v>
      </c>
      <c r="K17" s="1472" t="s">
        <v>6976</v>
      </c>
      <c r="L17" s="1472" t="s">
        <v>5713</v>
      </c>
      <c r="M17" s="854"/>
      <c r="AA17">
        <f>IF(AND('06 Exr'!C17&gt;Tmin, NOT('06 Exr'!$I17="")),'06 Exr'!$I17,0)</f>
        <v>0</v>
      </c>
      <c r="AB17">
        <f>IF(AND('06 Exr'!D17&gt;Tmin, NOT('06 Exr'!$I17="")),'06 Exr'!$I17,0)</f>
        <v>0</v>
      </c>
      <c r="AC17">
        <f>IF(AND('06 Exr'!E17&gt;Tmin, NOT('06 Exr'!$I17="")),'06 Exr'!$I17,0)</f>
        <v>0</v>
      </c>
      <c r="AD17">
        <f>IF(AND('06 Exr'!F17&gt;Tmin, NOT('06 Exr'!$I17="")),'06 Exr'!$I17,0)</f>
        <v>0</v>
      </c>
      <c r="AE17">
        <f>IF(AND('06 Exr'!C17&lt;Tmax, NOT('06 Exr'!$H17="")),'06 Exr'!$H17,4)</f>
        <v>2</v>
      </c>
      <c r="AF17">
        <f>IF(AND('06 Exr'!D17&lt;Tmax, NOT('06 Exr'!$H17="")),'06 Exr'!$H17,4)</f>
        <v>2</v>
      </c>
      <c r="AG17">
        <f>IF(AND('06 Exr'!E17&lt;Tmax, NOT('06 Exr'!$H17="")),'06 Exr'!$H17,4)</f>
        <v>2</v>
      </c>
      <c r="AH17">
        <f>IF(AND('06 Exr'!F17&lt;Tmax, NOT('06 Exr'!$H17="")),'06 Exr'!$H17,4)</f>
        <v>2</v>
      </c>
      <c r="AI17"/>
    </row>
    <row r="18" spans="1:35" ht="22.5" outlineLevel="2" x14ac:dyDescent="0.2">
      <c r="A18" s="636" t="s">
        <v>5714</v>
      </c>
      <c r="B18" s="636" t="s">
        <v>5664</v>
      </c>
      <c r="C18" s="786"/>
      <c r="D18" s="1158"/>
      <c r="E18" s="1158"/>
      <c r="F18" s="822"/>
      <c r="G18" s="1473">
        <v>2</v>
      </c>
      <c r="H18" s="1473"/>
      <c r="I18" s="1473"/>
      <c r="J18" s="1473" t="s">
        <v>1592</v>
      </c>
      <c r="K18" s="1472" t="s">
        <v>6977</v>
      </c>
      <c r="L18" s="1472" t="s">
        <v>7325</v>
      </c>
      <c r="M18" s="854"/>
      <c r="AA18">
        <f>IF(AND('06 Exr'!C18&gt;Tmin, NOT('06 Exr'!$I18="")),'06 Exr'!$I18,0)</f>
        <v>0</v>
      </c>
      <c r="AB18">
        <f>IF(AND('06 Exr'!D18&gt;Tmin, NOT('06 Exr'!$I18="")),'06 Exr'!$I18,0)</f>
        <v>0</v>
      </c>
      <c r="AC18">
        <f>IF(AND('06 Exr'!E18&gt;Tmin, NOT('06 Exr'!$I18="")),'06 Exr'!$I18,0)</f>
        <v>0</v>
      </c>
      <c r="AD18">
        <f>IF(AND('06 Exr'!F18&gt;Tmin, NOT('06 Exr'!$I18="")),'06 Exr'!$I18,0)</f>
        <v>0</v>
      </c>
      <c r="AE18">
        <f>IF(AND('06 Exr'!C18&lt;Tmax, NOT('06 Exr'!$H18="")),'06 Exr'!$H18,4)</f>
        <v>4</v>
      </c>
      <c r="AF18">
        <f>IF(AND('06 Exr'!D18&lt;Tmax, NOT('06 Exr'!$H18="")),'06 Exr'!$H18,4)</f>
        <v>4</v>
      </c>
      <c r="AG18">
        <f>IF(AND('06 Exr'!E18&lt;Tmax, NOT('06 Exr'!$H18="")),'06 Exr'!$H18,4)</f>
        <v>4</v>
      </c>
      <c r="AH18">
        <f>IF(AND('06 Exr'!F18&lt;Tmax, NOT('06 Exr'!$H18="")),'06 Exr'!$H18,4)</f>
        <v>4</v>
      </c>
      <c r="AI18"/>
    </row>
    <row r="19" spans="1:35" ht="36" customHeight="1" outlineLevel="2" x14ac:dyDescent="0.2">
      <c r="A19" s="636" t="s">
        <v>5665</v>
      </c>
      <c r="B19" s="636" t="s">
        <v>3263</v>
      </c>
      <c r="C19" s="786"/>
      <c r="D19" s="1158"/>
      <c r="E19" s="1158"/>
      <c r="F19" s="822"/>
      <c r="G19" s="1473">
        <v>2</v>
      </c>
      <c r="H19" s="1473"/>
      <c r="I19" s="1473"/>
      <c r="J19" s="1473" t="s">
        <v>1592</v>
      </c>
      <c r="K19" s="1472" t="s">
        <v>2952</v>
      </c>
      <c r="L19" s="1472" t="s">
        <v>3264</v>
      </c>
      <c r="M19" s="854"/>
      <c r="AA19">
        <f>IF(AND('06 Exr'!C19&gt;Tmin, NOT('06 Exr'!$I19="")),'06 Exr'!$I19,0)</f>
        <v>0</v>
      </c>
      <c r="AB19">
        <f>IF(AND('06 Exr'!D19&gt;Tmin, NOT('06 Exr'!$I19="")),'06 Exr'!$I19,0)</f>
        <v>0</v>
      </c>
      <c r="AC19">
        <f>IF(AND('06 Exr'!E19&gt;Tmin, NOT('06 Exr'!$I19="")),'06 Exr'!$I19,0)</f>
        <v>0</v>
      </c>
      <c r="AD19">
        <f>IF(AND('06 Exr'!F19&gt;Tmin, NOT('06 Exr'!$I19="")),'06 Exr'!$I19,0)</f>
        <v>0</v>
      </c>
      <c r="AE19">
        <f>IF(AND('06 Exr'!C19&lt;Tmax, NOT('06 Exr'!$H19="")),'06 Exr'!$H19,4)</f>
        <v>4</v>
      </c>
      <c r="AF19">
        <f>IF(AND('06 Exr'!D19&lt;Tmax, NOT('06 Exr'!$H19="")),'06 Exr'!$H19,4)</f>
        <v>4</v>
      </c>
      <c r="AG19">
        <f>IF(AND('06 Exr'!E19&lt;Tmax, NOT('06 Exr'!$H19="")),'06 Exr'!$H19,4)</f>
        <v>4</v>
      </c>
      <c r="AH19">
        <f>IF(AND('06 Exr'!F19&lt;Tmax, NOT('06 Exr'!$H19="")),'06 Exr'!$H19,4)</f>
        <v>4</v>
      </c>
      <c r="AI19"/>
    </row>
    <row r="20" spans="1:35" ht="24" customHeight="1" outlineLevel="2" x14ac:dyDescent="0.2">
      <c r="A20" s="636" t="s">
        <v>3265</v>
      </c>
      <c r="B20" s="636" t="s">
        <v>4468</v>
      </c>
      <c r="C20" s="786"/>
      <c r="D20" s="1158"/>
      <c r="E20" s="1158"/>
      <c r="F20" s="824"/>
      <c r="G20" s="1473">
        <v>2</v>
      </c>
      <c r="H20" s="1473"/>
      <c r="I20" s="1473"/>
      <c r="J20" s="1473" t="s">
        <v>1592</v>
      </c>
      <c r="K20" s="1472" t="s">
        <v>7116</v>
      </c>
      <c r="L20" s="1472" t="s">
        <v>7326</v>
      </c>
      <c r="M20" s="854"/>
      <c r="AA20">
        <f>IF(AND('06 Exr'!C20&gt;Tmin, NOT('06 Exr'!$I20="")),'06 Exr'!$I20,0)</f>
        <v>0</v>
      </c>
      <c r="AB20">
        <f>IF(AND('06 Exr'!D20&gt;Tmin, NOT('06 Exr'!$I20="")),'06 Exr'!$I20,0)</f>
        <v>0</v>
      </c>
      <c r="AC20">
        <f>IF(AND('06 Exr'!E20&gt;Tmin, NOT('06 Exr'!$I20="")),'06 Exr'!$I20,0)</f>
        <v>0</v>
      </c>
      <c r="AD20">
        <f>IF(AND('06 Exr'!F20&gt;Tmin, NOT('06 Exr'!$I20="")),'06 Exr'!$I20,0)</f>
        <v>0</v>
      </c>
      <c r="AE20">
        <f>IF(AND('06 Exr'!C20&lt;Tmax, NOT('06 Exr'!$H20="")),'06 Exr'!$H20,4)</f>
        <v>4</v>
      </c>
      <c r="AF20">
        <f>IF(AND('06 Exr'!D20&lt;Tmax, NOT('06 Exr'!$H20="")),'06 Exr'!$H20,4)</f>
        <v>4</v>
      </c>
      <c r="AG20">
        <f>IF(AND('06 Exr'!E20&lt;Tmax, NOT('06 Exr'!$H20="")),'06 Exr'!$H20,4)</f>
        <v>4</v>
      </c>
      <c r="AH20">
        <f>IF(AND('06 Exr'!F20&lt;Tmax, NOT('06 Exr'!$H20="")),'06 Exr'!$H20,4)</f>
        <v>4</v>
      </c>
      <c r="AI20"/>
    </row>
    <row r="21" spans="1:35" outlineLevel="2" x14ac:dyDescent="0.2">
      <c r="A21" s="636" t="s">
        <v>5359</v>
      </c>
      <c r="B21" s="636" t="s">
        <v>911</v>
      </c>
      <c r="C21" s="786"/>
      <c r="D21" s="1158"/>
      <c r="E21" s="1158"/>
      <c r="F21" s="822"/>
      <c r="G21" s="1473">
        <v>2</v>
      </c>
      <c r="H21" s="1473">
        <v>2</v>
      </c>
      <c r="I21" s="1473"/>
      <c r="J21" s="1473" t="s">
        <v>1592</v>
      </c>
      <c r="K21" s="1472" t="s">
        <v>7116</v>
      </c>
      <c r="L21" s="1472" t="s">
        <v>7326</v>
      </c>
      <c r="M21" s="854"/>
      <c r="AA21">
        <f>IF(AND('06 Exr'!C21&gt;Tmin, NOT('06 Exr'!$I21="")),'06 Exr'!$I21,0)</f>
        <v>0</v>
      </c>
      <c r="AB21">
        <f>IF(AND('06 Exr'!D21&gt;Tmin, NOT('06 Exr'!$I21="")),'06 Exr'!$I21,0)</f>
        <v>0</v>
      </c>
      <c r="AC21">
        <f>IF(AND('06 Exr'!E21&gt;Tmin, NOT('06 Exr'!$I21="")),'06 Exr'!$I21,0)</f>
        <v>0</v>
      </c>
      <c r="AD21">
        <f>IF(AND('06 Exr'!F21&gt;Tmin, NOT('06 Exr'!$I21="")),'06 Exr'!$I21,0)</f>
        <v>0</v>
      </c>
      <c r="AE21">
        <f>IF(AND('06 Exr'!C21&lt;Tmax, NOT('06 Exr'!$H21="")),'06 Exr'!$H21,4)</f>
        <v>2</v>
      </c>
      <c r="AF21">
        <f>IF(AND('06 Exr'!D21&lt;Tmax, NOT('06 Exr'!$H21="")),'06 Exr'!$H21,4)</f>
        <v>2</v>
      </c>
      <c r="AG21">
        <f>IF(AND('06 Exr'!E21&lt;Tmax, NOT('06 Exr'!$H21="")),'06 Exr'!$H21,4)</f>
        <v>2</v>
      </c>
      <c r="AH21">
        <f>IF(AND('06 Exr'!F21&lt;Tmax, NOT('06 Exr'!$H21="")),'06 Exr'!$H21,4)</f>
        <v>2</v>
      </c>
      <c r="AI21"/>
    </row>
    <row r="22" spans="1:35" outlineLevel="2" x14ac:dyDescent="0.2">
      <c r="A22" s="636" t="s">
        <v>912</v>
      </c>
      <c r="B22" s="636" t="s">
        <v>913</v>
      </c>
      <c r="C22" s="786"/>
      <c r="D22" s="822"/>
      <c r="E22" s="822"/>
      <c r="F22" s="822"/>
      <c r="G22" s="1473">
        <v>1</v>
      </c>
      <c r="H22" s="1473"/>
      <c r="I22" s="1473"/>
      <c r="J22" s="1473" t="s">
        <v>2329</v>
      </c>
      <c r="K22" s="1472"/>
      <c r="L22" s="1472"/>
      <c r="M22" s="854"/>
      <c r="AA22">
        <f>IF(AND('06 Exr'!C22&gt;Tmin, NOT('06 Exr'!$I22="")),'06 Exr'!$I22,0)</f>
        <v>0</v>
      </c>
      <c r="AB22">
        <f>IF(AND('06 Exr'!D22&gt;Tmin, NOT('06 Exr'!$I22="")),'06 Exr'!$I22,0)</f>
        <v>0</v>
      </c>
      <c r="AC22">
        <f>IF(AND('06 Exr'!E22&gt;Tmin, NOT('06 Exr'!$I22="")),'06 Exr'!$I22,0)</f>
        <v>0</v>
      </c>
      <c r="AD22">
        <f>IF(AND('06 Exr'!F22&gt;Tmin, NOT('06 Exr'!$I22="")),'06 Exr'!$I22,0)</f>
        <v>0</v>
      </c>
      <c r="AE22">
        <f>IF(AND('06 Exr'!C22&lt;Tmax, NOT('06 Exr'!$H22="")),'06 Exr'!$H22,4)</f>
        <v>4</v>
      </c>
      <c r="AF22">
        <f>IF(AND('06 Exr'!D22&lt;Tmax, NOT('06 Exr'!$H22="")),'06 Exr'!$H22,4)</f>
        <v>4</v>
      </c>
      <c r="AG22">
        <f>IF(AND('06 Exr'!E22&lt;Tmax, NOT('06 Exr'!$H22="")),'06 Exr'!$H22,4)</f>
        <v>4</v>
      </c>
      <c r="AH22">
        <f>IF(AND('06 Exr'!F22&lt;Tmax, NOT('06 Exr'!$H22="")),'06 Exr'!$H22,4)</f>
        <v>4</v>
      </c>
      <c r="AI22"/>
    </row>
    <row r="23" spans="1:35" outlineLevel="2" x14ac:dyDescent="0.2">
      <c r="A23" s="636" t="s">
        <v>914</v>
      </c>
      <c r="B23" s="636" t="s">
        <v>915</v>
      </c>
      <c r="C23" s="786"/>
      <c r="D23" s="822"/>
      <c r="E23" s="822"/>
      <c r="F23" s="822"/>
      <c r="G23" s="1473">
        <v>4</v>
      </c>
      <c r="H23" s="1473"/>
      <c r="I23" s="1473"/>
      <c r="J23" s="1473" t="s">
        <v>2329</v>
      </c>
      <c r="K23" s="1472"/>
      <c r="L23" s="1472"/>
      <c r="M23" s="854"/>
      <c r="AA23">
        <f>IF(AND('06 Exr'!C23&gt;Tmin, NOT('06 Exr'!$I23="")),'06 Exr'!$I23,0)</f>
        <v>0</v>
      </c>
      <c r="AB23">
        <f>IF(AND('06 Exr'!D23&gt;Tmin, NOT('06 Exr'!$I23="")),'06 Exr'!$I23,0)</f>
        <v>0</v>
      </c>
      <c r="AC23">
        <f>IF(AND('06 Exr'!E23&gt;Tmin, NOT('06 Exr'!$I23="")),'06 Exr'!$I23,0)</f>
        <v>0</v>
      </c>
      <c r="AD23">
        <f>IF(AND('06 Exr'!F23&gt;Tmin, NOT('06 Exr'!$I23="")),'06 Exr'!$I23,0)</f>
        <v>0</v>
      </c>
      <c r="AE23">
        <f>IF(AND('06 Exr'!C23&lt;Tmax, NOT('06 Exr'!$H23="")),'06 Exr'!$H23,4)</f>
        <v>4</v>
      </c>
      <c r="AF23">
        <f>IF(AND('06 Exr'!D23&lt;Tmax, NOT('06 Exr'!$H23="")),'06 Exr'!$H23,4)</f>
        <v>4</v>
      </c>
      <c r="AG23">
        <f>IF(AND('06 Exr'!E23&lt;Tmax, NOT('06 Exr'!$H23="")),'06 Exr'!$H23,4)</f>
        <v>4</v>
      </c>
      <c r="AH23">
        <f>IF(AND('06 Exr'!F23&lt;Tmax, NOT('06 Exr'!$H23="")),'06 Exr'!$H23,4)</f>
        <v>4</v>
      </c>
      <c r="AI23"/>
    </row>
    <row r="24" spans="1:35" ht="22.5" outlineLevel="2" x14ac:dyDescent="0.2">
      <c r="A24" s="636" t="s">
        <v>916</v>
      </c>
      <c r="B24" s="636" t="s">
        <v>1358</v>
      </c>
      <c r="C24" s="786"/>
      <c r="D24" s="822"/>
      <c r="E24" s="822"/>
      <c r="F24" s="822"/>
      <c r="G24" s="1473">
        <v>4</v>
      </c>
      <c r="H24" s="1473"/>
      <c r="I24" s="1473"/>
      <c r="J24" s="1473" t="s">
        <v>1592</v>
      </c>
      <c r="K24" s="1472" t="s">
        <v>7021</v>
      </c>
      <c r="L24" s="1472" t="s">
        <v>7327</v>
      </c>
      <c r="M24" s="854"/>
      <c r="AA24">
        <f>IF(AND('06 Exr'!C24&gt;Tmin, NOT('06 Exr'!$I24="")),'06 Exr'!$I24,0)</f>
        <v>0</v>
      </c>
      <c r="AB24">
        <f>IF(AND('06 Exr'!D24&gt;Tmin, NOT('06 Exr'!$I24="")),'06 Exr'!$I24,0)</f>
        <v>0</v>
      </c>
      <c r="AC24">
        <f>IF(AND('06 Exr'!E24&gt;Tmin, NOT('06 Exr'!$I24="")),'06 Exr'!$I24,0)</f>
        <v>0</v>
      </c>
      <c r="AD24">
        <f>IF(AND('06 Exr'!F24&gt;Tmin, NOT('06 Exr'!$I24="")),'06 Exr'!$I24,0)</f>
        <v>0</v>
      </c>
      <c r="AE24">
        <f>IF(AND('06 Exr'!C24&lt;Tmax, NOT('06 Exr'!$H24="")),'06 Exr'!$H24,4)</f>
        <v>4</v>
      </c>
      <c r="AF24">
        <f>IF(AND('06 Exr'!D24&lt;Tmax, NOT('06 Exr'!$H24="")),'06 Exr'!$H24,4)</f>
        <v>4</v>
      </c>
      <c r="AG24">
        <f>IF(AND('06 Exr'!E24&lt;Tmax, NOT('06 Exr'!$H24="")),'06 Exr'!$H24,4)</f>
        <v>4</v>
      </c>
      <c r="AH24">
        <f>IF(AND('06 Exr'!F24&lt;Tmax, NOT('06 Exr'!$H24="")),'06 Exr'!$H24,4)</f>
        <v>4</v>
      </c>
      <c r="AI24"/>
    </row>
    <row r="25" spans="1:35" ht="35.25" customHeight="1" outlineLevel="2" x14ac:dyDescent="0.2">
      <c r="A25" s="636" t="s">
        <v>2524</v>
      </c>
      <c r="B25" s="636" t="s">
        <v>5291</v>
      </c>
      <c r="C25" s="786"/>
      <c r="D25" s="822"/>
      <c r="E25" s="822"/>
      <c r="F25" s="822"/>
      <c r="G25" s="1473">
        <v>4</v>
      </c>
      <c r="H25" s="1473"/>
      <c r="I25" s="1473"/>
      <c r="J25" s="1473" t="s">
        <v>1592</v>
      </c>
      <c r="K25" s="1472" t="s">
        <v>7021</v>
      </c>
      <c r="L25" s="1472" t="s">
        <v>7328</v>
      </c>
      <c r="M25" s="854"/>
      <c r="AA25">
        <f>IF(AND('06 Exr'!C25&gt;Tmin, NOT('06 Exr'!$I25="")),'06 Exr'!$I25,0)</f>
        <v>0</v>
      </c>
      <c r="AB25">
        <f>IF(AND('06 Exr'!D25&gt;Tmin, NOT('06 Exr'!$I25="")),'06 Exr'!$I25,0)</f>
        <v>0</v>
      </c>
      <c r="AC25">
        <f>IF(AND('06 Exr'!E25&gt;Tmin, NOT('06 Exr'!$I25="")),'06 Exr'!$I25,0)</f>
        <v>0</v>
      </c>
      <c r="AD25">
        <f>IF(AND('06 Exr'!F25&gt;Tmin, NOT('06 Exr'!$I25="")),'06 Exr'!$I25,0)</f>
        <v>0</v>
      </c>
      <c r="AE25">
        <f>IF(AND('06 Exr'!C25&lt;Tmax, NOT('06 Exr'!$H25="")),'06 Exr'!$H25,4)</f>
        <v>4</v>
      </c>
      <c r="AF25">
        <f>IF(AND('06 Exr'!D25&lt;Tmax, NOT('06 Exr'!$H25="")),'06 Exr'!$H25,4)</f>
        <v>4</v>
      </c>
      <c r="AG25">
        <f>IF(AND('06 Exr'!E25&lt;Tmax, NOT('06 Exr'!$H25="")),'06 Exr'!$H25,4)</f>
        <v>4</v>
      </c>
      <c r="AH25">
        <f>IF(AND('06 Exr'!F25&lt;Tmax, NOT('06 Exr'!$H25="")),'06 Exr'!$H25,4)</f>
        <v>4</v>
      </c>
      <c r="AI25"/>
    </row>
    <row r="26" spans="1:35" ht="23.25" customHeight="1" outlineLevel="2" x14ac:dyDescent="0.2">
      <c r="A26" s="636" t="s">
        <v>2525</v>
      </c>
      <c r="B26" s="636" t="s">
        <v>2526</v>
      </c>
      <c r="C26" s="786"/>
      <c r="D26" s="822"/>
      <c r="E26" s="822"/>
      <c r="F26" s="822"/>
      <c r="G26" s="1473">
        <v>4</v>
      </c>
      <c r="H26" s="1473"/>
      <c r="I26" s="1473"/>
      <c r="J26" s="1473" t="s">
        <v>1592</v>
      </c>
      <c r="K26" s="1472" t="s">
        <v>7021</v>
      </c>
      <c r="L26" s="1472" t="s">
        <v>7328</v>
      </c>
      <c r="M26" s="854"/>
      <c r="AA26">
        <f>IF(AND('06 Exr'!C26&gt;Tmin, NOT('06 Exr'!$I26="")),'06 Exr'!$I26,0)</f>
        <v>0</v>
      </c>
      <c r="AB26">
        <f>IF(AND('06 Exr'!D26&gt;Tmin, NOT('06 Exr'!$I26="")),'06 Exr'!$I26,0)</f>
        <v>0</v>
      </c>
      <c r="AC26">
        <f>IF(AND('06 Exr'!E26&gt;Tmin, NOT('06 Exr'!$I26="")),'06 Exr'!$I26,0)</f>
        <v>0</v>
      </c>
      <c r="AD26">
        <f>IF(AND('06 Exr'!F26&gt;Tmin, NOT('06 Exr'!$I26="")),'06 Exr'!$I26,0)</f>
        <v>0</v>
      </c>
      <c r="AE26">
        <f>IF(AND('06 Exr'!C26&lt;Tmax, NOT('06 Exr'!$H26="")),'06 Exr'!$H26,4)</f>
        <v>4</v>
      </c>
      <c r="AF26">
        <f>IF(AND('06 Exr'!D26&lt;Tmax, NOT('06 Exr'!$H26="")),'06 Exr'!$H26,4)</f>
        <v>4</v>
      </c>
      <c r="AG26">
        <f>IF(AND('06 Exr'!E26&lt;Tmax, NOT('06 Exr'!$H26="")),'06 Exr'!$H26,4)</f>
        <v>4</v>
      </c>
      <c r="AH26">
        <f>IF(AND('06 Exr'!F26&lt;Tmax, NOT('06 Exr'!$H26="")),'06 Exr'!$H26,4)</f>
        <v>4</v>
      </c>
      <c r="AI26"/>
    </row>
    <row r="27" spans="1:35" ht="14.25" customHeight="1" outlineLevel="2" x14ac:dyDescent="0.2">
      <c r="A27" s="636" t="s">
        <v>2527</v>
      </c>
      <c r="B27" s="636" t="s">
        <v>2321</v>
      </c>
      <c r="C27" s="786"/>
      <c r="D27" s="822"/>
      <c r="E27" s="822"/>
      <c r="F27" s="822"/>
      <c r="G27" s="1473">
        <v>2</v>
      </c>
      <c r="H27" s="1473"/>
      <c r="I27" s="1473"/>
      <c r="J27" s="1473" t="s">
        <v>1592</v>
      </c>
      <c r="K27" s="1472" t="s">
        <v>7021</v>
      </c>
      <c r="L27" s="1472" t="s">
        <v>7327</v>
      </c>
      <c r="M27" s="854"/>
      <c r="AA27">
        <f>IF(AND('06 Exr'!C27&gt;Tmin, NOT('06 Exr'!$I27="")),'06 Exr'!$I27,0)</f>
        <v>0</v>
      </c>
      <c r="AB27">
        <f>IF(AND('06 Exr'!D27&gt;Tmin, NOT('06 Exr'!$I27="")),'06 Exr'!$I27,0)</f>
        <v>0</v>
      </c>
      <c r="AC27">
        <f>IF(AND('06 Exr'!E27&gt;Tmin, NOT('06 Exr'!$I27="")),'06 Exr'!$I27,0)</f>
        <v>0</v>
      </c>
      <c r="AD27">
        <f>IF(AND('06 Exr'!F27&gt;Tmin, NOT('06 Exr'!$I27="")),'06 Exr'!$I27,0)</f>
        <v>0</v>
      </c>
      <c r="AE27">
        <f>IF(AND('06 Exr'!C27&lt;Tmax, NOT('06 Exr'!$H27="")),'06 Exr'!$H27,4)</f>
        <v>4</v>
      </c>
      <c r="AF27">
        <f>IF(AND('06 Exr'!D27&lt;Tmax, NOT('06 Exr'!$H27="")),'06 Exr'!$H27,4)</f>
        <v>4</v>
      </c>
      <c r="AG27">
        <f>IF(AND('06 Exr'!E27&lt;Tmax, NOT('06 Exr'!$H27="")),'06 Exr'!$H27,4)</f>
        <v>4</v>
      </c>
      <c r="AH27">
        <f>IF(AND('06 Exr'!F27&lt;Tmax, NOT('06 Exr'!$H27="")),'06 Exr'!$H27,4)</f>
        <v>4</v>
      </c>
      <c r="AI27"/>
    </row>
    <row r="28" spans="1:35" ht="22.5" outlineLevel="2" x14ac:dyDescent="0.2">
      <c r="A28" s="636" t="s">
        <v>2529</v>
      </c>
      <c r="B28" s="636" t="s">
        <v>2528</v>
      </c>
      <c r="C28" s="786"/>
      <c r="D28" s="822"/>
      <c r="E28" s="822"/>
      <c r="F28" s="822"/>
      <c r="G28" s="1473">
        <v>4</v>
      </c>
      <c r="H28" s="1473"/>
      <c r="I28" s="1473"/>
      <c r="J28" s="1473" t="s">
        <v>2349</v>
      </c>
      <c r="K28" s="1472"/>
      <c r="L28" s="1472"/>
      <c r="M28" s="854"/>
      <c r="AA28">
        <f>IF(AND('06 Exr'!C28&gt;Tmin, NOT('06 Exr'!$I28="")),'06 Exr'!$I28,0)</f>
        <v>0</v>
      </c>
      <c r="AB28">
        <f>IF(AND('06 Exr'!D28&gt;Tmin, NOT('06 Exr'!$I28="")),'06 Exr'!$I28,0)</f>
        <v>0</v>
      </c>
      <c r="AC28">
        <f>IF(AND('06 Exr'!E28&gt;Tmin, NOT('06 Exr'!$I28="")),'06 Exr'!$I28,0)</f>
        <v>0</v>
      </c>
      <c r="AD28">
        <f>IF(AND('06 Exr'!F28&gt;Tmin, NOT('06 Exr'!$I28="")),'06 Exr'!$I28,0)</f>
        <v>0</v>
      </c>
      <c r="AE28">
        <f>IF(AND('06 Exr'!C28&lt;Tmax, NOT('06 Exr'!$H28="")),'06 Exr'!$H28,4)</f>
        <v>4</v>
      </c>
      <c r="AF28">
        <f>IF(AND('06 Exr'!D28&lt;Tmax, NOT('06 Exr'!$H28="")),'06 Exr'!$H28,4)</f>
        <v>4</v>
      </c>
      <c r="AG28">
        <f>IF(AND('06 Exr'!E28&lt;Tmax, NOT('06 Exr'!$H28="")),'06 Exr'!$H28,4)</f>
        <v>4</v>
      </c>
      <c r="AH28">
        <f>IF(AND('06 Exr'!F28&lt;Tmax, NOT('06 Exr'!$H28="")),'06 Exr'!$H28,4)</f>
        <v>4</v>
      </c>
      <c r="AI28"/>
    </row>
    <row r="29" spans="1:35" ht="22.5" outlineLevel="2" x14ac:dyDescent="0.2">
      <c r="A29" s="636" t="s">
        <v>3515</v>
      </c>
      <c r="B29" s="636" t="s">
        <v>3514</v>
      </c>
      <c r="C29" s="786"/>
      <c r="D29" s="822"/>
      <c r="E29" s="822"/>
      <c r="F29" s="824"/>
      <c r="G29" s="1473">
        <v>4</v>
      </c>
      <c r="H29" s="1473">
        <v>2</v>
      </c>
      <c r="I29" s="1473"/>
      <c r="J29" s="1473" t="s">
        <v>1592</v>
      </c>
      <c r="K29" s="1472" t="s">
        <v>2672</v>
      </c>
      <c r="L29" s="1472" t="s">
        <v>7329</v>
      </c>
      <c r="M29" s="854"/>
      <c r="AA29">
        <f>IF(AND('06 Exr'!C29&gt;Tmin, NOT('06 Exr'!$I29="")),'06 Exr'!$I29,0)</f>
        <v>0</v>
      </c>
      <c r="AB29">
        <f>IF(AND('06 Exr'!D29&gt;Tmin, NOT('06 Exr'!$I29="")),'06 Exr'!$I29,0)</f>
        <v>0</v>
      </c>
      <c r="AC29">
        <f>IF(AND('06 Exr'!E29&gt;Tmin, NOT('06 Exr'!$I29="")),'06 Exr'!$I29,0)</f>
        <v>0</v>
      </c>
      <c r="AD29">
        <f>IF(AND('06 Exr'!F29&gt;Tmin, NOT('06 Exr'!$I29="")),'06 Exr'!$I29,0)</f>
        <v>0</v>
      </c>
      <c r="AE29">
        <f>IF(AND('06 Exr'!C29&lt;Tmax, NOT('06 Exr'!$H29="")),'06 Exr'!$H29,4)</f>
        <v>2</v>
      </c>
      <c r="AF29">
        <f>IF(AND('06 Exr'!D29&lt;Tmax, NOT('06 Exr'!$H29="")),'06 Exr'!$H29,4)</f>
        <v>2</v>
      </c>
      <c r="AG29">
        <f>IF(AND('06 Exr'!E29&lt;Tmax, NOT('06 Exr'!$H29="")),'06 Exr'!$H29,4)</f>
        <v>2</v>
      </c>
      <c r="AH29">
        <f>IF(AND('06 Exr'!F29&lt;Tmax, NOT('06 Exr'!$H29="")),'06 Exr'!$H29,4)</f>
        <v>2</v>
      </c>
      <c r="AI29"/>
    </row>
    <row r="30" spans="1:35" ht="22.5" outlineLevel="2" x14ac:dyDescent="0.2">
      <c r="A30" s="636" t="s">
        <v>3517</v>
      </c>
      <c r="B30" s="636" t="s">
        <v>3516</v>
      </c>
      <c r="C30" s="786"/>
      <c r="D30" s="822"/>
      <c r="E30" s="822"/>
      <c r="F30" s="822"/>
      <c r="G30" s="1473">
        <v>2</v>
      </c>
      <c r="H30" s="1473">
        <v>3</v>
      </c>
      <c r="I30" s="1473"/>
      <c r="J30" s="1473" t="s">
        <v>2329</v>
      </c>
      <c r="K30" s="1458" t="s">
        <v>2672</v>
      </c>
      <c r="L30" s="1472" t="s">
        <v>7329</v>
      </c>
      <c r="M30" s="854"/>
      <c r="AA30">
        <f>IF(AND('06 Exr'!C30&gt;Tmin, NOT('06 Exr'!$I30="")),'06 Exr'!$I30,0)</f>
        <v>0</v>
      </c>
      <c r="AB30">
        <f>IF(AND('06 Exr'!D30&gt;Tmin, NOT('06 Exr'!$I30="")),'06 Exr'!$I30,0)</f>
        <v>0</v>
      </c>
      <c r="AC30">
        <f>IF(AND('06 Exr'!E30&gt;Tmin, NOT('06 Exr'!$I30="")),'06 Exr'!$I30,0)</f>
        <v>0</v>
      </c>
      <c r="AD30">
        <f>IF(AND('06 Exr'!F30&gt;Tmin, NOT('06 Exr'!$I30="")),'06 Exr'!$I30,0)</f>
        <v>0</v>
      </c>
      <c r="AE30">
        <f>IF(AND('06 Exr'!C30&lt;Tmax, NOT('06 Exr'!$H30="")),'06 Exr'!$H30,4)</f>
        <v>3</v>
      </c>
      <c r="AF30">
        <f>IF(AND('06 Exr'!D30&lt;Tmax, NOT('06 Exr'!$H30="")),'06 Exr'!$H30,4)</f>
        <v>3</v>
      </c>
      <c r="AG30">
        <f>IF(AND('06 Exr'!E30&lt;Tmax, NOT('06 Exr'!$H30="")),'06 Exr'!$H30,4)</f>
        <v>3</v>
      </c>
      <c r="AH30">
        <f>IF(AND('06 Exr'!F30&lt;Tmax, NOT('06 Exr'!$H30="")),'06 Exr'!$H30,4)</f>
        <v>3</v>
      </c>
      <c r="AI30"/>
    </row>
    <row r="31" spans="1:35" outlineLevel="2" x14ac:dyDescent="0.2">
      <c r="A31" s="636" t="s">
        <v>2322</v>
      </c>
      <c r="B31" s="636" t="s">
        <v>2496</v>
      </c>
      <c r="C31" s="786"/>
      <c r="D31" s="822"/>
      <c r="E31" s="822"/>
      <c r="F31" s="822"/>
      <c r="G31" s="1473">
        <v>2</v>
      </c>
      <c r="H31" s="1473">
        <v>3</v>
      </c>
      <c r="I31" s="1473"/>
      <c r="J31" s="1473" t="s">
        <v>2109</v>
      </c>
      <c r="K31" s="1472"/>
      <c r="L31" s="1472"/>
      <c r="M31" s="854"/>
      <c r="AA31">
        <f>IF(AND('06 Exr'!C31&gt;Tmin, NOT('06 Exr'!$I31="")),'06 Exr'!$I31,0)</f>
        <v>0</v>
      </c>
      <c r="AB31">
        <f>IF(AND('06 Exr'!D31&gt;Tmin, NOT('06 Exr'!$I31="")),'06 Exr'!$I31,0)</f>
        <v>0</v>
      </c>
      <c r="AC31">
        <f>IF(AND('06 Exr'!E31&gt;Tmin, NOT('06 Exr'!$I31="")),'06 Exr'!$I31,0)</f>
        <v>0</v>
      </c>
      <c r="AD31">
        <f>IF(AND('06 Exr'!F31&gt;Tmin, NOT('06 Exr'!$I31="")),'06 Exr'!$I31,0)</f>
        <v>0</v>
      </c>
      <c r="AE31">
        <f>IF(AND('06 Exr'!C31&lt;Tmax, NOT('06 Exr'!$H31="")),'06 Exr'!$H31,4)</f>
        <v>3</v>
      </c>
      <c r="AF31">
        <f>IF(AND('06 Exr'!D31&lt;Tmax, NOT('06 Exr'!$H31="")),'06 Exr'!$H31,4)</f>
        <v>3</v>
      </c>
      <c r="AG31">
        <f>IF(AND('06 Exr'!E31&lt;Tmax, NOT('06 Exr'!$H31="")),'06 Exr'!$H31,4)</f>
        <v>3</v>
      </c>
      <c r="AH31">
        <f>IF(AND('06 Exr'!F31&lt;Tmax, NOT('06 Exr'!$H31="")),'06 Exr'!$H31,4)</f>
        <v>3</v>
      </c>
      <c r="AI31"/>
    </row>
    <row r="32" spans="1:35" outlineLevel="1" x14ac:dyDescent="0.2">
      <c r="A32" s="633" t="s">
        <v>4511</v>
      </c>
      <c r="B32" s="634" t="s">
        <v>4512</v>
      </c>
      <c r="C32" s="786"/>
      <c r="D32" s="822"/>
      <c r="E32" s="822"/>
      <c r="F32" s="822"/>
      <c r="G32" s="1473"/>
      <c r="H32" s="1473"/>
      <c r="I32" s="1473"/>
      <c r="J32" s="1473"/>
      <c r="K32" s="1472"/>
      <c r="L32" s="1472"/>
      <c r="M32" s="854"/>
      <c r="AA32"/>
      <c r="AB32"/>
      <c r="AC32"/>
      <c r="AD32"/>
      <c r="AE32"/>
      <c r="AF32"/>
      <c r="AG32"/>
      <c r="AH32"/>
      <c r="AI32"/>
    </row>
    <row r="33" spans="1:35" outlineLevel="2" x14ac:dyDescent="0.2">
      <c r="A33" s="636" t="s">
        <v>2497</v>
      </c>
      <c r="B33" s="636" t="s">
        <v>2498</v>
      </c>
      <c r="C33" s="786"/>
      <c r="D33" s="822"/>
      <c r="E33" s="822"/>
      <c r="F33" s="822"/>
      <c r="G33" s="1473">
        <v>1</v>
      </c>
      <c r="H33" s="1473"/>
      <c r="I33" s="1473"/>
      <c r="J33" s="1473" t="s">
        <v>1592</v>
      </c>
      <c r="K33" s="1472" t="s">
        <v>4434</v>
      </c>
      <c r="L33" s="1472" t="s">
        <v>1717</v>
      </c>
      <c r="M33" s="854"/>
      <c r="AA33">
        <f>IF(AND('06 Exr'!C33&gt;Tmin, NOT('06 Exr'!$I33="")),'06 Exr'!$I33,0)</f>
        <v>0</v>
      </c>
      <c r="AB33">
        <f>IF(AND('06 Exr'!D33&gt;Tmin, NOT('06 Exr'!$I33="")),'06 Exr'!$I33,0)</f>
        <v>0</v>
      </c>
      <c r="AC33">
        <f>IF(AND('06 Exr'!E33&gt;Tmin, NOT('06 Exr'!$I33="")),'06 Exr'!$I33,0)</f>
        <v>0</v>
      </c>
      <c r="AD33">
        <f>IF(AND('06 Exr'!F33&gt;Tmin, NOT('06 Exr'!$I33="")),'06 Exr'!$I33,0)</f>
        <v>0</v>
      </c>
      <c r="AE33">
        <f>IF(AND('06 Exr'!C33&lt;Tmax, NOT('06 Exr'!$H33="")),'06 Exr'!$H33,4)</f>
        <v>4</v>
      </c>
      <c r="AF33">
        <f>IF(AND('06 Exr'!D33&lt;Tmax, NOT('06 Exr'!$H33="")),'06 Exr'!$H33,4)</f>
        <v>4</v>
      </c>
      <c r="AG33">
        <f>IF(AND('06 Exr'!E33&lt;Tmax, NOT('06 Exr'!$H33="")),'06 Exr'!$H33,4)</f>
        <v>4</v>
      </c>
      <c r="AH33">
        <f>IF(AND('06 Exr'!F33&lt;Tmax, NOT('06 Exr'!$H33="")),'06 Exr'!$H33,4)</f>
        <v>4</v>
      </c>
      <c r="AI33"/>
    </row>
    <row r="34" spans="1:35" ht="22.5" outlineLevel="2" x14ac:dyDescent="0.2">
      <c r="A34" s="636" t="s">
        <v>2499</v>
      </c>
      <c r="B34" s="636" t="s">
        <v>2944</v>
      </c>
      <c r="C34" s="786"/>
      <c r="D34" s="822"/>
      <c r="E34" s="822"/>
      <c r="F34" s="822"/>
      <c r="G34" s="1473">
        <v>4</v>
      </c>
      <c r="H34" s="1473">
        <v>2</v>
      </c>
      <c r="I34" s="1473"/>
      <c r="J34" s="1473" t="s">
        <v>1592</v>
      </c>
      <c r="K34" s="1472"/>
      <c r="L34" s="1472"/>
      <c r="M34" s="854"/>
      <c r="AA34">
        <f>IF(AND('06 Exr'!C34&gt;Tmin, NOT('06 Exr'!$I34="")),'06 Exr'!$I34,0)</f>
        <v>0</v>
      </c>
      <c r="AB34">
        <f>IF(AND('06 Exr'!D34&gt;Tmin, NOT('06 Exr'!$I34="")),'06 Exr'!$I34,0)</f>
        <v>0</v>
      </c>
      <c r="AC34">
        <f>IF(AND('06 Exr'!E34&gt;Tmin, NOT('06 Exr'!$I34="")),'06 Exr'!$I34,0)</f>
        <v>0</v>
      </c>
      <c r="AD34">
        <f>IF(AND('06 Exr'!F34&gt;Tmin, NOT('06 Exr'!$I34="")),'06 Exr'!$I34,0)</f>
        <v>0</v>
      </c>
      <c r="AE34">
        <f>IF(AND('06 Exr'!C34&lt;Tmax, NOT('06 Exr'!$H34="")),'06 Exr'!$H34,4)</f>
        <v>2</v>
      </c>
      <c r="AF34">
        <f>IF(AND('06 Exr'!D34&lt;Tmax, NOT('06 Exr'!$H34="")),'06 Exr'!$H34,4)</f>
        <v>2</v>
      </c>
      <c r="AG34">
        <f>IF(AND('06 Exr'!E34&lt;Tmax, NOT('06 Exr'!$H34="")),'06 Exr'!$H34,4)</f>
        <v>2</v>
      </c>
      <c r="AH34">
        <f>IF(AND('06 Exr'!F34&lt;Tmax, NOT('06 Exr'!$H34="")),'06 Exr'!$H34,4)</f>
        <v>2</v>
      </c>
      <c r="AI34"/>
    </row>
    <row r="35" spans="1:35" ht="24" customHeight="1" outlineLevel="2" x14ac:dyDescent="0.2">
      <c r="A35" s="636" t="s">
        <v>2945</v>
      </c>
      <c r="B35" s="636" t="s">
        <v>86</v>
      </c>
      <c r="C35" s="786"/>
      <c r="D35" s="822"/>
      <c r="E35" s="822"/>
      <c r="F35" s="822"/>
      <c r="G35" s="1473">
        <v>4</v>
      </c>
      <c r="H35" s="1473">
        <v>3</v>
      </c>
      <c r="I35" s="1473"/>
      <c r="J35" s="1473" t="s">
        <v>2329</v>
      </c>
      <c r="K35" s="1472"/>
      <c r="L35" s="1472"/>
      <c r="M35" s="854"/>
      <c r="AA35">
        <f>IF(AND('06 Exr'!C35&gt;Tmin, NOT('06 Exr'!$I35="")),'06 Exr'!$I35,0)</f>
        <v>0</v>
      </c>
      <c r="AB35">
        <f>IF(AND('06 Exr'!D35&gt;Tmin, NOT('06 Exr'!$I35="")),'06 Exr'!$I35,0)</f>
        <v>0</v>
      </c>
      <c r="AC35">
        <f>IF(AND('06 Exr'!E35&gt;Tmin, NOT('06 Exr'!$I35="")),'06 Exr'!$I35,0)</f>
        <v>0</v>
      </c>
      <c r="AD35">
        <f>IF(AND('06 Exr'!F35&gt;Tmin, NOT('06 Exr'!$I35="")),'06 Exr'!$I35,0)</f>
        <v>0</v>
      </c>
      <c r="AE35">
        <f>IF(AND('06 Exr'!C35&lt;Tmax, NOT('06 Exr'!$H35="")),'06 Exr'!$H35,4)</f>
        <v>3</v>
      </c>
      <c r="AF35">
        <f>IF(AND('06 Exr'!D35&lt;Tmax, NOT('06 Exr'!$H35="")),'06 Exr'!$H35,4)</f>
        <v>3</v>
      </c>
      <c r="AG35">
        <f>IF(AND('06 Exr'!E35&lt;Tmax, NOT('06 Exr'!$H35="")),'06 Exr'!$H35,4)</f>
        <v>3</v>
      </c>
      <c r="AH35">
        <f>IF(AND('06 Exr'!F35&lt;Tmax, NOT('06 Exr'!$H35="")),'06 Exr'!$H35,4)</f>
        <v>3</v>
      </c>
      <c r="AI35"/>
    </row>
    <row r="36" spans="1:35" ht="24" customHeight="1" outlineLevel="2" x14ac:dyDescent="0.2">
      <c r="A36" s="636" t="s">
        <v>87</v>
      </c>
      <c r="B36" s="636" t="s">
        <v>3357</v>
      </c>
      <c r="C36" s="786"/>
      <c r="D36" s="822"/>
      <c r="E36" s="822"/>
      <c r="F36" s="822"/>
      <c r="G36" s="1473">
        <v>4</v>
      </c>
      <c r="H36" s="1473">
        <v>3</v>
      </c>
      <c r="I36" s="1473"/>
      <c r="J36" s="1473" t="s">
        <v>2329</v>
      </c>
      <c r="K36" s="1472"/>
      <c r="L36" s="1472"/>
      <c r="M36" s="854"/>
      <c r="AA36">
        <f>IF(AND('06 Exr'!C36&gt;Tmin, NOT('06 Exr'!$I36="")),'06 Exr'!$I36,0)</f>
        <v>0</v>
      </c>
      <c r="AB36">
        <f>IF(AND('06 Exr'!D36&gt;Tmin, NOT('06 Exr'!$I36="")),'06 Exr'!$I36,0)</f>
        <v>0</v>
      </c>
      <c r="AC36">
        <f>IF(AND('06 Exr'!E36&gt;Tmin, NOT('06 Exr'!$I36="")),'06 Exr'!$I36,0)</f>
        <v>0</v>
      </c>
      <c r="AD36">
        <f>IF(AND('06 Exr'!F36&gt;Tmin, NOT('06 Exr'!$I36="")),'06 Exr'!$I36,0)</f>
        <v>0</v>
      </c>
      <c r="AE36">
        <f>IF(AND('06 Exr'!C36&lt;Tmax, NOT('06 Exr'!$H36="")),'06 Exr'!$H36,4)</f>
        <v>3</v>
      </c>
      <c r="AF36">
        <f>IF(AND('06 Exr'!D36&lt;Tmax, NOT('06 Exr'!$H36="")),'06 Exr'!$H36,4)</f>
        <v>3</v>
      </c>
      <c r="AG36">
        <f>IF(AND('06 Exr'!E36&lt;Tmax, NOT('06 Exr'!$H36="")),'06 Exr'!$H36,4)</f>
        <v>3</v>
      </c>
      <c r="AH36">
        <f>IF(AND('06 Exr'!F36&lt;Tmax, NOT('06 Exr'!$H36="")),'06 Exr'!$H36,4)</f>
        <v>3</v>
      </c>
      <c r="AI36"/>
    </row>
    <row r="37" spans="1:35" ht="22.5" outlineLevel="2" x14ac:dyDescent="0.2">
      <c r="A37" s="636" t="s">
        <v>3358</v>
      </c>
      <c r="B37" s="636" t="s">
        <v>2500</v>
      </c>
      <c r="C37" s="786"/>
      <c r="D37" s="822"/>
      <c r="E37" s="822"/>
      <c r="F37" s="822"/>
      <c r="G37" s="1473">
        <v>4</v>
      </c>
      <c r="H37" s="1473"/>
      <c r="I37" s="1473"/>
      <c r="J37" s="1473" t="s">
        <v>2329</v>
      </c>
      <c r="K37" s="1472"/>
      <c r="L37" s="1472" t="s">
        <v>7021</v>
      </c>
      <c r="M37" s="854"/>
      <c r="AA37">
        <f>IF(AND('06 Exr'!C37&gt;Tmin, NOT('06 Exr'!$I37="")),'06 Exr'!$I37,0)</f>
        <v>0</v>
      </c>
      <c r="AB37">
        <f>IF(AND('06 Exr'!D37&gt;Tmin, NOT('06 Exr'!$I37="")),'06 Exr'!$I37,0)</f>
        <v>0</v>
      </c>
      <c r="AC37">
        <f>IF(AND('06 Exr'!E37&gt;Tmin, NOT('06 Exr'!$I37="")),'06 Exr'!$I37,0)</f>
        <v>0</v>
      </c>
      <c r="AD37">
        <f>IF(AND('06 Exr'!F37&gt;Tmin, NOT('06 Exr'!$I37="")),'06 Exr'!$I37,0)</f>
        <v>0</v>
      </c>
      <c r="AE37">
        <f>IF(AND('06 Exr'!C37&lt;Tmax, NOT('06 Exr'!$H37="")),'06 Exr'!$H37,4)</f>
        <v>4</v>
      </c>
      <c r="AF37">
        <f>IF(AND('06 Exr'!D37&lt;Tmax, NOT('06 Exr'!$H37="")),'06 Exr'!$H37,4)</f>
        <v>4</v>
      </c>
      <c r="AG37">
        <f>IF(AND('06 Exr'!E37&lt;Tmax, NOT('06 Exr'!$H37="")),'06 Exr'!$H37,4)</f>
        <v>4</v>
      </c>
      <c r="AH37">
        <f>IF(AND('06 Exr'!F37&lt;Tmax, NOT('06 Exr'!$H37="")),'06 Exr'!$H37,4)</f>
        <v>4</v>
      </c>
      <c r="AI37"/>
    </row>
    <row r="38" spans="1:35" outlineLevel="2" x14ac:dyDescent="0.2">
      <c r="A38" s="636" t="s">
        <v>2501</v>
      </c>
      <c r="B38" s="636" t="s">
        <v>2502</v>
      </c>
      <c r="C38" s="786"/>
      <c r="D38" s="822"/>
      <c r="E38" s="822"/>
      <c r="F38" s="822"/>
      <c r="G38" s="1473">
        <v>2</v>
      </c>
      <c r="H38" s="1473">
        <v>3</v>
      </c>
      <c r="I38" s="1473"/>
      <c r="J38" s="1473" t="s">
        <v>2109</v>
      </c>
      <c r="K38" s="1472"/>
      <c r="L38" s="1472" t="s">
        <v>7021</v>
      </c>
      <c r="M38" s="854"/>
      <c r="AA38">
        <f>IF(AND('06 Exr'!C38&gt;Tmin, NOT('06 Exr'!$I38="")),'06 Exr'!$I38,0)</f>
        <v>0</v>
      </c>
      <c r="AB38">
        <f>IF(AND('06 Exr'!D38&gt;Tmin, NOT('06 Exr'!$I38="")),'06 Exr'!$I38,0)</f>
        <v>0</v>
      </c>
      <c r="AC38">
        <f>IF(AND('06 Exr'!E38&gt;Tmin, NOT('06 Exr'!$I38="")),'06 Exr'!$I38,0)</f>
        <v>0</v>
      </c>
      <c r="AD38">
        <f>IF(AND('06 Exr'!F38&gt;Tmin, NOT('06 Exr'!$I38="")),'06 Exr'!$I38,0)</f>
        <v>0</v>
      </c>
      <c r="AE38">
        <f>IF(AND('06 Exr'!C38&lt;Tmax, NOT('06 Exr'!$H38="")),'06 Exr'!$H38,4)</f>
        <v>3</v>
      </c>
      <c r="AF38">
        <f>IF(AND('06 Exr'!D38&lt;Tmax, NOT('06 Exr'!$H38="")),'06 Exr'!$H38,4)</f>
        <v>3</v>
      </c>
      <c r="AG38">
        <f>IF(AND('06 Exr'!E38&lt;Tmax, NOT('06 Exr'!$H38="")),'06 Exr'!$H38,4)</f>
        <v>3</v>
      </c>
      <c r="AH38">
        <f>IF(AND('06 Exr'!F38&lt;Tmax, NOT('06 Exr'!$H38="")),'06 Exr'!$H38,4)</f>
        <v>3</v>
      </c>
      <c r="AI38"/>
    </row>
    <row r="39" spans="1:35" outlineLevel="1" x14ac:dyDescent="0.2">
      <c r="A39" s="633" t="s">
        <v>4513</v>
      </c>
      <c r="B39" s="634" t="s">
        <v>3716</v>
      </c>
      <c r="C39" s="786"/>
      <c r="D39" s="822"/>
      <c r="E39" s="822"/>
      <c r="F39" s="822"/>
      <c r="G39" s="1473"/>
      <c r="H39" s="1473"/>
      <c r="I39" s="1473"/>
      <c r="J39" s="1473"/>
      <c r="K39" s="1472"/>
      <c r="L39" s="1472"/>
      <c r="M39" s="854"/>
      <c r="AA39"/>
      <c r="AB39"/>
      <c r="AC39"/>
      <c r="AD39"/>
      <c r="AE39"/>
      <c r="AF39"/>
      <c r="AG39"/>
      <c r="AH39"/>
      <c r="AI39"/>
    </row>
    <row r="40" spans="1:35" outlineLevel="2" x14ac:dyDescent="0.2">
      <c r="A40" s="636" t="s">
        <v>2503</v>
      </c>
      <c r="B40" s="636" t="s">
        <v>1279</v>
      </c>
      <c r="C40" s="786"/>
      <c r="D40" s="822"/>
      <c r="E40" s="822"/>
      <c r="F40" s="822"/>
      <c r="G40" s="1473">
        <v>2</v>
      </c>
      <c r="H40" s="1473"/>
      <c r="I40" s="1473"/>
      <c r="J40" s="1473" t="s">
        <v>1592</v>
      </c>
      <c r="K40" s="1472"/>
      <c r="L40" s="1472" t="s">
        <v>7330</v>
      </c>
      <c r="M40" s="854"/>
      <c r="AA40">
        <f>IF(AND('06 Exr'!C40&gt;Tmin, NOT('06 Exr'!$I40="")),'06 Exr'!$I40,0)</f>
        <v>0</v>
      </c>
      <c r="AB40">
        <f>IF(AND('06 Exr'!D40&gt;Tmin, NOT('06 Exr'!$I40="")),'06 Exr'!$I40,0)</f>
        <v>0</v>
      </c>
      <c r="AC40">
        <f>IF(AND('06 Exr'!E40&gt;Tmin, NOT('06 Exr'!$I40="")),'06 Exr'!$I40,0)</f>
        <v>0</v>
      </c>
      <c r="AD40">
        <f>IF(AND('06 Exr'!F40&gt;Tmin, NOT('06 Exr'!$I40="")),'06 Exr'!$I40,0)</f>
        <v>0</v>
      </c>
      <c r="AE40">
        <f>IF(AND('06 Exr'!C40&lt;Tmax, NOT('06 Exr'!$H40="")),'06 Exr'!$H40,4)</f>
        <v>4</v>
      </c>
      <c r="AF40">
        <f>IF(AND('06 Exr'!D40&lt;Tmax, NOT('06 Exr'!$H40="")),'06 Exr'!$H40,4)</f>
        <v>4</v>
      </c>
      <c r="AG40">
        <f>IF(AND('06 Exr'!E40&lt;Tmax, NOT('06 Exr'!$H40="")),'06 Exr'!$H40,4)</f>
        <v>4</v>
      </c>
      <c r="AH40">
        <f>IF(AND('06 Exr'!F40&lt;Tmax, NOT('06 Exr'!$H40="")),'06 Exr'!$H40,4)</f>
        <v>4</v>
      </c>
      <c r="AI40"/>
    </row>
    <row r="41" spans="1:35" outlineLevel="2" x14ac:dyDescent="0.2">
      <c r="A41" s="636" t="s">
        <v>1280</v>
      </c>
      <c r="B41" s="636" t="s">
        <v>1281</v>
      </c>
      <c r="C41" s="786"/>
      <c r="D41" s="822"/>
      <c r="E41" s="822"/>
      <c r="F41" s="822"/>
      <c r="G41" s="1473">
        <v>4</v>
      </c>
      <c r="H41" s="1473"/>
      <c r="I41" s="1473">
        <v>2</v>
      </c>
      <c r="J41" s="1473" t="s">
        <v>1592</v>
      </c>
      <c r="K41" s="1472"/>
      <c r="L41" s="1472" t="s">
        <v>7330</v>
      </c>
      <c r="M41" s="854"/>
      <c r="AA41">
        <f>IF(AND('06 Exr'!C41&gt;Tmin, NOT('06 Exr'!$I41="")),'06 Exr'!$I41,0)</f>
        <v>0</v>
      </c>
      <c r="AB41">
        <f>IF(AND('06 Exr'!D41&gt;Tmin, NOT('06 Exr'!$I41="")),'06 Exr'!$I41,0)</f>
        <v>0</v>
      </c>
      <c r="AC41">
        <f>IF(AND('06 Exr'!E41&gt;Tmin, NOT('06 Exr'!$I41="")),'06 Exr'!$I41,0)</f>
        <v>0</v>
      </c>
      <c r="AD41">
        <f>IF(AND('06 Exr'!F41&gt;Tmin, NOT('06 Exr'!$I41="")),'06 Exr'!$I41,0)</f>
        <v>0</v>
      </c>
      <c r="AE41">
        <f>IF(AND('06 Exr'!C41&lt;Tmax, NOT('06 Exr'!$H41="")),'06 Exr'!$H41,4)</f>
        <v>4</v>
      </c>
      <c r="AF41">
        <f>IF(AND('06 Exr'!D41&lt;Tmax, NOT('06 Exr'!$H41="")),'06 Exr'!$H41,4)</f>
        <v>4</v>
      </c>
      <c r="AG41">
        <f>IF(AND('06 Exr'!E41&lt;Tmax, NOT('06 Exr'!$H41="")),'06 Exr'!$H41,4)</f>
        <v>4</v>
      </c>
      <c r="AH41">
        <f>IF(AND('06 Exr'!F41&lt;Tmax, NOT('06 Exr'!$H41="")),'06 Exr'!$H41,4)</f>
        <v>4</v>
      </c>
      <c r="AI41"/>
    </row>
    <row r="42" spans="1:35" ht="22.5" outlineLevel="2" x14ac:dyDescent="0.2">
      <c r="A42" s="636" t="s">
        <v>1282</v>
      </c>
      <c r="B42" s="636" t="s">
        <v>1346</v>
      </c>
      <c r="C42" s="786"/>
      <c r="D42" s="822"/>
      <c r="E42" s="822"/>
      <c r="F42" s="822"/>
      <c r="G42" s="1473">
        <v>2</v>
      </c>
      <c r="H42" s="1473"/>
      <c r="I42" s="1473"/>
      <c r="J42" s="1473" t="s">
        <v>2329</v>
      </c>
      <c r="K42" s="1472"/>
      <c r="L42" s="1472" t="s">
        <v>7330</v>
      </c>
      <c r="M42" s="854"/>
      <c r="AA42">
        <f>IF(AND('06 Exr'!C42&gt;Tmin, NOT('06 Exr'!$I42="")),'06 Exr'!$I42,0)</f>
        <v>0</v>
      </c>
      <c r="AB42">
        <f>IF(AND('06 Exr'!D42&gt;Tmin, NOT('06 Exr'!$I42="")),'06 Exr'!$I42,0)</f>
        <v>0</v>
      </c>
      <c r="AC42">
        <f>IF(AND('06 Exr'!E42&gt;Tmin, NOT('06 Exr'!$I42="")),'06 Exr'!$I42,0)</f>
        <v>0</v>
      </c>
      <c r="AD42">
        <f>IF(AND('06 Exr'!F42&gt;Tmin, NOT('06 Exr'!$I42="")),'06 Exr'!$I42,0)</f>
        <v>0</v>
      </c>
      <c r="AE42">
        <f>IF(AND('06 Exr'!C42&lt;Tmax, NOT('06 Exr'!$H42="")),'06 Exr'!$H42,4)</f>
        <v>4</v>
      </c>
      <c r="AF42">
        <f>IF(AND('06 Exr'!D42&lt;Tmax, NOT('06 Exr'!$H42="")),'06 Exr'!$H42,4)</f>
        <v>4</v>
      </c>
      <c r="AG42">
        <f>IF(AND('06 Exr'!E42&lt;Tmax, NOT('06 Exr'!$H42="")),'06 Exr'!$H42,4)</f>
        <v>4</v>
      </c>
      <c r="AH42">
        <f>IF(AND('06 Exr'!F42&lt;Tmax, NOT('06 Exr'!$H42="")),'06 Exr'!$H42,4)</f>
        <v>4</v>
      </c>
      <c r="AI42"/>
    </row>
    <row r="43" spans="1:35" ht="22.5" outlineLevel="2" x14ac:dyDescent="0.2">
      <c r="A43" s="636" t="s">
        <v>1347</v>
      </c>
      <c r="B43" s="636" t="s">
        <v>4285</v>
      </c>
      <c r="C43" s="786"/>
      <c r="D43" s="822"/>
      <c r="E43" s="822"/>
      <c r="F43" s="822"/>
      <c r="G43" s="1473">
        <v>4</v>
      </c>
      <c r="H43" s="1473"/>
      <c r="I43" s="1473"/>
      <c r="J43" s="1473" t="s">
        <v>2329</v>
      </c>
      <c r="K43" s="1472"/>
      <c r="L43" s="1472"/>
      <c r="M43" s="854"/>
      <c r="AA43">
        <f>IF(AND('06 Exr'!C43&gt;Tmin, NOT('06 Exr'!$I43="")),'06 Exr'!$I43,0)</f>
        <v>0</v>
      </c>
      <c r="AB43">
        <f>IF(AND('06 Exr'!D43&gt;Tmin, NOT('06 Exr'!$I43="")),'06 Exr'!$I43,0)</f>
        <v>0</v>
      </c>
      <c r="AC43">
        <f>IF(AND('06 Exr'!E43&gt;Tmin, NOT('06 Exr'!$I43="")),'06 Exr'!$I43,0)</f>
        <v>0</v>
      </c>
      <c r="AD43">
        <f>IF(AND('06 Exr'!F43&gt;Tmin, NOT('06 Exr'!$I43="")),'06 Exr'!$I43,0)</f>
        <v>0</v>
      </c>
      <c r="AE43">
        <f>IF(AND('06 Exr'!C43&lt;Tmax, NOT('06 Exr'!$H43="")),'06 Exr'!$H43,4)</f>
        <v>4</v>
      </c>
      <c r="AF43">
        <f>IF(AND('06 Exr'!D43&lt;Tmax, NOT('06 Exr'!$H43="")),'06 Exr'!$H43,4)</f>
        <v>4</v>
      </c>
      <c r="AG43">
        <f>IF(AND('06 Exr'!E43&lt;Tmax, NOT('06 Exr'!$H43="")),'06 Exr'!$H43,4)</f>
        <v>4</v>
      </c>
      <c r="AH43">
        <f>IF(AND('06 Exr'!F43&lt;Tmax, NOT('06 Exr'!$H43="")),'06 Exr'!$H43,4)</f>
        <v>4</v>
      </c>
      <c r="AI43"/>
    </row>
    <row r="44" spans="1:35" ht="23.25" customHeight="1" outlineLevel="2" x14ac:dyDescent="0.2">
      <c r="A44" s="636" t="s">
        <v>4286</v>
      </c>
      <c r="B44" s="636" t="s">
        <v>3636</v>
      </c>
      <c r="C44" s="786"/>
      <c r="D44" s="822"/>
      <c r="E44" s="822"/>
      <c r="F44" s="822"/>
      <c r="G44" s="1473">
        <v>4</v>
      </c>
      <c r="H44" s="1473"/>
      <c r="I44" s="1473"/>
      <c r="J44" s="1473" t="s">
        <v>1592</v>
      </c>
      <c r="K44" s="1472"/>
      <c r="L44" s="1472" t="s">
        <v>7330</v>
      </c>
      <c r="M44" s="854"/>
      <c r="AA44">
        <f>IF(AND('06 Exr'!C44&gt;Tmin, NOT('06 Exr'!$I44="")),'06 Exr'!$I44,0)</f>
        <v>0</v>
      </c>
      <c r="AB44">
        <f>IF(AND('06 Exr'!D44&gt;Tmin, NOT('06 Exr'!$I44="")),'06 Exr'!$I44,0)</f>
        <v>0</v>
      </c>
      <c r="AC44">
        <f>IF(AND('06 Exr'!E44&gt;Tmin, NOT('06 Exr'!$I44="")),'06 Exr'!$I44,0)</f>
        <v>0</v>
      </c>
      <c r="AD44">
        <f>IF(AND('06 Exr'!F44&gt;Tmin, NOT('06 Exr'!$I44="")),'06 Exr'!$I44,0)</f>
        <v>0</v>
      </c>
      <c r="AE44">
        <f>IF(AND('06 Exr'!C44&lt;Tmax, NOT('06 Exr'!$H44="")),'06 Exr'!$H44,4)</f>
        <v>4</v>
      </c>
      <c r="AF44">
        <f>IF(AND('06 Exr'!D44&lt;Tmax, NOT('06 Exr'!$H44="")),'06 Exr'!$H44,4)</f>
        <v>4</v>
      </c>
      <c r="AG44">
        <f>IF(AND('06 Exr'!E44&lt;Tmax, NOT('06 Exr'!$H44="")),'06 Exr'!$H44,4)</f>
        <v>4</v>
      </c>
      <c r="AH44">
        <f>IF(AND('06 Exr'!F44&lt;Tmax, NOT('06 Exr'!$H44="")),'06 Exr'!$H44,4)</f>
        <v>4</v>
      </c>
      <c r="AI44"/>
    </row>
    <row r="45" spans="1:35" ht="22.5" outlineLevel="2" x14ac:dyDescent="0.2">
      <c r="A45" s="636" t="s">
        <v>3637</v>
      </c>
      <c r="B45" s="636" t="s">
        <v>3638</v>
      </c>
      <c r="C45" s="786"/>
      <c r="D45" s="822"/>
      <c r="E45" s="822"/>
      <c r="F45" s="822"/>
      <c r="G45" s="1473">
        <v>2</v>
      </c>
      <c r="H45" s="1473">
        <v>2</v>
      </c>
      <c r="I45" s="1473"/>
      <c r="J45" s="1473" t="s">
        <v>2349</v>
      </c>
      <c r="K45" s="1472"/>
      <c r="L45" s="1472"/>
      <c r="M45" s="854"/>
      <c r="AA45">
        <f>IF(AND('06 Exr'!C45&gt;Tmin, NOT('06 Exr'!$I45="")),'06 Exr'!$I45,0)</f>
        <v>0</v>
      </c>
      <c r="AB45">
        <f>IF(AND('06 Exr'!D45&gt;Tmin, NOT('06 Exr'!$I45="")),'06 Exr'!$I45,0)</f>
        <v>0</v>
      </c>
      <c r="AC45">
        <f>IF(AND('06 Exr'!E45&gt;Tmin, NOT('06 Exr'!$I45="")),'06 Exr'!$I45,0)</f>
        <v>0</v>
      </c>
      <c r="AD45">
        <f>IF(AND('06 Exr'!F45&gt;Tmin, NOT('06 Exr'!$I45="")),'06 Exr'!$I45,0)</f>
        <v>0</v>
      </c>
      <c r="AE45">
        <f>IF(AND('06 Exr'!C45&lt;Tmax, NOT('06 Exr'!$H45="")),'06 Exr'!$H45,4)</f>
        <v>2</v>
      </c>
      <c r="AF45">
        <f>IF(AND('06 Exr'!D45&lt;Tmax, NOT('06 Exr'!$H45="")),'06 Exr'!$H45,4)</f>
        <v>2</v>
      </c>
      <c r="AG45">
        <f>IF(AND('06 Exr'!E45&lt;Tmax, NOT('06 Exr'!$H45="")),'06 Exr'!$H45,4)</f>
        <v>2</v>
      </c>
      <c r="AH45">
        <f>IF(AND('06 Exr'!F45&lt;Tmax, NOT('06 Exr'!$H45="")),'06 Exr'!$H45,4)</f>
        <v>2</v>
      </c>
      <c r="AI45"/>
    </row>
    <row r="46" spans="1:35" outlineLevel="2" x14ac:dyDescent="0.2">
      <c r="A46" s="636" t="s">
        <v>3639</v>
      </c>
      <c r="B46" s="636" t="s">
        <v>88</v>
      </c>
      <c r="C46" s="786"/>
      <c r="D46" s="822"/>
      <c r="E46" s="822"/>
      <c r="F46" s="822"/>
      <c r="G46" s="1473">
        <v>2</v>
      </c>
      <c r="H46" s="1473">
        <v>3</v>
      </c>
      <c r="I46" s="1473"/>
      <c r="J46" s="1473" t="s">
        <v>2109</v>
      </c>
      <c r="K46" s="1472"/>
      <c r="L46" s="1472"/>
      <c r="M46" s="854"/>
      <c r="AA46">
        <f>IF(AND('06 Exr'!C46&gt;Tmin, NOT('06 Exr'!$I46="")),'06 Exr'!$I46,0)</f>
        <v>0</v>
      </c>
      <c r="AB46">
        <f>IF(AND('06 Exr'!D46&gt;Tmin, NOT('06 Exr'!$I46="")),'06 Exr'!$I46,0)</f>
        <v>0</v>
      </c>
      <c r="AC46">
        <f>IF(AND('06 Exr'!E46&gt;Tmin, NOT('06 Exr'!$I46="")),'06 Exr'!$I46,0)</f>
        <v>0</v>
      </c>
      <c r="AD46">
        <f>IF(AND('06 Exr'!F46&gt;Tmin, NOT('06 Exr'!$I46="")),'06 Exr'!$I46,0)</f>
        <v>0</v>
      </c>
      <c r="AE46">
        <f>IF(AND('06 Exr'!C46&lt;Tmax, NOT('06 Exr'!$H46="")),'06 Exr'!$H46,4)</f>
        <v>3</v>
      </c>
      <c r="AF46">
        <f>IF(AND('06 Exr'!D46&lt;Tmax, NOT('06 Exr'!$H46="")),'06 Exr'!$H46,4)</f>
        <v>3</v>
      </c>
      <c r="AG46">
        <f>IF(AND('06 Exr'!E46&lt;Tmax, NOT('06 Exr'!$H46="")),'06 Exr'!$H46,4)</f>
        <v>3</v>
      </c>
      <c r="AH46">
        <f>IF(AND('06 Exr'!F46&lt;Tmax, NOT('06 Exr'!$H46="")),'06 Exr'!$H46,4)</f>
        <v>3</v>
      </c>
      <c r="AI46"/>
    </row>
    <row r="47" spans="1:35" outlineLevel="1" x14ac:dyDescent="0.2">
      <c r="A47" s="633" t="s">
        <v>5382</v>
      </c>
      <c r="B47" s="634" t="s">
        <v>89</v>
      </c>
      <c r="C47" s="786"/>
      <c r="D47" s="822"/>
      <c r="E47" s="822"/>
      <c r="F47" s="822"/>
      <c r="G47" s="1473"/>
      <c r="H47" s="1473"/>
      <c r="I47" s="1473"/>
      <c r="J47" s="1473"/>
      <c r="K47" s="1472"/>
      <c r="L47" s="1472"/>
      <c r="M47" s="854"/>
      <c r="AA47"/>
      <c r="AB47"/>
      <c r="AC47"/>
      <c r="AD47"/>
      <c r="AE47"/>
      <c r="AF47"/>
      <c r="AG47"/>
      <c r="AH47"/>
      <c r="AI47"/>
    </row>
    <row r="48" spans="1:35" ht="22.5" outlineLevel="2" x14ac:dyDescent="0.2">
      <c r="A48" s="636" t="s">
        <v>90</v>
      </c>
      <c r="B48" s="636" t="s">
        <v>6805</v>
      </c>
      <c r="C48" s="786"/>
      <c r="D48" s="822"/>
      <c r="E48" s="822"/>
      <c r="F48" s="822"/>
      <c r="G48" s="1473">
        <v>4</v>
      </c>
      <c r="H48" s="1473"/>
      <c r="I48" s="1473"/>
      <c r="J48" s="1473" t="s">
        <v>1592</v>
      </c>
      <c r="K48" s="1472" t="s">
        <v>5908</v>
      </c>
      <c r="L48" s="1472" t="s">
        <v>5882</v>
      </c>
      <c r="M48" s="854"/>
      <c r="AA48">
        <f>IF(AND('06 Exr'!C48&gt;Tmin, NOT('06 Exr'!$I48="")),'06 Exr'!$I48,0)</f>
        <v>0</v>
      </c>
      <c r="AB48">
        <f>IF(AND('06 Exr'!D48&gt;Tmin, NOT('06 Exr'!$I48="")),'06 Exr'!$I48,0)</f>
        <v>0</v>
      </c>
      <c r="AC48">
        <f>IF(AND('06 Exr'!E48&gt;Tmin, NOT('06 Exr'!$I48="")),'06 Exr'!$I48,0)</f>
        <v>0</v>
      </c>
      <c r="AD48">
        <f>IF(AND('06 Exr'!F48&gt;Tmin, NOT('06 Exr'!$I48="")),'06 Exr'!$I48,0)</f>
        <v>0</v>
      </c>
      <c r="AE48">
        <f>IF(AND('06 Exr'!C48&lt;Tmax, NOT('06 Exr'!$H48="")),'06 Exr'!$H48,4)</f>
        <v>4</v>
      </c>
      <c r="AF48">
        <f>IF(AND('06 Exr'!D48&lt;Tmax, NOT('06 Exr'!$H48="")),'06 Exr'!$H48,4)</f>
        <v>4</v>
      </c>
      <c r="AG48">
        <f>IF(AND('06 Exr'!E48&lt;Tmax, NOT('06 Exr'!$H48="")),'06 Exr'!$H48,4)</f>
        <v>4</v>
      </c>
      <c r="AH48">
        <f>IF(AND('06 Exr'!F48&lt;Tmax, NOT('06 Exr'!$H48="")),'06 Exr'!$H48,4)</f>
        <v>4</v>
      </c>
      <c r="AI48"/>
    </row>
    <row r="49" spans="1:35" outlineLevel="2" x14ac:dyDescent="0.2">
      <c r="A49" s="636" t="s">
        <v>5883</v>
      </c>
      <c r="B49" s="636" t="s">
        <v>3321</v>
      </c>
      <c r="C49" s="786"/>
      <c r="D49" s="822"/>
      <c r="E49" s="822"/>
      <c r="F49" s="822"/>
      <c r="G49" s="1473">
        <v>4</v>
      </c>
      <c r="H49" s="1473"/>
      <c r="I49" s="1473"/>
      <c r="J49" s="1473" t="s">
        <v>1592</v>
      </c>
      <c r="K49" s="1472" t="s">
        <v>5908</v>
      </c>
      <c r="L49" s="1472" t="s">
        <v>5882</v>
      </c>
      <c r="M49" s="854"/>
      <c r="AA49">
        <f>IF(AND('06 Exr'!C49&gt;Tmin, NOT('06 Exr'!$I49="")),'06 Exr'!$I49,0)</f>
        <v>0</v>
      </c>
      <c r="AB49">
        <f>IF(AND('06 Exr'!D49&gt;Tmin, NOT('06 Exr'!$I49="")),'06 Exr'!$I49,0)</f>
        <v>0</v>
      </c>
      <c r="AC49">
        <f>IF(AND('06 Exr'!E49&gt;Tmin, NOT('06 Exr'!$I49="")),'06 Exr'!$I49,0)</f>
        <v>0</v>
      </c>
      <c r="AD49">
        <f>IF(AND('06 Exr'!F49&gt;Tmin, NOT('06 Exr'!$I49="")),'06 Exr'!$I49,0)</f>
        <v>0</v>
      </c>
      <c r="AE49">
        <f>IF(AND('06 Exr'!C49&lt;Tmax, NOT('06 Exr'!$H49="")),'06 Exr'!$H49,4)</f>
        <v>4</v>
      </c>
      <c r="AF49">
        <f>IF(AND('06 Exr'!D49&lt;Tmax, NOT('06 Exr'!$H49="")),'06 Exr'!$H49,4)</f>
        <v>4</v>
      </c>
      <c r="AG49">
        <f>IF(AND('06 Exr'!E49&lt;Tmax, NOT('06 Exr'!$H49="")),'06 Exr'!$H49,4)</f>
        <v>4</v>
      </c>
      <c r="AH49">
        <f>IF(AND('06 Exr'!F49&lt;Tmax, NOT('06 Exr'!$H49="")),'06 Exr'!$H49,4)</f>
        <v>4</v>
      </c>
      <c r="AI49"/>
    </row>
    <row r="50" spans="1:35" outlineLevel="2" x14ac:dyDescent="0.2">
      <c r="A50" s="636" t="s">
        <v>3322</v>
      </c>
      <c r="B50" s="636" t="s">
        <v>2297</v>
      </c>
      <c r="C50" s="786"/>
      <c r="D50" s="822"/>
      <c r="E50" s="822"/>
      <c r="F50" s="822"/>
      <c r="G50" s="1473">
        <v>4</v>
      </c>
      <c r="H50" s="1473"/>
      <c r="I50" s="1473"/>
      <c r="J50" s="1473" t="s">
        <v>1592</v>
      </c>
      <c r="K50" s="1472" t="s">
        <v>7117</v>
      </c>
      <c r="L50" s="1472" t="s">
        <v>5882</v>
      </c>
      <c r="M50" s="854"/>
      <c r="AA50">
        <f>IF(AND('06 Exr'!C50&gt;Tmin, NOT('06 Exr'!$I50="")),'06 Exr'!$I50,0)</f>
        <v>0</v>
      </c>
      <c r="AB50">
        <f>IF(AND('06 Exr'!D50&gt;Tmin, NOT('06 Exr'!$I50="")),'06 Exr'!$I50,0)</f>
        <v>0</v>
      </c>
      <c r="AC50">
        <f>IF(AND('06 Exr'!E50&gt;Tmin, NOT('06 Exr'!$I50="")),'06 Exr'!$I50,0)</f>
        <v>0</v>
      </c>
      <c r="AD50">
        <f>IF(AND('06 Exr'!F50&gt;Tmin, NOT('06 Exr'!$I50="")),'06 Exr'!$I50,0)</f>
        <v>0</v>
      </c>
      <c r="AE50">
        <f>IF(AND('06 Exr'!C50&lt;Tmax, NOT('06 Exr'!$H50="")),'06 Exr'!$H50,4)</f>
        <v>4</v>
      </c>
      <c r="AF50">
        <f>IF(AND('06 Exr'!D50&lt;Tmax, NOT('06 Exr'!$H50="")),'06 Exr'!$H50,4)</f>
        <v>4</v>
      </c>
      <c r="AG50">
        <f>IF(AND('06 Exr'!E50&lt;Tmax, NOT('06 Exr'!$H50="")),'06 Exr'!$H50,4)</f>
        <v>4</v>
      </c>
      <c r="AH50">
        <f>IF(AND('06 Exr'!F50&lt;Tmax, NOT('06 Exr'!$H50="")),'06 Exr'!$H50,4)</f>
        <v>4</v>
      </c>
      <c r="AI50"/>
    </row>
    <row r="51" spans="1:35" outlineLevel="2" x14ac:dyDescent="0.2">
      <c r="A51" s="636" t="s">
        <v>2298</v>
      </c>
      <c r="B51" s="636" t="s">
        <v>6806</v>
      </c>
      <c r="C51" s="786"/>
      <c r="D51" s="822"/>
      <c r="E51" s="822"/>
      <c r="F51" s="822"/>
      <c r="G51" s="1473">
        <v>2</v>
      </c>
      <c r="H51" s="1473"/>
      <c r="I51" s="1473"/>
      <c r="J51" s="1473" t="s">
        <v>1592</v>
      </c>
      <c r="K51" s="1472" t="s">
        <v>7117</v>
      </c>
      <c r="L51" s="1472" t="s">
        <v>5882</v>
      </c>
      <c r="M51" s="854"/>
      <c r="AA51">
        <f>IF(AND('06 Exr'!C51&gt;Tmin, NOT('06 Exr'!$I51="")),'06 Exr'!$I51,0)</f>
        <v>0</v>
      </c>
      <c r="AB51">
        <f>IF(AND('06 Exr'!D51&gt;Tmin, NOT('06 Exr'!$I51="")),'06 Exr'!$I51,0)</f>
        <v>0</v>
      </c>
      <c r="AC51">
        <f>IF(AND('06 Exr'!E51&gt;Tmin, NOT('06 Exr'!$I51="")),'06 Exr'!$I51,0)</f>
        <v>0</v>
      </c>
      <c r="AD51">
        <f>IF(AND('06 Exr'!F51&gt;Tmin, NOT('06 Exr'!$I51="")),'06 Exr'!$I51,0)</f>
        <v>0</v>
      </c>
      <c r="AE51">
        <f>IF(AND('06 Exr'!C51&lt;Tmax, NOT('06 Exr'!$H51="")),'06 Exr'!$H51,4)</f>
        <v>4</v>
      </c>
      <c r="AF51">
        <f>IF(AND('06 Exr'!D51&lt;Tmax, NOT('06 Exr'!$H51="")),'06 Exr'!$H51,4)</f>
        <v>4</v>
      </c>
      <c r="AG51">
        <f>IF(AND('06 Exr'!E51&lt;Tmax, NOT('06 Exr'!$H51="")),'06 Exr'!$H51,4)</f>
        <v>4</v>
      </c>
      <c r="AH51">
        <f>IF(AND('06 Exr'!F51&lt;Tmax, NOT('06 Exr'!$H51="")),'06 Exr'!$H51,4)</f>
        <v>4</v>
      </c>
      <c r="AI51"/>
    </row>
    <row r="52" spans="1:35" outlineLevel="2" x14ac:dyDescent="0.2">
      <c r="A52" s="636" t="s">
        <v>6102</v>
      </c>
      <c r="B52" s="636" t="s">
        <v>3884</v>
      </c>
      <c r="C52" s="786"/>
      <c r="D52" s="822"/>
      <c r="E52" s="822"/>
      <c r="F52" s="822"/>
      <c r="G52" s="1473">
        <v>2</v>
      </c>
      <c r="H52" s="1473"/>
      <c r="I52" s="1473"/>
      <c r="J52" s="1473" t="s">
        <v>2349</v>
      </c>
      <c r="K52" s="1458" t="s">
        <v>4282</v>
      </c>
      <c r="L52" s="1472"/>
      <c r="M52" s="854"/>
      <c r="AA52">
        <f>IF(AND('06 Exr'!C52&gt;Tmin, NOT('06 Exr'!$I52="")),'06 Exr'!$I52,0)</f>
        <v>0</v>
      </c>
      <c r="AB52">
        <f>IF(AND('06 Exr'!D52&gt;Tmin, NOT('06 Exr'!$I52="")),'06 Exr'!$I52,0)</f>
        <v>0</v>
      </c>
      <c r="AC52">
        <f>IF(AND('06 Exr'!E52&gt;Tmin, NOT('06 Exr'!$I52="")),'06 Exr'!$I52,0)</f>
        <v>0</v>
      </c>
      <c r="AD52">
        <f>IF(AND('06 Exr'!F52&gt;Tmin, NOT('06 Exr'!$I52="")),'06 Exr'!$I52,0)</f>
        <v>0</v>
      </c>
      <c r="AE52">
        <f>IF(AND('06 Exr'!C52&lt;Tmax, NOT('06 Exr'!$H52="")),'06 Exr'!$H52,4)</f>
        <v>4</v>
      </c>
      <c r="AF52">
        <f>IF(AND('06 Exr'!D52&lt;Tmax, NOT('06 Exr'!$H52="")),'06 Exr'!$H52,4)</f>
        <v>4</v>
      </c>
      <c r="AG52">
        <f>IF(AND('06 Exr'!E52&lt;Tmax, NOT('06 Exr'!$H52="")),'06 Exr'!$H52,4)</f>
        <v>4</v>
      </c>
      <c r="AH52">
        <f>IF(AND('06 Exr'!F52&lt;Tmax, NOT('06 Exr'!$H52="")),'06 Exr'!$H52,4)</f>
        <v>4</v>
      </c>
      <c r="AI52"/>
    </row>
    <row r="53" spans="1:35" outlineLevel="2" x14ac:dyDescent="0.2">
      <c r="A53" s="636" t="s">
        <v>3885</v>
      </c>
      <c r="B53" s="636" t="s">
        <v>3886</v>
      </c>
      <c r="C53" s="786"/>
      <c r="D53" s="822"/>
      <c r="E53" s="822"/>
      <c r="F53" s="822"/>
      <c r="G53" s="1473">
        <v>2</v>
      </c>
      <c r="H53" s="1473"/>
      <c r="I53" s="1473"/>
      <c r="J53" s="1473" t="s">
        <v>2109</v>
      </c>
      <c r="K53" s="1472"/>
      <c r="L53" s="1472"/>
      <c r="M53" s="854"/>
      <c r="AA53">
        <f>IF(AND('06 Exr'!C53&gt;Tmin, NOT('06 Exr'!$I53="")),'06 Exr'!$I53,0)</f>
        <v>0</v>
      </c>
      <c r="AB53">
        <f>IF(AND('06 Exr'!D53&gt;Tmin, NOT('06 Exr'!$I53="")),'06 Exr'!$I53,0)</f>
        <v>0</v>
      </c>
      <c r="AC53">
        <f>IF(AND('06 Exr'!E53&gt;Tmin, NOT('06 Exr'!$I53="")),'06 Exr'!$I53,0)</f>
        <v>0</v>
      </c>
      <c r="AD53">
        <f>IF(AND('06 Exr'!F53&gt;Tmin, NOT('06 Exr'!$I53="")),'06 Exr'!$I53,0)</f>
        <v>0</v>
      </c>
      <c r="AE53">
        <f>IF(AND('06 Exr'!C53&lt;Tmax, NOT('06 Exr'!$H53="")),'06 Exr'!$H53,4)</f>
        <v>4</v>
      </c>
      <c r="AF53">
        <f>IF(AND('06 Exr'!D53&lt;Tmax, NOT('06 Exr'!$H53="")),'06 Exr'!$H53,4)</f>
        <v>4</v>
      </c>
      <c r="AG53">
        <f>IF(AND('06 Exr'!E53&lt;Tmax, NOT('06 Exr'!$H53="")),'06 Exr'!$H53,4)</f>
        <v>4</v>
      </c>
      <c r="AH53">
        <f>IF(AND('06 Exr'!F53&lt;Tmax, NOT('06 Exr'!$H53="")),'06 Exr'!$H53,4)</f>
        <v>4</v>
      </c>
      <c r="AI53"/>
    </row>
    <row r="54" spans="1:35" outlineLevel="1" x14ac:dyDescent="0.2">
      <c r="A54" s="633" t="s">
        <v>5384</v>
      </c>
      <c r="B54" s="634" t="s">
        <v>6372</v>
      </c>
      <c r="C54" s="786"/>
      <c r="D54" s="822"/>
      <c r="E54" s="822"/>
      <c r="F54" s="822"/>
      <c r="G54" s="1473"/>
      <c r="H54" s="1473"/>
      <c r="I54" s="1473"/>
      <c r="J54" s="1473"/>
      <c r="K54" s="1472"/>
      <c r="L54" s="1472"/>
      <c r="M54" s="854"/>
      <c r="AA54"/>
      <c r="AB54"/>
      <c r="AC54"/>
      <c r="AD54"/>
      <c r="AE54"/>
      <c r="AF54"/>
      <c r="AG54"/>
      <c r="AH54"/>
      <c r="AI54"/>
    </row>
    <row r="55" spans="1:35" ht="22.5" outlineLevel="2" x14ac:dyDescent="0.2">
      <c r="A55" s="636" t="s">
        <v>3887</v>
      </c>
      <c r="B55" s="636" t="s">
        <v>6807</v>
      </c>
      <c r="C55" s="786"/>
      <c r="D55" s="822"/>
      <c r="E55" s="822"/>
      <c r="F55" s="822"/>
      <c r="G55" s="1473">
        <v>4</v>
      </c>
      <c r="H55" s="1473"/>
      <c r="I55" s="1473"/>
      <c r="J55" s="1473" t="s">
        <v>2109</v>
      </c>
      <c r="K55" s="1472" t="s">
        <v>5723</v>
      </c>
      <c r="L55" s="1472" t="s">
        <v>7331</v>
      </c>
      <c r="M55" s="854"/>
      <c r="AA55">
        <f>IF(AND('06 Exr'!C55&gt;Tmin, NOT('06 Exr'!$I55="")),'06 Exr'!$I55,0)</f>
        <v>0</v>
      </c>
      <c r="AB55">
        <f>IF(AND('06 Exr'!D55&gt;Tmin, NOT('06 Exr'!$I55="")),'06 Exr'!$I55,0)</f>
        <v>0</v>
      </c>
      <c r="AC55">
        <f>IF(AND('06 Exr'!E55&gt;Tmin, NOT('06 Exr'!$I55="")),'06 Exr'!$I55,0)</f>
        <v>0</v>
      </c>
      <c r="AD55">
        <f>IF(AND('06 Exr'!F55&gt;Tmin, NOT('06 Exr'!$I55="")),'06 Exr'!$I55,0)</f>
        <v>0</v>
      </c>
      <c r="AE55">
        <f>IF(AND('06 Exr'!C55&lt;Tmax, NOT('06 Exr'!$H55="")),'06 Exr'!$H55,4)</f>
        <v>4</v>
      </c>
      <c r="AF55">
        <f>IF(AND('06 Exr'!D55&lt;Tmax, NOT('06 Exr'!$H55="")),'06 Exr'!$H55,4)</f>
        <v>4</v>
      </c>
      <c r="AG55">
        <f>IF(AND('06 Exr'!E55&lt;Tmax, NOT('06 Exr'!$H55="")),'06 Exr'!$H55,4)</f>
        <v>4</v>
      </c>
      <c r="AH55">
        <f>IF(AND('06 Exr'!F55&lt;Tmax, NOT('06 Exr'!$H55="")),'06 Exr'!$H55,4)</f>
        <v>4</v>
      </c>
      <c r="AI55"/>
    </row>
    <row r="56" spans="1:35" ht="22.5" outlineLevel="2" x14ac:dyDescent="0.2">
      <c r="A56" s="636" t="s">
        <v>3888</v>
      </c>
      <c r="B56" s="636" t="s">
        <v>6808</v>
      </c>
      <c r="C56" s="786"/>
      <c r="D56" s="822"/>
      <c r="E56" s="822"/>
      <c r="F56" s="822"/>
      <c r="G56" s="1473">
        <v>2</v>
      </c>
      <c r="H56" s="1473"/>
      <c r="I56" s="1473"/>
      <c r="J56" s="1473" t="s">
        <v>1592</v>
      </c>
      <c r="K56" s="1472" t="s">
        <v>5723</v>
      </c>
      <c r="L56" s="1472" t="s">
        <v>7331</v>
      </c>
      <c r="M56" s="854"/>
      <c r="AA56">
        <f>IF(AND('06 Exr'!C56&gt;Tmin, NOT('06 Exr'!$I56="")),'06 Exr'!$I56,0)</f>
        <v>0</v>
      </c>
      <c r="AB56">
        <f>IF(AND('06 Exr'!D56&gt;Tmin, NOT('06 Exr'!$I56="")),'06 Exr'!$I56,0)</f>
        <v>0</v>
      </c>
      <c r="AC56">
        <f>IF(AND('06 Exr'!E56&gt;Tmin, NOT('06 Exr'!$I56="")),'06 Exr'!$I56,0)</f>
        <v>0</v>
      </c>
      <c r="AD56">
        <f>IF(AND('06 Exr'!F56&gt;Tmin, NOT('06 Exr'!$I56="")),'06 Exr'!$I56,0)</f>
        <v>0</v>
      </c>
      <c r="AE56">
        <f>IF(AND('06 Exr'!C56&lt;Tmax, NOT('06 Exr'!$H56="")),'06 Exr'!$H56,4)</f>
        <v>4</v>
      </c>
      <c r="AF56">
        <f>IF(AND('06 Exr'!D56&lt;Tmax, NOT('06 Exr'!$H56="")),'06 Exr'!$H56,4)</f>
        <v>4</v>
      </c>
      <c r="AG56">
        <f>IF(AND('06 Exr'!E56&lt;Tmax, NOT('06 Exr'!$H56="")),'06 Exr'!$H56,4)</f>
        <v>4</v>
      </c>
      <c r="AH56">
        <f>IF(AND('06 Exr'!F56&lt;Tmax, NOT('06 Exr'!$H56="")),'06 Exr'!$H56,4)</f>
        <v>4</v>
      </c>
      <c r="AI56"/>
    </row>
    <row r="57" spans="1:35" outlineLevel="2" x14ac:dyDescent="0.2">
      <c r="A57" s="636" t="s">
        <v>3889</v>
      </c>
      <c r="B57" s="636" t="s">
        <v>3305</v>
      </c>
      <c r="C57" s="786"/>
      <c r="D57" s="822"/>
      <c r="E57" s="822"/>
      <c r="F57" s="822"/>
      <c r="G57" s="1473">
        <v>4</v>
      </c>
      <c r="H57" s="1473"/>
      <c r="I57" s="1473"/>
      <c r="J57" s="1473" t="s">
        <v>4246</v>
      </c>
      <c r="K57" s="1472" t="s">
        <v>5723</v>
      </c>
      <c r="L57" s="1472" t="s">
        <v>7332</v>
      </c>
      <c r="M57" s="854"/>
      <c r="AA57">
        <f>IF(AND('06 Exr'!C57&gt;Tmin, NOT('06 Exr'!$I57="")),'06 Exr'!$I57,0)</f>
        <v>0</v>
      </c>
      <c r="AB57">
        <f>IF(AND('06 Exr'!D57&gt;Tmin, NOT('06 Exr'!$I57="")),'06 Exr'!$I57,0)</f>
        <v>0</v>
      </c>
      <c r="AC57">
        <f>IF(AND('06 Exr'!E57&gt;Tmin, NOT('06 Exr'!$I57="")),'06 Exr'!$I57,0)</f>
        <v>0</v>
      </c>
      <c r="AD57">
        <f>IF(AND('06 Exr'!F57&gt;Tmin, NOT('06 Exr'!$I57="")),'06 Exr'!$I57,0)</f>
        <v>0</v>
      </c>
      <c r="AE57">
        <f>IF(AND('06 Exr'!C57&lt;Tmax, NOT('06 Exr'!$H57="")),'06 Exr'!$H57,4)</f>
        <v>4</v>
      </c>
      <c r="AF57">
        <f>IF(AND('06 Exr'!D57&lt;Tmax, NOT('06 Exr'!$H57="")),'06 Exr'!$H57,4)</f>
        <v>4</v>
      </c>
      <c r="AG57">
        <f>IF(AND('06 Exr'!E57&lt;Tmax, NOT('06 Exr'!$H57="")),'06 Exr'!$H57,4)</f>
        <v>4</v>
      </c>
      <c r="AH57">
        <f>IF(AND('06 Exr'!F57&lt;Tmax, NOT('06 Exr'!$H57="")),'06 Exr'!$H57,4)</f>
        <v>4</v>
      </c>
      <c r="AI57"/>
    </row>
    <row r="58" spans="1:35" ht="22.5" outlineLevel="2" x14ac:dyDescent="0.2">
      <c r="A58" s="636" t="s">
        <v>3890</v>
      </c>
      <c r="B58" s="636" t="s">
        <v>6041</v>
      </c>
      <c r="C58" s="786"/>
      <c r="D58" s="822"/>
      <c r="E58" s="822"/>
      <c r="F58" s="822"/>
      <c r="G58" s="1473">
        <v>4</v>
      </c>
      <c r="H58" s="1473"/>
      <c r="I58" s="1473"/>
      <c r="J58" s="1473" t="s">
        <v>1592</v>
      </c>
      <c r="K58" s="1472" t="s">
        <v>5723</v>
      </c>
      <c r="L58" s="1472" t="s">
        <v>7332</v>
      </c>
      <c r="M58" s="854"/>
      <c r="AA58">
        <f>IF(AND('06 Exr'!C58&gt;Tmin, NOT('06 Exr'!$I58="")),'06 Exr'!$I58,0)</f>
        <v>0</v>
      </c>
      <c r="AB58">
        <f>IF(AND('06 Exr'!D58&gt;Tmin, NOT('06 Exr'!$I58="")),'06 Exr'!$I58,0)</f>
        <v>0</v>
      </c>
      <c r="AC58">
        <f>IF(AND('06 Exr'!E58&gt;Tmin, NOT('06 Exr'!$I58="")),'06 Exr'!$I58,0)</f>
        <v>0</v>
      </c>
      <c r="AD58">
        <f>IF(AND('06 Exr'!F58&gt;Tmin, NOT('06 Exr'!$I58="")),'06 Exr'!$I58,0)</f>
        <v>0</v>
      </c>
      <c r="AE58">
        <f>IF(AND('06 Exr'!C58&lt;Tmax, NOT('06 Exr'!$H58="")),'06 Exr'!$H58,4)</f>
        <v>4</v>
      </c>
      <c r="AF58">
        <f>IF(AND('06 Exr'!D58&lt;Tmax, NOT('06 Exr'!$H58="")),'06 Exr'!$H58,4)</f>
        <v>4</v>
      </c>
      <c r="AG58">
        <f>IF(AND('06 Exr'!E58&lt;Tmax, NOT('06 Exr'!$H58="")),'06 Exr'!$H58,4)</f>
        <v>4</v>
      </c>
      <c r="AH58">
        <f>IF(AND('06 Exr'!F58&lt;Tmax, NOT('06 Exr'!$H58="")),'06 Exr'!$H58,4)</f>
        <v>4</v>
      </c>
      <c r="AI58"/>
    </row>
    <row r="59" spans="1:35" ht="22.5" outlineLevel="2" x14ac:dyDescent="0.2">
      <c r="A59" s="636" t="s">
        <v>3891</v>
      </c>
      <c r="B59" s="636" t="s">
        <v>2269</v>
      </c>
      <c r="C59" s="786"/>
      <c r="D59" s="822"/>
      <c r="E59" s="822"/>
      <c r="F59" s="822"/>
      <c r="G59" s="1473">
        <v>2</v>
      </c>
      <c r="H59" s="1473"/>
      <c r="I59" s="1473"/>
      <c r="J59" s="1473" t="s">
        <v>1592</v>
      </c>
      <c r="K59" s="1472" t="s">
        <v>5723</v>
      </c>
      <c r="L59" s="1472" t="s">
        <v>7332</v>
      </c>
      <c r="M59" s="854"/>
      <c r="AA59">
        <f>IF(AND('06 Exr'!C59&gt;Tmin, NOT('06 Exr'!$I59="")),'06 Exr'!$I59,0)</f>
        <v>0</v>
      </c>
      <c r="AB59">
        <f>IF(AND('06 Exr'!D59&gt;Tmin, NOT('06 Exr'!$I59="")),'06 Exr'!$I59,0)</f>
        <v>0</v>
      </c>
      <c r="AC59">
        <f>IF(AND('06 Exr'!E59&gt;Tmin, NOT('06 Exr'!$I59="")),'06 Exr'!$I59,0)</f>
        <v>0</v>
      </c>
      <c r="AD59">
        <f>IF(AND('06 Exr'!F59&gt;Tmin, NOT('06 Exr'!$I59="")),'06 Exr'!$I59,0)</f>
        <v>0</v>
      </c>
      <c r="AE59">
        <f>IF(AND('06 Exr'!C59&lt;Tmax, NOT('06 Exr'!$H59="")),'06 Exr'!$H59,4)</f>
        <v>4</v>
      </c>
      <c r="AF59">
        <f>IF(AND('06 Exr'!D59&lt;Tmax, NOT('06 Exr'!$H59="")),'06 Exr'!$H59,4)</f>
        <v>4</v>
      </c>
      <c r="AG59">
        <f>IF(AND('06 Exr'!E59&lt;Tmax, NOT('06 Exr'!$H59="")),'06 Exr'!$H59,4)</f>
        <v>4</v>
      </c>
      <c r="AH59">
        <f>IF(AND('06 Exr'!F59&lt;Tmax, NOT('06 Exr'!$H59="")),'06 Exr'!$H59,4)</f>
        <v>4</v>
      </c>
      <c r="AI59"/>
    </row>
    <row r="60" spans="1:35" ht="22.5" outlineLevel="2" x14ac:dyDescent="0.2">
      <c r="A60" s="636" t="s">
        <v>3892</v>
      </c>
      <c r="B60" s="636" t="s">
        <v>2935</v>
      </c>
      <c r="C60" s="786"/>
      <c r="D60" s="822"/>
      <c r="E60" s="822"/>
      <c r="F60" s="822"/>
      <c r="G60" s="1473">
        <v>2</v>
      </c>
      <c r="H60" s="1473"/>
      <c r="I60" s="1473"/>
      <c r="J60" s="1473" t="s">
        <v>2329</v>
      </c>
      <c r="K60" s="1458" t="s">
        <v>4425</v>
      </c>
      <c r="L60" s="1472" t="s">
        <v>7333</v>
      </c>
      <c r="M60" s="854"/>
      <c r="AA60">
        <f>IF(AND('06 Exr'!C60&gt;Tmin, NOT('06 Exr'!$I60="")),'06 Exr'!$I60,0)</f>
        <v>0</v>
      </c>
      <c r="AB60">
        <f>IF(AND('06 Exr'!D60&gt;Tmin, NOT('06 Exr'!$I60="")),'06 Exr'!$I60,0)</f>
        <v>0</v>
      </c>
      <c r="AC60">
        <f>IF(AND('06 Exr'!E60&gt;Tmin, NOT('06 Exr'!$I60="")),'06 Exr'!$I60,0)</f>
        <v>0</v>
      </c>
      <c r="AD60">
        <f>IF(AND('06 Exr'!F60&gt;Tmin, NOT('06 Exr'!$I60="")),'06 Exr'!$I60,0)</f>
        <v>0</v>
      </c>
      <c r="AE60">
        <f>IF(AND('06 Exr'!C60&lt;Tmax, NOT('06 Exr'!$H60="")),'06 Exr'!$H60,4)</f>
        <v>4</v>
      </c>
      <c r="AF60">
        <f>IF(AND('06 Exr'!D60&lt;Tmax, NOT('06 Exr'!$H60="")),'06 Exr'!$H60,4)</f>
        <v>4</v>
      </c>
      <c r="AG60">
        <f>IF(AND('06 Exr'!E60&lt;Tmax, NOT('06 Exr'!$H60="")),'06 Exr'!$H60,4)</f>
        <v>4</v>
      </c>
      <c r="AH60">
        <f>IF(AND('06 Exr'!F60&lt;Tmax, NOT('06 Exr'!$H60="")),'06 Exr'!$H60,4)</f>
        <v>4</v>
      </c>
      <c r="AI60"/>
    </row>
    <row r="61" spans="1:35" outlineLevel="1" x14ac:dyDescent="0.2">
      <c r="A61" s="633" t="s">
        <v>5385</v>
      </c>
      <c r="B61" s="634" t="s">
        <v>5386</v>
      </c>
      <c r="C61" s="786"/>
      <c r="D61" s="822"/>
      <c r="E61" s="822"/>
      <c r="F61" s="822"/>
      <c r="G61" s="1473"/>
      <c r="H61" s="1473"/>
      <c r="I61" s="1473"/>
      <c r="J61" s="1473"/>
      <c r="K61" s="1472"/>
      <c r="L61" s="1472"/>
      <c r="M61" s="854"/>
      <c r="AA61"/>
      <c r="AB61"/>
      <c r="AC61"/>
      <c r="AD61"/>
      <c r="AE61"/>
      <c r="AF61"/>
      <c r="AG61"/>
      <c r="AH61"/>
      <c r="AI61"/>
    </row>
    <row r="62" spans="1:35" ht="33.75" customHeight="1" outlineLevel="2" x14ac:dyDescent="0.2">
      <c r="A62" s="636" t="s">
        <v>2936</v>
      </c>
      <c r="B62" s="636" t="s">
        <v>6043</v>
      </c>
      <c r="C62" s="786"/>
      <c r="D62" s="822"/>
      <c r="E62" s="822"/>
      <c r="F62" s="822"/>
      <c r="G62" s="1473">
        <v>4</v>
      </c>
      <c r="H62" s="1473"/>
      <c r="I62" s="1473"/>
      <c r="J62" s="1473" t="s">
        <v>1592</v>
      </c>
      <c r="K62" s="1472" t="s">
        <v>7118</v>
      </c>
      <c r="L62" s="1472" t="s">
        <v>7334</v>
      </c>
      <c r="M62" s="854"/>
      <c r="AA62">
        <f>IF(AND('06 Exr'!C62&gt;Tmin, NOT('06 Exr'!$I62="")),'06 Exr'!$I62,0)</f>
        <v>0</v>
      </c>
      <c r="AB62">
        <f>IF(AND('06 Exr'!D62&gt;Tmin, NOT('06 Exr'!$I62="")),'06 Exr'!$I62,0)</f>
        <v>0</v>
      </c>
      <c r="AC62">
        <f>IF(AND('06 Exr'!E62&gt;Tmin, NOT('06 Exr'!$I62="")),'06 Exr'!$I62,0)</f>
        <v>0</v>
      </c>
      <c r="AD62">
        <f>IF(AND('06 Exr'!F62&gt;Tmin, NOT('06 Exr'!$I62="")),'06 Exr'!$I62,0)</f>
        <v>0</v>
      </c>
      <c r="AE62">
        <f>IF(AND('06 Exr'!C62&lt;Tmax, NOT('06 Exr'!$H62="")),'06 Exr'!$H62,4)</f>
        <v>4</v>
      </c>
      <c r="AF62">
        <f>IF(AND('06 Exr'!D62&lt;Tmax, NOT('06 Exr'!$H62="")),'06 Exr'!$H62,4)</f>
        <v>4</v>
      </c>
      <c r="AG62">
        <f>IF(AND('06 Exr'!E62&lt;Tmax, NOT('06 Exr'!$H62="")),'06 Exr'!$H62,4)</f>
        <v>4</v>
      </c>
      <c r="AH62">
        <f>IF(AND('06 Exr'!F62&lt;Tmax, NOT('06 Exr'!$H62="")),'06 Exr'!$H62,4)</f>
        <v>4</v>
      </c>
      <c r="AI62"/>
    </row>
    <row r="63" spans="1:35" ht="22.5" outlineLevel="2" x14ac:dyDescent="0.2">
      <c r="A63" s="636" t="s">
        <v>2937</v>
      </c>
      <c r="B63" s="636" t="s">
        <v>5197</v>
      </c>
      <c r="C63" s="786"/>
      <c r="D63" s="822"/>
      <c r="E63" s="822"/>
      <c r="F63" s="822"/>
      <c r="G63" s="1473">
        <v>4</v>
      </c>
      <c r="H63" s="1473"/>
      <c r="I63" s="1473"/>
      <c r="J63" s="1473" t="s">
        <v>1592</v>
      </c>
      <c r="K63" s="1472" t="s">
        <v>4434</v>
      </c>
      <c r="L63" s="1472" t="s">
        <v>1717</v>
      </c>
      <c r="M63" s="854"/>
      <c r="AA63">
        <f>IF(AND('06 Exr'!C63&gt;Tmin, NOT('06 Exr'!$I63="")),'06 Exr'!$I63,0)</f>
        <v>0</v>
      </c>
      <c r="AB63">
        <f>IF(AND('06 Exr'!D63&gt;Tmin, NOT('06 Exr'!$I63="")),'06 Exr'!$I63,0)</f>
        <v>0</v>
      </c>
      <c r="AC63">
        <f>IF(AND('06 Exr'!E63&gt;Tmin, NOT('06 Exr'!$I63="")),'06 Exr'!$I63,0)</f>
        <v>0</v>
      </c>
      <c r="AD63">
        <f>IF(AND('06 Exr'!F63&gt;Tmin, NOT('06 Exr'!$I63="")),'06 Exr'!$I63,0)</f>
        <v>0</v>
      </c>
      <c r="AE63">
        <f>IF(AND('06 Exr'!C63&lt;Tmax, NOT('06 Exr'!$H63="")),'06 Exr'!$H63,4)</f>
        <v>4</v>
      </c>
      <c r="AF63">
        <f>IF(AND('06 Exr'!D63&lt;Tmax, NOT('06 Exr'!$H63="")),'06 Exr'!$H63,4)</f>
        <v>4</v>
      </c>
      <c r="AG63">
        <f>IF(AND('06 Exr'!E63&lt;Tmax, NOT('06 Exr'!$H63="")),'06 Exr'!$H63,4)</f>
        <v>4</v>
      </c>
      <c r="AH63">
        <f>IF(AND('06 Exr'!F63&lt;Tmax, NOT('06 Exr'!$H63="")),'06 Exr'!$H63,4)</f>
        <v>4</v>
      </c>
      <c r="AI63"/>
    </row>
    <row r="64" spans="1:35" ht="22.5" outlineLevel="2" x14ac:dyDescent="0.2">
      <c r="A64" s="636" t="s">
        <v>5198</v>
      </c>
      <c r="B64" s="636" t="s">
        <v>5199</v>
      </c>
      <c r="C64" s="786"/>
      <c r="D64" s="822"/>
      <c r="E64" s="822"/>
      <c r="F64" s="822"/>
      <c r="G64" s="1473">
        <v>2</v>
      </c>
      <c r="H64" s="1473"/>
      <c r="I64" s="1473"/>
      <c r="J64" s="1473" t="s">
        <v>1592</v>
      </c>
      <c r="K64" s="1472"/>
      <c r="L64" s="1472"/>
      <c r="M64" s="854"/>
      <c r="AA64">
        <f>IF(AND('06 Exr'!C64&gt;Tmin, NOT('06 Exr'!$I64="")),'06 Exr'!$I64,0)</f>
        <v>0</v>
      </c>
      <c r="AB64">
        <f>IF(AND('06 Exr'!D64&gt;Tmin, NOT('06 Exr'!$I64="")),'06 Exr'!$I64,0)</f>
        <v>0</v>
      </c>
      <c r="AC64">
        <f>IF(AND('06 Exr'!E64&gt;Tmin, NOT('06 Exr'!$I64="")),'06 Exr'!$I64,0)</f>
        <v>0</v>
      </c>
      <c r="AD64">
        <f>IF(AND('06 Exr'!F64&gt;Tmin, NOT('06 Exr'!$I64="")),'06 Exr'!$I64,0)</f>
        <v>0</v>
      </c>
      <c r="AE64">
        <f>IF(AND('06 Exr'!C64&lt;Tmax, NOT('06 Exr'!$H64="")),'06 Exr'!$H64,4)</f>
        <v>4</v>
      </c>
      <c r="AF64">
        <f>IF(AND('06 Exr'!D64&lt;Tmax, NOT('06 Exr'!$H64="")),'06 Exr'!$H64,4)</f>
        <v>4</v>
      </c>
      <c r="AG64">
        <f>IF(AND('06 Exr'!E64&lt;Tmax, NOT('06 Exr'!$H64="")),'06 Exr'!$H64,4)</f>
        <v>4</v>
      </c>
      <c r="AH64">
        <f>IF(AND('06 Exr'!F64&lt;Tmax, NOT('06 Exr'!$H64="")),'06 Exr'!$H64,4)</f>
        <v>4</v>
      </c>
      <c r="AI64"/>
    </row>
    <row r="65" spans="1:35" ht="22.5" outlineLevel="2" x14ac:dyDescent="0.2">
      <c r="A65" s="636" t="s">
        <v>5200</v>
      </c>
      <c r="B65" s="636" t="s">
        <v>2500</v>
      </c>
      <c r="C65" s="786"/>
      <c r="D65" s="822"/>
      <c r="E65" s="822"/>
      <c r="F65" s="822"/>
      <c r="G65" s="1473">
        <v>4</v>
      </c>
      <c r="H65" s="1473"/>
      <c r="I65" s="1473"/>
      <c r="J65" s="1473" t="s">
        <v>2329</v>
      </c>
      <c r="K65" s="1472"/>
      <c r="L65" s="1472"/>
      <c r="M65" s="854"/>
      <c r="AA65">
        <f>IF(AND('06 Exr'!C65&gt;Tmin, NOT('06 Exr'!$I65="")),'06 Exr'!$I65,0)</f>
        <v>0</v>
      </c>
      <c r="AB65">
        <f>IF(AND('06 Exr'!D65&gt;Tmin, NOT('06 Exr'!$I65="")),'06 Exr'!$I65,0)</f>
        <v>0</v>
      </c>
      <c r="AC65">
        <f>IF(AND('06 Exr'!E65&gt;Tmin, NOT('06 Exr'!$I65="")),'06 Exr'!$I65,0)</f>
        <v>0</v>
      </c>
      <c r="AD65">
        <f>IF(AND('06 Exr'!F65&gt;Tmin, NOT('06 Exr'!$I65="")),'06 Exr'!$I65,0)</f>
        <v>0</v>
      </c>
      <c r="AE65">
        <f>IF(AND('06 Exr'!C65&lt;Tmax, NOT('06 Exr'!$H65="")),'06 Exr'!$H65,4)</f>
        <v>4</v>
      </c>
      <c r="AF65">
        <f>IF(AND('06 Exr'!D65&lt;Tmax, NOT('06 Exr'!$H65="")),'06 Exr'!$H65,4)</f>
        <v>4</v>
      </c>
      <c r="AG65">
        <f>IF(AND('06 Exr'!E65&lt;Tmax, NOT('06 Exr'!$H65="")),'06 Exr'!$H65,4)</f>
        <v>4</v>
      </c>
      <c r="AH65">
        <f>IF(AND('06 Exr'!F65&lt;Tmax, NOT('06 Exr'!$H65="")),'06 Exr'!$H65,4)</f>
        <v>4</v>
      </c>
      <c r="AI65"/>
    </row>
    <row r="66" spans="1:35" outlineLevel="2" x14ac:dyDescent="0.2">
      <c r="A66" s="636" t="s">
        <v>5201</v>
      </c>
      <c r="B66" s="636" t="s">
        <v>5202</v>
      </c>
      <c r="C66" s="786"/>
      <c r="D66" s="822"/>
      <c r="E66" s="822"/>
      <c r="F66" s="822"/>
      <c r="G66" s="1473">
        <v>2</v>
      </c>
      <c r="H66" s="1473">
        <v>3</v>
      </c>
      <c r="I66" s="1473"/>
      <c r="J66" s="1473" t="s">
        <v>2109</v>
      </c>
      <c r="K66" s="1472"/>
      <c r="L66" s="1472"/>
      <c r="M66" s="854"/>
      <c r="AA66">
        <f>IF(AND('06 Exr'!C66&gt;Tmin, NOT('06 Exr'!$I66="")),'06 Exr'!$I66,0)</f>
        <v>0</v>
      </c>
      <c r="AB66">
        <f>IF(AND('06 Exr'!D66&gt;Tmin, NOT('06 Exr'!$I66="")),'06 Exr'!$I66,0)</f>
        <v>0</v>
      </c>
      <c r="AC66">
        <f>IF(AND('06 Exr'!E66&gt;Tmin, NOT('06 Exr'!$I66="")),'06 Exr'!$I66,0)</f>
        <v>0</v>
      </c>
      <c r="AD66">
        <f>IF(AND('06 Exr'!F66&gt;Tmin, NOT('06 Exr'!$I66="")),'06 Exr'!$I66,0)</f>
        <v>0</v>
      </c>
      <c r="AE66">
        <f>IF(AND('06 Exr'!C66&lt;Tmax, NOT('06 Exr'!$H66="")),'06 Exr'!$H66,4)</f>
        <v>3</v>
      </c>
      <c r="AF66">
        <f>IF(AND('06 Exr'!D66&lt;Tmax, NOT('06 Exr'!$H66="")),'06 Exr'!$H66,4)</f>
        <v>3</v>
      </c>
      <c r="AG66">
        <f>IF(AND('06 Exr'!E66&lt;Tmax, NOT('06 Exr'!$H66="")),'06 Exr'!$H66,4)</f>
        <v>3</v>
      </c>
      <c r="AH66">
        <f>IF(AND('06 Exr'!F66&lt;Tmax, NOT('06 Exr'!$H66="")),'06 Exr'!$H66,4)</f>
        <v>3</v>
      </c>
      <c r="AI66"/>
    </row>
    <row r="67" spans="1:35" outlineLevel="1" x14ac:dyDescent="0.2">
      <c r="A67" s="633" t="s">
        <v>5387</v>
      </c>
      <c r="B67" s="634" t="s">
        <v>5388</v>
      </c>
      <c r="C67" s="786"/>
      <c r="D67" s="822"/>
      <c r="E67" s="822"/>
      <c r="F67" s="822"/>
      <c r="G67" s="1473"/>
      <c r="H67" s="1473"/>
      <c r="I67" s="1473"/>
      <c r="J67" s="1473"/>
      <c r="K67" s="1472"/>
      <c r="L67" s="1472"/>
      <c r="M67" s="854"/>
      <c r="AA67"/>
      <c r="AB67"/>
      <c r="AC67"/>
      <c r="AD67"/>
      <c r="AE67"/>
      <c r="AF67"/>
      <c r="AG67"/>
      <c r="AH67"/>
      <c r="AI67"/>
    </row>
    <row r="68" spans="1:35" ht="39" customHeight="1" outlineLevel="2" x14ac:dyDescent="0.2">
      <c r="A68" s="636" t="s">
        <v>5203</v>
      </c>
      <c r="B68" s="636" t="s">
        <v>6760</v>
      </c>
      <c r="C68" s="786"/>
      <c r="D68" s="822"/>
      <c r="E68" s="822"/>
      <c r="F68" s="824"/>
      <c r="G68" s="1473">
        <v>4</v>
      </c>
      <c r="H68" s="1473"/>
      <c r="I68" s="1473"/>
      <c r="J68" s="1473" t="s">
        <v>4246</v>
      </c>
      <c r="K68" s="1472" t="s">
        <v>2511</v>
      </c>
      <c r="L68" s="1472" t="s">
        <v>7335</v>
      </c>
      <c r="M68" s="854"/>
      <c r="AA68">
        <f>IF(AND('06 Exr'!C68&gt;Tmin, NOT('06 Exr'!$I68="")),'06 Exr'!$I68,0)</f>
        <v>0</v>
      </c>
      <c r="AB68">
        <f>IF(AND('06 Exr'!D68&gt;Tmin, NOT('06 Exr'!$I68="")),'06 Exr'!$I68,0)</f>
        <v>0</v>
      </c>
      <c r="AC68">
        <f>IF(AND('06 Exr'!E68&gt;Tmin, NOT('06 Exr'!$I68="")),'06 Exr'!$I68,0)</f>
        <v>0</v>
      </c>
      <c r="AD68">
        <f>IF(AND('06 Exr'!F68&gt;Tmin, NOT('06 Exr'!$I68="")),'06 Exr'!$I68,0)</f>
        <v>0</v>
      </c>
      <c r="AE68">
        <f>IF(AND('06 Exr'!C68&lt;Tmax, NOT('06 Exr'!$H68="")),'06 Exr'!$H68,4)</f>
        <v>4</v>
      </c>
      <c r="AF68">
        <f>IF(AND('06 Exr'!D68&lt;Tmax, NOT('06 Exr'!$H68="")),'06 Exr'!$H68,4)</f>
        <v>4</v>
      </c>
      <c r="AG68">
        <f>IF(AND('06 Exr'!E68&lt;Tmax, NOT('06 Exr'!$H68="")),'06 Exr'!$H68,4)</f>
        <v>4</v>
      </c>
      <c r="AH68">
        <f>IF(AND('06 Exr'!F68&lt;Tmax, NOT('06 Exr'!$H68="")),'06 Exr'!$H68,4)</f>
        <v>4</v>
      </c>
      <c r="AI68"/>
    </row>
    <row r="69" spans="1:35" ht="25.5" customHeight="1" outlineLevel="2" x14ac:dyDescent="0.2">
      <c r="A69" s="636" t="s">
        <v>5204</v>
      </c>
      <c r="B69" s="636" t="s">
        <v>4483</v>
      </c>
      <c r="C69" s="786"/>
      <c r="D69" s="822"/>
      <c r="E69" s="822"/>
      <c r="F69" s="822"/>
      <c r="G69" s="1473">
        <v>4</v>
      </c>
      <c r="H69" s="1473"/>
      <c r="I69" s="1473"/>
      <c r="J69" s="1473" t="s">
        <v>1592</v>
      </c>
      <c r="K69" s="1472" t="s">
        <v>2511</v>
      </c>
      <c r="L69" s="1472" t="s">
        <v>7335</v>
      </c>
      <c r="M69" s="854"/>
      <c r="AA69">
        <f>IF(AND('06 Exr'!C69&gt;Tmin, NOT('06 Exr'!$I69="")),'06 Exr'!$I69,0)</f>
        <v>0</v>
      </c>
      <c r="AB69">
        <f>IF(AND('06 Exr'!D69&gt;Tmin, NOT('06 Exr'!$I69="")),'06 Exr'!$I69,0)</f>
        <v>0</v>
      </c>
      <c r="AC69">
        <f>IF(AND('06 Exr'!E69&gt;Tmin, NOT('06 Exr'!$I69="")),'06 Exr'!$I69,0)</f>
        <v>0</v>
      </c>
      <c r="AD69">
        <f>IF(AND('06 Exr'!F69&gt;Tmin, NOT('06 Exr'!$I69="")),'06 Exr'!$I69,0)</f>
        <v>0</v>
      </c>
      <c r="AE69">
        <f>IF(AND('06 Exr'!C69&lt;Tmax, NOT('06 Exr'!$H69="")),'06 Exr'!$H69,4)</f>
        <v>4</v>
      </c>
      <c r="AF69">
        <f>IF(AND('06 Exr'!D69&lt;Tmax, NOT('06 Exr'!$H69="")),'06 Exr'!$H69,4)</f>
        <v>4</v>
      </c>
      <c r="AG69">
        <f>IF(AND('06 Exr'!E69&lt;Tmax, NOT('06 Exr'!$H69="")),'06 Exr'!$H69,4)</f>
        <v>4</v>
      </c>
      <c r="AH69">
        <f>IF(AND('06 Exr'!F69&lt;Tmax, NOT('06 Exr'!$H69="")),'06 Exr'!$H69,4)</f>
        <v>4</v>
      </c>
      <c r="AI69"/>
    </row>
    <row r="70" spans="1:35" outlineLevel="2" x14ac:dyDescent="0.2">
      <c r="A70" s="636" t="s">
        <v>5205</v>
      </c>
      <c r="B70" s="636" t="s">
        <v>5292</v>
      </c>
      <c r="C70" s="786"/>
      <c r="D70" s="822"/>
      <c r="E70" s="822"/>
      <c r="F70" s="822"/>
      <c r="G70" s="1473">
        <v>2</v>
      </c>
      <c r="H70" s="1473"/>
      <c r="I70" s="1473"/>
      <c r="J70" s="1473" t="s">
        <v>2109</v>
      </c>
      <c r="K70" s="1472" t="s">
        <v>2511</v>
      </c>
      <c r="L70" s="1472" t="s">
        <v>7335</v>
      </c>
      <c r="M70" s="854"/>
      <c r="AA70">
        <f>IF(AND('06 Exr'!C70&gt;Tmin, NOT('06 Exr'!$I70="")),'06 Exr'!$I70,0)</f>
        <v>0</v>
      </c>
      <c r="AB70">
        <f>IF(AND('06 Exr'!D70&gt;Tmin, NOT('06 Exr'!$I70="")),'06 Exr'!$I70,0)</f>
        <v>0</v>
      </c>
      <c r="AC70">
        <f>IF(AND('06 Exr'!E70&gt;Tmin, NOT('06 Exr'!$I70="")),'06 Exr'!$I70,0)</f>
        <v>0</v>
      </c>
      <c r="AD70">
        <f>IF(AND('06 Exr'!F70&gt;Tmin, NOT('06 Exr'!$I70="")),'06 Exr'!$I70,0)</f>
        <v>0</v>
      </c>
      <c r="AE70">
        <f>IF(AND('06 Exr'!C70&lt;Tmax, NOT('06 Exr'!$H70="")),'06 Exr'!$H70,4)</f>
        <v>4</v>
      </c>
      <c r="AF70">
        <f>IF(AND('06 Exr'!D70&lt;Tmax, NOT('06 Exr'!$H70="")),'06 Exr'!$H70,4)</f>
        <v>4</v>
      </c>
      <c r="AG70">
        <f>IF(AND('06 Exr'!E70&lt;Tmax, NOT('06 Exr'!$H70="")),'06 Exr'!$H70,4)</f>
        <v>4</v>
      </c>
      <c r="AH70">
        <f>IF(AND('06 Exr'!F70&lt;Tmax, NOT('06 Exr'!$H70="")),'06 Exr'!$H70,4)</f>
        <v>4</v>
      </c>
      <c r="AI70"/>
    </row>
    <row r="71" spans="1:35" x14ac:dyDescent="0.2">
      <c r="A71" s="644" t="s">
        <v>5206</v>
      </c>
      <c r="B71" s="644" t="s">
        <v>5207</v>
      </c>
      <c r="C71" s="786"/>
      <c r="D71" s="822"/>
      <c r="E71" s="822"/>
      <c r="F71" s="822"/>
      <c r="G71" s="1473"/>
      <c r="H71" s="1473"/>
      <c r="I71" s="1473"/>
      <c r="J71" s="1473"/>
      <c r="K71" s="1472"/>
      <c r="L71" s="1472"/>
      <c r="M71" s="854"/>
      <c r="AA71"/>
      <c r="AB71"/>
      <c r="AC71"/>
      <c r="AD71"/>
      <c r="AE71"/>
      <c r="AF71"/>
      <c r="AG71"/>
      <c r="AH71"/>
      <c r="AI71"/>
    </row>
    <row r="72" spans="1:35" outlineLevel="1" x14ac:dyDescent="0.2">
      <c r="A72" s="633" t="s">
        <v>3643</v>
      </c>
      <c r="B72" s="634" t="s">
        <v>3743</v>
      </c>
      <c r="C72" s="786"/>
      <c r="D72" s="822"/>
      <c r="E72" s="822"/>
      <c r="F72" s="822"/>
      <c r="G72" s="1473"/>
      <c r="H72" s="1473"/>
      <c r="I72" s="1473"/>
      <c r="J72" s="1473"/>
      <c r="K72" s="1472"/>
      <c r="L72" s="1472"/>
      <c r="M72" s="854"/>
      <c r="AA72"/>
      <c r="AB72"/>
      <c r="AC72"/>
      <c r="AD72"/>
      <c r="AE72"/>
      <c r="AF72"/>
      <c r="AG72"/>
      <c r="AH72"/>
      <c r="AI72"/>
    </row>
    <row r="73" spans="1:35" ht="56.25" outlineLevel="2" x14ac:dyDescent="0.2">
      <c r="A73" s="636" t="s">
        <v>5208</v>
      </c>
      <c r="B73" s="636" t="s">
        <v>4463</v>
      </c>
      <c r="C73" s="786"/>
      <c r="D73" s="822"/>
      <c r="E73" s="822"/>
      <c r="F73" s="822"/>
      <c r="G73" s="1473">
        <v>4</v>
      </c>
      <c r="H73" s="1473">
        <v>2</v>
      </c>
      <c r="I73" s="1473"/>
      <c r="J73" s="1473" t="s">
        <v>4246</v>
      </c>
      <c r="K73" s="1472"/>
      <c r="L73" s="1472"/>
      <c r="M73" s="854"/>
      <c r="AA73">
        <f>IF(AND('06 Exr'!C73&gt;Tmin, NOT('06 Exr'!$I73="")),'06 Exr'!$I73,0)</f>
        <v>0</v>
      </c>
      <c r="AB73">
        <f>IF(AND('06 Exr'!D73&gt;Tmin, NOT('06 Exr'!$I73="")),'06 Exr'!$I73,0)</f>
        <v>0</v>
      </c>
      <c r="AC73">
        <f>IF(AND('06 Exr'!E73&gt;Tmin, NOT('06 Exr'!$I73="")),'06 Exr'!$I73,0)</f>
        <v>0</v>
      </c>
      <c r="AD73">
        <f>IF(AND('06 Exr'!F73&gt;Tmin, NOT('06 Exr'!$I73="")),'06 Exr'!$I73,0)</f>
        <v>0</v>
      </c>
      <c r="AE73">
        <f>IF(AND('06 Exr'!C73&lt;Tmax, NOT('06 Exr'!$H73="")),'06 Exr'!$H73,4)</f>
        <v>2</v>
      </c>
      <c r="AF73">
        <f>IF(AND('06 Exr'!D73&lt;Tmax, NOT('06 Exr'!$H73="")),'06 Exr'!$H73,4)</f>
        <v>2</v>
      </c>
      <c r="AG73">
        <f>IF(AND('06 Exr'!E73&lt;Tmax, NOT('06 Exr'!$H73="")),'06 Exr'!$H73,4)</f>
        <v>2</v>
      </c>
      <c r="AH73">
        <f>IF(AND('06 Exr'!F73&lt;Tmax, NOT('06 Exr'!$H73="")),'06 Exr'!$H73,4)</f>
        <v>2</v>
      </c>
      <c r="AI73"/>
    </row>
    <row r="74" spans="1:35" ht="15.75" customHeight="1" outlineLevel="2" x14ac:dyDescent="0.2">
      <c r="A74" s="636" t="s">
        <v>5209</v>
      </c>
      <c r="B74" s="636" t="s">
        <v>1945</v>
      </c>
      <c r="C74" s="786"/>
      <c r="D74" s="822"/>
      <c r="E74" s="822"/>
      <c r="F74" s="822"/>
      <c r="G74" s="1473">
        <v>4</v>
      </c>
      <c r="H74" s="1473">
        <v>2</v>
      </c>
      <c r="I74" s="1473"/>
      <c r="J74" s="1473" t="s">
        <v>1592</v>
      </c>
      <c r="K74" s="1472"/>
      <c r="L74" s="1472"/>
      <c r="M74" s="854"/>
      <c r="AA74">
        <f>IF(AND('06 Exr'!C74&gt;Tmin, NOT('06 Exr'!$I74="")),'06 Exr'!$I74,0)</f>
        <v>0</v>
      </c>
      <c r="AB74">
        <f>IF(AND('06 Exr'!D74&gt;Tmin, NOT('06 Exr'!$I74="")),'06 Exr'!$I74,0)</f>
        <v>0</v>
      </c>
      <c r="AC74">
        <f>IF(AND('06 Exr'!E74&gt;Tmin, NOT('06 Exr'!$I74="")),'06 Exr'!$I74,0)</f>
        <v>0</v>
      </c>
      <c r="AD74">
        <f>IF(AND('06 Exr'!F74&gt;Tmin, NOT('06 Exr'!$I74="")),'06 Exr'!$I74,0)</f>
        <v>0</v>
      </c>
      <c r="AE74">
        <f>IF(AND('06 Exr'!C74&lt;Tmax, NOT('06 Exr'!$H74="")),'06 Exr'!$H74,4)</f>
        <v>2</v>
      </c>
      <c r="AF74">
        <f>IF(AND('06 Exr'!D74&lt;Tmax, NOT('06 Exr'!$H74="")),'06 Exr'!$H74,4)</f>
        <v>2</v>
      </c>
      <c r="AG74">
        <f>IF(AND('06 Exr'!E74&lt;Tmax, NOT('06 Exr'!$H74="")),'06 Exr'!$H74,4)</f>
        <v>2</v>
      </c>
      <c r="AH74">
        <f>IF(AND('06 Exr'!F74&lt;Tmax, NOT('06 Exr'!$H74="")),'06 Exr'!$H74,4)</f>
        <v>2</v>
      </c>
      <c r="AI74"/>
    </row>
    <row r="75" spans="1:35" ht="24" customHeight="1" outlineLevel="2" x14ac:dyDescent="0.2">
      <c r="A75" s="636" t="s">
        <v>1946</v>
      </c>
      <c r="B75" s="636" t="s">
        <v>2998</v>
      </c>
      <c r="C75" s="786"/>
      <c r="D75" s="822"/>
      <c r="E75" s="822"/>
      <c r="F75" s="822"/>
      <c r="G75" s="1473">
        <v>4</v>
      </c>
      <c r="H75" s="1473"/>
      <c r="I75" s="1473"/>
      <c r="J75" s="1473" t="s">
        <v>1592</v>
      </c>
      <c r="K75" s="1458" t="s">
        <v>6986</v>
      </c>
      <c r="L75" s="1472" t="s">
        <v>7336</v>
      </c>
      <c r="M75" s="854"/>
      <c r="AA75">
        <f>IF(AND('06 Exr'!C75&gt;Tmin, NOT('06 Exr'!$I75="")),'06 Exr'!$I75,0)</f>
        <v>0</v>
      </c>
      <c r="AB75">
        <f>IF(AND('06 Exr'!D75&gt;Tmin, NOT('06 Exr'!$I75="")),'06 Exr'!$I75,0)</f>
        <v>0</v>
      </c>
      <c r="AC75">
        <f>IF(AND('06 Exr'!E75&gt;Tmin, NOT('06 Exr'!$I75="")),'06 Exr'!$I75,0)</f>
        <v>0</v>
      </c>
      <c r="AD75">
        <f>IF(AND('06 Exr'!F75&gt;Tmin, NOT('06 Exr'!$I75="")),'06 Exr'!$I75,0)</f>
        <v>0</v>
      </c>
      <c r="AE75">
        <f>IF(AND('06 Exr'!C75&lt;Tmax, NOT('06 Exr'!$H75="")),'06 Exr'!$H75,4)</f>
        <v>4</v>
      </c>
      <c r="AF75">
        <f>IF(AND('06 Exr'!D75&lt;Tmax, NOT('06 Exr'!$H75="")),'06 Exr'!$H75,4)</f>
        <v>4</v>
      </c>
      <c r="AG75">
        <f>IF(AND('06 Exr'!E75&lt;Tmax, NOT('06 Exr'!$H75="")),'06 Exr'!$H75,4)</f>
        <v>4</v>
      </c>
      <c r="AH75">
        <f>IF(AND('06 Exr'!F75&lt;Tmax, NOT('06 Exr'!$H75="")),'06 Exr'!$H75,4)</f>
        <v>4</v>
      </c>
      <c r="AI75"/>
    </row>
    <row r="76" spans="1:35" ht="33.75" outlineLevel="2" x14ac:dyDescent="0.2">
      <c r="A76" s="636" t="s">
        <v>3023</v>
      </c>
      <c r="B76" s="636" t="s">
        <v>6047</v>
      </c>
      <c r="C76" s="786"/>
      <c r="D76" s="822"/>
      <c r="E76" s="822"/>
      <c r="F76" s="822"/>
      <c r="G76" s="1473">
        <v>2</v>
      </c>
      <c r="H76" s="1473">
        <v>3</v>
      </c>
      <c r="I76" s="1473"/>
      <c r="J76" s="1473" t="s">
        <v>2329</v>
      </c>
      <c r="K76" s="1472"/>
      <c r="L76" s="1472"/>
      <c r="M76" s="854"/>
      <c r="AA76">
        <f>IF(AND('06 Exr'!C76&gt;Tmin, NOT('06 Exr'!$I76="")),'06 Exr'!$I76,0)</f>
        <v>0</v>
      </c>
      <c r="AB76">
        <f>IF(AND('06 Exr'!D76&gt;Tmin, NOT('06 Exr'!$I76="")),'06 Exr'!$I76,0)</f>
        <v>0</v>
      </c>
      <c r="AC76">
        <f>IF(AND('06 Exr'!E76&gt;Tmin, NOT('06 Exr'!$I76="")),'06 Exr'!$I76,0)</f>
        <v>0</v>
      </c>
      <c r="AD76">
        <f>IF(AND('06 Exr'!F76&gt;Tmin, NOT('06 Exr'!$I76="")),'06 Exr'!$I76,0)</f>
        <v>0</v>
      </c>
      <c r="AE76">
        <f>IF(AND('06 Exr'!C76&lt;Tmax, NOT('06 Exr'!$H76="")),'06 Exr'!$H76,4)</f>
        <v>3</v>
      </c>
      <c r="AF76">
        <f>IF(AND('06 Exr'!D76&lt;Tmax, NOT('06 Exr'!$H76="")),'06 Exr'!$H76,4)</f>
        <v>3</v>
      </c>
      <c r="AG76">
        <f>IF(AND('06 Exr'!E76&lt;Tmax, NOT('06 Exr'!$H76="")),'06 Exr'!$H76,4)</f>
        <v>3</v>
      </c>
      <c r="AH76">
        <f>IF(AND('06 Exr'!F76&lt;Tmax, NOT('06 Exr'!$H76="")),'06 Exr'!$H76,4)</f>
        <v>3</v>
      </c>
      <c r="AI76"/>
    </row>
    <row r="77" spans="1:35" ht="22.5" outlineLevel="2" x14ac:dyDescent="0.2">
      <c r="A77" s="636" t="s">
        <v>6048</v>
      </c>
      <c r="B77" s="636" t="s">
        <v>6049</v>
      </c>
      <c r="C77" s="786"/>
      <c r="D77" s="822"/>
      <c r="E77" s="822"/>
      <c r="F77" s="822"/>
      <c r="G77" s="1473">
        <v>2</v>
      </c>
      <c r="H77" s="1473">
        <v>3</v>
      </c>
      <c r="I77" s="1473"/>
      <c r="J77" s="1473" t="s">
        <v>2349</v>
      </c>
      <c r="K77" s="1472"/>
      <c r="L77" s="1472"/>
      <c r="M77" s="854"/>
      <c r="AA77">
        <f>IF(AND('06 Exr'!C77&gt;Tmin, NOT('06 Exr'!$I77="")),'06 Exr'!$I77,0)</f>
        <v>0</v>
      </c>
      <c r="AB77">
        <f>IF(AND('06 Exr'!D77&gt;Tmin, NOT('06 Exr'!$I77="")),'06 Exr'!$I77,0)</f>
        <v>0</v>
      </c>
      <c r="AC77">
        <f>IF(AND('06 Exr'!E77&gt;Tmin, NOT('06 Exr'!$I77="")),'06 Exr'!$I77,0)</f>
        <v>0</v>
      </c>
      <c r="AD77">
        <f>IF(AND('06 Exr'!F77&gt;Tmin, NOT('06 Exr'!$I77="")),'06 Exr'!$I77,0)</f>
        <v>0</v>
      </c>
      <c r="AE77">
        <f>IF(AND('06 Exr'!C77&lt;Tmax, NOT('06 Exr'!$H77="")),'06 Exr'!$H77,4)</f>
        <v>3</v>
      </c>
      <c r="AF77">
        <f>IF(AND('06 Exr'!D77&lt;Tmax, NOT('06 Exr'!$H77="")),'06 Exr'!$H77,4)</f>
        <v>3</v>
      </c>
      <c r="AG77">
        <f>IF(AND('06 Exr'!E77&lt;Tmax, NOT('06 Exr'!$H77="")),'06 Exr'!$H77,4)</f>
        <v>3</v>
      </c>
      <c r="AH77">
        <f>IF(AND('06 Exr'!F77&lt;Tmax, NOT('06 Exr'!$H77="")),'06 Exr'!$H77,4)</f>
        <v>3</v>
      </c>
      <c r="AI77"/>
    </row>
    <row r="78" spans="1:35" ht="22.5" outlineLevel="2" x14ac:dyDescent="0.2">
      <c r="A78" s="636" t="s">
        <v>5881</v>
      </c>
      <c r="B78" s="636" t="s">
        <v>6135</v>
      </c>
      <c r="C78" s="786"/>
      <c r="D78" s="822"/>
      <c r="E78" s="822"/>
      <c r="F78" s="822"/>
      <c r="G78" s="1473">
        <v>4</v>
      </c>
      <c r="H78" s="1473">
        <v>2</v>
      </c>
      <c r="I78" s="1473"/>
      <c r="J78" s="1473" t="s">
        <v>2329</v>
      </c>
      <c r="K78" s="1458" t="s">
        <v>7068</v>
      </c>
      <c r="L78" s="1472" t="s">
        <v>4425</v>
      </c>
      <c r="M78" s="854"/>
      <c r="AA78">
        <f>IF(AND('06 Exr'!C78&gt;Tmin, NOT('06 Exr'!$I78="")),'06 Exr'!$I78,0)</f>
        <v>0</v>
      </c>
      <c r="AB78">
        <f>IF(AND('06 Exr'!D78&gt;Tmin, NOT('06 Exr'!$I78="")),'06 Exr'!$I78,0)</f>
        <v>0</v>
      </c>
      <c r="AC78">
        <f>IF(AND('06 Exr'!E78&gt;Tmin, NOT('06 Exr'!$I78="")),'06 Exr'!$I78,0)</f>
        <v>0</v>
      </c>
      <c r="AD78">
        <f>IF(AND('06 Exr'!F78&gt;Tmin, NOT('06 Exr'!$I78="")),'06 Exr'!$I78,0)</f>
        <v>0</v>
      </c>
      <c r="AE78">
        <f>IF(AND('06 Exr'!C78&lt;Tmax, NOT('06 Exr'!$H78="")),'06 Exr'!$H78,4)</f>
        <v>2</v>
      </c>
      <c r="AF78">
        <f>IF(AND('06 Exr'!D78&lt;Tmax, NOT('06 Exr'!$H78="")),'06 Exr'!$H78,4)</f>
        <v>2</v>
      </c>
      <c r="AG78">
        <f>IF(AND('06 Exr'!E78&lt;Tmax, NOT('06 Exr'!$H78="")),'06 Exr'!$H78,4)</f>
        <v>2</v>
      </c>
      <c r="AH78">
        <f>IF(AND('06 Exr'!F78&lt;Tmax, NOT('06 Exr'!$H78="")),'06 Exr'!$H78,4)</f>
        <v>2</v>
      </c>
      <c r="AI78"/>
    </row>
    <row r="79" spans="1:35" ht="15.75" customHeight="1" outlineLevel="2" x14ac:dyDescent="0.2">
      <c r="A79" s="636" t="s">
        <v>6136</v>
      </c>
      <c r="B79" s="636" t="s">
        <v>6137</v>
      </c>
      <c r="C79" s="786"/>
      <c r="D79" s="822"/>
      <c r="E79" s="822"/>
      <c r="F79" s="822"/>
      <c r="G79" s="1473">
        <v>2</v>
      </c>
      <c r="H79" s="1473"/>
      <c r="I79" s="1473"/>
      <c r="J79" s="1473" t="s">
        <v>2349</v>
      </c>
      <c r="K79" s="1472" t="s">
        <v>7119</v>
      </c>
      <c r="L79" s="1472" t="s">
        <v>7337</v>
      </c>
      <c r="M79" s="854"/>
      <c r="AA79">
        <f>IF(AND('06 Exr'!C79&gt;Tmin, NOT('06 Exr'!$I79="")),'06 Exr'!$I79,0)</f>
        <v>0</v>
      </c>
      <c r="AB79">
        <f>IF(AND('06 Exr'!D79&gt;Tmin, NOT('06 Exr'!$I79="")),'06 Exr'!$I79,0)</f>
        <v>0</v>
      </c>
      <c r="AC79">
        <f>IF(AND('06 Exr'!E79&gt;Tmin, NOT('06 Exr'!$I79="")),'06 Exr'!$I79,0)</f>
        <v>0</v>
      </c>
      <c r="AD79">
        <f>IF(AND('06 Exr'!F79&gt;Tmin, NOT('06 Exr'!$I79="")),'06 Exr'!$I79,0)</f>
        <v>0</v>
      </c>
      <c r="AE79">
        <f>IF(AND('06 Exr'!C79&lt;Tmax, NOT('06 Exr'!$H79="")),'06 Exr'!$H79,4)</f>
        <v>4</v>
      </c>
      <c r="AF79">
        <f>IF(AND('06 Exr'!D79&lt;Tmax, NOT('06 Exr'!$H79="")),'06 Exr'!$H79,4)</f>
        <v>4</v>
      </c>
      <c r="AG79">
        <f>IF(AND('06 Exr'!E79&lt;Tmax, NOT('06 Exr'!$H79="")),'06 Exr'!$H79,4)</f>
        <v>4</v>
      </c>
      <c r="AH79">
        <f>IF(AND('06 Exr'!F79&lt;Tmax, NOT('06 Exr'!$H79="")),'06 Exr'!$H79,4)</f>
        <v>4</v>
      </c>
      <c r="AI79"/>
    </row>
    <row r="80" spans="1:35" outlineLevel="2" x14ac:dyDescent="0.2">
      <c r="A80" s="636" t="s">
        <v>6138</v>
      </c>
      <c r="B80" s="636" t="s">
        <v>4464</v>
      </c>
      <c r="C80" s="786"/>
      <c r="D80" s="822"/>
      <c r="E80" s="822"/>
      <c r="F80" s="822"/>
      <c r="G80" s="1473">
        <v>2</v>
      </c>
      <c r="H80" s="1473"/>
      <c r="I80" s="1473"/>
      <c r="J80" s="1473" t="s">
        <v>2109</v>
      </c>
      <c r="K80" s="1472" t="s">
        <v>7119</v>
      </c>
      <c r="L80" s="1472" t="s">
        <v>7337</v>
      </c>
      <c r="M80" s="854"/>
      <c r="AA80">
        <f>IF(AND('06 Exr'!C80&gt;Tmin, NOT('06 Exr'!$I80="")),'06 Exr'!$I80,0)</f>
        <v>0</v>
      </c>
      <c r="AB80">
        <f>IF(AND('06 Exr'!D80&gt;Tmin, NOT('06 Exr'!$I80="")),'06 Exr'!$I80,0)</f>
        <v>0</v>
      </c>
      <c r="AC80">
        <f>IF(AND('06 Exr'!E80&gt;Tmin, NOT('06 Exr'!$I80="")),'06 Exr'!$I80,0)</f>
        <v>0</v>
      </c>
      <c r="AD80">
        <f>IF(AND('06 Exr'!F80&gt;Tmin, NOT('06 Exr'!$I80="")),'06 Exr'!$I80,0)</f>
        <v>0</v>
      </c>
      <c r="AE80">
        <f>IF(AND('06 Exr'!C80&lt;Tmax, NOT('06 Exr'!$H80="")),'06 Exr'!$H80,4)</f>
        <v>4</v>
      </c>
      <c r="AF80">
        <f>IF(AND('06 Exr'!D80&lt;Tmax, NOT('06 Exr'!$H80="")),'06 Exr'!$H80,4)</f>
        <v>4</v>
      </c>
      <c r="AG80">
        <f>IF(AND('06 Exr'!E80&lt;Tmax, NOT('06 Exr'!$H80="")),'06 Exr'!$H80,4)</f>
        <v>4</v>
      </c>
      <c r="AH80">
        <f>IF(AND('06 Exr'!F80&lt;Tmax, NOT('06 Exr'!$H80="")),'06 Exr'!$H80,4)</f>
        <v>4</v>
      </c>
      <c r="AI80"/>
    </row>
    <row r="81" spans="1:35" outlineLevel="2" x14ac:dyDescent="0.2">
      <c r="A81" s="636" t="s">
        <v>6139</v>
      </c>
      <c r="B81" s="636" t="s">
        <v>6761</v>
      </c>
      <c r="C81" s="786"/>
      <c r="D81" s="822"/>
      <c r="E81" s="822"/>
      <c r="F81" s="822"/>
      <c r="G81" s="1473">
        <v>1</v>
      </c>
      <c r="H81" s="1473"/>
      <c r="I81" s="1473"/>
      <c r="J81" s="1473" t="s">
        <v>1592</v>
      </c>
      <c r="K81" s="1472" t="s">
        <v>6978</v>
      </c>
      <c r="L81" s="1472" t="s">
        <v>7338</v>
      </c>
      <c r="M81" s="854"/>
      <c r="AA81">
        <f>IF(AND('06 Exr'!C81&gt;Tmin, NOT('06 Exr'!$I81="")),'06 Exr'!$I81,0)</f>
        <v>0</v>
      </c>
      <c r="AB81">
        <f>IF(AND('06 Exr'!D81&gt;Tmin, NOT('06 Exr'!$I81="")),'06 Exr'!$I81,0)</f>
        <v>0</v>
      </c>
      <c r="AC81">
        <f>IF(AND('06 Exr'!E81&gt;Tmin, NOT('06 Exr'!$I81="")),'06 Exr'!$I81,0)</f>
        <v>0</v>
      </c>
      <c r="AD81">
        <f>IF(AND('06 Exr'!F81&gt;Tmin, NOT('06 Exr'!$I81="")),'06 Exr'!$I81,0)</f>
        <v>0</v>
      </c>
      <c r="AE81">
        <f>IF(AND('06 Exr'!C81&lt;Tmax, NOT('06 Exr'!$H81="")),'06 Exr'!$H81,4)</f>
        <v>4</v>
      </c>
      <c r="AF81">
        <f>IF(AND('06 Exr'!D81&lt;Tmax, NOT('06 Exr'!$H81="")),'06 Exr'!$H81,4)</f>
        <v>4</v>
      </c>
      <c r="AG81">
        <f>IF(AND('06 Exr'!E81&lt;Tmax, NOT('06 Exr'!$H81="")),'06 Exr'!$H81,4)</f>
        <v>4</v>
      </c>
      <c r="AH81">
        <f>IF(AND('06 Exr'!F81&lt;Tmax, NOT('06 Exr'!$H81="")),'06 Exr'!$H81,4)</f>
        <v>4</v>
      </c>
      <c r="AI81"/>
    </row>
    <row r="82" spans="1:35" outlineLevel="1" x14ac:dyDescent="0.2">
      <c r="A82" s="633" t="s">
        <v>3744</v>
      </c>
      <c r="B82" s="634" t="s">
        <v>2083</v>
      </c>
      <c r="C82" s="786"/>
      <c r="D82" s="822"/>
      <c r="E82" s="822"/>
      <c r="F82" s="822"/>
      <c r="G82" s="1473"/>
      <c r="H82" s="1473"/>
      <c r="I82" s="1473"/>
      <c r="J82" s="1473"/>
      <c r="K82" s="1472"/>
      <c r="L82" s="1472"/>
      <c r="M82" s="854"/>
      <c r="AA82"/>
      <c r="AB82"/>
      <c r="AC82"/>
      <c r="AD82"/>
      <c r="AE82"/>
      <c r="AF82"/>
      <c r="AG82"/>
      <c r="AH82"/>
      <c r="AI82"/>
    </row>
    <row r="83" spans="1:35" ht="22.5" outlineLevel="2" x14ac:dyDescent="0.2">
      <c r="A83" s="636" t="s">
        <v>6141</v>
      </c>
      <c r="B83" s="636" t="s">
        <v>6312</v>
      </c>
      <c r="C83" s="786"/>
      <c r="D83" s="822"/>
      <c r="E83" s="822"/>
      <c r="F83" s="822"/>
      <c r="G83" s="1473">
        <v>4</v>
      </c>
      <c r="H83" s="1473">
        <v>2</v>
      </c>
      <c r="I83" s="1473"/>
      <c r="J83" s="1473" t="s">
        <v>1592</v>
      </c>
      <c r="K83" s="1472"/>
      <c r="L83" s="1472"/>
      <c r="M83" s="854"/>
      <c r="AA83">
        <f>IF(AND('06 Exr'!C83&gt;Tmin, NOT('06 Exr'!$I83="")),'06 Exr'!$I83,0)</f>
        <v>0</v>
      </c>
      <c r="AB83">
        <f>IF(AND('06 Exr'!D83&gt;Tmin, NOT('06 Exr'!$I83="")),'06 Exr'!$I83,0)</f>
        <v>0</v>
      </c>
      <c r="AC83">
        <f>IF(AND('06 Exr'!E83&gt;Tmin, NOT('06 Exr'!$I83="")),'06 Exr'!$I83,0)</f>
        <v>0</v>
      </c>
      <c r="AD83">
        <f>IF(AND('06 Exr'!F83&gt;Tmin, NOT('06 Exr'!$I83="")),'06 Exr'!$I83,0)</f>
        <v>0</v>
      </c>
      <c r="AE83">
        <f>IF(AND('06 Exr'!C83&lt;Tmax, NOT('06 Exr'!$H83="")),'06 Exr'!$H83,4)</f>
        <v>2</v>
      </c>
      <c r="AF83">
        <f>IF(AND('06 Exr'!D83&lt;Tmax, NOT('06 Exr'!$H83="")),'06 Exr'!$H83,4)</f>
        <v>2</v>
      </c>
      <c r="AG83">
        <f>IF(AND('06 Exr'!E83&lt;Tmax, NOT('06 Exr'!$H83="")),'06 Exr'!$H83,4)</f>
        <v>2</v>
      </c>
      <c r="AH83">
        <f>IF(AND('06 Exr'!F83&lt;Tmax, NOT('06 Exr'!$H83="")),'06 Exr'!$H83,4)</f>
        <v>2</v>
      </c>
      <c r="AI83"/>
    </row>
    <row r="84" spans="1:35" ht="22.5" outlineLevel="2" x14ac:dyDescent="0.2">
      <c r="A84" s="636" t="s">
        <v>6313</v>
      </c>
      <c r="B84" s="636" t="s">
        <v>4911</v>
      </c>
      <c r="C84" s="786"/>
      <c r="D84" s="822"/>
      <c r="E84" s="822"/>
      <c r="F84" s="822"/>
      <c r="G84" s="1473">
        <v>4</v>
      </c>
      <c r="H84" s="1473">
        <v>2</v>
      </c>
      <c r="I84" s="1473"/>
      <c r="J84" s="1473" t="s">
        <v>1592</v>
      </c>
      <c r="K84" s="1472"/>
      <c r="L84" s="1472"/>
      <c r="M84" s="854"/>
      <c r="AA84">
        <f>IF(AND('06 Exr'!C84&gt;Tmin, NOT('06 Exr'!$I84="")),'06 Exr'!$I84,0)</f>
        <v>0</v>
      </c>
      <c r="AB84">
        <f>IF(AND('06 Exr'!D84&gt;Tmin, NOT('06 Exr'!$I84="")),'06 Exr'!$I84,0)</f>
        <v>0</v>
      </c>
      <c r="AC84">
        <f>IF(AND('06 Exr'!E84&gt;Tmin, NOT('06 Exr'!$I84="")),'06 Exr'!$I84,0)</f>
        <v>0</v>
      </c>
      <c r="AD84">
        <f>IF(AND('06 Exr'!F84&gt;Tmin, NOT('06 Exr'!$I84="")),'06 Exr'!$I84,0)</f>
        <v>0</v>
      </c>
      <c r="AE84">
        <f>IF(AND('06 Exr'!C84&lt;Tmax, NOT('06 Exr'!$H84="")),'06 Exr'!$H84,4)</f>
        <v>2</v>
      </c>
      <c r="AF84">
        <f>IF(AND('06 Exr'!D84&lt;Tmax, NOT('06 Exr'!$H84="")),'06 Exr'!$H84,4)</f>
        <v>2</v>
      </c>
      <c r="AG84">
        <f>IF(AND('06 Exr'!E84&lt;Tmax, NOT('06 Exr'!$H84="")),'06 Exr'!$H84,4)</f>
        <v>2</v>
      </c>
      <c r="AH84">
        <f>IF(AND('06 Exr'!F84&lt;Tmax, NOT('06 Exr'!$H84="")),'06 Exr'!$H84,4)</f>
        <v>2</v>
      </c>
      <c r="AI84"/>
    </row>
    <row r="85" spans="1:35" ht="22.5" outlineLevel="2" x14ac:dyDescent="0.2">
      <c r="A85" s="636" t="s">
        <v>4912</v>
      </c>
      <c r="B85" s="636" t="s">
        <v>6299</v>
      </c>
      <c r="C85" s="786"/>
      <c r="D85" s="822"/>
      <c r="E85" s="822"/>
      <c r="F85" s="822"/>
      <c r="G85" s="1473">
        <v>4</v>
      </c>
      <c r="H85" s="1473">
        <v>3</v>
      </c>
      <c r="I85" s="1473"/>
      <c r="J85" s="1473" t="s">
        <v>2349</v>
      </c>
      <c r="K85" s="1472"/>
      <c r="L85" s="1472"/>
      <c r="M85" s="854"/>
      <c r="AA85">
        <f>IF(AND('06 Exr'!C85&gt;Tmin, NOT('06 Exr'!$I85="")),'06 Exr'!$I85,0)</f>
        <v>0</v>
      </c>
      <c r="AB85">
        <f>IF(AND('06 Exr'!D85&gt;Tmin, NOT('06 Exr'!$I85="")),'06 Exr'!$I85,0)</f>
        <v>0</v>
      </c>
      <c r="AC85">
        <f>IF(AND('06 Exr'!E85&gt;Tmin, NOT('06 Exr'!$I85="")),'06 Exr'!$I85,0)</f>
        <v>0</v>
      </c>
      <c r="AD85">
        <f>IF(AND('06 Exr'!F85&gt;Tmin, NOT('06 Exr'!$I85="")),'06 Exr'!$I85,0)</f>
        <v>0</v>
      </c>
      <c r="AE85">
        <f>IF(AND('06 Exr'!C85&lt;Tmax, NOT('06 Exr'!$H85="")),'06 Exr'!$H85,4)</f>
        <v>3</v>
      </c>
      <c r="AF85">
        <f>IF(AND('06 Exr'!D85&lt;Tmax, NOT('06 Exr'!$H85="")),'06 Exr'!$H85,4)</f>
        <v>3</v>
      </c>
      <c r="AG85">
        <f>IF(AND('06 Exr'!E85&lt;Tmax, NOT('06 Exr'!$H85="")),'06 Exr'!$H85,4)</f>
        <v>3</v>
      </c>
      <c r="AH85">
        <f>IF(AND('06 Exr'!F85&lt;Tmax, NOT('06 Exr'!$H85="")),'06 Exr'!$H85,4)</f>
        <v>3</v>
      </c>
      <c r="AI85"/>
    </row>
    <row r="86" spans="1:35" ht="22.5" outlineLevel="2" x14ac:dyDescent="0.2">
      <c r="A86" s="636" t="s">
        <v>6300</v>
      </c>
      <c r="B86" s="636" t="s">
        <v>4465</v>
      </c>
      <c r="C86" s="786"/>
      <c r="D86" s="822"/>
      <c r="E86" s="822"/>
      <c r="F86" s="822"/>
      <c r="G86" s="1473">
        <v>2</v>
      </c>
      <c r="H86" s="1473">
        <v>3</v>
      </c>
      <c r="I86" s="1473"/>
      <c r="J86" s="1473" t="s">
        <v>1592</v>
      </c>
      <c r="K86" s="1472"/>
      <c r="L86" s="1472"/>
      <c r="M86" s="854"/>
      <c r="AA86">
        <f>IF(AND('06 Exr'!C86&gt;Tmin, NOT('06 Exr'!$I86="")),'06 Exr'!$I86,0)</f>
        <v>0</v>
      </c>
      <c r="AB86">
        <f>IF(AND('06 Exr'!D86&gt;Tmin, NOT('06 Exr'!$I86="")),'06 Exr'!$I86,0)</f>
        <v>0</v>
      </c>
      <c r="AC86">
        <f>IF(AND('06 Exr'!E86&gt;Tmin, NOT('06 Exr'!$I86="")),'06 Exr'!$I86,0)</f>
        <v>0</v>
      </c>
      <c r="AD86">
        <f>IF(AND('06 Exr'!F86&gt;Tmin, NOT('06 Exr'!$I86="")),'06 Exr'!$I86,0)</f>
        <v>0</v>
      </c>
      <c r="AE86">
        <f>IF(AND('06 Exr'!C86&lt;Tmax, NOT('06 Exr'!$H86="")),'06 Exr'!$H86,4)</f>
        <v>3</v>
      </c>
      <c r="AF86">
        <f>IF(AND('06 Exr'!D86&lt;Tmax, NOT('06 Exr'!$H86="")),'06 Exr'!$H86,4)</f>
        <v>3</v>
      </c>
      <c r="AG86">
        <f>IF(AND('06 Exr'!E86&lt;Tmax, NOT('06 Exr'!$H86="")),'06 Exr'!$H86,4)</f>
        <v>3</v>
      </c>
      <c r="AH86">
        <f>IF(AND('06 Exr'!F86&lt;Tmax, NOT('06 Exr'!$H86="")),'06 Exr'!$H86,4)</f>
        <v>3</v>
      </c>
      <c r="AI86"/>
    </row>
    <row r="87" spans="1:35" outlineLevel="2" x14ac:dyDescent="0.2">
      <c r="A87" s="636" t="s">
        <v>6301</v>
      </c>
      <c r="B87" s="636" t="s">
        <v>6762</v>
      </c>
      <c r="C87" s="786"/>
      <c r="D87" s="822"/>
      <c r="E87" s="822"/>
      <c r="F87" s="822"/>
      <c r="G87" s="1473">
        <v>4</v>
      </c>
      <c r="H87" s="1473"/>
      <c r="I87" s="1473"/>
      <c r="J87" s="1473" t="s">
        <v>2329</v>
      </c>
      <c r="K87" s="1472"/>
      <c r="L87" s="1472"/>
      <c r="M87" s="854"/>
      <c r="AA87">
        <f>IF(AND('06 Exr'!C87&gt;Tmin, NOT('06 Exr'!$I87="")),'06 Exr'!$I87,0)</f>
        <v>0</v>
      </c>
      <c r="AB87">
        <f>IF(AND('06 Exr'!D87&gt;Tmin, NOT('06 Exr'!$I87="")),'06 Exr'!$I87,0)</f>
        <v>0</v>
      </c>
      <c r="AC87">
        <f>IF(AND('06 Exr'!E87&gt;Tmin, NOT('06 Exr'!$I87="")),'06 Exr'!$I87,0)</f>
        <v>0</v>
      </c>
      <c r="AD87">
        <f>IF(AND('06 Exr'!F87&gt;Tmin, NOT('06 Exr'!$I87="")),'06 Exr'!$I87,0)</f>
        <v>0</v>
      </c>
      <c r="AE87">
        <f>IF(AND('06 Exr'!C87&lt;Tmax, NOT('06 Exr'!$H87="")),'06 Exr'!$H87,4)</f>
        <v>4</v>
      </c>
      <c r="AF87">
        <f>IF(AND('06 Exr'!D87&lt;Tmax, NOT('06 Exr'!$H87="")),'06 Exr'!$H87,4)</f>
        <v>4</v>
      </c>
      <c r="AG87">
        <f>IF(AND('06 Exr'!E87&lt;Tmax, NOT('06 Exr'!$H87="")),'06 Exr'!$H87,4)</f>
        <v>4</v>
      </c>
      <c r="AH87">
        <f>IF(AND('06 Exr'!F87&lt;Tmax, NOT('06 Exr'!$H87="")),'06 Exr'!$H87,4)</f>
        <v>4</v>
      </c>
      <c r="AI87"/>
    </row>
    <row r="88" spans="1:35" ht="22.5" outlineLevel="2" x14ac:dyDescent="0.2">
      <c r="A88" s="636" t="s">
        <v>6302</v>
      </c>
      <c r="B88" s="636" t="s">
        <v>6763</v>
      </c>
      <c r="C88" s="786"/>
      <c r="D88" s="822"/>
      <c r="E88" s="822"/>
      <c r="F88" s="822"/>
      <c r="G88" s="1473">
        <v>4</v>
      </c>
      <c r="H88" s="1473"/>
      <c r="I88" s="1473"/>
      <c r="J88" s="1473" t="s">
        <v>2329</v>
      </c>
      <c r="K88" s="1472"/>
      <c r="L88" s="1472"/>
      <c r="M88" s="854"/>
      <c r="AA88">
        <f>IF(AND('06 Exr'!C88&gt;Tmin, NOT('06 Exr'!$I88="")),'06 Exr'!$I88,0)</f>
        <v>0</v>
      </c>
      <c r="AB88">
        <f>IF(AND('06 Exr'!D88&gt;Tmin, NOT('06 Exr'!$I88="")),'06 Exr'!$I88,0)</f>
        <v>0</v>
      </c>
      <c r="AC88">
        <f>IF(AND('06 Exr'!E88&gt;Tmin, NOT('06 Exr'!$I88="")),'06 Exr'!$I88,0)</f>
        <v>0</v>
      </c>
      <c r="AD88">
        <f>IF(AND('06 Exr'!F88&gt;Tmin, NOT('06 Exr'!$I88="")),'06 Exr'!$I88,0)</f>
        <v>0</v>
      </c>
      <c r="AE88">
        <f>IF(AND('06 Exr'!C88&lt;Tmax, NOT('06 Exr'!$H88="")),'06 Exr'!$H88,4)</f>
        <v>4</v>
      </c>
      <c r="AF88">
        <f>IF(AND('06 Exr'!D88&lt;Tmax, NOT('06 Exr'!$H88="")),'06 Exr'!$H88,4)</f>
        <v>4</v>
      </c>
      <c r="AG88">
        <f>IF(AND('06 Exr'!E88&lt;Tmax, NOT('06 Exr'!$H88="")),'06 Exr'!$H88,4)</f>
        <v>4</v>
      </c>
      <c r="AH88">
        <f>IF(AND('06 Exr'!F88&lt;Tmax, NOT('06 Exr'!$H88="")),'06 Exr'!$H88,4)</f>
        <v>4</v>
      </c>
      <c r="AI88"/>
    </row>
    <row r="89" spans="1:35" outlineLevel="2" x14ac:dyDescent="0.2">
      <c r="A89" s="636" t="s">
        <v>6303</v>
      </c>
      <c r="B89" s="636" t="s">
        <v>6254</v>
      </c>
      <c r="C89" s="786"/>
      <c r="D89" s="822"/>
      <c r="E89" s="822"/>
      <c r="F89" s="822"/>
      <c r="G89" s="1473">
        <v>4</v>
      </c>
      <c r="H89" s="1473"/>
      <c r="I89" s="1473"/>
      <c r="J89" s="1473" t="s">
        <v>2329</v>
      </c>
      <c r="K89" s="1472"/>
      <c r="L89" s="1472"/>
      <c r="M89" s="854"/>
      <c r="AA89">
        <f>IF(AND('06 Exr'!C89&gt;Tmin, NOT('06 Exr'!$I89="")),'06 Exr'!$I89,0)</f>
        <v>0</v>
      </c>
      <c r="AB89">
        <f>IF(AND('06 Exr'!D89&gt;Tmin, NOT('06 Exr'!$I89="")),'06 Exr'!$I89,0)</f>
        <v>0</v>
      </c>
      <c r="AC89">
        <f>IF(AND('06 Exr'!E89&gt;Tmin, NOT('06 Exr'!$I89="")),'06 Exr'!$I89,0)</f>
        <v>0</v>
      </c>
      <c r="AD89">
        <f>IF(AND('06 Exr'!F89&gt;Tmin, NOT('06 Exr'!$I89="")),'06 Exr'!$I89,0)</f>
        <v>0</v>
      </c>
      <c r="AE89">
        <f>IF(AND('06 Exr'!C89&lt;Tmax, NOT('06 Exr'!$H89="")),'06 Exr'!$H89,4)</f>
        <v>4</v>
      </c>
      <c r="AF89">
        <f>IF(AND('06 Exr'!D89&lt;Tmax, NOT('06 Exr'!$H89="")),'06 Exr'!$H89,4)</f>
        <v>4</v>
      </c>
      <c r="AG89">
        <f>IF(AND('06 Exr'!E89&lt;Tmax, NOT('06 Exr'!$H89="")),'06 Exr'!$H89,4)</f>
        <v>4</v>
      </c>
      <c r="AH89">
        <f>IF(AND('06 Exr'!F89&lt;Tmax, NOT('06 Exr'!$H89="")),'06 Exr'!$H89,4)</f>
        <v>4</v>
      </c>
      <c r="AI89"/>
    </row>
    <row r="90" spans="1:35" ht="22.5" outlineLevel="2" x14ac:dyDescent="0.2">
      <c r="A90" s="636" t="s">
        <v>6255</v>
      </c>
      <c r="B90" s="636" t="s">
        <v>6256</v>
      </c>
      <c r="C90" s="786"/>
      <c r="D90" s="822"/>
      <c r="E90" s="822"/>
      <c r="F90" s="822"/>
      <c r="G90" s="1473">
        <v>4</v>
      </c>
      <c r="H90" s="1473"/>
      <c r="I90" s="1473"/>
      <c r="J90" s="1473" t="s">
        <v>2329</v>
      </c>
      <c r="K90" s="1472"/>
      <c r="L90" s="1472"/>
      <c r="M90" s="854"/>
      <c r="AA90">
        <f>IF(AND('06 Exr'!C90&gt;Tmin, NOT('06 Exr'!$I90="")),'06 Exr'!$I90,0)</f>
        <v>0</v>
      </c>
      <c r="AB90">
        <f>IF(AND('06 Exr'!D90&gt;Tmin, NOT('06 Exr'!$I90="")),'06 Exr'!$I90,0)</f>
        <v>0</v>
      </c>
      <c r="AC90">
        <f>IF(AND('06 Exr'!E90&gt;Tmin, NOT('06 Exr'!$I90="")),'06 Exr'!$I90,0)</f>
        <v>0</v>
      </c>
      <c r="AD90">
        <f>IF(AND('06 Exr'!F90&gt;Tmin, NOT('06 Exr'!$I90="")),'06 Exr'!$I90,0)</f>
        <v>0</v>
      </c>
      <c r="AE90">
        <f>IF(AND('06 Exr'!C90&lt;Tmax, NOT('06 Exr'!$H90="")),'06 Exr'!$H90,4)</f>
        <v>4</v>
      </c>
      <c r="AF90">
        <f>IF(AND('06 Exr'!D90&lt;Tmax, NOT('06 Exr'!$H90="")),'06 Exr'!$H90,4)</f>
        <v>4</v>
      </c>
      <c r="AG90">
        <f>IF(AND('06 Exr'!E90&lt;Tmax, NOT('06 Exr'!$H90="")),'06 Exr'!$H90,4)</f>
        <v>4</v>
      </c>
      <c r="AH90">
        <f>IF(AND('06 Exr'!F90&lt;Tmax, NOT('06 Exr'!$H90="")),'06 Exr'!$H90,4)</f>
        <v>4</v>
      </c>
      <c r="AI90"/>
    </row>
    <row r="91" spans="1:35" ht="22.5" outlineLevel="2" x14ac:dyDescent="0.2">
      <c r="A91" s="636" t="s">
        <v>6257</v>
      </c>
      <c r="B91" s="636" t="s">
        <v>1024</v>
      </c>
      <c r="C91" s="786"/>
      <c r="D91" s="822"/>
      <c r="E91" s="822"/>
      <c r="F91" s="822"/>
      <c r="G91" s="1473">
        <v>2</v>
      </c>
      <c r="H91" s="1473">
        <v>3</v>
      </c>
      <c r="I91" s="1473"/>
      <c r="J91" s="1473" t="s">
        <v>2109</v>
      </c>
      <c r="K91" s="1472"/>
      <c r="L91" s="1472"/>
      <c r="M91" s="854"/>
      <c r="AA91">
        <f>IF(AND('06 Exr'!C91&gt;Tmin, NOT('06 Exr'!$I91="")),'06 Exr'!$I91,0)</f>
        <v>0</v>
      </c>
      <c r="AB91">
        <f>IF(AND('06 Exr'!D91&gt;Tmin, NOT('06 Exr'!$I91="")),'06 Exr'!$I91,0)</f>
        <v>0</v>
      </c>
      <c r="AC91">
        <f>IF(AND('06 Exr'!E91&gt;Tmin, NOT('06 Exr'!$I91="")),'06 Exr'!$I91,0)</f>
        <v>0</v>
      </c>
      <c r="AD91">
        <f>IF(AND('06 Exr'!F91&gt;Tmin, NOT('06 Exr'!$I91="")),'06 Exr'!$I91,0)</f>
        <v>0</v>
      </c>
      <c r="AE91">
        <f>IF(AND('06 Exr'!C91&lt;Tmax, NOT('06 Exr'!$H91="")),'06 Exr'!$H91,4)</f>
        <v>3</v>
      </c>
      <c r="AF91">
        <f>IF(AND('06 Exr'!D91&lt;Tmax, NOT('06 Exr'!$H91="")),'06 Exr'!$H91,4)</f>
        <v>3</v>
      </c>
      <c r="AG91">
        <f>IF(AND('06 Exr'!E91&lt;Tmax, NOT('06 Exr'!$H91="")),'06 Exr'!$H91,4)</f>
        <v>3</v>
      </c>
      <c r="AH91">
        <f>IF(AND('06 Exr'!F91&lt;Tmax, NOT('06 Exr'!$H91="")),'06 Exr'!$H91,4)</f>
        <v>3</v>
      </c>
      <c r="AI91"/>
    </row>
    <row r="92" spans="1:35" x14ac:dyDescent="0.2">
      <c r="A92" s="644" t="s">
        <v>1025</v>
      </c>
      <c r="B92" s="644" t="s">
        <v>1026</v>
      </c>
      <c r="C92" s="786"/>
      <c r="D92" s="822"/>
      <c r="E92" s="822"/>
      <c r="F92" s="822"/>
      <c r="G92" s="1474"/>
      <c r="H92" s="1474"/>
      <c r="I92" s="1474"/>
      <c r="J92" s="1474"/>
      <c r="K92" s="1472"/>
      <c r="L92" s="1472"/>
      <c r="M92" s="854"/>
      <c r="AA92"/>
      <c r="AB92"/>
      <c r="AC92"/>
      <c r="AD92"/>
      <c r="AE92"/>
      <c r="AF92"/>
      <c r="AG92"/>
      <c r="AH92"/>
      <c r="AI92"/>
    </row>
    <row r="93" spans="1:35" outlineLevel="1" x14ac:dyDescent="0.2">
      <c r="A93" s="633" t="s">
        <v>4572</v>
      </c>
      <c r="B93" s="634" t="s">
        <v>4573</v>
      </c>
      <c r="C93" s="786"/>
      <c r="D93" s="822"/>
      <c r="E93" s="822"/>
      <c r="F93" s="822"/>
      <c r="G93" s="1473"/>
      <c r="H93" s="1473"/>
      <c r="I93" s="1473"/>
      <c r="J93" s="1473"/>
      <c r="K93" s="1472"/>
      <c r="L93" s="1472"/>
      <c r="M93" s="854"/>
      <c r="AA93"/>
      <c r="AB93"/>
      <c r="AC93"/>
      <c r="AD93"/>
      <c r="AE93"/>
      <c r="AF93"/>
      <c r="AG93"/>
      <c r="AH93"/>
      <c r="AI93"/>
    </row>
    <row r="94" spans="1:35" ht="22.5" outlineLevel="2" x14ac:dyDescent="0.2">
      <c r="A94" s="636" t="s">
        <v>1027</v>
      </c>
      <c r="B94" s="636" t="s">
        <v>6764</v>
      </c>
      <c r="C94" s="786"/>
      <c r="D94" s="822"/>
      <c r="E94" s="822"/>
      <c r="F94" s="822"/>
      <c r="G94" s="1473">
        <v>2</v>
      </c>
      <c r="H94" s="1473"/>
      <c r="I94" s="1473"/>
      <c r="J94" s="1473" t="s">
        <v>4246</v>
      </c>
      <c r="K94" s="1472" t="s">
        <v>1165</v>
      </c>
      <c r="L94" s="1472" t="s">
        <v>3577</v>
      </c>
      <c r="M94" s="854"/>
      <c r="AA94">
        <f>IF(AND('06 Exr'!C94&gt;Tmin, NOT('06 Exr'!$I94="")),'06 Exr'!$I94,0)</f>
        <v>0</v>
      </c>
      <c r="AB94">
        <f>IF(AND('06 Exr'!D94&gt;Tmin, NOT('06 Exr'!$I94="")),'06 Exr'!$I94,0)</f>
        <v>0</v>
      </c>
      <c r="AC94">
        <f>IF(AND('06 Exr'!E94&gt;Tmin, NOT('06 Exr'!$I94="")),'06 Exr'!$I94,0)</f>
        <v>0</v>
      </c>
      <c r="AD94">
        <f>IF(AND('06 Exr'!F94&gt;Tmin, NOT('06 Exr'!$I94="")),'06 Exr'!$I94,0)</f>
        <v>0</v>
      </c>
      <c r="AE94">
        <f>IF(AND('06 Exr'!C94&lt;Tmax, NOT('06 Exr'!$H94="")),'06 Exr'!$H94,4)</f>
        <v>4</v>
      </c>
      <c r="AF94">
        <f>IF(AND('06 Exr'!D94&lt;Tmax, NOT('06 Exr'!$H94="")),'06 Exr'!$H94,4)</f>
        <v>4</v>
      </c>
      <c r="AG94">
        <f>IF(AND('06 Exr'!E94&lt;Tmax, NOT('06 Exr'!$H94="")),'06 Exr'!$H94,4)</f>
        <v>4</v>
      </c>
      <c r="AH94">
        <f>IF(AND('06 Exr'!F94&lt;Tmax, NOT('06 Exr'!$H94="")),'06 Exr'!$H94,4)</f>
        <v>4</v>
      </c>
      <c r="AI94"/>
    </row>
    <row r="95" spans="1:35" outlineLevel="2" x14ac:dyDescent="0.2">
      <c r="A95" s="636" t="s">
        <v>1915</v>
      </c>
      <c r="B95" s="636" t="s">
        <v>2439</v>
      </c>
      <c r="C95" s="786"/>
      <c r="D95" s="822"/>
      <c r="E95" s="822"/>
      <c r="F95" s="822"/>
      <c r="G95" s="1473">
        <v>2</v>
      </c>
      <c r="H95" s="1473"/>
      <c r="I95" s="1473"/>
      <c r="J95" s="1473" t="s">
        <v>1592</v>
      </c>
      <c r="K95" s="1472"/>
      <c r="L95" s="1472"/>
      <c r="M95" s="854"/>
      <c r="AA95">
        <f>IF(AND('06 Exr'!C95&gt;Tmin, NOT('06 Exr'!$I95="")),'06 Exr'!$I95,0)</f>
        <v>0</v>
      </c>
      <c r="AB95">
        <f>IF(AND('06 Exr'!D95&gt;Tmin, NOT('06 Exr'!$I95="")),'06 Exr'!$I95,0)</f>
        <v>0</v>
      </c>
      <c r="AC95">
        <f>IF(AND('06 Exr'!E95&gt;Tmin, NOT('06 Exr'!$I95="")),'06 Exr'!$I95,0)</f>
        <v>0</v>
      </c>
      <c r="AD95">
        <f>IF(AND('06 Exr'!F95&gt;Tmin, NOT('06 Exr'!$I95="")),'06 Exr'!$I95,0)</f>
        <v>0</v>
      </c>
      <c r="AE95">
        <f>IF(AND('06 Exr'!C95&lt;Tmax, NOT('06 Exr'!$H95="")),'06 Exr'!$H95,4)</f>
        <v>4</v>
      </c>
      <c r="AF95">
        <f>IF(AND('06 Exr'!D95&lt;Tmax, NOT('06 Exr'!$H95="")),'06 Exr'!$H95,4)</f>
        <v>4</v>
      </c>
      <c r="AG95">
        <f>IF(AND('06 Exr'!E95&lt;Tmax, NOT('06 Exr'!$H95="")),'06 Exr'!$H95,4)</f>
        <v>4</v>
      </c>
      <c r="AH95">
        <f>IF(AND('06 Exr'!F95&lt;Tmax, NOT('06 Exr'!$H95="")),'06 Exr'!$H95,4)</f>
        <v>4</v>
      </c>
      <c r="AI95"/>
    </row>
    <row r="96" spans="1:35" ht="25.5" customHeight="1" outlineLevel="2" x14ac:dyDescent="0.2">
      <c r="A96" s="636" t="s">
        <v>1916</v>
      </c>
      <c r="B96" s="636" t="s">
        <v>6087</v>
      </c>
      <c r="C96" s="786"/>
      <c r="D96" s="822"/>
      <c r="E96" s="822"/>
      <c r="F96" s="822"/>
      <c r="G96" s="1473">
        <v>1</v>
      </c>
      <c r="H96" s="1473"/>
      <c r="I96" s="1473"/>
      <c r="J96" s="1473" t="s">
        <v>4246</v>
      </c>
      <c r="K96" s="1475" t="s">
        <v>7120</v>
      </c>
      <c r="L96" s="1472" t="s">
        <v>7339</v>
      </c>
      <c r="M96" s="854"/>
      <c r="AA96">
        <f>IF(AND('06 Exr'!C96&gt;Tmin, NOT('06 Exr'!$I96="")),'06 Exr'!$I96,0)</f>
        <v>0</v>
      </c>
      <c r="AB96">
        <f>IF(AND('06 Exr'!D96&gt;Tmin, NOT('06 Exr'!$I96="")),'06 Exr'!$I96,0)</f>
        <v>0</v>
      </c>
      <c r="AC96">
        <f>IF(AND('06 Exr'!E96&gt;Tmin, NOT('06 Exr'!$I96="")),'06 Exr'!$I96,0)</f>
        <v>0</v>
      </c>
      <c r="AD96">
        <f>IF(AND('06 Exr'!F96&gt;Tmin, NOT('06 Exr'!$I96="")),'06 Exr'!$I96,0)</f>
        <v>0</v>
      </c>
      <c r="AE96">
        <f>IF(AND('06 Exr'!C96&lt;Tmax, NOT('06 Exr'!$H96="")),'06 Exr'!$H96,4)</f>
        <v>4</v>
      </c>
      <c r="AF96">
        <f>IF(AND('06 Exr'!D96&lt;Tmax, NOT('06 Exr'!$H96="")),'06 Exr'!$H96,4)</f>
        <v>4</v>
      </c>
      <c r="AG96">
        <f>IF(AND('06 Exr'!E96&lt;Tmax, NOT('06 Exr'!$H96="")),'06 Exr'!$H96,4)</f>
        <v>4</v>
      </c>
      <c r="AH96">
        <f>IF(AND('06 Exr'!F96&lt;Tmax, NOT('06 Exr'!$H96="")),'06 Exr'!$H96,4)</f>
        <v>4</v>
      </c>
      <c r="AI96"/>
    </row>
    <row r="97" spans="1:35" outlineLevel="2" x14ac:dyDescent="0.2">
      <c r="A97" s="636" t="s">
        <v>6088</v>
      </c>
      <c r="B97" s="636" t="s">
        <v>6089</v>
      </c>
      <c r="C97" s="786"/>
      <c r="D97" s="822"/>
      <c r="E97" s="822"/>
      <c r="F97" s="822"/>
      <c r="G97" s="1473">
        <v>4</v>
      </c>
      <c r="H97" s="1473">
        <v>2</v>
      </c>
      <c r="I97" s="1473"/>
      <c r="J97" s="1473" t="s">
        <v>4246</v>
      </c>
      <c r="K97" s="1475" t="s">
        <v>7121</v>
      </c>
      <c r="L97" s="1472" t="s">
        <v>7340</v>
      </c>
      <c r="M97" s="854"/>
      <c r="AA97">
        <f>IF(AND('06 Exr'!C97&gt;Tmin, NOT('06 Exr'!$I97="")),'06 Exr'!$I97,0)</f>
        <v>0</v>
      </c>
      <c r="AB97">
        <f>IF(AND('06 Exr'!D97&gt;Tmin, NOT('06 Exr'!$I97="")),'06 Exr'!$I97,0)</f>
        <v>0</v>
      </c>
      <c r="AC97">
        <f>IF(AND('06 Exr'!E97&gt;Tmin, NOT('06 Exr'!$I97="")),'06 Exr'!$I97,0)</f>
        <v>0</v>
      </c>
      <c r="AD97">
        <f>IF(AND('06 Exr'!F97&gt;Tmin, NOT('06 Exr'!$I97="")),'06 Exr'!$I97,0)</f>
        <v>0</v>
      </c>
      <c r="AE97">
        <f>IF(AND('06 Exr'!C97&lt;Tmax, NOT('06 Exr'!$H97="")),'06 Exr'!$H97,4)</f>
        <v>2</v>
      </c>
      <c r="AF97">
        <f>IF(AND('06 Exr'!D97&lt;Tmax, NOT('06 Exr'!$H97="")),'06 Exr'!$H97,4)</f>
        <v>2</v>
      </c>
      <c r="AG97">
        <f>IF(AND('06 Exr'!E97&lt;Tmax, NOT('06 Exr'!$H97="")),'06 Exr'!$H97,4)</f>
        <v>2</v>
      </c>
      <c r="AH97">
        <f>IF(AND('06 Exr'!F97&lt;Tmax, NOT('06 Exr'!$H97="")),'06 Exr'!$H97,4)</f>
        <v>2</v>
      </c>
      <c r="AI97"/>
    </row>
    <row r="98" spans="1:35" ht="22.5" outlineLevel="2" x14ac:dyDescent="0.2">
      <c r="A98" s="636" t="s">
        <v>1370</v>
      </c>
      <c r="B98" s="636" t="s">
        <v>6455</v>
      </c>
      <c r="C98" s="786"/>
      <c r="D98" s="822"/>
      <c r="E98" s="822"/>
      <c r="F98" s="822"/>
      <c r="G98" s="1473">
        <v>4</v>
      </c>
      <c r="H98" s="1473">
        <v>2</v>
      </c>
      <c r="I98" s="1473"/>
      <c r="J98" s="1473" t="s">
        <v>1592</v>
      </c>
      <c r="K98" s="1475" t="s">
        <v>3952</v>
      </c>
      <c r="L98" s="1472" t="s">
        <v>7341</v>
      </c>
      <c r="M98" s="854"/>
      <c r="AA98">
        <f>IF(AND('06 Exr'!C98&gt;Tmin, NOT('06 Exr'!$I98="")),'06 Exr'!$I98,0)</f>
        <v>0</v>
      </c>
      <c r="AB98">
        <f>IF(AND('06 Exr'!D98&gt;Tmin, NOT('06 Exr'!$I98="")),'06 Exr'!$I98,0)</f>
        <v>0</v>
      </c>
      <c r="AC98">
        <f>IF(AND('06 Exr'!E98&gt;Tmin, NOT('06 Exr'!$I98="")),'06 Exr'!$I98,0)</f>
        <v>0</v>
      </c>
      <c r="AD98">
        <f>IF(AND('06 Exr'!F98&gt;Tmin, NOT('06 Exr'!$I98="")),'06 Exr'!$I98,0)</f>
        <v>0</v>
      </c>
      <c r="AE98">
        <f>IF(AND('06 Exr'!C98&lt;Tmax, NOT('06 Exr'!$H98="")),'06 Exr'!$H98,4)</f>
        <v>2</v>
      </c>
      <c r="AF98">
        <f>IF(AND('06 Exr'!D98&lt;Tmax, NOT('06 Exr'!$H98="")),'06 Exr'!$H98,4)</f>
        <v>2</v>
      </c>
      <c r="AG98">
        <f>IF(AND('06 Exr'!E98&lt;Tmax, NOT('06 Exr'!$H98="")),'06 Exr'!$H98,4)</f>
        <v>2</v>
      </c>
      <c r="AH98">
        <f>IF(AND('06 Exr'!F98&lt;Tmax, NOT('06 Exr'!$H98="")),'06 Exr'!$H98,4)</f>
        <v>2</v>
      </c>
      <c r="AI98"/>
    </row>
    <row r="99" spans="1:35" outlineLevel="2" x14ac:dyDescent="0.2">
      <c r="A99" s="636" t="s">
        <v>1371</v>
      </c>
      <c r="B99" s="636" t="s">
        <v>6456</v>
      </c>
      <c r="C99" s="786"/>
      <c r="D99" s="822"/>
      <c r="E99" s="822"/>
      <c r="F99" s="822"/>
      <c r="G99" s="1473">
        <v>4</v>
      </c>
      <c r="H99" s="1473">
        <v>2</v>
      </c>
      <c r="I99" s="1473"/>
      <c r="J99" s="1473" t="s">
        <v>1592</v>
      </c>
      <c r="K99" s="1475" t="s">
        <v>3952</v>
      </c>
      <c r="L99" s="1472" t="s">
        <v>7341</v>
      </c>
      <c r="M99" s="854"/>
      <c r="AA99">
        <f>IF(AND('06 Exr'!C99&gt;Tmin, NOT('06 Exr'!$I99="")),'06 Exr'!$I99,0)</f>
        <v>0</v>
      </c>
      <c r="AB99">
        <f>IF(AND('06 Exr'!D99&gt;Tmin, NOT('06 Exr'!$I99="")),'06 Exr'!$I99,0)</f>
        <v>0</v>
      </c>
      <c r="AC99">
        <f>IF(AND('06 Exr'!E99&gt;Tmin, NOT('06 Exr'!$I99="")),'06 Exr'!$I99,0)</f>
        <v>0</v>
      </c>
      <c r="AD99">
        <f>IF(AND('06 Exr'!F99&gt;Tmin, NOT('06 Exr'!$I99="")),'06 Exr'!$I99,0)</f>
        <v>0</v>
      </c>
      <c r="AE99">
        <f>IF(AND('06 Exr'!C99&lt;Tmax, NOT('06 Exr'!$H99="")),'06 Exr'!$H99,4)</f>
        <v>2</v>
      </c>
      <c r="AF99">
        <f>IF(AND('06 Exr'!D99&lt;Tmax, NOT('06 Exr'!$H99="")),'06 Exr'!$H99,4)</f>
        <v>2</v>
      </c>
      <c r="AG99">
        <f>IF(AND('06 Exr'!E99&lt;Tmax, NOT('06 Exr'!$H99="")),'06 Exr'!$H99,4)</f>
        <v>2</v>
      </c>
      <c r="AH99">
        <f>IF(AND('06 Exr'!F99&lt;Tmax, NOT('06 Exr'!$H99="")),'06 Exr'!$H99,4)</f>
        <v>2</v>
      </c>
      <c r="AI99"/>
    </row>
    <row r="100" spans="1:35" ht="51" customHeight="1" outlineLevel="2" x14ac:dyDescent="0.2">
      <c r="A100" s="636" t="s">
        <v>1372</v>
      </c>
      <c r="B100" s="636" t="s">
        <v>5793</v>
      </c>
      <c r="C100" s="786"/>
      <c r="D100" s="822"/>
      <c r="E100" s="822"/>
      <c r="F100" s="822"/>
      <c r="G100" s="1473">
        <v>4</v>
      </c>
      <c r="H100" s="1473">
        <v>2</v>
      </c>
      <c r="I100" s="1473">
        <v>3</v>
      </c>
      <c r="J100" s="1473" t="s">
        <v>2349</v>
      </c>
      <c r="K100" s="1458" t="s">
        <v>7122</v>
      </c>
      <c r="L100" s="1472" t="s">
        <v>3579</v>
      </c>
      <c r="M100" s="854"/>
      <c r="AA100">
        <f>IF(AND('06 Exr'!C100&gt;Tmin, NOT('06 Exr'!$I100="")),'06 Exr'!$I100,0)</f>
        <v>0</v>
      </c>
      <c r="AB100">
        <f>IF(AND('06 Exr'!D100&gt;Tmin, NOT('06 Exr'!$I100="")),'06 Exr'!$I100,0)</f>
        <v>0</v>
      </c>
      <c r="AC100">
        <f>IF(AND('06 Exr'!E100&gt;Tmin, NOT('06 Exr'!$I100="")),'06 Exr'!$I100,0)</f>
        <v>0</v>
      </c>
      <c r="AD100">
        <f>IF(AND('06 Exr'!F100&gt;Tmin, NOT('06 Exr'!$I100="")),'06 Exr'!$I100,0)</f>
        <v>0</v>
      </c>
      <c r="AE100">
        <f>IF(AND('06 Exr'!C100&lt;Tmax, NOT('06 Exr'!$H100="")),'06 Exr'!$H100,4)</f>
        <v>2</v>
      </c>
      <c r="AF100">
        <f>IF(AND('06 Exr'!D100&lt;Tmax, NOT('06 Exr'!$H100="")),'06 Exr'!$H100,4)</f>
        <v>2</v>
      </c>
      <c r="AG100">
        <f>IF(AND('06 Exr'!E100&lt;Tmax, NOT('06 Exr'!$H100="")),'06 Exr'!$H100,4)</f>
        <v>2</v>
      </c>
      <c r="AH100">
        <f>IF(AND('06 Exr'!F100&lt;Tmax, NOT('06 Exr'!$H100="")),'06 Exr'!$H100,4)</f>
        <v>2</v>
      </c>
      <c r="AI100"/>
    </row>
    <row r="101" spans="1:35" outlineLevel="2" x14ac:dyDescent="0.2">
      <c r="A101" s="636" t="s">
        <v>1373</v>
      </c>
      <c r="B101" s="636" t="s">
        <v>6765</v>
      </c>
      <c r="C101" s="786"/>
      <c r="D101" s="822"/>
      <c r="E101" s="822"/>
      <c r="F101" s="822"/>
      <c r="G101" s="1473">
        <v>4</v>
      </c>
      <c r="H101" s="1473">
        <v>3</v>
      </c>
      <c r="I101" s="1473"/>
      <c r="J101" s="1473" t="s">
        <v>1592</v>
      </c>
      <c r="K101" s="1472" t="s">
        <v>6477</v>
      </c>
      <c r="L101" s="1472" t="s">
        <v>4434</v>
      </c>
      <c r="M101" s="854"/>
      <c r="AA101">
        <f>IF(AND('06 Exr'!C101&gt;Tmin, NOT('06 Exr'!$I101="")),'06 Exr'!$I101,0)</f>
        <v>0</v>
      </c>
      <c r="AB101">
        <f>IF(AND('06 Exr'!D101&gt;Tmin, NOT('06 Exr'!$I101="")),'06 Exr'!$I101,0)</f>
        <v>0</v>
      </c>
      <c r="AC101">
        <f>IF(AND('06 Exr'!E101&gt;Tmin, NOT('06 Exr'!$I101="")),'06 Exr'!$I101,0)</f>
        <v>0</v>
      </c>
      <c r="AD101">
        <f>IF(AND('06 Exr'!F101&gt;Tmin, NOT('06 Exr'!$I101="")),'06 Exr'!$I101,0)</f>
        <v>0</v>
      </c>
      <c r="AE101">
        <f>IF(AND('06 Exr'!C101&lt;Tmax, NOT('06 Exr'!$H101="")),'06 Exr'!$H101,4)</f>
        <v>3</v>
      </c>
      <c r="AF101">
        <f>IF(AND('06 Exr'!D101&lt;Tmax, NOT('06 Exr'!$H101="")),'06 Exr'!$H101,4)</f>
        <v>3</v>
      </c>
      <c r="AG101">
        <f>IF(AND('06 Exr'!E101&lt;Tmax, NOT('06 Exr'!$H101="")),'06 Exr'!$H101,4)</f>
        <v>3</v>
      </c>
      <c r="AH101">
        <f>IF(AND('06 Exr'!F101&lt;Tmax, NOT('06 Exr'!$H101="")),'06 Exr'!$H101,4)</f>
        <v>3</v>
      </c>
      <c r="AI101"/>
    </row>
    <row r="102" spans="1:35" outlineLevel="2" x14ac:dyDescent="0.2">
      <c r="A102" s="636" t="s">
        <v>1375</v>
      </c>
      <c r="B102" s="636" t="s">
        <v>1376</v>
      </c>
      <c r="C102" s="786"/>
      <c r="D102" s="822"/>
      <c r="E102" s="822"/>
      <c r="F102" s="822"/>
      <c r="G102" s="1473">
        <v>1</v>
      </c>
      <c r="H102" s="1473">
        <v>2</v>
      </c>
      <c r="I102" s="1473"/>
      <c r="J102" s="1473" t="s">
        <v>2109</v>
      </c>
      <c r="K102" s="1472" t="s">
        <v>6477</v>
      </c>
      <c r="L102" s="1472" t="s">
        <v>4434</v>
      </c>
      <c r="M102" s="854"/>
      <c r="AA102">
        <f>IF(AND('06 Exr'!C102&gt;Tmin, NOT('06 Exr'!$I102="")),'06 Exr'!$I102,0)</f>
        <v>0</v>
      </c>
      <c r="AB102">
        <f>IF(AND('06 Exr'!D102&gt;Tmin, NOT('06 Exr'!$I102="")),'06 Exr'!$I102,0)</f>
        <v>0</v>
      </c>
      <c r="AC102">
        <f>IF(AND('06 Exr'!E102&gt;Tmin, NOT('06 Exr'!$I102="")),'06 Exr'!$I102,0)</f>
        <v>0</v>
      </c>
      <c r="AD102">
        <f>IF(AND('06 Exr'!F102&gt;Tmin, NOT('06 Exr'!$I102="")),'06 Exr'!$I102,0)</f>
        <v>0</v>
      </c>
      <c r="AE102">
        <f>IF(AND('06 Exr'!C102&lt;Tmax, NOT('06 Exr'!$H102="")),'06 Exr'!$H102,4)</f>
        <v>2</v>
      </c>
      <c r="AF102">
        <f>IF(AND('06 Exr'!D102&lt;Tmax, NOT('06 Exr'!$H102="")),'06 Exr'!$H102,4)</f>
        <v>2</v>
      </c>
      <c r="AG102">
        <f>IF(AND('06 Exr'!E102&lt;Tmax, NOT('06 Exr'!$H102="")),'06 Exr'!$H102,4)</f>
        <v>2</v>
      </c>
      <c r="AH102">
        <f>IF(AND('06 Exr'!F102&lt;Tmax, NOT('06 Exr'!$H102="")),'06 Exr'!$H102,4)</f>
        <v>2</v>
      </c>
      <c r="AI102"/>
    </row>
    <row r="103" spans="1:35" s="643" customFormat="1" outlineLevel="1" x14ac:dyDescent="0.2">
      <c r="A103" s="633" t="s">
        <v>4574</v>
      </c>
      <c r="B103" s="634" t="s">
        <v>6216</v>
      </c>
      <c r="C103" s="786"/>
      <c r="D103" s="822"/>
      <c r="E103" s="822"/>
      <c r="F103" s="822"/>
      <c r="G103" s="1473"/>
      <c r="H103" s="1473"/>
      <c r="I103" s="1473"/>
      <c r="J103" s="1473"/>
      <c r="K103" s="1472"/>
      <c r="L103" s="1472"/>
      <c r="M103" s="854"/>
      <c r="N103" s="679"/>
      <c r="O103" s="679"/>
      <c r="P103" s="679"/>
      <c r="Q103" s="679"/>
      <c r="R103" s="679"/>
      <c r="S103" s="679"/>
      <c r="T103" s="679"/>
      <c r="U103" s="679"/>
      <c r="V103" s="679"/>
      <c r="W103" s="679"/>
      <c r="X103" s="679"/>
      <c r="Y103" s="679"/>
      <c r="Z103" s="679"/>
      <c r="AA103"/>
      <c r="AB103"/>
      <c r="AC103"/>
      <c r="AD103"/>
      <c r="AE103"/>
      <c r="AF103"/>
      <c r="AG103"/>
      <c r="AH103"/>
      <c r="AI103"/>
    </row>
    <row r="104" spans="1:35" ht="54" customHeight="1" outlineLevel="2" x14ac:dyDescent="0.2">
      <c r="A104" s="636" t="s">
        <v>1378</v>
      </c>
      <c r="B104" s="636" t="s">
        <v>4461</v>
      </c>
      <c r="C104" s="786"/>
      <c r="D104" s="822"/>
      <c r="E104" s="822"/>
      <c r="F104" s="822"/>
      <c r="G104" s="1473">
        <v>4</v>
      </c>
      <c r="H104" s="1473">
        <v>2</v>
      </c>
      <c r="I104" s="1473"/>
      <c r="J104" s="1473" t="s">
        <v>1592</v>
      </c>
      <c r="K104" s="1472"/>
      <c r="L104" s="1472"/>
      <c r="M104" s="854"/>
      <c r="AA104">
        <f>IF(AND('06 Exr'!C104&gt;Tmin, NOT('06 Exr'!$I104="")),'06 Exr'!$I104,0)</f>
        <v>0</v>
      </c>
      <c r="AB104">
        <f>IF(AND('06 Exr'!D104&gt;Tmin, NOT('06 Exr'!$I104="")),'06 Exr'!$I104,0)</f>
        <v>0</v>
      </c>
      <c r="AC104">
        <f>IF(AND('06 Exr'!E104&gt;Tmin, NOT('06 Exr'!$I104="")),'06 Exr'!$I104,0)</f>
        <v>0</v>
      </c>
      <c r="AD104">
        <f>IF(AND('06 Exr'!F104&gt;Tmin, NOT('06 Exr'!$I104="")),'06 Exr'!$I104,0)</f>
        <v>0</v>
      </c>
      <c r="AE104">
        <f>IF(AND('06 Exr'!C104&lt;Tmax, NOT('06 Exr'!$H104="")),'06 Exr'!$H104,4)</f>
        <v>2</v>
      </c>
      <c r="AF104">
        <f>IF(AND('06 Exr'!D104&lt;Tmax, NOT('06 Exr'!$H104="")),'06 Exr'!$H104,4)</f>
        <v>2</v>
      </c>
      <c r="AG104">
        <f>IF(AND('06 Exr'!E104&lt;Tmax, NOT('06 Exr'!$H104="")),'06 Exr'!$H104,4)</f>
        <v>2</v>
      </c>
      <c r="AH104">
        <f>IF(AND('06 Exr'!F104&lt;Tmax, NOT('06 Exr'!$H104="")),'06 Exr'!$H104,4)</f>
        <v>2</v>
      </c>
      <c r="AI104"/>
    </row>
    <row r="105" spans="1:35" ht="54.75" customHeight="1" outlineLevel="2" x14ac:dyDescent="0.2">
      <c r="A105" s="636" t="s">
        <v>1379</v>
      </c>
      <c r="B105" s="636" t="s">
        <v>3402</v>
      </c>
      <c r="C105" s="786"/>
      <c r="D105" s="822"/>
      <c r="E105" s="822"/>
      <c r="F105" s="822"/>
      <c r="G105" s="1473">
        <v>2</v>
      </c>
      <c r="H105" s="1473">
        <v>2</v>
      </c>
      <c r="I105" s="1473"/>
      <c r="J105" s="1473" t="s">
        <v>1592</v>
      </c>
      <c r="K105" s="1472"/>
      <c r="L105" s="1472"/>
      <c r="M105" s="854"/>
      <c r="AA105">
        <f>IF(AND('06 Exr'!C105&gt;Tmin, NOT('06 Exr'!$I105="")),'06 Exr'!$I105,0)</f>
        <v>0</v>
      </c>
      <c r="AB105">
        <f>IF(AND('06 Exr'!D105&gt;Tmin, NOT('06 Exr'!$I105="")),'06 Exr'!$I105,0)</f>
        <v>0</v>
      </c>
      <c r="AC105">
        <f>IF(AND('06 Exr'!E105&gt;Tmin, NOT('06 Exr'!$I105="")),'06 Exr'!$I105,0)</f>
        <v>0</v>
      </c>
      <c r="AD105">
        <f>IF(AND('06 Exr'!F105&gt;Tmin, NOT('06 Exr'!$I105="")),'06 Exr'!$I105,0)</f>
        <v>0</v>
      </c>
      <c r="AE105">
        <f>IF(AND('06 Exr'!C105&lt;Tmax, NOT('06 Exr'!$H105="")),'06 Exr'!$H105,4)</f>
        <v>2</v>
      </c>
      <c r="AF105">
        <f>IF(AND('06 Exr'!D105&lt;Tmax, NOT('06 Exr'!$H105="")),'06 Exr'!$H105,4)</f>
        <v>2</v>
      </c>
      <c r="AG105">
        <f>IF(AND('06 Exr'!E105&lt;Tmax, NOT('06 Exr'!$H105="")),'06 Exr'!$H105,4)</f>
        <v>2</v>
      </c>
      <c r="AH105">
        <f>IF(AND('06 Exr'!F105&lt;Tmax, NOT('06 Exr'!$H105="")),'06 Exr'!$H105,4)</f>
        <v>2</v>
      </c>
      <c r="AI105"/>
    </row>
    <row r="106" spans="1:35" ht="78" customHeight="1" outlineLevel="2" x14ac:dyDescent="0.2">
      <c r="A106" s="636" t="s">
        <v>1380</v>
      </c>
      <c r="B106" s="636" t="s">
        <v>5503</v>
      </c>
      <c r="C106" s="786"/>
      <c r="D106" s="822"/>
      <c r="E106" s="822"/>
      <c r="F106" s="822"/>
      <c r="G106" s="1473">
        <v>4</v>
      </c>
      <c r="H106" s="1473">
        <v>2</v>
      </c>
      <c r="I106" s="1473"/>
      <c r="J106" s="1473" t="s">
        <v>1592</v>
      </c>
      <c r="K106" s="1472"/>
      <c r="L106" s="1472"/>
      <c r="M106" s="854"/>
      <c r="AA106">
        <f>IF(AND('06 Exr'!C106&gt;Tmin, NOT('06 Exr'!$I106="")),'06 Exr'!$I106,0)</f>
        <v>0</v>
      </c>
      <c r="AB106">
        <f>IF(AND('06 Exr'!D106&gt;Tmin, NOT('06 Exr'!$I106="")),'06 Exr'!$I106,0)</f>
        <v>0</v>
      </c>
      <c r="AC106">
        <f>IF(AND('06 Exr'!E106&gt;Tmin, NOT('06 Exr'!$I106="")),'06 Exr'!$I106,0)</f>
        <v>0</v>
      </c>
      <c r="AD106">
        <f>IF(AND('06 Exr'!F106&gt;Tmin, NOT('06 Exr'!$I106="")),'06 Exr'!$I106,0)</f>
        <v>0</v>
      </c>
      <c r="AE106">
        <f>IF(AND('06 Exr'!C106&lt;Tmax, NOT('06 Exr'!$H106="")),'06 Exr'!$H106,4)</f>
        <v>2</v>
      </c>
      <c r="AF106">
        <f>IF(AND('06 Exr'!D106&lt;Tmax, NOT('06 Exr'!$H106="")),'06 Exr'!$H106,4)</f>
        <v>2</v>
      </c>
      <c r="AG106">
        <f>IF(AND('06 Exr'!E106&lt;Tmax, NOT('06 Exr'!$H106="")),'06 Exr'!$H106,4)</f>
        <v>2</v>
      </c>
      <c r="AH106">
        <f>IF(AND('06 Exr'!F106&lt;Tmax, NOT('06 Exr'!$H106="")),'06 Exr'!$H106,4)</f>
        <v>2</v>
      </c>
      <c r="AI106"/>
    </row>
    <row r="107" spans="1:35" ht="22.5" outlineLevel="2" x14ac:dyDescent="0.2">
      <c r="A107" s="636" t="s">
        <v>1381</v>
      </c>
      <c r="B107" s="636" t="s">
        <v>2378</v>
      </c>
      <c r="C107" s="786"/>
      <c r="D107" s="822"/>
      <c r="E107" s="822"/>
      <c r="F107" s="822"/>
      <c r="G107" s="1473">
        <v>4</v>
      </c>
      <c r="H107" s="1473"/>
      <c r="I107" s="1473"/>
      <c r="J107" s="1473" t="s">
        <v>1592</v>
      </c>
      <c r="K107" s="1472"/>
      <c r="L107" s="1472"/>
      <c r="M107" s="854"/>
      <c r="AA107">
        <f>IF(AND('06 Exr'!C107&gt;Tmin, NOT('06 Exr'!$I107="")),'06 Exr'!$I107,0)</f>
        <v>0</v>
      </c>
      <c r="AB107">
        <f>IF(AND('06 Exr'!D107&gt;Tmin, NOT('06 Exr'!$I107="")),'06 Exr'!$I107,0)</f>
        <v>0</v>
      </c>
      <c r="AC107">
        <f>IF(AND('06 Exr'!E107&gt;Tmin, NOT('06 Exr'!$I107="")),'06 Exr'!$I107,0)</f>
        <v>0</v>
      </c>
      <c r="AD107">
        <f>IF(AND('06 Exr'!F107&gt;Tmin, NOT('06 Exr'!$I107="")),'06 Exr'!$I107,0)</f>
        <v>0</v>
      </c>
      <c r="AE107">
        <f>IF(AND('06 Exr'!C107&lt;Tmax, NOT('06 Exr'!$H107="")),'06 Exr'!$H107,4)</f>
        <v>4</v>
      </c>
      <c r="AF107">
        <f>IF(AND('06 Exr'!D107&lt;Tmax, NOT('06 Exr'!$H107="")),'06 Exr'!$H107,4)</f>
        <v>4</v>
      </c>
      <c r="AG107">
        <f>IF(AND('06 Exr'!E107&lt;Tmax, NOT('06 Exr'!$H107="")),'06 Exr'!$H107,4)</f>
        <v>4</v>
      </c>
      <c r="AH107">
        <f>IF(AND('06 Exr'!F107&lt;Tmax, NOT('06 Exr'!$H107="")),'06 Exr'!$H107,4)</f>
        <v>4</v>
      </c>
      <c r="AI107"/>
    </row>
    <row r="108" spans="1:35" ht="54.75" customHeight="1" outlineLevel="2" x14ac:dyDescent="0.2">
      <c r="A108" s="636" t="s">
        <v>2379</v>
      </c>
      <c r="B108" s="636" t="s">
        <v>1284</v>
      </c>
      <c r="C108" s="786"/>
      <c r="D108" s="822"/>
      <c r="E108" s="822"/>
      <c r="F108" s="822"/>
      <c r="G108" s="1473">
        <v>4</v>
      </c>
      <c r="H108" s="1473">
        <v>2</v>
      </c>
      <c r="I108" s="1473"/>
      <c r="J108" s="1473" t="s">
        <v>2349</v>
      </c>
      <c r="K108" s="1472"/>
      <c r="L108" s="1472"/>
      <c r="M108" s="854"/>
      <c r="AA108">
        <f>IF(AND('06 Exr'!C108&gt;Tmin, NOT('06 Exr'!$I108="")),'06 Exr'!$I108,0)</f>
        <v>0</v>
      </c>
      <c r="AB108">
        <f>IF(AND('06 Exr'!D108&gt;Tmin, NOT('06 Exr'!$I108="")),'06 Exr'!$I108,0)</f>
        <v>0</v>
      </c>
      <c r="AC108">
        <f>IF(AND('06 Exr'!E108&gt;Tmin, NOT('06 Exr'!$I108="")),'06 Exr'!$I108,0)</f>
        <v>0</v>
      </c>
      <c r="AD108">
        <f>IF(AND('06 Exr'!F108&gt;Tmin, NOT('06 Exr'!$I108="")),'06 Exr'!$I108,0)</f>
        <v>0</v>
      </c>
      <c r="AE108">
        <f>IF(AND('06 Exr'!C108&lt;Tmax, NOT('06 Exr'!$H108="")),'06 Exr'!$H108,4)</f>
        <v>2</v>
      </c>
      <c r="AF108">
        <f>IF(AND('06 Exr'!D108&lt;Tmax, NOT('06 Exr'!$H108="")),'06 Exr'!$H108,4)</f>
        <v>2</v>
      </c>
      <c r="AG108">
        <f>IF(AND('06 Exr'!E108&lt;Tmax, NOT('06 Exr'!$H108="")),'06 Exr'!$H108,4)</f>
        <v>2</v>
      </c>
      <c r="AH108">
        <f>IF(AND('06 Exr'!F108&lt;Tmax, NOT('06 Exr'!$H108="")),'06 Exr'!$H108,4)</f>
        <v>2</v>
      </c>
      <c r="AI108"/>
    </row>
    <row r="109" spans="1:35" ht="41.25" customHeight="1" outlineLevel="2" x14ac:dyDescent="0.2">
      <c r="A109" s="636" t="s">
        <v>2380</v>
      </c>
      <c r="B109" s="636" t="s">
        <v>3164</v>
      </c>
      <c r="C109" s="786"/>
      <c r="D109" s="822"/>
      <c r="E109" s="822"/>
      <c r="F109" s="822"/>
      <c r="G109" s="1473">
        <v>4</v>
      </c>
      <c r="H109" s="1473">
        <v>3</v>
      </c>
      <c r="I109" s="1473"/>
      <c r="J109" s="1473" t="s">
        <v>2349</v>
      </c>
      <c r="K109" s="1472"/>
      <c r="L109" s="1472"/>
      <c r="M109" s="854"/>
      <c r="AA109">
        <f>IF(AND('06 Exr'!C109&gt;Tmin, NOT('06 Exr'!$I109="")),'06 Exr'!$I109,0)</f>
        <v>0</v>
      </c>
      <c r="AB109">
        <f>IF(AND('06 Exr'!D109&gt;Tmin, NOT('06 Exr'!$I109="")),'06 Exr'!$I109,0)</f>
        <v>0</v>
      </c>
      <c r="AC109">
        <f>IF(AND('06 Exr'!E109&gt;Tmin, NOT('06 Exr'!$I109="")),'06 Exr'!$I109,0)</f>
        <v>0</v>
      </c>
      <c r="AD109">
        <f>IF(AND('06 Exr'!F109&gt;Tmin, NOT('06 Exr'!$I109="")),'06 Exr'!$I109,0)</f>
        <v>0</v>
      </c>
      <c r="AE109">
        <f>IF(AND('06 Exr'!C109&lt;Tmax, NOT('06 Exr'!$H109="")),'06 Exr'!$H109,4)</f>
        <v>3</v>
      </c>
      <c r="AF109">
        <f>IF(AND('06 Exr'!D109&lt;Tmax, NOT('06 Exr'!$H109="")),'06 Exr'!$H109,4)</f>
        <v>3</v>
      </c>
      <c r="AG109">
        <f>IF(AND('06 Exr'!E109&lt;Tmax, NOT('06 Exr'!$H109="")),'06 Exr'!$H109,4)</f>
        <v>3</v>
      </c>
      <c r="AH109">
        <f>IF(AND('06 Exr'!F109&lt;Tmax, NOT('06 Exr'!$H109="")),'06 Exr'!$H109,4)</f>
        <v>3</v>
      </c>
      <c r="AI109"/>
    </row>
    <row r="110" spans="1:35" ht="16.5" customHeight="1" outlineLevel="2" x14ac:dyDescent="0.2">
      <c r="A110" s="636" t="s">
        <v>2381</v>
      </c>
      <c r="B110" s="636" t="s">
        <v>3942</v>
      </c>
      <c r="C110" s="786"/>
      <c r="D110" s="822"/>
      <c r="E110" s="822"/>
      <c r="F110" s="822"/>
      <c r="G110" s="1473">
        <v>4</v>
      </c>
      <c r="H110" s="1473">
        <v>3</v>
      </c>
      <c r="I110" s="1474"/>
      <c r="J110" s="1473" t="s">
        <v>2109</v>
      </c>
      <c r="K110" s="1472" t="s">
        <v>6477</v>
      </c>
      <c r="L110" s="1472" t="s">
        <v>4434</v>
      </c>
      <c r="M110" s="854"/>
      <c r="AA110">
        <f>IF(AND('06 Exr'!C110&gt;Tmin, NOT('06 Exr'!$I110="")),'06 Exr'!$I110,0)</f>
        <v>0</v>
      </c>
      <c r="AB110">
        <f>IF(AND('06 Exr'!D110&gt;Tmin, NOT('06 Exr'!$I110="")),'06 Exr'!$I110,0)</f>
        <v>0</v>
      </c>
      <c r="AC110">
        <f>IF(AND('06 Exr'!E110&gt;Tmin, NOT('06 Exr'!$I110="")),'06 Exr'!$I110,0)</f>
        <v>0</v>
      </c>
      <c r="AD110">
        <f>IF(AND('06 Exr'!F110&gt;Tmin, NOT('06 Exr'!$I110="")),'06 Exr'!$I110,0)</f>
        <v>0</v>
      </c>
      <c r="AE110">
        <f>IF(AND('06 Exr'!C110&lt;Tmax, NOT('06 Exr'!$H110="")),'06 Exr'!$H110,4)</f>
        <v>3</v>
      </c>
      <c r="AF110">
        <f>IF(AND('06 Exr'!D110&lt;Tmax, NOT('06 Exr'!$H110="")),'06 Exr'!$H110,4)</f>
        <v>3</v>
      </c>
      <c r="AG110">
        <f>IF(AND('06 Exr'!E110&lt;Tmax, NOT('06 Exr'!$H110="")),'06 Exr'!$H110,4)</f>
        <v>3</v>
      </c>
      <c r="AH110">
        <f>IF(AND('06 Exr'!F110&lt;Tmax, NOT('06 Exr'!$H110="")),'06 Exr'!$H110,4)</f>
        <v>3</v>
      </c>
      <c r="AI110"/>
    </row>
    <row r="111" spans="1:35" ht="24" customHeight="1" outlineLevel="2" x14ac:dyDescent="0.2">
      <c r="A111" s="636" t="s">
        <v>2382</v>
      </c>
      <c r="B111" s="636" t="s">
        <v>2383</v>
      </c>
      <c r="C111" s="786"/>
      <c r="D111" s="822"/>
      <c r="E111" s="822"/>
      <c r="F111" s="822"/>
      <c r="G111" s="1473">
        <v>4</v>
      </c>
      <c r="H111" s="1473">
        <v>3</v>
      </c>
      <c r="I111" s="1474"/>
      <c r="J111" s="1473" t="s">
        <v>2109</v>
      </c>
      <c r="K111" s="1472"/>
      <c r="L111" s="1472"/>
      <c r="M111" s="854"/>
      <c r="AA111">
        <f>IF(AND('06 Exr'!C111&gt;Tmin, NOT('06 Exr'!$I111="")),'06 Exr'!$I111,0)</f>
        <v>0</v>
      </c>
      <c r="AB111">
        <f>IF(AND('06 Exr'!D111&gt;Tmin, NOT('06 Exr'!$I111="")),'06 Exr'!$I111,0)</f>
        <v>0</v>
      </c>
      <c r="AC111">
        <f>IF(AND('06 Exr'!E111&gt;Tmin, NOT('06 Exr'!$I111="")),'06 Exr'!$I111,0)</f>
        <v>0</v>
      </c>
      <c r="AD111">
        <f>IF(AND('06 Exr'!F111&gt;Tmin, NOT('06 Exr'!$I111="")),'06 Exr'!$I111,0)</f>
        <v>0</v>
      </c>
      <c r="AE111">
        <f>IF(AND('06 Exr'!C111&lt;Tmax, NOT('06 Exr'!$H111="")),'06 Exr'!$H111,4)</f>
        <v>3</v>
      </c>
      <c r="AF111">
        <f>IF(AND('06 Exr'!D111&lt;Tmax, NOT('06 Exr'!$H111="")),'06 Exr'!$H111,4)</f>
        <v>3</v>
      </c>
      <c r="AG111">
        <f>IF(AND('06 Exr'!E111&lt;Tmax, NOT('06 Exr'!$H111="")),'06 Exr'!$H111,4)</f>
        <v>3</v>
      </c>
      <c r="AH111">
        <f>IF(AND('06 Exr'!F111&lt;Tmax, NOT('06 Exr'!$H111="")),'06 Exr'!$H111,4)</f>
        <v>3</v>
      </c>
      <c r="AI111"/>
    </row>
    <row r="112" spans="1:35" outlineLevel="1" x14ac:dyDescent="0.2">
      <c r="A112" s="633" t="s">
        <v>4575</v>
      </c>
      <c r="B112" s="634" t="s">
        <v>4576</v>
      </c>
      <c r="C112" s="786"/>
      <c r="D112" s="822"/>
      <c r="E112" s="822"/>
      <c r="F112" s="822"/>
      <c r="G112" s="1473"/>
      <c r="H112" s="1473"/>
      <c r="I112" s="1473"/>
      <c r="J112" s="1473"/>
      <c r="K112" s="1472"/>
      <c r="L112" s="1472"/>
      <c r="M112" s="854"/>
      <c r="AA112"/>
      <c r="AB112"/>
      <c r="AC112"/>
      <c r="AD112"/>
      <c r="AE112"/>
      <c r="AF112"/>
      <c r="AG112"/>
      <c r="AH112"/>
      <c r="AI112"/>
    </row>
    <row r="113" spans="1:35" ht="33.75" outlineLevel="2" x14ac:dyDescent="0.2">
      <c r="A113" s="636" t="s">
        <v>2384</v>
      </c>
      <c r="B113" s="636" t="s">
        <v>6872</v>
      </c>
      <c r="C113" s="786"/>
      <c r="D113" s="822"/>
      <c r="E113" s="822"/>
      <c r="F113" s="822"/>
      <c r="G113" s="1473">
        <v>2</v>
      </c>
      <c r="H113" s="1473"/>
      <c r="I113" s="1473"/>
      <c r="J113" s="1473" t="s">
        <v>1592</v>
      </c>
      <c r="K113" s="1458" t="s">
        <v>7123</v>
      </c>
      <c r="L113" s="1472" t="s">
        <v>7342</v>
      </c>
      <c r="M113" s="854"/>
      <c r="AA113">
        <f>IF(AND('06 Exr'!C113&gt;Tmin, NOT('06 Exr'!$I113="")),'06 Exr'!$I113,0)</f>
        <v>0</v>
      </c>
      <c r="AB113">
        <f>IF(AND('06 Exr'!D113&gt;Tmin, NOT('06 Exr'!$I113="")),'06 Exr'!$I113,0)</f>
        <v>0</v>
      </c>
      <c r="AC113">
        <f>IF(AND('06 Exr'!E113&gt;Tmin, NOT('06 Exr'!$I113="")),'06 Exr'!$I113,0)</f>
        <v>0</v>
      </c>
      <c r="AD113">
        <f>IF(AND('06 Exr'!F113&gt;Tmin, NOT('06 Exr'!$I113="")),'06 Exr'!$I113,0)</f>
        <v>0</v>
      </c>
      <c r="AE113">
        <f>IF(AND('06 Exr'!C113&lt;Tmax, NOT('06 Exr'!$H113="")),'06 Exr'!$H113,4)</f>
        <v>4</v>
      </c>
      <c r="AF113">
        <f>IF(AND('06 Exr'!D113&lt;Tmax, NOT('06 Exr'!$H113="")),'06 Exr'!$H113,4)</f>
        <v>4</v>
      </c>
      <c r="AG113">
        <f>IF(AND('06 Exr'!E113&lt;Tmax, NOT('06 Exr'!$H113="")),'06 Exr'!$H113,4)</f>
        <v>4</v>
      </c>
      <c r="AH113">
        <f>IF(AND('06 Exr'!F113&lt;Tmax, NOT('06 Exr'!$H113="")),'06 Exr'!$H113,4)</f>
        <v>4</v>
      </c>
      <c r="AI113"/>
    </row>
    <row r="114" spans="1:35" ht="22.5" outlineLevel="2" x14ac:dyDescent="0.2">
      <c r="A114" s="636" t="s">
        <v>6204</v>
      </c>
      <c r="B114" s="636" t="s">
        <v>5504</v>
      </c>
      <c r="C114" s="786"/>
      <c r="D114" s="822"/>
      <c r="E114" s="822"/>
      <c r="F114" s="822"/>
      <c r="G114" s="1473">
        <v>4</v>
      </c>
      <c r="H114" s="1473"/>
      <c r="I114" s="1473"/>
      <c r="J114" s="1473" t="s">
        <v>1592</v>
      </c>
      <c r="K114" s="1458" t="s">
        <v>7123</v>
      </c>
      <c r="L114" s="1472" t="s">
        <v>7342</v>
      </c>
      <c r="M114" s="854"/>
      <c r="AA114">
        <f>IF(AND('06 Exr'!C114&gt;Tmin, NOT('06 Exr'!$I114="")),'06 Exr'!$I114,0)</f>
        <v>0</v>
      </c>
      <c r="AB114">
        <f>IF(AND('06 Exr'!D114&gt;Tmin, NOT('06 Exr'!$I114="")),'06 Exr'!$I114,0)</f>
        <v>0</v>
      </c>
      <c r="AC114">
        <f>IF(AND('06 Exr'!E114&gt;Tmin, NOT('06 Exr'!$I114="")),'06 Exr'!$I114,0)</f>
        <v>0</v>
      </c>
      <c r="AD114">
        <f>IF(AND('06 Exr'!F114&gt;Tmin, NOT('06 Exr'!$I114="")),'06 Exr'!$I114,0)</f>
        <v>0</v>
      </c>
      <c r="AE114">
        <f>IF(AND('06 Exr'!C114&lt;Tmax, NOT('06 Exr'!$H114="")),'06 Exr'!$H114,4)</f>
        <v>4</v>
      </c>
      <c r="AF114">
        <f>IF(AND('06 Exr'!D114&lt;Tmax, NOT('06 Exr'!$H114="")),'06 Exr'!$H114,4)</f>
        <v>4</v>
      </c>
      <c r="AG114">
        <f>IF(AND('06 Exr'!E114&lt;Tmax, NOT('06 Exr'!$H114="")),'06 Exr'!$H114,4)</f>
        <v>4</v>
      </c>
      <c r="AH114">
        <f>IF(AND('06 Exr'!F114&lt;Tmax, NOT('06 Exr'!$H114="")),'06 Exr'!$H114,4)</f>
        <v>4</v>
      </c>
      <c r="AI114"/>
    </row>
    <row r="115" spans="1:35" ht="22.5" outlineLevel="2" x14ac:dyDescent="0.2">
      <c r="A115" s="636" t="s">
        <v>6205</v>
      </c>
      <c r="B115" s="636" t="s">
        <v>2801</v>
      </c>
      <c r="C115" s="786"/>
      <c r="D115" s="822"/>
      <c r="E115" s="822"/>
      <c r="F115" s="822"/>
      <c r="G115" s="1473">
        <v>4</v>
      </c>
      <c r="H115" s="1473">
        <v>2</v>
      </c>
      <c r="I115" s="1473"/>
      <c r="J115" s="1473" t="s">
        <v>2329</v>
      </c>
      <c r="K115" s="1458" t="s">
        <v>5650</v>
      </c>
      <c r="L115" s="1472" t="s">
        <v>7343</v>
      </c>
      <c r="M115" s="854"/>
      <c r="AA115">
        <f>IF(AND('06 Exr'!C115&gt;Tmin, NOT('06 Exr'!$I115="")),'06 Exr'!$I115,0)</f>
        <v>0</v>
      </c>
      <c r="AB115">
        <f>IF(AND('06 Exr'!D115&gt;Tmin, NOT('06 Exr'!$I115="")),'06 Exr'!$I115,0)</f>
        <v>0</v>
      </c>
      <c r="AC115">
        <f>IF(AND('06 Exr'!E115&gt;Tmin, NOT('06 Exr'!$I115="")),'06 Exr'!$I115,0)</f>
        <v>0</v>
      </c>
      <c r="AD115">
        <f>IF(AND('06 Exr'!F115&gt;Tmin, NOT('06 Exr'!$I115="")),'06 Exr'!$I115,0)</f>
        <v>0</v>
      </c>
      <c r="AE115">
        <f>IF(AND('06 Exr'!C115&lt;Tmax, NOT('06 Exr'!$H115="")),'06 Exr'!$H115,4)</f>
        <v>2</v>
      </c>
      <c r="AF115">
        <f>IF(AND('06 Exr'!D115&lt;Tmax, NOT('06 Exr'!$H115="")),'06 Exr'!$H115,4)</f>
        <v>2</v>
      </c>
      <c r="AG115">
        <f>IF(AND('06 Exr'!E115&lt;Tmax, NOT('06 Exr'!$H115="")),'06 Exr'!$H115,4)</f>
        <v>2</v>
      </c>
      <c r="AH115">
        <f>IF(AND('06 Exr'!F115&lt;Tmax, NOT('06 Exr'!$H115="")),'06 Exr'!$H115,4)</f>
        <v>2</v>
      </c>
      <c r="AI115"/>
    </row>
    <row r="116" spans="1:35" outlineLevel="2" x14ac:dyDescent="0.2">
      <c r="A116" s="636" t="s">
        <v>2802</v>
      </c>
      <c r="B116" s="636" t="s">
        <v>2803</v>
      </c>
      <c r="C116" s="786"/>
      <c r="D116" s="822"/>
      <c r="E116" s="822"/>
      <c r="F116" s="822"/>
      <c r="G116" s="1473">
        <v>4</v>
      </c>
      <c r="H116" s="1473"/>
      <c r="I116" s="1473">
        <v>3</v>
      </c>
      <c r="J116" s="1473" t="s">
        <v>2329</v>
      </c>
      <c r="K116" s="1458" t="s">
        <v>5650</v>
      </c>
      <c r="L116" s="1472" t="s">
        <v>7343</v>
      </c>
      <c r="M116" s="854"/>
      <c r="AA116">
        <f>IF(AND('06 Exr'!C116&gt;Tmin, NOT('06 Exr'!$I116="")),'06 Exr'!$I116,0)</f>
        <v>0</v>
      </c>
      <c r="AB116">
        <f>IF(AND('06 Exr'!D116&gt;Tmin, NOT('06 Exr'!$I116="")),'06 Exr'!$I116,0)</f>
        <v>0</v>
      </c>
      <c r="AC116">
        <f>IF(AND('06 Exr'!E116&gt;Tmin, NOT('06 Exr'!$I116="")),'06 Exr'!$I116,0)</f>
        <v>0</v>
      </c>
      <c r="AD116">
        <f>IF(AND('06 Exr'!F116&gt;Tmin, NOT('06 Exr'!$I116="")),'06 Exr'!$I116,0)</f>
        <v>0</v>
      </c>
      <c r="AE116">
        <f>IF(AND('06 Exr'!C116&lt;Tmax, NOT('06 Exr'!$H116="")),'06 Exr'!$H116,4)</f>
        <v>4</v>
      </c>
      <c r="AF116">
        <f>IF(AND('06 Exr'!D116&lt;Tmax, NOT('06 Exr'!$H116="")),'06 Exr'!$H116,4)</f>
        <v>4</v>
      </c>
      <c r="AG116">
        <f>IF(AND('06 Exr'!E116&lt;Tmax, NOT('06 Exr'!$H116="")),'06 Exr'!$H116,4)</f>
        <v>4</v>
      </c>
      <c r="AH116">
        <f>IF(AND('06 Exr'!F116&lt;Tmax, NOT('06 Exr'!$H116="")),'06 Exr'!$H116,4)</f>
        <v>4</v>
      </c>
      <c r="AI116"/>
    </row>
    <row r="117" spans="1:35" ht="22.5" outlineLevel="2" x14ac:dyDescent="0.2">
      <c r="A117" s="636" t="s">
        <v>2804</v>
      </c>
      <c r="B117" s="636" t="s">
        <v>2805</v>
      </c>
      <c r="C117" s="786"/>
      <c r="D117" s="822"/>
      <c r="E117" s="822"/>
      <c r="F117" s="822"/>
      <c r="G117" s="1473">
        <v>4</v>
      </c>
      <c r="H117" s="1473">
        <v>2</v>
      </c>
      <c r="I117" s="1473"/>
      <c r="J117" s="1473" t="s">
        <v>2349</v>
      </c>
      <c r="K117" s="1458" t="s">
        <v>5650</v>
      </c>
      <c r="L117" s="1472" t="s">
        <v>7343</v>
      </c>
      <c r="M117" s="854"/>
      <c r="AA117">
        <f>IF(AND('06 Exr'!C117&gt;Tmin, NOT('06 Exr'!$I117="")),'06 Exr'!$I117,0)</f>
        <v>0</v>
      </c>
      <c r="AB117">
        <f>IF(AND('06 Exr'!D117&gt;Tmin, NOT('06 Exr'!$I117="")),'06 Exr'!$I117,0)</f>
        <v>0</v>
      </c>
      <c r="AC117">
        <f>IF(AND('06 Exr'!E117&gt;Tmin, NOT('06 Exr'!$I117="")),'06 Exr'!$I117,0)</f>
        <v>0</v>
      </c>
      <c r="AD117">
        <f>IF(AND('06 Exr'!F117&gt;Tmin, NOT('06 Exr'!$I117="")),'06 Exr'!$I117,0)</f>
        <v>0</v>
      </c>
      <c r="AE117">
        <f>IF(AND('06 Exr'!C117&lt;Tmax, NOT('06 Exr'!$H117="")),'06 Exr'!$H117,4)</f>
        <v>2</v>
      </c>
      <c r="AF117">
        <f>IF(AND('06 Exr'!D117&lt;Tmax, NOT('06 Exr'!$H117="")),'06 Exr'!$H117,4)</f>
        <v>2</v>
      </c>
      <c r="AG117">
        <f>IF(AND('06 Exr'!E117&lt;Tmax, NOT('06 Exr'!$H117="")),'06 Exr'!$H117,4)</f>
        <v>2</v>
      </c>
      <c r="AH117">
        <f>IF(AND('06 Exr'!F117&lt;Tmax, NOT('06 Exr'!$H117="")),'06 Exr'!$H117,4)</f>
        <v>2</v>
      </c>
      <c r="AI117"/>
    </row>
    <row r="118" spans="1:35" ht="22.5" outlineLevel="2" x14ac:dyDescent="0.2">
      <c r="A118" s="636" t="s">
        <v>2806</v>
      </c>
      <c r="B118" s="636" t="s">
        <v>2807</v>
      </c>
      <c r="C118" s="786"/>
      <c r="D118" s="822"/>
      <c r="E118" s="822"/>
      <c r="F118" s="822"/>
      <c r="G118" s="1473">
        <v>4</v>
      </c>
      <c r="H118" s="1473">
        <v>3</v>
      </c>
      <c r="I118" s="1473"/>
      <c r="J118" s="1473" t="s">
        <v>2329</v>
      </c>
      <c r="K118" s="1458" t="s">
        <v>5650</v>
      </c>
      <c r="L118" s="1472" t="s">
        <v>7343</v>
      </c>
      <c r="M118" s="854"/>
      <c r="AA118">
        <f>IF(AND('06 Exr'!C118&gt;Tmin, NOT('06 Exr'!$I118="")),'06 Exr'!$I118,0)</f>
        <v>0</v>
      </c>
      <c r="AB118">
        <f>IF(AND('06 Exr'!D118&gt;Tmin, NOT('06 Exr'!$I118="")),'06 Exr'!$I118,0)</f>
        <v>0</v>
      </c>
      <c r="AC118">
        <f>IF(AND('06 Exr'!E118&gt;Tmin, NOT('06 Exr'!$I118="")),'06 Exr'!$I118,0)</f>
        <v>0</v>
      </c>
      <c r="AD118">
        <f>IF(AND('06 Exr'!F118&gt;Tmin, NOT('06 Exr'!$I118="")),'06 Exr'!$I118,0)</f>
        <v>0</v>
      </c>
      <c r="AE118">
        <f>IF(AND('06 Exr'!C118&lt;Tmax, NOT('06 Exr'!$H118="")),'06 Exr'!$H118,4)</f>
        <v>3</v>
      </c>
      <c r="AF118">
        <f>IF(AND('06 Exr'!D118&lt;Tmax, NOT('06 Exr'!$H118="")),'06 Exr'!$H118,4)</f>
        <v>3</v>
      </c>
      <c r="AG118">
        <f>IF(AND('06 Exr'!E118&lt;Tmax, NOT('06 Exr'!$H118="")),'06 Exr'!$H118,4)</f>
        <v>3</v>
      </c>
      <c r="AH118">
        <f>IF(AND('06 Exr'!F118&lt;Tmax, NOT('06 Exr'!$H118="")),'06 Exr'!$H118,4)</f>
        <v>3</v>
      </c>
      <c r="AI118"/>
    </row>
    <row r="119" spans="1:35" ht="14.25" customHeight="1" outlineLevel="2" x14ac:dyDescent="0.2">
      <c r="A119" s="636" t="s">
        <v>2808</v>
      </c>
      <c r="B119" s="636" t="s">
        <v>6733</v>
      </c>
      <c r="C119" s="786"/>
      <c r="D119" s="822"/>
      <c r="E119" s="822"/>
      <c r="F119" s="822"/>
      <c r="G119" s="1473">
        <v>2</v>
      </c>
      <c r="H119" s="1473"/>
      <c r="I119" s="1473"/>
      <c r="J119" s="1473" t="s">
        <v>2349</v>
      </c>
      <c r="K119" s="1458" t="s">
        <v>5650</v>
      </c>
      <c r="L119" s="1472" t="s">
        <v>7343</v>
      </c>
      <c r="M119" s="854"/>
      <c r="AA119">
        <f>IF(AND('06 Exr'!C119&gt;Tmin, NOT('06 Exr'!$I119="")),'06 Exr'!$I119,0)</f>
        <v>0</v>
      </c>
      <c r="AB119">
        <f>IF(AND('06 Exr'!D119&gt;Tmin, NOT('06 Exr'!$I119="")),'06 Exr'!$I119,0)</f>
        <v>0</v>
      </c>
      <c r="AC119">
        <f>IF(AND('06 Exr'!E119&gt;Tmin, NOT('06 Exr'!$I119="")),'06 Exr'!$I119,0)</f>
        <v>0</v>
      </c>
      <c r="AD119">
        <f>IF(AND('06 Exr'!F119&gt;Tmin, NOT('06 Exr'!$I119="")),'06 Exr'!$I119,0)</f>
        <v>0</v>
      </c>
      <c r="AE119">
        <f>IF(AND('06 Exr'!C119&lt;Tmax, NOT('06 Exr'!$H119="")),'06 Exr'!$H119,4)</f>
        <v>4</v>
      </c>
      <c r="AF119">
        <f>IF(AND('06 Exr'!D119&lt;Tmax, NOT('06 Exr'!$H119="")),'06 Exr'!$H119,4)</f>
        <v>4</v>
      </c>
      <c r="AG119">
        <f>IF(AND('06 Exr'!E119&lt;Tmax, NOT('06 Exr'!$H119="")),'06 Exr'!$H119,4)</f>
        <v>4</v>
      </c>
      <c r="AH119">
        <f>IF(AND('06 Exr'!F119&lt;Tmax, NOT('06 Exr'!$H119="")),'06 Exr'!$H119,4)</f>
        <v>4</v>
      </c>
      <c r="AI119"/>
    </row>
    <row r="120" spans="1:35" ht="14.25" customHeight="1" outlineLevel="2" x14ac:dyDescent="0.2">
      <c r="A120" s="636" t="s">
        <v>2809</v>
      </c>
      <c r="B120" s="636" t="s">
        <v>4110</v>
      </c>
      <c r="C120" s="786"/>
      <c r="D120" s="822"/>
      <c r="E120" s="822"/>
      <c r="F120" s="822"/>
      <c r="G120" s="1473">
        <v>2</v>
      </c>
      <c r="H120" s="1473"/>
      <c r="I120" s="1473"/>
      <c r="J120" s="1473" t="s">
        <v>2349</v>
      </c>
      <c r="K120" s="1472"/>
      <c r="L120" s="1472" t="s">
        <v>7343</v>
      </c>
      <c r="M120" s="854"/>
      <c r="AA120">
        <f>IF(AND('06 Exr'!C120&gt;Tmin, NOT('06 Exr'!$I120="")),'06 Exr'!$I120,0)</f>
        <v>0</v>
      </c>
      <c r="AB120">
        <f>IF(AND('06 Exr'!D120&gt;Tmin, NOT('06 Exr'!$I120="")),'06 Exr'!$I120,0)</f>
        <v>0</v>
      </c>
      <c r="AC120">
        <f>IF(AND('06 Exr'!E120&gt;Tmin, NOT('06 Exr'!$I120="")),'06 Exr'!$I120,0)</f>
        <v>0</v>
      </c>
      <c r="AD120">
        <f>IF(AND('06 Exr'!F120&gt;Tmin, NOT('06 Exr'!$I120="")),'06 Exr'!$I120,0)</f>
        <v>0</v>
      </c>
      <c r="AE120">
        <f>IF(AND('06 Exr'!C120&lt;Tmax, NOT('06 Exr'!$H120="")),'06 Exr'!$H120,4)</f>
        <v>4</v>
      </c>
      <c r="AF120">
        <f>IF(AND('06 Exr'!D120&lt;Tmax, NOT('06 Exr'!$H120="")),'06 Exr'!$H120,4)</f>
        <v>4</v>
      </c>
      <c r="AG120">
        <f>IF(AND('06 Exr'!E120&lt;Tmax, NOT('06 Exr'!$H120="")),'06 Exr'!$H120,4)</f>
        <v>4</v>
      </c>
      <c r="AH120">
        <f>IF(AND('06 Exr'!F120&lt;Tmax, NOT('06 Exr'!$H120="")),'06 Exr'!$H120,4)</f>
        <v>4</v>
      </c>
      <c r="AI120"/>
    </row>
    <row r="121" spans="1:35" ht="22.5" outlineLevel="2" x14ac:dyDescent="0.2">
      <c r="A121" s="636" t="s">
        <v>2810</v>
      </c>
      <c r="B121" s="636" t="s">
        <v>2850</v>
      </c>
      <c r="C121" s="786"/>
      <c r="D121" s="822"/>
      <c r="E121" s="822"/>
      <c r="F121" s="822"/>
      <c r="G121" s="1473">
        <v>2</v>
      </c>
      <c r="H121" s="1473">
        <v>3</v>
      </c>
      <c r="I121" s="1473"/>
      <c r="J121" s="1473" t="s">
        <v>2109</v>
      </c>
      <c r="K121" s="1472"/>
      <c r="L121" s="1472"/>
      <c r="M121" s="854"/>
      <c r="AA121">
        <f>IF(AND('06 Exr'!C121&gt;Tmin, NOT('06 Exr'!$I121="")),'06 Exr'!$I121,0)</f>
        <v>0</v>
      </c>
      <c r="AB121">
        <f>IF(AND('06 Exr'!D121&gt;Tmin, NOT('06 Exr'!$I121="")),'06 Exr'!$I121,0)</f>
        <v>0</v>
      </c>
      <c r="AC121">
        <f>IF(AND('06 Exr'!E121&gt;Tmin, NOT('06 Exr'!$I121="")),'06 Exr'!$I121,0)</f>
        <v>0</v>
      </c>
      <c r="AD121">
        <f>IF(AND('06 Exr'!F121&gt;Tmin, NOT('06 Exr'!$I121="")),'06 Exr'!$I121,0)</f>
        <v>0</v>
      </c>
      <c r="AE121">
        <f>IF(AND('06 Exr'!C121&lt;Tmax, NOT('06 Exr'!$H121="")),'06 Exr'!$H121,4)</f>
        <v>3</v>
      </c>
      <c r="AF121">
        <f>IF(AND('06 Exr'!D121&lt;Tmax, NOT('06 Exr'!$H121="")),'06 Exr'!$H121,4)</f>
        <v>3</v>
      </c>
      <c r="AG121">
        <f>IF(AND('06 Exr'!E121&lt;Tmax, NOT('06 Exr'!$H121="")),'06 Exr'!$H121,4)</f>
        <v>3</v>
      </c>
      <c r="AH121">
        <f>IF(AND('06 Exr'!F121&lt;Tmax, NOT('06 Exr'!$H121="")),'06 Exr'!$H121,4)</f>
        <v>3</v>
      </c>
      <c r="AI121"/>
    </row>
    <row r="122" spans="1:35" outlineLevel="1" x14ac:dyDescent="0.2">
      <c r="A122" s="633" t="s">
        <v>4577</v>
      </c>
      <c r="B122" s="634" t="s">
        <v>6217</v>
      </c>
      <c r="C122" s="786"/>
      <c r="D122" s="822"/>
      <c r="E122" s="822"/>
      <c r="F122" s="822"/>
      <c r="G122" s="1473"/>
      <c r="H122" s="1473"/>
      <c r="I122" s="1473"/>
      <c r="J122" s="1473"/>
      <c r="K122" s="1472"/>
      <c r="L122" s="1472"/>
      <c r="M122" s="854"/>
      <c r="AA122"/>
      <c r="AB122"/>
      <c r="AC122"/>
      <c r="AD122"/>
      <c r="AE122"/>
      <c r="AF122"/>
      <c r="AG122"/>
      <c r="AH122"/>
      <c r="AI122"/>
    </row>
    <row r="123" spans="1:35" ht="33.75" outlineLevel="2" x14ac:dyDescent="0.2">
      <c r="A123" s="636" t="s">
        <v>2851</v>
      </c>
      <c r="B123" s="636" t="s">
        <v>5505</v>
      </c>
      <c r="C123" s="786"/>
      <c r="D123" s="822"/>
      <c r="E123" s="822"/>
      <c r="F123" s="822"/>
      <c r="G123" s="1473">
        <v>4</v>
      </c>
      <c r="H123" s="1473"/>
      <c r="I123" s="1473"/>
      <c r="J123" s="1473" t="s">
        <v>4246</v>
      </c>
      <c r="K123" s="1472"/>
      <c r="L123" s="1472"/>
      <c r="M123" s="854"/>
      <c r="AA123">
        <f>IF(AND('06 Exr'!C123&gt;Tmin, NOT('06 Exr'!$I123="")),'06 Exr'!$I123,0)</f>
        <v>0</v>
      </c>
      <c r="AB123">
        <f>IF(AND('06 Exr'!D123&gt;Tmin, NOT('06 Exr'!$I123="")),'06 Exr'!$I123,0)</f>
        <v>0</v>
      </c>
      <c r="AC123">
        <f>IF(AND('06 Exr'!E123&gt;Tmin, NOT('06 Exr'!$I123="")),'06 Exr'!$I123,0)</f>
        <v>0</v>
      </c>
      <c r="AD123">
        <f>IF(AND('06 Exr'!F123&gt;Tmin, NOT('06 Exr'!$I123="")),'06 Exr'!$I123,0)</f>
        <v>0</v>
      </c>
      <c r="AE123">
        <f>IF(AND('06 Exr'!C123&lt;Tmax, NOT('06 Exr'!$H123="")),'06 Exr'!$H123,4)</f>
        <v>4</v>
      </c>
      <c r="AF123">
        <f>IF(AND('06 Exr'!D123&lt;Tmax, NOT('06 Exr'!$H123="")),'06 Exr'!$H123,4)</f>
        <v>4</v>
      </c>
      <c r="AG123">
        <f>IF(AND('06 Exr'!E123&lt;Tmax, NOT('06 Exr'!$H123="")),'06 Exr'!$H123,4)</f>
        <v>4</v>
      </c>
      <c r="AH123">
        <f>IF(AND('06 Exr'!F123&lt;Tmax, NOT('06 Exr'!$H123="")),'06 Exr'!$H123,4)</f>
        <v>4</v>
      </c>
      <c r="AI123"/>
    </row>
    <row r="124" spans="1:35" ht="22.5" outlineLevel="2" x14ac:dyDescent="0.2">
      <c r="A124" s="636" t="s">
        <v>6704</v>
      </c>
      <c r="B124" s="636" t="s">
        <v>6029</v>
      </c>
      <c r="C124" s="786"/>
      <c r="D124" s="822"/>
      <c r="E124" s="822"/>
      <c r="F124" s="822"/>
      <c r="G124" s="1473">
        <v>2</v>
      </c>
      <c r="H124" s="1473">
        <v>2</v>
      </c>
      <c r="I124" s="1473"/>
      <c r="J124" s="1473" t="s">
        <v>1592</v>
      </c>
      <c r="K124" s="1472"/>
      <c r="L124" s="1472"/>
      <c r="M124" s="854"/>
      <c r="AA124">
        <f>IF(AND('06 Exr'!C124&gt;Tmin, NOT('06 Exr'!$I124="")),'06 Exr'!$I124,0)</f>
        <v>0</v>
      </c>
      <c r="AB124">
        <f>IF(AND('06 Exr'!D124&gt;Tmin, NOT('06 Exr'!$I124="")),'06 Exr'!$I124,0)</f>
        <v>0</v>
      </c>
      <c r="AC124">
        <f>IF(AND('06 Exr'!E124&gt;Tmin, NOT('06 Exr'!$I124="")),'06 Exr'!$I124,0)</f>
        <v>0</v>
      </c>
      <c r="AD124">
        <f>IF(AND('06 Exr'!F124&gt;Tmin, NOT('06 Exr'!$I124="")),'06 Exr'!$I124,0)</f>
        <v>0</v>
      </c>
      <c r="AE124">
        <f>IF(AND('06 Exr'!C124&lt;Tmax, NOT('06 Exr'!$H124="")),'06 Exr'!$H124,4)</f>
        <v>2</v>
      </c>
      <c r="AF124">
        <f>IF(AND('06 Exr'!D124&lt;Tmax, NOT('06 Exr'!$H124="")),'06 Exr'!$H124,4)</f>
        <v>2</v>
      </c>
      <c r="AG124">
        <f>IF(AND('06 Exr'!E124&lt;Tmax, NOT('06 Exr'!$H124="")),'06 Exr'!$H124,4)</f>
        <v>2</v>
      </c>
      <c r="AH124">
        <f>IF(AND('06 Exr'!F124&lt;Tmax, NOT('06 Exr'!$H124="")),'06 Exr'!$H124,4)</f>
        <v>2</v>
      </c>
      <c r="AI124"/>
    </row>
    <row r="125" spans="1:35" outlineLevel="2" x14ac:dyDescent="0.2">
      <c r="A125" s="636" t="s">
        <v>6705</v>
      </c>
      <c r="B125" s="636" t="s">
        <v>6030</v>
      </c>
      <c r="C125" s="786"/>
      <c r="D125" s="822"/>
      <c r="E125" s="822"/>
      <c r="F125" s="822"/>
      <c r="G125" s="1473">
        <v>2</v>
      </c>
      <c r="H125" s="1473">
        <v>2</v>
      </c>
      <c r="I125" s="1473"/>
      <c r="J125" s="1473" t="s">
        <v>1592</v>
      </c>
      <c r="K125" s="1472"/>
      <c r="L125" s="1472"/>
      <c r="M125" s="854"/>
      <c r="AA125">
        <f>IF(AND('06 Exr'!C125&gt;Tmin, NOT('06 Exr'!$I125="")),'06 Exr'!$I125,0)</f>
        <v>0</v>
      </c>
      <c r="AB125">
        <f>IF(AND('06 Exr'!D125&gt;Tmin, NOT('06 Exr'!$I125="")),'06 Exr'!$I125,0)</f>
        <v>0</v>
      </c>
      <c r="AC125">
        <f>IF(AND('06 Exr'!E125&gt;Tmin, NOT('06 Exr'!$I125="")),'06 Exr'!$I125,0)</f>
        <v>0</v>
      </c>
      <c r="AD125">
        <f>IF(AND('06 Exr'!F125&gt;Tmin, NOT('06 Exr'!$I125="")),'06 Exr'!$I125,0)</f>
        <v>0</v>
      </c>
      <c r="AE125">
        <f>IF(AND('06 Exr'!C125&lt;Tmax, NOT('06 Exr'!$H125="")),'06 Exr'!$H125,4)</f>
        <v>2</v>
      </c>
      <c r="AF125">
        <f>IF(AND('06 Exr'!D125&lt;Tmax, NOT('06 Exr'!$H125="")),'06 Exr'!$H125,4)</f>
        <v>2</v>
      </c>
      <c r="AG125">
        <f>IF(AND('06 Exr'!E125&lt;Tmax, NOT('06 Exr'!$H125="")),'06 Exr'!$H125,4)</f>
        <v>2</v>
      </c>
      <c r="AH125">
        <f>IF(AND('06 Exr'!F125&lt;Tmax, NOT('06 Exr'!$H125="")),'06 Exr'!$H125,4)</f>
        <v>2</v>
      </c>
      <c r="AI125"/>
    </row>
    <row r="126" spans="1:35" outlineLevel="2" x14ac:dyDescent="0.2">
      <c r="A126" s="636" t="s">
        <v>6574</v>
      </c>
      <c r="B126" s="636" t="s">
        <v>6575</v>
      </c>
      <c r="C126" s="786"/>
      <c r="D126" s="822"/>
      <c r="E126" s="822"/>
      <c r="F126" s="822"/>
      <c r="G126" s="1473">
        <v>2</v>
      </c>
      <c r="H126" s="1473">
        <v>2</v>
      </c>
      <c r="I126" s="1473"/>
      <c r="J126" s="1473" t="s">
        <v>2329</v>
      </c>
      <c r="K126" s="1472"/>
      <c r="L126" s="1472"/>
      <c r="M126" s="854"/>
      <c r="AA126">
        <f>IF(AND('06 Exr'!C126&gt;Tmin, NOT('06 Exr'!$I126="")),'06 Exr'!$I126,0)</f>
        <v>0</v>
      </c>
      <c r="AB126">
        <f>IF(AND('06 Exr'!D126&gt;Tmin, NOT('06 Exr'!$I126="")),'06 Exr'!$I126,0)</f>
        <v>0</v>
      </c>
      <c r="AC126">
        <f>IF(AND('06 Exr'!E126&gt;Tmin, NOT('06 Exr'!$I126="")),'06 Exr'!$I126,0)</f>
        <v>0</v>
      </c>
      <c r="AD126">
        <f>IF(AND('06 Exr'!F126&gt;Tmin, NOT('06 Exr'!$I126="")),'06 Exr'!$I126,0)</f>
        <v>0</v>
      </c>
      <c r="AE126">
        <f>IF(AND('06 Exr'!C126&lt;Tmax, NOT('06 Exr'!$H126="")),'06 Exr'!$H126,4)</f>
        <v>2</v>
      </c>
      <c r="AF126">
        <f>IF(AND('06 Exr'!D126&lt;Tmax, NOT('06 Exr'!$H126="")),'06 Exr'!$H126,4)</f>
        <v>2</v>
      </c>
      <c r="AG126">
        <f>IF(AND('06 Exr'!E126&lt;Tmax, NOT('06 Exr'!$H126="")),'06 Exr'!$H126,4)</f>
        <v>2</v>
      </c>
      <c r="AH126">
        <f>IF(AND('06 Exr'!F126&lt;Tmax, NOT('06 Exr'!$H126="")),'06 Exr'!$H126,4)</f>
        <v>2</v>
      </c>
      <c r="AI126"/>
    </row>
    <row r="127" spans="1:35" ht="22.5" outlineLevel="2" x14ac:dyDescent="0.2">
      <c r="A127" s="636" t="s">
        <v>6576</v>
      </c>
      <c r="B127" s="636" t="s">
        <v>2883</v>
      </c>
      <c r="C127" s="786"/>
      <c r="D127" s="822"/>
      <c r="E127" s="822"/>
      <c r="F127" s="822"/>
      <c r="G127" s="1473">
        <v>4</v>
      </c>
      <c r="H127" s="1473">
        <v>2</v>
      </c>
      <c r="I127" s="1473"/>
      <c r="J127" s="1473" t="s">
        <v>2329</v>
      </c>
      <c r="K127" s="1472"/>
      <c r="L127" s="1472"/>
      <c r="M127" s="854"/>
      <c r="AA127">
        <f>IF(AND('06 Exr'!C127&gt;Tmin, NOT('06 Exr'!$I127="")),'06 Exr'!$I127,0)</f>
        <v>0</v>
      </c>
      <c r="AB127">
        <f>IF(AND('06 Exr'!D127&gt;Tmin, NOT('06 Exr'!$I127="")),'06 Exr'!$I127,0)</f>
        <v>0</v>
      </c>
      <c r="AC127">
        <f>IF(AND('06 Exr'!E127&gt;Tmin, NOT('06 Exr'!$I127="")),'06 Exr'!$I127,0)</f>
        <v>0</v>
      </c>
      <c r="AD127">
        <f>IF(AND('06 Exr'!F127&gt;Tmin, NOT('06 Exr'!$I127="")),'06 Exr'!$I127,0)</f>
        <v>0</v>
      </c>
      <c r="AE127">
        <f>IF(AND('06 Exr'!C127&lt;Tmax, NOT('06 Exr'!$H127="")),'06 Exr'!$H127,4)</f>
        <v>2</v>
      </c>
      <c r="AF127">
        <f>IF(AND('06 Exr'!D127&lt;Tmax, NOT('06 Exr'!$H127="")),'06 Exr'!$H127,4)</f>
        <v>2</v>
      </c>
      <c r="AG127">
        <f>IF(AND('06 Exr'!E127&lt;Tmax, NOT('06 Exr'!$H127="")),'06 Exr'!$H127,4)</f>
        <v>2</v>
      </c>
      <c r="AH127">
        <f>IF(AND('06 Exr'!F127&lt;Tmax, NOT('06 Exr'!$H127="")),'06 Exr'!$H127,4)</f>
        <v>2</v>
      </c>
      <c r="AI127"/>
    </row>
    <row r="128" spans="1:35" outlineLevel="2" x14ac:dyDescent="0.2">
      <c r="A128" s="636" t="s">
        <v>2884</v>
      </c>
      <c r="B128" s="636" t="s">
        <v>1147</v>
      </c>
      <c r="C128" s="786"/>
      <c r="D128" s="822"/>
      <c r="E128" s="822"/>
      <c r="F128" s="822"/>
      <c r="G128" s="1473">
        <v>2</v>
      </c>
      <c r="H128" s="1473">
        <v>2</v>
      </c>
      <c r="I128" s="1473"/>
      <c r="J128" s="1473" t="s">
        <v>2109</v>
      </c>
      <c r="K128" s="1472"/>
      <c r="L128" s="1472"/>
      <c r="M128" s="854"/>
      <c r="AA128">
        <f>IF(AND('06 Exr'!C128&gt;Tmin, NOT('06 Exr'!$I128="")),'06 Exr'!$I128,0)</f>
        <v>0</v>
      </c>
      <c r="AB128">
        <f>IF(AND('06 Exr'!D128&gt;Tmin, NOT('06 Exr'!$I128="")),'06 Exr'!$I128,0)</f>
        <v>0</v>
      </c>
      <c r="AC128">
        <f>IF(AND('06 Exr'!E128&gt;Tmin, NOT('06 Exr'!$I128="")),'06 Exr'!$I128,0)</f>
        <v>0</v>
      </c>
      <c r="AD128">
        <f>IF(AND('06 Exr'!F128&gt;Tmin, NOT('06 Exr'!$I128="")),'06 Exr'!$I128,0)</f>
        <v>0</v>
      </c>
      <c r="AE128">
        <f>IF(AND('06 Exr'!C128&lt;Tmax, NOT('06 Exr'!$H128="")),'06 Exr'!$H128,4)</f>
        <v>2</v>
      </c>
      <c r="AF128">
        <f>IF(AND('06 Exr'!D128&lt;Tmax, NOT('06 Exr'!$H128="")),'06 Exr'!$H128,4)</f>
        <v>2</v>
      </c>
      <c r="AG128">
        <f>IF(AND('06 Exr'!E128&lt;Tmax, NOT('06 Exr'!$H128="")),'06 Exr'!$H128,4)</f>
        <v>2</v>
      </c>
      <c r="AH128">
        <f>IF(AND('06 Exr'!F128&lt;Tmax, NOT('06 Exr'!$H128="")),'06 Exr'!$H128,4)</f>
        <v>2</v>
      </c>
      <c r="AI128"/>
    </row>
    <row r="129" spans="1:35" s="643" customFormat="1" x14ac:dyDescent="0.2">
      <c r="A129" s="644" t="s">
        <v>1148</v>
      </c>
      <c r="B129" s="644" t="s">
        <v>1149</v>
      </c>
      <c r="C129" s="786"/>
      <c r="D129" s="822"/>
      <c r="E129" s="822"/>
      <c r="F129" s="822"/>
      <c r="G129" s="1474"/>
      <c r="H129" s="1473"/>
      <c r="I129" s="1473"/>
      <c r="J129" s="1473"/>
      <c r="K129" s="1472"/>
      <c r="L129" s="1472"/>
      <c r="M129" s="854"/>
      <c r="N129" s="679"/>
      <c r="O129" s="679"/>
      <c r="P129" s="679"/>
      <c r="Q129" s="679"/>
      <c r="R129" s="679"/>
      <c r="S129" s="679"/>
      <c r="T129" s="679"/>
      <c r="U129" s="679"/>
      <c r="V129" s="679"/>
      <c r="W129" s="679"/>
      <c r="X129" s="679"/>
      <c r="Y129" s="679"/>
      <c r="Z129" s="679"/>
      <c r="AA129"/>
      <c r="AB129"/>
      <c r="AC129"/>
      <c r="AD129"/>
      <c r="AE129"/>
      <c r="AF129"/>
      <c r="AG129"/>
      <c r="AH129"/>
      <c r="AI129"/>
    </row>
    <row r="130" spans="1:35" s="643" customFormat="1" outlineLevel="1" x14ac:dyDescent="0.2">
      <c r="A130" s="633" t="s">
        <v>5493</v>
      </c>
      <c r="B130" s="634" t="s">
        <v>4579</v>
      </c>
      <c r="C130" s="786"/>
      <c r="D130" s="822"/>
      <c r="E130" s="822"/>
      <c r="F130" s="822"/>
      <c r="G130" s="1474"/>
      <c r="H130" s="1473"/>
      <c r="I130" s="1473"/>
      <c r="J130" s="1473"/>
      <c r="K130" s="1472"/>
      <c r="L130" s="1472"/>
      <c r="M130" s="854"/>
      <c r="N130" s="679"/>
      <c r="O130" s="679"/>
      <c r="P130" s="679"/>
      <c r="Q130" s="679"/>
      <c r="R130" s="679"/>
      <c r="S130" s="679"/>
      <c r="T130" s="679"/>
      <c r="U130" s="679"/>
      <c r="V130" s="679"/>
      <c r="W130" s="679"/>
      <c r="X130" s="679"/>
      <c r="Y130" s="679"/>
      <c r="Z130" s="679"/>
      <c r="AA130"/>
      <c r="AB130"/>
      <c r="AC130"/>
      <c r="AD130"/>
      <c r="AE130"/>
      <c r="AF130"/>
      <c r="AG130"/>
      <c r="AH130"/>
      <c r="AI130"/>
    </row>
    <row r="131" spans="1:35" s="643" customFormat="1" ht="22.5" outlineLevel="2" x14ac:dyDescent="0.2">
      <c r="A131" s="636" t="s">
        <v>1150</v>
      </c>
      <c r="B131" s="636" t="s">
        <v>6012</v>
      </c>
      <c r="C131" s="786"/>
      <c r="D131" s="822"/>
      <c r="E131" s="822"/>
      <c r="F131" s="822"/>
      <c r="G131" s="1473">
        <v>4</v>
      </c>
      <c r="H131" s="1473"/>
      <c r="I131" s="1473"/>
      <c r="J131" s="1473" t="s">
        <v>1592</v>
      </c>
      <c r="K131" s="1472" t="s">
        <v>6880</v>
      </c>
      <c r="L131" s="1472" t="s">
        <v>7344</v>
      </c>
      <c r="M131" s="854"/>
      <c r="N131" s="679"/>
      <c r="O131" s="679"/>
      <c r="P131" s="679"/>
      <c r="Q131" s="679"/>
      <c r="R131" s="679"/>
      <c r="S131" s="679"/>
      <c r="T131" s="679"/>
      <c r="U131" s="679"/>
      <c r="V131" s="679"/>
      <c r="W131" s="679"/>
      <c r="X131" s="679"/>
      <c r="Y131" s="679"/>
      <c r="Z131" s="679"/>
      <c r="AA131">
        <f>IF(AND('06 Exr'!C131&gt;Tmin, NOT('06 Exr'!$I131="")),'06 Exr'!$I131,0)</f>
        <v>0</v>
      </c>
      <c r="AB131">
        <f>IF(AND('06 Exr'!D131&gt;Tmin, NOT('06 Exr'!$I131="")),'06 Exr'!$I131,0)</f>
        <v>0</v>
      </c>
      <c r="AC131">
        <f>IF(AND('06 Exr'!E131&gt;Tmin, NOT('06 Exr'!$I131="")),'06 Exr'!$I131,0)</f>
        <v>0</v>
      </c>
      <c r="AD131">
        <f>IF(AND('06 Exr'!F131&gt;Tmin, NOT('06 Exr'!$I131="")),'06 Exr'!$I131,0)</f>
        <v>0</v>
      </c>
      <c r="AE131">
        <f>IF(AND('06 Exr'!C131&lt;Tmax, NOT('06 Exr'!$H131="")),'06 Exr'!$H131,4)</f>
        <v>4</v>
      </c>
      <c r="AF131">
        <f>IF(AND('06 Exr'!D131&lt;Tmax, NOT('06 Exr'!$H131="")),'06 Exr'!$H131,4)</f>
        <v>4</v>
      </c>
      <c r="AG131">
        <f>IF(AND('06 Exr'!E131&lt;Tmax, NOT('06 Exr'!$H131="")),'06 Exr'!$H131,4)</f>
        <v>4</v>
      </c>
      <c r="AH131">
        <f>IF(AND('06 Exr'!F131&lt;Tmax, NOT('06 Exr'!$H131="")),'06 Exr'!$H131,4)</f>
        <v>4</v>
      </c>
      <c r="AI131"/>
    </row>
    <row r="132" spans="1:35" s="643" customFormat="1" ht="57" customHeight="1" outlineLevel="2" x14ac:dyDescent="0.2">
      <c r="A132" s="636" t="s">
        <v>1151</v>
      </c>
      <c r="B132" s="636" t="s">
        <v>6783</v>
      </c>
      <c r="C132" s="786"/>
      <c r="D132" s="822"/>
      <c r="E132" s="822"/>
      <c r="F132" s="822"/>
      <c r="G132" s="1473">
        <v>3</v>
      </c>
      <c r="H132" s="1473"/>
      <c r="I132" s="1473"/>
      <c r="J132" s="1473" t="s">
        <v>1592</v>
      </c>
      <c r="K132" s="1472" t="s">
        <v>6880</v>
      </c>
      <c r="L132" s="1472" t="s">
        <v>7344</v>
      </c>
      <c r="M132" s="854"/>
      <c r="N132" s="679"/>
      <c r="O132" s="679"/>
      <c r="P132" s="679"/>
      <c r="Q132" s="679"/>
      <c r="R132" s="679"/>
      <c r="S132" s="679"/>
      <c r="T132" s="679"/>
      <c r="U132" s="679"/>
      <c r="V132" s="679"/>
      <c r="W132" s="679"/>
      <c r="X132" s="679"/>
      <c r="Y132" s="679"/>
      <c r="Z132" s="679"/>
      <c r="AA132">
        <f>IF(AND('06 Exr'!C132&gt;Tmin, NOT('06 Exr'!$I132="")),'06 Exr'!$I132,0)</f>
        <v>0</v>
      </c>
      <c r="AB132">
        <f>IF(AND('06 Exr'!D132&gt;Tmin, NOT('06 Exr'!$I132="")),'06 Exr'!$I132,0)</f>
        <v>0</v>
      </c>
      <c r="AC132">
        <f>IF(AND('06 Exr'!E132&gt;Tmin, NOT('06 Exr'!$I132="")),'06 Exr'!$I132,0)</f>
        <v>0</v>
      </c>
      <c r="AD132">
        <f>IF(AND('06 Exr'!F132&gt;Tmin, NOT('06 Exr'!$I132="")),'06 Exr'!$I132,0)</f>
        <v>0</v>
      </c>
      <c r="AE132">
        <f>IF(AND('06 Exr'!C132&lt;Tmax, NOT('06 Exr'!$H132="")),'06 Exr'!$H132,4)</f>
        <v>4</v>
      </c>
      <c r="AF132">
        <f>IF(AND('06 Exr'!D132&lt;Tmax, NOT('06 Exr'!$H132="")),'06 Exr'!$H132,4)</f>
        <v>4</v>
      </c>
      <c r="AG132">
        <f>IF(AND('06 Exr'!E132&lt;Tmax, NOT('06 Exr'!$H132="")),'06 Exr'!$H132,4)</f>
        <v>4</v>
      </c>
      <c r="AH132">
        <f>IF(AND('06 Exr'!F132&lt;Tmax, NOT('06 Exr'!$H132="")),'06 Exr'!$H132,4)</f>
        <v>4</v>
      </c>
      <c r="AI132"/>
    </row>
    <row r="133" spans="1:35" s="643" customFormat="1" outlineLevel="2" x14ac:dyDescent="0.2">
      <c r="A133" s="636" t="s">
        <v>2858</v>
      </c>
      <c r="B133" s="636" t="s">
        <v>2859</v>
      </c>
      <c r="C133" s="786"/>
      <c r="D133" s="822"/>
      <c r="E133" s="822"/>
      <c r="F133" s="822"/>
      <c r="G133" s="1473">
        <v>2</v>
      </c>
      <c r="H133" s="1473"/>
      <c r="I133" s="1473"/>
      <c r="J133" s="1473" t="s">
        <v>1592</v>
      </c>
      <c r="K133" s="1472" t="s">
        <v>6880</v>
      </c>
      <c r="L133" s="1472" t="s">
        <v>7344</v>
      </c>
      <c r="M133" s="854"/>
      <c r="N133" s="679"/>
      <c r="O133" s="679"/>
      <c r="P133" s="679"/>
      <c r="Q133" s="679"/>
      <c r="R133" s="679"/>
      <c r="S133" s="679"/>
      <c r="T133" s="679"/>
      <c r="U133" s="679"/>
      <c r="V133" s="679"/>
      <c r="W133" s="679"/>
      <c r="X133" s="679"/>
      <c r="Y133" s="679"/>
      <c r="Z133" s="679"/>
      <c r="AA133">
        <f>IF(AND('06 Exr'!C133&gt;Tmin, NOT('06 Exr'!$I133="")),'06 Exr'!$I133,0)</f>
        <v>0</v>
      </c>
      <c r="AB133">
        <f>IF(AND('06 Exr'!D133&gt;Tmin, NOT('06 Exr'!$I133="")),'06 Exr'!$I133,0)</f>
        <v>0</v>
      </c>
      <c r="AC133">
        <f>IF(AND('06 Exr'!E133&gt;Tmin, NOT('06 Exr'!$I133="")),'06 Exr'!$I133,0)</f>
        <v>0</v>
      </c>
      <c r="AD133">
        <f>IF(AND('06 Exr'!F133&gt;Tmin, NOT('06 Exr'!$I133="")),'06 Exr'!$I133,0)</f>
        <v>0</v>
      </c>
      <c r="AE133">
        <f>IF(AND('06 Exr'!C133&lt;Tmax, NOT('06 Exr'!$H133="")),'06 Exr'!$H133,4)</f>
        <v>4</v>
      </c>
      <c r="AF133">
        <f>IF(AND('06 Exr'!D133&lt;Tmax, NOT('06 Exr'!$H133="")),'06 Exr'!$H133,4)</f>
        <v>4</v>
      </c>
      <c r="AG133">
        <f>IF(AND('06 Exr'!E133&lt;Tmax, NOT('06 Exr'!$H133="")),'06 Exr'!$H133,4)</f>
        <v>4</v>
      </c>
      <c r="AH133">
        <f>IF(AND('06 Exr'!F133&lt;Tmax, NOT('06 Exr'!$H133="")),'06 Exr'!$H133,4)</f>
        <v>4</v>
      </c>
      <c r="AI133"/>
    </row>
    <row r="134" spans="1:35" s="643" customFormat="1" outlineLevel="2" x14ac:dyDescent="0.2">
      <c r="A134" s="636" t="s">
        <v>2860</v>
      </c>
      <c r="B134" s="636" t="s">
        <v>2861</v>
      </c>
      <c r="C134" s="786"/>
      <c r="D134" s="822"/>
      <c r="E134" s="822"/>
      <c r="F134" s="822"/>
      <c r="G134" s="1473">
        <v>2</v>
      </c>
      <c r="H134" s="1474"/>
      <c r="I134" s="1474"/>
      <c r="J134" s="1473" t="s">
        <v>2329</v>
      </c>
      <c r="K134" s="1472" t="s">
        <v>6880</v>
      </c>
      <c r="L134" s="1472" t="s">
        <v>7344</v>
      </c>
      <c r="M134" s="854"/>
      <c r="N134" s="679"/>
      <c r="O134" s="679"/>
      <c r="P134" s="679"/>
      <c r="Q134" s="679"/>
      <c r="R134" s="679"/>
      <c r="S134" s="679"/>
      <c r="T134" s="679"/>
      <c r="U134" s="679"/>
      <c r="V134" s="679"/>
      <c r="W134" s="679"/>
      <c r="X134" s="679"/>
      <c r="Y134" s="679"/>
      <c r="Z134" s="679"/>
      <c r="AA134">
        <f>IF(AND('06 Exr'!C134&gt;Tmin, NOT('06 Exr'!$I134="")),'06 Exr'!$I134,0)</f>
        <v>0</v>
      </c>
      <c r="AB134">
        <f>IF(AND('06 Exr'!D134&gt;Tmin, NOT('06 Exr'!$I134="")),'06 Exr'!$I134,0)</f>
        <v>0</v>
      </c>
      <c r="AC134">
        <f>IF(AND('06 Exr'!E134&gt;Tmin, NOT('06 Exr'!$I134="")),'06 Exr'!$I134,0)</f>
        <v>0</v>
      </c>
      <c r="AD134">
        <f>IF(AND('06 Exr'!F134&gt;Tmin, NOT('06 Exr'!$I134="")),'06 Exr'!$I134,0)</f>
        <v>0</v>
      </c>
      <c r="AE134">
        <f>IF(AND('06 Exr'!C134&lt;Tmax, NOT('06 Exr'!$H134="")),'06 Exr'!$H134,4)</f>
        <v>4</v>
      </c>
      <c r="AF134">
        <f>IF(AND('06 Exr'!D134&lt;Tmax, NOT('06 Exr'!$H134="")),'06 Exr'!$H134,4)</f>
        <v>4</v>
      </c>
      <c r="AG134">
        <f>IF(AND('06 Exr'!E134&lt;Tmax, NOT('06 Exr'!$H134="")),'06 Exr'!$H134,4)</f>
        <v>4</v>
      </c>
      <c r="AH134">
        <f>IF(AND('06 Exr'!F134&lt;Tmax, NOT('06 Exr'!$H134="")),'06 Exr'!$H134,4)</f>
        <v>4</v>
      </c>
      <c r="AI134"/>
    </row>
    <row r="135" spans="1:35" ht="22.5" outlineLevel="2" x14ac:dyDescent="0.2">
      <c r="A135" s="636" t="s">
        <v>2862</v>
      </c>
      <c r="B135" s="636" t="s">
        <v>4997</v>
      </c>
      <c r="C135" s="786"/>
      <c r="D135" s="822"/>
      <c r="E135" s="822"/>
      <c r="F135" s="822"/>
      <c r="G135" s="1473">
        <v>2</v>
      </c>
      <c r="H135" s="1474"/>
      <c r="I135" s="1474"/>
      <c r="J135" s="1473" t="s">
        <v>1592</v>
      </c>
      <c r="K135" s="1472"/>
      <c r="L135" s="1472" t="s">
        <v>7345</v>
      </c>
      <c r="M135" s="854"/>
      <c r="AA135">
        <f>IF(AND('06 Exr'!C135&gt;Tmin, NOT('06 Exr'!$I135="")),'06 Exr'!$I135,0)</f>
        <v>0</v>
      </c>
      <c r="AB135">
        <f>IF(AND('06 Exr'!D135&gt;Tmin, NOT('06 Exr'!$I135="")),'06 Exr'!$I135,0)</f>
        <v>0</v>
      </c>
      <c r="AC135">
        <f>IF(AND('06 Exr'!E135&gt;Tmin, NOT('06 Exr'!$I135="")),'06 Exr'!$I135,0)</f>
        <v>0</v>
      </c>
      <c r="AD135">
        <f>IF(AND('06 Exr'!F135&gt;Tmin, NOT('06 Exr'!$I135="")),'06 Exr'!$I135,0)</f>
        <v>0</v>
      </c>
      <c r="AE135">
        <f>IF(AND('06 Exr'!C135&lt;Tmax, NOT('06 Exr'!$H135="")),'06 Exr'!$H135,4)</f>
        <v>4</v>
      </c>
      <c r="AF135">
        <f>IF(AND('06 Exr'!D135&lt;Tmax, NOT('06 Exr'!$H135="")),'06 Exr'!$H135,4)</f>
        <v>4</v>
      </c>
      <c r="AG135">
        <f>IF(AND('06 Exr'!E135&lt;Tmax, NOT('06 Exr'!$H135="")),'06 Exr'!$H135,4)</f>
        <v>4</v>
      </c>
      <c r="AH135">
        <f>IF(AND('06 Exr'!F135&lt;Tmax, NOT('06 Exr'!$H135="")),'06 Exr'!$H135,4)</f>
        <v>4</v>
      </c>
      <c r="AI135"/>
    </row>
    <row r="136" spans="1:35" s="643" customFormat="1" outlineLevel="1" x14ac:dyDescent="0.2">
      <c r="A136" s="633" t="s">
        <v>5494</v>
      </c>
      <c r="B136" s="634" t="s">
        <v>4580</v>
      </c>
      <c r="C136" s="786"/>
      <c r="D136" s="822"/>
      <c r="E136" s="822"/>
      <c r="F136" s="822"/>
      <c r="G136" s="1473"/>
      <c r="H136" s="1474"/>
      <c r="I136" s="1474"/>
      <c r="J136" s="1474"/>
      <c r="K136" s="1472"/>
      <c r="L136" s="1472"/>
      <c r="M136" s="854"/>
      <c r="N136" s="679"/>
      <c r="O136" s="679"/>
      <c r="P136" s="679"/>
      <c r="Q136" s="679"/>
      <c r="R136" s="679"/>
      <c r="S136" s="679"/>
      <c r="T136" s="679"/>
      <c r="U136" s="679"/>
      <c r="V136" s="679"/>
      <c r="W136" s="679"/>
      <c r="X136" s="679"/>
      <c r="Y136" s="679"/>
      <c r="Z136" s="679"/>
      <c r="AA136"/>
      <c r="AB136"/>
      <c r="AC136"/>
      <c r="AD136"/>
      <c r="AE136"/>
      <c r="AF136"/>
      <c r="AG136"/>
      <c r="AH136"/>
      <c r="AI136"/>
    </row>
    <row r="137" spans="1:35" s="643" customFormat="1" ht="22.5" outlineLevel="2" x14ac:dyDescent="0.2">
      <c r="A137" s="636" t="s">
        <v>2863</v>
      </c>
      <c r="B137" s="636" t="s">
        <v>6784</v>
      </c>
      <c r="C137" s="786"/>
      <c r="D137" s="822"/>
      <c r="E137" s="822"/>
      <c r="F137" s="822"/>
      <c r="G137" s="1473">
        <v>3</v>
      </c>
      <c r="H137" s="1474"/>
      <c r="I137" s="1474"/>
      <c r="J137" s="1473" t="s">
        <v>1592</v>
      </c>
      <c r="K137" s="1472"/>
      <c r="L137" s="1472" t="s">
        <v>7345</v>
      </c>
      <c r="M137" s="854"/>
      <c r="N137" s="679"/>
      <c r="O137" s="679"/>
      <c r="P137" s="679"/>
      <c r="Q137" s="679"/>
      <c r="R137" s="679"/>
      <c r="S137" s="679"/>
      <c r="T137" s="679"/>
      <c r="U137" s="679"/>
      <c r="V137" s="679"/>
      <c r="W137" s="679"/>
      <c r="X137" s="679"/>
      <c r="Y137" s="679"/>
      <c r="Z137" s="679"/>
      <c r="AA137">
        <f>IF(AND('06 Exr'!C137&gt;Tmin, NOT('06 Exr'!$I137="")),'06 Exr'!$I137,0)</f>
        <v>0</v>
      </c>
      <c r="AB137">
        <f>IF(AND('06 Exr'!D137&gt;Tmin, NOT('06 Exr'!$I137="")),'06 Exr'!$I137,0)</f>
        <v>0</v>
      </c>
      <c r="AC137">
        <f>IF(AND('06 Exr'!E137&gt;Tmin, NOT('06 Exr'!$I137="")),'06 Exr'!$I137,0)</f>
        <v>0</v>
      </c>
      <c r="AD137">
        <f>IF(AND('06 Exr'!F137&gt;Tmin, NOT('06 Exr'!$I137="")),'06 Exr'!$I137,0)</f>
        <v>0</v>
      </c>
      <c r="AE137">
        <f>IF(AND('06 Exr'!C137&lt;Tmax, NOT('06 Exr'!$H137="")),'06 Exr'!$H137,4)</f>
        <v>4</v>
      </c>
      <c r="AF137">
        <f>IF(AND('06 Exr'!D137&lt;Tmax, NOT('06 Exr'!$H137="")),'06 Exr'!$H137,4)</f>
        <v>4</v>
      </c>
      <c r="AG137">
        <f>IF(AND('06 Exr'!E137&lt;Tmax, NOT('06 Exr'!$H137="")),'06 Exr'!$H137,4)</f>
        <v>4</v>
      </c>
      <c r="AH137">
        <f>IF(AND('06 Exr'!F137&lt;Tmax, NOT('06 Exr'!$H137="")),'06 Exr'!$H137,4)</f>
        <v>4</v>
      </c>
      <c r="AI137"/>
    </row>
    <row r="138" spans="1:35" s="643" customFormat="1" outlineLevel="2" x14ac:dyDescent="0.2">
      <c r="A138" s="636" t="s">
        <v>6201</v>
      </c>
      <c r="B138" s="636" t="s">
        <v>6202</v>
      </c>
      <c r="C138" s="786"/>
      <c r="D138" s="822"/>
      <c r="E138" s="822"/>
      <c r="F138" s="822"/>
      <c r="G138" s="1473">
        <v>3</v>
      </c>
      <c r="H138" s="1474"/>
      <c r="I138" s="1474"/>
      <c r="J138" s="1473" t="s">
        <v>1592</v>
      </c>
      <c r="K138" s="1472"/>
      <c r="L138" s="1472" t="s">
        <v>7345</v>
      </c>
      <c r="M138" s="854"/>
      <c r="N138" s="679"/>
      <c r="O138" s="679"/>
      <c r="P138" s="679"/>
      <c r="Q138" s="679"/>
      <c r="R138" s="679"/>
      <c r="S138" s="679"/>
      <c r="T138" s="679"/>
      <c r="U138" s="679"/>
      <c r="V138" s="679"/>
      <c r="W138" s="679"/>
      <c r="X138" s="679"/>
      <c r="Y138" s="679"/>
      <c r="Z138" s="679"/>
      <c r="AA138">
        <f>IF(AND('06 Exr'!C138&gt;Tmin, NOT('06 Exr'!$I138="")),'06 Exr'!$I138,0)</f>
        <v>0</v>
      </c>
      <c r="AB138">
        <f>IF(AND('06 Exr'!D138&gt;Tmin, NOT('06 Exr'!$I138="")),'06 Exr'!$I138,0)</f>
        <v>0</v>
      </c>
      <c r="AC138">
        <f>IF(AND('06 Exr'!E138&gt;Tmin, NOT('06 Exr'!$I138="")),'06 Exr'!$I138,0)</f>
        <v>0</v>
      </c>
      <c r="AD138">
        <f>IF(AND('06 Exr'!F138&gt;Tmin, NOT('06 Exr'!$I138="")),'06 Exr'!$I138,0)</f>
        <v>0</v>
      </c>
      <c r="AE138">
        <f>IF(AND('06 Exr'!C138&lt;Tmax, NOT('06 Exr'!$H138="")),'06 Exr'!$H138,4)</f>
        <v>4</v>
      </c>
      <c r="AF138">
        <f>IF(AND('06 Exr'!D138&lt;Tmax, NOT('06 Exr'!$H138="")),'06 Exr'!$H138,4)</f>
        <v>4</v>
      </c>
      <c r="AG138">
        <f>IF(AND('06 Exr'!E138&lt;Tmax, NOT('06 Exr'!$H138="")),'06 Exr'!$H138,4)</f>
        <v>4</v>
      </c>
      <c r="AH138">
        <f>IF(AND('06 Exr'!F138&lt;Tmax, NOT('06 Exr'!$H138="")),'06 Exr'!$H138,4)</f>
        <v>4</v>
      </c>
      <c r="AI138"/>
    </row>
    <row r="139" spans="1:35" ht="22.5" outlineLevel="2" x14ac:dyDescent="0.2">
      <c r="A139" s="636" t="s">
        <v>6203</v>
      </c>
      <c r="B139" s="636" t="s">
        <v>4466</v>
      </c>
      <c r="C139" s="786"/>
      <c r="D139" s="822"/>
      <c r="E139" s="822"/>
      <c r="F139" s="822"/>
      <c r="G139" s="1473">
        <v>2</v>
      </c>
      <c r="H139" s="1474"/>
      <c r="I139" s="1474"/>
      <c r="J139" s="1473" t="s">
        <v>1592</v>
      </c>
      <c r="K139" s="1472"/>
      <c r="L139" s="1472" t="s">
        <v>7345</v>
      </c>
      <c r="M139" s="854"/>
      <c r="AA139">
        <f>IF(AND('06 Exr'!C139&gt;Tmin, NOT('06 Exr'!$I139="")),'06 Exr'!$I139,0)</f>
        <v>0</v>
      </c>
      <c r="AB139">
        <f>IF(AND('06 Exr'!D139&gt;Tmin, NOT('06 Exr'!$I139="")),'06 Exr'!$I139,0)</f>
        <v>0</v>
      </c>
      <c r="AC139">
        <f>IF(AND('06 Exr'!E139&gt;Tmin, NOT('06 Exr'!$I139="")),'06 Exr'!$I139,0)</f>
        <v>0</v>
      </c>
      <c r="AD139">
        <f>IF(AND('06 Exr'!F139&gt;Tmin, NOT('06 Exr'!$I139="")),'06 Exr'!$I139,0)</f>
        <v>0</v>
      </c>
      <c r="AE139">
        <f>IF(AND('06 Exr'!C139&lt;Tmax, NOT('06 Exr'!$H139="")),'06 Exr'!$H139,4)</f>
        <v>4</v>
      </c>
      <c r="AF139">
        <f>IF(AND('06 Exr'!D139&lt;Tmax, NOT('06 Exr'!$H139="")),'06 Exr'!$H139,4)</f>
        <v>4</v>
      </c>
      <c r="AG139">
        <f>IF(AND('06 Exr'!E139&lt;Tmax, NOT('06 Exr'!$H139="")),'06 Exr'!$H139,4)</f>
        <v>4</v>
      </c>
      <c r="AH139">
        <f>IF(AND('06 Exr'!F139&lt;Tmax, NOT('06 Exr'!$H139="")),'06 Exr'!$H139,4)</f>
        <v>4</v>
      </c>
      <c r="AI139"/>
    </row>
    <row r="140" spans="1:35" s="643" customFormat="1" x14ac:dyDescent="0.2">
      <c r="A140" s="855"/>
      <c r="B140" s="856"/>
      <c r="C140" s="818"/>
      <c r="D140" s="818"/>
      <c r="E140" s="818"/>
      <c r="F140" s="818"/>
      <c r="G140" s="857"/>
      <c r="H140" s="857"/>
      <c r="I140" s="857"/>
      <c r="J140" s="857"/>
      <c r="K140" s="839"/>
      <c r="L140" s="840"/>
      <c r="M140" s="858"/>
      <c r="N140" s="679"/>
      <c r="O140" s="679"/>
      <c r="P140" s="679"/>
      <c r="Q140" s="679"/>
      <c r="R140" s="679"/>
      <c r="S140" s="679"/>
      <c r="T140" s="679"/>
      <c r="U140" s="679"/>
      <c r="V140" s="679"/>
      <c r="W140" s="679"/>
      <c r="X140" s="679"/>
      <c r="Y140" s="679"/>
      <c r="Z140" s="679"/>
      <c r="AA140"/>
      <c r="AB140"/>
      <c r="AC140"/>
      <c r="AD140"/>
      <c r="AE140"/>
      <c r="AF140"/>
      <c r="AG140"/>
      <c r="AH140"/>
      <c r="AI140"/>
    </row>
    <row r="141" spans="1:35" s="643" customFormat="1" ht="12.75" customHeight="1" x14ac:dyDescent="0.2">
      <c r="A141" s="612" t="str">
        <f>C$2</f>
        <v>R-V1</v>
      </c>
      <c r="B141" s="613" t="s">
        <v>7232</v>
      </c>
      <c r="C141" s="612" t="str">
        <f>C$2</f>
        <v>R-V1</v>
      </c>
      <c r="D141" s="612"/>
      <c r="E141" s="612"/>
      <c r="F141" s="612"/>
      <c r="G141" s="857"/>
      <c r="H141" s="857"/>
      <c r="I141" s="857"/>
      <c r="J141" s="857"/>
      <c r="K141" s="839"/>
      <c r="L141" s="840"/>
      <c r="M141" s="858"/>
      <c r="N141" s="679"/>
      <c r="O141" s="679"/>
      <c r="P141" s="679"/>
      <c r="Q141" s="679"/>
      <c r="R141" s="679"/>
      <c r="S141" s="679"/>
      <c r="T141" s="679"/>
      <c r="U141" s="679"/>
      <c r="V141" s="679"/>
      <c r="W141" s="679"/>
      <c r="X141" s="679"/>
      <c r="Y141" s="679"/>
      <c r="Z141" s="679"/>
      <c r="AA141"/>
      <c r="AB141"/>
      <c r="AC141"/>
      <c r="AD141"/>
      <c r="AE141"/>
      <c r="AF141"/>
      <c r="AG141"/>
      <c r="AH141"/>
      <c r="AI141"/>
    </row>
    <row r="142" spans="1:35" s="643" customFormat="1" ht="12.75" customHeight="1" x14ac:dyDescent="0.2">
      <c r="A142" s="612" t="str">
        <f>C$2</f>
        <v>R-V1</v>
      </c>
      <c r="B142" s="613" t="s">
        <v>7233</v>
      </c>
      <c r="C142" s="612" t="str">
        <f>C$2</f>
        <v>R-V1</v>
      </c>
      <c r="D142" s="612"/>
      <c r="E142" s="612"/>
      <c r="F142" s="612"/>
      <c r="G142" s="857"/>
      <c r="H142" s="857"/>
      <c r="I142" s="857"/>
      <c r="J142" s="857"/>
      <c r="K142" s="839"/>
      <c r="L142" s="840"/>
      <c r="M142" s="858"/>
      <c r="N142" s="679"/>
      <c r="O142" s="679"/>
      <c r="P142" s="679"/>
      <c r="Q142" s="679"/>
      <c r="R142" s="679"/>
      <c r="S142" s="679"/>
      <c r="T142" s="679"/>
      <c r="U142" s="679"/>
      <c r="V142" s="679"/>
      <c r="W142" s="679"/>
      <c r="X142" s="679"/>
      <c r="Y142" s="679"/>
      <c r="Z142" s="679"/>
      <c r="AA142"/>
      <c r="AB142"/>
      <c r="AC142"/>
      <c r="AD142"/>
      <c r="AE142"/>
      <c r="AF142"/>
      <c r="AG142"/>
      <c r="AH142"/>
      <c r="AI142"/>
    </row>
    <row r="143" spans="1:35" s="643" customFormat="1" ht="12.75" customHeight="1" x14ac:dyDescent="0.2">
      <c r="A143" s="612" t="str">
        <f>C$2</f>
        <v>R-V1</v>
      </c>
      <c r="B143" s="613" t="s">
        <v>7234</v>
      </c>
      <c r="C143" s="612" t="str">
        <f>C$2</f>
        <v>R-V1</v>
      </c>
      <c r="D143" s="612"/>
      <c r="E143" s="612"/>
      <c r="F143" s="612"/>
      <c r="G143" s="857"/>
      <c r="H143" s="857"/>
      <c r="I143" s="857"/>
      <c r="J143" s="857"/>
      <c r="K143" s="839"/>
      <c r="L143" s="840"/>
      <c r="M143" s="858"/>
      <c r="N143" s="679"/>
      <c r="O143" s="679"/>
      <c r="P143" s="679"/>
      <c r="Q143" s="679"/>
      <c r="R143" s="679"/>
      <c r="S143" s="679"/>
      <c r="T143" s="679"/>
      <c r="U143" s="679"/>
      <c r="V143" s="679"/>
      <c r="W143" s="679"/>
      <c r="X143" s="679"/>
      <c r="Y143" s="679"/>
      <c r="Z143" s="679"/>
      <c r="AA143"/>
      <c r="AB143"/>
      <c r="AC143"/>
      <c r="AD143"/>
      <c r="AE143"/>
      <c r="AF143"/>
      <c r="AG143"/>
      <c r="AH143"/>
      <c r="AI143"/>
    </row>
    <row r="144" spans="1:35" s="643" customFormat="1" ht="12.75" customHeight="1" x14ac:dyDescent="0.2">
      <c r="A144" s="612" t="str">
        <f>C$2</f>
        <v>R-V1</v>
      </c>
      <c r="B144" s="618" t="s">
        <v>7235</v>
      </c>
      <c r="C144" s="612" t="str">
        <f>C$2</f>
        <v>R-V1</v>
      </c>
      <c r="D144" s="612"/>
      <c r="E144" s="612"/>
      <c r="F144" s="612"/>
      <c r="G144" s="857"/>
      <c r="H144" s="857"/>
      <c r="I144" s="857"/>
      <c r="J144" s="857"/>
      <c r="K144" s="839"/>
      <c r="L144" s="840"/>
      <c r="M144" s="858"/>
      <c r="N144" s="679"/>
      <c r="O144" s="679"/>
      <c r="P144" s="679"/>
      <c r="Q144" s="679"/>
      <c r="R144" s="679"/>
      <c r="S144" s="679"/>
      <c r="T144" s="679"/>
      <c r="U144" s="679"/>
      <c r="V144" s="679"/>
      <c r="W144" s="679"/>
      <c r="X144" s="679"/>
      <c r="Y144" s="679"/>
      <c r="Z144" s="679"/>
      <c r="AA144"/>
      <c r="AB144"/>
      <c r="AC144"/>
      <c r="AD144"/>
      <c r="AE144"/>
      <c r="AF144"/>
      <c r="AG144"/>
      <c r="AH144"/>
      <c r="AI144"/>
    </row>
    <row r="145" spans="1:35" s="643" customFormat="1" ht="12.75" customHeight="1" x14ac:dyDescent="0.2">
      <c r="A145" s="612"/>
      <c r="B145" s="613"/>
      <c r="C145" s="612"/>
      <c r="D145" s="612"/>
      <c r="E145" s="612"/>
      <c r="F145" s="612"/>
      <c r="G145" s="857"/>
      <c r="H145" s="857"/>
      <c r="I145" s="857"/>
      <c r="J145" s="857"/>
      <c r="K145" s="839"/>
      <c r="L145" s="840"/>
      <c r="M145" s="858"/>
      <c r="N145" s="679"/>
      <c r="O145" s="679"/>
      <c r="P145" s="679"/>
      <c r="Q145" s="679"/>
      <c r="R145" s="679"/>
      <c r="S145" s="679"/>
      <c r="T145" s="679"/>
      <c r="U145" s="679"/>
      <c r="V145" s="679"/>
      <c r="W145" s="679"/>
      <c r="X145" s="679"/>
      <c r="Y145" s="679"/>
      <c r="Z145" s="679"/>
      <c r="AA145"/>
      <c r="AB145"/>
      <c r="AC145"/>
      <c r="AD145"/>
      <c r="AE145"/>
      <c r="AF145"/>
      <c r="AG145"/>
      <c r="AH145"/>
      <c r="AI145"/>
    </row>
    <row r="146" spans="1:35" s="643" customFormat="1" ht="12.75" customHeight="1" x14ac:dyDescent="0.2">
      <c r="A146" s="612" t="str">
        <f>D$2</f>
        <v>R-V2</v>
      </c>
      <c r="B146" s="613" t="s">
        <v>7232</v>
      </c>
      <c r="C146" s="612"/>
      <c r="D146" s="612" t="str">
        <f>D$2</f>
        <v>R-V2</v>
      </c>
      <c r="E146" s="612"/>
      <c r="F146" s="612"/>
      <c r="G146" s="857"/>
      <c r="H146" s="857"/>
      <c r="I146" s="857"/>
      <c r="J146" s="857"/>
      <c r="K146" s="839"/>
      <c r="L146" s="840"/>
      <c r="M146" s="858"/>
      <c r="N146" s="679"/>
      <c r="O146" s="679"/>
      <c r="P146" s="679"/>
      <c r="Q146" s="679"/>
      <c r="R146" s="679"/>
      <c r="S146" s="679"/>
      <c r="T146" s="679"/>
      <c r="U146" s="679"/>
      <c r="V146" s="679"/>
      <c r="W146" s="679"/>
      <c r="X146" s="679"/>
      <c r="Y146" s="679"/>
      <c r="Z146" s="679"/>
      <c r="AA146"/>
      <c r="AB146"/>
      <c r="AC146"/>
      <c r="AD146"/>
      <c r="AE146"/>
      <c r="AF146"/>
      <c r="AG146"/>
      <c r="AH146"/>
      <c r="AI146"/>
    </row>
    <row r="147" spans="1:35" s="643" customFormat="1" ht="12.75" customHeight="1" x14ac:dyDescent="0.2">
      <c r="A147" s="612" t="str">
        <f>D$2</f>
        <v>R-V2</v>
      </c>
      <c r="B147" s="613" t="s">
        <v>7233</v>
      </c>
      <c r="C147" s="612"/>
      <c r="D147" s="612" t="str">
        <f>D$2</f>
        <v>R-V2</v>
      </c>
      <c r="E147" s="612"/>
      <c r="F147" s="612"/>
      <c r="G147" s="857"/>
      <c r="H147" s="857"/>
      <c r="I147" s="857"/>
      <c r="J147" s="857"/>
      <c r="K147" s="839"/>
      <c r="L147" s="840"/>
      <c r="M147" s="858"/>
      <c r="N147" s="679"/>
      <c r="O147" s="679"/>
      <c r="P147" s="679"/>
      <c r="Q147" s="679"/>
      <c r="R147" s="679"/>
      <c r="S147" s="679"/>
      <c r="T147" s="679"/>
      <c r="U147" s="679"/>
      <c r="V147" s="679"/>
      <c r="W147" s="679"/>
      <c r="X147" s="679"/>
      <c r="Y147" s="679"/>
      <c r="Z147" s="679"/>
      <c r="AA147"/>
      <c r="AB147"/>
      <c r="AC147"/>
      <c r="AD147"/>
      <c r="AE147"/>
      <c r="AF147"/>
      <c r="AG147"/>
      <c r="AH147"/>
      <c r="AI147"/>
    </row>
    <row r="148" spans="1:35" s="643" customFormat="1" ht="12.75" customHeight="1" x14ac:dyDescent="0.2">
      <c r="A148" s="612" t="str">
        <f>D$2</f>
        <v>R-V2</v>
      </c>
      <c r="B148" s="613" t="s">
        <v>7234</v>
      </c>
      <c r="C148" s="612"/>
      <c r="D148" s="612" t="str">
        <f>D$2</f>
        <v>R-V2</v>
      </c>
      <c r="E148" s="612"/>
      <c r="F148" s="612"/>
      <c r="G148" s="857"/>
      <c r="H148" s="857"/>
      <c r="I148" s="857"/>
      <c r="J148" s="857"/>
      <c r="K148" s="839"/>
      <c r="L148" s="840"/>
      <c r="M148" s="858"/>
      <c r="N148" s="679"/>
      <c r="O148" s="679"/>
      <c r="P148" s="679"/>
      <c r="Q148" s="679"/>
      <c r="R148" s="679"/>
      <c r="S148" s="679"/>
      <c r="T148" s="679"/>
      <c r="U148" s="679"/>
      <c r="V148" s="679"/>
      <c r="W148" s="679"/>
      <c r="X148" s="679"/>
      <c r="Y148" s="679"/>
      <c r="Z148" s="679"/>
      <c r="AA148"/>
      <c r="AB148"/>
      <c r="AC148"/>
      <c r="AD148"/>
      <c r="AE148"/>
      <c r="AF148"/>
      <c r="AG148"/>
      <c r="AH148"/>
      <c r="AI148"/>
    </row>
    <row r="149" spans="1:35" ht="12.75" customHeight="1" x14ac:dyDescent="0.2">
      <c r="A149" s="612" t="str">
        <f>D$2</f>
        <v>R-V2</v>
      </c>
      <c r="B149" s="613" t="s">
        <v>7235</v>
      </c>
      <c r="C149" s="612"/>
      <c r="D149" s="612" t="str">
        <f>D$2</f>
        <v>R-V2</v>
      </c>
      <c r="E149" s="612"/>
      <c r="F149" s="612"/>
      <c r="G149" s="857"/>
      <c r="H149" s="857"/>
      <c r="I149" s="857"/>
      <c r="J149" s="857"/>
      <c r="K149" s="839"/>
      <c r="L149" s="852"/>
      <c r="AA149"/>
      <c r="AB149"/>
      <c r="AC149"/>
      <c r="AD149"/>
      <c r="AE149"/>
      <c r="AF149"/>
      <c r="AG149"/>
      <c r="AH149"/>
      <c r="AI149"/>
    </row>
    <row r="150" spans="1:35" ht="12.75" customHeight="1" x14ac:dyDescent="0.2">
      <c r="A150" s="612"/>
      <c r="B150" s="613"/>
      <c r="C150" s="612"/>
      <c r="D150" s="612"/>
      <c r="E150" s="612"/>
      <c r="F150" s="612"/>
      <c r="G150" s="857"/>
      <c r="H150" s="857"/>
      <c r="I150" s="857"/>
      <c r="J150" s="857"/>
      <c r="K150" s="839"/>
      <c r="L150" s="852"/>
      <c r="AA150"/>
      <c r="AB150"/>
      <c r="AC150"/>
      <c r="AD150"/>
      <c r="AE150"/>
      <c r="AF150"/>
      <c r="AG150"/>
      <c r="AH150"/>
      <c r="AI150"/>
    </row>
    <row r="151" spans="1:35" ht="12.75" customHeight="1" x14ac:dyDescent="0.2">
      <c r="A151" s="612" t="str">
        <f>E$2</f>
        <v>R-V3</v>
      </c>
      <c r="B151" s="613" t="s">
        <v>7232</v>
      </c>
      <c r="C151" s="612"/>
      <c r="D151" s="612"/>
      <c r="E151" s="612" t="str">
        <f>E$2</f>
        <v>R-V3</v>
      </c>
      <c r="F151" s="612"/>
      <c r="G151" s="857"/>
      <c r="H151" s="857"/>
      <c r="I151" s="857"/>
      <c r="J151" s="857"/>
      <c r="K151" s="839"/>
      <c r="L151" s="852"/>
      <c r="AA151"/>
      <c r="AB151"/>
      <c r="AC151"/>
      <c r="AD151"/>
      <c r="AE151"/>
      <c r="AF151"/>
      <c r="AG151"/>
      <c r="AH151"/>
      <c r="AI151"/>
    </row>
    <row r="152" spans="1:35" s="643" customFormat="1" ht="12.75" customHeight="1" x14ac:dyDescent="0.2">
      <c r="A152" s="612" t="str">
        <f>E$2</f>
        <v>R-V3</v>
      </c>
      <c r="B152" s="613" t="s">
        <v>7233</v>
      </c>
      <c r="C152" s="612"/>
      <c r="D152" s="612"/>
      <c r="E152" s="612" t="str">
        <f>E$2</f>
        <v>R-V3</v>
      </c>
      <c r="F152" s="612"/>
      <c r="G152" s="857"/>
      <c r="H152" s="857"/>
      <c r="I152" s="857"/>
      <c r="J152" s="857"/>
      <c r="K152" s="839"/>
      <c r="L152" s="840"/>
      <c r="M152" s="858"/>
      <c r="N152" s="679"/>
      <c r="O152" s="679"/>
      <c r="P152" s="679"/>
      <c r="Q152" s="679"/>
      <c r="R152" s="679"/>
      <c r="S152" s="679"/>
      <c r="T152" s="679"/>
      <c r="U152" s="679"/>
      <c r="V152" s="679"/>
      <c r="W152" s="679"/>
      <c r="X152" s="679"/>
      <c r="Y152" s="679"/>
      <c r="Z152" s="679"/>
      <c r="AA152"/>
      <c r="AB152"/>
      <c r="AC152"/>
      <c r="AD152"/>
      <c r="AE152"/>
      <c r="AF152"/>
      <c r="AG152"/>
      <c r="AH152"/>
      <c r="AI152"/>
    </row>
    <row r="153" spans="1:35" s="590" customFormat="1" ht="12.75" customHeight="1" x14ac:dyDescent="0.2">
      <c r="A153" s="612" t="str">
        <f>E$2</f>
        <v>R-V3</v>
      </c>
      <c r="B153" s="613" t="s">
        <v>7234</v>
      </c>
      <c r="C153" s="612"/>
      <c r="D153" s="612"/>
      <c r="E153" s="612" t="str">
        <f>E$2</f>
        <v>R-V3</v>
      </c>
      <c r="F153" s="612"/>
      <c r="G153" s="857"/>
      <c r="H153" s="857"/>
      <c r="I153" s="857"/>
      <c r="J153" s="857"/>
      <c r="K153" s="839"/>
      <c r="L153" s="840"/>
      <c r="M153" s="858"/>
      <c r="N153" s="589"/>
      <c r="O153" s="589"/>
      <c r="P153" s="589"/>
      <c r="Q153" s="589"/>
      <c r="R153" s="589"/>
      <c r="S153" s="589"/>
      <c r="T153" s="589"/>
      <c r="U153" s="589"/>
      <c r="V153" s="589"/>
      <c r="W153" s="589"/>
      <c r="X153" s="589"/>
      <c r="Y153" s="589"/>
      <c r="Z153" s="589"/>
      <c r="AA153"/>
      <c r="AB153"/>
      <c r="AC153"/>
      <c r="AD153"/>
      <c r="AE153"/>
      <c r="AF153"/>
      <c r="AG153"/>
      <c r="AH153"/>
      <c r="AI153"/>
    </row>
    <row r="154" spans="1:35" s="643" customFormat="1" ht="12.75" customHeight="1" x14ac:dyDescent="0.2">
      <c r="A154" s="612" t="str">
        <f>E$2</f>
        <v>R-V3</v>
      </c>
      <c r="B154" s="613" t="s">
        <v>7235</v>
      </c>
      <c r="C154" s="612"/>
      <c r="D154" s="612"/>
      <c r="E154" s="612" t="str">
        <f>E$2</f>
        <v>R-V3</v>
      </c>
      <c r="F154" s="612"/>
      <c r="G154" s="857"/>
      <c r="H154" s="857"/>
      <c r="I154" s="857"/>
      <c r="J154" s="857"/>
      <c r="K154" s="839"/>
      <c r="L154" s="840"/>
      <c r="M154" s="858"/>
      <c r="N154" s="679"/>
      <c r="O154" s="679"/>
      <c r="P154" s="679"/>
      <c r="Q154" s="679"/>
      <c r="R154" s="679"/>
      <c r="S154" s="679"/>
      <c r="T154" s="679"/>
      <c r="U154" s="679"/>
      <c r="V154" s="679"/>
      <c r="W154" s="679"/>
      <c r="X154" s="679"/>
      <c r="Y154" s="679"/>
      <c r="Z154" s="679"/>
      <c r="AA154"/>
      <c r="AB154"/>
      <c r="AC154"/>
      <c r="AD154"/>
      <c r="AE154"/>
      <c r="AF154"/>
      <c r="AG154"/>
      <c r="AH154"/>
      <c r="AI154"/>
    </row>
    <row r="155" spans="1:35" s="643" customFormat="1" ht="12.75" customHeight="1" x14ac:dyDescent="0.2">
      <c r="A155" s="612"/>
      <c r="B155" s="613"/>
      <c r="C155" s="612"/>
      <c r="D155" s="612"/>
      <c r="E155" s="612"/>
      <c r="F155" s="612"/>
      <c r="G155" s="857"/>
      <c r="H155" s="857"/>
      <c r="I155" s="857"/>
      <c r="J155" s="857"/>
      <c r="K155" s="839"/>
      <c r="L155" s="840"/>
      <c r="M155" s="858"/>
      <c r="N155" s="679"/>
      <c r="O155" s="679"/>
      <c r="P155" s="679"/>
      <c r="Q155" s="679"/>
      <c r="R155" s="679"/>
      <c r="S155" s="679"/>
      <c r="T155" s="679"/>
      <c r="U155" s="679"/>
      <c r="V155" s="679"/>
      <c r="W155" s="679"/>
      <c r="X155" s="679"/>
      <c r="Y155" s="679"/>
      <c r="Z155" s="679"/>
      <c r="AA155"/>
      <c r="AB155"/>
      <c r="AC155"/>
      <c r="AD155"/>
      <c r="AE155"/>
      <c r="AF155"/>
      <c r="AG155"/>
      <c r="AH155"/>
      <c r="AI155"/>
    </row>
    <row r="156" spans="1:35" s="643" customFormat="1" ht="12.75" customHeight="1" x14ac:dyDescent="0.2">
      <c r="A156" s="612" t="str">
        <f>F$2</f>
        <v>R-V4</v>
      </c>
      <c r="B156" s="613" t="s">
        <v>7232</v>
      </c>
      <c r="C156" s="612"/>
      <c r="D156" s="612"/>
      <c r="E156" s="612"/>
      <c r="F156" s="612" t="str">
        <f>F$2</f>
        <v>R-V4</v>
      </c>
      <c r="G156" s="857"/>
      <c r="H156" s="857"/>
      <c r="I156" s="857"/>
      <c r="J156" s="857"/>
      <c r="K156" s="839"/>
      <c r="L156" s="840"/>
      <c r="M156" s="858"/>
      <c r="N156" s="679"/>
      <c r="O156" s="679"/>
      <c r="P156" s="679"/>
      <c r="Q156" s="679"/>
      <c r="R156" s="679"/>
      <c r="S156" s="679"/>
      <c r="T156" s="679"/>
      <c r="U156" s="679"/>
      <c r="V156" s="679"/>
      <c r="W156" s="679"/>
      <c r="X156" s="679"/>
      <c r="Y156" s="679"/>
      <c r="Z156" s="679"/>
      <c r="AA156"/>
      <c r="AB156"/>
      <c r="AC156"/>
      <c r="AD156"/>
      <c r="AE156"/>
      <c r="AF156"/>
      <c r="AG156"/>
      <c r="AH156"/>
      <c r="AI156"/>
    </row>
    <row r="157" spans="1:35" s="643" customFormat="1" ht="12.75" customHeight="1" x14ac:dyDescent="0.2">
      <c r="A157" s="612" t="str">
        <f>F$2</f>
        <v>R-V4</v>
      </c>
      <c r="B157" s="613" t="s">
        <v>7233</v>
      </c>
      <c r="C157" s="612"/>
      <c r="D157" s="612"/>
      <c r="E157" s="612"/>
      <c r="F157" s="612" t="str">
        <f>F$2</f>
        <v>R-V4</v>
      </c>
      <c r="G157" s="857"/>
      <c r="H157" s="857"/>
      <c r="I157" s="857"/>
      <c r="J157" s="857"/>
      <c r="K157" s="839"/>
      <c r="L157" s="840"/>
      <c r="M157" s="858"/>
      <c r="N157" s="679"/>
      <c r="O157" s="679"/>
      <c r="P157" s="679"/>
      <c r="Q157" s="679"/>
      <c r="R157" s="679"/>
      <c r="S157" s="679"/>
      <c r="T157" s="679"/>
      <c r="U157" s="679"/>
      <c r="V157" s="679"/>
      <c r="W157" s="679"/>
      <c r="X157" s="679"/>
      <c r="Y157" s="679"/>
      <c r="Z157" s="679"/>
      <c r="AA157"/>
      <c r="AB157"/>
      <c r="AC157"/>
      <c r="AD157"/>
      <c r="AE157"/>
      <c r="AF157"/>
      <c r="AG157"/>
      <c r="AH157"/>
      <c r="AI157"/>
    </row>
    <row r="158" spans="1:35" s="643" customFormat="1" ht="12.75" customHeight="1" x14ac:dyDescent="0.2">
      <c r="A158" s="612" t="str">
        <f>F$2</f>
        <v>R-V4</v>
      </c>
      <c r="B158" s="613" t="s">
        <v>7234</v>
      </c>
      <c r="C158" s="612"/>
      <c r="D158" s="612"/>
      <c r="E158" s="612"/>
      <c r="F158" s="612" t="str">
        <f>F$2</f>
        <v>R-V4</v>
      </c>
      <c r="G158" s="857"/>
      <c r="H158" s="857"/>
      <c r="I158" s="857"/>
      <c r="J158" s="857"/>
      <c r="K158" s="839"/>
      <c r="L158" s="840"/>
      <c r="M158" s="858"/>
      <c r="N158" s="679"/>
      <c r="O158" s="679"/>
      <c r="P158" s="679"/>
      <c r="Q158" s="679"/>
      <c r="R158" s="679"/>
      <c r="S158" s="679"/>
      <c r="T158" s="679"/>
      <c r="U158" s="679"/>
      <c r="V158" s="679"/>
      <c r="W158" s="679"/>
      <c r="X158" s="679"/>
      <c r="Y158" s="679"/>
      <c r="Z158" s="679"/>
      <c r="AA158"/>
      <c r="AB158"/>
      <c r="AC158"/>
      <c r="AD158"/>
      <c r="AE158"/>
      <c r="AF158"/>
      <c r="AG158"/>
      <c r="AH158"/>
      <c r="AI158"/>
    </row>
    <row r="159" spans="1:35" s="643" customFormat="1" ht="12.75" customHeight="1" x14ac:dyDescent="0.2">
      <c r="A159" s="612" t="str">
        <f>F$2</f>
        <v>R-V4</v>
      </c>
      <c r="B159" s="613" t="s">
        <v>7235</v>
      </c>
      <c r="C159" s="612"/>
      <c r="D159" s="612"/>
      <c r="E159" s="612"/>
      <c r="F159" s="612" t="str">
        <f>F$2</f>
        <v>R-V4</v>
      </c>
      <c r="G159" s="857"/>
      <c r="H159" s="857"/>
      <c r="I159" s="857"/>
      <c r="J159" s="857"/>
      <c r="K159" s="839"/>
      <c r="L159" s="840"/>
      <c r="M159" s="858"/>
      <c r="N159" s="679"/>
      <c r="O159" s="679"/>
      <c r="P159" s="679"/>
      <c r="Q159" s="679"/>
      <c r="R159" s="679"/>
      <c r="S159" s="679"/>
      <c r="T159" s="679"/>
      <c r="U159" s="679"/>
      <c r="V159" s="679"/>
      <c r="W159" s="679"/>
      <c r="X159" s="679"/>
      <c r="Y159" s="679"/>
      <c r="Z159" s="679"/>
      <c r="AA159"/>
      <c r="AB159"/>
      <c r="AC159"/>
      <c r="AD159"/>
      <c r="AE159"/>
      <c r="AF159"/>
      <c r="AG159"/>
      <c r="AH159"/>
      <c r="AI159"/>
    </row>
    <row r="160" spans="1:35" x14ac:dyDescent="0.2">
      <c r="A160" s="859"/>
      <c r="B160" s="860"/>
      <c r="C160" s="861"/>
      <c r="D160" s="861"/>
      <c r="E160" s="861"/>
      <c r="F160" s="861"/>
      <c r="G160" s="857"/>
      <c r="H160" s="857"/>
      <c r="I160" s="857"/>
      <c r="J160" s="857"/>
      <c r="K160" s="839"/>
      <c r="L160" s="852"/>
      <c r="AA160"/>
      <c r="AB160"/>
      <c r="AC160"/>
      <c r="AD160"/>
      <c r="AE160"/>
      <c r="AF160"/>
      <c r="AG160"/>
      <c r="AH160"/>
      <c r="AI160"/>
    </row>
    <row r="161" spans="1:35" x14ac:dyDescent="0.2">
      <c r="C161" s="818"/>
      <c r="D161" s="818"/>
      <c r="E161" s="818"/>
      <c r="F161" s="818"/>
      <c r="G161" s="857"/>
      <c r="H161" s="857"/>
      <c r="I161" s="857"/>
      <c r="J161" s="857"/>
      <c r="K161" s="839"/>
      <c r="L161" s="852"/>
      <c r="AA161"/>
      <c r="AB161"/>
      <c r="AC161"/>
      <c r="AD161"/>
      <c r="AE161"/>
      <c r="AF161"/>
      <c r="AG161"/>
      <c r="AH161"/>
      <c r="AI161"/>
    </row>
    <row r="162" spans="1:35" x14ac:dyDescent="0.2">
      <c r="C162" s="818"/>
      <c r="D162" s="818"/>
      <c r="E162" s="818"/>
      <c r="F162" s="818"/>
      <c r="G162" s="857"/>
      <c r="H162" s="857"/>
      <c r="I162" s="857"/>
      <c r="J162" s="857"/>
      <c r="K162" s="839"/>
      <c r="L162" s="852"/>
      <c r="AA162"/>
      <c r="AB162"/>
      <c r="AC162"/>
      <c r="AD162"/>
      <c r="AE162"/>
      <c r="AF162"/>
      <c r="AG162"/>
      <c r="AH162"/>
      <c r="AI162"/>
    </row>
    <row r="163" spans="1:35" x14ac:dyDescent="0.2">
      <c r="C163" s="818"/>
      <c r="D163" s="818"/>
      <c r="E163" s="818"/>
      <c r="F163" s="818"/>
      <c r="G163" s="857"/>
      <c r="H163" s="857"/>
      <c r="I163" s="857"/>
      <c r="J163" s="857"/>
      <c r="K163" s="839"/>
      <c r="L163" s="852"/>
      <c r="AA163"/>
      <c r="AB163"/>
      <c r="AC163"/>
      <c r="AD163"/>
      <c r="AE163"/>
      <c r="AF163"/>
      <c r="AG163"/>
      <c r="AH163"/>
      <c r="AI163"/>
    </row>
    <row r="164" spans="1:35" x14ac:dyDescent="0.2">
      <c r="C164" s="818"/>
      <c r="D164" s="818"/>
      <c r="E164" s="818"/>
      <c r="F164" s="818"/>
      <c r="G164" s="857"/>
      <c r="H164" s="857"/>
      <c r="I164" s="857"/>
      <c r="J164" s="857"/>
      <c r="K164" s="839"/>
      <c r="L164" s="852"/>
      <c r="AA164"/>
      <c r="AB164"/>
      <c r="AC164"/>
      <c r="AD164"/>
      <c r="AE164"/>
      <c r="AF164"/>
      <c r="AG164"/>
      <c r="AH164"/>
      <c r="AI164"/>
    </row>
    <row r="165" spans="1:35" x14ac:dyDescent="0.2">
      <c r="C165" s="818"/>
      <c r="D165" s="818"/>
      <c r="E165" s="818"/>
      <c r="F165" s="818"/>
      <c r="G165" s="857"/>
      <c r="H165" s="857"/>
      <c r="I165" s="857"/>
      <c r="J165" s="857"/>
      <c r="K165" s="839"/>
      <c r="L165" s="852"/>
      <c r="AA165"/>
      <c r="AB165"/>
      <c r="AC165"/>
      <c r="AD165"/>
      <c r="AE165"/>
      <c r="AF165"/>
      <c r="AG165"/>
      <c r="AH165"/>
      <c r="AI165"/>
    </row>
    <row r="166" spans="1:35" x14ac:dyDescent="0.2">
      <c r="C166" s="818"/>
      <c r="D166" s="818"/>
      <c r="E166" s="818"/>
      <c r="F166" s="818"/>
      <c r="G166" s="857"/>
      <c r="H166" s="857"/>
      <c r="I166" s="857"/>
      <c r="J166" s="857"/>
      <c r="K166" s="839"/>
      <c r="L166" s="852"/>
      <c r="AA166"/>
      <c r="AB166"/>
      <c r="AC166"/>
      <c r="AD166"/>
      <c r="AE166"/>
      <c r="AF166"/>
      <c r="AG166"/>
      <c r="AH166"/>
      <c r="AI166"/>
    </row>
    <row r="167" spans="1:35" x14ac:dyDescent="0.2">
      <c r="C167" s="818"/>
      <c r="D167" s="818"/>
      <c r="E167" s="818"/>
      <c r="F167" s="818"/>
      <c r="G167" s="857"/>
      <c r="H167" s="857"/>
      <c r="I167" s="857"/>
      <c r="J167" s="857"/>
      <c r="K167" s="839"/>
      <c r="L167" s="852"/>
      <c r="AA167"/>
      <c r="AB167"/>
      <c r="AC167"/>
      <c r="AD167"/>
      <c r="AE167"/>
      <c r="AF167"/>
      <c r="AG167"/>
      <c r="AH167"/>
      <c r="AI167"/>
    </row>
    <row r="168" spans="1:35" x14ac:dyDescent="0.2">
      <c r="C168" s="818"/>
      <c r="D168" s="818"/>
      <c r="E168" s="818"/>
      <c r="F168" s="818"/>
      <c r="G168" s="857"/>
      <c r="H168" s="857"/>
      <c r="I168" s="857"/>
      <c r="J168" s="857"/>
      <c r="K168" s="839"/>
      <c r="L168" s="852"/>
      <c r="AA168"/>
      <c r="AB168"/>
      <c r="AC168"/>
      <c r="AD168"/>
      <c r="AE168"/>
      <c r="AF168"/>
      <c r="AG168"/>
      <c r="AH168"/>
      <c r="AI168"/>
    </row>
    <row r="169" spans="1:35" s="643" customFormat="1" x14ac:dyDescent="0.2">
      <c r="A169" s="836"/>
      <c r="B169" s="856"/>
      <c r="C169" s="818"/>
      <c r="D169" s="818"/>
      <c r="E169" s="818"/>
      <c r="F169" s="818"/>
      <c r="G169" s="857"/>
      <c r="H169" s="857"/>
      <c r="I169" s="857"/>
      <c r="J169" s="857"/>
      <c r="K169" s="839"/>
      <c r="L169" s="840"/>
      <c r="M169" s="858"/>
      <c r="N169" s="679"/>
      <c r="O169" s="679"/>
      <c r="P169" s="679"/>
      <c r="Q169" s="679"/>
      <c r="R169" s="679"/>
      <c r="S169" s="679"/>
      <c r="T169" s="679"/>
      <c r="U169" s="679"/>
      <c r="V169" s="679"/>
      <c r="W169" s="679"/>
      <c r="X169" s="679"/>
      <c r="Y169" s="679"/>
      <c r="Z169" s="679"/>
      <c r="AA169"/>
      <c r="AB169"/>
      <c r="AC169"/>
      <c r="AD169"/>
      <c r="AE169"/>
      <c r="AF169"/>
      <c r="AG169"/>
      <c r="AH169"/>
      <c r="AI169"/>
    </row>
    <row r="170" spans="1:35" x14ac:dyDescent="0.2">
      <c r="A170" s="859"/>
      <c r="B170" s="860"/>
      <c r="C170" s="861"/>
      <c r="D170" s="861"/>
      <c r="E170" s="861"/>
      <c r="F170" s="861"/>
      <c r="G170" s="857"/>
      <c r="H170" s="857"/>
      <c r="I170" s="857"/>
      <c r="J170" s="857"/>
      <c r="K170" s="839"/>
      <c r="L170" s="852"/>
      <c r="AA170"/>
      <c r="AB170"/>
      <c r="AC170"/>
      <c r="AD170"/>
      <c r="AE170"/>
      <c r="AF170"/>
      <c r="AG170"/>
      <c r="AH170"/>
      <c r="AI170"/>
    </row>
    <row r="171" spans="1:35" x14ac:dyDescent="0.2">
      <c r="C171" s="818"/>
      <c r="D171" s="818"/>
      <c r="E171" s="818"/>
      <c r="F171" s="818"/>
      <c r="G171" s="857"/>
      <c r="H171" s="857"/>
      <c r="I171" s="857"/>
      <c r="J171" s="857"/>
      <c r="K171" s="839"/>
      <c r="L171" s="852"/>
      <c r="AA171"/>
      <c r="AB171"/>
      <c r="AC171"/>
      <c r="AD171"/>
      <c r="AE171"/>
      <c r="AF171"/>
      <c r="AG171"/>
      <c r="AH171"/>
      <c r="AI171"/>
    </row>
    <row r="172" spans="1:35" x14ac:dyDescent="0.2">
      <c r="C172" s="818"/>
      <c r="D172" s="818"/>
      <c r="E172" s="848"/>
      <c r="F172" s="848"/>
      <c r="G172" s="857"/>
      <c r="H172" s="857"/>
      <c r="I172" s="857"/>
      <c r="J172" s="857"/>
      <c r="K172" s="839"/>
      <c r="L172" s="852"/>
      <c r="AA172"/>
      <c r="AB172"/>
      <c r="AC172"/>
      <c r="AD172"/>
      <c r="AE172"/>
      <c r="AF172"/>
      <c r="AG172"/>
      <c r="AH172"/>
      <c r="AI172"/>
    </row>
    <row r="173" spans="1:35" x14ac:dyDescent="0.2">
      <c r="C173" s="818"/>
      <c r="D173" s="818"/>
      <c r="E173" s="848"/>
      <c r="F173" s="848"/>
      <c r="G173" s="857"/>
      <c r="H173" s="857"/>
      <c r="I173" s="857"/>
      <c r="J173" s="857"/>
      <c r="K173" s="839"/>
      <c r="L173" s="852"/>
      <c r="AA173"/>
      <c r="AB173"/>
      <c r="AC173"/>
      <c r="AD173"/>
      <c r="AE173"/>
      <c r="AF173"/>
      <c r="AG173"/>
      <c r="AH173"/>
      <c r="AI173"/>
    </row>
    <row r="174" spans="1:35" x14ac:dyDescent="0.2">
      <c r="C174" s="818"/>
      <c r="D174" s="818"/>
      <c r="E174" s="850"/>
      <c r="F174" s="850"/>
      <c r="G174" s="857"/>
      <c r="H174" s="857"/>
      <c r="I174" s="857"/>
      <c r="J174" s="857"/>
      <c r="K174" s="839"/>
      <c r="L174" s="852"/>
      <c r="AA174"/>
      <c r="AB174"/>
      <c r="AC174"/>
      <c r="AD174"/>
      <c r="AE174"/>
      <c r="AF174"/>
      <c r="AG174"/>
      <c r="AH174"/>
      <c r="AI174"/>
    </row>
    <row r="175" spans="1:35" x14ac:dyDescent="0.2">
      <c r="C175" s="818"/>
      <c r="D175" s="818"/>
      <c r="E175" s="848"/>
      <c r="F175" s="848"/>
      <c r="G175" s="857"/>
      <c r="H175" s="857"/>
      <c r="I175" s="857"/>
      <c r="J175" s="857"/>
      <c r="K175" s="839"/>
      <c r="L175" s="852"/>
      <c r="AA175"/>
      <c r="AB175"/>
      <c r="AC175"/>
      <c r="AD175"/>
      <c r="AE175"/>
      <c r="AF175"/>
      <c r="AG175"/>
      <c r="AH175"/>
      <c r="AI175"/>
    </row>
    <row r="176" spans="1:35" x14ac:dyDescent="0.2">
      <c r="C176" s="818"/>
      <c r="D176" s="818"/>
      <c r="E176" s="848"/>
      <c r="F176" s="848"/>
      <c r="G176" s="857"/>
      <c r="H176" s="857"/>
      <c r="I176" s="857"/>
      <c r="J176" s="857"/>
      <c r="K176" s="839"/>
      <c r="L176" s="852"/>
      <c r="AA176"/>
      <c r="AB176"/>
      <c r="AC176"/>
      <c r="AD176"/>
      <c r="AE176"/>
      <c r="AF176"/>
      <c r="AG176"/>
      <c r="AH176"/>
      <c r="AI176"/>
    </row>
    <row r="177" spans="3:35" x14ac:dyDescent="0.2">
      <c r="C177" s="818"/>
      <c r="D177" s="818"/>
      <c r="E177" s="848"/>
      <c r="F177" s="848"/>
      <c r="G177" s="857"/>
      <c r="H177" s="857"/>
      <c r="I177" s="857"/>
      <c r="J177" s="857"/>
      <c r="K177" s="839"/>
      <c r="L177" s="852"/>
      <c r="AA177"/>
      <c r="AB177"/>
      <c r="AC177"/>
      <c r="AD177"/>
      <c r="AE177"/>
      <c r="AF177"/>
      <c r="AG177"/>
      <c r="AH177"/>
      <c r="AI177"/>
    </row>
    <row r="178" spans="3:35" x14ac:dyDescent="0.2">
      <c r="C178" s="818"/>
      <c r="D178" s="818"/>
      <c r="E178" s="848"/>
      <c r="F178" s="848"/>
      <c r="G178" s="857"/>
      <c r="H178" s="857"/>
      <c r="I178" s="857"/>
      <c r="J178" s="857"/>
      <c r="K178" s="839"/>
      <c r="L178" s="852"/>
      <c r="AA178"/>
      <c r="AB178"/>
      <c r="AC178"/>
      <c r="AD178"/>
      <c r="AE178"/>
      <c r="AF178"/>
      <c r="AG178"/>
      <c r="AH178"/>
      <c r="AI178"/>
    </row>
    <row r="179" spans="3:35" x14ac:dyDescent="0.2">
      <c r="C179" s="818"/>
      <c r="D179" s="818"/>
      <c r="E179" s="848"/>
      <c r="F179" s="848"/>
      <c r="G179" s="857"/>
      <c r="H179" s="857"/>
      <c r="I179" s="857"/>
      <c r="J179" s="857"/>
      <c r="K179" s="839"/>
      <c r="L179" s="852"/>
      <c r="AA179"/>
      <c r="AB179"/>
      <c r="AC179"/>
      <c r="AD179"/>
      <c r="AE179"/>
      <c r="AF179"/>
      <c r="AG179"/>
      <c r="AH179"/>
      <c r="AI179"/>
    </row>
    <row r="180" spans="3:35" x14ac:dyDescent="0.2">
      <c r="C180" s="818"/>
      <c r="D180" s="818"/>
      <c r="E180" s="848"/>
      <c r="F180" s="848"/>
      <c r="G180" s="857"/>
      <c r="H180" s="857"/>
      <c r="I180" s="857"/>
      <c r="J180" s="857"/>
      <c r="K180" s="839"/>
      <c r="L180" s="852"/>
      <c r="AA180"/>
      <c r="AB180"/>
      <c r="AC180"/>
      <c r="AD180"/>
      <c r="AE180"/>
      <c r="AF180"/>
      <c r="AG180"/>
      <c r="AH180"/>
      <c r="AI180"/>
    </row>
    <row r="181" spans="3:35" x14ac:dyDescent="0.2">
      <c r="C181" s="818"/>
      <c r="D181" s="818"/>
      <c r="E181" s="848"/>
      <c r="F181" s="848"/>
      <c r="G181" s="857"/>
      <c r="H181" s="857"/>
      <c r="I181" s="857"/>
      <c r="J181" s="857"/>
      <c r="K181" s="839"/>
      <c r="L181" s="852"/>
      <c r="AA181"/>
      <c r="AB181"/>
      <c r="AC181"/>
      <c r="AD181"/>
      <c r="AE181"/>
      <c r="AF181"/>
      <c r="AG181"/>
      <c r="AH181"/>
      <c r="AI181"/>
    </row>
    <row r="182" spans="3:35" x14ac:dyDescent="0.2">
      <c r="C182" s="818"/>
      <c r="D182" s="818"/>
      <c r="E182" s="848"/>
      <c r="F182" s="848"/>
      <c r="G182" s="857"/>
      <c r="H182" s="857"/>
      <c r="I182" s="857"/>
      <c r="J182" s="857"/>
      <c r="K182" s="839"/>
      <c r="L182" s="852"/>
      <c r="AA182"/>
      <c r="AB182"/>
      <c r="AC182"/>
      <c r="AD182"/>
      <c r="AE182"/>
      <c r="AF182"/>
      <c r="AG182"/>
      <c r="AH182"/>
      <c r="AI182"/>
    </row>
    <row r="183" spans="3:35" x14ac:dyDescent="0.2">
      <c r="C183" s="818"/>
      <c r="D183" s="818"/>
      <c r="E183" s="852"/>
      <c r="F183" s="852"/>
      <c r="G183" s="857"/>
      <c r="H183" s="857"/>
      <c r="I183" s="857"/>
      <c r="J183" s="857"/>
      <c r="K183" s="839"/>
      <c r="L183" s="852"/>
      <c r="AA183"/>
      <c r="AB183"/>
      <c r="AC183"/>
      <c r="AD183"/>
      <c r="AE183"/>
      <c r="AF183"/>
      <c r="AG183"/>
      <c r="AH183"/>
      <c r="AI183"/>
    </row>
    <row r="184" spans="3:35" x14ac:dyDescent="0.2">
      <c r="C184" s="818"/>
      <c r="D184" s="818"/>
      <c r="E184" s="848"/>
      <c r="F184" s="848"/>
      <c r="G184" s="857"/>
      <c r="H184" s="857"/>
      <c r="I184" s="857"/>
      <c r="J184" s="857"/>
      <c r="K184" s="839"/>
      <c r="L184" s="852"/>
      <c r="AA184"/>
      <c r="AB184"/>
      <c r="AC184"/>
      <c r="AD184"/>
      <c r="AE184"/>
      <c r="AF184"/>
      <c r="AG184"/>
      <c r="AH184"/>
      <c r="AI184"/>
    </row>
    <row r="185" spans="3:35" x14ac:dyDescent="0.2">
      <c r="C185" s="818"/>
      <c r="D185" s="818"/>
      <c r="E185" s="848"/>
      <c r="F185" s="848"/>
      <c r="G185" s="857"/>
      <c r="H185" s="857"/>
      <c r="I185" s="857"/>
      <c r="J185" s="857"/>
      <c r="K185" s="839"/>
      <c r="L185" s="852"/>
      <c r="AA185"/>
      <c r="AB185"/>
      <c r="AC185"/>
      <c r="AD185"/>
      <c r="AE185"/>
      <c r="AF185"/>
      <c r="AG185"/>
      <c r="AH185"/>
      <c r="AI185"/>
    </row>
    <row r="186" spans="3:35" x14ac:dyDescent="0.2">
      <c r="C186" s="818"/>
      <c r="D186" s="818"/>
      <c r="E186" s="848"/>
      <c r="F186" s="848"/>
      <c r="G186" s="857"/>
      <c r="H186" s="857"/>
      <c r="I186" s="857"/>
      <c r="J186" s="857"/>
      <c r="K186" s="839"/>
      <c r="L186" s="852"/>
      <c r="AA186"/>
      <c r="AB186"/>
      <c r="AC186"/>
      <c r="AD186"/>
      <c r="AE186"/>
      <c r="AF186"/>
      <c r="AG186"/>
      <c r="AH186"/>
      <c r="AI186"/>
    </row>
    <row r="187" spans="3:35" x14ac:dyDescent="0.2">
      <c r="C187" s="818"/>
      <c r="D187" s="818"/>
      <c r="E187" s="848"/>
      <c r="F187" s="848"/>
      <c r="G187" s="857"/>
      <c r="H187" s="857"/>
      <c r="I187" s="857"/>
      <c r="J187" s="857"/>
      <c r="K187" s="839"/>
      <c r="L187" s="852"/>
      <c r="AA187"/>
      <c r="AB187"/>
      <c r="AC187"/>
      <c r="AD187"/>
      <c r="AE187"/>
      <c r="AF187"/>
      <c r="AG187"/>
      <c r="AH187"/>
      <c r="AI187"/>
    </row>
    <row r="188" spans="3:35" x14ac:dyDescent="0.2">
      <c r="C188" s="818"/>
      <c r="D188" s="818"/>
      <c r="E188" s="848"/>
      <c r="F188" s="848"/>
      <c r="G188" s="857"/>
      <c r="H188" s="857"/>
      <c r="I188" s="857"/>
      <c r="J188" s="857"/>
      <c r="K188" s="839"/>
      <c r="L188" s="852"/>
      <c r="AA188"/>
      <c r="AB188"/>
      <c r="AC188"/>
      <c r="AD188"/>
      <c r="AE188"/>
      <c r="AF188"/>
      <c r="AG188"/>
      <c r="AH188"/>
      <c r="AI188"/>
    </row>
    <row r="189" spans="3:35" x14ac:dyDescent="0.2">
      <c r="C189" s="818"/>
      <c r="D189" s="818"/>
      <c r="E189" s="848"/>
      <c r="F189" s="848"/>
      <c r="G189" s="857"/>
      <c r="H189" s="857"/>
      <c r="I189" s="857"/>
      <c r="J189" s="857"/>
      <c r="K189" s="839"/>
      <c r="L189" s="852"/>
      <c r="AA189"/>
      <c r="AB189"/>
      <c r="AC189"/>
      <c r="AD189"/>
      <c r="AE189"/>
      <c r="AF189"/>
      <c r="AG189"/>
      <c r="AH189"/>
      <c r="AI189"/>
    </row>
    <row r="190" spans="3:35" x14ac:dyDescent="0.2">
      <c r="C190" s="818"/>
      <c r="D190" s="818"/>
      <c r="E190" s="848"/>
      <c r="F190" s="848"/>
      <c r="G190" s="857"/>
      <c r="H190" s="857"/>
      <c r="I190" s="857"/>
      <c r="J190" s="857"/>
      <c r="K190" s="839"/>
      <c r="L190" s="852"/>
      <c r="AA190"/>
      <c r="AB190"/>
      <c r="AC190"/>
      <c r="AD190"/>
      <c r="AE190"/>
      <c r="AF190"/>
      <c r="AG190"/>
      <c r="AH190"/>
      <c r="AI190"/>
    </row>
    <row r="191" spans="3:35" x14ac:dyDescent="0.2">
      <c r="C191" s="818"/>
      <c r="D191" s="818"/>
      <c r="E191" s="848"/>
      <c r="F191" s="848"/>
      <c r="G191" s="857"/>
      <c r="H191" s="857"/>
      <c r="I191" s="857"/>
      <c r="J191" s="857"/>
      <c r="K191" s="839"/>
      <c r="L191" s="852"/>
      <c r="AA191"/>
      <c r="AB191"/>
      <c r="AC191"/>
      <c r="AD191"/>
      <c r="AE191"/>
      <c r="AF191"/>
      <c r="AG191"/>
      <c r="AH191"/>
      <c r="AI191"/>
    </row>
    <row r="192" spans="3:35" x14ac:dyDescent="0.2">
      <c r="C192" s="818"/>
      <c r="D192" s="818"/>
      <c r="E192" s="848"/>
      <c r="F192" s="848"/>
      <c r="G192" s="857"/>
      <c r="H192" s="857"/>
      <c r="I192" s="857"/>
      <c r="J192" s="857"/>
      <c r="K192" s="839"/>
      <c r="L192" s="852"/>
      <c r="AA192"/>
      <c r="AB192"/>
      <c r="AC192"/>
      <c r="AD192"/>
      <c r="AE192"/>
      <c r="AF192"/>
      <c r="AG192"/>
      <c r="AH192"/>
      <c r="AI192"/>
    </row>
    <row r="193" spans="3:35" x14ac:dyDescent="0.2">
      <c r="C193" s="818"/>
      <c r="D193" s="818"/>
      <c r="E193" s="848"/>
      <c r="F193" s="848"/>
      <c r="G193" s="857"/>
      <c r="H193" s="857"/>
      <c r="I193" s="857"/>
      <c r="J193" s="857"/>
      <c r="K193" s="839"/>
      <c r="L193" s="852"/>
      <c r="AA193"/>
      <c r="AB193"/>
      <c r="AC193"/>
      <c r="AD193"/>
      <c r="AE193"/>
      <c r="AF193"/>
      <c r="AG193"/>
      <c r="AH193"/>
      <c r="AI193"/>
    </row>
    <row r="194" spans="3:35" x14ac:dyDescent="0.2">
      <c r="C194" s="818"/>
      <c r="D194" s="818"/>
      <c r="E194" s="848"/>
      <c r="F194" s="848"/>
      <c r="G194" s="857"/>
      <c r="H194" s="857"/>
      <c r="I194" s="857"/>
      <c r="J194" s="857"/>
      <c r="K194" s="839"/>
      <c r="L194" s="852"/>
      <c r="AA194"/>
      <c r="AB194"/>
      <c r="AC194"/>
      <c r="AD194"/>
      <c r="AE194"/>
      <c r="AF194"/>
      <c r="AG194"/>
      <c r="AH194"/>
      <c r="AI194"/>
    </row>
    <row r="195" spans="3:35" x14ac:dyDescent="0.2">
      <c r="C195" s="818"/>
      <c r="D195" s="818"/>
      <c r="E195" s="848"/>
      <c r="F195" s="848"/>
      <c r="G195" s="849"/>
      <c r="H195" s="849"/>
      <c r="I195" s="849"/>
      <c r="J195" s="849"/>
      <c r="AA195"/>
      <c r="AB195"/>
      <c r="AC195"/>
      <c r="AD195"/>
      <c r="AE195"/>
      <c r="AF195"/>
      <c r="AG195"/>
      <c r="AH195"/>
      <c r="AI195"/>
    </row>
    <row r="196" spans="3:35" x14ac:dyDescent="0.2">
      <c r="C196" s="818"/>
      <c r="D196" s="818"/>
      <c r="E196" s="848"/>
      <c r="F196" s="848"/>
      <c r="G196" s="849"/>
      <c r="H196" s="849"/>
      <c r="I196" s="849"/>
      <c r="J196" s="849"/>
      <c r="AA196"/>
      <c r="AB196"/>
      <c r="AC196"/>
      <c r="AD196"/>
      <c r="AE196"/>
      <c r="AF196"/>
      <c r="AG196"/>
      <c r="AH196"/>
      <c r="AI196"/>
    </row>
    <row r="197" spans="3:35" x14ac:dyDescent="0.2">
      <c r="C197" s="818"/>
      <c r="D197" s="818"/>
      <c r="E197" s="848"/>
      <c r="F197" s="848"/>
      <c r="G197" s="849"/>
      <c r="H197" s="849"/>
      <c r="I197" s="849"/>
      <c r="J197" s="849"/>
      <c r="AA197"/>
      <c r="AB197"/>
      <c r="AC197"/>
      <c r="AD197"/>
      <c r="AE197"/>
      <c r="AF197"/>
      <c r="AG197"/>
      <c r="AH197"/>
      <c r="AI197"/>
    </row>
    <row r="198" spans="3:35" x14ac:dyDescent="0.2">
      <c r="C198" s="818"/>
      <c r="D198" s="818"/>
      <c r="E198" s="852"/>
      <c r="F198" s="852"/>
      <c r="AA198"/>
      <c r="AB198"/>
      <c r="AC198"/>
      <c r="AD198"/>
      <c r="AE198"/>
      <c r="AF198"/>
      <c r="AG198"/>
      <c r="AH198"/>
      <c r="AI198"/>
    </row>
    <row r="199" spans="3:35" x14ac:dyDescent="0.2">
      <c r="C199" s="818"/>
      <c r="D199" s="818"/>
      <c r="AA199"/>
      <c r="AB199"/>
      <c r="AC199"/>
      <c r="AD199"/>
      <c r="AE199"/>
      <c r="AF199"/>
      <c r="AG199"/>
      <c r="AH199"/>
      <c r="AI199"/>
    </row>
    <row r="200" spans="3:35" x14ac:dyDescent="0.2">
      <c r="C200" s="818"/>
      <c r="D200" s="818"/>
      <c r="AA200"/>
      <c r="AB200"/>
      <c r="AC200"/>
      <c r="AD200"/>
      <c r="AE200"/>
      <c r="AF200"/>
      <c r="AG200"/>
      <c r="AH200"/>
      <c r="AI200"/>
    </row>
    <row r="201" spans="3:35" x14ac:dyDescent="0.2">
      <c r="C201" s="818"/>
      <c r="D201" s="818"/>
      <c r="AA201"/>
      <c r="AB201"/>
      <c r="AC201"/>
      <c r="AD201"/>
      <c r="AE201"/>
      <c r="AF201"/>
      <c r="AG201"/>
      <c r="AH201"/>
      <c r="AI201"/>
    </row>
    <row r="202" spans="3:35" x14ac:dyDescent="0.2">
      <c r="C202" s="818"/>
      <c r="D202" s="818"/>
      <c r="AA202"/>
      <c r="AB202"/>
      <c r="AC202"/>
      <c r="AD202"/>
      <c r="AE202"/>
      <c r="AF202"/>
      <c r="AG202"/>
      <c r="AH202"/>
      <c r="AI202"/>
    </row>
    <row r="203" spans="3:35" x14ac:dyDescent="0.2">
      <c r="C203" s="818"/>
      <c r="D203" s="818"/>
      <c r="AA203"/>
      <c r="AB203"/>
      <c r="AC203"/>
      <c r="AD203"/>
      <c r="AE203"/>
      <c r="AF203"/>
      <c r="AG203"/>
      <c r="AH203"/>
      <c r="AI203"/>
    </row>
    <row r="204" spans="3:35" x14ac:dyDescent="0.2">
      <c r="C204" s="818"/>
      <c r="D204" s="818"/>
      <c r="AA204"/>
      <c r="AB204"/>
      <c r="AC204"/>
      <c r="AD204"/>
      <c r="AE204"/>
      <c r="AF204"/>
      <c r="AG204"/>
      <c r="AH204"/>
      <c r="AI204"/>
    </row>
    <row r="205" spans="3:35" x14ac:dyDescent="0.2">
      <c r="C205" s="818"/>
      <c r="D205" s="818"/>
      <c r="AA205"/>
      <c r="AB205"/>
      <c r="AC205"/>
      <c r="AD205"/>
      <c r="AE205"/>
      <c r="AF205"/>
      <c r="AG205"/>
      <c r="AH205"/>
      <c r="AI205"/>
    </row>
    <row r="206" spans="3:35" x14ac:dyDescent="0.2">
      <c r="C206" s="818"/>
      <c r="D206" s="818"/>
      <c r="AA206"/>
      <c r="AB206"/>
      <c r="AC206"/>
      <c r="AD206"/>
      <c r="AE206"/>
      <c r="AF206"/>
      <c r="AG206"/>
      <c r="AH206"/>
      <c r="AI206"/>
    </row>
    <row r="207" spans="3:35" x14ac:dyDescent="0.2">
      <c r="C207" s="818"/>
      <c r="D207" s="818"/>
      <c r="AA207"/>
      <c r="AB207"/>
      <c r="AC207"/>
      <c r="AD207"/>
      <c r="AE207"/>
      <c r="AF207"/>
      <c r="AG207"/>
      <c r="AH207"/>
      <c r="AI207"/>
    </row>
    <row r="208" spans="3:35" x14ac:dyDescent="0.2">
      <c r="C208" s="818"/>
      <c r="D208" s="818"/>
      <c r="AA208"/>
      <c r="AB208"/>
      <c r="AC208"/>
      <c r="AD208"/>
      <c r="AE208"/>
      <c r="AF208"/>
      <c r="AG208"/>
      <c r="AH208"/>
      <c r="AI208"/>
    </row>
    <row r="209" spans="3:35" x14ac:dyDescent="0.2">
      <c r="C209" s="818"/>
      <c r="D209" s="818"/>
      <c r="AA209"/>
      <c r="AB209"/>
      <c r="AC209"/>
      <c r="AD209"/>
      <c r="AE209"/>
      <c r="AF209"/>
      <c r="AG209"/>
      <c r="AH209"/>
      <c r="AI209"/>
    </row>
    <row r="210" spans="3:35" x14ac:dyDescent="0.2">
      <c r="C210" s="818"/>
      <c r="D210" s="818"/>
      <c r="AA210"/>
      <c r="AB210"/>
      <c r="AC210"/>
      <c r="AD210"/>
      <c r="AE210"/>
      <c r="AF210"/>
      <c r="AG210"/>
      <c r="AH210"/>
      <c r="AI210"/>
    </row>
    <row r="211" spans="3:35" x14ac:dyDescent="0.2">
      <c r="C211" s="818"/>
      <c r="D211" s="818"/>
      <c r="AA211"/>
      <c r="AB211"/>
      <c r="AC211"/>
      <c r="AD211"/>
      <c r="AE211"/>
      <c r="AF211"/>
      <c r="AG211"/>
      <c r="AH211"/>
      <c r="AI211"/>
    </row>
    <row r="212" spans="3:35" x14ac:dyDescent="0.2">
      <c r="C212" s="818"/>
      <c r="D212" s="818"/>
      <c r="AA212"/>
      <c r="AB212"/>
      <c r="AC212"/>
      <c r="AD212"/>
      <c r="AE212"/>
      <c r="AF212"/>
      <c r="AG212"/>
      <c r="AH212"/>
      <c r="AI212"/>
    </row>
    <row r="213" spans="3:35" x14ac:dyDescent="0.2">
      <c r="C213" s="818"/>
      <c r="D213" s="818"/>
      <c r="AA213"/>
      <c r="AB213"/>
      <c r="AC213"/>
      <c r="AD213"/>
      <c r="AE213"/>
      <c r="AF213"/>
      <c r="AG213"/>
      <c r="AH213"/>
      <c r="AI213"/>
    </row>
    <row r="214" spans="3:35" x14ac:dyDescent="0.2">
      <c r="C214" s="818"/>
      <c r="D214" s="818"/>
      <c r="AA214"/>
      <c r="AB214"/>
      <c r="AC214"/>
      <c r="AD214"/>
      <c r="AE214"/>
      <c r="AF214"/>
      <c r="AG214"/>
      <c r="AH214"/>
      <c r="AI214"/>
    </row>
    <row r="215" spans="3:35" x14ac:dyDescent="0.2">
      <c r="C215" s="818"/>
      <c r="D215" s="818"/>
      <c r="AA215"/>
      <c r="AB215"/>
      <c r="AC215"/>
      <c r="AD215"/>
      <c r="AE215"/>
      <c r="AF215"/>
      <c r="AG215"/>
      <c r="AH215"/>
      <c r="AI215"/>
    </row>
    <row r="216" spans="3:35" x14ac:dyDescent="0.2">
      <c r="C216" s="818"/>
      <c r="D216" s="818"/>
      <c r="AA216"/>
      <c r="AB216"/>
      <c r="AC216"/>
      <c r="AD216"/>
      <c r="AE216"/>
      <c r="AF216"/>
      <c r="AG216"/>
      <c r="AH216"/>
      <c r="AI216"/>
    </row>
    <row r="217" spans="3:35" x14ac:dyDescent="0.2">
      <c r="C217" s="818"/>
      <c r="D217" s="818"/>
      <c r="AA217"/>
      <c r="AB217"/>
      <c r="AC217"/>
      <c r="AD217"/>
      <c r="AE217"/>
      <c r="AF217"/>
      <c r="AG217"/>
      <c r="AH217"/>
      <c r="AI217"/>
    </row>
    <row r="218" spans="3:35" x14ac:dyDescent="0.2">
      <c r="C218" s="818"/>
      <c r="D218" s="818"/>
      <c r="AA218"/>
      <c r="AB218"/>
      <c r="AC218"/>
      <c r="AD218"/>
      <c r="AE218"/>
      <c r="AF218"/>
      <c r="AG218"/>
      <c r="AH218"/>
      <c r="AI218"/>
    </row>
    <row r="219" spans="3:35" x14ac:dyDescent="0.2">
      <c r="C219" s="818"/>
      <c r="D219" s="818"/>
      <c r="AA219"/>
      <c r="AB219"/>
      <c r="AC219"/>
      <c r="AD219"/>
      <c r="AE219"/>
      <c r="AF219"/>
      <c r="AG219"/>
      <c r="AH219"/>
      <c r="AI219"/>
    </row>
    <row r="220" spans="3:35" x14ac:dyDescent="0.2">
      <c r="C220" s="818"/>
      <c r="D220" s="818"/>
      <c r="AA220"/>
      <c r="AB220"/>
      <c r="AC220"/>
      <c r="AD220"/>
      <c r="AE220"/>
      <c r="AF220"/>
      <c r="AG220"/>
      <c r="AH220"/>
      <c r="AI220"/>
    </row>
    <row r="221" spans="3:35" x14ac:dyDescent="0.2">
      <c r="C221" s="818"/>
      <c r="D221" s="818"/>
      <c r="AA221"/>
      <c r="AB221"/>
      <c r="AC221"/>
      <c r="AD221"/>
      <c r="AE221"/>
      <c r="AF221"/>
      <c r="AG221"/>
      <c r="AH221"/>
      <c r="AI221"/>
    </row>
    <row r="222" spans="3:35" x14ac:dyDescent="0.2">
      <c r="C222" s="818"/>
      <c r="D222" s="818"/>
      <c r="AA222"/>
      <c r="AB222"/>
      <c r="AC222"/>
      <c r="AD222"/>
      <c r="AE222"/>
      <c r="AF222"/>
      <c r="AG222"/>
      <c r="AH222"/>
      <c r="AI222"/>
    </row>
    <row r="223" spans="3:35" x14ac:dyDescent="0.2">
      <c r="C223" s="818"/>
      <c r="D223" s="818"/>
      <c r="AA223"/>
      <c r="AB223"/>
      <c r="AC223"/>
      <c r="AD223"/>
      <c r="AE223"/>
      <c r="AF223"/>
      <c r="AG223"/>
      <c r="AH223"/>
      <c r="AI223"/>
    </row>
    <row r="224" spans="3:35" x14ac:dyDescent="0.2">
      <c r="C224" s="818"/>
      <c r="D224" s="818"/>
      <c r="AA224"/>
      <c r="AB224"/>
      <c r="AC224"/>
      <c r="AD224"/>
      <c r="AE224"/>
      <c r="AF224"/>
      <c r="AG224"/>
      <c r="AH224"/>
      <c r="AI224"/>
    </row>
    <row r="225" spans="3:35" x14ac:dyDescent="0.2">
      <c r="C225" s="818"/>
      <c r="D225" s="818"/>
      <c r="AA225"/>
      <c r="AB225"/>
      <c r="AC225"/>
      <c r="AD225"/>
      <c r="AE225"/>
      <c r="AF225"/>
      <c r="AG225"/>
      <c r="AH225"/>
      <c r="AI225"/>
    </row>
    <row r="226" spans="3:35" x14ac:dyDescent="0.2">
      <c r="C226" s="818"/>
      <c r="D226" s="818"/>
      <c r="AA226"/>
      <c r="AB226"/>
      <c r="AC226"/>
      <c r="AD226"/>
      <c r="AE226"/>
      <c r="AF226"/>
      <c r="AG226"/>
      <c r="AH226"/>
      <c r="AI226"/>
    </row>
    <row r="227" spans="3:35" x14ac:dyDescent="0.2">
      <c r="C227" s="818"/>
      <c r="D227" s="818"/>
      <c r="AA227"/>
      <c r="AB227"/>
      <c r="AC227"/>
      <c r="AD227"/>
      <c r="AE227"/>
      <c r="AF227"/>
      <c r="AG227"/>
      <c r="AH227"/>
      <c r="AI227"/>
    </row>
    <row r="228" spans="3:35" x14ac:dyDescent="0.2">
      <c r="C228" s="818"/>
      <c r="D228" s="818"/>
      <c r="AA228"/>
      <c r="AB228"/>
      <c r="AC228"/>
      <c r="AD228"/>
      <c r="AE228"/>
      <c r="AF228"/>
      <c r="AG228"/>
      <c r="AH228"/>
      <c r="AI228"/>
    </row>
    <row r="229" spans="3:35" x14ac:dyDescent="0.2">
      <c r="C229" s="818"/>
      <c r="D229" s="818"/>
      <c r="AA229"/>
      <c r="AB229"/>
      <c r="AC229"/>
      <c r="AD229"/>
      <c r="AE229"/>
      <c r="AF229"/>
      <c r="AG229"/>
      <c r="AH229"/>
      <c r="AI229"/>
    </row>
    <row r="230" spans="3:35" x14ac:dyDescent="0.2">
      <c r="C230" s="818"/>
      <c r="D230" s="818"/>
      <c r="AA230"/>
      <c r="AB230"/>
      <c r="AC230"/>
      <c r="AD230"/>
      <c r="AE230"/>
      <c r="AF230"/>
      <c r="AG230"/>
      <c r="AH230"/>
      <c r="AI230"/>
    </row>
    <row r="231" spans="3:35" x14ac:dyDescent="0.2">
      <c r="C231" s="818"/>
      <c r="D231" s="818"/>
      <c r="AA231"/>
      <c r="AB231"/>
      <c r="AC231"/>
      <c r="AD231"/>
      <c r="AE231"/>
      <c r="AF231"/>
      <c r="AG231"/>
      <c r="AH231"/>
      <c r="AI231"/>
    </row>
    <row r="232" spans="3:35" x14ac:dyDescent="0.2">
      <c r="C232" s="818"/>
      <c r="D232" s="818"/>
      <c r="AA232"/>
      <c r="AB232"/>
      <c r="AC232"/>
      <c r="AD232"/>
      <c r="AE232"/>
      <c r="AF232"/>
      <c r="AG232"/>
      <c r="AH232"/>
      <c r="AI232"/>
    </row>
    <row r="233" spans="3:35" x14ac:dyDescent="0.2">
      <c r="C233" s="818"/>
      <c r="D233" s="818"/>
      <c r="AA233"/>
      <c r="AB233"/>
      <c r="AC233"/>
      <c r="AD233"/>
      <c r="AE233"/>
      <c r="AF233"/>
      <c r="AG233"/>
      <c r="AH233"/>
      <c r="AI233"/>
    </row>
    <row r="234" spans="3:35" x14ac:dyDescent="0.2">
      <c r="C234" s="818"/>
      <c r="D234" s="818"/>
      <c r="AA234"/>
      <c r="AB234"/>
      <c r="AC234"/>
      <c r="AD234"/>
      <c r="AE234"/>
      <c r="AF234"/>
      <c r="AG234"/>
      <c r="AH234"/>
      <c r="AI234"/>
    </row>
    <row r="235" spans="3:35" x14ac:dyDescent="0.2">
      <c r="C235" s="818"/>
      <c r="D235" s="818"/>
      <c r="AA235"/>
      <c r="AB235"/>
      <c r="AC235"/>
      <c r="AD235"/>
      <c r="AE235"/>
      <c r="AF235"/>
      <c r="AG235"/>
      <c r="AH235"/>
      <c r="AI235"/>
    </row>
    <row r="236" spans="3:35" x14ac:dyDescent="0.2">
      <c r="C236" s="818"/>
      <c r="D236" s="818"/>
      <c r="AA236"/>
      <c r="AB236"/>
      <c r="AC236"/>
      <c r="AD236"/>
      <c r="AE236"/>
      <c r="AF236"/>
      <c r="AG236"/>
      <c r="AH236"/>
      <c r="AI236"/>
    </row>
    <row r="237" spans="3:35" x14ac:dyDescent="0.2">
      <c r="C237" s="818"/>
      <c r="D237" s="818"/>
      <c r="AA237"/>
      <c r="AB237"/>
      <c r="AC237"/>
      <c r="AD237"/>
      <c r="AE237"/>
      <c r="AF237"/>
      <c r="AG237"/>
      <c r="AH237"/>
      <c r="AI237"/>
    </row>
    <row r="238" spans="3:35" x14ac:dyDescent="0.2">
      <c r="C238" s="818"/>
      <c r="D238" s="818"/>
      <c r="AA238"/>
      <c r="AB238"/>
      <c r="AC238"/>
      <c r="AD238"/>
      <c r="AE238"/>
      <c r="AF238"/>
      <c r="AG238"/>
      <c r="AH238"/>
      <c r="AI238"/>
    </row>
    <row r="239" spans="3:35" x14ac:dyDescent="0.2">
      <c r="C239" s="818"/>
      <c r="D239" s="818"/>
      <c r="AA239"/>
      <c r="AB239"/>
      <c r="AC239"/>
      <c r="AD239"/>
      <c r="AE239"/>
      <c r="AF239"/>
      <c r="AG239"/>
      <c r="AH239"/>
      <c r="AI239"/>
    </row>
    <row r="240" spans="3:35" x14ac:dyDescent="0.2">
      <c r="C240" s="818"/>
      <c r="D240" s="818"/>
      <c r="AA240"/>
      <c r="AB240"/>
      <c r="AC240"/>
      <c r="AD240"/>
      <c r="AE240"/>
      <c r="AF240"/>
      <c r="AG240"/>
      <c r="AH240"/>
      <c r="AI240"/>
    </row>
    <row r="241" spans="3:35" x14ac:dyDescent="0.2">
      <c r="C241" s="818"/>
      <c r="D241" s="818"/>
      <c r="AA241"/>
      <c r="AB241"/>
      <c r="AC241"/>
      <c r="AD241"/>
      <c r="AE241"/>
      <c r="AF241"/>
      <c r="AG241"/>
      <c r="AH241"/>
      <c r="AI241"/>
    </row>
    <row r="242" spans="3:35" x14ac:dyDescent="0.2">
      <c r="C242" s="818"/>
      <c r="D242" s="818"/>
      <c r="AA242"/>
      <c r="AB242"/>
      <c r="AC242"/>
      <c r="AD242"/>
      <c r="AE242"/>
      <c r="AF242"/>
      <c r="AG242"/>
      <c r="AH242"/>
      <c r="AI242"/>
    </row>
    <row r="243" spans="3:35" x14ac:dyDescent="0.2">
      <c r="C243" s="818"/>
      <c r="D243" s="818"/>
      <c r="AA243"/>
      <c r="AB243"/>
      <c r="AC243"/>
      <c r="AD243"/>
      <c r="AE243"/>
      <c r="AF243"/>
      <c r="AG243"/>
      <c r="AH243"/>
      <c r="AI243"/>
    </row>
    <row r="244" spans="3:35" x14ac:dyDescent="0.2">
      <c r="C244" s="818"/>
      <c r="D244" s="818"/>
      <c r="AA244"/>
      <c r="AB244"/>
      <c r="AC244"/>
      <c r="AD244"/>
      <c r="AE244"/>
      <c r="AF244"/>
      <c r="AG244"/>
      <c r="AH244"/>
      <c r="AI244"/>
    </row>
    <row r="245" spans="3:35" x14ac:dyDescent="0.2">
      <c r="C245" s="818"/>
      <c r="D245" s="818"/>
      <c r="AA245"/>
      <c r="AB245"/>
      <c r="AC245"/>
      <c r="AD245"/>
      <c r="AE245"/>
      <c r="AF245"/>
      <c r="AG245"/>
      <c r="AH245"/>
      <c r="AI245"/>
    </row>
    <row r="246" spans="3:35" x14ac:dyDescent="0.2">
      <c r="C246" s="818"/>
      <c r="D246" s="818"/>
      <c r="AA246"/>
      <c r="AB246"/>
      <c r="AC246"/>
      <c r="AD246"/>
      <c r="AE246"/>
      <c r="AF246"/>
      <c r="AG246"/>
      <c r="AH246"/>
      <c r="AI246"/>
    </row>
    <row r="247" spans="3:35" x14ac:dyDescent="0.2">
      <c r="C247" s="818"/>
      <c r="D247" s="818"/>
      <c r="AA247"/>
      <c r="AB247"/>
      <c r="AC247"/>
      <c r="AD247"/>
      <c r="AE247"/>
      <c r="AF247"/>
      <c r="AG247"/>
      <c r="AH247"/>
      <c r="AI247"/>
    </row>
    <row r="248" spans="3:35" x14ac:dyDescent="0.2">
      <c r="C248" s="818"/>
      <c r="D248" s="818"/>
      <c r="AA248"/>
      <c r="AB248"/>
      <c r="AC248"/>
      <c r="AD248"/>
      <c r="AE248"/>
      <c r="AF248"/>
      <c r="AG248"/>
      <c r="AH248"/>
      <c r="AI248"/>
    </row>
    <row r="249" spans="3:35" x14ac:dyDescent="0.2">
      <c r="C249" s="818"/>
      <c r="D249" s="818"/>
      <c r="AA249"/>
      <c r="AB249"/>
      <c r="AC249"/>
      <c r="AD249"/>
      <c r="AE249"/>
      <c r="AF249"/>
      <c r="AG249"/>
      <c r="AH249"/>
      <c r="AI249"/>
    </row>
    <row r="250" spans="3:35" x14ac:dyDescent="0.2">
      <c r="C250" s="818"/>
      <c r="D250" s="818"/>
      <c r="AA250"/>
      <c r="AB250"/>
      <c r="AC250"/>
      <c r="AD250"/>
      <c r="AE250"/>
      <c r="AF250"/>
      <c r="AG250"/>
      <c r="AH250"/>
      <c r="AI250"/>
    </row>
    <row r="251" spans="3:35" x14ac:dyDescent="0.2">
      <c r="C251" s="818"/>
      <c r="D251" s="818"/>
      <c r="AA251"/>
      <c r="AB251"/>
      <c r="AC251"/>
      <c r="AD251"/>
      <c r="AE251"/>
      <c r="AF251"/>
      <c r="AG251"/>
      <c r="AH251"/>
      <c r="AI251"/>
    </row>
    <row r="252" spans="3:35" x14ac:dyDescent="0.2">
      <c r="C252" s="818"/>
      <c r="D252" s="818"/>
      <c r="AA252"/>
      <c r="AB252"/>
      <c r="AC252"/>
      <c r="AD252"/>
      <c r="AE252"/>
      <c r="AF252"/>
      <c r="AG252"/>
      <c r="AH252"/>
      <c r="AI252"/>
    </row>
    <row r="253" spans="3:35" x14ac:dyDescent="0.2">
      <c r="C253" s="818"/>
      <c r="D253" s="818"/>
      <c r="AA253"/>
      <c r="AB253"/>
      <c r="AC253"/>
      <c r="AD253"/>
      <c r="AE253"/>
      <c r="AF253"/>
      <c r="AG253"/>
      <c r="AH253"/>
      <c r="AI253"/>
    </row>
    <row r="254" spans="3:35" x14ac:dyDescent="0.2">
      <c r="C254" s="818"/>
      <c r="D254" s="818"/>
      <c r="AA254"/>
      <c r="AB254"/>
      <c r="AC254"/>
      <c r="AD254"/>
      <c r="AE254"/>
      <c r="AF254"/>
      <c r="AG254"/>
      <c r="AH254"/>
      <c r="AI254"/>
    </row>
    <row r="255" spans="3:35" x14ac:dyDescent="0.2">
      <c r="C255" s="818"/>
      <c r="D255" s="818"/>
      <c r="AA255"/>
      <c r="AB255"/>
      <c r="AC255"/>
      <c r="AD255"/>
      <c r="AE255"/>
      <c r="AF255"/>
      <c r="AG255"/>
      <c r="AH255"/>
      <c r="AI255"/>
    </row>
    <row r="256" spans="3:35" x14ac:dyDescent="0.2">
      <c r="C256" s="818"/>
      <c r="D256" s="818"/>
      <c r="AA256"/>
      <c r="AB256"/>
      <c r="AC256"/>
      <c r="AD256"/>
      <c r="AE256"/>
      <c r="AF256"/>
      <c r="AG256"/>
      <c r="AH256"/>
      <c r="AI256"/>
    </row>
    <row r="257" spans="3:35" x14ac:dyDescent="0.2">
      <c r="C257" s="818"/>
      <c r="D257" s="818"/>
      <c r="AA257"/>
      <c r="AB257"/>
      <c r="AC257"/>
      <c r="AD257"/>
      <c r="AE257"/>
      <c r="AF257"/>
      <c r="AG257"/>
      <c r="AH257"/>
      <c r="AI257"/>
    </row>
    <row r="258" spans="3:35" x14ac:dyDescent="0.2">
      <c r="C258" s="818"/>
      <c r="D258" s="818"/>
      <c r="AA258"/>
      <c r="AB258"/>
      <c r="AC258"/>
      <c r="AD258"/>
      <c r="AE258"/>
      <c r="AF258"/>
      <c r="AG258"/>
      <c r="AH258"/>
      <c r="AI258"/>
    </row>
    <row r="259" spans="3:35" x14ac:dyDescent="0.2">
      <c r="C259" s="818"/>
      <c r="D259" s="818"/>
      <c r="AA259"/>
      <c r="AB259"/>
      <c r="AC259"/>
      <c r="AD259"/>
      <c r="AE259"/>
      <c r="AF259"/>
      <c r="AG259"/>
      <c r="AH259"/>
      <c r="AI259"/>
    </row>
    <row r="260" spans="3:35" x14ac:dyDescent="0.2">
      <c r="C260" s="818"/>
      <c r="D260" s="818"/>
      <c r="AA260"/>
      <c r="AB260"/>
      <c r="AC260"/>
      <c r="AD260"/>
      <c r="AE260"/>
      <c r="AF260"/>
      <c r="AG260"/>
      <c r="AH260"/>
      <c r="AI260"/>
    </row>
    <row r="261" spans="3:35" x14ac:dyDescent="0.2">
      <c r="C261" s="818"/>
      <c r="D261" s="818"/>
      <c r="AA261"/>
      <c r="AB261"/>
      <c r="AC261"/>
      <c r="AD261"/>
      <c r="AE261"/>
      <c r="AF261"/>
      <c r="AG261"/>
      <c r="AH261"/>
      <c r="AI261"/>
    </row>
    <row r="262" spans="3:35" x14ac:dyDescent="0.2">
      <c r="C262" s="818"/>
      <c r="D262" s="818"/>
      <c r="AA262"/>
      <c r="AB262"/>
      <c r="AC262"/>
      <c r="AD262"/>
      <c r="AE262"/>
      <c r="AF262"/>
      <c r="AG262"/>
      <c r="AH262"/>
      <c r="AI262"/>
    </row>
    <row r="263" spans="3:35" x14ac:dyDescent="0.2">
      <c r="C263" s="818"/>
      <c r="D263" s="818"/>
      <c r="AA263"/>
      <c r="AB263"/>
      <c r="AC263"/>
      <c r="AD263"/>
      <c r="AE263"/>
      <c r="AF263"/>
      <c r="AG263"/>
      <c r="AH263"/>
      <c r="AI263"/>
    </row>
    <row r="264" spans="3:35" x14ac:dyDescent="0.2">
      <c r="C264" s="818"/>
      <c r="D264" s="818"/>
      <c r="AA264"/>
      <c r="AB264"/>
      <c r="AC264"/>
      <c r="AD264"/>
      <c r="AE264"/>
      <c r="AF264"/>
      <c r="AG264"/>
      <c r="AH264"/>
      <c r="AI264"/>
    </row>
    <row r="265" spans="3:35" x14ac:dyDescent="0.2">
      <c r="C265" s="818"/>
      <c r="D265" s="818"/>
      <c r="AA265"/>
      <c r="AB265"/>
      <c r="AC265"/>
      <c r="AD265"/>
      <c r="AE265"/>
      <c r="AF265"/>
      <c r="AG265"/>
      <c r="AH265"/>
      <c r="AI265"/>
    </row>
    <row r="266" spans="3:35" x14ac:dyDescent="0.2">
      <c r="C266" s="818"/>
      <c r="D266" s="818"/>
      <c r="AA266"/>
      <c r="AB266"/>
      <c r="AC266"/>
      <c r="AD266"/>
      <c r="AE266"/>
      <c r="AF266"/>
      <c r="AG266"/>
      <c r="AH266"/>
      <c r="AI266"/>
    </row>
    <row r="267" spans="3:35" x14ac:dyDescent="0.2">
      <c r="C267" s="818"/>
      <c r="D267" s="818"/>
      <c r="AA267"/>
      <c r="AB267"/>
      <c r="AC267"/>
      <c r="AD267"/>
      <c r="AE267"/>
      <c r="AF267"/>
      <c r="AG267"/>
      <c r="AH267"/>
      <c r="AI267"/>
    </row>
    <row r="268" spans="3:35" x14ac:dyDescent="0.2">
      <c r="C268" s="818"/>
      <c r="D268" s="818"/>
      <c r="AA268"/>
      <c r="AB268"/>
      <c r="AC268"/>
      <c r="AD268"/>
      <c r="AE268"/>
      <c r="AF268"/>
      <c r="AG268"/>
      <c r="AH268"/>
      <c r="AI268"/>
    </row>
    <row r="269" spans="3:35" x14ac:dyDescent="0.2">
      <c r="C269" s="818"/>
      <c r="D269" s="818"/>
      <c r="AA269"/>
      <c r="AB269"/>
      <c r="AC269"/>
      <c r="AD269"/>
      <c r="AE269"/>
      <c r="AF269"/>
      <c r="AG269"/>
      <c r="AH269"/>
      <c r="AI269"/>
    </row>
    <row r="270" spans="3:35" x14ac:dyDescent="0.2">
      <c r="C270" s="818"/>
      <c r="D270" s="818"/>
      <c r="AA270"/>
      <c r="AB270"/>
      <c r="AC270"/>
      <c r="AD270"/>
      <c r="AE270"/>
      <c r="AF270"/>
      <c r="AG270"/>
      <c r="AH270"/>
      <c r="AI270"/>
    </row>
    <row r="271" spans="3:35" x14ac:dyDescent="0.2">
      <c r="C271" s="818"/>
      <c r="D271" s="818"/>
      <c r="AA271"/>
      <c r="AB271"/>
      <c r="AC271"/>
      <c r="AD271"/>
      <c r="AE271"/>
      <c r="AF271"/>
      <c r="AG271"/>
      <c r="AH271"/>
      <c r="AI271"/>
    </row>
    <row r="272" spans="3:35" x14ac:dyDescent="0.2">
      <c r="C272" s="818"/>
      <c r="D272" s="818"/>
      <c r="AA272"/>
      <c r="AB272"/>
      <c r="AC272"/>
      <c r="AD272"/>
      <c r="AE272"/>
      <c r="AF272"/>
      <c r="AG272"/>
      <c r="AH272"/>
      <c r="AI272"/>
    </row>
    <row r="273" spans="3:35" x14ac:dyDescent="0.2">
      <c r="C273" s="818"/>
      <c r="D273" s="818"/>
      <c r="AA273"/>
      <c r="AB273"/>
      <c r="AC273"/>
      <c r="AD273"/>
      <c r="AE273"/>
      <c r="AF273"/>
      <c r="AG273"/>
      <c r="AH273"/>
      <c r="AI273"/>
    </row>
    <row r="274" spans="3:35" x14ac:dyDescent="0.2">
      <c r="C274" s="818"/>
      <c r="D274" s="818"/>
      <c r="AA274"/>
      <c r="AB274"/>
      <c r="AC274"/>
      <c r="AD274"/>
      <c r="AE274"/>
      <c r="AF274"/>
      <c r="AG274"/>
      <c r="AH274"/>
      <c r="AI274"/>
    </row>
    <row r="275" spans="3:35" x14ac:dyDescent="0.2">
      <c r="C275" s="818"/>
      <c r="D275" s="818"/>
      <c r="AA275"/>
      <c r="AB275"/>
      <c r="AC275"/>
      <c r="AD275"/>
      <c r="AE275"/>
      <c r="AF275"/>
      <c r="AG275"/>
      <c r="AH275"/>
      <c r="AI275"/>
    </row>
    <row r="276" spans="3:35" x14ac:dyDescent="0.2">
      <c r="C276" s="818"/>
      <c r="D276" s="818"/>
      <c r="AA276"/>
      <c r="AB276"/>
      <c r="AC276"/>
      <c r="AD276"/>
      <c r="AE276"/>
      <c r="AF276"/>
      <c r="AG276"/>
      <c r="AH276"/>
      <c r="AI276"/>
    </row>
    <row r="277" spans="3:35" x14ac:dyDescent="0.2">
      <c r="C277" s="818"/>
      <c r="D277" s="818"/>
      <c r="AA277"/>
      <c r="AB277"/>
      <c r="AC277"/>
      <c r="AD277"/>
      <c r="AE277"/>
      <c r="AF277"/>
      <c r="AG277"/>
      <c r="AH277"/>
      <c r="AI277"/>
    </row>
    <row r="278" spans="3:35" x14ac:dyDescent="0.2">
      <c r="C278" s="818"/>
      <c r="D278" s="818"/>
      <c r="AA278"/>
      <c r="AB278"/>
      <c r="AC278"/>
      <c r="AD278"/>
      <c r="AE278"/>
      <c r="AF278"/>
      <c r="AG278"/>
      <c r="AH278"/>
      <c r="AI278"/>
    </row>
    <row r="279" spans="3:35" x14ac:dyDescent="0.2">
      <c r="C279" s="818"/>
      <c r="D279" s="818"/>
      <c r="AA279"/>
      <c r="AB279"/>
      <c r="AC279"/>
      <c r="AD279"/>
      <c r="AE279"/>
      <c r="AF279"/>
      <c r="AG279"/>
      <c r="AH279"/>
      <c r="AI279"/>
    </row>
    <row r="280" spans="3:35" x14ac:dyDescent="0.2">
      <c r="C280" s="818"/>
      <c r="D280" s="818"/>
      <c r="AA280"/>
      <c r="AB280"/>
      <c r="AC280"/>
      <c r="AD280"/>
      <c r="AE280"/>
      <c r="AF280"/>
      <c r="AG280"/>
      <c r="AH280"/>
      <c r="AI280"/>
    </row>
    <row r="281" spans="3:35" x14ac:dyDescent="0.2">
      <c r="AA281"/>
      <c r="AB281"/>
      <c r="AC281"/>
      <c r="AD281"/>
      <c r="AE281"/>
      <c r="AF281"/>
      <c r="AG281"/>
      <c r="AH281"/>
      <c r="AI281"/>
    </row>
    <row r="282" spans="3:35" x14ac:dyDescent="0.2">
      <c r="AA282"/>
      <c r="AB282"/>
      <c r="AC282"/>
      <c r="AD282"/>
      <c r="AE282"/>
      <c r="AF282"/>
      <c r="AG282"/>
      <c r="AH282"/>
      <c r="AI282"/>
    </row>
    <row r="283" spans="3:35" x14ac:dyDescent="0.2">
      <c r="AA283"/>
      <c r="AB283"/>
      <c r="AC283"/>
      <c r="AD283"/>
      <c r="AE283"/>
      <c r="AF283"/>
      <c r="AG283"/>
      <c r="AH283"/>
      <c r="AI283"/>
    </row>
    <row r="284" spans="3:35" x14ac:dyDescent="0.2">
      <c r="AA284"/>
      <c r="AB284"/>
      <c r="AC284"/>
      <c r="AD284"/>
      <c r="AE284"/>
      <c r="AF284"/>
      <c r="AG284"/>
      <c r="AH284"/>
      <c r="AI284"/>
    </row>
    <row r="285" spans="3:35" x14ac:dyDescent="0.2">
      <c r="AA285"/>
      <c r="AB285"/>
      <c r="AC285"/>
      <c r="AD285"/>
      <c r="AE285"/>
      <c r="AF285"/>
      <c r="AG285"/>
      <c r="AH285"/>
      <c r="AI285"/>
    </row>
    <row r="286" spans="3:35" x14ac:dyDescent="0.2">
      <c r="AA286"/>
      <c r="AB286"/>
      <c r="AC286"/>
      <c r="AD286"/>
      <c r="AE286"/>
      <c r="AF286"/>
      <c r="AG286"/>
      <c r="AH286"/>
      <c r="AI286"/>
    </row>
    <row r="287" spans="3:35" x14ac:dyDescent="0.2">
      <c r="AA287"/>
      <c r="AB287"/>
      <c r="AC287"/>
      <c r="AD287"/>
      <c r="AE287"/>
      <c r="AF287"/>
      <c r="AG287"/>
      <c r="AH287"/>
      <c r="AI287"/>
    </row>
    <row r="288" spans="3: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A5:B15 A17:B31 A33:B38 A40:B46 A48:B53 A62:B66 A55:B60 A68:B71 A73:B81 A83:B92 A94:B102 A104:B111 A113:B121 A123:B129 A131:B135 A137:B139">
    <cfRule type="expression" dxfId="190" priority="10" stopIfTrue="1">
      <formula>AND(NOT($K5=""),$K$1=1)</formula>
    </cfRule>
  </conditionalFormatting>
  <conditionalFormatting sqref="C5:M139">
    <cfRule type="expression" dxfId="189" priority="8">
      <formula>AND(NOT($K5=""),$K$1=1)</formula>
    </cfRule>
  </conditionalFormatting>
  <conditionalFormatting sqref="C6:C139">
    <cfRule type="expression" dxfId="188" priority="7">
      <formula>AND(NOT($K6=""),$K$1=1)</formula>
    </cfRule>
  </conditionalFormatting>
  <conditionalFormatting sqref="C6:C139">
    <cfRule type="expression" dxfId="187" priority="6">
      <formula>AND(NOT($K6=""),$K$1=1)</formula>
    </cfRule>
  </conditionalFormatting>
  <conditionalFormatting sqref="C5">
    <cfRule type="expression" dxfId="186" priority="5">
      <formula>AND(NOT($K5=""),$K$1=1)</formula>
    </cfRule>
  </conditionalFormatting>
  <conditionalFormatting sqref="C5">
    <cfRule type="expression" dxfId="185" priority="4">
      <formula>AND(NOT($K5=""),$K$1=1)</formula>
    </cfRule>
  </conditionalFormatting>
  <conditionalFormatting sqref="C5">
    <cfRule type="expression" dxfId="184" priority="3" stopIfTrue="1">
      <formula>AND(NOT($K5=""),$K$1=1)</formula>
    </cfRule>
  </conditionalFormatting>
  <conditionalFormatting sqref="C6:C139">
    <cfRule type="expression" dxfId="183" priority="2" stopIfTrue="1">
      <formula>AND(NOT($K6=""),$K$1=1)</formula>
    </cfRule>
  </conditionalFormatting>
  <conditionalFormatting sqref="C4:C139">
    <cfRule type="expression" dxfId="182"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tabColor indexed="47"/>
  </sheetPr>
  <dimension ref="A1:AI400"/>
  <sheetViews>
    <sheetView workbookViewId="0">
      <pane xSplit="11" ySplit="2" topLeftCell="M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10.28515625" style="836" customWidth="1"/>
    <col min="2" max="2" width="86.42578125" style="837" customWidth="1"/>
    <col min="3" max="3" width="4.28515625" style="783" customWidth="1"/>
    <col min="4" max="4" width="5" style="783" customWidth="1"/>
    <col min="5" max="6" width="5.140625" style="783" bestFit="1" customWidth="1"/>
    <col min="7" max="10" width="4.7109375" style="845" customWidth="1" outlineLevel="1"/>
    <col min="11" max="11" width="13.7109375" style="833" customWidth="1" outlineLevel="1"/>
    <col min="12" max="12" width="13.7109375" style="783" customWidth="1"/>
    <col min="13" max="13" width="19.42578125" style="846" customWidth="1"/>
    <col min="14" max="25" width="11.28515625" style="581"/>
    <col min="26" max="26" width="13" style="581" customWidth="1"/>
    <col min="27" max="35" width="13" style="819" hidden="1" customWidth="1"/>
    <col min="36" max="16384" width="11.28515625" style="819"/>
  </cols>
  <sheetData>
    <row r="1" spans="1:35" ht="18" x14ac:dyDescent="0.25">
      <c r="A1" s="776" t="s">
        <v>5563</v>
      </c>
      <c r="B1" s="817"/>
      <c r="C1" s="778">
        <v>1</v>
      </c>
      <c r="D1" s="1967" t="str">
        <f>"variante"&amp;IF(C1&gt;1,"s","")</f>
        <v>variante</v>
      </c>
      <c r="E1" s="1968"/>
      <c r="F1" s="779"/>
      <c r="G1" s="780"/>
      <c r="H1" s="780"/>
      <c r="I1" s="780"/>
      <c r="J1" s="780"/>
      <c r="K1" s="782">
        <f>'ISO 27002'!F2</f>
        <v>0</v>
      </c>
      <c r="M1" s="818"/>
    </row>
    <row r="2" spans="1:35" s="643" customFormat="1" ht="12.75" customHeight="1" x14ac:dyDescent="0.2">
      <c r="A2" s="545" t="s">
        <v>3585</v>
      </c>
      <c r="B2" s="625" t="s">
        <v>3675</v>
      </c>
      <c r="C2" s="820" t="s">
        <v>3676</v>
      </c>
      <c r="D2" s="698" t="s">
        <v>3677</v>
      </c>
      <c r="E2" s="698" t="s">
        <v>3678</v>
      </c>
      <c r="F2" s="698" t="s">
        <v>3679</v>
      </c>
      <c r="G2" s="699" t="s">
        <v>1428</v>
      </c>
      <c r="H2" s="699" t="s">
        <v>3680</v>
      </c>
      <c r="I2" s="699" t="s">
        <v>2054</v>
      </c>
      <c r="J2" s="699" t="s">
        <v>3681</v>
      </c>
      <c r="K2" s="699">
        <v>2013</v>
      </c>
      <c r="L2" s="699">
        <v>2005</v>
      </c>
      <c r="M2" s="699" t="s">
        <v>3682</v>
      </c>
      <c r="N2" s="679"/>
      <c r="O2" s="679"/>
      <c r="P2" s="679"/>
      <c r="Q2" s="679"/>
      <c r="R2" s="679"/>
      <c r="S2" s="679"/>
      <c r="T2" s="679"/>
      <c r="U2" s="679"/>
      <c r="V2" s="679"/>
      <c r="W2" s="679"/>
      <c r="X2" s="679"/>
      <c r="Y2" s="679"/>
      <c r="Z2" s="679"/>
    </row>
    <row r="3" spans="1:35" x14ac:dyDescent="0.2">
      <c r="A3" s="627" t="s">
        <v>3804</v>
      </c>
      <c r="B3" s="627" t="s">
        <v>6652</v>
      </c>
      <c r="C3" s="821"/>
      <c r="D3" s="1158"/>
      <c r="E3" s="1158"/>
      <c r="F3" s="822"/>
      <c r="G3" s="1471"/>
      <c r="H3" s="1471"/>
      <c r="I3" s="1471"/>
      <c r="J3" s="1471"/>
      <c r="K3" s="1472"/>
      <c r="L3" s="1472"/>
      <c r="M3" s="823"/>
    </row>
    <row r="4" spans="1:35" outlineLevel="1" x14ac:dyDescent="0.2">
      <c r="A4" s="633" t="s">
        <v>5426</v>
      </c>
      <c r="B4" s="634" t="s">
        <v>5427</v>
      </c>
      <c r="C4" s="786"/>
      <c r="D4" s="1158"/>
      <c r="E4" s="1158"/>
      <c r="F4" s="822"/>
      <c r="G4" s="1471"/>
      <c r="H4" s="1471"/>
      <c r="I4" s="1471"/>
      <c r="J4" s="1471"/>
      <c r="K4" s="1472"/>
      <c r="L4" s="1472"/>
      <c r="M4" s="823"/>
      <c r="AA4"/>
      <c r="AB4"/>
      <c r="AC4"/>
      <c r="AD4"/>
      <c r="AE4"/>
      <c r="AF4"/>
      <c r="AG4"/>
      <c r="AH4"/>
      <c r="AI4"/>
    </row>
    <row r="5" spans="1:35" ht="22.5" outlineLevel="2" x14ac:dyDescent="0.2">
      <c r="A5" s="636" t="s">
        <v>3805</v>
      </c>
      <c r="B5" s="636" t="s">
        <v>6013</v>
      </c>
      <c r="C5" s="786"/>
      <c r="D5" s="1158"/>
      <c r="E5" s="1158"/>
      <c r="F5" s="822"/>
      <c r="G5" s="1473">
        <v>2</v>
      </c>
      <c r="H5" s="1471"/>
      <c r="I5" s="1471"/>
      <c r="J5" s="1473" t="s">
        <v>4246</v>
      </c>
      <c r="K5" s="1472" t="s">
        <v>1165</v>
      </c>
      <c r="L5" s="1472" t="s">
        <v>3577</v>
      </c>
      <c r="M5" s="823"/>
      <c r="AA5">
        <f>IF(AND('07 Sys'!C5&gt;Tmin, NOT('07 Sys'!$I5="")),'07 Sys'!$I5,0)</f>
        <v>0</v>
      </c>
      <c r="AB5">
        <f>IF(AND('07 Sys'!D5&gt;Tmin, NOT('07 Sys'!$I5="")),'07 Sys'!$I5,0)</f>
        <v>0</v>
      </c>
      <c r="AC5">
        <f>IF(AND('07 Sys'!E5&gt;Tmin, NOT('07 Sys'!$I5="")),'07 Sys'!$I5,0)</f>
        <v>0</v>
      </c>
      <c r="AD5">
        <f>IF(AND('07 Sys'!F5&gt;Tmin, NOT('07 Sys'!$I5="")),'07 Sys'!$I5,0)</f>
        <v>0</v>
      </c>
      <c r="AE5">
        <f>IF(AND('07 Sys'!C5&lt;Tmax, NOT('07 Sys'!$H5="")),'07 Sys'!$H5,4)</f>
        <v>4</v>
      </c>
      <c r="AF5">
        <f>IF(AND('07 Sys'!D5&lt;Tmax, NOT('07 Sys'!$H5="")),'07 Sys'!$H5,4)</f>
        <v>4</v>
      </c>
      <c r="AG5">
        <f>IF(AND('07 Sys'!E5&lt;Tmax, NOT('07 Sys'!$H5="")),'07 Sys'!$H5,4)</f>
        <v>4</v>
      </c>
      <c r="AH5">
        <f>IF(AND('07 Sys'!F5&lt;Tmax, NOT('07 Sys'!$H5="")),'07 Sys'!$H5,4)</f>
        <v>4</v>
      </c>
      <c r="AI5"/>
    </row>
    <row r="6" spans="1:35" ht="48.75" customHeight="1" outlineLevel="2" x14ac:dyDescent="0.2">
      <c r="A6" s="636" t="s">
        <v>2290</v>
      </c>
      <c r="B6" s="636" t="s">
        <v>6014</v>
      </c>
      <c r="C6" s="786"/>
      <c r="D6" s="1158"/>
      <c r="E6" s="1158"/>
      <c r="F6" s="822"/>
      <c r="G6" s="1473">
        <v>4</v>
      </c>
      <c r="H6" s="1473">
        <v>2</v>
      </c>
      <c r="I6" s="1473"/>
      <c r="J6" s="1473" t="s">
        <v>4246</v>
      </c>
      <c r="K6" s="1475" t="s">
        <v>7124</v>
      </c>
      <c r="L6" s="1472" t="s">
        <v>3579</v>
      </c>
      <c r="M6" s="823"/>
      <c r="AA6">
        <f>IF(AND('07 Sys'!C6&gt;Tmin, NOT('07 Sys'!$I6="")),'07 Sys'!$I6,0)</f>
        <v>0</v>
      </c>
      <c r="AB6">
        <f>IF(AND('07 Sys'!D6&gt;Tmin, NOT('07 Sys'!$I6="")),'07 Sys'!$I6,0)</f>
        <v>0</v>
      </c>
      <c r="AC6">
        <f>IF(AND('07 Sys'!E6&gt;Tmin, NOT('07 Sys'!$I6="")),'07 Sys'!$I6,0)</f>
        <v>0</v>
      </c>
      <c r="AD6">
        <f>IF(AND('07 Sys'!F6&gt;Tmin, NOT('07 Sys'!$I6="")),'07 Sys'!$I6,0)</f>
        <v>0</v>
      </c>
      <c r="AE6">
        <f>IF(AND('07 Sys'!C6&lt;Tmax, NOT('07 Sys'!$H6="")),'07 Sys'!$H6,4)</f>
        <v>2</v>
      </c>
      <c r="AF6">
        <f>IF(AND('07 Sys'!D6&lt;Tmax, NOT('07 Sys'!$H6="")),'07 Sys'!$H6,4)</f>
        <v>2</v>
      </c>
      <c r="AG6">
        <f>IF(AND('07 Sys'!E6&lt;Tmax, NOT('07 Sys'!$H6="")),'07 Sys'!$H6,4)</f>
        <v>2</v>
      </c>
      <c r="AH6">
        <f>IF(AND('07 Sys'!F6&lt;Tmax, NOT('07 Sys'!$H6="")),'07 Sys'!$H6,4)</f>
        <v>2</v>
      </c>
      <c r="AI6"/>
    </row>
    <row r="7" spans="1:35" ht="46.5" customHeight="1" outlineLevel="2" x14ac:dyDescent="0.2">
      <c r="A7" s="636" t="s">
        <v>2291</v>
      </c>
      <c r="B7" s="636" t="s">
        <v>6737</v>
      </c>
      <c r="C7" s="786"/>
      <c r="D7" s="1158"/>
      <c r="E7" s="1158"/>
      <c r="F7" s="822"/>
      <c r="G7" s="1473">
        <v>4</v>
      </c>
      <c r="H7" s="1473"/>
      <c r="I7" s="1473"/>
      <c r="J7" s="1473" t="s">
        <v>1592</v>
      </c>
      <c r="K7" s="1475"/>
      <c r="L7" s="1472"/>
      <c r="M7" s="823"/>
      <c r="AA7">
        <f>IF(AND('07 Sys'!C7&gt;Tmin, NOT('07 Sys'!$I7="")),'07 Sys'!$I7,0)</f>
        <v>0</v>
      </c>
      <c r="AB7">
        <f>IF(AND('07 Sys'!D7&gt;Tmin, NOT('07 Sys'!$I7="")),'07 Sys'!$I7,0)</f>
        <v>0</v>
      </c>
      <c r="AC7">
        <f>IF(AND('07 Sys'!E7&gt;Tmin, NOT('07 Sys'!$I7="")),'07 Sys'!$I7,0)</f>
        <v>0</v>
      </c>
      <c r="AD7">
        <f>IF(AND('07 Sys'!F7&gt;Tmin, NOT('07 Sys'!$I7="")),'07 Sys'!$I7,0)</f>
        <v>0</v>
      </c>
      <c r="AE7">
        <f>IF(AND('07 Sys'!C7&lt;Tmax, NOT('07 Sys'!$H7="")),'07 Sys'!$H7,4)</f>
        <v>4</v>
      </c>
      <c r="AF7">
        <f>IF(AND('07 Sys'!D7&lt;Tmax, NOT('07 Sys'!$H7="")),'07 Sys'!$H7,4)</f>
        <v>4</v>
      </c>
      <c r="AG7">
        <f>IF(AND('07 Sys'!E7&lt;Tmax, NOT('07 Sys'!$H7="")),'07 Sys'!$H7,4)</f>
        <v>4</v>
      </c>
      <c r="AH7">
        <f>IF(AND('07 Sys'!F7&lt;Tmax, NOT('07 Sys'!$H7="")),'07 Sys'!$H7,4)</f>
        <v>4</v>
      </c>
      <c r="AI7"/>
    </row>
    <row r="8" spans="1:35" ht="22.5" outlineLevel="2" x14ac:dyDescent="0.2">
      <c r="A8" s="636" t="s">
        <v>2292</v>
      </c>
      <c r="B8" s="636" t="s">
        <v>6738</v>
      </c>
      <c r="C8" s="786"/>
      <c r="D8" s="1158"/>
      <c r="E8" s="1158"/>
      <c r="F8" s="822"/>
      <c r="G8" s="1473">
        <v>2</v>
      </c>
      <c r="H8" s="1473"/>
      <c r="I8" s="1473"/>
      <c r="J8" s="1473" t="s">
        <v>2329</v>
      </c>
      <c r="K8" s="1475" t="s">
        <v>6951</v>
      </c>
      <c r="L8" s="1472" t="s">
        <v>7346</v>
      </c>
      <c r="M8" s="823"/>
      <c r="AA8">
        <f>IF(AND('07 Sys'!C8&gt;Tmin, NOT('07 Sys'!$I8="")),'07 Sys'!$I8,0)</f>
        <v>0</v>
      </c>
      <c r="AB8">
        <f>IF(AND('07 Sys'!D8&gt;Tmin, NOT('07 Sys'!$I8="")),'07 Sys'!$I8,0)</f>
        <v>0</v>
      </c>
      <c r="AC8">
        <f>IF(AND('07 Sys'!E8&gt;Tmin, NOT('07 Sys'!$I8="")),'07 Sys'!$I8,0)</f>
        <v>0</v>
      </c>
      <c r="AD8">
        <f>IF(AND('07 Sys'!F8&gt;Tmin, NOT('07 Sys'!$I8="")),'07 Sys'!$I8,0)</f>
        <v>0</v>
      </c>
      <c r="AE8">
        <f>IF(AND('07 Sys'!C8&lt;Tmax, NOT('07 Sys'!$H8="")),'07 Sys'!$H8,4)</f>
        <v>4</v>
      </c>
      <c r="AF8">
        <f>IF(AND('07 Sys'!D8&lt;Tmax, NOT('07 Sys'!$H8="")),'07 Sys'!$H8,4)</f>
        <v>4</v>
      </c>
      <c r="AG8">
        <f>IF(AND('07 Sys'!E8&lt;Tmax, NOT('07 Sys'!$H8="")),'07 Sys'!$H8,4)</f>
        <v>4</v>
      </c>
      <c r="AH8">
        <f>IF(AND('07 Sys'!F8&lt;Tmax, NOT('07 Sys'!$H8="")),'07 Sys'!$H8,4)</f>
        <v>4</v>
      </c>
      <c r="AI8"/>
    </row>
    <row r="9" spans="1:35" ht="22.5" outlineLevel="2" x14ac:dyDescent="0.2">
      <c r="A9" s="636" t="s">
        <v>2293</v>
      </c>
      <c r="B9" s="636" t="s">
        <v>1948</v>
      </c>
      <c r="C9" s="786"/>
      <c r="D9" s="1158"/>
      <c r="E9" s="1158"/>
      <c r="F9" s="822"/>
      <c r="G9" s="1473">
        <v>4</v>
      </c>
      <c r="H9" s="1473">
        <v>2</v>
      </c>
      <c r="I9" s="1473"/>
      <c r="J9" s="1473" t="s">
        <v>1592</v>
      </c>
      <c r="K9" s="1475" t="s">
        <v>6951</v>
      </c>
      <c r="L9" s="1472" t="s">
        <v>7346</v>
      </c>
      <c r="M9" s="823"/>
      <c r="AA9">
        <f>IF(AND('07 Sys'!C9&gt;Tmin, NOT('07 Sys'!$I9="")),'07 Sys'!$I9,0)</f>
        <v>0</v>
      </c>
      <c r="AB9">
        <f>IF(AND('07 Sys'!D9&gt;Tmin, NOT('07 Sys'!$I9="")),'07 Sys'!$I9,0)</f>
        <v>0</v>
      </c>
      <c r="AC9">
        <f>IF(AND('07 Sys'!E9&gt;Tmin, NOT('07 Sys'!$I9="")),'07 Sys'!$I9,0)</f>
        <v>0</v>
      </c>
      <c r="AD9">
        <f>IF(AND('07 Sys'!F9&gt;Tmin, NOT('07 Sys'!$I9="")),'07 Sys'!$I9,0)</f>
        <v>0</v>
      </c>
      <c r="AE9">
        <f>IF(AND('07 Sys'!C9&lt;Tmax, NOT('07 Sys'!$H9="")),'07 Sys'!$H9,4)</f>
        <v>2</v>
      </c>
      <c r="AF9">
        <f>IF(AND('07 Sys'!D9&lt;Tmax, NOT('07 Sys'!$H9="")),'07 Sys'!$H9,4)</f>
        <v>2</v>
      </c>
      <c r="AG9">
        <f>IF(AND('07 Sys'!E9&lt;Tmax, NOT('07 Sys'!$H9="")),'07 Sys'!$H9,4)</f>
        <v>2</v>
      </c>
      <c r="AH9">
        <f>IF(AND('07 Sys'!F9&lt;Tmax, NOT('07 Sys'!$H9="")),'07 Sys'!$H9,4)</f>
        <v>2</v>
      </c>
      <c r="AI9"/>
    </row>
    <row r="10" spans="1:35" ht="57" customHeight="1" outlineLevel="2" x14ac:dyDescent="0.2">
      <c r="A10" s="636" t="s">
        <v>1949</v>
      </c>
      <c r="B10" s="636" t="s">
        <v>1387</v>
      </c>
      <c r="C10" s="786"/>
      <c r="D10" s="1158"/>
      <c r="E10" s="1158"/>
      <c r="F10" s="822"/>
      <c r="G10" s="1473">
        <v>4</v>
      </c>
      <c r="H10" s="1473">
        <v>3</v>
      </c>
      <c r="I10" s="1473"/>
      <c r="J10" s="1473" t="s">
        <v>2349</v>
      </c>
      <c r="K10" s="1475"/>
      <c r="L10" s="1472"/>
      <c r="M10" s="823"/>
      <c r="AA10">
        <f>IF(AND('07 Sys'!C10&gt;Tmin, NOT('07 Sys'!$I10="")),'07 Sys'!$I10,0)</f>
        <v>0</v>
      </c>
      <c r="AB10">
        <f>IF(AND('07 Sys'!D10&gt;Tmin, NOT('07 Sys'!$I10="")),'07 Sys'!$I10,0)</f>
        <v>0</v>
      </c>
      <c r="AC10">
        <f>IF(AND('07 Sys'!E10&gt;Tmin, NOT('07 Sys'!$I10="")),'07 Sys'!$I10,0)</f>
        <v>0</v>
      </c>
      <c r="AD10">
        <f>IF(AND('07 Sys'!F10&gt;Tmin, NOT('07 Sys'!$I10="")),'07 Sys'!$I10,0)</f>
        <v>0</v>
      </c>
      <c r="AE10">
        <f>IF(AND('07 Sys'!C10&lt;Tmax, NOT('07 Sys'!$H10="")),'07 Sys'!$H10,4)</f>
        <v>3</v>
      </c>
      <c r="AF10">
        <f>IF(AND('07 Sys'!D10&lt;Tmax, NOT('07 Sys'!$H10="")),'07 Sys'!$H10,4)</f>
        <v>3</v>
      </c>
      <c r="AG10">
        <f>IF(AND('07 Sys'!E10&lt;Tmax, NOT('07 Sys'!$H10="")),'07 Sys'!$H10,4)</f>
        <v>3</v>
      </c>
      <c r="AH10">
        <f>IF(AND('07 Sys'!F10&lt;Tmax, NOT('07 Sys'!$H10="")),'07 Sys'!$H10,4)</f>
        <v>3</v>
      </c>
      <c r="AI10"/>
    </row>
    <row r="11" spans="1:35" s="643" customFormat="1" ht="14.25" customHeight="1" outlineLevel="2" x14ac:dyDescent="0.2">
      <c r="A11" s="636" t="s">
        <v>1950</v>
      </c>
      <c r="B11" s="636" t="s">
        <v>6562</v>
      </c>
      <c r="C11" s="786"/>
      <c r="D11" s="1158"/>
      <c r="E11" s="1158"/>
      <c r="F11" s="822"/>
      <c r="G11" s="1473">
        <v>2</v>
      </c>
      <c r="H11" s="1473">
        <v>2</v>
      </c>
      <c r="I11" s="1473"/>
      <c r="J11" s="1473" t="s">
        <v>2109</v>
      </c>
      <c r="K11" s="1475"/>
      <c r="L11" s="1472"/>
      <c r="M11" s="823"/>
      <c r="N11" s="679"/>
      <c r="O11" s="679"/>
      <c r="P11" s="679"/>
      <c r="Q11" s="679"/>
      <c r="R11" s="679"/>
      <c r="S11" s="679"/>
      <c r="T11" s="679"/>
      <c r="U11" s="679"/>
      <c r="V11" s="679"/>
      <c r="W11" s="679"/>
      <c r="X11" s="679"/>
      <c r="Y11" s="679"/>
      <c r="Z11" s="679"/>
      <c r="AA11">
        <f>IF(AND('07 Sys'!C11&gt;Tmin, NOT('07 Sys'!$I11="")),'07 Sys'!$I11,0)</f>
        <v>0</v>
      </c>
      <c r="AB11">
        <f>IF(AND('07 Sys'!D11&gt;Tmin, NOT('07 Sys'!$I11="")),'07 Sys'!$I11,0)</f>
        <v>0</v>
      </c>
      <c r="AC11">
        <f>IF(AND('07 Sys'!E11&gt;Tmin, NOT('07 Sys'!$I11="")),'07 Sys'!$I11,0)</f>
        <v>0</v>
      </c>
      <c r="AD11">
        <f>IF(AND('07 Sys'!F11&gt;Tmin, NOT('07 Sys'!$I11="")),'07 Sys'!$I11,0)</f>
        <v>0</v>
      </c>
      <c r="AE11">
        <f>IF(AND('07 Sys'!C11&lt;Tmax, NOT('07 Sys'!$H11="")),'07 Sys'!$H11,4)</f>
        <v>2</v>
      </c>
      <c r="AF11">
        <f>IF(AND('07 Sys'!D11&lt;Tmax, NOT('07 Sys'!$H11="")),'07 Sys'!$H11,4)</f>
        <v>2</v>
      </c>
      <c r="AG11">
        <f>IF(AND('07 Sys'!E11&lt;Tmax, NOT('07 Sys'!$H11="")),'07 Sys'!$H11,4)</f>
        <v>2</v>
      </c>
      <c r="AH11">
        <f>IF(AND('07 Sys'!F11&lt;Tmax, NOT('07 Sys'!$H11="")),'07 Sys'!$H11,4)</f>
        <v>2</v>
      </c>
      <c r="AI11"/>
    </row>
    <row r="12" spans="1:35" ht="23.25" customHeight="1" outlineLevel="2" x14ac:dyDescent="0.2">
      <c r="A12" s="636" t="s">
        <v>6563</v>
      </c>
      <c r="B12" s="636" t="s">
        <v>4433</v>
      </c>
      <c r="C12" s="786"/>
      <c r="D12" s="1158"/>
      <c r="E12" s="1158"/>
      <c r="F12" s="822"/>
      <c r="G12" s="1473">
        <v>4</v>
      </c>
      <c r="H12" s="1473">
        <v>2</v>
      </c>
      <c r="I12" s="1473"/>
      <c r="J12" s="1473" t="s">
        <v>2109</v>
      </c>
      <c r="K12" s="1472" t="s">
        <v>6477</v>
      </c>
      <c r="L12" s="1472" t="s">
        <v>4434</v>
      </c>
      <c r="M12" s="823"/>
      <c r="AA12">
        <f>IF(AND('07 Sys'!C12&gt;Tmin, NOT('07 Sys'!$I12="")),'07 Sys'!$I12,0)</f>
        <v>0</v>
      </c>
      <c r="AB12">
        <f>IF(AND('07 Sys'!D12&gt;Tmin, NOT('07 Sys'!$I12="")),'07 Sys'!$I12,0)</f>
        <v>0</v>
      </c>
      <c r="AC12">
        <f>IF(AND('07 Sys'!E12&gt;Tmin, NOT('07 Sys'!$I12="")),'07 Sys'!$I12,0)</f>
        <v>0</v>
      </c>
      <c r="AD12">
        <f>IF(AND('07 Sys'!F12&gt;Tmin, NOT('07 Sys'!$I12="")),'07 Sys'!$I12,0)</f>
        <v>0</v>
      </c>
      <c r="AE12">
        <f>IF(AND('07 Sys'!C12&lt;Tmax, NOT('07 Sys'!$H12="")),'07 Sys'!$H12,4)</f>
        <v>2</v>
      </c>
      <c r="AF12">
        <f>IF(AND('07 Sys'!D12&lt;Tmax, NOT('07 Sys'!$H12="")),'07 Sys'!$H12,4)</f>
        <v>2</v>
      </c>
      <c r="AG12">
        <f>IF(AND('07 Sys'!E12&lt;Tmax, NOT('07 Sys'!$H12="")),'07 Sys'!$H12,4)</f>
        <v>2</v>
      </c>
      <c r="AH12">
        <f>IF(AND('07 Sys'!F12&lt;Tmax, NOT('07 Sys'!$H12="")),'07 Sys'!$H12,4)</f>
        <v>2</v>
      </c>
      <c r="AI12"/>
    </row>
    <row r="13" spans="1:35" outlineLevel="1" x14ac:dyDescent="0.2">
      <c r="A13" s="633" t="s">
        <v>5428</v>
      </c>
      <c r="B13" s="634" t="s">
        <v>1457</v>
      </c>
      <c r="C13" s="786"/>
      <c r="D13" s="1158"/>
      <c r="E13" s="1158"/>
      <c r="F13" s="822"/>
      <c r="G13" s="1473"/>
      <c r="H13" s="1473"/>
      <c r="I13" s="1473"/>
      <c r="J13" s="1473"/>
      <c r="K13" s="1472"/>
      <c r="L13" s="1472"/>
      <c r="M13" s="823"/>
      <c r="AA13"/>
      <c r="AB13"/>
      <c r="AC13"/>
      <c r="AD13"/>
      <c r="AE13"/>
      <c r="AF13"/>
      <c r="AG13"/>
      <c r="AH13"/>
      <c r="AI13"/>
    </row>
    <row r="14" spans="1:35" s="643" customFormat="1" ht="22.5" outlineLevel="2" x14ac:dyDescent="0.2">
      <c r="A14" s="636" t="s">
        <v>6564</v>
      </c>
      <c r="B14" s="636" t="s">
        <v>6565</v>
      </c>
      <c r="C14" s="786"/>
      <c r="D14" s="1158"/>
      <c r="E14" s="1158"/>
      <c r="F14" s="822"/>
      <c r="G14" s="1473">
        <v>4</v>
      </c>
      <c r="H14" s="1473">
        <v>2</v>
      </c>
      <c r="I14" s="1473"/>
      <c r="J14" s="1473" t="s">
        <v>4246</v>
      </c>
      <c r="K14" s="1475" t="s">
        <v>5608</v>
      </c>
      <c r="L14" s="1472"/>
      <c r="M14" s="823"/>
      <c r="N14" s="679"/>
      <c r="O14" s="679"/>
      <c r="P14" s="679"/>
      <c r="Q14" s="679"/>
      <c r="R14" s="679"/>
      <c r="S14" s="679"/>
      <c r="T14" s="679"/>
      <c r="U14" s="679"/>
      <c r="V14" s="679"/>
      <c r="W14" s="679"/>
      <c r="X14" s="679"/>
      <c r="Y14" s="679"/>
      <c r="Z14" s="679"/>
      <c r="AA14">
        <f>IF(AND('07 Sys'!C14&gt;Tmin, NOT('07 Sys'!$I14="")),'07 Sys'!$I14,0)</f>
        <v>0</v>
      </c>
      <c r="AB14">
        <f>IF(AND('07 Sys'!D14&gt;Tmin, NOT('07 Sys'!$I14="")),'07 Sys'!$I14,0)</f>
        <v>0</v>
      </c>
      <c r="AC14">
        <f>IF(AND('07 Sys'!E14&gt;Tmin, NOT('07 Sys'!$I14="")),'07 Sys'!$I14,0)</f>
        <v>0</v>
      </c>
      <c r="AD14">
        <f>IF(AND('07 Sys'!F14&gt;Tmin, NOT('07 Sys'!$I14="")),'07 Sys'!$I14,0)</f>
        <v>0</v>
      </c>
      <c r="AE14">
        <f>IF(AND('07 Sys'!C14&lt;Tmax, NOT('07 Sys'!$H14="")),'07 Sys'!$H14,4)</f>
        <v>2</v>
      </c>
      <c r="AF14">
        <f>IF(AND('07 Sys'!D14&lt;Tmax, NOT('07 Sys'!$H14="")),'07 Sys'!$H14,4)</f>
        <v>2</v>
      </c>
      <c r="AG14">
        <f>IF(AND('07 Sys'!E14&lt;Tmax, NOT('07 Sys'!$H14="")),'07 Sys'!$H14,4)</f>
        <v>2</v>
      </c>
      <c r="AH14">
        <f>IF(AND('07 Sys'!F14&lt;Tmax, NOT('07 Sys'!$H14="")),'07 Sys'!$H14,4)</f>
        <v>2</v>
      </c>
      <c r="AI14"/>
    </row>
    <row r="15" spans="1:35" ht="26.25" customHeight="1" outlineLevel="2" x14ac:dyDescent="0.2">
      <c r="A15" s="636" t="s">
        <v>6566</v>
      </c>
      <c r="B15" s="636" t="s">
        <v>5822</v>
      </c>
      <c r="C15" s="786"/>
      <c r="D15" s="1158"/>
      <c r="E15" s="1158"/>
      <c r="F15" s="822"/>
      <c r="G15" s="1473">
        <v>2</v>
      </c>
      <c r="H15" s="1473"/>
      <c r="I15" s="1473"/>
      <c r="J15" s="1473" t="s">
        <v>4246</v>
      </c>
      <c r="K15" s="1472" t="s">
        <v>5608</v>
      </c>
      <c r="L15" s="1472"/>
      <c r="M15" s="823"/>
      <c r="AA15">
        <f>IF(AND('07 Sys'!C15&gt;Tmin, NOT('07 Sys'!$I15="")),'07 Sys'!$I15,0)</f>
        <v>0</v>
      </c>
      <c r="AB15">
        <f>IF(AND('07 Sys'!D15&gt;Tmin, NOT('07 Sys'!$I15="")),'07 Sys'!$I15,0)</f>
        <v>0</v>
      </c>
      <c r="AC15">
        <f>IF(AND('07 Sys'!E15&gt;Tmin, NOT('07 Sys'!$I15="")),'07 Sys'!$I15,0)</f>
        <v>0</v>
      </c>
      <c r="AD15">
        <f>IF(AND('07 Sys'!F15&gt;Tmin, NOT('07 Sys'!$I15="")),'07 Sys'!$I15,0)</f>
        <v>0</v>
      </c>
      <c r="AE15">
        <f>IF(AND('07 Sys'!C15&lt;Tmax, NOT('07 Sys'!$H15="")),'07 Sys'!$H15,4)</f>
        <v>4</v>
      </c>
      <c r="AF15">
        <f>IF(AND('07 Sys'!D15&lt;Tmax, NOT('07 Sys'!$H15="")),'07 Sys'!$H15,4)</f>
        <v>4</v>
      </c>
      <c r="AG15">
        <f>IF(AND('07 Sys'!E15&lt;Tmax, NOT('07 Sys'!$H15="")),'07 Sys'!$H15,4)</f>
        <v>4</v>
      </c>
      <c r="AH15">
        <f>IF(AND('07 Sys'!F15&lt;Tmax, NOT('07 Sys'!$H15="")),'07 Sys'!$H15,4)</f>
        <v>4</v>
      </c>
      <c r="AI15"/>
    </row>
    <row r="16" spans="1:35" ht="76.5" customHeight="1" outlineLevel="2" x14ac:dyDescent="0.2">
      <c r="A16" s="636" t="s">
        <v>6567</v>
      </c>
      <c r="B16" s="636" t="s">
        <v>6001</v>
      </c>
      <c r="C16" s="786"/>
      <c r="D16" s="1158"/>
      <c r="E16" s="1158"/>
      <c r="F16" s="822"/>
      <c r="G16" s="1473">
        <v>4</v>
      </c>
      <c r="H16" s="1473">
        <v>2</v>
      </c>
      <c r="I16" s="1473">
        <v>3</v>
      </c>
      <c r="J16" s="1473" t="s">
        <v>1592</v>
      </c>
      <c r="K16" s="1472" t="s">
        <v>7125</v>
      </c>
      <c r="L16" s="1472" t="s">
        <v>3579</v>
      </c>
      <c r="M16" s="823"/>
      <c r="AA16">
        <f>IF(AND('07 Sys'!C16&gt;Tmin, NOT('07 Sys'!$I16="")),'07 Sys'!$I16,0)</f>
        <v>0</v>
      </c>
      <c r="AB16">
        <f>IF(AND('07 Sys'!D16&gt;Tmin, NOT('07 Sys'!$I16="")),'07 Sys'!$I16,0)</f>
        <v>0</v>
      </c>
      <c r="AC16">
        <f>IF(AND('07 Sys'!E16&gt;Tmin, NOT('07 Sys'!$I16="")),'07 Sys'!$I16,0)</f>
        <v>0</v>
      </c>
      <c r="AD16">
        <f>IF(AND('07 Sys'!F16&gt;Tmin, NOT('07 Sys'!$I16="")),'07 Sys'!$I16,0)</f>
        <v>0</v>
      </c>
      <c r="AE16">
        <f>IF(AND('07 Sys'!C16&lt;Tmax, NOT('07 Sys'!$H16="")),'07 Sys'!$H16,4)</f>
        <v>2</v>
      </c>
      <c r="AF16">
        <f>IF(AND('07 Sys'!D16&lt;Tmax, NOT('07 Sys'!$H16="")),'07 Sys'!$H16,4)</f>
        <v>2</v>
      </c>
      <c r="AG16">
        <f>IF(AND('07 Sys'!E16&lt;Tmax, NOT('07 Sys'!$H16="")),'07 Sys'!$H16,4)</f>
        <v>2</v>
      </c>
      <c r="AH16">
        <f>IF(AND('07 Sys'!F16&lt;Tmax, NOT('07 Sys'!$H16="")),'07 Sys'!$H16,4)</f>
        <v>2</v>
      </c>
      <c r="AI16"/>
    </row>
    <row r="17" spans="1:35" s="643" customFormat="1" ht="22.5" outlineLevel="2" x14ac:dyDescent="0.2">
      <c r="A17" s="636" t="s">
        <v>6568</v>
      </c>
      <c r="B17" s="636" t="s">
        <v>1017</v>
      </c>
      <c r="C17" s="786"/>
      <c r="D17" s="1158"/>
      <c r="E17" s="1158"/>
      <c r="F17" s="822"/>
      <c r="G17" s="1473">
        <v>4</v>
      </c>
      <c r="H17" s="1473">
        <v>3</v>
      </c>
      <c r="I17" s="1473"/>
      <c r="J17" s="1473" t="s">
        <v>1592</v>
      </c>
      <c r="K17" s="1472" t="s">
        <v>7125</v>
      </c>
      <c r="L17" s="1472" t="s">
        <v>4434</v>
      </c>
      <c r="M17" s="823"/>
      <c r="N17" s="679"/>
      <c r="O17" s="679"/>
      <c r="P17" s="679"/>
      <c r="Q17" s="679"/>
      <c r="R17" s="679"/>
      <c r="S17" s="679"/>
      <c r="T17" s="679"/>
      <c r="U17" s="679"/>
      <c r="V17" s="679"/>
      <c r="W17" s="679"/>
      <c r="X17" s="679"/>
      <c r="Y17" s="679"/>
      <c r="Z17" s="679"/>
      <c r="AA17">
        <f>IF(AND('07 Sys'!C17&gt;Tmin, NOT('07 Sys'!$I17="")),'07 Sys'!$I17,0)</f>
        <v>0</v>
      </c>
      <c r="AB17">
        <f>IF(AND('07 Sys'!D17&gt;Tmin, NOT('07 Sys'!$I17="")),'07 Sys'!$I17,0)</f>
        <v>0</v>
      </c>
      <c r="AC17">
        <f>IF(AND('07 Sys'!E17&gt;Tmin, NOT('07 Sys'!$I17="")),'07 Sys'!$I17,0)</f>
        <v>0</v>
      </c>
      <c r="AD17">
        <f>IF(AND('07 Sys'!F17&gt;Tmin, NOT('07 Sys'!$I17="")),'07 Sys'!$I17,0)</f>
        <v>0</v>
      </c>
      <c r="AE17">
        <f>IF(AND('07 Sys'!C17&lt;Tmax, NOT('07 Sys'!$H17="")),'07 Sys'!$H17,4)</f>
        <v>3</v>
      </c>
      <c r="AF17">
        <f>IF(AND('07 Sys'!D17&lt;Tmax, NOT('07 Sys'!$H17="")),'07 Sys'!$H17,4)</f>
        <v>3</v>
      </c>
      <c r="AG17">
        <f>IF(AND('07 Sys'!E17&lt;Tmax, NOT('07 Sys'!$H17="")),'07 Sys'!$H17,4)</f>
        <v>3</v>
      </c>
      <c r="AH17">
        <f>IF(AND('07 Sys'!F17&lt;Tmax, NOT('07 Sys'!$H17="")),'07 Sys'!$H17,4)</f>
        <v>3</v>
      </c>
      <c r="AI17"/>
    </row>
    <row r="18" spans="1:35" s="643" customFormat="1" ht="22.5" outlineLevel="2" x14ac:dyDescent="0.2">
      <c r="A18" s="636" t="s">
        <v>3810</v>
      </c>
      <c r="B18" s="636" t="s">
        <v>3470</v>
      </c>
      <c r="C18" s="786"/>
      <c r="D18" s="1158"/>
      <c r="E18" s="1158"/>
      <c r="F18" s="822"/>
      <c r="G18" s="1473">
        <v>4</v>
      </c>
      <c r="H18" s="1473"/>
      <c r="I18" s="1473"/>
      <c r="J18" s="1473" t="s">
        <v>2329</v>
      </c>
      <c r="K18" s="1472" t="s">
        <v>7125</v>
      </c>
      <c r="L18" s="1472" t="s">
        <v>4434</v>
      </c>
      <c r="M18" s="823"/>
      <c r="N18" s="679"/>
      <c r="O18" s="679"/>
      <c r="P18" s="679"/>
      <c r="Q18" s="679"/>
      <c r="R18" s="679"/>
      <c r="S18" s="679"/>
      <c r="T18" s="679"/>
      <c r="U18" s="679"/>
      <c r="V18" s="679"/>
      <c r="W18" s="679"/>
      <c r="X18" s="679"/>
      <c r="Y18" s="679"/>
      <c r="Z18" s="679"/>
      <c r="AA18">
        <f>IF(AND('07 Sys'!C18&gt;Tmin, NOT('07 Sys'!$I18="")),'07 Sys'!$I18,0)</f>
        <v>0</v>
      </c>
      <c r="AB18">
        <f>IF(AND('07 Sys'!D18&gt;Tmin, NOT('07 Sys'!$I18="")),'07 Sys'!$I18,0)</f>
        <v>0</v>
      </c>
      <c r="AC18">
        <f>IF(AND('07 Sys'!E18&gt;Tmin, NOT('07 Sys'!$I18="")),'07 Sys'!$I18,0)</f>
        <v>0</v>
      </c>
      <c r="AD18">
        <f>IF(AND('07 Sys'!F18&gt;Tmin, NOT('07 Sys'!$I18="")),'07 Sys'!$I18,0)</f>
        <v>0</v>
      </c>
      <c r="AE18">
        <f>IF(AND('07 Sys'!C18&lt;Tmax, NOT('07 Sys'!$H18="")),'07 Sys'!$H18,4)</f>
        <v>4</v>
      </c>
      <c r="AF18">
        <f>IF(AND('07 Sys'!D18&lt;Tmax, NOT('07 Sys'!$H18="")),'07 Sys'!$H18,4)</f>
        <v>4</v>
      </c>
      <c r="AG18">
        <f>IF(AND('07 Sys'!E18&lt;Tmax, NOT('07 Sys'!$H18="")),'07 Sys'!$H18,4)</f>
        <v>4</v>
      </c>
      <c r="AH18">
        <f>IF(AND('07 Sys'!F18&lt;Tmax, NOT('07 Sys'!$H18="")),'07 Sys'!$H18,4)</f>
        <v>4</v>
      </c>
      <c r="AI18"/>
    </row>
    <row r="19" spans="1:35" ht="52.5" customHeight="1" outlineLevel="2" x14ac:dyDescent="0.2">
      <c r="A19" s="636" t="s">
        <v>3811</v>
      </c>
      <c r="B19" s="636" t="s">
        <v>5290</v>
      </c>
      <c r="C19" s="786"/>
      <c r="D19" s="1158"/>
      <c r="E19" s="1158"/>
      <c r="F19" s="822"/>
      <c r="G19" s="1473">
        <v>4</v>
      </c>
      <c r="H19" s="1473"/>
      <c r="I19" s="1473"/>
      <c r="J19" s="1473" t="s">
        <v>2329</v>
      </c>
      <c r="K19" s="1472" t="s">
        <v>5608</v>
      </c>
      <c r="L19" s="1472"/>
      <c r="M19" s="823"/>
      <c r="AA19">
        <f>IF(AND('07 Sys'!C19&gt;Tmin, NOT('07 Sys'!$I19="")),'07 Sys'!$I19,0)</f>
        <v>0</v>
      </c>
      <c r="AB19">
        <f>IF(AND('07 Sys'!D19&gt;Tmin, NOT('07 Sys'!$I19="")),'07 Sys'!$I19,0)</f>
        <v>0</v>
      </c>
      <c r="AC19">
        <f>IF(AND('07 Sys'!E19&gt;Tmin, NOT('07 Sys'!$I19="")),'07 Sys'!$I19,0)</f>
        <v>0</v>
      </c>
      <c r="AD19">
        <f>IF(AND('07 Sys'!F19&gt;Tmin, NOT('07 Sys'!$I19="")),'07 Sys'!$I19,0)</f>
        <v>0</v>
      </c>
      <c r="AE19">
        <f>IF(AND('07 Sys'!C19&lt;Tmax, NOT('07 Sys'!$H19="")),'07 Sys'!$H19,4)</f>
        <v>4</v>
      </c>
      <c r="AF19">
        <f>IF(AND('07 Sys'!D19&lt;Tmax, NOT('07 Sys'!$H19="")),'07 Sys'!$H19,4)</f>
        <v>4</v>
      </c>
      <c r="AG19">
        <f>IF(AND('07 Sys'!E19&lt;Tmax, NOT('07 Sys'!$H19="")),'07 Sys'!$H19,4)</f>
        <v>4</v>
      </c>
      <c r="AH19">
        <f>IF(AND('07 Sys'!F19&lt;Tmax, NOT('07 Sys'!$H19="")),'07 Sys'!$H19,4)</f>
        <v>4</v>
      </c>
      <c r="AI19"/>
    </row>
    <row r="20" spans="1:35" outlineLevel="2" x14ac:dyDescent="0.2">
      <c r="A20" s="636" t="s">
        <v>3812</v>
      </c>
      <c r="B20" s="636" t="s">
        <v>3982</v>
      </c>
      <c r="C20" s="786"/>
      <c r="D20" s="1158"/>
      <c r="E20" s="1158"/>
      <c r="F20" s="824"/>
      <c r="G20" s="1473">
        <v>2</v>
      </c>
      <c r="H20" s="1473"/>
      <c r="I20" s="1473"/>
      <c r="J20" s="1473" t="s">
        <v>2109</v>
      </c>
      <c r="K20" s="1472" t="s">
        <v>5608</v>
      </c>
      <c r="L20" s="1472"/>
      <c r="M20" s="823"/>
      <c r="AA20">
        <f>IF(AND('07 Sys'!C20&gt;Tmin, NOT('07 Sys'!$I20="")),'07 Sys'!$I20,0)</f>
        <v>0</v>
      </c>
      <c r="AB20">
        <f>IF(AND('07 Sys'!D20&gt;Tmin, NOT('07 Sys'!$I20="")),'07 Sys'!$I20,0)</f>
        <v>0</v>
      </c>
      <c r="AC20">
        <f>IF(AND('07 Sys'!E20&gt;Tmin, NOT('07 Sys'!$I20="")),'07 Sys'!$I20,0)</f>
        <v>0</v>
      </c>
      <c r="AD20">
        <f>IF(AND('07 Sys'!F20&gt;Tmin, NOT('07 Sys'!$I20="")),'07 Sys'!$I20,0)</f>
        <v>0</v>
      </c>
      <c r="AE20">
        <f>IF(AND('07 Sys'!C20&lt;Tmax, NOT('07 Sys'!$H20="")),'07 Sys'!$H20,4)</f>
        <v>4</v>
      </c>
      <c r="AF20">
        <f>IF(AND('07 Sys'!D20&lt;Tmax, NOT('07 Sys'!$H20="")),'07 Sys'!$H20,4)</f>
        <v>4</v>
      </c>
      <c r="AG20">
        <f>IF(AND('07 Sys'!E20&lt;Tmax, NOT('07 Sys'!$H20="")),'07 Sys'!$H20,4)</f>
        <v>4</v>
      </c>
      <c r="AH20">
        <f>IF(AND('07 Sys'!F20&lt;Tmax, NOT('07 Sys'!$H20="")),'07 Sys'!$H20,4)</f>
        <v>4</v>
      </c>
      <c r="AI20"/>
    </row>
    <row r="21" spans="1:35" ht="22.5" outlineLevel="2" x14ac:dyDescent="0.2">
      <c r="A21" s="636" t="s">
        <v>3983</v>
      </c>
      <c r="B21" s="636" t="s">
        <v>3027</v>
      </c>
      <c r="C21" s="786"/>
      <c r="D21" s="1158"/>
      <c r="E21" s="1158"/>
      <c r="F21" s="822"/>
      <c r="G21" s="1473">
        <v>1</v>
      </c>
      <c r="H21" s="1473">
        <v>2</v>
      </c>
      <c r="I21" s="1473"/>
      <c r="J21" s="1473" t="s">
        <v>2109</v>
      </c>
      <c r="K21" s="1472" t="s">
        <v>6477</v>
      </c>
      <c r="L21" s="1472" t="s">
        <v>4434</v>
      </c>
      <c r="M21" s="823"/>
      <c r="AA21">
        <f>IF(AND('07 Sys'!C21&gt;Tmin, NOT('07 Sys'!$I21="")),'07 Sys'!$I21,0)</f>
        <v>0</v>
      </c>
      <c r="AB21">
        <f>IF(AND('07 Sys'!D21&gt;Tmin, NOT('07 Sys'!$I21="")),'07 Sys'!$I21,0)</f>
        <v>0</v>
      </c>
      <c r="AC21">
        <f>IF(AND('07 Sys'!E21&gt;Tmin, NOT('07 Sys'!$I21="")),'07 Sys'!$I21,0)</f>
        <v>0</v>
      </c>
      <c r="AD21">
        <f>IF(AND('07 Sys'!F21&gt;Tmin, NOT('07 Sys'!$I21="")),'07 Sys'!$I21,0)</f>
        <v>0</v>
      </c>
      <c r="AE21">
        <f>IF(AND('07 Sys'!C21&lt;Tmax, NOT('07 Sys'!$H21="")),'07 Sys'!$H21,4)</f>
        <v>2</v>
      </c>
      <c r="AF21">
        <f>IF(AND('07 Sys'!D21&lt;Tmax, NOT('07 Sys'!$H21="")),'07 Sys'!$H21,4)</f>
        <v>2</v>
      </c>
      <c r="AG21">
        <f>IF(AND('07 Sys'!E21&lt;Tmax, NOT('07 Sys'!$H21="")),'07 Sys'!$H21,4)</f>
        <v>2</v>
      </c>
      <c r="AH21">
        <f>IF(AND('07 Sys'!F21&lt;Tmax, NOT('07 Sys'!$H21="")),'07 Sys'!$H21,4)</f>
        <v>2</v>
      </c>
      <c r="AI21"/>
    </row>
    <row r="22" spans="1:35" outlineLevel="1" x14ac:dyDescent="0.2">
      <c r="A22" s="633" t="s">
        <v>5429</v>
      </c>
      <c r="B22" s="634" t="s">
        <v>5114</v>
      </c>
      <c r="C22" s="786"/>
      <c r="D22" s="822"/>
      <c r="E22" s="822"/>
      <c r="F22" s="822"/>
      <c r="G22" s="1473"/>
      <c r="H22" s="1473"/>
      <c r="I22" s="1473"/>
      <c r="J22" s="1473"/>
      <c r="K22" s="1472"/>
      <c r="L22" s="1472"/>
      <c r="M22" s="823"/>
      <c r="AA22"/>
      <c r="AB22"/>
      <c r="AC22"/>
      <c r="AD22"/>
      <c r="AE22"/>
      <c r="AF22"/>
      <c r="AG22"/>
      <c r="AH22"/>
      <c r="AI22"/>
    </row>
    <row r="23" spans="1:35" ht="22.5" outlineLevel="2" x14ac:dyDescent="0.2">
      <c r="A23" s="636" t="s">
        <v>3028</v>
      </c>
      <c r="B23" s="636" t="s">
        <v>6740</v>
      </c>
      <c r="C23" s="786"/>
      <c r="D23" s="822"/>
      <c r="E23" s="822"/>
      <c r="F23" s="822"/>
      <c r="G23" s="1473">
        <v>2</v>
      </c>
      <c r="H23" s="1473">
        <v>1</v>
      </c>
      <c r="I23" s="1473"/>
      <c r="J23" s="1473" t="s">
        <v>4246</v>
      </c>
      <c r="K23" s="1458" t="s">
        <v>7126</v>
      </c>
      <c r="L23" s="1472" t="s">
        <v>7347</v>
      </c>
      <c r="M23" s="823"/>
      <c r="AA23">
        <f>IF(AND('07 Sys'!C23&gt;Tmin, NOT('07 Sys'!$I23="")),'07 Sys'!$I23,0)</f>
        <v>0</v>
      </c>
      <c r="AB23">
        <f>IF(AND('07 Sys'!D23&gt;Tmin, NOT('07 Sys'!$I23="")),'07 Sys'!$I23,0)</f>
        <v>0</v>
      </c>
      <c r="AC23">
        <f>IF(AND('07 Sys'!E23&gt;Tmin, NOT('07 Sys'!$I23="")),'07 Sys'!$I23,0)</f>
        <v>0</v>
      </c>
      <c r="AD23">
        <f>IF(AND('07 Sys'!F23&gt;Tmin, NOT('07 Sys'!$I23="")),'07 Sys'!$I23,0)</f>
        <v>0</v>
      </c>
      <c r="AE23">
        <f>IF(AND('07 Sys'!C23&lt;Tmax, NOT('07 Sys'!$H23="")),'07 Sys'!$H23,4)</f>
        <v>1</v>
      </c>
      <c r="AF23">
        <f>IF(AND('07 Sys'!D23&lt;Tmax, NOT('07 Sys'!$H23="")),'07 Sys'!$H23,4)</f>
        <v>1</v>
      </c>
      <c r="AG23">
        <f>IF(AND('07 Sys'!E23&lt;Tmax, NOT('07 Sys'!$H23="")),'07 Sys'!$H23,4)</f>
        <v>1</v>
      </c>
      <c r="AH23">
        <f>IF(AND('07 Sys'!F23&lt;Tmax, NOT('07 Sys'!$H23="")),'07 Sys'!$H23,4)</f>
        <v>1</v>
      </c>
      <c r="AI23"/>
    </row>
    <row r="24" spans="1:35" ht="88.5" customHeight="1" outlineLevel="2" x14ac:dyDescent="0.2">
      <c r="A24" s="636" t="s">
        <v>1985</v>
      </c>
      <c r="B24" s="636" t="s">
        <v>5559</v>
      </c>
      <c r="C24" s="786"/>
      <c r="D24" s="822"/>
      <c r="E24" s="822"/>
      <c r="F24" s="822"/>
      <c r="G24" s="1473">
        <v>4</v>
      </c>
      <c r="H24" s="1473">
        <v>2</v>
      </c>
      <c r="I24" s="1473"/>
      <c r="J24" s="1473" t="s">
        <v>1592</v>
      </c>
      <c r="K24" s="1458" t="s">
        <v>7126</v>
      </c>
      <c r="L24" s="1472" t="s">
        <v>7348</v>
      </c>
      <c r="M24" s="823"/>
      <c r="AA24">
        <f>IF(AND('07 Sys'!C24&gt;Tmin, NOT('07 Sys'!$I24="")),'07 Sys'!$I24,0)</f>
        <v>0</v>
      </c>
      <c r="AB24">
        <f>IF(AND('07 Sys'!D24&gt;Tmin, NOT('07 Sys'!$I24="")),'07 Sys'!$I24,0)</f>
        <v>0</v>
      </c>
      <c r="AC24">
        <f>IF(AND('07 Sys'!E24&gt;Tmin, NOT('07 Sys'!$I24="")),'07 Sys'!$I24,0)</f>
        <v>0</v>
      </c>
      <c r="AD24">
        <f>IF(AND('07 Sys'!F24&gt;Tmin, NOT('07 Sys'!$I24="")),'07 Sys'!$I24,0)</f>
        <v>0</v>
      </c>
      <c r="AE24">
        <f>IF(AND('07 Sys'!C24&lt;Tmax, NOT('07 Sys'!$H24="")),'07 Sys'!$H24,4)</f>
        <v>2</v>
      </c>
      <c r="AF24">
        <f>IF(AND('07 Sys'!D24&lt;Tmax, NOT('07 Sys'!$H24="")),'07 Sys'!$H24,4)</f>
        <v>2</v>
      </c>
      <c r="AG24">
        <f>IF(AND('07 Sys'!E24&lt;Tmax, NOT('07 Sys'!$H24="")),'07 Sys'!$H24,4)</f>
        <v>2</v>
      </c>
      <c r="AH24">
        <f>IF(AND('07 Sys'!F24&lt;Tmax, NOT('07 Sys'!$H24="")),'07 Sys'!$H24,4)</f>
        <v>2</v>
      </c>
      <c r="AI24"/>
    </row>
    <row r="25" spans="1:35" ht="51" customHeight="1" outlineLevel="2" x14ac:dyDescent="0.2">
      <c r="A25" s="636" t="s">
        <v>1986</v>
      </c>
      <c r="B25" s="636" t="s">
        <v>3790</v>
      </c>
      <c r="C25" s="786"/>
      <c r="D25" s="822"/>
      <c r="E25" s="822"/>
      <c r="F25" s="822"/>
      <c r="G25" s="1473">
        <v>4</v>
      </c>
      <c r="H25" s="1473">
        <v>2</v>
      </c>
      <c r="I25" s="1473"/>
      <c r="J25" s="1473" t="s">
        <v>2329</v>
      </c>
      <c r="K25" s="1472" t="s">
        <v>7127</v>
      </c>
      <c r="L25" s="1472" t="s">
        <v>7349</v>
      </c>
      <c r="M25" s="823"/>
      <c r="AA25">
        <f>IF(AND('07 Sys'!C25&gt;Tmin, NOT('07 Sys'!$I25="")),'07 Sys'!$I25,0)</f>
        <v>0</v>
      </c>
      <c r="AB25">
        <f>IF(AND('07 Sys'!D25&gt;Tmin, NOT('07 Sys'!$I25="")),'07 Sys'!$I25,0)</f>
        <v>0</v>
      </c>
      <c r="AC25">
        <f>IF(AND('07 Sys'!E25&gt;Tmin, NOT('07 Sys'!$I25="")),'07 Sys'!$I25,0)</f>
        <v>0</v>
      </c>
      <c r="AD25">
        <f>IF(AND('07 Sys'!F25&gt;Tmin, NOT('07 Sys'!$I25="")),'07 Sys'!$I25,0)</f>
        <v>0</v>
      </c>
      <c r="AE25">
        <f>IF(AND('07 Sys'!C25&lt;Tmax, NOT('07 Sys'!$H25="")),'07 Sys'!$H25,4)</f>
        <v>2</v>
      </c>
      <c r="AF25">
        <f>IF(AND('07 Sys'!D25&lt;Tmax, NOT('07 Sys'!$H25="")),'07 Sys'!$H25,4)</f>
        <v>2</v>
      </c>
      <c r="AG25">
        <f>IF(AND('07 Sys'!E25&lt;Tmax, NOT('07 Sys'!$H25="")),'07 Sys'!$H25,4)</f>
        <v>2</v>
      </c>
      <c r="AH25">
        <f>IF(AND('07 Sys'!F25&lt;Tmax, NOT('07 Sys'!$H25="")),'07 Sys'!$H25,4)</f>
        <v>2</v>
      </c>
      <c r="AI25"/>
    </row>
    <row r="26" spans="1:35" ht="50.25" customHeight="1" outlineLevel="2" x14ac:dyDescent="0.2">
      <c r="A26" s="636" t="s">
        <v>1987</v>
      </c>
      <c r="B26" s="636" t="s">
        <v>3791</v>
      </c>
      <c r="C26" s="786"/>
      <c r="D26" s="822"/>
      <c r="E26" s="822"/>
      <c r="F26" s="822"/>
      <c r="G26" s="1473">
        <v>1</v>
      </c>
      <c r="H26" s="1473"/>
      <c r="I26" s="1473"/>
      <c r="J26" s="1473" t="s">
        <v>2329</v>
      </c>
      <c r="K26" s="1472" t="s">
        <v>7127</v>
      </c>
      <c r="L26" s="1472" t="s">
        <v>7349</v>
      </c>
      <c r="M26" s="823"/>
      <c r="AA26">
        <f>IF(AND('07 Sys'!C26&gt;Tmin, NOT('07 Sys'!$I26="")),'07 Sys'!$I26,0)</f>
        <v>0</v>
      </c>
      <c r="AB26">
        <f>IF(AND('07 Sys'!D26&gt;Tmin, NOT('07 Sys'!$I26="")),'07 Sys'!$I26,0)</f>
        <v>0</v>
      </c>
      <c r="AC26">
        <f>IF(AND('07 Sys'!E26&gt;Tmin, NOT('07 Sys'!$I26="")),'07 Sys'!$I26,0)</f>
        <v>0</v>
      </c>
      <c r="AD26">
        <f>IF(AND('07 Sys'!F26&gt;Tmin, NOT('07 Sys'!$I26="")),'07 Sys'!$I26,0)</f>
        <v>0</v>
      </c>
      <c r="AE26">
        <f>IF(AND('07 Sys'!C26&lt;Tmax, NOT('07 Sys'!$H26="")),'07 Sys'!$H26,4)</f>
        <v>4</v>
      </c>
      <c r="AF26">
        <f>IF(AND('07 Sys'!D26&lt;Tmax, NOT('07 Sys'!$H26="")),'07 Sys'!$H26,4)</f>
        <v>4</v>
      </c>
      <c r="AG26">
        <f>IF(AND('07 Sys'!E26&lt;Tmax, NOT('07 Sys'!$H26="")),'07 Sys'!$H26,4)</f>
        <v>4</v>
      </c>
      <c r="AH26">
        <f>IF(AND('07 Sys'!F26&lt;Tmax, NOT('07 Sys'!$H26="")),'07 Sys'!$H26,4)</f>
        <v>4</v>
      </c>
      <c r="AI26"/>
    </row>
    <row r="27" spans="1:35" s="643" customFormat="1" ht="78" customHeight="1" outlineLevel="2" x14ac:dyDescent="0.2">
      <c r="A27" s="636" t="s">
        <v>1988</v>
      </c>
      <c r="B27" s="636" t="s">
        <v>6735</v>
      </c>
      <c r="C27" s="786"/>
      <c r="D27" s="822"/>
      <c r="E27" s="822"/>
      <c r="F27" s="822"/>
      <c r="G27" s="1473">
        <v>2</v>
      </c>
      <c r="H27" s="1473">
        <v>2</v>
      </c>
      <c r="I27" s="1473">
        <v>3</v>
      </c>
      <c r="J27" s="1473" t="s">
        <v>1592</v>
      </c>
      <c r="K27" s="1472" t="s">
        <v>7127</v>
      </c>
      <c r="L27" s="1472" t="s">
        <v>7349</v>
      </c>
      <c r="M27" s="823"/>
      <c r="N27" s="679"/>
      <c r="O27" s="679"/>
      <c r="P27" s="679"/>
      <c r="Q27" s="679"/>
      <c r="R27" s="679"/>
      <c r="S27" s="679"/>
      <c r="T27" s="679"/>
      <c r="U27" s="679"/>
      <c r="V27" s="679"/>
      <c r="W27" s="679"/>
      <c r="X27" s="679"/>
      <c r="Y27" s="679"/>
      <c r="Z27" s="679"/>
      <c r="AA27">
        <f>IF(AND('07 Sys'!C27&gt;Tmin, NOT('07 Sys'!$I27="")),'07 Sys'!$I27,0)</f>
        <v>0</v>
      </c>
      <c r="AB27">
        <f>IF(AND('07 Sys'!D27&gt;Tmin, NOT('07 Sys'!$I27="")),'07 Sys'!$I27,0)</f>
        <v>0</v>
      </c>
      <c r="AC27">
        <f>IF(AND('07 Sys'!E27&gt;Tmin, NOT('07 Sys'!$I27="")),'07 Sys'!$I27,0)</f>
        <v>0</v>
      </c>
      <c r="AD27">
        <f>IF(AND('07 Sys'!F27&gt;Tmin, NOT('07 Sys'!$I27="")),'07 Sys'!$I27,0)</f>
        <v>0</v>
      </c>
      <c r="AE27">
        <f>IF(AND('07 Sys'!C27&lt;Tmax, NOT('07 Sys'!$H27="")),'07 Sys'!$H27,4)</f>
        <v>2</v>
      </c>
      <c r="AF27">
        <f>IF(AND('07 Sys'!D27&lt;Tmax, NOT('07 Sys'!$H27="")),'07 Sys'!$H27,4)</f>
        <v>2</v>
      </c>
      <c r="AG27">
        <f>IF(AND('07 Sys'!E27&lt;Tmax, NOT('07 Sys'!$H27="")),'07 Sys'!$H27,4)</f>
        <v>2</v>
      </c>
      <c r="AH27">
        <f>IF(AND('07 Sys'!F27&lt;Tmax, NOT('07 Sys'!$H27="")),'07 Sys'!$H27,4)</f>
        <v>2</v>
      </c>
      <c r="AI27"/>
    </row>
    <row r="28" spans="1:35" s="643" customFormat="1" ht="69" customHeight="1" outlineLevel="2" x14ac:dyDescent="0.2">
      <c r="A28" s="636" t="s">
        <v>4287</v>
      </c>
      <c r="B28" s="636" t="s">
        <v>5585</v>
      </c>
      <c r="C28" s="786"/>
      <c r="D28" s="822"/>
      <c r="E28" s="822"/>
      <c r="F28" s="824"/>
      <c r="G28" s="1473">
        <v>2</v>
      </c>
      <c r="H28" s="1473">
        <v>2</v>
      </c>
      <c r="I28" s="1473">
        <v>3</v>
      </c>
      <c r="J28" s="1473" t="s">
        <v>2329</v>
      </c>
      <c r="K28" s="1472" t="s">
        <v>7128</v>
      </c>
      <c r="L28" s="1472" t="s">
        <v>7349</v>
      </c>
      <c r="M28" s="823"/>
      <c r="N28" s="679"/>
      <c r="O28" s="679"/>
      <c r="P28" s="679"/>
      <c r="Q28" s="679"/>
      <c r="R28" s="679"/>
      <c r="S28" s="679"/>
      <c r="T28" s="679"/>
      <c r="U28" s="679"/>
      <c r="V28" s="679"/>
      <c r="W28" s="679"/>
      <c r="X28" s="679"/>
      <c r="Y28" s="679"/>
      <c r="Z28" s="679"/>
      <c r="AA28">
        <f>IF(AND('07 Sys'!C28&gt;Tmin, NOT('07 Sys'!$I28="")),'07 Sys'!$I28,0)</f>
        <v>0</v>
      </c>
      <c r="AB28">
        <f>IF(AND('07 Sys'!D28&gt;Tmin, NOT('07 Sys'!$I28="")),'07 Sys'!$I28,0)</f>
        <v>0</v>
      </c>
      <c r="AC28">
        <f>IF(AND('07 Sys'!E28&gt;Tmin, NOT('07 Sys'!$I28="")),'07 Sys'!$I28,0)</f>
        <v>0</v>
      </c>
      <c r="AD28">
        <f>IF(AND('07 Sys'!F28&gt;Tmin, NOT('07 Sys'!$I28="")),'07 Sys'!$I28,0)</f>
        <v>0</v>
      </c>
      <c r="AE28">
        <f>IF(AND('07 Sys'!C28&lt;Tmax, NOT('07 Sys'!$H28="")),'07 Sys'!$H28,4)</f>
        <v>2</v>
      </c>
      <c r="AF28">
        <f>IF(AND('07 Sys'!D28&lt;Tmax, NOT('07 Sys'!$H28="")),'07 Sys'!$H28,4)</f>
        <v>2</v>
      </c>
      <c r="AG28">
        <f>IF(AND('07 Sys'!E28&lt;Tmax, NOT('07 Sys'!$H28="")),'07 Sys'!$H28,4)</f>
        <v>2</v>
      </c>
      <c r="AH28">
        <f>IF(AND('07 Sys'!F28&lt;Tmax, NOT('07 Sys'!$H28="")),'07 Sys'!$H28,4)</f>
        <v>2</v>
      </c>
      <c r="AI28"/>
    </row>
    <row r="29" spans="1:35" ht="33.75" outlineLevel="2" x14ac:dyDescent="0.2">
      <c r="A29" s="636" t="s">
        <v>4288</v>
      </c>
      <c r="B29" s="636" t="s">
        <v>3994</v>
      </c>
      <c r="C29" s="786"/>
      <c r="D29" s="822"/>
      <c r="E29" s="822"/>
      <c r="F29" s="822"/>
      <c r="G29" s="1473">
        <v>4</v>
      </c>
      <c r="H29" s="1473">
        <v>2</v>
      </c>
      <c r="I29" s="1473"/>
      <c r="J29" s="1473" t="s">
        <v>1592</v>
      </c>
      <c r="K29" s="1472" t="s">
        <v>7128</v>
      </c>
      <c r="L29" s="1472" t="s">
        <v>7349</v>
      </c>
      <c r="M29" s="823"/>
      <c r="AA29">
        <f>IF(AND('07 Sys'!C29&gt;Tmin, NOT('07 Sys'!$I29="")),'07 Sys'!$I29,0)</f>
        <v>0</v>
      </c>
      <c r="AB29">
        <f>IF(AND('07 Sys'!D29&gt;Tmin, NOT('07 Sys'!$I29="")),'07 Sys'!$I29,0)</f>
        <v>0</v>
      </c>
      <c r="AC29">
        <f>IF(AND('07 Sys'!E29&gt;Tmin, NOT('07 Sys'!$I29="")),'07 Sys'!$I29,0)</f>
        <v>0</v>
      </c>
      <c r="AD29">
        <f>IF(AND('07 Sys'!F29&gt;Tmin, NOT('07 Sys'!$I29="")),'07 Sys'!$I29,0)</f>
        <v>0</v>
      </c>
      <c r="AE29">
        <f>IF(AND('07 Sys'!C29&lt;Tmax, NOT('07 Sys'!$H29="")),'07 Sys'!$H29,4)</f>
        <v>2</v>
      </c>
      <c r="AF29">
        <f>IF(AND('07 Sys'!D29&lt;Tmax, NOT('07 Sys'!$H29="")),'07 Sys'!$H29,4)</f>
        <v>2</v>
      </c>
      <c r="AG29">
        <f>IF(AND('07 Sys'!E29&lt;Tmax, NOT('07 Sys'!$H29="")),'07 Sys'!$H29,4)</f>
        <v>2</v>
      </c>
      <c r="AH29">
        <f>IF(AND('07 Sys'!F29&lt;Tmax, NOT('07 Sys'!$H29="")),'07 Sys'!$H29,4)</f>
        <v>2</v>
      </c>
      <c r="AI29"/>
    </row>
    <row r="30" spans="1:35" s="643" customFormat="1" ht="25.5" customHeight="1" outlineLevel="2" x14ac:dyDescent="0.2">
      <c r="A30" s="636" t="s">
        <v>3995</v>
      </c>
      <c r="B30" s="636" t="s">
        <v>5586</v>
      </c>
      <c r="C30" s="786"/>
      <c r="D30" s="822"/>
      <c r="E30" s="822"/>
      <c r="F30" s="822"/>
      <c r="G30" s="1473">
        <v>2</v>
      </c>
      <c r="H30" s="1473">
        <v>2</v>
      </c>
      <c r="I30" s="1473"/>
      <c r="J30" s="1473" t="s">
        <v>1592</v>
      </c>
      <c r="K30" s="1458" t="s">
        <v>1717</v>
      </c>
      <c r="L30" s="1472" t="s">
        <v>7347</v>
      </c>
      <c r="M30" s="823"/>
      <c r="N30" s="679"/>
      <c r="O30" s="679"/>
      <c r="P30" s="679"/>
      <c r="Q30" s="679"/>
      <c r="R30" s="679"/>
      <c r="S30" s="679"/>
      <c r="T30" s="679"/>
      <c r="U30" s="679"/>
      <c r="V30" s="679"/>
      <c r="W30" s="679"/>
      <c r="X30" s="679"/>
      <c r="Y30" s="679"/>
      <c r="Z30" s="679"/>
      <c r="AA30">
        <f>IF(AND('07 Sys'!C30&gt;Tmin, NOT('07 Sys'!$I30="")),'07 Sys'!$I30,0)</f>
        <v>0</v>
      </c>
      <c r="AB30">
        <f>IF(AND('07 Sys'!D30&gt;Tmin, NOT('07 Sys'!$I30="")),'07 Sys'!$I30,0)</f>
        <v>0</v>
      </c>
      <c r="AC30">
        <f>IF(AND('07 Sys'!E30&gt;Tmin, NOT('07 Sys'!$I30="")),'07 Sys'!$I30,0)</f>
        <v>0</v>
      </c>
      <c r="AD30">
        <f>IF(AND('07 Sys'!F30&gt;Tmin, NOT('07 Sys'!$I30="")),'07 Sys'!$I30,0)</f>
        <v>0</v>
      </c>
      <c r="AE30">
        <f>IF(AND('07 Sys'!C30&lt;Tmax, NOT('07 Sys'!$H30="")),'07 Sys'!$H30,4)</f>
        <v>2</v>
      </c>
      <c r="AF30">
        <f>IF(AND('07 Sys'!D30&lt;Tmax, NOT('07 Sys'!$H30="")),'07 Sys'!$H30,4)</f>
        <v>2</v>
      </c>
      <c r="AG30">
        <f>IF(AND('07 Sys'!E30&lt;Tmax, NOT('07 Sys'!$H30="")),'07 Sys'!$H30,4)</f>
        <v>2</v>
      </c>
      <c r="AH30">
        <f>IF(AND('07 Sys'!F30&lt;Tmax, NOT('07 Sys'!$H30="")),'07 Sys'!$H30,4)</f>
        <v>2</v>
      </c>
      <c r="AI30"/>
    </row>
    <row r="31" spans="1:35" s="643" customFormat="1" ht="25.5" customHeight="1" outlineLevel="2" x14ac:dyDescent="0.2">
      <c r="A31" s="636" t="s">
        <v>3996</v>
      </c>
      <c r="B31" s="636" t="s">
        <v>2764</v>
      </c>
      <c r="C31" s="786"/>
      <c r="D31" s="822"/>
      <c r="E31" s="822"/>
      <c r="F31" s="822"/>
      <c r="G31" s="1473">
        <v>2</v>
      </c>
      <c r="H31" s="1473">
        <v>2</v>
      </c>
      <c r="I31" s="1473"/>
      <c r="J31" s="1473" t="s">
        <v>2329</v>
      </c>
      <c r="K31" s="1458" t="s">
        <v>1717</v>
      </c>
      <c r="L31" s="1472" t="s">
        <v>7347</v>
      </c>
      <c r="M31" s="823"/>
      <c r="N31" s="679"/>
      <c r="O31" s="679"/>
      <c r="P31" s="679"/>
      <c r="Q31" s="679"/>
      <c r="R31" s="679"/>
      <c r="S31" s="679"/>
      <c r="T31" s="679"/>
      <c r="U31" s="679"/>
      <c r="V31" s="679"/>
      <c r="W31" s="679"/>
      <c r="X31" s="679"/>
      <c r="Y31" s="679"/>
      <c r="Z31" s="679"/>
      <c r="AA31">
        <f>IF(AND('07 Sys'!C31&gt;Tmin, NOT('07 Sys'!$I31="")),'07 Sys'!$I31,0)</f>
        <v>0</v>
      </c>
      <c r="AB31">
        <f>IF(AND('07 Sys'!D31&gt;Tmin, NOT('07 Sys'!$I31="")),'07 Sys'!$I31,0)</f>
        <v>0</v>
      </c>
      <c r="AC31">
        <f>IF(AND('07 Sys'!E31&gt;Tmin, NOT('07 Sys'!$I31="")),'07 Sys'!$I31,0)</f>
        <v>0</v>
      </c>
      <c r="AD31">
        <f>IF(AND('07 Sys'!F31&gt;Tmin, NOT('07 Sys'!$I31="")),'07 Sys'!$I31,0)</f>
        <v>0</v>
      </c>
      <c r="AE31">
        <f>IF(AND('07 Sys'!C31&lt;Tmax, NOT('07 Sys'!$H31="")),'07 Sys'!$H31,4)</f>
        <v>2</v>
      </c>
      <c r="AF31">
        <f>IF(AND('07 Sys'!D31&lt;Tmax, NOT('07 Sys'!$H31="")),'07 Sys'!$H31,4)</f>
        <v>2</v>
      </c>
      <c r="AG31">
        <f>IF(AND('07 Sys'!E31&lt;Tmax, NOT('07 Sys'!$H31="")),'07 Sys'!$H31,4)</f>
        <v>2</v>
      </c>
      <c r="AH31">
        <f>IF(AND('07 Sys'!F31&lt;Tmax, NOT('07 Sys'!$H31="")),'07 Sys'!$H31,4)</f>
        <v>2</v>
      </c>
      <c r="AI31"/>
    </row>
    <row r="32" spans="1:35" ht="59.25" customHeight="1" outlineLevel="2" x14ac:dyDescent="0.2">
      <c r="A32" s="636" t="s">
        <v>3997</v>
      </c>
      <c r="B32" s="636" t="s">
        <v>1284</v>
      </c>
      <c r="C32" s="786"/>
      <c r="D32" s="822"/>
      <c r="E32" s="822"/>
      <c r="F32" s="822"/>
      <c r="G32" s="1473">
        <v>4</v>
      </c>
      <c r="H32" s="1473">
        <v>2</v>
      </c>
      <c r="I32" s="1473"/>
      <c r="J32" s="1473" t="s">
        <v>2349</v>
      </c>
      <c r="K32" s="1472"/>
      <c r="L32" s="1472"/>
      <c r="M32" s="823"/>
      <c r="AA32">
        <f>IF(AND('07 Sys'!C32&gt;Tmin, NOT('07 Sys'!$I32="")),'07 Sys'!$I32,0)</f>
        <v>0</v>
      </c>
      <c r="AB32">
        <f>IF(AND('07 Sys'!D32&gt;Tmin, NOT('07 Sys'!$I32="")),'07 Sys'!$I32,0)</f>
        <v>0</v>
      </c>
      <c r="AC32">
        <f>IF(AND('07 Sys'!E32&gt;Tmin, NOT('07 Sys'!$I32="")),'07 Sys'!$I32,0)</f>
        <v>0</v>
      </c>
      <c r="AD32">
        <f>IF(AND('07 Sys'!F32&gt;Tmin, NOT('07 Sys'!$I32="")),'07 Sys'!$I32,0)</f>
        <v>0</v>
      </c>
      <c r="AE32">
        <f>IF(AND('07 Sys'!C32&lt;Tmax, NOT('07 Sys'!$H32="")),'07 Sys'!$H32,4)</f>
        <v>2</v>
      </c>
      <c r="AF32">
        <f>IF(AND('07 Sys'!D32&lt;Tmax, NOT('07 Sys'!$H32="")),'07 Sys'!$H32,4)</f>
        <v>2</v>
      </c>
      <c r="AG32">
        <f>IF(AND('07 Sys'!E32&lt;Tmax, NOT('07 Sys'!$H32="")),'07 Sys'!$H32,4)</f>
        <v>2</v>
      </c>
      <c r="AH32">
        <f>IF(AND('07 Sys'!F32&lt;Tmax, NOT('07 Sys'!$H32="")),'07 Sys'!$H32,4)</f>
        <v>2</v>
      </c>
      <c r="AI32"/>
    </row>
    <row r="33" spans="1:35" ht="51" customHeight="1" outlineLevel="2" x14ac:dyDescent="0.2">
      <c r="A33" s="636" t="s">
        <v>3998</v>
      </c>
      <c r="B33" s="636" t="s">
        <v>6310</v>
      </c>
      <c r="C33" s="786"/>
      <c r="D33" s="822"/>
      <c r="E33" s="822"/>
      <c r="F33" s="822"/>
      <c r="G33" s="1473">
        <v>4</v>
      </c>
      <c r="H33" s="1473">
        <v>3</v>
      </c>
      <c r="I33" s="1473"/>
      <c r="J33" s="1473" t="s">
        <v>2109</v>
      </c>
      <c r="K33" s="1472"/>
      <c r="L33" s="1472"/>
      <c r="M33" s="823"/>
      <c r="AA33">
        <f>IF(AND('07 Sys'!C33&gt;Tmin, NOT('07 Sys'!$I33="")),'07 Sys'!$I33,0)</f>
        <v>0</v>
      </c>
      <c r="AB33">
        <f>IF(AND('07 Sys'!D33&gt;Tmin, NOT('07 Sys'!$I33="")),'07 Sys'!$I33,0)</f>
        <v>0</v>
      </c>
      <c r="AC33">
        <f>IF(AND('07 Sys'!E33&gt;Tmin, NOT('07 Sys'!$I33="")),'07 Sys'!$I33,0)</f>
        <v>0</v>
      </c>
      <c r="AD33">
        <f>IF(AND('07 Sys'!F33&gt;Tmin, NOT('07 Sys'!$I33="")),'07 Sys'!$I33,0)</f>
        <v>0</v>
      </c>
      <c r="AE33">
        <f>IF(AND('07 Sys'!C33&lt;Tmax, NOT('07 Sys'!$H33="")),'07 Sys'!$H33,4)</f>
        <v>3</v>
      </c>
      <c r="AF33">
        <f>IF(AND('07 Sys'!D33&lt;Tmax, NOT('07 Sys'!$H33="")),'07 Sys'!$H33,4)</f>
        <v>3</v>
      </c>
      <c r="AG33">
        <f>IF(AND('07 Sys'!E33&lt;Tmax, NOT('07 Sys'!$H33="")),'07 Sys'!$H33,4)</f>
        <v>3</v>
      </c>
      <c r="AH33">
        <f>IF(AND('07 Sys'!F33&lt;Tmax, NOT('07 Sys'!$H33="")),'07 Sys'!$H33,4)</f>
        <v>3</v>
      </c>
      <c r="AI33"/>
    </row>
    <row r="34" spans="1:35" outlineLevel="1" x14ac:dyDescent="0.2">
      <c r="A34" s="633" t="s">
        <v>5137</v>
      </c>
      <c r="B34" s="634" t="s">
        <v>5138</v>
      </c>
      <c r="C34" s="786"/>
      <c r="D34" s="822"/>
      <c r="E34" s="822"/>
      <c r="F34" s="822"/>
      <c r="G34" s="1473"/>
      <c r="H34" s="1473"/>
      <c r="I34" s="1473"/>
      <c r="J34" s="1473"/>
      <c r="K34" s="1472"/>
      <c r="L34" s="1472"/>
      <c r="M34" s="823"/>
      <c r="AA34"/>
      <c r="AB34"/>
      <c r="AC34"/>
      <c r="AD34"/>
      <c r="AE34"/>
      <c r="AF34"/>
      <c r="AG34"/>
      <c r="AH34"/>
      <c r="AI34"/>
    </row>
    <row r="35" spans="1:35" outlineLevel="2" x14ac:dyDescent="0.2">
      <c r="A35" s="636" t="s">
        <v>3999</v>
      </c>
      <c r="B35" s="636" t="s">
        <v>5587</v>
      </c>
      <c r="C35" s="786"/>
      <c r="D35" s="822"/>
      <c r="E35" s="822"/>
      <c r="F35" s="822"/>
      <c r="G35" s="1473">
        <v>1</v>
      </c>
      <c r="H35" s="1473">
        <v>2</v>
      </c>
      <c r="I35" s="1473"/>
      <c r="J35" s="1473" t="s">
        <v>4246</v>
      </c>
      <c r="K35" s="1472"/>
      <c r="L35" s="1472" t="s">
        <v>7350</v>
      </c>
      <c r="M35" s="823"/>
      <c r="AA35">
        <f>IF(AND('07 Sys'!C35&gt;Tmin, NOT('07 Sys'!$I35="")),'07 Sys'!$I35,0)</f>
        <v>0</v>
      </c>
      <c r="AB35">
        <f>IF(AND('07 Sys'!D35&gt;Tmin, NOT('07 Sys'!$I35="")),'07 Sys'!$I35,0)</f>
        <v>0</v>
      </c>
      <c r="AC35">
        <f>IF(AND('07 Sys'!E35&gt;Tmin, NOT('07 Sys'!$I35="")),'07 Sys'!$I35,0)</f>
        <v>0</v>
      </c>
      <c r="AD35">
        <f>IF(AND('07 Sys'!F35&gt;Tmin, NOT('07 Sys'!$I35="")),'07 Sys'!$I35,0)</f>
        <v>0</v>
      </c>
      <c r="AE35">
        <f>IF(AND('07 Sys'!C35&lt;Tmax, NOT('07 Sys'!$H35="")),'07 Sys'!$H35,4)</f>
        <v>2</v>
      </c>
      <c r="AF35">
        <f>IF(AND('07 Sys'!D35&lt;Tmax, NOT('07 Sys'!$H35="")),'07 Sys'!$H35,4)</f>
        <v>2</v>
      </c>
      <c r="AG35">
        <f>IF(AND('07 Sys'!E35&lt;Tmax, NOT('07 Sys'!$H35="")),'07 Sys'!$H35,4)</f>
        <v>2</v>
      </c>
      <c r="AH35">
        <f>IF(AND('07 Sys'!F35&lt;Tmax, NOT('07 Sys'!$H35="")),'07 Sys'!$H35,4)</f>
        <v>2</v>
      </c>
      <c r="AI35"/>
    </row>
    <row r="36" spans="1:35" ht="57.75" customHeight="1" outlineLevel="2" x14ac:dyDescent="0.2">
      <c r="A36" s="636" t="s">
        <v>3078</v>
      </c>
      <c r="B36" s="636" t="s">
        <v>3796</v>
      </c>
      <c r="C36" s="786"/>
      <c r="D36" s="822"/>
      <c r="E36" s="822"/>
      <c r="F36" s="822"/>
      <c r="G36" s="1473">
        <v>4</v>
      </c>
      <c r="H36" s="1473">
        <v>2</v>
      </c>
      <c r="I36" s="1473"/>
      <c r="J36" s="1473" t="s">
        <v>4246</v>
      </c>
      <c r="K36" s="1472"/>
      <c r="L36" s="1472" t="s">
        <v>7350</v>
      </c>
      <c r="M36" s="823"/>
      <c r="AA36">
        <f>IF(AND('07 Sys'!C36&gt;Tmin, NOT('07 Sys'!$I36="")),'07 Sys'!$I36,0)</f>
        <v>0</v>
      </c>
      <c r="AB36">
        <f>IF(AND('07 Sys'!D36&gt;Tmin, NOT('07 Sys'!$I36="")),'07 Sys'!$I36,0)</f>
        <v>0</v>
      </c>
      <c r="AC36">
        <f>IF(AND('07 Sys'!E36&gt;Tmin, NOT('07 Sys'!$I36="")),'07 Sys'!$I36,0)</f>
        <v>0</v>
      </c>
      <c r="AD36">
        <f>IF(AND('07 Sys'!F36&gt;Tmin, NOT('07 Sys'!$I36="")),'07 Sys'!$I36,0)</f>
        <v>0</v>
      </c>
      <c r="AE36">
        <f>IF(AND('07 Sys'!C36&lt;Tmax, NOT('07 Sys'!$H36="")),'07 Sys'!$H36,4)</f>
        <v>2</v>
      </c>
      <c r="AF36">
        <f>IF(AND('07 Sys'!D36&lt;Tmax, NOT('07 Sys'!$H36="")),'07 Sys'!$H36,4)</f>
        <v>2</v>
      </c>
      <c r="AG36">
        <f>IF(AND('07 Sys'!E36&lt;Tmax, NOT('07 Sys'!$H36="")),'07 Sys'!$H36,4)</f>
        <v>2</v>
      </c>
      <c r="AH36">
        <f>IF(AND('07 Sys'!F36&lt;Tmax, NOT('07 Sys'!$H36="")),'07 Sys'!$H36,4)</f>
        <v>2</v>
      </c>
      <c r="AI36"/>
    </row>
    <row r="37" spans="1:35" outlineLevel="2" x14ac:dyDescent="0.2">
      <c r="A37" s="636" t="s">
        <v>3079</v>
      </c>
      <c r="B37" s="636" t="s">
        <v>3862</v>
      </c>
      <c r="C37" s="786"/>
      <c r="D37" s="822"/>
      <c r="E37" s="822"/>
      <c r="F37" s="822"/>
      <c r="G37" s="1473">
        <v>4</v>
      </c>
      <c r="H37" s="1473">
        <v>2</v>
      </c>
      <c r="I37" s="1473"/>
      <c r="J37" s="1473" t="s">
        <v>1592</v>
      </c>
      <c r="K37" s="1472"/>
      <c r="L37" s="1472" t="s">
        <v>7350</v>
      </c>
      <c r="M37" s="823"/>
      <c r="AA37">
        <f>IF(AND('07 Sys'!C37&gt;Tmin, NOT('07 Sys'!$I37="")),'07 Sys'!$I37,0)</f>
        <v>0</v>
      </c>
      <c r="AB37">
        <f>IF(AND('07 Sys'!D37&gt;Tmin, NOT('07 Sys'!$I37="")),'07 Sys'!$I37,0)</f>
        <v>0</v>
      </c>
      <c r="AC37">
        <f>IF(AND('07 Sys'!E37&gt;Tmin, NOT('07 Sys'!$I37="")),'07 Sys'!$I37,0)</f>
        <v>0</v>
      </c>
      <c r="AD37">
        <f>IF(AND('07 Sys'!F37&gt;Tmin, NOT('07 Sys'!$I37="")),'07 Sys'!$I37,0)</f>
        <v>0</v>
      </c>
      <c r="AE37">
        <f>IF(AND('07 Sys'!C37&lt;Tmax, NOT('07 Sys'!$H37="")),'07 Sys'!$H37,4)</f>
        <v>2</v>
      </c>
      <c r="AF37">
        <f>IF(AND('07 Sys'!D37&lt;Tmax, NOT('07 Sys'!$H37="")),'07 Sys'!$H37,4)</f>
        <v>2</v>
      </c>
      <c r="AG37">
        <f>IF(AND('07 Sys'!E37&lt;Tmax, NOT('07 Sys'!$H37="")),'07 Sys'!$H37,4)</f>
        <v>2</v>
      </c>
      <c r="AH37">
        <f>IF(AND('07 Sys'!F37&lt;Tmax, NOT('07 Sys'!$H37="")),'07 Sys'!$H37,4)</f>
        <v>2</v>
      </c>
      <c r="AI37"/>
    </row>
    <row r="38" spans="1:35" ht="56.25" customHeight="1" outlineLevel="2" x14ac:dyDescent="0.2">
      <c r="A38" s="636" t="s">
        <v>3080</v>
      </c>
      <c r="B38" s="636" t="s">
        <v>3787</v>
      </c>
      <c r="C38" s="786"/>
      <c r="D38" s="822"/>
      <c r="E38" s="822"/>
      <c r="F38" s="822"/>
      <c r="G38" s="1473">
        <v>2</v>
      </c>
      <c r="H38" s="1473">
        <v>2</v>
      </c>
      <c r="I38" s="1473"/>
      <c r="J38" s="1473" t="s">
        <v>1592</v>
      </c>
      <c r="K38" s="1472" t="s">
        <v>6951</v>
      </c>
      <c r="L38" s="1472" t="s">
        <v>7350</v>
      </c>
      <c r="M38" s="823"/>
      <c r="AA38">
        <f>IF(AND('07 Sys'!C38&gt;Tmin, NOT('07 Sys'!$I38="")),'07 Sys'!$I38,0)</f>
        <v>0</v>
      </c>
      <c r="AB38">
        <f>IF(AND('07 Sys'!D38&gt;Tmin, NOT('07 Sys'!$I38="")),'07 Sys'!$I38,0)</f>
        <v>0</v>
      </c>
      <c r="AC38">
        <f>IF(AND('07 Sys'!E38&gt;Tmin, NOT('07 Sys'!$I38="")),'07 Sys'!$I38,0)</f>
        <v>0</v>
      </c>
      <c r="AD38">
        <f>IF(AND('07 Sys'!F38&gt;Tmin, NOT('07 Sys'!$I38="")),'07 Sys'!$I38,0)</f>
        <v>0</v>
      </c>
      <c r="AE38">
        <f>IF(AND('07 Sys'!C38&lt;Tmax, NOT('07 Sys'!$H38="")),'07 Sys'!$H38,4)</f>
        <v>2</v>
      </c>
      <c r="AF38">
        <f>IF(AND('07 Sys'!D38&lt;Tmax, NOT('07 Sys'!$H38="")),'07 Sys'!$H38,4)</f>
        <v>2</v>
      </c>
      <c r="AG38">
        <f>IF(AND('07 Sys'!E38&lt;Tmax, NOT('07 Sys'!$H38="")),'07 Sys'!$H38,4)</f>
        <v>2</v>
      </c>
      <c r="AH38">
        <f>IF(AND('07 Sys'!F38&lt;Tmax, NOT('07 Sys'!$H38="")),'07 Sys'!$H38,4)</f>
        <v>2</v>
      </c>
      <c r="AI38"/>
    </row>
    <row r="39" spans="1:35" outlineLevel="2" x14ac:dyDescent="0.2">
      <c r="A39" s="636" t="s">
        <v>3081</v>
      </c>
      <c r="B39" s="636" t="s">
        <v>3569</v>
      </c>
      <c r="C39" s="786"/>
      <c r="D39" s="822"/>
      <c r="E39" s="822"/>
      <c r="F39" s="822"/>
      <c r="G39" s="1473">
        <v>4</v>
      </c>
      <c r="H39" s="1473"/>
      <c r="I39" s="1473"/>
      <c r="J39" s="1473" t="s">
        <v>2329</v>
      </c>
      <c r="K39" s="1472" t="s">
        <v>6951</v>
      </c>
      <c r="L39" s="1472"/>
      <c r="M39" s="823"/>
      <c r="AA39">
        <f>IF(AND('07 Sys'!C39&gt;Tmin, NOT('07 Sys'!$I39="")),'07 Sys'!$I39,0)</f>
        <v>0</v>
      </c>
      <c r="AB39">
        <f>IF(AND('07 Sys'!D39&gt;Tmin, NOT('07 Sys'!$I39="")),'07 Sys'!$I39,0)</f>
        <v>0</v>
      </c>
      <c r="AC39">
        <f>IF(AND('07 Sys'!E39&gt;Tmin, NOT('07 Sys'!$I39="")),'07 Sys'!$I39,0)</f>
        <v>0</v>
      </c>
      <c r="AD39">
        <f>IF(AND('07 Sys'!F39&gt;Tmin, NOT('07 Sys'!$I39="")),'07 Sys'!$I39,0)</f>
        <v>0</v>
      </c>
      <c r="AE39">
        <f>IF(AND('07 Sys'!C39&lt;Tmax, NOT('07 Sys'!$H39="")),'07 Sys'!$H39,4)</f>
        <v>4</v>
      </c>
      <c r="AF39">
        <f>IF(AND('07 Sys'!D39&lt;Tmax, NOT('07 Sys'!$H39="")),'07 Sys'!$H39,4)</f>
        <v>4</v>
      </c>
      <c r="AG39">
        <f>IF(AND('07 Sys'!E39&lt;Tmax, NOT('07 Sys'!$H39="")),'07 Sys'!$H39,4)</f>
        <v>4</v>
      </c>
      <c r="AH39">
        <f>IF(AND('07 Sys'!F39&lt;Tmax, NOT('07 Sys'!$H39="")),'07 Sys'!$H39,4)</f>
        <v>4</v>
      </c>
      <c r="AI39"/>
    </row>
    <row r="40" spans="1:35" ht="22.5" outlineLevel="2" x14ac:dyDescent="0.2">
      <c r="A40" s="636" t="s">
        <v>3570</v>
      </c>
      <c r="B40" s="636" t="s">
        <v>1407</v>
      </c>
      <c r="C40" s="786"/>
      <c r="D40" s="822"/>
      <c r="E40" s="822"/>
      <c r="F40" s="822"/>
      <c r="G40" s="1473">
        <v>4</v>
      </c>
      <c r="H40" s="1473"/>
      <c r="I40" s="1473"/>
      <c r="J40" s="1473" t="s">
        <v>2329</v>
      </c>
      <c r="K40" s="1472" t="s">
        <v>6951</v>
      </c>
      <c r="L40" s="1472" t="s">
        <v>7351</v>
      </c>
      <c r="M40" s="823"/>
      <c r="AA40">
        <f>IF(AND('07 Sys'!C40&gt;Tmin, NOT('07 Sys'!$I40="")),'07 Sys'!$I40,0)</f>
        <v>0</v>
      </c>
      <c r="AB40">
        <f>IF(AND('07 Sys'!D40&gt;Tmin, NOT('07 Sys'!$I40="")),'07 Sys'!$I40,0)</f>
        <v>0</v>
      </c>
      <c r="AC40">
        <f>IF(AND('07 Sys'!E40&gt;Tmin, NOT('07 Sys'!$I40="")),'07 Sys'!$I40,0)</f>
        <v>0</v>
      </c>
      <c r="AD40">
        <f>IF(AND('07 Sys'!F40&gt;Tmin, NOT('07 Sys'!$I40="")),'07 Sys'!$I40,0)</f>
        <v>0</v>
      </c>
      <c r="AE40">
        <f>IF(AND('07 Sys'!C40&lt;Tmax, NOT('07 Sys'!$H40="")),'07 Sys'!$H40,4)</f>
        <v>4</v>
      </c>
      <c r="AF40">
        <f>IF(AND('07 Sys'!D40&lt;Tmax, NOT('07 Sys'!$H40="")),'07 Sys'!$H40,4)</f>
        <v>4</v>
      </c>
      <c r="AG40">
        <f>IF(AND('07 Sys'!E40&lt;Tmax, NOT('07 Sys'!$H40="")),'07 Sys'!$H40,4)</f>
        <v>4</v>
      </c>
      <c r="AH40">
        <f>IF(AND('07 Sys'!F40&lt;Tmax, NOT('07 Sys'!$H40="")),'07 Sys'!$H40,4)</f>
        <v>4</v>
      </c>
      <c r="AI40"/>
    </row>
    <row r="41" spans="1:35" ht="22.5" outlineLevel="2" x14ac:dyDescent="0.2">
      <c r="A41" s="636" t="s">
        <v>1408</v>
      </c>
      <c r="B41" s="636" t="s">
        <v>1409</v>
      </c>
      <c r="C41" s="786"/>
      <c r="D41" s="822"/>
      <c r="E41" s="822"/>
      <c r="F41" s="822"/>
      <c r="G41" s="1473">
        <v>4</v>
      </c>
      <c r="H41" s="1473">
        <v>2</v>
      </c>
      <c r="I41" s="1473"/>
      <c r="J41" s="1473" t="s">
        <v>2329</v>
      </c>
      <c r="K41" s="1472"/>
      <c r="L41" s="1472"/>
      <c r="M41" s="823"/>
      <c r="AA41">
        <f>IF(AND('07 Sys'!C41&gt;Tmin, NOT('07 Sys'!$I41="")),'07 Sys'!$I41,0)</f>
        <v>0</v>
      </c>
      <c r="AB41">
        <f>IF(AND('07 Sys'!D41&gt;Tmin, NOT('07 Sys'!$I41="")),'07 Sys'!$I41,0)</f>
        <v>0</v>
      </c>
      <c r="AC41">
        <f>IF(AND('07 Sys'!E41&gt;Tmin, NOT('07 Sys'!$I41="")),'07 Sys'!$I41,0)</f>
        <v>0</v>
      </c>
      <c r="AD41">
        <f>IF(AND('07 Sys'!F41&gt;Tmin, NOT('07 Sys'!$I41="")),'07 Sys'!$I41,0)</f>
        <v>0</v>
      </c>
      <c r="AE41">
        <f>IF(AND('07 Sys'!C41&lt;Tmax, NOT('07 Sys'!$H41="")),'07 Sys'!$H41,4)</f>
        <v>2</v>
      </c>
      <c r="AF41">
        <f>IF(AND('07 Sys'!D41&lt;Tmax, NOT('07 Sys'!$H41="")),'07 Sys'!$H41,4)</f>
        <v>2</v>
      </c>
      <c r="AG41">
        <f>IF(AND('07 Sys'!E41&lt;Tmax, NOT('07 Sys'!$H41="")),'07 Sys'!$H41,4)</f>
        <v>2</v>
      </c>
      <c r="AH41">
        <f>IF(AND('07 Sys'!F41&lt;Tmax, NOT('07 Sys'!$H41="")),'07 Sys'!$H41,4)</f>
        <v>2</v>
      </c>
      <c r="AI41"/>
    </row>
    <row r="42" spans="1:35" ht="46.5" customHeight="1" outlineLevel="2" x14ac:dyDescent="0.2">
      <c r="A42" s="636" t="s">
        <v>13</v>
      </c>
      <c r="B42" s="636" t="s">
        <v>2699</v>
      </c>
      <c r="C42" s="786"/>
      <c r="D42" s="822"/>
      <c r="E42" s="822"/>
      <c r="F42" s="822"/>
      <c r="G42" s="1473">
        <v>4</v>
      </c>
      <c r="H42" s="1473">
        <v>2</v>
      </c>
      <c r="I42" s="1473"/>
      <c r="J42" s="1473" t="s">
        <v>2349</v>
      </c>
      <c r="K42" s="1472"/>
      <c r="L42" s="1472"/>
      <c r="M42" s="823"/>
      <c r="AA42">
        <f>IF(AND('07 Sys'!C42&gt;Tmin, NOT('07 Sys'!$I42="")),'07 Sys'!$I42,0)</f>
        <v>0</v>
      </c>
      <c r="AB42">
        <f>IF(AND('07 Sys'!D42&gt;Tmin, NOT('07 Sys'!$I42="")),'07 Sys'!$I42,0)</f>
        <v>0</v>
      </c>
      <c r="AC42">
        <f>IF(AND('07 Sys'!E42&gt;Tmin, NOT('07 Sys'!$I42="")),'07 Sys'!$I42,0)</f>
        <v>0</v>
      </c>
      <c r="AD42">
        <f>IF(AND('07 Sys'!F42&gt;Tmin, NOT('07 Sys'!$I42="")),'07 Sys'!$I42,0)</f>
        <v>0</v>
      </c>
      <c r="AE42">
        <f>IF(AND('07 Sys'!C42&lt;Tmax, NOT('07 Sys'!$H42="")),'07 Sys'!$H42,4)</f>
        <v>2</v>
      </c>
      <c r="AF42">
        <f>IF(AND('07 Sys'!D42&lt;Tmax, NOT('07 Sys'!$H42="")),'07 Sys'!$H42,4)</f>
        <v>2</v>
      </c>
      <c r="AG42">
        <f>IF(AND('07 Sys'!E42&lt;Tmax, NOT('07 Sys'!$H42="")),'07 Sys'!$H42,4)</f>
        <v>2</v>
      </c>
      <c r="AH42">
        <f>IF(AND('07 Sys'!F42&lt;Tmax, NOT('07 Sys'!$H42="")),'07 Sys'!$H42,4)</f>
        <v>2</v>
      </c>
      <c r="AI42"/>
    </row>
    <row r="43" spans="1:35" ht="57" customHeight="1" outlineLevel="2" x14ac:dyDescent="0.2">
      <c r="A43" s="636" t="s">
        <v>14</v>
      </c>
      <c r="B43" s="636" t="s">
        <v>6778</v>
      </c>
      <c r="C43" s="786"/>
      <c r="D43" s="822"/>
      <c r="E43" s="822"/>
      <c r="F43" s="822"/>
      <c r="G43" s="1473">
        <v>4</v>
      </c>
      <c r="H43" s="1473">
        <v>3</v>
      </c>
      <c r="I43" s="1473"/>
      <c r="J43" s="1473" t="s">
        <v>2109</v>
      </c>
      <c r="K43" s="1472"/>
      <c r="L43" s="1472"/>
      <c r="M43" s="823"/>
      <c r="AA43">
        <f>IF(AND('07 Sys'!C43&gt;Tmin, NOT('07 Sys'!$I43="")),'07 Sys'!$I43,0)</f>
        <v>0</v>
      </c>
      <c r="AB43">
        <f>IF(AND('07 Sys'!D43&gt;Tmin, NOT('07 Sys'!$I43="")),'07 Sys'!$I43,0)</f>
        <v>0</v>
      </c>
      <c r="AC43">
        <f>IF(AND('07 Sys'!E43&gt;Tmin, NOT('07 Sys'!$I43="")),'07 Sys'!$I43,0)</f>
        <v>0</v>
      </c>
      <c r="AD43">
        <f>IF(AND('07 Sys'!F43&gt;Tmin, NOT('07 Sys'!$I43="")),'07 Sys'!$I43,0)</f>
        <v>0</v>
      </c>
      <c r="AE43">
        <f>IF(AND('07 Sys'!C43&lt;Tmax, NOT('07 Sys'!$H43="")),'07 Sys'!$H43,4)</f>
        <v>3</v>
      </c>
      <c r="AF43">
        <f>IF(AND('07 Sys'!D43&lt;Tmax, NOT('07 Sys'!$H43="")),'07 Sys'!$H43,4)</f>
        <v>3</v>
      </c>
      <c r="AG43">
        <f>IF(AND('07 Sys'!E43&lt;Tmax, NOT('07 Sys'!$H43="")),'07 Sys'!$H43,4)</f>
        <v>3</v>
      </c>
      <c r="AH43">
        <f>IF(AND('07 Sys'!F43&lt;Tmax, NOT('07 Sys'!$H43="")),'07 Sys'!$H43,4)</f>
        <v>3</v>
      </c>
      <c r="AI43"/>
    </row>
    <row r="44" spans="1:35" ht="13.5" customHeight="1" outlineLevel="2" x14ac:dyDescent="0.2">
      <c r="A44" s="636" t="s">
        <v>15</v>
      </c>
      <c r="B44" s="636" t="s">
        <v>16</v>
      </c>
      <c r="C44" s="786"/>
      <c r="D44" s="822"/>
      <c r="E44" s="822"/>
      <c r="F44" s="822"/>
      <c r="G44" s="1473">
        <v>2</v>
      </c>
      <c r="H44" s="1473">
        <v>3</v>
      </c>
      <c r="I44" s="1473"/>
      <c r="J44" s="1473" t="s">
        <v>2107</v>
      </c>
      <c r="K44" s="1472"/>
      <c r="L44" s="1472"/>
      <c r="M44" s="823"/>
      <c r="AA44">
        <f>IF(AND('07 Sys'!C44&gt;Tmin, NOT('07 Sys'!$I44="")),'07 Sys'!$I44,0)</f>
        <v>0</v>
      </c>
      <c r="AB44">
        <f>IF(AND('07 Sys'!D44&gt;Tmin, NOT('07 Sys'!$I44="")),'07 Sys'!$I44,0)</f>
        <v>0</v>
      </c>
      <c r="AC44">
        <f>IF(AND('07 Sys'!E44&gt;Tmin, NOT('07 Sys'!$I44="")),'07 Sys'!$I44,0)</f>
        <v>0</v>
      </c>
      <c r="AD44">
        <f>IF(AND('07 Sys'!F44&gt;Tmin, NOT('07 Sys'!$I44="")),'07 Sys'!$I44,0)</f>
        <v>0</v>
      </c>
      <c r="AE44">
        <f>IF(AND('07 Sys'!C44&lt;Tmax, NOT('07 Sys'!$H44="")),'07 Sys'!$H44,4)</f>
        <v>3</v>
      </c>
      <c r="AF44">
        <f>IF(AND('07 Sys'!D44&lt;Tmax, NOT('07 Sys'!$H44="")),'07 Sys'!$H44,4)</f>
        <v>3</v>
      </c>
      <c r="AG44">
        <f>IF(AND('07 Sys'!E44&lt;Tmax, NOT('07 Sys'!$H44="")),'07 Sys'!$H44,4)</f>
        <v>3</v>
      </c>
      <c r="AH44">
        <f>IF(AND('07 Sys'!F44&lt;Tmax, NOT('07 Sys'!$H44="")),'07 Sys'!$H44,4)</f>
        <v>3</v>
      </c>
      <c r="AI44"/>
    </row>
    <row r="45" spans="1:35" outlineLevel="1" x14ac:dyDescent="0.2">
      <c r="A45" s="633" t="s">
        <v>1173</v>
      </c>
      <c r="B45" s="634" t="s">
        <v>3827</v>
      </c>
      <c r="C45" s="786"/>
      <c r="D45" s="822"/>
      <c r="E45" s="822"/>
      <c r="F45" s="822"/>
      <c r="G45" s="1471"/>
      <c r="H45" s="1471"/>
      <c r="I45" s="1471"/>
      <c r="J45" s="1473"/>
      <c r="K45" s="1472"/>
      <c r="L45" s="1472"/>
      <c r="M45" s="823"/>
      <c r="AA45"/>
      <c r="AB45"/>
      <c r="AC45"/>
      <c r="AD45"/>
      <c r="AE45"/>
      <c r="AF45"/>
      <c r="AG45"/>
      <c r="AH45"/>
      <c r="AI45"/>
    </row>
    <row r="46" spans="1:35" ht="22.5" outlineLevel="2" x14ac:dyDescent="0.2">
      <c r="A46" s="636" t="s">
        <v>1174</v>
      </c>
      <c r="B46" s="636" t="s">
        <v>2822</v>
      </c>
      <c r="C46" s="786"/>
      <c r="D46" s="822"/>
      <c r="E46" s="822"/>
      <c r="F46" s="822"/>
      <c r="G46" s="1473">
        <v>4</v>
      </c>
      <c r="H46" s="1473">
        <v>1</v>
      </c>
      <c r="I46" s="1471"/>
      <c r="J46" s="1473" t="s">
        <v>1592</v>
      </c>
      <c r="K46" s="1472"/>
      <c r="L46" s="1472"/>
      <c r="M46" s="823"/>
      <c r="AA46">
        <f>IF(AND('07 Sys'!C46&gt;Tmin, NOT('07 Sys'!$I46="")),'07 Sys'!$I46,0)</f>
        <v>0</v>
      </c>
      <c r="AB46">
        <f>IF(AND('07 Sys'!D46&gt;Tmin, NOT('07 Sys'!$I46="")),'07 Sys'!$I46,0)</f>
        <v>0</v>
      </c>
      <c r="AC46">
        <f>IF(AND('07 Sys'!E46&gt;Tmin, NOT('07 Sys'!$I46="")),'07 Sys'!$I46,0)</f>
        <v>0</v>
      </c>
      <c r="AD46">
        <f>IF(AND('07 Sys'!F46&gt;Tmin, NOT('07 Sys'!$I46="")),'07 Sys'!$I46,0)</f>
        <v>0</v>
      </c>
      <c r="AE46">
        <f>IF(AND('07 Sys'!C46&lt;Tmax, NOT('07 Sys'!$H46="")),'07 Sys'!$H46,4)</f>
        <v>1</v>
      </c>
      <c r="AF46">
        <f>IF(AND('07 Sys'!D46&lt;Tmax, NOT('07 Sys'!$H46="")),'07 Sys'!$H46,4)</f>
        <v>1</v>
      </c>
      <c r="AG46">
        <f>IF(AND('07 Sys'!E46&lt;Tmax, NOT('07 Sys'!$H46="")),'07 Sys'!$H46,4)</f>
        <v>1</v>
      </c>
      <c r="AH46">
        <f>IF(AND('07 Sys'!F46&lt;Tmax, NOT('07 Sys'!$H46="")),'07 Sys'!$H46,4)</f>
        <v>1</v>
      </c>
      <c r="AI46"/>
    </row>
    <row r="47" spans="1:35" ht="15" customHeight="1" outlineLevel="2" x14ac:dyDescent="0.2">
      <c r="A47" s="636" t="s">
        <v>1175</v>
      </c>
      <c r="B47" s="636" t="s">
        <v>6443</v>
      </c>
      <c r="C47" s="786"/>
      <c r="D47" s="822"/>
      <c r="E47" s="822"/>
      <c r="F47" s="822"/>
      <c r="G47" s="1473">
        <v>4</v>
      </c>
      <c r="H47" s="1473">
        <v>1</v>
      </c>
      <c r="I47" s="1471"/>
      <c r="J47" s="1473" t="s">
        <v>1592</v>
      </c>
      <c r="K47" s="1472"/>
      <c r="L47" s="1472"/>
      <c r="M47" s="823"/>
      <c r="AA47">
        <f>IF(AND('07 Sys'!C47&gt;Tmin, NOT('07 Sys'!$I47="")),'07 Sys'!$I47,0)</f>
        <v>0</v>
      </c>
      <c r="AB47">
        <f>IF(AND('07 Sys'!D47&gt;Tmin, NOT('07 Sys'!$I47="")),'07 Sys'!$I47,0)</f>
        <v>0</v>
      </c>
      <c r="AC47">
        <f>IF(AND('07 Sys'!E47&gt;Tmin, NOT('07 Sys'!$I47="")),'07 Sys'!$I47,0)</f>
        <v>0</v>
      </c>
      <c r="AD47">
        <f>IF(AND('07 Sys'!F47&gt;Tmin, NOT('07 Sys'!$I47="")),'07 Sys'!$I47,0)</f>
        <v>0</v>
      </c>
      <c r="AE47">
        <f>IF(AND('07 Sys'!C47&lt;Tmax, NOT('07 Sys'!$H47="")),'07 Sys'!$H47,4)</f>
        <v>1</v>
      </c>
      <c r="AF47">
        <f>IF(AND('07 Sys'!D47&lt;Tmax, NOT('07 Sys'!$H47="")),'07 Sys'!$H47,4)</f>
        <v>1</v>
      </c>
      <c r="AG47">
        <f>IF(AND('07 Sys'!E47&lt;Tmax, NOT('07 Sys'!$H47="")),'07 Sys'!$H47,4)</f>
        <v>1</v>
      </c>
      <c r="AH47">
        <f>IF(AND('07 Sys'!F47&lt;Tmax, NOT('07 Sys'!$H47="")),'07 Sys'!$H47,4)</f>
        <v>1</v>
      </c>
      <c r="AI47"/>
    </row>
    <row r="48" spans="1:35" ht="45" customHeight="1" outlineLevel="2" x14ac:dyDescent="0.2">
      <c r="A48" s="636" t="s">
        <v>1176</v>
      </c>
      <c r="B48" s="636" t="s">
        <v>6153</v>
      </c>
      <c r="C48" s="786"/>
      <c r="D48" s="822"/>
      <c r="E48" s="822"/>
      <c r="F48" s="822"/>
      <c r="G48" s="1473">
        <v>4</v>
      </c>
      <c r="H48" s="1473">
        <v>2</v>
      </c>
      <c r="I48" s="1471"/>
      <c r="J48" s="1473" t="s">
        <v>2329</v>
      </c>
      <c r="K48" s="1472"/>
      <c r="L48" s="1472"/>
      <c r="M48" s="823"/>
      <c r="AA48">
        <f>IF(AND('07 Sys'!C48&gt;Tmin, NOT('07 Sys'!$I48="")),'07 Sys'!$I48,0)</f>
        <v>0</v>
      </c>
      <c r="AB48">
        <f>IF(AND('07 Sys'!D48&gt;Tmin, NOT('07 Sys'!$I48="")),'07 Sys'!$I48,0)</f>
        <v>0</v>
      </c>
      <c r="AC48">
        <f>IF(AND('07 Sys'!E48&gt;Tmin, NOT('07 Sys'!$I48="")),'07 Sys'!$I48,0)</f>
        <v>0</v>
      </c>
      <c r="AD48">
        <f>IF(AND('07 Sys'!F48&gt;Tmin, NOT('07 Sys'!$I48="")),'07 Sys'!$I48,0)</f>
        <v>0</v>
      </c>
      <c r="AE48">
        <f>IF(AND('07 Sys'!C48&lt;Tmax, NOT('07 Sys'!$H48="")),'07 Sys'!$H48,4)</f>
        <v>2</v>
      </c>
      <c r="AF48">
        <f>IF(AND('07 Sys'!D48&lt;Tmax, NOT('07 Sys'!$H48="")),'07 Sys'!$H48,4)</f>
        <v>2</v>
      </c>
      <c r="AG48">
        <f>IF(AND('07 Sys'!E48&lt;Tmax, NOT('07 Sys'!$H48="")),'07 Sys'!$H48,4)</f>
        <v>2</v>
      </c>
      <c r="AH48">
        <f>IF(AND('07 Sys'!F48&lt;Tmax, NOT('07 Sys'!$H48="")),'07 Sys'!$H48,4)</f>
        <v>2</v>
      </c>
      <c r="AI48"/>
    </row>
    <row r="49" spans="1:35" s="643" customFormat="1" ht="78" customHeight="1" outlineLevel="2" x14ac:dyDescent="0.2">
      <c r="A49" s="636" t="s">
        <v>1177</v>
      </c>
      <c r="B49" s="636" t="s">
        <v>6154</v>
      </c>
      <c r="C49" s="786"/>
      <c r="D49" s="822"/>
      <c r="E49" s="822"/>
      <c r="F49" s="822"/>
      <c r="G49" s="1473">
        <v>4</v>
      </c>
      <c r="H49" s="1473">
        <v>3</v>
      </c>
      <c r="I49" s="1473"/>
      <c r="J49" s="1473" t="s">
        <v>1592</v>
      </c>
      <c r="K49" s="1472"/>
      <c r="L49" s="1472"/>
      <c r="M49" s="823"/>
      <c r="N49" s="679"/>
      <c r="O49" s="679"/>
      <c r="P49" s="679"/>
      <c r="Q49" s="679"/>
      <c r="R49" s="679"/>
      <c r="S49" s="679"/>
      <c r="T49" s="679"/>
      <c r="U49" s="679"/>
      <c r="V49" s="679"/>
      <c r="W49" s="679"/>
      <c r="X49" s="679"/>
      <c r="Y49" s="679"/>
      <c r="Z49" s="679"/>
      <c r="AA49">
        <f>IF(AND('07 Sys'!C49&gt;Tmin, NOT('07 Sys'!$I49="")),'07 Sys'!$I49,0)</f>
        <v>0</v>
      </c>
      <c r="AB49">
        <f>IF(AND('07 Sys'!D49&gt;Tmin, NOT('07 Sys'!$I49="")),'07 Sys'!$I49,0)</f>
        <v>0</v>
      </c>
      <c r="AC49">
        <f>IF(AND('07 Sys'!E49&gt;Tmin, NOT('07 Sys'!$I49="")),'07 Sys'!$I49,0)</f>
        <v>0</v>
      </c>
      <c r="AD49">
        <f>IF(AND('07 Sys'!F49&gt;Tmin, NOT('07 Sys'!$I49="")),'07 Sys'!$I49,0)</f>
        <v>0</v>
      </c>
      <c r="AE49">
        <f>IF(AND('07 Sys'!C49&lt;Tmax, NOT('07 Sys'!$H49="")),'07 Sys'!$H49,4)</f>
        <v>3</v>
      </c>
      <c r="AF49">
        <f>IF(AND('07 Sys'!D49&lt;Tmax, NOT('07 Sys'!$H49="")),'07 Sys'!$H49,4)</f>
        <v>3</v>
      </c>
      <c r="AG49">
        <f>IF(AND('07 Sys'!E49&lt;Tmax, NOT('07 Sys'!$H49="")),'07 Sys'!$H49,4)</f>
        <v>3</v>
      </c>
      <c r="AH49">
        <f>IF(AND('07 Sys'!F49&lt;Tmax, NOT('07 Sys'!$H49="")),'07 Sys'!$H49,4)</f>
        <v>3</v>
      </c>
      <c r="AI49"/>
    </row>
    <row r="50" spans="1:35" s="643" customFormat="1" ht="66" customHeight="1" outlineLevel="2" x14ac:dyDescent="0.2">
      <c r="A50" s="636" t="s">
        <v>1178</v>
      </c>
      <c r="B50" s="636" t="s">
        <v>2763</v>
      </c>
      <c r="C50" s="786"/>
      <c r="D50" s="822"/>
      <c r="E50" s="822"/>
      <c r="F50" s="822"/>
      <c r="G50" s="1473">
        <v>4</v>
      </c>
      <c r="H50" s="1473">
        <v>3</v>
      </c>
      <c r="I50" s="1473"/>
      <c r="J50" s="1473" t="s">
        <v>2329</v>
      </c>
      <c r="K50" s="1472"/>
      <c r="L50" s="1472"/>
      <c r="M50" s="823"/>
      <c r="N50" s="679"/>
      <c r="O50" s="679"/>
      <c r="P50" s="679"/>
      <c r="Q50" s="679"/>
      <c r="R50" s="679"/>
      <c r="S50" s="679"/>
      <c r="T50" s="679"/>
      <c r="U50" s="679"/>
      <c r="V50" s="679"/>
      <c r="W50" s="679"/>
      <c r="X50" s="679"/>
      <c r="Y50" s="679"/>
      <c r="Z50" s="679"/>
      <c r="AA50">
        <f>IF(AND('07 Sys'!C50&gt;Tmin, NOT('07 Sys'!$I50="")),'07 Sys'!$I50,0)</f>
        <v>0</v>
      </c>
      <c r="AB50">
        <f>IF(AND('07 Sys'!D50&gt;Tmin, NOT('07 Sys'!$I50="")),'07 Sys'!$I50,0)</f>
        <v>0</v>
      </c>
      <c r="AC50">
        <f>IF(AND('07 Sys'!E50&gt;Tmin, NOT('07 Sys'!$I50="")),'07 Sys'!$I50,0)</f>
        <v>0</v>
      </c>
      <c r="AD50">
        <f>IF(AND('07 Sys'!F50&gt;Tmin, NOT('07 Sys'!$I50="")),'07 Sys'!$I50,0)</f>
        <v>0</v>
      </c>
      <c r="AE50">
        <f>IF(AND('07 Sys'!C50&lt;Tmax, NOT('07 Sys'!$H50="")),'07 Sys'!$H50,4)</f>
        <v>3</v>
      </c>
      <c r="AF50">
        <f>IF(AND('07 Sys'!D50&lt;Tmax, NOT('07 Sys'!$H50="")),'07 Sys'!$H50,4)</f>
        <v>3</v>
      </c>
      <c r="AG50">
        <f>IF(AND('07 Sys'!E50&lt;Tmax, NOT('07 Sys'!$H50="")),'07 Sys'!$H50,4)</f>
        <v>3</v>
      </c>
      <c r="AH50">
        <f>IF(AND('07 Sys'!F50&lt;Tmax, NOT('07 Sys'!$H50="")),'07 Sys'!$H50,4)</f>
        <v>3</v>
      </c>
      <c r="AI50"/>
    </row>
    <row r="51" spans="1:35" ht="22.5" outlineLevel="2" x14ac:dyDescent="0.2">
      <c r="A51" s="636" t="s">
        <v>1179</v>
      </c>
      <c r="B51" s="636" t="s">
        <v>4787</v>
      </c>
      <c r="C51" s="786"/>
      <c r="D51" s="822"/>
      <c r="E51" s="822"/>
      <c r="F51" s="822"/>
      <c r="G51" s="1473">
        <v>4</v>
      </c>
      <c r="H51" s="1473">
        <v>2</v>
      </c>
      <c r="I51" s="1471"/>
      <c r="J51" s="1473" t="s">
        <v>1592</v>
      </c>
      <c r="K51" s="1472"/>
      <c r="L51" s="1472"/>
      <c r="M51" s="823"/>
      <c r="AA51">
        <f>IF(AND('07 Sys'!C51&gt;Tmin, NOT('07 Sys'!$I51="")),'07 Sys'!$I51,0)</f>
        <v>0</v>
      </c>
      <c r="AB51">
        <f>IF(AND('07 Sys'!D51&gt;Tmin, NOT('07 Sys'!$I51="")),'07 Sys'!$I51,0)</f>
        <v>0</v>
      </c>
      <c r="AC51">
        <f>IF(AND('07 Sys'!E51&gt;Tmin, NOT('07 Sys'!$I51="")),'07 Sys'!$I51,0)</f>
        <v>0</v>
      </c>
      <c r="AD51">
        <f>IF(AND('07 Sys'!F51&gt;Tmin, NOT('07 Sys'!$I51="")),'07 Sys'!$I51,0)</f>
        <v>0</v>
      </c>
      <c r="AE51">
        <f>IF(AND('07 Sys'!C51&lt;Tmax, NOT('07 Sys'!$H51="")),'07 Sys'!$H51,4)</f>
        <v>2</v>
      </c>
      <c r="AF51">
        <f>IF(AND('07 Sys'!D51&lt;Tmax, NOT('07 Sys'!$H51="")),'07 Sys'!$H51,4)</f>
        <v>2</v>
      </c>
      <c r="AG51">
        <f>IF(AND('07 Sys'!E51&lt;Tmax, NOT('07 Sys'!$H51="")),'07 Sys'!$H51,4)</f>
        <v>2</v>
      </c>
      <c r="AH51">
        <f>IF(AND('07 Sys'!F51&lt;Tmax, NOT('07 Sys'!$H51="")),'07 Sys'!$H51,4)</f>
        <v>2</v>
      </c>
      <c r="AI51"/>
    </row>
    <row r="52" spans="1:35" ht="22.5" outlineLevel="2" x14ac:dyDescent="0.2">
      <c r="A52" s="636" t="s">
        <v>1180</v>
      </c>
      <c r="B52" s="636" t="s">
        <v>2662</v>
      </c>
      <c r="C52" s="786"/>
      <c r="D52" s="822"/>
      <c r="E52" s="822"/>
      <c r="F52" s="822"/>
      <c r="G52" s="1473">
        <v>4</v>
      </c>
      <c r="H52" s="1473">
        <v>2</v>
      </c>
      <c r="I52" s="1471"/>
      <c r="J52" s="1473" t="s">
        <v>2329</v>
      </c>
      <c r="K52" s="1472"/>
      <c r="L52" s="1472"/>
      <c r="M52" s="823"/>
      <c r="AA52">
        <f>IF(AND('07 Sys'!C52&gt;Tmin, NOT('07 Sys'!$I52="")),'07 Sys'!$I52,0)</f>
        <v>0</v>
      </c>
      <c r="AB52">
        <f>IF(AND('07 Sys'!D52&gt;Tmin, NOT('07 Sys'!$I52="")),'07 Sys'!$I52,0)</f>
        <v>0</v>
      </c>
      <c r="AC52">
        <f>IF(AND('07 Sys'!E52&gt;Tmin, NOT('07 Sys'!$I52="")),'07 Sys'!$I52,0)</f>
        <v>0</v>
      </c>
      <c r="AD52">
        <f>IF(AND('07 Sys'!F52&gt;Tmin, NOT('07 Sys'!$I52="")),'07 Sys'!$I52,0)</f>
        <v>0</v>
      </c>
      <c r="AE52">
        <f>IF(AND('07 Sys'!C52&lt;Tmax, NOT('07 Sys'!$H52="")),'07 Sys'!$H52,4)</f>
        <v>2</v>
      </c>
      <c r="AF52">
        <f>IF(AND('07 Sys'!D52&lt;Tmax, NOT('07 Sys'!$H52="")),'07 Sys'!$H52,4)</f>
        <v>2</v>
      </c>
      <c r="AG52">
        <f>IF(AND('07 Sys'!E52&lt;Tmax, NOT('07 Sys'!$H52="")),'07 Sys'!$H52,4)</f>
        <v>2</v>
      </c>
      <c r="AH52">
        <f>IF(AND('07 Sys'!F52&lt;Tmax, NOT('07 Sys'!$H52="")),'07 Sys'!$H52,4)</f>
        <v>2</v>
      </c>
      <c r="AI52"/>
    </row>
    <row r="53" spans="1:35" ht="40.5" customHeight="1" outlineLevel="2" x14ac:dyDescent="0.2">
      <c r="A53" s="636" t="s">
        <v>1181</v>
      </c>
      <c r="B53" s="636" t="s">
        <v>1013</v>
      </c>
      <c r="C53" s="786"/>
      <c r="D53" s="822"/>
      <c r="E53" s="822"/>
      <c r="F53" s="822"/>
      <c r="G53" s="1473">
        <v>4</v>
      </c>
      <c r="H53" s="1473">
        <v>3</v>
      </c>
      <c r="I53" s="1471"/>
      <c r="J53" s="1473" t="s">
        <v>2349</v>
      </c>
      <c r="K53" s="1472"/>
      <c r="L53" s="1472"/>
      <c r="M53" s="823"/>
      <c r="AA53">
        <f>IF(AND('07 Sys'!C53&gt;Tmin, NOT('07 Sys'!$I53="")),'07 Sys'!$I53,0)</f>
        <v>0</v>
      </c>
      <c r="AB53">
        <f>IF(AND('07 Sys'!D53&gt;Tmin, NOT('07 Sys'!$I53="")),'07 Sys'!$I53,0)</f>
        <v>0</v>
      </c>
      <c r="AC53">
        <f>IF(AND('07 Sys'!E53&gt;Tmin, NOT('07 Sys'!$I53="")),'07 Sys'!$I53,0)</f>
        <v>0</v>
      </c>
      <c r="AD53">
        <f>IF(AND('07 Sys'!F53&gt;Tmin, NOT('07 Sys'!$I53="")),'07 Sys'!$I53,0)</f>
        <v>0</v>
      </c>
      <c r="AE53">
        <f>IF(AND('07 Sys'!C53&lt;Tmax, NOT('07 Sys'!$H53="")),'07 Sys'!$H53,4)</f>
        <v>3</v>
      </c>
      <c r="AF53">
        <f>IF(AND('07 Sys'!D53&lt;Tmax, NOT('07 Sys'!$H53="")),'07 Sys'!$H53,4)</f>
        <v>3</v>
      </c>
      <c r="AG53">
        <f>IF(AND('07 Sys'!E53&lt;Tmax, NOT('07 Sys'!$H53="")),'07 Sys'!$H53,4)</f>
        <v>3</v>
      </c>
      <c r="AH53">
        <f>IF(AND('07 Sys'!F53&lt;Tmax, NOT('07 Sys'!$H53="")),'07 Sys'!$H53,4)</f>
        <v>3</v>
      </c>
      <c r="AI53"/>
    </row>
    <row r="54" spans="1:35" ht="13.5" customHeight="1" x14ac:dyDescent="0.2">
      <c r="A54" s="644" t="s">
        <v>17</v>
      </c>
      <c r="B54" s="644" t="s">
        <v>18</v>
      </c>
      <c r="C54" s="786"/>
      <c r="D54" s="822"/>
      <c r="E54" s="822"/>
      <c r="F54" s="822"/>
      <c r="G54" s="1473"/>
      <c r="H54" s="1473"/>
      <c r="I54" s="1473"/>
      <c r="J54" s="1473"/>
      <c r="K54" s="1472"/>
      <c r="L54" s="1472"/>
      <c r="M54" s="823"/>
      <c r="AA54"/>
      <c r="AB54"/>
      <c r="AC54"/>
      <c r="AD54"/>
      <c r="AE54"/>
      <c r="AF54"/>
      <c r="AG54"/>
      <c r="AH54"/>
      <c r="AI54"/>
    </row>
    <row r="55" spans="1:35" ht="13.5" customHeight="1" outlineLevel="1" x14ac:dyDescent="0.2">
      <c r="A55" s="633" t="s">
        <v>5139</v>
      </c>
      <c r="B55" s="634" t="s">
        <v>4250</v>
      </c>
      <c r="C55" s="786"/>
      <c r="D55" s="822"/>
      <c r="E55" s="822"/>
      <c r="F55" s="822"/>
      <c r="G55" s="1473"/>
      <c r="H55" s="1473"/>
      <c r="I55" s="1473"/>
      <c r="J55" s="1473"/>
      <c r="K55" s="1472"/>
      <c r="L55" s="1472"/>
      <c r="M55" s="823"/>
      <c r="AA55"/>
      <c r="AB55"/>
      <c r="AC55"/>
      <c r="AD55"/>
      <c r="AE55"/>
      <c r="AF55"/>
      <c r="AG55"/>
      <c r="AH55"/>
      <c r="AI55"/>
    </row>
    <row r="56" spans="1:35" ht="22.5" outlineLevel="2" x14ac:dyDescent="0.2">
      <c r="A56" s="636" t="s">
        <v>19</v>
      </c>
      <c r="B56" s="636" t="s">
        <v>1842</v>
      </c>
      <c r="C56" s="786"/>
      <c r="D56" s="822"/>
      <c r="E56" s="822"/>
      <c r="F56" s="822"/>
      <c r="G56" s="1473">
        <v>4</v>
      </c>
      <c r="H56" s="1473"/>
      <c r="I56" s="1473"/>
      <c r="J56" s="1473" t="s">
        <v>1592</v>
      </c>
      <c r="K56" s="1472"/>
      <c r="L56" s="1472"/>
      <c r="M56" s="823"/>
      <c r="AA56">
        <f>IF(AND('07 Sys'!C56&gt;Tmin, NOT('07 Sys'!$I56="")),'07 Sys'!$I56,0)</f>
        <v>0</v>
      </c>
      <c r="AB56">
        <f>IF(AND('07 Sys'!D56&gt;Tmin, NOT('07 Sys'!$I56="")),'07 Sys'!$I56,0)</f>
        <v>0</v>
      </c>
      <c r="AC56">
        <f>IF(AND('07 Sys'!E56&gt;Tmin, NOT('07 Sys'!$I56="")),'07 Sys'!$I56,0)</f>
        <v>0</v>
      </c>
      <c r="AD56">
        <f>IF(AND('07 Sys'!F56&gt;Tmin, NOT('07 Sys'!$I56="")),'07 Sys'!$I56,0)</f>
        <v>0</v>
      </c>
      <c r="AE56">
        <f>IF(AND('07 Sys'!C56&lt;Tmax, NOT('07 Sys'!$H56="")),'07 Sys'!$H56,4)</f>
        <v>4</v>
      </c>
      <c r="AF56">
        <f>IF(AND('07 Sys'!D56&lt;Tmax, NOT('07 Sys'!$H56="")),'07 Sys'!$H56,4)</f>
        <v>4</v>
      </c>
      <c r="AG56">
        <f>IF(AND('07 Sys'!E56&lt;Tmax, NOT('07 Sys'!$H56="")),'07 Sys'!$H56,4)</f>
        <v>4</v>
      </c>
      <c r="AH56">
        <f>IF(AND('07 Sys'!F56&lt;Tmax, NOT('07 Sys'!$H56="")),'07 Sys'!$H56,4)</f>
        <v>4</v>
      </c>
      <c r="AI56"/>
    </row>
    <row r="57" spans="1:35" outlineLevel="2" x14ac:dyDescent="0.2">
      <c r="A57" s="636" t="s">
        <v>1843</v>
      </c>
      <c r="B57" s="636" t="s">
        <v>935</v>
      </c>
      <c r="C57" s="786"/>
      <c r="D57" s="822"/>
      <c r="E57" s="822"/>
      <c r="F57" s="822"/>
      <c r="G57" s="1473">
        <v>4</v>
      </c>
      <c r="H57" s="1473"/>
      <c r="I57" s="1473"/>
      <c r="J57" s="1473" t="s">
        <v>4246</v>
      </c>
      <c r="K57" s="1472"/>
      <c r="L57" s="1472"/>
      <c r="M57" s="823"/>
      <c r="AA57">
        <f>IF(AND('07 Sys'!C57&gt;Tmin, NOT('07 Sys'!$I57="")),'07 Sys'!$I57,0)</f>
        <v>0</v>
      </c>
      <c r="AB57">
        <f>IF(AND('07 Sys'!D57&gt;Tmin, NOT('07 Sys'!$I57="")),'07 Sys'!$I57,0)</f>
        <v>0</v>
      </c>
      <c r="AC57">
        <f>IF(AND('07 Sys'!E57&gt;Tmin, NOT('07 Sys'!$I57="")),'07 Sys'!$I57,0)</f>
        <v>0</v>
      </c>
      <c r="AD57">
        <f>IF(AND('07 Sys'!F57&gt;Tmin, NOT('07 Sys'!$I57="")),'07 Sys'!$I57,0)</f>
        <v>0</v>
      </c>
      <c r="AE57">
        <f>IF(AND('07 Sys'!C57&lt;Tmax, NOT('07 Sys'!$H57="")),'07 Sys'!$H57,4)</f>
        <v>4</v>
      </c>
      <c r="AF57">
        <f>IF(AND('07 Sys'!D57&lt;Tmax, NOT('07 Sys'!$H57="")),'07 Sys'!$H57,4)</f>
        <v>4</v>
      </c>
      <c r="AG57">
        <f>IF(AND('07 Sys'!E57&lt;Tmax, NOT('07 Sys'!$H57="")),'07 Sys'!$H57,4)</f>
        <v>4</v>
      </c>
      <c r="AH57">
        <f>IF(AND('07 Sys'!F57&lt;Tmax, NOT('07 Sys'!$H57="")),'07 Sys'!$H57,4)</f>
        <v>4</v>
      </c>
      <c r="AI57"/>
    </row>
    <row r="58" spans="1:35" ht="33.75" outlineLevel="2" x14ac:dyDescent="0.2">
      <c r="A58" s="636" t="s">
        <v>936</v>
      </c>
      <c r="B58" s="636" t="s">
        <v>1016</v>
      </c>
      <c r="C58" s="786"/>
      <c r="D58" s="822"/>
      <c r="E58" s="822"/>
      <c r="F58" s="822"/>
      <c r="G58" s="1473">
        <v>4</v>
      </c>
      <c r="H58" s="1473"/>
      <c r="I58" s="1473"/>
      <c r="J58" s="1473" t="s">
        <v>1592</v>
      </c>
      <c r="K58" s="1472"/>
      <c r="L58" s="1472"/>
      <c r="M58" s="823"/>
      <c r="AA58">
        <f>IF(AND('07 Sys'!C58&gt;Tmin, NOT('07 Sys'!$I58="")),'07 Sys'!$I58,0)</f>
        <v>0</v>
      </c>
      <c r="AB58">
        <f>IF(AND('07 Sys'!D58&gt;Tmin, NOT('07 Sys'!$I58="")),'07 Sys'!$I58,0)</f>
        <v>0</v>
      </c>
      <c r="AC58">
        <f>IF(AND('07 Sys'!E58&gt;Tmin, NOT('07 Sys'!$I58="")),'07 Sys'!$I58,0)</f>
        <v>0</v>
      </c>
      <c r="AD58">
        <f>IF(AND('07 Sys'!F58&gt;Tmin, NOT('07 Sys'!$I58="")),'07 Sys'!$I58,0)</f>
        <v>0</v>
      </c>
      <c r="AE58">
        <f>IF(AND('07 Sys'!C58&lt;Tmax, NOT('07 Sys'!$H58="")),'07 Sys'!$H58,4)</f>
        <v>4</v>
      </c>
      <c r="AF58">
        <f>IF(AND('07 Sys'!D58&lt;Tmax, NOT('07 Sys'!$H58="")),'07 Sys'!$H58,4)</f>
        <v>4</v>
      </c>
      <c r="AG58">
        <f>IF(AND('07 Sys'!E58&lt;Tmax, NOT('07 Sys'!$H58="")),'07 Sys'!$H58,4)</f>
        <v>4</v>
      </c>
      <c r="AH58">
        <f>IF(AND('07 Sys'!F58&lt;Tmax, NOT('07 Sys'!$H58="")),'07 Sys'!$H58,4)</f>
        <v>4</v>
      </c>
      <c r="AI58"/>
    </row>
    <row r="59" spans="1:35" ht="22.5" outlineLevel="2" x14ac:dyDescent="0.2">
      <c r="A59" s="636" t="s">
        <v>4903</v>
      </c>
      <c r="B59" s="636" t="s">
        <v>4904</v>
      </c>
      <c r="C59" s="786"/>
      <c r="D59" s="822"/>
      <c r="E59" s="822"/>
      <c r="F59" s="822"/>
      <c r="G59" s="1473">
        <v>4</v>
      </c>
      <c r="H59" s="1473"/>
      <c r="I59" s="1473"/>
      <c r="J59" s="1473" t="s">
        <v>2329</v>
      </c>
      <c r="K59" s="1472"/>
      <c r="L59" s="1472"/>
      <c r="M59" s="823"/>
      <c r="AA59">
        <f>IF(AND('07 Sys'!C59&gt;Tmin, NOT('07 Sys'!$I59="")),'07 Sys'!$I59,0)</f>
        <v>0</v>
      </c>
      <c r="AB59">
        <f>IF(AND('07 Sys'!D59&gt;Tmin, NOT('07 Sys'!$I59="")),'07 Sys'!$I59,0)</f>
        <v>0</v>
      </c>
      <c r="AC59">
        <f>IF(AND('07 Sys'!E59&gt;Tmin, NOT('07 Sys'!$I59="")),'07 Sys'!$I59,0)</f>
        <v>0</v>
      </c>
      <c r="AD59">
        <f>IF(AND('07 Sys'!F59&gt;Tmin, NOT('07 Sys'!$I59="")),'07 Sys'!$I59,0)</f>
        <v>0</v>
      </c>
      <c r="AE59">
        <f>IF(AND('07 Sys'!C59&lt;Tmax, NOT('07 Sys'!$H59="")),'07 Sys'!$H59,4)</f>
        <v>4</v>
      </c>
      <c r="AF59">
        <f>IF(AND('07 Sys'!D59&lt;Tmax, NOT('07 Sys'!$H59="")),'07 Sys'!$H59,4)</f>
        <v>4</v>
      </c>
      <c r="AG59">
        <f>IF(AND('07 Sys'!E59&lt;Tmax, NOT('07 Sys'!$H59="")),'07 Sys'!$H59,4)</f>
        <v>4</v>
      </c>
      <c r="AH59">
        <f>IF(AND('07 Sys'!F59&lt;Tmax, NOT('07 Sys'!$H59="")),'07 Sys'!$H59,4)</f>
        <v>4</v>
      </c>
      <c r="AI59"/>
    </row>
    <row r="60" spans="1:35" outlineLevel="2" x14ac:dyDescent="0.2">
      <c r="A60" s="636" t="s">
        <v>4905</v>
      </c>
      <c r="B60" s="636" t="s">
        <v>4001</v>
      </c>
      <c r="C60" s="786"/>
      <c r="D60" s="822"/>
      <c r="E60" s="822"/>
      <c r="F60" s="822"/>
      <c r="G60" s="1473">
        <v>4</v>
      </c>
      <c r="H60" s="1473"/>
      <c r="I60" s="1473"/>
      <c r="J60" s="1473" t="s">
        <v>2329</v>
      </c>
      <c r="K60" s="1472"/>
      <c r="L60" s="1472"/>
      <c r="M60" s="823"/>
      <c r="AA60">
        <f>IF(AND('07 Sys'!C60&gt;Tmin, NOT('07 Sys'!$I60="")),'07 Sys'!$I60,0)</f>
        <v>0</v>
      </c>
      <c r="AB60">
        <f>IF(AND('07 Sys'!D60&gt;Tmin, NOT('07 Sys'!$I60="")),'07 Sys'!$I60,0)</f>
        <v>0</v>
      </c>
      <c r="AC60">
        <f>IF(AND('07 Sys'!E60&gt;Tmin, NOT('07 Sys'!$I60="")),'07 Sys'!$I60,0)</f>
        <v>0</v>
      </c>
      <c r="AD60">
        <f>IF(AND('07 Sys'!F60&gt;Tmin, NOT('07 Sys'!$I60="")),'07 Sys'!$I60,0)</f>
        <v>0</v>
      </c>
      <c r="AE60">
        <f>IF(AND('07 Sys'!C60&lt;Tmax, NOT('07 Sys'!$H60="")),'07 Sys'!$H60,4)</f>
        <v>4</v>
      </c>
      <c r="AF60">
        <f>IF(AND('07 Sys'!D60&lt;Tmax, NOT('07 Sys'!$H60="")),'07 Sys'!$H60,4)</f>
        <v>4</v>
      </c>
      <c r="AG60">
        <f>IF(AND('07 Sys'!E60&lt;Tmax, NOT('07 Sys'!$H60="")),'07 Sys'!$H60,4)</f>
        <v>4</v>
      </c>
      <c r="AH60">
        <f>IF(AND('07 Sys'!F60&lt;Tmax, NOT('07 Sys'!$H60="")),'07 Sys'!$H60,4)</f>
        <v>4</v>
      </c>
      <c r="AI60"/>
    </row>
    <row r="61" spans="1:35" ht="22.5" outlineLevel="2" x14ac:dyDescent="0.2">
      <c r="A61" s="636" t="s">
        <v>4002</v>
      </c>
      <c r="B61" s="636" t="s">
        <v>3846</v>
      </c>
      <c r="C61" s="786"/>
      <c r="D61" s="822"/>
      <c r="E61" s="822"/>
      <c r="F61" s="822"/>
      <c r="G61" s="1473">
        <v>4</v>
      </c>
      <c r="H61" s="1473">
        <v>3</v>
      </c>
      <c r="I61" s="1473"/>
      <c r="J61" s="1473" t="s">
        <v>1592</v>
      </c>
      <c r="K61" s="1472"/>
      <c r="L61" s="1472"/>
      <c r="M61" s="823"/>
      <c r="AA61">
        <f>IF(AND('07 Sys'!C61&gt;Tmin, NOT('07 Sys'!$I61="")),'07 Sys'!$I61,0)</f>
        <v>0</v>
      </c>
      <c r="AB61">
        <f>IF(AND('07 Sys'!D61&gt;Tmin, NOT('07 Sys'!$I61="")),'07 Sys'!$I61,0)</f>
        <v>0</v>
      </c>
      <c r="AC61">
        <f>IF(AND('07 Sys'!E61&gt;Tmin, NOT('07 Sys'!$I61="")),'07 Sys'!$I61,0)</f>
        <v>0</v>
      </c>
      <c r="AD61">
        <f>IF(AND('07 Sys'!F61&gt;Tmin, NOT('07 Sys'!$I61="")),'07 Sys'!$I61,0)</f>
        <v>0</v>
      </c>
      <c r="AE61">
        <f>IF(AND('07 Sys'!C61&lt;Tmax, NOT('07 Sys'!$H61="")),'07 Sys'!$H61,4)</f>
        <v>3</v>
      </c>
      <c r="AF61">
        <f>IF(AND('07 Sys'!D61&lt;Tmax, NOT('07 Sys'!$H61="")),'07 Sys'!$H61,4)</f>
        <v>3</v>
      </c>
      <c r="AG61">
        <f>IF(AND('07 Sys'!E61&lt;Tmax, NOT('07 Sys'!$H61="")),'07 Sys'!$H61,4)</f>
        <v>3</v>
      </c>
      <c r="AH61">
        <f>IF(AND('07 Sys'!F61&lt;Tmax, NOT('07 Sys'!$H61="")),'07 Sys'!$H61,4)</f>
        <v>3</v>
      </c>
      <c r="AI61"/>
    </row>
    <row r="62" spans="1:35" outlineLevel="2" x14ac:dyDescent="0.2">
      <c r="A62" s="636" t="s">
        <v>3847</v>
      </c>
      <c r="B62" s="636" t="s">
        <v>3848</v>
      </c>
      <c r="C62" s="786"/>
      <c r="D62" s="822"/>
      <c r="E62" s="822"/>
      <c r="F62" s="822"/>
      <c r="G62" s="1473">
        <v>4</v>
      </c>
      <c r="H62" s="1473">
        <v>3</v>
      </c>
      <c r="I62" s="1473"/>
      <c r="J62" s="1473" t="s">
        <v>2349</v>
      </c>
      <c r="K62" s="1472"/>
      <c r="L62" s="1472"/>
      <c r="M62" s="823"/>
      <c r="AA62">
        <f>IF(AND('07 Sys'!C62&gt;Tmin, NOT('07 Sys'!$I62="")),'07 Sys'!$I62,0)</f>
        <v>0</v>
      </c>
      <c r="AB62">
        <f>IF(AND('07 Sys'!D62&gt;Tmin, NOT('07 Sys'!$I62="")),'07 Sys'!$I62,0)</f>
        <v>0</v>
      </c>
      <c r="AC62">
        <f>IF(AND('07 Sys'!E62&gt;Tmin, NOT('07 Sys'!$I62="")),'07 Sys'!$I62,0)</f>
        <v>0</v>
      </c>
      <c r="AD62">
        <f>IF(AND('07 Sys'!F62&gt;Tmin, NOT('07 Sys'!$I62="")),'07 Sys'!$I62,0)</f>
        <v>0</v>
      </c>
      <c r="AE62">
        <f>IF(AND('07 Sys'!C62&lt;Tmax, NOT('07 Sys'!$H62="")),'07 Sys'!$H62,4)</f>
        <v>3</v>
      </c>
      <c r="AF62">
        <f>IF(AND('07 Sys'!D62&lt;Tmax, NOT('07 Sys'!$H62="")),'07 Sys'!$H62,4)</f>
        <v>3</v>
      </c>
      <c r="AG62">
        <f>IF(AND('07 Sys'!E62&lt;Tmax, NOT('07 Sys'!$H62="")),'07 Sys'!$H62,4)</f>
        <v>3</v>
      </c>
      <c r="AH62">
        <f>IF(AND('07 Sys'!F62&lt;Tmax, NOT('07 Sys'!$H62="")),'07 Sys'!$H62,4)</f>
        <v>3</v>
      </c>
      <c r="AI62"/>
    </row>
    <row r="63" spans="1:35" ht="22.5" outlineLevel="2" x14ac:dyDescent="0.2">
      <c r="A63" s="636" t="s">
        <v>2827</v>
      </c>
      <c r="B63" s="636" t="s">
        <v>5360</v>
      </c>
      <c r="C63" s="786"/>
      <c r="D63" s="822"/>
      <c r="E63" s="822"/>
      <c r="F63" s="822"/>
      <c r="G63" s="1473">
        <v>4</v>
      </c>
      <c r="H63" s="1473"/>
      <c r="I63" s="1473"/>
      <c r="J63" s="1473" t="s">
        <v>1592</v>
      </c>
      <c r="K63" s="1472" t="s">
        <v>5254</v>
      </c>
      <c r="L63" s="1472" t="s">
        <v>7352</v>
      </c>
      <c r="M63" s="823"/>
      <c r="AA63">
        <f>IF(AND('07 Sys'!C63&gt;Tmin, NOT('07 Sys'!$I63="")),'07 Sys'!$I63,0)</f>
        <v>0</v>
      </c>
      <c r="AB63">
        <f>IF(AND('07 Sys'!D63&gt;Tmin, NOT('07 Sys'!$I63="")),'07 Sys'!$I63,0)</f>
        <v>0</v>
      </c>
      <c r="AC63">
        <f>IF(AND('07 Sys'!E63&gt;Tmin, NOT('07 Sys'!$I63="")),'07 Sys'!$I63,0)</f>
        <v>0</v>
      </c>
      <c r="AD63">
        <f>IF(AND('07 Sys'!F63&gt;Tmin, NOT('07 Sys'!$I63="")),'07 Sys'!$I63,0)</f>
        <v>0</v>
      </c>
      <c r="AE63">
        <f>IF(AND('07 Sys'!C63&lt;Tmax, NOT('07 Sys'!$H63="")),'07 Sys'!$H63,4)</f>
        <v>4</v>
      </c>
      <c r="AF63">
        <f>IF(AND('07 Sys'!D63&lt;Tmax, NOT('07 Sys'!$H63="")),'07 Sys'!$H63,4)</f>
        <v>4</v>
      </c>
      <c r="AG63">
        <f>IF(AND('07 Sys'!E63&lt;Tmax, NOT('07 Sys'!$H63="")),'07 Sys'!$H63,4)</f>
        <v>4</v>
      </c>
      <c r="AH63">
        <f>IF(AND('07 Sys'!F63&lt;Tmax, NOT('07 Sys'!$H63="")),'07 Sys'!$H63,4)</f>
        <v>4</v>
      </c>
      <c r="AI63"/>
    </row>
    <row r="64" spans="1:35" ht="22.5" outlineLevel="2" x14ac:dyDescent="0.2">
      <c r="A64" s="636" t="s">
        <v>5361</v>
      </c>
      <c r="B64" s="636" t="s">
        <v>6618</v>
      </c>
      <c r="C64" s="786"/>
      <c r="D64" s="822"/>
      <c r="E64" s="822"/>
      <c r="F64" s="822"/>
      <c r="G64" s="1473">
        <v>4</v>
      </c>
      <c r="H64" s="1473">
        <v>3</v>
      </c>
      <c r="I64" s="1473"/>
      <c r="J64" s="1473" t="s">
        <v>2109</v>
      </c>
      <c r="K64" s="1472"/>
      <c r="L64" s="1472"/>
      <c r="M64" s="823"/>
      <c r="AA64">
        <f>IF(AND('07 Sys'!C64&gt;Tmin, NOT('07 Sys'!$I64="")),'07 Sys'!$I64,0)</f>
        <v>0</v>
      </c>
      <c r="AB64">
        <f>IF(AND('07 Sys'!D64&gt;Tmin, NOT('07 Sys'!$I64="")),'07 Sys'!$I64,0)</f>
        <v>0</v>
      </c>
      <c r="AC64">
        <f>IF(AND('07 Sys'!E64&gt;Tmin, NOT('07 Sys'!$I64="")),'07 Sys'!$I64,0)</f>
        <v>0</v>
      </c>
      <c r="AD64">
        <f>IF(AND('07 Sys'!F64&gt;Tmin, NOT('07 Sys'!$I64="")),'07 Sys'!$I64,0)</f>
        <v>0</v>
      </c>
      <c r="AE64">
        <f>IF(AND('07 Sys'!C64&lt;Tmax, NOT('07 Sys'!$H64="")),'07 Sys'!$H64,4)</f>
        <v>3</v>
      </c>
      <c r="AF64">
        <f>IF(AND('07 Sys'!D64&lt;Tmax, NOT('07 Sys'!$H64="")),'07 Sys'!$H64,4)</f>
        <v>3</v>
      </c>
      <c r="AG64">
        <f>IF(AND('07 Sys'!E64&lt;Tmax, NOT('07 Sys'!$H64="")),'07 Sys'!$H64,4)</f>
        <v>3</v>
      </c>
      <c r="AH64">
        <f>IF(AND('07 Sys'!F64&lt;Tmax, NOT('07 Sys'!$H64="")),'07 Sys'!$H64,4)</f>
        <v>3</v>
      </c>
      <c r="AI64"/>
    </row>
    <row r="65" spans="1:35" x14ac:dyDescent="0.2">
      <c r="A65" s="644" t="s">
        <v>6619</v>
      </c>
      <c r="B65" s="644" t="s">
        <v>6620</v>
      </c>
      <c r="C65" s="786"/>
      <c r="D65" s="822"/>
      <c r="E65" s="822"/>
      <c r="F65" s="822"/>
      <c r="G65" s="1473"/>
      <c r="H65" s="1473"/>
      <c r="I65" s="1473"/>
      <c r="J65" s="1473"/>
      <c r="K65" s="1472"/>
      <c r="L65" s="1472"/>
      <c r="M65" s="823"/>
      <c r="AA65"/>
      <c r="AB65"/>
      <c r="AC65"/>
      <c r="AD65"/>
      <c r="AE65"/>
      <c r="AF65"/>
      <c r="AG65"/>
      <c r="AH65"/>
      <c r="AI65"/>
    </row>
    <row r="66" spans="1:35" outlineLevel="1" x14ac:dyDescent="0.2">
      <c r="A66" s="633" t="s">
        <v>5019</v>
      </c>
      <c r="B66" s="634" t="s">
        <v>5020</v>
      </c>
      <c r="C66" s="786"/>
      <c r="D66" s="822"/>
      <c r="E66" s="822"/>
      <c r="F66" s="822"/>
      <c r="G66" s="1473"/>
      <c r="H66" s="1473"/>
      <c r="I66" s="1473"/>
      <c r="J66" s="1473"/>
      <c r="K66" s="1472"/>
      <c r="L66" s="1472"/>
      <c r="M66" s="823"/>
      <c r="AA66"/>
      <c r="AB66"/>
      <c r="AC66"/>
      <c r="AD66"/>
      <c r="AE66"/>
      <c r="AF66"/>
      <c r="AG66"/>
      <c r="AH66"/>
      <c r="AI66"/>
    </row>
    <row r="67" spans="1:35" ht="22.5" outlineLevel="2" x14ac:dyDescent="0.2">
      <c r="A67" s="636" t="s">
        <v>6621</v>
      </c>
      <c r="B67" s="636" t="s">
        <v>6622</v>
      </c>
      <c r="C67" s="786"/>
      <c r="D67" s="822"/>
      <c r="E67" s="822"/>
      <c r="F67" s="822"/>
      <c r="G67" s="1473">
        <v>4</v>
      </c>
      <c r="H67" s="1473"/>
      <c r="I67" s="1473"/>
      <c r="J67" s="1473" t="s">
        <v>1592</v>
      </c>
      <c r="K67" s="1472" t="s">
        <v>1369</v>
      </c>
      <c r="L67" s="1472" t="s">
        <v>7318</v>
      </c>
      <c r="M67" s="823"/>
      <c r="AA67">
        <f>IF(AND('07 Sys'!C67&gt;Tmin, NOT('07 Sys'!$I67="")),'07 Sys'!$I67,0)</f>
        <v>0</v>
      </c>
      <c r="AB67">
        <f>IF(AND('07 Sys'!D67&gt;Tmin, NOT('07 Sys'!$I67="")),'07 Sys'!$I67,0)</f>
        <v>0</v>
      </c>
      <c r="AC67">
        <f>IF(AND('07 Sys'!E67&gt;Tmin, NOT('07 Sys'!$I67="")),'07 Sys'!$I67,0)</f>
        <v>0</v>
      </c>
      <c r="AD67">
        <f>IF(AND('07 Sys'!F67&gt;Tmin, NOT('07 Sys'!$I67="")),'07 Sys'!$I67,0)</f>
        <v>0</v>
      </c>
      <c r="AE67">
        <f>IF(AND('07 Sys'!C67&lt;Tmax, NOT('07 Sys'!$H67="")),'07 Sys'!$H67,4)</f>
        <v>4</v>
      </c>
      <c r="AF67">
        <f>IF(AND('07 Sys'!D67&lt;Tmax, NOT('07 Sys'!$H67="")),'07 Sys'!$H67,4)</f>
        <v>4</v>
      </c>
      <c r="AG67">
        <f>IF(AND('07 Sys'!E67&lt;Tmax, NOT('07 Sys'!$H67="")),'07 Sys'!$H67,4)</f>
        <v>4</v>
      </c>
      <c r="AH67">
        <f>IF(AND('07 Sys'!F67&lt;Tmax, NOT('07 Sys'!$H67="")),'07 Sys'!$H67,4)</f>
        <v>4</v>
      </c>
      <c r="AI67"/>
    </row>
    <row r="68" spans="1:35" ht="22.5" outlineLevel="2" x14ac:dyDescent="0.2">
      <c r="A68" s="636" t="s">
        <v>6623</v>
      </c>
      <c r="B68" s="636" t="s">
        <v>2125</v>
      </c>
      <c r="C68" s="786"/>
      <c r="D68" s="822"/>
      <c r="E68" s="822"/>
      <c r="F68" s="824"/>
      <c r="G68" s="1473">
        <v>4</v>
      </c>
      <c r="H68" s="1473"/>
      <c r="I68" s="1473"/>
      <c r="J68" s="1473" t="s">
        <v>1592</v>
      </c>
      <c r="K68" s="1472" t="s">
        <v>1369</v>
      </c>
      <c r="L68" s="1472" t="s">
        <v>7318</v>
      </c>
      <c r="M68" s="823"/>
      <c r="AA68">
        <f>IF(AND('07 Sys'!C68&gt;Tmin, NOT('07 Sys'!$I68="")),'07 Sys'!$I68,0)</f>
        <v>0</v>
      </c>
      <c r="AB68">
        <f>IF(AND('07 Sys'!D68&gt;Tmin, NOT('07 Sys'!$I68="")),'07 Sys'!$I68,0)</f>
        <v>0</v>
      </c>
      <c r="AC68">
        <f>IF(AND('07 Sys'!E68&gt;Tmin, NOT('07 Sys'!$I68="")),'07 Sys'!$I68,0)</f>
        <v>0</v>
      </c>
      <c r="AD68">
        <f>IF(AND('07 Sys'!F68&gt;Tmin, NOT('07 Sys'!$I68="")),'07 Sys'!$I68,0)</f>
        <v>0</v>
      </c>
      <c r="AE68">
        <f>IF(AND('07 Sys'!C68&lt;Tmax, NOT('07 Sys'!$H68="")),'07 Sys'!$H68,4)</f>
        <v>4</v>
      </c>
      <c r="AF68">
        <f>IF(AND('07 Sys'!D68&lt;Tmax, NOT('07 Sys'!$H68="")),'07 Sys'!$H68,4)</f>
        <v>4</v>
      </c>
      <c r="AG68">
        <f>IF(AND('07 Sys'!E68&lt;Tmax, NOT('07 Sys'!$H68="")),'07 Sys'!$H68,4)</f>
        <v>4</v>
      </c>
      <c r="AH68">
        <f>IF(AND('07 Sys'!F68&lt;Tmax, NOT('07 Sys'!$H68="")),'07 Sys'!$H68,4)</f>
        <v>4</v>
      </c>
      <c r="AI68"/>
    </row>
    <row r="69" spans="1:35" s="643" customFormat="1" outlineLevel="2" x14ac:dyDescent="0.2">
      <c r="A69" s="636" t="s">
        <v>2126</v>
      </c>
      <c r="B69" s="636" t="s">
        <v>4701</v>
      </c>
      <c r="C69" s="786"/>
      <c r="D69" s="822"/>
      <c r="E69" s="822"/>
      <c r="F69" s="822"/>
      <c r="G69" s="1473">
        <v>2</v>
      </c>
      <c r="H69" s="1473"/>
      <c r="I69" s="1473"/>
      <c r="J69" s="1473" t="s">
        <v>1592</v>
      </c>
      <c r="K69" s="1472"/>
      <c r="L69" s="1472"/>
      <c r="M69" s="823"/>
      <c r="N69" s="679"/>
      <c r="O69" s="679"/>
      <c r="P69" s="679"/>
      <c r="Q69" s="679"/>
      <c r="R69" s="679"/>
      <c r="S69" s="679"/>
      <c r="T69" s="679"/>
      <c r="U69" s="679"/>
      <c r="V69" s="679"/>
      <c r="W69" s="679"/>
      <c r="X69" s="679"/>
      <c r="Y69" s="679"/>
      <c r="Z69" s="679"/>
      <c r="AA69">
        <f>IF(AND('07 Sys'!C69&gt;Tmin, NOT('07 Sys'!$I69="")),'07 Sys'!$I69,0)</f>
        <v>0</v>
      </c>
      <c r="AB69">
        <f>IF(AND('07 Sys'!D69&gt;Tmin, NOT('07 Sys'!$I69="")),'07 Sys'!$I69,0)</f>
        <v>0</v>
      </c>
      <c r="AC69">
        <f>IF(AND('07 Sys'!E69&gt;Tmin, NOT('07 Sys'!$I69="")),'07 Sys'!$I69,0)</f>
        <v>0</v>
      </c>
      <c r="AD69">
        <f>IF(AND('07 Sys'!F69&gt;Tmin, NOT('07 Sys'!$I69="")),'07 Sys'!$I69,0)</f>
        <v>0</v>
      </c>
      <c r="AE69">
        <f>IF(AND('07 Sys'!C69&lt;Tmax, NOT('07 Sys'!$H69="")),'07 Sys'!$H69,4)</f>
        <v>4</v>
      </c>
      <c r="AF69">
        <f>IF(AND('07 Sys'!D69&lt;Tmax, NOT('07 Sys'!$H69="")),'07 Sys'!$H69,4)</f>
        <v>4</v>
      </c>
      <c r="AG69">
        <f>IF(AND('07 Sys'!E69&lt;Tmax, NOT('07 Sys'!$H69="")),'07 Sys'!$H69,4)</f>
        <v>4</v>
      </c>
      <c r="AH69">
        <f>IF(AND('07 Sys'!F69&lt;Tmax, NOT('07 Sys'!$H69="")),'07 Sys'!$H69,4)</f>
        <v>4</v>
      </c>
      <c r="AI69"/>
    </row>
    <row r="70" spans="1:35" s="643" customFormat="1" ht="22.5" outlineLevel="2" x14ac:dyDescent="0.2">
      <c r="A70" s="636" t="s">
        <v>2127</v>
      </c>
      <c r="B70" s="636" t="s">
        <v>6828</v>
      </c>
      <c r="C70" s="786"/>
      <c r="D70" s="822"/>
      <c r="E70" s="822"/>
      <c r="F70" s="822"/>
      <c r="G70" s="1473">
        <v>4</v>
      </c>
      <c r="H70" s="1473"/>
      <c r="I70" s="1473"/>
      <c r="J70" s="1473" t="s">
        <v>2329</v>
      </c>
      <c r="K70" s="1472"/>
      <c r="L70" s="1472"/>
      <c r="M70" s="823"/>
      <c r="N70" s="679"/>
      <c r="O70" s="679"/>
      <c r="P70" s="679"/>
      <c r="Q70" s="679"/>
      <c r="R70" s="679"/>
      <c r="S70" s="679"/>
      <c r="T70" s="679"/>
      <c r="U70" s="679"/>
      <c r="V70" s="679"/>
      <c r="W70" s="679"/>
      <c r="X70" s="679"/>
      <c r="Y70" s="679"/>
      <c r="Z70" s="679"/>
      <c r="AA70">
        <f>IF(AND('07 Sys'!C70&gt;Tmin, NOT('07 Sys'!$I70="")),'07 Sys'!$I70,0)</f>
        <v>0</v>
      </c>
      <c r="AB70">
        <f>IF(AND('07 Sys'!D70&gt;Tmin, NOT('07 Sys'!$I70="")),'07 Sys'!$I70,0)</f>
        <v>0</v>
      </c>
      <c r="AC70">
        <f>IF(AND('07 Sys'!E70&gt;Tmin, NOT('07 Sys'!$I70="")),'07 Sys'!$I70,0)</f>
        <v>0</v>
      </c>
      <c r="AD70">
        <f>IF(AND('07 Sys'!F70&gt;Tmin, NOT('07 Sys'!$I70="")),'07 Sys'!$I70,0)</f>
        <v>0</v>
      </c>
      <c r="AE70">
        <f>IF(AND('07 Sys'!C70&lt;Tmax, NOT('07 Sys'!$H70="")),'07 Sys'!$H70,4)</f>
        <v>4</v>
      </c>
      <c r="AF70">
        <f>IF(AND('07 Sys'!D70&lt;Tmax, NOT('07 Sys'!$H70="")),'07 Sys'!$H70,4)</f>
        <v>4</v>
      </c>
      <c r="AG70">
        <f>IF(AND('07 Sys'!E70&lt;Tmax, NOT('07 Sys'!$H70="")),'07 Sys'!$H70,4)</f>
        <v>4</v>
      </c>
      <c r="AH70">
        <f>IF(AND('07 Sys'!F70&lt;Tmax, NOT('07 Sys'!$H70="")),'07 Sys'!$H70,4)</f>
        <v>4</v>
      </c>
      <c r="AI70"/>
    </row>
    <row r="71" spans="1:35" ht="40.5" customHeight="1" outlineLevel="2" x14ac:dyDescent="0.2">
      <c r="A71" s="636" t="s">
        <v>2128</v>
      </c>
      <c r="B71" s="636" t="s">
        <v>3752</v>
      </c>
      <c r="C71" s="786"/>
      <c r="D71" s="822"/>
      <c r="E71" s="822"/>
      <c r="F71" s="822"/>
      <c r="G71" s="1473">
        <v>2</v>
      </c>
      <c r="H71" s="1473"/>
      <c r="I71" s="1473"/>
      <c r="J71" s="1473" t="s">
        <v>1592</v>
      </c>
      <c r="K71" s="1472" t="s">
        <v>1369</v>
      </c>
      <c r="L71" s="1472" t="s">
        <v>7320</v>
      </c>
      <c r="M71" s="823"/>
      <c r="AA71">
        <f>IF(AND('07 Sys'!C71&gt;Tmin, NOT('07 Sys'!$I71="")),'07 Sys'!$I71,0)</f>
        <v>0</v>
      </c>
      <c r="AB71">
        <f>IF(AND('07 Sys'!D71&gt;Tmin, NOT('07 Sys'!$I71="")),'07 Sys'!$I71,0)</f>
        <v>0</v>
      </c>
      <c r="AC71">
        <f>IF(AND('07 Sys'!E71&gt;Tmin, NOT('07 Sys'!$I71="")),'07 Sys'!$I71,0)</f>
        <v>0</v>
      </c>
      <c r="AD71">
        <f>IF(AND('07 Sys'!F71&gt;Tmin, NOT('07 Sys'!$I71="")),'07 Sys'!$I71,0)</f>
        <v>0</v>
      </c>
      <c r="AE71">
        <f>IF(AND('07 Sys'!C71&lt;Tmax, NOT('07 Sys'!$H71="")),'07 Sys'!$H71,4)</f>
        <v>4</v>
      </c>
      <c r="AF71">
        <f>IF(AND('07 Sys'!D71&lt;Tmax, NOT('07 Sys'!$H71="")),'07 Sys'!$H71,4)</f>
        <v>4</v>
      </c>
      <c r="AG71">
        <f>IF(AND('07 Sys'!E71&lt;Tmax, NOT('07 Sys'!$H71="")),'07 Sys'!$H71,4)</f>
        <v>4</v>
      </c>
      <c r="AH71">
        <f>IF(AND('07 Sys'!F71&lt;Tmax, NOT('07 Sys'!$H71="")),'07 Sys'!$H71,4)</f>
        <v>4</v>
      </c>
      <c r="AI71"/>
    </row>
    <row r="72" spans="1:35" ht="25.5" customHeight="1" outlineLevel="2" x14ac:dyDescent="0.2">
      <c r="A72" s="636" t="s">
        <v>2129</v>
      </c>
      <c r="B72" s="636" t="s">
        <v>6594</v>
      </c>
      <c r="C72" s="786"/>
      <c r="D72" s="822"/>
      <c r="E72" s="822"/>
      <c r="F72" s="822"/>
      <c r="G72" s="1473">
        <v>2</v>
      </c>
      <c r="H72" s="1473">
        <v>2</v>
      </c>
      <c r="I72" s="1473"/>
      <c r="J72" s="1473" t="s">
        <v>2329</v>
      </c>
      <c r="K72" s="1472" t="s">
        <v>1369</v>
      </c>
      <c r="L72" s="1472" t="s">
        <v>7320</v>
      </c>
      <c r="M72" s="823"/>
      <c r="AA72">
        <f>IF(AND('07 Sys'!C72&gt;Tmin, NOT('07 Sys'!$I72="")),'07 Sys'!$I72,0)</f>
        <v>0</v>
      </c>
      <c r="AB72">
        <f>IF(AND('07 Sys'!D72&gt;Tmin, NOT('07 Sys'!$I72="")),'07 Sys'!$I72,0)</f>
        <v>0</v>
      </c>
      <c r="AC72">
        <f>IF(AND('07 Sys'!E72&gt;Tmin, NOT('07 Sys'!$I72="")),'07 Sys'!$I72,0)</f>
        <v>0</v>
      </c>
      <c r="AD72">
        <f>IF(AND('07 Sys'!F72&gt;Tmin, NOT('07 Sys'!$I72="")),'07 Sys'!$I72,0)</f>
        <v>0</v>
      </c>
      <c r="AE72">
        <f>IF(AND('07 Sys'!C72&lt;Tmax, NOT('07 Sys'!$H72="")),'07 Sys'!$H72,4)</f>
        <v>2</v>
      </c>
      <c r="AF72">
        <f>IF(AND('07 Sys'!D72&lt;Tmax, NOT('07 Sys'!$H72="")),'07 Sys'!$H72,4)</f>
        <v>2</v>
      </c>
      <c r="AG72">
        <f>IF(AND('07 Sys'!E72&lt;Tmax, NOT('07 Sys'!$H72="")),'07 Sys'!$H72,4)</f>
        <v>2</v>
      </c>
      <c r="AH72">
        <f>IF(AND('07 Sys'!F72&lt;Tmax, NOT('07 Sys'!$H72="")),'07 Sys'!$H72,4)</f>
        <v>2</v>
      </c>
      <c r="AI72"/>
    </row>
    <row r="73" spans="1:35" ht="22.5" outlineLevel="2" x14ac:dyDescent="0.2">
      <c r="A73" s="636" t="s">
        <v>6595</v>
      </c>
      <c r="B73" s="636" t="s">
        <v>3474</v>
      </c>
      <c r="C73" s="786"/>
      <c r="D73" s="822"/>
      <c r="E73" s="822"/>
      <c r="F73" s="822"/>
      <c r="G73" s="1473">
        <v>2</v>
      </c>
      <c r="H73" s="1473"/>
      <c r="I73" s="1473"/>
      <c r="J73" s="1473" t="s">
        <v>1592</v>
      </c>
      <c r="K73" s="1472" t="s">
        <v>7129</v>
      </c>
      <c r="L73" s="1472" t="s">
        <v>7353</v>
      </c>
      <c r="M73" s="823"/>
      <c r="AA73">
        <f>IF(AND('07 Sys'!C73&gt;Tmin, NOT('07 Sys'!$I73="")),'07 Sys'!$I73,0)</f>
        <v>0</v>
      </c>
      <c r="AB73">
        <f>IF(AND('07 Sys'!D73&gt;Tmin, NOT('07 Sys'!$I73="")),'07 Sys'!$I73,0)</f>
        <v>0</v>
      </c>
      <c r="AC73">
        <f>IF(AND('07 Sys'!E73&gt;Tmin, NOT('07 Sys'!$I73="")),'07 Sys'!$I73,0)</f>
        <v>0</v>
      </c>
      <c r="AD73">
        <f>IF(AND('07 Sys'!F73&gt;Tmin, NOT('07 Sys'!$I73="")),'07 Sys'!$I73,0)</f>
        <v>0</v>
      </c>
      <c r="AE73">
        <f>IF(AND('07 Sys'!C73&lt;Tmax, NOT('07 Sys'!$H73="")),'07 Sys'!$H73,4)</f>
        <v>4</v>
      </c>
      <c r="AF73">
        <f>IF(AND('07 Sys'!D73&lt;Tmax, NOT('07 Sys'!$H73="")),'07 Sys'!$H73,4)</f>
        <v>4</v>
      </c>
      <c r="AG73">
        <f>IF(AND('07 Sys'!E73&lt;Tmax, NOT('07 Sys'!$H73="")),'07 Sys'!$H73,4)</f>
        <v>4</v>
      </c>
      <c r="AH73">
        <f>IF(AND('07 Sys'!F73&lt;Tmax, NOT('07 Sys'!$H73="")),'07 Sys'!$H73,4)</f>
        <v>4</v>
      </c>
      <c r="AI73"/>
    </row>
    <row r="74" spans="1:35" ht="59.25" customHeight="1" outlineLevel="2" x14ac:dyDescent="0.2">
      <c r="A74" s="636" t="s">
        <v>3475</v>
      </c>
      <c r="B74" s="636" t="s">
        <v>6743</v>
      </c>
      <c r="C74" s="786"/>
      <c r="D74" s="822"/>
      <c r="E74" s="822"/>
      <c r="F74" s="822"/>
      <c r="G74" s="1473">
        <v>4</v>
      </c>
      <c r="H74" s="1473">
        <v>2</v>
      </c>
      <c r="I74" s="1473"/>
      <c r="J74" s="1473" t="s">
        <v>2349</v>
      </c>
      <c r="K74" s="1458" t="s">
        <v>2026</v>
      </c>
      <c r="L74" s="1472" t="s">
        <v>7319</v>
      </c>
      <c r="M74" s="823"/>
      <c r="AA74">
        <f>IF(AND('07 Sys'!C74&gt;Tmin, NOT('07 Sys'!$I74="")),'07 Sys'!$I74,0)</f>
        <v>0</v>
      </c>
      <c r="AB74">
        <f>IF(AND('07 Sys'!D74&gt;Tmin, NOT('07 Sys'!$I74="")),'07 Sys'!$I74,0)</f>
        <v>0</v>
      </c>
      <c r="AC74">
        <f>IF(AND('07 Sys'!E74&gt;Tmin, NOT('07 Sys'!$I74="")),'07 Sys'!$I74,0)</f>
        <v>0</v>
      </c>
      <c r="AD74">
        <f>IF(AND('07 Sys'!F74&gt;Tmin, NOT('07 Sys'!$I74="")),'07 Sys'!$I74,0)</f>
        <v>0</v>
      </c>
      <c r="AE74">
        <f>IF(AND('07 Sys'!C74&lt;Tmax, NOT('07 Sys'!$H74="")),'07 Sys'!$H74,4)</f>
        <v>2</v>
      </c>
      <c r="AF74">
        <f>IF(AND('07 Sys'!D74&lt;Tmax, NOT('07 Sys'!$H74="")),'07 Sys'!$H74,4)</f>
        <v>2</v>
      </c>
      <c r="AG74">
        <f>IF(AND('07 Sys'!E74&lt;Tmax, NOT('07 Sys'!$H74="")),'07 Sys'!$H74,4)</f>
        <v>2</v>
      </c>
      <c r="AH74">
        <f>IF(AND('07 Sys'!F74&lt;Tmax, NOT('07 Sys'!$H74="")),'07 Sys'!$H74,4)</f>
        <v>2</v>
      </c>
      <c r="AI74"/>
    </row>
    <row r="75" spans="1:35" ht="57" customHeight="1" outlineLevel="2" x14ac:dyDescent="0.2">
      <c r="A75" s="636" t="s">
        <v>3476</v>
      </c>
      <c r="B75" s="636" t="s">
        <v>5733</v>
      </c>
      <c r="C75" s="786"/>
      <c r="D75" s="822"/>
      <c r="E75" s="822"/>
      <c r="F75" s="822"/>
      <c r="G75" s="1473">
        <v>4</v>
      </c>
      <c r="H75" s="1473">
        <v>3</v>
      </c>
      <c r="I75" s="1473"/>
      <c r="J75" s="1473" t="s">
        <v>2109</v>
      </c>
      <c r="K75" s="1472"/>
      <c r="L75" s="1472"/>
      <c r="M75" s="823"/>
      <c r="AA75">
        <f>IF(AND('07 Sys'!C75&gt;Tmin, NOT('07 Sys'!$I75="")),'07 Sys'!$I75,0)</f>
        <v>0</v>
      </c>
      <c r="AB75">
        <f>IF(AND('07 Sys'!D75&gt;Tmin, NOT('07 Sys'!$I75="")),'07 Sys'!$I75,0)</f>
        <v>0</v>
      </c>
      <c r="AC75">
        <f>IF(AND('07 Sys'!E75&gt;Tmin, NOT('07 Sys'!$I75="")),'07 Sys'!$I75,0)</f>
        <v>0</v>
      </c>
      <c r="AD75">
        <f>IF(AND('07 Sys'!F75&gt;Tmin, NOT('07 Sys'!$I75="")),'07 Sys'!$I75,0)</f>
        <v>0</v>
      </c>
      <c r="AE75">
        <f>IF(AND('07 Sys'!C75&lt;Tmax, NOT('07 Sys'!$H75="")),'07 Sys'!$H75,4)</f>
        <v>3</v>
      </c>
      <c r="AF75">
        <f>IF(AND('07 Sys'!D75&lt;Tmax, NOT('07 Sys'!$H75="")),'07 Sys'!$H75,4)</f>
        <v>3</v>
      </c>
      <c r="AG75">
        <f>IF(AND('07 Sys'!E75&lt;Tmax, NOT('07 Sys'!$H75="")),'07 Sys'!$H75,4)</f>
        <v>3</v>
      </c>
      <c r="AH75">
        <f>IF(AND('07 Sys'!F75&lt;Tmax, NOT('07 Sys'!$H75="")),'07 Sys'!$H75,4)</f>
        <v>3</v>
      </c>
      <c r="AI75"/>
    </row>
    <row r="76" spans="1:35" outlineLevel="1" x14ac:dyDescent="0.2">
      <c r="A76" s="633" t="s">
        <v>5021</v>
      </c>
      <c r="B76" s="634" t="s">
        <v>5022</v>
      </c>
      <c r="C76" s="786"/>
      <c r="D76" s="822"/>
      <c r="E76" s="822"/>
      <c r="F76" s="822"/>
      <c r="G76" s="1473"/>
      <c r="H76" s="1473"/>
      <c r="I76" s="1473"/>
      <c r="J76" s="1473"/>
      <c r="K76" s="1472"/>
      <c r="L76" s="1472"/>
      <c r="M76" s="823"/>
      <c r="AA76"/>
      <c r="AB76"/>
      <c r="AC76"/>
      <c r="AD76"/>
      <c r="AE76"/>
      <c r="AF76"/>
      <c r="AG76"/>
      <c r="AH76"/>
      <c r="AI76"/>
    </row>
    <row r="77" spans="1:35" ht="22.5" outlineLevel="2" x14ac:dyDescent="0.2">
      <c r="A77" s="636" t="s">
        <v>3477</v>
      </c>
      <c r="B77" s="636" t="s">
        <v>2715</v>
      </c>
      <c r="C77" s="786"/>
      <c r="D77" s="822"/>
      <c r="E77" s="822"/>
      <c r="F77" s="822"/>
      <c r="G77" s="1473">
        <v>4</v>
      </c>
      <c r="H77" s="1473"/>
      <c r="I77" s="1473"/>
      <c r="J77" s="1473" t="s">
        <v>1592</v>
      </c>
      <c r="K77" s="1472" t="s">
        <v>1369</v>
      </c>
      <c r="L77" s="1472" t="s">
        <v>7318</v>
      </c>
      <c r="M77" s="823"/>
      <c r="AA77">
        <f>IF(AND('07 Sys'!C77&gt;Tmin, NOT('07 Sys'!$I77="")),'07 Sys'!$I77,0)</f>
        <v>0</v>
      </c>
      <c r="AB77">
        <f>IF(AND('07 Sys'!D77&gt;Tmin, NOT('07 Sys'!$I77="")),'07 Sys'!$I77,0)</f>
        <v>0</v>
      </c>
      <c r="AC77">
        <f>IF(AND('07 Sys'!E77&gt;Tmin, NOT('07 Sys'!$I77="")),'07 Sys'!$I77,0)</f>
        <v>0</v>
      </c>
      <c r="AD77">
        <f>IF(AND('07 Sys'!F77&gt;Tmin, NOT('07 Sys'!$I77="")),'07 Sys'!$I77,0)</f>
        <v>0</v>
      </c>
      <c r="AE77">
        <f>IF(AND('07 Sys'!C77&lt;Tmax, NOT('07 Sys'!$H77="")),'07 Sys'!$H77,4)</f>
        <v>4</v>
      </c>
      <c r="AF77">
        <f>IF(AND('07 Sys'!D77&lt;Tmax, NOT('07 Sys'!$H77="")),'07 Sys'!$H77,4)</f>
        <v>4</v>
      </c>
      <c r="AG77">
        <f>IF(AND('07 Sys'!E77&lt;Tmax, NOT('07 Sys'!$H77="")),'07 Sys'!$H77,4)</f>
        <v>4</v>
      </c>
      <c r="AH77">
        <f>IF(AND('07 Sys'!F77&lt;Tmax, NOT('07 Sys'!$H77="")),'07 Sys'!$H77,4)</f>
        <v>4</v>
      </c>
      <c r="AI77"/>
    </row>
    <row r="78" spans="1:35" ht="24" customHeight="1" outlineLevel="2" x14ac:dyDescent="0.2">
      <c r="A78" s="636" t="s">
        <v>2716</v>
      </c>
      <c r="B78" s="636" t="s">
        <v>4703</v>
      </c>
      <c r="C78" s="786"/>
      <c r="D78" s="822"/>
      <c r="E78" s="822"/>
      <c r="F78" s="822"/>
      <c r="G78" s="1473">
        <v>4</v>
      </c>
      <c r="H78" s="1473"/>
      <c r="I78" s="1473"/>
      <c r="J78" s="1473" t="s">
        <v>1592</v>
      </c>
      <c r="K78" s="1472" t="s">
        <v>1369</v>
      </c>
      <c r="L78" s="1472" t="s">
        <v>7318</v>
      </c>
      <c r="M78" s="823"/>
      <c r="AA78">
        <f>IF(AND('07 Sys'!C78&gt;Tmin, NOT('07 Sys'!$I78="")),'07 Sys'!$I78,0)</f>
        <v>0</v>
      </c>
      <c r="AB78">
        <f>IF(AND('07 Sys'!D78&gt;Tmin, NOT('07 Sys'!$I78="")),'07 Sys'!$I78,0)</f>
        <v>0</v>
      </c>
      <c r="AC78">
        <f>IF(AND('07 Sys'!E78&gt;Tmin, NOT('07 Sys'!$I78="")),'07 Sys'!$I78,0)</f>
        <v>0</v>
      </c>
      <c r="AD78">
        <f>IF(AND('07 Sys'!F78&gt;Tmin, NOT('07 Sys'!$I78="")),'07 Sys'!$I78,0)</f>
        <v>0</v>
      </c>
      <c r="AE78">
        <f>IF(AND('07 Sys'!C78&lt;Tmax, NOT('07 Sys'!$H78="")),'07 Sys'!$H78,4)</f>
        <v>4</v>
      </c>
      <c r="AF78">
        <f>IF(AND('07 Sys'!D78&lt;Tmax, NOT('07 Sys'!$H78="")),'07 Sys'!$H78,4)</f>
        <v>4</v>
      </c>
      <c r="AG78">
        <f>IF(AND('07 Sys'!E78&lt;Tmax, NOT('07 Sys'!$H78="")),'07 Sys'!$H78,4)</f>
        <v>4</v>
      </c>
      <c r="AH78">
        <f>IF(AND('07 Sys'!F78&lt;Tmax, NOT('07 Sys'!$H78="")),'07 Sys'!$H78,4)</f>
        <v>4</v>
      </c>
      <c r="AI78"/>
    </row>
    <row r="79" spans="1:35" ht="22.5" outlineLevel="2" x14ac:dyDescent="0.2">
      <c r="A79" s="636" t="s">
        <v>4704</v>
      </c>
      <c r="B79" s="636" t="s">
        <v>5786</v>
      </c>
      <c r="C79" s="786"/>
      <c r="D79" s="822"/>
      <c r="E79" s="822"/>
      <c r="F79" s="822"/>
      <c r="G79" s="1473">
        <v>2</v>
      </c>
      <c r="H79" s="1473"/>
      <c r="I79" s="1473"/>
      <c r="J79" s="1473" t="s">
        <v>1592</v>
      </c>
      <c r="K79" s="1472"/>
      <c r="L79" s="1472"/>
      <c r="M79" s="823"/>
      <c r="AA79">
        <f>IF(AND('07 Sys'!C79&gt;Tmin, NOT('07 Sys'!$I79="")),'07 Sys'!$I79,0)</f>
        <v>0</v>
      </c>
      <c r="AB79">
        <f>IF(AND('07 Sys'!D79&gt;Tmin, NOT('07 Sys'!$I79="")),'07 Sys'!$I79,0)</f>
        <v>0</v>
      </c>
      <c r="AC79">
        <f>IF(AND('07 Sys'!E79&gt;Tmin, NOT('07 Sys'!$I79="")),'07 Sys'!$I79,0)</f>
        <v>0</v>
      </c>
      <c r="AD79">
        <f>IF(AND('07 Sys'!F79&gt;Tmin, NOT('07 Sys'!$I79="")),'07 Sys'!$I79,0)</f>
        <v>0</v>
      </c>
      <c r="AE79">
        <f>IF(AND('07 Sys'!C79&lt;Tmax, NOT('07 Sys'!$H79="")),'07 Sys'!$H79,4)</f>
        <v>4</v>
      </c>
      <c r="AF79">
        <f>IF(AND('07 Sys'!D79&lt;Tmax, NOT('07 Sys'!$H79="")),'07 Sys'!$H79,4)</f>
        <v>4</v>
      </c>
      <c r="AG79">
        <f>IF(AND('07 Sys'!E79&lt;Tmax, NOT('07 Sys'!$H79="")),'07 Sys'!$H79,4)</f>
        <v>4</v>
      </c>
      <c r="AH79">
        <f>IF(AND('07 Sys'!F79&lt;Tmax, NOT('07 Sys'!$H79="")),'07 Sys'!$H79,4)</f>
        <v>4</v>
      </c>
      <c r="AI79"/>
    </row>
    <row r="80" spans="1:35" s="643" customFormat="1" ht="22.5" outlineLevel="2" x14ac:dyDescent="0.2">
      <c r="A80" s="636" t="s">
        <v>4705</v>
      </c>
      <c r="B80" s="636" t="s">
        <v>3788</v>
      </c>
      <c r="C80" s="786"/>
      <c r="D80" s="822"/>
      <c r="E80" s="822"/>
      <c r="F80" s="822"/>
      <c r="G80" s="1473">
        <v>4</v>
      </c>
      <c r="H80" s="1473"/>
      <c r="I80" s="1473"/>
      <c r="J80" s="1473" t="s">
        <v>2329</v>
      </c>
      <c r="K80" s="1472"/>
      <c r="L80" s="1472"/>
      <c r="M80" s="823"/>
      <c r="N80" s="679"/>
      <c r="O80" s="679"/>
      <c r="P80" s="679"/>
      <c r="Q80" s="679"/>
      <c r="R80" s="679"/>
      <c r="S80" s="679"/>
      <c r="T80" s="679"/>
      <c r="U80" s="679"/>
      <c r="V80" s="679"/>
      <c r="W80" s="679"/>
      <c r="X80" s="679"/>
      <c r="Y80" s="679"/>
      <c r="Z80" s="679"/>
      <c r="AA80">
        <f>IF(AND('07 Sys'!C80&gt;Tmin, NOT('07 Sys'!$I80="")),'07 Sys'!$I80,0)</f>
        <v>0</v>
      </c>
      <c r="AB80">
        <f>IF(AND('07 Sys'!D80&gt;Tmin, NOT('07 Sys'!$I80="")),'07 Sys'!$I80,0)</f>
        <v>0</v>
      </c>
      <c r="AC80">
        <f>IF(AND('07 Sys'!E80&gt;Tmin, NOT('07 Sys'!$I80="")),'07 Sys'!$I80,0)</f>
        <v>0</v>
      </c>
      <c r="AD80">
        <f>IF(AND('07 Sys'!F80&gt;Tmin, NOT('07 Sys'!$I80="")),'07 Sys'!$I80,0)</f>
        <v>0</v>
      </c>
      <c r="AE80">
        <f>IF(AND('07 Sys'!C80&lt;Tmax, NOT('07 Sys'!$H80="")),'07 Sys'!$H80,4)</f>
        <v>4</v>
      </c>
      <c r="AF80">
        <f>IF(AND('07 Sys'!D80&lt;Tmax, NOT('07 Sys'!$H80="")),'07 Sys'!$H80,4)</f>
        <v>4</v>
      </c>
      <c r="AG80">
        <f>IF(AND('07 Sys'!E80&lt;Tmax, NOT('07 Sys'!$H80="")),'07 Sys'!$H80,4)</f>
        <v>4</v>
      </c>
      <c r="AH80">
        <f>IF(AND('07 Sys'!F80&lt;Tmax, NOT('07 Sys'!$H80="")),'07 Sys'!$H80,4)</f>
        <v>4</v>
      </c>
      <c r="AI80"/>
    </row>
    <row r="81" spans="1:35" ht="59.25" customHeight="1" outlineLevel="2" x14ac:dyDescent="0.2">
      <c r="A81" s="636" t="s">
        <v>3789</v>
      </c>
      <c r="B81" s="636" t="s">
        <v>4698</v>
      </c>
      <c r="C81" s="786"/>
      <c r="D81" s="822"/>
      <c r="E81" s="822"/>
      <c r="F81" s="822"/>
      <c r="G81" s="1473">
        <v>2</v>
      </c>
      <c r="H81" s="1473"/>
      <c r="I81" s="1473"/>
      <c r="J81" s="1473" t="s">
        <v>1592</v>
      </c>
      <c r="K81" s="1472" t="s">
        <v>1369</v>
      </c>
      <c r="L81" s="1472" t="s">
        <v>7320</v>
      </c>
      <c r="M81" s="823"/>
      <c r="AA81">
        <f>IF(AND('07 Sys'!C81&gt;Tmin, NOT('07 Sys'!$I81="")),'07 Sys'!$I81,0)</f>
        <v>0</v>
      </c>
      <c r="AB81">
        <f>IF(AND('07 Sys'!D81&gt;Tmin, NOT('07 Sys'!$I81="")),'07 Sys'!$I81,0)</f>
        <v>0</v>
      </c>
      <c r="AC81">
        <f>IF(AND('07 Sys'!E81&gt;Tmin, NOT('07 Sys'!$I81="")),'07 Sys'!$I81,0)</f>
        <v>0</v>
      </c>
      <c r="AD81">
        <f>IF(AND('07 Sys'!F81&gt;Tmin, NOT('07 Sys'!$I81="")),'07 Sys'!$I81,0)</f>
        <v>0</v>
      </c>
      <c r="AE81">
        <f>IF(AND('07 Sys'!C81&lt;Tmax, NOT('07 Sys'!$H81="")),'07 Sys'!$H81,4)</f>
        <v>4</v>
      </c>
      <c r="AF81">
        <f>IF(AND('07 Sys'!D81&lt;Tmax, NOT('07 Sys'!$H81="")),'07 Sys'!$H81,4)</f>
        <v>4</v>
      </c>
      <c r="AG81">
        <f>IF(AND('07 Sys'!E81&lt;Tmax, NOT('07 Sys'!$H81="")),'07 Sys'!$H81,4)</f>
        <v>4</v>
      </c>
      <c r="AH81">
        <f>IF(AND('07 Sys'!F81&lt;Tmax, NOT('07 Sys'!$H81="")),'07 Sys'!$H81,4)</f>
        <v>4</v>
      </c>
      <c r="AI81"/>
    </row>
    <row r="82" spans="1:35" ht="24.75" customHeight="1" outlineLevel="2" x14ac:dyDescent="0.2">
      <c r="A82" s="636" t="s">
        <v>2719</v>
      </c>
      <c r="B82" s="636" t="s">
        <v>6594</v>
      </c>
      <c r="C82" s="786"/>
      <c r="D82" s="822"/>
      <c r="E82" s="822"/>
      <c r="F82" s="822"/>
      <c r="G82" s="1473">
        <v>2</v>
      </c>
      <c r="H82" s="1473">
        <v>2</v>
      </c>
      <c r="I82" s="1473"/>
      <c r="J82" s="1473" t="s">
        <v>2329</v>
      </c>
      <c r="K82" s="1472" t="s">
        <v>1369</v>
      </c>
      <c r="L82" s="1472" t="s">
        <v>7320</v>
      </c>
      <c r="M82" s="823"/>
      <c r="AA82">
        <f>IF(AND('07 Sys'!C82&gt;Tmin, NOT('07 Sys'!$I82="")),'07 Sys'!$I82,0)</f>
        <v>0</v>
      </c>
      <c r="AB82">
        <f>IF(AND('07 Sys'!D82&gt;Tmin, NOT('07 Sys'!$I82="")),'07 Sys'!$I82,0)</f>
        <v>0</v>
      </c>
      <c r="AC82">
        <f>IF(AND('07 Sys'!E82&gt;Tmin, NOT('07 Sys'!$I82="")),'07 Sys'!$I82,0)</f>
        <v>0</v>
      </c>
      <c r="AD82">
        <f>IF(AND('07 Sys'!F82&gt;Tmin, NOT('07 Sys'!$I82="")),'07 Sys'!$I82,0)</f>
        <v>0</v>
      </c>
      <c r="AE82">
        <f>IF(AND('07 Sys'!C82&lt;Tmax, NOT('07 Sys'!$H82="")),'07 Sys'!$H82,4)</f>
        <v>2</v>
      </c>
      <c r="AF82">
        <f>IF(AND('07 Sys'!D82&lt;Tmax, NOT('07 Sys'!$H82="")),'07 Sys'!$H82,4)</f>
        <v>2</v>
      </c>
      <c r="AG82">
        <f>IF(AND('07 Sys'!E82&lt;Tmax, NOT('07 Sys'!$H82="")),'07 Sys'!$H82,4)</f>
        <v>2</v>
      </c>
      <c r="AH82">
        <f>IF(AND('07 Sys'!F82&lt;Tmax, NOT('07 Sys'!$H82="")),'07 Sys'!$H82,4)</f>
        <v>2</v>
      </c>
      <c r="AI82"/>
    </row>
    <row r="83" spans="1:35" ht="22.5" outlineLevel="2" x14ac:dyDescent="0.2">
      <c r="A83" s="636" t="s">
        <v>2720</v>
      </c>
      <c r="B83" s="636" t="s">
        <v>3474</v>
      </c>
      <c r="C83" s="786"/>
      <c r="D83" s="822"/>
      <c r="E83" s="822"/>
      <c r="F83" s="822"/>
      <c r="G83" s="1473">
        <v>2</v>
      </c>
      <c r="H83" s="1473"/>
      <c r="I83" s="1473"/>
      <c r="J83" s="1473" t="s">
        <v>1592</v>
      </c>
      <c r="K83" s="1472" t="s">
        <v>7129</v>
      </c>
      <c r="L83" s="1472" t="s">
        <v>7354</v>
      </c>
      <c r="M83" s="823"/>
      <c r="AA83">
        <f>IF(AND('07 Sys'!C83&gt;Tmin, NOT('07 Sys'!$I83="")),'07 Sys'!$I83,0)</f>
        <v>0</v>
      </c>
      <c r="AB83">
        <f>IF(AND('07 Sys'!D83&gt;Tmin, NOT('07 Sys'!$I83="")),'07 Sys'!$I83,0)</f>
        <v>0</v>
      </c>
      <c r="AC83">
        <f>IF(AND('07 Sys'!E83&gt;Tmin, NOT('07 Sys'!$I83="")),'07 Sys'!$I83,0)</f>
        <v>0</v>
      </c>
      <c r="AD83">
        <f>IF(AND('07 Sys'!F83&gt;Tmin, NOT('07 Sys'!$I83="")),'07 Sys'!$I83,0)</f>
        <v>0</v>
      </c>
      <c r="AE83">
        <f>IF(AND('07 Sys'!C83&lt;Tmax, NOT('07 Sys'!$H83="")),'07 Sys'!$H83,4)</f>
        <v>4</v>
      </c>
      <c r="AF83">
        <f>IF(AND('07 Sys'!D83&lt;Tmax, NOT('07 Sys'!$H83="")),'07 Sys'!$H83,4)</f>
        <v>4</v>
      </c>
      <c r="AG83">
        <f>IF(AND('07 Sys'!E83&lt;Tmax, NOT('07 Sys'!$H83="")),'07 Sys'!$H83,4)</f>
        <v>4</v>
      </c>
      <c r="AH83">
        <f>IF(AND('07 Sys'!F83&lt;Tmax, NOT('07 Sys'!$H83="")),'07 Sys'!$H83,4)</f>
        <v>4</v>
      </c>
      <c r="AI83"/>
    </row>
    <row r="84" spans="1:35" ht="56.25" customHeight="1" outlineLevel="2" x14ac:dyDescent="0.2">
      <c r="A84" s="636" t="s">
        <v>2721</v>
      </c>
      <c r="B84" s="636" t="s">
        <v>5826</v>
      </c>
      <c r="C84" s="786"/>
      <c r="D84" s="822"/>
      <c r="E84" s="822"/>
      <c r="F84" s="822"/>
      <c r="G84" s="1473">
        <v>4</v>
      </c>
      <c r="H84" s="1473">
        <v>2</v>
      </c>
      <c r="I84" s="1473"/>
      <c r="J84" s="1473" t="s">
        <v>2349</v>
      </c>
      <c r="K84" s="1472" t="s">
        <v>2026</v>
      </c>
      <c r="L84" s="1472" t="s">
        <v>7319</v>
      </c>
      <c r="M84" s="823"/>
      <c r="AA84">
        <f>IF(AND('07 Sys'!C84&gt;Tmin, NOT('07 Sys'!$I84="")),'07 Sys'!$I84,0)</f>
        <v>0</v>
      </c>
      <c r="AB84">
        <f>IF(AND('07 Sys'!D84&gt;Tmin, NOT('07 Sys'!$I84="")),'07 Sys'!$I84,0)</f>
        <v>0</v>
      </c>
      <c r="AC84">
        <f>IF(AND('07 Sys'!E84&gt;Tmin, NOT('07 Sys'!$I84="")),'07 Sys'!$I84,0)</f>
        <v>0</v>
      </c>
      <c r="AD84">
        <f>IF(AND('07 Sys'!F84&gt;Tmin, NOT('07 Sys'!$I84="")),'07 Sys'!$I84,0)</f>
        <v>0</v>
      </c>
      <c r="AE84">
        <f>IF(AND('07 Sys'!C84&lt;Tmax, NOT('07 Sys'!$H84="")),'07 Sys'!$H84,4)</f>
        <v>2</v>
      </c>
      <c r="AF84">
        <f>IF(AND('07 Sys'!D84&lt;Tmax, NOT('07 Sys'!$H84="")),'07 Sys'!$H84,4)</f>
        <v>2</v>
      </c>
      <c r="AG84">
        <f>IF(AND('07 Sys'!E84&lt;Tmax, NOT('07 Sys'!$H84="")),'07 Sys'!$H84,4)</f>
        <v>2</v>
      </c>
      <c r="AH84">
        <f>IF(AND('07 Sys'!F84&lt;Tmax, NOT('07 Sys'!$H84="")),'07 Sys'!$H84,4)</f>
        <v>2</v>
      </c>
      <c r="AI84"/>
    </row>
    <row r="85" spans="1:35" ht="58.5" customHeight="1" outlineLevel="2" x14ac:dyDescent="0.2">
      <c r="A85" s="636" t="s">
        <v>2722</v>
      </c>
      <c r="B85" s="636" t="s">
        <v>6746</v>
      </c>
      <c r="C85" s="786"/>
      <c r="D85" s="822"/>
      <c r="E85" s="822"/>
      <c r="F85" s="822"/>
      <c r="G85" s="1473">
        <v>4</v>
      </c>
      <c r="H85" s="1473">
        <v>3</v>
      </c>
      <c r="I85" s="1473"/>
      <c r="J85" s="1473" t="s">
        <v>2109</v>
      </c>
      <c r="K85" s="1472"/>
      <c r="L85" s="1472"/>
      <c r="M85" s="823"/>
      <c r="AA85">
        <f>IF(AND('07 Sys'!C85&gt;Tmin, NOT('07 Sys'!$I85="")),'07 Sys'!$I85,0)</f>
        <v>0</v>
      </c>
      <c r="AB85">
        <f>IF(AND('07 Sys'!D85&gt;Tmin, NOT('07 Sys'!$I85="")),'07 Sys'!$I85,0)</f>
        <v>0</v>
      </c>
      <c r="AC85">
        <f>IF(AND('07 Sys'!E85&gt;Tmin, NOT('07 Sys'!$I85="")),'07 Sys'!$I85,0)</f>
        <v>0</v>
      </c>
      <c r="AD85">
        <f>IF(AND('07 Sys'!F85&gt;Tmin, NOT('07 Sys'!$I85="")),'07 Sys'!$I85,0)</f>
        <v>0</v>
      </c>
      <c r="AE85">
        <f>IF(AND('07 Sys'!C85&lt;Tmax, NOT('07 Sys'!$H85="")),'07 Sys'!$H85,4)</f>
        <v>3</v>
      </c>
      <c r="AF85">
        <f>IF(AND('07 Sys'!D85&lt;Tmax, NOT('07 Sys'!$H85="")),'07 Sys'!$H85,4)</f>
        <v>3</v>
      </c>
      <c r="AG85">
        <f>IF(AND('07 Sys'!E85&lt;Tmax, NOT('07 Sys'!$H85="")),'07 Sys'!$H85,4)</f>
        <v>3</v>
      </c>
      <c r="AH85">
        <f>IF(AND('07 Sys'!F85&lt;Tmax, NOT('07 Sys'!$H85="")),'07 Sys'!$H85,4)</f>
        <v>3</v>
      </c>
      <c r="AI85"/>
    </row>
    <row r="86" spans="1:35" x14ac:dyDescent="0.2">
      <c r="A86" s="644" t="s">
        <v>2723</v>
      </c>
      <c r="B86" s="644" t="s">
        <v>1747</v>
      </c>
      <c r="C86" s="786"/>
      <c r="D86" s="822"/>
      <c r="E86" s="822"/>
      <c r="F86" s="822"/>
      <c r="G86" s="1473"/>
      <c r="H86" s="1473"/>
      <c r="I86" s="1473"/>
      <c r="J86" s="1473"/>
      <c r="K86" s="1472"/>
      <c r="L86" s="1472"/>
      <c r="M86" s="823"/>
      <c r="AA86"/>
      <c r="AB86"/>
      <c r="AC86"/>
      <c r="AD86"/>
      <c r="AE86"/>
      <c r="AF86"/>
      <c r="AG86"/>
      <c r="AH86"/>
      <c r="AI86"/>
    </row>
    <row r="87" spans="1:35" outlineLevel="1" x14ac:dyDescent="0.2">
      <c r="A87" s="633" t="s">
        <v>4980</v>
      </c>
      <c r="B87" s="634" t="s">
        <v>4981</v>
      </c>
      <c r="C87" s="786"/>
      <c r="D87" s="822"/>
      <c r="E87" s="822"/>
      <c r="F87" s="822"/>
      <c r="G87" s="1473"/>
      <c r="H87" s="1473"/>
      <c r="I87" s="1473"/>
      <c r="J87" s="1473"/>
      <c r="K87" s="1472"/>
      <c r="L87" s="1472"/>
      <c r="M87" s="823"/>
      <c r="AA87"/>
      <c r="AB87"/>
      <c r="AC87"/>
      <c r="AD87"/>
      <c r="AE87"/>
      <c r="AF87"/>
      <c r="AG87"/>
      <c r="AH87"/>
      <c r="AI87"/>
    </row>
    <row r="88" spans="1:35" ht="57.75" customHeight="1" outlineLevel="2" x14ac:dyDescent="0.2">
      <c r="A88" s="636" t="s">
        <v>1748</v>
      </c>
      <c r="B88" s="636" t="s">
        <v>6427</v>
      </c>
      <c r="C88" s="786"/>
      <c r="D88" s="822"/>
      <c r="E88" s="822"/>
      <c r="F88" s="822"/>
      <c r="G88" s="1473">
        <v>4</v>
      </c>
      <c r="H88" s="1473">
        <v>2</v>
      </c>
      <c r="I88" s="1473"/>
      <c r="J88" s="1473" t="s">
        <v>1592</v>
      </c>
      <c r="K88" s="1472"/>
      <c r="L88" s="1472"/>
      <c r="M88" s="823"/>
      <c r="AA88">
        <f>IF(AND('07 Sys'!C88&gt;Tmin, NOT('07 Sys'!$I88="")),'07 Sys'!$I88,0)</f>
        <v>0</v>
      </c>
      <c r="AB88">
        <f>IF(AND('07 Sys'!D88&gt;Tmin, NOT('07 Sys'!$I88="")),'07 Sys'!$I88,0)</f>
        <v>0</v>
      </c>
      <c r="AC88">
        <f>IF(AND('07 Sys'!E88&gt;Tmin, NOT('07 Sys'!$I88="")),'07 Sys'!$I88,0)</f>
        <v>0</v>
      </c>
      <c r="AD88">
        <f>IF(AND('07 Sys'!F88&gt;Tmin, NOT('07 Sys'!$I88="")),'07 Sys'!$I88,0)</f>
        <v>0</v>
      </c>
      <c r="AE88">
        <f>IF(AND('07 Sys'!C88&lt;Tmax, NOT('07 Sys'!$H88="")),'07 Sys'!$H88,4)</f>
        <v>2</v>
      </c>
      <c r="AF88">
        <f>IF(AND('07 Sys'!D88&lt;Tmax, NOT('07 Sys'!$H88="")),'07 Sys'!$H88,4)</f>
        <v>2</v>
      </c>
      <c r="AG88">
        <f>IF(AND('07 Sys'!E88&lt;Tmax, NOT('07 Sys'!$H88="")),'07 Sys'!$H88,4)</f>
        <v>2</v>
      </c>
      <c r="AH88">
        <f>IF(AND('07 Sys'!F88&lt;Tmax, NOT('07 Sys'!$H88="")),'07 Sys'!$H88,4)</f>
        <v>2</v>
      </c>
      <c r="AI88"/>
    </row>
    <row r="89" spans="1:35" ht="22.5" outlineLevel="2" x14ac:dyDescent="0.2">
      <c r="A89" s="636" t="s">
        <v>1614</v>
      </c>
      <c r="B89" s="636" t="s">
        <v>1615</v>
      </c>
      <c r="C89" s="786"/>
      <c r="D89" s="822"/>
      <c r="E89" s="822"/>
      <c r="F89" s="822"/>
      <c r="G89" s="1473">
        <v>4</v>
      </c>
      <c r="H89" s="1473">
        <v>2</v>
      </c>
      <c r="I89" s="1473"/>
      <c r="J89" s="1473" t="s">
        <v>1592</v>
      </c>
      <c r="K89" s="1472"/>
      <c r="L89" s="1472"/>
      <c r="M89" s="823"/>
      <c r="AA89">
        <f>IF(AND('07 Sys'!C89&gt;Tmin, NOT('07 Sys'!$I89="")),'07 Sys'!$I89,0)</f>
        <v>0</v>
      </c>
      <c r="AB89">
        <f>IF(AND('07 Sys'!D89&gt;Tmin, NOT('07 Sys'!$I89="")),'07 Sys'!$I89,0)</f>
        <v>0</v>
      </c>
      <c r="AC89">
        <f>IF(AND('07 Sys'!E89&gt;Tmin, NOT('07 Sys'!$I89="")),'07 Sys'!$I89,0)</f>
        <v>0</v>
      </c>
      <c r="AD89">
        <f>IF(AND('07 Sys'!F89&gt;Tmin, NOT('07 Sys'!$I89="")),'07 Sys'!$I89,0)</f>
        <v>0</v>
      </c>
      <c r="AE89">
        <f>IF(AND('07 Sys'!C89&lt;Tmax, NOT('07 Sys'!$H89="")),'07 Sys'!$H89,4)</f>
        <v>2</v>
      </c>
      <c r="AF89">
        <f>IF(AND('07 Sys'!D89&lt;Tmax, NOT('07 Sys'!$H89="")),'07 Sys'!$H89,4)</f>
        <v>2</v>
      </c>
      <c r="AG89">
        <f>IF(AND('07 Sys'!E89&lt;Tmax, NOT('07 Sys'!$H89="")),'07 Sys'!$H89,4)</f>
        <v>2</v>
      </c>
      <c r="AH89">
        <f>IF(AND('07 Sys'!F89&lt;Tmax, NOT('07 Sys'!$H89="")),'07 Sys'!$H89,4)</f>
        <v>2</v>
      </c>
      <c r="AI89"/>
    </row>
    <row r="90" spans="1:35" ht="22.5" outlineLevel="2" x14ac:dyDescent="0.2">
      <c r="A90" s="636" t="s">
        <v>1616</v>
      </c>
      <c r="B90" s="636" t="s">
        <v>1617</v>
      </c>
      <c r="C90" s="786"/>
      <c r="D90" s="822"/>
      <c r="E90" s="822"/>
      <c r="F90" s="822"/>
      <c r="G90" s="1473">
        <v>4</v>
      </c>
      <c r="H90" s="1473">
        <v>2</v>
      </c>
      <c r="I90" s="1473"/>
      <c r="J90" s="1473" t="s">
        <v>1592</v>
      </c>
      <c r="K90" s="1472"/>
      <c r="L90" s="1472"/>
      <c r="M90" s="823"/>
      <c r="AA90">
        <f>IF(AND('07 Sys'!C90&gt;Tmin, NOT('07 Sys'!$I90="")),'07 Sys'!$I90,0)</f>
        <v>0</v>
      </c>
      <c r="AB90">
        <f>IF(AND('07 Sys'!D90&gt;Tmin, NOT('07 Sys'!$I90="")),'07 Sys'!$I90,0)</f>
        <v>0</v>
      </c>
      <c r="AC90">
        <f>IF(AND('07 Sys'!E90&gt;Tmin, NOT('07 Sys'!$I90="")),'07 Sys'!$I90,0)</f>
        <v>0</v>
      </c>
      <c r="AD90">
        <f>IF(AND('07 Sys'!F90&gt;Tmin, NOT('07 Sys'!$I90="")),'07 Sys'!$I90,0)</f>
        <v>0</v>
      </c>
      <c r="AE90">
        <f>IF(AND('07 Sys'!C90&lt;Tmax, NOT('07 Sys'!$H90="")),'07 Sys'!$H90,4)</f>
        <v>2</v>
      </c>
      <c r="AF90">
        <f>IF(AND('07 Sys'!D90&lt;Tmax, NOT('07 Sys'!$H90="")),'07 Sys'!$H90,4)</f>
        <v>2</v>
      </c>
      <c r="AG90">
        <f>IF(AND('07 Sys'!E90&lt;Tmax, NOT('07 Sys'!$H90="")),'07 Sys'!$H90,4)</f>
        <v>2</v>
      </c>
      <c r="AH90">
        <f>IF(AND('07 Sys'!F90&lt;Tmax, NOT('07 Sys'!$H90="")),'07 Sys'!$H90,4)</f>
        <v>2</v>
      </c>
      <c r="AI90"/>
    </row>
    <row r="91" spans="1:35" ht="39.75" customHeight="1" outlineLevel="2" x14ac:dyDescent="0.2">
      <c r="A91" s="636" t="s">
        <v>3407</v>
      </c>
      <c r="B91" s="636" t="s">
        <v>5999</v>
      </c>
      <c r="C91" s="786"/>
      <c r="D91" s="822"/>
      <c r="E91" s="822"/>
      <c r="F91" s="822"/>
      <c r="G91" s="1473">
        <v>4</v>
      </c>
      <c r="H91" s="1473">
        <v>2</v>
      </c>
      <c r="I91" s="1473"/>
      <c r="J91" s="1473" t="s">
        <v>1592</v>
      </c>
      <c r="K91" s="1472"/>
      <c r="L91" s="1472"/>
      <c r="M91" s="823"/>
      <c r="AA91">
        <f>IF(AND('07 Sys'!C91&gt;Tmin, NOT('07 Sys'!$I91="")),'07 Sys'!$I91,0)</f>
        <v>0</v>
      </c>
      <c r="AB91">
        <f>IF(AND('07 Sys'!D91&gt;Tmin, NOT('07 Sys'!$I91="")),'07 Sys'!$I91,0)</f>
        <v>0</v>
      </c>
      <c r="AC91">
        <f>IF(AND('07 Sys'!E91&gt;Tmin, NOT('07 Sys'!$I91="")),'07 Sys'!$I91,0)</f>
        <v>0</v>
      </c>
      <c r="AD91">
        <f>IF(AND('07 Sys'!F91&gt;Tmin, NOT('07 Sys'!$I91="")),'07 Sys'!$I91,0)</f>
        <v>0</v>
      </c>
      <c r="AE91">
        <f>IF(AND('07 Sys'!C91&lt;Tmax, NOT('07 Sys'!$H91="")),'07 Sys'!$H91,4)</f>
        <v>2</v>
      </c>
      <c r="AF91">
        <f>IF(AND('07 Sys'!D91&lt;Tmax, NOT('07 Sys'!$H91="")),'07 Sys'!$H91,4)</f>
        <v>2</v>
      </c>
      <c r="AG91">
        <f>IF(AND('07 Sys'!E91&lt;Tmax, NOT('07 Sys'!$H91="")),'07 Sys'!$H91,4)</f>
        <v>2</v>
      </c>
      <c r="AH91">
        <f>IF(AND('07 Sys'!F91&lt;Tmax, NOT('07 Sys'!$H91="")),'07 Sys'!$H91,4)</f>
        <v>2</v>
      </c>
      <c r="AI91"/>
    </row>
    <row r="92" spans="1:35" ht="33.75" outlineLevel="2" x14ac:dyDescent="0.2">
      <c r="A92" s="636" t="s">
        <v>3408</v>
      </c>
      <c r="B92" s="636" t="s">
        <v>2456</v>
      </c>
      <c r="C92" s="786"/>
      <c r="D92" s="822"/>
      <c r="E92" s="822"/>
      <c r="F92" s="822"/>
      <c r="G92" s="1473">
        <v>2</v>
      </c>
      <c r="H92" s="1473"/>
      <c r="I92" s="1473"/>
      <c r="J92" s="1473" t="s">
        <v>2329</v>
      </c>
      <c r="K92" s="1472"/>
      <c r="L92" s="1472"/>
      <c r="M92" s="823"/>
      <c r="AA92">
        <f>IF(AND('07 Sys'!C92&gt;Tmin, NOT('07 Sys'!$I92="")),'07 Sys'!$I92,0)</f>
        <v>0</v>
      </c>
      <c r="AB92">
        <f>IF(AND('07 Sys'!D92&gt;Tmin, NOT('07 Sys'!$I92="")),'07 Sys'!$I92,0)</f>
        <v>0</v>
      </c>
      <c r="AC92">
        <f>IF(AND('07 Sys'!E92&gt;Tmin, NOT('07 Sys'!$I92="")),'07 Sys'!$I92,0)</f>
        <v>0</v>
      </c>
      <c r="AD92">
        <f>IF(AND('07 Sys'!F92&gt;Tmin, NOT('07 Sys'!$I92="")),'07 Sys'!$I92,0)</f>
        <v>0</v>
      </c>
      <c r="AE92">
        <f>IF(AND('07 Sys'!C92&lt;Tmax, NOT('07 Sys'!$H92="")),'07 Sys'!$H92,4)</f>
        <v>4</v>
      </c>
      <c r="AF92">
        <f>IF(AND('07 Sys'!D92&lt;Tmax, NOT('07 Sys'!$H92="")),'07 Sys'!$H92,4)</f>
        <v>4</v>
      </c>
      <c r="AG92">
        <f>IF(AND('07 Sys'!E92&lt;Tmax, NOT('07 Sys'!$H92="")),'07 Sys'!$H92,4)</f>
        <v>4</v>
      </c>
      <c r="AH92">
        <f>IF(AND('07 Sys'!F92&lt;Tmax, NOT('07 Sys'!$H92="")),'07 Sys'!$H92,4)</f>
        <v>4</v>
      </c>
      <c r="AI92"/>
    </row>
    <row r="93" spans="1:35" ht="33.75" outlineLevel="2" x14ac:dyDescent="0.2">
      <c r="A93" s="636" t="s">
        <v>2457</v>
      </c>
      <c r="B93" s="636" t="s">
        <v>5787</v>
      </c>
      <c r="C93" s="786"/>
      <c r="D93" s="822"/>
      <c r="E93" s="822"/>
      <c r="F93" s="822"/>
      <c r="G93" s="1473">
        <v>2</v>
      </c>
      <c r="H93" s="1473"/>
      <c r="I93" s="1473"/>
      <c r="J93" s="1473" t="s">
        <v>2349</v>
      </c>
      <c r="K93" s="1472"/>
      <c r="L93" s="1472"/>
      <c r="M93" s="823"/>
      <c r="AA93">
        <f>IF(AND('07 Sys'!C93&gt;Tmin, NOT('07 Sys'!$I93="")),'07 Sys'!$I93,0)</f>
        <v>0</v>
      </c>
      <c r="AB93">
        <f>IF(AND('07 Sys'!D93&gt;Tmin, NOT('07 Sys'!$I93="")),'07 Sys'!$I93,0)</f>
        <v>0</v>
      </c>
      <c r="AC93">
        <f>IF(AND('07 Sys'!E93&gt;Tmin, NOT('07 Sys'!$I93="")),'07 Sys'!$I93,0)</f>
        <v>0</v>
      </c>
      <c r="AD93">
        <f>IF(AND('07 Sys'!F93&gt;Tmin, NOT('07 Sys'!$I93="")),'07 Sys'!$I93,0)</f>
        <v>0</v>
      </c>
      <c r="AE93">
        <f>IF(AND('07 Sys'!C93&lt;Tmax, NOT('07 Sys'!$H93="")),'07 Sys'!$H93,4)</f>
        <v>4</v>
      </c>
      <c r="AF93">
        <f>IF(AND('07 Sys'!D93&lt;Tmax, NOT('07 Sys'!$H93="")),'07 Sys'!$H93,4)</f>
        <v>4</v>
      </c>
      <c r="AG93">
        <f>IF(AND('07 Sys'!E93&lt;Tmax, NOT('07 Sys'!$H93="")),'07 Sys'!$H93,4)</f>
        <v>4</v>
      </c>
      <c r="AH93">
        <f>IF(AND('07 Sys'!F93&lt;Tmax, NOT('07 Sys'!$H93="")),'07 Sys'!$H93,4)</f>
        <v>4</v>
      </c>
      <c r="AI93"/>
    </row>
    <row r="94" spans="1:35" ht="22.5" outlineLevel="2" x14ac:dyDescent="0.2">
      <c r="A94" s="636" t="s">
        <v>3335</v>
      </c>
      <c r="B94" s="636" t="s">
        <v>3336</v>
      </c>
      <c r="C94" s="786"/>
      <c r="D94" s="822"/>
      <c r="E94" s="822"/>
      <c r="F94" s="822"/>
      <c r="G94" s="1473">
        <v>2</v>
      </c>
      <c r="H94" s="1473">
        <v>3</v>
      </c>
      <c r="I94" s="1473"/>
      <c r="J94" s="1473" t="s">
        <v>2109</v>
      </c>
      <c r="K94" s="1472"/>
      <c r="L94" s="1472"/>
      <c r="M94" s="823"/>
      <c r="AA94">
        <f>IF(AND('07 Sys'!C94&gt;Tmin, NOT('07 Sys'!$I94="")),'07 Sys'!$I94,0)</f>
        <v>0</v>
      </c>
      <c r="AB94">
        <f>IF(AND('07 Sys'!D94&gt;Tmin, NOT('07 Sys'!$I94="")),'07 Sys'!$I94,0)</f>
        <v>0</v>
      </c>
      <c r="AC94">
        <f>IF(AND('07 Sys'!E94&gt;Tmin, NOT('07 Sys'!$I94="")),'07 Sys'!$I94,0)</f>
        <v>0</v>
      </c>
      <c r="AD94">
        <f>IF(AND('07 Sys'!F94&gt;Tmin, NOT('07 Sys'!$I94="")),'07 Sys'!$I94,0)</f>
        <v>0</v>
      </c>
      <c r="AE94">
        <f>IF(AND('07 Sys'!C94&lt;Tmax, NOT('07 Sys'!$H94="")),'07 Sys'!$H94,4)</f>
        <v>3</v>
      </c>
      <c r="AF94">
        <f>IF(AND('07 Sys'!D94&lt;Tmax, NOT('07 Sys'!$H94="")),'07 Sys'!$H94,4)</f>
        <v>3</v>
      </c>
      <c r="AG94">
        <f>IF(AND('07 Sys'!E94&lt;Tmax, NOT('07 Sys'!$H94="")),'07 Sys'!$H94,4)</f>
        <v>3</v>
      </c>
      <c r="AH94">
        <f>IF(AND('07 Sys'!F94&lt;Tmax, NOT('07 Sys'!$H94="")),'07 Sys'!$H94,4)</f>
        <v>3</v>
      </c>
      <c r="AI94"/>
    </row>
    <row r="95" spans="1:35" outlineLevel="1" x14ac:dyDescent="0.2">
      <c r="A95" s="633" t="s">
        <v>4982</v>
      </c>
      <c r="B95" s="634" t="s">
        <v>4983</v>
      </c>
      <c r="C95" s="786"/>
      <c r="D95" s="822"/>
      <c r="E95" s="822"/>
      <c r="F95" s="822"/>
      <c r="G95" s="1473"/>
      <c r="H95" s="1473"/>
      <c r="I95" s="1473"/>
      <c r="J95" s="1473"/>
      <c r="K95" s="1472"/>
      <c r="L95" s="1472"/>
      <c r="M95" s="823"/>
      <c r="AA95"/>
      <c r="AB95"/>
      <c r="AC95"/>
      <c r="AD95"/>
      <c r="AE95"/>
      <c r="AF95"/>
      <c r="AG95"/>
      <c r="AH95"/>
      <c r="AI95"/>
    </row>
    <row r="96" spans="1:35" ht="65.25" customHeight="1" outlineLevel="2" x14ac:dyDescent="0.2">
      <c r="A96" s="636" t="s">
        <v>3185</v>
      </c>
      <c r="B96" s="636" t="s">
        <v>5823</v>
      </c>
      <c r="C96" s="786"/>
      <c r="D96" s="822"/>
      <c r="E96" s="822"/>
      <c r="F96" s="822"/>
      <c r="G96" s="1473">
        <v>3</v>
      </c>
      <c r="H96" s="1473"/>
      <c r="I96" s="1473"/>
      <c r="J96" s="1473" t="s">
        <v>1592</v>
      </c>
      <c r="K96" s="1472"/>
      <c r="L96" s="1472" t="s">
        <v>7355</v>
      </c>
      <c r="M96" s="823"/>
      <c r="AA96">
        <f>IF(AND('07 Sys'!C96&gt;Tmin, NOT('07 Sys'!$I96="")),'07 Sys'!$I96,0)</f>
        <v>0</v>
      </c>
      <c r="AB96">
        <f>IF(AND('07 Sys'!D96&gt;Tmin, NOT('07 Sys'!$I96="")),'07 Sys'!$I96,0)</f>
        <v>0</v>
      </c>
      <c r="AC96">
        <f>IF(AND('07 Sys'!E96&gt;Tmin, NOT('07 Sys'!$I96="")),'07 Sys'!$I96,0)</f>
        <v>0</v>
      </c>
      <c r="AD96">
        <f>IF(AND('07 Sys'!F96&gt;Tmin, NOT('07 Sys'!$I96="")),'07 Sys'!$I96,0)</f>
        <v>0</v>
      </c>
      <c r="AE96">
        <f>IF(AND('07 Sys'!C96&lt;Tmax, NOT('07 Sys'!$H96="")),'07 Sys'!$H96,4)</f>
        <v>4</v>
      </c>
      <c r="AF96">
        <f>IF(AND('07 Sys'!D96&lt;Tmax, NOT('07 Sys'!$H96="")),'07 Sys'!$H96,4)</f>
        <v>4</v>
      </c>
      <c r="AG96">
        <f>IF(AND('07 Sys'!E96&lt;Tmax, NOT('07 Sys'!$H96="")),'07 Sys'!$H96,4)</f>
        <v>4</v>
      </c>
      <c r="AH96">
        <f>IF(AND('07 Sys'!F96&lt;Tmax, NOT('07 Sys'!$H96="")),'07 Sys'!$H96,4)</f>
        <v>4</v>
      </c>
      <c r="AI96"/>
    </row>
    <row r="97" spans="1:35" ht="22.5" outlineLevel="2" x14ac:dyDescent="0.2">
      <c r="A97" s="636" t="s">
        <v>3186</v>
      </c>
      <c r="B97" s="636" t="s">
        <v>3187</v>
      </c>
      <c r="C97" s="794"/>
      <c r="D97" s="825"/>
      <c r="E97" s="825"/>
      <c r="F97" s="825"/>
      <c r="G97" s="1476">
        <v>3</v>
      </c>
      <c r="H97" s="1476"/>
      <c r="I97" s="1476"/>
      <c r="J97" s="1476" t="s">
        <v>1592</v>
      </c>
      <c r="K97" s="1477"/>
      <c r="L97" s="1477" t="s">
        <v>7355</v>
      </c>
      <c r="M97" s="826"/>
      <c r="AA97">
        <f>IF(AND('07 Sys'!C97&gt;Tmin, NOT('07 Sys'!$I97="")),'07 Sys'!$I97,0)</f>
        <v>0</v>
      </c>
      <c r="AB97">
        <f>IF(AND('07 Sys'!D97&gt;Tmin, NOT('07 Sys'!$I97="")),'07 Sys'!$I97,0)</f>
        <v>0</v>
      </c>
      <c r="AC97">
        <f>IF(AND('07 Sys'!E97&gt;Tmin, NOT('07 Sys'!$I97="")),'07 Sys'!$I97,0)</f>
        <v>0</v>
      </c>
      <c r="AD97">
        <f>IF(AND('07 Sys'!F97&gt;Tmin, NOT('07 Sys'!$I97="")),'07 Sys'!$I97,0)</f>
        <v>0</v>
      </c>
      <c r="AE97">
        <f>IF(AND('07 Sys'!C97&lt;Tmax, NOT('07 Sys'!$H97="")),'07 Sys'!$H97,4)</f>
        <v>4</v>
      </c>
      <c r="AF97">
        <f>IF(AND('07 Sys'!D97&lt;Tmax, NOT('07 Sys'!$H97="")),'07 Sys'!$H97,4)</f>
        <v>4</v>
      </c>
      <c r="AG97">
        <f>IF(AND('07 Sys'!E97&lt;Tmax, NOT('07 Sys'!$H97="")),'07 Sys'!$H97,4)</f>
        <v>4</v>
      </c>
      <c r="AH97">
        <f>IF(AND('07 Sys'!F97&lt;Tmax, NOT('07 Sys'!$H97="")),'07 Sys'!$H97,4)</f>
        <v>4</v>
      </c>
      <c r="AI97"/>
    </row>
    <row r="98" spans="1:35" ht="46.5" customHeight="1" outlineLevel="2" x14ac:dyDescent="0.2">
      <c r="A98" s="636" t="s">
        <v>3188</v>
      </c>
      <c r="B98" s="636" t="s">
        <v>6745</v>
      </c>
      <c r="C98" s="827"/>
      <c r="D98" s="828"/>
      <c r="E98" s="828"/>
      <c r="F98" s="828"/>
      <c r="G98" s="1478">
        <v>3</v>
      </c>
      <c r="H98" s="1478"/>
      <c r="I98" s="1478"/>
      <c r="J98" s="1478" t="s">
        <v>1592</v>
      </c>
      <c r="K98" s="1445"/>
      <c r="L98" s="1445" t="s">
        <v>7355</v>
      </c>
      <c r="M98" s="560"/>
      <c r="AA98">
        <f>IF(AND('07 Sys'!C98&gt;Tmin, NOT('07 Sys'!$I98="")),'07 Sys'!$I98,0)</f>
        <v>0</v>
      </c>
      <c r="AB98">
        <f>IF(AND('07 Sys'!D98&gt;Tmin, NOT('07 Sys'!$I98="")),'07 Sys'!$I98,0)</f>
        <v>0</v>
      </c>
      <c r="AC98">
        <f>IF(AND('07 Sys'!E98&gt;Tmin, NOT('07 Sys'!$I98="")),'07 Sys'!$I98,0)</f>
        <v>0</v>
      </c>
      <c r="AD98">
        <f>IF(AND('07 Sys'!F98&gt;Tmin, NOT('07 Sys'!$I98="")),'07 Sys'!$I98,0)</f>
        <v>0</v>
      </c>
      <c r="AE98">
        <f>IF(AND('07 Sys'!C98&lt;Tmax, NOT('07 Sys'!$H98="")),'07 Sys'!$H98,4)</f>
        <v>4</v>
      </c>
      <c r="AF98">
        <f>IF(AND('07 Sys'!D98&lt;Tmax, NOT('07 Sys'!$H98="")),'07 Sys'!$H98,4)</f>
        <v>4</v>
      </c>
      <c r="AG98">
        <f>IF(AND('07 Sys'!E98&lt;Tmax, NOT('07 Sys'!$H98="")),'07 Sys'!$H98,4)</f>
        <v>4</v>
      </c>
      <c r="AH98">
        <f>IF(AND('07 Sys'!F98&lt;Tmax, NOT('07 Sys'!$H98="")),'07 Sys'!$H98,4)</f>
        <v>4</v>
      </c>
      <c r="AI98"/>
    </row>
    <row r="99" spans="1:35" x14ac:dyDescent="0.2">
      <c r="A99" s="829"/>
      <c r="B99" s="830"/>
      <c r="C99" s="801"/>
      <c r="D99" s="831"/>
      <c r="E99" s="831"/>
      <c r="F99" s="831"/>
      <c r="G99" s="832"/>
      <c r="H99" s="832"/>
      <c r="I99" s="832"/>
      <c r="J99" s="832"/>
      <c r="L99" s="834"/>
      <c r="M99" s="835"/>
      <c r="AA99"/>
      <c r="AB99"/>
      <c r="AC99"/>
      <c r="AD99"/>
      <c r="AE99"/>
      <c r="AF99"/>
      <c r="AG99"/>
      <c r="AH99"/>
      <c r="AI99"/>
    </row>
    <row r="100" spans="1:35" ht="12.75" customHeight="1" x14ac:dyDescent="0.2">
      <c r="A100" s="612" t="str">
        <f>C$2</f>
        <v>R-V1</v>
      </c>
      <c r="B100" s="727" t="s">
        <v>7232</v>
      </c>
      <c r="C100" s="612" t="str">
        <f>C$2</f>
        <v>R-V1</v>
      </c>
      <c r="D100" s="612"/>
      <c r="E100" s="612"/>
      <c r="F100" s="612"/>
      <c r="G100" s="832"/>
      <c r="H100" s="832"/>
      <c r="I100" s="832"/>
      <c r="J100" s="832"/>
      <c r="L100" s="834"/>
      <c r="M100" s="835"/>
      <c r="AA100"/>
      <c r="AB100"/>
      <c r="AC100"/>
      <c r="AD100"/>
      <c r="AE100"/>
      <c r="AF100"/>
      <c r="AG100"/>
      <c r="AH100"/>
      <c r="AI100"/>
    </row>
    <row r="101" spans="1:35" ht="12.75" customHeight="1" x14ac:dyDescent="0.2">
      <c r="A101" s="612" t="str">
        <f>C$2</f>
        <v>R-V1</v>
      </c>
      <c r="B101" s="727" t="s">
        <v>7233</v>
      </c>
      <c r="C101" s="612" t="str">
        <f>C$2</f>
        <v>R-V1</v>
      </c>
      <c r="D101" s="612"/>
      <c r="E101" s="612"/>
      <c r="F101" s="612"/>
      <c r="G101" s="832"/>
      <c r="H101" s="832"/>
      <c r="I101" s="832"/>
      <c r="J101" s="832"/>
      <c r="L101" s="834"/>
      <c r="M101" s="835"/>
      <c r="AA101"/>
      <c r="AB101"/>
      <c r="AC101"/>
      <c r="AD101"/>
      <c r="AE101"/>
      <c r="AF101"/>
      <c r="AG101"/>
      <c r="AH101"/>
      <c r="AI101"/>
    </row>
    <row r="102" spans="1:35" ht="12.75" customHeight="1" x14ac:dyDescent="0.2">
      <c r="A102" s="612" t="str">
        <f>C$2</f>
        <v>R-V1</v>
      </c>
      <c r="B102" s="727" t="s">
        <v>7234</v>
      </c>
      <c r="C102" s="612" t="str">
        <f>C$2</f>
        <v>R-V1</v>
      </c>
      <c r="D102" s="612"/>
      <c r="E102" s="612"/>
      <c r="F102" s="612"/>
      <c r="G102" s="832"/>
      <c r="H102" s="832"/>
      <c r="I102" s="832"/>
      <c r="J102" s="832"/>
      <c r="L102" s="834"/>
      <c r="M102" s="835"/>
      <c r="AA102"/>
      <c r="AB102"/>
      <c r="AC102"/>
      <c r="AD102"/>
      <c r="AE102"/>
      <c r="AF102"/>
      <c r="AG102"/>
      <c r="AH102"/>
      <c r="AI102"/>
    </row>
    <row r="103" spans="1:35" ht="12.75" customHeight="1" x14ac:dyDescent="0.2">
      <c r="A103" s="612" t="str">
        <f>C$2</f>
        <v>R-V1</v>
      </c>
      <c r="B103" s="728" t="s">
        <v>7235</v>
      </c>
      <c r="C103" s="612" t="str">
        <f>C$2</f>
        <v>R-V1</v>
      </c>
      <c r="D103" s="612"/>
      <c r="E103" s="612"/>
      <c r="F103" s="612"/>
      <c r="G103" s="832"/>
      <c r="H103" s="832"/>
      <c r="I103" s="832"/>
      <c r="J103" s="832"/>
      <c r="L103" s="834"/>
      <c r="M103" s="835"/>
      <c r="AA103"/>
      <c r="AB103"/>
      <c r="AC103"/>
      <c r="AD103"/>
      <c r="AE103"/>
      <c r="AF103"/>
      <c r="AG103"/>
      <c r="AH103"/>
      <c r="AI103"/>
    </row>
    <row r="104" spans="1:35" ht="12.75" customHeight="1" x14ac:dyDescent="0.2">
      <c r="A104" s="612"/>
      <c r="B104" s="727"/>
      <c r="C104" s="612"/>
      <c r="D104" s="612"/>
      <c r="E104" s="612"/>
      <c r="F104" s="612"/>
      <c r="G104" s="832"/>
      <c r="H104" s="832"/>
      <c r="I104" s="832"/>
      <c r="J104" s="832"/>
      <c r="L104" s="834"/>
      <c r="M104" s="835"/>
      <c r="AA104"/>
      <c r="AB104"/>
      <c r="AC104"/>
      <c r="AD104"/>
      <c r="AE104"/>
      <c r="AF104"/>
      <c r="AG104"/>
      <c r="AH104"/>
      <c r="AI104"/>
    </row>
    <row r="105" spans="1:35" ht="12.75" customHeight="1" x14ac:dyDescent="0.2">
      <c r="A105" s="612" t="str">
        <f>D$2</f>
        <v>R-V2</v>
      </c>
      <c r="B105" s="727" t="s">
        <v>7232</v>
      </c>
      <c r="C105" s="612"/>
      <c r="D105" s="612" t="str">
        <f>D$2</f>
        <v>R-V2</v>
      </c>
      <c r="E105" s="612"/>
      <c r="F105" s="612"/>
      <c r="G105" s="832"/>
      <c r="H105" s="832"/>
      <c r="I105" s="832"/>
      <c r="J105" s="832"/>
      <c r="L105" s="834"/>
      <c r="M105" s="835"/>
      <c r="AA105"/>
      <c r="AB105"/>
      <c r="AC105"/>
      <c r="AD105"/>
      <c r="AE105"/>
      <c r="AF105"/>
      <c r="AG105"/>
      <c r="AH105"/>
      <c r="AI105"/>
    </row>
    <row r="106" spans="1:35" ht="12.75" customHeight="1" x14ac:dyDescent="0.2">
      <c r="A106" s="612" t="str">
        <f>D$2</f>
        <v>R-V2</v>
      </c>
      <c r="B106" s="727" t="s">
        <v>7233</v>
      </c>
      <c r="C106" s="612"/>
      <c r="D106" s="612" t="str">
        <f>D$2</f>
        <v>R-V2</v>
      </c>
      <c r="E106" s="612"/>
      <c r="F106" s="612"/>
      <c r="G106" s="832"/>
      <c r="H106" s="832"/>
      <c r="I106" s="832"/>
      <c r="J106" s="832"/>
      <c r="L106" s="834"/>
      <c r="M106" s="835"/>
      <c r="AA106"/>
      <c r="AB106"/>
      <c r="AC106"/>
      <c r="AD106"/>
      <c r="AE106"/>
      <c r="AF106"/>
      <c r="AG106"/>
      <c r="AH106"/>
      <c r="AI106"/>
    </row>
    <row r="107" spans="1:35" ht="12.75" customHeight="1" x14ac:dyDescent="0.2">
      <c r="A107" s="612" t="str">
        <f>D$2</f>
        <v>R-V2</v>
      </c>
      <c r="B107" s="727" t="s">
        <v>7234</v>
      </c>
      <c r="C107" s="612"/>
      <c r="D107" s="612" t="str">
        <f>D$2</f>
        <v>R-V2</v>
      </c>
      <c r="E107" s="612"/>
      <c r="F107" s="612"/>
      <c r="G107" s="832"/>
      <c r="H107" s="832"/>
      <c r="I107" s="832"/>
      <c r="J107" s="832"/>
      <c r="L107" s="834"/>
      <c r="M107" s="835"/>
      <c r="AA107"/>
      <c r="AB107"/>
      <c r="AC107"/>
      <c r="AD107"/>
      <c r="AE107"/>
      <c r="AF107"/>
      <c r="AG107"/>
      <c r="AH107"/>
      <c r="AI107"/>
    </row>
    <row r="108" spans="1:35" ht="12.75" customHeight="1" x14ac:dyDescent="0.2">
      <c r="A108" s="612" t="str">
        <f>D$2</f>
        <v>R-V2</v>
      </c>
      <c r="B108" s="727" t="s">
        <v>7235</v>
      </c>
      <c r="C108" s="612"/>
      <c r="D108" s="612" t="str">
        <f>D$2</f>
        <v>R-V2</v>
      </c>
      <c r="E108" s="612"/>
      <c r="F108" s="612"/>
      <c r="G108" s="832"/>
      <c r="H108" s="832"/>
      <c r="I108" s="832"/>
      <c r="J108" s="832"/>
      <c r="L108" s="834"/>
      <c r="M108" s="835"/>
      <c r="AA108"/>
      <c r="AB108"/>
      <c r="AC108"/>
      <c r="AD108"/>
      <c r="AE108"/>
      <c r="AF108"/>
      <c r="AG108"/>
      <c r="AH108"/>
      <c r="AI108"/>
    </row>
    <row r="109" spans="1:35" ht="12.75" customHeight="1" x14ac:dyDescent="0.2">
      <c r="A109" s="612"/>
      <c r="B109" s="727"/>
      <c r="C109" s="612"/>
      <c r="D109" s="612"/>
      <c r="E109" s="612"/>
      <c r="F109" s="612"/>
      <c r="G109" s="832"/>
      <c r="H109" s="832"/>
      <c r="I109" s="832"/>
      <c r="J109" s="832"/>
      <c r="L109" s="834"/>
      <c r="M109" s="835"/>
      <c r="AA109"/>
      <c r="AB109"/>
      <c r="AC109"/>
      <c r="AD109"/>
      <c r="AE109"/>
      <c r="AF109"/>
      <c r="AG109"/>
      <c r="AH109"/>
      <c r="AI109"/>
    </row>
    <row r="110" spans="1:35" ht="12.75" customHeight="1" x14ac:dyDescent="0.2">
      <c r="A110" s="612" t="str">
        <f>E$2</f>
        <v>R-V3</v>
      </c>
      <c r="B110" s="727" t="s">
        <v>7232</v>
      </c>
      <c r="C110" s="612"/>
      <c r="D110" s="612"/>
      <c r="E110" s="612" t="str">
        <f>E$2</f>
        <v>R-V3</v>
      </c>
      <c r="F110" s="612"/>
      <c r="G110" s="832"/>
      <c r="H110" s="832"/>
      <c r="I110" s="832"/>
      <c r="J110" s="832"/>
      <c r="L110" s="834"/>
      <c r="M110" s="835"/>
      <c r="AA110"/>
      <c r="AB110"/>
      <c r="AC110"/>
      <c r="AD110"/>
      <c r="AE110"/>
      <c r="AF110"/>
      <c r="AG110"/>
      <c r="AH110"/>
      <c r="AI110"/>
    </row>
    <row r="111" spans="1:35" ht="12.75" customHeight="1" x14ac:dyDescent="0.2">
      <c r="A111" s="612" t="str">
        <f>E$2</f>
        <v>R-V3</v>
      </c>
      <c r="B111" s="727" t="s">
        <v>7233</v>
      </c>
      <c r="C111" s="612"/>
      <c r="D111" s="612"/>
      <c r="E111" s="612" t="str">
        <f>E$2</f>
        <v>R-V3</v>
      </c>
      <c r="F111" s="612"/>
      <c r="G111" s="832"/>
      <c r="H111" s="832"/>
      <c r="I111" s="832"/>
      <c r="J111" s="832"/>
      <c r="L111" s="834"/>
      <c r="M111" s="835"/>
      <c r="AA111"/>
      <c r="AB111"/>
      <c r="AC111"/>
      <c r="AD111"/>
      <c r="AE111"/>
      <c r="AF111"/>
      <c r="AG111"/>
      <c r="AH111"/>
      <c r="AI111"/>
    </row>
    <row r="112" spans="1:35" ht="12.75" customHeight="1" x14ac:dyDescent="0.2">
      <c r="A112" s="612" t="str">
        <f>E$2</f>
        <v>R-V3</v>
      </c>
      <c r="B112" s="727" t="s">
        <v>7234</v>
      </c>
      <c r="C112" s="612"/>
      <c r="D112" s="612"/>
      <c r="E112" s="612" t="str">
        <f>E$2</f>
        <v>R-V3</v>
      </c>
      <c r="F112" s="612"/>
      <c r="G112" s="832"/>
      <c r="H112" s="832"/>
      <c r="I112" s="832"/>
      <c r="J112" s="832"/>
      <c r="L112" s="834"/>
      <c r="M112" s="835"/>
      <c r="AA112"/>
      <c r="AB112"/>
      <c r="AC112"/>
      <c r="AD112"/>
      <c r="AE112"/>
      <c r="AF112"/>
      <c r="AG112"/>
      <c r="AH112"/>
      <c r="AI112"/>
    </row>
    <row r="113" spans="1:35" ht="12.75" customHeight="1" x14ac:dyDescent="0.2">
      <c r="A113" s="612" t="str">
        <f>E$2</f>
        <v>R-V3</v>
      </c>
      <c r="B113" s="727" t="s">
        <v>7235</v>
      </c>
      <c r="C113" s="612"/>
      <c r="D113" s="612"/>
      <c r="E113" s="612" t="str">
        <f>E$2</f>
        <v>R-V3</v>
      </c>
      <c r="F113" s="612"/>
      <c r="G113" s="832"/>
      <c r="H113" s="832"/>
      <c r="I113" s="832"/>
      <c r="J113" s="832"/>
      <c r="K113" s="806"/>
      <c r="L113" s="834"/>
      <c r="M113" s="835"/>
      <c r="AA113"/>
      <c r="AB113"/>
      <c r="AC113"/>
      <c r="AD113"/>
      <c r="AE113"/>
      <c r="AF113"/>
      <c r="AG113"/>
      <c r="AH113"/>
      <c r="AI113"/>
    </row>
    <row r="114" spans="1:35" ht="12.75" customHeight="1" x14ac:dyDescent="0.2">
      <c r="A114" s="612"/>
      <c r="B114" s="727"/>
      <c r="C114" s="612"/>
      <c r="D114" s="612"/>
      <c r="E114" s="612"/>
      <c r="F114" s="612"/>
      <c r="G114" s="832"/>
      <c r="H114" s="832"/>
      <c r="I114" s="832"/>
      <c r="J114" s="832"/>
      <c r="L114" s="834"/>
      <c r="M114" s="835"/>
      <c r="AA114"/>
      <c r="AB114"/>
      <c r="AC114"/>
      <c r="AD114"/>
      <c r="AE114"/>
      <c r="AF114"/>
      <c r="AG114"/>
      <c r="AH114"/>
      <c r="AI114"/>
    </row>
    <row r="115" spans="1:35" ht="12.75" customHeight="1" x14ac:dyDescent="0.2">
      <c r="A115" s="612" t="str">
        <f>F$2</f>
        <v>R-V4</v>
      </c>
      <c r="B115" s="727" t="s">
        <v>7232</v>
      </c>
      <c r="C115" s="612"/>
      <c r="D115" s="612"/>
      <c r="E115" s="612"/>
      <c r="F115" s="612" t="str">
        <f>F$2</f>
        <v>R-V4</v>
      </c>
      <c r="G115" s="832"/>
      <c r="H115" s="832"/>
      <c r="I115" s="832"/>
      <c r="J115" s="832"/>
      <c r="L115" s="834"/>
      <c r="M115" s="835"/>
      <c r="AA115"/>
      <c r="AB115"/>
      <c r="AC115"/>
      <c r="AD115"/>
      <c r="AE115"/>
      <c r="AF115"/>
      <c r="AG115"/>
      <c r="AH115"/>
      <c r="AI115"/>
    </row>
    <row r="116" spans="1:35" ht="12.75" customHeight="1" x14ac:dyDescent="0.2">
      <c r="A116" s="612" t="str">
        <f>F$2</f>
        <v>R-V4</v>
      </c>
      <c r="B116" s="727" t="s">
        <v>7233</v>
      </c>
      <c r="C116" s="612"/>
      <c r="D116" s="612"/>
      <c r="E116" s="612"/>
      <c r="F116" s="612" t="str">
        <f>F$2</f>
        <v>R-V4</v>
      </c>
      <c r="G116" s="832"/>
      <c r="H116" s="832"/>
      <c r="I116" s="832"/>
      <c r="J116" s="832"/>
      <c r="L116" s="834"/>
      <c r="M116" s="835"/>
      <c r="AA116"/>
      <c r="AB116"/>
      <c r="AC116"/>
      <c r="AD116"/>
      <c r="AE116"/>
      <c r="AF116"/>
      <c r="AG116"/>
      <c r="AH116"/>
      <c r="AI116"/>
    </row>
    <row r="117" spans="1:35" ht="12.75" customHeight="1" x14ac:dyDescent="0.2">
      <c r="A117" s="612" t="str">
        <f>F$2</f>
        <v>R-V4</v>
      </c>
      <c r="B117" s="727" t="s">
        <v>7234</v>
      </c>
      <c r="C117" s="612"/>
      <c r="D117" s="612"/>
      <c r="E117" s="612"/>
      <c r="F117" s="612" t="str">
        <f>F$2</f>
        <v>R-V4</v>
      </c>
      <c r="G117" s="832"/>
      <c r="H117" s="832"/>
      <c r="I117" s="832"/>
      <c r="J117" s="832"/>
      <c r="L117" s="834"/>
      <c r="M117" s="835"/>
      <c r="AA117"/>
      <c r="AB117"/>
      <c r="AC117"/>
      <c r="AD117"/>
      <c r="AE117"/>
      <c r="AF117"/>
      <c r="AG117"/>
      <c r="AH117"/>
      <c r="AI117"/>
    </row>
    <row r="118" spans="1:35" ht="12.75" customHeight="1" x14ac:dyDescent="0.2">
      <c r="A118" s="612" t="str">
        <f>F$2</f>
        <v>R-V4</v>
      </c>
      <c r="B118" s="727" t="s">
        <v>7235</v>
      </c>
      <c r="C118" s="612"/>
      <c r="D118" s="612"/>
      <c r="E118" s="612"/>
      <c r="F118" s="612" t="str">
        <f>F$2</f>
        <v>R-V4</v>
      </c>
      <c r="G118" s="832"/>
      <c r="H118" s="832"/>
      <c r="I118" s="832"/>
      <c r="J118" s="832"/>
      <c r="L118" s="834"/>
      <c r="M118" s="835"/>
      <c r="AA118"/>
      <c r="AB118"/>
      <c r="AC118"/>
      <c r="AD118"/>
      <c r="AE118"/>
      <c r="AF118"/>
      <c r="AG118"/>
      <c r="AH118"/>
      <c r="AI118"/>
    </row>
    <row r="119" spans="1:35" x14ac:dyDescent="0.2">
      <c r="C119" s="801"/>
      <c r="D119" s="831"/>
      <c r="E119" s="831"/>
      <c r="F119" s="831"/>
      <c r="G119" s="832"/>
      <c r="H119" s="832"/>
      <c r="I119" s="832"/>
      <c r="J119" s="832"/>
      <c r="L119" s="834"/>
      <c r="M119" s="835"/>
      <c r="AA119"/>
      <c r="AB119"/>
      <c r="AC119"/>
      <c r="AD119"/>
      <c r="AE119"/>
      <c r="AF119"/>
      <c r="AG119"/>
      <c r="AH119"/>
      <c r="AI119"/>
    </row>
    <row r="120" spans="1:35" x14ac:dyDescent="0.2">
      <c r="C120" s="801"/>
      <c r="D120" s="831"/>
      <c r="E120" s="831"/>
      <c r="F120" s="831"/>
      <c r="G120" s="832"/>
      <c r="H120" s="832"/>
      <c r="I120" s="832"/>
      <c r="J120" s="832"/>
      <c r="L120" s="834"/>
      <c r="M120" s="835"/>
      <c r="AA120"/>
      <c r="AB120"/>
      <c r="AC120"/>
      <c r="AD120"/>
      <c r="AE120"/>
      <c r="AF120"/>
      <c r="AG120"/>
      <c r="AH120"/>
      <c r="AI120"/>
    </row>
    <row r="121" spans="1:35" x14ac:dyDescent="0.2">
      <c r="C121" s="801"/>
      <c r="D121" s="831"/>
      <c r="E121" s="831"/>
      <c r="F121" s="831"/>
      <c r="G121" s="832"/>
      <c r="H121" s="832"/>
      <c r="I121" s="832"/>
      <c r="J121" s="832"/>
      <c r="L121" s="834"/>
      <c r="M121" s="835"/>
      <c r="AA121"/>
      <c r="AB121"/>
      <c r="AC121"/>
      <c r="AD121"/>
      <c r="AE121"/>
      <c r="AF121"/>
      <c r="AG121"/>
      <c r="AH121"/>
      <c r="AI121"/>
    </row>
    <row r="122" spans="1:35" x14ac:dyDescent="0.2">
      <c r="C122" s="801"/>
      <c r="D122" s="831"/>
      <c r="E122" s="831"/>
      <c r="F122" s="831"/>
      <c r="G122" s="832"/>
      <c r="H122" s="832"/>
      <c r="I122" s="832"/>
      <c r="J122" s="832"/>
      <c r="L122" s="834"/>
      <c r="M122" s="835"/>
      <c r="AA122"/>
      <c r="AB122"/>
      <c r="AC122"/>
      <c r="AD122"/>
      <c r="AE122"/>
      <c r="AF122"/>
      <c r="AG122"/>
      <c r="AH122"/>
      <c r="AI122"/>
    </row>
    <row r="123" spans="1:35" x14ac:dyDescent="0.2">
      <c r="C123" s="801"/>
      <c r="D123" s="831"/>
      <c r="E123" s="831"/>
      <c r="F123" s="831"/>
      <c r="G123" s="832"/>
      <c r="H123" s="832"/>
      <c r="I123" s="832"/>
      <c r="J123" s="832"/>
      <c r="L123" s="834"/>
      <c r="M123" s="835"/>
      <c r="AA123"/>
      <c r="AB123"/>
      <c r="AC123"/>
      <c r="AD123"/>
      <c r="AE123"/>
      <c r="AF123"/>
      <c r="AG123"/>
      <c r="AH123"/>
      <c r="AI123"/>
    </row>
    <row r="124" spans="1:35" x14ac:dyDescent="0.2">
      <c r="C124" s="801"/>
      <c r="D124" s="831"/>
      <c r="E124" s="831"/>
      <c r="F124" s="831"/>
      <c r="G124" s="832"/>
      <c r="H124" s="832"/>
      <c r="I124" s="832"/>
      <c r="J124" s="832"/>
      <c r="L124" s="834"/>
      <c r="M124" s="835"/>
      <c r="AA124"/>
      <c r="AB124"/>
      <c r="AC124"/>
      <c r="AD124"/>
      <c r="AE124"/>
      <c r="AF124"/>
      <c r="AG124"/>
      <c r="AH124"/>
      <c r="AI124"/>
    </row>
    <row r="125" spans="1:35" x14ac:dyDescent="0.2">
      <c r="C125" s="801"/>
      <c r="D125" s="831"/>
      <c r="E125" s="831"/>
      <c r="F125" s="831"/>
      <c r="G125" s="832"/>
      <c r="H125" s="832"/>
      <c r="I125" s="832"/>
      <c r="J125" s="832"/>
      <c r="L125" s="834"/>
      <c r="M125" s="835"/>
      <c r="AA125"/>
      <c r="AB125"/>
      <c r="AC125"/>
      <c r="AD125"/>
      <c r="AE125"/>
      <c r="AF125"/>
      <c r="AG125"/>
      <c r="AH125"/>
      <c r="AI125"/>
    </row>
    <row r="126" spans="1:35" x14ac:dyDescent="0.2">
      <c r="C126" s="801"/>
      <c r="D126" s="831"/>
      <c r="E126" s="831"/>
      <c r="F126" s="831"/>
      <c r="G126" s="832"/>
      <c r="H126" s="832"/>
      <c r="I126" s="832"/>
      <c r="J126" s="832"/>
      <c r="L126" s="834"/>
      <c r="M126" s="835"/>
      <c r="AA126"/>
      <c r="AB126"/>
      <c r="AC126"/>
      <c r="AD126"/>
      <c r="AE126"/>
      <c r="AF126"/>
      <c r="AG126"/>
      <c r="AH126"/>
      <c r="AI126"/>
    </row>
    <row r="127" spans="1:35" x14ac:dyDescent="0.2">
      <c r="C127" s="801"/>
      <c r="D127" s="831"/>
      <c r="E127" s="831"/>
      <c r="F127" s="831"/>
      <c r="G127" s="832"/>
      <c r="H127" s="832"/>
      <c r="I127" s="832"/>
      <c r="J127" s="832"/>
      <c r="L127" s="834"/>
      <c r="M127" s="835"/>
      <c r="AA127"/>
      <c r="AB127"/>
      <c r="AC127"/>
      <c r="AD127"/>
      <c r="AE127"/>
      <c r="AF127"/>
      <c r="AG127"/>
      <c r="AH127"/>
      <c r="AI127"/>
    </row>
    <row r="128" spans="1:35" x14ac:dyDescent="0.2">
      <c r="C128" s="801"/>
      <c r="D128" s="831"/>
      <c r="E128" s="831"/>
      <c r="F128" s="831"/>
      <c r="G128" s="832"/>
      <c r="H128" s="832"/>
      <c r="I128" s="832"/>
      <c r="J128" s="832"/>
      <c r="L128" s="834"/>
      <c r="M128" s="835"/>
      <c r="AA128"/>
      <c r="AB128"/>
      <c r="AC128"/>
      <c r="AD128"/>
      <c r="AE128"/>
      <c r="AF128"/>
      <c r="AG128"/>
      <c r="AH128"/>
      <c r="AI128"/>
    </row>
    <row r="129" spans="3:35" x14ac:dyDescent="0.2">
      <c r="C129" s="801"/>
      <c r="D129" s="831"/>
      <c r="E129" s="831"/>
      <c r="F129" s="831"/>
      <c r="G129" s="832"/>
      <c r="H129" s="832"/>
      <c r="I129" s="832"/>
      <c r="J129" s="832"/>
      <c r="L129" s="834"/>
      <c r="M129" s="835"/>
      <c r="AA129"/>
      <c r="AB129"/>
      <c r="AC129"/>
      <c r="AD129"/>
      <c r="AE129"/>
      <c r="AF129"/>
      <c r="AG129"/>
      <c r="AH129"/>
      <c r="AI129"/>
    </row>
    <row r="130" spans="3:35" x14ac:dyDescent="0.2">
      <c r="C130" s="801"/>
      <c r="D130" s="831"/>
      <c r="E130" s="831"/>
      <c r="F130" s="831"/>
      <c r="G130" s="832"/>
      <c r="H130" s="832"/>
      <c r="I130" s="832"/>
      <c r="J130" s="832"/>
      <c r="L130" s="834"/>
      <c r="M130" s="835"/>
      <c r="AA130"/>
      <c r="AB130"/>
      <c r="AC130"/>
      <c r="AD130"/>
      <c r="AE130"/>
      <c r="AF130"/>
      <c r="AG130"/>
      <c r="AH130"/>
      <c r="AI130"/>
    </row>
    <row r="131" spans="3:35" x14ac:dyDescent="0.2">
      <c r="C131" s="801"/>
      <c r="D131" s="831"/>
      <c r="E131" s="831"/>
      <c r="F131" s="831"/>
      <c r="G131" s="832"/>
      <c r="H131" s="832"/>
      <c r="I131" s="832"/>
      <c r="J131" s="832"/>
      <c r="L131" s="834"/>
      <c r="M131" s="835"/>
      <c r="AA131"/>
      <c r="AB131"/>
      <c r="AC131"/>
      <c r="AD131"/>
      <c r="AE131"/>
      <c r="AF131"/>
      <c r="AG131"/>
      <c r="AH131"/>
      <c r="AI131"/>
    </row>
    <row r="132" spans="3:35" x14ac:dyDescent="0.2">
      <c r="C132" s="801"/>
      <c r="D132" s="831"/>
      <c r="E132" s="831"/>
      <c r="F132" s="831"/>
      <c r="G132" s="832"/>
      <c r="H132" s="832"/>
      <c r="I132" s="832"/>
      <c r="J132" s="832"/>
      <c r="L132" s="834"/>
      <c r="M132" s="835"/>
      <c r="AA132"/>
      <c r="AB132"/>
      <c r="AC132"/>
      <c r="AD132"/>
      <c r="AE132"/>
      <c r="AF132"/>
      <c r="AG132"/>
      <c r="AH132"/>
      <c r="AI132"/>
    </row>
    <row r="133" spans="3:35" x14ac:dyDescent="0.2">
      <c r="C133" s="801"/>
      <c r="D133" s="831"/>
      <c r="E133" s="831"/>
      <c r="F133" s="831"/>
      <c r="G133" s="832"/>
      <c r="H133" s="832"/>
      <c r="I133" s="832"/>
      <c r="J133" s="832"/>
      <c r="L133" s="834"/>
      <c r="M133" s="835"/>
      <c r="AA133"/>
      <c r="AB133"/>
      <c r="AC133"/>
      <c r="AD133"/>
      <c r="AE133"/>
      <c r="AF133"/>
      <c r="AG133"/>
      <c r="AH133"/>
      <c r="AI133"/>
    </row>
    <row r="134" spans="3:35" x14ac:dyDescent="0.2">
      <c r="C134" s="801"/>
      <c r="D134" s="831"/>
      <c r="E134" s="831"/>
      <c r="F134" s="831"/>
      <c r="G134" s="832"/>
      <c r="H134" s="832"/>
      <c r="I134" s="832"/>
      <c r="J134" s="832"/>
      <c r="L134" s="834"/>
      <c r="M134" s="835"/>
      <c r="AA134"/>
      <c r="AB134"/>
      <c r="AC134"/>
      <c r="AD134"/>
      <c r="AE134"/>
      <c r="AF134"/>
      <c r="AG134"/>
      <c r="AH134"/>
      <c r="AI134"/>
    </row>
    <row r="135" spans="3:35" x14ac:dyDescent="0.2">
      <c r="C135" s="801"/>
      <c r="D135" s="831"/>
      <c r="E135" s="831"/>
      <c r="F135" s="831"/>
      <c r="G135" s="832"/>
      <c r="H135" s="832"/>
      <c r="I135" s="832"/>
      <c r="J135" s="832"/>
      <c r="L135" s="834"/>
      <c r="M135" s="835"/>
      <c r="AA135"/>
      <c r="AB135"/>
      <c r="AC135"/>
      <c r="AD135"/>
      <c r="AE135"/>
      <c r="AF135"/>
      <c r="AG135"/>
      <c r="AH135"/>
      <c r="AI135"/>
    </row>
    <row r="136" spans="3:35" x14ac:dyDescent="0.2">
      <c r="C136" s="801"/>
      <c r="D136" s="831"/>
      <c r="E136" s="831"/>
      <c r="F136" s="831"/>
      <c r="G136" s="832"/>
      <c r="H136" s="832"/>
      <c r="I136" s="832"/>
      <c r="J136" s="832"/>
      <c r="L136" s="834"/>
      <c r="M136" s="835"/>
      <c r="AA136"/>
      <c r="AB136"/>
      <c r="AC136"/>
      <c r="AD136"/>
      <c r="AE136"/>
      <c r="AF136"/>
      <c r="AG136"/>
      <c r="AH136"/>
      <c r="AI136"/>
    </row>
    <row r="137" spans="3:35" x14ac:dyDescent="0.2">
      <c r="C137" s="801"/>
      <c r="D137" s="831"/>
      <c r="E137" s="831"/>
      <c r="F137" s="831"/>
      <c r="G137" s="832"/>
      <c r="H137" s="832"/>
      <c r="I137" s="832"/>
      <c r="J137" s="832"/>
      <c r="L137" s="834"/>
      <c r="M137" s="835"/>
      <c r="AA137"/>
      <c r="AB137"/>
      <c r="AC137"/>
      <c r="AD137"/>
      <c r="AE137"/>
      <c r="AF137"/>
      <c r="AG137"/>
      <c r="AH137"/>
      <c r="AI137"/>
    </row>
    <row r="138" spans="3:35" x14ac:dyDescent="0.2">
      <c r="C138" s="801"/>
      <c r="D138" s="838"/>
      <c r="E138" s="838"/>
      <c r="F138" s="838"/>
      <c r="G138" s="839"/>
      <c r="H138" s="839"/>
      <c r="I138" s="839"/>
      <c r="J138" s="839"/>
      <c r="L138" s="833"/>
      <c r="M138" s="840"/>
      <c r="AA138"/>
      <c r="AB138"/>
      <c r="AC138"/>
      <c r="AD138"/>
      <c r="AE138"/>
      <c r="AF138"/>
      <c r="AG138"/>
      <c r="AH138"/>
      <c r="AI138"/>
    </row>
    <row r="139" spans="3:35" x14ac:dyDescent="0.2">
      <c r="C139" s="801"/>
      <c r="D139" s="838"/>
      <c r="E139" s="838"/>
      <c r="F139" s="838"/>
      <c r="G139" s="839"/>
      <c r="H139" s="839"/>
      <c r="I139" s="839"/>
      <c r="J139" s="839"/>
      <c r="L139" s="833"/>
      <c r="M139" s="840"/>
      <c r="AA139"/>
      <c r="AB139"/>
      <c r="AC139"/>
      <c r="AD139"/>
      <c r="AE139"/>
      <c r="AF139"/>
      <c r="AG139"/>
      <c r="AH139"/>
      <c r="AI139"/>
    </row>
    <row r="140" spans="3:35" x14ac:dyDescent="0.2">
      <c r="C140" s="801"/>
      <c r="D140" s="838"/>
      <c r="E140" s="838"/>
      <c r="F140" s="838"/>
      <c r="G140" s="839"/>
      <c r="H140" s="839"/>
      <c r="I140" s="839"/>
      <c r="J140" s="839"/>
      <c r="L140" s="833"/>
      <c r="M140" s="840"/>
      <c r="AA140"/>
      <c r="AB140"/>
      <c r="AC140"/>
      <c r="AD140"/>
      <c r="AE140"/>
      <c r="AF140"/>
      <c r="AG140"/>
      <c r="AH140"/>
      <c r="AI140"/>
    </row>
    <row r="141" spans="3:35" x14ac:dyDescent="0.2">
      <c r="C141" s="801"/>
      <c r="D141" s="838"/>
      <c r="E141" s="838"/>
      <c r="F141" s="838"/>
      <c r="G141" s="839"/>
      <c r="H141" s="839"/>
      <c r="I141" s="839"/>
      <c r="J141" s="839"/>
      <c r="L141" s="833"/>
      <c r="M141" s="840"/>
      <c r="AA141"/>
      <c r="AB141"/>
      <c r="AC141"/>
      <c r="AD141"/>
      <c r="AE141"/>
      <c r="AF141"/>
      <c r="AG141"/>
      <c r="AH141"/>
      <c r="AI141"/>
    </row>
    <row r="142" spans="3:35" x14ac:dyDescent="0.2">
      <c r="C142" s="801"/>
      <c r="D142" s="838"/>
      <c r="E142" s="838"/>
      <c r="F142" s="838"/>
      <c r="G142" s="839"/>
      <c r="H142" s="839"/>
      <c r="I142" s="839"/>
      <c r="J142" s="839"/>
      <c r="L142" s="833"/>
      <c r="M142" s="840"/>
      <c r="AA142"/>
      <c r="AB142"/>
      <c r="AC142"/>
      <c r="AD142"/>
      <c r="AE142"/>
      <c r="AF142"/>
      <c r="AG142"/>
      <c r="AH142"/>
      <c r="AI142"/>
    </row>
    <row r="143" spans="3:35" x14ac:dyDescent="0.2">
      <c r="C143" s="801"/>
      <c r="D143" s="838"/>
      <c r="E143" s="838"/>
      <c r="F143" s="838"/>
      <c r="G143" s="839"/>
      <c r="H143" s="839"/>
      <c r="I143" s="839"/>
      <c r="J143" s="839"/>
      <c r="L143" s="833"/>
      <c r="M143" s="840"/>
      <c r="AA143"/>
      <c r="AB143"/>
      <c r="AC143"/>
      <c r="AD143"/>
      <c r="AE143"/>
      <c r="AF143"/>
      <c r="AG143"/>
      <c r="AH143"/>
      <c r="AI143"/>
    </row>
    <row r="144" spans="3:35" x14ac:dyDescent="0.2">
      <c r="C144" s="801"/>
      <c r="D144" s="838"/>
      <c r="E144" s="838"/>
      <c r="F144" s="838"/>
      <c r="G144" s="839"/>
      <c r="H144" s="839"/>
      <c r="I144" s="839"/>
      <c r="J144" s="839"/>
      <c r="L144" s="833"/>
      <c r="M144" s="840"/>
      <c r="AA144"/>
      <c r="AB144"/>
      <c r="AC144"/>
      <c r="AD144"/>
      <c r="AE144"/>
      <c r="AF144"/>
      <c r="AG144"/>
      <c r="AH144"/>
      <c r="AI144"/>
    </row>
    <row r="145" spans="3:35" x14ac:dyDescent="0.2">
      <c r="C145" s="801"/>
      <c r="D145" s="838"/>
      <c r="E145" s="838"/>
      <c r="F145" s="838"/>
      <c r="G145" s="839"/>
      <c r="H145" s="839"/>
      <c r="I145" s="839"/>
      <c r="J145" s="839"/>
      <c r="L145" s="833"/>
      <c r="M145" s="840"/>
      <c r="AA145"/>
      <c r="AB145"/>
      <c r="AC145"/>
      <c r="AD145"/>
      <c r="AE145"/>
      <c r="AF145"/>
      <c r="AG145"/>
      <c r="AH145"/>
      <c r="AI145"/>
    </row>
    <row r="146" spans="3:35" x14ac:dyDescent="0.2">
      <c r="C146" s="801"/>
      <c r="D146" s="838"/>
      <c r="E146" s="838"/>
      <c r="F146" s="838"/>
      <c r="G146" s="839"/>
      <c r="H146" s="839"/>
      <c r="I146" s="839"/>
      <c r="J146" s="839"/>
      <c r="L146" s="833"/>
      <c r="M146" s="840"/>
      <c r="AA146"/>
      <c r="AB146"/>
      <c r="AC146"/>
      <c r="AD146"/>
      <c r="AE146"/>
      <c r="AF146"/>
      <c r="AG146"/>
      <c r="AH146"/>
      <c r="AI146"/>
    </row>
    <row r="147" spans="3:35" x14ac:dyDescent="0.2">
      <c r="C147" s="801"/>
      <c r="D147" s="838"/>
      <c r="E147" s="838"/>
      <c r="F147" s="838"/>
      <c r="G147" s="839"/>
      <c r="H147" s="839"/>
      <c r="I147" s="839"/>
      <c r="J147" s="839"/>
      <c r="L147" s="833"/>
      <c r="M147" s="840"/>
      <c r="AA147"/>
      <c r="AB147"/>
      <c r="AC147"/>
      <c r="AD147"/>
      <c r="AE147"/>
      <c r="AF147"/>
      <c r="AG147"/>
      <c r="AH147"/>
      <c r="AI147"/>
    </row>
    <row r="148" spans="3:35" x14ac:dyDescent="0.2">
      <c r="C148" s="801"/>
      <c r="D148" s="838"/>
      <c r="E148" s="838"/>
      <c r="F148" s="838"/>
      <c r="G148" s="839"/>
      <c r="H148" s="839"/>
      <c r="I148" s="839"/>
      <c r="J148" s="839"/>
      <c r="L148" s="833"/>
      <c r="M148" s="840"/>
      <c r="AA148"/>
      <c r="AB148"/>
      <c r="AC148"/>
      <c r="AD148"/>
      <c r="AE148"/>
      <c r="AF148"/>
      <c r="AG148"/>
      <c r="AH148"/>
      <c r="AI148"/>
    </row>
    <row r="149" spans="3:35" x14ac:dyDescent="0.2">
      <c r="C149" s="801"/>
      <c r="D149" s="838"/>
      <c r="E149" s="838"/>
      <c r="F149" s="838"/>
      <c r="G149" s="839"/>
      <c r="H149" s="839"/>
      <c r="I149" s="839"/>
      <c r="J149" s="839"/>
      <c r="L149" s="833"/>
      <c r="M149" s="840"/>
      <c r="AA149"/>
      <c r="AB149"/>
      <c r="AC149"/>
      <c r="AD149"/>
      <c r="AE149"/>
      <c r="AF149"/>
      <c r="AG149"/>
      <c r="AH149"/>
      <c r="AI149"/>
    </row>
    <row r="150" spans="3:35" x14ac:dyDescent="0.2">
      <c r="C150" s="801"/>
      <c r="D150" s="838"/>
      <c r="E150" s="838"/>
      <c r="F150" s="838"/>
      <c r="G150" s="839"/>
      <c r="H150" s="839"/>
      <c r="I150" s="839"/>
      <c r="J150" s="839"/>
      <c r="L150" s="833"/>
      <c r="M150" s="840"/>
      <c r="AA150"/>
      <c r="AB150"/>
      <c r="AC150"/>
      <c r="AD150"/>
      <c r="AE150"/>
      <c r="AF150"/>
      <c r="AG150"/>
      <c r="AH150"/>
      <c r="AI150"/>
    </row>
    <row r="151" spans="3:35" x14ac:dyDescent="0.2">
      <c r="C151" s="801"/>
      <c r="D151" s="838"/>
      <c r="E151" s="838"/>
      <c r="F151" s="838"/>
      <c r="G151" s="839"/>
      <c r="H151" s="839"/>
      <c r="I151" s="839"/>
      <c r="J151" s="839"/>
      <c r="L151" s="833"/>
      <c r="M151" s="840"/>
      <c r="AA151"/>
      <c r="AB151"/>
      <c r="AC151"/>
      <c r="AD151"/>
      <c r="AE151"/>
      <c r="AF151"/>
      <c r="AG151"/>
      <c r="AH151"/>
      <c r="AI151"/>
    </row>
    <row r="152" spans="3:35" x14ac:dyDescent="0.2">
      <c r="C152" s="801"/>
      <c r="D152" s="838"/>
      <c r="E152" s="838"/>
      <c r="F152" s="838"/>
      <c r="G152" s="839"/>
      <c r="H152" s="839"/>
      <c r="I152" s="839"/>
      <c r="J152" s="839"/>
      <c r="L152" s="833"/>
      <c r="M152" s="840"/>
      <c r="AA152"/>
      <c r="AB152"/>
      <c r="AC152"/>
      <c r="AD152"/>
      <c r="AE152"/>
      <c r="AF152"/>
      <c r="AG152"/>
      <c r="AH152"/>
      <c r="AI152"/>
    </row>
    <row r="153" spans="3:35" x14ac:dyDescent="0.2">
      <c r="C153" s="801"/>
      <c r="D153" s="838"/>
      <c r="E153" s="838"/>
      <c r="F153" s="838"/>
      <c r="G153" s="839"/>
      <c r="H153" s="839"/>
      <c r="I153" s="839"/>
      <c r="J153" s="839"/>
      <c r="L153" s="833"/>
      <c r="M153" s="840"/>
      <c r="AA153"/>
      <c r="AB153"/>
      <c r="AC153"/>
      <c r="AD153"/>
      <c r="AE153"/>
      <c r="AF153"/>
      <c r="AG153"/>
      <c r="AH153"/>
      <c r="AI153"/>
    </row>
    <row r="154" spans="3:35" x14ac:dyDescent="0.2">
      <c r="C154" s="801"/>
      <c r="D154" s="838"/>
      <c r="E154" s="838"/>
      <c r="F154" s="838"/>
      <c r="G154" s="839"/>
      <c r="H154" s="839"/>
      <c r="I154" s="839"/>
      <c r="J154" s="839"/>
      <c r="L154" s="833"/>
      <c r="M154" s="840"/>
      <c r="AA154"/>
      <c r="AB154"/>
      <c r="AC154"/>
      <c r="AD154"/>
      <c r="AE154"/>
      <c r="AF154"/>
      <c r="AG154"/>
      <c r="AH154"/>
      <c r="AI154"/>
    </row>
    <row r="155" spans="3:35" x14ac:dyDescent="0.2">
      <c r="C155" s="801"/>
      <c r="D155" s="838"/>
      <c r="E155" s="838"/>
      <c r="F155" s="838"/>
      <c r="G155" s="839"/>
      <c r="H155" s="839"/>
      <c r="I155" s="839"/>
      <c r="J155" s="839"/>
      <c r="L155" s="833"/>
      <c r="M155" s="840"/>
      <c r="AA155"/>
      <c r="AB155"/>
      <c r="AC155"/>
      <c r="AD155"/>
      <c r="AE155"/>
      <c r="AF155"/>
      <c r="AG155"/>
      <c r="AH155"/>
      <c r="AI155"/>
    </row>
    <row r="156" spans="3:35" x14ac:dyDescent="0.2">
      <c r="C156" s="801"/>
      <c r="D156" s="838"/>
      <c r="E156" s="838"/>
      <c r="F156" s="838"/>
      <c r="G156" s="839"/>
      <c r="H156" s="839"/>
      <c r="I156" s="839"/>
      <c r="J156" s="839"/>
      <c r="L156" s="833"/>
      <c r="M156" s="840"/>
      <c r="AA156"/>
      <c r="AB156"/>
      <c r="AC156"/>
      <c r="AD156"/>
      <c r="AE156"/>
      <c r="AF156"/>
      <c r="AG156"/>
      <c r="AH156"/>
      <c r="AI156"/>
    </row>
    <row r="157" spans="3:35" x14ac:dyDescent="0.2">
      <c r="C157" s="801"/>
      <c r="D157" s="838"/>
      <c r="E157" s="838"/>
      <c r="F157" s="838"/>
      <c r="G157" s="839"/>
      <c r="H157" s="839"/>
      <c r="I157" s="839"/>
      <c r="J157" s="839"/>
      <c r="L157" s="833"/>
      <c r="M157" s="840"/>
      <c r="AA157"/>
      <c r="AB157"/>
      <c r="AC157"/>
      <c r="AD157"/>
      <c r="AE157"/>
      <c r="AF157"/>
      <c r="AG157"/>
      <c r="AH157"/>
      <c r="AI157"/>
    </row>
    <row r="158" spans="3:35" x14ac:dyDescent="0.2">
      <c r="C158" s="801"/>
      <c r="D158" s="838"/>
      <c r="E158" s="838"/>
      <c r="F158" s="838"/>
      <c r="G158" s="839"/>
      <c r="H158" s="839"/>
      <c r="I158" s="839"/>
      <c r="J158" s="839"/>
      <c r="L158" s="833"/>
      <c r="M158" s="840"/>
      <c r="AA158"/>
      <c r="AB158"/>
      <c r="AC158"/>
      <c r="AD158"/>
      <c r="AE158"/>
      <c r="AF158"/>
      <c r="AG158"/>
      <c r="AH158"/>
      <c r="AI158"/>
    </row>
    <row r="159" spans="3:35" x14ac:dyDescent="0.2">
      <c r="C159" s="841"/>
      <c r="D159" s="841"/>
      <c r="E159" s="841"/>
      <c r="F159" s="841"/>
      <c r="G159" s="842"/>
      <c r="H159" s="842"/>
      <c r="I159" s="842"/>
      <c r="J159" s="842"/>
      <c r="L159" s="843"/>
      <c r="M159" s="844"/>
      <c r="AA159"/>
      <c r="AB159"/>
      <c r="AC159"/>
      <c r="AD159"/>
      <c r="AE159"/>
      <c r="AF159"/>
      <c r="AG159"/>
      <c r="AH159"/>
      <c r="AI159"/>
    </row>
    <row r="160" spans="3:35" x14ac:dyDescent="0.2">
      <c r="C160" s="818"/>
      <c r="D160" s="818"/>
      <c r="E160" s="818"/>
      <c r="F160" s="818"/>
      <c r="AA160"/>
      <c r="AB160"/>
      <c r="AC160"/>
      <c r="AD160"/>
      <c r="AE160"/>
      <c r="AF160"/>
      <c r="AG160"/>
      <c r="AH160"/>
      <c r="AI160"/>
    </row>
    <row r="161" spans="3:35" x14ac:dyDescent="0.2">
      <c r="C161" s="818"/>
      <c r="D161" s="818"/>
      <c r="E161" s="818"/>
      <c r="F161" s="818"/>
      <c r="AA161"/>
      <c r="AB161"/>
      <c r="AC161"/>
      <c r="AD161"/>
      <c r="AE161"/>
      <c r="AF161"/>
      <c r="AG161"/>
      <c r="AH161"/>
      <c r="AI161"/>
    </row>
    <row r="162" spans="3:35" x14ac:dyDescent="0.2">
      <c r="C162" s="818"/>
      <c r="D162" s="818"/>
      <c r="E162" s="818"/>
      <c r="F162" s="818"/>
      <c r="AA162"/>
      <c r="AB162"/>
      <c r="AC162"/>
      <c r="AD162"/>
      <c r="AE162"/>
      <c r="AF162"/>
      <c r="AG162"/>
      <c r="AH162"/>
      <c r="AI162"/>
    </row>
    <row r="163" spans="3:35" x14ac:dyDescent="0.2">
      <c r="C163" s="818"/>
      <c r="D163" s="818"/>
      <c r="E163" s="818"/>
      <c r="F163" s="818"/>
      <c r="AA163"/>
      <c r="AB163"/>
      <c r="AC163"/>
      <c r="AD163"/>
      <c r="AE163"/>
      <c r="AF163"/>
      <c r="AG163"/>
      <c r="AH163"/>
      <c r="AI163"/>
    </row>
    <row r="164" spans="3:35" x14ac:dyDescent="0.2">
      <c r="C164" s="818"/>
      <c r="D164" s="818"/>
      <c r="E164" s="818"/>
      <c r="F164" s="818"/>
      <c r="AA164"/>
      <c r="AB164"/>
      <c r="AC164"/>
      <c r="AD164"/>
      <c r="AE164"/>
      <c r="AF164"/>
      <c r="AG164"/>
      <c r="AH164"/>
      <c r="AI164"/>
    </row>
    <row r="165" spans="3:35" x14ac:dyDescent="0.2">
      <c r="C165" s="818"/>
      <c r="D165" s="818"/>
      <c r="E165" s="818"/>
      <c r="F165" s="818"/>
      <c r="AA165"/>
      <c r="AB165"/>
      <c r="AC165"/>
      <c r="AD165"/>
      <c r="AE165"/>
      <c r="AF165"/>
      <c r="AG165"/>
      <c r="AH165"/>
      <c r="AI165"/>
    </row>
    <row r="166" spans="3:35" x14ac:dyDescent="0.2">
      <c r="C166" s="818"/>
      <c r="D166" s="818"/>
      <c r="E166" s="818"/>
      <c r="F166" s="818"/>
      <c r="AA166"/>
      <c r="AB166"/>
      <c r="AC166"/>
      <c r="AD166"/>
      <c r="AE166"/>
      <c r="AF166"/>
      <c r="AG166"/>
      <c r="AH166"/>
      <c r="AI166"/>
    </row>
    <row r="167" spans="3:35" x14ac:dyDescent="0.2">
      <c r="C167" s="818"/>
      <c r="D167" s="818"/>
      <c r="E167" s="818"/>
      <c r="F167" s="818"/>
      <c r="L167" s="847"/>
      <c r="AA167"/>
      <c r="AB167"/>
      <c r="AC167"/>
      <c r="AD167"/>
      <c r="AE167"/>
      <c r="AF167"/>
      <c r="AG167"/>
      <c r="AH167"/>
      <c r="AI167"/>
    </row>
    <row r="168" spans="3:35" x14ac:dyDescent="0.2">
      <c r="C168" s="818"/>
      <c r="D168" s="818"/>
      <c r="E168" s="818"/>
      <c r="F168" s="818"/>
      <c r="AA168"/>
      <c r="AB168"/>
      <c r="AC168"/>
      <c r="AD168"/>
      <c r="AE168"/>
      <c r="AF168"/>
      <c r="AG168"/>
      <c r="AH168"/>
      <c r="AI168"/>
    </row>
    <row r="169" spans="3:35" x14ac:dyDescent="0.2">
      <c r="C169" s="818"/>
      <c r="D169" s="818"/>
      <c r="E169" s="818"/>
      <c r="F169" s="818"/>
      <c r="AA169"/>
      <c r="AB169"/>
      <c r="AC169"/>
      <c r="AD169"/>
      <c r="AE169"/>
      <c r="AF169"/>
      <c r="AG169"/>
      <c r="AH169"/>
      <c r="AI169"/>
    </row>
    <row r="170" spans="3:35" x14ac:dyDescent="0.2">
      <c r="C170" s="818"/>
      <c r="D170" s="818"/>
      <c r="E170" s="818"/>
      <c r="F170" s="818"/>
      <c r="AA170"/>
      <c r="AB170"/>
      <c r="AC170"/>
      <c r="AD170"/>
      <c r="AE170"/>
      <c r="AF170"/>
      <c r="AG170"/>
      <c r="AH170"/>
      <c r="AI170"/>
    </row>
    <row r="171" spans="3:35" x14ac:dyDescent="0.2">
      <c r="C171" s="818"/>
      <c r="D171" s="818"/>
      <c r="E171" s="818"/>
      <c r="F171" s="818"/>
      <c r="AA171"/>
      <c r="AB171"/>
      <c r="AC171"/>
      <c r="AD171"/>
      <c r="AE171"/>
      <c r="AF171"/>
      <c r="AG171"/>
      <c r="AH171"/>
      <c r="AI171"/>
    </row>
    <row r="172" spans="3:35" x14ac:dyDescent="0.2">
      <c r="C172" s="818"/>
      <c r="D172" s="818"/>
      <c r="E172" s="848"/>
      <c r="F172" s="848"/>
      <c r="G172" s="849"/>
      <c r="H172" s="849"/>
      <c r="I172" s="849"/>
      <c r="J172" s="849"/>
      <c r="AA172"/>
      <c r="AB172"/>
      <c r="AC172"/>
      <c r="AD172"/>
      <c r="AE172"/>
      <c r="AF172"/>
      <c r="AG172"/>
      <c r="AH172"/>
      <c r="AI172"/>
    </row>
    <row r="173" spans="3:35" x14ac:dyDescent="0.2">
      <c r="C173" s="818"/>
      <c r="D173" s="818"/>
      <c r="E173" s="848"/>
      <c r="F173" s="848"/>
      <c r="G173" s="849"/>
      <c r="H173" s="849"/>
      <c r="I173" s="849"/>
      <c r="J173" s="849"/>
      <c r="AA173"/>
      <c r="AB173"/>
      <c r="AC173"/>
      <c r="AD173"/>
      <c r="AE173"/>
      <c r="AF173"/>
      <c r="AG173"/>
      <c r="AH173"/>
      <c r="AI173"/>
    </row>
    <row r="174" spans="3:35" x14ac:dyDescent="0.2">
      <c r="C174" s="818"/>
      <c r="D174" s="818"/>
      <c r="E174" s="850"/>
      <c r="F174" s="850"/>
      <c r="G174" s="851"/>
      <c r="H174" s="851"/>
      <c r="I174" s="851"/>
      <c r="J174" s="851"/>
      <c r="AA174"/>
      <c r="AB174"/>
      <c r="AC174"/>
      <c r="AD174"/>
      <c r="AE174"/>
      <c r="AF174"/>
      <c r="AG174"/>
      <c r="AH174"/>
      <c r="AI174"/>
    </row>
    <row r="175" spans="3:35" x14ac:dyDescent="0.2">
      <c r="C175" s="818"/>
      <c r="D175" s="818"/>
      <c r="E175" s="848"/>
      <c r="F175" s="848"/>
      <c r="G175" s="849"/>
      <c r="H175" s="849"/>
      <c r="I175" s="849"/>
      <c r="J175" s="849"/>
      <c r="AA175"/>
      <c r="AB175"/>
      <c r="AC175"/>
      <c r="AD175"/>
      <c r="AE175"/>
      <c r="AF175"/>
      <c r="AG175"/>
      <c r="AH175"/>
      <c r="AI175"/>
    </row>
    <row r="176" spans="3:35" x14ac:dyDescent="0.2">
      <c r="C176" s="818"/>
      <c r="D176" s="818"/>
      <c r="E176" s="848"/>
      <c r="F176" s="848"/>
      <c r="G176" s="849"/>
      <c r="H176" s="849"/>
      <c r="I176" s="849"/>
      <c r="J176" s="849"/>
      <c r="AA176"/>
      <c r="AB176"/>
      <c r="AC176"/>
      <c r="AD176"/>
      <c r="AE176"/>
      <c r="AF176"/>
      <c r="AG176"/>
      <c r="AH176"/>
      <c r="AI176"/>
    </row>
    <row r="177" spans="3:35" x14ac:dyDescent="0.2">
      <c r="C177" s="818"/>
      <c r="D177" s="818"/>
      <c r="E177" s="848"/>
      <c r="F177" s="848"/>
      <c r="G177" s="849"/>
      <c r="H177" s="849"/>
      <c r="I177" s="849"/>
      <c r="J177" s="849"/>
      <c r="AA177"/>
      <c r="AB177"/>
      <c r="AC177"/>
      <c r="AD177"/>
      <c r="AE177"/>
      <c r="AF177"/>
      <c r="AG177"/>
      <c r="AH177"/>
      <c r="AI177"/>
    </row>
    <row r="178" spans="3:35" x14ac:dyDescent="0.2">
      <c r="C178" s="818"/>
      <c r="D178" s="818"/>
      <c r="E178" s="848"/>
      <c r="F178" s="848"/>
      <c r="G178" s="849"/>
      <c r="H178" s="849"/>
      <c r="I178" s="849"/>
      <c r="J178" s="849"/>
      <c r="AA178"/>
      <c r="AB178"/>
      <c r="AC178"/>
      <c r="AD178"/>
      <c r="AE178"/>
      <c r="AF178"/>
      <c r="AG178"/>
      <c r="AH178"/>
      <c r="AI178"/>
    </row>
    <row r="179" spans="3:35" x14ac:dyDescent="0.2">
      <c r="C179" s="818"/>
      <c r="D179" s="818"/>
      <c r="E179" s="848"/>
      <c r="F179" s="848"/>
      <c r="G179" s="849"/>
      <c r="H179" s="849"/>
      <c r="I179" s="849"/>
      <c r="J179" s="849"/>
      <c r="AA179"/>
      <c r="AB179"/>
      <c r="AC179"/>
      <c r="AD179"/>
      <c r="AE179"/>
      <c r="AF179"/>
      <c r="AG179"/>
      <c r="AH179"/>
      <c r="AI179"/>
    </row>
    <row r="180" spans="3:35" x14ac:dyDescent="0.2">
      <c r="C180" s="818"/>
      <c r="D180" s="818"/>
      <c r="E180" s="848"/>
      <c r="F180" s="848"/>
      <c r="G180" s="849"/>
      <c r="H180" s="849"/>
      <c r="I180" s="849"/>
      <c r="J180" s="849"/>
      <c r="AA180"/>
      <c r="AB180"/>
      <c r="AC180"/>
      <c r="AD180"/>
      <c r="AE180"/>
      <c r="AF180"/>
      <c r="AG180"/>
      <c r="AH180"/>
      <c r="AI180"/>
    </row>
    <row r="181" spans="3:35" x14ac:dyDescent="0.2">
      <c r="C181" s="818"/>
      <c r="D181" s="818"/>
      <c r="E181" s="848"/>
      <c r="F181" s="848"/>
      <c r="G181" s="849"/>
      <c r="H181" s="849"/>
      <c r="I181" s="849"/>
      <c r="J181" s="849"/>
      <c r="AA181"/>
      <c r="AB181"/>
      <c r="AC181"/>
      <c r="AD181"/>
      <c r="AE181"/>
      <c r="AF181"/>
      <c r="AG181"/>
      <c r="AH181"/>
      <c r="AI181"/>
    </row>
    <row r="182" spans="3:35" x14ac:dyDescent="0.2">
      <c r="C182" s="818"/>
      <c r="D182" s="818"/>
      <c r="E182" s="848"/>
      <c r="F182" s="848"/>
      <c r="G182" s="849"/>
      <c r="H182" s="849"/>
      <c r="I182" s="849"/>
      <c r="J182" s="849"/>
      <c r="AA182"/>
      <c r="AB182"/>
      <c r="AC182"/>
      <c r="AD182"/>
      <c r="AE182"/>
      <c r="AF182"/>
      <c r="AG182"/>
      <c r="AH182"/>
      <c r="AI182"/>
    </row>
    <row r="183" spans="3:35" x14ac:dyDescent="0.2">
      <c r="C183" s="818"/>
      <c r="D183" s="818"/>
      <c r="E183" s="852"/>
      <c r="F183" s="852"/>
      <c r="AA183"/>
      <c r="AB183"/>
      <c r="AC183"/>
      <c r="AD183"/>
      <c r="AE183"/>
      <c r="AF183"/>
      <c r="AG183"/>
      <c r="AH183"/>
      <c r="AI183"/>
    </row>
    <row r="184" spans="3:35" x14ac:dyDescent="0.2">
      <c r="C184" s="818"/>
      <c r="D184" s="818"/>
      <c r="E184" s="848"/>
      <c r="F184" s="848"/>
      <c r="G184" s="849"/>
      <c r="H184" s="849"/>
      <c r="I184" s="849"/>
      <c r="J184" s="849"/>
      <c r="AA184"/>
      <c r="AB184"/>
      <c r="AC184"/>
      <c r="AD184"/>
      <c r="AE184"/>
      <c r="AF184"/>
      <c r="AG184"/>
      <c r="AH184"/>
      <c r="AI184"/>
    </row>
    <row r="185" spans="3:35" x14ac:dyDescent="0.2">
      <c r="C185" s="818"/>
      <c r="D185" s="818"/>
      <c r="E185" s="848"/>
      <c r="F185" s="848"/>
      <c r="G185" s="849"/>
      <c r="H185" s="849"/>
      <c r="I185" s="849"/>
      <c r="J185" s="849"/>
      <c r="AA185"/>
      <c r="AB185"/>
      <c r="AC185"/>
      <c r="AD185"/>
      <c r="AE185"/>
      <c r="AF185"/>
      <c r="AG185"/>
      <c r="AH185"/>
      <c r="AI185"/>
    </row>
    <row r="186" spans="3:35" x14ac:dyDescent="0.2">
      <c r="C186" s="818"/>
      <c r="D186" s="818"/>
      <c r="E186" s="848"/>
      <c r="F186" s="848"/>
      <c r="G186" s="849"/>
      <c r="H186" s="849"/>
      <c r="I186" s="849"/>
      <c r="J186" s="849"/>
      <c r="AA186"/>
      <c r="AB186"/>
      <c r="AC186"/>
      <c r="AD186"/>
      <c r="AE186"/>
      <c r="AF186"/>
      <c r="AG186"/>
      <c r="AH186"/>
      <c r="AI186"/>
    </row>
    <row r="187" spans="3:35" x14ac:dyDescent="0.2">
      <c r="C187" s="818"/>
      <c r="D187" s="818"/>
      <c r="E187" s="848"/>
      <c r="F187" s="848"/>
      <c r="G187" s="849"/>
      <c r="H187" s="849"/>
      <c r="I187" s="849"/>
      <c r="J187" s="849"/>
      <c r="AA187"/>
      <c r="AB187"/>
      <c r="AC187"/>
      <c r="AD187"/>
      <c r="AE187"/>
      <c r="AF187"/>
      <c r="AG187"/>
      <c r="AH187"/>
      <c r="AI187"/>
    </row>
    <row r="188" spans="3:35" x14ac:dyDescent="0.2">
      <c r="C188" s="818"/>
      <c r="D188" s="818"/>
      <c r="E188" s="848"/>
      <c r="F188" s="848"/>
      <c r="G188" s="849"/>
      <c r="H188" s="849"/>
      <c r="I188" s="849"/>
      <c r="J188" s="849"/>
      <c r="AA188"/>
      <c r="AB188"/>
      <c r="AC188"/>
      <c r="AD188"/>
      <c r="AE188"/>
      <c r="AF188"/>
      <c r="AG188"/>
      <c r="AH188"/>
      <c r="AI188"/>
    </row>
    <row r="189" spans="3:35" x14ac:dyDescent="0.2">
      <c r="C189" s="818"/>
      <c r="D189" s="818"/>
      <c r="E189" s="848"/>
      <c r="F189" s="848"/>
      <c r="G189" s="849"/>
      <c r="H189" s="849"/>
      <c r="I189" s="849"/>
      <c r="J189" s="849"/>
      <c r="AA189"/>
      <c r="AB189"/>
      <c r="AC189"/>
      <c r="AD189"/>
      <c r="AE189"/>
      <c r="AF189"/>
      <c r="AG189"/>
      <c r="AH189"/>
      <c r="AI189"/>
    </row>
    <row r="190" spans="3:35" x14ac:dyDescent="0.2">
      <c r="C190" s="818"/>
      <c r="D190" s="818"/>
      <c r="E190" s="848"/>
      <c r="F190" s="848"/>
      <c r="G190" s="849"/>
      <c r="H190" s="849"/>
      <c r="I190" s="849"/>
      <c r="J190" s="849"/>
      <c r="AA190"/>
      <c r="AB190"/>
      <c r="AC190"/>
      <c r="AD190"/>
      <c r="AE190"/>
      <c r="AF190"/>
      <c r="AG190"/>
      <c r="AH190"/>
      <c r="AI190"/>
    </row>
    <row r="191" spans="3:35" x14ac:dyDescent="0.2">
      <c r="C191" s="818"/>
      <c r="D191" s="818"/>
      <c r="E191" s="848"/>
      <c r="F191" s="848"/>
      <c r="G191" s="849"/>
      <c r="H191" s="849"/>
      <c r="I191" s="849"/>
      <c r="J191" s="849"/>
      <c r="AA191"/>
      <c r="AB191"/>
      <c r="AC191"/>
      <c r="AD191"/>
      <c r="AE191"/>
      <c r="AF191"/>
      <c r="AG191"/>
      <c r="AH191"/>
      <c r="AI191"/>
    </row>
    <row r="192" spans="3:35" x14ac:dyDescent="0.2">
      <c r="C192" s="818"/>
      <c r="D192" s="818"/>
      <c r="E192" s="848"/>
      <c r="F192" s="848"/>
      <c r="G192" s="849"/>
      <c r="H192" s="849"/>
      <c r="I192" s="849"/>
      <c r="J192" s="849"/>
      <c r="AA192"/>
      <c r="AB192"/>
      <c r="AC192"/>
      <c r="AD192"/>
      <c r="AE192"/>
      <c r="AF192"/>
      <c r="AG192"/>
      <c r="AH192"/>
      <c r="AI192"/>
    </row>
    <row r="193" spans="3:35" x14ac:dyDescent="0.2">
      <c r="C193" s="818"/>
      <c r="D193" s="818"/>
      <c r="E193" s="848"/>
      <c r="F193" s="848"/>
      <c r="G193" s="849"/>
      <c r="H193" s="849"/>
      <c r="I193" s="849"/>
      <c r="J193" s="849"/>
      <c r="AA193"/>
      <c r="AB193"/>
      <c r="AC193"/>
      <c r="AD193"/>
      <c r="AE193"/>
      <c r="AF193"/>
      <c r="AG193"/>
      <c r="AH193"/>
      <c r="AI193"/>
    </row>
    <row r="194" spans="3:35" x14ac:dyDescent="0.2">
      <c r="C194" s="818"/>
      <c r="D194" s="818"/>
      <c r="E194" s="848"/>
      <c r="F194" s="848"/>
      <c r="G194" s="849"/>
      <c r="H194" s="849"/>
      <c r="I194" s="849"/>
      <c r="J194" s="849"/>
      <c r="AA194"/>
      <c r="AB194"/>
      <c r="AC194"/>
      <c r="AD194"/>
      <c r="AE194"/>
      <c r="AF194"/>
      <c r="AG194"/>
      <c r="AH194"/>
      <c r="AI194"/>
    </row>
    <row r="195" spans="3:35" x14ac:dyDescent="0.2">
      <c r="C195" s="818"/>
      <c r="D195" s="818"/>
      <c r="E195" s="848"/>
      <c r="F195" s="848"/>
      <c r="G195" s="849"/>
      <c r="H195" s="849"/>
      <c r="I195" s="849"/>
      <c r="J195" s="849"/>
      <c r="AA195"/>
      <c r="AB195"/>
      <c r="AC195"/>
      <c r="AD195"/>
      <c r="AE195"/>
      <c r="AF195"/>
      <c r="AG195"/>
      <c r="AH195"/>
      <c r="AI195"/>
    </row>
    <row r="196" spans="3:35" x14ac:dyDescent="0.2">
      <c r="C196" s="818"/>
      <c r="D196" s="818"/>
      <c r="E196" s="848"/>
      <c r="F196" s="848"/>
      <c r="G196" s="849"/>
      <c r="H196" s="849"/>
      <c r="I196" s="849"/>
      <c r="J196" s="849"/>
      <c r="AA196"/>
      <c r="AB196"/>
      <c r="AC196"/>
      <c r="AD196"/>
      <c r="AE196"/>
      <c r="AF196"/>
      <c r="AG196"/>
      <c r="AH196"/>
      <c r="AI196"/>
    </row>
    <row r="197" spans="3:35" x14ac:dyDescent="0.2">
      <c r="C197" s="818"/>
      <c r="D197" s="818"/>
      <c r="E197" s="848"/>
      <c r="F197" s="848"/>
      <c r="G197" s="849"/>
      <c r="H197" s="849"/>
      <c r="I197" s="849"/>
      <c r="J197" s="849"/>
      <c r="AA197"/>
      <c r="AB197"/>
      <c r="AC197"/>
      <c r="AD197"/>
      <c r="AE197"/>
      <c r="AF197"/>
      <c r="AG197"/>
      <c r="AH197"/>
      <c r="AI197"/>
    </row>
    <row r="198" spans="3:35" x14ac:dyDescent="0.2">
      <c r="C198" s="818"/>
      <c r="D198" s="818"/>
      <c r="E198" s="852"/>
      <c r="F198" s="852"/>
      <c r="AA198"/>
      <c r="AB198"/>
      <c r="AC198"/>
      <c r="AD198"/>
      <c r="AE198"/>
      <c r="AF198"/>
      <c r="AG198"/>
      <c r="AH198"/>
      <c r="AI198"/>
    </row>
    <row r="199" spans="3:35" x14ac:dyDescent="0.2">
      <c r="C199" s="818"/>
      <c r="D199" s="818"/>
      <c r="AA199"/>
      <c r="AB199"/>
      <c r="AC199"/>
      <c r="AD199"/>
      <c r="AE199"/>
      <c r="AF199"/>
      <c r="AG199"/>
      <c r="AH199"/>
      <c r="AI199"/>
    </row>
    <row r="200" spans="3:35" x14ac:dyDescent="0.2">
      <c r="C200" s="818"/>
      <c r="D200" s="818"/>
      <c r="AA200"/>
      <c r="AB200"/>
      <c r="AC200"/>
      <c r="AD200"/>
      <c r="AE200"/>
      <c r="AF200"/>
      <c r="AG200"/>
      <c r="AH200"/>
      <c r="AI200"/>
    </row>
    <row r="201" spans="3:35" x14ac:dyDescent="0.2">
      <c r="C201" s="818"/>
      <c r="D201" s="818"/>
      <c r="AA201"/>
      <c r="AB201"/>
      <c r="AC201"/>
      <c r="AD201"/>
      <c r="AE201"/>
      <c r="AF201"/>
      <c r="AG201"/>
      <c r="AH201"/>
      <c r="AI201"/>
    </row>
    <row r="202" spans="3:35" x14ac:dyDescent="0.2">
      <c r="C202" s="818"/>
      <c r="D202" s="818"/>
      <c r="AA202"/>
      <c r="AB202"/>
      <c r="AC202"/>
      <c r="AD202"/>
      <c r="AE202"/>
      <c r="AF202"/>
      <c r="AG202"/>
      <c r="AH202"/>
      <c r="AI202"/>
    </row>
    <row r="203" spans="3:35" x14ac:dyDescent="0.2">
      <c r="C203" s="818"/>
      <c r="D203" s="818"/>
      <c r="AA203"/>
      <c r="AB203"/>
      <c r="AC203"/>
      <c r="AD203"/>
      <c r="AE203"/>
      <c r="AF203"/>
      <c r="AG203"/>
      <c r="AH203"/>
      <c r="AI203"/>
    </row>
    <row r="204" spans="3:35" x14ac:dyDescent="0.2">
      <c r="C204" s="818"/>
      <c r="D204" s="818"/>
      <c r="AA204"/>
      <c r="AB204"/>
      <c r="AC204"/>
      <c r="AD204"/>
      <c r="AE204"/>
      <c r="AF204"/>
      <c r="AG204"/>
      <c r="AH204"/>
      <c r="AI204"/>
    </row>
    <row r="205" spans="3:35" x14ac:dyDescent="0.2">
      <c r="C205" s="818"/>
      <c r="D205" s="818"/>
      <c r="AA205"/>
      <c r="AB205"/>
      <c r="AC205"/>
      <c r="AD205"/>
      <c r="AE205"/>
      <c r="AF205"/>
      <c r="AG205"/>
      <c r="AH205"/>
      <c r="AI205"/>
    </row>
    <row r="206" spans="3:35" x14ac:dyDescent="0.2">
      <c r="C206" s="818"/>
      <c r="D206" s="818"/>
      <c r="AA206"/>
      <c r="AB206"/>
      <c r="AC206"/>
      <c r="AD206"/>
      <c r="AE206"/>
      <c r="AF206"/>
      <c r="AG206"/>
      <c r="AH206"/>
      <c r="AI206"/>
    </row>
    <row r="207" spans="3:35" x14ac:dyDescent="0.2">
      <c r="C207" s="818"/>
      <c r="D207" s="818"/>
      <c r="AA207"/>
      <c r="AB207"/>
      <c r="AC207"/>
      <c r="AD207"/>
      <c r="AE207"/>
      <c r="AF207"/>
      <c r="AG207"/>
      <c r="AH207"/>
      <c r="AI207"/>
    </row>
    <row r="208" spans="3:35" x14ac:dyDescent="0.2">
      <c r="C208" s="818"/>
      <c r="D208" s="818"/>
      <c r="AA208"/>
      <c r="AB208"/>
      <c r="AC208"/>
      <c r="AD208"/>
      <c r="AE208"/>
      <c r="AF208"/>
      <c r="AG208"/>
      <c r="AH208"/>
      <c r="AI208"/>
    </row>
    <row r="209" spans="3:35" x14ac:dyDescent="0.2">
      <c r="C209" s="818"/>
      <c r="D209" s="818"/>
      <c r="AA209"/>
      <c r="AB209"/>
      <c r="AC209"/>
      <c r="AD209"/>
      <c r="AE209"/>
      <c r="AF209"/>
      <c r="AG209"/>
      <c r="AH209"/>
      <c r="AI209"/>
    </row>
    <row r="210" spans="3:35" x14ac:dyDescent="0.2">
      <c r="C210" s="818"/>
      <c r="D210" s="818"/>
      <c r="AA210"/>
      <c r="AB210"/>
      <c r="AC210"/>
      <c r="AD210"/>
      <c r="AE210"/>
      <c r="AF210"/>
      <c r="AG210"/>
      <c r="AH210"/>
      <c r="AI210"/>
    </row>
    <row r="211" spans="3:35" x14ac:dyDescent="0.2">
      <c r="C211" s="818"/>
      <c r="D211" s="818"/>
      <c r="AA211"/>
      <c r="AB211"/>
      <c r="AC211"/>
      <c r="AD211"/>
      <c r="AE211"/>
      <c r="AF211"/>
      <c r="AG211"/>
      <c r="AH211"/>
      <c r="AI211"/>
    </row>
    <row r="212" spans="3:35" x14ac:dyDescent="0.2">
      <c r="C212" s="818"/>
      <c r="D212" s="818"/>
      <c r="AA212"/>
      <c r="AB212"/>
      <c r="AC212"/>
      <c r="AD212"/>
      <c r="AE212"/>
      <c r="AF212"/>
      <c r="AG212"/>
      <c r="AH212"/>
      <c r="AI212"/>
    </row>
    <row r="213" spans="3:35" x14ac:dyDescent="0.2">
      <c r="C213" s="818"/>
      <c r="D213" s="818"/>
      <c r="AA213"/>
      <c r="AB213"/>
      <c r="AC213"/>
      <c r="AD213"/>
      <c r="AE213"/>
      <c r="AF213"/>
      <c r="AG213"/>
      <c r="AH213"/>
      <c r="AI213"/>
    </row>
    <row r="214" spans="3:35" x14ac:dyDescent="0.2">
      <c r="C214" s="818"/>
      <c r="D214" s="818"/>
      <c r="AA214"/>
      <c r="AB214"/>
      <c r="AC214"/>
      <c r="AD214"/>
      <c r="AE214"/>
      <c r="AF214"/>
      <c r="AG214"/>
      <c r="AH214"/>
      <c r="AI214"/>
    </row>
    <row r="215" spans="3:35" x14ac:dyDescent="0.2">
      <c r="C215" s="818"/>
      <c r="D215" s="818"/>
      <c r="AA215"/>
      <c r="AB215"/>
      <c r="AC215"/>
      <c r="AD215"/>
      <c r="AE215"/>
      <c r="AF215"/>
      <c r="AG215"/>
      <c r="AH215"/>
      <c r="AI215"/>
    </row>
    <row r="216" spans="3:35" x14ac:dyDescent="0.2">
      <c r="C216" s="818"/>
      <c r="D216" s="818"/>
      <c r="AA216"/>
      <c r="AB216"/>
      <c r="AC216"/>
      <c r="AD216"/>
      <c r="AE216"/>
      <c r="AF216"/>
      <c r="AG216"/>
      <c r="AH216"/>
      <c r="AI216"/>
    </row>
    <row r="217" spans="3:35" x14ac:dyDescent="0.2">
      <c r="C217" s="818"/>
      <c r="D217" s="818"/>
      <c r="AA217"/>
      <c r="AB217"/>
      <c r="AC217"/>
      <c r="AD217"/>
      <c r="AE217"/>
      <c r="AF217"/>
      <c r="AG217"/>
      <c r="AH217"/>
      <c r="AI217"/>
    </row>
    <row r="218" spans="3:35" x14ac:dyDescent="0.2">
      <c r="C218" s="818"/>
      <c r="D218" s="818"/>
      <c r="AA218"/>
      <c r="AB218"/>
      <c r="AC218"/>
      <c r="AD218"/>
      <c r="AE218"/>
      <c r="AF218"/>
      <c r="AG218"/>
      <c r="AH218"/>
      <c r="AI218"/>
    </row>
    <row r="219" spans="3:35" x14ac:dyDescent="0.2">
      <c r="C219" s="818"/>
      <c r="D219" s="818"/>
      <c r="AA219"/>
      <c r="AB219"/>
      <c r="AC219"/>
      <c r="AD219"/>
      <c r="AE219"/>
      <c r="AF219"/>
      <c r="AG219"/>
      <c r="AH219"/>
      <c r="AI219"/>
    </row>
    <row r="220" spans="3:35" x14ac:dyDescent="0.2">
      <c r="C220" s="818"/>
      <c r="D220" s="818"/>
      <c r="AA220"/>
      <c r="AB220"/>
      <c r="AC220"/>
      <c r="AD220"/>
      <c r="AE220"/>
      <c r="AF220"/>
      <c r="AG220"/>
      <c r="AH220"/>
      <c r="AI220"/>
    </row>
    <row r="221" spans="3:35" x14ac:dyDescent="0.2">
      <c r="C221" s="818"/>
      <c r="D221" s="818"/>
      <c r="AA221"/>
      <c r="AB221"/>
      <c r="AC221"/>
      <c r="AD221"/>
      <c r="AE221"/>
      <c r="AF221"/>
      <c r="AG221"/>
      <c r="AH221"/>
      <c r="AI221"/>
    </row>
    <row r="222" spans="3:35" x14ac:dyDescent="0.2">
      <c r="C222" s="818"/>
      <c r="D222" s="818"/>
      <c r="AA222"/>
      <c r="AB222"/>
      <c r="AC222"/>
      <c r="AD222"/>
      <c r="AE222"/>
      <c r="AF222"/>
      <c r="AG222"/>
      <c r="AH222"/>
      <c r="AI222"/>
    </row>
    <row r="223" spans="3:35" x14ac:dyDescent="0.2">
      <c r="C223" s="818"/>
      <c r="D223" s="818"/>
      <c r="AA223"/>
      <c r="AB223"/>
      <c r="AC223"/>
      <c r="AD223"/>
      <c r="AE223"/>
      <c r="AF223"/>
      <c r="AG223"/>
      <c r="AH223"/>
      <c r="AI223"/>
    </row>
    <row r="224" spans="3:35" x14ac:dyDescent="0.2">
      <c r="C224" s="818"/>
      <c r="D224" s="818"/>
      <c r="AA224"/>
      <c r="AB224"/>
      <c r="AC224"/>
      <c r="AD224"/>
      <c r="AE224"/>
      <c r="AF224"/>
      <c r="AG224"/>
      <c r="AH224"/>
      <c r="AI224"/>
    </row>
    <row r="225" spans="3:35" x14ac:dyDescent="0.2">
      <c r="C225" s="818"/>
      <c r="D225" s="818"/>
      <c r="AA225"/>
      <c r="AB225"/>
      <c r="AC225"/>
      <c r="AD225"/>
      <c r="AE225"/>
      <c r="AF225"/>
      <c r="AG225"/>
      <c r="AH225"/>
      <c r="AI225"/>
    </row>
    <row r="226" spans="3:35" x14ac:dyDescent="0.2">
      <c r="C226" s="818"/>
      <c r="D226" s="818"/>
      <c r="AA226"/>
      <c r="AB226"/>
      <c r="AC226"/>
      <c r="AD226"/>
      <c r="AE226"/>
      <c r="AF226"/>
      <c r="AG226"/>
      <c r="AH226"/>
      <c r="AI226"/>
    </row>
    <row r="227" spans="3:35" x14ac:dyDescent="0.2">
      <c r="C227" s="818"/>
      <c r="D227" s="818"/>
      <c r="AA227"/>
      <c r="AB227"/>
      <c r="AC227"/>
      <c r="AD227"/>
      <c r="AE227"/>
      <c r="AF227"/>
      <c r="AG227"/>
      <c r="AH227"/>
      <c r="AI227"/>
    </row>
    <row r="228" spans="3:35" x14ac:dyDescent="0.2">
      <c r="C228" s="818"/>
      <c r="D228" s="818"/>
      <c r="AA228"/>
      <c r="AB228"/>
      <c r="AC228"/>
      <c r="AD228"/>
      <c r="AE228"/>
      <c r="AF228"/>
      <c r="AG228"/>
      <c r="AH228"/>
      <c r="AI228"/>
    </row>
    <row r="229" spans="3:35" x14ac:dyDescent="0.2">
      <c r="C229" s="818"/>
      <c r="D229" s="818"/>
      <c r="AA229"/>
      <c r="AB229"/>
      <c r="AC229"/>
      <c r="AD229"/>
      <c r="AE229"/>
      <c r="AF229"/>
      <c r="AG229"/>
      <c r="AH229"/>
      <c r="AI229"/>
    </row>
    <row r="230" spans="3:35" x14ac:dyDescent="0.2">
      <c r="C230" s="818"/>
      <c r="D230" s="818"/>
      <c r="AA230"/>
      <c r="AB230"/>
      <c r="AC230"/>
      <c r="AD230"/>
      <c r="AE230"/>
      <c r="AF230"/>
      <c r="AG230"/>
      <c r="AH230"/>
      <c r="AI230"/>
    </row>
    <row r="231" spans="3:35" x14ac:dyDescent="0.2">
      <c r="C231" s="818"/>
      <c r="D231" s="818"/>
      <c r="AA231"/>
      <c r="AB231"/>
      <c r="AC231"/>
      <c r="AD231"/>
      <c r="AE231"/>
      <c r="AF231"/>
      <c r="AG231"/>
      <c r="AH231"/>
      <c r="AI231"/>
    </row>
    <row r="232" spans="3:35" x14ac:dyDescent="0.2">
      <c r="C232" s="818"/>
      <c r="D232" s="818"/>
      <c r="AA232"/>
      <c r="AB232"/>
      <c r="AC232"/>
      <c r="AD232"/>
      <c r="AE232"/>
      <c r="AF232"/>
      <c r="AG232"/>
      <c r="AH232"/>
      <c r="AI232"/>
    </row>
    <row r="233" spans="3:35" x14ac:dyDescent="0.2">
      <c r="C233" s="818"/>
      <c r="D233" s="818"/>
      <c r="AA233"/>
      <c r="AB233"/>
      <c r="AC233"/>
      <c r="AD233"/>
      <c r="AE233"/>
      <c r="AF233"/>
      <c r="AG233"/>
      <c r="AH233"/>
      <c r="AI233"/>
    </row>
    <row r="234" spans="3:35" x14ac:dyDescent="0.2">
      <c r="C234" s="818"/>
      <c r="D234" s="818"/>
      <c r="AA234"/>
      <c r="AB234"/>
      <c r="AC234"/>
      <c r="AD234"/>
      <c r="AE234"/>
      <c r="AF234"/>
      <c r="AG234"/>
      <c r="AH234"/>
      <c r="AI234"/>
    </row>
    <row r="235" spans="3:35" x14ac:dyDescent="0.2">
      <c r="C235" s="818"/>
      <c r="D235" s="818"/>
      <c r="AA235"/>
      <c r="AB235"/>
      <c r="AC235"/>
      <c r="AD235"/>
      <c r="AE235"/>
      <c r="AF235"/>
      <c r="AG235"/>
      <c r="AH235"/>
      <c r="AI235"/>
    </row>
    <row r="236" spans="3:35" x14ac:dyDescent="0.2">
      <c r="C236" s="818"/>
      <c r="D236" s="818"/>
      <c r="AA236"/>
      <c r="AB236"/>
      <c r="AC236"/>
      <c r="AD236"/>
      <c r="AE236"/>
      <c r="AF236"/>
      <c r="AG236"/>
      <c r="AH236"/>
      <c r="AI236"/>
    </row>
    <row r="237" spans="3:35" x14ac:dyDescent="0.2">
      <c r="C237" s="818"/>
      <c r="D237" s="818"/>
      <c r="AA237"/>
      <c r="AB237"/>
      <c r="AC237"/>
      <c r="AD237"/>
      <c r="AE237"/>
      <c r="AF237"/>
      <c r="AG237"/>
      <c r="AH237"/>
      <c r="AI237"/>
    </row>
    <row r="238" spans="3:35" x14ac:dyDescent="0.2">
      <c r="C238" s="818"/>
      <c r="D238" s="818"/>
      <c r="AA238"/>
      <c r="AB238"/>
      <c r="AC238"/>
      <c r="AD238"/>
      <c r="AE238"/>
      <c r="AF238"/>
      <c r="AG238"/>
      <c r="AH238"/>
      <c r="AI238"/>
    </row>
    <row r="239" spans="3:35" x14ac:dyDescent="0.2">
      <c r="C239" s="818"/>
      <c r="D239" s="818"/>
      <c r="AA239"/>
      <c r="AB239"/>
      <c r="AC239"/>
      <c r="AD239"/>
      <c r="AE239"/>
      <c r="AF239"/>
      <c r="AG239"/>
      <c r="AH239"/>
      <c r="AI239"/>
    </row>
    <row r="240" spans="3:35" x14ac:dyDescent="0.2">
      <c r="C240" s="818"/>
      <c r="D240" s="818"/>
      <c r="AA240"/>
      <c r="AB240"/>
      <c r="AC240"/>
      <c r="AD240"/>
      <c r="AE240"/>
      <c r="AF240"/>
      <c r="AG240"/>
      <c r="AH240"/>
      <c r="AI240"/>
    </row>
    <row r="241" spans="3:35" x14ac:dyDescent="0.2">
      <c r="C241" s="818"/>
      <c r="D241" s="818"/>
      <c r="AA241"/>
      <c r="AB241"/>
      <c r="AC241"/>
      <c r="AD241"/>
      <c r="AE241"/>
      <c r="AF241"/>
      <c r="AG241"/>
      <c r="AH241"/>
      <c r="AI241"/>
    </row>
    <row r="242" spans="3:35" x14ac:dyDescent="0.2">
      <c r="C242" s="818"/>
      <c r="D242" s="818"/>
      <c r="AA242"/>
      <c r="AB242"/>
      <c r="AC242"/>
      <c r="AD242"/>
      <c r="AE242"/>
      <c r="AF242"/>
      <c r="AG242"/>
      <c r="AH242"/>
      <c r="AI242"/>
    </row>
    <row r="243" spans="3:35" x14ac:dyDescent="0.2">
      <c r="C243" s="818"/>
      <c r="D243" s="818"/>
      <c r="AA243"/>
      <c r="AB243"/>
      <c r="AC243"/>
      <c r="AD243"/>
      <c r="AE243"/>
      <c r="AF243"/>
      <c r="AG243"/>
      <c r="AH243"/>
      <c r="AI243"/>
    </row>
    <row r="244" spans="3:35" x14ac:dyDescent="0.2">
      <c r="C244" s="818"/>
      <c r="D244" s="818"/>
      <c r="AA244"/>
      <c r="AB244"/>
      <c r="AC244"/>
      <c r="AD244"/>
      <c r="AE244"/>
      <c r="AF244"/>
      <c r="AG244"/>
      <c r="AH244"/>
      <c r="AI244"/>
    </row>
    <row r="245" spans="3:35" x14ac:dyDescent="0.2">
      <c r="C245" s="818"/>
      <c r="D245" s="818"/>
      <c r="AA245"/>
      <c r="AB245"/>
      <c r="AC245"/>
      <c r="AD245"/>
      <c r="AE245"/>
      <c r="AF245"/>
      <c r="AG245"/>
      <c r="AH245"/>
      <c r="AI245"/>
    </row>
    <row r="246" spans="3:35" x14ac:dyDescent="0.2">
      <c r="C246" s="818"/>
      <c r="D246" s="818"/>
      <c r="AA246"/>
      <c r="AB246"/>
      <c r="AC246"/>
      <c r="AD246"/>
      <c r="AE246"/>
      <c r="AF246"/>
      <c r="AG246"/>
      <c r="AH246"/>
      <c r="AI246"/>
    </row>
    <row r="247" spans="3:35" x14ac:dyDescent="0.2">
      <c r="C247" s="818"/>
      <c r="D247" s="818"/>
      <c r="AA247"/>
      <c r="AB247"/>
      <c r="AC247"/>
      <c r="AD247"/>
      <c r="AE247"/>
      <c r="AF247"/>
      <c r="AG247"/>
      <c r="AH247"/>
      <c r="AI247"/>
    </row>
    <row r="248" spans="3:35" x14ac:dyDescent="0.2">
      <c r="C248" s="818"/>
      <c r="D248" s="818"/>
      <c r="AA248"/>
      <c r="AB248"/>
      <c r="AC248"/>
      <c r="AD248"/>
      <c r="AE248"/>
      <c r="AF248"/>
      <c r="AG248"/>
      <c r="AH248"/>
      <c r="AI248"/>
    </row>
    <row r="249" spans="3:35" x14ac:dyDescent="0.2">
      <c r="C249" s="818"/>
      <c r="D249" s="818"/>
      <c r="AA249"/>
      <c r="AB249"/>
      <c r="AC249"/>
      <c r="AD249"/>
      <c r="AE249"/>
      <c r="AF249"/>
      <c r="AG249"/>
      <c r="AH249"/>
      <c r="AI249"/>
    </row>
    <row r="250" spans="3:35" x14ac:dyDescent="0.2">
      <c r="C250" s="818"/>
      <c r="D250" s="818"/>
      <c r="AA250"/>
      <c r="AB250"/>
      <c r="AC250"/>
      <c r="AD250"/>
      <c r="AE250"/>
      <c r="AF250"/>
      <c r="AG250"/>
      <c r="AH250"/>
      <c r="AI250"/>
    </row>
    <row r="251" spans="3:35" x14ac:dyDescent="0.2">
      <c r="C251" s="818"/>
      <c r="D251" s="818"/>
      <c r="AA251"/>
      <c r="AB251"/>
      <c r="AC251"/>
      <c r="AD251"/>
      <c r="AE251"/>
      <c r="AF251"/>
      <c r="AG251"/>
      <c r="AH251"/>
      <c r="AI251"/>
    </row>
    <row r="252" spans="3:35" x14ac:dyDescent="0.2">
      <c r="C252" s="818"/>
      <c r="D252" s="818"/>
      <c r="AA252"/>
      <c r="AB252"/>
      <c r="AC252"/>
      <c r="AD252"/>
      <c r="AE252"/>
      <c r="AF252"/>
      <c r="AG252"/>
      <c r="AH252"/>
      <c r="AI252"/>
    </row>
    <row r="253" spans="3:35" x14ac:dyDescent="0.2">
      <c r="C253" s="818"/>
      <c r="D253" s="818"/>
      <c r="AA253"/>
      <c r="AB253"/>
      <c r="AC253"/>
      <c r="AD253"/>
      <c r="AE253"/>
      <c r="AF253"/>
      <c r="AG253"/>
      <c r="AH253"/>
      <c r="AI253"/>
    </row>
    <row r="254" spans="3:35" x14ac:dyDescent="0.2">
      <c r="C254" s="818"/>
      <c r="D254" s="818"/>
      <c r="AA254"/>
      <c r="AB254"/>
      <c r="AC254"/>
      <c r="AD254"/>
      <c r="AE254"/>
      <c r="AF254"/>
      <c r="AG254"/>
      <c r="AH254"/>
      <c r="AI254"/>
    </row>
    <row r="255" spans="3:35" x14ac:dyDescent="0.2">
      <c r="C255" s="818"/>
      <c r="D255" s="818"/>
      <c r="AA255"/>
      <c r="AB255"/>
      <c r="AC255"/>
      <c r="AD255"/>
      <c r="AE255"/>
      <c r="AF255"/>
      <c r="AG255"/>
      <c r="AH255"/>
      <c r="AI255"/>
    </row>
    <row r="256" spans="3:35" x14ac:dyDescent="0.2">
      <c r="C256" s="818"/>
      <c r="D256" s="818"/>
      <c r="AA256"/>
      <c r="AB256"/>
      <c r="AC256"/>
      <c r="AD256"/>
      <c r="AE256"/>
      <c r="AF256"/>
      <c r="AG256"/>
      <c r="AH256"/>
      <c r="AI256"/>
    </row>
    <row r="257" spans="3:35" x14ac:dyDescent="0.2">
      <c r="C257" s="818"/>
      <c r="D257" s="818"/>
      <c r="AA257"/>
      <c r="AB257"/>
      <c r="AC257"/>
      <c r="AD257"/>
      <c r="AE257"/>
      <c r="AF257"/>
      <c r="AG257"/>
      <c r="AH257"/>
      <c r="AI257"/>
    </row>
    <row r="258" spans="3:35" x14ac:dyDescent="0.2">
      <c r="C258" s="818"/>
      <c r="D258" s="818"/>
      <c r="AA258"/>
      <c r="AB258"/>
      <c r="AC258"/>
      <c r="AD258"/>
      <c r="AE258"/>
      <c r="AF258"/>
      <c r="AG258"/>
      <c r="AH258"/>
      <c r="AI258"/>
    </row>
    <row r="259" spans="3:35" x14ac:dyDescent="0.2">
      <c r="C259" s="818"/>
      <c r="D259" s="818"/>
      <c r="AA259"/>
      <c r="AB259"/>
      <c r="AC259"/>
      <c r="AD259"/>
      <c r="AE259"/>
      <c r="AF259"/>
      <c r="AG259"/>
      <c r="AH259"/>
      <c r="AI259"/>
    </row>
    <row r="260" spans="3:35" x14ac:dyDescent="0.2">
      <c r="C260" s="818"/>
      <c r="D260" s="818"/>
      <c r="AA260"/>
      <c r="AB260"/>
      <c r="AC260"/>
      <c r="AD260"/>
      <c r="AE260"/>
      <c r="AF260"/>
      <c r="AG260"/>
      <c r="AH260"/>
      <c r="AI260"/>
    </row>
    <row r="261" spans="3:35" x14ac:dyDescent="0.2">
      <c r="C261" s="818"/>
      <c r="D261" s="818"/>
      <c r="AA261"/>
      <c r="AB261"/>
      <c r="AC261"/>
      <c r="AD261"/>
      <c r="AE261"/>
      <c r="AF261"/>
      <c r="AG261"/>
      <c r="AH261"/>
      <c r="AI261"/>
    </row>
    <row r="262" spans="3:35" x14ac:dyDescent="0.2">
      <c r="C262" s="818"/>
      <c r="D262" s="818"/>
      <c r="AA262"/>
      <c r="AB262"/>
      <c r="AC262"/>
      <c r="AD262"/>
      <c r="AE262"/>
      <c r="AF262"/>
      <c r="AG262"/>
      <c r="AH262"/>
      <c r="AI262"/>
    </row>
    <row r="263" spans="3:35" x14ac:dyDescent="0.2">
      <c r="C263" s="818"/>
      <c r="D263" s="818"/>
      <c r="AA263"/>
      <c r="AB263"/>
      <c r="AC263"/>
      <c r="AD263"/>
      <c r="AE263"/>
      <c r="AF263"/>
      <c r="AG263"/>
      <c r="AH263"/>
      <c r="AI263"/>
    </row>
    <row r="264" spans="3:35" x14ac:dyDescent="0.2">
      <c r="C264" s="818"/>
      <c r="D264" s="818"/>
      <c r="AA264"/>
      <c r="AB264"/>
      <c r="AC264"/>
      <c r="AD264"/>
      <c r="AE264"/>
      <c r="AF264"/>
      <c r="AG264"/>
      <c r="AH264"/>
      <c r="AI264"/>
    </row>
    <row r="265" spans="3:35" x14ac:dyDescent="0.2">
      <c r="C265" s="818"/>
      <c r="D265" s="818"/>
      <c r="AA265"/>
      <c r="AB265"/>
      <c r="AC265"/>
      <c r="AD265"/>
      <c r="AE265"/>
      <c r="AF265"/>
      <c r="AG265"/>
      <c r="AH265"/>
      <c r="AI265"/>
    </row>
    <row r="266" spans="3:35" x14ac:dyDescent="0.2">
      <c r="C266" s="818"/>
      <c r="D266" s="818"/>
      <c r="AA266"/>
      <c r="AB266"/>
      <c r="AC266"/>
      <c r="AD266"/>
      <c r="AE266"/>
      <c r="AF266"/>
      <c r="AG266"/>
      <c r="AH266"/>
      <c r="AI266"/>
    </row>
    <row r="267" spans="3:35" x14ac:dyDescent="0.2">
      <c r="C267" s="818"/>
      <c r="D267" s="818"/>
      <c r="AA267"/>
      <c r="AB267"/>
      <c r="AC267"/>
      <c r="AD267"/>
      <c r="AE267"/>
      <c r="AF267"/>
      <c r="AG267"/>
      <c r="AH267"/>
      <c r="AI267"/>
    </row>
    <row r="268" spans="3:35" x14ac:dyDescent="0.2">
      <c r="C268" s="818"/>
      <c r="D268" s="818"/>
      <c r="AA268"/>
      <c r="AB268"/>
      <c r="AC268"/>
      <c r="AD268"/>
      <c r="AE268"/>
      <c r="AF268"/>
      <c r="AG268"/>
      <c r="AH268"/>
      <c r="AI268"/>
    </row>
    <row r="269" spans="3:35" x14ac:dyDescent="0.2">
      <c r="C269" s="818"/>
      <c r="D269" s="818"/>
      <c r="AA269"/>
      <c r="AB269"/>
      <c r="AC269"/>
      <c r="AD269"/>
      <c r="AE269"/>
      <c r="AF269"/>
      <c r="AG269"/>
      <c r="AH269"/>
      <c r="AI269"/>
    </row>
    <row r="270" spans="3:35" x14ac:dyDescent="0.2">
      <c r="C270" s="818"/>
      <c r="D270" s="818"/>
      <c r="AA270"/>
      <c r="AB270"/>
      <c r="AC270"/>
      <c r="AD270"/>
      <c r="AE270"/>
      <c r="AF270"/>
      <c r="AG270"/>
      <c r="AH270"/>
      <c r="AI270"/>
    </row>
    <row r="271" spans="3:35" x14ac:dyDescent="0.2">
      <c r="C271" s="818"/>
      <c r="D271" s="818"/>
      <c r="AA271"/>
      <c r="AB271"/>
      <c r="AC271"/>
      <c r="AD271"/>
      <c r="AE271"/>
      <c r="AF271"/>
      <c r="AG271"/>
      <c r="AH271"/>
      <c r="AI271"/>
    </row>
    <row r="272" spans="3:35" x14ac:dyDescent="0.2">
      <c r="C272" s="818"/>
      <c r="D272" s="818"/>
      <c r="AA272"/>
      <c r="AB272"/>
      <c r="AC272"/>
      <c r="AD272"/>
      <c r="AE272"/>
      <c r="AF272"/>
      <c r="AG272"/>
      <c r="AH272"/>
      <c r="AI272"/>
    </row>
    <row r="273" spans="3:35" x14ac:dyDescent="0.2">
      <c r="C273" s="818"/>
      <c r="D273" s="818"/>
      <c r="AA273"/>
      <c r="AB273"/>
      <c r="AC273"/>
      <c r="AD273"/>
      <c r="AE273"/>
      <c r="AF273"/>
      <c r="AG273"/>
      <c r="AH273"/>
      <c r="AI273"/>
    </row>
    <row r="274" spans="3:35" x14ac:dyDescent="0.2">
      <c r="C274" s="818"/>
      <c r="D274" s="818"/>
      <c r="AA274"/>
      <c r="AB274"/>
      <c r="AC274"/>
      <c r="AD274"/>
      <c r="AE274"/>
      <c r="AF274"/>
      <c r="AG274"/>
      <c r="AH274"/>
      <c r="AI274"/>
    </row>
    <row r="275" spans="3:35" x14ac:dyDescent="0.2">
      <c r="C275" s="818"/>
      <c r="D275" s="818"/>
      <c r="AA275"/>
      <c r="AB275"/>
      <c r="AC275"/>
      <c r="AD275"/>
      <c r="AE275"/>
      <c r="AF275"/>
      <c r="AG275"/>
      <c r="AH275"/>
      <c r="AI275"/>
    </row>
    <row r="276" spans="3:35" x14ac:dyDescent="0.2">
      <c r="C276" s="818"/>
      <c r="D276" s="818"/>
      <c r="AA276"/>
      <c r="AB276"/>
      <c r="AC276"/>
      <c r="AD276"/>
      <c r="AE276"/>
      <c r="AF276"/>
      <c r="AG276"/>
      <c r="AH276"/>
      <c r="AI276"/>
    </row>
    <row r="277" spans="3:35" x14ac:dyDescent="0.2">
      <c r="C277" s="818"/>
      <c r="D277" s="818"/>
      <c r="AA277"/>
      <c r="AB277"/>
      <c r="AC277"/>
      <c r="AD277"/>
      <c r="AE277"/>
      <c r="AF277"/>
      <c r="AG277"/>
      <c r="AH277"/>
      <c r="AI277"/>
    </row>
    <row r="278" spans="3:35" x14ac:dyDescent="0.2">
      <c r="C278" s="818"/>
      <c r="D278" s="818"/>
      <c r="AA278"/>
      <c r="AB278"/>
      <c r="AC278"/>
      <c r="AD278"/>
      <c r="AE278"/>
      <c r="AF278"/>
      <c r="AG278"/>
      <c r="AH278"/>
      <c r="AI278"/>
    </row>
    <row r="279" spans="3:35" x14ac:dyDescent="0.2">
      <c r="C279" s="818"/>
      <c r="D279" s="818"/>
      <c r="AA279"/>
      <c r="AB279"/>
      <c r="AC279"/>
      <c r="AD279"/>
      <c r="AE279"/>
      <c r="AF279"/>
      <c r="AG279"/>
      <c r="AH279"/>
      <c r="AI279"/>
    </row>
    <row r="280" spans="3:35" x14ac:dyDescent="0.2">
      <c r="C280" s="818"/>
      <c r="D280" s="818"/>
      <c r="AA280"/>
      <c r="AB280"/>
      <c r="AC280"/>
      <c r="AD280"/>
      <c r="AE280"/>
      <c r="AF280"/>
      <c r="AG280"/>
      <c r="AH280"/>
      <c r="AI280"/>
    </row>
    <row r="281" spans="3:35" x14ac:dyDescent="0.2">
      <c r="AA281"/>
      <c r="AB281"/>
      <c r="AC281"/>
      <c r="AD281"/>
      <c r="AE281"/>
      <c r="AF281"/>
      <c r="AG281"/>
      <c r="AH281"/>
      <c r="AI281"/>
    </row>
    <row r="282" spans="3:35" x14ac:dyDescent="0.2">
      <c r="AA282"/>
      <c r="AB282"/>
      <c r="AC282"/>
      <c r="AD282"/>
      <c r="AE282"/>
      <c r="AF282"/>
      <c r="AG282"/>
      <c r="AH282"/>
      <c r="AI282"/>
    </row>
    <row r="283" spans="3:35" x14ac:dyDescent="0.2">
      <c r="AA283"/>
      <c r="AB283"/>
      <c r="AC283"/>
      <c r="AD283"/>
      <c r="AE283"/>
      <c r="AF283"/>
      <c r="AG283"/>
      <c r="AH283"/>
      <c r="AI283"/>
    </row>
    <row r="284" spans="3:35" x14ac:dyDescent="0.2">
      <c r="AA284"/>
      <c r="AB284"/>
      <c r="AC284"/>
      <c r="AD284"/>
      <c r="AE284"/>
      <c r="AF284"/>
      <c r="AG284"/>
      <c r="AH284"/>
      <c r="AI284"/>
    </row>
    <row r="285" spans="3:35" x14ac:dyDescent="0.2">
      <c r="AA285"/>
      <c r="AB285"/>
      <c r="AC285"/>
      <c r="AD285"/>
      <c r="AE285"/>
      <c r="AF285"/>
      <c r="AG285"/>
      <c r="AH285"/>
      <c r="AI285"/>
    </row>
    <row r="286" spans="3:35" x14ac:dyDescent="0.2">
      <c r="AA286"/>
      <c r="AB286"/>
      <c r="AC286"/>
      <c r="AD286"/>
      <c r="AE286"/>
      <c r="AF286"/>
      <c r="AG286"/>
      <c r="AH286"/>
      <c r="AI286"/>
    </row>
    <row r="287" spans="3:35" x14ac:dyDescent="0.2">
      <c r="AA287"/>
      <c r="AB287"/>
      <c r="AC287"/>
      <c r="AD287"/>
      <c r="AE287"/>
      <c r="AF287"/>
      <c r="AG287"/>
      <c r="AH287"/>
      <c r="AI287"/>
    </row>
    <row r="288" spans="3: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A5:B12 A14:B21 A23:B33 A35:B44 A46:B54 A56:B65 A67:B75 A77:B86 A88:B94 A96:B98">
    <cfRule type="expression" dxfId="181" priority="20" stopIfTrue="1">
      <formula>AND(NOT($K5=""),$K$1=1)</formula>
    </cfRule>
  </conditionalFormatting>
  <conditionalFormatting sqref="C138:M158">
    <cfRule type="expression" dxfId="180" priority="18">
      <formula>AND(NOT($K138=""),$K$1=1)</formula>
    </cfRule>
  </conditionalFormatting>
  <conditionalFormatting sqref="C138:C158">
    <cfRule type="expression" dxfId="179" priority="17">
      <formula>AND(NOT($K138=""),$K$1=1)</formula>
    </cfRule>
  </conditionalFormatting>
  <conditionalFormatting sqref="C138:C158">
    <cfRule type="expression" dxfId="178" priority="16">
      <formula>AND(NOT($K138=""),$K$1=1)</formula>
    </cfRule>
  </conditionalFormatting>
  <conditionalFormatting sqref="C138:C158">
    <cfRule type="expression" dxfId="177" priority="15">
      <formula>AND(NOT($K138=""),$K$1=1)</formula>
    </cfRule>
  </conditionalFormatting>
  <conditionalFormatting sqref="C138:C158">
    <cfRule type="expression" dxfId="176" priority="14" stopIfTrue="1">
      <formula>AND(NOT($K138=""),$K$1=1)</formula>
    </cfRule>
  </conditionalFormatting>
  <conditionalFormatting sqref="C138:C158">
    <cfRule type="expression" dxfId="175" priority="13" stopIfTrue="1">
      <formula>AND(NOT($K138=""),$K$1=1)</formula>
    </cfRule>
  </conditionalFormatting>
  <conditionalFormatting sqref="C99:M99 C119:M137 G100:M118">
    <cfRule type="expression" dxfId="174" priority="12">
      <formula>AND(NOT($K99=""),$K$1=1)</formula>
    </cfRule>
  </conditionalFormatting>
  <conditionalFormatting sqref="C99 C119:C137">
    <cfRule type="expression" dxfId="173" priority="11">
      <formula>AND(NOT($K99=""),$K$1=1)</formula>
    </cfRule>
  </conditionalFormatting>
  <conditionalFormatting sqref="C99 C119:C137">
    <cfRule type="expression" dxfId="172" priority="10">
      <formula>AND(NOT($K99=""),$K$1=1)</formula>
    </cfRule>
  </conditionalFormatting>
  <conditionalFormatting sqref="C99 C119:C137">
    <cfRule type="expression" dxfId="171" priority="9">
      <formula>AND(NOT($K99=""),$K$1=1)</formula>
    </cfRule>
  </conditionalFormatting>
  <conditionalFormatting sqref="C99 C119:C137">
    <cfRule type="expression" dxfId="170" priority="8" stopIfTrue="1">
      <formula>AND(NOT($K99=""),$K$1=1)</formula>
    </cfRule>
  </conditionalFormatting>
  <conditionalFormatting sqref="C99 C119:C137">
    <cfRule type="expression" dxfId="169" priority="7" stopIfTrue="1">
      <formula>AND(NOT($K99=""),$K$1=1)</formula>
    </cfRule>
  </conditionalFormatting>
  <conditionalFormatting sqref="C5:M98">
    <cfRule type="expression" dxfId="168" priority="6">
      <formula>AND(NOT($K5=""),$K$1=1)</formula>
    </cfRule>
  </conditionalFormatting>
  <conditionalFormatting sqref="C5:C98">
    <cfRule type="expression" dxfId="167" priority="5">
      <formula>AND(NOT($K5=""),$K$1=1)</formula>
    </cfRule>
  </conditionalFormatting>
  <conditionalFormatting sqref="C5:C98">
    <cfRule type="expression" dxfId="166" priority="4">
      <formula>AND(NOT($K5=""),$K$1=1)</formula>
    </cfRule>
  </conditionalFormatting>
  <conditionalFormatting sqref="C5:C98">
    <cfRule type="expression" dxfId="165" priority="3">
      <formula>AND(NOT($K5=""),$K$1=1)</formula>
    </cfRule>
  </conditionalFormatting>
  <conditionalFormatting sqref="C5:C98">
    <cfRule type="expression" dxfId="164" priority="2" stopIfTrue="1">
      <formula>AND(NOT($K5=""),$K$1=1)</formula>
    </cfRule>
  </conditionalFormatting>
  <conditionalFormatting sqref="C4:C98">
    <cfRule type="expression" dxfId="163"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indexed="47"/>
  </sheetPr>
  <dimension ref="A1:AI408"/>
  <sheetViews>
    <sheetView workbookViewId="0">
      <pane xSplit="12" ySplit="2" topLeftCell="M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10.28515625" style="772" customWidth="1"/>
    <col min="2" max="2" width="89.42578125" style="661" customWidth="1"/>
    <col min="3" max="3" width="4.42578125" style="814" bestFit="1" customWidth="1"/>
    <col min="4" max="4" width="4.85546875" style="814" customWidth="1"/>
    <col min="5" max="6" width="5.140625" style="814" bestFit="1" customWidth="1"/>
    <col min="7" max="10" width="4.140625" style="815" customWidth="1" outlineLevel="1"/>
    <col min="11" max="11" width="12.85546875" style="804" customWidth="1" outlineLevel="1"/>
    <col min="12" max="12" width="14" style="816" customWidth="1"/>
    <col min="13" max="13" width="26.42578125" style="168" bestFit="1" customWidth="1"/>
    <col min="14" max="25" width="11.28515625" style="168"/>
    <col min="26" max="26" width="13.42578125" style="168" customWidth="1"/>
    <col min="27" max="34" width="13.42578125" style="169" hidden="1" customWidth="1"/>
    <col min="35" max="35" width="13.42578125" style="169" customWidth="1"/>
    <col min="36" max="16384" width="11.28515625" style="169"/>
  </cols>
  <sheetData>
    <row r="1" spans="1:35" ht="18" x14ac:dyDescent="0.25">
      <c r="A1" s="776" t="s">
        <v>7458</v>
      </c>
      <c r="B1" s="777"/>
      <c r="C1" s="778">
        <v>1</v>
      </c>
      <c r="D1" s="1967" t="str">
        <f>"variante"&amp;IF(C1&gt;1,"s","")</f>
        <v>variante</v>
      </c>
      <c r="E1" s="1968"/>
      <c r="F1" s="779"/>
      <c r="G1" s="780"/>
      <c r="H1" s="780"/>
      <c r="I1" s="780"/>
      <c r="J1" s="781"/>
      <c r="K1" s="782">
        <f>'ISO 27002'!F2</f>
        <v>0</v>
      </c>
      <c r="L1" s="783"/>
      <c r="M1" s="581"/>
    </row>
    <row r="2" spans="1:35" s="648" customFormat="1" x14ac:dyDescent="0.2">
      <c r="A2" s="545" t="s">
        <v>3585</v>
      </c>
      <c r="B2" s="625" t="s">
        <v>3189</v>
      </c>
      <c r="C2" s="784" t="s">
        <v>3676</v>
      </c>
      <c r="D2" s="698" t="s">
        <v>3677</v>
      </c>
      <c r="E2" s="698" t="s">
        <v>3678</v>
      </c>
      <c r="F2" s="698" t="s">
        <v>3679</v>
      </c>
      <c r="G2" s="699" t="s">
        <v>1428</v>
      </c>
      <c r="H2" s="699" t="s">
        <v>3680</v>
      </c>
      <c r="I2" s="699" t="s">
        <v>2054</v>
      </c>
      <c r="J2" s="699" t="s">
        <v>3681</v>
      </c>
      <c r="K2" s="699">
        <v>2013</v>
      </c>
      <c r="L2" s="699">
        <v>2005</v>
      </c>
      <c r="M2" s="699" t="s">
        <v>3682</v>
      </c>
      <c r="N2" s="611"/>
      <c r="O2" s="611"/>
      <c r="P2" s="611"/>
      <c r="Q2" s="611"/>
      <c r="R2" s="611"/>
      <c r="S2" s="611"/>
      <c r="T2" s="611"/>
      <c r="U2" s="611"/>
      <c r="V2" s="611"/>
      <c r="W2" s="611"/>
      <c r="X2" s="611"/>
      <c r="Y2" s="611"/>
      <c r="Z2" s="611"/>
    </row>
    <row r="3" spans="1:35" x14ac:dyDescent="0.2">
      <c r="A3" s="627" t="s">
        <v>3190</v>
      </c>
      <c r="B3" s="627" t="s">
        <v>2604</v>
      </c>
      <c r="C3" s="701"/>
      <c r="D3" s="1156"/>
      <c r="E3" s="1156"/>
      <c r="F3" s="702"/>
      <c r="G3" s="1479"/>
      <c r="H3" s="1479"/>
      <c r="I3" s="1479"/>
      <c r="J3" s="1459"/>
      <c r="K3" s="1459"/>
      <c r="L3" s="1459"/>
      <c r="M3" s="785"/>
    </row>
    <row r="4" spans="1:35" outlineLevel="1" x14ac:dyDescent="0.2">
      <c r="A4" s="633" t="s">
        <v>4984</v>
      </c>
      <c r="B4" s="634" t="s">
        <v>4529</v>
      </c>
      <c r="C4" s="786"/>
      <c r="D4" s="1156"/>
      <c r="E4" s="1156"/>
      <c r="F4" s="702"/>
      <c r="G4" s="1479"/>
      <c r="H4" s="1479"/>
      <c r="I4" s="1479"/>
      <c r="J4" s="1459"/>
      <c r="K4" s="1459"/>
      <c r="L4" s="1459"/>
      <c r="M4" s="785"/>
      <c r="AA4"/>
      <c r="AB4"/>
      <c r="AC4"/>
      <c r="AD4"/>
      <c r="AE4"/>
      <c r="AF4"/>
      <c r="AG4"/>
      <c r="AH4"/>
      <c r="AI4"/>
    </row>
    <row r="5" spans="1:35" ht="33.75" outlineLevel="2" x14ac:dyDescent="0.2">
      <c r="A5" s="636" t="s">
        <v>3191</v>
      </c>
      <c r="B5" s="636" t="s">
        <v>4743</v>
      </c>
      <c r="C5" s="786"/>
      <c r="D5" s="1156"/>
      <c r="E5" s="1156"/>
      <c r="F5" s="702"/>
      <c r="G5" s="1480">
        <v>4</v>
      </c>
      <c r="H5" s="1480"/>
      <c r="I5" s="1480"/>
      <c r="J5" s="1480" t="s">
        <v>4246</v>
      </c>
      <c r="K5" s="1459" t="s">
        <v>2952</v>
      </c>
      <c r="L5" s="1459" t="s">
        <v>3264</v>
      </c>
      <c r="M5" s="785"/>
      <c r="AA5">
        <f>IF(AND('08 Exs'!C5&gt;Tmin, NOT('08 Exs'!$I5="")),'08 Exs'!$I5,0)</f>
        <v>0</v>
      </c>
      <c r="AB5">
        <f>IF(AND('08 Exs'!D5&gt;Tmin, NOT('08 Exs'!$I5="")),'08 Exs'!$I5,0)</f>
        <v>0</v>
      </c>
      <c r="AC5">
        <f>IF(AND('08 Exs'!E5&gt;Tmin, NOT('08 Exs'!$I5="")),'08 Exs'!$I5,0)</f>
        <v>0</v>
      </c>
      <c r="AD5">
        <f>IF(AND('08 Exs'!F5&gt;Tmin, NOT('08 Exs'!$I5="")),'08 Exs'!$I5,0)</f>
        <v>0</v>
      </c>
      <c r="AE5">
        <f>IF(AND('08 Exs'!C5&lt;Tmax, NOT('08 Exs'!$H5="")),'08 Exs'!$H5,4)</f>
        <v>4</v>
      </c>
      <c r="AF5">
        <f>IF(AND('08 Exs'!D5&lt;Tmax, NOT('08 Exs'!$H5="")),'08 Exs'!$H5,4)</f>
        <v>4</v>
      </c>
      <c r="AG5">
        <f>IF(AND('08 Exs'!E5&lt;Tmax, NOT('08 Exs'!$H5="")),'08 Exs'!$H5,4)</f>
        <v>4</v>
      </c>
      <c r="AH5">
        <f>IF(AND('08 Exs'!F5&lt;Tmax, NOT('08 Exs'!$H5="")),'08 Exs'!$H5,4)</f>
        <v>4</v>
      </c>
      <c r="AI5"/>
    </row>
    <row r="6" spans="1:35" ht="22.5" outlineLevel="2" x14ac:dyDescent="0.2">
      <c r="A6" s="636" t="s">
        <v>3192</v>
      </c>
      <c r="B6" s="636" t="s">
        <v>3714</v>
      </c>
      <c r="C6" s="786"/>
      <c r="D6" s="1156"/>
      <c r="E6" s="1156"/>
      <c r="F6" s="702"/>
      <c r="G6" s="1480">
        <v>4</v>
      </c>
      <c r="H6" s="1480"/>
      <c r="I6" s="1480"/>
      <c r="J6" s="1480" t="s">
        <v>1592</v>
      </c>
      <c r="K6" s="1459"/>
      <c r="L6" s="1459"/>
      <c r="M6" s="785"/>
      <c r="AA6">
        <f>IF(AND('08 Exs'!C6&gt;Tmin, NOT('08 Exs'!$I6="")),'08 Exs'!$I6,0)</f>
        <v>0</v>
      </c>
      <c r="AB6">
        <f>IF(AND('08 Exs'!D6&gt;Tmin, NOT('08 Exs'!$I6="")),'08 Exs'!$I6,0)</f>
        <v>0</v>
      </c>
      <c r="AC6">
        <f>IF(AND('08 Exs'!E6&gt;Tmin, NOT('08 Exs'!$I6="")),'08 Exs'!$I6,0)</f>
        <v>0</v>
      </c>
      <c r="AD6">
        <f>IF(AND('08 Exs'!F6&gt;Tmin, NOT('08 Exs'!$I6="")),'08 Exs'!$I6,0)</f>
        <v>0</v>
      </c>
      <c r="AE6">
        <f>IF(AND('08 Exs'!C6&lt;Tmax, NOT('08 Exs'!$H6="")),'08 Exs'!$H6,4)</f>
        <v>4</v>
      </c>
      <c r="AF6">
        <f>IF(AND('08 Exs'!D6&lt;Tmax, NOT('08 Exs'!$H6="")),'08 Exs'!$H6,4)</f>
        <v>4</v>
      </c>
      <c r="AG6">
        <f>IF(AND('08 Exs'!E6&lt;Tmax, NOT('08 Exs'!$H6="")),'08 Exs'!$H6,4)</f>
        <v>4</v>
      </c>
      <c r="AH6">
        <f>IF(AND('08 Exs'!F6&lt;Tmax, NOT('08 Exs'!$H6="")),'08 Exs'!$H6,4)</f>
        <v>4</v>
      </c>
      <c r="AI6"/>
    </row>
    <row r="7" spans="1:35" ht="22.5" outlineLevel="2" x14ac:dyDescent="0.2">
      <c r="A7" s="636" t="s">
        <v>3715</v>
      </c>
      <c r="B7" s="636" t="s">
        <v>3201</v>
      </c>
      <c r="C7" s="786"/>
      <c r="D7" s="1156"/>
      <c r="E7" s="1156"/>
      <c r="F7" s="702"/>
      <c r="G7" s="1480">
        <v>2</v>
      </c>
      <c r="H7" s="1480">
        <v>2</v>
      </c>
      <c r="I7" s="1480"/>
      <c r="J7" s="1480" t="s">
        <v>1592</v>
      </c>
      <c r="K7" s="1459"/>
      <c r="L7" s="1459"/>
      <c r="M7" s="785"/>
      <c r="AA7">
        <f>IF(AND('08 Exs'!C7&gt;Tmin, NOT('08 Exs'!$I7="")),'08 Exs'!$I7,0)</f>
        <v>0</v>
      </c>
      <c r="AB7">
        <f>IF(AND('08 Exs'!D7&gt;Tmin, NOT('08 Exs'!$I7="")),'08 Exs'!$I7,0)</f>
        <v>0</v>
      </c>
      <c r="AC7">
        <f>IF(AND('08 Exs'!E7&gt;Tmin, NOT('08 Exs'!$I7="")),'08 Exs'!$I7,0)</f>
        <v>0</v>
      </c>
      <c r="AD7">
        <f>IF(AND('08 Exs'!F7&gt;Tmin, NOT('08 Exs'!$I7="")),'08 Exs'!$I7,0)</f>
        <v>0</v>
      </c>
      <c r="AE7">
        <f>IF(AND('08 Exs'!C7&lt;Tmax, NOT('08 Exs'!$H7="")),'08 Exs'!$H7,4)</f>
        <v>2</v>
      </c>
      <c r="AF7">
        <f>IF(AND('08 Exs'!D7&lt;Tmax, NOT('08 Exs'!$H7="")),'08 Exs'!$H7,4)</f>
        <v>2</v>
      </c>
      <c r="AG7">
        <f>IF(AND('08 Exs'!E7&lt;Tmax, NOT('08 Exs'!$H7="")),'08 Exs'!$H7,4)</f>
        <v>2</v>
      </c>
      <c r="AH7">
        <f>IF(AND('08 Exs'!F7&lt;Tmax, NOT('08 Exs'!$H7="")),'08 Exs'!$H7,4)</f>
        <v>2</v>
      </c>
      <c r="AI7"/>
    </row>
    <row r="8" spans="1:35" ht="45" outlineLevel="2" x14ac:dyDescent="0.2">
      <c r="A8" s="636" t="s">
        <v>4581</v>
      </c>
      <c r="B8" s="636" t="s">
        <v>3831</v>
      </c>
      <c r="C8" s="786"/>
      <c r="D8" s="1156"/>
      <c r="E8" s="1156"/>
      <c r="F8" s="702"/>
      <c r="G8" s="1480">
        <v>4</v>
      </c>
      <c r="H8" s="1480">
        <v>2</v>
      </c>
      <c r="I8" s="1480"/>
      <c r="J8" s="1480" t="s">
        <v>2329</v>
      </c>
      <c r="K8" s="1459"/>
      <c r="L8" s="1459"/>
      <c r="M8" s="785"/>
      <c r="AA8">
        <f>IF(AND('08 Exs'!C8&gt;Tmin, NOT('08 Exs'!$I8="")),'08 Exs'!$I8,0)</f>
        <v>0</v>
      </c>
      <c r="AB8">
        <f>IF(AND('08 Exs'!D8&gt;Tmin, NOT('08 Exs'!$I8="")),'08 Exs'!$I8,0)</f>
        <v>0</v>
      </c>
      <c r="AC8">
        <f>IF(AND('08 Exs'!E8&gt;Tmin, NOT('08 Exs'!$I8="")),'08 Exs'!$I8,0)</f>
        <v>0</v>
      </c>
      <c r="AD8">
        <f>IF(AND('08 Exs'!F8&gt;Tmin, NOT('08 Exs'!$I8="")),'08 Exs'!$I8,0)</f>
        <v>0</v>
      </c>
      <c r="AE8">
        <f>IF(AND('08 Exs'!C8&lt;Tmax, NOT('08 Exs'!$H8="")),'08 Exs'!$H8,4)</f>
        <v>2</v>
      </c>
      <c r="AF8">
        <f>IF(AND('08 Exs'!D8&lt;Tmax, NOT('08 Exs'!$H8="")),'08 Exs'!$H8,4)</f>
        <v>2</v>
      </c>
      <c r="AG8">
        <f>IF(AND('08 Exs'!E8&lt;Tmax, NOT('08 Exs'!$H8="")),'08 Exs'!$H8,4)</f>
        <v>2</v>
      </c>
      <c r="AH8">
        <f>IF(AND('08 Exs'!F8&lt;Tmax, NOT('08 Exs'!$H8="")),'08 Exs'!$H8,4)</f>
        <v>2</v>
      </c>
      <c r="AI8"/>
    </row>
    <row r="9" spans="1:35" ht="22.5" outlineLevel="2" x14ac:dyDescent="0.2">
      <c r="A9" s="636" t="s">
        <v>4582</v>
      </c>
      <c r="B9" s="636" t="s">
        <v>4191</v>
      </c>
      <c r="C9" s="786"/>
      <c r="D9" s="1156"/>
      <c r="E9" s="1156"/>
      <c r="F9" s="702"/>
      <c r="G9" s="1480">
        <v>4</v>
      </c>
      <c r="H9" s="1480">
        <v>3</v>
      </c>
      <c r="I9" s="1480"/>
      <c r="J9" s="1480" t="s">
        <v>2329</v>
      </c>
      <c r="K9" s="1459"/>
      <c r="L9" s="1459"/>
      <c r="M9" s="785"/>
      <c r="AA9">
        <f>IF(AND('08 Exs'!C9&gt;Tmin, NOT('08 Exs'!$I9="")),'08 Exs'!$I9,0)</f>
        <v>0</v>
      </c>
      <c r="AB9">
        <f>IF(AND('08 Exs'!D9&gt;Tmin, NOT('08 Exs'!$I9="")),'08 Exs'!$I9,0)</f>
        <v>0</v>
      </c>
      <c r="AC9">
        <f>IF(AND('08 Exs'!E9&gt;Tmin, NOT('08 Exs'!$I9="")),'08 Exs'!$I9,0)</f>
        <v>0</v>
      </c>
      <c r="AD9">
        <f>IF(AND('08 Exs'!F9&gt;Tmin, NOT('08 Exs'!$I9="")),'08 Exs'!$I9,0)</f>
        <v>0</v>
      </c>
      <c r="AE9">
        <f>IF(AND('08 Exs'!C9&lt;Tmax, NOT('08 Exs'!$H9="")),'08 Exs'!$H9,4)</f>
        <v>3</v>
      </c>
      <c r="AF9">
        <f>IF(AND('08 Exs'!D9&lt;Tmax, NOT('08 Exs'!$H9="")),'08 Exs'!$H9,4)</f>
        <v>3</v>
      </c>
      <c r="AG9">
        <f>IF(AND('08 Exs'!E9&lt;Tmax, NOT('08 Exs'!$H9="")),'08 Exs'!$H9,4)</f>
        <v>3</v>
      </c>
      <c r="AH9">
        <f>IF(AND('08 Exs'!F9&lt;Tmax, NOT('08 Exs'!$H9="")),'08 Exs'!$H9,4)</f>
        <v>3</v>
      </c>
      <c r="AI9"/>
    </row>
    <row r="10" spans="1:35" ht="33.75" outlineLevel="2" x14ac:dyDescent="0.2">
      <c r="A10" s="636" t="s">
        <v>4583</v>
      </c>
      <c r="B10" s="636" t="s">
        <v>4158</v>
      </c>
      <c r="C10" s="786"/>
      <c r="D10" s="1156"/>
      <c r="E10" s="1156"/>
      <c r="F10" s="702"/>
      <c r="G10" s="1480">
        <v>4</v>
      </c>
      <c r="H10" s="1480">
        <v>3</v>
      </c>
      <c r="I10" s="1480"/>
      <c r="J10" s="1480" t="s">
        <v>1592</v>
      </c>
      <c r="K10" s="1459"/>
      <c r="L10" s="1459"/>
      <c r="M10" s="785"/>
      <c r="AA10">
        <f>IF(AND('08 Exs'!C10&gt;Tmin, NOT('08 Exs'!$I10="")),'08 Exs'!$I10,0)</f>
        <v>0</v>
      </c>
      <c r="AB10">
        <f>IF(AND('08 Exs'!D10&gt;Tmin, NOT('08 Exs'!$I10="")),'08 Exs'!$I10,0)</f>
        <v>0</v>
      </c>
      <c r="AC10">
        <f>IF(AND('08 Exs'!E10&gt;Tmin, NOT('08 Exs'!$I10="")),'08 Exs'!$I10,0)</f>
        <v>0</v>
      </c>
      <c r="AD10">
        <f>IF(AND('08 Exs'!F10&gt;Tmin, NOT('08 Exs'!$I10="")),'08 Exs'!$I10,0)</f>
        <v>0</v>
      </c>
      <c r="AE10">
        <f>IF(AND('08 Exs'!C10&lt;Tmax, NOT('08 Exs'!$H10="")),'08 Exs'!$H10,4)</f>
        <v>3</v>
      </c>
      <c r="AF10">
        <f>IF(AND('08 Exs'!D10&lt;Tmax, NOT('08 Exs'!$H10="")),'08 Exs'!$H10,4)</f>
        <v>3</v>
      </c>
      <c r="AG10">
        <f>IF(AND('08 Exs'!E10&lt;Tmax, NOT('08 Exs'!$H10="")),'08 Exs'!$H10,4)</f>
        <v>3</v>
      </c>
      <c r="AH10">
        <f>IF(AND('08 Exs'!F10&lt;Tmax, NOT('08 Exs'!$H10="")),'08 Exs'!$H10,4)</f>
        <v>3</v>
      </c>
      <c r="AI10"/>
    </row>
    <row r="11" spans="1:35" ht="45" outlineLevel="2" x14ac:dyDescent="0.2">
      <c r="A11" s="636" t="s">
        <v>4584</v>
      </c>
      <c r="B11" s="636" t="s">
        <v>4131</v>
      </c>
      <c r="C11" s="786"/>
      <c r="D11" s="1156"/>
      <c r="E11" s="1156"/>
      <c r="F11" s="702"/>
      <c r="G11" s="1480">
        <v>4</v>
      </c>
      <c r="H11" s="1480">
        <v>2</v>
      </c>
      <c r="I11" s="1481"/>
      <c r="J11" s="1481" t="s">
        <v>1592</v>
      </c>
      <c r="K11" s="1459"/>
      <c r="L11" s="1459"/>
      <c r="M11" s="785"/>
      <c r="AA11">
        <f>IF(AND('08 Exs'!C11&gt;Tmin, NOT('08 Exs'!$I11="")),'08 Exs'!$I11,0)</f>
        <v>0</v>
      </c>
      <c r="AB11">
        <f>IF(AND('08 Exs'!D11&gt;Tmin, NOT('08 Exs'!$I11="")),'08 Exs'!$I11,0)</f>
        <v>0</v>
      </c>
      <c r="AC11">
        <f>IF(AND('08 Exs'!E11&gt;Tmin, NOT('08 Exs'!$I11="")),'08 Exs'!$I11,0)</f>
        <v>0</v>
      </c>
      <c r="AD11">
        <f>IF(AND('08 Exs'!F11&gt;Tmin, NOT('08 Exs'!$I11="")),'08 Exs'!$I11,0)</f>
        <v>0</v>
      </c>
      <c r="AE11">
        <f>IF(AND('08 Exs'!C11&lt;Tmax, NOT('08 Exs'!$H11="")),'08 Exs'!$H11,4)</f>
        <v>2</v>
      </c>
      <c r="AF11">
        <f>IF(AND('08 Exs'!D11&lt;Tmax, NOT('08 Exs'!$H11="")),'08 Exs'!$H11,4)</f>
        <v>2</v>
      </c>
      <c r="AG11">
        <f>IF(AND('08 Exs'!E11&lt;Tmax, NOT('08 Exs'!$H11="")),'08 Exs'!$H11,4)</f>
        <v>2</v>
      </c>
      <c r="AH11">
        <f>IF(AND('08 Exs'!F11&lt;Tmax, NOT('08 Exs'!$H11="")),'08 Exs'!$H11,4)</f>
        <v>2</v>
      </c>
      <c r="AI11"/>
    </row>
    <row r="12" spans="1:35" outlineLevel="2" x14ac:dyDescent="0.2">
      <c r="A12" s="636" t="s">
        <v>4585</v>
      </c>
      <c r="B12" s="636" t="s">
        <v>4195</v>
      </c>
      <c r="C12" s="786"/>
      <c r="D12" s="1156"/>
      <c r="E12" s="1156"/>
      <c r="F12" s="702"/>
      <c r="G12" s="1480">
        <v>2</v>
      </c>
      <c r="H12" s="1480"/>
      <c r="I12" s="1480"/>
      <c r="J12" s="1480" t="s">
        <v>1592</v>
      </c>
      <c r="K12" s="1459"/>
      <c r="L12" s="1459"/>
      <c r="M12" s="785"/>
      <c r="AA12">
        <f>IF(AND('08 Exs'!C12&gt;Tmin, NOT('08 Exs'!$I12="")),'08 Exs'!$I12,0)</f>
        <v>0</v>
      </c>
      <c r="AB12">
        <f>IF(AND('08 Exs'!D12&gt;Tmin, NOT('08 Exs'!$I12="")),'08 Exs'!$I12,0)</f>
        <v>0</v>
      </c>
      <c r="AC12">
        <f>IF(AND('08 Exs'!E12&gt;Tmin, NOT('08 Exs'!$I12="")),'08 Exs'!$I12,0)</f>
        <v>0</v>
      </c>
      <c r="AD12">
        <f>IF(AND('08 Exs'!F12&gt;Tmin, NOT('08 Exs'!$I12="")),'08 Exs'!$I12,0)</f>
        <v>0</v>
      </c>
      <c r="AE12">
        <f>IF(AND('08 Exs'!C12&lt;Tmax, NOT('08 Exs'!$H12="")),'08 Exs'!$H12,4)</f>
        <v>4</v>
      </c>
      <c r="AF12">
        <f>IF(AND('08 Exs'!D12&lt;Tmax, NOT('08 Exs'!$H12="")),'08 Exs'!$H12,4)</f>
        <v>4</v>
      </c>
      <c r="AG12">
        <f>IF(AND('08 Exs'!E12&lt;Tmax, NOT('08 Exs'!$H12="")),'08 Exs'!$H12,4)</f>
        <v>4</v>
      </c>
      <c r="AH12">
        <f>IF(AND('08 Exs'!F12&lt;Tmax, NOT('08 Exs'!$H12="")),'08 Exs'!$H12,4)</f>
        <v>4</v>
      </c>
      <c r="AI12"/>
    </row>
    <row r="13" spans="1:35" ht="22.5" outlineLevel="2" x14ac:dyDescent="0.2">
      <c r="A13" s="636" t="s">
        <v>4586</v>
      </c>
      <c r="B13" s="636" t="s">
        <v>3154</v>
      </c>
      <c r="C13" s="786"/>
      <c r="D13" s="1156"/>
      <c r="E13" s="1156"/>
      <c r="F13" s="702"/>
      <c r="G13" s="1480">
        <v>2</v>
      </c>
      <c r="H13" s="1480">
        <v>3</v>
      </c>
      <c r="I13" s="1481"/>
      <c r="J13" s="1482" t="s">
        <v>2349</v>
      </c>
      <c r="K13" s="1459"/>
      <c r="L13" s="1459"/>
      <c r="M13" s="785"/>
      <c r="AA13">
        <f>IF(AND('08 Exs'!C13&gt;Tmin, NOT('08 Exs'!$I13="")),'08 Exs'!$I13,0)</f>
        <v>0</v>
      </c>
      <c r="AB13">
        <f>IF(AND('08 Exs'!D13&gt;Tmin, NOT('08 Exs'!$I13="")),'08 Exs'!$I13,0)</f>
        <v>0</v>
      </c>
      <c r="AC13">
        <f>IF(AND('08 Exs'!E13&gt;Tmin, NOT('08 Exs'!$I13="")),'08 Exs'!$I13,0)</f>
        <v>0</v>
      </c>
      <c r="AD13">
        <f>IF(AND('08 Exs'!F13&gt;Tmin, NOT('08 Exs'!$I13="")),'08 Exs'!$I13,0)</f>
        <v>0</v>
      </c>
      <c r="AE13">
        <f>IF(AND('08 Exs'!C13&lt;Tmax, NOT('08 Exs'!$H13="")),'08 Exs'!$H13,4)</f>
        <v>3</v>
      </c>
      <c r="AF13">
        <f>IF(AND('08 Exs'!D13&lt;Tmax, NOT('08 Exs'!$H13="")),'08 Exs'!$H13,4)</f>
        <v>3</v>
      </c>
      <c r="AG13">
        <f>IF(AND('08 Exs'!E13&lt;Tmax, NOT('08 Exs'!$H13="")),'08 Exs'!$H13,4)</f>
        <v>3</v>
      </c>
      <c r="AH13">
        <f>IF(AND('08 Exs'!F13&lt;Tmax, NOT('08 Exs'!$H13="")),'08 Exs'!$H13,4)</f>
        <v>3</v>
      </c>
      <c r="AI13"/>
    </row>
    <row r="14" spans="1:35" ht="22.5" outlineLevel="2" x14ac:dyDescent="0.2">
      <c r="A14" s="636" t="s">
        <v>4587</v>
      </c>
      <c r="B14" s="636" t="s">
        <v>2709</v>
      </c>
      <c r="C14" s="786"/>
      <c r="D14" s="1156"/>
      <c r="E14" s="1156"/>
      <c r="F14" s="702"/>
      <c r="G14" s="1480">
        <v>2</v>
      </c>
      <c r="H14" s="1480">
        <v>3</v>
      </c>
      <c r="I14" s="1481"/>
      <c r="J14" s="1482" t="s">
        <v>2349</v>
      </c>
      <c r="K14" s="1459"/>
      <c r="L14" s="1459"/>
      <c r="M14" s="785"/>
      <c r="AA14">
        <f>IF(AND('08 Exs'!C14&gt;Tmin, NOT('08 Exs'!$I14="")),'08 Exs'!$I14,0)</f>
        <v>0</v>
      </c>
      <c r="AB14">
        <f>IF(AND('08 Exs'!D14&gt;Tmin, NOT('08 Exs'!$I14="")),'08 Exs'!$I14,0)</f>
        <v>0</v>
      </c>
      <c r="AC14">
        <f>IF(AND('08 Exs'!E14&gt;Tmin, NOT('08 Exs'!$I14="")),'08 Exs'!$I14,0)</f>
        <v>0</v>
      </c>
      <c r="AD14">
        <f>IF(AND('08 Exs'!F14&gt;Tmin, NOT('08 Exs'!$I14="")),'08 Exs'!$I14,0)</f>
        <v>0</v>
      </c>
      <c r="AE14">
        <f>IF(AND('08 Exs'!C14&lt;Tmax, NOT('08 Exs'!$H14="")),'08 Exs'!$H14,4)</f>
        <v>3</v>
      </c>
      <c r="AF14">
        <f>IF(AND('08 Exs'!D14&lt;Tmax, NOT('08 Exs'!$H14="")),'08 Exs'!$H14,4)</f>
        <v>3</v>
      </c>
      <c r="AG14">
        <f>IF(AND('08 Exs'!E14&lt;Tmax, NOT('08 Exs'!$H14="")),'08 Exs'!$H14,4)</f>
        <v>3</v>
      </c>
      <c r="AH14">
        <f>IF(AND('08 Exs'!F14&lt;Tmax, NOT('08 Exs'!$H14="")),'08 Exs'!$H14,4)</f>
        <v>3</v>
      </c>
      <c r="AI14"/>
    </row>
    <row r="15" spans="1:35" s="648" customFormat="1" ht="26.25" customHeight="1" outlineLevel="2" x14ac:dyDescent="0.2">
      <c r="A15" s="636" t="s">
        <v>4588</v>
      </c>
      <c r="B15" s="636" t="s">
        <v>5699</v>
      </c>
      <c r="C15" s="786"/>
      <c r="D15" s="1156"/>
      <c r="E15" s="1156"/>
      <c r="F15" s="702"/>
      <c r="G15" s="1480">
        <v>2</v>
      </c>
      <c r="H15" s="1480">
        <v>3</v>
      </c>
      <c r="I15" s="1481"/>
      <c r="J15" s="1482" t="s">
        <v>2109</v>
      </c>
      <c r="K15" s="1459"/>
      <c r="L15" s="1459"/>
      <c r="M15" s="787"/>
      <c r="N15" s="611"/>
      <c r="O15" s="611"/>
      <c r="P15" s="611"/>
      <c r="Q15" s="611"/>
      <c r="R15" s="611"/>
      <c r="S15" s="611"/>
      <c r="T15" s="611"/>
      <c r="U15" s="611"/>
      <c r="V15" s="611"/>
      <c r="W15" s="611"/>
      <c r="X15" s="611"/>
      <c r="Y15" s="611"/>
      <c r="Z15" s="611"/>
      <c r="AA15">
        <f>IF(AND('08 Exs'!C15&gt;Tmin, NOT('08 Exs'!$I15="")),'08 Exs'!$I15,0)</f>
        <v>0</v>
      </c>
      <c r="AB15">
        <f>IF(AND('08 Exs'!D15&gt;Tmin, NOT('08 Exs'!$I15="")),'08 Exs'!$I15,0)</f>
        <v>0</v>
      </c>
      <c r="AC15">
        <f>IF(AND('08 Exs'!E15&gt;Tmin, NOT('08 Exs'!$I15="")),'08 Exs'!$I15,0)</f>
        <v>0</v>
      </c>
      <c r="AD15">
        <f>IF(AND('08 Exs'!F15&gt;Tmin, NOT('08 Exs'!$I15="")),'08 Exs'!$I15,0)</f>
        <v>0</v>
      </c>
      <c r="AE15">
        <f>IF(AND('08 Exs'!C15&lt;Tmax, NOT('08 Exs'!$H15="")),'08 Exs'!$H15,4)</f>
        <v>3</v>
      </c>
      <c r="AF15">
        <f>IF(AND('08 Exs'!D15&lt;Tmax, NOT('08 Exs'!$H15="")),'08 Exs'!$H15,4)</f>
        <v>3</v>
      </c>
      <c r="AG15">
        <f>IF(AND('08 Exs'!E15&lt;Tmax, NOT('08 Exs'!$H15="")),'08 Exs'!$H15,4)</f>
        <v>3</v>
      </c>
      <c r="AH15">
        <f>IF(AND('08 Exs'!F15&lt;Tmax, NOT('08 Exs'!$H15="")),'08 Exs'!$H15,4)</f>
        <v>3</v>
      </c>
      <c r="AI15"/>
    </row>
    <row r="16" spans="1:35" outlineLevel="1" x14ac:dyDescent="0.2">
      <c r="A16" s="633" t="s">
        <v>4423</v>
      </c>
      <c r="B16" s="634" t="s">
        <v>4578</v>
      </c>
      <c r="C16" s="786"/>
      <c r="D16" s="1156"/>
      <c r="E16" s="1156"/>
      <c r="F16" s="702"/>
      <c r="G16" s="1480"/>
      <c r="H16" s="1480"/>
      <c r="I16" s="1480"/>
      <c r="J16" s="1459"/>
      <c r="K16" s="1459"/>
      <c r="L16" s="1459"/>
      <c r="M16" s="785"/>
      <c r="AA16"/>
      <c r="AB16"/>
      <c r="AC16"/>
      <c r="AD16"/>
      <c r="AE16"/>
      <c r="AF16"/>
      <c r="AG16"/>
      <c r="AH16"/>
      <c r="AI16"/>
    </row>
    <row r="17" spans="1:35" ht="22.5" outlineLevel="2" x14ac:dyDescent="0.2">
      <c r="A17" s="636" t="s">
        <v>4589</v>
      </c>
      <c r="B17" s="636" t="s">
        <v>3797</v>
      </c>
      <c r="C17" s="786"/>
      <c r="D17" s="1156"/>
      <c r="E17" s="1156"/>
      <c r="F17" s="702"/>
      <c r="G17" s="1480">
        <v>4</v>
      </c>
      <c r="H17" s="1480"/>
      <c r="I17" s="1480"/>
      <c r="J17" s="1480" t="s">
        <v>4246</v>
      </c>
      <c r="K17" s="1459" t="s">
        <v>6989</v>
      </c>
      <c r="L17" s="1459"/>
      <c r="M17" s="785"/>
      <c r="AA17">
        <f>IF(AND('08 Exs'!C17&gt;Tmin, NOT('08 Exs'!$I17="")),'08 Exs'!$I17,0)</f>
        <v>0</v>
      </c>
      <c r="AB17">
        <f>IF(AND('08 Exs'!D17&gt;Tmin, NOT('08 Exs'!$I17="")),'08 Exs'!$I17,0)</f>
        <v>0</v>
      </c>
      <c r="AC17">
        <f>IF(AND('08 Exs'!E17&gt;Tmin, NOT('08 Exs'!$I17="")),'08 Exs'!$I17,0)</f>
        <v>0</v>
      </c>
      <c r="AD17">
        <f>IF(AND('08 Exs'!F17&gt;Tmin, NOT('08 Exs'!$I17="")),'08 Exs'!$I17,0)</f>
        <v>0</v>
      </c>
      <c r="AE17">
        <f>IF(AND('08 Exs'!C17&lt;Tmax, NOT('08 Exs'!$H17="")),'08 Exs'!$H17,4)</f>
        <v>4</v>
      </c>
      <c r="AF17">
        <f>IF(AND('08 Exs'!D17&lt;Tmax, NOT('08 Exs'!$H17="")),'08 Exs'!$H17,4)</f>
        <v>4</v>
      </c>
      <c r="AG17">
        <f>IF(AND('08 Exs'!E17&lt;Tmax, NOT('08 Exs'!$H17="")),'08 Exs'!$H17,4)</f>
        <v>4</v>
      </c>
      <c r="AH17">
        <f>IF(AND('08 Exs'!F17&lt;Tmax, NOT('08 Exs'!$H17="")),'08 Exs'!$H17,4)</f>
        <v>4</v>
      </c>
      <c r="AI17"/>
    </row>
    <row r="18" spans="1:35" outlineLevel="2" x14ac:dyDescent="0.2">
      <c r="A18" s="636" t="s">
        <v>4590</v>
      </c>
      <c r="B18" s="636" t="s">
        <v>4591</v>
      </c>
      <c r="C18" s="786"/>
      <c r="D18" s="1156"/>
      <c r="E18" s="1156"/>
      <c r="F18" s="702"/>
      <c r="G18" s="1480">
        <v>4</v>
      </c>
      <c r="H18" s="1480"/>
      <c r="I18" s="1480"/>
      <c r="J18" s="1480" t="s">
        <v>1592</v>
      </c>
      <c r="K18" s="1459" t="s">
        <v>6989</v>
      </c>
      <c r="L18" s="1459"/>
      <c r="M18" s="785"/>
      <c r="AA18">
        <f>IF(AND('08 Exs'!C18&gt;Tmin, NOT('08 Exs'!$I18="")),'08 Exs'!$I18,0)</f>
        <v>0</v>
      </c>
      <c r="AB18">
        <f>IF(AND('08 Exs'!D18&gt;Tmin, NOT('08 Exs'!$I18="")),'08 Exs'!$I18,0)</f>
        <v>0</v>
      </c>
      <c r="AC18">
        <f>IF(AND('08 Exs'!E18&gt;Tmin, NOT('08 Exs'!$I18="")),'08 Exs'!$I18,0)</f>
        <v>0</v>
      </c>
      <c r="AD18">
        <f>IF(AND('08 Exs'!F18&gt;Tmin, NOT('08 Exs'!$I18="")),'08 Exs'!$I18,0)</f>
        <v>0</v>
      </c>
      <c r="AE18">
        <f>IF(AND('08 Exs'!C18&lt;Tmax, NOT('08 Exs'!$H18="")),'08 Exs'!$H18,4)</f>
        <v>4</v>
      </c>
      <c r="AF18">
        <f>IF(AND('08 Exs'!D18&lt;Tmax, NOT('08 Exs'!$H18="")),'08 Exs'!$H18,4)</f>
        <v>4</v>
      </c>
      <c r="AG18">
        <f>IF(AND('08 Exs'!E18&lt;Tmax, NOT('08 Exs'!$H18="")),'08 Exs'!$H18,4)</f>
        <v>4</v>
      </c>
      <c r="AH18">
        <f>IF(AND('08 Exs'!F18&lt;Tmax, NOT('08 Exs'!$H18="")),'08 Exs'!$H18,4)</f>
        <v>4</v>
      </c>
      <c r="AI18"/>
    </row>
    <row r="19" spans="1:35" ht="22.5" outlineLevel="2" x14ac:dyDescent="0.2">
      <c r="A19" s="636" t="s">
        <v>4592</v>
      </c>
      <c r="B19" s="636" t="s">
        <v>1703</v>
      </c>
      <c r="C19" s="786"/>
      <c r="D19" s="1156"/>
      <c r="E19" s="1156"/>
      <c r="F19" s="702"/>
      <c r="G19" s="1480">
        <v>4</v>
      </c>
      <c r="H19" s="1480"/>
      <c r="I19" s="1480"/>
      <c r="J19" s="1480" t="s">
        <v>1592</v>
      </c>
      <c r="K19" s="1459" t="s">
        <v>7130</v>
      </c>
      <c r="L19" s="1459" t="s">
        <v>7356</v>
      </c>
      <c r="M19" s="713"/>
      <c r="AA19">
        <f>IF(AND('08 Exs'!C19&gt;Tmin, NOT('08 Exs'!$I19="")),'08 Exs'!$I19,0)</f>
        <v>0</v>
      </c>
      <c r="AB19">
        <f>IF(AND('08 Exs'!D19&gt;Tmin, NOT('08 Exs'!$I19="")),'08 Exs'!$I19,0)</f>
        <v>0</v>
      </c>
      <c r="AC19">
        <f>IF(AND('08 Exs'!E19&gt;Tmin, NOT('08 Exs'!$I19="")),'08 Exs'!$I19,0)</f>
        <v>0</v>
      </c>
      <c r="AD19">
        <f>IF(AND('08 Exs'!F19&gt;Tmin, NOT('08 Exs'!$I19="")),'08 Exs'!$I19,0)</f>
        <v>0</v>
      </c>
      <c r="AE19">
        <f>IF(AND('08 Exs'!C19&lt;Tmax, NOT('08 Exs'!$H19="")),'08 Exs'!$H19,4)</f>
        <v>4</v>
      </c>
      <c r="AF19">
        <f>IF(AND('08 Exs'!D19&lt;Tmax, NOT('08 Exs'!$H19="")),'08 Exs'!$H19,4)</f>
        <v>4</v>
      </c>
      <c r="AG19">
        <f>IF(AND('08 Exs'!E19&lt;Tmax, NOT('08 Exs'!$H19="")),'08 Exs'!$H19,4)</f>
        <v>4</v>
      </c>
      <c r="AH19">
        <f>IF(AND('08 Exs'!F19&lt;Tmax, NOT('08 Exs'!$H19="")),'08 Exs'!$H19,4)</f>
        <v>4</v>
      </c>
      <c r="AI19"/>
    </row>
    <row r="20" spans="1:35" ht="22.5" outlineLevel="2" x14ac:dyDescent="0.2">
      <c r="A20" s="636" t="s">
        <v>1704</v>
      </c>
      <c r="B20" s="636" t="s">
        <v>5132</v>
      </c>
      <c r="C20" s="786"/>
      <c r="D20" s="1156"/>
      <c r="E20" s="1156"/>
      <c r="F20" s="710"/>
      <c r="G20" s="1480">
        <v>2</v>
      </c>
      <c r="H20" s="1480">
        <v>2</v>
      </c>
      <c r="I20" s="1480"/>
      <c r="J20" s="1480" t="s">
        <v>2329</v>
      </c>
      <c r="K20" s="1459" t="s">
        <v>7130</v>
      </c>
      <c r="L20" s="1459" t="s">
        <v>7356</v>
      </c>
      <c r="M20" s="713"/>
      <c r="AA20">
        <f>IF(AND('08 Exs'!C20&gt;Tmin, NOT('08 Exs'!$I20="")),'08 Exs'!$I20,0)</f>
        <v>0</v>
      </c>
      <c r="AB20">
        <f>IF(AND('08 Exs'!D20&gt;Tmin, NOT('08 Exs'!$I20="")),'08 Exs'!$I20,0)</f>
        <v>0</v>
      </c>
      <c r="AC20">
        <f>IF(AND('08 Exs'!E20&gt;Tmin, NOT('08 Exs'!$I20="")),'08 Exs'!$I20,0)</f>
        <v>0</v>
      </c>
      <c r="AD20">
        <f>IF(AND('08 Exs'!F20&gt;Tmin, NOT('08 Exs'!$I20="")),'08 Exs'!$I20,0)</f>
        <v>0</v>
      </c>
      <c r="AE20">
        <f>IF(AND('08 Exs'!C20&lt;Tmax, NOT('08 Exs'!$H20="")),'08 Exs'!$H20,4)</f>
        <v>2</v>
      </c>
      <c r="AF20">
        <f>IF(AND('08 Exs'!D20&lt;Tmax, NOT('08 Exs'!$H20="")),'08 Exs'!$H20,4)</f>
        <v>2</v>
      </c>
      <c r="AG20">
        <f>IF(AND('08 Exs'!E20&lt;Tmax, NOT('08 Exs'!$H20="")),'08 Exs'!$H20,4)</f>
        <v>2</v>
      </c>
      <c r="AH20">
        <f>IF(AND('08 Exs'!F20&lt;Tmax, NOT('08 Exs'!$H20="")),'08 Exs'!$H20,4)</f>
        <v>2</v>
      </c>
      <c r="AI20"/>
    </row>
    <row r="21" spans="1:35" outlineLevel="2" x14ac:dyDescent="0.2">
      <c r="A21" s="636" t="s">
        <v>5133</v>
      </c>
      <c r="B21" s="636" t="s">
        <v>5788</v>
      </c>
      <c r="C21" s="786"/>
      <c r="D21" s="1156"/>
      <c r="E21" s="1156"/>
      <c r="F21" s="702"/>
      <c r="G21" s="1480">
        <v>2</v>
      </c>
      <c r="H21" s="1480">
        <v>2</v>
      </c>
      <c r="I21" s="1480"/>
      <c r="J21" s="1480" t="s">
        <v>1592</v>
      </c>
      <c r="K21" s="1459" t="s">
        <v>7130</v>
      </c>
      <c r="L21" s="1459" t="s">
        <v>7356</v>
      </c>
      <c r="M21" s="785"/>
      <c r="AA21">
        <f>IF(AND('08 Exs'!C21&gt;Tmin, NOT('08 Exs'!$I21="")),'08 Exs'!$I21,0)</f>
        <v>0</v>
      </c>
      <c r="AB21">
        <f>IF(AND('08 Exs'!D21&gt;Tmin, NOT('08 Exs'!$I21="")),'08 Exs'!$I21,0)</f>
        <v>0</v>
      </c>
      <c r="AC21">
        <f>IF(AND('08 Exs'!E21&gt;Tmin, NOT('08 Exs'!$I21="")),'08 Exs'!$I21,0)</f>
        <v>0</v>
      </c>
      <c r="AD21">
        <f>IF(AND('08 Exs'!F21&gt;Tmin, NOT('08 Exs'!$I21="")),'08 Exs'!$I21,0)</f>
        <v>0</v>
      </c>
      <c r="AE21">
        <f>IF(AND('08 Exs'!C21&lt;Tmax, NOT('08 Exs'!$H21="")),'08 Exs'!$H21,4)</f>
        <v>2</v>
      </c>
      <c r="AF21">
        <f>IF(AND('08 Exs'!D21&lt;Tmax, NOT('08 Exs'!$H21="")),'08 Exs'!$H21,4)</f>
        <v>2</v>
      </c>
      <c r="AG21">
        <f>IF(AND('08 Exs'!E21&lt;Tmax, NOT('08 Exs'!$H21="")),'08 Exs'!$H21,4)</f>
        <v>2</v>
      </c>
      <c r="AH21">
        <f>IF(AND('08 Exs'!F21&lt;Tmax, NOT('08 Exs'!$H21="")),'08 Exs'!$H21,4)</f>
        <v>2</v>
      </c>
      <c r="AI21"/>
    </row>
    <row r="22" spans="1:35" outlineLevel="2" x14ac:dyDescent="0.2">
      <c r="A22" s="636" t="s">
        <v>5134</v>
      </c>
      <c r="B22" s="636" t="s">
        <v>6575</v>
      </c>
      <c r="C22" s="786"/>
      <c r="D22" s="702"/>
      <c r="E22" s="702"/>
      <c r="F22" s="702"/>
      <c r="G22" s="1480">
        <v>2</v>
      </c>
      <c r="H22" s="1480">
        <v>2</v>
      </c>
      <c r="I22" s="1480"/>
      <c r="J22" s="1480" t="s">
        <v>2329</v>
      </c>
      <c r="K22" s="1459" t="s">
        <v>7131</v>
      </c>
      <c r="L22" s="1459" t="s">
        <v>7356</v>
      </c>
      <c r="M22" s="785"/>
      <c r="AA22">
        <f>IF(AND('08 Exs'!C22&gt;Tmin, NOT('08 Exs'!$I22="")),'08 Exs'!$I22,0)</f>
        <v>0</v>
      </c>
      <c r="AB22">
        <f>IF(AND('08 Exs'!D22&gt;Tmin, NOT('08 Exs'!$I22="")),'08 Exs'!$I22,0)</f>
        <v>0</v>
      </c>
      <c r="AC22">
        <f>IF(AND('08 Exs'!E22&gt;Tmin, NOT('08 Exs'!$I22="")),'08 Exs'!$I22,0)</f>
        <v>0</v>
      </c>
      <c r="AD22">
        <f>IF(AND('08 Exs'!F22&gt;Tmin, NOT('08 Exs'!$I22="")),'08 Exs'!$I22,0)</f>
        <v>0</v>
      </c>
      <c r="AE22">
        <f>IF(AND('08 Exs'!C22&lt;Tmax, NOT('08 Exs'!$H22="")),'08 Exs'!$H22,4)</f>
        <v>2</v>
      </c>
      <c r="AF22">
        <f>IF(AND('08 Exs'!D22&lt;Tmax, NOT('08 Exs'!$H22="")),'08 Exs'!$H22,4)</f>
        <v>2</v>
      </c>
      <c r="AG22">
        <f>IF(AND('08 Exs'!E22&lt;Tmax, NOT('08 Exs'!$H22="")),'08 Exs'!$H22,4)</f>
        <v>2</v>
      </c>
      <c r="AH22">
        <f>IF(AND('08 Exs'!F22&lt;Tmax, NOT('08 Exs'!$H22="")),'08 Exs'!$H22,4)</f>
        <v>2</v>
      </c>
      <c r="AI22"/>
    </row>
    <row r="23" spans="1:35" ht="22.5" outlineLevel="2" x14ac:dyDescent="0.2">
      <c r="A23" s="636" t="s">
        <v>5135</v>
      </c>
      <c r="B23" s="636" t="s">
        <v>5789</v>
      </c>
      <c r="C23" s="786"/>
      <c r="D23" s="702"/>
      <c r="E23" s="702"/>
      <c r="F23" s="702"/>
      <c r="G23" s="1480">
        <v>4</v>
      </c>
      <c r="H23" s="1480">
        <v>2</v>
      </c>
      <c r="I23" s="1480"/>
      <c r="J23" s="1480" t="s">
        <v>2329</v>
      </c>
      <c r="K23" s="1459" t="s">
        <v>7131</v>
      </c>
      <c r="L23" s="1459" t="s">
        <v>7356</v>
      </c>
      <c r="M23" s="785"/>
      <c r="AA23">
        <f>IF(AND('08 Exs'!C23&gt;Tmin, NOT('08 Exs'!$I23="")),'08 Exs'!$I23,0)</f>
        <v>0</v>
      </c>
      <c r="AB23">
        <f>IF(AND('08 Exs'!D23&gt;Tmin, NOT('08 Exs'!$I23="")),'08 Exs'!$I23,0)</f>
        <v>0</v>
      </c>
      <c r="AC23">
        <f>IF(AND('08 Exs'!E23&gt;Tmin, NOT('08 Exs'!$I23="")),'08 Exs'!$I23,0)</f>
        <v>0</v>
      </c>
      <c r="AD23">
        <f>IF(AND('08 Exs'!F23&gt;Tmin, NOT('08 Exs'!$I23="")),'08 Exs'!$I23,0)</f>
        <v>0</v>
      </c>
      <c r="AE23">
        <f>IF(AND('08 Exs'!C23&lt;Tmax, NOT('08 Exs'!$H23="")),'08 Exs'!$H23,4)</f>
        <v>2</v>
      </c>
      <c r="AF23">
        <f>IF(AND('08 Exs'!D23&lt;Tmax, NOT('08 Exs'!$H23="")),'08 Exs'!$H23,4)</f>
        <v>2</v>
      </c>
      <c r="AG23">
        <f>IF(AND('08 Exs'!E23&lt;Tmax, NOT('08 Exs'!$H23="")),'08 Exs'!$H23,4)</f>
        <v>2</v>
      </c>
      <c r="AH23">
        <f>IF(AND('08 Exs'!F23&lt;Tmax, NOT('08 Exs'!$H23="")),'08 Exs'!$H23,4)</f>
        <v>2</v>
      </c>
      <c r="AI23"/>
    </row>
    <row r="24" spans="1:35" ht="22.5" outlineLevel="2" x14ac:dyDescent="0.2">
      <c r="A24" s="636" t="s">
        <v>5136</v>
      </c>
      <c r="B24" s="636" t="s">
        <v>6672</v>
      </c>
      <c r="C24" s="786"/>
      <c r="D24" s="702"/>
      <c r="E24" s="702"/>
      <c r="F24" s="702"/>
      <c r="G24" s="1480">
        <v>2</v>
      </c>
      <c r="H24" s="1480">
        <v>2</v>
      </c>
      <c r="I24" s="1480"/>
      <c r="J24" s="1459" t="s">
        <v>2109</v>
      </c>
      <c r="K24" s="1459"/>
      <c r="L24" s="1459"/>
      <c r="M24" s="785"/>
      <c r="AA24">
        <f>IF(AND('08 Exs'!C24&gt;Tmin, NOT('08 Exs'!$I24="")),'08 Exs'!$I24,0)</f>
        <v>0</v>
      </c>
      <c r="AB24">
        <f>IF(AND('08 Exs'!D24&gt;Tmin, NOT('08 Exs'!$I24="")),'08 Exs'!$I24,0)</f>
        <v>0</v>
      </c>
      <c r="AC24">
        <f>IF(AND('08 Exs'!E24&gt;Tmin, NOT('08 Exs'!$I24="")),'08 Exs'!$I24,0)</f>
        <v>0</v>
      </c>
      <c r="AD24">
        <f>IF(AND('08 Exs'!F24&gt;Tmin, NOT('08 Exs'!$I24="")),'08 Exs'!$I24,0)</f>
        <v>0</v>
      </c>
      <c r="AE24">
        <f>IF(AND('08 Exs'!C24&lt;Tmax, NOT('08 Exs'!$H24="")),'08 Exs'!$H24,4)</f>
        <v>2</v>
      </c>
      <c r="AF24">
        <f>IF(AND('08 Exs'!D24&lt;Tmax, NOT('08 Exs'!$H24="")),'08 Exs'!$H24,4)</f>
        <v>2</v>
      </c>
      <c r="AG24">
        <f>IF(AND('08 Exs'!E24&lt;Tmax, NOT('08 Exs'!$H24="")),'08 Exs'!$H24,4)</f>
        <v>2</v>
      </c>
      <c r="AH24">
        <f>IF(AND('08 Exs'!F24&lt;Tmax, NOT('08 Exs'!$H24="")),'08 Exs'!$H24,4)</f>
        <v>2</v>
      </c>
      <c r="AI24"/>
    </row>
    <row r="25" spans="1:35" ht="33" outlineLevel="1" x14ac:dyDescent="0.2">
      <c r="A25" s="633" t="s">
        <v>4324</v>
      </c>
      <c r="B25" s="634" t="s">
        <v>3798</v>
      </c>
      <c r="C25" s="786"/>
      <c r="D25" s="702"/>
      <c r="E25" s="702"/>
      <c r="F25" s="702"/>
      <c r="G25" s="1480"/>
      <c r="H25" s="1480"/>
      <c r="I25" s="1480"/>
      <c r="J25" s="1480"/>
      <c r="K25" s="1459"/>
      <c r="L25" s="1459"/>
      <c r="M25" s="785"/>
      <c r="AA25"/>
      <c r="AB25"/>
      <c r="AC25"/>
      <c r="AD25"/>
      <c r="AE25"/>
      <c r="AF25"/>
      <c r="AG25"/>
      <c r="AH25"/>
      <c r="AI25"/>
    </row>
    <row r="26" spans="1:35" ht="22.5" outlineLevel="2" x14ac:dyDescent="0.2">
      <c r="A26" s="636" t="s">
        <v>6673</v>
      </c>
      <c r="B26" s="636" t="s">
        <v>2710</v>
      </c>
      <c r="C26" s="786"/>
      <c r="D26" s="702"/>
      <c r="E26" s="702"/>
      <c r="F26" s="702"/>
      <c r="G26" s="1480">
        <v>4</v>
      </c>
      <c r="H26" s="1480"/>
      <c r="I26" s="1480"/>
      <c r="J26" s="1480" t="s">
        <v>4246</v>
      </c>
      <c r="K26" s="1459" t="s">
        <v>7132</v>
      </c>
      <c r="L26" s="1459" t="s">
        <v>5713</v>
      </c>
      <c r="M26" s="788"/>
      <c r="AA26">
        <f>IF(AND('08 Exs'!C26&gt;Tmin, NOT('08 Exs'!$I26="")),'08 Exs'!$I26,0)</f>
        <v>0</v>
      </c>
      <c r="AB26">
        <f>IF(AND('08 Exs'!D26&gt;Tmin, NOT('08 Exs'!$I26="")),'08 Exs'!$I26,0)</f>
        <v>0</v>
      </c>
      <c r="AC26">
        <f>IF(AND('08 Exs'!E26&gt;Tmin, NOT('08 Exs'!$I26="")),'08 Exs'!$I26,0)</f>
        <v>0</v>
      </c>
      <c r="AD26">
        <f>IF(AND('08 Exs'!F26&gt;Tmin, NOT('08 Exs'!$I26="")),'08 Exs'!$I26,0)</f>
        <v>0</v>
      </c>
      <c r="AE26">
        <f>IF(AND('08 Exs'!C26&lt;Tmax, NOT('08 Exs'!$H26="")),'08 Exs'!$H26,4)</f>
        <v>4</v>
      </c>
      <c r="AF26">
        <f>IF(AND('08 Exs'!D26&lt;Tmax, NOT('08 Exs'!$H26="")),'08 Exs'!$H26,4)</f>
        <v>4</v>
      </c>
      <c r="AG26">
        <f>IF(AND('08 Exs'!E26&lt;Tmax, NOT('08 Exs'!$H26="")),'08 Exs'!$H26,4)</f>
        <v>4</v>
      </c>
      <c r="AH26">
        <f>IF(AND('08 Exs'!F26&lt;Tmax, NOT('08 Exs'!$H26="")),'08 Exs'!$H26,4)</f>
        <v>4</v>
      </c>
      <c r="AI26"/>
    </row>
    <row r="27" spans="1:35" ht="22.5" outlineLevel="2" x14ac:dyDescent="0.2">
      <c r="A27" s="636" t="s">
        <v>6674</v>
      </c>
      <c r="B27" s="636" t="s">
        <v>5664</v>
      </c>
      <c r="C27" s="786"/>
      <c r="D27" s="702"/>
      <c r="E27" s="702"/>
      <c r="F27" s="702"/>
      <c r="G27" s="1480">
        <v>2</v>
      </c>
      <c r="H27" s="1480"/>
      <c r="I27" s="1480"/>
      <c r="J27" s="1480" t="s">
        <v>1592</v>
      </c>
      <c r="K27" s="1459" t="s">
        <v>7133</v>
      </c>
      <c r="L27" s="1459" t="s">
        <v>7325</v>
      </c>
      <c r="M27" s="785"/>
      <c r="AA27">
        <f>IF(AND('08 Exs'!C27&gt;Tmin, NOT('08 Exs'!$I27="")),'08 Exs'!$I27,0)</f>
        <v>0</v>
      </c>
      <c r="AB27">
        <f>IF(AND('08 Exs'!D27&gt;Tmin, NOT('08 Exs'!$I27="")),'08 Exs'!$I27,0)</f>
        <v>0</v>
      </c>
      <c r="AC27">
        <f>IF(AND('08 Exs'!E27&gt;Tmin, NOT('08 Exs'!$I27="")),'08 Exs'!$I27,0)</f>
        <v>0</v>
      </c>
      <c r="AD27">
        <f>IF(AND('08 Exs'!F27&gt;Tmin, NOT('08 Exs'!$I27="")),'08 Exs'!$I27,0)</f>
        <v>0</v>
      </c>
      <c r="AE27">
        <f>IF(AND('08 Exs'!C27&lt;Tmax, NOT('08 Exs'!$H27="")),'08 Exs'!$H27,4)</f>
        <v>4</v>
      </c>
      <c r="AF27">
        <f>IF(AND('08 Exs'!D27&lt;Tmax, NOT('08 Exs'!$H27="")),'08 Exs'!$H27,4)</f>
        <v>4</v>
      </c>
      <c r="AG27">
        <f>IF(AND('08 Exs'!E27&lt;Tmax, NOT('08 Exs'!$H27="")),'08 Exs'!$H27,4)</f>
        <v>4</v>
      </c>
      <c r="AH27">
        <f>IF(AND('08 Exs'!F27&lt;Tmax, NOT('08 Exs'!$H27="")),'08 Exs'!$H27,4)</f>
        <v>4</v>
      </c>
      <c r="AI27"/>
    </row>
    <row r="28" spans="1:35" ht="33.75" outlineLevel="2" x14ac:dyDescent="0.2">
      <c r="A28" s="636" t="s">
        <v>6675</v>
      </c>
      <c r="B28" s="636" t="s">
        <v>3263</v>
      </c>
      <c r="C28" s="786"/>
      <c r="D28" s="702"/>
      <c r="E28" s="702"/>
      <c r="F28" s="702"/>
      <c r="G28" s="1480">
        <v>2</v>
      </c>
      <c r="H28" s="1480"/>
      <c r="I28" s="1480"/>
      <c r="J28" s="1480" t="s">
        <v>1592</v>
      </c>
      <c r="K28" s="1459" t="s">
        <v>7134</v>
      </c>
      <c r="L28" s="1459" t="s">
        <v>7357</v>
      </c>
      <c r="M28" s="785"/>
      <c r="AA28">
        <f>IF(AND('08 Exs'!C28&gt;Tmin, NOT('08 Exs'!$I28="")),'08 Exs'!$I28,0)</f>
        <v>0</v>
      </c>
      <c r="AB28">
        <f>IF(AND('08 Exs'!D28&gt;Tmin, NOT('08 Exs'!$I28="")),'08 Exs'!$I28,0)</f>
        <v>0</v>
      </c>
      <c r="AC28">
        <f>IF(AND('08 Exs'!E28&gt;Tmin, NOT('08 Exs'!$I28="")),'08 Exs'!$I28,0)</f>
        <v>0</v>
      </c>
      <c r="AD28">
        <f>IF(AND('08 Exs'!F28&gt;Tmin, NOT('08 Exs'!$I28="")),'08 Exs'!$I28,0)</f>
        <v>0</v>
      </c>
      <c r="AE28">
        <f>IF(AND('08 Exs'!C28&lt;Tmax, NOT('08 Exs'!$H28="")),'08 Exs'!$H28,4)</f>
        <v>4</v>
      </c>
      <c r="AF28">
        <f>IF(AND('08 Exs'!D28&lt;Tmax, NOT('08 Exs'!$H28="")),'08 Exs'!$H28,4)</f>
        <v>4</v>
      </c>
      <c r="AG28">
        <f>IF(AND('08 Exs'!E28&lt;Tmax, NOT('08 Exs'!$H28="")),'08 Exs'!$H28,4)</f>
        <v>4</v>
      </c>
      <c r="AH28">
        <f>IF(AND('08 Exs'!F28&lt;Tmax, NOT('08 Exs'!$H28="")),'08 Exs'!$H28,4)</f>
        <v>4</v>
      </c>
      <c r="AI28"/>
    </row>
    <row r="29" spans="1:35" ht="22.5" outlineLevel="2" x14ac:dyDescent="0.2">
      <c r="A29" s="636" t="s">
        <v>3298</v>
      </c>
      <c r="B29" s="636" t="s">
        <v>4794</v>
      </c>
      <c r="C29" s="786"/>
      <c r="D29" s="702"/>
      <c r="E29" s="702"/>
      <c r="F29" s="702"/>
      <c r="G29" s="1480">
        <v>4</v>
      </c>
      <c r="H29" s="1480">
        <v>2</v>
      </c>
      <c r="I29" s="1480"/>
      <c r="J29" s="1480" t="s">
        <v>1592</v>
      </c>
      <c r="K29" s="1458" t="s">
        <v>7135</v>
      </c>
      <c r="L29" s="1459" t="s">
        <v>7358</v>
      </c>
      <c r="M29" s="785"/>
      <c r="AA29">
        <f>IF(AND('08 Exs'!C29&gt;Tmin, NOT('08 Exs'!$I29="")),'08 Exs'!$I29,0)</f>
        <v>0</v>
      </c>
      <c r="AB29">
        <f>IF(AND('08 Exs'!D29&gt;Tmin, NOT('08 Exs'!$I29="")),'08 Exs'!$I29,0)</f>
        <v>0</v>
      </c>
      <c r="AC29">
        <f>IF(AND('08 Exs'!E29&gt;Tmin, NOT('08 Exs'!$I29="")),'08 Exs'!$I29,0)</f>
        <v>0</v>
      </c>
      <c r="AD29">
        <f>IF(AND('08 Exs'!F29&gt;Tmin, NOT('08 Exs'!$I29="")),'08 Exs'!$I29,0)</f>
        <v>0</v>
      </c>
      <c r="AE29">
        <f>IF(AND('08 Exs'!C29&lt;Tmax, NOT('08 Exs'!$H29="")),'08 Exs'!$H29,4)</f>
        <v>2</v>
      </c>
      <c r="AF29">
        <f>IF(AND('08 Exs'!D29&lt;Tmax, NOT('08 Exs'!$H29="")),'08 Exs'!$H29,4)</f>
        <v>2</v>
      </c>
      <c r="AG29">
        <f>IF(AND('08 Exs'!E29&lt;Tmax, NOT('08 Exs'!$H29="")),'08 Exs'!$H29,4)</f>
        <v>2</v>
      </c>
      <c r="AH29">
        <f>IF(AND('08 Exs'!F29&lt;Tmax, NOT('08 Exs'!$H29="")),'08 Exs'!$H29,4)</f>
        <v>2</v>
      </c>
      <c r="AI29"/>
    </row>
    <row r="30" spans="1:35" ht="22.5" outlineLevel="2" x14ac:dyDescent="0.2">
      <c r="A30" s="636" t="s">
        <v>3299</v>
      </c>
      <c r="B30" s="636" t="s">
        <v>1411</v>
      </c>
      <c r="C30" s="786"/>
      <c r="D30" s="702"/>
      <c r="E30" s="702"/>
      <c r="F30" s="702"/>
      <c r="G30" s="1480">
        <v>2</v>
      </c>
      <c r="H30" s="1480"/>
      <c r="I30" s="1480"/>
      <c r="J30" s="1480" t="s">
        <v>1592</v>
      </c>
      <c r="K30" s="1458" t="s">
        <v>7136</v>
      </c>
      <c r="L30" s="1459" t="s">
        <v>7326</v>
      </c>
      <c r="M30" s="785"/>
      <c r="AA30">
        <f>IF(AND('08 Exs'!C30&gt;Tmin, NOT('08 Exs'!$I30="")),'08 Exs'!$I30,0)</f>
        <v>0</v>
      </c>
      <c r="AB30">
        <f>IF(AND('08 Exs'!D30&gt;Tmin, NOT('08 Exs'!$I30="")),'08 Exs'!$I30,0)</f>
        <v>0</v>
      </c>
      <c r="AC30">
        <f>IF(AND('08 Exs'!E30&gt;Tmin, NOT('08 Exs'!$I30="")),'08 Exs'!$I30,0)</f>
        <v>0</v>
      </c>
      <c r="AD30">
        <f>IF(AND('08 Exs'!F30&gt;Tmin, NOT('08 Exs'!$I30="")),'08 Exs'!$I30,0)</f>
        <v>0</v>
      </c>
      <c r="AE30">
        <f>IF(AND('08 Exs'!C30&lt;Tmax, NOT('08 Exs'!$H30="")),'08 Exs'!$H30,4)</f>
        <v>4</v>
      </c>
      <c r="AF30">
        <f>IF(AND('08 Exs'!D30&lt;Tmax, NOT('08 Exs'!$H30="")),'08 Exs'!$H30,4)</f>
        <v>4</v>
      </c>
      <c r="AG30">
        <f>IF(AND('08 Exs'!E30&lt;Tmax, NOT('08 Exs'!$H30="")),'08 Exs'!$H30,4)</f>
        <v>4</v>
      </c>
      <c r="AH30">
        <f>IF(AND('08 Exs'!F30&lt;Tmax, NOT('08 Exs'!$H30="")),'08 Exs'!$H30,4)</f>
        <v>4</v>
      </c>
      <c r="AI30"/>
    </row>
    <row r="31" spans="1:35" ht="22.5" outlineLevel="2" x14ac:dyDescent="0.2">
      <c r="A31" s="636" t="s">
        <v>1006</v>
      </c>
      <c r="B31" s="636" t="s">
        <v>911</v>
      </c>
      <c r="C31" s="786"/>
      <c r="D31" s="702"/>
      <c r="E31" s="702"/>
      <c r="F31" s="702"/>
      <c r="G31" s="1480">
        <v>2</v>
      </c>
      <c r="H31" s="1480">
        <v>2</v>
      </c>
      <c r="I31" s="1480"/>
      <c r="J31" s="1480" t="s">
        <v>1592</v>
      </c>
      <c r="K31" s="1458" t="s">
        <v>7136</v>
      </c>
      <c r="L31" s="1459" t="s">
        <v>7326</v>
      </c>
      <c r="M31" s="785"/>
      <c r="AA31">
        <f>IF(AND('08 Exs'!C31&gt;Tmin, NOT('08 Exs'!$I31="")),'08 Exs'!$I31,0)</f>
        <v>0</v>
      </c>
      <c r="AB31">
        <f>IF(AND('08 Exs'!D31&gt;Tmin, NOT('08 Exs'!$I31="")),'08 Exs'!$I31,0)</f>
        <v>0</v>
      </c>
      <c r="AC31">
        <f>IF(AND('08 Exs'!E31&gt;Tmin, NOT('08 Exs'!$I31="")),'08 Exs'!$I31,0)</f>
        <v>0</v>
      </c>
      <c r="AD31">
        <f>IF(AND('08 Exs'!F31&gt;Tmin, NOT('08 Exs'!$I31="")),'08 Exs'!$I31,0)</f>
        <v>0</v>
      </c>
      <c r="AE31">
        <f>IF(AND('08 Exs'!C31&lt;Tmax, NOT('08 Exs'!$H31="")),'08 Exs'!$H31,4)</f>
        <v>2</v>
      </c>
      <c r="AF31">
        <f>IF(AND('08 Exs'!D31&lt;Tmax, NOT('08 Exs'!$H31="")),'08 Exs'!$H31,4)</f>
        <v>2</v>
      </c>
      <c r="AG31">
        <f>IF(AND('08 Exs'!E31&lt;Tmax, NOT('08 Exs'!$H31="")),'08 Exs'!$H31,4)</f>
        <v>2</v>
      </c>
      <c r="AH31">
        <f>IF(AND('08 Exs'!F31&lt;Tmax, NOT('08 Exs'!$H31="")),'08 Exs'!$H31,4)</f>
        <v>2</v>
      </c>
      <c r="AI31"/>
    </row>
    <row r="32" spans="1:35" outlineLevel="2" x14ac:dyDescent="0.2">
      <c r="A32" s="636" t="s">
        <v>1007</v>
      </c>
      <c r="B32" s="636" t="s">
        <v>913</v>
      </c>
      <c r="C32" s="786"/>
      <c r="D32" s="702"/>
      <c r="E32" s="702"/>
      <c r="F32" s="702"/>
      <c r="G32" s="1480">
        <v>1</v>
      </c>
      <c r="H32" s="1480"/>
      <c r="I32" s="1480"/>
      <c r="J32" s="1480" t="s">
        <v>2329</v>
      </c>
      <c r="K32" s="1459"/>
      <c r="L32" s="1459"/>
      <c r="M32" s="785"/>
      <c r="AA32">
        <f>IF(AND('08 Exs'!C32&gt;Tmin, NOT('08 Exs'!$I32="")),'08 Exs'!$I32,0)</f>
        <v>0</v>
      </c>
      <c r="AB32">
        <f>IF(AND('08 Exs'!D32&gt;Tmin, NOT('08 Exs'!$I32="")),'08 Exs'!$I32,0)</f>
        <v>0</v>
      </c>
      <c r="AC32">
        <f>IF(AND('08 Exs'!E32&gt;Tmin, NOT('08 Exs'!$I32="")),'08 Exs'!$I32,0)</f>
        <v>0</v>
      </c>
      <c r="AD32">
        <f>IF(AND('08 Exs'!F32&gt;Tmin, NOT('08 Exs'!$I32="")),'08 Exs'!$I32,0)</f>
        <v>0</v>
      </c>
      <c r="AE32">
        <f>IF(AND('08 Exs'!C32&lt;Tmax, NOT('08 Exs'!$H32="")),'08 Exs'!$H32,4)</f>
        <v>4</v>
      </c>
      <c r="AF32">
        <f>IF(AND('08 Exs'!D32&lt;Tmax, NOT('08 Exs'!$H32="")),'08 Exs'!$H32,4)</f>
        <v>4</v>
      </c>
      <c r="AG32">
        <f>IF(AND('08 Exs'!E32&lt;Tmax, NOT('08 Exs'!$H32="")),'08 Exs'!$H32,4)</f>
        <v>4</v>
      </c>
      <c r="AH32">
        <f>IF(AND('08 Exs'!F32&lt;Tmax, NOT('08 Exs'!$H32="")),'08 Exs'!$H32,4)</f>
        <v>4</v>
      </c>
      <c r="AI32"/>
    </row>
    <row r="33" spans="1:35" outlineLevel="2" x14ac:dyDescent="0.2">
      <c r="A33" s="636" t="s">
        <v>6857</v>
      </c>
      <c r="B33" s="636" t="s">
        <v>4951</v>
      </c>
      <c r="C33" s="786"/>
      <c r="D33" s="702"/>
      <c r="E33" s="702"/>
      <c r="F33" s="702"/>
      <c r="G33" s="1480">
        <v>4</v>
      </c>
      <c r="H33" s="1480"/>
      <c r="I33" s="1480"/>
      <c r="J33" s="1480" t="s">
        <v>2329</v>
      </c>
      <c r="K33" s="1459"/>
      <c r="L33" s="1459"/>
      <c r="M33" s="785"/>
      <c r="AA33">
        <f>IF(AND('08 Exs'!C33&gt;Tmin, NOT('08 Exs'!$I33="")),'08 Exs'!$I33,0)</f>
        <v>0</v>
      </c>
      <c r="AB33">
        <f>IF(AND('08 Exs'!D33&gt;Tmin, NOT('08 Exs'!$I33="")),'08 Exs'!$I33,0)</f>
        <v>0</v>
      </c>
      <c r="AC33">
        <f>IF(AND('08 Exs'!E33&gt;Tmin, NOT('08 Exs'!$I33="")),'08 Exs'!$I33,0)</f>
        <v>0</v>
      </c>
      <c r="AD33">
        <f>IF(AND('08 Exs'!F33&gt;Tmin, NOT('08 Exs'!$I33="")),'08 Exs'!$I33,0)</f>
        <v>0</v>
      </c>
      <c r="AE33">
        <f>IF(AND('08 Exs'!C33&lt;Tmax, NOT('08 Exs'!$H33="")),'08 Exs'!$H33,4)</f>
        <v>4</v>
      </c>
      <c r="AF33">
        <f>IF(AND('08 Exs'!D33&lt;Tmax, NOT('08 Exs'!$H33="")),'08 Exs'!$H33,4)</f>
        <v>4</v>
      </c>
      <c r="AG33">
        <f>IF(AND('08 Exs'!E33&lt;Tmax, NOT('08 Exs'!$H33="")),'08 Exs'!$H33,4)</f>
        <v>4</v>
      </c>
      <c r="AH33">
        <f>IF(AND('08 Exs'!F33&lt;Tmax, NOT('08 Exs'!$H33="")),'08 Exs'!$H33,4)</f>
        <v>4</v>
      </c>
      <c r="AI33"/>
    </row>
    <row r="34" spans="1:35" ht="22.5" outlineLevel="2" x14ac:dyDescent="0.2">
      <c r="A34" s="636" t="s">
        <v>6858</v>
      </c>
      <c r="B34" s="636" t="s">
        <v>2455</v>
      </c>
      <c r="C34" s="786"/>
      <c r="D34" s="702"/>
      <c r="E34" s="702"/>
      <c r="F34" s="702"/>
      <c r="G34" s="1480">
        <v>4</v>
      </c>
      <c r="H34" s="1480">
        <v>2</v>
      </c>
      <c r="I34" s="1480"/>
      <c r="J34" s="1480" t="s">
        <v>2329</v>
      </c>
      <c r="K34" s="1459" t="s">
        <v>7021</v>
      </c>
      <c r="L34" s="1459" t="s">
        <v>7327</v>
      </c>
      <c r="M34" s="785"/>
      <c r="AA34">
        <f>IF(AND('08 Exs'!C34&gt;Tmin, NOT('08 Exs'!$I34="")),'08 Exs'!$I34,0)</f>
        <v>0</v>
      </c>
      <c r="AB34">
        <f>IF(AND('08 Exs'!D34&gt;Tmin, NOT('08 Exs'!$I34="")),'08 Exs'!$I34,0)</f>
        <v>0</v>
      </c>
      <c r="AC34">
        <f>IF(AND('08 Exs'!E34&gt;Tmin, NOT('08 Exs'!$I34="")),'08 Exs'!$I34,0)</f>
        <v>0</v>
      </c>
      <c r="AD34">
        <f>IF(AND('08 Exs'!F34&gt;Tmin, NOT('08 Exs'!$I34="")),'08 Exs'!$I34,0)</f>
        <v>0</v>
      </c>
      <c r="AE34">
        <f>IF(AND('08 Exs'!C34&lt;Tmax, NOT('08 Exs'!$H34="")),'08 Exs'!$H34,4)</f>
        <v>2</v>
      </c>
      <c r="AF34">
        <f>IF(AND('08 Exs'!D34&lt;Tmax, NOT('08 Exs'!$H34="")),'08 Exs'!$H34,4)</f>
        <v>2</v>
      </c>
      <c r="AG34">
        <f>IF(AND('08 Exs'!E34&lt;Tmax, NOT('08 Exs'!$H34="")),'08 Exs'!$H34,4)</f>
        <v>2</v>
      </c>
      <c r="AH34">
        <f>IF(AND('08 Exs'!F34&lt;Tmax, NOT('08 Exs'!$H34="")),'08 Exs'!$H34,4)</f>
        <v>2</v>
      </c>
      <c r="AI34"/>
    </row>
    <row r="35" spans="1:35" ht="33.75" outlineLevel="2" x14ac:dyDescent="0.2">
      <c r="A35" s="636" t="s">
        <v>6859</v>
      </c>
      <c r="B35" s="636" t="s">
        <v>5307</v>
      </c>
      <c r="C35" s="786"/>
      <c r="D35" s="702"/>
      <c r="E35" s="702"/>
      <c r="F35" s="702"/>
      <c r="G35" s="1480">
        <v>4</v>
      </c>
      <c r="H35" s="1480"/>
      <c r="I35" s="1480"/>
      <c r="J35" s="1480" t="s">
        <v>2329</v>
      </c>
      <c r="K35" s="1459" t="s">
        <v>7021</v>
      </c>
      <c r="L35" s="1459" t="s">
        <v>7328</v>
      </c>
      <c r="M35" s="785"/>
      <c r="AA35">
        <f>IF(AND('08 Exs'!C35&gt;Tmin, NOT('08 Exs'!$I35="")),'08 Exs'!$I35,0)</f>
        <v>0</v>
      </c>
      <c r="AB35">
        <f>IF(AND('08 Exs'!D35&gt;Tmin, NOT('08 Exs'!$I35="")),'08 Exs'!$I35,0)</f>
        <v>0</v>
      </c>
      <c r="AC35">
        <f>IF(AND('08 Exs'!E35&gt;Tmin, NOT('08 Exs'!$I35="")),'08 Exs'!$I35,0)</f>
        <v>0</v>
      </c>
      <c r="AD35">
        <f>IF(AND('08 Exs'!F35&gt;Tmin, NOT('08 Exs'!$I35="")),'08 Exs'!$I35,0)</f>
        <v>0</v>
      </c>
      <c r="AE35">
        <f>IF(AND('08 Exs'!C35&lt;Tmax, NOT('08 Exs'!$H35="")),'08 Exs'!$H35,4)</f>
        <v>4</v>
      </c>
      <c r="AF35">
        <f>IF(AND('08 Exs'!D35&lt;Tmax, NOT('08 Exs'!$H35="")),'08 Exs'!$H35,4)</f>
        <v>4</v>
      </c>
      <c r="AG35">
        <f>IF(AND('08 Exs'!E35&lt;Tmax, NOT('08 Exs'!$H35="")),'08 Exs'!$H35,4)</f>
        <v>4</v>
      </c>
      <c r="AH35">
        <f>IF(AND('08 Exs'!F35&lt;Tmax, NOT('08 Exs'!$H35="")),'08 Exs'!$H35,4)</f>
        <v>4</v>
      </c>
      <c r="AI35"/>
    </row>
    <row r="36" spans="1:35" ht="22.5" outlineLevel="2" x14ac:dyDescent="0.2">
      <c r="A36" s="636" t="s">
        <v>6860</v>
      </c>
      <c r="B36" s="636" t="s">
        <v>2526</v>
      </c>
      <c r="C36" s="786"/>
      <c r="D36" s="702"/>
      <c r="E36" s="702"/>
      <c r="F36" s="702"/>
      <c r="G36" s="1480">
        <v>4</v>
      </c>
      <c r="H36" s="1480"/>
      <c r="I36" s="1480"/>
      <c r="J36" s="1480" t="s">
        <v>2329</v>
      </c>
      <c r="K36" s="1459" t="s">
        <v>7021</v>
      </c>
      <c r="L36" s="1459" t="s">
        <v>7328</v>
      </c>
      <c r="M36" s="785"/>
      <c r="AA36">
        <f>IF(AND('08 Exs'!C36&gt;Tmin, NOT('08 Exs'!$I36="")),'08 Exs'!$I36,0)</f>
        <v>0</v>
      </c>
      <c r="AB36">
        <f>IF(AND('08 Exs'!D36&gt;Tmin, NOT('08 Exs'!$I36="")),'08 Exs'!$I36,0)</f>
        <v>0</v>
      </c>
      <c r="AC36">
        <f>IF(AND('08 Exs'!E36&gt;Tmin, NOT('08 Exs'!$I36="")),'08 Exs'!$I36,0)</f>
        <v>0</v>
      </c>
      <c r="AD36">
        <f>IF(AND('08 Exs'!F36&gt;Tmin, NOT('08 Exs'!$I36="")),'08 Exs'!$I36,0)</f>
        <v>0</v>
      </c>
      <c r="AE36">
        <f>IF(AND('08 Exs'!C36&lt;Tmax, NOT('08 Exs'!$H36="")),'08 Exs'!$H36,4)</f>
        <v>4</v>
      </c>
      <c r="AF36">
        <f>IF(AND('08 Exs'!D36&lt;Tmax, NOT('08 Exs'!$H36="")),'08 Exs'!$H36,4)</f>
        <v>4</v>
      </c>
      <c r="AG36">
        <f>IF(AND('08 Exs'!E36&lt;Tmax, NOT('08 Exs'!$H36="")),'08 Exs'!$H36,4)</f>
        <v>4</v>
      </c>
      <c r="AH36">
        <f>IF(AND('08 Exs'!F36&lt;Tmax, NOT('08 Exs'!$H36="")),'08 Exs'!$H36,4)</f>
        <v>4</v>
      </c>
      <c r="AI36"/>
    </row>
    <row r="37" spans="1:35" outlineLevel="2" x14ac:dyDescent="0.2">
      <c r="A37" s="636" t="s">
        <v>6861</v>
      </c>
      <c r="B37" s="636" t="s">
        <v>5735</v>
      </c>
      <c r="C37" s="786"/>
      <c r="D37" s="702"/>
      <c r="E37" s="702"/>
      <c r="F37" s="702"/>
      <c r="G37" s="1480">
        <v>2</v>
      </c>
      <c r="H37" s="1480"/>
      <c r="I37" s="1480"/>
      <c r="J37" s="1480" t="s">
        <v>1592</v>
      </c>
      <c r="K37" s="1459" t="s">
        <v>7021</v>
      </c>
      <c r="L37" s="1459" t="s">
        <v>7327</v>
      </c>
      <c r="M37" s="785"/>
      <c r="AA37">
        <f>IF(AND('08 Exs'!C37&gt;Tmin, NOT('08 Exs'!$I37="")),'08 Exs'!$I37,0)</f>
        <v>0</v>
      </c>
      <c r="AB37">
        <f>IF(AND('08 Exs'!D37&gt;Tmin, NOT('08 Exs'!$I37="")),'08 Exs'!$I37,0)</f>
        <v>0</v>
      </c>
      <c r="AC37">
        <f>IF(AND('08 Exs'!E37&gt;Tmin, NOT('08 Exs'!$I37="")),'08 Exs'!$I37,0)</f>
        <v>0</v>
      </c>
      <c r="AD37">
        <f>IF(AND('08 Exs'!F37&gt;Tmin, NOT('08 Exs'!$I37="")),'08 Exs'!$I37,0)</f>
        <v>0</v>
      </c>
      <c r="AE37">
        <f>IF(AND('08 Exs'!C37&lt;Tmax, NOT('08 Exs'!$H37="")),'08 Exs'!$H37,4)</f>
        <v>4</v>
      </c>
      <c r="AF37">
        <f>IF(AND('08 Exs'!D37&lt;Tmax, NOT('08 Exs'!$H37="")),'08 Exs'!$H37,4)</f>
        <v>4</v>
      </c>
      <c r="AG37">
        <f>IF(AND('08 Exs'!E37&lt;Tmax, NOT('08 Exs'!$H37="")),'08 Exs'!$H37,4)</f>
        <v>4</v>
      </c>
      <c r="AH37">
        <f>IF(AND('08 Exs'!F37&lt;Tmax, NOT('08 Exs'!$H37="")),'08 Exs'!$H37,4)</f>
        <v>4</v>
      </c>
      <c r="AI37"/>
    </row>
    <row r="38" spans="1:35" ht="22.5" outlineLevel="2" x14ac:dyDescent="0.2">
      <c r="A38" s="636" t="s">
        <v>6862</v>
      </c>
      <c r="B38" s="636" t="s">
        <v>2528</v>
      </c>
      <c r="C38" s="786"/>
      <c r="D38" s="702"/>
      <c r="E38" s="702"/>
      <c r="F38" s="702"/>
      <c r="G38" s="1480">
        <v>4</v>
      </c>
      <c r="H38" s="1480"/>
      <c r="I38" s="1480"/>
      <c r="J38" s="1480" t="s">
        <v>2349</v>
      </c>
      <c r="K38" s="1458" t="s">
        <v>2672</v>
      </c>
      <c r="L38" s="1459" t="s">
        <v>1369</v>
      </c>
      <c r="M38" s="785"/>
      <c r="AA38">
        <f>IF(AND('08 Exs'!C38&gt;Tmin, NOT('08 Exs'!$I38="")),'08 Exs'!$I38,0)</f>
        <v>0</v>
      </c>
      <c r="AB38">
        <f>IF(AND('08 Exs'!D38&gt;Tmin, NOT('08 Exs'!$I38="")),'08 Exs'!$I38,0)</f>
        <v>0</v>
      </c>
      <c r="AC38">
        <f>IF(AND('08 Exs'!E38&gt;Tmin, NOT('08 Exs'!$I38="")),'08 Exs'!$I38,0)</f>
        <v>0</v>
      </c>
      <c r="AD38">
        <f>IF(AND('08 Exs'!F38&gt;Tmin, NOT('08 Exs'!$I38="")),'08 Exs'!$I38,0)</f>
        <v>0</v>
      </c>
      <c r="AE38">
        <f>IF(AND('08 Exs'!C38&lt;Tmax, NOT('08 Exs'!$H38="")),'08 Exs'!$H38,4)</f>
        <v>4</v>
      </c>
      <c r="AF38">
        <f>IF(AND('08 Exs'!D38&lt;Tmax, NOT('08 Exs'!$H38="")),'08 Exs'!$H38,4)</f>
        <v>4</v>
      </c>
      <c r="AG38">
        <f>IF(AND('08 Exs'!E38&lt;Tmax, NOT('08 Exs'!$H38="")),'08 Exs'!$H38,4)</f>
        <v>4</v>
      </c>
      <c r="AH38">
        <f>IF(AND('08 Exs'!F38&lt;Tmax, NOT('08 Exs'!$H38="")),'08 Exs'!$H38,4)</f>
        <v>4</v>
      </c>
      <c r="AI38"/>
    </row>
    <row r="39" spans="1:35" ht="22.5" outlineLevel="2" x14ac:dyDescent="0.2">
      <c r="A39" s="636" t="s">
        <v>6863</v>
      </c>
      <c r="B39" s="636" t="s">
        <v>2072</v>
      </c>
      <c r="C39" s="786"/>
      <c r="D39" s="702"/>
      <c r="E39" s="702"/>
      <c r="F39" s="702"/>
      <c r="G39" s="1480">
        <v>2</v>
      </c>
      <c r="H39" s="1480">
        <v>2</v>
      </c>
      <c r="I39" s="1480"/>
      <c r="J39" s="1480" t="s">
        <v>2329</v>
      </c>
      <c r="K39" s="1458" t="s">
        <v>2672</v>
      </c>
      <c r="L39" s="1459" t="s">
        <v>7329</v>
      </c>
      <c r="M39" s="785"/>
      <c r="AA39">
        <f>IF(AND('08 Exs'!C39&gt;Tmin, NOT('08 Exs'!$I39="")),'08 Exs'!$I39,0)</f>
        <v>0</v>
      </c>
      <c r="AB39">
        <f>IF(AND('08 Exs'!D39&gt;Tmin, NOT('08 Exs'!$I39="")),'08 Exs'!$I39,0)</f>
        <v>0</v>
      </c>
      <c r="AC39">
        <f>IF(AND('08 Exs'!E39&gt;Tmin, NOT('08 Exs'!$I39="")),'08 Exs'!$I39,0)</f>
        <v>0</v>
      </c>
      <c r="AD39">
        <f>IF(AND('08 Exs'!F39&gt;Tmin, NOT('08 Exs'!$I39="")),'08 Exs'!$I39,0)</f>
        <v>0</v>
      </c>
      <c r="AE39">
        <f>IF(AND('08 Exs'!C39&lt;Tmax, NOT('08 Exs'!$H39="")),'08 Exs'!$H39,4)</f>
        <v>2</v>
      </c>
      <c r="AF39">
        <f>IF(AND('08 Exs'!D39&lt;Tmax, NOT('08 Exs'!$H39="")),'08 Exs'!$H39,4)</f>
        <v>2</v>
      </c>
      <c r="AG39">
        <f>IF(AND('08 Exs'!E39&lt;Tmax, NOT('08 Exs'!$H39="")),'08 Exs'!$H39,4)</f>
        <v>2</v>
      </c>
      <c r="AH39">
        <f>IF(AND('08 Exs'!F39&lt;Tmax, NOT('08 Exs'!$H39="")),'08 Exs'!$H39,4)</f>
        <v>2</v>
      </c>
      <c r="AI39"/>
    </row>
    <row r="40" spans="1:35" ht="22.5" outlineLevel="2" x14ac:dyDescent="0.2">
      <c r="A40" s="636" t="s">
        <v>6864</v>
      </c>
      <c r="B40" s="636" t="s">
        <v>3984</v>
      </c>
      <c r="C40" s="786"/>
      <c r="D40" s="702"/>
      <c r="E40" s="702"/>
      <c r="F40" s="702"/>
      <c r="G40" s="1480">
        <v>2</v>
      </c>
      <c r="H40" s="1480">
        <v>2</v>
      </c>
      <c r="I40" s="1480"/>
      <c r="J40" s="1480" t="s">
        <v>2329</v>
      </c>
      <c r="K40" s="1458" t="s">
        <v>2672</v>
      </c>
      <c r="L40" s="1459" t="s">
        <v>7329</v>
      </c>
      <c r="M40" s="785"/>
      <c r="AA40">
        <f>IF(AND('08 Exs'!C40&gt;Tmin, NOT('08 Exs'!$I40="")),'08 Exs'!$I40,0)</f>
        <v>0</v>
      </c>
      <c r="AB40">
        <f>IF(AND('08 Exs'!D40&gt;Tmin, NOT('08 Exs'!$I40="")),'08 Exs'!$I40,0)</f>
        <v>0</v>
      </c>
      <c r="AC40">
        <f>IF(AND('08 Exs'!E40&gt;Tmin, NOT('08 Exs'!$I40="")),'08 Exs'!$I40,0)</f>
        <v>0</v>
      </c>
      <c r="AD40">
        <f>IF(AND('08 Exs'!F40&gt;Tmin, NOT('08 Exs'!$I40="")),'08 Exs'!$I40,0)</f>
        <v>0</v>
      </c>
      <c r="AE40">
        <f>IF(AND('08 Exs'!C40&lt;Tmax, NOT('08 Exs'!$H40="")),'08 Exs'!$H40,4)</f>
        <v>2</v>
      </c>
      <c r="AF40">
        <f>IF(AND('08 Exs'!D40&lt;Tmax, NOT('08 Exs'!$H40="")),'08 Exs'!$H40,4)</f>
        <v>2</v>
      </c>
      <c r="AG40">
        <f>IF(AND('08 Exs'!E40&lt;Tmax, NOT('08 Exs'!$H40="")),'08 Exs'!$H40,4)</f>
        <v>2</v>
      </c>
      <c r="AH40">
        <f>IF(AND('08 Exs'!F40&lt;Tmax, NOT('08 Exs'!$H40="")),'08 Exs'!$H40,4)</f>
        <v>2</v>
      </c>
      <c r="AI40"/>
    </row>
    <row r="41" spans="1:35" outlineLevel="2" x14ac:dyDescent="0.2">
      <c r="A41" s="636" t="s">
        <v>6865</v>
      </c>
      <c r="B41" s="636" t="s">
        <v>2496</v>
      </c>
      <c r="C41" s="786"/>
      <c r="D41" s="702"/>
      <c r="E41" s="702"/>
      <c r="F41" s="702"/>
      <c r="G41" s="1480">
        <v>2</v>
      </c>
      <c r="H41" s="1480">
        <v>3</v>
      </c>
      <c r="I41" s="1459"/>
      <c r="J41" s="1459" t="s">
        <v>2109</v>
      </c>
      <c r="K41" s="1459"/>
      <c r="L41" s="1459"/>
      <c r="M41" s="785"/>
      <c r="AA41">
        <f>IF(AND('08 Exs'!C41&gt;Tmin, NOT('08 Exs'!$I41="")),'08 Exs'!$I41,0)</f>
        <v>0</v>
      </c>
      <c r="AB41">
        <f>IF(AND('08 Exs'!D41&gt;Tmin, NOT('08 Exs'!$I41="")),'08 Exs'!$I41,0)</f>
        <v>0</v>
      </c>
      <c r="AC41">
        <f>IF(AND('08 Exs'!E41&gt;Tmin, NOT('08 Exs'!$I41="")),'08 Exs'!$I41,0)</f>
        <v>0</v>
      </c>
      <c r="AD41">
        <f>IF(AND('08 Exs'!F41&gt;Tmin, NOT('08 Exs'!$I41="")),'08 Exs'!$I41,0)</f>
        <v>0</v>
      </c>
      <c r="AE41">
        <f>IF(AND('08 Exs'!C41&lt;Tmax, NOT('08 Exs'!$H41="")),'08 Exs'!$H41,4)</f>
        <v>3</v>
      </c>
      <c r="AF41">
        <f>IF(AND('08 Exs'!D41&lt;Tmax, NOT('08 Exs'!$H41="")),'08 Exs'!$H41,4)</f>
        <v>3</v>
      </c>
      <c r="AG41">
        <f>IF(AND('08 Exs'!E41&lt;Tmax, NOT('08 Exs'!$H41="")),'08 Exs'!$H41,4)</f>
        <v>3</v>
      </c>
      <c r="AH41">
        <f>IF(AND('08 Exs'!F41&lt;Tmax, NOT('08 Exs'!$H41="")),'08 Exs'!$H41,4)</f>
        <v>3</v>
      </c>
      <c r="AI41"/>
    </row>
    <row r="42" spans="1:35" s="681" customFormat="1" outlineLevel="1" x14ac:dyDescent="0.2">
      <c r="A42" s="633" t="s">
        <v>4325</v>
      </c>
      <c r="B42" s="634" t="s">
        <v>4512</v>
      </c>
      <c r="C42" s="786"/>
      <c r="D42" s="702"/>
      <c r="E42" s="702"/>
      <c r="F42" s="702"/>
      <c r="G42" s="1480"/>
      <c r="H42" s="1480"/>
      <c r="I42" s="1480"/>
      <c r="J42" s="1480"/>
      <c r="K42" s="1459"/>
      <c r="L42" s="1459"/>
      <c r="M42" s="785"/>
      <c r="N42" s="680"/>
      <c r="O42" s="680"/>
      <c r="P42" s="680"/>
      <c r="Q42" s="680"/>
      <c r="R42" s="680"/>
      <c r="S42" s="680"/>
      <c r="T42" s="680"/>
      <c r="U42" s="680"/>
      <c r="V42" s="680"/>
      <c r="W42" s="680"/>
      <c r="X42" s="680"/>
      <c r="Y42" s="680"/>
      <c r="Z42" s="680"/>
      <c r="AA42"/>
      <c r="AB42"/>
      <c r="AC42"/>
      <c r="AD42"/>
      <c r="AE42"/>
      <c r="AF42"/>
      <c r="AG42"/>
      <c r="AH42"/>
      <c r="AI42"/>
    </row>
    <row r="43" spans="1:35" s="681" customFormat="1" outlineLevel="2" x14ac:dyDescent="0.2">
      <c r="A43" s="636" t="s">
        <v>1008</v>
      </c>
      <c r="B43" s="636" t="s">
        <v>2498</v>
      </c>
      <c r="C43" s="786"/>
      <c r="D43" s="702"/>
      <c r="E43" s="702"/>
      <c r="F43" s="702"/>
      <c r="G43" s="1480">
        <v>1</v>
      </c>
      <c r="H43" s="1480"/>
      <c r="I43" s="1480"/>
      <c r="J43" s="1480" t="s">
        <v>1592</v>
      </c>
      <c r="K43" s="1459" t="s">
        <v>4434</v>
      </c>
      <c r="L43" s="1459" t="s">
        <v>1717</v>
      </c>
      <c r="M43" s="785"/>
      <c r="N43" s="680"/>
      <c r="O43" s="680"/>
      <c r="P43" s="680"/>
      <c r="Q43" s="680"/>
      <c r="R43" s="680"/>
      <c r="S43" s="680"/>
      <c r="T43" s="680"/>
      <c r="U43" s="680"/>
      <c r="V43" s="680"/>
      <c r="W43" s="680"/>
      <c r="X43" s="680"/>
      <c r="Y43" s="680"/>
      <c r="Z43" s="680"/>
      <c r="AA43">
        <f>IF(AND('08 Exs'!C43&gt;Tmin, NOT('08 Exs'!$I43="")),'08 Exs'!$I43,0)</f>
        <v>0</v>
      </c>
      <c r="AB43">
        <f>IF(AND('08 Exs'!D43&gt;Tmin, NOT('08 Exs'!$I43="")),'08 Exs'!$I43,0)</f>
        <v>0</v>
      </c>
      <c r="AC43">
        <f>IF(AND('08 Exs'!E43&gt;Tmin, NOT('08 Exs'!$I43="")),'08 Exs'!$I43,0)</f>
        <v>0</v>
      </c>
      <c r="AD43">
        <f>IF(AND('08 Exs'!F43&gt;Tmin, NOT('08 Exs'!$I43="")),'08 Exs'!$I43,0)</f>
        <v>0</v>
      </c>
      <c r="AE43">
        <f>IF(AND('08 Exs'!C43&lt;Tmax, NOT('08 Exs'!$H43="")),'08 Exs'!$H43,4)</f>
        <v>4</v>
      </c>
      <c r="AF43">
        <f>IF(AND('08 Exs'!D43&lt;Tmax, NOT('08 Exs'!$H43="")),'08 Exs'!$H43,4)</f>
        <v>4</v>
      </c>
      <c r="AG43">
        <f>IF(AND('08 Exs'!E43&lt;Tmax, NOT('08 Exs'!$H43="")),'08 Exs'!$H43,4)</f>
        <v>4</v>
      </c>
      <c r="AH43">
        <f>IF(AND('08 Exs'!F43&lt;Tmax, NOT('08 Exs'!$H43="")),'08 Exs'!$H43,4)</f>
        <v>4</v>
      </c>
      <c r="AI43"/>
    </row>
    <row r="44" spans="1:35" s="681" customFormat="1" ht="22.5" outlineLevel="2" x14ac:dyDescent="0.2">
      <c r="A44" s="636" t="s">
        <v>1009</v>
      </c>
      <c r="B44" s="636" t="s">
        <v>3778</v>
      </c>
      <c r="C44" s="786"/>
      <c r="D44" s="702"/>
      <c r="E44" s="702"/>
      <c r="F44" s="702"/>
      <c r="G44" s="1480">
        <v>4</v>
      </c>
      <c r="H44" s="1480">
        <v>2</v>
      </c>
      <c r="I44" s="1480"/>
      <c r="J44" s="1480" t="s">
        <v>1592</v>
      </c>
      <c r="K44" s="1459"/>
      <c r="L44" s="1459"/>
      <c r="M44" s="785"/>
      <c r="N44" s="680"/>
      <c r="O44" s="680"/>
      <c r="P44" s="680"/>
      <c r="Q44" s="680"/>
      <c r="R44" s="680"/>
      <c r="S44" s="680"/>
      <c r="T44" s="680"/>
      <c r="U44" s="680"/>
      <c r="V44" s="680"/>
      <c r="W44" s="680"/>
      <c r="X44" s="680"/>
      <c r="Y44" s="680"/>
      <c r="Z44" s="680"/>
      <c r="AA44">
        <f>IF(AND('08 Exs'!C44&gt;Tmin, NOT('08 Exs'!$I44="")),'08 Exs'!$I44,0)</f>
        <v>0</v>
      </c>
      <c r="AB44">
        <f>IF(AND('08 Exs'!D44&gt;Tmin, NOT('08 Exs'!$I44="")),'08 Exs'!$I44,0)</f>
        <v>0</v>
      </c>
      <c r="AC44">
        <f>IF(AND('08 Exs'!E44&gt;Tmin, NOT('08 Exs'!$I44="")),'08 Exs'!$I44,0)</f>
        <v>0</v>
      </c>
      <c r="AD44">
        <f>IF(AND('08 Exs'!F44&gt;Tmin, NOT('08 Exs'!$I44="")),'08 Exs'!$I44,0)</f>
        <v>0</v>
      </c>
      <c r="AE44">
        <f>IF(AND('08 Exs'!C44&lt;Tmax, NOT('08 Exs'!$H44="")),'08 Exs'!$H44,4)</f>
        <v>2</v>
      </c>
      <c r="AF44">
        <f>IF(AND('08 Exs'!D44&lt;Tmax, NOT('08 Exs'!$H44="")),'08 Exs'!$H44,4)</f>
        <v>2</v>
      </c>
      <c r="AG44">
        <f>IF(AND('08 Exs'!E44&lt;Tmax, NOT('08 Exs'!$H44="")),'08 Exs'!$H44,4)</f>
        <v>2</v>
      </c>
      <c r="AH44">
        <f>IF(AND('08 Exs'!F44&lt;Tmax, NOT('08 Exs'!$H44="")),'08 Exs'!$H44,4)</f>
        <v>2</v>
      </c>
      <c r="AI44"/>
    </row>
    <row r="45" spans="1:35" s="681" customFormat="1" ht="22.5" outlineLevel="2" x14ac:dyDescent="0.2">
      <c r="A45" s="636" t="s">
        <v>1010</v>
      </c>
      <c r="B45" s="636" t="s">
        <v>3779</v>
      </c>
      <c r="C45" s="786"/>
      <c r="D45" s="702"/>
      <c r="E45" s="702"/>
      <c r="F45" s="702"/>
      <c r="G45" s="1480">
        <v>4</v>
      </c>
      <c r="H45" s="1480">
        <v>3</v>
      </c>
      <c r="I45" s="1480"/>
      <c r="J45" s="1480" t="s">
        <v>2329</v>
      </c>
      <c r="K45" s="1459"/>
      <c r="L45" s="1459"/>
      <c r="M45" s="785"/>
      <c r="N45" s="680"/>
      <c r="O45" s="680"/>
      <c r="P45" s="680"/>
      <c r="Q45" s="680"/>
      <c r="R45" s="680"/>
      <c r="S45" s="680"/>
      <c r="T45" s="680"/>
      <c r="U45" s="680"/>
      <c r="V45" s="680"/>
      <c r="W45" s="680"/>
      <c r="X45" s="680"/>
      <c r="Y45" s="680"/>
      <c r="Z45" s="680"/>
      <c r="AA45">
        <f>IF(AND('08 Exs'!C45&gt;Tmin, NOT('08 Exs'!$I45="")),'08 Exs'!$I45,0)</f>
        <v>0</v>
      </c>
      <c r="AB45">
        <f>IF(AND('08 Exs'!D45&gt;Tmin, NOT('08 Exs'!$I45="")),'08 Exs'!$I45,0)</f>
        <v>0</v>
      </c>
      <c r="AC45">
        <f>IF(AND('08 Exs'!E45&gt;Tmin, NOT('08 Exs'!$I45="")),'08 Exs'!$I45,0)</f>
        <v>0</v>
      </c>
      <c r="AD45">
        <f>IF(AND('08 Exs'!F45&gt;Tmin, NOT('08 Exs'!$I45="")),'08 Exs'!$I45,0)</f>
        <v>0</v>
      </c>
      <c r="AE45">
        <f>IF(AND('08 Exs'!C45&lt;Tmax, NOT('08 Exs'!$H45="")),'08 Exs'!$H45,4)</f>
        <v>3</v>
      </c>
      <c r="AF45">
        <f>IF(AND('08 Exs'!D45&lt;Tmax, NOT('08 Exs'!$H45="")),'08 Exs'!$H45,4)</f>
        <v>3</v>
      </c>
      <c r="AG45">
        <f>IF(AND('08 Exs'!E45&lt;Tmax, NOT('08 Exs'!$H45="")),'08 Exs'!$H45,4)</f>
        <v>3</v>
      </c>
      <c r="AH45">
        <f>IF(AND('08 Exs'!F45&lt;Tmax, NOT('08 Exs'!$H45="")),'08 Exs'!$H45,4)</f>
        <v>3</v>
      </c>
      <c r="AI45"/>
    </row>
    <row r="46" spans="1:35" s="681" customFormat="1" ht="22.5" outlineLevel="2" x14ac:dyDescent="0.2">
      <c r="A46" s="636" t="s">
        <v>982</v>
      </c>
      <c r="B46" s="636" t="s">
        <v>3780</v>
      </c>
      <c r="C46" s="786"/>
      <c r="D46" s="702"/>
      <c r="E46" s="702"/>
      <c r="F46" s="702"/>
      <c r="G46" s="1480">
        <v>4</v>
      </c>
      <c r="H46" s="1480">
        <v>3</v>
      </c>
      <c r="I46" s="1480"/>
      <c r="J46" s="1480" t="s">
        <v>2329</v>
      </c>
      <c r="K46" s="1459"/>
      <c r="L46" s="1459"/>
      <c r="M46" s="785"/>
      <c r="N46" s="680"/>
      <c r="O46" s="680"/>
      <c r="P46" s="680"/>
      <c r="Q46" s="680"/>
      <c r="R46" s="680"/>
      <c r="S46" s="680"/>
      <c r="T46" s="680"/>
      <c r="U46" s="680"/>
      <c r="V46" s="680"/>
      <c r="W46" s="680"/>
      <c r="X46" s="680"/>
      <c r="Y46" s="680"/>
      <c r="Z46" s="680"/>
      <c r="AA46">
        <f>IF(AND('08 Exs'!C46&gt;Tmin, NOT('08 Exs'!$I46="")),'08 Exs'!$I46,0)</f>
        <v>0</v>
      </c>
      <c r="AB46">
        <f>IF(AND('08 Exs'!D46&gt;Tmin, NOT('08 Exs'!$I46="")),'08 Exs'!$I46,0)</f>
        <v>0</v>
      </c>
      <c r="AC46">
        <f>IF(AND('08 Exs'!E46&gt;Tmin, NOT('08 Exs'!$I46="")),'08 Exs'!$I46,0)</f>
        <v>0</v>
      </c>
      <c r="AD46">
        <f>IF(AND('08 Exs'!F46&gt;Tmin, NOT('08 Exs'!$I46="")),'08 Exs'!$I46,0)</f>
        <v>0</v>
      </c>
      <c r="AE46">
        <f>IF(AND('08 Exs'!C46&lt;Tmax, NOT('08 Exs'!$H46="")),'08 Exs'!$H46,4)</f>
        <v>3</v>
      </c>
      <c r="AF46">
        <f>IF(AND('08 Exs'!D46&lt;Tmax, NOT('08 Exs'!$H46="")),'08 Exs'!$H46,4)</f>
        <v>3</v>
      </c>
      <c r="AG46">
        <f>IF(AND('08 Exs'!E46&lt;Tmax, NOT('08 Exs'!$H46="")),'08 Exs'!$H46,4)</f>
        <v>3</v>
      </c>
      <c r="AH46">
        <f>IF(AND('08 Exs'!F46&lt;Tmax, NOT('08 Exs'!$H46="")),'08 Exs'!$H46,4)</f>
        <v>3</v>
      </c>
      <c r="AI46"/>
    </row>
    <row r="47" spans="1:35" s="681" customFormat="1" ht="22.5" outlineLevel="2" x14ac:dyDescent="0.2">
      <c r="A47" s="636" t="s">
        <v>4795</v>
      </c>
      <c r="B47" s="636" t="s">
        <v>2500</v>
      </c>
      <c r="C47" s="786"/>
      <c r="D47" s="702"/>
      <c r="E47" s="702"/>
      <c r="F47" s="702"/>
      <c r="G47" s="1480">
        <v>4</v>
      </c>
      <c r="H47" s="1480"/>
      <c r="I47" s="1480"/>
      <c r="J47" s="1480" t="s">
        <v>2329</v>
      </c>
      <c r="K47" s="1459"/>
      <c r="L47" s="1459"/>
      <c r="M47" s="785"/>
      <c r="N47" s="680"/>
      <c r="O47" s="680"/>
      <c r="P47" s="680"/>
      <c r="Q47" s="680"/>
      <c r="R47" s="680"/>
      <c r="S47" s="680"/>
      <c r="T47" s="680"/>
      <c r="U47" s="680"/>
      <c r="V47" s="680"/>
      <c r="W47" s="680"/>
      <c r="X47" s="680"/>
      <c r="Y47" s="680"/>
      <c r="Z47" s="680"/>
      <c r="AA47">
        <f>IF(AND('08 Exs'!C47&gt;Tmin, NOT('08 Exs'!$I47="")),'08 Exs'!$I47,0)</f>
        <v>0</v>
      </c>
      <c r="AB47">
        <f>IF(AND('08 Exs'!D47&gt;Tmin, NOT('08 Exs'!$I47="")),'08 Exs'!$I47,0)</f>
        <v>0</v>
      </c>
      <c r="AC47">
        <f>IF(AND('08 Exs'!E47&gt;Tmin, NOT('08 Exs'!$I47="")),'08 Exs'!$I47,0)</f>
        <v>0</v>
      </c>
      <c r="AD47">
        <f>IF(AND('08 Exs'!F47&gt;Tmin, NOT('08 Exs'!$I47="")),'08 Exs'!$I47,0)</f>
        <v>0</v>
      </c>
      <c r="AE47">
        <f>IF(AND('08 Exs'!C47&lt;Tmax, NOT('08 Exs'!$H47="")),'08 Exs'!$H47,4)</f>
        <v>4</v>
      </c>
      <c r="AF47">
        <f>IF(AND('08 Exs'!D47&lt;Tmax, NOT('08 Exs'!$H47="")),'08 Exs'!$H47,4)</f>
        <v>4</v>
      </c>
      <c r="AG47">
        <f>IF(AND('08 Exs'!E47&lt;Tmax, NOT('08 Exs'!$H47="")),'08 Exs'!$H47,4)</f>
        <v>4</v>
      </c>
      <c r="AH47">
        <f>IF(AND('08 Exs'!F47&lt;Tmax, NOT('08 Exs'!$H47="")),'08 Exs'!$H47,4)</f>
        <v>4</v>
      </c>
      <c r="AI47"/>
    </row>
    <row r="48" spans="1:35" s="681" customFormat="1" outlineLevel="2" x14ac:dyDescent="0.2">
      <c r="A48" s="636" t="s">
        <v>2454</v>
      </c>
      <c r="B48" s="636" t="s">
        <v>4607</v>
      </c>
      <c r="C48" s="786"/>
      <c r="D48" s="702"/>
      <c r="E48" s="702"/>
      <c r="F48" s="702"/>
      <c r="G48" s="1480">
        <v>2</v>
      </c>
      <c r="H48" s="1480">
        <v>3</v>
      </c>
      <c r="I48" s="1480"/>
      <c r="J48" s="1480" t="s">
        <v>2109</v>
      </c>
      <c r="K48" s="1459"/>
      <c r="L48" s="1459"/>
      <c r="M48" s="785"/>
      <c r="N48" s="680"/>
      <c r="O48" s="680"/>
      <c r="P48" s="680"/>
      <c r="Q48" s="680"/>
      <c r="R48" s="680"/>
      <c r="S48" s="680"/>
      <c r="T48" s="680"/>
      <c r="U48" s="680"/>
      <c r="V48" s="680"/>
      <c r="W48" s="680"/>
      <c r="X48" s="680"/>
      <c r="Y48" s="680"/>
      <c r="Z48" s="680"/>
      <c r="AA48">
        <f>IF(AND('08 Exs'!C48&gt;Tmin, NOT('08 Exs'!$I48="")),'08 Exs'!$I48,0)</f>
        <v>0</v>
      </c>
      <c r="AB48">
        <f>IF(AND('08 Exs'!D48&gt;Tmin, NOT('08 Exs'!$I48="")),'08 Exs'!$I48,0)</f>
        <v>0</v>
      </c>
      <c r="AC48">
        <f>IF(AND('08 Exs'!E48&gt;Tmin, NOT('08 Exs'!$I48="")),'08 Exs'!$I48,0)</f>
        <v>0</v>
      </c>
      <c r="AD48">
        <f>IF(AND('08 Exs'!F48&gt;Tmin, NOT('08 Exs'!$I48="")),'08 Exs'!$I48,0)</f>
        <v>0</v>
      </c>
      <c r="AE48">
        <f>IF(AND('08 Exs'!C48&lt;Tmax, NOT('08 Exs'!$H48="")),'08 Exs'!$H48,4)</f>
        <v>3</v>
      </c>
      <c r="AF48">
        <f>IF(AND('08 Exs'!D48&lt;Tmax, NOT('08 Exs'!$H48="")),'08 Exs'!$H48,4)</f>
        <v>3</v>
      </c>
      <c r="AG48">
        <f>IF(AND('08 Exs'!E48&lt;Tmax, NOT('08 Exs'!$H48="")),'08 Exs'!$H48,4)</f>
        <v>3</v>
      </c>
      <c r="AH48">
        <f>IF(AND('08 Exs'!F48&lt;Tmax, NOT('08 Exs'!$H48="")),'08 Exs'!$H48,4)</f>
        <v>3</v>
      </c>
      <c r="AI48"/>
    </row>
    <row r="49" spans="1:35" s="681" customFormat="1" outlineLevel="1" x14ac:dyDescent="0.2">
      <c r="A49" s="633" t="s">
        <v>2557</v>
      </c>
      <c r="B49" s="634" t="s">
        <v>6218</v>
      </c>
      <c r="C49" s="786"/>
      <c r="D49" s="702"/>
      <c r="E49" s="702"/>
      <c r="F49" s="702"/>
      <c r="G49" s="1480"/>
      <c r="H49" s="1480"/>
      <c r="I49" s="1480"/>
      <c r="J49" s="1480"/>
      <c r="K49" s="1459"/>
      <c r="L49" s="1459"/>
      <c r="M49" s="785"/>
      <c r="N49" s="680"/>
      <c r="O49" s="680"/>
      <c r="P49" s="680"/>
      <c r="Q49" s="680"/>
      <c r="R49" s="680"/>
      <c r="S49" s="680"/>
      <c r="T49" s="680"/>
      <c r="U49" s="680"/>
      <c r="V49" s="680"/>
      <c r="W49" s="680"/>
      <c r="X49" s="680"/>
      <c r="Y49" s="680"/>
      <c r="Z49" s="680"/>
      <c r="AA49"/>
      <c r="AB49"/>
      <c r="AC49"/>
      <c r="AD49"/>
      <c r="AE49"/>
      <c r="AF49"/>
      <c r="AG49"/>
      <c r="AH49"/>
      <c r="AI49"/>
    </row>
    <row r="50" spans="1:35" s="681" customFormat="1" ht="33.75" outlineLevel="2" x14ac:dyDescent="0.2">
      <c r="A50" s="636" t="s">
        <v>3985</v>
      </c>
      <c r="B50" s="636" t="s">
        <v>5916</v>
      </c>
      <c r="C50" s="786"/>
      <c r="D50" s="702"/>
      <c r="E50" s="702"/>
      <c r="F50" s="702"/>
      <c r="G50" s="1480">
        <v>4</v>
      </c>
      <c r="H50" s="1480"/>
      <c r="I50" s="1480"/>
      <c r="J50" s="1480" t="s">
        <v>4246</v>
      </c>
      <c r="K50" s="1459" t="s">
        <v>7118</v>
      </c>
      <c r="L50" s="1459" t="s">
        <v>7359</v>
      </c>
      <c r="M50" s="785"/>
      <c r="N50" s="680"/>
      <c r="O50" s="680"/>
      <c r="P50" s="680"/>
      <c r="Q50" s="680"/>
      <c r="R50" s="680"/>
      <c r="S50" s="680"/>
      <c r="T50" s="680"/>
      <c r="U50" s="680"/>
      <c r="V50" s="680"/>
      <c r="W50" s="680"/>
      <c r="X50" s="680"/>
      <c r="Y50" s="680"/>
      <c r="Z50" s="680"/>
      <c r="AA50">
        <f>IF(AND('08 Exs'!C50&gt;Tmin, NOT('08 Exs'!$I50="")),'08 Exs'!$I50,0)</f>
        <v>0</v>
      </c>
      <c r="AB50">
        <f>IF(AND('08 Exs'!D50&gt;Tmin, NOT('08 Exs'!$I50="")),'08 Exs'!$I50,0)</f>
        <v>0</v>
      </c>
      <c r="AC50">
        <f>IF(AND('08 Exs'!E50&gt;Tmin, NOT('08 Exs'!$I50="")),'08 Exs'!$I50,0)</f>
        <v>0</v>
      </c>
      <c r="AD50">
        <f>IF(AND('08 Exs'!F50&gt;Tmin, NOT('08 Exs'!$I50="")),'08 Exs'!$I50,0)</f>
        <v>0</v>
      </c>
      <c r="AE50">
        <f>IF(AND('08 Exs'!C50&lt;Tmax, NOT('08 Exs'!$H50="")),'08 Exs'!$H50,4)</f>
        <v>4</v>
      </c>
      <c r="AF50">
        <f>IF(AND('08 Exs'!D50&lt;Tmax, NOT('08 Exs'!$H50="")),'08 Exs'!$H50,4)</f>
        <v>4</v>
      </c>
      <c r="AG50">
        <f>IF(AND('08 Exs'!E50&lt;Tmax, NOT('08 Exs'!$H50="")),'08 Exs'!$H50,4)</f>
        <v>4</v>
      </c>
      <c r="AH50">
        <f>IF(AND('08 Exs'!F50&lt;Tmax, NOT('08 Exs'!$H50="")),'08 Exs'!$H50,4)</f>
        <v>4</v>
      </c>
      <c r="AI50"/>
    </row>
    <row r="51" spans="1:35" s="681" customFormat="1" ht="22.5" outlineLevel="2" x14ac:dyDescent="0.2">
      <c r="A51" s="636" t="s">
        <v>3986</v>
      </c>
      <c r="B51" s="636" t="s">
        <v>5197</v>
      </c>
      <c r="C51" s="786"/>
      <c r="D51" s="702"/>
      <c r="E51" s="702"/>
      <c r="F51" s="702"/>
      <c r="G51" s="1480">
        <v>4</v>
      </c>
      <c r="H51" s="1480"/>
      <c r="I51" s="1480"/>
      <c r="J51" s="1480" t="s">
        <v>1592</v>
      </c>
      <c r="K51" s="1459" t="s">
        <v>7118</v>
      </c>
      <c r="L51" s="1459" t="s">
        <v>7359</v>
      </c>
      <c r="M51" s="785"/>
      <c r="N51" s="680"/>
      <c r="O51" s="680"/>
      <c r="P51" s="680"/>
      <c r="Q51" s="680"/>
      <c r="R51" s="680"/>
      <c r="S51" s="680"/>
      <c r="T51" s="680"/>
      <c r="U51" s="680"/>
      <c r="V51" s="680"/>
      <c r="W51" s="680"/>
      <c r="X51" s="680"/>
      <c r="Y51" s="680"/>
      <c r="Z51" s="680"/>
      <c r="AA51">
        <f>IF(AND('08 Exs'!C51&gt;Tmin, NOT('08 Exs'!$I51="")),'08 Exs'!$I51,0)</f>
        <v>0</v>
      </c>
      <c r="AB51">
        <f>IF(AND('08 Exs'!D51&gt;Tmin, NOT('08 Exs'!$I51="")),'08 Exs'!$I51,0)</f>
        <v>0</v>
      </c>
      <c r="AC51">
        <f>IF(AND('08 Exs'!E51&gt;Tmin, NOT('08 Exs'!$I51="")),'08 Exs'!$I51,0)</f>
        <v>0</v>
      </c>
      <c r="AD51">
        <f>IF(AND('08 Exs'!F51&gt;Tmin, NOT('08 Exs'!$I51="")),'08 Exs'!$I51,0)</f>
        <v>0</v>
      </c>
      <c r="AE51">
        <f>IF(AND('08 Exs'!C51&lt;Tmax, NOT('08 Exs'!$H51="")),'08 Exs'!$H51,4)</f>
        <v>4</v>
      </c>
      <c r="AF51">
        <f>IF(AND('08 Exs'!D51&lt;Tmax, NOT('08 Exs'!$H51="")),'08 Exs'!$H51,4)</f>
        <v>4</v>
      </c>
      <c r="AG51">
        <f>IF(AND('08 Exs'!E51&lt;Tmax, NOT('08 Exs'!$H51="")),'08 Exs'!$H51,4)</f>
        <v>4</v>
      </c>
      <c r="AH51">
        <f>IF(AND('08 Exs'!F51&lt;Tmax, NOT('08 Exs'!$H51="")),'08 Exs'!$H51,4)</f>
        <v>4</v>
      </c>
      <c r="AI51"/>
    </row>
    <row r="52" spans="1:35" s="681" customFormat="1" ht="22.5" outlineLevel="2" x14ac:dyDescent="0.2">
      <c r="A52" s="636" t="s">
        <v>1156</v>
      </c>
      <c r="B52" s="636" t="s">
        <v>5199</v>
      </c>
      <c r="C52" s="786"/>
      <c r="D52" s="702"/>
      <c r="E52" s="702"/>
      <c r="F52" s="702"/>
      <c r="G52" s="1480">
        <v>2</v>
      </c>
      <c r="H52" s="1480"/>
      <c r="I52" s="1480"/>
      <c r="J52" s="1480" t="s">
        <v>1592</v>
      </c>
      <c r="K52" s="1459"/>
      <c r="L52" s="1459"/>
      <c r="M52" s="785"/>
      <c r="N52" s="680"/>
      <c r="O52" s="680"/>
      <c r="P52" s="680"/>
      <c r="Q52" s="680"/>
      <c r="R52" s="680"/>
      <c r="S52" s="680"/>
      <c r="T52" s="680"/>
      <c r="U52" s="680"/>
      <c r="V52" s="680"/>
      <c r="W52" s="680"/>
      <c r="X52" s="680"/>
      <c r="Y52" s="680"/>
      <c r="Z52" s="680"/>
      <c r="AA52">
        <f>IF(AND('08 Exs'!C52&gt;Tmin, NOT('08 Exs'!$I52="")),'08 Exs'!$I52,0)</f>
        <v>0</v>
      </c>
      <c r="AB52">
        <f>IF(AND('08 Exs'!D52&gt;Tmin, NOT('08 Exs'!$I52="")),'08 Exs'!$I52,0)</f>
        <v>0</v>
      </c>
      <c r="AC52">
        <f>IF(AND('08 Exs'!E52&gt;Tmin, NOT('08 Exs'!$I52="")),'08 Exs'!$I52,0)</f>
        <v>0</v>
      </c>
      <c r="AD52">
        <f>IF(AND('08 Exs'!F52&gt;Tmin, NOT('08 Exs'!$I52="")),'08 Exs'!$I52,0)</f>
        <v>0</v>
      </c>
      <c r="AE52">
        <f>IF(AND('08 Exs'!C52&lt;Tmax, NOT('08 Exs'!$H52="")),'08 Exs'!$H52,4)</f>
        <v>4</v>
      </c>
      <c r="AF52">
        <f>IF(AND('08 Exs'!D52&lt;Tmax, NOT('08 Exs'!$H52="")),'08 Exs'!$H52,4)</f>
        <v>4</v>
      </c>
      <c r="AG52">
        <f>IF(AND('08 Exs'!E52&lt;Tmax, NOT('08 Exs'!$H52="")),'08 Exs'!$H52,4)</f>
        <v>4</v>
      </c>
      <c r="AH52">
        <f>IF(AND('08 Exs'!F52&lt;Tmax, NOT('08 Exs'!$H52="")),'08 Exs'!$H52,4)</f>
        <v>4</v>
      </c>
      <c r="AI52"/>
    </row>
    <row r="53" spans="1:35" s="681" customFormat="1" ht="22.5" outlineLevel="2" x14ac:dyDescent="0.2">
      <c r="A53" s="636" t="s">
        <v>1348</v>
      </c>
      <c r="B53" s="636" t="s">
        <v>2500</v>
      </c>
      <c r="C53" s="786"/>
      <c r="D53" s="702"/>
      <c r="E53" s="702"/>
      <c r="F53" s="702"/>
      <c r="G53" s="1480">
        <v>2</v>
      </c>
      <c r="H53" s="1480">
        <v>3</v>
      </c>
      <c r="I53" s="1480"/>
      <c r="J53" s="1480" t="s">
        <v>2329</v>
      </c>
      <c r="K53" s="1459"/>
      <c r="L53" s="1459"/>
      <c r="M53" s="785"/>
      <c r="N53" s="680"/>
      <c r="O53" s="680"/>
      <c r="P53" s="680"/>
      <c r="Q53" s="680"/>
      <c r="R53" s="680"/>
      <c r="S53" s="680"/>
      <c r="T53" s="680"/>
      <c r="U53" s="680"/>
      <c r="V53" s="680"/>
      <c r="W53" s="680"/>
      <c r="X53" s="680"/>
      <c r="Y53" s="680"/>
      <c r="Z53" s="680"/>
      <c r="AA53">
        <f>IF(AND('08 Exs'!C53&gt;Tmin, NOT('08 Exs'!$I53="")),'08 Exs'!$I53,0)</f>
        <v>0</v>
      </c>
      <c r="AB53">
        <f>IF(AND('08 Exs'!D53&gt;Tmin, NOT('08 Exs'!$I53="")),'08 Exs'!$I53,0)</f>
        <v>0</v>
      </c>
      <c r="AC53">
        <f>IF(AND('08 Exs'!E53&gt;Tmin, NOT('08 Exs'!$I53="")),'08 Exs'!$I53,0)</f>
        <v>0</v>
      </c>
      <c r="AD53">
        <f>IF(AND('08 Exs'!F53&gt;Tmin, NOT('08 Exs'!$I53="")),'08 Exs'!$I53,0)</f>
        <v>0</v>
      </c>
      <c r="AE53">
        <f>IF(AND('08 Exs'!C53&lt;Tmax, NOT('08 Exs'!$H53="")),'08 Exs'!$H53,4)</f>
        <v>3</v>
      </c>
      <c r="AF53">
        <f>IF(AND('08 Exs'!D53&lt;Tmax, NOT('08 Exs'!$H53="")),'08 Exs'!$H53,4)</f>
        <v>3</v>
      </c>
      <c r="AG53">
        <f>IF(AND('08 Exs'!E53&lt;Tmax, NOT('08 Exs'!$H53="")),'08 Exs'!$H53,4)</f>
        <v>3</v>
      </c>
      <c r="AH53">
        <f>IF(AND('08 Exs'!F53&lt;Tmax, NOT('08 Exs'!$H53="")),'08 Exs'!$H53,4)</f>
        <v>3</v>
      </c>
      <c r="AI53"/>
    </row>
    <row r="54" spans="1:35" s="681" customFormat="1" outlineLevel="2" x14ac:dyDescent="0.2">
      <c r="A54" s="636" t="s">
        <v>4606</v>
      </c>
      <c r="B54" s="636" t="s">
        <v>5202</v>
      </c>
      <c r="C54" s="786"/>
      <c r="D54" s="702"/>
      <c r="E54" s="702"/>
      <c r="F54" s="702"/>
      <c r="G54" s="1480">
        <v>2</v>
      </c>
      <c r="H54" s="1480">
        <v>3</v>
      </c>
      <c r="I54" s="1480"/>
      <c r="J54" s="1480" t="s">
        <v>2109</v>
      </c>
      <c r="K54" s="1459"/>
      <c r="L54" s="1459"/>
      <c r="M54" s="785"/>
      <c r="N54" s="680"/>
      <c r="O54" s="680"/>
      <c r="P54" s="680"/>
      <c r="Q54" s="680"/>
      <c r="R54" s="680"/>
      <c r="S54" s="680"/>
      <c r="T54" s="680"/>
      <c r="U54" s="680"/>
      <c r="V54" s="680"/>
      <c r="W54" s="680"/>
      <c r="X54" s="680"/>
      <c r="Y54" s="680"/>
      <c r="Z54" s="680"/>
      <c r="AA54">
        <f>IF(AND('08 Exs'!C54&gt;Tmin, NOT('08 Exs'!$I54="")),'08 Exs'!$I54,0)</f>
        <v>0</v>
      </c>
      <c r="AB54">
        <f>IF(AND('08 Exs'!D54&gt;Tmin, NOT('08 Exs'!$I54="")),'08 Exs'!$I54,0)</f>
        <v>0</v>
      </c>
      <c r="AC54">
        <f>IF(AND('08 Exs'!E54&gt;Tmin, NOT('08 Exs'!$I54="")),'08 Exs'!$I54,0)</f>
        <v>0</v>
      </c>
      <c r="AD54">
        <f>IF(AND('08 Exs'!F54&gt;Tmin, NOT('08 Exs'!$I54="")),'08 Exs'!$I54,0)</f>
        <v>0</v>
      </c>
      <c r="AE54">
        <f>IF(AND('08 Exs'!C54&lt;Tmax, NOT('08 Exs'!$H54="")),'08 Exs'!$H54,4)</f>
        <v>3</v>
      </c>
      <c r="AF54">
        <f>IF(AND('08 Exs'!D54&lt;Tmax, NOT('08 Exs'!$H54="")),'08 Exs'!$H54,4)</f>
        <v>3</v>
      </c>
      <c r="AG54">
        <f>IF(AND('08 Exs'!E54&lt;Tmax, NOT('08 Exs'!$H54="")),'08 Exs'!$H54,4)</f>
        <v>3</v>
      </c>
      <c r="AH54">
        <f>IF(AND('08 Exs'!F54&lt;Tmax, NOT('08 Exs'!$H54="")),'08 Exs'!$H54,4)</f>
        <v>3</v>
      </c>
      <c r="AI54"/>
    </row>
    <row r="55" spans="1:35" s="681" customFormat="1" outlineLevel="1" x14ac:dyDescent="0.2">
      <c r="A55" s="633" t="s">
        <v>2558</v>
      </c>
      <c r="B55" s="634" t="s">
        <v>3716</v>
      </c>
      <c r="C55" s="786"/>
      <c r="D55" s="702"/>
      <c r="E55" s="702"/>
      <c r="F55" s="702"/>
      <c r="G55" s="1480"/>
      <c r="H55" s="1480"/>
      <c r="I55" s="1480"/>
      <c r="J55" s="1480"/>
      <c r="K55" s="1459"/>
      <c r="L55" s="1459"/>
      <c r="M55" s="785"/>
      <c r="N55" s="680"/>
      <c r="O55" s="680"/>
      <c r="P55" s="680"/>
      <c r="Q55" s="680"/>
      <c r="R55" s="680"/>
      <c r="S55" s="680"/>
      <c r="T55" s="680"/>
      <c r="U55" s="680"/>
      <c r="V55" s="680"/>
      <c r="W55" s="680"/>
      <c r="X55" s="680"/>
      <c r="Y55" s="680"/>
      <c r="Z55" s="680"/>
      <c r="AA55"/>
      <c r="AB55"/>
      <c r="AC55"/>
      <c r="AD55"/>
      <c r="AE55"/>
      <c r="AF55"/>
      <c r="AG55"/>
      <c r="AH55"/>
      <c r="AI55"/>
    </row>
    <row r="56" spans="1:35" s="681" customFormat="1" outlineLevel="2" x14ac:dyDescent="0.2">
      <c r="A56" s="636" t="s">
        <v>4608</v>
      </c>
      <c r="B56" s="636" t="s">
        <v>1279</v>
      </c>
      <c r="C56" s="786"/>
      <c r="D56" s="702"/>
      <c r="E56" s="702"/>
      <c r="F56" s="702"/>
      <c r="G56" s="1480">
        <v>2</v>
      </c>
      <c r="H56" s="1480"/>
      <c r="I56" s="1480">
        <v>2</v>
      </c>
      <c r="J56" s="1480" t="s">
        <v>1592</v>
      </c>
      <c r="K56" s="1459"/>
      <c r="L56" s="1459" t="s">
        <v>7330</v>
      </c>
      <c r="M56" s="785"/>
      <c r="N56" s="680"/>
      <c r="O56" s="680"/>
      <c r="P56" s="680"/>
      <c r="Q56" s="680"/>
      <c r="R56" s="680"/>
      <c r="S56" s="680"/>
      <c r="T56" s="680"/>
      <c r="U56" s="680"/>
      <c r="V56" s="680"/>
      <c r="W56" s="680"/>
      <c r="X56" s="680"/>
      <c r="Y56" s="680"/>
      <c r="Z56" s="680"/>
      <c r="AA56">
        <f>IF(AND('08 Exs'!C56&gt;Tmin, NOT('08 Exs'!$I56="")),'08 Exs'!$I56,0)</f>
        <v>0</v>
      </c>
      <c r="AB56">
        <f>IF(AND('08 Exs'!D56&gt;Tmin, NOT('08 Exs'!$I56="")),'08 Exs'!$I56,0)</f>
        <v>0</v>
      </c>
      <c r="AC56">
        <f>IF(AND('08 Exs'!E56&gt;Tmin, NOT('08 Exs'!$I56="")),'08 Exs'!$I56,0)</f>
        <v>0</v>
      </c>
      <c r="AD56">
        <f>IF(AND('08 Exs'!F56&gt;Tmin, NOT('08 Exs'!$I56="")),'08 Exs'!$I56,0)</f>
        <v>0</v>
      </c>
      <c r="AE56">
        <f>IF(AND('08 Exs'!C56&lt;Tmax, NOT('08 Exs'!$H56="")),'08 Exs'!$H56,4)</f>
        <v>4</v>
      </c>
      <c r="AF56">
        <f>IF(AND('08 Exs'!D56&lt;Tmax, NOT('08 Exs'!$H56="")),'08 Exs'!$H56,4)</f>
        <v>4</v>
      </c>
      <c r="AG56">
        <f>IF(AND('08 Exs'!E56&lt;Tmax, NOT('08 Exs'!$H56="")),'08 Exs'!$H56,4)</f>
        <v>4</v>
      </c>
      <c r="AH56">
        <f>IF(AND('08 Exs'!F56&lt;Tmax, NOT('08 Exs'!$H56="")),'08 Exs'!$H56,4)</f>
        <v>4</v>
      </c>
      <c r="AI56"/>
    </row>
    <row r="57" spans="1:35" s="681" customFormat="1" outlineLevel="2" x14ac:dyDescent="0.2">
      <c r="A57" s="636" t="s">
        <v>5917</v>
      </c>
      <c r="B57" s="636" t="s">
        <v>1281</v>
      </c>
      <c r="C57" s="786"/>
      <c r="D57" s="702"/>
      <c r="E57" s="702"/>
      <c r="F57" s="702"/>
      <c r="G57" s="1480">
        <v>4</v>
      </c>
      <c r="H57" s="1480"/>
      <c r="I57" s="1480">
        <v>2</v>
      </c>
      <c r="J57" s="1480" t="s">
        <v>1592</v>
      </c>
      <c r="K57" s="1459"/>
      <c r="L57" s="1459" t="s">
        <v>7330</v>
      </c>
      <c r="M57" s="785"/>
      <c r="N57" s="680"/>
      <c r="O57" s="680"/>
      <c r="P57" s="680"/>
      <c r="Q57" s="680"/>
      <c r="R57" s="680"/>
      <c r="S57" s="680"/>
      <c r="T57" s="680"/>
      <c r="U57" s="680"/>
      <c r="V57" s="680"/>
      <c r="W57" s="680"/>
      <c r="X57" s="680"/>
      <c r="Y57" s="680"/>
      <c r="Z57" s="680"/>
      <c r="AA57">
        <f>IF(AND('08 Exs'!C57&gt;Tmin, NOT('08 Exs'!$I57="")),'08 Exs'!$I57,0)</f>
        <v>0</v>
      </c>
      <c r="AB57">
        <f>IF(AND('08 Exs'!D57&gt;Tmin, NOT('08 Exs'!$I57="")),'08 Exs'!$I57,0)</f>
        <v>0</v>
      </c>
      <c r="AC57">
        <f>IF(AND('08 Exs'!E57&gt;Tmin, NOT('08 Exs'!$I57="")),'08 Exs'!$I57,0)</f>
        <v>0</v>
      </c>
      <c r="AD57">
        <f>IF(AND('08 Exs'!F57&gt;Tmin, NOT('08 Exs'!$I57="")),'08 Exs'!$I57,0)</f>
        <v>0</v>
      </c>
      <c r="AE57">
        <f>IF(AND('08 Exs'!C57&lt;Tmax, NOT('08 Exs'!$H57="")),'08 Exs'!$H57,4)</f>
        <v>4</v>
      </c>
      <c r="AF57">
        <f>IF(AND('08 Exs'!D57&lt;Tmax, NOT('08 Exs'!$H57="")),'08 Exs'!$H57,4)</f>
        <v>4</v>
      </c>
      <c r="AG57">
        <f>IF(AND('08 Exs'!E57&lt;Tmax, NOT('08 Exs'!$H57="")),'08 Exs'!$H57,4)</f>
        <v>4</v>
      </c>
      <c r="AH57">
        <f>IF(AND('08 Exs'!F57&lt;Tmax, NOT('08 Exs'!$H57="")),'08 Exs'!$H57,4)</f>
        <v>4</v>
      </c>
      <c r="AI57"/>
    </row>
    <row r="58" spans="1:35" s="681" customFormat="1" ht="22.5" outlineLevel="2" x14ac:dyDescent="0.2">
      <c r="A58" s="636" t="s">
        <v>5918</v>
      </c>
      <c r="B58" s="636" t="s">
        <v>5910</v>
      </c>
      <c r="C58" s="786"/>
      <c r="D58" s="702"/>
      <c r="E58" s="702"/>
      <c r="F58" s="702"/>
      <c r="G58" s="1480">
        <v>2</v>
      </c>
      <c r="H58" s="1480"/>
      <c r="I58" s="1480"/>
      <c r="J58" s="1480" t="s">
        <v>2329</v>
      </c>
      <c r="K58" s="1459"/>
      <c r="L58" s="1459" t="s">
        <v>7330</v>
      </c>
      <c r="M58" s="785"/>
      <c r="N58" s="680"/>
      <c r="O58" s="680"/>
      <c r="P58" s="680"/>
      <c r="Q58" s="680"/>
      <c r="R58" s="680"/>
      <c r="S58" s="680"/>
      <c r="T58" s="680"/>
      <c r="U58" s="680"/>
      <c r="V58" s="680"/>
      <c r="W58" s="680"/>
      <c r="X58" s="680"/>
      <c r="Y58" s="680"/>
      <c r="Z58" s="680"/>
      <c r="AA58">
        <f>IF(AND('08 Exs'!C58&gt;Tmin, NOT('08 Exs'!$I58="")),'08 Exs'!$I58,0)</f>
        <v>0</v>
      </c>
      <c r="AB58">
        <f>IF(AND('08 Exs'!D58&gt;Tmin, NOT('08 Exs'!$I58="")),'08 Exs'!$I58,0)</f>
        <v>0</v>
      </c>
      <c r="AC58">
        <f>IF(AND('08 Exs'!E58&gt;Tmin, NOT('08 Exs'!$I58="")),'08 Exs'!$I58,0)</f>
        <v>0</v>
      </c>
      <c r="AD58">
        <f>IF(AND('08 Exs'!F58&gt;Tmin, NOT('08 Exs'!$I58="")),'08 Exs'!$I58,0)</f>
        <v>0</v>
      </c>
      <c r="AE58">
        <f>IF(AND('08 Exs'!C58&lt;Tmax, NOT('08 Exs'!$H58="")),'08 Exs'!$H58,4)</f>
        <v>4</v>
      </c>
      <c r="AF58">
        <f>IF(AND('08 Exs'!D58&lt;Tmax, NOT('08 Exs'!$H58="")),'08 Exs'!$H58,4)</f>
        <v>4</v>
      </c>
      <c r="AG58">
        <f>IF(AND('08 Exs'!E58&lt;Tmax, NOT('08 Exs'!$H58="")),'08 Exs'!$H58,4)</f>
        <v>4</v>
      </c>
      <c r="AH58">
        <f>IF(AND('08 Exs'!F58&lt;Tmax, NOT('08 Exs'!$H58="")),'08 Exs'!$H58,4)</f>
        <v>4</v>
      </c>
      <c r="AI58"/>
    </row>
    <row r="59" spans="1:35" s="681" customFormat="1" ht="22.5" outlineLevel="2" x14ac:dyDescent="0.2">
      <c r="A59" s="636" t="s">
        <v>5919</v>
      </c>
      <c r="B59" s="636" t="s">
        <v>4285</v>
      </c>
      <c r="C59" s="786"/>
      <c r="D59" s="702"/>
      <c r="E59" s="702"/>
      <c r="F59" s="702"/>
      <c r="G59" s="1480">
        <v>4</v>
      </c>
      <c r="H59" s="1480"/>
      <c r="I59" s="1480"/>
      <c r="J59" s="1480" t="s">
        <v>2329</v>
      </c>
      <c r="K59" s="1459"/>
      <c r="L59" s="1459"/>
      <c r="M59" s="785"/>
      <c r="N59" s="680"/>
      <c r="O59" s="680"/>
      <c r="P59" s="680"/>
      <c r="Q59" s="680"/>
      <c r="R59" s="680"/>
      <c r="S59" s="680"/>
      <c r="T59" s="680"/>
      <c r="U59" s="680"/>
      <c r="V59" s="680"/>
      <c r="W59" s="680"/>
      <c r="X59" s="680"/>
      <c r="Y59" s="680"/>
      <c r="Z59" s="680"/>
      <c r="AA59">
        <f>IF(AND('08 Exs'!C59&gt;Tmin, NOT('08 Exs'!$I59="")),'08 Exs'!$I59,0)</f>
        <v>0</v>
      </c>
      <c r="AB59">
        <f>IF(AND('08 Exs'!D59&gt;Tmin, NOT('08 Exs'!$I59="")),'08 Exs'!$I59,0)</f>
        <v>0</v>
      </c>
      <c r="AC59">
        <f>IF(AND('08 Exs'!E59&gt;Tmin, NOT('08 Exs'!$I59="")),'08 Exs'!$I59,0)</f>
        <v>0</v>
      </c>
      <c r="AD59">
        <f>IF(AND('08 Exs'!F59&gt;Tmin, NOT('08 Exs'!$I59="")),'08 Exs'!$I59,0)</f>
        <v>0</v>
      </c>
      <c r="AE59">
        <f>IF(AND('08 Exs'!C59&lt;Tmax, NOT('08 Exs'!$H59="")),'08 Exs'!$H59,4)</f>
        <v>4</v>
      </c>
      <c r="AF59">
        <f>IF(AND('08 Exs'!D59&lt;Tmax, NOT('08 Exs'!$H59="")),'08 Exs'!$H59,4)</f>
        <v>4</v>
      </c>
      <c r="AG59">
        <f>IF(AND('08 Exs'!E59&lt;Tmax, NOT('08 Exs'!$H59="")),'08 Exs'!$H59,4)</f>
        <v>4</v>
      </c>
      <c r="AH59">
        <f>IF(AND('08 Exs'!F59&lt;Tmax, NOT('08 Exs'!$H59="")),'08 Exs'!$H59,4)</f>
        <v>4</v>
      </c>
      <c r="AI59"/>
    </row>
    <row r="60" spans="1:35" s="681" customFormat="1" ht="22.5" outlineLevel="2" x14ac:dyDescent="0.2">
      <c r="A60" s="636" t="s">
        <v>5920</v>
      </c>
      <c r="B60" s="636" t="s">
        <v>5901</v>
      </c>
      <c r="C60" s="786"/>
      <c r="D60" s="702"/>
      <c r="E60" s="702"/>
      <c r="F60" s="710"/>
      <c r="G60" s="1480">
        <v>4</v>
      </c>
      <c r="H60" s="1480">
        <v>3</v>
      </c>
      <c r="I60" s="1480"/>
      <c r="J60" s="1480" t="s">
        <v>2329</v>
      </c>
      <c r="K60" s="1459"/>
      <c r="L60" s="1459" t="s">
        <v>7330</v>
      </c>
      <c r="M60" s="785"/>
      <c r="N60" s="680"/>
      <c r="O60" s="680"/>
      <c r="P60" s="680"/>
      <c r="Q60" s="680"/>
      <c r="R60" s="680"/>
      <c r="S60" s="680"/>
      <c r="T60" s="680"/>
      <c r="U60" s="680"/>
      <c r="V60" s="680"/>
      <c r="W60" s="680"/>
      <c r="X60" s="680"/>
      <c r="Y60" s="680"/>
      <c r="Z60" s="680"/>
      <c r="AA60">
        <f>IF(AND('08 Exs'!C60&gt;Tmin, NOT('08 Exs'!$I60="")),'08 Exs'!$I60,0)</f>
        <v>0</v>
      </c>
      <c r="AB60">
        <f>IF(AND('08 Exs'!D60&gt;Tmin, NOT('08 Exs'!$I60="")),'08 Exs'!$I60,0)</f>
        <v>0</v>
      </c>
      <c r="AC60">
        <f>IF(AND('08 Exs'!E60&gt;Tmin, NOT('08 Exs'!$I60="")),'08 Exs'!$I60,0)</f>
        <v>0</v>
      </c>
      <c r="AD60">
        <f>IF(AND('08 Exs'!F60&gt;Tmin, NOT('08 Exs'!$I60="")),'08 Exs'!$I60,0)</f>
        <v>0</v>
      </c>
      <c r="AE60">
        <f>IF(AND('08 Exs'!C60&lt;Tmax, NOT('08 Exs'!$H60="")),'08 Exs'!$H60,4)</f>
        <v>3</v>
      </c>
      <c r="AF60">
        <f>IF(AND('08 Exs'!D60&lt;Tmax, NOT('08 Exs'!$H60="")),'08 Exs'!$H60,4)</f>
        <v>3</v>
      </c>
      <c r="AG60">
        <f>IF(AND('08 Exs'!E60&lt;Tmax, NOT('08 Exs'!$H60="")),'08 Exs'!$H60,4)</f>
        <v>3</v>
      </c>
      <c r="AH60">
        <f>IF(AND('08 Exs'!F60&lt;Tmax, NOT('08 Exs'!$H60="")),'08 Exs'!$H60,4)</f>
        <v>3</v>
      </c>
      <c r="AI60"/>
    </row>
    <row r="61" spans="1:35" s="681" customFormat="1" outlineLevel="2" x14ac:dyDescent="0.2">
      <c r="A61" s="636" t="s">
        <v>6866</v>
      </c>
      <c r="B61" s="636" t="s">
        <v>5074</v>
      </c>
      <c r="C61" s="786"/>
      <c r="D61" s="702"/>
      <c r="E61" s="702"/>
      <c r="F61" s="702"/>
      <c r="G61" s="1480">
        <v>4</v>
      </c>
      <c r="H61" s="1480"/>
      <c r="I61" s="1480">
        <v>2</v>
      </c>
      <c r="J61" s="1480" t="s">
        <v>2329</v>
      </c>
      <c r="K61" s="1459"/>
      <c r="L61" s="1459"/>
      <c r="M61" s="785"/>
      <c r="N61" s="680"/>
      <c r="O61" s="680"/>
      <c r="P61" s="680"/>
      <c r="Q61" s="680"/>
      <c r="R61" s="680"/>
      <c r="S61" s="680"/>
      <c r="T61" s="680"/>
      <c r="U61" s="680"/>
      <c r="V61" s="680"/>
      <c r="W61" s="680"/>
      <c r="X61" s="680"/>
      <c r="Y61" s="680"/>
      <c r="Z61" s="680"/>
      <c r="AA61">
        <f>IF(AND('08 Exs'!C61&gt;Tmin, NOT('08 Exs'!$I61="")),'08 Exs'!$I61,0)</f>
        <v>0</v>
      </c>
      <c r="AB61">
        <f>IF(AND('08 Exs'!D61&gt;Tmin, NOT('08 Exs'!$I61="")),'08 Exs'!$I61,0)</f>
        <v>0</v>
      </c>
      <c r="AC61">
        <f>IF(AND('08 Exs'!E61&gt;Tmin, NOT('08 Exs'!$I61="")),'08 Exs'!$I61,0)</f>
        <v>0</v>
      </c>
      <c r="AD61">
        <f>IF(AND('08 Exs'!F61&gt;Tmin, NOT('08 Exs'!$I61="")),'08 Exs'!$I61,0)</f>
        <v>0</v>
      </c>
      <c r="AE61">
        <f>IF(AND('08 Exs'!C61&lt;Tmax, NOT('08 Exs'!$H61="")),'08 Exs'!$H61,4)</f>
        <v>4</v>
      </c>
      <c r="AF61">
        <f>IF(AND('08 Exs'!D61&lt;Tmax, NOT('08 Exs'!$H61="")),'08 Exs'!$H61,4)</f>
        <v>4</v>
      </c>
      <c r="AG61">
        <f>IF(AND('08 Exs'!E61&lt;Tmax, NOT('08 Exs'!$H61="")),'08 Exs'!$H61,4)</f>
        <v>4</v>
      </c>
      <c r="AH61">
        <f>IF(AND('08 Exs'!F61&lt;Tmax, NOT('08 Exs'!$H61="")),'08 Exs'!$H61,4)</f>
        <v>4</v>
      </c>
      <c r="AI61"/>
    </row>
    <row r="62" spans="1:35" s="681" customFormat="1" ht="22.5" outlineLevel="2" x14ac:dyDescent="0.2">
      <c r="A62" s="636" t="s">
        <v>6867</v>
      </c>
      <c r="B62" s="636" t="s">
        <v>5037</v>
      </c>
      <c r="C62" s="786"/>
      <c r="D62" s="702"/>
      <c r="E62" s="702"/>
      <c r="F62" s="702"/>
      <c r="G62" s="1480">
        <v>4</v>
      </c>
      <c r="H62" s="1480"/>
      <c r="I62" s="1480">
        <v>2</v>
      </c>
      <c r="J62" s="1480" t="s">
        <v>2329</v>
      </c>
      <c r="K62" s="1459"/>
      <c r="L62" s="1459"/>
      <c r="M62" s="785"/>
      <c r="N62" s="680"/>
      <c r="O62" s="680"/>
      <c r="P62" s="680"/>
      <c r="Q62" s="680"/>
      <c r="R62" s="680"/>
      <c r="S62" s="680"/>
      <c r="T62" s="680"/>
      <c r="U62" s="680"/>
      <c r="V62" s="680"/>
      <c r="W62" s="680"/>
      <c r="X62" s="680"/>
      <c r="Y62" s="680"/>
      <c r="Z62" s="680"/>
      <c r="AA62">
        <f>IF(AND('08 Exs'!C62&gt;Tmin, NOT('08 Exs'!$I62="")),'08 Exs'!$I62,0)</f>
        <v>0</v>
      </c>
      <c r="AB62">
        <f>IF(AND('08 Exs'!D62&gt;Tmin, NOT('08 Exs'!$I62="")),'08 Exs'!$I62,0)</f>
        <v>0</v>
      </c>
      <c r="AC62">
        <f>IF(AND('08 Exs'!E62&gt;Tmin, NOT('08 Exs'!$I62="")),'08 Exs'!$I62,0)</f>
        <v>0</v>
      </c>
      <c r="AD62">
        <f>IF(AND('08 Exs'!F62&gt;Tmin, NOT('08 Exs'!$I62="")),'08 Exs'!$I62,0)</f>
        <v>0</v>
      </c>
      <c r="AE62">
        <f>IF(AND('08 Exs'!C62&lt;Tmax, NOT('08 Exs'!$H62="")),'08 Exs'!$H62,4)</f>
        <v>4</v>
      </c>
      <c r="AF62">
        <f>IF(AND('08 Exs'!D62&lt;Tmax, NOT('08 Exs'!$H62="")),'08 Exs'!$H62,4)</f>
        <v>4</v>
      </c>
      <c r="AG62">
        <f>IF(AND('08 Exs'!E62&lt;Tmax, NOT('08 Exs'!$H62="")),'08 Exs'!$H62,4)</f>
        <v>4</v>
      </c>
      <c r="AH62">
        <f>IF(AND('08 Exs'!F62&lt;Tmax, NOT('08 Exs'!$H62="")),'08 Exs'!$H62,4)</f>
        <v>4</v>
      </c>
      <c r="AI62"/>
    </row>
    <row r="63" spans="1:35" s="681" customFormat="1" ht="45" outlineLevel="2" x14ac:dyDescent="0.2">
      <c r="A63" s="636" t="s">
        <v>6868</v>
      </c>
      <c r="B63" s="636" t="s">
        <v>4159</v>
      </c>
      <c r="C63" s="786"/>
      <c r="D63" s="702"/>
      <c r="E63" s="702"/>
      <c r="F63" s="702"/>
      <c r="G63" s="1480">
        <v>4</v>
      </c>
      <c r="H63" s="1480">
        <v>3</v>
      </c>
      <c r="I63" s="1480"/>
      <c r="J63" s="1480" t="s">
        <v>1592</v>
      </c>
      <c r="K63" s="1459"/>
      <c r="L63" s="1459"/>
      <c r="M63" s="785"/>
      <c r="N63" s="680"/>
      <c r="O63" s="680"/>
      <c r="P63" s="680"/>
      <c r="Q63" s="680"/>
      <c r="R63" s="680"/>
      <c r="S63" s="680"/>
      <c r="T63" s="680"/>
      <c r="U63" s="680"/>
      <c r="V63" s="680"/>
      <c r="W63" s="680"/>
      <c r="X63" s="680"/>
      <c r="Y63" s="680"/>
      <c r="Z63" s="680"/>
      <c r="AA63">
        <f>IF(AND('08 Exs'!C63&gt;Tmin, NOT('08 Exs'!$I63="")),'08 Exs'!$I63,0)</f>
        <v>0</v>
      </c>
      <c r="AB63">
        <f>IF(AND('08 Exs'!D63&gt;Tmin, NOT('08 Exs'!$I63="")),'08 Exs'!$I63,0)</f>
        <v>0</v>
      </c>
      <c r="AC63">
        <f>IF(AND('08 Exs'!E63&gt;Tmin, NOT('08 Exs'!$I63="")),'08 Exs'!$I63,0)</f>
        <v>0</v>
      </c>
      <c r="AD63">
        <f>IF(AND('08 Exs'!F63&gt;Tmin, NOT('08 Exs'!$I63="")),'08 Exs'!$I63,0)</f>
        <v>0</v>
      </c>
      <c r="AE63">
        <f>IF(AND('08 Exs'!C63&lt;Tmax, NOT('08 Exs'!$H63="")),'08 Exs'!$H63,4)</f>
        <v>3</v>
      </c>
      <c r="AF63">
        <f>IF(AND('08 Exs'!D63&lt;Tmax, NOT('08 Exs'!$H63="")),'08 Exs'!$H63,4)</f>
        <v>3</v>
      </c>
      <c r="AG63">
        <f>IF(AND('08 Exs'!E63&lt;Tmax, NOT('08 Exs'!$H63="")),'08 Exs'!$H63,4)</f>
        <v>3</v>
      </c>
      <c r="AH63">
        <f>IF(AND('08 Exs'!F63&lt;Tmax, NOT('08 Exs'!$H63="")),'08 Exs'!$H63,4)</f>
        <v>3</v>
      </c>
      <c r="AI63"/>
    </row>
    <row r="64" spans="1:35" s="681" customFormat="1" ht="22.5" outlineLevel="2" x14ac:dyDescent="0.2">
      <c r="A64" s="636" t="s">
        <v>6869</v>
      </c>
      <c r="B64" s="636" t="s">
        <v>1694</v>
      </c>
      <c r="C64" s="786"/>
      <c r="D64" s="702"/>
      <c r="E64" s="702"/>
      <c r="F64" s="702"/>
      <c r="G64" s="1480">
        <v>2</v>
      </c>
      <c r="H64" s="1480">
        <v>2</v>
      </c>
      <c r="I64" s="1480"/>
      <c r="J64" s="1480" t="s">
        <v>2349</v>
      </c>
      <c r="K64" s="1459"/>
      <c r="L64" s="1459"/>
      <c r="M64" s="785"/>
      <c r="N64" s="680"/>
      <c r="O64" s="680"/>
      <c r="P64" s="680"/>
      <c r="Q64" s="680"/>
      <c r="R64" s="680"/>
      <c r="S64" s="680"/>
      <c r="T64" s="680"/>
      <c r="U64" s="680"/>
      <c r="V64" s="680"/>
      <c r="W64" s="680"/>
      <c r="X64" s="680"/>
      <c r="Y64" s="680"/>
      <c r="Z64" s="680"/>
      <c r="AA64">
        <f>IF(AND('08 Exs'!C64&gt;Tmin, NOT('08 Exs'!$I64="")),'08 Exs'!$I64,0)</f>
        <v>0</v>
      </c>
      <c r="AB64">
        <f>IF(AND('08 Exs'!D64&gt;Tmin, NOT('08 Exs'!$I64="")),'08 Exs'!$I64,0)</f>
        <v>0</v>
      </c>
      <c r="AC64">
        <f>IF(AND('08 Exs'!E64&gt;Tmin, NOT('08 Exs'!$I64="")),'08 Exs'!$I64,0)</f>
        <v>0</v>
      </c>
      <c r="AD64">
        <f>IF(AND('08 Exs'!F64&gt;Tmin, NOT('08 Exs'!$I64="")),'08 Exs'!$I64,0)</f>
        <v>0</v>
      </c>
      <c r="AE64">
        <f>IF(AND('08 Exs'!C64&lt;Tmax, NOT('08 Exs'!$H64="")),'08 Exs'!$H64,4)</f>
        <v>2</v>
      </c>
      <c r="AF64">
        <f>IF(AND('08 Exs'!D64&lt;Tmax, NOT('08 Exs'!$H64="")),'08 Exs'!$H64,4)</f>
        <v>2</v>
      </c>
      <c r="AG64">
        <f>IF(AND('08 Exs'!E64&lt;Tmax, NOT('08 Exs'!$H64="")),'08 Exs'!$H64,4)</f>
        <v>2</v>
      </c>
      <c r="AH64">
        <f>IF(AND('08 Exs'!F64&lt;Tmax, NOT('08 Exs'!$H64="")),'08 Exs'!$H64,4)</f>
        <v>2</v>
      </c>
      <c r="AI64"/>
    </row>
    <row r="65" spans="1:35" s="681" customFormat="1" outlineLevel="2" x14ac:dyDescent="0.2">
      <c r="A65" s="636" t="s">
        <v>6870</v>
      </c>
      <c r="B65" s="636" t="s">
        <v>5168</v>
      </c>
      <c r="C65" s="786"/>
      <c r="D65" s="702"/>
      <c r="E65" s="702"/>
      <c r="F65" s="702"/>
      <c r="G65" s="1480">
        <v>2</v>
      </c>
      <c r="H65" s="1480">
        <v>3</v>
      </c>
      <c r="I65" s="1480"/>
      <c r="J65" s="1480" t="s">
        <v>2109</v>
      </c>
      <c r="K65" s="1459"/>
      <c r="L65" s="1459"/>
      <c r="M65" s="785"/>
      <c r="N65" s="680"/>
      <c r="O65" s="680"/>
      <c r="P65" s="680"/>
      <c r="Q65" s="680"/>
      <c r="R65" s="680"/>
      <c r="S65" s="680"/>
      <c r="T65" s="680"/>
      <c r="U65" s="680"/>
      <c r="V65" s="680"/>
      <c r="W65" s="680"/>
      <c r="X65" s="680"/>
      <c r="Y65" s="680"/>
      <c r="Z65" s="680"/>
      <c r="AA65">
        <f>IF(AND('08 Exs'!C65&gt;Tmin, NOT('08 Exs'!$I65="")),'08 Exs'!$I65,0)</f>
        <v>0</v>
      </c>
      <c r="AB65">
        <f>IF(AND('08 Exs'!D65&gt;Tmin, NOT('08 Exs'!$I65="")),'08 Exs'!$I65,0)</f>
        <v>0</v>
      </c>
      <c r="AC65">
        <f>IF(AND('08 Exs'!E65&gt;Tmin, NOT('08 Exs'!$I65="")),'08 Exs'!$I65,0)</f>
        <v>0</v>
      </c>
      <c r="AD65">
        <f>IF(AND('08 Exs'!F65&gt;Tmin, NOT('08 Exs'!$I65="")),'08 Exs'!$I65,0)</f>
        <v>0</v>
      </c>
      <c r="AE65">
        <f>IF(AND('08 Exs'!C65&lt;Tmax, NOT('08 Exs'!$H65="")),'08 Exs'!$H65,4)</f>
        <v>3</v>
      </c>
      <c r="AF65">
        <f>IF(AND('08 Exs'!D65&lt;Tmax, NOT('08 Exs'!$H65="")),'08 Exs'!$H65,4)</f>
        <v>3</v>
      </c>
      <c r="AG65">
        <f>IF(AND('08 Exs'!E65&lt;Tmax, NOT('08 Exs'!$H65="")),'08 Exs'!$H65,4)</f>
        <v>3</v>
      </c>
      <c r="AH65">
        <f>IF(AND('08 Exs'!F65&lt;Tmax, NOT('08 Exs'!$H65="")),'08 Exs'!$H65,4)</f>
        <v>3</v>
      </c>
      <c r="AI65"/>
    </row>
    <row r="66" spans="1:35" s="681" customFormat="1" outlineLevel="1" x14ac:dyDescent="0.2">
      <c r="A66" s="633" t="s">
        <v>3603</v>
      </c>
      <c r="B66" s="634" t="s">
        <v>6002</v>
      </c>
      <c r="C66" s="786"/>
      <c r="D66" s="702"/>
      <c r="E66" s="702"/>
      <c r="F66" s="702"/>
      <c r="G66" s="1480"/>
      <c r="H66" s="1480"/>
      <c r="I66" s="1480"/>
      <c r="J66" s="1480"/>
      <c r="K66" s="1459"/>
      <c r="L66" s="1459"/>
      <c r="M66" s="785"/>
      <c r="N66" s="680"/>
      <c r="O66" s="680"/>
      <c r="P66" s="680"/>
      <c r="Q66" s="680"/>
      <c r="R66" s="680"/>
      <c r="S66" s="680"/>
      <c r="T66" s="680"/>
      <c r="U66" s="680"/>
      <c r="V66" s="680"/>
      <c r="W66" s="680"/>
      <c r="X66" s="680"/>
      <c r="Y66" s="680"/>
      <c r="Z66" s="680"/>
      <c r="AA66"/>
      <c r="AB66"/>
      <c r="AC66"/>
      <c r="AD66"/>
      <c r="AE66"/>
      <c r="AF66"/>
      <c r="AG66"/>
      <c r="AH66"/>
      <c r="AI66"/>
    </row>
    <row r="67" spans="1:35" s="681" customFormat="1" outlineLevel="2" x14ac:dyDescent="0.2">
      <c r="A67" s="636" t="s">
        <v>5921</v>
      </c>
      <c r="B67" s="636" t="s">
        <v>3781</v>
      </c>
      <c r="C67" s="786"/>
      <c r="D67" s="702"/>
      <c r="E67" s="702"/>
      <c r="F67" s="702"/>
      <c r="G67" s="1480">
        <v>4</v>
      </c>
      <c r="H67" s="1480"/>
      <c r="I67" s="1480"/>
      <c r="J67" s="1480" t="s">
        <v>4246</v>
      </c>
      <c r="K67" s="1459"/>
      <c r="L67" s="1459"/>
      <c r="M67" s="785"/>
      <c r="N67" s="680"/>
      <c r="O67" s="680"/>
      <c r="P67" s="680"/>
      <c r="Q67" s="680"/>
      <c r="R67" s="680"/>
      <c r="S67" s="680"/>
      <c r="T67" s="680"/>
      <c r="U67" s="680"/>
      <c r="V67" s="680"/>
      <c r="W67" s="680"/>
      <c r="X67" s="680"/>
      <c r="Y67" s="680"/>
      <c r="Z67" s="680"/>
      <c r="AA67">
        <f>IF(AND('08 Exs'!C67&gt;Tmin, NOT('08 Exs'!$I67="")),'08 Exs'!$I67,0)</f>
        <v>0</v>
      </c>
      <c r="AB67">
        <f>IF(AND('08 Exs'!D67&gt;Tmin, NOT('08 Exs'!$I67="")),'08 Exs'!$I67,0)</f>
        <v>0</v>
      </c>
      <c r="AC67">
        <f>IF(AND('08 Exs'!E67&gt;Tmin, NOT('08 Exs'!$I67="")),'08 Exs'!$I67,0)</f>
        <v>0</v>
      </c>
      <c r="AD67">
        <f>IF(AND('08 Exs'!F67&gt;Tmin, NOT('08 Exs'!$I67="")),'08 Exs'!$I67,0)</f>
        <v>0</v>
      </c>
      <c r="AE67">
        <f>IF(AND('08 Exs'!C67&lt;Tmax, NOT('08 Exs'!$H67="")),'08 Exs'!$H67,4)</f>
        <v>4</v>
      </c>
      <c r="AF67">
        <f>IF(AND('08 Exs'!D67&lt;Tmax, NOT('08 Exs'!$H67="")),'08 Exs'!$H67,4)</f>
        <v>4</v>
      </c>
      <c r="AG67">
        <f>IF(AND('08 Exs'!E67&lt;Tmax, NOT('08 Exs'!$H67="")),'08 Exs'!$H67,4)</f>
        <v>4</v>
      </c>
      <c r="AH67">
        <f>IF(AND('08 Exs'!F67&lt;Tmax, NOT('08 Exs'!$H67="")),'08 Exs'!$H67,4)</f>
        <v>4</v>
      </c>
      <c r="AI67"/>
    </row>
    <row r="68" spans="1:35" s="681" customFormat="1" outlineLevel="2" x14ac:dyDescent="0.2">
      <c r="A68" s="636" t="s">
        <v>5922</v>
      </c>
      <c r="B68" s="636" t="s">
        <v>4693</v>
      </c>
      <c r="C68" s="786"/>
      <c r="D68" s="702"/>
      <c r="E68" s="702"/>
      <c r="F68" s="702"/>
      <c r="G68" s="1480">
        <v>4</v>
      </c>
      <c r="H68" s="1480">
        <v>3</v>
      </c>
      <c r="I68" s="1480"/>
      <c r="J68" s="1480" t="s">
        <v>4246</v>
      </c>
      <c r="K68" s="1459"/>
      <c r="L68" s="1459"/>
      <c r="M68" s="785"/>
      <c r="N68" s="680"/>
      <c r="O68" s="680"/>
      <c r="P68" s="680"/>
      <c r="Q68" s="680"/>
      <c r="R68" s="680"/>
      <c r="S68" s="680"/>
      <c r="T68" s="680"/>
      <c r="U68" s="680"/>
      <c r="V68" s="680"/>
      <c r="W68" s="680"/>
      <c r="X68" s="680"/>
      <c r="Y68" s="680"/>
      <c r="Z68" s="680"/>
      <c r="AA68">
        <f>IF(AND('08 Exs'!C68&gt;Tmin, NOT('08 Exs'!$I68="")),'08 Exs'!$I68,0)</f>
        <v>0</v>
      </c>
      <c r="AB68">
        <f>IF(AND('08 Exs'!D68&gt;Tmin, NOT('08 Exs'!$I68="")),'08 Exs'!$I68,0)</f>
        <v>0</v>
      </c>
      <c r="AC68">
        <f>IF(AND('08 Exs'!E68&gt;Tmin, NOT('08 Exs'!$I68="")),'08 Exs'!$I68,0)</f>
        <v>0</v>
      </c>
      <c r="AD68">
        <f>IF(AND('08 Exs'!F68&gt;Tmin, NOT('08 Exs'!$I68="")),'08 Exs'!$I68,0)</f>
        <v>0</v>
      </c>
      <c r="AE68">
        <f>IF(AND('08 Exs'!C68&lt;Tmax, NOT('08 Exs'!$H68="")),'08 Exs'!$H68,4)</f>
        <v>3</v>
      </c>
      <c r="AF68">
        <f>IF(AND('08 Exs'!D68&lt;Tmax, NOT('08 Exs'!$H68="")),'08 Exs'!$H68,4)</f>
        <v>3</v>
      </c>
      <c r="AG68">
        <f>IF(AND('08 Exs'!E68&lt;Tmax, NOT('08 Exs'!$H68="")),'08 Exs'!$H68,4)</f>
        <v>3</v>
      </c>
      <c r="AH68">
        <f>IF(AND('08 Exs'!F68&lt;Tmax, NOT('08 Exs'!$H68="")),'08 Exs'!$H68,4)</f>
        <v>3</v>
      </c>
      <c r="AI68"/>
    </row>
    <row r="69" spans="1:35" s="681" customFormat="1" outlineLevel="2" x14ac:dyDescent="0.2">
      <c r="A69" s="636" t="s">
        <v>5923</v>
      </c>
      <c r="B69" s="636" t="s">
        <v>4694</v>
      </c>
      <c r="C69" s="786"/>
      <c r="D69" s="702"/>
      <c r="E69" s="702"/>
      <c r="F69" s="702"/>
      <c r="G69" s="1480">
        <v>4</v>
      </c>
      <c r="H69" s="1480">
        <v>3</v>
      </c>
      <c r="I69" s="1480"/>
      <c r="J69" s="1480" t="s">
        <v>4246</v>
      </c>
      <c r="K69" s="1459"/>
      <c r="L69" s="1459"/>
      <c r="M69" s="785"/>
      <c r="N69" s="680"/>
      <c r="O69" s="680"/>
      <c r="P69" s="680"/>
      <c r="Q69" s="680"/>
      <c r="R69" s="680"/>
      <c r="S69" s="680"/>
      <c r="T69" s="680"/>
      <c r="U69" s="680"/>
      <c r="V69" s="680"/>
      <c r="W69" s="680"/>
      <c r="X69" s="680"/>
      <c r="Y69" s="680"/>
      <c r="Z69" s="680"/>
      <c r="AA69">
        <f>IF(AND('08 Exs'!C69&gt;Tmin, NOT('08 Exs'!$I69="")),'08 Exs'!$I69,0)</f>
        <v>0</v>
      </c>
      <c r="AB69">
        <f>IF(AND('08 Exs'!D69&gt;Tmin, NOT('08 Exs'!$I69="")),'08 Exs'!$I69,0)</f>
        <v>0</v>
      </c>
      <c r="AC69">
        <f>IF(AND('08 Exs'!E69&gt;Tmin, NOT('08 Exs'!$I69="")),'08 Exs'!$I69,0)</f>
        <v>0</v>
      </c>
      <c r="AD69">
        <f>IF(AND('08 Exs'!F69&gt;Tmin, NOT('08 Exs'!$I69="")),'08 Exs'!$I69,0)</f>
        <v>0</v>
      </c>
      <c r="AE69">
        <f>IF(AND('08 Exs'!C69&lt;Tmax, NOT('08 Exs'!$H69="")),'08 Exs'!$H69,4)</f>
        <v>3</v>
      </c>
      <c r="AF69">
        <f>IF(AND('08 Exs'!D69&lt;Tmax, NOT('08 Exs'!$H69="")),'08 Exs'!$H69,4)</f>
        <v>3</v>
      </c>
      <c r="AG69">
        <f>IF(AND('08 Exs'!E69&lt;Tmax, NOT('08 Exs'!$H69="")),'08 Exs'!$H69,4)</f>
        <v>3</v>
      </c>
      <c r="AH69">
        <f>IF(AND('08 Exs'!F69&lt;Tmax, NOT('08 Exs'!$H69="")),'08 Exs'!$H69,4)</f>
        <v>3</v>
      </c>
      <c r="AI69"/>
    </row>
    <row r="70" spans="1:35" s="681" customFormat="1" ht="22.5" outlineLevel="2" x14ac:dyDescent="0.2">
      <c r="A70" s="636" t="s">
        <v>5911</v>
      </c>
      <c r="B70" s="636" t="s">
        <v>4695</v>
      </c>
      <c r="C70" s="786"/>
      <c r="D70" s="702"/>
      <c r="E70" s="702"/>
      <c r="F70" s="702"/>
      <c r="G70" s="1480">
        <v>4</v>
      </c>
      <c r="H70" s="1480">
        <v>3</v>
      </c>
      <c r="I70" s="1480"/>
      <c r="J70" s="1480" t="s">
        <v>1592</v>
      </c>
      <c r="K70" s="1459"/>
      <c r="L70" s="1459"/>
      <c r="M70" s="785"/>
      <c r="N70" s="680"/>
      <c r="O70" s="680"/>
      <c r="P70" s="680"/>
      <c r="Q70" s="680"/>
      <c r="R70" s="680"/>
      <c r="S70" s="680"/>
      <c r="T70" s="680"/>
      <c r="U70" s="680"/>
      <c r="V70" s="680"/>
      <c r="W70" s="680"/>
      <c r="X70" s="680"/>
      <c r="Y70" s="680"/>
      <c r="Z70" s="680"/>
      <c r="AA70">
        <f>IF(AND('08 Exs'!C70&gt;Tmin, NOT('08 Exs'!$I70="")),'08 Exs'!$I70,0)</f>
        <v>0</v>
      </c>
      <c r="AB70">
        <f>IF(AND('08 Exs'!D70&gt;Tmin, NOT('08 Exs'!$I70="")),'08 Exs'!$I70,0)</f>
        <v>0</v>
      </c>
      <c r="AC70">
        <f>IF(AND('08 Exs'!E70&gt;Tmin, NOT('08 Exs'!$I70="")),'08 Exs'!$I70,0)</f>
        <v>0</v>
      </c>
      <c r="AD70">
        <f>IF(AND('08 Exs'!F70&gt;Tmin, NOT('08 Exs'!$I70="")),'08 Exs'!$I70,0)</f>
        <v>0</v>
      </c>
      <c r="AE70">
        <f>IF(AND('08 Exs'!C70&lt;Tmax, NOT('08 Exs'!$H70="")),'08 Exs'!$H70,4)</f>
        <v>3</v>
      </c>
      <c r="AF70">
        <f>IF(AND('08 Exs'!D70&lt;Tmax, NOT('08 Exs'!$H70="")),'08 Exs'!$H70,4)</f>
        <v>3</v>
      </c>
      <c r="AG70">
        <f>IF(AND('08 Exs'!E70&lt;Tmax, NOT('08 Exs'!$H70="")),'08 Exs'!$H70,4)</f>
        <v>3</v>
      </c>
      <c r="AH70">
        <f>IF(AND('08 Exs'!F70&lt;Tmax, NOT('08 Exs'!$H70="")),'08 Exs'!$H70,4)</f>
        <v>3</v>
      </c>
      <c r="AI70"/>
    </row>
    <row r="71" spans="1:35" s="681" customFormat="1" ht="22.5" outlineLevel="2" x14ac:dyDescent="0.2">
      <c r="A71" s="636" t="s">
        <v>5912</v>
      </c>
      <c r="B71" s="636" t="s">
        <v>4696</v>
      </c>
      <c r="C71" s="786"/>
      <c r="D71" s="702"/>
      <c r="E71" s="702"/>
      <c r="F71" s="702"/>
      <c r="G71" s="1480">
        <v>4</v>
      </c>
      <c r="H71" s="1480">
        <v>3</v>
      </c>
      <c r="I71" s="1480"/>
      <c r="J71" s="1480" t="s">
        <v>1592</v>
      </c>
      <c r="K71" s="1459"/>
      <c r="L71" s="1459"/>
      <c r="M71" s="785"/>
      <c r="N71" s="680"/>
      <c r="O71" s="680"/>
      <c r="P71" s="680"/>
      <c r="Q71" s="680"/>
      <c r="R71" s="680"/>
      <c r="S71" s="680"/>
      <c r="T71" s="680"/>
      <c r="U71" s="680"/>
      <c r="V71" s="680"/>
      <c r="W71" s="680"/>
      <c r="X71" s="680"/>
      <c r="Y71" s="680"/>
      <c r="Z71" s="680"/>
      <c r="AA71">
        <f>IF(AND('08 Exs'!C71&gt;Tmin, NOT('08 Exs'!$I71="")),'08 Exs'!$I71,0)</f>
        <v>0</v>
      </c>
      <c r="AB71">
        <f>IF(AND('08 Exs'!D71&gt;Tmin, NOT('08 Exs'!$I71="")),'08 Exs'!$I71,0)</f>
        <v>0</v>
      </c>
      <c r="AC71">
        <f>IF(AND('08 Exs'!E71&gt;Tmin, NOT('08 Exs'!$I71="")),'08 Exs'!$I71,0)</f>
        <v>0</v>
      </c>
      <c r="AD71">
        <f>IF(AND('08 Exs'!F71&gt;Tmin, NOT('08 Exs'!$I71="")),'08 Exs'!$I71,0)</f>
        <v>0</v>
      </c>
      <c r="AE71">
        <f>IF(AND('08 Exs'!C71&lt;Tmax, NOT('08 Exs'!$H71="")),'08 Exs'!$H71,4)</f>
        <v>3</v>
      </c>
      <c r="AF71">
        <f>IF(AND('08 Exs'!D71&lt;Tmax, NOT('08 Exs'!$H71="")),'08 Exs'!$H71,4)</f>
        <v>3</v>
      </c>
      <c r="AG71">
        <f>IF(AND('08 Exs'!E71&lt;Tmax, NOT('08 Exs'!$H71="")),'08 Exs'!$H71,4)</f>
        <v>3</v>
      </c>
      <c r="AH71">
        <f>IF(AND('08 Exs'!F71&lt;Tmax, NOT('08 Exs'!$H71="")),'08 Exs'!$H71,4)</f>
        <v>3</v>
      </c>
      <c r="AI71"/>
    </row>
    <row r="72" spans="1:35" s="681" customFormat="1" ht="22.5" outlineLevel="2" x14ac:dyDescent="0.2">
      <c r="A72" s="636" t="s">
        <v>5902</v>
      </c>
      <c r="B72" s="636" t="s">
        <v>4697</v>
      </c>
      <c r="C72" s="786"/>
      <c r="D72" s="702"/>
      <c r="E72" s="702"/>
      <c r="F72" s="702"/>
      <c r="G72" s="1480">
        <v>4</v>
      </c>
      <c r="H72" s="1480">
        <v>3</v>
      </c>
      <c r="I72" s="1480"/>
      <c r="J72" s="1480" t="s">
        <v>2329</v>
      </c>
      <c r="K72" s="1459"/>
      <c r="L72" s="1459"/>
      <c r="M72" s="785"/>
      <c r="N72" s="680"/>
      <c r="O72" s="680"/>
      <c r="P72" s="680"/>
      <c r="Q72" s="680"/>
      <c r="R72" s="680"/>
      <c r="S72" s="680"/>
      <c r="T72" s="680"/>
      <c r="U72" s="680"/>
      <c r="V72" s="680"/>
      <c r="W72" s="680"/>
      <c r="X72" s="680"/>
      <c r="Y72" s="680"/>
      <c r="Z72" s="680"/>
      <c r="AA72">
        <f>IF(AND('08 Exs'!C72&gt;Tmin, NOT('08 Exs'!$I72="")),'08 Exs'!$I72,0)</f>
        <v>0</v>
      </c>
      <c r="AB72">
        <f>IF(AND('08 Exs'!D72&gt;Tmin, NOT('08 Exs'!$I72="")),'08 Exs'!$I72,0)</f>
        <v>0</v>
      </c>
      <c r="AC72">
        <f>IF(AND('08 Exs'!E72&gt;Tmin, NOT('08 Exs'!$I72="")),'08 Exs'!$I72,0)</f>
        <v>0</v>
      </c>
      <c r="AD72">
        <f>IF(AND('08 Exs'!F72&gt;Tmin, NOT('08 Exs'!$I72="")),'08 Exs'!$I72,0)</f>
        <v>0</v>
      </c>
      <c r="AE72">
        <f>IF(AND('08 Exs'!C72&lt;Tmax, NOT('08 Exs'!$H72="")),'08 Exs'!$H72,4)</f>
        <v>3</v>
      </c>
      <c r="AF72">
        <f>IF(AND('08 Exs'!D72&lt;Tmax, NOT('08 Exs'!$H72="")),'08 Exs'!$H72,4)</f>
        <v>3</v>
      </c>
      <c r="AG72">
        <f>IF(AND('08 Exs'!E72&lt;Tmax, NOT('08 Exs'!$H72="")),'08 Exs'!$H72,4)</f>
        <v>3</v>
      </c>
      <c r="AH72">
        <f>IF(AND('08 Exs'!F72&lt;Tmax, NOT('08 Exs'!$H72="")),'08 Exs'!$H72,4)</f>
        <v>3</v>
      </c>
      <c r="AI72"/>
    </row>
    <row r="73" spans="1:35" s="681" customFormat="1" outlineLevel="2" x14ac:dyDescent="0.2">
      <c r="A73" s="636" t="s">
        <v>5164</v>
      </c>
      <c r="B73" s="636" t="s">
        <v>5496</v>
      </c>
      <c r="C73" s="786"/>
      <c r="D73" s="702"/>
      <c r="E73" s="702"/>
      <c r="F73" s="702"/>
      <c r="G73" s="1480">
        <v>4</v>
      </c>
      <c r="H73" s="1480"/>
      <c r="I73" s="1480"/>
      <c r="J73" s="1480" t="s">
        <v>1592</v>
      </c>
      <c r="K73" s="1459"/>
      <c r="L73" s="1459"/>
      <c r="M73" s="785"/>
      <c r="N73" s="680"/>
      <c r="O73" s="680"/>
      <c r="P73" s="680"/>
      <c r="Q73" s="680"/>
      <c r="R73" s="680"/>
      <c r="S73" s="680"/>
      <c r="T73" s="680"/>
      <c r="U73" s="680"/>
      <c r="V73" s="680"/>
      <c r="W73" s="680"/>
      <c r="X73" s="680"/>
      <c r="Y73" s="680"/>
      <c r="Z73" s="680"/>
      <c r="AA73">
        <f>IF(AND('08 Exs'!C73&gt;Tmin, NOT('08 Exs'!$I73="")),'08 Exs'!$I73,0)</f>
        <v>0</v>
      </c>
      <c r="AB73">
        <f>IF(AND('08 Exs'!D73&gt;Tmin, NOT('08 Exs'!$I73="")),'08 Exs'!$I73,0)</f>
        <v>0</v>
      </c>
      <c r="AC73">
        <f>IF(AND('08 Exs'!E73&gt;Tmin, NOT('08 Exs'!$I73="")),'08 Exs'!$I73,0)</f>
        <v>0</v>
      </c>
      <c r="AD73">
        <f>IF(AND('08 Exs'!F73&gt;Tmin, NOT('08 Exs'!$I73="")),'08 Exs'!$I73,0)</f>
        <v>0</v>
      </c>
      <c r="AE73">
        <f>IF(AND('08 Exs'!C73&lt;Tmax, NOT('08 Exs'!$H73="")),'08 Exs'!$H73,4)</f>
        <v>4</v>
      </c>
      <c r="AF73">
        <f>IF(AND('08 Exs'!D73&lt;Tmax, NOT('08 Exs'!$H73="")),'08 Exs'!$H73,4)</f>
        <v>4</v>
      </c>
      <c r="AG73">
        <f>IF(AND('08 Exs'!E73&lt;Tmax, NOT('08 Exs'!$H73="")),'08 Exs'!$H73,4)</f>
        <v>4</v>
      </c>
      <c r="AH73">
        <f>IF(AND('08 Exs'!F73&lt;Tmax, NOT('08 Exs'!$H73="")),'08 Exs'!$H73,4)</f>
        <v>4</v>
      </c>
      <c r="AI73"/>
    </row>
    <row r="74" spans="1:35" s="681" customFormat="1" ht="22.5" outlineLevel="2" x14ac:dyDescent="0.2">
      <c r="A74" s="636" t="s">
        <v>5165</v>
      </c>
      <c r="B74" s="636" t="s">
        <v>6666</v>
      </c>
      <c r="C74" s="786"/>
      <c r="D74" s="702"/>
      <c r="E74" s="702"/>
      <c r="F74" s="702"/>
      <c r="G74" s="1480">
        <v>4</v>
      </c>
      <c r="H74" s="1480"/>
      <c r="I74" s="1480"/>
      <c r="J74" s="1480" t="s">
        <v>1592</v>
      </c>
      <c r="K74" s="1459"/>
      <c r="L74" s="1459"/>
      <c r="M74" s="785"/>
      <c r="N74" s="680"/>
      <c r="O74" s="680"/>
      <c r="P74" s="680"/>
      <c r="Q74" s="680"/>
      <c r="R74" s="680"/>
      <c r="S74" s="680"/>
      <c r="T74" s="680"/>
      <c r="U74" s="680"/>
      <c r="V74" s="680"/>
      <c r="W74" s="680"/>
      <c r="X74" s="680"/>
      <c r="Y74" s="680"/>
      <c r="Z74" s="680"/>
      <c r="AA74">
        <f>IF(AND('08 Exs'!C74&gt;Tmin, NOT('08 Exs'!$I74="")),'08 Exs'!$I74,0)</f>
        <v>0</v>
      </c>
      <c r="AB74">
        <f>IF(AND('08 Exs'!D74&gt;Tmin, NOT('08 Exs'!$I74="")),'08 Exs'!$I74,0)</f>
        <v>0</v>
      </c>
      <c r="AC74">
        <f>IF(AND('08 Exs'!E74&gt;Tmin, NOT('08 Exs'!$I74="")),'08 Exs'!$I74,0)</f>
        <v>0</v>
      </c>
      <c r="AD74">
        <f>IF(AND('08 Exs'!F74&gt;Tmin, NOT('08 Exs'!$I74="")),'08 Exs'!$I74,0)</f>
        <v>0</v>
      </c>
      <c r="AE74">
        <f>IF(AND('08 Exs'!C74&lt;Tmax, NOT('08 Exs'!$H74="")),'08 Exs'!$H74,4)</f>
        <v>4</v>
      </c>
      <c r="AF74">
        <f>IF(AND('08 Exs'!D74&lt;Tmax, NOT('08 Exs'!$H74="")),'08 Exs'!$H74,4)</f>
        <v>4</v>
      </c>
      <c r="AG74">
        <f>IF(AND('08 Exs'!E74&lt;Tmax, NOT('08 Exs'!$H74="")),'08 Exs'!$H74,4)</f>
        <v>4</v>
      </c>
      <c r="AH74">
        <f>IF(AND('08 Exs'!F74&lt;Tmax, NOT('08 Exs'!$H74="")),'08 Exs'!$H74,4)</f>
        <v>4</v>
      </c>
      <c r="AI74"/>
    </row>
    <row r="75" spans="1:35" s="681" customFormat="1" outlineLevel="2" x14ac:dyDescent="0.2">
      <c r="A75" s="636" t="s">
        <v>5166</v>
      </c>
      <c r="B75" s="636" t="s">
        <v>6003</v>
      </c>
      <c r="C75" s="786"/>
      <c r="D75" s="702"/>
      <c r="E75" s="702"/>
      <c r="F75" s="702"/>
      <c r="G75" s="1480">
        <v>4</v>
      </c>
      <c r="H75" s="1480">
        <v>3</v>
      </c>
      <c r="I75" s="1480"/>
      <c r="J75" s="1480" t="s">
        <v>1592</v>
      </c>
      <c r="K75" s="1459"/>
      <c r="L75" s="1459"/>
      <c r="M75" s="785"/>
      <c r="N75" s="680"/>
      <c r="O75" s="680"/>
      <c r="P75" s="680"/>
      <c r="Q75" s="680"/>
      <c r="R75" s="680"/>
      <c r="S75" s="680"/>
      <c r="T75" s="680"/>
      <c r="U75" s="680"/>
      <c r="V75" s="680"/>
      <c r="W75" s="680"/>
      <c r="X75" s="680"/>
      <c r="Y75" s="680"/>
      <c r="Z75" s="680"/>
      <c r="AA75">
        <f>IF(AND('08 Exs'!C75&gt;Tmin, NOT('08 Exs'!$I75="")),'08 Exs'!$I75,0)</f>
        <v>0</v>
      </c>
      <c r="AB75">
        <f>IF(AND('08 Exs'!D75&gt;Tmin, NOT('08 Exs'!$I75="")),'08 Exs'!$I75,0)</f>
        <v>0</v>
      </c>
      <c r="AC75">
        <f>IF(AND('08 Exs'!E75&gt;Tmin, NOT('08 Exs'!$I75="")),'08 Exs'!$I75,0)</f>
        <v>0</v>
      </c>
      <c r="AD75">
        <f>IF(AND('08 Exs'!F75&gt;Tmin, NOT('08 Exs'!$I75="")),'08 Exs'!$I75,0)</f>
        <v>0</v>
      </c>
      <c r="AE75">
        <f>IF(AND('08 Exs'!C75&lt;Tmax, NOT('08 Exs'!$H75="")),'08 Exs'!$H75,4)</f>
        <v>3</v>
      </c>
      <c r="AF75">
        <f>IF(AND('08 Exs'!D75&lt;Tmax, NOT('08 Exs'!$H75="")),'08 Exs'!$H75,4)</f>
        <v>3</v>
      </c>
      <c r="AG75">
        <f>IF(AND('08 Exs'!E75&lt;Tmax, NOT('08 Exs'!$H75="")),'08 Exs'!$H75,4)</f>
        <v>3</v>
      </c>
      <c r="AH75">
        <f>IF(AND('08 Exs'!F75&lt;Tmax, NOT('08 Exs'!$H75="")),'08 Exs'!$H75,4)</f>
        <v>3</v>
      </c>
      <c r="AI75"/>
    </row>
    <row r="76" spans="1:35" s="681" customFormat="1" outlineLevel="2" x14ac:dyDescent="0.2">
      <c r="A76" s="636" t="s">
        <v>5167</v>
      </c>
      <c r="B76" s="636" t="s">
        <v>5497</v>
      </c>
      <c r="C76" s="786"/>
      <c r="D76" s="702"/>
      <c r="E76" s="702"/>
      <c r="F76" s="702"/>
      <c r="G76" s="1480">
        <v>2</v>
      </c>
      <c r="H76" s="1480">
        <v>3</v>
      </c>
      <c r="I76" s="1480"/>
      <c r="J76" s="1480" t="s">
        <v>2109</v>
      </c>
      <c r="K76" s="1459"/>
      <c r="L76" s="1459"/>
      <c r="M76" s="785"/>
      <c r="N76" s="680"/>
      <c r="O76" s="680"/>
      <c r="P76" s="680"/>
      <c r="Q76" s="680"/>
      <c r="R76" s="680"/>
      <c r="S76" s="680"/>
      <c r="T76" s="680"/>
      <c r="U76" s="680"/>
      <c r="V76" s="680"/>
      <c r="W76" s="680"/>
      <c r="X76" s="680"/>
      <c r="Y76" s="680"/>
      <c r="Z76" s="680"/>
      <c r="AA76">
        <f>IF(AND('08 Exs'!C76&gt;Tmin, NOT('08 Exs'!$I76="")),'08 Exs'!$I76,0)</f>
        <v>0</v>
      </c>
      <c r="AB76">
        <f>IF(AND('08 Exs'!D76&gt;Tmin, NOT('08 Exs'!$I76="")),'08 Exs'!$I76,0)</f>
        <v>0</v>
      </c>
      <c r="AC76">
        <f>IF(AND('08 Exs'!E76&gt;Tmin, NOT('08 Exs'!$I76="")),'08 Exs'!$I76,0)</f>
        <v>0</v>
      </c>
      <c r="AD76">
        <f>IF(AND('08 Exs'!F76&gt;Tmin, NOT('08 Exs'!$I76="")),'08 Exs'!$I76,0)</f>
        <v>0</v>
      </c>
      <c r="AE76">
        <f>IF(AND('08 Exs'!C76&lt;Tmax, NOT('08 Exs'!$H76="")),'08 Exs'!$H76,4)</f>
        <v>3</v>
      </c>
      <c r="AF76">
        <f>IF(AND('08 Exs'!D76&lt;Tmax, NOT('08 Exs'!$H76="")),'08 Exs'!$H76,4)</f>
        <v>3</v>
      </c>
      <c r="AG76">
        <f>IF(AND('08 Exs'!E76&lt;Tmax, NOT('08 Exs'!$H76="")),'08 Exs'!$H76,4)</f>
        <v>3</v>
      </c>
      <c r="AH76">
        <f>IF(AND('08 Exs'!F76&lt;Tmax, NOT('08 Exs'!$H76="")),'08 Exs'!$H76,4)</f>
        <v>3</v>
      </c>
      <c r="AI76"/>
    </row>
    <row r="77" spans="1:35" s="681" customFormat="1" outlineLevel="1" x14ac:dyDescent="0.2">
      <c r="A77" s="633" t="s">
        <v>3604</v>
      </c>
      <c r="B77" s="634" t="s">
        <v>3901</v>
      </c>
      <c r="C77" s="786"/>
      <c r="D77" s="702"/>
      <c r="E77" s="702"/>
      <c r="F77" s="702"/>
      <c r="G77" s="1480"/>
      <c r="H77" s="1480"/>
      <c r="I77" s="1480"/>
      <c r="J77" s="1480"/>
      <c r="K77" s="1459"/>
      <c r="L77" s="1459"/>
      <c r="M77" s="785"/>
      <c r="N77" s="680"/>
      <c r="O77" s="680"/>
      <c r="P77" s="680"/>
      <c r="Q77" s="680"/>
      <c r="R77" s="680"/>
      <c r="S77" s="680"/>
      <c r="T77" s="680"/>
      <c r="U77" s="680"/>
      <c r="V77" s="680"/>
      <c r="W77" s="680"/>
      <c r="X77" s="680"/>
      <c r="Y77" s="680"/>
      <c r="Z77" s="680"/>
      <c r="AA77"/>
      <c r="AB77"/>
      <c r="AC77"/>
      <c r="AD77"/>
      <c r="AE77"/>
      <c r="AF77"/>
      <c r="AG77"/>
      <c r="AH77"/>
      <c r="AI77"/>
    </row>
    <row r="78" spans="1:35" s="681" customFormat="1" ht="22.5" outlineLevel="2" x14ac:dyDescent="0.2">
      <c r="A78" s="636" t="s">
        <v>5169</v>
      </c>
      <c r="B78" s="636" t="s">
        <v>6750</v>
      </c>
      <c r="C78" s="786"/>
      <c r="D78" s="702"/>
      <c r="E78" s="702"/>
      <c r="F78" s="702"/>
      <c r="G78" s="1480">
        <v>4</v>
      </c>
      <c r="H78" s="1480"/>
      <c r="I78" s="1480"/>
      <c r="J78" s="1480" t="s">
        <v>1592</v>
      </c>
      <c r="K78" s="1459" t="s">
        <v>5908</v>
      </c>
      <c r="L78" s="1459" t="s">
        <v>5882</v>
      </c>
      <c r="M78" s="785"/>
      <c r="N78" s="680"/>
      <c r="O78" s="680"/>
      <c r="P78" s="680"/>
      <c r="Q78" s="680"/>
      <c r="R78" s="680"/>
      <c r="S78" s="680"/>
      <c r="T78" s="680"/>
      <c r="U78" s="680"/>
      <c r="V78" s="680"/>
      <c r="W78" s="680"/>
      <c r="X78" s="680"/>
      <c r="Y78" s="680"/>
      <c r="Z78" s="680"/>
      <c r="AA78">
        <f>IF(AND('08 Exs'!C78&gt;Tmin, NOT('08 Exs'!$I78="")),'08 Exs'!$I78,0)</f>
        <v>0</v>
      </c>
      <c r="AB78">
        <f>IF(AND('08 Exs'!D78&gt;Tmin, NOT('08 Exs'!$I78="")),'08 Exs'!$I78,0)</f>
        <v>0</v>
      </c>
      <c r="AC78">
        <f>IF(AND('08 Exs'!E78&gt;Tmin, NOT('08 Exs'!$I78="")),'08 Exs'!$I78,0)</f>
        <v>0</v>
      </c>
      <c r="AD78">
        <f>IF(AND('08 Exs'!F78&gt;Tmin, NOT('08 Exs'!$I78="")),'08 Exs'!$I78,0)</f>
        <v>0</v>
      </c>
      <c r="AE78">
        <f>IF(AND('08 Exs'!C78&lt;Tmax, NOT('08 Exs'!$H78="")),'08 Exs'!$H78,4)</f>
        <v>4</v>
      </c>
      <c r="AF78">
        <f>IF(AND('08 Exs'!D78&lt;Tmax, NOT('08 Exs'!$H78="")),'08 Exs'!$H78,4)</f>
        <v>4</v>
      </c>
      <c r="AG78">
        <f>IF(AND('08 Exs'!E78&lt;Tmax, NOT('08 Exs'!$H78="")),'08 Exs'!$H78,4)</f>
        <v>4</v>
      </c>
      <c r="AH78">
        <f>IF(AND('08 Exs'!F78&lt;Tmax, NOT('08 Exs'!$H78="")),'08 Exs'!$H78,4)</f>
        <v>4</v>
      </c>
      <c r="AI78"/>
    </row>
    <row r="79" spans="1:35" s="681" customFormat="1" outlineLevel="2" x14ac:dyDescent="0.2">
      <c r="A79" s="636" t="s">
        <v>5170</v>
      </c>
      <c r="B79" s="636" t="s">
        <v>3321</v>
      </c>
      <c r="C79" s="786"/>
      <c r="D79" s="702"/>
      <c r="E79" s="702"/>
      <c r="F79" s="702"/>
      <c r="G79" s="1480">
        <v>4</v>
      </c>
      <c r="H79" s="1480"/>
      <c r="I79" s="1480"/>
      <c r="J79" s="1480" t="s">
        <v>1592</v>
      </c>
      <c r="K79" s="1459" t="s">
        <v>5908</v>
      </c>
      <c r="L79" s="1459" t="s">
        <v>5882</v>
      </c>
      <c r="M79" s="785"/>
      <c r="N79" s="680"/>
      <c r="O79" s="680"/>
      <c r="P79" s="680"/>
      <c r="Q79" s="680"/>
      <c r="R79" s="680"/>
      <c r="S79" s="680"/>
      <c r="T79" s="680"/>
      <c r="U79" s="680"/>
      <c r="V79" s="680"/>
      <c r="W79" s="680"/>
      <c r="X79" s="680"/>
      <c r="Y79" s="680"/>
      <c r="Z79" s="680"/>
      <c r="AA79">
        <f>IF(AND('08 Exs'!C79&gt;Tmin, NOT('08 Exs'!$I79="")),'08 Exs'!$I79,0)</f>
        <v>0</v>
      </c>
      <c r="AB79">
        <f>IF(AND('08 Exs'!D79&gt;Tmin, NOT('08 Exs'!$I79="")),'08 Exs'!$I79,0)</f>
        <v>0</v>
      </c>
      <c r="AC79">
        <f>IF(AND('08 Exs'!E79&gt;Tmin, NOT('08 Exs'!$I79="")),'08 Exs'!$I79,0)</f>
        <v>0</v>
      </c>
      <c r="AD79">
        <f>IF(AND('08 Exs'!F79&gt;Tmin, NOT('08 Exs'!$I79="")),'08 Exs'!$I79,0)</f>
        <v>0</v>
      </c>
      <c r="AE79">
        <f>IF(AND('08 Exs'!C79&lt;Tmax, NOT('08 Exs'!$H79="")),'08 Exs'!$H79,4)</f>
        <v>4</v>
      </c>
      <c r="AF79">
        <f>IF(AND('08 Exs'!D79&lt;Tmax, NOT('08 Exs'!$H79="")),'08 Exs'!$H79,4)</f>
        <v>4</v>
      </c>
      <c r="AG79">
        <f>IF(AND('08 Exs'!E79&lt;Tmax, NOT('08 Exs'!$H79="")),'08 Exs'!$H79,4)</f>
        <v>4</v>
      </c>
      <c r="AH79">
        <f>IF(AND('08 Exs'!F79&lt;Tmax, NOT('08 Exs'!$H79="")),'08 Exs'!$H79,4)</f>
        <v>4</v>
      </c>
      <c r="AI79"/>
    </row>
    <row r="80" spans="1:35" s="681" customFormat="1" outlineLevel="2" x14ac:dyDescent="0.2">
      <c r="A80" s="636" t="s">
        <v>5171</v>
      </c>
      <c r="B80" s="636" t="s">
        <v>2297</v>
      </c>
      <c r="C80" s="786"/>
      <c r="D80" s="702"/>
      <c r="E80" s="702"/>
      <c r="F80" s="702"/>
      <c r="G80" s="1480">
        <v>4</v>
      </c>
      <c r="H80" s="1480"/>
      <c r="I80" s="1480"/>
      <c r="J80" s="1480" t="s">
        <v>1592</v>
      </c>
      <c r="K80" s="1459" t="s">
        <v>5908</v>
      </c>
      <c r="L80" s="1459" t="s">
        <v>5882</v>
      </c>
      <c r="M80" s="785"/>
      <c r="N80" s="680"/>
      <c r="O80" s="680"/>
      <c r="P80" s="680"/>
      <c r="Q80" s="680"/>
      <c r="R80" s="680"/>
      <c r="S80" s="680"/>
      <c r="T80" s="680"/>
      <c r="U80" s="680"/>
      <c r="V80" s="680"/>
      <c r="W80" s="680"/>
      <c r="X80" s="680"/>
      <c r="Y80" s="680"/>
      <c r="Z80" s="680"/>
      <c r="AA80">
        <f>IF(AND('08 Exs'!C80&gt;Tmin, NOT('08 Exs'!$I80="")),'08 Exs'!$I80,0)</f>
        <v>0</v>
      </c>
      <c r="AB80">
        <f>IF(AND('08 Exs'!D80&gt;Tmin, NOT('08 Exs'!$I80="")),'08 Exs'!$I80,0)</f>
        <v>0</v>
      </c>
      <c r="AC80">
        <f>IF(AND('08 Exs'!E80&gt;Tmin, NOT('08 Exs'!$I80="")),'08 Exs'!$I80,0)</f>
        <v>0</v>
      </c>
      <c r="AD80">
        <f>IF(AND('08 Exs'!F80&gt;Tmin, NOT('08 Exs'!$I80="")),'08 Exs'!$I80,0)</f>
        <v>0</v>
      </c>
      <c r="AE80">
        <f>IF(AND('08 Exs'!C80&lt;Tmax, NOT('08 Exs'!$H80="")),'08 Exs'!$H80,4)</f>
        <v>4</v>
      </c>
      <c r="AF80">
        <f>IF(AND('08 Exs'!D80&lt;Tmax, NOT('08 Exs'!$H80="")),'08 Exs'!$H80,4)</f>
        <v>4</v>
      </c>
      <c r="AG80">
        <f>IF(AND('08 Exs'!E80&lt;Tmax, NOT('08 Exs'!$H80="")),'08 Exs'!$H80,4)</f>
        <v>4</v>
      </c>
      <c r="AH80">
        <f>IF(AND('08 Exs'!F80&lt;Tmax, NOT('08 Exs'!$H80="")),'08 Exs'!$H80,4)</f>
        <v>4</v>
      </c>
      <c r="AI80"/>
    </row>
    <row r="81" spans="1:35" s="681" customFormat="1" outlineLevel="2" x14ac:dyDescent="0.2">
      <c r="A81" s="636" t="s">
        <v>5172</v>
      </c>
      <c r="B81" s="636" t="s">
        <v>1695</v>
      </c>
      <c r="C81" s="786"/>
      <c r="D81" s="702"/>
      <c r="E81" s="702"/>
      <c r="F81" s="702"/>
      <c r="G81" s="1480">
        <v>4</v>
      </c>
      <c r="H81" s="1480"/>
      <c r="I81" s="1480"/>
      <c r="J81" s="1480" t="s">
        <v>1592</v>
      </c>
      <c r="K81" s="1459" t="s">
        <v>5908</v>
      </c>
      <c r="L81" s="1459" t="s">
        <v>5882</v>
      </c>
      <c r="M81" s="785"/>
      <c r="N81" s="680"/>
      <c r="O81" s="680"/>
      <c r="P81" s="680"/>
      <c r="Q81" s="680"/>
      <c r="R81" s="680"/>
      <c r="S81" s="680"/>
      <c r="T81" s="680"/>
      <c r="U81" s="680"/>
      <c r="V81" s="680"/>
      <c r="W81" s="680"/>
      <c r="X81" s="680"/>
      <c r="Y81" s="680"/>
      <c r="Z81" s="680"/>
      <c r="AA81">
        <f>IF(AND('08 Exs'!C81&gt;Tmin, NOT('08 Exs'!$I81="")),'08 Exs'!$I81,0)</f>
        <v>0</v>
      </c>
      <c r="AB81">
        <f>IF(AND('08 Exs'!D81&gt;Tmin, NOT('08 Exs'!$I81="")),'08 Exs'!$I81,0)</f>
        <v>0</v>
      </c>
      <c r="AC81">
        <f>IF(AND('08 Exs'!E81&gt;Tmin, NOT('08 Exs'!$I81="")),'08 Exs'!$I81,0)</f>
        <v>0</v>
      </c>
      <c r="AD81">
        <f>IF(AND('08 Exs'!F81&gt;Tmin, NOT('08 Exs'!$I81="")),'08 Exs'!$I81,0)</f>
        <v>0</v>
      </c>
      <c r="AE81">
        <f>IF(AND('08 Exs'!C81&lt;Tmax, NOT('08 Exs'!$H81="")),'08 Exs'!$H81,4)</f>
        <v>4</v>
      </c>
      <c r="AF81">
        <f>IF(AND('08 Exs'!D81&lt;Tmax, NOT('08 Exs'!$H81="")),'08 Exs'!$H81,4)</f>
        <v>4</v>
      </c>
      <c r="AG81">
        <f>IF(AND('08 Exs'!E81&lt;Tmax, NOT('08 Exs'!$H81="")),'08 Exs'!$H81,4)</f>
        <v>4</v>
      </c>
      <c r="AH81">
        <f>IF(AND('08 Exs'!F81&lt;Tmax, NOT('08 Exs'!$H81="")),'08 Exs'!$H81,4)</f>
        <v>4</v>
      </c>
      <c r="AI81"/>
    </row>
    <row r="82" spans="1:35" s="681" customFormat="1" outlineLevel="2" x14ac:dyDescent="0.2">
      <c r="A82" s="636" t="s">
        <v>3246</v>
      </c>
      <c r="B82" s="636" t="s">
        <v>3884</v>
      </c>
      <c r="C82" s="786"/>
      <c r="D82" s="702"/>
      <c r="E82" s="702"/>
      <c r="F82" s="702"/>
      <c r="G82" s="1480">
        <v>2</v>
      </c>
      <c r="H82" s="1480"/>
      <c r="I82" s="1480"/>
      <c r="J82" s="1480" t="s">
        <v>2349</v>
      </c>
      <c r="K82" s="1459"/>
      <c r="L82" s="1459"/>
      <c r="M82" s="785"/>
      <c r="N82" s="680"/>
      <c r="O82" s="680"/>
      <c r="P82" s="680"/>
      <c r="Q82" s="680"/>
      <c r="R82" s="680"/>
      <c r="S82" s="680"/>
      <c r="T82" s="680"/>
      <c r="U82" s="680"/>
      <c r="V82" s="680"/>
      <c r="W82" s="680"/>
      <c r="X82" s="680"/>
      <c r="Y82" s="680"/>
      <c r="Z82" s="680"/>
      <c r="AA82">
        <f>IF(AND('08 Exs'!C82&gt;Tmin, NOT('08 Exs'!$I82="")),'08 Exs'!$I82,0)</f>
        <v>0</v>
      </c>
      <c r="AB82">
        <f>IF(AND('08 Exs'!D82&gt;Tmin, NOT('08 Exs'!$I82="")),'08 Exs'!$I82,0)</f>
        <v>0</v>
      </c>
      <c r="AC82">
        <f>IF(AND('08 Exs'!E82&gt;Tmin, NOT('08 Exs'!$I82="")),'08 Exs'!$I82,0)</f>
        <v>0</v>
      </c>
      <c r="AD82">
        <f>IF(AND('08 Exs'!F82&gt;Tmin, NOT('08 Exs'!$I82="")),'08 Exs'!$I82,0)</f>
        <v>0</v>
      </c>
      <c r="AE82">
        <f>IF(AND('08 Exs'!C82&lt;Tmax, NOT('08 Exs'!$H82="")),'08 Exs'!$H82,4)</f>
        <v>4</v>
      </c>
      <c r="AF82">
        <f>IF(AND('08 Exs'!D82&lt;Tmax, NOT('08 Exs'!$H82="")),'08 Exs'!$H82,4)</f>
        <v>4</v>
      </c>
      <c r="AG82">
        <f>IF(AND('08 Exs'!E82&lt;Tmax, NOT('08 Exs'!$H82="")),'08 Exs'!$H82,4)</f>
        <v>4</v>
      </c>
      <c r="AH82">
        <f>IF(AND('08 Exs'!F82&lt;Tmax, NOT('08 Exs'!$H82="")),'08 Exs'!$H82,4)</f>
        <v>4</v>
      </c>
      <c r="AI82"/>
    </row>
    <row r="83" spans="1:35" s="681" customFormat="1" outlineLevel="2" x14ac:dyDescent="0.2">
      <c r="A83" s="636" t="s">
        <v>3247</v>
      </c>
      <c r="B83" s="636" t="s">
        <v>3886</v>
      </c>
      <c r="C83" s="786"/>
      <c r="D83" s="702"/>
      <c r="E83" s="702"/>
      <c r="F83" s="702"/>
      <c r="G83" s="1480">
        <v>2</v>
      </c>
      <c r="H83" s="1480"/>
      <c r="I83" s="1480"/>
      <c r="J83" s="1480" t="s">
        <v>2109</v>
      </c>
      <c r="K83" s="1459"/>
      <c r="L83" s="1459"/>
      <c r="M83" s="785"/>
      <c r="N83" s="680"/>
      <c r="O83" s="680"/>
      <c r="P83" s="680"/>
      <c r="Q83" s="680"/>
      <c r="R83" s="680"/>
      <c r="S83" s="680"/>
      <c r="T83" s="680"/>
      <c r="U83" s="680"/>
      <c r="V83" s="680"/>
      <c r="W83" s="680"/>
      <c r="X83" s="680"/>
      <c r="Y83" s="680"/>
      <c r="Z83" s="680"/>
      <c r="AA83">
        <f>IF(AND('08 Exs'!C83&gt;Tmin, NOT('08 Exs'!$I83="")),'08 Exs'!$I83,0)</f>
        <v>0</v>
      </c>
      <c r="AB83">
        <f>IF(AND('08 Exs'!D83&gt;Tmin, NOT('08 Exs'!$I83="")),'08 Exs'!$I83,0)</f>
        <v>0</v>
      </c>
      <c r="AC83">
        <f>IF(AND('08 Exs'!E83&gt;Tmin, NOT('08 Exs'!$I83="")),'08 Exs'!$I83,0)</f>
        <v>0</v>
      </c>
      <c r="AD83">
        <f>IF(AND('08 Exs'!F83&gt;Tmin, NOT('08 Exs'!$I83="")),'08 Exs'!$I83,0)</f>
        <v>0</v>
      </c>
      <c r="AE83">
        <f>IF(AND('08 Exs'!C83&lt;Tmax, NOT('08 Exs'!$H83="")),'08 Exs'!$H83,4)</f>
        <v>4</v>
      </c>
      <c r="AF83">
        <f>IF(AND('08 Exs'!D83&lt;Tmax, NOT('08 Exs'!$H83="")),'08 Exs'!$H83,4)</f>
        <v>4</v>
      </c>
      <c r="AG83">
        <f>IF(AND('08 Exs'!E83&lt;Tmax, NOT('08 Exs'!$H83="")),'08 Exs'!$H83,4)</f>
        <v>4</v>
      </c>
      <c r="AH83">
        <f>IF(AND('08 Exs'!F83&lt;Tmax, NOT('08 Exs'!$H83="")),'08 Exs'!$H83,4)</f>
        <v>4</v>
      </c>
      <c r="AI83"/>
    </row>
    <row r="84" spans="1:35" s="681" customFormat="1" outlineLevel="1" x14ac:dyDescent="0.2">
      <c r="A84" s="633" t="s">
        <v>3605</v>
      </c>
      <c r="B84" s="634" t="s">
        <v>5498</v>
      </c>
      <c r="C84" s="786"/>
      <c r="D84" s="702"/>
      <c r="E84" s="702"/>
      <c r="F84" s="702"/>
      <c r="G84" s="1480"/>
      <c r="H84" s="1480"/>
      <c r="I84" s="1480"/>
      <c r="J84" s="1480"/>
      <c r="K84" s="1459"/>
      <c r="L84" s="1459"/>
      <c r="M84" s="785"/>
      <c r="N84" s="680"/>
      <c r="O84" s="680"/>
      <c r="P84" s="680"/>
      <c r="Q84" s="680"/>
      <c r="R84" s="680"/>
      <c r="S84" s="680"/>
      <c r="T84" s="680"/>
      <c r="U84" s="680"/>
      <c r="V84" s="680"/>
      <c r="W84" s="680"/>
      <c r="X84" s="680"/>
      <c r="Y84" s="680"/>
      <c r="Z84" s="680"/>
      <c r="AA84"/>
      <c r="AB84"/>
      <c r="AC84"/>
      <c r="AD84"/>
      <c r="AE84"/>
      <c r="AF84"/>
      <c r="AG84"/>
      <c r="AH84"/>
      <c r="AI84"/>
    </row>
    <row r="85" spans="1:35" s="681" customFormat="1" ht="22.5" outlineLevel="2" x14ac:dyDescent="0.2">
      <c r="A85" s="636" t="s">
        <v>6667</v>
      </c>
      <c r="B85" s="636" t="s">
        <v>5499</v>
      </c>
      <c r="C85" s="786"/>
      <c r="D85" s="702"/>
      <c r="E85" s="702"/>
      <c r="F85" s="702"/>
      <c r="G85" s="1480">
        <v>4</v>
      </c>
      <c r="H85" s="1480"/>
      <c r="I85" s="1480"/>
      <c r="J85" s="1480" t="s">
        <v>4246</v>
      </c>
      <c r="K85" s="1458" t="s">
        <v>5072</v>
      </c>
      <c r="L85" s="1459" t="s">
        <v>7331</v>
      </c>
      <c r="M85" s="785"/>
      <c r="N85" s="680"/>
      <c r="O85" s="680"/>
      <c r="P85" s="680"/>
      <c r="Q85" s="680"/>
      <c r="R85" s="680"/>
      <c r="S85" s="680"/>
      <c r="T85" s="680"/>
      <c r="U85" s="680"/>
      <c r="V85" s="680"/>
      <c r="W85" s="680"/>
      <c r="X85" s="680"/>
      <c r="Y85" s="680"/>
      <c r="Z85" s="680"/>
      <c r="AA85">
        <f>IF(AND('08 Exs'!C85&gt;Tmin, NOT('08 Exs'!$I85="")),'08 Exs'!$I85,0)</f>
        <v>0</v>
      </c>
      <c r="AB85">
        <f>IF(AND('08 Exs'!D85&gt;Tmin, NOT('08 Exs'!$I85="")),'08 Exs'!$I85,0)</f>
        <v>0</v>
      </c>
      <c r="AC85">
        <f>IF(AND('08 Exs'!E85&gt;Tmin, NOT('08 Exs'!$I85="")),'08 Exs'!$I85,0)</f>
        <v>0</v>
      </c>
      <c r="AD85">
        <f>IF(AND('08 Exs'!F85&gt;Tmin, NOT('08 Exs'!$I85="")),'08 Exs'!$I85,0)</f>
        <v>0</v>
      </c>
      <c r="AE85">
        <f>IF(AND('08 Exs'!C85&lt;Tmax, NOT('08 Exs'!$H85="")),'08 Exs'!$H85,4)</f>
        <v>4</v>
      </c>
      <c r="AF85">
        <f>IF(AND('08 Exs'!D85&lt;Tmax, NOT('08 Exs'!$H85="")),'08 Exs'!$H85,4)</f>
        <v>4</v>
      </c>
      <c r="AG85">
        <f>IF(AND('08 Exs'!E85&lt;Tmax, NOT('08 Exs'!$H85="")),'08 Exs'!$H85,4)</f>
        <v>4</v>
      </c>
      <c r="AH85">
        <f>IF(AND('08 Exs'!F85&lt;Tmax, NOT('08 Exs'!$H85="")),'08 Exs'!$H85,4)</f>
        <v>4</v>
      </c>
      <c r="AI85"/>
    </row>
    <row r="86" spans="1:35" s="681" customFormat="1" ht="22.5" outlineLevel="2" x14ac:dyDescent="0.2">
      <c r="A86" s="636" t="s">
        <v>6715</v>
      </c>
      <c r="B86" s="636" t="s">
        <v>2265</v>
      </c>
      <c r="C86" s="786"/>
      <c r="D86" s="702"/>
      <c r="E86" s="702"/>
      <c r="F86" s="702"/>
      <c r="G86" s="1480">
        <v>2</v>
      </c>
      <c r="H86" s="1480"/>
      <c r="I86" s="1480"/>
      <c r="J86" s="1480" t="s">
        <v>1592</v>
      </c>
      <c r="K86" s="1458" t="s">
        <v>5072</v>
      </c>
      <c r="L86" s="1459" t="s">
        <v>7331</v>
      </c>
      <c r="M86" s="785"/>
      <c r="N86" s="680"/>
      <c r="O86" s="680"/>
      <c r="P86" s="680"/>
      <c r="Q86" s="680"/>
      <c r="R86" s="680"/>
      <c r="S86" s="680"/>
      <c r="T86" s="680"/>
      <c r="U86" s="680"/>
      <c r="V86" s="680"/>
      <c r="W86" s="680"/>
      <c r="X86" s="680"/>
      <c r="Y86" s="680"/>
      <c r="Z86" s="680"/>
      <c r="AA86">
        <f>IF(AND('08 Exs'!C86&gt;Tmin, NOT('08 Exs'!$I86="")),'08 Exs'!$I86,0)</f>
        <v>0</v>
      </c>
      <c r="AB86">
        <f>IF(AND('08 Exs'!D86&gt;Tmin, NOT('08 Exs'!$I86="")),'08 Exs'!$I86,0)</f>
        <v>0</v>
      </c>
      <c r="AC86">
        <f>IF(AND('08 Exs'!E86&gt;Tmin, NOT('08 Exs'!$I86="")),'08 Exs'!$I86,0)</f>
        <v>0</v>
      </c>
      <c r="AD86">
        <f>IF(AND('08 Exs'!F86&gt;Tmin, NOT('08 Exs'!$I86="")),'08 Exs'!$I86,0)</f>
        <v>0</v>
      </c>
      <c r="AE86">
        <f>IF(AND('08 Exs'!C86&lt;Tmax, NOT('08 Exs'!$H86="")),'08 Exs'!$H86,4)</f>
        <v>4</v>
      </c>
      <c r="AF86">
        <f>IF(AND('08 Exs'!D86&lt;Tmax, NOT('08 Exs'!$H86="")),'08 Exs'!$H86,4)</f>
        <v>4</v>
      </c>
      <c r="AG86">
        <f>IF(AND('08 Exs'!E86&lt;Tmax, NOT('08 Exs'!$H86="")),'08 Exs'!$H86,4)</f>
        <v>4</v>
      </c>
      <c r="AH86">
        <f>IF(AND('08 Exs'!F86&lt;Tmax, NOT('08 Exs'!$H86="")),'08 Exs'!$H86,4)</f>
        <v>4</v>
      </c>
      <c r="AI86"/>
    </row>
    <row r="87" spans="1:35" s="681" customFormat="1" outlineLevel="2" x14ac:dyDescent="0.2">
      <c r="A87" s="636" t="s">
        <v>6716</v>
      </c>
      <c r="B87" s="636" t="s">
        <v>3305</v>
      </c>
      <c r="C87" s="786"/>
      <c r="D87" s="702"/>
      <c r="E87" s="702"/>
      <c r="F87" s="702"/>
      <c r="G87" s="1480">
        <v>4</v>
      </c>
      <c r="H87" s="1480"/>
      <c r="I87" s="1480"/>
      <c r="J87" s="1480" t="s">
        <v>2109</v>
      </c>
      <c r="K87" s="1458" t="s">
        <v>7137</v>
      </c>
      <c r="L87" s="1459" t="s">
        <v>7332</v>
      </c>
      <c r="M87" s="785"/>
      <c r="N87" s="680"/>
      <c r="O87" s="680"/>
      <c r="P87" s="680"/>
      <c r="Q87" s="680"/>
      <c r="R87" s="680"/>
      <c r="S87" s="680"/>
      <c r="T87" s="680"/>
      <c r="U87" s="680"/>
      <c r="V87" s="680"/>
      <c r="W87" s="680"/>
      <c r="X87" s="680"/>
      <c r="Y87" s="680"/>
      <c r="Z87" s="680"/>
      <c r="AA87">
        <f>IF(AND('08 Exs'!C87&gt;Tmin, NOT('08 Exs'!$I87="")),'08 Exs'!$I87,0)</f>
        <v>0</v>
      </c>
      <c r="AB87">
        <f>IF(AND('08 Exs'!D87&gt;Tmin, NOT('08 Exs'!$I87="")),'08 Exs'!$I87,0)</f>
        <v>0</v>
      </c>
      <c r="AC87">
        <f>IF(AND('08 Exs'!E87&gt;Tmin, NOT('08 Exs'!$I87="")),'08 Exs'!$I87,0)</f>
        <v>0</v>
      </c>
      <c r="AD87">
        <f>IF(AND('08 Exs'!F87&gt;Tmin, NOT('08 Exs'!$I87="")),'08 Exs'!$I87,0)</f>
        <v>0</v>
      </c>
      <c r="AE87">
        <f>IF(AND('08 Exs'!C87&lt;Tmax, NOT('08 Exs'!$H87="")),'08 Exs'!$H87,4)</f>
        <v>4</v>
      </c>
      <c r="AF87">
        <f>IF(AND('08 Exs'!D87&lt;Tmax, NOT('08 Exs'!$H87="")),'08 Exs'!$H87,4)</f>
        <v>4</v>
      </c>
      <c r="AG87">
        <f>IF(AND('08 Exs'!E87&lt;Tmax, NOT('08 Exs'!$H87="")),'08 Exs'!$H87,4)</f>
        <v>4</v>
      </c>
      <c r="AH87">
        <f>IF(AND('08 Exs'!F87&lt;Tmax, NOT('08 Exs'!$H87="")),'08 Exs'!$H87,4)</f>
        <v>4</v>
      </c>
      <c r="AI87"/>
    </row>
    <row r="88" spans="1:35" s="681" customFormat="1" ht="22.5" outlineLevel="2" x14ac:dyDescent="0.2">
      <c r="A88" s="636" t="s">
        <v>6717</v>
      </c>
      <c r="B88" s="636" t="s">
        <v>5491</v>
      </c>
      <c r="C88" s="786"/>
      <c r="D88" s="702"/>
      <c r="E88" s="702"/>
      <c r="F88" s="702"/>
      <c r="G88" s="1480">
        <v>4</v>
      </c>
      <c r="H88" s="1480"/>
      <c r="I88" s="1480"/>
      <c r="J88" s="1480" t="s">
        <v>1592</v>
      </c>
      <c r="K88" s="1459" t="s">
        <v>4282</v>
      </c>
      <c r="L88" s="1459" t="s">
        <v>7332</v>
      </c>
      <c r="M88" s="785"/>
      <c r="N88" s="680"/>
      <c r="O88" s="680"/>
      <c r="P88" s="680"/>
      <c r="Q88" s="680"/>
      <c r="R88" s="680"/>
      <c r="S88" s="680"/>
      <c r="T88" s="680"/>
      <c r="U88" s="680"/>
      <c r="V88" s="680"/>
      <c r="W88" s="680"/>
      <c r="X88" s="680"/>
      <c r="Y88" s="680"/>
      <c r="Z88" s="680"/>
      <c r="AA88">
        <f>IF(AND('08 Exs'!C88&gt;Tmin, NOT('08 Exs'!$I88="")),'08 Exs'!$I88,0)</f>
        <v>0</v>
      </c>
      <c r="AB88">
        <f>IF(AND('08 Exs'!D88&gt;Tmin, NOT('08 Exs'!$I88="")),'08 Exs'!$I88,0)</f>
        <v>0</v>
      </c>
      <c r="AC88">
        <f>IF(AND('08 Exs'!E88&gt;Tmin, NOT('08 Exs'!$I88="")),'08 Exs'!$I88,0)</f>
        <v>0</v>
      </c>
      <c r="AD88">
        <f>IF(AND('08 Exs'!F88&gt;Tmin, NOT('08 Exs'!$I88="")),'08 Exs'!$I88,0)</f>
        <v>0</v>
      </c>
      <c r="AE88">
        <f>IF(AND('08 Exs'!C88&lt;Tmax, NOT('08 Exs'!$H88="")),'08 Exs'!$H88,4)</f>
        <v>4</v>
      </c>
      <c r="AF88">
        <f>IF(AND('08 Exs'!D88&lt;Tmax, NOT('08 Exs'!$H88="")),'08 Exs'!$H88,4)</f>
        <v>4</v>
      </c>
      <c r="AG88">
        <f>IF(AND('08 Exs'!E88&lt;Tmax, NOT('08 Exs'!$H88="")),'08 Exs'!$H88,4)</f>
        <v>4</v>
      </c>
      <c r="AH88">
        <f>IF(AND('08 Exs'!F88&lt;Tmax, NOT('08 Exs'!$H88="")),'08 Exs'!$H88,4)</f>
        <v>4</v>
      </c>
      <c r="AI88"/>
    </row>
    <row r="89" spans="1:35" s="681" customFormat="1" outlineLevel="2" x14ac:dyDescent="0.2">
      <c r="A89" s="636" t="s">
        <v>6718</v>
      </c>
      <c r="B89" s="636" t="s">
        <v>2269</v>
      </c>
      <c r="C89" s="786"/>
      <c r="D89" s="702"/>
      <c r="E89" s="702"/>
      <c r="F89" s="702"/>
      <c r="G89" s="1480">
        <v>2</v>
      </c>
      <c r="H89" s="1480"/>
      <c r="I89" s="1480"/>
      <c r="J89" s="1480" t="s">
        <v>1592</v>
      </c>
      <c r="K89" s="1459" t="s">
        <v>4282</v>
      </c>
      <c r="L89" s="1459" t="s">
        <v>7332</v>
      </c>
      <c r="M89" s="785"/>
      <c r="N89" s="680"/>
      <c r="O89" s="680"/>
      <c r="P89" s="680"/>
      <c r="Q89" s="680"/>
      <c r="R89" s="680"/>
      <c r="S89" s="680"/>
      <c r="T89" s="680"/>
      <c r="U89" s="680"/>
      <c r="V89" s="680"/>
      <c r="W89" s="680"/>
      <c r="X89" s="680"/>
      <c r="Y89" s="680"/>
      <c r="Z89" s="680"/>
      <c r="AA89">
        <f>IF(AND('08 Exs'!C89&gt;Tmin, NOT('08 Exs'!$I89="")),'08 Exs'!$I89,0)</f>
        <v>0</v>
      </c>
      <c r="AB89">
        <f>IF(AND('08 Exs'!D89&gt;Tmin, NOT('08 Exs'!$I89="")),'08 Exs'!$I89,0)</f>
        <v>0</v>
      </c>
      <c r="AC89">
        <f>IF(AND('08 Exs'!E89&gt;Tmin, NOT('08 Exs'!$I89="")),'08 Exs'!$I89,0)</f>
        <v>0</v>
      </c>
      <c r="AD89">
        <f>IF(AND('08 Exs'!F89&gt;Tmin, NOT('08 Exs'!$I89="")),'08 Exs'!$I89,0)</f>
        <v>0</v>
      </c>
      <c r="AE89">
        <f>IF(AND('08 Exs'!C89&lt;Tmax, NOT('08 Exs'!$H89="")),'08 Exs'!$H89,4)</f>
        <v>4</v>
      </c>
      <c r="AF89">
        <f>IF(AND('08 Exs'!D89&lt;Tmax, NOT('08 Exs'!$H89="")),'08 Exs'!$H89,4)</f>
        <v>4</v>
      </c>
      <c r="AG89">
        <f>IF(AND('08 Exs'!E89&lt;Tmax, NOT('08 Exs'!$H89="")),'08 Exs'!$H89,4)</f>
        <v>4</v>
      </c>
      <c r="AH89">
        <f>IF(AND('08 Exs'!F89&lt;Tmax, NOT('08 Exs'!$H89="")),'08 Exs'!$H89,4)</f>
        <v>4</v>
      </c>
      <c r="AI89"/>
    </row>
    <row r="90" spans="1:35" s="681" customFormat="1" ht="22.5" outlineLevel="2" x14ac:dyDescent="0.2">
      <c r="A90" s="636" t="s">
        <v>6719</v>
      </c>
      <c r="B90" s="636" t="s">
        <v>2935</v>
      </c>
      <c r="C90" s="786"/>
      <c r="D90" s="702"/>
      <c r="E90" s="702"/>
      <c r="F90" s="702"/>
      <c r="G90" s="1480">
        <v>2</v>
      </c>
      <c r="H90" s="1480"/>
      <c r="I90" s="1480"/>
      <c r="J90" s="1480" t="s">
        <v>2329</v>
      </c>
      <c r="K90" s="1459" t="s">
        <v>4425</v>
      </c>
      <c r="L90" s="1459" t="s">
        <v>7333</v>
      </c>
      <c r="M90" s="785"/>
      <c r="N90" s="680"/>
      <c r="O90" s="680"/>
      <c r="P90" s="680"/>
      <c r="Q90" s="680"/>
      <c r="R90" s="680"/>
      <c r="S90" s="680"/>
      <c r="T90" s="680"/>
      <c r="U90" s="680"/>
      <c r="V90" s="680"/>
      <c r="W90" s="680"/>
      <c r="X90" s="680"/>
      <c r="Y90" s="680"/>
      <c r="Z90" s="680"/>
      <c r="AA90">
        <f>IF(AND('08 Exs'!C90&gt;Tmin, NOT('08 Exs'!$I90="")),'08 Exs'!$I90,0)</f>
        <v>0</v>
      </c>
      <c r="AB90">
        <f>IF(AND('08 Exs'!D90&gt;Tmin, NOT('08 Exs'!$I90="")),'08 Exs'!$I90,0)</f>
        <v>0</v>
      </c>
      <c r="AC90">
        <f>IF(AND('08 Exs'!E90&gt;Tmin, NOT('08 Exs'!$I90="")),'08 Exs'!$I90,0)</f>
        <v>0</v>
      </c>
      <c r="AD90">
        <f>IF(AND('08 Exs'!F90&gt;Tmin, NOT('08 Exs'!$I90="")),'08 Exs'!$I90,0)</f>
        <v>0</v>
      </c>
      <c r="AE90">
        <f>IF(AND('08 Exs'!C90&lt;Tmax, NOT('08 Exs'!$H90="")),'08 Exs'!$H90,4)</f>
        <v>4</v>
      </c>
      <c r="AF90">
        <f>IF(AND('08 Exs'!D90&lt;Tmax, NOT('08 Exs'!$H90="")),'08 Exs'!$H90,4)</f>
        <v>4</v>
      </c>
      <c r="AG90">
        <f>IF(AND('08 Exs'!E90&lt;Tmax, NOT('08 Exs'!$H90="")),'08 Exs'!$H90,4)</f>
        <v>4</v>
      </c>
      <c r="AH90">
        <f>IF(AND('08 Exs'!F90&lt;Tmax, NOT('08 Exs'!$H90="")),'08 Exs'!$H90,4)</f>
        <v>4</v>
      </c>
      <c r="AI90"/>
    </row>
    <row r="91" spans="1:35" x14ac:dyDescent="0.2">
      <c r="A91" s="644" t="s">
        <v>6720</v>
      </c>
      <c r="B91" s="644" t="s">
        <v>6721</v>
      </c>
      <c r="C91" s="786"/>
      <c r="D91" s="702"/>
      <c r="E91" s="702"/>
      <c r="F91" s="702"/>
      <c r="G91" s="1459"/>
      <c r="H91" s="1459"/>
      <c r="I91" s="1459"/>
      <c r="J91" s="1459"/>
      <c r="K91" s="1459"/>
      <c r="L91" s="1459"/>
      <c r="M91" s="785"/>
      <c r="AA91"/>
      <c r="AB91"/>
      <c r="AC91"/>
      <c r="AD91"/>
      <c r="AE91"/>
      <c r="AF91"/>
      <c r="AG91"/>
      <c r="AH91"/>
      <c r="AI91"/>
    </row>
    <row r="92" spans="1:35" outlineLevel="1" x14ac:dyDescent="0.2">
      <c r="A92" s="633" t="s">
        <v>4807</v>
      </c>
      <c r="B92" s="634" t="s">
        <v>1766</v>
      </c>
      <c r="C92" s="786"/>
      <c r="D92" s="702"/>
      <c r="E92" s="702"/>
      <c r="F92" s="702"/>
      <c r="G92" s="1480"/>
      <c r="H92" s="1480"/>
      <c r="I92" s="1480"/>
      <c r="J92" s="1480"/>
      <c r="K92" s="1459"/>
      <c r="L92" s="1459"/>
      <c r="M92" s="785"/>
      <c r="AA92"/>
      <c r="AB92"/>
      <c r="AC92"/>
      <c r="AD92"/>
      <c r="AE92"/>
      <c r="AF92"/>
      <c r="AG92"/>
      <c r="AH92"/>
      <c r="AI92"/>
    </row>
    <row r="93" spans="1:35" ht="45" outlineLevel="2" x14ac:dyDescent="0.2">
      <c r="A93" s="636" t="s">
        <v>6722</v>
      </c>
      <c r="B93" s="636" t="s">
        <v>5078</v>
      </c>
      <c r="C93" s="786"/>
      <c r="D93" s="702"/>
      <c r="E93" s="702"/>
      <c r="F93" s="702"/>
      <c r="G93" s="1480">
        <v>4</v>
      </c>
      <c r="H93" s="1480">
        <v>2</v>
      </c>
      <c r="I93" s="1480"/>
      <c r="J93" s="1480" t="s">
        <v>4246</v>
      </c>
      <c r="K93" s="1459"/>
      <c r="L93" s="1459"/>
      <c r="M93" s="785"/>
      <c r="AA93">
        <f>IF(AND('08 Exs'!C93&gt;Tmin, NOT('08 Exs'!$I93="")),'08 Exs'!$I93,0)</f>
        <v>0</v>
      </c>
      <c r="AB93">
        <f>IF(AND('08 Exs'!D93&gt;Tmin, NOT('08 Exs'!$I93="")),'08 Exs'!$I93,0)</f>
        <v>0</v>
      </c>
      <c r="AC93">
        <f>IF(AND('08 Exs'!E93&gt;Tmin, NOT('08 Exs'!$I93="")),'08 Exs'!$I93,0)</f>
        <v>0</v>
      </c>
      <c r="AD93">
        <f>IF(AND('08 Exs'!F93&gt;Tmin, NOT('08 Exs'!$I93="")),'08 Exs'!$I93,0)</f>
        <v>0</v>
      </c>
      <c r="AE93">
        <f>IF(AND('08 Exs'!C93&lt;Tmax, NOT('08 Exs'!$H93="")),'08 Exs'!$H93,4)</f>
        <v>2</v>
      </c>
      <c r="AF93">
        <f>IF(AND('08 Exs'!D93&lt;Tmax, NOT('08 Exs'!$H93="")),'08 Exs'!$H93,4)</f>
        <v>2</v>
      </c>
      <c r="AG93">
        <f>IF(AND('08 Exs'!E93&lt;Tmax, NOT('08 Exs'!$H93="")),'08 Exs'!$H93,4)</f>
        <v>2</v>
      </c>
      <c r="AH93">
        <f>IF(AND('08 Exs'!F93&lt;Tmax, NOT('08 Exs'!$H93="")),'08 Exs'!$H93,4)</f>
        <v>2</v>
      </c>
      <c r="AI93"/>
    </row>
    <row r="94" spans="1:35" outlineLevel="2" x14ac:dyDescent="0.2">
      <c r="A94" s="636" t="s">
        <v>6723</v>
      </c>
      <c r="B94" s="636" t="s">
        <v>1945</v>
      </c>
      <c r="C94" s="786"/>
      <c r="D94" s="702"/>
      <c r="E94" s="702"/>
      <c r="F94" s="702"/>
      <c r="G94" s="1480">
        <v>4</v>
      </c>
      <c r="H94" s="1480">
        <v>2</v>
      </c>
      <c r="I94" s="1480"/>
      <c r="J94" s="1480" t="s">
        <v>1592</v>
      </c>
      <c r="K94" s="1459"/>
      <c r="L94" s="1459" t="s">
        <v>7330</v>
      </c>
      <c r="M94" s="785"/>
      <c r="AA94">
        <f>IF(AND('08 Exs'!C94&gt;Tmin, NOT('08 Exs'!$I94="")),'08 Exs'!$I94,0)</f>
        <v>0</v>
      </c>
      <c r="AB94">
        <f>IF(AND('08 Exs'!D94&gt;Tmin, NOT('08 Exs'!$I94="")),'08 Exs'!$I94,0)</f>
        <v>0</v>
      </c>
      <c r="AC94">
        <f>IF(AND('08 Exs'!E94&gt;Tmin, NOT('08 Exs'!$I94="")),'08 Exs'!$I94,0)</f>
        <v>0</v>
      </c>
      <c r="AD94">
        <f>IF(AND('08 Exs'!F94&gt;Tmin, NOT('08 Exs'!$I94="")),'08 Exs'!$I94,0)</f>
        <v>0</v>
      </c>
      <c r="AE94">
        <f>IF(AND('08 Exs'!C94&lt;Tmax, NOT('08 Exs'!$H94="")),'08 Exs'!$H94,4)</f>
        <v>2</v>
      </c>
      <c r="AF94">
        <f>IF(AND('08 Exs'!D94&lt;Tmax, NOT('08 Exs'!$H94="")),'08 Exs'!$H94,4)</f>
        <v>2</v>
      </c>
      <c r="AG94">
        <f>IF(AND('08 Exs'!E94&lt;Tmax, NOT('08 Exs'!$H94="")),'08 Exs'!$H94,4)</f>
        <v>2</v>
      </c>
      <c r="AH94">
        <f>IF(AND('08 Exs'!F94&lt;Tmax, NOT('08 Exs'!$H94="")),'08 Exs'!$H94,4)</f>
        <v>2</v>
      </c>
      <c r="AI94"/>
    </row>
    <row r="95" spans="1:35" ht="45" outlineLevel="2" x14ac:dyDescent="0.2">
      <c r="A95" s="636" t="s">
        <v>6724</v>
      </c>
      <c r="B95" s="636" t="s">
        <v>5079</v>
      </c>
      <c r="C95" s="786"/>
      <c r="D95" s="702"/>
      <c r="E95" s="702"/>
      <c r="F95" s="702"/>
      <c r="G95" s="1480">
        <v>2</v>
      </c>
      <c r="H95" s="1480">
        <v>3</v>
      </c>
      <c r="I95" s="1480"/>
      <c r="J95" s="1480" t="s">
        <v>1592</v>
      </c>
      <c r="K95" s="1459" t="s">
        <v>5723</v>
      </c>
      <c r="L95" s="1459" t="s">
        <v>7360</v>
      </c>
      <c r="M95" s="785"/>
      <c r="AA95">
        <f>IF(AND('08 Exs'!C95&gt;Tmin, NOT('08 Exs'!$I95="")),'08 Exs'!$I95,0)</f>
        <v>0</v>
      </c>
      <c r="AB95">
        <f>IF(AND('08 Exs'!D95&gt;Tmin, NOT('08 Exs'!$I95="")),'08 Exs'!$I95,0)</f>
        <v>0</v>
      </c>
      <c r="AC95">
        <f>IF(AND('08 Exs'!E95&gt;Tmin, NOT('08 Exs'!$I95="")),'08 Exs'!$I95,0)</f>
        <v>0</v>
      </c>
      <c r="AD95">
        <f>IF(AND('08 Exs'!F95&gt;Tmin, NOT('08 Exs'!$I95="")),'08 Exs'!$I95,0)</f>
        <v>0</v>
      </c>
      <c r="AE95">
        <f>IF(AND('08 Exs'!C95&lt;Tmax, NOT('08 Exs'!$H95="")),'08 Exs'!$H95,4)</f>
        <v>3</v>
      </c>
      <c r="AF95">
        <f>IF(AND('08 Exs'!D95&lt;Tmax, NOT('08 Exs'!$H95="")),'08 Exs'!$H95,4)</f>
        <v>3</v>
      </c>
      <c r="AG95">
        <f>IF(AND('08 Exs'!E95&lt;Tmax, NOT('08 Exs'!$H95="")),'08 Exs'!$H95,4)</f>
        <v>3</v>
      </c>
      <c r="AH95">
        <f>IF(AND('08 Exs'!F95&lt;Tmax, NOT('08 Exs'!$H95="")),'08 Exs'!$H95,4)</f>
        <v>3</v>
      </c>
      <c r="AI95"/>
    </row>
    <row r="96" spans="1:35" ht="22.5" outlineLevel="2" x14ac:dyDescent="0.2">
      <c r="A96" s="636" t="s">
        <v>6725</v>
      </c>
      <c r="B96" s="636" t="s">
        <v>2266</v>
      </c>
      <c r="C96" s="786"/>
      <c r="D96" s="702"/>
      <c r="E96" s="702"/>
      <c r="F96" s="702"/>
      <c r="G96" s="1480">
        <v>4</v>
      </c>
      <c r="H96" s="1480"/>
      <c r="I96" s="1480"/>
      <c r="J96" s="1480" t="s">
        <v>2329</v>
      </c>
      <c r="K96" s="1459" t="s">
        <v>6986</v>
      </c>
      <c r="L96" s="1459" t="s">
        <v>7336</v>
      </c>
      <c r="M96" s="785"/>
      <c r="AA96">
        <f>IF(AND('08 Exs'!C96&gt;Tmin, NOT('08 Exs'!$I96="")),'08 Exs'!$I96,0)</f>
        <v>0</v>
      </c>
      <c r="AB96">
        <f>IF(AND('08 Exs'!D96&gt;Tmin, NOT('08 Exs'!$I96="")),'08 Exs'!$I96,0)</f>
        <v>0</v>
      </c>
      <c r="AC96">
        <f>IF(AND('08 Exs'!E96&gt;Tmin, NOT('08 Exs'!$I96="")),'08 Exs'!$I96,0)</f>
        <v>0</v>
      </c>
      <c r="AD96">
        <f>IF(AND('08 Exs'!F96&gt;Tmin, NOT('08 Exs'!$I96="")),'08 Exs'!$I96,0)</f>
        <v>0</v>
      </c>
      <c r="AE96">
        <f>IF(AND('08 Exs'!C96&lt;Tmax, NOT('08 Exs'!$H96="")),'08 Exs'!$H96,4)</f>
        <v>4</v>
      </c>
      <c r="AF96">
        <f>IF(AND('08 Exs'!D96&lt;Tmax, NOT('08 Exs'!$H96="")),'08 Exs'!$H96,4)</f>
        <v>4</v>
      </c>
      <c r="AG96">
        <f>IF(AND('08 Exs'!E96&lt;Tmax, NOT('08 Exs'!$H96="")),'08 Exs'!$H96,4)</f>
        <v>4</v>
      </c>
      <c r="AH96">
        <f>IF(AND('08 Exs'!F96&lt;Tmax, NOT('08 Exs'!$H96="")),'08 Exs'!$H96,4)</f>
        <v>4</v>
      </c>
      <c r="AI96"/>
    </row>
    <row r="97" spans="1:35" outlineLevel="2" x14ac:dyDescent="0.2">
      <c r="A97" s="636" t="s">
        <v>6726</v>
      </c>
      <c r="B97" s="636" t="s">
        <v>6727</v>
      </c>
      <c r="C97" s="786"/>
      <c r="D97" s="702"/>
      <c r="E97" s="702"/>
      <c r="F97" s="702"/>
      <c r="G97" s="1480">
        <v>2</v>
      </c>
      <c r="H97" s="1480">
        <v>3</v>
      </c>
      <c r="I97" s="1480"/>
      <c r="J97" s="1480" t="s">
        <v>2349</v>
      </c>
      <c r="K97" s="1459"/>
      <c r="L97" s="1459" t="s">
        <v>7360</v>
      </c>
      <c r="M97" s="788"/>
      <c r="AA97">
        <f>IF(AND('08 Exs'!C97&gt;Tmin, NOT('08 Exs'!$I97="")),'08 Exs'!$I97,0)</f>
        <v>0</v>
      </c>
      <c r="AB97">
        <f>IF(AND('08 Exs'!D97&gt;Tmin, NOT('08 Exs'!$I97="")),'08 Exs'!$I97,0)</f>
        <v>0</v>
      </c>
      <c r="AC97">
        <f>IF(AND('08 Exs'!E97&gt;Tmin, NOT('08 Exs'!$I97="")),'08 Exs'!$I97,0)</f>
        <v>0</v>
      </c>
      <c r="AD97">
        <f>IF(AND('08 Exs'!F97&gt;Tmin, NOT('08 Exs'!$I97="")),'08 Exs'!$I97,0)</f>
        <v>0</v>
      </c>
      <c r="AE97">
        <f>IF(AND('08 Exs'!C97&lt;Tmax, NOT('08 Exs'!$H97="")),'08 Exs'!$H97,4)</f>
        <v>3</v>
      </c>
      <c r="AF97">
        <f>IF(AND('08 Exs'!D97&lt;Tmax, NOT('08 Exs'!$H97="")),'08 Exs'!$H97,4)</f>
        <v>3</v>
      </c>
      <c r="AG97">
        <f>IF(AND('08 Exs'!E97&lt;Tmax, NOT('08 Exs'!$H97="")),'08 Exs'!$H97,4)</f>
        <v>3</v>
      </c>
      <c r="AH97">
        <f>IF(AND('08 Exs'!F97&lt;Tmax, NOT('08 Exs'!$H97="")),'08 Exs'!$H97,4)</f>
        <v>3</v>
      </c>
      <c r="AI97"/>
    </row>
    <row r="98" spans="1:35" ht="22.5" outlineLevel="2" x14ac:dyDescent="0.2">
      <c r="A98" s="636" t="s">
        <v>6728</v>
      </c>
      <c r="B98" s="636" t="s">
        <v>6135</v>
      </c>
      <c r="C98" s="786"/>
      <c r="D98" s="702"/>
      <c r="E98" s="702"/>
      <c r="F98" s="702"/>
      <c r="G98" s="1480">
        <v>4</v>
      </c>
      <c r="H98" s="1480">
        <v>2</v>
      </c>
      <c r="I98" s="1480"/>
      <c r="J98" s="1480" t="s">
        <v>2329</v>
      </c>
      <c r="K98" s="1458" t="s">
        <v>7068</v>
      </c>
      <c r="L98" s="1459" t="s">
        <v>4425</v>
      </c>
      <c r="M98" s="785"/>
      <c r="AA98">
        <f>IF(AND('08 Exs'!C98&gt;Tmin, NOT('08 Exs'!$I98="")),'08 Exs'!$I98,0)</f>
        <v>0</v>
      </c>
      <c r="AB98">
        <f>IF(AND('08 Exs'!D98&gt;Tmin, NOT('08 Exs'!$I98="")),'08 Exs'!$I98,0)</f>
        <v>0</v>
      </c>
      <c r="AC98">
        <f>IF(AND('08 Exs'!E98&gt;Tmin, NOT('08 Exs'!$I98="")),'08 Exs'!$I98,0)</f>
        <v>0</v>
      </c>
      <c r="AD98">
        <f>IF(AND('08 Exs'!F98&gt;Tmin, NOT('08 Exs'!$I98="")),'08 Exs'!$I98,0)</f>
        <v>0</v>
      </c>
      <c r="AE98">
        <f>IF(AND('08 Exs'!C98&lt;Tmax, NOT('08 Exs'!$H98="")),'08 Exs'!$H98,4)</f>
        <v>2</v>
      </c>
      <c r="AF98">
        <f>IF(AND('08 Exs'!D98&lt;Tmax, NOT('08 Exs'!$H98="")),'08 Exs'!$H98,4)</f>
        <v>2</v>
      </c>
      <c r="AG98">
        <f>IF(AND('08 Exs'!E98&lt;Tmax, NOT('08 Exs'!$H98="")),'08 Exs'!$H98,4)</f>
        <v>2</v>
      </c>
      <c r="AH98">
        <f>IF(AND('08 Exs'!F98&lt;Tmax, NOT('08 Exs'!$H98="")),'08 Exs'!$H98,4)</f>
        <v>2</v>
      </c>
      <c r="AI98"/>
    </row>
    <row r="99" spans="1:35" outlineLevel="2" x14ac:dyDescent="0.2">
      <c r="A99" s="636" t="s">
        <v>6729</v>
      </c>
      <c r="B99" s="636" t="s">
        <v>6730</v>
      </c>
      <c r="C99" s="786"/>
      <c r="D99" s="702"/>
      <c r="E99" s="702"/>
      <c r="F99" s="702"/>
      <c r="G99" s="1480">
        <v>2</v>
      </c>
      <c r="H99" s="1480"/>
      <c r="I99" s="1480"/>
      <c r="J99" s="1480" t="s">
        <v>2349</v>
      </c>
      <c r="K99" s="1458" t="s">
        <v>7068</v>
      </c>
      <c r="L99" s="1459" t="s">
        <v>4425</v>
      </c>
      <c r="M99" s="785"/>
      <c r="AA99">
        <f>IF(AND('08 Exs'!C99&gt;Tmin, NOT('08 Exs'!$I99="")),'08 Exs'!$I99,0)</f>
        <v>0</v>
      </c>
      <c r="AB99">
        <f>IF(AND('08 Exs'!D99&gt;Tmin, NOT('08 Exs'!$I99="")),'08 Exs'!$I99,0)</f>
        <v>0</v>
      </c>
      <c r="AC99">
        <f>IF(AND('08 Exs'!E99&gt;Tmin, NOT('08 Exs'!$I99="")),'08 Exs'!$I99,0)</f>
        <v>0</v>
      </c>
      <c r="AD99">
        <f>IF(AND('08 Exs'!F99&gt;Tmin, NOT('08 Exs'!$I99="")),'08 Exs'!$I99,0)</f>
        <v>0</v>
      </c>
      <c r="AE99">
        <f>IF(AND('08 Exs'!C99&lt;Tmax, NOT('08 Exs'!$H99="")),'08 Exs'!$H99,4)</f>
        <v>4</v>
      </c>
      <c r="AF99">
        <f>IF(AND('08 Exs'!D99&lt;Tmax, NOT('08 Exs'!$H99="")),'08 Exs'!$H99,4)</f>
        <v>4</v>
      </c>
      <c r="AG99">
        <f>IF(AND('08 Exs'!E99&lt;Tmax, NOT('08 Exs'!$H99="")),'08 Exs'!$H99,4)</f>
        <v>4</v>
      </c>
      <c r="AH99">
        <f>IF(AND('08 Exs'!F99&lt;Tmax, NOT('08 Exs'!$H99="")),'08 Exs'!$H99,4)</f>
        <v>4</v>
      </c>
      <c r="AI99"/>
    </row>
    <row r="100" spans="1:35" ht="22.5" outlineLevel="2" x14ac:dyDescent="0.2">
      <c r="A100" s="636" t="s">
        <v>6731</v>
      </c>
      <c r="B100" s="636" t="s">
        <v>4090</v>
      </c>
      <c r="C100" s="786"/>
      <c r="D100" s="702"/>
      <c r="E100" s="702"/>
      <c r="F100" s="702"/>
      <c r="G100" s="1480">
        <v>2</v>
      </c>
      <c r="H100" s="1480"/>
      <c r="I100" s="1480"/>
      <c r="J100" s="1480" t="s">
        <v>2349</v>
      </c>
      <c r="K100" s="1458" t="s">
        <v>7068</v>
      </c>
      <c r="L100" s="1459" t="s">
        <v>4425</v>
      </c>
      <c r="M100" s="785"/>
      <c r="AA100">
        <f>IF(AND('08 Exs'!C100&gt;Tmin, NOT('08 Exs'!$I100="")),'08 Exs'!$I100,0)</f>
        <v>0</v>
      </c>
      <c r="AB100">
        <f>IF(AND('08 Exs'!D100&gt;Tmin, NOT('08 Exs'!$I100="")),'08 Exs'!$I100,0)</f>
        <v>0</v>
      </c>
      <c r="AC100">
        <f>IF(AND('08 Exs'!E100&gt;Tmin, NOT('08 Exs'!$I100="")),'08 Exs'!$I100,0)</f>
        <v>0</v>
      </c>
      <c r="AD100">
        <f>IF(AND('08 Exs'!F100&gt;Tmin, NOT('08 Exs'!$I100="")),'08 Exs'!$I100,0)</f>
        <v>0</v>
      </c>
      <c r="AE100">
        <f>IF(AND('08 Exs'!C100&lt;Tmax, NOT('08 Exs'!$H100="")),'08 Exs'!$H100,4)</f>
        <v>4</v>
      </c>
      <c r="AF100">
        <f>IF(AND('08 Exs'!D100&lt;Tmax, NOT('08 Exs'!$H100="")),'08 Exs'!$H100,4)</f>
        <v>4</v>
      </c>
      <c r="AG100">
        <f>IF(AND('08 Exs'!E100&lt;Tmax, NOT('08 Exs'!$H100="")),'08 Exs'!$H100,4)</f>
        <v>4</v>
      </c>
      <c r="AH100">
        <f>IF(AND('08 Exs'!F100&lt;Tmax, NOT('08 Exs'!$H100="")),'08 Exs'!$H100,4)</f>
        <v>4</v>
      </c>
      <c r="AI100"/>
    </row>
    <row r="101" spans="1:35" outlineLevel="2" x14ac:dyDescent="0.2">
      <c r="A101" s="636" t="s">
        <v>4091</v>
      </c>
      <c r="B101" s="636" t="s">
        <v>6761</v>
      </c>
      <c r="C101" s="786"/>
      <c r="D101" s="702"/>
      <c r="E101" s="702"/>
      <c r="F101" s="702"/>
      <c r="G101" s="1480">
        <v>1</v>
      </c>
      <c r="H101" s="1480"/>
      <c r="I101" s="1480"/>
      <c r="J101" s="1480" t="s">
        <v>2109</v>
      </c>
      <c r="K101" s="1459"/>
      <c r="L101" s="1459"/>
      <c r="M101" s="785"/>
      <c r="AA101">
        <f>IF(AND('08 Exs'!C101&gt;Tmin, NOT('08 Exs'!$I101="")),'08 Exs'!$I101,0)</f>
        <v>0</v>
      </c>
      <c r="AB101">
        <f>IF(AND('08 Exs'!D101&gt;Tmin, NOT('08 Exs'!$I101="")),'08 Exs'!$I101,0)</f>
        <v>0</v>
      </c>
      <c r="AC101">
        <f>IF(AND('08 Exs'!E101&gt;Tmin, NOT('08 Exs'!$I101="")),'08 Exs'!$I101,0)</f>
        <v>0</v>
      </c>
      <c r="AD101">
        <f>IF(AND('08 Exs'!F101&gt;Tmin, NOT('08 Exs'!$I101="")),'08 Exs'!$I101,0)</f>
        <v>0</v>
      </c>
      <c r="AE101">
        <f>IF(AND('08 Exs'!C101&lt;Tmax, NOT('08 Exs'!$H101="")),'08 Exs'!$H101,4)</f>
        <v>4</v>
      </c>
      <c r="AF101">
        <f>IF(AND('08 Exs'!D101&lt;Tmax, NOT('08 Exs'!$H101="")),'08 Exs'!$H101,4)</f>
        <v>4</v>
      </c>
      <c r="AG101">
        <f>IF(AND('08 Exs'!E101&lt;Tmax, NOT('08 Exs'!$H101="")),'08 Exs'!$H101,4)</f>
        <v>4</v>
      </c>
      <c r="AH101">
        <f>IF(AND('08 Exs'!F101&lt;Tmax, NOT('08 Exs'!$H101="")),'08 Exs'!$H101,4)</f>
        <v>4</v>
      </c>
      <c r="AI101"/>
    </row>
    <row r="102" spans="1:35" outlineLevel="1" x14ac:dyDescent="0.2">
      <c r="A102" s="633" t="s">
        <v>1767</v>
      </c>
      <c r="B102" s="634" t="s">
        <v>1768</v>
      </c>
      <c r="C102" s="786"/>
      <c r="D102" s="702"/>
      <c r="E102" s="702"/>
      <c r="F102" s="702"/>
      <c r="G102" s="1480"/>
      <c r="H102" s="1480"/>
      <c r="I102" s="1480"/>
      <c r="J102" s="1480"/>
      <c r="K102" s="1459"/>
      <c r="L102" s="1459"/>
      <c r="M102" s="785"/>
      <c r="AA102"/>
      <c r="AB102"/>
      <c r="AC102"/>
      <c r="AD102"/>
      <c r="AE102"/>
      <c r="AF102"/>
      <c r="AG102"/>
      <c r="AH102"/>
      <c r="AI102"/>
    </row>
    <row r="103" spans="1:35" ht="33.75" outlineLevel="2" x14ac:dyDescent="0.2">
      <c r="A103" s="636" t="s">
        <v>4092</v>
      </c>
      <c r="B103" s="636" t="s">
        <v>6756</v>
      </c>
      <c r="C103" s="786"/>
      <c r="D103" s="702"/>
      <c r="E103" s="702"/>
      <c r="F103" s="702"/>
      <c r="G103" s="1480">
        <v>4</v>
      </c>
      <c r="H103" s="1480">
        <v>2</v>
      </c>
      <c r="I103" s="1480"/>
      <c r="J103" s="1480" t="s">
        <v>4246</v>
      </c>
      <c r="K103" s="1459"/>
      <c r="L103" s="1459"/>
      <c r="M103" s="785"/>
      <c r="AA103">
        <f>IF(AND('08 Exs'!C103&gt;Tmin, NOT('08 Exs'!$I103="")),'08 Exs'!$I103,0)</f>
        <v>0</v>
      </c>
      <c r="AB103">
        <f>IF(AND('08 Exs'!D103&gt;Tmin, NOT('08 Exs'!$I103="")),'08 Exs'!$I103,0)</f>
        <v>0</v>
      </c>
      <c r="AC103">
        <f>IF(AND('08 Exs'!E103&gt;Tmin, NOT('08 Exs'!$I103="")),'08 Exs'!$I103,0)</f>
        <v>0</v>
      </c>
      <c r="AD103">
        <f>IF(AND('08 Exs'!F103&gt;Tmin, NOT('08 Exs'!$I103="")),'08 Exs'!$I103,0)</f>
        <v>0</v>
      </c>
      <c r="AE103">
        <f>IF(AND('08 Exs'!C103&lt;Tmax, NOT('08 Exs'!$H103="")),'08 Exs'!$H103,4)</f>
        <v>2</v>
      </c>
      <c r="AF103">
        <f>IF(AND('08 Exs'!D103&lt;Tmax, NOT('08 Exs'!$H103="")),'08 Exs'!$H103,4)</f>
        <v>2</v>
      </c>
      <c r="AG103">
        <f>IF(AND('08 Exs'!E103&lt;Tmax, NOT('08 Exs'!$H103="")),'08 Exs'!$H103,4)</f>
        <v>2</v>
      </c>
      <c r="AH103">
        <f>IF(AND('08 Exs'!F103&lt;Tmax, NOT('08 Exs'!$H103="")),'08 Exs'!$H103,4)</f>
        <v>2</v>
      </c>
      <c r="AI103"/>
    </row>
    <row r="104" spans="1:35" outlineLevel="2" x14ac:dyDescent="0.2">
      <c r="A104" s="636" t="s">
        <v>4093</v>
      </c>
      <c r="B104" s="636" t="s">
        <v>4094</v>
      </c>
      <c r="C104" s="786"/>
      <c r="D104" s="702"/>
      <c r="E104" s="702"/>
      <c r="F104" s="702"/>
      <c r="G104" s="1480">
        <v>2</v>
      </c>
      <c r="H104" s="1480">
        <v>2</v>
      </c>
      <c r="I104" s="1480"/>
      <c r="J104" s="1480" t="s">
        <v>1592</v>
      </c>
      <c r="K104" s="1459"/>
      <c r="L104" s="1459"/>
      <c r="M104" s="785"/>
      <c r="AA104">
        <f>IF(AND('08 Exs'!C104&gt;Tmin, NOT('08 Exs'!$I104="")),'08 Exs'!$I104,0)</f>
        <v>0</v>
      </c>
      <c r="AB104">
        <f>IF(AND('08 Exs'!D104&gt;Tmin, NOT('08 Exs'!$I104="")),'08 Exs'!$I104,0)</f>
        <v>0</v>
      </c>
      <c r="AC104">
        <f>IF(AND('08 Exs'!E104&gt;Tmin, NOT('08 Exs'!$I104="")),'08 Exs'!$I104,0)</f>
        <v>0</v>
      </c>
      <c r="AD104">
        <f>IF(AND('08 Exs'!F104&gt;Tmin, NOT('08 Exs'!$I104="")),'08 Exs'!$I104,0)</f>
        <v>0</v>
      </c>
      <c r="AE104">
        <f>IF(AND('08 Exs'!C104&lt;Tmax, NOT('08 Exs'!$H104="")),'08 Exs'!$H104,4)</f>
        <v>2</v>
      </c>
      <c r="AF104">
        <f>IF(AND('08 Exs'!D104&lt;Tmax, NOT('08 Exs'!$H104="")),'08 Exs'!$H104,4)</f>
        <v>2</v>
      </c>
      <c r="AG104">
        <f>IF(AND('08 Exs'!E104&lt;Tmax, NOT('08 Exs'!$H104="")),'08 Exs'!$H104,4)</f>
        <v>2</v>
      </c>
      <c r="AH104">
        <f>IF(AND('08 Exs'!F104&lt;Tmax, NOT('08 Exs'!$H104="")),'08 Exs'!$H104,4)</f>
        <v>2</v>
      </c>
      <c r="AI104"/>
    </row>
    <row r="105" spans="1:35" outlineLevel="2" x14ac:dyDescent="0.2">
      <c r="A105" s="636" t="s">
        <v>4095</v>
      </c>
      <c r="B105" s="636" t="s">
        <v>1945</v>
      </c>
      <c r="C105" s="786"/>
      <c r="D105" s="702"/>
      <c r="E105" s="702"/>
      <c r="F105" s="702"/>
      <c r="G105" s="1480">
        <v>4</v>
      </c>
      <c r="H105" s="1480">
        <v>2</v>
      </c>
      <c r="I105" s="1480"/>
      <c r="J105" s="1480" t="s">
        <v>1592</v>
      </c>
      <c r="K105" s="1459"/>
      <c r="L105" s="1459"/>
      <c r="M105" s="785"/>
      <c r="AA105">
        <f>IF(AND('08 Exs'!C105&gt;Tmin, NOT('08 Exs'!$I105="")),'08 Exs'!$I105,0)</f>
        <v>0</v>
      </c>
      <c r="AB105">
        <f>IF(AND('08 Exs'!D105&gt;Tmin, NOT('08 Exs'!$I105="")),'08 Exs'!$I105,0)</f>
        <v>0</v>
      </c>
      <c r="AC105">
        <f>IF(AND('08 Exs'!E105&gt;Tmin, NOT('08 Exs'!$I105="")),'08 Exs'!$I105,0)</f>
        <v>0</v>
      </c>
      <c r="AD105">
        <f>IF(AND('08 Exs'!F105&gt;Tmin, NOT('08 Exs'!$I105="")),'08 Exs'!$I105,0)</f>
        <v>0</v>
      </c>
      <c r="AE105">
        <f>IF(AND('08 Exs'!C105&lt;Tmax, NOT('08 Exs'!$H105="")),'08 Exs'!$H105,4)</f>
        <v>2</v>
      </c>
      <c r="AF105">
        <f>IF(AND('08 Exs'!D105&lt;Tmax, NOT('08 Exs'!$H105="")),'08 Exs'!$H105,4)</f>
        <v>2</v>
      </c>
      <c r="AG105">
        <f>IF(AND('08 Exs'!E105&lt;Tmax, NOT('08 Exs'!$H105="")),'08 Exs'!$H105,4)</f>
        <v>2</v>
      </c>
      <c r="AH105">
        <f>IF(AND('08 Exs'!F105&lt;Tmax, NOT('08 Exs'!$H105="")),'08 Exs'!$H105,4)</f>
        <v>2</v>
      </c>
      <c r="AI105"/>
    </row>
    <row r="106" spans="1:35" ht="45" outlineLevel="2" x14ac:dyDescent="0.2">
      <c r="A106" s="636" t="s">
        <v>4096</v>
      </c>
      <c r="B106" s="636" t="s">
        <v>5079</v>
      </c>
      <c r="C106" s="786"/>
      <c r="D106" s="702"/>
      <c r="E106" s="702"/>
      <c r="F106" s="702"/>
      <c r="G106" s="1480">
        <v>2</v>
      </c>
      <c r="H106" s="1480">
        <v>3</v>
      </c>
      <c r="I106" s="1480"/>
      <c r="J106" s="1480" t="s">
        <v>1592</v>
      </c>
      <c r="K106" s="1459" t="s">
        <v>5723</v>
      </c>
      <c r="L106" s="1459" t="s">
        <v>7361</v>
      </c>
      <c r="M106" s="785"/>
      <c r="AA106">
        <f>IF(AND('08 Exs'!C106&gt;Tmin, NOT('08 Exs'!$I106="")),'08 Exs'!$I106,0)</f>
        <v>0</v>
      </c>
      <c r="AB106">
        <f>IF(AND('08 Exs'!D106&gt;Tmin, NOT('08 Exs'!$I106="")),'08 Exs'!$I106,0)</f>
        <v>0</v>
      </c>
      <c r="AC106">
        <f>IF(AND('08 Exs'!E106&gt;Tmin, NOT('08 Exs'!$I106="")),'08 Exs'!$I106,0)</f>
        <v>0</v>
      </c>
      <c r="AD106">
        <f>IF(AND('08 Exs'!F106&gt;Tmin, NOT('08 Exs'!$I106="")),'08 Exs'!$I106,0)</f>
        <v>0</v>
      </c>
      <c r="AE106">
        <f>IF(AND('08 Exs'!C106&lt;Tmax, NOT('08 Exs'!$H106="")),'08 Exs'!$H106,4)</f>
        <v>3</v>
      </c>
      <c r="AF106">
        <f>IF(AND('08 Exs'!D106&lt;Tmax, NOT('08 Exs'!$H106="")),'08 Exs'!$H106,4)</f>
        <v>3</v>
      </c>
      <c r="AG106">
        <f>IF(AND('08 Exs'!E106&lt;Tmax, NOT('08 Exs'!$H106="")),'08 Exs'!$H106,4)</f>
        <v>3</v>
      </c>
      <c r="AH106">
        <f>IF(AND('08 Exs'!F106&lt;Tmax, NOT('08 Exs'!$H106="")),'08 Exs'!$H106,4)</f>
        <v>3</v>
      </c>
      <c r="AI106"/>
    </row>
    <row r="107" spans="1:35" outlineLevel="2" x14ac:dyDescent="0.2">
      <c r="A107" s="636" t="s">
        <v>4097</v>
      </c>
      <c r="B107" s="636" t="s">
        <v>4060</v>
      </c>
      <c r="C107" s="786"/>
      <c r="D107" s="702"/>
      <c r="E107" s="702"/>
      <c r="F107" s="702"/>
      <c r="G107" s="1480">
        <v>4</v>
      </c>
      <c r="H107" s="1480">
        <v>2</v>
      </c>
      <c r="I107" s="1480"/>
      <c r="J107" s="1480" t="s">
        <v>2349</v>
      </c>
      <c r="K107" s="1459"/>
      <c r="L107" s="1459" t="s">
        <v>7360</v>
      </c>
      <c r="M107" s="785"/>
      <c r="AA107">
        <f>IF(AND('08 Exs'!C107&gt;Tmin, NOT('08 Exs'!$I107="")),'08 Exs'!$I107,0)</f>
        <v>0</v>
      </c>
      <c r="AB107">
        <f>IF(AND('08 Exs'!D107&gt;Tmin, NOT('08 Exs'!$I107="")),'08 Exs'!$I107,0)</f>
        <v>0</v>
      </c>
      <c r="AC107">
        <f>IF(AND('08 Exs'!E107&gt;Tmin, NOT('08 Exs'!$I107="")),'08 Exs'!$I107,0)</f>
        <v>0</v>
      </c>
      <c r="AD107">
        <f>IF(AND('08 Exs'!F107&gt;Tmin, NOT('08 Exs'!$I107="")),'08 Exs'!$I107,0)</f>
        <v>0</v>
      </c>
      <c r="AE107">
        <f>IF(AND('08 Exs'!C107&lt;Tmax, NOT('08 Exs'!$H107="")),'08 Exs'!$H107,4)</f>
        <v>2</v>
      </c>
      <c r="AF107">
        <f>IF(AND('08 Exs'!D107&lt;Tmax, NOT('08 Exs'!$H107="")),'08 Exs'!$H107,4)</f>
        <v>2</v>
      </c>
      <c r="AG107">
        <f>IF(AND('08 Exs'!E107&lt;Tmax, NOT('08 Exs'!$H107="")),'08 Exs'!$H107,4)</f>
        <v>2</v>
      </c>
      <c r="AH107">
        <f>IF(AND('08 Exs'!F107&lt;Tmax, NOT('08 Exs'!$H107="")),'08 Exs'!$H107,4)</f>
        <v>2</v>
      </c>
      <c r="AI107"/>
    </row>
    <row r="108" spans="1:35" ht="22.5" outlineLevel="2" x14ac:dyDescent="0.2">
      <c r="A108" s="636" t="s">
        <v>4061</v>
      </c>
      <c r="B108" s="636" t="s">
        <v>4062</v>
      </c>
      <c r="C108" s="786"/>
      <c r="D108" s="702"/>
      <c r="E108" s="702"/>
      <c r="F108" s="702"/>
      <c r="G108" s="1480">
        <v>4</v>
      </c>
      <c r="H108" s="1480">
        <v>2</v>
      </c>
      <c r="I108" s="1480"/>
      <c r="J108" s="1480" t="s">
        <v>2329</v>
      </c>
      <c r="K108" s="1458" t="s">
        <v>7068</v>
      </c>
      <c r="L108" s="1459" t="s">
        <v>7362</v>
      </c>
      <c r="M108" s="785"/>
      <c r="AA108">
        <f>IF(AND('08 Exs'!C108&gt;Tmin, NOT('08 Exs'!$I108="")),'08 Exs'!$I108,0)</f>
        <v>0</v>
      </c>
      <c r="AB108">
        <f>IF(AND('08 Exs'!D108&gt;Tmin, NOT('08 Exs'!$I108="")),'08 Exs'!$I108,0)</f>
        <v>0</v>
      </c>
      <c r="AC108">
        <f>IF(AND('08 Exs'!E108&gt;Tmin, NOT('08 Exs'!$I108="")),'08 Exs'!$I108,0)</f>
        <v>0</v>
      </c>
      <c r="AD108">
        <f>IF(AND('08 Exs'!F108&gt;Tmin, NOT('08 Exs'!$I108="")),'08 Exs'!$I108,0)</f>
        <v>0</v>
      </c>
      <c r="AE108">
        <f>IF(AND('08 Exs'!C108&lt;Tmax, NOT('08 Exs'!$H108="")),'08 Exs'!$H108,4)</f>
        <v>2</v>
      </c>
      <c r="AF108">
        <f>IF(AND('08 Exs'!D108&lt;Tmax, NOT('08 Exs'!$H108="")),'08 Exs'!$H108,4)</f>
        <v>2</v>
      </c>
      <c r="AG108">
        <f>IF(AND('08 Exs'!E108&lt;Tmax, NOT('08 Exs'!$H108="")),'08 Exs'!$H108,4)</f>
        <v>2</v>
      </c>
      <c r="AH108">
        <f>IF(AND('08 Exs'!F108&lt;Tmax, NOT('08 Exs'!$H108="")),'08 Exs'!$H108,4)</f>
        <v>2</v>
      </c>
      <c r="AI108"/>
    </row>
    <row r="109" spans="1:35" outlineLevel="2" x14ac:dyDescent="0.2">
      <c r="A109" s="636" t="s">
        <v>4063</v>
      </c>
      <c r="B109" s="636" t="s">
        <v>6730</v>
      </c>
      <c r="C109" s="786"/>
      <c r="D109" s="702"/>
      <c r="E109" s="702"/>
      <c r="F109" s="702"/>
      <c r="G109" s="1480">
        <v>2</v>
      </c>
      <c r="H109" s="1480"/>
      <c r="I109" s="1480"/>
      <c r="J109" s="1480" t="s">
        <v>2349</v>
      </c>
      <c r="K109" s="1458" t="s">
        <v>7068</v>
      </c>
      <c r="L109" s="1459" t="s">
        <v>4425</v>
      </c>
      <c r="M109" s="785"/>
      <c r="AA109">
        <f>IF(AND('08 Exs'!C109&gt;Tmin, NOT('08 Exs'!$I109="")),'08 Exs'!$I109,0)</f>
        <v>0</v>
      </c>
      <c r="AB109">
        <f>IF(AND('08 Exs'!D109&gt;Tmin, NOT('08 Exs'!$I109="")),'08 Exs'!$I109,0)</f>
        <v>0</v>
      </c>
      <c r="AC109">
        <f>IF(AND('08 Exs'!E109&gt;Tmin, NOT('08 Exs'!$I109="")),'08 Exs'!$I109,0)</f>
        <v>0</v>
      </c>
      <c r="AD109">
        <f>IF(AND('08 Exs'!F109&gt;Tmin, NOT('08 Exs'!$I109="")),'08 Exs'!$I109,0)</f>
        <v>0</v>
      </c>
      <c r="AE109">
        <f>IF(AND('08 Exs'!C109&lt;Tmax, NOT('08 Exs'!$H109="")),'08 Exs'!$H109,4)</f>
        <v>4</v>
      </c>
      <c r="AF109">
        <f>IF(AND('08 Exs'!D109&lt;Tmax, NOT('08 Exs'!$H109="")),'08 Exs'!$H109,4)</f>
        <v>4</v>
      </c>
      <c r="AG109">
        <f>IF(AND('08 Exs'!E109&lt;Tmax, NOT('08 Exs'!$H109="")),'08 Exs'!$H109,4)</f>
        <v>4</v>
      </c>
      <c r="AH109">
        <f>IF(AND('08 Exs'!F109&lt;Tmax, NOT('08 Exs'!$H109="")),'08 Exs'!$H109,4)</f>
        <v>4</v>
      </c>
      <c r="AI109"/>
    </row>
    <row r="110" spans="1:35" outlineLevel="2" x14ac:dyDescent="0.2">
      <c r="A110" s="636" t="s">
        <v>4064</v>
      </c>
      <c r="B110" s="636" t="s">
        <v>4464</v>
      </c>
      <c r="C110" s="786"/>
      <c r="D110" s="702"/>
      <c r="E110" s="702"/>
      <c r="F110" s="702"/>
      <c r="G110" s="1480">
        <v>2</v>
      </c>
      <c r="H110" s="1480"/>
      <c r="I110" s="1480"/>
      <c r="J110" s="1480" t="s">
        <v>2349</v>
      </c>
      <c r="K110" s="1458" t="s">
        <v>7068</v>
      </c>
      <c r="L110" s="1459" t="s">
        <v>4425</v>
      </c>
      <c r="M110" s="785"/>
      <c r="AA110">
        <f>IF(AND('08 Exs'!C110&gt;Tmin, NOT('08 Exs'!$I110="")),'08 Exs'!$I110,0)</f>
        <v>0</v>
      </c>
      <c r="AB110">
        <f>IF(AND('08 Exs'!D110&gt;Tmin, NOT('08 Exs'!$I110="")),'08 Exs'!$I110,0)</f>
        <v>0</v>
      </c>
      <c r="AC110">
        <f>IF(AND('08 Exs'!E110&gt;Tmin, NOT('08 Exs'!$I110="")),'08 Exs'!$I110,0)</f>
        <v>0</v>
      </c>
      <c r="AD110">
        <f>IF(AND('08 Exs'!F110&gt;Tmin, NOT('08 Exs'!$I110="")),'08 Exs'!$I110,0)</f>
        <v>0</v>
      </c>
      <c r="AE110">
        <f>IF(AND('08 Exs'!C110&lt;Tmax, NOT('08 Exs'!$H110="")),'08 Exs'!$H110,4)</f>
        <v>4</v>
      </c>
      <c r="AF110">
        <f>IF(AND('08 Exs'!D110&lt;Tmax, NOT('08 Exs'!$H110="")),'08 Exs'!$H110,4)</f>
        <v>4</v>
      </c>
      <c r="AG110">
        <f>IF(AND('08 Exs'!E110&lt;Tmax, NOT('08 Exs'!$H110="")),'08 Exs'!$H110,4)</f>
        <v>4</v>
      </c>
      <c r="AH110">
        <f>IF(AND('08 Exs'!F110&lt;Tmax, NOT('08 Exs'!$H110="")),'08 Exs'!$H110,4)</f>
        <v>4</v>
      </c>
      <c r="AI110"/>
    </row>
    <row r="111" spans="1:35" outlineLevel="1" x14ac:dyDescent="0.2">
      <c r="A111" s="633" t="s">
        <v>1769</v>
      </c>
      <c r="B111" s="634" t="s">
        <v>1770</v>
      </c>
      <c r="C111" s="786"/>
      <c r="D111" s="702"/>
      <c r="E111" s="702"/>
      <c r="F111" s="702"/>
      <c r="G111" s="1480"/>
      <c r="H111" s="1480"/>
      <c r="I111" s="1480"/>
      <c r="J111" s="1480"/>
      <c r="K111" s="1459"/>
      <c r="L111" s="1459"/>
      <c r="M111" s="785"/>
      <c r="AA111"/>
      <c r="AB111"/>
      <c r="AC111"/>
      <c r="AD111"/>
      <c r="AE111"/>
      <c r="AF111"/>
      <c r="AG111"/>
      <c r="AH111"/>
      <c r="AI111"/>
    </row>
    <row r="112" spans="1:35" ht="22.5" outlineLevel="2" x14ac:dyDescent="0.2">
      <c r="A112" s="636" t="s">
        <v>4065</v>
      </c>
      <c r="B112" s="636" t="s">
        <v>4066</v>
      </c>
      <c r="C112" s="786"/>
      <c r="D112" s="702"/>
      <c r="E112" s="702"/>
      <c r="F112" s="702"/>
      <c r="G112" s="1480">
        <v>4</v>
      </c>
      <c r="H112" s="1480">
        <v>2</v>
      </c>
      <c r="I112" s="1480"/>
      <c r="J112" s="1480" t="s">
        <v>4246</v>
      </c>
      <c r="K112" s="1458" t="s">
        <v>2672</v>
      </c>
      <c r="L112" s="1459" t="s">
        <v>1369</v>
      </c>
      <c r="M112" s="785"/>
      <c r="AA112">
        <f>IF(AND('08 Exs'!C112&gt;Tmin, NOT('08 Exs'!$I112="")),'08 Exs'!$I112,0)</f>
        <v>0</v>
      </c>
      <c r="AB112">
        <f>IF(AND('08 Exs'!D112&gt;Tmin, NOT('08 Exs'!$I112="")),'08 Exs'!$I112,0)</f>
        <v>0</v>
      </c>
      <c r="AC112">
        <f>IF(AND('08 Exs'!E112&gt;Tmin, NOT('08 Exs'!$I112="")),'08 Exs'!$I112,0)</f>
        <v>0</v>
      </c>
      <c r="AD112">
        <f>IF(AND('08 Exs'!F112&gt;Tmin, NOT('08 Exs'!$I112="")),'08 Exs'!$I112,0)</f>
        <v>0</v>
      </c>
      <c r="AE112">
        <f>IF(AND('08 Exs'!C112&lt;Tmax, NOT('08 Exs'!$H112="")),'08 Exs'!$H112,4)</f>
        <v>2</v>
      </c>
      <c r="AF112">
        <f>IF(AND('08 Exs'!D112&lt;Tmax, NOT('08 Exs'!$H112="")),'08 Exs'!$H112,4)</f>
        <v>2</v>
      </c>
      <c r="AG112">
        <f>IF(AND('08 Exs'!E112&lt;Tmax, NOT('08 Exs'!$H112="")),'08 Exs'!$H112,4)</f>
        <v>2</v>
      </c>
      <c r="AH112">
        <f>IF(AND('08 Exs'!F112&lt;Tmax, NOT('08 Exs'!$H112="")),'08 Exs'!$H112,4)</f>
        <v>2</v>
      </c>
      <c r="AI112"/>
    </row>
    <row r="113" spans="1:35" ht="22.5" outlineLevel="2" x14ac:dyDescent="0.2">
      <c r="A113" s="636" t="s">
        <v>4067</v>
      </c>
      <c r="B113" s="636" t="s">
        <v>3300</v>
      </c>
      <c r="C113" s="786"/>
      <c r="D113" s="702"/>
      <c r="E113" s="702"/>
      <c r="F113" s="702"/>
      <c r="G113" s="1480">
        <v>2</v>
      </c>
      <c r="H113" s="1480"/>
      <c r="I113" s="1480"/>
      <c r="J113" s="1480" t="s">
        <v>2349</v>
      </c>
      <c r="K113" s="1459"/>
      <c r="L113" s="1459"/>
      <c r="M113" s="785"/>
      <c r="AA113">
        <f>IF(AND('08 Exs'!C113&gt;Tmin, NOT('08 Exs'!$I113="")),'08 Exs'!$I113,0)</f>
        <v>0</v>
      </c>
      <c r="AB113">
        <f>IF(AND('08 Exs'!D113&gt;Tmin, NOT('08 Exs'!$I113="")),'08 Exs'!$I113,0)</f>
        <v>0</v>
      </c>
      <c r="AC113">
        <f>IF(AND('08 Exs'!E113&gt;Tmin, NOT('08 Exs'!$I113="")),'08 Exs'!$I113,0)</f>
        <v>0</v>
      </c>
      <c r="AD113">
        <f>IF(AND('08 Exs'!F113&gt;Tmin, NOT('08 Exs'!$I113="")),'08 Exs'!$I113,0)</f>
        <v>0</v>
      </c>
      <c r="AE113">
        <f>IF(AND('08 Exs'!C113&lt;Tmax, NOT('08 Exs'!$H113="")),'08 Exs'!$H113,4)</f>
        <v>4</v>
      </c>
      <c r="AF113">
        <f>IF(AND('08 Exs'!D113&lt;Tmax, NOT('08 Exs'!$H113="")),'08 Exs'!$H113,4)</f>
        <v>4</v>
      </c>
      <c r="AG113">
        <f>IF(AND('08 Exs'!E113&lt;Tmax, NOT('08 Exs'!$H113="")),'08 Exs'!$H113,4)</f>
        <v>4</v>
      </c>
      <c r="AH113">
        <f>IF(AND('08 Exs'!F113&lt;Tmax, NOT('08 Exs'!$H113="")),'08 Exs'!$H113,4)</f>
        <v>4</v>
      </c>
      <c r="AI113"/>
    </row>
    <row r="114" spans="1:35" outlineLevel="2" x14ac:dyDescent="0.2">
      <c r="A114" s="636" t="s">
        <v>3301</v>
      </c>
      <c r="B114" s="636" t="s">
        <v>3302</v>
      </c>
      <c r="C114" s="786"/>
      <c r="D114" s="702"/>
      <c r="E114" s="702"/>
      <c r="F114" s="702"/>
      <c r="G114" s="1480">
        <v>4</v>
      </c>
      <c r="H114" s="1480"/>
      <c r="I114" s="1480"/>
      <c r="J114" s="1480" t="s">
        <v>2107</v>
      </c>
      <c r="K114" s="1459"/>
      <c r="L114" s="1459"/>
      <c r="M114" s="785"/>
      <c r="AA114">
        <f>IF(AND('08 Exs'!C114&gt;Tmin, NOT('08 Exs'!$I114="")),'08 Exs'!$I114,0)</f>
        <v>0</v>
      </c>
      <c r="AB114">
        <f>IF(AND('08 Exs'!D114&gt;Tmin, NOT('08 Exs'!$I114="")),'08 Exs'!$I114,0)</f>
        <v>0</v>
      </c>
      <c r="AC114">
        <f>IF(AND('08 Exs'!E114&gt;Tmin, NOT('08 Exs'!$I114="")),'08 Exs'!$I114,0)</f>
        <v>0</v>
      </c>
      <c r="AD114">
        <f>IF(AND('08 Exs'!F114&gt;Tmin, NOT('08 Exs'!$I114="")),'08 Exs'!$I114,0)</f>
        <v>0</v>
      </c>
      <c r="AE114">
        <f>IF(AND('08 Exs'!C114&lt;Tmax, NOT('08 Exs'!$H114="")),'08 Exs'!$H114,4)</f>
        <v>4</v>
      </c>
      <c r="AF114">
        <f>IF(AND('08 Exs'!D114&lt;Tmax, NOT('08 Exs'!$H114="")),'08 Exs'!$H114,4)</f>
        <v>4</v>
      </c>
      <c r="AG114">
        <f>IF(AND('08 Exs'!E114&lt;Tmax, NOT('08 Exs'!$H114="")),'08 Exs'!$H114,4)</f>
        <v>4</v>
      </c>
      <c r="AH114">
        <f>IF(AND('08 Exs'!F114&lt;Tmax, NOT('08 Exs'!$H114="")),'08 Exs'!$H114,4)</f>
        <v>4</v>
      </c>
      <c r="AI114"/>
    </row>
    <row r="115" spans="1:35" ht="22.5" outlineLevel="2" x14ac:dyDescent="0.2">
      <c r="A115" s="636" t="s">
        <v>4247</v>
      </c>
      <c r="B115" s="636" t="s">
        <v>4248</v>
      </c>
      <c r="C115" s="786"/>
      <c r="D115" s="702"/>
      <c r="E115" s="702"/>
      <c r="F115" s="702"/>
      <c r="G115" s="1480">
        <v>4</v>
      </c>
      <c r="H115" s="1480"/>
      <c r="I115" s="1480"/>
      <c r="J115" s="1480" t="s">
        <v>2107</v>
      </c>
      <c r="K115" s="1459"/>
      <c r="L115" s="1459"/>
      <c r="M115" s="785"/>
      <c r="AA115">
        <f>IF(AND('08 Exs'!C115&gt;Tmin, NOT('08 Exs'!$I115="")),'08 Exs'!$I115,0)</f>
        <v>0</v>
      </c>
      <c r="AB115">
        <f>IF(AND('08 Exs'!D115&gt;Tmin, NOT('08 Exs'!$I115="")),'08 Exs'!$I115,0)</f>
        <v>0</v>
      </c>
      <c r="AC115">
        <f>IF(AND('08 Exs'!E115&gt;Tmin, NOT('08 Exs'!$I115="")),'08 Exs'!$I115,0)</f>
        <v>0</v>
      </c>
      <c r="AD115">
        <f>IF(AND('08 Exs'!F115&gt;Tmin, NOT('08 Exs'!$I115="")),'08 Exs'!$I115,0)</f>
        <v>0</v>
      </c>
      <c r="AE115">
        <f>IF(AND('08 Exs'!C115&lt;Tmax, NOT('08 Exs'!$H115="")),'08 Exs'!$H115,4)</f>
        <v>4</v>
      </c>
      <c r="AF115">
        <f>IF(AND('08 Exs'!D115&lt;Tmax, NOT('08 Exs'!$H115="")),'08 Exs'!$H115,4)</f>
        <v>4</v>
      </c>
      <c r="AG115">
        <f>IF(AND('08 Exs'!E115&lt;Tmax, NOT('08 Exs'!$H115="")),'08 Exs'!$H115,4)</f>
        <v>4</v>
      </c>
      <c r="AH115">
        <f>IF(AND('08 Exs'!F115&lt;Tmax, NOT('08 Exs'!$H115="")),'08 Exs'!$H115,4)</f>
        <v>4</v>
      </c>
      <c r="AI115"/>
    </row>
    <row r="116" spans="1:35" ht="22.5" outlineLevel="2" x14ac:dyDescent="0.2">
      <c r="A116" s="636" t="s">
        <v>4249</v>
      </c>
      <c r="B116" s="636" t="s">
        <v>1696</v>
      </c>
      <c r="C116" s="786"/>
      <c r="D116" s="702"/>
      <c r="E116" s="702"/>
      <c r="F116" s="702"/>
      <c r="G116" s="1480">
        <v>4</v>
      </c>
      <c r="H116" s="1480"/>
      <c r="I116" s="1480"/>
      <c r="J116" s="1480" t="s">
        <v>1592</v>
      </c>
      <c r="K116" s="1459"/>
      <c r="L116" s="1459"/>
      <c r="M116" s="785"/>
      <c r="AA116">
        <f>IF(AND('08 Exs'!C116&gt;Tmin, NOT('08 Exs'!$I116="")),'08 Exs'!$I116,0)</f>
        <v>0</v>
      </c>
      <c r="AB116">
        <f>IF(AND('08 Exs'!D116&gt;Tmin, NOT('08 Exs'!$I116="")),'08 Exs'!$I116,0)</f>
        <v>0</v>
      </c>
      <c r="AC116">
        <f>IF(AND('08 Exs'!E116&gt;Tmin, NOT('08 Exs'!$I116="")),'08 Exs'!$I116,0)</f>
        <v>0</v>
      </c>
      <c r="AD116">
        <f>IF(AND('08 Exs'!F116&gt;Tmin, NOT('08 Exs'!$I116="")),'08 Exs'!$I116,0)</f>
        <v>0</v>
      </c>
      <c r="AE116">
        <f>IF(AND('08 Exs'!C116&lt;Tmax, NOT('08 Exs'!$H116="")),'08 Exs'!$H116,4)</f>
        <v>4</v>
      </c>
      <c r="AF116">
        <f>IF(AND('08 Exs'!D116&lt;Tmax, NOT('08 Exs'!$H116="")),'08 Exs'!$H116,4)</f>
        <v>4</v>
      </c>
      <c r="AG116">
        <f>IF(AND('08 Exs'!E116&lt;Tmax, NOT('08 Exs'!$H116="")),'08 Exs'!$H116,4)</f>
        <v>4</v>
      </c>
      <c r="AH116">
        <f>IF(AND('08 Exs'!F116&lt;Tmax, NOT('08 Exs'!$H116="")),'08 Exs'!$H116,4)</f>
        <v>4</v>
      </c>
      <c r="AI116"/>
    </row>
    <row r="117" spans="1:35" outlineLevel="2" x14ac:dyDescent="0.2">
      <c r="A117" s="636" t="s">
        <v>2175</v>
      </c>
      <c r="B117" s="636" t="s">
        <v>2176</v>
      </c>
      <c r="C117" s="786"/>
      <c r="D117" s="702"/>
      <c r="E117" s="702"/>
      <c r="F117" s="702"/>
      <c r="G117" s="1480">
        <v>4</v>
      </c>
      <c r="H117" s="1480"/>
      <c r="I117" s="1480"/>
      <c r="J117" s="1480" t="s">
        <v>2107</v>
      </c>
      <c r="K117" s="1459"/>
      <c r="L117" s="1459"/>
      <c r="M117" s="785"/>
      <c r="AA117">
        <f>IF(AND('08 Exs'!C117&gt;Tmin, NOT('08 Exs'!$I117="")),'08 Exs'!$I117,0)</f>
        <v>0</v>
      </c>
      <c r="AB117">
        <f>IF(AND('08 Exs'!D117&gt;Tmin, NOT('08 Exs'!$I117="")),'08 Exs'!$I117,0)</f>
        <v>0</v>
      </c>
      <c r="AC117">
        <f>IF(AND('08 Exs'!E117&gt;Tmin, NOT('08 Exs'!$I117="")),'08 Exs'!$I117,0)</f>
        <v>0</v>
      </c>
      <c r="AD117">
        <f>IF(AND('08 Exs'!F117&gt;Tmin, NOT('08 Exs'!$I117="")),'08 Exs'!$I117,0)</f>
        <v>0</v>
      </c>
      <c r="AE117">
        <f>IF(AND('08 Exs'!C117&lt;Tmax, NOT('08 Exs'!$H117="")),'08 Exs'!$H117,4)</f>
        <v>4</v>
      </c>
      <c r="AF117">
        <f>IF(AND('08 Exs'!D117&lt;Tmax, NOT('08 Exs'!$H117="")),'08 Exs'!$H117,4)</f>
        <v>4</v>
      </c>
      <c r="AG117">
        <f>IF(AND('08 Exs'!E117&lt;Tmax, NOT('08 Exs'!$H117="")),'08 Exs'!$H117,4)</f>
        <v>4</v>
      </c>
      <c r="AH117">
        <f>IF(AND('08 Exs'!F117&lt;Tmax, NOT('08 Exs'!$H117="")),'08 Exs'!$H117,4)</f>
        <v>4</v>
      </c>
      <c r="AI117"/>
    </row>
    <row r="118" spans="1:35" ht="22.5" outlineLevel="2" x14ac:dyDescent="0.2">
      <c r="A118" s="636" t="s">
        <v>2177</v>
      </c>
      <c r="B118" s="636" t="s">
        <v>2178</v>
      </c>
      <c r="C118" s="786"/>
      <c r="D118" s="702"/>
      <c r="E118" s="702"/>
      <c r="F118" s="702"/>
      <c r="G118" s="1480">
        <v>4</v>
      </c>
      <c r="H118" s="1480"/>
      <c r="I118" s="1480"/>
      <c r="J118" s="1480" t="s">
        <v>2329</v>
      </c>
      <c r="K118" s="1459"/>
      <c r="L118" s="1459"/>
      <c r="M118" s="785"/>
      <c r="AA118">
        <f>IF(AND('08 Exs'!C118&gt;Tmin, NOT('08 Exs'!$I118="")),'08 Exs'!$I118,0)</f>
        <v>0</v>
      </c>
      <c r="AB118">
        <f>IF(AND('08 Exs'!D118&gt;Tmin, NOT('08 Exs'!$I118="")),'08 Exs'!$I118,0)</f>
        <v>0</v>
      </c>
      <c r="AC118">
        <f>IF(AND('08 Exs'!E118&gt;Tmin, NOT('08 Exs'!$I118="")),'08 Exs'!$I118,0)</f>
        <v>0</v>
      </c>
      <c r="AD118">
        <f>IF(AND('08 Exs'!F118&gt;Tmin, NOT('08 Exs'!$I118="")),'08 Exs'!$I118,0)</f>
        <v>0</v>
      </c>
      <c r="AE118">
        <f>IF(AND('08 Exs'!C118&lt;Tmax, NOT('08 Exs'!$H118="")),'08 Exs'!$H118,4)</f>
        <v>4</v>
      </c>
      <c r="AF118">
        <f>IF(AND('08 Exs'!D118&lt;Tmax, NOT('08 Exs'!$H118="")),'08 Exs'!$H118,4)</f>
        <v>4</v>
      </c>
      <c r="AG118">
        <f>IF(AND('08 Exs'!E118&lt;Tmax, NOT('08 Exs'!$H118="")),'08 Exs'!$H118,4)</f>
        <v>4</v>
      </c>
      <c r="AH118">
        <f>IF(AND('08 Exs'!F118&lt;Tmax, NOT('08 Exs'!$H118="")),'08 Exs'!$H118,4)</f>
        <v>4</v>
      </c>
      <c r="AI118"/>
    </row>
    <row r="119" spans="1:35" outlineLevel="2" x14ac:dyDescent="0.2">
      <c r="A119" s="636" t="s">
        <v>2179</v>
      </c>
      <c r="B119" s="636" t="s">
        <v>2180</v>
      </c>
      <c r="C119" s="786"/>
      <c r="D119" s="702"/>
      <c r="E119" s="702"/>
      <c r="F119" s="702"/>
      <c r="G119" s="1480">
        <v>4</v>
      </c>
      <c r="H119" s="1480"/>
      <c r="I119" s="1480"/>
      <c r="J119" s="1480" t="s">
        <v>2109</v>
      </c>
      <c r="K119" s="1459"/>
      <c r="L119" s="1459"/>
      <c r="M119" s="785"/>
      <c r="AA119">
        <f>IF(AND('08 Exs'!C119&gt;Tmin, NOT('08 Exs'!$I119="")),'08 Exs'!$I119,0)</f>
        <v>0</v>
      </c>
      <c r="AB119">
        <f>IF(AND('08 Exs'!D119&gt;Tmin, NOT('08 Exs'!$I119="")),'08 Exs'!$I119,0)</f>
        <v>0</v>
      </c>
      <c r="AC119">
        <f>IF(AND('08 Exs'!E119&gt;Tmin, NOT('08 Exs'!$I119="")),'08 Exs'!$I119,0)</f>
        <v>0</v>
      </c>
      <c r="AD119">
        <f>IF(AND('08 Exs'!F119&gt;Tmin, NOT('08 Exs'!$I119="")),'08 Exs'!$I119,0)</f>
        <v>0</v>
      </c>
      <c r="AE119">
        <f>IF(AND('08 Exs'!C119&lt;Tmax, NOT('08 Exs'!$H119="")),'08 Exs'!$H119,4)</f>
        <v>4</v>
      </c>
      <c r="AF119">
        <f>IF(AND('08 Exs'!D119&lt;Tmax, NOT('08 Exs'!$H119="")),'08 Exs'!$H119,4)</f>
        <v>4</v>
      </c>
      <c r="AG119">
        <f>IF(AND('08 Exs'!E119&lt;Tmax, NOT('08 Exs'!$H119="")),'08 Exs'!$H119,4)</f>
        <v>4</v>
      </c>
      <c r="AH119">
        <f>IF(AND('08 Exs'!F119&lt;Tmax, NOT('08 Exs'!$H119="")),'08 Exs'!$H119,4)</f>
        <v>4</v>
      </c>
      <c r="AI119"/>
    </row>
    <row r="120" spans="1:35" x14ac:dyDescent="0.2">
      <c r="A120" s="644" t="s">
        <v>4849</v>
      </c>
      <c r="B120" s="644" t="s">
        <v>4850</v>
      </c>
      <c r="C120" s="786"/>
      <c r="D120" s="702"/>
      <c r="E120" s="702"/>
      <c r="F120" s="702"/>
      <c r="G120" s="1480"/>
      <c r="H120" s="1480"/>
      <c r="I120" s="1480"/>
      <c r="J120" s="1480"/>
      <c r="K120" s="1459"/>
      <c r="L120" s="1459"/>
      <c r="M120" s="788"/>
      <c r="AA120"/>
      <c r="AB120"/>
      <c r="AC120"/>
      <c r="AD120"/>
      <c r="AE120"/>
      <c r="AF120"/>
      <c r="AG120"/>
      <c r="AH120"/>
      <c r="AI120"/>
    </row>
    <row r="121" spans="1:35" outlineLevel="1" x14ac:dyDescent="0.2">
      <c r="A121" s="633" t="s">
        <v>6293</v>
      </c>
      <c r="B121" s="634" t="s">
        <v>1643</v>
      </c>
      <c r="C121" s="786"/>
      <c r="D121" s="702"/>
      <c r="E121" s="702"/>
      <c r="F121" s="702"/>
      <c r="G121" s="1480"/>
      <c r="H121" s="1480"/>
      <c r="I121" s="1480"/>
      <c r="J121" s="1480"/>
      <c r="K121" s="1459"/>
      <c r="L121" s="1459"/>
      <c r="M121" s="788"/>
      <c r="AA121"/>
      <c r="AB121"/>
      <c r="AC121"/>
      <c r="AD121"/>
      <c r="AE121"/>
      <c r="AF121"/>
      <c r="AG121"/>
      <c r="AH121"/>
      <c r="AI121"/>
    </row>
    <row r="122" spans="1:35" ht="22.5" outlineLevel="2" x14ac:dyDescent="0.2">
      <c r="A122" s="636" t="s">
        <v>4851</v>
      </c>
      <c r="B122" s="636" t="s">
        <v>1947</v>
      </c>
      <c r="C122" s="786"/>
      <c r="D122" s="702"/>
      <c r="E122" s="702"/>
      <c r="F122" s="702"/>
      <c r="G122" s="1480">
        <v>4</v>
      </c>
      <c r="H122" s="1480"/>
      <c r="I122" s="1480"/>
      <c r="J122" s="1480" t="s">
        <v>4246</v>
      </c>
      <c r="K122" s="1459" t="s">
        <v>3575</v>
      </c>
      <c r="L122" s="1459" t="s">
        <v>7261</v>
      </c>
      <c r="M122" s="788"/>
      <c r="AA122">
        <f>IF(AND('08 Exs'!C122&gt;Tmin, NOT('08 Exs'!$I122="")),'08 Exs'!$I122,0)</f>
        <v>0</v>
      </c>
      <c r="AB122">
        <f>IF(AND('08 Exs'!D122&gt;Tmin, NOT('08 Exs'!$I122="")),'08 Exs'!$I122,0)</f>
        <v>0</v>
      </c>
      <c r="AC122">
        <f>IF(AND('08 Exs'!E122&gt;Tmin, NOT('08 Exs'!$I122="")),'08 Exs'!$I122,0)</f>
        <v>0</v>
      </c>
      <c r="AD122">
        <f>IF(AND('08 Exs'!F122&gt;Tmin, NOT('08 Exs'!$I122="")),'08 Exs'!$I122,0)</f>
        <v>0</v>
      </c>
      <c r="AE122">
        <f>IF(AND('08 Exs'!C122&lt;Tmax, NOT('08 Exs'!$H122="")),'08 Exs'!$H122,4)</f>
        <v>4</v>
      </c>
      <c r="AF122">
        <f>IF(AND('08 Exs'!D122&lt;Tmax, NOT('08 Exs'!$H122="")),'08 Exs'!$H122,4)</f>
        <v>4</v>
      </c>
      <c r="AG122">
        <f>IF(AND('08 Exs'!E122&lt;Tmax, NOT('08 Exs'!$H122="")),'08 Exs'!$H122,4)</f>
        <v>4</v>
      </c>
      <c r="AH122">
        <f>IF(AND('08 Exs'!F122&lt;Tmax, NOT('08 Exs'!$H122="")),'08 Exs'!$H122,4)</f>
        <v>4</v>
      </c>
      <c r="AI122"/>
    </row>
    <row r="123" spans="1:35" outlineLevel="2" x14ac:dyDescent="0.2">
      <c r="A123" s="636" t="s">
        <v>5259</v>
      </c>
      <c r="B123" s="636" t="s">
        <v>6642</v>
      </c>
      <c r="C123" s="786"/>
      <c r="D123" s="702"/>
      <c r="E123" s="702"/>
      <c r="F123" s="702"/>
      <c r="G123" s="1480">
        <v>4</v>
      </c>
      <c r="H123" s="1480"/>
      <c r="I123" s="1480"/>
      <c r="J123" s="1480" t="s">
        <v>1592</v>
      </c>
      <c r="K123" s="1459" t="s">
        <v>3575</v>
      </c>
      <c r="L123" s="1459" t="s">
        <v>7261</v>
      </c>
      <c r="M123" s="788"/>
      <c r="AA123">
        <f>IF(AND('08 Exs'!C123&gt;Tmin, NOT('08 Exs'!$I123="")),'08 Exs'!$I123,0)</f>
        <v>0</v>
      </c>
      <c r="AB123">
        <f>IF(AND('08 Exs'!D123&gt;Tmin, NOT('08 Exs'!$I123="")),'08 Exs'!$I123,0)</f>
        <v>0</v>
      </c>
      <c r="AC123">
        <f>IF(AND('08 Exs'!E123&gt;Tmin, NOT('08 Exs'!$I123="")),'08 Exs'!$I123,0)</f>
        <v>0</v>
      </c>
      <c r="AD123">
        <f>IF(AND('08 Exs'!F123&gt;Tmin, NOT('08 Exs'!$I123="")),'08 Exs'!$I123,0)</f>
        <v>0</v>
      </c>
      <c r="AE123">
        <f>IF(AND('08 Exs'!C123&lt;Tmax, NOT('08 Exs'!$H123="")),'08 Exs'!$H123,4)</f>
        <v>4</v>
      </c>
      <c r="AF123">
        <f>IF(AND('08 Exs'!D123&lt;Tmax, NOT('08 Exs'!$H123="")),'08 Exs'!$H123,4)</f>
        <v>4</v>
      </c>
      <c r="AG123">
        <f>IF(AND('08 Exs'!E123&lt;Tmax, NOT('08 Exs'!$H123="")),'08 Exs'!$H123,4)</f>
        <v>4</v>
      </c>
      <c r="AH123">
        <f>IF(AND('08 Exs'!F123&lt;Tmax, NOT('08 Exs'!$H123="")),'08 Exs'!$H123,4)</f>
        <v>4</v>
      </c>
      <c r="AI123"/>
    </row>
    <row r="124" spans="1:35" ht="22.5" outlineLevel="2" x14ac:dyDescent="0.2">
      <c r="A124" s="636" t="s">
        <v>5261</v>
      </c>
      <c r="B124" s="636" t="s">
        <v>5260</v>
      </c>
      <c r="C124" s="786"/>
      <c r="D124" s="702"/>
      <c r="E124" s="702"/>
      <c r="F124" s="702"/>
      <c r="G124" s="1480">
        <v>4</v>
      </c>
      <c r="H124" s="1480"/>
      <c r="I124" s="1480"/>
      <c r="J124" s="1480" t="s">
        <v>1592</v>
      </c>
      <c r="K124" s="1459" t="s">
        <v>3575</v>
      </c>
      <c r="L124" s="1459" t="s">
        <v>7261</v>
      </c>
      <c r="M124" s="788"/>
      <c r="AA124">
        <f>IF(AND('08 Exs'!C124&gt;Tmin, NOT('08 Exs'!$I124="")),'08 Exs'!$I124,0)</f>
        <v>0</v>
      </c>
      <c r="AB124">
        <f>IF(AND('08 Exs'!D124&gt;Tmin, NOT('08 Exs'!$I124="")),'08 Exs'!$I124,0)</f>
        <v>0</v>
      </c>
      <c r="AC124">
        <f>IF(AND('08 Exs'!E124&gt;Tmin, NOT('08 Exs'!$I124="")),'08 Exs'!$I124,0)</f>
        <v>0</v>
      </c>
      <c r="AD124">
        <f>IF(AND('08 Exs'!F124&gt;Tmin, NOT('08 Exs'!$I124="")),'08 Exs'!$I124,0)</f>
        <v>0</v>
      </c>
      <c r="AE124">
        <f>IF(AND('08 Exs'!C124&lt;Tmax, NOT('08 Exs'!$H124="")),'08 Exs'!$H124,4)</f>
        <v>4</v>
      </c>
      <c r="AF124">
        <f>IF(AND('08 Exs'!D124&lt;Tmax, NOT('08 Exs'!$H124="")),'08 Exs'!$H124,4)</f>
        <v>4</v>
      </c>
      <c r="AG124">
        <f>IF(AND('08 Exs'!E124&lt;Tmax, NOT('08 Exs'!$H124="")),'08 Exs'!$H124,4)</f>
        <v>4</v>
      </c>
      <c r="AH124">
        <f>IF(AND('08 Exs'!F124&lt;Tmax, NOT('08 Exs'!$H124="")),'08 Exs'!$H124,4)</f>
        <v>4</v>
      </c>
      <c r="AI124"/>
    </row>
    <row r="125" spans="1:35" outlineLevel="2" x14ac:dyDescent="0.2">
      <c r="A125" s="636" t="s">
        <v>6640</v>
      </c>
      <c r="B125" s="636" t="s">
        <v>6639</v>
      </c>
      <c r="C125" s="786"/>
      <c r="D125" s="702"/>
      <c r="E125" s="702"/>
      <c r="F125" s="702"/>
      <c r="G125" s="1480">
        <v>4</v>
      </c>
      <c r="H125" s="1480"/>
      <c r="I125" s="1480"/>
      <c r="J125" s="1480" t="s">
        <v>1592</v>
      </c>
      <c r="K125" s="1459" t="s">
        <v>7138</v>
      </c>
      <c r="L125" s="1459" t="s">
        <v>7363</v>
      </c>
      <c r="M125" s="788"/>
      <c r="AA125">
        <f>IF(AND('08 Exs'!C125&gt;Tmin, NOT('08 Exs'!$I125="")),'08 Exs'!$I125,0)</f>
        <v>0</v>
      </c>
      <c r="AB125">
        <f>IF(AND('08 Exs'!D125&gt;Tmin, NOT('08 Exs'!$I125="")),'08 Exs'!$I125,0)</f>
        <v>0</v>
      </c>
      <c r="AC125">
        <f>IF(AND('08 Exs'!E125&gt;Tmin, NOT('08 Exs'!$I125="")),'08 Exs'!$I125,0)</f>
        <v>0</v>
      </c>
      <c r="AD125">
        <f>IF(AND('08 Exs'!F125&gt;Tmin, NOT('08 Exs'!$I125="")),'08 Exs'!$I125,0)</f>
        <v>0</v>
      </c>
      <c r="AE125">
        <f>IF(AND('08 Exs'!C125&lt;Tmax, NOT('08 Exs'!$H125="")),'08 Exs'!$H125,4)</f>
        <v>4</v>
      </c>
      <c r="AF125">
        <f>IF(AND('08 Exs'!D125&lt;Tmax, NOT('08 Exs'!$H125="")),'08 Exs'!$H125,4)</f>
        <v>4</v>
      </c>
      <c r="AG125">
        <f>IF(AND('08 Exs'!E125&lt;Tmax, NOT('08 Exs'!$H125="")),'08 Exs'!$H125,4)</f>
        <v>4</v>
      </c>
      <c r="AH125">
        <f>IF(AND('08 Exs'!F125&lt;Tmax, NOT('08 Exs'!$H125="")),'08 Exs'!$H125,4)</f>
        <v>4</v>
      </c>
      <c r="AI125"/>
    </row>
    <row r="126" spans="1:35" outlineLevel="2" x14ac:dyDescent="0.2">
      <c r="A126" s="636" t="s">
        <v>6641</v>
      </c>
      <c r="B126" s="636" t="s">
        <v>5492</v>
      </c>
      <c r="C126" s="786"/>
      <c r="D126" s="702"/>
      <c r="E126" s="702"/>
      <c r="F126" s="702"/>
      <c r="G126" s="1480">
        <v>1</v>
      </c>
      <c r="H126" s="1480"/>
      <c r="I126" s="1480"/>
      <c r="J126" s="1480" t="s">
        <v>2329</v>
      </c>
      <c r="K126" s="1459" t="s">
        <v>7139</v>
      </c>
      <c r="L126" s="1459" t="s">
        <v>7364</v>
      </c>
      <c r="M126" s="788"/>
      <c r="AA126">
        <f>IF(AND('08 Exs'!C126&gt;Tmin, NOT('08 Exs'!$I126="")),'08 Exs'!$I126,0)</f>
        <v>0</v>
      </c>
      <c r="AB126">
        <f>IF(AND('08 Exs'!D126&gt;Tmin, NOT('08 Exs'!$I126="")),'08 Exs'!$I126,0)</f>
        <v>0</v>
      </c>
      <c r="AC126">
        <f>IF(AND('08 Exs'!E126&gt;Tmin, NOT('08 Exs'!$I126="")),'08 Exs'!$I126,0)</f>
        <v>0</v>
      </c>
      <c r="AD126">
        <f>IF(AND('08 Exs'!F126&gt;Tmin, NOT('08 Exs'!$I126="")),'08 Exs'!$I126,0)</f>
        <v>0</v>
      </c>
      <c r="AE126">
        <f>IF(AND('08 Exs'!C126&lt;Tmax, NOT('08 Exs'!$H126="")),'08 Exs'!$H126,4)</f>
        <v>4</v>
      </c>
      <c r="AF126">
        <f>IF(AND('08 Exs'!D126&lt;Tmax, NOT('08 Exs'!$H126="")),'08 Exs'!$H126,4)</f>
        <v>4</v>
      </c>
      <c r="AG126">
        <f>IF(AND('08 Exs'!E126&lt;Tmax, NOT('08 Exs'!$H126="")),'08 Exs'!$H126,4)</f>
        <v>4</v>
      </c>
      <c r="AH126">
        <f>IF(AND('08 Exs'!F126&lt;Tmax, NOT('08 Exs'!$H126="")),'08 Exs'!$H126,4)</f>
        <v>4</v>
      </c>
      <c r="AI126"/>
    </row>
    <row r="127" spans="1:35" ht="22.5" outlineLevel="2" x14ac:dyDescent="0.2">
      <c r="A127" s="636" t="s">
        <v>6643</v>
      </c>
      <c r="B127" s="636" t="s">
        <v>6662</v>
      </c>
      <c r="C127" s="786"/>
      <c r="D127" s="702"/>
      <c r="E127" s="702"/>
      <c r="F127" s="702"/>
      <c r="G127" s="1480">
        <v>4</v>
      </c>
      <c r="H127" s="1480"/>
      <c r="I127" s="1480"/>
      <c r="J127" s="1480" t="s">
        <v>1592</v>
      </c>
      <c r="K127" s="1459"/>
      <c r="L127" s="1459"/>
      <c r="M127" s="788"/>
      <c r="AA127">
        <f>IF(AND('08 Exs'!C127&gt;Tmin, NOT('08 Exs'!$I127="")),'08 Exs'!$I127,0)</f>
        <v>0</v>
      </c>
      <c r="AB127">
        <f>IF(AND('08 Exs'!D127&gt;Tmin, NOT('08 Exs'!$I127="")),'08 Exs'!$I127,0)</f>
        <v>0</v>
      </c>
      <c r="AC127">
        <f>IF(AND('08 Exs'!E127&gt;Tmin, NOT('08 Exs'!$I127="")),'08 Exs'!$I127,0)</f>
        <v>0</v>
      </c>
      <c r="AD127">
        <f>IF(AND('08 Exs'!F127&gt;Tmin, NOT('08 Exs'!$I127="")),'08 Exs'!$I127,0)</f>
        <v>0</v>
      </c>
      <c r="AE127">
        <f>IF(AND('08 Exs'!C127&lt;Tmax, NOT('08 Exs'!$H127="")),'08 Exs'!$H127,4)</f>
        <v>4</v>
      </c>
      <c r="AF127">
        <f>IF(AND('08 Exs'!D127&lt;Tmax, NOT('08 Exs'!$H127="")),'08 Exs'!$H127,4)</f>
        <v>4</v>
      </c>
      <c r="AG127">
        <f>IF(AND('08 Exs'!E127&lt;Tmax, NOT('08 Exs'!$H127="")),'08 Exs'!$H127,4)</f>
        <v>4</v>
      </c>
      <c r="AH127">
        <f>IF(AND('08 Exs'!F127&lt;Tmax, NOT('08 Exs'!$H127="")),'08 Exs'!$H127,4)</f>
        <v>4</v>
      </c>
      <c r="AI127"/>
    </row>
    <row r="128" spans="1:35" ht="22.5" outlineLevel="2" x14ac:dyDescent="0.2">
      <c r="A128" s="636" t="s">
        <v>6373</v>
      </c>
      <c r="B128" s="636" t="s">
        <v>6113</v>
      </c>
      <c r="C128" s="786"/>
      <c r="D128" s="702"/>
      <c r="E128" s="702"/>
      <c r="F128" s="702"/>
      <c r="G128" s="1480">
        <v>4</v>
      </c>
      <c r="H128" s="1480"/>
      <c r="I128" s="1480"/>
      <c r="J128" s="1480" t="s">
        <v>2329</v>
      </c>
      <c r="K128" s="1459"/>
      <c r="L128" s="1459"/>
      <c r="M128" s="785"/>
      <c r="AA128">
        <f>IF(AND('08 Exs'!C128&gt;Tmin, NOT('08 Exs'!$I128="")),'08 Exs'!$I128,0)</f>
        <v>0</v>
      </c>
      <c r="AB128">
        <f>IF(AND('08 Exs'!D128&gt;Tmin, NOT('08 Exs'!$I128="")),'08 Exs'!$I128,0)</f>
        <v>0</v>
      </c>
      <c r="AC128">
        <f>IF(AND('08 Exs'!E128&gt;Tmin, NOT('08 Exs'!$I128="")),'08 Exs'!$I128,0)</f>
        <v>0</v>
      </c>
      <c r="AD128">
        <f>IF(AND('08 Exs'!F128&gt;Tmin, NOT('08 Exs'!$I128="")),'08 Exs'!$I128,0)</f>
        <v>0</v>
      </c>
      <c r="AE128">
        <f>IF(AND('08 Exs'!C128&lt;Tmax, NOT('08 Exs'!$H128="")),'08 Exs'!$H128,4)</f>
        <v>4</v>
      </c>
      <c r="AF128">
        <f>IF(AND('08 Exs'!D128&lt;Tmax, NOT('08 Exs'!$H128="")),'08 Exs'!$H128,4)</f>
        <v>4</v>
      </c>
      <c r="AG128">
        <f>IF(AND('08 Exs'!E128&lt;Tmax, NOT('08 Exs'!$H128="")),'08 Exs'!$H128,4)</f>
        <v>4</v>
      </c>
      <c r="AH128">
        <f>IF(AND('08 Exs'!F128&lt;Tmax, NOT('08 Exs'!$H128="")),'08 Exs'!$H128,4)</f>
        <v>4</v>
      </c>
      <c r="AI128"/>
    </row>
    <row r="129" spans="1:35" ht="33.75" outlineLevel="2" x14ac:dyDescent="0.2">
      <c r="A129" s="636" t="s">
        <v>6374</v>
      </c>
      <c r="B129" s="636" t="s">
        <v>6115</v>
      </c>
      <c r="C129" s="786"/>
      <c r="D129" s="702"/>
      <c r="E129" s="702"/>
      <c r="F129" s="702"/>
      <c r="G129" s="1480">
        <v>4</v>
      </c>
      <c r="H129" s="1480">
        <v>2</v>
      </c>
      <c r="I129" s="1480"/>
      <c r="J129" s="1480" t="s">
        <v>2349</v>
      </c>
      <c r="K129" s="1459"/>
      <c r="L129" s="1459"/>
      <c r="M129" s="785"/>
      <c r="AA129">
        <f>IF(AND('08 Exs'!C129&gt;Tmin, NOT('08 Exs'!$I129="")),'08 Exs'!$I129,0)</f>
        <v>0</v>
      </c>
      <c r="AB129">
        <f>IF(AND('08 Exs'!D129&gt;Tmin, NOT('08 Exs'!$I129="")),'08 Exs'!$I129,0)</f>
        <v>0</v>
      </c>
      <c r="AC129">
        <f>IF(AND('08 Exs'!E129&gt;Tmin, NOT('08 Exs'!$I129="")),'08 Exs'!$I129,0)</f>
        <v>0</v>
      </c>
      <c r="AD129">
        <f>IF(AND('08 Exs'!F129&gt;Tmin, NOT('08 Exs'!$I129="")),'08 Exs'!$I129,0)</f>
        <v>0</v>
      </c>
      <c r="AE129">
        <f>IF(AND('08 Exs'!C129&lt;Tmax, NOT('08 Exs'!$H129="")),'08 Exs'!$H129,4)</f>
        <v>2</v>
      </c>
      <c r="AF129">
        <f>IF(AND('08 Exs'!D129&lt;Tmax, NOT('08 Exs'!$H129="")),'08 Exs'!$H129,4)</f>
        <v>2</v>
      </c>
      <c r="AG129">
        <f>IF(AND('08 Exs'!E129&lt;Tmax, NOT('08 Exs'!$H129="")),'08 Exs'!$H129,4)</f>
        <v>2</v>
      </c>
      <c r="AH129">
        <f>IF(AND('08 Exs'!F129&lt;Tmax, NOT('08 Exs'!$H129="")),'08 Exs'!$H129,4)</f>
        <v>2</v>
      </c>
      <c r="AI129"/>
    </row>
    <row r="130" spans="1:35" ht="67.5" outlineLevel="2" x14ac:dyDescent="0.2">
      <c r="A130" s="636" t="s">
        <v>6375</v>
      </c>
      <c r="B130" s="636" t="s">
        <v>6179</v>
      </c>
      <c r="C130" s="786"/>
      <c r="D130" s="702"/>
      <c r="E130" s="702"/>
      <c r="F130" s="702"/>
      <c r="G130" s="1480">
        <v>4</v>
      </c>
      <c r="H130" s="1480">
        <v>3</v>
      </c>
      <c r="I130" s="1480"/>
      <c r="J130" s="1480" t="s">
        <v>2109</v>
      </c>
      <c r="K130" s="1459"/>
      <c r="L130" s="1459"/>
      <c r="M130" s="785"/>
      <c r="AA130">
        <f>IF(AND('08 Exs'!C130&gt;Tmin, NOT('08 Exs'!$I130="")),'08 Exs'!$I130,0)</f>
        <v>0</v>
      </c>
      <c r="AB130">
        <f>IF(AND('08 Exs'!D130&gt;Tmin, NOT('08 Exs'!$I130="")),'08 Exs'!$I130,0)</f>
        <v>0</v>
      </c>
      <c r="AC130">
        <f>IF(AND('08 Exs'!E130&gt;Tmin, NOT('08 Exs'!$I130="")),'08 Exs'!$I130,0)</f>
        <v>0</v>
      </c>
      <c r="AD130">
        <f>IF(AND('08 Exs'!F130&gt;Tmin, NOT('08 Exs'!$I130="")),'08 Exs'!$I130,0)</f>
        <v>0</v>
      </c>
      <c r="AE130">
        <f>IF(AND('08 Exs'!C130&lt;Tmax, NOT('08 Exs'!$H130="")),'08 Exs'!$H130,4)</f>
        <v>3</v>
      </c>
      <c r="AF130">
        <f>IF(AND('08 Exs'!D130&lt;Tmax, NOT('08 Exs'!$H130="")),'08 Exs'!$H130,4)</f>
        <v>3</v>
      </c>
      <c r="AG130">
        <f>IF(AND('08 Exs'!E130&lt;Tmax, NOT('08 Exs'!$H130="")),'08 Exs'!$H130,4)</f>
        <v>3</v>
      </c>
      <c r="AH130">
        <f>IF(AND('08 Exs'!F130&lt;Tmax, NOT('08 Exs'!$H130="")),'08 Exs'!$H130,4)</f>
        <v>3</v>
      </c>
      <c r="AI130"/>
    </row>
    <row r="131" spans="1:35" outlineLevel="1" x14ac:dyDescent="0.2">
      <c r="A131" s="633" t="s">
        <v>3656</v>
      </c>
      <c r="B131" s="634" t="s">
        <v>62</v>
      </c>
      <c r="C131" s="786"/>
      <c r="D131" s="702"/>
      <c r="E131" s="702"/>
      <c r="F131" s="702"/>
      <c r="G131" s="1480"/>
      <c r="H131" s="1480"/>
      <c r="I131" s="1480"/>
      <c r="J131" s="1480"/>
      <c r="K131" s="1459"/>
      <c r="L131" s="1459"/>
      <c r="M131" s="788"/>
      <c r="AA131"/>
      <c r="AB131"/>
      <c r="AC131"/>
      <c r="AD131"/>
      <c r="AE131"/>
      <c r="AF131"/>
      <c r="AG131"/>
      <c r="AH131"/>
      <c r="AI131"/>
    </row>
    <row r="132" spans="1:35" outlineLevel="2" x14ac:dyDescent="0.2">
      <c r="A132" s="636" t="s">
        <v>6376</v>
      </c>
      <c r="B132" s="636" t="s">
        <v>6377</v>
      </c>
      <c r="C132" s="786"/>
      <c r="D132" s="702"/>
      <c r="E132" s="702"/>
      <c r="F132" s="702"/>
      <c r="G132" s="1480">
        <v>4</v>
      </c>
      <c r="H132" s="1480"/>
      <c r="I132" s="1480"/>
      <c r="J132" s="1480" t="s">
        <v>4246</v>
      </c>
      <c r="K132" s="1459"/>
      <c r="L132" s="1459"/>
      <c r="M132" s="788"/>
      <c r="AA132">
        <f>IF(AND('08 Exs'!C132&gt;Tmin, NOT('08 Exs'!$I132="")),'08 Exs'!$I132,0)</f>
        <v>0</v>
      </c>
      <c r="AB132">
        <f>IF(AND('08 Exs'!D132&gt;Tmin, NOT('08 Exs'!$I132="")),'08 Exs'!$I132,0)</f>
        <v>0</v>
      </c>
      <c r="AC132">
        <f>IF(AND('08 Exs'!E132&gt;Tmin, NOT('08 Exs'!$I132="")),'08 Exs'!$I132,0)</f>
        <v>0</v>
      </c>
      <c r="AD132">
        <f>IF(AND('08 Exs'!F132&gt;Tmin, NOT('08 Exs'!$I132="")),'08 Exs'!$I132,0)</f>
        <v>0</v>
      </c>
      <c r="AE132">
        <f>IF(AND('08 Exs'!C132&lt;Tmax, NOT('08 Exs'!$H132="")),'08 Exs'!$H132,4)</f>
        <v>4</v>
      </c>
      <c r="AF132">
        <f>IF(AND('08 Exs'!D132&lt;Tmax, NOT('08 Exs'!$H132="")),'08 Exs'!$H132,4)</f>
        <v>4</v>
      </c>
      <c r="AG132">
        <f>IF(AND('08 Exs'!E132&lt;Tmax, NOT('08 Exs'!$H132="")),'08 Exs'!$H132,4)</f>
        <v>4</v>
      </c>
      <c r="AH132">
        <f>IF(AND('08 Exs'!F132&lt;Tmax, NOT('08 Exs'!$H132="")),'08 Exs'!$H132,4)</f>
        <v>4</v>
      </c>
      <c r="AI132"/>
    </row>
    <row r="133" spans="1:35" ht="45" outlineLevel="2" x14ac:dyDescent="0.2">
      <c r="A133" s="636" t="s">
        <v>6378</v>
      </c>
      <c r="B133" s="636" t="s">
        <v>6116</v>
      </c>
      <c r="C133" s="786"/>
      <c r="D133" s="702"/>
      <c r="E133" s="702"/>
      <c r="F133" s="702"/>
      <c r="G133" s="1480">
        <v>4</v>
      </c>
      <c r="H133" s="1480">
        <v>2</v>
      </c>
      <c r="I133" s="1480"/>
      <c r="J133" s="1480" t="s">
        <v>1592</v>
      </c>
      <c r="K133" s="1459"/>
      <c r="L133" s="1459"/>
      <c r="M133" s="788"/>
      <c r="AA133">
        <f>IF(AND('08 Exs'!C133&gt;Tmin, NOT('08 Exs'!$I133="")),'08 Exs'!$I133,0)</f>
        <v>0</v>
      </c>
      <c r="AB133">
        <f>IF(AND('08 Exs'!D133&gt;Tmin, NOT('08 Exs'!$I133="")),'08 Exs'!$I133,0)</f>
        <v>0</v>
      </c>
      <c r="AC133">
        <f>IF(AND('08 Exs'!E133&gt;Tmin, NOT('08 Exs'!$I133="")),'08 Exs'!$I133,0)</f>
        <v>0</v>
      </c>
      <c r="AD133">
        <f>IF(AND('08 Exs'!F133&gt;Tmin, NOT('08 Exs'!$I133="")),'08 Exs'!$I133,0)</f>
        <v>0</v>
      </c>
      <c r="AE133">
        <f>IF(AND('08 Exs'!C133&lt;Tmax, NOT('08 Exs'!$H133="")),'08 Exs'!$H133,4)</f>
        <v>2</v>
      </c>
      <c r="AF133">
        <f>IF(AND('08 Exs'!D133&lt;Tmax, NOT('08 Exs'!$H133="")),'08 Exs'!$H133,4)</f>
        <v>2</v>
      </c>
      <c r="AG133">
        <f>IF(AND('08 Exs'!E133&lt;Tmax, NOT('08 Exs'!$H133="")),'08 Exs'!$H133,4)</f>
        <v>2</v>
      </c>
      <c r="AH133">
        <f>IF(AND('08 Exs'!F133&lt;Tmax, NOT('08 Exs'!$H133="")),'08 Exs'!$H133,4)</f>
        <v>2</v>
      </c>
      <c r="AI133"/>
    </row>
    <row r="134" spans="1:35" ht="67.5" outlineLevel="2" x14ac:dyDescent="0.2">
      <c r="A134" s="636" t="s">
        <v>6379</v>
      </c>
      <c r="B134" s="636" t="s">
        <v>6021</v>
      </c>
      <c r="C134" s="786"/>
      <c r="D134" s="702"/>
      <c r="E134" s="702"/>
      <c r="F134" s="702"/>
      <c r="G134" s="1480">
        <v>4</v>
      </c>
      <c r="H134" s="1480">
        <v>3</v>
      </c>
      <c r="I134" s="1480"/>
      <c r="J134" s="1480" t="s">
        <v>2109</v>
      </c>
      <c r="K134" s="1459"/>
      <c r="L134" s="1459"/>
      <c r="M134" s="788"/>
      <c r="AA134">
        <f>IF(AND('08 Exs'!C134&gt;Tmin, NOT('08 Exs'!$I134="")),'08 Exs'!$I134,0)</f>
        <v>0</v>
      </c>
      <c r="AB134">
        <f>IF(AND('08 Exs'!D134&gt;Tmin, NOT('08 Exs'!$I134="")),'08 Exs'!$I134,0)</f>
        <v>0</v>
      </c>
      <c r="AC134">
        <f>IF(AND('08 Exs'!E134&gt;Tmin, NOT('08 Exs'!$I134="")),'08 Exs'!$I134,0)</f>
        <v>0</v>
      </c>
      <c r="AD134">
        <f>IF(AND('08 Exs'!F134&gt;Tmin, NOT('08 Exs'!$I134="")),'08 Exs'!$I134,0)</f>
        <v>0</v>
      </c>
      <c r="AE134">
        <f>IF(AND('08 Exs'!C134&lt;Tmax, NOT('08 Exs'!$H134="")),'08 Exs'!$H134,4)</f>
        <v>3</v>
      </c>
      <c r="AF134">
        <f>IF(AND('08 Exs'!D134&lt;Tmax, NOT('08 Exs'!$H134="")),'08 Exs'!$H134,4)</f>
        <v>3</v>
      </c>
      <c r="AG134">
        <f>IF(AND('08 Exs'!E134&lt;Tmax, NOT('08 Exs'!$H134="")),'08 Exs'!$H134,4)</f>
        <v>3</v>
      </c>
      <c r="AH134">
        <f>IF(AND('08 Exs'!F134&lt;Tmax, NOT('08 Exs'!$H134="")),'08 Exs'!$H134,4)</f>
        <v>3</v>
      </c>
      <c r="AI134"/>
    </row>
    <row r="135" spans="1:35" outlineLevel="1" x14ac:dyDescent="0.2">
      <c r="A135" s="633" t="s">
        <v>63</v>
      </c>
      <c r="B135" s="634" t="s">
        <v>6380</v>
      </c>
      <c r="C135" s="786"/>
      <c r="D135" s="702"/>
      <c r="E135" s="702"/>
      <c r="F135" s="702"/>
      <c r="G135" s="1480"/>
      <c r="H135" s="1480"/>
      <c r="I135" s="1480"/>
      <c r="J135" s="1480"/>
      <c r="K135" s="1459"/>
      <c r="L135" s="1459"/>
      <c r="M135" s="788"/>
      <c r="AA135"/>
      <c r="AB135"/>
      <c r="AC135"/>
      <c r="AD135"/>
      <c r="AE135"/>
      <c r="AF135"/>
      <c r="AG135"/>
      <c r="AH135"/>
      <c r="AI135"/>
    </row>
    <row r="136" spans="1:35" ht="22.5" outlineLevel="2" x14ac:dyDescent="0.2">
      <c r="A136" s="636" t="s">
        <v>6381</v>
      </c>
      <c r="B136" s="636" t="s">
        <v>6382</v>
      </c>
      <c r="C136" s="786"/>
      <c r="D136" s="702"/>
      <c r="E136" s="702"/>
      <c r="F136" s="702"/>
      <c r="G136" s="1480">
        <v>4</v>
      </c>
      <c r="H136" s="1480"/>
      <c r="I136" s="1480"/>
      <c r="J136" s="1480" t="s">
        <v>4246</v>
      </c>
      <c r="K136" s="1459"/>
      <c r="L136" s="1459"/>
      <c r="M136" s="788"/>
      <c r="AA136">
        <f>IF(AND('08 Exs'!C136&gt;Tmin, NOT('08 Exs'!$I136="")),'08 Exs'!$I136,0)</f>
        <v>0</v>
      </c>
      <c r="AB136">
        <f>IF(AND('08 Exs'!D136&gt;Tmin, NOT('08 Exs'!$I136="")),'08 Exs'!$I136,0)</f>
        <v>0</v>
      </c>
      <c r="AC136">
        <f>IF(AND('08 Exs'!E136&gt;Tmin, NOT('08 Exs'!$I136="")),'08 Exs'!$I136,0)</f>
        <v>0</v>
      </c>
      <c r="AD136">
        <f>IF(AND('08 Exs'!F136&gt;Tmin, NOT('08 Exs'!$I136="")),'08 Exs'!$I136,0)</f>
        <v>0</v>
      </c>
      <c r="AE136">
        <f>IF(AND('08 Exs'!C136&lt;Tmax, NOT('08 Exs'!$H136="")),'08 Exs'!$H136,4)</f>
        <v>4</v>
      </c>
      <c r="AF136">
        <f>IF(AND('08 Exs'!D136&lt;Tmax, NOT('08 Exs'!$H136="")),'08 Exs'!$H136,4)</f>
        <v>4</v>
      </c>
      <c r="AG136">
        <f>IF(AND('08 Exs'!E136&lt;Tmax, NOT('08 Exs'!$H136="")),'08 Exs'!$H136,4)</f>
        <v>4</v>
      </c>
      <c r="AH136">
        <f>IF(AND('08 Exs'!F136&lt;Tmax, NOT('08 Exs'!$H136="")),'08 Exs'!$H136,4)</f>
        <v>4</v>
      </c>
      <c r="AI136"/>
    </row>
    <row r="137" spans="1:35" ht="22.5" outlineLevel="2" x14ac:dyDescent="0.2">
      <c r="A137" s="636" t="s">
        <v>5186</v>
      </c>
      <c r="B137" s="636" t="s">
        <v>6111</v>
      </c>
      <c r="C137" s="786"/>
      <c r="D137" s="702"/>
      <c r="E137" s="702"/>
      <c r="F137" s="702"/>
      <c r="G137" s="1480">
        <v>4</v>
      </c>
      <c r="H137" s="1480"/>
      <c r="I137" s="1480">
        <v>3</v>
      </c>
      <c r="J137" s="1480" t="s">
        <v>1592</v>
      </c>
      <c r="K137" s="1459"/>
      <c r="L137" s="1459"/>
      <c r="M137" s="788"/>
      <c r="AA137">
        <f>IF(AND('08 Exs'!C137&gt;Tmin, NOT('08 Exs'!$I137="")),'08 Exs'!$I137,0)</f>
        <v>0</v>
      </c>
      <c r="AB137">
        <f>IF(AND('08 Exs'!D137&gt;Tmin, NOT('08 Exs'!$I137="")),'08 Exs'!$I137,0)</f>
        <v>0</v>
      </c>
      <c r="AC137">
        <f>IF(AND('08 Exs'!E137&gt;Tmin, NOT('08 Exs'!$I137="")),'08 Exs'!$I137,0)</f>
        <v>0</v>
      </c>
      <c r="AD137">
        <f>IF(AND('08 Exs'!F137&gt;Tmin, NOT('08 Exs'!$I137="")),'08 Exs'!$I137,0)</f>
        <v>0</v>
      </c>
      <c r="AE137">
        <f>IF(AND('08 Exs'!C137&lt;Tmax, NOT('08 Exs'!$H137="")),'08 Exs'!$H137,4)</f>
        <v>4</v>
      </c>
      <c r="AF137">
        <f>IF(AND('08 Exs'!D137&lt;Tmax, NOT('08 Exs'!$H137="")),'08 Exs'!$H137,4)</f>
        <v>4</v>
      </c>
      <c r="AG137">
        <f>IF(AND('08 Exs'!E137&lt;Tmax, NOT('08 Exs'!$H137="")),'08 Exs'!$H137,4)</f>
        <v>4</v>
      </c>
      <c r="AH137">
        <f>IF(AND('08 Exs'!F137&lt;Tmax, NOT('08 Exs'!$H137="")),'08 Exs'!$H137,4)</f>
        <v>4</v>
      </c>
      <c r="AI137"/>
    </row>
    <row r="138" spans="1:35" ht="33.75" outlineLevel="2" x14ac:dyDescent="0.2">
      <c r="A138" s="636" t="s">
        <v>5187</v>
      </c>
      <c r="B138" s="636" t="s">
        <v>6434</v>
      </c>
      <c r="C138" s="786"/>
      <c r="D138" s="702"/>
      <c r="E138" s="702"/>
      <c r="F138" s="702"/>
      <c r="G138" s="1480">
        <v>4</v>
      </c>
      <c r="H138" s="1480"/>
      <c r="I138" s="1480">
        <v>3</v>
      </c>
      <c r="J138" s="1480" t="s">
        <v>1592</v>
      </c>
      <c r="K138" s="1459"/>
      <c r="L138" s="1459"/>
      <c r="M138" s="788"/>
      <c r="AA138">
        <f>IF(AND('08 Exs'!C138&gt;Tmin, NOT('08 Exs'!$I138="")),'08 Exs'!$I138,0)</f>
        <v>0</v>
      </c>
      <c r="AB138">
        <f>IF(AND('08 Exs'!D138&gt;Tmin, NOT('08 Exs'!$I138="")),'08 Exs'!$I138,0)</f>
        <v>0</v>
      </c>
      <c r="AC138">
        <f>IF(AND('08 Exs'!E138&gt;Tmin, NOT('08 Exs'!$I138="")),'08 Exs'!$I138,0)</f>
        <v>0</v>
      </c>
      <c r="AD138">
        <f>IF(AND('08 Exs'!F138&gt;Tmin, NOT('08 Exs'!$I138="")),'08 Exs'!$I138,0)</f>
        <v>0</v>
      </c>
      <c r="AE138">
        <f>IF(AND('08 Exs'!C138&lt;Tmax, NOT('08 Exs'!$H138="")),'08 Exs'!$H138,4)</f>
        <v>4</v>
      </c>
      <c r="AF138">
        <f>IF(AND('08 Exs'!D138&lt;Tmax, NOT('08 Exs'!$H138="")),'08 Exs'!$H138,4)</f>
        <v>4</v>
      </c>
      <c r="AG138">
        <f>IF(AND('08 Exs'!E138&lt;Tmax, NOT('08 Exs'!$H138="")),'08 Exs'!$H138,4)</f>
        <v>4</v>
      </c>
      <c r="AH138">
        <f>IF(AND('08 Exs'!F138&lt;Tmax, NOT('08 Exs'!$H138="")),'08 Exs'!$H138,4)</f>
        <v>4</v>
      </c>
      <c r="AI138"/>
    </row>
    <row r="139" spans="1:35" ht="33.75" outlineLevel="2" x14ac:dyDescent="0.2">
      <c r="A139" s="636" t="s">
        <v>6175</v>
      </c>
      <c r="B139" s="636" t="s">
        <v>966</v>
      </c>
      <c r="C139" s="786"/>
      <c r="D139" s="702"/>
      <c r="E139" s="702"/>
      <c r="F139" s="702"/>
      <c r="G139" s="1480">
        <v>4</v>
      </c>
      <c r="H139" s="1480"/>
      <c r="I139" s="1480">
        <v>3</v>
      </c>
      <c r="J139" s="1480" t="s">
        <v>2329</v>
      </c>
      <c r="K139" s="1459"/>
      <c r="L139" s="1459"/>
      <c r="M139" s="785"/>
      <c r="AA139">
        <f>IF(AND('08 Exs'!C139&gt;Tmin, NOT('08 Exs'!$I139="")),'08 Exs'!$I139,0)</f>
        <v>0</v>
      </c>
      <c r="AB139">
        <f>IF(AND('08 Exs'!D139&gt;Tmin, NOT('08 Exs'!$I139="")),'08 Exs'!$I139,0)</f>
        <v>0</v>
      </c>
      <c r="AC139">
        <f>IF(AND('08 Exs'!E139&gt;Tmin, NOT('08 Exs'!$I139="")),'08 Exs'!$I139,0)</f>
        <v>0</v>
      </c>
      <c r="AD139">
        <f>IF(AND('08 Exs'!F139&gt;Tmin, NOT('08 Exs'!$I139="")),'08 Exs'!$I139,0)</f>
        <v>0</v>
      </c>
      <c r="AE139">
        <f>IF(AND('08 Exs'!C139&lt;Tmax, NOT('08 Exs'!$H139="")),'08 Exs'!$H139,4)</f>
        <v>4</v>
      </c>
      <c r="AF139">
        <f>IF(AND('08 Exs'!D139&lt;Tmax, NOT('08 Exs'!$H139="")),'08 Exs'!$H139,4)</f>
        <v>4</v>
      </c>
      <c r="AG139">
        <f>IF(AND('08 Exs'!E139&lt;Tmax, NOT('08 Exs'!$H139="")),'08 Exs'!$H139,4)</f>
        <v>4</v>
      </c>
      <c r="AH139">
        <f>IF(AND('08 Exs'!F139&lt;Tmax, NOT('08 Exs'!$H139="")),'08 Exs'!$H139,4)</f>
        <v>4</v>
      </c>
      <c r="AI139"/>
    </row>
    <row r="140" spans="1:35" ht="33.75" outlineLevel="2" x14ac:dyDescent="0.2">
      <c r="A140" s="636" t="s">
        <v>6176</v>
      </c>
      <c r="B140" s="636" t="s">
        <v>5659</v>
      </c>
      <c r="C140" s="786"/>
      <c r="D140" s="702"/>
      <c r="E140" s="702"/>
      <c r="F140" s="702"/>
      <c r="G140" s="1480">
        <v>2</v>
      </c>
      <c r="H140" s="1480">
        <v>2</v>
      </c>
      <c r="I140" s="1480"/>
      <c r="J140" s="1480" t="s">
        <v>2349</v>
      </c>
      <c r="K140" s="1459"/>
      <c r="L140" s="1459"/>
      <c r="M140" s="785"/>
      <c r="AA140">
        <f>IF(AND('08 Exs'!C140&gt;Tmin, NOT('08 Exs'!$I140="")),'08 Exs'!$I140,0)</f>
        <v>0</v>
      </c>
      <c r="AB140">
        <f>IF(AND('08 Exs'!D140&gt;Tmin, NOT('08 Exs'!$I140="")),'08 Exs'!$I140,0)</f>
        <v>0</v>
      </c>
      <c r="AC140">
        <f>IF(AND('08 Exs'!E140&gt;Tmin, NOT('08 Exs'!$I140="")),'08 Exs'!$I140,0)</f>
        <v>0</v>
      </c>
      <c r="AD140">
        <f>IF(AND('08 Exs'!F140&gt;Tmin, NOT('08 Exs'!$I140="")),'08 Exs'!$I140,0)</f>
        <v>0</v>
      </c>
      <c r="AE140">
        <f>IF(AND('08 Exs'!C140&lt;Tmax, NOT('08 Exs'!$H140="")),'08 Exs'!$H140,4)</f>
        <v>2</v>
      </c>
      <c r="AF140">
        <f>IF(AND('08 Exs'!D140&lt;Tmax, NOT('08 Exs'!$H140="")),'08 Exs'!$H140,4)</f>
        <v>2</v>
      </c>
      <c r="AG140">
        <f>IF(AND('08 Exs'!E140&lt;Tmax, NOT('08 Exs'!$H140="")),'08 Exs'!$H140,4)</f>
        <v>2</v>
      </c>
      <c r="AH140">
        <f>IF(AND('08 Exs'!F140&lt;Tmax, NOT('08 Exs'!$H140="")),'08 Exs'!$H140,4)</f>
        <v>2</v>
      </c>
      <c r="AI140"/>
    </row>
    <row r="141" spans="1:35" ht="33.75" outlineLevel="2" x14ac:dyDescent="0.2">
      <c r="A141" s="636" t="s">
        <v>5660</v>
      </c>
      <c r="B141" s="636" t="s">
        <v>1021</v>
      </c>
      <c r="C141" s="786"/>
      <c r="D141" s="702"/>
      <c r="E141" s="702"/>
      <c r="F141" s="702"/>
      <c r="G141" s="1480">
        <v>2</v>
      </c>
      <c r="H141" s="1480">
        <v>3</v>
      </c>
      <c r="I141" s="1480"/>
      <c r="J141" s="1480" t="s">
        <v>2109</v>
      </c>
      <c r="K141" s="1459"/>
      <c r="L141" s="1459"/>
      <c r="M141" s="785"/>
      <c r="AA141">
        <f>IF(AND('08 Exs'!C141&gt;Tmin, NOT('08 Exs'!$I141="")),'08 Exs'!$I141,0)</f>
        <v>0</v>
      </c>
      <c r="AB141">
        <f>IF(AND('08 Exs'!D141&gt;Tmin, NOT('08 Exs'!$I141="")),'08 Exs'!$I141,0)</f>
        <v>0</v>
      </c>
      <c r="AC141">
        <f>IF(AND('08 Exs'!E141&gt;Tmin, NOT('08 Exs'!$I141="")),'08 Exs'!$I141,0)</f>
        <v>0</v>
      </c>
      <c r="AD141">
        <f>IF(AND('08 Exs'!F141&gt;Tmin, NOT('08 Exs'!$I141="")),'08 Exs'!$I141,0)</f>
        <v>0</v>
      </c>
      <c r="AE141">
        <f>IF(AND('08 Exs'!C141&lt;Tmax, NOT('08 Exs'!$H141="")),'08 Exs'!$H141,4)</f>
        <v>3</v>
      </c>
      <c r="AF141">
        <f>IF(AND('08 Exs'!D141&lt;Tmax, NOT('08 Exs'!$H141="")),'08 Exs'!$H141,4)</f>
        <v>3</v>
      </c>
      <c r="AG141">
        <f>IF(AND('08 Exs'!E141&lt;Tmax, NOT('08 Exs'!$H141="")),'08 Exs'!$H141,4)</f>
        <v>3</v>
      </c>
      <c r="AH141">
        <f>IF(AND('08 Exs'!F141&lt;Tmax, NOT('08 Exs'!$H141="")),'08 Exs'!$H141,4)</f>
        <v>3</v>
      </c>
      <c r="AI141"/>
    </row>
    <row r="142" spans="1:35" ht="22.5" outlineLevel="2" x14ac:dyDescent="0.2">
      <c r="A142" s="636" t="s">
        <v>1788</v>
      </c>
      <c r="B142" s="636" t="s">
        <v>1789</v>
      </c>
      <c r="C142" s="786"/>
      <c r="D142" s="702"/>
      <c r="E142" s="702"/>
      <c r="F142" s="702"/>
      <c r="G142" s="1480">
        <v>4</v>
      </c>
      <c r="H142" s="1480">
        <v>2</v>
      </c>
      <c r="I142" s="1480"/>
      <c r="J142" s="1480" t="s">
        <v>2107</v>
      </c>
      <c r="K142" s="1459"/>
      <c r="L142" s="1459"/>
      <c r="M142" s="785"/>
      <c r="AA142">
        <f>IF(AND('08 Exs'!C142&gt;Tmin, NOT('08 Exs'!$I142="")),'08 Exs'!$I142,0)</f>
        <v>0</v>
      </c>
      <c r="AB142">
        <f>IF(AND('08 Exs'!D142&gt;Tmin, NOT('08 Exs'!$I142="")),'08 Exs'!$I142,0)</f>
        <v>0</v>
      </c>
      <c r="AC142">
        <f>IF(AND('08 Exs'!E142&gt;Tmin, NOT('08 Exs'!$I142="")),'08 Exs'!$I142,0)</f>
        <v>0</v>
      </c>
      <c r="AD142">
        <f>IF(AND('08 Exs'!F142&gt;Tmin, NOT('08 Exs'!$I142="")),'08 Exs'!$I142,0)</f>
        <v>0</v>
      </c>
      <c r="AE142">
        <f>IF(AND('08 Exs'!C142&lt;Tmax, NOT('08 Exs'!$H142="")),'08 Exs'!$H142,4)</f>
        <v>2</v>
      </c>
      <c r="AF142">
        <f>IF(AND('08 Exs'!D142&lt;Tmax, NOT('08 Exs'!$H142="")),'08 Exs'!$H142,4)</f>
        <v>2</v>
      </c>
      <c r="AG142">
        <f>IF(AND('08 Exs'!E142&lt;Tmax, NOT('08 Exs'!$H142="")),'08 Exs'!$H142,4)</f>
        <v>2</v>
      </c>
      <c r="AH142">
        <f>IF(AND('08 Exs'!F142&lt;Tmax, NOT('08 Exs'!$H142="")),'08 Exs'!$H142,4)</f>
        <v>2</v>
      </c>
      <c r="AI142"/>
    </row>
    <row r="143" spans="1:35" ht="22.5" outlineLevel="2" x14ac:dyDescent="0.2">
      <c r="A143" s="636" t="s">
        <v>6798</v>
      </c>
      <c r="B143" s="636" t="s">
        <v>6799</v>
      </c>
      <c r="C143" s="786"/>
      <c r="D143" s="702"/>
      <c r="E143" s="702"/>
      <c r="F143" s="702"/>
      <c r="G143" s="1480">
        <v>4</v>
      </c>
      <c r="H143" s="1480">
        <v>3</v>
      </c>
      <c r="I143" s="1480"/>
      <c r="J143" s="1480" t="s">
        <v>2107</v>
      </c>
      <c r="K143" s="1459"/>
      <c r="L143" s="1459"/>
      <c r="M143" s="785"/>
      <c r="AA143">
        <f>IF(AND('08 Exs'!C143&gt;Tmin, NOT('08 Exs'!$I143="")),'08 Exs'!$I143,0)</f>
        <v>0</v>
      </c>
      <c r="AB143">
        <f>IF(AND('08 Exs'!D143&gt;Tmin, NOT('08 Exs'!$I143="")),'08 Exs'!$I143,0)</f>
        <v>0</v>
      </c>
      <c r="AC143">
        <f>IF(AND('08 Exs'!E143&gt;Tmin, NOT('08 Exs'!$I143="")),'08 Exs'!$I143,0)</f>
        <v>0</v>
      </c>
      <c r="AD143">
        <f>IF(AND('08 Exs'!F143&gt;Tmin, NOT('08 Exs'!$I143="")),'08 Exs'!$I143,0)</f>
        <v>0</v>
      </c>
      <c r="AE143">
        <f>IF(AND('08 Exs'!C143&lt;Tmax, NOT('08 Exs'!$H143="")),'08 Exs'!$H143,4)</f>
        <v>3</v>
      </c>
      <c r="AF143">
        <f>IF(AND('08 Exs'!D143&lt;Tmax, NOT('08 Exs'!$H143="")),'08 Exs'!$H143,4)</f>
        <v>3</v>
      </c>
      <c r="AG143">
        <f>IF(AND('08 Exs'!E143&lt;Tmax, NOT('08 Exs'!$H143="")),'08 Exs'!$H143,4)</f>
        <v>3</v>
      </c>
      <c r="AH143">
        <f>IF(AND('08 Exs'!F143&lt;Tmax, NOT('08 Exs'!$H143="")),'08 Exs'!$H143,4)</f>
        <v>3</v>
      </c>
      <c r="AI143"/>
    </row>
    <row r="144" spans="1:35" ht="22.5" outlineLevel="2" x14ac:dyDescent="0.2">
      <c r="A144" s="636" t="s">
        <v>6800</v>
      </c>
      <c r="B144" s="636" t="s">
        <v>5782</v>
      </c>
      <c r="C144" s="786"/>
      <c r="D144" s="702"/>
      <c r="E144" s="702"/>
      <c r="F144" s="702"/>
      <c r="G144" s="1480">
        <v>2</v>
      </c>
      <c r="H144" s="1480"/>
      <c r="I144" s="1480"/>
      <c r="J144" s="1480" t="s">
        <v>1592</v>
      </c>
      <c r="K144" s="1459"/>
      <c r="L144" s="1459"/>
      <c r="M144" s="785"/>
      <c r="AA144">
        <f>IF(AND('08 Exs'!C144&gt;Tmin, NOT('08 Exs'!$I144="")),'08 Exs'!$I144,0)</f>
        <v>0</v>
      </c>
      <c r="AB144">
        <f>IF(AND('08 Exs'!D144&gt;Tmin, NOT('08 Exs'!$I144="")),'08 Exs'!$I144,0)</f>
        <v>0</v>
      </c>
      <c r="AC144">
        <f>IF(AND('08 Exs'!E144&gt;Tmin, NOT('08 Exs'!$I144="")),'08 Exs'!$I144,0)</f>
        <v>0</v>
      </c>
      <c r="AD144">
        <f>IF(AND('08 Exs'!F144&gt;Tmin, NOT('08 Exs'!$I144="")),'08 Exs'!$I144,0)</f>
        <v>0</v>
      </c>
      <c r="AE144">
        <f>IF(AND('08 Exs'!C144&lt;Tmax, NOT('08 Exs'!$H144="")),'08 Exs'!$H144,4)</f>
        <v>4</v>
      </c>
      <c r="AF144">
        <f>IF(AND('08 Exs'!D144&lt;Tmax, NOT('08 Exs'!$H144="")),'08 Exs'!$H144,4)</f>
        <v>4</v>
      </c>
      <c r="AG144">
        <f>IF(AND('08 Exs'!E144&lt;Tmax, NOT('08 Exs'!$H144="")),'08 Exs'!$H144,4)</f>
        <v>4</v>
      </c>
      <c r="AH144">
        <f>IF(AND('08 Exs'!F144&lt;Tmax, NOT('08 Exs'!$H144="")),'08 Exs'!$H144,4)</f>
        <v>4</v>
      </c>
      <c r="AI144"/>
    </row>
    <row r="145" spans="1:35" ht="22.5" outlineLevel="2" x14ac:dyDescent="0.2">
      <c r="A145" s="636" t="s">
        <v>6801</v>
      </c>
      <c r="B145" s="636" t="s">
        <v>6263</v>
      </c>
      <c r="C145" s="786"/>
      <c r="D145" s="702"/>
      <c r="E145" s="702"/>
      <c r="F145" s="702"/>
      <c r="G145" s="1480">
        <v>4</v>
      </c>
      <c r="H145" s="1480"/>
      <c r="I145" s="1480"/>
      <c r="J145" s="1480" t="s">
        <v>1592</v>
      </c>
      <c r="K145" s="1459"/>
      <c r="L145" s="1459"/>
      <c r="M145" s="785"/>
      <c r="AA145">
        <f>IF(AND('08 Exs'!C145&gt;Tmin, NOT('08 Exs'!$I145="")),'08 Exs'!$I145,0)</f>
        <v>0</v>
      </c>
      <c r="AB145">
        <f>IF(AND('08 Exs'!D145&gt;Tmin, NOT('08 Exs'!$I145="")),'08 Exs'!$I145,0)</f>
        <v>0</v>
      </c>
      <c r="AC145">
        <f>IF(AND('08 Exs'!E145&gt;Tmin, NOT('08 Exs'!$I145="")),'08 Exs'!$I145,0)</f>
        <v>0</v>
      </c>
      <c r="AD145">
        <f>IF(AND('08 Exs'!F145&gt;Tmin, NOT('08 Exs'!$I145="")),'08 Exs'!$I145,0)</f>
        <v>0</v>
      </c>
      <c r="AE145">
        <f>IF(AND('08 Exs'!C145&lt;Tmax, NOT('08 Exs'!$H145="")),'08 Exs'!$H145,4)</f>
        <v>4</v>
      </c>
      <c r="AF145">
        <f>IF(AND('08 Exs'!D145&lt;Tmax, NOT('08 Exs'!$H145="")),'08 Exs'!$H145,4)</f>
        <v>4</v>
      </c>
      <c r="AG145">
        <f>IF(AND('08 Exs'!E145&lt;Tmax, NOT('08 Exs'!$H145="")),'08 Exs'!$H145,4)</f>
        <v>4</v>
      </c>
      <c r="AH145">
        <f>IF(AND('08 Exs'!F145&lt;Tmax, NOT('08 Exs'!$H145="")),'08 Exs'!$H145,4)</f>
        <v>4</v>
      </c>
      <c r="AI145"/>
    </row>
    <row r="146" spans="1:35" ht="22.5" outlineLevel="2" x14ac:dyDescent="0.2">
      <c r="A146" s="636" t="s">
        <v>6264</v>
      </c>
      <c r="B146" s="636" t="s">
        <v>6833</v>
      </c>
      <c r="C146" s="786"/>
      <c r="D146" s="702"/>
      <c r="E146" s="702"/>
      <c r="F146" s="702"/>
      <c r="G146" s="1480">
        <v>4</v>
      </c>
      <c r="H146" s="1480"/>
      <c r="I146" s="1480"/>
      <c r="J146" s="1480" t="s">
        <v>1592</v>
      </c>
      <c r="K146" s="1459" t="s">
        <v>3575</v>
      </c>
      <c r="L146" s="1459" t="s">
        <v>7261</v>
      </c>
      <c r="M146" s="785"/>
      <c r="AA146">
        <f>IF(AND('08 Exs'!C146&gt;Tmin, NOT('08 Exs'!$I146="")),'08 Exs'!$I146,0)</f>
        <v>0</v>
      </c>
      <c r="AB146">
        <f>IF(AND('08 Exs'!D146&gt;Tmin, NOT('08 Exs'!$I146="")),'08 Exs'!$I146,0)</f>
        <v>0</v>
      </c>
      <c r="AC146">
        <f>IF(AND('08 Exs'!E146&gt;Tmin, NOT('08 Exs'!$I146="")),'08 Exs'!$I146,0)</f>
        <v>0</v>
      </c>
      <c r="AD146">
        <f>IF(AND('08 Exs'!F146&gt;Tmin, NOT('08 Exs'!$I146="")),'08 Exs'!$I146,0)</f>
        <v>0</v>
      </c>
      <c r="AE146">
        <f>IF(AND('08 Exs'!C146&lt;Tmax, NOT('08 Exs'!$H146="")),'08 Exs'!$H146,4)</f>
        <v>4</v>
      </c>
      <c r="AF146">
        <f>IF(AND('08 Exs'!D146&lt;Tmax, NOT('08 Exs'!$H146="")),'08 Exs'!$H146,4)</f>
        <v>4</v>
      </c>
      <c r="AG146">
        <f>IF(AND('08 Exs'!E146&lt;Tmax, NOT('08 Exs'!$H146="")),'08 Exs'!$H146,4)</f>
        <v>4</v>
      </c>
      <c r="AH146">
        <f>IF(AND('08 Exs'!F146&lt;Tmax, NOT('08 Exs'!$H146="")),'08 Exs'!$H146,4)</f>
        <v>4</v>
      </c>
      <c r="AI146"/>
    </row>
    <row r="147" spans="1:35" ht="33.75" outlineLevel="2" x14ac:dyDescent="0.2">
      <c r="A147" s="636" t="s">
        <v>6834</v>
      </c>
      <c r="B147" s="636" t="s">
        <v>2196</v>
      </c>
      <c r="C147" s="786"/>
      <c r="D147" s="702"/>
      <c r="E147" s="702"/>
      <c r="F147" s="702"/>
      <c r="G147" s="1480">
        <v>2</v>
      </c>
      <c r="H147" s="1480">
        <v>2</v>
      </c>
      <c r="I147" s="1480"/>
      <c r="J147" s="1480" t="s">
        <v>2349</v>
      </c>
      <c r="K147" s="1459"/>
      <c r="L147" s="1459"/>
      <c r="M147" s="785"/>
      <c r="AA147">
        <f>IF(AND('08 Exs'!C147&gt;Tmin, NOT('08 Exs'!$I147="")),'08 Exs'!$I147,0)</f>
        <v>0</v>
      </c>
      <c r="AB147">
        <f>IF(AND('08 Exs'!D147&gt;Tmin, NOT('08 Exs'!$I147="")),'08 Exs'!$I147,0)</f>
        <v>0</v>
      </c>
      <c r="AC147">
        <f>IF(AND('08 Exs'!E147&gt;Tmin, NOT('08 Exs'!$I147="")),'08 Exs'!$I147,0)</f>
        <v>0</v>
      </c>
      <c r="AD147">
        <f>IF(AND('08 Exs'!F147&gt;Tmin, NOT('08 Exs'!$I147="")),'08 Exs'!$I147,0)</f>
        <v>0</v>
      </c>
      <c r="AE147">
        <f>IF(AND('08 Exs'!C147&lt;Tmax, NOT('08 Exs'!$H147="")),'08 Exs'!$H147,4)</f>
        <v>2</v>
      </c>
      <c r="AF147">
        <f>IF(AND('08 Exs'!D147&lt;Tmax, NOT('08 Exs'!$H147="")),'08 Exs'!$H147,4)</f>
        <v>2</v>
      </c>
      <c r="AG147">
        <f>IF(AND('08 Exs'!E147&lt;Tmax, NOT('08 Exs'!$H147="")),'08 Exs'!$H147,4)</f>
        <v>2</v>
      </c>
      <c r="AH147">
        <f>IF(AND('08 Exs'!F147&lt;Tmax, NOT('08 Exs'!$H147="")),'08 Exs'!$H147,4)</f>
        <v>2</v>
      </c>
      <c r="AI147"/>
    </row>
    <row r="148" spans="1:35" ht="22.5" outlineLevel="2" x14ac:dyDescent="0.2">
      <c r="A148" s="636" t="s">
        <v>2197</v>
      </c>
      <c r="B148" s="636" t="s">
        <v>6397</v>
      </c>
      <c r="C148" s="786"/>
      <c r="D148" s="702"/>
      <c r="E148" s="702"/>
      <c r="F148" s="702"/>
      <c r="G148" s="1480">
        <v>2</v>
      </c>
      <c r="H148" s="1480">
        <v>2</v>
      </c>
      <c r="I148" s="1480"/>
      <c r="J148" s="1480" t="s">
        <v>2109</v>
      </c>
      <c r="K148" s="1459"/>
      <c r="L148" s="1459"/>
      <c r="M148" s="788"/>
      <c r="AA148">
        <f>IF(AND('08 Exs'!C148&gt;Tmin, NOT('08 Exs'!$I148="")),'08 Exs'!$I148,0)</f>
        <v>0</v>
      </c>
      <c r="AB148">
        <f>IF(AND('08 Exs'!D148&gt;Tmin, NOT('08 Exs'!$I148="")),'08 Exs'!$I148,0)</f>
        <v>0</v>
      </c>
      <c r="AC148">
        <f>IF(AND('08 Exs'!E148&gt;Tmin, NOT('08 Exs'!$I148="")),'08 Exs'!$I148,0)</f>
        <v>0</v>
      </c>
      <c r="AD148">
        <f>IF(AND('08 Exs'!F148&gt;Tmin, NOT('08 Exs'!$I148="")),'08 Exs'!$I148,0)</f>
        <v>0</v>
      </c>
      <c r="AE148">
        <f>IF(AND('08 Exs'!C148&lt;Tmax, NOT('08 Exs'!$H148="")),'08 Exs'!$H148,4)</f>
        <v>2</v>
      </c>
      <c r="AF148">
        <f>IF(AND('08 Exs'!D148&lt;Tmax, NOT('08 Exs'!$H148="")),'08 Exs'!$H148,4)</f>
        <v>2</v>
      </c>
      <c r="AG148">
        <f>IF(AND('08 Exs'!E148&lt;Tmax, NOT('08 Exs'!$H148="")),'08 Exs'!$H148,4)</f>
        <v>2</v>
      </c>
      <c r="AH148">
        <f>IF(AND('08 Exs'!F148&lt;Tmax, NOT('08 Exs'!$H148="")),'08 Exs'!$H148,4)</f>
        <v>2</v>
      </c>
      <c r="AI148"/>
    </row>
    <row r="149" spans="1:35" outlineLevel="1" x14ac:dyDescent="0.2">
      <c r="A149" s="633" t="s">
        <v>2057</v>
      </c>
      <c r="B149" s="634" t="s">
        <v>5848</v>
      </c>
      <c r="C149" s="786"/>
      <c r="D149" s="702"/>
      <c r="E149" s="702"/>
      <c r="F149" s="702"/>
      <c r="G149" s="1480"/>
      <c r="H149" s="1480"/>
      <c r="I149" s="1480"/>
      <c r="J149" s="1480"/>
      <c r="K149" s="1459"/>
      <c r="L149" s="1459"/>
      <c r="M149" s="785"/>
      <c r="AA149"/>
      <c r="AB149"/>
      <c r="AC149"/>
      <c r="AD149"/>
      <c r="AE149"/>
      <c r="AF149"/>
      <c r="AG149"/>
      <c r="AH149"/>
      <c r="AI149"/>
    </row>
    <row r="150" spans="1:35" ht="22.5" outlineLevel="2" x14ac:dyDescent="0.2">
      <c r="A150" s="636" t="s">
        <v>6398</v>
      </c>
      <c r="B150" s="636" t="s">
        <v>4183</v>
      </c>
      <c r="C150" s="786"/>
      <c r="D150" s="702"/>
      <c r="E150" s="702"/>
      <c r="F150" s="702"/>
      <c r="G150" s="1480">
        <v>4</v>
      </c>
      <c r="H150" s="1480"/>
      <c r="I150" s="1480"/>
      <c r="J150" s="1480" t="s">
        <v>4246</v>
      </c>
      <c r="K150" s="1459"/>
      <c r="L150" s="1459"/>
      <c r="M150" s="785"/>
      <c r="AA150">
        <f>IF(AND('08 Exs'!C150&gt;Tmin, NOT('08 Exs'!$I150="")),'08 Exs'!$I150,0)</f>
        <v>0</v>
      </c>
      <c r="AB150">
        <f>IF(AND('08 Exs'!D150&gt;Tmin, NOT('08 Exs'!$I150="")),'08 Exs'!$I150,0)</f>
        <v>0</v>
      </c>
      <c r="AC150">
        <f>IF(AND('08 Exs'!E150&gt;Tmin, NOT('08 Exs'!$I150="")),'08 Exs'!$I150,0)</f>
        <v>0</v>
      </c>
      <c r="AD150">
        <f>IF(AND('08 Exs'!F150&gt;Tmin, NOT('08 Exs'!$I150="")),'08 Exs'!$I150,0)</f>
        <v>0</v>
      </c>
      <c r="AE150">
        <f>IF(AND('08 Exs'!C150&lt;Tmax, NOT('08 Exs'!$H150="")),'08 Exs'!$H150,4)</f>
        <v>4</v>
      </c>
      <c r="AF150">
        <f>IF(AND('08 Exs'!D150&lt;Tmax, NOT('08 Exs'!$H150="")),'08 Exs'!$H150,4)</f>
        <v>4</v>
      </c>
      <c r="AG150">
        <f>IF(AND('08 Exs'!E150&lt;Tmax, NOT('08 Exs'!$H150="")),'08 Exs'!$H150,4)</f>
        <v>4</v>
      </c>
      <c r="AH150">
        <f>IF(AND('08 Exs'!F150&lt;Tmax, NOT('08 Exs'!$H150="")),'08 Exs'!$H150,4)</f>
        <v>4</v>
      </c>
      <c r="AI150"/>
    </row>
    <row r="151" spans="1:35" ht="33.75" outlineLevel="2" x14ac:dyDescent="0.2">
      <c r="A151" s="636" t="s">
        <v>4184</v>
      </c>
      <c r="B151" s="636" t="s">
        <v>5377</v>
      </c>
      <c r="C151" s="786"/>
      <c r="D151" s="702"/>
      <c r="E151" s="702"/>
      <c r="F151" s="702"/>
      <c r="G151" s="1480">
        <v>4</v>
      </c>
      <c r="H151" s="1480">
        <v>3</v>
      </c>
      <c r="I151" s="1480"/>
      <c r="J151" s="1480" t="s">
        <v>1592</v>
      </c>
      <c r="K151" s="1459"/>
      <c r="L151" s="1459"/>
      <c r="M151" s="785"/>
      <c r="AA151">
        <f>IF(AND('08 Exs'!C151&gt;Tmin, NOT('08 Exs'!$I151="")),'08 Exs'!$I151,0)</f>
        <v>0</v>
      </c>
      <c r="AB151">
        <f>IF(AND('08 Exs'!D151&gt;Tmin, NOT('08 Exs'!$I151="")),'08 Exs'!$I151,0)</f>
        <v>0</v>
      </c>
      <c r="AC151">
        <f>IF(AND('08 Exs'!E151&gt;Tmin, NOT('08 Exs'!$I151="")),'08 Exs'!$I151,0)</f>
        <v>0</v>
      </c>
      <c r="AD151">
        <f>IF(AND('08 Exs'!F151&gt;Tmin, NOT('08 Exs'!$I151="")),'08 Exs'!$I151,0)</f>
        <v>0</v>
      </c>
      <c r="AE151">
        <f>IF(AND('08 Exs'!C151&lt;Tmax, NOT('08 Exs'!$H151="")),'08 Exs'!$H151,4)</f>
        <v>3</v>
      </c>
      <c r="AF151">
        <f>IF(AND('08 Exs'!D151&lt;Tmax, NOT('08 Exs'!$H151="")),'08 Exs'!$H151,4)</f>
        <v>3</v>
      </c>
      <c r="AG151">
        <f>IF(AND('08 Exs'!E151&lt;Tmax, NOT('08 Exs'!$H151="")),'08 Exs'!$H151,4)</f>
        <v>3</v>
      </c>
      <c r="AH151">
        <f>IF(AND('08 Exs'!F151&lt;Tmax, NOT('08 Exs'!$H151="")),'08 Exs'!$H151,4)</f>
        <v>3</v>
      </c>
      <c r="AI151"/>
    </row>
    <row r="152" spans="1:35" ht="22.5" outlineLevel="2" x14ac:dyDescent="0.2">
      <c r="A152" s="636" t="s">
        <v>5378</v>
      </c>
      <c r="B152" s="636" t="s">
        <v>5379</v>
      </c>
      <c r="C152" s="786"/>
      <c r="D152" s="702"/>
      <c r="E152" s="702"/>
      <c r="F152" s="702"/>
      <c r="G152" s="1480">
        <v>4</v>
      </c>
      <c r="H152" s="1480"/>
      <c r="I152" s="1480"/>
      <c r="J152" s="1480" t="s">
        <v>1592</v>
      </c>
      <c r="K152" s="1459" t="s">
        <v>59</v>
      </c>
      <c r="L152" s="1459" t="s">
        <v>7365</v>
      </c>
      <c r="M152" s="785"/>
      <c r="AA152">
        <f>IF(AND('08 Exs'!C152&gt;Tmin, NOT('08 Exs'!$I152="")),'08 Exs'!$I152,0)</f>
        <v>0</v>
      </c>
      <c r="AB152">
        <f>IF(AND('08 Exs'!D152&gt;Tmin, NOT('08 Exs'!$I152="")),'08 Exs'!$I152,0)</f>
        <v>0</v>
      </c>
      <c r="AC152">
        <f>IF(AND('08 Exs'!E152&gt;Tmin, NOT('08 Exs'!$I152="")),'08 Exs'!$I152,0)</f>
        <v>0</v>
      </c>
      <c r="AD152">
        <f>IF(AND('08 Exs'!F152&gt;Tmin, NOT('08 Exs'!$I152="")),'08 Exs'!$I152,0)</f>
        <v>0</v>
      </c>
      <c r="AE152">
        <f>IF(AND('08 Exs'!C152&lt;Tmax, NOT('08 Exs'!$H152="")),'08 Exs'!$H152,4)</f>
        <v>4</v>
      </c>
      <c r="AF152">
        <f>IF(AND('08 Exs'!D152&lt;Tmax, NOT('08 Exs'!$H152="")),'08 Exs'!$H152,4)</f>
        <v>4</v>
      </c>
      <c r="AG152">
        <f>IF(AND('08 Exs'!E152&lt;Tmax, NOT('08 Exs'!$H152="")),'08 Exs'!$H152,4)</f>
        <v>4</v>
      </c>
      <c r="AH152">
        <f>IF(AND('08 Exs'!F152&lt;Tmax, NOT('08 Exs'!$H152="")),'08 Exs'!$H152,4)</f>
        <v>4</v>
      </c>
      <c r="AI152"/>
    </row>
    <row r="153" spans="1:35" ht="33.75" outlineLevel="2" x14ac:dyDescent="0.2">
      <c r="A153" s="636" t="s">
        <v>5380</v>
      </c>
      <c r="B153" s="636" t="s">
        <v>5341</v>
      </c>
      <c r="C153" s="786"/>
      <c r="D153" s="702"/>
      <c r="E153" s="702"/>
      <c r="F153" s="702"/>
      <c r="G153" s="1480">
        <v>4</v>
      </c>
      <c r="H153" s="1480"/>
      <c r="I153" s="1480"/>
      <c r="J153" s="1480" t="s">
        <v>2329</v>
      </c>
      <c r="K153" s="1459"/>
      <c r="L153" s="1459"/>
      <c r="M153" s="785"/>
      <c r="AA153">
        <f>IF(AND('08 Exs'!C153&gt;Tmin, NOT('08 Exs'!$I153="")),'08 Exs'!$I153,0)</f>
        <v>0</v>
      </c>
      <c r="AB153">
        <f>IF(AND('08 Exs'!D153&gt;Tmin, NOT('08 Exs'!$I153="")),'08 Exs'!$I153,0)</f>
        <v>0</v>
      </c>
      <c r="AC153">
        <f>IF(AND('08 Exs'!E153&gt;Tmin, NOT('08 Exs'!$I153="")),'08 Exs'!$I153,0)</f>
        <v>0</v>
      </c>
      <c r="AD153">
        <f>IF(AND('08 Exs'!F153&gt;Tmin, NOT('08 Exs'!$I153="")),'08 Exs'!$I153,0)</f>
        <v>0</v>
      </c>
      <c r="AE153">
        <f>IF(AND('08 Exs'!C153&lt;Tmax, NOT('08 Exs'!$H153="")),'08 Exs'!$H153,4)</f>
        <v>4</v>
      </c>
      <c r="AF153">
        <f>IF(AND('08 Exs'!D153&lt;Tmax, NOT('08 Exs'!$H153="")),'08 Exs'!$H153,4)</f>
        <v>4</v>
      </c>
      <c r="AG153">
        <f>IF(AND('08 Exs'!E153&lt;Tmax, NOT('08 Exs'!$H153="")),'08 Exs'!$H153,4)</f>
        <v>4</v>
      </c>
      <c r="AH153">
        <f>IF(AND('08 Exs'!F153&lt;Tmax, NOT('08 Exs'!$H153="")),'08 Exs'!$H153,4)</f>
        <v>4</v>
      </c>
      <c r="AI153"/>
    </row>
    <row r="154" spans="1:35" ht="22.5" outlineLevel="2" x14ac:dyDescent="0.2">
      <c r="A154" s="636" t="s">
        <v>5342</v>
      </c>
      <c r="B154" s="636" t="s">
        <v>6112</v>
      </c>
      <c r="C154" s="786"/>
      <c r="D154" s="702"/>
      <c r="E154" s="702"/>
      <c r="F154" s="702"/>
      <c r="G154" s="1480">
        <v>2</v>
      </c>
      <c r="H154" s="1480">
        <v>3</v>
      </c>
      <c r="I154" s="1480"/>
      <c r="J154" s="1480" t="s">
        <v>2964</v>
      </c>
      <c r="K154" s="1459"/>
      <c r="L154" s="1459"/>
      <c r="M154" s="785"/>
      <c r="AA154">
        <f>IF(AND('08 Exs'!C154&gt;Tmin, NOT('08 Exs'!$I154="")),'08 Exs'!$I154,0)</f>
        <v>0</v>
      </c>
      <c r="AB154">
        <f>IF(AND('08 Exs'!D154&gt;Tmin, NOT('08 Exs'!$I154="")),'08 Exs'!$I154,0)</f>
        <v>0</v>
      </c>
      <c r="AC154">
        <f>IF(AND('08 Exs'!E154&gt;Tmin, NOT('08 Exs'!$I154="")),'08 Exs'!$I154,0)</f>
        <v>0</v>
      </c>
      <c r="AD154">
        <f>IF(AND('08 Exs'!F154&gt;Tmin, NOT('08 Exs'!$I154="")),'08 Exs'!$I154,0)</f>
        <v>0</v>
      </c>
      <c r="AE154">
        <f>IF(AND('08 Exs'!C154&lt;Tmax, NOT('08 Exs'!$H154="")),'08 Exs'!$H154,4)</f>
        <v>3</v>
      </c>
      <c r="AF154">
        <f>IF(AND('08 Exs'!D154&lt;Tmax, NOT('08 Exs'!$H154="")),'08 Exs'!$H154,4)</f>
        <v>3</v>
      </c>
      <c r="AG154">
        <f>IF(AND('08 Exs'!E154&lt;Tmax, NOT('08 Exs'!$H154="")),'08 Exs'!$H154,4)</f>
        <v>3</v>
      </c>
      <c r="AH154">
        <f>IF(AND('08 Exs'!F154&lt;Tmax, NOT('08 Exs'!$H154="")),'08 Exs'!$H154,4)</f>
        <v>3</v>
      </c>
      <c r="AI154"/>
    </row>
    <row r="155" spans="1:35" outlineLevel="2" x14ac:dyDescent="0.2">
      <c r="A155" s="636" t="s">
        <v>5343</v>
      </c>
      <c r="B155" s="636" t="s">
        <v>6478</v>
      </c>
      <c r="C155" s="786"/>
      <c r="D155" s="702"/>
      <c r="E155" s="702"/>
      <c r="F155" s="702"/>
      <c r="G155" s="1480">
        <v>2</v>
      </c>
      <c r="H155" s="1480">
        <v>3</v>
      </c>
      <c r="I155" s="1480"/>
      <c r="J155" s="1480" t="s">
        <v>2109</v>
      </c>
      <c r="K155" s="1459"/>
      <c r="L155" s="1459"/>
      <c r="M155" s="785"/>
      <c r="AA155">
        <f>IF(AND('08 Exs'!C155&gt;Tmin, NOT('08 Exs'!$I155="")),'08 Exs'!$I155,0)</f>
        <v>0</v>
      </c>
      <c r="AB155">
        <f>IF(AND('08 Exs'!D155&gt;Tmin, NOT('08 Exs'!$I155="")),'08 Exs'!$I155,0)</f>
        <v>0</v>
      </c>
      <c r="AC155">
        <f>IF(AND('08 Exs'!E155&gt;Tmin, NOT('08 Exs'!$I155="")),'08 Exs'!$I155,0)</f>
        <v>0</v>
      </c>
      <c r="AD155">
        <f>IF(AND('08 Exs'!F155&gt;Tmin, NOT('08 Exs'!$I155="")),'08 Exs'!$I155,0)</f>
        <v>0</v>
      </c>
      <c r="AE155">
        <f>IF(AND('08 Exs'!C155&lt;Tmax, NOT('08 Exs'!$H155="")),'08 Exs'!$H155,4)</f>
        <v>3</v>
      </c>
      <c r="AF155">
        <f>IF(AND('08 Exs'!D155&lt;Tmax, NOT('08 Exs'!$H155="")),'08 Exs'!$H155,4)</f>
        <v>3</v>
      </c>
      <c r="AG155">
        <f>IF(AND('08 Exs'!E155&lt;Tmax, NOT('08 Exs'!$H155="")),'08 Exs'!$H155,4)</f>
        <v>3</v>
      </c>
      <c r="AH155">
        <f>IF(AND('08 Exs'!F155&lt;Tmax, NOT('08 Exs'!$H155="")),'08 Exs'!$H155,4)</f>
        <v>3</v>
      </c>
      <c r="AI155"/>
    </row>
    <row r="156" spans="1:35" ht="22.5" outlineLevel="2" x14ac:dyDescent="0.2">
      <c r="A156" s="636" t="s">
        <v>5344</v>
      </c>
      <c r="B156" s="636" t="s">
        <v>5345</v>
      </c>
      <c r="C156" s="786"/>
      <c r="D156" s="702"/>
      <c r="E156" s="702"/>
      <c r="F156" s="702"/>
      <c r="G156" s="1480">
        <v>2</v>
      </c>
      <c r="H156" s="1480">
        <v>3</v>
      </c>
      <c r="I156" s="1480"/>
      <c r="J156" s="1480" t="s">
        <v>2109</v>
      </c>
      <c r="K156" s="1459"/>
      <c r="L156" s="1459"/>
      <c r="M156" s="785"/>
      <c r="AA156">
        <f>IF(AND('08 Exs'!C156&gt;Tmin, NOT('08 Exs'!$I156="")),'08 Exs'!$I156,0)</f>
        <v>0</v>
      </c>
      <c r="AB156">
        <f>IF(AND('08 Exs'!D156&gt;Tmin, NOT('08 Exs'!$I156="")),'08 Exs'!$I156,0)</f>
        <v>0</v>
      </c>
      <c r="AC156">
        <f>IF(AND('08 Exs'!E156&gt;Tmin, NOT('08 Exs'!$I156="")),'08 Exs'!$I156,0)</f>
        <v>0</v>
      </c>
      <c r="AD156">
        <f>IF(AND('08 Exs'!F156&gt;Tmin, NOT('08 Exs'!$I156="")),'08 Exs'!$I156,0)</f>
        <v>0</v>
      </c>
      <c r="AE156">
        <f>IF(AND('08 Exs'!C156&lt;Tmax, NOT('08 Exs'!$H156="")),'08 Exs'!$H156,4)</f>
        <v>3</v>
      </c>
      <c r="AF156">
        <f>IF(AND('08 Exs'!D156&lt;Tmax, NOT('08 Exs'!$H156="")),'08 Exs'!$H156,4)</f>
        <v>3</v>
      </c>
      <c r="AG156">
        <f>IF(AND('08 Exs'!E156&lt;Tmax, NOT('08 Exs'!$H156="")),'08 Exs'!$H156,4)</f>
        <v>3</v>
      </c>
      <c r="AH156">
        <f>IF(AND('08 Exs'!F156&lt;Tmax, NOT('08 Exs'!$H156="")),'08 Exs'!$H156,4)</f>
        <v>3</v>
      </c>
      <c r="AI156"/>
    </row>
    <row r="157" spans="1:35" outlineLevel="1" x14ac:dyDescent="0.2">
      <c r="A157" s="633" t="s">
        <v>2058</v>
      </c>
      <c r="B157" s="634" t="s">
        <v>2059</v>
      </c>
      <c r="C157" s="786"/>
      <c r="D157" s="702"/>
      <c r="E157" s="702"/>
      <c r="F157" s="702"/>
      <c r="G157" s="1480"/>
      <c r="H157" s="1480"/>
      <c r="I157" s="1480"/>
      <c r="J157" s="1480"/>
      <c r="K157" s="1459"/>
      <c r="L157" s="1459"/>
      <c r="M157" s="785"/>
      <c r="AA157"/>
      <c r="AB157"/>
      <c r="AC157"/>
      <c r="AD157"/>
      <c r="AE157"/>
      <c r="AF157"/>
      <c r="AG157"/>
      <c r="AH157"/>
      <c r="AI157"/>
    </row>
    <row r="158" spans="1:35" ht="22.5" outlineLevel="2" x14ac:dyDescent="0.2">
      <c r="A158" s="636" t="s">
        <v>5346</v>
      </c>
      <c r="B158" s="636" t="s">
        <v>5038</v>
      </c>
      <c r="C158" s="786"/>
      <c r="D158" s="702"/>
      <c r="E158" s="702"/>
      <c r="F158" s="702"/>
      <c r="G158" s="1480">
        <v>4</v>
      </c>
      <c r="H158" s="1480"/>
      <c r="I158" s="1480"/>
      <c r="J158" s="1480" t="s">
        <v>1592</v>
      </c>
      <c r="K158" s="1459"/>
      <c r="L158" s="1459"/>
      <c r="M158" s="785"/>
      <c r="AA158">
        <f>IF(AND('08 Exs'!C158&gt;Tmin, NOT('08 Exs'!$I158="")),'08 Exs'!$I158,0)</f>
        <v>0</v>
      </c>
      <c r="AB158">
        <f>IF(AND('08 Exs'!D158&gt;Tmin, NOT('08 Exs'!$I158="")),'08 Exs'!$I158,0)</f>
        <v>0</v>
      </c>
      <c r="AC158">
        <f>IF(AND('08 Exs'!E158&gt;Tmin, NOT('08 Exs'!$I158="")),'08 Exs'!$I158,0)</f>
        <v>0</v>
      </c>
      <c r="AD158">
        <f>IF(AND('08 Exs'!F158&gt;Tmin, NOT('08 Exs'!$I158="")),'08 Exs'!$I158,0)</f>
        <v>0</v>
      </c>
      <c r="AE158">
        <f>IF(AND('08 Exs'!C158&lt;Tmax, NOT('08 Exs'!$H158="")),'08 Exs'!$H158,4)</f>
        <v>4</v>
      </c>
      <c r="AF158">
        <f>IF(AND('08 Exs'!D158&lt;Tmax, NOT('08 Exs'!$H158="")),'08 Exs'!$H158,4)</f>
        <v>4</v>
      </c>
      <c r="AG158">
        <f>IF(AND('08 Exs'!E158&lt;Tmax, NOT('08 Exs'!$H158="")),'08 Exs'!$H158,4)</f>
        <v>4</v>
      </c>
      <c r="AH158">
        <f>IF(AND('08 Exs'!F158&lt;Tmax, NOT('08 Exs'!$H158="")),'08 Exs'!$H158,4)</f>
        <v>4</v>
      </c>
      <c r="AI158"/>
    </row>
    <row r="159" spans="1:35" ht="22.5" outlineLevel="2" x14ac:dyDescent="0.2">
      <c r="A159" s="636" t="s">
        <v>5347</v>
      </c>
      <c r="B159" s="636" t="s">
        <v>5039</v>
      </c>
      <c r="C159" s="786"/>
      <c r="D159" s="702"/>
      <c r="E159" s="702"/>
      <c r="F159" s="702"/>
      <c r="G159" s="1480">
        <v>4</v>
      </c>
      <c r="H159" s="1480"/>
      <c r="I159" s="1480"/>
      <c r="J159" s="1480" t="s">
        <v>1592</v>
      </c>
      <c r="K159" s="1459"/>
      <c r="L159" s="1459"/>
      <c r="M159" s="785"/>
      <c r="AA159">
        <f>IF(AND('08 Exs'!C159&gt;Tmin, NOT('08 Exs'!$I159="")),'08 Exs'!$I159,0)</f>
        <v>0</v>
      </c>
      <c r="AB159">
        <f>IF(AND('08 Exs'!D159&gt;Tmin, NOT('08 Exs'!$I159="")),'08 Exs'!$I159,0)</f>
        <v>0</v>
      </c>
      <c r="AC159">
        <f>IF(AND('08 Exs'!E159&gt;Tmin, NOT('08 Exs'!$I159="")),'08 Exs'!$I159,0)</f>
        <v>0</v>
      </c>
      <c r="AD159">
        <f>IF(AND('08 Exs'!F159&gt;Tmin, NOT('08 Exs'!$I159="")),'08 Exs'!$I159,0)</f>
        <v>0</v>
      </c>
      <c r="AE159">
        <f>IF(AND('08 Exs'!C159&lt;Tmax, NOT('08 Exs'!$H159="")),'08 Exs'!$H159,4)</f>
        <v>4</v>
      </c>
      <c r="AF159">
        <f>IF(AND('08 Exs'!D159&lt;Tmax, NOT('08 Exs'!$H159="")),'08 Exs'!$H159,4)</f>
        <v>4</v>
      </c>
      <c r="AG159">
        <f>IF(AND('08 Exs'!E159&lt;Tmax, NOT('08 Exs'!$H159="")),'08 Exs'!$H159,4)</f>
        <v>4</v>
      </c>
      <c r="AH159">
        <f>IF(AND('08 Exs'!F159&lt;Tmax, NOT('08 Exs'!$H159="")),'08 Exs'!$H159,4)</f>
        <v>4</v>
      </c>
      <c r="AI159"/>
    </row>
    <row r="160" spans="1:35" outlineLevel="2" x14ac:dyDescent="0.2">
      <c r="A160" s="636" t="s">
        <v>5348</v>
      </c>
      <c r="B160" s="636" t="s">
        <v>5349</v>
      </c>
      <c r="C160" s="786"/>
      <c r="D160" s="702"/>
      <c r="E160" s="702"/>
      <c r="F160" s="702"/>
      <c r="G160" s="1480">
        <v>2</v>
      </c>
      <c r="H160" s="1480"/>
      <c r="I160" s="1480"/>
      <c r="J160" s="1480" t="s">
        <v>2329</v>
      </c>
      <c r="K160" s="1459"/>
      <c r="L160" s="1459"/>
      <c r="M160" s="785"/>
      <c r="AA160">
        <f>IF(AND('08 Exs'!C160&gt;Tmin, NOT('08 Exs'!$I160="")),'08 Exs'!$I160,0)</f>
        <v>0</v>
      </c>
      <c r="AB160">
        <f>IF(AND('08 Exs'!D160&gt;Tmin, NOT('08 Exs'!$I160="")),'08 Exs'!$I160,0)</f>
        <v>0</v>
      </c>
      <c r="AC160">
        <f>IF(AND('08 Exs'!E160&gt;Tmin, NOT('08 Exs'!$I160="")),'08 Exs'!$I160,0)</f>
        <v>0</v>
      </c>
      <c r="AD160">
        <f>IF(AND('08 Exs'!F160&gt;Tmin, NOT('08 Exs'!$I160="")),'08 Exs'!$I160,0)</f>
        <v>0</v>
      </c>
      <c r="AE160">
        <f>IF(AND('08 Exs'!C160&lt;Tmax, NOT('08 Exs'!$H160="")),'08 Exs'!$H160,4)</f>
        <v>4</v>
      </c>
      <c r="AF160">
        <f>IF(AND('08 Exs'!D160&lt;Tmax, NOT('08 Exs'!$H160="")),'08 Exs'!$H160,4)</f>
        <v>4</v>
      </c>
      <c r="AG160">
        <f>IF(AND('08 Exs'!E160&lt;Tmax, NOT('08 Exs'!$H160="")),'08 Exs'!$H160,4)</f>
        <v>4</v>
      </c>
      <c r="AH160">
        <f>IF(AND('08 Exs'!F160&lt;Tmax, NOT('08 Exs'!$H160="")),'08 Exs'!$H160,4)</f>
        <v>4</v>
      </c>
      <c r="AI160"/>
    </row>
    <row r="161" spans="1:35" outlineLevel="2" x14ac:dyDescent="0.2">
      <c r="A161" s="636" t="s">
        <v>5350</v>
      </c>
      <c r="B161" s="636" t="s">
        <v>5375</v>
      </c>
      <c r="C161" s="786"/>
      <c r="D161" s="702"/>
      <c r="E161" s="702"/>
      <c r="F161" s="702"/>
      <c r="G161" s="1480">
        <v>4</v>
      </c>
      <c r="H161" s="1480"/>
      <c r="I161" s="1480"/>
      <c r="J161" s="1480" t="s">
        <v>1592</v>
      </c>
      <c r="K161" s="1459"/>
      <c r="L161" s="1459"/>
      <c r="M161" s="785"/>
      <c r="AA161">
        <f>IF(AND('08 Exs'!C161&gt;Tmin, NOT('08 Exs'!$I161="")),'08 Exs'!$I161,0)</f>
        <v>0</v>
      </c>
      <c r="AB161">
        <f>IF(AND('08 Exs'!D161&gt;Tmin, NOT('08 Exs'!$I161="")),'08 Exs'!$I161,0)</f>
        <v>0</v>
      </c>
      <c r="AC161">
        <f>IF(AND('08 Exs'!E161&gt;Tmin, NOT('08 Exs'!$I161="")),'08 Exs'!$I161,0)</f>
        <v>0</v>
      </c>
      <c r="AD161">
        <f>IF(AND('08 Exs'!F161&gt;Tmin, NOT('08 Exs'!$I161="")),'08 Exs'!$I161,0)</f>
        <v>0</v>
      </c>
      <c r="AE161">
        <f>IF(AND('08 Exs'!C161&lt;Tmax, NOT('08 Exs'!$H161="")),'08 Exs'!$H161,4)</f>
        <v>4</v>
      </c>
      <c r="AF161">
        <f>IF(AND('08 Exs'!D161&lt;Tmax, NOT('08 Exs'!$H161="")),'08 Exs'!$H161,4)</f>
        <v>4</v>
      </c>
      <c r="AG161">
        <f>IF(AND('08 Exs'!E161&lt;Tmax, NOT('08 Exs'!$H161="")),'08 Exs'!$H161,4)</f>
        <v>4</v>
      </c>
      <c r="AH161">
        <f>IF(AND('08 Exs'!F161&lt;Tmax, NOT('08 Exs'!$H161="")),'08 Exs'!$H161,4)</f>
        <v>4</v>
      </c>
      <c r="AI161"/>
    </row>
    <row r="162" spans="1:35" outlineLevel="2" x14ac:dyDescent="0.2">
      <c r="A162" s="636" t="s">
        <v>5376</v>
      </c>
      <c r="B162" s="636" t="s">
        <v>1673</v>
      </c>
      <c r="C162" s="786"/>
      <c r="D162" s="702"/>
      <c r="E162" s="702"/>
      <c r="F162" s="702"/>
      <c r="G162" s="1480">
        <v>4</v>
      </c>
      <c r="H162" s="1480"/>
      <c r="I162" s="1480"/>
      <c r="J162" s="1480" t="s">
        <v>2329</v>
      </c>
      <c r="K162" s="1459"/>
      <c r="L162" s="1459"/>
      <c r="M162" s="785"/>
      <c r="AA162">
        <f>IF(AND('08 Exs'!C162&gt;Tmin, NOT('08 Exs'!$I162="")),'08 Exs'!$I162,0)</f>
        <v>0</v>
      </c>
      <c r="AB162">
        <f>IF(AND('08 Exs'!D162&gt;Tmin, NOT('08 Exs'!$I162="")),'08 Exs'!$I162,0)</f>
        <v>0</v>
      </c>
      <c r="AC162">
        <f>IF(AND('08 Exs'!E162&gt;Tmin, NOT('08 Exs'!$I162="")),'08 Exs'!$I162,0)</f>
        <v>0</v>
      </c>
      <c r="AD162">
        <f>IF(AND('08 Exs'!F162&gt;Tmin, NOT('08 Exs'!$I162="")),'08 Exs'!$I162,0)</f>
        <v>0</v>
      </c>
      <c r="AE162">
        <f>IF(AND('08 Exs'!C162&lt;Tmax, NOT('08 Exs'!$H162="")),'08 Exs'!$H162,4)</f>
        <v>4</v>
      </c>
      <c r="AF162">
        <f>IF(AND('08 Exs'!D162&lt;Tmax, NOT('08 Exs'!$H162="")),'08 Exs'!$H162,4)</f>
        <v>4</v>
      </c>
      <c r="AG162">
        <f>IF(AND('08 Exs'!E162&lt;Tmax, NOT('08 Exs'!$H162="")),'08 Exs'!$H162,4)</f>
        <v>4</v>
      </c>
      <c r="AH162">
        <f>IF(AND('08 Exs'!F162&lt;Tmax, NOT('08 Exs'!$H162="")),'08 Exs'!$H162,4)</f>
        <v>4</v>
      </c>
      <c r="AI162"/>
    </row>
    <row r="163" spans="1:35" ht="33.75" outlineLevel="2" x14ac:dyDescent="0.2">
      <c r="A163" s="636" t="s">
        <v>1674</v>
      </c>
      <c r="B163" s="636" t="s">
        <v>6221</v>
      </c>
      <c r="C163" s="786"/>
      <c r="D163" s="702"/>
      <c r="E163" s="702"/>
      <c r="F163" s="702"/>
      <c r="G163" s="1480">
        <v>4</v>
      </c>
      <c r="H163" s="1480">
        <v>3</v>
      </c>
      <c r="I163" s="1480"/>
      <c r="J163" s="1480" t="s">
        <v>2107</v>
      </c>
      <c r="K163" s="1459"/>
      <c r="L163" s="1459"/>
      <c r="M163" s="785"/>
      <c r="AA163">
        <f>IF(AND('08 Exs'!C163&gt;Tmin, NOT('08 Exs'!$I163="")),'08 Exs'!$I163,0)</f>
        <v>0</v>
      </c>
      <c r="AB163">
        <f>IF(AND('08 Exs'!D163&gt;Tmin, NOT('08 Exs'!$I163="")),'08 Exs'!$I163,0)</f>
        <v>0</v>
      </c>
      <c r="AC163">
        <f>IF(AND('08 Exs'!E163&gt;Tmin, NOT('08 Exs'!$I163="")),'08 Exs'!$I163,0)</f>
        <v>0</v>
      </c>
      <c r="AD163">
        <f>IF(AND('08 Exs'!F163&gt;Tmin, NOT('08 Exs'!$I163="")),'08 Exs'!$I163,0)</f>
        <v>0</v>
      </c>
      <c r="AE163">
        <f>IF(AND('08 Exs'!C163&lt;Tmax, NOT('08 Exs'!$H163="")),'08 Exs'!$H163,4)</f>
        <v>3</v>
      </c>
      <c r="AF163">
        <f>IF(AND('08 Exs'!D163&lt;Tmax, NOT('08 Exs'!$H163="")),'08 Exs'!$H163,4)</f>
        <v>3</v>
      </c>
      <c r="AG163">
        <f>IF(AND('08 Exs'!E163&lt;Tmax, NOT('08 Exs'!$H163="")),'08 Exs'!$H163,4)</f>
        <v>3</v>
      </c>
      <c r="AH163">
        <f>IF(AND('08 Exs'!F163&lt;Tmax, NOT('08 Exs'!$H163="")),'08 Exs'!$H163,4)</f>
        <v>3</v>
      </c>
      <c r="AI163"/>
    </row>
    <row r="164" spans="1:35" outlineLevel="2" x14ac:dyDescent="0.2">
      <c r="A164" s="636" t="s">
        <v>1675</v>
      </c>
      <c r="B164" s="636" t="s">
        <v>1676</v>
      </c>
      <c r="C164" s="786"/>
      <c r="D164" s="702"/>
      <c r="E164" s="789"/>
      <c r="F164" s="789"/>
      <c r="G164" s="1480">
        <v>2</v>
      </c>
      <c r="H164" s="1480">
        <v>3</v>
      </c>
      <c r="I164" s="1480"/>
      <c r="J164" s="1480"/>
      <c r="K164" s="1459"/>
      <c r="L164" s="1459"/>
      <c r="M164" s="785"/>
      <c r="AA164">
        <f>IF(AND('08 Exs'!C164&gt;Tmin, NOT('08 Exs'!$I164="")),'08 Exs'!$I164,0)</f>
        <v>0</v>
      </c>
      <c r="AB164">
        <f>IF(AND('08 Exs'!D164&gt;Tmin, NOT('08 Exs'!$I164="")),'08 Exs'!$I164,0)</f>
        <v>0</v>
      </c>
      <c r="AC164">
        <f>IF(AND('08 Exs'!E164&gt;Tmin, NOT('08 Exs'!$I164="")),'08 Exs'!$I164,0)</f>
        <v>0</v>
      </c>
      <c r="AD164">
        <f>IF(AND('08 Exs'!F164&gt;Tmin, NOT('08 Exs'!$I164="")),'08 Exs'!$I164,0)</f>
        <v>0</v>
      </c>
      <c r="AE164">
        <f>IF(AND('08 Exs'!C164&lt;Tmax, NOT('08 Exs'!$H164="")),'08 Exs'!$H164,4)</f>
        <v>3</v>
      </c>
      <c r="AF164">
        <f>IF(AND('08 Exs'!D164&lt;Tmax, NOT('08 Exs'!$H164="")),'08 Exs'!$H164,4)</f>
        <v>3</v>
      </c>
      <c r="AG164">
        <f>IF(AND('08 Exs'!E164&lt;Tmax, NOT('08 Exs'!$H164="")),'08 Exs'!$H164,4)</f>
        <v>3</v>
      </c>
      <c r="AH164">
        <f>IF(AND('08 Exs'!F164&lt;Tmax, NOT('08 Exs'!$H164="")),'08 Exs'!$H164,4)</f>
        <v>3</v>
      </c>
      <c r="AI164"/>
    </row>
    <row r="165" spans="1:35" outlineLevel="1" x14ac:dyDescent="0.2">
      <c r="A165" s="633" t="s">
        <v>2060</v>
      </c>
      <c r="B165" s="634" t="s">
        <v>6391</v>
      </c>
      <c r="C165" s="786"/>
      <c r="D165" s="702"/>
      <c r="E165" s="789"/>
      <c r="F165" s="789"/>
      <c r="G165" s="1480"/>
      <c r="H165" s="1480"/>
      <c r="I165" s="1480"/>
      <c r="J165" s="1480"/>
      <c r="K165" s="1459"/>
      <c r="L165" s="1459"/>
      <c r="M165" s="785"/>
      <c r="AA165"/>
      <c r="AB165"/>
      <c r="AC165"/>
      <c r="AD165"/>
      <c r="AE165"/>
      <c r="AF165"/>
      <c r="AG165"/>
      <c r="AH165"/>
      <c r="AI165"/>
    </row>
    <row r="166" spans="1:35" outlineLevel="2" x14ac:dyDescent="0.2">
      <c r="A166" s="636" t="s">
        <v>1677</v>
      </c>
      <c r="B166" s="636" t="s">
        <v>2267</v>
      </c>
      <c r="C166" s="786"/>
      <c r="D166" s="702"/>
      <c r="E166" s="790"/>
      <c r="F166" s="790"/>
      <c r="G166" s="1480">
        <v>4</v>
      </c>
      <c r="H166" s="1480"/>
      <c r="I166" s="1480"/>
      <c r="J166" s="1480" t="s">
        <v>4246</v>
      </c>
      <c r="K166" s="1459"/>
      <c r="L166" s="1459"/>
      <c r="M166" s="785"/>
      <c r="AA166">
        <f>IF(AND('08 Exs'!C166&gt;Tmin, NOT('08 Exs'!$I166="")),'08 Exs'!$I166,0)</f>
        <v>0</v>
      </c>
      <c r="AB166">
        <f>IF(AND('08 Exs'!D166&gt;Tmin, NOT('08 Exs'!$I166="")),'08 Exs'!$I166,0)</f>
        <v>0</v>
      </c>
      <c r="AC166">
        <f>IF(AND('08 Exs'!E166&gt;Tmin, NOT('08 Exs'!$I166="")),'08 Exs'!$I166,0)</f>
        <v>0</v>
      </c>
      <c r="AD166">
        <f>IF(AND('08 Exs'!F166&gt;Tmin, NOT('08 Exs'!$I166="")),'08 Exs'!$I166,0)</f>
        <v>0</v>
      </c>
      <c r="AE166">
        <f>IF(AND('08 Exs'!C166&lt;Tmax, NOT('08 Exs'!$H166="")),'08 Exs'!$H166,4)</f>
        <v>4</v>
      </c>
      <c r="AF166">
        <f>IF(AND('08 Exs'!D166&lt;Tmax, NOT('08 Exs'!$H166="")),'08 Exs'!$H166,4)</f>
        <v>4</v>
      </c>
      <c r="AG166">
        <f>IF(AND('08 Exs'!E166&lt;Tmax, NOT('08 Exs'!$H166="")),'08 Exs'!$H166,4)</f>
        <v>4</v>
      </c>
      <c r="AH166">
        <f>IF(AND('08 Exs'!F166&lt;Tmax, NOT('08 Exs'!$H166="")),'08 Exs'!$H166,4)</f>
        <v>4</v>
      </c>
      <c r="AI166"/>
    </row>
    <row r="167" spans="1:35" ht="22.5" outlineLevel="2" x14ac:dyDescent="0.2">
      <c r="A167" s="636" t="s">
        <v>6267</v>
      </c>
      <c r="B167" s="636" t="s">
        <v>6268</v>
      </c>
      <c r="C167" s="786"/>
      <c r="D167" s="702"/>
      <c r="E167" s="789"/>
      <c r="F167" s="789"/>
      <c r="G167" s="1480">
        <v>4</v>
      </c>
      <c r="H167" s="1480">
        <v>2</v>
      </c>
      <c r="I167" s="1480"/>
      <c r="J167" s="1480" t="s">
        <v>4246</v>
      </c>
      <c r="K167" s="1459"/>
      <c r="L167" s="1459"/>
      <c r="M167" s="785"/>
      <c r="AA167">
        <f>IF(AND('08 Exs'!C167&gt;Tmin, NOT('08 Exs'!$I167="")),'08 Exs'!$I167,0)</f>
        <v>0</v>
      </c>
      <c r="AB167">
        <f>IF(AND('08 Exs'!D167&gt;Tmin, NOT('08 Exs'!$I167="")),'08 Exs'!$I167,0)</f>
        <v>0</v>
      </c>
      <c r="AC167">
        <f>IF(AND('08 Exs'!E167&gt;Tmin, NOT('08 Exs'!$I167="")),'08 Exs'!$I167,0)</f>
        <v>0</v>
      </c>
      <c r="AD167">
        <f>IF(AND('08 Exs'!F167&gt;Tmin, NOT('08 Exs'!$I167="")),'08 Exs'!$I167,0)</f>
        <v>0</v>
      </c>
      <c r="AE167">
        <f>IF(AND('08 Exs'!C167&lt;Tmax, NOT('08 Exs'!$H167="")),'08 Exs'!$H167,4)</f>
        <v>2</v>
      </c>
      <c r="AF167">
        <f>IF(AND('08 Exs'!D167&lt;Tmax, NOT('08 Exs'!$H167="")),'08 Exs'!$H167,4)</f>
        <v>2</v>
      </c>
      <c r="AG167">
        <f>IF(AND('08 Exs'!E167&lt;Tmax, NOT('08 Exs'!$H167="")),'08 Exs'!$H167,4)</f>
        <v>2</v>
      </c>
      <c r="AH167">
        <f>IF(AND('08 Exs'!F167&lt;Tmax, NOT('08 Exs'!$H167="")),'08 Exs'!$H167,4)</f>
        <v>2</v>
      </c>
      <c r="AI167"/>
    </row>
    <row r="168" spans="1:35" ht="22.5" outlineLevel="2" x14ac:dyDescent="0.2">
      <c r="A168" s="636" t="s">
        <v>6269</v>
      </c>
      <c r="B168" s="636" t="s">
        <v>6389</v>
      </c>
      <c r="C168" s="786"/>
      <c r="D168" s="702"/>
      <c r="E168" s="789"/>
      <c r="F168" s="789"/>
      <c r="G168" s="1480">
        <v>4</v>
      </c>
      <c r="H168" s="1480">
        <v>3</v>
      </c>
      <c r="I168" s="1480"/>
      <c r="J168" s="1480" t="s">
        <v>1592</v>
      </c>
      <c r="K168" s="1459"/>
      <c r="L168" s="1459"/>
      <c r="M168" s="785"/>
      <c r="AA168">
        <f>IF(AND('08 Exs'!C168&gt;Tmin, NOT('08 Exs'!$I168="")),'08 Exs'!$I168,0)</f>
        <v>0</v>
      </c>
      <c r="AB168">
        <f>IF(AND('08 Exs'!D168&gt;Tmin, NOT('08 Exs'!$I168="")),'08 Exs'!$I168,0)</f>
        <v>0</v>
      </c>
      <c r="AC168">
        <f>IF(AND('08 Exs'!E168&gt;Tmin, NOT('08 Exs'!$I168="")),'08 Exs'!$I168,0)</f>
        <v>0</v>
      </c>
      <c r="AD168">
        <f>IF(AND('08 Exs'!F168&gt;Tmin, NOT('08 Exs'!$I168="")),'08 Exs'!$I168,0)</f>
        <v>0</v>
      </c>
      <c r="AE168">
        <f>IF(AND('08 Exs'!C168&lt;Tmax, NOT('08 Exs'!$H168="")),'08 Exs'!$H168,4)</f>
        <v>3</v>
      </c>
      <c r="AF168">
        <f>IF(AND('08 Exs'!D168&lt;Tmax, NOT('08 Exs'!$H168="")),'08 Exs'!$H168,4)</f>
        <v>3</v>
      </c>
      <c r="AG168">
        <f>IF(AND('08 Exs'!E168&lt;Tmax, NOT('08 Exs'!$H168="")),'08 Exs'!$H168,4)</f>
        <v>3</v>
      </c>
      <c r="AH168">
        <f>IF(AND('08 Exs'!F168&lt;Tmax, NOT('08 Exs'!$H168="")),'08 Exs'!$H168,4)</f>
        <v>3</v>
      </c>
      <c r="AI168"/>
    </row>
    <row r="169" spans="1:35" outlineLevel="2" x14ac:dyDescent="0.2">
      <c r="A169" s="636" t="s">
        <v>6270</v>
      </c>
      <c r="B169" s="636" t="s">
        <v>6271</v>
      </c>
      <c r="C169" s="786"/>
      <c r="D169" s="702"/>
      <c r="E169" s="789"/>
      <c r="F169" s="789"/>
      <c r="G169" s="1480">
        <v>2</v>
      </c>
      <c r="H169" s="1480"/>
      <c r="I169" s="1480"/>
      <c r="J169" s="1480" t="s">
        <v>2329</v>
      </c>
      <c r="K169" s="1459"/>
      <c r="L169" s="1459"/>
      <c r="M169" s="785"/>
      <c r="AA169">
        <f>IF(AND('08 Exs'!C169&gt;Tmin, NOT('08 Exs'!$I169="")),'08 Exs'!$I169,0)</f>
        <v>0</v>
      </c>
      <c r="AB169">
        <f>IF(AND('08 Exs'!D169&gt;Tmin, NOT('08 Exs'!$I169="")),'08 Exs'!$I169,0)</f>
        <v>0</v>
      </c>
      <c r="AC169">
        <f>IF(AND('08 Exs'!E169&gt;Tmin, NOT('08 Exs'!$I169="")),'08 Exs'!$I169,0)</f>
        <v>0</v>
      </c>
      <c r="AD169">
        <f>IF(AND('08 Exs'!F169&gt;Tmin, NOT('08 Exs'!$I169="")),'08 Exs'!$I169,0)</f>
        <v>0</v>
      </c>
      <c r="AE169">
        <f>IF(AND('08 Exs'!C169&lt;Tmax, NOT('08 Exs'!$H169="")),'08 Exs'!$H169,4)</f>
        <v>4</v>
      </c>
      <c r="AF169">
        <f>IF(AND('08 Exs'!D169&lt;Tmax, NOT('08 Exs'!$H169="")),'08 Exs'!$H169,4)</f>
        <v>4</v>
      </c>
      <c r="AG169">
        <f>IF(AND('08 Exs'!E169&lt;Tmax, NOT('08 Exs'!$H169="")),'08 Exs'!$H169,4)</f>
        <v>4</v>
      </c>
      <c r="AH169">
        <f>IF(AND('08 Exs'!F169&lt;Tmax, NOT('08 Exs'!$H169="")),'08 Exs'!$H169,4)</f>
        <v>4</v>
      </c>
      <c r="AI169"/>
    </row>
    <row r="170" spans="1:35" outlineLevel="2" x14ac:dyDescent="0.2">
      <c r="A170" s="636" t="s">
        <v>6272</v>
      </c>
      <c r="B170" s="636" t="s">
        <v>6213</v>
      </c>
      <c r="C170" s="786"/>
      <c r="D170" s="702"/>
      <c r="E170" s="789"/>
      <c r="F170" s="789"/>
      <c r="G170" s="1480">
        <v>4</v>
      </c>
      <c r="H170" s="1480"/>
      <c r="I170" s="1480">
        <v>3</v>
      </c>
      <c r="J170" s="1480" t="s">
        <v>2329</v>
      </c>
      <c r="K170" s="1459" t="s">
        <v>5882</v>
      </c>
      <c r="L170" s="1459" t="s">
        <v>978</v>
      </c>
      <c r="M170" s="785"/>
      <c r="AA170">
        <f>IF(AND('08 Exs'!C170&gt;Tmin, NOT('08 Exs'!$I170="")),'08 Exs'!$I170,0)</f>
        <v>0</v>
      </c>
      <c r="AB170">
        <f>IF(AND('08 Exs'!D170&gt;Tmin, NOT('08 Exs'!$I170="")),'08 Exs'!$I170,0)</f>
        <v>0</v>
      </c>
      <c r="AC170">
        <f>IF(AND('08 Exs'!E170&gt;Tmin, NOT('08 Exs'!$I170="")),'08 Exs'!$I170,0)</f>
        <v>0</v>
      </c>
      <c r="AD170">
        <f>IF(AND('08 Exs'!F170&gt;Tmin, NOT('08 Exs'!$I170="")),'08 Exs'!$I170,0)</f>
        <v>0</v>
      </c>
      <c r="AE170">
        <f>IF(AND('08 Exs'!C170&lt;Tmax, NOT('08 Exs'!$H170="")),'08 Exs'!$H170,4)</f>
        <v>4</v>
      </c>
      <c r="AF170">
        <f>IF(AND('08 Exs'!D170&lt;Tmax, NOT('08 Exs'!$H170="")),'08 Exs'!$H170,4)</f>
        <v>4</v>
      </c>
      <c r="AG170">
        <f>IF(AND('08 Exs'!E170&lt;Tmax, NOT('08 Exs'!$H170="")),'08 Exs'!$H170,4)</f>
        <v>4</v>
      </c>
      <c r="AH170">
        <f>IF(AND('08 Exs'!F170&lt;Tmax, NOT('08 Exs'!$H170="")),'08 Exs'!$H170,4)</f>
        <v>4</v>
      </c>
      <c r="AI170"/>
    </row>
    <row r="171" spans="1:35" ht="56.25" outlineLevel="2" x14ac:dyDescent="0.2">
      <c r="A171" s="636" t="s">
        <v>6273</v>
      </c>
      <c r="B171" s="636" t="s">
        <v>5876</v>
      </c>
      <c r="C171" s="786"/>
      <c r="D171" s="702"/>
      <c r="E171" s="789"/>
      <c r="F171" s="789"/>
      <c r="G171" s="1480">
        <v>2</v>
      </c>
      <c r="H171" s="1480">
        <v>2</v>
      </c>
      <c r="I171" s="1480"/>
      <c r="J171" s="1480" t="s">
        <v>1592</v>
      </c>
      <c r="K171" s="1459"/>
      <c r="L171" s="1459"/>
      <c r="M171" s="785"/>
      <c r="AA171">
        <f>IF(AND('08 Exs'!C171&gt;Tmin, NOT('08 Exs'!$I171="")),'08 Exs'!$I171,0)</f>
        <v>0</v>
      </c>
      <c r="AB171">
        <f>IF(AND('08 Exs'!D171&gt;Tmin, NOT('08 Exs'!$I171="")),'08 Exs'!$I171,0)</f>
        <v>0</v>
      </c>
      <c r="AC171">
        <f>IF(AND('08 Exs'!E171&gt;Tmin, NOT('08 Exs'!$I171="")),'08 Exs'!$I171,0)</f>
        <v>0</v>
      </c>
      <c r="AD171">
        <f>IF(AND('08 Exs'!F171&gt;Tmin, NOT('08 Exs'!$I171="")),'08 Exs'!$I171,0)</f>
        <v>0</v>
      </c>
      <c r="AE171">
        <f>IF(AND('08 Exs'!C171&lt;Tmax, NOT('08 Exs'!$H171="")),'08 Exs'!$H171,4)</f>
        <v>2</v>
      </c>
      <c r="AF171">
        <f>IF(AND('08 Exs'!D171&lt;Tmax, NOT('08 Exs'!$H171="")),'08 Exs'!$H171,4)</f>
        <v>2</v>
      </c>
      <c r="AG171">
        <f>IF(AND('08 Exs'!E171&lt;Tmax, NOT('08 Exs'!$H171="")),'08 Exs'!$H171,4)</f>
        <v>2</v>
      </c>
      <c r="AH171">
        <f>IF(AND('08 Exs'!F171&lt;Tmax, NOT('08 Exs'!$H171="")),'08 Exs'!$H171,4)</f>
        <v>2</v>
      </c>
      <c r="AI171"/>
    </row>
    <row r="172" spans="1:35" ht="22.5" outlineLevel="2" x14ac:dyDescent="0.2">
      <c r="A172" s="636" t="s">
        <v>6304</v>
      </c>
      <c r="B172" s="636" t="s">
        <v>6250</v>
      </c>
      <c r="C172" s="786"/>
      <c r="D172" s="702"/>
      <c r="E172" s="789"/>
      <c r="F172" s="789"/>
      <c r="G172" s="1480">
        <v>4</v>
      </c>
      <c r="H172" s="1480">
        <v>3</v>
      </c>
      <c r="I172" s="1480"/>
      <c r="J172" s="1480" t="s">
        <v>2349</v>
      </c>
      <c r="K172" s="1459"/>
      <c r="L172" s="1459"/>
      <c r="M172" s="785"/>
      <c r="AA172">
        <f>IF(AND('08 Exs'!C172&gt;Tmin, NOT('08 Exs'!$I172="")),'08 Exs'!$I172,0)</f>
        <v>0</v>
      </c>
      <c r="AB172">
        <f>IF(AND('08 Exs'!D172&gt;Tmin, NOT('08 Exs'!$I172="")),'08 Exs'!$I172,0)</f>
        <v>0</v>
      </c>
      <c r="AC172">
        <f>IF(AND('08 Exs'!E172&gt;Tmin, NOT('08 Exs'!$I172="")),'08 Exs'!$I172,0)</f>
        <v>0</v>
      </c>
      <c r="AD172">
        <f>IF(AND('08 Exs'!F172&gt;Tmin, NOT('08 Exs'!$I172="")),'08 Exs'!$I172,0)</f>
        <v>0</v>
      </c>
      <c r="AE172">
        <f>IF(AND('08 Exs'!C172&lt;Tmax, NOT('08 Exs'!$H172="")),'08 Exs'!$H172,4)</f>
        <v>3</v>
      </c>
      <c r="AF172">
        <f>IF(AND('08 Exs'!D172&lt;Tmax, NOT('08 Exs'!$H172="")),'08 Exs'!$H172,4)</f>
        <v>3</v>
      </c>
      <c r="AG172">
        <f>IF(AND('08 Exs'!E172&lt;Tmax, NOT('08 Exs'!$H172="")),'08 Exs'!$H172,4)</f>
        <v>3</v>
      </c>
      <c r="AH172">
        <f>IF(AND('08 Exs'!F172&lt;Tmax, NOT('08 Exs'!$H172="")),'08 Exs'!$H172,4)</f>
        <v>3</v>
      </c>
      <c r="AI172"/>
    </row>
    <row r="173" spans="1:35" ht="22.5" outlineLevel="2" x14ac:dyDescent="0.2">
      <c r="A173" s="636" t="s">
        <v>6251</v>
      </c>
      <c r="B173" s="636" t="s">
        <v>6871</v>
      </c>
      <c r="C173" s="786"/>
      <c r="D173" s="702"/>
      <c r="E173" s="789"/>
      <c r="F173" s="789"/>
      <c r="G173" s="1480">
        <v>4</v>
      </c>
      <c r="H173" s="1480">
        <v>2</v>
      </c>
      <c r="I173" s="1480"/>
      <c r="J173" s="1480" t="s">
        <v>2349</v>
      </c>
      <c r="K173" s="1459"/>
      <c r="L173" s="1459"/>
      <c r="M173" s="785"/>
      <c r="AA173">
        <f>IF(AND('08 Exs'!C173&gt;Tmin, NOT('08 Exs'!$I173="")),'08 Exs'!$I173,0)</f>
        <v>0</v>
      </c>
      <c r="AB173">
        <f>IF(AND('08 Exs'!D173&gt;Tmin, NOT('08 Exs'!$I173="")),'08 Exs'!$I173,0)</f>
        <v>0</v>
      </c>
      <c r="AC173">
        <f>IF(AND('08 Exs'!E173&gt;Tmin, NOT('08 Exs'!$I173="")),'08 Exs'!$I173,0)</f>
        <v>0</v>
      </c>
      <c r="AD173">
        <f>IF(AND('08 Exs'!F173&gt;Tmin, NOT('08 Exs'!$I173="")),'08 Exs'!$I173,0)</f>
        <v>0</v>
      </c>
      <c r="AE173">
        <f>IF(AND('08 Exs'!C173&lt;Tmax, NOT('08 Exs'!$H173="")),'08 Exs'!$H173,4)</f>
        <v>2</v>
      </c>
      <c r="AF173">
        <f>IF(AND('08 Exs'!D173&lt;Tmax, NOT('08 Exs'!$H173="")),'08 Exs'!$H173,4)</f>
        <v>2</v>
      </c>
      <c r="AG173">
        <f>IF(AND('08 Exs'!E173&lt;Tmax, NOT('08 Exs'!$H173="")),'08 Exs'!$H173,4)</f>
        <v>2</v>
      </c>
      <c r="AH173">
        <f>IF(AND('08 Exs'!F173&lt;Tmax, NOT('08 Exs'!$H173="")),'08 Exs'!$H173,4)</f>
        <v>2</v>
      </c>
      <c r="AI173"/>
    </row>
    <row r="174" spans="1:35" ht="22.5" outlineLevel="2" x14ac:dyDescent="0.2">
      <c r="A174" s="636" t="s">
        <v>6252</v>
      </c>
      <c r="B174" s="636" t="s">
        <v>6530</v>
      </c>
      <c r="C174" s="786"/>
      <c r="D174" s="702"/>
      <c r="E174" s="789"/>
      <c r="F174" s="789"/>
      <c r="G174" s="1480">
        <v>4</v>
      </c>
      <c r="H174" s="1480">
        <v>2</v>
      </c>
      <c r="I174" s="1480"/>
      <c r="J174" s="1480" t="s">
        <v>2349</v>
      </c>
      <c r="K174" s="1459"/>
      <c r="L174" s="1459"/>
      <c r="M174" s="785"/>
      <c r="AA174">
        <f>IF(AND('08 Exs'!C174&gt;Tmin, NOT('08 Exs'!$I174="")),'08 Exs'!$I174,0)</f>
        <v>0</v>
      </c>
      <c r="AB174">
        <f>IF(AND('08 Exs'!D174&gt;Tmin, NOT('08 Exs'!$I174="")),'08 Exs'!$I174,0)</f>
        <v>0</v>
      </c>
      <c r="AC174">
        <f>IF(AND('08 Exs'!E174&gt;Tmin, NOT('08 Exs'!$I174="")),'08 Exs'!$I174,0)</f>
        <v>0</v>
      </c>
      <c r="AD174">
        <f>IF(AND('08 Exs'!F174&gt;Tmin, NOT('08 Exs'!$I174="")),'08 Exs'!$I174,0)</f>
        <v>0</v>
      </c>
      <c r="AE174">
        <f>IF(AND('08 Exs'!C174&lt;Tmax, NOT('08 Exs'!$H174="")),'08 Exs'!$H174,4)</f>
        <v>2</v>
      </c>
      <c r="AF174">
        <f>IF(AND('08 Exs'!D174&lt;Tmax, NOT('08 Exs'!$H174="")),'08 Exs'!$H174,4)</f>
        <v>2</v>
      </c>
      <c r="AG174">
        <f>IF(AND('08 Exs'!E174&lt;Tmax, NOT('08 Exs'!$H174="")),'08 Exs'!$H174,4)</f>
        <v>2</v>
      </c>
      <c r="AH174">
        <f>IF(AND('08 Exs'!F174&lt;Tmax, NOT('08 Exs'!$H174="")),'08 Exs'!$H174,4)</f>
        <v>2</v>
      </c>
      <c r="AI174"/>
    </row>
    <row r="175" spans="1:35" outlineLevel="2" x14ac:dyDescent="0.2">
      <c r="A175" s="636" t="s">
        <v>6253</v>
      </c>
      <c r="B175" s="636" t="s">
        <v>6191</v>
      </c>
      <c r="C175" s="786"/>
      <c r="D175" s="702"/>
      <c r="E175" s="789"/>
      <c r="F175" s="789"/>
      <c r="G175" s="1480">
        <v>3</v>
      </c>
      <c r="H175" s="1480"/>
      <c r="I175" s="1480"/>
      <c r="J175" s="1480" t="s">
        <v>2109</v>
      </c>
      <c r="K175" s="1459"/>
      <c r="L175" s="1459"/>
      <c r="M175" s="785"/>
      <c r="AA175">
        <f>IF(AND('08 Exs'!C175&gt;Tmin, NOT('08 Exs'!$I175="")),'08 Exs'!$I175,0)</f>
        <v>0</v>
      </c>
      <c r="AB175">
        <f>IF(AND('08 Exs'!D175&gt;Tmin, NOT('08 Exs'!$I175="")),'08 Exs'!$I175,0)</f>
        <v>0</v>
      </c>
      <c r="AC175">
        <f>IF(AND('08 Exs'!E175&gt;Tmin, NOT('08 Exs'!$I175="")),'08 Exs'!$I175,0)</f>
        <v>0</v>
      </c>
      <c r="AD175">
        <f>IF(AND('08 Exs'!F175&gt;Tmin, NOT('08 Exs'!$I175="")),'08 Exs'!$I175,0)</f>
        <v>0</v>
      </c>
      <c r="AE175">
        <f>IF(AND('08 Exs'!C175&lt;Tmax, NOT('08 Exs'!$H175="")),'08 Exs'!$H175,4)</f>
        <v>4</v>
      </c>
      <c r="AF175">
        <f>IF(AND('08 Exs'!D175&lt;Tmax, NOT('08 Exs'!$H175="")),'08 Exs'!$H175,4)</f>
        <v>4</v>
      </c>
      <c r="AG175">
        <f>IF(AND('08 Exs'!E175&lt;Tmax, NOT('08 Exs'!$H175="")),'08 Exs'!$H175,4)</f>
        <v>4</v>
      </c>
      <c r="AH175">
        <f>IF(AND('08 Exs'!F175&lt;Tmax, NOT('08 Exs'!$H175="")),'08 Exs'!$H175,4)</f>
        <v>4</v>
      </c>
      <c r="AI175"/>
    </row>
    <row r="176" spans="1:35" outlineLevel="1" x14ac:dyDescent="0.2">
      <c r="A176" s="633" t="s">
        <v>2061</v>
      </c>
      <c r="B176" s="634" t="s">
        <v>6560</v>
      </c>
      <c r="C176" s="786"/>
      <c r="D176" s="702"/>
      <c r="E176" s="789"/>
      <c r="F176" s="789"/>
      <c r="G176" s="1480"/>
      <c r="H176" s="1480"/>
      <c r="I176" s="1480"/>
      <c r="J176" s="1480"/>
      <c r="K176" s="1459"/>
      <c r="L176" s="1459"/>
      <c r="M176" s="785"/>
      <c r="AA176"/>
      <c r="AB176"/>
      <c r="AC176"/>
      <c r="AD176"/>
      <c r="AE176"/>
      <c r="AF176"/>
      <c r="AG176"/>
      <c r="AH176"/>
      <c r="AI176"/>
    </row>
    <row r="177" spans="1:35" ht="22.5" outlineLevel="2" x14ac:dyDescent="0.2">
      <c r="A177" s="636" t="s">
        <v>6192</v>
      </c>
      <c r="B177" s="636" t="s">
        <v>5783</v>
      </c>
      <c r="C177" s="786"/>
      <c r="D177" s="702"/>
      <c r="E177" s="789"/>
      <c r="F177" s="789"/>
      <c r="G177" s="1480">
        <v>2</v>
      </c>
      <c r="H177" s="1480"/>
      <c r="I177" s="1480"/>
      <c r="J177" s="1480" t="s">
        <v>4246</v>
      </c>
      <c r="K177" s="1459" t="s">
        <v>59</v>
      </c>
      <c r="L177" s="1459" t="s">
        <v>7365</v>
      </c>
      <c r="M177" s="785"/>
      <c r="AA177">
        <f>IF(AND('08 Exs'!C177&gt;Tmin, NOT('08 Exs'!$I177="")),'08 Exs'!$I177,0)</f>
        <v>0</v>
      </c>
      <c r="AB177">
        <f>IF(AND('08 Exs'!D177&gt;Tmin, NOT('08 Exs'!$I177="")),'08 Exs'!$I177,0)</f>
        <v>0</v>
      </c>
      <c r="AC177">
        <f>IF(AND('08 Exs'!E177&gt;Tmin, NOT('08 Exs'!$I177="")),'08 Exs'!$I177,0)</f>
        <v>0</v>
      </c>
      <c r="AD177">
        <f>IF(AND('08 Exs'!F177&gt;Tmin, NOT('08 Exs'!$I177="")),'08 Exs'!$I177,0)</f>
        <v>0</v>
      </c>
      <c r="AE177">
        <f>IF(AND('08 Exs'!C177&lt;Tmax, NOT('08 Exs'!$H177="")),'08 Exs'!$H177,4)</f>
        <v>4</v>
      </c>
      <c r="AF177">
        <f>IF(AND('08 Exs'!D177&lt;Tmax, NOT('08 Exs'!$H177="")),'08 Exs'!$H177,4)</f>
        <v>4</v>
      </c>
      <c r="AG177">
        <f>IF(AND('08 Exs'!E177&lt;Tmax, NOT('08 Exs'!$H177="")),'08 Exs'!$H177,4)</f>
        <v>4</v>
      </c>
      <c r="AH177">
        <f>IF(AND('08 Exs'!F177&lt;Tmax, NOT('08 Exs'!$H177="")),'08 Exs'!$H177,4)</f>
        <v>4</v>
      </c>
      <c r="AI177"/>
    </row>
    <row r="178" spans="1:35" s="681" customFormat="1" outlineLevel="2" x14ac:dyDescent="0.2">
      <c r="A178" s="636" t="s">
        <v>5044</v>
      </c>
      <c r="B178" s="636" t="s">
        <v>5784</v>
      </c>
      <c r="C178" s="786"/>
      <c r="D178" s="702"/>
      <c r="E178" s="789"/>
      <c r="F178" s="789"/>
      <c r="G178" s="1480">
        <v>4</v>
      </c>
      <c r="H178" s="1480"/>
      <c r="I178" s="1480"/>
      <c r="J178" s="1480" t="s">
        <v>1592</v>
      </c>
      <c r="K178" s="1459"/>
      <c r="L178" s="1459"/>
      <c r="M178" s="785"/>
      <c r="N178" s="680"/>
      <c r="O178" s="680"/>
      <c r="P178" s="680"/>
      <c r="Q178" s="680"/>
      <c r="R178" s="680"/>
      <c r="S178" s="680"/>
      <c r="T178" s="680"/>
      <c r="U178" s="680"/>
      <c r="V178" s="680"/>
      <c r="W178" s="680"/>
      <c r="X178" s="680"/>
      <c r="Y178" s="680"/>
      <c r="Z178" s="680"/>
      <c r="AA178">
        <f>IF(AND('08 Exs'!C178&gt;Tmin, NOT('08 Exs'!$I178="")),'08 Exs'!$I178,0)</f>
        <v>0</v>
      </c>
      <c r="AB178">
        <f>IF(AND('08 Exs'!D178&gt;Tmin, NOT('08 Exs'!$I178="")),'08 Exs'!$I178,0)</f>
        <v>0</v>
      </c>
      <c r="AC178">
        <f>IF(AND('08 Exs'!E178&gt;Tmin, NOT('08 Exs'!$I178="")),'08 Exs'!$I178,0)</f>
        <v>0</v>
      </c>
      <c r="AD178">
        <f>IF(AND('08 Exs'!F178&gt;Tmin, NOT('08 Exs'!$I178="")),'08 Exs'!$I178,0)</f>
        <v>0</v>
      </c>
      <c r="AE178">
        <f>IF(AND('08 Exs'!C178&lt;Tmax, NOT('08 Exs'!$H178="")),'08 Exs'!$H178,4)</f>
        <v>4</v>
      </c>
      <c r="AF178">
        <f>IF(AND('08 Exs'!D178&lt;Tmax, NOT('08 Exs'!$H178="")),'08 Exs'!$H178,4)</f>
        <v>4</v>
      </c>
      <c r="AG178">
        <f>IF(AND('08 Exs'!E178&lt;Tmax, NOT('08 Exs'!$H178="")),'08 Exs'!$H178,4)</f>
        <v>4</v>
      </c>
      <c r="AH178">
        <f>IF(AND('08 Exs'!F178&lt;Tmax, NOT('08 Exs'!$H178="")),'08 Exs'!$H178,4)</f>
        <v>4</v>
      </c>
      <c r="AI178"/>
    </row>
    <row r="179" spans="1:35" s="792" customFormat="1" outlineLevel="2" collapsed="1" x14ac:dyDescent="0.2">
      <c r="A179" s="636" t="s">
        <v>5045</v>
      </c>
      <c r="B179" s="636" t="s">
        <v>5785</v>
      </c>
      <c r="C179" s="786"/>
      <c r="D179" s="702"/>
      <c r="E179" s="789"/>
      <c r="F179" s="789"/>
      <c r="G179" s="1480">
        <v>2</v>
      </c>
      <c r="H179" s="1480"/>
      <c r="I179" s="1480"/>
      <c r="J179" s="1480" t="s">
        <v>1592</v>
      </c>
      <c r="K179" s="1459"/>
      <c r="L179" s="1459"/>
      <c r="M179" s="785"/>
      <c r="N179" s="791"/>
      <c r="O179" s="791"/>
      <c r="P179" s="791"/>
      <c r="Q179" s="791"/>
      <c r="R179" s="791"/>
      <c r="S179" s="791"/>
      <c r="T179" s="791"/>
      <c r="U179" s="791"/>
      <c r="V179" s="791"/>
      <c r="W179" s="791"/>
      <c r="X179" s="791"/>
      <c r="Y179" s="791"/>
      <c r="Z179" s="791"/>
      <c r="AA179">
        <f>IF(AND('08 Exs'!C179&gt;Tmin, NOT('08 Exs'!$I179="")),'08 Exs'!$I179,0)</f>
        <v>0</v>
      </c>
      <c r="AB179">
        <f>IF(AND('08 Exs'!D179&gt;Tmin, NOT('08 Exs'!$I179="")),'08 Exs'!$I179,0)</f>
        <v>0</v>
      </c>
      <c r="AC179">
        <f>IF(AND('08 Exs'!E179&gt;Tmin, NOT('08 Exs'!$I179="")),'08 Exs'!$I179,0)</f>
        <v>0</v>
      </c>
      <c r="AD179">
        <f>IF(AND('08 Exs'!F179&gt;Tmin, NOT('08 Exs'!$I179="")),'08 Exs'!$I179,0)</f>
        <v>0</v>
      </c>
      <c r="AE179">
        <f>IF(AND('08 Exs'!C179&lt;Tmax, NOT('08 Exs'!$H179="")),'08 Exs'!$H179,4)</f>
        <v>4</v>
      </c>
      <c r="AF179">
        <f>IF(AND('08 Exs'!D179&lt;Tmax, NOT('08 Exs'!$H179="")),'08 Exs'!$H179,4)</f>
        <v>4</v>
      </c>
      <c r="AG179">
        <f>IF(AND('08 Exs'!E179&lt;Tmax, NOT('08 Exs'!$H179="")),'08 Exs'!$H179,4)</f>
        <v>4</v>
      </c>
      <c r="AH179">
        <f>IF(AND('08 Exs'!F179&lt;Tmax, NOT('08 Exs'!$H179="")),'08 Exs'!$H179,4)</f>
        <v>4</v>
      </c>
      <c r="AI179"/>
    </row>
    <row r="180" spans="1:35" s="792" customFormat="1" outlineLevel="2" x14ac:dyDescent="0.2">
      <c r="A180" s="636" t="s">
        <v>5046</v>
      </c>
      <c r="B180" s="636" t="s">
        <v>6439</v>
      </c>
      <c r="C180" s="786"/>
      <c r="D180" s="702"/>
      <c r="E180" s="789"/>
      <c r="F180" s="789"/>
      <c r="G180" s="1480">
        <v>2</v>
      </c>
      <c r="H180" s="1480"/>
      <c r="I180" s="1480"/>
      <c r="J180" s="1480" t="s">
        <v>1592</v>
      </c>
      <c r="K180" s="1459"/>
      <c r="L180" s="1459"/>
      <c r="M180" s="785"/>
      <c r="N180" s="791"/>
      <c r="O180" s="791"/>
      <c r="P180" s="791"/>
      <c r="Q180" s="791"/>
      <c r="R180" s="791"/>
      <c r="S180" s="791"/>
      <c r="T180" s="791"/>
      <c r="U180" s="791"/>
      <c r="V180" s="791"/>
      <c r="W180" s="791"/>
      <c r="X180" s="791"/>
      <c r="Y180" s="791"/>
      <c r="Z180" s="791"/>
      <c r="AA180">
        <f>IF(AND('08 Exs'!C180&gt;Tmin, NOT('08 Exs'!$I180="")),'08 Exs'!$I180,0)</f>
        <v>0</v>
      </c>
      <c r="AB180">
        <f>IF(AND('08 Exs'!D180&gt;Tmin, NOT('08 Exs'!$I180="")),'08 Exs'!$I180,0)</f>
        <v>0</v>
      </c>
      <c r="AC180">
        <f>IF(AND('08 Exs'!E180&gt;Tmin, NOT('08 Exs'!$I180="")),'08 Exs'!$I180,0)</f>
        <v>0</v>
      </c>
      <c r="AD180">
        <f>IF(AND('08 Exs'!F180&gt;Tmin, NOT('08 Exs'!$I180="")),'08 Exs'!$I180,0)</f>
        <v>0</v>
      </c>
      <c r="AE180">
        <f>IF(AND('08 Exs'!C180&lt;Tmax, NOT('08 Exs'!$H180="")),'08 Exs'!$H180,4)</f>
        <v>4</v>
      </c>
      <c r="AF180">
        <f>IF(AND('08 Exs'!D180&lt;Tmax, NOT('08 Exs'!$H180="")),'08 Exs'!$H180,4)</f>
        <v>4</v>
      </c>
      <c r="AG180">
        <f>IF(AND('08 Exs'!E180&lt;Tmax, NOT('08 Exs'!$H180="")),'08 Exs'!$H180,4)</f>
        <v>4</v>
      </c>
      <c r="AH180">
        <f>IF(AND('08 Exs'!F180&lt;Tmax, NOT('08 Exs'!$H180="")),'08 Exs'!$H180,4)</f>
        <v>4</v>
      </c>
      <c r="AI180"/>
    </row>
    <row r="181" spans="1:35" outlineLevel="2" x14ac:dyDescent="0.2">
      <c r="A181" s="636" t="s">
        <v>5047</v>
      </c>
      <c r="B181" s="636" t="s">
        <v>6559</v>
      </c>
      <c r="C181" s="786"/>
      <c r="D181" s="702"/>
      <c r="E181" s="789"/>
      <c r="F181" s="789"/>
      <c r="G181" s="1480">
        <v>2</v>
      </c>
      <c r="H181" s="1480">
        <v>3</v>
      </c>
      <c r="I181" s="1480"/>
      <c r="J181" s="1480" t="s">
        <v>2109</v>
      </c>
      <c r="K181" s="1459"/>
      <c r="L181" s="1459"/>
      <c r="M181" s="785"/>
      <c r="AA181">
        <f>IF(AND('08 Exs'!C181&gt;Tmin, NOT('08 Exs'!$I181="")),'08 Exs'!$I181,0)</f>
        <v>0</v>
      </c>
      <c r="AB181">
        <f>IF(AND('08 Exs'!D181&gt;Tmin, NOT('08 Exs'!$I181="")),'08 Exs'!$I181,0)</f>
        <v>0</v>
      </c>
      <c r="AC181">
        <f>IF(AND('08 Exs'!E181&gt;Tmin, NOT('08 Exs'!$I181="")),'08 Exs'!$I181,0)</f>
        <v>0</v>
      </c>
      <c r="AD181">
        <f>IF(AND('08 Exs'!F181&gt;Tmin, NOT('08 Exs'!$I181="")),'08 Exs'!$I181,0)</f>
        <v>0</v>
      </c>
      <c r="AE181">
        <f>IF(AND('08 Exs'!C181&lt;Tmax, NOT('08 Exs'!$H181="")),'08 Exs'!$H181,4)</f>
        <v>3</v>
      </c>
      <c r="AF181">
        <f>IF(AND('08 Exs'!D181&lt;Tmax, NOT('08 Exs'!$H181="")),'08 Exs'!$H181,4)</f>
        <v>3</v>
      </c>
      <c r="AG181">
        <f>IF(AND('08 Exs'!E181&lt;Tmax, NOT('08 Exs'!$H181="")),'08 Exs'!$H181,4)</f>
        <v>3</v>
      </c>
      <c r="AH181">
        <f>IF(AND('08 Exs'!F181&lt;Tmax, NOT('08 Exs'!$H181="")),'08 Exs'!$H181,4)</f>
        <v>3</v>
      </c>
      <c r="AI181"/>
    </row>
    <row r="182" spans="1:35" x14ac:dyDescent="0.2">
      <c r="A182" s="644" t="s">
        <v>5048</v>
      </c>
      <c r="B182" s="644" t="s">
        <v>5049</v>
      </c>
      <c r="C182" s="786"/>
      <c r="D182" s="702"/>
      <c r="E182" s="789"/>
      <c r="F182" s="789"/>
      <c r="G182" s="1480"/>
      <c r="H182" s="1480"/>
      <c r="I182" s="1480"/>
      <c r="J182" s="1480"/>
      <c r="K182" s="1459"/>
      <c r="L182" s="1459"/>
      <c r="M182" s="785"/>
      <c r="AA182"/>
      <c r="AB182"/>
      <c r="AC182"/>
      <c r="AD182"/>
      <c r="AE182"/>
      <c r="AF182"/>
      <c r="AG182"/>
      <c r="AH182"/>
      <c r="AI182"/>
    </row>
    <row r="183" spans="1:35" outlineLevel="1" x14ac:dyDescent="0.2">
      <c r="A183" s="633" t="s">
        <v>1137</v>
      </c>
      <c r="B183" s="634" t="s">
        <v>6520</v>
      </c>
      <c r="C183" s="786"/>
      <c r="D183" s="702"/>
      <c r="E183" s="789"/>
      <c r="F183" s="789"/>
      <c r="G183" s="1480"/>
      <c r="H183" s="1480"/>
      <c r="I183" s="1480"/>
      <c r="J183" s="1480"/>
      <c r="K183" s="1459"/>
      <c r="L183" s="1459"/>
      <c r="M183" s="785"/>
      <c r="AA183"/>
      <c r="AB183"/>
      <c r="AC183"/>
      <c r="AD183"/>
      <c r="AE183"/>
      <c r="AF183"/>
      <c r="AG183"/>
      <c r="AH183"/>
      <c r="AI183"/>
    </row>
    <row r="184" spans="1:35" outlineLevel="2" x14ac:dyDescent="0.2">
      <c r="A184" s="636" t="s">
        <v>5050</v>
      </c>
      <c r="B184" s="636" t="s">
        <v>5051</v>
      </c>
      <c r="C184" s="786"/>
      <c r="D184" s="702"/>
      <c r="E184" s="789"/>
      <c r="F184" s="789"/>
      <c r="G184" s="1480">
        <v>2</v>
      </c>
      <c r="H184" s="1480"/>
      <c r="I184" s="1480"/>
      <c r="J184" s="1480" t="s">
        <v>4246</v>
      </c>
      <c r="K184" s="1459" t="s">
        <v>4434</v>
      </c>
      <c r="L184" s="1459" t="s">
        <v>1717</v>
      </c>
      <c r="M184" s="785"/>
      <c r="AA184">
        <f>IF(AND('08 Exs'!C184&gt;Tmin, NOT('08 Exs'!$I184="")),'08 Exs'!$I184,0)</f>
        <v>0</v>
      </c>
      <c r="AB184">
        <f>IF(AND('08 Exs'!D184&gt;Tmin, NOT('08 Exs'!$I184="")),'08 Exs'!$I184,0)</f>
        <v>0</v>
      </c>
      <c r="AC184">
        <f>IF(AND('08 Exs'!E184&gt;Tmin, NOT('08 Exs'!$I184="")),'08 Exs'!$I184,0)</f>
        <v>0</v>
      </c>
      <c r="AD184">
        <f>IF(AND('08 Exs'!F184&gt;Tmin, NOT('08 Exs'!$I184="")),'08 Exs'!$I184,0)</f>
        <v>0</v>
      </c>
      <c r="AE184">
        <f>IF(AND('08 Exs'!C184&lt;Tmax, NOT('08 Exs'!$H184="")),'08 Exs'!$H184,4)</f>
        <v>4</v>
      </c>
      <c r="AF184">
        <f>IF(AND('08 Exs'!D184&lt;Tmax, NOT('08 Exs'!$H184="")),'08 Exs'!$H184,4)</f>
        <v>4</v>
      </c>
      <c r="AG184">
        <f>IF(AND('08 Exs'!E184&lt;Tmax, NOT('08 Exs'!$H184="")),'08 Exs'!$H184,4)</f>
        <v>4</v>
      </c>
      <c r="AH184">
        <f>IF(AND('08 Exs'!F184&lt;Tmax, NOT('08 Exs'!$H184="")),'08 Exs'!$H184,4)</f>
        <v>4</v>
      </c>
      <c r="AI184"/>
    </row>
    <row r="185" spans="1:35" ht="22.5" outlineLevel="2" x14ac:dyDescent="0.2">
      <c r="A185" s="636" t="s">
        <v>5052</v>
      </c>
      <c r="B185" s="636" t="s">
        <v>5053</v>
      </c>
      <c r="C185" s="786"/>
      <c r="D185" s="702"/>
      <c r="E185" s="789"/>
      <c r="F185" s="789"/>
      <c r="G185" s="1480">
        <v>4</v>
      </c>
      <c r="H185" s="1480"/>
      <c r="I185" s="1480"/>
      <c r="J185" s="1480" t="s">
        <v>1592</v>
      </c>
      <c r="K185" s="1459"/>
      <c r="L185" s="1459"/>
      <c r="M185" s="785"/>
      <c r="AA185">
        <f>IF(AND('08 Exs'!C185&gt;Tmin, NOT('08 Exs'!$I185="")),'08 Exs'!$I185,0)</f>
        <v>0</v>
      </c>
      <c r="AB185">
        <f>IF(AND('08 Exs'!D185&gt;Tmin, NOT('08 Exs'!$I185="")),'08 Exs'!$I185,0)</f>
        <v>0</v>
      </c>
      <c r="AC185">
        <f>IF(AND('08 Exs'!E185&gt;Tmin, NOT('08 Exs'!$I185="")),'08 Exs'!$I185,0)</f>
        <v>0</v>
      </c>
      <c r="AD185">
        <f>IF(AND('08 Exs'!F185&gt;Tmin, NOT('08 Exs'!$I185="")),'08 Exs'!$I185,0)</f>
        <v>0</v>
      </c>
      <c r="AE185">
        <f>IF(AND('08 Exs'!C185&lt;Tmax, NOT('08 Exs'!$H185="")),'08 Exs'!$H185,4)</f>
        <v>4</v>
      </c>
      <c r="AF185">
        <f>IF(AND('08 Exs'!D185&lt;Tmax, NOT('08 Exs'!$H185="")),'08 Exs'!$H185,4)</f>
        <v>4</v>
      </c>
      <c r="AG185">
        <f>IF(AND('08 Exs'!E185&lt;Tmax, NOT('08 Exs'!$H185="")),'08 Exs'!$H185,4)</f>
        <v>4</v>
      </c>
      <c r="AH185">
        <f>IF(AND('08 Exs'!F185&lt;Tmax, NOT('08 Exs'!$H185="")),'08 Exs'!$H185,4)</f>
        <v>4</v>
      </c>
      <c r="AI185"/>
    </row>
    <row r="186" spans="1:35" ht="22.5" outlineLevel="2" x14ac:dyDescent="0.2">
      <c r="A186" s="636" t="s">
        <v>5054</v>
      </c>
      <c r="B186" s="636" t="s">
        <v>6531</v>
      </c>
      <c r="C186" s="786"/>
      <c r="D186" s="702"/>
      <c r="E186" s="789"/>
      <c r="F186" s="789"/>
      <c r="G186" s="1480">
        <v>4</v>
      </c>
      <c r="H186" s="1480">
        <v>2</v>
      </c>
      <c r="I186" s="1480"/>
      <c r="J186" s="1480" t="s">
        <v>1592</v>
      </c>
      <c r="K186" s="1459"/>
      <c r="L186" s="1459"/>
      <c r="M186" s="785"/>
      <c r="AA186">
        <f>IF(AND('08 Exs'!C186&gt;Tmin, NOT('08 Exs'!$I186="")),'08 Exs'!$I186,0)</f>
        <v>0</v>
      </c>
      <c r="AB186">
        <f>IF(AND('08 Exs'!D186&gt;Tmin, NOT('08 Exs'!$I186="")),'08 Exs'!$I186,0)</f>
        <v>0</v>
      </c>
      <c r="AC186">
        <f>IF(AND('08 Exs'!E186&gt;Tmin, NOT('08 Exs'!$I186="")),'08 Exs'!$I186,0)</f>
        <v>0</v>
      </c>
      <c r="AD186">
        <f>IF(AND('08 Exs'!F186&gt;Tmin, NOT('08 Exs'!$I186="")),'08 Exs'!$I186,0)</f>
        <v>0</v>
      </c>
      <c r="AE186">
        <f>IF(AND('08 Exs'!C186&lt;Tmax, NOT('08 Exs'!$H186="")),'08 Exs'!$H186,4)</f>
        <v>2</v>
      </c>
      <c r="AF186">
        <f>IF(AND('08 Exs'!D186&lt;Tmax, NOT('08 Exs'!$H186="")),'08 Exs'!$H186,4)</f>
        <v>2</v>
      </c>
      <c r="AG186">
        <f>IF(AND('08 Exs'!E186&lt;Tmax, NOT('08 Exs'!$H186="")),'08 Exs'!$H186,4)</f>
        <v>2</v>
      </c>
      <c r="AH186">
        <f>IF(AND('08 Exs'!F186&lt;Tmax, NOT('08 Exs'!$H186="")),'08 Exs'!$H186,4)</f>
        <v>2</v>
      </c>
      <c r="AI186"/>
    </row>
    <row r="187" spans="1:35" ht="22.5" outlineLevel="2" x14ac:dyDescent="0.2">
      <c r="A187" s="636" t="s">
        <v>6126</v>
      </c>
      <c r="B187" s="636" t="s">
        <v>6352</v>
      </c>
      <c r="C187" s="786"/>
      <c r="D187" s="702"/>
      <c r="E187" s="789"/>
      <c r="F187" s="789"/>
      <c r="G187" s="1480">
        <v>4</v>
      </c>
      <c r="H187" s="1480">
        <v>2</v>
      </c>
      <c r="I187" s="1480"/>
      <c r="J187" s="1480" t="s">
        <v>2329</v>
      </c>
      <c r="K187" s="1459"/>
      <c r="L187" s="1459"/>
      <c r="M187" s="785"/>
      <c r="AA187">
        <f>IF(AND('08 Exs'!C187&gt;Tmin, NOT('08 Exs'!$I187="")),'08 Exs'!$I187,0)</f>
        <v>0</v>
      </c>
      <c r="AB187">
        <f>IF(AND('08 Exs'!D187&gt;Tmin, NOT('08 Exs'!$I187="")),'08 Exs'!$I187,0)</f>
        <v>0</v>
      </c>
      <c r="AC187">
        <f>IF(AND('08 Exs'!E187&gt;Tmin, NOT('08 Exs'!$I187="")),'08 Exs'!$I187,0)</f>
        <v>0</v>
      </c>
      <c r="AD187">
        <f>IF(AND('08 Exs'!F187&gt;Tmin, NOT('08 Exs'!$I187="")),'08 Exs'!$I187,0)</f>
        <v>0</v>
      </c>
      <c r="AE187">
        <f>IF(AND('08 Exs'!C187&lt;Tmax, NOT('08 Exs'!$H187="")),'08 Exs'!$H187,4)</f>
        <v>2</v>
      </c>
      <c r="AF187">
        <f>IF(AND('08 Exs'!D187&lt;Tmax, NOT('08 Exs'!$H187="")),'08 Exs'!$H187,4)</f>
        <v>2</v>
      </c>
      <c r="AG187">
        <f>IF(AND('08 Exs'!E187&lt;Tmax, NOT('08 Exs'!$H187="")),'08 Exs'!$H187,4)</f>
        <v>2</v>
      </c>
      <c r="AH187">
        <f>IF(AND('08 Exs'!F187&lt;Tmax, NOT('08 Exs'!$H187="")),'08 Exs'!$H187,4)</f>
        <v>2</v>
      </c>
      <c r="AI187"/>
    </row>
    <row r="188" spans="1:35" outlineLevel="2" x14ac:dyDescent="0.2">
      <c r="A188" s="636" t="s">
        <v>6128</v>
      </c>
      <c r="B188" s="636" t="s">
        <v>3380</v>
      </c>
      <c r="C188" s="786"/>
      <c r="D188" s="702"/>
      <c r="E188" s="789"/>
      <c r="F188" s="789"/>
      <c r="G188" s="1480">
        <v>4</v>
      </c>
      <c r="H188" s="1480">
        <v>3</v>
      </c>
      <c r="I188" s="1480"/>
      <c r="J188" s="1480" t="s">
        <v>2349</v>
      </c>
      <c r="K188" s="1459"/>
      <c r="L188" s="1459"/>
      <c r="M188" s="785"/>
      <c r="AA188">
        <f>IF(AND('08 Exs'!C188&gt;Tmin, NOT('08 Exs'!$I188="")),'08 Exs'!$I188,0)</f>
        <v>0</v>
      </c>
      <c r="AB188">
        <f>IF(AND('08 Exs'!D188&gt;Tmin, NOT('08 Exs'!$I188="")),'08 Exs'!$I188,0)</f>
        <v>0</v>
      </c>
      <c r="AC188">
        <f>IF(AND('08 Exs'!E188&gt;Tmin, NOT('08 Exs'!$I188="")),'08 Exs'!$I188,0)</f>
        <v>0</v>
      </c>
      <c r="AD188">
        <f>IF(AND('08 Exs'!F188&gt;Tmin, NOT('08 Exs'!$I188="")),'08 Exs'!$I188,0)</f>
        <v>0</v>
      </c>
      <c r="AE188">
        <f>IF(AND('08 Exs'!C188&lt;Tmax, NOT('08 Exs'!$H188="")),'08 Exs'!$H188,4)</f>
        <v>3</v>
      </c>
      <c r="AF188">
        <f>IF(AND('08 Exs'!D188&lt;Tmax, NOT('08 Exs'!$H188="")),'08 Exs'!$H188,4)</f>
        <v>3</v>
      </c>
      <c r="AG188">
        <f>IF(AND('08 Exs'!E188&lt;Tmax, NOT('08 Exs'!$H188="")),'08 Exs'!$H188,4)</f>
        <v>3</v>
      </c>
      <c r="AH188">
        <f>IF(AND('08 Exs'!F188&lt;Tmax, NOT('08 Exs'!$H188="")),'08 Exs'!$H188,4)</f>
        <v>3</v>
      </c>
      <c r="AI188"/>
    </row>
    <row r="189" spans="1:35" ht="45" outlineLevel="2" x14ac:dyDescent="0.2">
      <c r="A189" s="636" t="s">
        <v>6129</v>
      </c>
      <c r="B189" s="636" t="s">
        <v>5082</v>
      </c>
      <c r="C189" s="786"/>
      <c r="D189" s="702"/>
      <c r="E189" s="789"/>
      <c r="F189" s="789"/>
      <c r="G189" s="1480">
        <v>4</v>
      </c>
      <c r="H189" s="1480">
        <v>3</v>
      </c>
      <c r="I189" s="1480"/>
      <c r="J189" s="1480" t="s">
        <v>2329</v>
      </c>
      <c r="K189" s="1459"/>
      <c r="L189" s="1459"/>
      <c r="M189" s="785"/>
      <c r="AA189">
        <f>IF(AND('08 Exs'!C189&gt;Tmin, NOT('08 Exs'!$I189="")),'08 Exs'!$I189,0)</f>
        <v>0</v>
      </c>
      <c r="AB189">
        <f>IF(AND('08 Exs'!D189&gt;Tmin, NOT('08 Exs'!$I189="")),'08 Exs'!$I189,0)</f>
        <v>0</v>
      </c>
      <c r="AC189">
        <f>IF(AND('08 Exs'!E189&gt;Tmin, NOT('08 Exs'!$I189="")),'08 Exs'!$I189,0)</f>
        <v>0</v>
      </c>
      <c r="AD189">
        <f>IF(AND('08 Exs'!F189&gt;Tmin, NOT('08 Exs'!$I189="")),'08 Exs'!$I189,0)</f>
        <v>0</v>
      </c>
      <c r="AE189">
        <f>IF(AND('08 Exs'!C189&lt;Tmax, NOT('08 Exs'!$H189="")),'08 Exs'!$H189,4)</f>
        <v>3</v>
      </c>
      <c r="AF189">
        <f>IF(AND('08 Exs'!D189&lt;Tmax, NOT('08 Exs'!$H189="")),'08 Exs'!$H189,4)</f>
        <v>3</v>
      </c>
      <c r="AG189">
        <f>IF(AND('08 Exs'!E189&lt;Tmax, NOT('08 Exs'!$H189="")),'08 Exs'!$H189,4)</f>
        <v>3</v>
      </c>
      <c r="AH189">
        <f>IF(AND('08 Exs'!F189&lt;Tmax, NOT('08 Exs'!$H189="")),'08 Exs'!$H189,4)</f>
        <v>3</v>
      </c>
      <c r="AI189"/>
    </row>
    <row r="190" spans="1:35" ht="22.5" outlineLevel="2" x14ac:dyDescent="0.2">
      <c r="A190" s="636" t="s">
        <v>6130</v>
      </c>
      <c r="B190" s="636" t="s">
        <v>1394</v>
      </c>
      <c r="C190" s="786"/>
      <c r="D190" s="702"/>
      <c r="E190" s="789"/>
      <c r="F190" s="789"/>
      <c r="G190" s="1480">
        <v>4</v>
      </c>
      <c r="H190" s="1480"/>
      <c r="I190" s="1480"/>
      <c r="J190" s="1480" t="s">
        <v>2329</v>
      </c>
      <c r="K190" s="1459"/>
      <c r="L190" s="1459"/>
      <c r="M190" s="785"/>
      <c r="AA190">
        <f>IF(AND('08 Exs'!C190&gt;Tmin, NOT('08 Exs'!$I190="")),'08 Exs'!$I190,0)</f>
        <v>0</v>
      </c>
      <c r="AB190">
        <f>IF(AND('08 Exs'!D190&gt;Tmin, NOT('08 Exs'!$I190="")),'08 Exs'!$I190,0)</f>
        <v>0</v>
      </c>
      <c r="AC190">
        <f>IF(AND('08 Exs'!E190&gt;Tmin, NOT('08 Exs'!$I190="")),'08 Exs'!$I190,0)</f>
        <v>0</v>
      </c>
      <c r="AD190">
        <f>IF(AND('08 Exs'!F190&gt;Tmin, NOT('08 Exs'!$I190="")),'08 Exs'!$I190,0)</f>
        <v>0</v>
      </c>
      <c r="AE190">
        <f>IF(AND('08 Exs'!C190&lt;Tmax, NOT('08 Exs'!$H190="")),'08 Exs'!$H190,4)</f>
        <v>4</v>
      </c>
      <c r="AF190">
        <f>IF(AND('08 Exs'!D190&lt;Tmax, NOT('08 Exs'!$H190="")),'08 Exs'!$H190,4)</f>
        <v>4</v>
      </c>
      <c r="AG190">
        <f>IF(AND('08 Exs'!E190&lt;Tmax, NOT('08 Exs'!$H190="")),'08 Exs'!$H190,4)</f>
        <v>4</v>
      </c>
      <c r="AH190">
        <f>IF(AND('08 Exs'!F190&lt;Tmax, NOT('08 Exs'!$H190="")),'08 Exs'!$H190,4)</f>
        <v>4</v>
      </c>
      <c r="AI190"/>
    </row>
    <row r="191" spans="1:35" ht="22.5" outlineLevel="2" x14ac:dyDescent="0.2">
      <c r="A191" s="636" t="s">
        <v>6131</v>
      </c>
      <c r="B191" s="636" t="s">
        <v>6132</v>
      </c>
      <c r="C191" s="786"/>
      <c r="D191" s="702"/>
      <c r="E191" s="789"/>
      <c r="F191" s="789"/>
      <c r="G191" s="1480">
        <v>2</v>
      </c>
      <c r="H191" s="1480">
        <v>3</v>
      </c>
      <c r="I191" s="1480"/>
      <c r="J191" s="1480" t="s">
        <v>2109</v>
      </c>
      <c r="K191" s="1459"/>
      <c r="L191" s="1459"/>
      <c r="M191" s="785"/>
      <c r="AA191">
        <f>IF(AND('08 Exs'!C191&gt;Tmin, NOT('08 Exs'!$I191="")),'08 Exs'!$I191,0)</f>
        <v>0</v>
      </c>
      <c r="AB191">
        <f>IF(AND('08 Exs'!D191&gt;Tmin, NOT('08 Exs'!$I191="")),'08 Exs'!$I191,0)</f>
        <v>0</v>
      </c>
      <c r="AC191">
        <f>IF(AND('08 Exs'!E191&gt;Tmin, NOT('08 Exs'!$I191="")),'08 Exs'!$I191,0)</f>
        <v>0</v>
      </c>
      <c r="AD191">
        <f>IF(AND('08 Exs'!F191&gt;Tmin, NOT('08 Exs'!$I191="")),'08 Exs'!$I191,0)</f>
        <v>0</v>
      </c>
      <c r="AE191">
        <f>IF(AND('08 Exs'!C191&lt;Tmax, NOT('08 Exs'!$H191="")),'08 Exs'!$H191,4)</f>
        <v>3</v>
      </c>
      <c r="AF191">
        <f>IF(AND('08 Exs'!D191&lt;Tmax, NOT('08 Exs'!$H191="")),'08 Exs'!$H191,4)</f>
        <v>3</v>
      </c>
      <c r="AG191">
        <f>IF(AND('08 Exs'!E191&lt;Tmax, NOT('08 Exs'!$H191="")),'08 Exs'!$H191,4)</f>
        <v>3</v>
      </c>
      <c r="AH191">
        <f>IF(AND('08 Exs'!F191&lt;Tmax, NOT('08 Exs'!$H191="")),'08 Exs'!$H191,4)</f>
        <v>3</v>
      </c>
      <c r="AI191"/>
    </row>
    <row r="192" spans="1:35" ht="12.75" customHeight="1" outlineLevel="1" x14ac:dyDescent="0.2">
      <c r="A192" s="633" t="s">
        <v>1662</v>
      </c>
      <c r="B192" s="634" t="s">
        <v>4999</v>
      </c>
      <c r="C192" s="786"/>
      <c r="D192" s="702"/>
      <c r="E192" s="789"/>
      <c r="F192" s="789"/>
      <c r="G192" s="1480"/>
      <c r="H192" s="1480"/>
      <c r="I192" s="1480"/>
      <c r="J192" s="1480"/>
      <c r="K192" s="1459"/>
      <c r="L192" s="1459"/>
      <c r="M192" s="785"/>
      <c r="AA192"/>
      <c r="AB192"/>
      <c r="AC192"/>
      <c r="AD192"/>
      <c r="AE192"/>
      <c r="AF192"/>
      <c r="AG192"/>
      <c r="AH192"/>
      <c r="AI192"/>
    </row>
    <row r="193" spans="1:35" ht="22.5" outlineLevel="2" x14ac:dyDescent="0.2">
      <c r="A193" s="636" t="s">
        <v>6133</v>
      </c>
      <c r="B193" s="636" t="s">
        <v>5849</v>
      </c>
      <c r="C193" s="786"/>
      <c r="D193" s="702"/>
      <c r="E193" s="789"/>
      <c r="F193" s="789"/>
      <c r="G193" s="1480">
        <v>4</v>
      </c>
      <c r="H193" s="1480"/>
      <c r="I193" s="1480"/>
      <c r="J193" s="1480" t="s">
        <v>4246</v>
      </c>
      <c r="K193" s="1459"/>
      <c r="L193" s="1459"/>
      <c r="M193" s="785"/>
      <c r="AA193">
        <f>IF(AND('08 Exs'!C193&gt;Tmin, NOT('08 Exs'!$I193="")),'08 Exs'!$I193,0)</f>
        <v>0</v>
      </c>
      <c r="AB193">
        <f>IF(AND('08 Exs'!D193&gt;Tmin, NOT('08 Exs'!$I193="")),'08 Exs'!$I193,0)</f>
        <v>0</v>
      </c>
      <c r="AC193">
        <f>IF(AND('08 Exs'!E193&gt;Tmin, NOT('08 Exs'!$I193="")),'08 Exs'!$I193,0)</f>
        <v>0</v>
      </c>
      <c r="AD193">
        <f>IF(AND('08 Exs'!F193&gt;Tmin, NOT('08 Exs'!$I193="")),'08 Exs'!$I193,0)</f>
        <v>0</v>
      </c>
      <c r="AE193">
        <f>IF(AND('08 Exs'!C193&lt;Tmax, NOT('08 Exs'!$H193="")),'08 Exs'!$H193,4)</f>
        <v>4</v>
      </c>
      <c r="AF193">
        <f>IF(AND('08 Exs'!D193&lt;Tmax, NOT('08 Exs'!$H193="")),'08 Exs'!$H193,4)</f>
        <v>4</v>
      </c>
      <c r="AG193">
        <f>IF(AND('08 Exs'!E193&lt;Tmax, NOT('08 Exs'!$H193="")),'08 Exs'!$H193,4)</f>
        <v>4</v>
      </c>
      <c r="AH193">
        <f>IF(AND('08 Exs'!F193&lt;Tmax, NOT('08 Exs'!$H193="")),'08 Exs'!$H193,4)</f>
        <v>4</v>
      </c>
      <c r="AI193"/>
    </row>
    <row r="194" spans="1:35" ht="22.5" outlineLevel="2" x14ac:dyDescent="0.2">
      <c r="A194" s="636" t="s">
        <v>6134</v>
      </c>
      <c r="B194" s="636" t="s">
        <v>4728</v>
      </c>
      <c r="C194" s="786"/>
      <c r="D194" s="702"/>
      <c r="E194" s="789"/>
      <c r="F194" s="789"/>
      <c r="G194" s="1480">
        <v>2</v>
      </c>
      <c r="H194" s="1480"/>
      <c r="I194" s="1480"/>
      <c r="J194" s="1480" t="s">
        <v>1592</v>
      </c>
      <c r="K194" s="1459"/>
      <c r="L194" s="1459"/>
      <c r="M194" s="785"/>
      <c r="AA194">
        <f>IF(AND('08 Exs'!C194&gt;Tmin, NOT('08 Exs'!$I194="")),'08 Exs'!$I194,0)</f>
        <v>0</v>
      </c>
      <c r="AB194">
        <f>IF(AND('08 Exs'!D194&gt;Tmin, NOT('08 Exs'!$I194="")),'08 Exs'!$I194,0)</f>
        <v>0</v>
      </c>
      <c r="AC194">
        <f>IF(AND('08 Exs'!E194&gt;Tmin, NOT('08 Exs'!$I194="")),'08 Exs'!$I194,0)</f>
        <v>0</v>
      </c>
      <c r="AD194">
        <f>IF(AND('08 Exs'!F194&gt;Tmin, NOT('08 Exs'!$I194="")),'08 Exs'!$I194,0)</f>
        <v>0</v>
      </c>
      <c r="AE194">
        <f>IF(AND('08 Exs'!C194&lt;Tmax, NOT('08 Exs'!$H194="")),'08 Exs'!$H194,4)</f>
        <v>4</v>
      </c>
      <c r="AF194">
        <f>IF(AND('08 Exs'!D194&lt;Tmax, NOT('08 Exs'!$H194="")),'08 Exs'!$H194,4)</f>
        <v>4</v>
      </c>
      <c r="AG194">
        <f>IF(AND('08 Exs'!E194&lt;Tmax, NOT('08 Exs'!$H194="")),'08 Exs'!$H194,4)</f>
        <v>4</v>
      </c>
      <c r="AH194">
        <f>IF(AND('08 Exs'!F194&lt;Tmax, NOT('08 Exs'!$H194="")),'08 Exs'!$H194,4)</f>
        <v>4</v>
      </c>
      <c r="AI194"/>
    </row>
    <row r="195" spans="1:35" ht="22.5" outlineLevel="2" x14ac:dyDescent="0.2">
      <c r="A195" s="636" t="s">
        <v>4729</v>
      </c>
      <c r="B195" s="636" t="s">
        <v>3021</v>
      </c>
      <c r="C195" s="786"/>
      <c r="D195" s="702"/>
      <c r="E195" s="789"/>
      <c r="F195" s="789"/>
      <c r="G195" s="1480">
        <v>4</v>
      </c>
      <c r="H195" s="1480"/>
      <c r="I195" s="1480"/>
      <c r="J195" s="1480" t="s">
        <v>1592</v>
      </c>
      <c r="K195" s="1459"/>
      <c r="L195" s="1459"/>
      <c r="M195" s="785"/>
      <c r="AA195">
        <f>IF(AND('08 Exs'!C195&gt;Tmin, NOT('08 Exs'!$I195="")),'08 Exs'!$I195,0)</f>
        <v>0</v>
      </c>
      <c r="AB195">
        <f>IF(AND('08 Exs'!D195&gt;Tmin, NOT('08 Exs'!$I195="")),'08 Exs'!$I195,0)</f>
        <v>0</v>
      </c>
      <c r="AC195">
        <f>IF(AND('08 Exs'!E195&gt;Tmin, NOT('08 Exs'!$I195="")),'08 Exs'!$I195,0)</f>
        <v>0</v>
      </c>
      <c r="AD195">
        <f>IF(AND('08 Exs'!F195&gt;Tmin, NOT('08 Exs'!$I195="")),'08 Exs'!$I195,0)</f>
        <v>0</v>
      </c>
      <c r="AE195">
        <f>IF(AND('08 Exs'!C195&lt;Tmax, NOT('08 Exs'!$H195="")),'08 Exs'!$H195,4)</f>
        <v>4</v>
      </c>
      <c r="AF195">
        <f>IF(AND('08 Exs'!D195&lt;Tmax, NOT('08 Exs'!$H195="")),'08 Exs'!$H195,4)</f>
        <v>4</v>
      </c>
      <c r="AG195">
        <f>IF(AND('08 Exs'!E195&lt;Tmax, NOT('08 Exs'!$H195="")),'08 Exs'!$H195,4)</f>
        <v>4</v>
      </c>
      <c r="AH195">
        <f>IF(AND('08 Exs'!F195&lt;Tmax, NOT('08 Exs'!$H195="")),'08 Exs'!$H195,4)</f>
        <v>4</v>
      </c>
      <c r="AI195"/>
    </row>
    <row r="196" spans="1:35" ht="22.5" outlineLevel="2" x14ac:dyDescent="0.2">
      <c r="A196" s="636" t="s">
        <v>3022</v>
      </c>
      <c r="B196" s="636" t="s">
        <v>5195</v>
      </c>
      <c r="C196" s="786"/>
      <c r="D196" s="702"/>
      <c r="E196" s="789"/>
      <c r="F196" s="789"/>
      <c r="G196" s="1480">
        <v>4</v>
      </c>
      <c r="H196" s="1480"/>
      <c r="I196" s="1480"/>
      <c r="J196" s="1480" t="s">
        <v>1592</v>
      </c>
      <c r="K196" s="1459"/>
      <c r="L196" s="1459"/>
      <c r="M196" s="785"/>
      <c r="AA196">
        <f>IF(AND('08 Exs'!C196&gt;Tmin, NOT('08 Exs'!$I196="")),'08 Exs'!$I196,0)</f>
        <v>0</v>
      </c>
      <c r="AB196">
        <f>IF(AND('08 Exs'!D196&gt;Tmin, NOT('08 Exs'!$I196="")),'08 Exs'!$I196,0)</f>
        <v>0</v>
      </c>
      <c r="AC196">
        <f>IF(AND('08 Exs'!E196&gt;Tmin, NOT('08 Exs'!$I196="")),'08 Exs'!$I196,0)</f>
        <v>0</v>
      </c>
      <c r="AD196">
        <f>IF(AND('08 Exs'!F196&gt;Tmin, NOT('08 Exs'!$I196="")),'08 Exs'!$I196,0)</f>
        <v>0</v>
      </c>
      <c r="AE196">
        <f>IF(AND('08 Exs'!C196&lt;Tmax, NOT('08 Exs'!$H196="")),'08 Exs'!$H196,4)</f>
        <v>4</v>
      </c>
      <c r="AF196">
        <f>IF(AND('08 Exs'!D196&lt;Tmax, NOT('08 Exs'!$H196="")),'08 Exs'!$H196,4)</f>
        <v>4</v>
      </c>
      <c r="AG196">
        <f>IF(AND('08 Exs'!E196&lt;Tmax, NOT('08 Exs'!$H196="")),'08 Exs'!$H196,4)</f>
        <v>4</v>
      </c>
      <c r="AH196">
        <f>IF(AND('08 Exs'!F196&lt;Tmax, NOT('08 Exs'!$H196="")),'08 Exs'!$H196,4)</f>
        <v>4</v>
      </c>
      <c r="AI196"/>
    </row>
    <row r="197" spans="1:35" ht="22.5" outlineLevel="2" x14ac:dyDescent="0.2">
      <c r="A197" s="636" t="s">
        <v>5196</v>
      </c>
      <c r="B197" s="636" t="s">
        <v>6353</v>
      </c>
      <c r="C197" s="786"/>
      <c r="D197" s="702"/>
      <c r="E197" s="789"/>
      <c r="F197" s="789"/>
      <c r="G197" s="1480">
        <v>4</v>
      </c>
      <c r="H197" s="1480">
        <v>2</v>
      </c>
      <c r="I197" s="1480"/>
      <c r="J197" s="1480" t="s">
        <v>1592</v>
      </c>
      <c r="K197" s="1459"/>
      <c r="L197" s="1459"/>
      <c r="M197" s="785"/>
      <c r="AA197">
        <f>IF(AND('08 Exs'!C197&gt;Tmin, NOT('08 Exs'!$I197="")),'08 Exs'!$I197,0)</f>
        <v>0</v>
      </c>
      <c r="AB197">
        <f>IF(AND('08 Exs'!D197&gt;Tmin, NOT('08 Exs'!$I197="")),'08 Exs'!$I197,0)</f>
        <v>0</v>
      </c>
      <c r="AC197">
        <f>IF(AND('08 Exs'!E197&gt;Tmin, NOT('08 Exs'!$I197="")),'08 Exs'!$I197,0)</f>
        <v>0</v>
      </c>
      <c r="AD197">
        <f>IF(AND('08 Exs'!F197&gt;Tmin, NOT('08 Exs'!$I197="")),'08 Exs'!$I197,0)</f>
        <v>0</v>
      </c>
      <c r="AE197">
        <f>IF(AND('08 Exs'!C197&lt;Tmax, NOT('08 Exs'!$H197="")),'08 Exs'!$H197,4)</f>
        <v>2</v>
      </c>
      <c r="AF197">
        <f>IF(AND('08 Exs'!D197&lt;Tmax, NOT('08 Exs'!$H197="")),'08 Exs'!$H197,4)</f>
        <v>2</v>
      </c>
      <c r="AG197">
        <f>IF(AND('08 Exs'!E197&lt;Tmax, NOT('08 Exs'!$H197="")),'08 Exs'!$H197,4)</f>
        <v>2</v>
      </c>
      <c r="AH197">
        <f>IF(AND('08 Exs'!F197&lt;Tmax, NOT('08 Exs'!$H197="")),'08 Exs'!$H197,4)</f>
        <v>2</v>
      </c>
      <c r="AI197"/>
    </row>
    <row r="198" spans="1:35" ht="22.5" outlineLevel="2" x14ac:dyDescent="0.2">
      <c r="A198" s="636" t="s">
        <v>3378</v>
      </c>
      <c r="B198" s="636" t="s">
        <v>6352</v>
      </c>
      <c r="C198" s="786"/>
      <c r="D198" s="702"/>
      <c r="E198" s="789"/>
      <c r="F198" s="789"/>
      <c r="G198" s="1480">
        <v>4</v>
      </c>
      <c r="H198" s="1480">
        <v>2</v>
      </c>
      <c r="I198" s="1480"/>
      <c r="J198" s="1480" t="s">
        <v>2329</v>
      </c>
      <c r="K198" s="1459"/>
      <c r="L198" s="1459"/>
      <c r="M198" s="785"/>
      <c r="AA198">
        <f>IF(AND('08 Exs'!C198&gt;Tmin, NOT('08 Exs'!$I198="")),'08 Exs'!$I198,0)</f>
        <v>0</v>
      </c>
      <c r="AB198">
        <f>IF(AND('08 Exs'!D198&gt;Tmin, NOT('08 Exs'!$I198="")),'08 Exs'!$I198,0)</f>
        <v>0</v>
      </c>
      <c r="AC198">
        <f>IF(AND('08 Exs'!E198&gt;Tmin, NOT('08 Exs'!$I198="")),'08 Exs'!$I198,0)</f>
        <v>0</v>
      </c>
      <c r="AD198">
        <f>IF(AND('08 Exs'!F198&gt;Tmin, NOT('08 Exs'!$I198="")),'08 Exs'!$I198,0)</f>
        <v>0</v>
      </c>
      <c r="AE198">
        <f>IF(AND('08 Exs'!C198&lt;Tmax, NOT('08 Exs'!$H198="")),'08 Exs'!$H198,4)</f>
        <v>2</v>
      </c>
      <c r="AF198">
        <f>IF(AND('08 Exs'!D198&lt;Tmax, NOT('08 Exs'!$H198="")),'08 Exs'!$H198,4)</f>
        <v>2</v>
      </c>
      <c r="AG198">
        <f>IF(AND('08 Exs'!E198&lt;Tmax, NOT('08 Exs'!$H198="")),'08 Exs'!$H198,4)</f>
        <v>2</v>
      </c>
      <c r="AH198">
        <f>IF(AND('08 Exs'!F198&lt;Tmax, NOT('08 Exs'!$H198="")),'08 Exs'!$H198,4)</f>
        <v>2</v>
      </c>
      <c r="AI198"/>
    </row>
    <row r="199" spans="1:35" outlineLevel="2" x14ac:dyDescent="0.2">
      <c r="A199" s="636" t="s">
        <v>3379</v>
      </c>
      <c r="B199" s="636" t="s">
        <v>3380</v>
      </c>
      <c r="C199" s="786"/>
      <c r="D199" s="702"/>
      <c r="E199" s="789"/>
      <c r="F199" s="789"/>
      <c r="G199" s="1480">
        <v>4</v>
      </c>
      <c r="H199" s="1480">
        <v>3</v>
      </c>
      <c r="I199" s="1480"/>
      <c r="J199" s="1480" t="s">
        <v>2349</v>
      </c>
      <c r="K199" s="1459"/>
      <c r="L199" s="1459"/>
      <c r="M199" s="785"/>
      <c r="AA199">
        <f>IF(AND('08 Exs'!C199&gt;Tmin, NOT('08 Exs'!$I199="")),'08 Exs'!$I199,0)</f>
        <v>0</v>
      </c>
      <c r="AB199">
        <f>IF(AND('08 Exs'!D199&gt;Tmin, NOT('08 Exs'!$I199="")),'08 Exs'!$I199,0)</f>
        <v>0</v>
      </c>
      <c r="AC199">
        <f>IF(AND('08 Exs'!E199&gt;Tmin, NOT('08 Exs'!$I199="")),'08 Exs'!$I199,0)</f>
        <v>0</v>
      </c>
      <c r="AD199">
        <f>IF(AND('08 Exs'!F199&gt;Tmin, NOT('08 Exs'!$I199="")),'08 Exs'!$I199,0)</f>
        <v>0</v>
      </c>
      <c r="AE199">
        <f>IF(AND('08 Exs'!C199&lt;Tmax, NOT('08 Exs'!$H199="")),'08 Exs'!$H199,4)</f>
        <v>3</v>
      </c>
      <c r="AF199">
        <f>IF(AND('08 Exs'!D199&lt;Tmax, NOT('08 Exs'!$H199="")),'08 Exs'!$H199,4)</f>
        <v>3</v>
      </c>
      <c r="AG199">
        <f>IF(AND('08 Exs'!E199&lt;Tmax, NOT('08 Exs'!$H199="")),'08 Exs'!$H199,4)</f>
        <v>3</v>
      </c>
      <c r="AH199">
        <f>IF(AND('08 Exs'!F199&lt;Tmax, NOT('08 Exs'!$H199="")),'08 Exs'!$H199,4)</f>
        <v>3</v>
      </c>
      <c r="AI199"/>
    </row>
    <row r="200" spans="1:35" ht="45" outlineLevel="2" x14ac:dyDescent="0.2">
      <c r="A200" s="636" t="s">
        <v>3381</v>
      </c>
      <c r="B200" s="636" t="s">
        <v>6417</v>
      </c>
      <c r="C200" s="786"/>
      <c r="D200" s="702"/>
      <c r="E200" s="789"/>
      <c r="F200" s="789"/>
      <c r="G200" s="1480">
        <v>4</v>
      </c>
      <c r="H200" s="1480">
        <v>3</v>
      </c>
      <c r="I200" s="1480"/>
      <c r="J200" s="1480" t="s">
        <v>2329</v>
      </c>
      <c r="K200" s="1459"/>
      <c r="L200" s="1459"/>
      <c r="M200" s="785"/>
      <c r="AA200">
        <f>IF(AND('08 Exs'!C200&gt;Tmin, NOT('08 Exs'!$I200="")),'08 Exs'!$I200,0)</f>
        <v>0</v>
      </c>
      <c r="AB200">
        <f>IF(AND('08 Exs'!D200&gt;Tmin, NOT('08 Exs'!$I200="")),'08 Exs'!$I200,0)</f>
        <v>0</v>
      </c>
      <c r="AC200">
        <f>IF(AND('08 Exs'!E200&gt;Tmin, NOT('08 Exs'!$I200="")),'08 Exs'!$I200,0)</f>
        <v>0</v>
      </c>
      <c r="AD200">
        <f>IF(AND('08 Exs'!F200&gt;Tmin, NOT('08 Exs'!$I200="")),'08 Exs'!$I200,0)</f>
        <v>0</v>
      </c>
      <c r="AE200">
        <f>IF(AND('08 Exs'!C200&lt;Tmax, NOT('08 Exs'!$H200="")),'08 Exs'!$H200,4)</f>
        <v>3</v>
      </c>
      <c r="AF200">
        <f>IF(AND('08 Exs'!D200&lt;Tmax, NOT('08 Exs'!$H200="")),'08 Exs'!$H200,4)</f>
        <v>3</v>
      </c>
      <c r="AG200">
        <f>IF(AND('08 Exs'!E200&lt;Tmax, NOT('08 Exs'!$H200="")),'08 Exs'!$H200,4)</f>
        <v>3</v>
      </c>
      <c r="AH200">
        <f>IF(AND('08 Exs'!F200&lt;Tmax, NOT('08 Exs'!$H200="")),'08 Exs'!$H200,4)</f>
        <v>3</v>
      </c>
      <c r="AI200"/>
    </row>
    <row r="201" spans="1:35" ht="22.5" outlineLevel="2" x14ac:dyDescent="0.2">
      <c r="A201" s="636" t="s">
        <v>3382</v>
      </c>
      <c r="B201" s="636" t="s">
        <v>6132</v>
      </c>
      <c r="C201" s="786"/>
      <c r="D201" s="702"/>
      <c r="E201" s="789"/>
      <c r="F201" s="789"/>
      <c r="G201" s="1480">
        <v>2</v>
      </c>
      <c r="H201" s="1480">
        <v>3</v>
      </c>
      <c r="I201" s="1480"/>
      <c r="J201" s="1480" t="s">
        <v>2109</v>
      </c>
      <c r="K201" s="1459"/>
      <c r="L201" s="1459"/>
      <c r="M201" s="785"/>
      <c r="AA201">
        <f>IF(AND('08 Exs'!C201&gt;Tmin, NOT('08 Exs'!$I201="")),'08 Exs'!$I201,0)</f>
        <v>0</v>
      </c>
      <c r="AB201">
        <f>IF(AND('08 Exs'!D201&gt;Tmin, NOT('08 Exs'!$I201="")),'08 Exs'!$I201,0)</f>
        <v>0</v>
      </c>
      <c r="AC201">
        <f>IF(AND('08 Exs'!E201&gt;Tmin, NOT('08 Exs'!$I201="")),'08 Exs'!$I201,0)</f>
        <v>0</v>
      </c>
      <c r="AD201">
        <f>IF(AND('08 Exs'!F201&gt;Tmin, NOT('08 Exs'!$I201="")),'08 Exs'!$I201,0)</f>
        <v>0</v>
      </c>
      <c r="AE201">
        <f>IF(AND('08 Exs'!C201&lt;Tmax, NOT('08 Exs'!$H201="")),'08 Exs'!$H201,4)</f>
        <v>3</v>
      </c>
      <c r="AF201">
        <f>IF(AND('08 Exs'!D201&lt;Tmax, NOT('08 Exs'!$H201="")),'08 Exs'!$H201,4)</f>
        <v>3</v>
      </c>
      <c r="AG201">
        <f>IF(AND('08 Exs'!E201&lt;Tmax, NOT('08 Exs'!$H201="")),'08 Exs'!$H201,4)</f>
        <v>3</v>
      </c>
      <c r="AH201">
        <f>IF(AND('08 Exs'!F201&lt;Tmax, NOT('08 Exs'!$H201="")),'08 Exs'!$H201,4)</f>
        <v>3</v>
      </c>
      <c r="AI201"/>
    </row>
    <row r="202" spans="1:35" outlineLevel="1" x14ac:dyDescent="0.2">
      <c r="A202" s="633" t="s">
        <v>1663</v>
      </c>
      <c r="B202" s="634" t="s">
        <v>6220</v>
      </c>
      <c r="C202" s="786"/>
      <c r="D202" s="702"/>
      <c r="E202" s="789"/>
      <c r="F202" s="789"/>
      <c r="G202" s="1480"/>
      <c r="H202" s="1480"/>
      <c r="I202" s="1480"/>
      <c r="J202" s="1480"/>
      <c r="K202" s="1459"/>
      <c r="L202" s="1459"/>
      <c r="M202" s="785"/>
      <c r="AA202"/>
      <c r="AB202"/>
      <c r="AC202"/>
      <c r="AD202"/>
      <c r="AE202"/>
      <c r="AF202"/>
      <c r="AG202"/>
      <c r="AH202"/>
      <c r="AI202"/>
    </row>
    <row r="203" spans="1:35" ht="33.75" outlineLevel="2" x14ac:dyDescent="0.2">
      <c r="A203" s="636" t="s">
        <v>3383</v>
      </c>
      <c r="B203" s="636" t="s">
        <v>5058</v>
      </c>
      <c r="C203" s="786"/>
      <c r="D203" s="702"/>
      <c r="E203" s="789"/>
      <c r="F203" s="789"/>
      <c r="G203" s="1480">
        <v>4</v>
      </c>
      <c r="H203" s="1480"/>
      <c r="I203" s="1480"/>
      <c r="J203" s="1480" t="s">
        <v>4246</v>
      </c>
      <c r="K203" s="1459"/>
      <c r="L203" s="1459"/>
      <c r="M203" s="785"/>
      <c r="AA203">
        <f>IF(AND('08 Exs'!C203&gt;Tmin, NOT('08 Exs'!$I203="")),'08 Exs'!$I203,0)</f>
        <v>0</v>
      </c>
      <c r="AB203">
        <f>IF(AND('08 Exs'!D203&gt;Tmin, NOT('08 Exs'!$I203="")),'08 Exs'!$I203,0)</f>
        <v>0</v>
      </c>
      <c r="AC203">
        <f>IF(AND('08 Exs'!E203&gt;Tmin, NOT('08 Exs'!$I203="")),'08 Exs'!$I203,0)</f>
        <v>0</v>
      </c>
      <c r="AD203">
        <f>IF(AND('08 Exs'!F203&gt;Tmin, NOT('08 Exs'!$I203="")),'08 Exs'!$I203,0)</f>
        <v>0</v>
      </c>
      <c r="AE203">
        <f>IF(AND('08 Exs'!C203&lt;Tmax, NOT('08 Exs'!$H203="")),'08 Exs'!$H203,4)</f>
        <v>4</v>
      </c>
      <c r="AF203">
        <f>IF(AND('08 Exs'!D203&lt;Tmax, NOT('08 Exs'!$H203="")),'08 Exs'!$H203,4)</f>
        <v>4</v>
      </c>
      <c r="AG203">
        <f>IF(AND('08 Exs'!E203&lt;Tmax, NOT('08 Exs'!$H203="")),'08 Exs'!$H203,4)</f>
        <v>4</v>
      </c>
      <c r="AH203">
        <f>IF(AND('08 Exs'!F203&lt;Tmax, NOT('08 Exs'!$H203="")),'08 Exs'!$H203,4)</f>
        <v>4</v>
      </c>
      <c r="AI203"/>
    </row>
    <row r="204" spans="1:35" outlineLevel="2" x14ac:dyDescent="0.2">
      <c r="A204" s="636" t="s">
        <v>5035</v>
      </c>
      <c r="B204" s="636" t="s">
        <v>6354</v>
      </c>
      <c r="C204" s="786"/>
      <c r="D204" s="702"/>
      <c r="E204" s="789"/>
      <c r="F204" s="789"/>
      <c r="G204" s="1480">
        <v>4</v>
      </c>
      <c r="H204" s="1480"/>
      <c r="I204" s="1480"/>
      <c r="J204" s="1480" t="s">
        <v>1592</v>
      </c>
      <c r="K204" s="1459"/>
      <c r="L204" s="1459"/>
      <c r="M204" s="785"/>
      <c r="AA204">
        <f>IF(AND('08 Exs'!C204&gt;Tmin, NOT('08 Exs'!$I204="")),'08 Exs'!$I204,0)</f>
        <v>0</v>
      </c>
      <c r="AB204">
        <f>IF(AND('08 Exs'!D204&gt;Tmin, NOT('08 Exs'!$I204="")),'08 Exs'!$I204,0)</f>
        <v>0</v>
      </c>
      <c r="AC204">
        <f>IF(AND('08 Exs'!E204&gt;Tmin, NOT('08 Exs'!$I204="")),'08 Exs'!$I204,0)</f>
        <v>0</v>
      </c>
      <c r="AD204">
        <f>IF(AND('08 Exs'!F204&gt;Tmin, NOT('08 Exs'!$I204="")),'08 Exs'!$I204,0)</f>
        <v>0</v>
      </c>
      <c r="AE204">
        <f>IF(AND('08 Exs'!C204&lt;Tmax, NOT('08 Exs'!$H204="")),'08 Exs'!$H204,4)</f>
        <v>4</v>
      </c>
      <c r="AF204">
        <f>IF(AND('08 Exs'!D204&lt;Tmax, NOT('08 Exs'!$H204="")),'08 Exs'!$H204,4)</f>
        <v>4</v>
      </c>
      <c r="AG204">
        <f>IF(AND('08 Exs'!E204&lt;Tmax, NOT('08 Exs'!$H204="")),'08 Exs'!$H204,4)</f>
        <v>4</v>
      </c>
      <c r="AH204">
        <f>IF(AND('08 Exs'!F204&lt;Tmax, NOT('08 Exs'!$H204="")),'08 Exs'!$H204,4)</f>
        <v>4</v>
      </c>
      <c r="AI204"/>
    </row>
    <row r="205" spans="1:35" ht="22.5" outlineLevel="2" x14ac:dyDescent="0.2">
      <c r="A205" s="636" t="s">
        <v>5036</v>
      </c>
      <c r="B205" s="636" t="s">
        <v>6355</v>
      </c>
      <c r="C205" s="786"/>
      <c r="D205" s="702"/>
      <c r="E205" s="789"/>
      <c r="F205" s="789"/>
      <c r="G205" s="1480">
        <v>4</v>
      </c>
      <c r="H205" s="1480"/>
      <c r="I205" s="1480"/>
      <c r="J205" s="1480" t="s">
        <v>1592</v>
      </c>
      <c r="K205" s="1459"/>
      <c r="L205" s="1459"/>
      <c r="M205" s="785"/>
      <c r="AA205">
        <f>IF(AND('08 Exs'!C205&gt;Tmin, NOT('08 Exs'!$I205="")),'08 Exs'!$I205,0)</f>
        <v>0</v>
      </c>
      <c r="AB205">
        <f>IF(AND('08 Exs'!D205&gt;Tmin, NOT('08 Exs'!$I205="")),'08 Exs'!$I205,0)</f>
        <v>0</v>
      </c>
      <c r="AC205">
        <f>IF(AND('08 Exs'!E205&gt;Tmin, NOT('08 Exs'!$I205="")),'08 Exs'!$I205,0)</f>
        <v>0</v>
      </c>
      <c r="AD205">
        <f>IF(AND('08 Exs'!F205&gt;Tmin, NOT('08 Exs'!$I205="")),'08 Exs'!$I205,0)</f>
        <v>0</v>
      </c>
      <c r="AE205">
        <f>IF(AND('08 Exs'!C205&lt;Tmax, NOT('08 Exs'!$H205="")),'08 Exs'!$H205,4)</f>
        <v>4</v>
      </c>
      <c r="AF205">
        <f>IF(AND('08 Exs'!D205&lt;Tmax, NOT('08 Exs'!$H205="")),'08 Exs'!$H205,4)</f>
        <v>4</v>
      </c>
      <c r="AG205">
        <f>IF(AND('08 Exs'!E205&lt;Tmax, NOT('08 Exs'!$H205="")),'08 Exs'!$H205,4)</f>
        <v>4</v>
      </c>
      <c r="AH205">
        <f>IF(AND('08 Exs'!F205&lt;Tmax, NOT('08 Exs'!$H205="")),'08 Exs'!$H205,4)</f>
        <v>4</v>
      </c>
      <c r="AI205"/>
    </row>
    <row r="206" spans="1:35" ht="22.5" outlineLevel="2" x14ac:dyDescent="0.2">
      <c r="A206" s="636" t="s">
        <v>1754</v>
      </c>
      <c r="B206" s="636" t="s">
        <v>1755</v>
      </c>
      <c r="C206" s="786"/>
      <c r="D206" s="702"/>
      <c r="E206" s="789"/>
      <c r="F206" s="789"/>
      <c r="G206" s="1480">
        <v>2</v>
      </c>
      <c r="H206" s="1480"/>
      <c r="I206" s="1480"/>
      <c r="J206" s="1480" t="s">
        <v>2329</v>
      </c>
      <c r="K206" s="1459"/>
      <c r="L206" s="1459"/>
      <c r="M206" s="785"/>
      <c r="AA206">
        <f>IF(AND('08 Exs'!C206&gt;Tmin, NOT('08 Exs'!$I206="")),'08 Exs'!$I206,0)</f>
        <v>0</v>
      </c>
      <c r="AB206">
        <f>IF(AND('08 Exs'!D206&gt;Tmin, NOT('08 Exs'!$I206="")),'08 Exs'!$I206,0)</f>
        <v>0</v>
      </c>
      <c r="AC206">
        <f>IF(AND('08 Exs'!E206&gt;Tmin, NOT('08 Exs'!$I206="")),'08 Exs'!$I206,0)</f>
        <v>0</v>
      </c>
      <c r="AD206">
        <f>IF(AND('08 Exs'!F206&gt;Tmin, NOT('08 Exs'!$I206="")),'08 Exs'!$I206,0)</f>
        <v>0</v>
      </c>
      <c r="AE206">
        <f>IF(AND('08 Exs'!C206&lt;Tmax, NOT('08 Exs'!$H206="")),'08 Exs'!$H206,4)</f>
        <v>4</v>
      </c>
      <c r="AF206">
        <f>IF(AND('08 Exs'!D206&lt;Tmax, NOT('08 Exs'!$H206="")),'08 Exs'!$H206,4)</f>
        <v>4</v>
      </c>
      <c r="AG206">
        <f>IF(AND('08 Exs'!E206&lt;Tmax, NOT('08 Exs'!$H206="")),'08 Exs'!$H206,4)</f>
        <v>4</v>
      </c>
      <c r="AH206">
        <f>IF(AND('08 Exs'!F206&lt;Tmax, NOT('08 Exs'!$H206="")),'08 Exs'!$H206,4)</f>
        <v>4</v>
      </c>
      <c r="AI206"/>
    </row>
    <row r="207" spans="1:35" ht="22.5" outlineLevel="2" x14ac:dyDescent="0.2">
      <c r="A207" s="636" t="s">
        <v>2747</v>
      </c>
      <c r="B207" s="636" t="s">
        <v>2748</v>
      </c>
      <c r="C207" s="786"/>
      <c r="D207" s="702"/>
      <c r="E207" s="789"/>
      <c r="F207" s="789"/>
      <c r="G207" s="1480">
        <v>2</v>
      </c>
      <c r="H207" s="1480">
        <v>3</v>
      </c>
      <c r="I207" s="1480"/>
      <c r="J207" s="1480" t="s">
        <v>2349</v>
      </c>
      <c r="K207" s="1459"/>
      <c r="L207" s="1459"/>
      <c r="M207" s="785"/>
      <c r="AA207">
        <f>IF(AND('08 Exs'!C207&gt;Tmin, NOT('08 Exs'!$I207="")),'08 Exs'!$I207,0)</f>
        <v>0</v>
      </c>
      <c r="AB207">
        <f>IF(AND('08 Exs'!D207&gt;Tmin, NOT('08 Exs'!$I207="")),'08 Exs'!$I207,0)</f>
        <v>0</v>
      </c>
      <c r="AC207">
        <f>IF(AND('08 Exs'!E207&gt;Tmin, NOT('08 Exs'!$I207="")),'08 Exs'!$I207,0)</f>
        <v>0</v>
      </c>
      <c r="AD207">
        <f>IF(AND('08 Exs'!F207&gt;Tmin, NOT('08 Exs'!$I207="")),'08 Exs'!$I207,0)</f>
        <v>0</v>
      </c>
      <c r="AE207">
        <f>IF(AND('08 Exs'!C207&lt;Tmax, NOT('08 Exs'!$H207="")),'08 Exs'!$H207,4)</f>
        <v>3</v>
      </c>
      <c r="AF207">
        <f>IF(AND('08 Exs'!D207&lt;Tmax, NOT('08 Exs'!$H207="")),'08 Exs'!$H207,4)</f>
        <v>3</v>
      </c>
      <c r="AG207">
        <f>IF(AND('08 Exs'!E207&lt;Tmax, NOT('08 Exs'!$H207="")),'08 Exs'!$H207,4)</f>
        <v>3</v>
      </c>
      <c r="AH207">
        <f>IF(AND('08 Exs'!F207&lt;Tmax, NOT('08 Exs'!$H207="")),'08 Exs'!$H207,4)</f>
        <v>3</v>
      </c>
      <c r="AI207"/>
    </row>
    <row r="208" spans="1:35" ht="22.5" outlineLevel="2" x14ac:dyDescent="0.2">
      <c r="A208" s="636" t="s">
        <v>2749</v>
      </c>
      <c r="B208" s="636" t="s">
        <v>5850</v>
      </c>
      <c r="C208" s="786"/>
      <c r="D208" s="702"/>
      <c r="E208" s="789"/>
      <c r="F208" s="789"/>
      <c r="G208" s="1480">
        <v>2</v>
      </c>
      <c r="H208" s="1480">
        <v>3</v>
      </c>
      <c r="I208" s="1480"/>
      <c r="J208" s="1480" t="s">
        <v>2107</v>
      </c>
      <c r="K208" s="1459"/>
      <c r="L208" s="1459"/>
      <c r="M208" s="785"/>
      <c r="AA208">
        <f>IF(AND('08 Exs'!C208&gt;Tmin, NOT('08 Exs'!$I208="")),'08 Exs'!$I208,0)</f>
        <v>0</v>
      </c>
      <c r="AB208">
        <f>IF(AND('08 Exs'!D208&gt;Tmin, NOT('08 Exs'!$I208="")),'08 Exs'!$I208,0)</f>
        <v>0</v>
      </c>
      <c r="AC208">
        <f>IF(AND('08 Exs'!E208&gt;Tmin, NOT('08 Exs'!$I208="")),'08 Exs'!$I208,0)</f>
        <v>0</v>
      </c>
      <c r="AD208">
        <f>IF(AND('08 Exs'!F208&gt;Tmin, NOT('08 Exs'!$I208="")),'08 Exs'!$I208,0)</f>
        <v>0</v>
      </c>
      <c r="AE208">
        <f>IF(AND('08 Exs'!C208&lt;Tmax, NOT('08 Exs'!$H208="")),'08 Exs'!$H208,4)</f>
        <v>3</v>
      </c>
      <c r="AF208">
        <f>IF(AND('08 Exs'!D208&lt;Tmax, NOT('08 Exs'!$H208="")),'08 Exs'!$H208,4)</f>
        <v>3</v>
      </c>
      <c r="AG208">
        <f>IF(AND('08 Exs'!E208&lt;Tmax, NOT('08 Exs'!$H208="")),'08 Exs'!$H208,4)</f>
        <v>3</v>
      </c>
      <c r="AH208">
        <f>IF(AND('08 Exs'!F208&lt;Tmax, NOT('08 Exs'!$H208="")),'08 Exs'!$H208,4)</f>
        <v>3</v>
      </c>
      <c r="AI208"/>
    </row>
    <row r="209" spans="1:35" ht="22.5" outlineLevel="2" x14ac:dyDescent="0.2">
      <c r="A209" s="636" t="s">
        <v>1693</v>
      </c>
      <c r="B209" s="636" t="s">
        <v>2750</v>
      </c>
      <c r="C209" s="786"/>
      <c r="D209" s="702"/>
      <c r="E209" s="789"/>
      <c r="F209" s="789"/>
      <c r="G209" s="1480">
        <v>2</v>
      </c>
      <c r="H209" s="1480"/>
      <c r="I209" s="1480"/>
      <c r="J209" s="1480" t="s">
        <v>2109</v>
      </c>
      <c r="K209" s="1459"/>
      <c r="L209" s="1459"/>
      <c r="M209" s="785"/>
      <c r="AA209">
        <f>IF(AND('08 Exs'!C209&gt;Tmin, NOT('08 Exs'!$I209="")),'08 Exs'!$I209,0)</f>
        <v>0</v>
      </c>
      <c r="AB209">
        <f>IF(AND('08 Exs'!D209&gt;Tmin, NOT('08 Exs'!$I209="")),'08 Exs'!$I209,0)</f>
        <v>0</v>
      </c>
      <c r="AC209">
        <f>IF(AND('08 Exs'!E209&gt;Tmin, NOT('08 Exs'!$I209="")),'08 Exs'!$I209,0)</f>
        <v>0</v>
      </c>
      <c r="AD209">
        <f>IF(AND('08 Exs'!F209&gt;Tmin, NOT('08 Exs'!$I209="")),'08 Exs'!$I209,0)</f>
        <v>0</v>
      </c>
      <c r="AE209">
        <f>IF(AND('08 Exs'!C209&lt;Tmax, NOT('08 Exs'!$H209="")),'08 Exs'!$H209,4)</f>
        <v>4</v>
      </c>
      <c r="AF209">
        <f>IF(AND('08 Exs'!D209&lt;Tmax, NOT('08 Exs'!$H209="")),'08 Exs'!$H209,4)</f>
        <v>4</v>
      </c>
      <c r="AG209">
        <f>IF(AND('08 Exs'!E209&lt;Tmax, NOT('08 Exs'!$H209="")),'08 Exs'!$H209,4)</f>
        <v>4</v>
      </c>
      <c r="AH209">
        <f>IF(AND('08 Exs'!F209&lt;Tmax, NOT('08 Exs'!$H209="")),'08 Exs'!$H209,4)</f>
        <v>4</v>
      </c>
      <c r="AI209"/>
    </row>
    <row r="210" spans="1:35" outlineLevel="2" x14ac:dyDescent="0.2">
      <c r="A210" s="636" t="s">
        <v>2751</v>
      </c>
      <c r="B210" s="636" t="s">
        <v>6356</v>
      </c>
      <c r="C210" s="786"/>
      <c r="D210" s="702"/>
      <c r="E210" s="789"/>
      <c r="F210" s="789"/>
      <c r="G210" s="1480">
        <v>2</v>
      </c>
      <c r="H210" s="1480"/>
      <c r="I210" s="1480"/>
      <c r="J210" s="1480" t="s">
        <v>2964</v>
      </c>
      <c r="K210" s="1459"/>
      <c r="L210" s="1459"/>
      <c r="M210" s="785"/>
      <c r="AA210">
        <f>IF(AND('08 Exs'!C210&gt;Tmin, NOT('08 Exs'!$I210="")),'08 Exs'!$I210,0)</f>
        <v>0</v>
      </c>
      <c r="AB210">
        <f>IF(AND('08 Exs'!D210&gt;Tmin, NOT('08 Exs'!$I210="")),'08 Exs'!$I210,0)</f>
        <v>0</v>
      </c>
      <c r="AC210">
        <f>IF(AND('08 Exs'!E210&gt;Tmin, NOT('08 Exs'!$I210="")),'08 Exs'!$I210,0)</f>
        <v>0</v>
      </c>
      <c r="AD210">
        <f>IF(AND('08 Exs'!F210&gt;Tmin, NOT('08 Exs'!$I210="")),'08 Exs'!$I210,0)</f>
        <v>0</v>
      </c>
      <c r="AE210">
        <f>IF(AND('08 Exs'!C210&lt;Tmax, NOT('08 Exs'!$H210="")),'08 Exs'!$H210,4)</f>
        <v>4</v>
      </c>
      <c r="AF210">
        <f>IF(AND('08 Exs'!D210&lt;Tmax, NOT('08 Exs'!$H210="")),'08 Exs'!$H210,4)</f>
        <v>4</v>
      </c>
      <c r="AG210">
        <f>IF(AND('08 Exs'!E210&lt;Tmax, NOT('08 Exs'!$H210="")),'08 Exs'!$H210,4)</f>
        <v>4</v>
      </c>
      <c r="AH210">
        <f>IF(AND('08 Exs'!F210&lt;Tmax, NOT('08 Exs'!$H210="")),'08 Exs'!$H210,4)</f>
        <v>4</v>
      </c>
      <c r="AI210"/>
    </row>
    <row r="211" spans="1:35" ht="22.5" outlineLevel="2" x14ac:dyDescent="0.2">
      <c r="A211" s="636" t="s">
        <v>2752</v>
      </c>
      <c r="B211" s="636" t="s">
        <v>6523</v>
      </c>
      <c r="C211" s="786"/>
      <c r="D211" s="702"/>
      <c r="E211" s="789"/>
      <c r="F211" s="789"/>
      <c r="G211" s="1480">
        <v>2</v>
      </c>
      <c r="H211" s="1480">
        <v>3</v>
      </c>
      <c r="I211" s="1480"/>
      <c r="J211" s="1480" t="s">
        <v>2109</v>
      </c>
      <c r="K211" s="1459"/>
      <c r="L211" s="1459"/>
      <c r="M211" s="785"/>
      <c r="AA211">
        <f>IF(AND('08 Exs'!C211&gt;Tmin, NOT('08 Exs'!$I211="")),'08 Exs'!$I211,0)</f>
        <v>0</v>
      </c>
      <c r="AB211">
        <f>IF(AND('08 Exs'!D211&gt;Tmin, NOT('08 Exs'!$I211="")),'08 Exs'!$I211,0)</f>
        <v>0</v>
      </c>
      <c r="AC211">
        <f>IF(AND('08 Exs'!E211&gt;Tmin, NOT('08 Exs'!$I211="")),'08 Exs'!$I211,0)</f>
        <v>0</v>
      </c>
      <c r="AD211">
        <f>IF(AND('08 Exs'!F211&gt;Tmin, NOT('08 Exs'!$I211="")),'08 Exs'!$I211,0)</f>
        <v>0</v>
      </c>
      <c r="AE211">
        <f>IF(AND('08 Exs'!C211&lt;Tmax, NOT('08 Exs'!$H211="")),'08 Exs'!$H211,4)</f>
        <v>3</v>
      </c>
      <c r="AF211">
        <f>IF(AND('08 Exs'!D211&lt;Tmax, NOT('08 Exs'!$H211="")),'08 Exs'!$H211,4)</f>
        <v>3</v>
      </c>
      <c r="AG211">
        <f>IF(AND('08 Exs'!E211&lt;Tmax, NOT('08 Exs'!$H211="")),'08 Exs'!$H211,4)</f>
        <v>3</v>
      </c>
      <c r="AH211">
        <f>IF(AND('08 Exs'!F211&lt;Tmax, NOT('08 Exs'!$H211="")),'08 Exs'!$H211,4)</f>
        <v>3</v>
      </c>
      <c r="AI211"/>
    </row>
    <row r="212" spans="1:35" outlineLevel="2" x14ac:dyDescent="0.2">
      <c r="A212" s="636" t="s">
        <v>2696</v>
      </c>
      <c r="B212" s="636" t="s">
        <v>2515</v>
      </c>
      <c r="C212" s="786"/>
      <c r="D212" s="702"/>
      <c r="E212" s="789"/>
      <c r="F212" s="789"/>
      <c r="G212" s="1480">
        <v>2</v>
      </c>
      <c r="H212" s="1480"/>
      <c r="I212" s="1480"/>
      <c r="J212" s="1480" t="s">
        <v>2329</v>
      </c>
      <c r="K212" s="1459" t="s">
        <v>5713</v>
      </c>
      <c r="L212" s="1459" t="s">
        <v>7317</v>
      </c>
      <c r="M212" s="785"/>
      <c r="AA212">
        <f>IF(AND('08 Exs'!C212&gt;Tmin, NOT('08 Exs'!$I212="")),'08 Exs'!$I212,0)</f>
        <v>0</v>
      </c>
      <c r="AB212">
        <f>IF(AND('08 Exs'!D212&gt;Tmin, NOT('08 Exs'!$I212="")),'08 Exs'!$I212,0)</f>
        <v>0</v>
      </c>
      <c r="AC212">
        <f>IF(AND('08 Exs'!E212&gt;Tmin, NOT('08 Exs'!$I212="")),'08 Exs'!$I212,0)</f>
        <v>0</v>
      </c>
      <c r="AD212">
        <f>IF(AND('08 Exs'!F212&gt;Tmin, NOT('08 Exs'!$I212="")),'08 Exs'!$I212,0)</f>
        <v>0</v>
      </c>
      <c r="AE212">
        <f>IF(AND('08 Exs'!C212&lt;Tmax, NOT('08 Exs'!$H212="")),'08 Exs'!$H212,4)</f>
        <v>4</v>
      </c>
      <c r="AF212">
        <f>IF(AND('08 Exs'!D212&lt;Tmax, NOT('08 Exs'!$H212="")),'08 Exs'!$H212,4)</f>
        <v>4</v>
      </c>
      <c r="AG212">
        <f>IF(AND('08 Exs'!E212&lt;Tmax, NOT('08 Exs'!$H212="")),'08 Exs'!$H212,4)</f>
        <v>4</v>
      </c>
      <c r="AH212">
        <f>IF(AND('08 Exs'!F212&lt;Tmax, NOT('08 Exs'!$H212="")),'08 Exs'!$H212,4)</f>
        <v>4</v>
      </c>
      <c r="AI212"/>
    </row>
    <row r="213" spans="1:35" outlineLevel="1" x14ac:dyDescent="0.2">
      <c r="A213" s="633" t="s">
        <v>4954</v>
      </c>
      <c r="B213" s="634" t="s">
        <v>6236</v>
      </c>
      <c r="C213" s="786"/>
      <c r="D213" s="702"/>
      <c r="E213" s="789"/>
      <c r="F213" s="789"/>
      <c r="G213" s="1480"/>
      <c r="H213" s="1480"/>
      <c r="I213" s="1480"/>
      <c r="J213" s="1480"/>
      <c r="K213" s="1459"/>
      <c r="L213" s="1459"/>
      <c r="M213" s="785"/>
      <c r="AA213"/>
      <c r="AB213"/>
      <c r="AC213"/>
      <c r="AD213"/>
      <c r="AE213"/>
      <c r="AF213"/>
      <c r="AG213"/>
      <c r="AH213"/>
      <c r="AI213"/>
    </row>
    <row r="214" spans="1:35" ht="22.5" outlineLevel="2" x14ac:dyDescent="0.2">
      <c r="A214" s="636" t="s">
        <v>2516</v>
      </c>
      <c r="B214" s="636" t="s">
        <v>2517</v>
      </c>
      <c r="C214" s="786"/>
      <c r="D214" s="702"/>
      <c r="E214" s="789"/>
      <c r="F214" s="789"/>
      <c r="G214" s="1480">
        <v>4</v>
      </c>
      <c r="H214" s="1480"/>
      <c r="I214" s="1480"/>
      <c r="J214" s="1480" t="s">
        <v>4246</v>
      </c>
      <c r="K214" s="1459" t="s">
        <v>978</v>
      </c>
      <c r="L214" s="1459" t="s">
        <v>7313</v>
      </c>
      <c r="M214" s="788"/>
      <c r="AA214">
        <f>IF(AND('08 Exs'!C214&gt;Tmin, NOT('08 Exs'!$I214="")),'08 Exs'!$I214,0)</f>
        <v>0</v>
      </c>
      <c r="AB214">
        <f>IF(AND('08 Exs'!D214&gt;Tmin, NOT('08 Exs'!$I214="")),'08 Exs'!$I214,0)</f>
        <v>0</v>
      </c>
      <c r="AC214">
        <f>IF(AND('08 Exs'!E214&gt;Tmin, NOT('08 Exs'!$I214="")),'08 Exs'!$I214,0)</f>
        <v>0</v>
      </c>
      <c r="AD214">
        <f>IF(AND('08 Exs'!F214&gt;Tmin, NOT('08 Exs'!$I214="")),'08 Exs'!$I214,0)</f>
        <v>0</v>
      </c>
      <c r="AE214">
        <f>IF(AND('08 Exs'!C214&lt;Tmax, NOT('08 Exs'!$H214="")),'08 Exs'!$H214,4)</f>
        <v>4</v>
      </c>
      <c r="AF214">
        <f>IF(AND('08 Exs'!D214&lt;Tmax, NOT('08 Exs'!$H214="")),'08 Exs'!$H214,4)</f>
        <v>4</v>
      </c>
      <c r="AG214">
        <f>IF(AND('08 Exs'!E214&lt;Tmax, NOT('08 Exs'!$H214="")),'08 Exs'!$H214,4)</f>
        <v>4</v>
      </c>
      <c r="AH214">
        <f>IF(AND('08 Exs'!F214&lt;Tmax, NOT('08 Exs'!$H214="")),'08 Exs'!$H214,4)</f>
        <v>4</v>
      </c>
      <c r="AI214"/>
    </row>
    <row r="215" spans="1:35" ht="22.5" outlineLevel="2" x14ac:dyDescent="0.2">
      <c r="A215" s="636" t="s">
        <v>2518</v>
      </c>
      <c r="B215" s="636" t="s">
        <v>5851</v>
      </c>
      <c r="C215" s="786"/>
      <c r="D215" s="702"/>
      <c r="E215" s="789"/>
      <c r="F215" s="789"/>
      <c r="G215" s="1480">
        <v>4</v>
      </c>
      <c r="H215" s="1480">
        <v>3</v>
      </c>
      <c r="I215" s="1480"/>
      <c r="J215" s="1480" t="s">
        <v>1592</v>
      </c>
      <c r="K215" s="1459" t="s">
        <v>978</v>
      </c>
      <c r="L215" s="1459" t="s">
        <v>7313</v>
      </c>
      <c r="M215" s="785"/>
      <c r="AA215">
        <f>IF(AND('08 Exs'!C215&gt;Tmin, NOT('08 Exs'!$I215="")),'08 Exs'!$I215,0)</f>
        <v>0</v>
      </c>
      <c r="AB215">
        <f>IF(AND('08 Exs'!D215&gt;Tmin, NOT('08 Exs'!$I215="")),'08 Exs'!$I215,0)</f>
        <v>0</v>
      </c>
      <c r="AC215">
        <f>IF(AND('08 Exs'!E215&gt;Tmin, NOT('08 Exs'!$I215="")),'08 Exs'!$I215,0)</f>
        <v>0</v>
      </c>
      <c r="AD215">
        <f>IF(AND('08 Exs'!F215&gt;Tmin, NOT('08 Exs'!$I215="")),'08 Exs'!$I215,0)</f>
        <v>0</v>
      </c>
      <c r="AE215">
        <f>IF(AND('08 Exs'!C215&lt;Tmax, NOT('08 Exs'!$H215="")),'08 Exs'!$H215,4)</f>
        <v>3</v>
      </c>
      <c r="AF215">
        <f>IF(AND('08 Exs'!D215&lt;Tmax, NOT('08 Exs'!$H215="")),'08 Exs'!$H215,4)</f>
        <v>3</v>
      </c>
      <c r="AG215">
        <f>IF(AND('08 Exs'!E215&lt;Tmax, NOT('08 Exs'!$H215="")),'08 Exs'!$H215,4)</f>
        <v>3</v>
      </c>
      <c r="AH215">
        <f>IF(AND('08 Exs'!F215&lt;Tmax, NOT('08 Exs'!$H215="")),'08 Exs'!$H215,4)</f>
        <v>3</v>
      </c>
      <c r="AI215"/>
    </row>
    <row r="216" spans="1:35" outlineLevel="2" x14ac:dyDescent="0.2">
      <c r="A216" s="636" t="s">
        <v>2519</v>
      </c>
      <c r="B216" s="636" t="s">
        <v>2520</v>
      </c>
      <c r="C216" s="786"/>
      <c r="D216" s="702"/>
      <c r="E216" s="789"/>
      <c r="F216" s="789"/>
      <c r="G216" s="1480">
        <v>4</v>
      </c>
      <c r="H216" s="1480">
        <v>3</v>
      </c>
      <c r="I216" s="1480"/>
      <c r="J216" s="1480" t="s">
        <v>1592</v>
      </c>
      <c r="K216" s="1459" t="s">
        <v>978</v>
      </c>
      <c r="L216" s="1459" t="s">
        <v>7313</v>
      </c>
      <c r="M216" s="785"/>
      <c r="AA216">
        <f>IF(AND('08 Exs'!C216&gt;Tmin, NOT('08 Exs'!$I216="")),'08 Exs'!$I216,0)</f>
        <v>0</v>
      </c>
      <c r="AB216">
        <f>IF(AND('08 Exs'!D216&gt;Tmin, NOT('08 Exs'!$I216="")),'08 Exs'!$I216,0)</f>
        <v>0</v>
      </c>
      <c r="AC216">
        <f>IF(AND('08 Exs'!E216&gt;Tmin, NOT('08 Exs'!$I216="")),'08 Exs'!$I216,0)</f>
        <v>0</v>
      </c>
      <c r="AD216">
        <f>IF(AND('08 Exs'!F216&gt;Tmin, NOT('08 Exs'!$I216="")),'08 Exs'!$I216,0)</f>
        <v>0</v>
      </c>
      <c r="AE216">
        <f>IF(AND('08 Exs'!C216&lt;Tmax, NOT('08 Exs'!$H216="")),'08 Exs'!$H216,4)</f>
        <v>3</v>
      </c>
      <c r="AF216">
        <f>IF(AND('08 Exs'!D216&lt;Tmax, NOT('08 Exs'!$H216="")),'08 Exs'!$H216,4)</f>
        <v>3</v>
      </c>
      <c r="AG216">
        <f>IF(AND('08 Exs'!E216&lt;Tmax, NOT('08 Exs'!$H216="")),'08 Exs'!$H216,4)</f>
        <v>3</v>
      </c>
      <c r="AH216">
        <f>IF(AND('08 Exs'!F216&lt;Tmax, NOT('08 Exs'!$H216="")),'08 Exs'!$H216,4)</f>
        <v>3</v>
      </c>
      <c r="AI216"/>
    </row>
    <row r="217" spans="1:35" outlineLevel="2" x14ac:dyDescent="0.2">
      <c r="A217" s="636" t="s">
        <v>2521</v>
      </c>
      <c r="B217" s="636" t="s">
        <v>2281</v>
      </c>
      <c r="C217" s="786"/>
      <c r="D217" s="702"/>
      <c r="E217" s="789"/>
      <c r="F217" s="789"/>
      <c r="G217" s="1480">
        <v>2</v>
      </c>
      <c r="H217" s="1480">
        <v>3</v>
      </c>
      <c r="I217" s="1480"/>
      <c r="J217" s="1480" t="s">
        <v>1592</v>
      </c>
      <c r="K217" s="1459" t="s">
        <v>978</v>
      </c>
      <c r="L217" s="1459" t="s">
        <v>7313</v>
      </c>
      <c r="M217" s="785"/>
      <c r="AA217">
        <f>IF(AND('08 Exs'!C217&gt;Tmin, NOT('08 Exs'!$I217="")),'08 Exs'!$I217,0)</f>
        <v>0</v>
      </c>
      <c r="AB217">
        <f>IF(AND('08 Exs'!D217&gt;Tmin, NOT('08 Exs'!$I217="")),'08 Exs'!$I217,0)</f>
        <v>0</v>
      </c>
      <c r="AC217">
        <f>IF(AND('08 Exs'!E217&gt;Tmin, NOT('08 Exs'!$I217="")),'08 Exs'!$I217,0)</f>
        <v>0</v>
      </c>
      <c r="AD217">
        <f>IF(AND('08 Exs'!F217&gt;Tmin, NOT('08 Exs'!$I217="")),'08 Exs'!$I217,0)</f>
        <v>0</v>
      </c>
      <c r="AE217">
        <f>IF(AND('08 Exs'!C217&lt;Tmax, NOT('08 Exs'!$H217="")),'08 Exs'!$H217,4)</f>
        <v>3</v>
      </c>
      <c r="AF217">
        <f>IF(AND('08 Exs'!D217&lt;Tmax, NOT('08 Exs'!$H217="")),'08 Exs'!$H217,4)</f>
        <v>3</v>
      </c>
      <c r="AG217">
        <f>IF(AND('08 Exs'!E217&lt;Tmax, NOT('08 Exs'!$H217="")),'08 Exs'!$H217,4)</f>
        <v>3</v>
      </c>
      <c r="AH217">
        <f>IF(AND('08 Exs'!F217&lt;Tmax, NOT('08 Exs'!$H217="")),'08 Exs'!$H217,4)</f>
        <v>3</v>
      </c>
      <c r="AI217"/>
    </row>
    <row r="218" spans="1:35" ht="45" outlineLevel="2" x14ac:dyDescent="0.2">
      <c r="A218" s="636" t="s">
        <v>2441</v>
      </c>
      <c r="B218" s="636" t="s">
        <v>5059</v>
      </c>
      <c r="C218" s="786"/>
      <c r="D218" s="702"/>
      <c r="E218" s="789"/>
      <c r="F218" s="789"/>
      <c r="G218" s="1480">
        <v>4</v>
      </c>
      <c r="H218" s="1480">
        <v>2</v>
      </c>
      <c r="I218" s="1480"/>
      <c r="J218" s="1480" t="s">
        <v>1592</v>
      </c>
      <c r="K218" s="1459" t="s">
        <v>7140</v>
      </c>
      <c r="L218" s="1459" t="s">
        <v>7366</v>
      </c>
      <c r="M218" s="785"/>
      <c r="AA218">
        <f>IF(AND('08 Exs'!C218&gt;Tmin, NOT('08 Exs'!$I218="")),'08 Exs'!$I218,0)</f>
        <v>0</v>
      </c>
      <c r="AB218">
        <f>IF(AND('08 Exs'!D218&gt;Tmin, NOT('08 Exs'!$I218="")),'08 Exs'!$I218,0)</f>
        <v>0</v>
      </c>
      <c r="AC218">
        <f>IF(AND('08 Exs'!E218&gt;Tmin, NOT('08 Exs'!$I218="")),'08 Exs'!$I218,0)</f>
        <v>0</v>
      </c>
      <c r="AD218">
        <f>IF(AND('08 Exs'!F218&gt;Tmin, NOT('08 Exs'!$I218="")),'08 Exs'!$I218,0)</f>
        <v>0</v>
      </c>
      <c r="AE218">
        <f>IF(AND('08 Exs'!C218&lt;Tmax, NOT('08 Exs'!$H218="")),'08 Exs'!$H218,4)</f>
        <v>2</v>
      </c>
      <c r="AF218">
        <f>IF(AND('08 Exs'!D218&lt;Tmax, NOT('08 Exs'!$H218="")),'08 Exs'!$H218,4)</f>
        <v>2</v>
      </c>
      <c r="AG218">
        <f>IF(AND('08 Exs'!E218&lt;Tmax, NOT('08 Exs'!$H218="")),'08 Exs'!$H218,4)</f>
        <v>2</v>
      </c>
      <c r="AH218">
        <f>IF(AND('08 Exs'!F218&lt;Tmax, NOT('08 Exs'!$H218="")),'08 Exs'!$H218,4)</f>
        <v>2</v>
      </c>
      <c r="AI218"/>
    </row>
    <row r="219" spans="1:35" ht="33.75" outlineLevel="2" x14ac:dyDescent="0.2">
      <c r="A219" s="636" t="s">
        <v>2442</v>
      </c>
      <c r="B219" s="636" t="s">
        <v>6524</v>
      </c>
      <c r="C219" s="786"/>
      <c r="D219" s="702"/>
      <c r="E219" s="789"/>
      <c r="F219" s="789"/>
      <c r="G219" s="1480">
        <v>4</v>
      </c>
      <c r="H219" s="1480">
        <v>3</v>
      </c>
      <c r="I219" s="1480"/>
      <c r="J219" s="1480" t="s">
        <v>2349</v>
      </c>
      <c r="K219" s="1459" t="s">
        <v>978</v>
      </c>
      <c r="L219" s="1459" t="s">
        <v>7313</v>
      </c>
      <c r="M219" s="785"/>
      <c r="AA219">
        <f>IF(AND('08 Exs'!C219&gt;Tmin, NOT('08 Exs'!$I219="")),'08 Exs'!$I219,0)</f>
        <v>0</v>
      </c>
      <c r="AB219">
        <f>IF(AND('08 Exs'!D219&gt;Tmin, NOT('08 Exs'!$I219="")),'08 Exs'!$I219,0)</f>
        <v>0</v>
      </c>
      <c r="AC219">
        <f>IF(AND('08 Exs'!E219&gt;Tmin, NOT('08 Exs'!$I219="")),'08 Exs'!$I219,0)</f>
        <v>0</v>
      </c>
      <c r="AD219">
        <f>IF(AND('08 Exs'!F219&gt;Tmin, NOT('08 Exs'!$I219="")),'08 Exs'!$I219,0)</f>
        <v>0</v>
      </c>
      <c r="AE219">
        <f>IF(AND('08 Exs'!C219&lt;Tmax, NOT('08 Exs'!$H219="")),'08 Exs'!$H219,4)</f>
        <v>3</v>
      </c>
      <c r="AF219">
        <f>IF(AND('08 Exs'!D219&lt;Tmax, NOT('08 Exs'!$H219="")),'08 Exs'!$H219,4)</f>
        <v>3</v>
      </c>
      <c r="AG219">
        <f>IF(AND('08 Exs'!E219&lt;Tmax, NOT('08 Exs'!$H219="")),'08 Exs'!$H219,4)</f>
        <v>3</v>
      </c>
      <c r="AH219">
        <f>IF(AND('08 Exs'!F219&lt;Tmax, NOT('08 Exs'!$H219="")),'08 Exs'!$H219,4)</f>
        <v>3</v>
      </c>
      <c r="AI219"/>
    </row>
    <row r="220" spans="1:35" outlineLevel="2" x14ac:dyDescent="0.2">
      <c r="A220" s="636" t="s">
        <v>2443</v>
      </c>
      <c r="B220" s="636" t="s">
        <v>2444</v>
      </c>
      <c r="C220" s="786"/>
      <c r="D220" s="702"/>
      <c r="E220" s="789"/>
      <c r="F220" s="789"/>
      <c r="G220" s="1480">
        <v>2</v>
      </c>
      <c r="H220" s="1480">
        <v>3</v>
      </c>
      <c r="I220" s="1480"/>
      <c r="J220" s="1480" t="s">
        <v>2107</v>
      </c>
      <c r="K220" s="1459" t="s">
        <v>978</v>
      </c>
      <c r="L220" s="1459" t="s">
        <v>7313</v>
      </c>
      <c r="M220" s="785"/>
      <c r="AA220">
        <f>IF(AND('08 Exs'!C220&gt;Tmin, NOT('08 Exs'!$I220="")),'08 Exs'!$I220,0)</f>
        <v>0</v>
      </c>
      <c r="AB220">
        <f>IF(AND('08 Exs'!D220&gt;Tmin, NOT('08 Exs'!$I220="")),'08 Exs'!$I220,0)</f>
        <v>0</v>
      </c>
      <c r="AC220">
        <f>IF(AND('08 Exs'!E220&gt;Tmin, NOT('08 Exs'!$I220="")),'08 Exs'!$I220,0)</f>
        <v>0</v>
      </c>
      <c r="AD220">
        <f>IF(AND('08 Exs'!F220&gt;Tmin, NOT('08 Exs'!$I220="")),'08 Exs'!$I220,0)</f>
        <v>0</v>
      </c>
      <c r="AE220">
        <f>IF(AND('08 Exs'!C220&lt;Tmax, NOT('08 Exs'!$H220="")),'08 Exs'!$H220,4)</f>
        <v>3</v>
      </c>
      <c r="AF220">
        <f>IF(AND('08 Exs'!D220&lt;Tmax, NOT('08 Exs'!$H220="")),'08 Exs'!$H220,4)</f>
        <v>3</v>
      </c>
      <c r="AG220">
        <f>IF(AND('08 Exs'!E220&lt;Tmax, NOT('08 Exs'!$H220="")),'08 Exs'!$H220,4)</f>
        <v>3</v>
      </c>
      <c r="AH220">
        <f>IF(AND('08 Exs'!F220&lt;Tmax, NOT('08 Exs'!$H220="")),'08 Exs'!$H220,4)</f>
        <v>3</v>
      </c>
      <c r="AI220"/>
    </row>
    <row r="221" spans="1:35" outlineLevel="2" x14ac:dyDescent="0.2">
      <c r="A221" s="636" t="s">
        <v>2445</v>
      </c>
      <c r="B221" s="636" t="s">
        <v>1203</v>
      </c>
      <c r="C221" s="786"/>
      <c r="D221" s="702"/>
      <c r="E221" s="789"/>
      <c r="F221" s="789"/>
      <c r="G221" s="1480">
        <v>2</v>
      </c>
      <c r="H221" s="1480">
        <v>3</v>
      </c>
      <c r="I221" s="1480"/>
      <c r="J221" s="1480" t="s">
        <v>2109</v>
      </c>
      <c r="K221" s="1459"/>
      <c r="L221" s="1459"/>
      <c r="M221" s="785"/>
      <c r="AA221">
        <f>IF(AND('08 Exs'!C221&gt;Tmin, NOT('08 Exs'!$I221="")),'08 Exs'!$I221,0)</f>
        <v>0</v>
      </c>
      <c r="AB221">
        <f>IF(AND('08 Exs'!D221&gt;Tmin, NOT('08 Exs'!$I221="")),'08 Exs'!$I221,0)</f>
        <v>0</v>
      </c>
      <c r="AC221">
        <f>IF(AND('08 Exs'!E221&gt;Tmin, NOT('08 Exs'!$I221="")),'08 Exs'!$I221,0)</f>
        <v>0</v>
      </c>
      <c r="AD221">
        <f>IF(AND('08 Exs'!F221&gt;Tmin, NOT('08 Exs'!$I221="")),'08 Exs'!$I221,0)</f>
        <v>0</v>
      </c>
      <c r="AE221">
        <f>IF(AND('08 Exs'!C221&lt;Tmax, NOT('08 Exs'!$H221="")),'08 Exs'!$H221,4)</f>
        <v>3</v>
      </c>
      <c r="AF221">
        <f>IF(AND('08 Exs'!D221&lt;Tmax, NOT('08 Exs'!$H221="")),'08 Exs'!$H221,4)</f>
        <v>3</v>
      </c>
      <c r="AG221">
        <f>IF(AND('08 Exs'!E221&lt;Tmax, NOT('08 Exs'!$H221="")),'08 Exs'!$H221,4)</f>
        <v>3</v>
      </c>
      <c r="AH221">
        <f>IF(AND('08 Exs'!F221&lt;Tmax, NOT('08 Exs'!$H221="")),'08 Exs'!$H221,4)</f>
        <v>3</v>
      </c>
      <c r="AI221"/>
    </row>
    <row r="222" spans="1:35" outlineLevel="1" x14ac:dyDescent="0.2">
      <c r="A222" s="633" t="s">
        <v>4439</v>
      </c>
      <c r="B222" s="634" t="s">
        <v>4955</v>
      </c>
      <c r="C222" s="786"/>
      <c r="D222" s="702"/>
      <c r="E222" s="789"/>
      <c r="F222" s="789"/>
      <c r="G222" s="1480"/>
      <c r="H222" s="1480"/>
      <c r="I222" s="1480"/>
      <c r="J222" s="1480"/>
      <c r="K222" s="1459"/>
      <c r="L222" s="1459"/>
      <c r="M222" s="785"/>
      <c r="AA222"/>
      <c r="AB222"/>
      <c r="AC222"/>
      <c r="AD222"/>
      <c r="AE222"/>
      <c r="AF222"/>
      <c r="AG222"/>
      <c r="AH222"/>
      <c r="AI222"/>
    </row>
    <row r="223" spans="1:35" ht="22.5" outlineLevel="2" x14ac:dyDescent="0.2">
      <c r="A223" s="636" t="s">
        <v>1204</v>
      </c>
      <c r="B223" s="636" t="s">
        <v>5016</v>
      </c>
      <c r="C223" s="786"/>
      <c r="D223" s="702"/>
      <c r="E223" s="789"/>
      <c r="F223" s="789"/>
      <c r="G223" s="1480">
        <v>1</v>
      </c>
      <c r="H223" s="1480"/>
      <c r="I223" s="1480"/>
      <c r="J223" s="1480" t="s">
        <v>4246</v>
      </c>
      <c r="K223" s="1459" t="s">
        <v>978</v>
      </c>
      <c r="L223" s="1459" t="s">
        <v>7313</v>
      </c>
      <c r="M223" s="785"/>
      <c r="AA223">
        <f>IF(AND('08 Exs'!C223&gt;Tmin, NOT('08 Exs'!$I223="")),'08 Exs'!$I223,0)</f>
        <v>0</v>
      </c>
      <c r="AB223">
        <f>IF(AND('08 Exs'!D223&gt;Tmin, NOT('08 Exs'!$I223="")),'08 Exs'!$I223,0)</f>
        <v>0</v>
      </c>
      <c r="AC223">
        <f>IF(AND('08 Exs'!E223&gt;Tmin, NOT('08 Exs'!$I223="")),'08 Exs'!$I223,0)</f>
        <v>0</v>
      </c>
      <c r="AD223">
        <f>IF(AND('08 Exs'!F223&gt;Tmin, NOT('08 Exs'!$I223="")),'08 Exs'!$I223,0)</f>
        <v>0</v>
      </c>
      <c r="AE223">
        <f>IF(AND('08 Exs'!C223&lt;Tmax, NOT('08 Exs'!$H223="")),'08 Exs'!$H223,4)</f>
        <v>4</v>
      </c>
      <c r="AF223">
        <f>IF(AND('08 Exs'!D223&lt;Tmax, NOT('08 Exs'!$H223="")),'08 Exs'!$H223,4)</f>
        <v>4</v>
      </c>
      <c r="AG223">
        <f>IF(AND('08 Exs'!E223&lt;Tmax, NOT('08 Exs'!$H223="")),'08 Exs'!$H223,4)</f>
        <v>4</v>
      </c>
      <c r="AH223">
        <f>IF(AND('08 Exs'!F223&lt;Tmax, NOT('08 Exs'!$H223="")),'08 Exs'!$H223,4)</f>
        <v>4</v>
      </c>
      <c r="AI223"/>
    </row>
    <row r="224" spans="1:35" ht="45" outlineLevel="2" x14ac:dyDescent="0.2">
      <c r="A224" s="636" t="s">
        <v>5017</v>
      </c>
      <c r="B224" s="636" t="s">
        <v>5110</v>
      </c>
      <c r="C224" s="786"/>
      <c r="D224" s="702"/>
      <c r="E224" s="789"/>
      <c r="F224" s="789"/>
      <c r="G224" s="1480">
        <v>2</v>
      </c>
      <c r="H224" s="1480"/>
      <c r="I224" s="1480"/>
      <c r="J224" s="1480" t="s">
        <v>4246</v>
      </c>
      <c r="K224" s="1459" t="s">
        <v>978</v>
      </c>
      <c r="L224" s="1459" t="s">
        <v>7313</v>
      </c>
      <c r="M224" s="785"/>
      <c r="AA224">
        <f>IF(AND('08 Exs'!C224&gt;Tmin, NOT('08 Exs'!$I224="")),'08 Exs'!$I224,0)</f>
        <v>0</v>
      </c>
      <c r="AB224">
        <f>IF(AND('08 Exs'!D224&gt;Tmin, NOT('08 Exs'!$I224="")),'08 Exs'!$I224,0)</f>
        <v>0</v>
      </c>
      <c r="AC224">
        <f>IF(AND('08 Exs'!E224&gt;Tmin, NOT('08 Exs'!$I224="")),'08 Exs'!$I224,0)</f>
        <v>0</v>
      </c>
      <c r="AD224">
        <f>IF(AND('08 Exs'!F224&gt;Tmin, NOT('08 Exs'!$I224="")),'08 Exs'!$I224,0)</f>
        <v>0</v>
      </c>
      <c r="AE224">
        <f>IF(AND('08 Exs'!C224&lt;Tmax, NOT('08 Exs'!$H224="")),'08 Exs'!$H224,4)</f>
        <v>4</v>
      </c>
      <c r="AF224">
        <f>IF(AND('08 Exs'!D224&lt;Tmax, NOT('08 Exs'!$H224="")),'08 Exs'!$H224,4)</f>
        <v>4</v>
      </c>
      <c r="AG224">
        <f>IF(AND('08 Exs'!E224&lt;Tmax, NOT('08 Exs'!$H224="")),'08 Exs'!$H224,4)</f>
        <v>4</v>
      </c>
      <c r="AH224">
        <f>IF(AND('08 Exs'!F224&lt;Tmax, NOT('08 Exs'!$H224="")),'08 Exs'!$H224,4)</f>
        <v>4</v>
      </c>
      <c r="AI224"/>
    </row>
    <row r="225" spans="1:35" ht="22.5" outlineLevel="2" x14ac:dyDescent="0.2">
      <c r="A225" s="636" t="s">
        <v>5018</v>
      </c>
      <c r="B225" s="636" t="s">
        <v>3064</v>
      </c>
      <c r="C225" s="786"/>
      <c r="D225" s="702"/>
      <c r="E225" s="789"/>
      <c r="F225" s="789"/>
      <c r="G225" s="1480">
        <v>2</v>
      </c>
      <c r="H225" s="1480"/>
      <c r="I225" s="1480"/>
      <c r="J225" s="1480" t="s">
        <v>4246</v>
      </c>
      <c r="K225" s="1459" t="s">
        <v>978</v>
      </c>
      <c r="L225" s="1459" t="s">
        <v>7313</v>
      </c>
      <c r="M225" s="785"/>
      <c r="AA225">
        <f>IF(AND('08 Exs'!C225&gt;Tmin, NOT('08 Exs'!$I225="")),'08 Exs'!$I225,0)</f>
        <v>0</v>
      </c>
      <c r="AB225">
        <f>IF(AND('08 Exs'!D225&gt;Tmin, NOT('08 Exs'!$I225="")),'08 Exs'!$I225,0)</f>
        <v>0</v>
      </c>
      <c r="AC225">
        <f>IF(AND('08 Exs'!E225&gt;Tmin, NOT('08 Exs'!$I225="")),'08 Exs'!$I225,0)</f>
        <v>0</v>
      </c>
      <c r="AD225">
        <f>IF(AND('08 Exs'!F225&gt;Tmin, NOT('08 Exs'!$I225="")),'08 Exs'!$I225,0)</f>
        <v>0</v>
      </c>
      <c r="AE225">
        <f>IF(AND('08 Exs'!C225&lt;Tmax, NOT('08 Exs'!$H225="")),'08 Exs'!$H225,4)</f>
        <v>4</v>
      </c>
      <c r="AF225">
        <f>IF(AND('08 Exs'!D225&lt;Tmax, NOT('08 Exs'!$H225="")),'08 Exs'!$H225,4)</f>
        <v>4</v>
      </c>
      <c r="AG225">
        <f>IF(AND('08 Exs'!E225&lt;Tmax, NOT('08 Exs'!$H225="")),'08 Exs'!$H225,4)</f>
        <v>4</v>
      </c>
      <c r="AH225">
        <f>IF(AND('08 Exs'!F225&lt;Tmax, NOT('08 Exs'!$H225="")),'08 Exs'!$H225,4)</f>
        <v>4</v>
      </c>
      <c r="AI225"/>
    </row>
    <row r="226" spans="1:35" ht="22.5" outlineLevel="2" x14ac:dyDescent="0.2">
      <c r="A226" s="636" t="s">
        <v>3065</v>
      </c>
      <c r="B226" s="636" t="s">
        <v>1888</v>
      </c>
      <c r="C226" s="786"/>
      <c r="D226" s="702"/>
      <c r="E226" s="789"/>
      <c r="F226" s="789"/>
      <c r="G226" s="1480">
        <v>4</v>
      </c>
      <c r="H226" s="1480">
        <v>2</v>
      </c>
      <c r="I226" s="1480"/>
      <c r="J226" s="1480" t="s">
        <v>1592</v>
      </c>
      <c r="K226" s="1459" t="s">
        <v>978</v>
      </c>
      <c r="L226" s="1459" t="s">
        <v>7313</v>
      </c>
      <c r="M226" s="785"/>
      <c r="AA226">
        <f>IF(AND('08 Exs'!C226&gt;Tmin, NOT('08 Exs'!$I226="")),'08 Exs'!$I226,0)</f>
        <v>0</v>
      </c>
      <c r="AB226">
        <f>IF(AND('08 Exs'!D226&gt;Tmin, NOT('08 Exs'!$I226="")),'08 Exs'!$I226,0)</f>
        <v>0</v>
      </c>
      <c r="AC226">
        <f>IF(AND('08 Exs'!E226&gt;Tmin, NOT('08 Exs'!$I226="")),'08 Exs'!$I226,0)</f>
        <v>0</v>
      </c>
      <c r="AD226">
        <f>IF(AND('08 Exs'!F226&gt;Tmin, NOT('08 Exs'!$I226="")),'08 Exs'!$I226,0)</f>
        <v>0</v>
      </c>
      <c r="AE226">
        <f>IF(AND('08 Exs'!C226&lt;Tmax, NOT('08 Exs'!$H226="")),'08 Exs'!$H226,4)</f>
        <v>2</v>
      </c>
      <c r="AF226">
        <f>IF(AND('08 Exs'!D226&lt;Tmax, NOT('08 Exs'!$H226="")),'08 Exs'!$H226,4)</f>
        <v>2</v>
      </c>
      <c r="AG226">
        <f>IF(AND('08 Exs'!E226&lt;Tmax, NOT('08 Exs'!$H226="")),'08 Exs'!$H226,4)</f>
        <v>2</v>
      </c>
      <c r="AH226">
        <f>IF(AND('08 Exs'!F226&lt;Tmax, NOT('08 Exs'!$H226="")),'08 Exs'!$H226,4)</f>
        <v>2</v>
      </c>
      <c r="AI226"/>
    </row>
    <row r="227" spans="1:35" ht="22.5" outlineLevel="2" x14ac:dyDescent="0.2">
      <c r="A227" s="636" t="s">
        <v>1889</v>
      </c>
      <c r="B227" s="636" t="s">
        <v>85</v>
      </c>
      <c r="C227" s="786"/>
      <c r="D227" s="702"/>
      <c r="E227" s="789"/>
      <c r="F227" s="789"/>
      <c r="G227" s="1480">
        <v>2</v>
      </c>
      <c r="H227" s="1483"/>
      <c r="I227" s="1480"/>
      <c r="J227" s="1480" t="s">
        <v>2329</v>
      </c>
      <c r="K227" s="1459" t="s">
        <v>978</v>
      </c>
      <c r="L227" s="1459" t="s">
        <v>7313</v>
      </c>
      <c r="M227" s="785"/>
      <c r="AA227">
        <f>IF(AND('08 Exs'!C227&gt;Tmin, NOT('08 Exs'!$I227="")),'08 Exs'!$I227,0)</f>
        <v>0</v>
      </c>
      <c r="AB227">
        <f>IF(AND('08 Exs'!D227&gt;Tmin, NOT('08 Exs'!$I227="")),'08 Exs'!$I227,0)</f>
        <v>0</v>
      </c>
      <c r="AC227">
        <f>IF(AND('08 Exs'!E227&gt;Tmin, NOT('08 Exs'!$I227="")),'08 Exs'!$I227,0)</f>
        <v>0</v>
      </c>
      <c r="AD227">
        <f>IF(AND('08 Exs'!F227&gt;Tmin, NOT('08 Exs'!$I227="")),'08 Exs'!$I227,0)</f>
        <v>0</v>
      </c>
      <c r="AE227">
        <f>IF(AND('08 Exs'!C227&lt;Tmax, NOT('08 Exs'!$H227="")),'08 Exs'!$H227,4)</f>
        <v>4</v>
      </c>
      <c r="AF227">
        <f>IF(AND('08 Exs'!D227&lt;Tmax, NOT('08 Exs'!$H227="")),'08 Exs'!$H227,4)</f>
        <v>4</v>
      </c>
      <c r="AG227">
        <f>IF(AND('08 Exs'!E227&lt;Tmax, NOT('08 Exs'!$H227="")),'08 Exs'!$H227,4)</f>
        <v>4</v>
      </c>
      <c r="AH227">
        <f>IF(AND('08 Exs'!F227&lt;Tmax, NOT('08 Exs'!$H227="")),'08 Exs'!$H227,4)</f>
        <v>4</v>
      </c>
      <c r="AI227"/>
    </row>
    <row r="228" spans="1:35" outlineLevel="2" x14ac:dyDescent="0.2">
      <c r="A228" s="636" t="s">
        <v>1890</v>
      </c>
      <c r="B228" s="636" t="s">
        <v>1891</v>
      </c>
      <c r="C228" s="786"/>
      <c r="D228" s="702"/>
      <c r="E228" s="789"/>
      <c r="F228" s="789"/>
      <c r="G228" s="1480">
        <v>2</v>
      </c>
      <c r="H228" s="1483"/>
      <c r="I228" s="1480"/>
      <c r="J228" s="1480" t="s">
        <v>2329</v>
      </c>
      <c r="K228" s="1459" t="s">
        <v>978</v>
      </c>
      <c r="L228" s="1459" t="s">
        <v>7313</v>
      </c>
      <c r="M228" s="785"/>
      <c r="AA228">
        <f>IF(AND('08 Exs'!C228&gt;Tmin, NOT('08 Exs'!$I228="")),'08 Exs'!$I228,0)</f>
        <v>0</v>
      </c>
      <c r="AB228">
        <f>IF(AND('08 Exs'!D228&gt;Tmin, NOT('08 Exs'!$I228="")),'08 Exs'!$I228,0)</f>
        <v>0</v>
      </c>
      <c r="AC228">
        <f>IF(AND('08 Exs'!E228&gt;Tmin, NOT('08 Exs'!$I228="")),'08 Exs'!$I228,0)</f>
        <v>0</v>
      </c>
      <c r="AD228">
        <f>IF(AND('08 Exs'!F228&gt;Tmin, NOT('08 Exs'!$I228="")),'08 Exs'!$I228,0)</f>
        <v>0</v>
      </c>
      <c r="AE228">
        <f>IF(AND('08 Exs'!C228&lt;Tmax, NOT('08 Exs'!$H228="")),'08 Exs'!$H228,4)</f>
        <v>4</v>
      </c>
      <c r="AF228">
        <f>IF(AND('08 Exs'!D228&lt;Tmax, NOT('08 Exs'!$H228="")),'08 Exs'!$H228,4)</f>
        <v>4</v>
      </c>
      <c r="AG228">
        <f>IF(AND('08 Exs'!E228&lt;Tmax, NOT('08 Exs'!$H228="")),'08 Exs'!$H228,4)</f>
        <v>4</v>
      </c>
      <c r="AH228">
        <f>IF(AND('08 Exs'!F228&lt;Tmax, NOT('08 Exs'!$H228="")),'08 Exs'!$H228,4)</f>
        <v>4</v>
      </c>
      <c r="AI228"/>
    </row>
    <row r="229" spans="1:35" ht="22.5" outlineLevel="2" x14ac:dyDescent="0.2">
      <c r="A229" s="636" t="s">
        <v>1892</v>
      </c>
      <c r="B229" s="636" t="s">
        <v>5875</v>
      </c>
      <c r="C229" s="786"/>
      <c r="D229" s="702"/>
      <c r="E229" s="789"/>
      <c r="F229" s="789"/>
      <c r="G229" s="1480">
        <v>2</v>
      </c>
      <c r="H229" s="1480"/>
      <c r="I229" s="1480"/>
      <c r="J229" s="1480" t="s">
        <v>1592</v>
      </c>
      <c r="K229" s="1459" t="s">
        <v>978</v>
      </c>
      <c r="L229" s="1459" t="s">
        <v>7313</v>
      </c>
      <c r="M229" s="785"/>
      <c r="AA229">
        <f>IF(AND('08 Exs'!C229&gt;Tmin, NOT('08 Exs'!$I229="")),'08 Exs'!$I229,0)</f>
        <v>0</v>
      </c>
      <c r="AB229">
        <f>IF(AND('08 Exs'!D229&gt;Tmin, NOT('08 Exs'!$I229="")),'08 Exs'!$I229,0)</f>
        <v>0</v>
      </c>
      <c r="AC229">
        <f>IF(AND('08 Exs'!E229&gt;Tmin, NOT('08 Exs'!$I229="")),'08 Exs'!$I229,0)</f>
        <v>0</v>
      </c>
      <c r="AD229">
        <f>IF(AND('08 Exs'!F229&gt;Tmin, NOT('08 Exs'!$I229="")),'08 Exs'!$I229,0)</f>
        <v>0</v>
      </c>
      <c r="AE229">
        <f>IF(AND('08 Exs'!C229&lt;Tmax, NOT('08 Exs'!$H229="")),'08 Exs'!$H229,4)</f>
        <v>4</v>
      </c>
      <c r="AF229">
        <f>IF(AND('08 Exs'!D229&lt;Tmax, NOT('08 Exs'!$H229="")),'08 Exs'!$H229,4)</f>
        <v>4</v>
      </c>
      <c r="AG229">
        <f>IF(AND('08 Exs'!E229&lt;Tmax, NOT('08 Exs'!$H229="")),'08 Exs'!$H229,4)</f>
        <v>4</v>
      </c>
      <c r="AH229">
        <f>IF(AND('08 Exs'!F229&lt;Tmax, NOT('08 Exs'!$H229="")),'08 Exs'!$H229,4)</f>
        <v>4</v>
      </c>
      <c r="AI229"/>
    </row>
    <row r="230" spans="1:35" outlineLevel="2" x14ac:dyDescent="0.2">
      <c r="A230" s="636" t="s">
        <v>4135</v>
      </c>
      <c r="B230" s="636" t="s">
        <v>2281</v>
      </c>
      <c r="C230" s="786"/>
      <c r="D230" s="702"/>
      <c r="E230" s="789"/>
      <c r="F230" s="789"/>
      <c r="G230" s="1480">
        <v>2</v>
      </c>
      <c r="H230" s="1480"/>
      <c r="I230" s="1480"/>
      <c r="J230" s="1480" t="s">
        <v>1592</v>
      </c>
      <c r="K230" s="1459" t="s">
        <v>978</v>
      </c>
      <c r="L230" s="1459" t="s">
        <v>7313</v>
      </c>
      <c r="M230" s="785"/>
      <c r="AA230">
        <f>IF(AND('08 Exs'!C230&gt;Tmin, NOT('08 Exs'!$I230="")),'08 Exs'!$I230,0)</f>
        <v>0</v>
      </c>
      <c r="AB230">
        <f>IF(AND('08 Exs'!D230&gt;Tmin, NOT('08 Exs'!$I230="")),'08 Exs'!$I230,0)</f>
        <v>0</v>
      </c>
      <c r="AC230">
        <f>IF(AND('08 Exs'!E230&gt;Tmin, NOT('08 Exs'!$I230="")),'08 Exs'!$I230,0)</f>
        <v>0</v>
      </c>
      <c r="AD230">
        <f>IF(AND('08 Exs'!F230&gt;Tmin, NOT('08 Exs'!$I230="")),'08 Exs'!$I230,0)</f>
        <v>0</v>
      </c>
      <c r="AE230">
        <f>IF(AND('08 Exs'!C230&lt;Tmax, NOT('08 Exs'!$H230="")),'08 Exs'!$H230,4)</f>
        <v>4</v>
      </c>
      <c r="AF230">
        <f>IF(AND('08 Exs'!D230&lt;Tmax, NOT('08 Exs'!$H230="")),'08 Exs'!$H230,4)</f>
        <v>4</v>
      </c>
      <c r="AG230">
        <f>IF(AND('08 Exs'!E230&lt;Tmax, NOT('08 Exs'!$H230="")),'08 Exs'!$H230,4)</f>
        <v>4</v>
      </c>
      <c r="AH230">
        <f>IF(AND('08 Exs'!F230&lt;Tmax, NOT('08 Exs'!$H230="")),'08 Exs'!$H230,4)</f>
        <v>4</v>
      </c>
      <c r="AI230"/>
    </row>
    <row r="231" spans="1:35" ht="22.5" outlineLevel="2" x14ac:dyDescent="0.2">
      <c r="A231" s="636" t="s">
        <v>4136</v>
      </c>
      <c r="B231" s="636" t="s">
        <v>1578</v>
      </c>
      <c r="C231" s="786"/>
      <c r="D231" s="702"/>
      <c r="E231" s="789"/>
      <c r="F231" s="789"/>
      <c r="G231" s="1480">
        <v>4</v>
      </c>
      <c r="H231" s="1480">
        <v>2</v>
      </c>
      <c r="I231" s="1480"/>
      <c r="J231" s="1480" t="s">
        <v>1592</v>
      </c>
      <c r="K231" s="1459" t="s">
        <v>7140</v>
      </c>
      <c r="L231" s="1459" t="s">
        <v>7366</v>
      </c>
      <c r="M231" s="785"/>
      <c r="AA231">
        <f>IF(AND('08 Exs'!C231&gt;Tmin, NOT('08 Exs'!$I231="")),'08 Exs'!$I231,0)</f>
        <v>0</v>
      </c>
      <c r="AB231">
        <f>IF(AND('08 Exs'!D231&gt;Tmin, NOT('08 Exs'!$I231="")),'08 Exs'!$I231,0)</f>
        <v>0</v>
      </c>
      <c r="AC231">
        <f>IF(AND('08 Exs'!E231&gt;Tmin, NOT('08 Exs'!$I231="")),'08 Exs'!$I231,0)</f>
        <v>0</v>
      </c>
      <c r="AD231">
        <f>IF(AND('08 Exs'!F231&gt;Tmin, NOT('08 Exs'!$I231="")),'08 Exs'!$I231,0)</f>
        <v>0</v>
      </c>
      <c r="AE231">
        <f>IF(AND('08 Exs'!C231&lt;Tmax, NOT('08 Exs'!$H231="")),'08 Exs'!$H231,4)</f>
        <v>2</v>
      </c>
      <c r="AF231">
        <f>IF(AND('08 Exs'!D231&lt;Tmax, NOT('08 Exs'!$H231="")),'08 Exs'!$H231,4)</f>
        <v>2</v>
      </c>
      <c r="AG231">
        <f>IF(AND('08 Exs'!E231&lt;Tmax, NOT('08 Exs'!$H231="")),'08 Exs'!$H231,4)</f>
        <v>2</v>
      </c>
      <c r="AH231">
        <f>IF(AND('08 Exs'!F231&lt;Tmax, NOT('08 Exs'!$H231="")),'08 Exs'!$H231,4)</f>
        <v>2</v>
      </c>
      <c r="AI231"/>
    </row>
    <row r="232" spans="1:35" ht="46.5" customHeight="1" outlineLevel="2" x14ac:dyDescent="0.2">
      <c r="A232" s="636" t="s">
        <v>4137</v>
      </c>
      <c r="B232" s="636" t="s">
        <v>6525</v>
      </c>
      <c r="C232" s="786"/>
      <c r="D232" s="702"/>
      <c r="E232" s="789"/>
      <c r="F232" s="789"/>
      <c r="G232" s="1480">
        <v>4</v>
      </c>
      <c r="H232" s="1480">
        <v>3</v>
      </c>
      <c r="I232" s="1480"/>
      <c r="J232" s="1480" t="s">
        <v>2349</v>
      </c>
      <c r="K232" s="1459" t="s">
        <v>978</v>
      </c>
      <c r="L232" s="1459" t="s">
        <v>7313</v>
      </c>
      <c r="M232" s="785"/>
      <c r="AA232">
        <f>IF(AND('08 Exs'!C232&gt;Tmin, NOT('08 Exs'!$I232="")),'08 Exs'!$I232,0)</f>
        <v>0</v>
      </c>
      <c r="AB232">
        <f>IF(AND('08 Exs'!D232&gt;Tmin, NOT('08 Exs'!$I232="")),'08 Exs'!$I232,0)</f>
        <v>0</v>
      </c>
      <c r="AC232">
        <f>IF(AND('08 Exs'!E232&gt;Tmin, NOT('08 Exs'!$I232="")),'08 Exs'!$I232,0)</f>
        <v>0</v>
      </c>
      <c r="AD232">
        <f>IF(AND('08 Exs'!F232&gt;Tmin, NOT('08 Exs'!$I232="")),'08 Exs'!$I232,0)</f>
        <v>0</v>
      </c>
      <c r="AE232">
        <f>IF(AND('08 Exs'!C232&lt;Tmax, NOT('08 Exs'!$H232="")),'08 Exs'!$H232,4)</f>
        <v>3</v>
      </c>
      <c r="AF232">
        <f>IF(AND('08 Exs'!D232&lt;Tmax, NOT('08 Exs'!$H232="")),'08 Exs'!$H232,4)</f>
        <v>3</v>
      </c>
      <c r="AG232">
        <f>IF(AND('08 Exs'!E232&lt;Tmax, NOT('08 Exs'!$H232="")),'08 Exs'!$H232,4)</f>
        <v>3</v>
      </c>
      <c r="AH232">
        <f>IF(AND('08 Exs'!F232&lt;Tmax, NOT('08 Exs'!$H232="")),'08 Exs'!$H232,4)</f>
        <v>3</v>
      </c>
      <c r="AI232"/>
    </row>
    <row r="233" spans="1:35" ht="22.5" outlineLevel="2" x14ac:dyDescent="0.2">
      <c r="A233" s="636" t="s">
        <v>4138</v>
      </c>
      <c r="B233" s="636" t="s">
        <v>5547</v>
      </c>
      <c r="C233" s="786"/>
      <c r="D233" s="702"/>
      <c r="E233" s="789"/>
      <c r="F233" s="789"/>
      <c r="G233" s="1480">
        <v>1</v>
      </c>
      <c r="H233" s="1480"/>
      <c r="I233" s="1480"/>
      <c r="J233" s="1480" t="s">
        <v>2329</v>
      </c>
      <c r="K233" s="1459" t="s">
        <v>978</v>
      </c>
      <c r="L233" s="1459" t="s">
        <v>7313</v>
      </c>
      <c r="M233" s="785"/>
      <c r="AA233">
        <f>IF(AND('08 Exs'!C233&gt;Tmin, NOT('08 Exs'!$I233="")),'08 Exs'!$I233,0)</f>
        <v>0</v>
      </c>
      <c r="AB233">
        <f>IF(AND('08 Exs'!D233&gt;Tmin, NOT('08 Exs'!$I233="")),'08 Exs'!$I233,0)</f>
        <v>0</v>
      </c>
      <c r="AC233">
        <f>IF(AND('08 Exs'!E233&gt;Tmin, NOT('08 Exs'!$I233="")),'08 Exs'!$I233,0)</f>
        <v>0</v>
      </c>
      <c r="AD233">
        <f>IF(AND('08 Exs'!F233&gt;Tmin, NOT('08 Exs'!$I233="")),'08 Exs'!$I233,0)</f>
        <v>0</v>
      </c>
      <c r="AE233">
        <f>IF(AND('08 Exs'!C233&lt;Tmax, NOT('08 Exs'!$H233="")),'08 Exs'!$H233,4)</f>
        <v>4</v>
      </c>
      <c r="AF233">
        <f>IF(AND('08 Exs'!D233&lt;Tmax, NOT('08 Exs'!$H233="")),'08 Exs'!$H233,4)</f>
        <v>4</v>
      </c>
      <c r="AG233">
        <f>IF(AND('08 Exs'!E233&lt;Tmax, NOT('08 Exs'!$H233="")),'08 Exs'!$H233,4)</f>
        <v>4</v>
      </c>
      <c r="AH233">
        <f>IF(AND('08 Exs'!F233&lt;Tmax, NOT('08 Exs'!$H233="")),'08 Exs'!$H233,4)</f>
        <v>4</v>
      </c>
      <c r="AI233"/>
    </row>
    <row r="234" spans="1:35" outlineLevel="2" x14ac:dyDescent="0.2">
      <c r="A234" s="636" t="s">
        <v>5548</v>
      </c>
      <c r="B234" s="636" t="s">
        <v>5925</v>
      </c>
      <c r="C234" s="786"/>
      <c r="D234" s="702"/>
      <c r="E234" s="789"/>
      <c r="F234" s="789"/>
      <c r="G234" s="1480">
        <v>2</v>
      </c>
      <c r="H234" s="1480">
        <v>3</v>
      </c>
      <c r="I234" s="1480"/>
      <c r="J234" s="1480" t="s">
        <v>1592</v>
      </c>
      <c r="K234" s="1459" t="s">
        <v>978</v>
      </c>
      <c r="L234" s="1459" t="s">
        <v>7313</v>
      </c>
      <c r="M234" s="785"/>
      <c r="AA234">
        <f>IF(AND('08 Exs'!C234&gt;Tmin, NOT('08 Exs'!$I234="")),'08 Exs'!$I234,0)</f>
        <v>0</v>
      </c>
      <c r="AB234">
        <f>IF(AND('08 Exs'!D234&gt;Tmin, NOT('08 Exs'!$I234="")),'08 Exs'!$I234,0)</f>
        <v>0</v>
      </c>
      <c r="AC234">
        <f>IF(AND('08 Exs'!E234&gt;Tmin, NOT('08 Exs'!$I234="")),'08 Exs'!$I234,0)</f>
        <v>0</v>
      </c>
      <c r="AD234">
        <f>IF(AND('08 Exs'!F234&gt;Tmin, NOT('08 Exs'!$I234="")),'08 Exs'!$I234,0)</f>
        <v>0</v>
      </c>
      <c r="AE234">
        <f>IF(AND('08 Exs'!C234&lt;Tmax, NOT('08 Exs'!$H234="")),'08 Exs'!$H234,4)</f>
        <v>3</v>
      </c>
      <c r="AF234">
        <f>IF(AND('08 Exs'!D234&lt;Tmax, NOT('08 Exs'!$H234="")),'08 Exs'!$H234,4)</f>
        <v>3</v>
      </c>
      <c r="AG234">
        <f>IF(AND('08 Exs'!E234&lt;Tmax, NOT('08 Exs'!$H234="")),'08 Exs'!$H234,4)</f>
        <v>3</v>
      </c>
      <c r="AH234">
        <f>IF(AND('08 Exs'!F234&lt;Tmax, NOT('08 Exs'!$H234="")),'08 Exs'!$H234,4)</f>
        <v>3</v>
      </c>
      <c r="AI234"/>
    </row>
    <row r="235" spans="1:35" ht="22.5" outlineLevel="2" x14ac:dyDescent="0.2">
      <c r="A235" s="636" t="s">
        <v>5549</v>
      </c>
      <c r="B235" s="636" t="s">
        <v>1579</v>
      </c>
      <c r="C235" s="786"/>
      <c r="D235" s="702"/>
      <c r="E235" s="789"/>
      <c r="F235" s="789"/>
      <c r="G235" s="1480">
        <v>4</v>
      </c>
      <c r="H235" s="1480"/>
      <c r="I235" s="1480"/>
      <c r="J235" s="1480" t="s">
        <v>2329</v>
      </c>
      <c r="K235" s="1459" t="s">
        <v>978</v>
      </c>
      <c r="L235" s="1459" t="s">
        <v>7313</v>
      </c>
      <c r="M235" s="785"/>
      <c r="AA235">
        <f>IF(AND('08 Exs'!C235&gt;Tmin, NOT('08 Exs'!$I235="")),'08 Exs'!$I235,0)</f>
        <v>0</v>
      </c>
      <c r="AB235">
        <f>IF(AND('08 Exs'!D235&gt;Tmin, NOT('08 Exs'!$I235="")),'08 Exs'!$I235,0)</f>
        <v>0</v>
      </c>
      <c r="AC235">
        <f>IF(AND('08 Exs'!E235&gt;Tmin, NOT('08 Exs'!$I235="")),'08 Exs'!$I235,0)</f>
        <v>0</v>
      </c>
      <c r="AD235">
        <f>IF(AND('08 Exs'!F235&gt;Tmin, NOT('08 Exs'!$I235="")),'08 Exs'!$I235,0)</f>
        <v>0</v>
      </c>
      <c r="AE235">
        <f>IF(AND('08 Exs'!C235&lt;Tmax, NOT('08 Exs'!$H235="")),'08 Exs'!$H235,4)</f>
        <v>4</v>
      </c>
      <c r="AF235">
        <f>IF(AND('08 Exs'!D235&lt;Tmax, NOT('08 Exs'!$H235="")),'08 Exs'!$H235,4)</f>
        <v>4</v>
      </c>
      <c r="AG235">
        <f>IF(AND('08 Exs'!E235&lt;Tmax, NOT('08 Exs'!$H235="")),'08 Exs'!$H235,4)</f>
        <v>4</v>
      </c>
      <c r="AH235">
        <f>IF(AND('08 Exs'!F235&lt;Tmax, NOT('08 Exs'!$H235="")),'08 Exs'!$H235,4)</f>
        <v>4</v>
      </c>
      <c r="AI235"/>
    </row>
    <row r="236" spans="1:35" outlineLevel="2" x14ac:dyDescent="0.2">
      <c r="A236" s="636" t="s">
        <v>5550</v>
      </c>
      <c r="B236" s="636" t="s">
        <v>4004</v>
      </c>
      <c r="C236" s="786"/>
      <c r="D236" s="702"/>
      <c r="E236" s="789"/>
      <c r="F236" s="789"/>
      <c r="G236" s="1480">
        <v>2</v>
      </c>
      <c r="H236" s="1480">
        <v>3</v>
      </c>
      <c r="I236" s="1480"/>
      <c r="J236" s="1480" t="s">
        <v>2109</v>
      </c>
      <c r="K236" s="1459"/>
      <c r="L236" s="1459"/>
      <c r="M236" s="785"/>
      <c r="AA236">
        <f>IF(AND('08 Exs'!C236&gt;Tmin, NOT('08 Exs'!$I236="")),'08 Exs'!$I236,0)</f>
        <v>0</v>
      </c>
      <c r="AB236">
        <f>IF(AND('08 Exs'!D236&gt;Tmin, NOT('08 Exs'!$I236="")),'08 Exs'!$I236,0)</f>
        <v>0</v>
      </c>
      <c r="AC236">
        <f>IF(AND('08 Exs'!E236&gt;Tmin, NOT('08 Exs'!$I236="")),'08 Exs'!$I236,0)</f>
        <v>0</v>
      </c>
      <c r="AD236">
        <f>IF(AND('08 Exs'!F236&gt;Tmin, NOT('08 Exs'!$I236="")),'08 Exs'!$I236,0)</f>
        <v>0</v>
      </c>
      <c r="AE236">
        <f>IF(AND('08 Exs'!C236&lt;Tmax, NOT('08 Exs'!$H236="")),'08 Exs'!$H236,4)</f>
        <v>3</v>
      </c>
      <c r="AF236">
        <f>IF(AND('08 Exs'!D236&lt;Tmax, NOT('08 Exs'!$H236="")),'08 Exs'!$H236,4)</f>
        <v>3</v>
      </c>
      <c r="AG236">
        <f>IF(AND('08 Exs'!E236&lt;Tmax, NOT('08 Exs'!$H236="")),'08 Exs'!$H236,4)</f>
        <v>3</v>
      </c>
      <c r="AH236">
        <f>IF(AND('08 Exs'!F236&lt;Tmax, NOT('08 Exs'!$H236="")),'08 Exs'!$H236,4)</f>
        <v>3</v>
      </c>
      <c r="AI236"/>
    </row>
    <row r="237" spans="1:35" outlineLevel="1" x14ac:dyDescent="0.2">
      <c r="A237" s="633" t="s">
        <v>5965</v>
      </c>
      <c r="B237" s="634" t="s">
        <v>5739</v>
      </c>
      <c r="C237" s="786"/>
      <c r="D237" s="702"/>
      <c r="E237" s="789"/>
      <c r="F237" s="789"/>
      <c r="G237" s="1480"/>
      <c r="H237" s="1480"/>
      <c r="I237" s="1480"/>
      <c r="J237" s="1480"/>
      <c r="K237" s="1459"/>
      <c r="L237" s="1459"/>
      <c r="M237" s="785"/>
      <c r="AA237"/>
      <c r="AB237"/>
      <c r="AC237"/>
      <c r="AD237"/>
      <c r="AE237"/>
      <c r="AF237"/>
      <c r="AG237"/>
      <c r="AH237"/>
      <c r="AI237"/>
    </row>
    <row r="238" spans="1:35" ht="22.5" outlineLevel="2" x14ac:dyDescent="0.2">
      <c r="A238" s="636" t="s">
        <v>5551</v>
      </c>
      <c r="B238" s="636" t="s">
        <v>4142</v>
      </c>
      <c r="C238" s="786"/>
      <c r="D238" s="702"/>
      <c r="E238" s="789"/>
      <c r="F238" s="789"/>
      <c r="G238" s="1480">
        <v>4</v>
      </c>
      <c r="H238" s="1480"/>
      <c r="I238" s="1480"/>
      <c r="J238" s="1480" t="s">
        <v>4246</v>
      </c>
      <c r="K238" s="1458" t="s">
        <v>6903</v>
      </c>
      <c r="L238" s="1459" t="s">
        <v>5895</v>
      </c>
      <c r="M238" s="785"/>
      <c r="AA238">
        <f>IF(AND('08 Exs'!C238&gt;Tmin, NOT('08 Exs'!$I238="")),'08 Exs'!$I238,0)</f>
        <v>0</v>
      </c>
      <c r="AB238">
        <f>IF(AND('08 Exs'!D238&gt;Tmin, NOT('08 Exs'!$I238="")),'08 Exs'!$I238,0)</f>
        <v>0</v>
      </c>
      <c r="AC238">
        <f>IF(AND('08 Exs'!E238&gt;Tmin, NOT('08 Exs'!$I238="")),'08 Exs'!$I238,0)</f>
        <v>0</v>
      </c>
      <c r="AD238">
        <f>IF(AND('08 Exs'!F238&gt;Tmin, NOT('08 Exs'!$I238="")),'08 Exs'!$I238,0)</f>
        <v>0</v>
      </c>
      <c r="AE238">
        <f>IF(AND('08 Exs'!C238&lt;Tmax, NOT('08 Exs'!$H238="")),'08 Exs'!$H238,4)</f>
        <v>4</v>
      </c>
      <c r="AF238">
        <f>IF(AND('08 Exs'!D238&lt;Tmax, NOT('08 Exs'!$H238="")),'08 Exs'!$H238,4)</f>
        <v>4</v>
      </c>
      <c r="AG238">
        <f>IF(AND('08 Exs'!E238&lt;Tmax, NOT('08 Exs'!$H238="")),'08 Exs'!$H238,4)</f>
        <v>4</v>
      </c>
      <c r="AH238">
        <f>IF(AND('08 Exs'!F238&lt;Tmax, NOT('08 Exs'!$H238="")),'08 Exs'!$H238,4)</f>
        <v>4</v>
      </c>
      <c r="AI238"/>
    </row>
    <row r="239" spans="1:35" ht="45" outlineLevel="2" x14ac:dyDescent="0.2">
      <c r="A239" s="636" t="s">
        <v>6497</v>
      </c>
      <c r="B239" s="636" t="s">
        <v>6050</v>
      </c>
      <c r="C239" s="786"/>
      <c r="D239" s="702"/>
      <c r="E239" s="789"/>
      <c r="F239" s="789"/>
      <c r="G239" s="1480">
        <v>4</v>
      </c>
      <c r="H239" s="1480">
        <v>2</v>
      </c>
      <c r="I239" s="1480"/>
      <c r="J239" s="1480" t="s">
        <v>1592</v>
      </c>
      <c r="K239" s="1458" t="s">
        <v>6903</v>
      </c>
      <c r="L239" s="1459" t="s">
        <v>5895</v>
      </c>
      <c r="M239" s="785"/>
      <c r="AA239">
        <f>IF(AND('08 Exs'!C239&gt;Tmin, NOT('08 Exs'!$I239="")),'08 Exs'!$I239,0)</f>
        <v>0</v>
      </c>
      <c r="AB239">
        <f>IF(AND('08 Exs'!D239&gt;Tmin, NOT('08 Exs'!$I239="")),'08 Exs'!$I239,0)</f>
        <v>0</v>
      </c>
      <c r="AC239">
        <f>IF(AND('08 Exs'!E239&gt;Tmin, NOT('08 Exs'!$I239="")),'08 Exs'!$I239,0)</f>
        <v>0</v>
      </c>
      <c r="AD239">
        <f>IF(AND('08 Exs'!F239&gt;Tmin, NOT('08 Exs'!$I239="")),'08 Exs'!$I239,0)</f>
        <v>0</v>
      </c>
      <c r="AE239">
        <f>IF(AND('08 Exs'!C239&lt;Tmax, NOT('08 Exs'!$H239="")),'08 Exs'!$H239,4)</f>
        <v>2</v>
      </c>
      <c r="AF239">
        <f>IF(AND('08 Exs'!D239&lt;Tmax, NOT('08 Exs'!$H239="")),'08 Exs'!$H239,4)</f>
        <v>2</v>
      </c>
      <c r="AG239">
        <f>IF(AND('08 Exs'!E239&lt;Tmax, NOT('08 Exs'!$H239="")),'08 Exs'!$H239,4)</f>
        <v>2</v>
      </c>
      <c r="AH239">
        <f>IF(AND('08 Exs'!F239&lt;Tmax, NOT('08 Exs'!$H239="")),'08 Exs'!$H239,4)</f>
        <v>2</v>
      </c>
      <c r="AI239"/>
    </row>
    <row r="240" spans="1:35" ht="22.5" outlineLevel="2" x14ac:dyDescent="0.2">
      <c r="A240" s="636" t="s">
        <v>6498</v>
      </c>
      <c r="B240" s="636" t="s">
        <v>6499</v>
      </c>
      <c r="C240" s="786"/>
      <c r="D240" s="702"/>
      <c r="E240" s="789"/>
      <c r="F240" s="789"/>
      <c r="G240" s="1480">
        <v>4</v>
      </c>
      <c r="H240" s="1480"/>
      <c r="I240" s="1480">
        <v>2</v>
      </c>
      <c r="J240" s="1480" t="s">
        <v>4246</v>
      </c>
      <c r="K240" s="1458" t="s">
        <v>6903</v>
      </c>
      <c r="L240" s="1459" t="s">
        <v>5895</v>
      </c>
      <c r="M240" s="785"/>
      <c r="AA240">
        <f>IF(AND('08 Exs'!C240&gt;Tmin, NOT('08 Exs'!$I240="")),'08 Exs'!$I240,0)</f>
        <v>0</v>
      </c>
      <c r="AB240">
        <f>IF(AND('08 Exs'!D240&gt;Tmin, NOT('08 Exs'!$I240="")),'08 Exs'!$I240,0)</f>
        <v>0</v>
      </c>
      <c r="AC240">
        <f>IF(AND('08 Exs'!E240&gt;Tmin, NOT('08 Exs'!$I240="")),'08 Exs'!$I240,0)</f>
        <v>0</v>
      </c>
      <c r="AD240">
        <f>IF(AND('08 Exs'!F240&gt;Tmin, NOT('08 Exs'!$I240="")),'08 Exs'!$I240,0)</f>
        <v>0</v>
      </c>
      <c r="AE240">
        <f>IF(AND('08 Exs'!C240&lt;Tmax, NOT('08 Exs'!$H240="")),'08 Exs'!$H240,4)</f>
        <v>4</v>
      </c>
      <c r="AF240">
        <f>IF(AND('08 Exs'!D240&lt;Tmax, NOT('08 Exs'!$H240="")),'08 Exs'!$H240,4)</f>
        <v>4</v>
      </c>
      <c r="AG240">
        <f>IF(AND('08 Exs'!E240&lt;Tmax, NOT('08 Exs'!$H240="")),'08 Exs'!$H240,4)</f>
        <v>4</v>
      </c>
      <c r="AH240">
        <f>IF(AND('08 Exs'!F240&lt;Tmax, NOT('08 Exs'!$H240="")),'08 Exs'!$H240,4)</f>
        <v>4</v>
      </c>
      <c r="AI240"/>
    </row>
    <row r="241" spans="1:35" ht="33.75" outlineLevel="2" x14ac:dyDescent="0.2">
      <c r="A241" s="636" t="s">
        <v>6500</v>
      </c>
      <c r="B241" s="636" t="s">
        <v>6054</v>
      </c>
      <c r="C241" s="786"/>
      <c r="D241" s="702"/>
      <c r="E241" s="789"/>
      <c r="F241" s="789"/>
      <c r="G241" s="1480">
        <v>4</v>
      </c>
      <c r="H241" s="1480"/>
      <c r="I241" s="1480"/>
      <c r="J241" s="1480" t="s">
        <v>1592</v>
      </c>
      <c r="K241" s="1458" t="s">
        <v>6903</v>
      </c>
      <c r="L241" s="1459" t="s">
        <v>5895</v>
      </c>
      <c r="M241" s="785"/>
      <c r="AA241">
        <f>IF(AND('08 Exs'!C241&gt;Tmin, NOT('08 Exs'!$I241="")),'08 Exs'!$I241,0)</f>
        <v>0</v>
      </c>
      <c r="AB241">
        <f>IF(AND('08 Exs'!D241&gt;Tmin, NOT('08 Exs'!$I241="")),'08 Exs'!$I241,0)</f>
        <v>0</v>
      </c>
      <c r="AC241">
        <f>IF(AND('08 Exs'!E241&gt;Tmin, NOT('08 Exs'!$I241="")),'08 Exs'!$I241,0)</f>
        <v>0</v>
      </c>
      <c r="AD241">
        <f>IF(AND('08 Exs'!F241&gt;Tmin, NOT('08 Exs'!$I241="")),'08 Exs'!$I241,0)</f>
        <v>0</v>
      </c>
      <c r="AE241">
        <f>IF(AND('08 Exs'!C241&lt;Tmax, NOT('08 Exs'!$H241="")),'08 Exs'!$H241,4)</f>
        <v>4</v>
      </c>
      <c r="AF241">
        <f>IF(AND('08 Exs'!D241&lt;Tmax, NOT('08 Exs'!$H241="")),'08 Exs'!$H241,4)</f>
        <v>4</v>
      </c>
      <c r="AG241">
        <f>IF(AND('08 Exs'!E241&lt;Tmax, NOT('08 Exs'!$H241="")),'08 Exs'!$H241,4)</f>
        <v>4</v>
      </c>
      <c r="AH241">
        <f>IF(AND('08 Exs'!F241&lt;Tmax, NOT('08 Exs'!$H241="")),'08 Exs'!$H241,4)</f>
        <v>4</v>
      </c>
      <c r="AI241"/>
    </row>
    <row r="242" spans="1:35" ht="33.75" outlineLevel="2" x14ac:dyDescent="0.2">
      <c r="A242" s="636" t="s">
        <v>6501</v>
      </c>
      <c r="B242" s="636" t="s">
        <v>6055</v>
      </c>
      <c r="C242" s="786"/>
      <c r="D242" s="702"/>
      <c r="E242" s="789"/>
      <c r="F242" s="789"/>
      <c r="G242" s="1480">
        <v>4</v>
      </c>
      <c r="H242" s="1480"/>
      <c r="I242" s="1480"/>
      <c r="J242" s="1480" t="s">
        <v>1592</v>
      </c>
      <c r="K242" s="1458" t="s">
        <v>6903</v>
      </c>
      <c r="L242" s="1459" t="s">
        <v>5895</v>
      </c>
      <c r="M242" s="785"/>
      <c r="AA242">
        <f>IF(AND('08 Exs'!C242&gt;Tmin, NOT('08 Exs'!$I242="")),'08 Exs'!$I242,0)</f>
        <v>0</v>
      </c>
      <c r="AB242">
        <f>IF(AND('08 Exs'!D242&gt;Tmin, NOT('08 Exs'!$I242="")),'08 Exs'!$I242,0)</f>
        <v>0</v>
      </c>
      <c r="AC242">
        <f>IF(AND('08 Exs'!E242&gt;Tmin, NOT('08 Exs'!$I242="")),'08 Exs'!$I242,0)</f>
        <v>0</v>
      </c>
      <c r="AD242">
        <f>IF(AND('08 Exs'!F242&gt;Tmin, NOT('08 Exs'!$I242="")),'08 Exs'!$I242,0)</f>
        <v>0</v>
      </c>
      <c r="AE242">
        <f>IF(AND('08 Exs'!C242&lt;Tmax, NOT('08 Exs'!$H242="")),'08 Exs'!$H242,4)</f>
        <v>4</v>
      </c>
      <c r="AF242">
        <f>IF(AND('08 Exs'!D242&lt;Tmax, NOT('08 Exs'!$H242="")),'08 Exs'!$H242,4)</f>
        <v>4</v>
      </c>
      <c r="AG242">
        <f>IF(AND('08 Exs'!E242&lt;Tmax, NOT('08 Exs'!$H242="")),'08 Exs'!$H242,4)</f>
        <v>4</v>
      </c>
      <c r="AH242">
        <f>IF(AND('08 Exs'!F242&lt;Tmax, NOT('08 Exs'!$H242="")),'08 Exs'!$H242,4)</f>
        <v>4</v>
      </c>
      <c r="AI242"/>
    </row>
    <row r="243" spans="1:35" ht="22.5" outlineLevel="2" x14ac:dyDescent="0.2">
      <c r="A243" s="636" t="s">
        <v>6502</v>
      </c>
      <c r="B243" s="636" t="s">
        <v>6435</v>
      </c>
      <c r="C243" s="786"/>
      <c r="D243" s="702"/>
      <c r="E243" s="789"/>
      <c r="F243" s="789"/>
      <c r="G243" s="1480">
        <v>4</v>
      </c>
      <c r="H243" s="1480"/>
      <c r="I243" s="1480"/>
      <c r="J243" s="1480" t="s">
        <v>4246</v>
      </c>
      <c r="K243" s="1458" t="s">
        <v>6903</v>
      </c>
      <c r="L243" s="1459" t="s">
        <v>5895</v>
      </c>
      <c r="M243" s="785"/>
      <c r="AA243">
        <f>IF(AND('08 Exs'!C243&gt;Tmin, NOT('08 Exs'!$I243="")),'08 Exs'!$I243,0)</f>
        <v>0</v>
      </c>
      <c r="AB243">
        <f>IF(AND('08 Exs'!D243&gt;Tmin, NOT('08 Exs'!$I243="")),'08 Exs'!$I243,0)</f>
        <v>0</v>
      </c>
      <c r="AC243">
        <f>IF(AND('08 Exs'!E243&gt;Tmin, NOT('08 Exs'!$I243="")),'08 Exs'!$I243,0)</f>
        <v>0</v>
      </c>
      <c r="AD243">
        <f>IF(AND('08 Exs'!F243&gt;Tmin, NOT('08 Exs'!$I243="")),'08 Exs'!$I243,0)</f>
        <v>0</v>
      </c>
      <c r="AE243">
        <f>IF(AND('08 Exs'!C243&lt;Tmax, NOT('08 Exs'!$H243="")),'08 Exs'!$H243,4)</f>
        <v>4</v>
      </c>
      <c r="AF243">
        <f>IF(AND('08 Exs'!D243&lt;Tmax, NOT('08 Exs'!$H243="")),'08 Exs'!$H243,4)</f>
        <v>4</v>
      </c>
      <c r="AG243">
        <f>IF(AND('08 Exs'!E243&lt;Tmax, NOT('08 Exs'!$H243="")),'08 Exs'!$H243,4)</f>
        <v>4</v>
      </c>
      <c r="AH243">
        <f>IF(AND('08 Exs'!F243&lt;Tmax, NOT('08 Exs'!$H243="")),'08 Exs'!$H243,4)</f>
        <v>4</v>
      </c>
      <c r="AI243"/>
    </row>
    <row r="244" spans="1:35" outlineLevel="2" x14ac:dyDescent="0.2">
      <c r="A244" s="636" t="s">
        <v>6436</v>
      </c>
      <c r="B244" s="636" t="s">
        <v>6025</v>
      </c>
      <c r="C244" s="786"/>
      <c r="D244" s="702"/>
      <c r="E244" s="789"/>
      <c r="F244" s="789"/>
      <c r="G244" s="1480">
        <v>4</v>
      </c>
      <c r="H244" s="1480">
        <v>2</v>
      </c>
      <c r="I244" s="1480"/>
      <c r="J244" s="1480" t="s">
        <v>1592</v>
      </c>
      <c r="K244" s="1458" t="s">
        <v>6904</v>
      </c>
      <c r="L244" s="1459" t="s">
        <v>7249</v>
      </c>
      <c r="M244" s="785"/>
      <c r="AA244">
        <f>IF(AND('08 Exs'!C244&gt;Tmin, NOT('08 Exs'!$I244="")),'08 Exs'!$I244,0)</f>
        <v>0</v>
      </c>
      <c r="AB244">
        <f>IF(AND('08 Exs'!D244&gt;Tmin, NOT('08 Exs'!$I244="")),'08 Exs'!$I244,0)</f>
        <v>0</v>
      </c>
      <c r="AC244">
        <f>IF(AND('08 Exs'!E244&gt;Tmin, NOT('08 Exs'!$I244="")),'08 Exs'!$I244,0)</f>
        <v>0</v>
      </c>
      <c r="AD244">
        <f>IF(AND('08 Exs'!F244&gt;Tmin, NOT('08 Exs'!$I244="")),'08 Exs'!$I244,0)</f>
        <v>0</v>
      </c>
      <c r="AE244">
        <f>IF(AND('08 Exs'!C244&lt;Tmax, NOT('08 Exs'!$H244="")),'08 Exs'!$H244,4)</f>
        <v>2</v>
      </c>
      <c r="AF244">
        <f>IF(AND('08 Exs'!D244&lt;Tmax, NOT('08 Exs'!$H244="")),'08 Exs'!$H244,4)</f>
        <v>2</v>
      </c>
      <c r="AG244">
        <f>IF(AND('08 Exs'!E244&lt;Tmax, NOT('08 Exs'!$H244="")),'08 Exs'!$H244,4)</f>
        <v>2</v>
      </c>
      <c r="AH244">
        <f>IF(AND('08 Exs'!F244&lt;Tmax, NOT('08 Exs'!$H244="")),'08 Exs'!$H244,4)</f>
        <v>2</v>
      </c>
      <c r="AI244"/>
    </row>
    <row r="245" spans="1:35" ht="56.25" outlineLevel="2" x14ac:dyDescent="0.2">
      <c r="A245" s="636" t="s">
        <v>6026</v>
      </c>
      <c r="B245" s="636" t="s">
        <v>6056</v>
      </c>
      <c r="C245" s="786"/>
      <c r="D245" s="702"/>
      <c r="E245" s="789"/>
      <c r="F245" s="789"/>
      <c r="G245" s="1480">
        <v>4</v>
      </c>
      <c r="H245" s="1480">
        <v>3</v>
      </c>
      <c r="I245" s="1480"/>
      <c r="J245" s="1480" t="s">
        <v>1592</v>
      </c>
      <c r="K245" s="1458" t="s">
        <v>6904</v>
      </c>
      <c r="L245" s="1459" t="s">
        <v>7249</v>
      </c>
      <c r="M245" s="785"/>
      <c r="AA245">
        <f>IF(AND('08 Exs'!C245&gt;Tmin, NOT('08 Exs'!$I245="")),'08 Exs'!$I245,0)</f>
        <v>0</v>
      </c>
      <c r="AB245">
        <f>IF(AND('08 Exs'!D245&gt;Tmin, NOT('08 Exs'!$I245="")),'08 Exs'!$I245,0)</f>
        <v>0</v>
      </c>
      <c r="AC245">
        <f>IF(AND('08 Exs'!E245&gt;Tmin, NOT('08 Exs'!$I245="")),'08 Exs'!$I245,0)</f>
        <v>0</v>
      </c>
      <c r="AD245">
        <f>IF(AND('08 Exs'!F245&gt;Tmin, NOT('08 Exs'!$I245="")),'08 Exs'!$I245,0)</f>
        <v>0</v>
      </c>
      <c r="AE245">
        <f>IF(AND('08 Exs'!C245&lt;Tmax, NOT('08 Exs'!$H245="")),'08 Exs'!$H245,4)</f>
        <v>3</v>
      </c>
      <c r="AF245">
        <f>IF(AND('08 Exs'!D245&lt;Tmax, NOT('08 Exs'!$H245="")),'08 Exs'!$H245,4)</f>
        <v>3</v>
      </c>
      <c r="AG245">
        <f>IF(AND('08 Exs'!E245&lt;Tmax, NOT('08 Exs'!$H245="")),'08 Exs'!$H245,4)</f>
        <v>3</v>
      </c>
      <c r="AH245">
        <f>IF(AND('08 Exs'!F245&lt;Tmax, NOT('08 Exs'!$H245="")),'08 Exs'!$H245,4)</f>
        <v>3</v>
      </c>
      <c r="AI245"/>
    </row>
    <row r="246" spans="1:35" ht="33.75" outlineLevel="2" x14ac:dyDescent="0.2">
      <c r="A246" s="636" t="s">
        <v>6027</v>
      </c>
      <c r="B246" s="636" t="s">
        <v>5501</v>
      </c>
      <c r="C246" s="786"/>
      <c r="D246" s="702"/>
      <c r="E246" s="789"/>
      <c r="F246" s="789"/>
      <c r="G246" s="1480">
        <v>4</v>
      </c>
      <c r="H246" s="1480">
        <v>2</v>
      </c>
      <c r="I246" s="1480"/>
      <c r="J246" s="1480" t="s">
        <v>1592</v>
      </c>
      <c r="K246" s="1459"/>
      <c r="L246" s="1459"/>
      <c r="M246" s="785"/>
      <c r="AA246">
        <f>IF(AND('08 Exs'!C246&gt;Tmin, NOT('08 Exs'!$I246="")),'08 Exs'!$I246,0)</f>
        <v>0</v>
      </c>
      <c r="AB246">
        <f>IF(AND('08 Exs'!D246&gt;Tmin, NOT('08 Exs'!$I246="")),'08 Exs'!$I246,0)</f>
        <v>0</v>
      </c>
      <c r="AC246">
        <f>IF(AND('08 Exs'!E246&gt;Tmin, NOT('08 Exs'!$I246="")),'08 Exs'!$I246,0)</f>
        <v>0</v>
      </c>
      <c r="AD246">
        <f>IF(AND('08 Exs'!F246&gt;Tmin, NOT('08 Exs'!$I246="")),'08 Exs'!$I246,0)</f>
        <v>0</v>
      </c>
      <c r="AE246">
        <f>IF(AND('08 Exs'!C246&lt;Tmax, NOT('08 Exs'!$H246="")),'08 Exs'!$H246,4)</f>
        <v>2</v>
      </c>
      <c r="AF246">
        <f>IF(AND('08 Exs'!D246&lt;Tmax, NOT('08 Exs'!$H246="")),'08 Exs'!$H246,4)</f>
        <v>2</v>
      </c>
      <c r="AG246">
        <f>IF(AND('08 Exs'!E246&lt;Tmax, NOT('08 Exs'!$H246="")),'08 Exs'!$H246,4)</f>
        <v>2</v>
      </c>
      <c r="AH246">
        <f>IF(AND('08 Exs'!F246&lt;Tmax, NOT('08 Exs'!$H246="")),'08 Exs'!$H246,4)</f>
        <v>2</v>
      </c>
      <c r="AI246"/>
    </row>
    <row r="247" spans="1:35" ht="22.5" outlineLevel="2" x14ac:dyDescent="0.2">
      <c r="A247" s="636" t="s">
        <v>4681</v>
      </c>
      <c r="B247" s="636" t="s">
        <v>5840</v>
      </c>
      <c r="C247" s="786"/>
      <c r="D247" s="702"/>
      <c r="E247" s="789"/>
      <c r="F247" s="789"/>
      <c r="G247" s="1480">
        <v>2</v>
      </c>
      <c r="H247" s="1480">
        <v>3</v>
      </c>
      <c r="I247" s="1480"/>
      <c r="J247" s="1480" t="s">
        <v>1592</v>
      </c>
      <c r="K247" s="1459"/>
      <c r="L247" s="1459"/>
      <c r="M247" s="785"/>
      <c r="AA247">
        <f>IF(AND('08 Exs'!C247&gt;Tmin, NOT('08 Exs'!$I247="")),'08 Exs'!$I247,0)</f>
        <v>0</v>
      </c>
      <c r="AB247">
        <f>IF(AND('08 Exs'!D247&gt;Tmin, NOT('08 Exs'!$I247="")),'08 Exs'!$I247,0)</f>
        <v>0</v>
      </c>
      <c r="AC247">
        <f>IF(AND('08 Exs'!E247&gt;Tmin, NOT('08 Exs'!$I247="")),'08 Exs'!$I247,0)</f>
        <v>0</v>
      </c>
      <c r="AD247">
        <f>IF(AND('08 Exs'!F247&gt;Tmin, NOT('08 Exs'!$I247="")),'08 Exs'!$I247,0)</f>
        <v>0</v>
      </c>
      <c r="AE247">
        <f>IF(AND('08 Exs'!C247&lt;Tmax, NOT('08 Exs'!$H247="")),'08 Exs'!$H247,4)</f>
        <v>3</v>
      </c>
      <c r="AF247">
        <f>IF(AND('08 Exs'!D247&lt;Tmax, NOT('08 Exs'!$H247="")),'08 Exs'!$H247,4)</f>
        <v>3</v>
      </c>
      <c r="AG247">
        <f>IF(AND('08 Exs'!E247&lt;Tmax, NOT('08 Exs'!$H247="")),'08 Exs'!$H247,4)</f>
        <v>3</v>
      </c>
      <c r="AH247">
        <f>IF(AND('08 Exs'!F247&lt;Tmax, NOT('08 Exs'!$H247="")),'08 Exs'!$H247,4)</f>
        <v>3</v>
      </c>
      <c r="AI247"/>
    </row>
    <row r="248" spans="1:35" outlineLevel="2" x14ac:dyDescent="0.2">
      <c r="A248" s="636" t="s">
        <v>4683</v>
      </c>
      <c r="B248" s="636" t="s">
        <v>5841</v>
      </c>
      <c r="C248" s="786"/>
      <c r="D248" s="702"/>
      <c r="E248" s="789"/>
      <c r="F248" s="789"/>
      <c r="G248" s="1480">
        <v>2</v>
      </c>
      <c r="H248" s="1480">
        <v>3</v>
      </c>
      <c r="I248" s="1480"/>
      <c r="J248" s="1480" t="s">
        <v>2329</v>
      </c>
      <c r="K248" s="1459"/>
      <c r="L248" s="1459"/>
      <c r="M248" s="785"/>
      <c r="AA248">
        <f>IF(AND('08 Exs'!C248&gt;Tmin, NOT('08 Exs'!$I248="")),'08 Exs'!$I248,0)</f>
        <v>0</v>
      </c>
      <c r="AB248">
        <f>IF(AND('08 Exs'!D248&gt;Tmin, NOT('08 Exs'!$I248="")),'08 Exs'!$I248,0)</f>
        <v>0</v>
      </c>
      <c r="AC248">
        <f>IF(AND('08 Exs'!E248&gt;Tmin, NOT('08 Exs'!$I248="")),'08 Exs'!$I248,0)</f>
        <v>0</v>
      </c>
      <c r="AD248">
        <f>IF(AND('08 Exs'!F248&gt;Tmin, NOT('08 Exs'!$I248="")),'08 Exs'!$I248,0)</f>
        <v>0</v>
      </c>
      <c r="AE248">
        <f>IF(AND('08 Exs'!C248&lt;Tmax, NOT('08 Exs'!$H248="")),'08 Exs'!$H248,4)</f>
        <v>3</v>
      </c>
      <c r="AF248">
        <f>IF(AND('08 Exs'!D248&lt;Tmax, NOT('08 Exs'!$H248="")),'08 Exs'!$H248,4)</f>
        <v>3</v>
      </c>
      <c r="AG248">
        <f>IF(AND('08 Exs'!E248&lt;Tmax, NOT('08 Exs'!$H248="")),'08 Exs'!$H248,4)</f>
        <v>3</v>
      </c>
      <c r="AH248">
        <f>IF(AND('08 Exs'!F248&lt;Tmax, NOT('08 Exs'!$H248="")),'08 Exs'!$H248,4)</f>
        <v>3</v>
      </c>
      <c r="AI248"/>
    </row>
    <row r="249" spans="1:35" ht="22.5" outlineLevel="2" x14ac:dyDescent="0.2">
      <c r="A249" s="636" t="s">
        <v>4685</v>
      </c>
      <c r="B249" s="636" t="s">
        <v>123</v>
      </c>
      <c r="C249" s="786"/>
      <c r="D249" s="702"/>
      <c r="E249" s="789"/>
      <c r="F249" s="789"/>
      <c r="G249" s="1480">
        <v>2</v>
      </c>
      <c r="H249" s="1480">
        <v>3</v>
      </c>
      <c r="I249" s="1480"/>
      <c r="J249" s="1480" t="s">
        <v>2329</v>
      </c>
      <c r="K249" s="1459"/>
      <c r="L249" s="1459"/>
      <c r="M249" s="785"/>
      <c r="AA249">
        <f>IF(AND('08 Exs'!C249&gt;Tmin, NOT('08 Exs'!$I249="")),'08 Exs'!$I249,0)</f>
        <v>0</v>
      </c>
      <c r="AB249">
        <f>IF(AND('08 Exs'!D249&gt;Tmin, NOT('08 Exs'!$I249="")),'08 Exs'!$I249,0)</f>
        <v>0</v>
      </c>
      <c r="AC249">
        <f>IF(AND('08 Exs'!E249&gt;Tmin, NOT('08 Exs'!$I249="")),'08 Exs'!$I249,0)</f>
        <v>0</v>
      </c>
      <c r="AD249">
        <f>IF(AND('08 Exs'!F249&gt;Tmin, NOT('08 Exs'!$I249="")),'08 Exs'!$I249,0)</f>
        <v>0</v>
      </c>
      <c r="AE249">
        <f>IF(AND('08 Exs'!C249&lt;Tmax, NOT('08 Exs'!$H249="")),'08 Exs'!$H249,4)</f>
        <v>3</v>
      </c>
      <c r="AF249">
        <f>IF(AND('08 Exs'!D249&lt;Tmax, NOT('08 Exs'!$H249="")),'08 Exs'!$H249,4)</f>
        <v>3</v>
      </c>
      <c r="AG249">
        <f>IF(AND('08 Exs'!E249&lt;Tmax, NOT('08 Exs'!$H249="")),'08 Exs'!$H249,4)</f>
        <v>3</v>
      </c>
      <c r="AH249">
        <f>IF(AND('08 Exs'!F249&lt;Tmax, NOT('08 Exs'!$H249="")),'08 Exs'!$H249,4)</f>
        <v>3</v>
      </c>
      <c r="AI249"/>
    </row>
    <row r="250" spans="1:35" ht="22.5" outlineLevel="2" x14ac:dyDescent="0.2">
      <c r="A250" s="636" t="s">
        <v>3795</v>
      </c>
      <c r="B250" s="636" t="s">
        <v>5502</v>
      </c>
      <c r="C250" s="786"/>
      <c r="D250" s="702"/>
      <c r="E250" s="789"/>
      <c r="F250" s="789"/>
      <c r="G250" s="1480">
        <v>2</v>
      </c>
      <c r="H250" s="1480">
        <v>3</v>
      </c>
      <c r="I250" s="1480"/>
      <c r="J250" s="1480" t="s">
        <v>2109</v>
      </c>
      <c r="K250" s="1459"/>
      <c r="L250" s="1459"/>
      <c r="M250" s="785"/>
      <c r="AA250">
        <f>IF(AND('08 Exs'!C250&gt;Tmin, NOT('08 Exs'!$I250="")),'08 Exs'!$I250,0)</f>
        <v>0</v>
      </c>
      <c r="AB250">
        <f>IF(AND('08 Exs'!D250&gt;Tmin, NOT('08 Exs'!$I250="")),'08 Exs'!$I250,0)</f>
        <v>0</v>
      </c>
      <c r="AC250">
        <f>IF(AND('08 Exs'!E250&gt;Tmin, NOT('08 Exs'!$I250="")),'08 Exs'!$I250,0)</f>
        <v>0</v>
      </c>
      <c r="AD250">
        <f>IF(AND('08 Exs'!F250&gt;Tmin, NOT('08 Exs'!$I250="")),'08 Exs'!$I250,0)</f>
        <v>0</v>
      </c>
      <c r="AE250">
        <f>IF(AND('08 Exs'!C250&lt;Tmax, NOT('08 Exs'!$H250="")),'08 Exs'!$H250,4)</f>
        <v>3</v>
      </c>
      <c r="AF250">
        <f>IF(AND('08 Exs'!D250&lt;Tmax, NOT('08 Exs'!$H250="")),'08 Exs'!$H250,4)</f>
        <v>3</v>
      </c>
      <c r="AG250">
        <f>IF(AND('08 Exs'!E250&lt;Tmax, NOT('08 Exs'!$H250="")),'08 Exs'!$H250,4)</f>
        <v>3</v>
      </c>
      <c r="AH250">
        <f>IF(AND('08 Exs'!F250&lt;Tmax, NOT('08 Exs'!$H250="")),'08 Exs'!$H250,4)</f>
        <v>3</v>
      </c>
      <c r="AI250"/>
    </row>
    <row r="251" spans="1:35" outlineLevel="2" x14ac:dyDescent="0.2">
      <c r="A251" s="636" t="s">
        <v>3767</v>
      </c>
      <c r="B251" s="636" t="s">
        <v>2268</v>
      </c>
      <c r="C251" s="786"/>
      <c r="D251" s="702"/>
      <c r="E251" s="789"/>
      <c r="F251" s="789"/>
      <c r="G251" s="1480">
        <v>2</v>
      </c>
      <c r="H251" s="1480">
        <v>3</v>
      </c>
      <c r="I251" s="1480"/>
      <c r="J251" s="1480" t="s">
        <v>2109</v>
      </c>
      <c r="K251" s="1459"/>
      <c r="L251" s="1459"/>
      <c r="M251" s="785"/>
      <c r="AA251">
        <f>IF(AND('08 Exs'!C251&gt;Tmin, NOT('08 Exs'!$I251="")),'08 Exs'!$I251,0)</f>
        <v>0</v>
      </c>
      <c r="AB251">
        <f>IF(AND('08 Exs'!D251&gt;Tmin, NOT('08 Exs'!$I251="")),'08 Exs'!$I251,0)</f>
        <v>0</v>
      </c>
      <c r="AC251">
        <f>IF(AND('08 Exs'!E251&gt;Tmin, NOT('08 Exs'!$I251="")),'08 Exs'!$I251,0)</f>
        <v>0</v>
      </c>
      <c r="AD251">
        <f>IF(AND('08 Exs'!F251&gt;Tmin, NOT('08 Exs'!$I251="")),'08 Exs'!$I251,0)</f>
        <v>0</v>
      </c>
      <c r="AE251">
        <f>IF(AND('08 Exs'!C251&lt;Tmax, NOT('08 Exs'!$H251="")),'08 Exs'!$H251,4)</f>
        <v>3</v>
      </c>
      <c r="AF251">
        <f>IF(AND('08 Exs'!D251&lt;Tmax, NOT('08 Exs'!$H251="")),'08 Exs'!$H251,4)</f>
        <v>3</v>
      </c>
      <c r="AG251">
        <f>IF(AND('08 Exs'!E251&lt;Tmax, NOT('08 Exs'!$H251="")),'08 Exs'!$H251,4)</f>
        <v>3</v>
      </c>
      <c r="AH251">
        <f>IF(AND('08 Exs'!F251&lt;Tmax, NOT('08 Exs'!$H251="")),'08 Exs'!$H251,4)</f>
        <v>3</v>
      </c>
      <c r="AI251"/>
    </row>
    <row r="252" spans="1:35" outlineLevel="1" x14ac:dyDescent="0.2">
      <c r="A252" s="633" t="s">
        <v>1992</v>
      </c>
      <c r="B252" s="634" t="s">
        <v>1993</v>
      </c>
      <c r="C252" s="786"/>
      <c r="D252" s="702"/>
      <c r="E252" s="789"/>
      <c r="F252" s="789"/>
      <c r="G252" s="1480"/>
      <c r="H252" s="1480"/>
      <c r="I252" s="1480"/>
      <c r="J252" s="1480"/>
      <c r="K252" s="1459"/>
      <c r="L252" s="1459"/>
      <c r="M252" s="785"/>
      <c r="AA252"/>
      <c r="AB252"/>
      <c r="AC252"/>
      <c r="AD252"/>
      <c r="AE252"/>
      <c r="AF252"/>
      <c r="AG252"/>
      <c r="AH252"/>
      <c r="AI252"/>
    </row>
    <row r="253" spans="1:35" ht="22.5" outlineLevel="2" x14ac:dyDescent="0.2">
      <c r="A253" s="636" t="s">
        <v>3769</v>
      </c>
      <c r="B253" s="636" t="s">
        <v>4686</v>
      </c>
      <c r="C253" s="786"/>
      <c r="D253" s="702"/>
      <c r="E253" s="789"/>
      <c r="F253" s="789"/>
      <c r="G253" s="1480">
        <v>2</v>
      </c>
      <c r="H253" s="1480">
        <v>3</v>
      </c>
      <c r="I253" s="1480"/>
      <c r="J253" s="1480" t="s">
        <v>1592</v>
      </c>
      <c r="K253" s="1459" t="s">
        <v>6100</v>
      </c>
      <c r="L253" s="1459" t="s">
        <v>7367</v>
      </c>
      <c r="M253" s="785"/>
      <c r="AA253">
        <f>IF(AND('08 Exs'!C253&gt;Tmin, NOT('08 Exs'!$I253="")),'08 Exs'!$I253,0)</f>
        <v>0</v>
      </c>
      <c r="AB253">
        <f>IF(AND('08 Exs'!D253&gt;Tmin, NOT('08 Exs'!$I253="")),'08 Exs'!$I253,0)</f>
        <v>0</v>
      </c>
      <c r="AC253">
        <f>IF(AND('08 Exs'!E253&gt;Tmin, NOT('08 Exs'!$I253="")),'08 Exs'!$I253,0)</f>
        <v>0</v>
      </c>
      <c r="AD253">
        <f>IF(AND('08 Exs'!F253&gt;Tmin, NOT('08 Exs'!$I253="")),'08 Exs'!$I253,0)</f>
        <v>0</v>
      </c>
      <c r="AE253">
        <f>IF(AND('08 Exs'!C253&lt;Tmax, NOT('08 Exs'!$H253="")),'08 Exs'!$H253,4)</f>
        <v>3</v>
      </c>
      <c r="AF253">
        <f>IF(AND('08 Exs'!D253&lt;Tmax, NOT('08 Exs'!$H253="")),'08 Exs'!$H253,4)</f>
        <v>3</v>
      </c>
      <c r="AG253">
        <f>IF(AND('08 Exs'!E253&lt;Tmax, NOT('08 Exs'!$H253="")),'08 Exs'!$H253,4)</f>
        <v>3</v>
      </c>
      <c r="AH253">
        <f>IF(AND('08 Exs'!F253&lt;Tmax, NOT('08 Exs'!$H253="")),'08 Exs'!$H253,4)</f>
        <v>3</v>
      </c>
      <c r="AI253"/>
    </row>
    <row r="254" spans="1:35" ht="22.5" outlineLevel="2" x14ac:dyDescent="0.2">
      <c r="A254" s="636" t="s">
        <v>3770</v>
      </c>
      <c r="B254" s="636" t="s">
        <v>4069</v>
      </c>
      <c r="C254" s="786"/>
      <c r="D254" s="702"/>
      <c r="E254" s="789"/>
      <c r="F254" s="789"/>
      <c r="G254" s="1480">
        <v>4</v>
      </c>
      <c r="H254" s="1480"/>
      <c r="I254" s="1480"/>
      <c r="J254" s="1480" t="s">
        <v>4246</v>
      </c>
      <c r="K254" s="1459" t="s">
        <v>6100</v>
      </c>
      <c r="L254" s="1459" t="s">
        <v>7367</v>
      </c>
      <c r="M254" s="785"/>
      <c r="AA254">
        <f>IF(AND('08 Exs'!C254&gt;Tmin, NOT('08 Exs'!$I254="")),'08 Exs'!$I254,0)</f>
        <v>0</v>
      </c>
      <c r="AB254">
        <f>IF(AND('08 Exs'!D254&gt;Tmin, NOT('08 Exs'!$I254="")),'08 Exs'!$I254,0)</f>
        <v>0</v>
      </c>
      <c r="AC254">
        <f>IF(AND('08 Exs'!E254&gt;Tmin, NOT('08 Exs'!$I254="")),'08 Exs'!$I254,0)</f>
        <v>0</v>
      </c>
      <c r="AD254">
        <f>IF(AND('08 Exs'!F254&gt;Tmin, NOT('08 Exs'!$I254="")),'08 Exs'!$I254,0)</f>
        <v>0</v>
      </c>
      <c r="AE254">
        <f>IF(AND('08 Exs'!C254&lt;Tmax, NOT('08 Exs'!$H254="")),'08 Exs'!$H254,4)</f>
        <v>4</v>
      </c>
      <c r="AF254">
        <f>IF(AND('08 Exs'!D254&lt;Tmax, NOT('08 Exs'!$H254="")),'08 Exs'!$H254,4)</f>
        <v>4</v>
      </c>
      <c r="AG254">
        <f>IF(AND('08 Exs'!E254&lt;Tmax, NOT('08 Exs'!$H254="")),'08 Exs'!$H254,4)</f>
        <v>4</v>
      </c>
      <c r="AH254">
        <f>IF(AND('08 Exs'!F254&lt;Tmax, NOT('08 Exs'!$H254="")),'08 Exs'!$H254,4)</f>
        <v>4</v>
      </c>
      <c r="AI254"/>
    </row>
    <row r="255" spans="1:35" outlineLevel="2" x14ac:dyDescent="0.2">
      <c r="A255" s="636" t="s">
        <v>4070</v>
      </c>
      <c r="B255" s="636" t="s">
        <v>4687</v>
      </c>
      <c r="C255" s="786"/>
      <c r="D255" s="702"/>
      <c r="E255" s="789"/>
      <c r="F255" s="789"/>
      <c r="G255" s="1480">
        <v>4</v>
      </c>
      <c r="H255" s="1480"/>
      <c r="I255" s="1480"/>
      <c r="J255" s="1480" t="s">
        <v>1592</v>
      </c>
      <c r="K255" s="1459"/>
      <c r="L255" s="1459"/>
      <c r="M255" s="785"/>
      <c r="AA255">
        <f>IF(AND('08 Exs'!C255&gt;Tmin, NOT('08 Exs'!$I255="")),'08 Exs'!$I255,0)</f>
        <v>0</v>
      </c>
      <c r="AB255">
        <f>IF(AND('08 Exs'!D255&gt;Tmin, NOT('08 Exs'!$I255="")),'08 Exs'!$I255,0)</f>
        <v>0</v>
      </c>
      <c r="AC255">
        <f>IF(AND('08 Exs'!E255&gt;Tmin, NOT('08 Exs'!$I255="")),'08 Exs'!$I255,0)</f>
        <v>0</v>
      </c>
      <c r="AD255">
        <f>IF(AND('08 Exs'!F255&gt;Tmin, NOT('08 Exs'!$I255="")),'08 Exs'!$I255,0)</f>
        <v>0</v>
      </c>
      <c r="AE255">
        <f>IF(AND('08 Exs'!C255&lt;Tmax, NOT('08 Exs'!$H255="")),'08 Exs'!$H255,4)</f>
        <v>4</v>
      </c>
      <c r="AF255">
        <f>IF(AND('08 Exs'!D255&lt;Tmax, NOT('08 Exs'!$H255="")),'08 Exs'!$H255,4)</f>
        <v>4</v>
      </c>
      <c r="AG255">
        <f>IF(AND('08 Exs'!E255&lt;Tmax, NOT('08 Exs'!$H255="")),'08 Exs'!$H255,4)</f>
        <v>4</v>
      </c>
      <c r="AH255">
        <f>IF(AND('08 Exs'!F255&lt;Tmax, NOT('08 Exs'!$H255="")),'08 Exs'!$H255,4)</f>
        <v>4</v>
      </c>
      <c r="AI255"/>
    </row>
    <row r="256" spans="1:35" outlineLevel="2" x14ac:dyDescent="0.2">
      <c r="A256" s="636" t="s">
        <v>4071</v>
      </c>
      <c r="B256" s="636" t="s">
        <v>4688</v>
      </c>
      <c r="C256" s="786"/>
      <c r="D256" s="702"/>
      <c r="E256" s="789"/>
      <c r="F256" s="789"/>
      <c r="G256" s="1480">
        <v>4</v>
      </c>
      <c r="H256" s="1480">
        <v>2</v>
      </c>
      <c r="I256" s="1480"/>
      <c r="J256" s="1480" t="s">
        <v>1592</v>
      </c>
      <c r="K256" s="1459"/>
      <c r="L256" s="1459"/>
      <c r="M256" s="785"/>
      <c r="AA256">
        <f>IF(AND('08 Exs'!C256&gt;Tmin, NOT('08 Exs'!$I256="")),'08 Exs'!$I256,0)</f>
        <v>0</v>
      </c>
      <c r="AB256">
        <f>IF(AND('08 Exs'!D256&gt;Tmin, NOT('08 Exs'!$I256="")),'08 Exs'!$I256,0)</f>
        <v>0</v>
      </c>
      <c r="AC256">
        <f>IF(AND('08 Exs'!E256&gt;Tmin, NOT('08 Exs'!$I256="")),'08 Exs'!$I256,0)</f>
        <v>0</v>
      </c>
      <c r="AD256">
        <f>IF(AND('08 Exs'!F256&gt;Tmin, NOT('08 Exs'!$I256="")),'08 Exs'!$I256,0)</f>
        <v>0</v>
      </c>
      <c r="AE256">
        <f>IF(AND('08 Exs'!C256&lt;Tmax, NOT('08 Exs'!$H256="")),'08 Exs'!$H256,4)</f>
        <v>2</v>
      </c>
      <c r="AF256">
        <f>IF(AND('08 Exs'!D256&lt;Tmax, NOT('08 Exs'!$H256="")),'08 Exs'!$H256,4)</f>
        <v>2</v>
      </c>
      <c r="AG256">
        <f>IF(AND('08 Exs'!E256&lt;Tmax, NOT('08 Exs'!$H256="")),'08 Exs'!$H256,4)</f>
        <v>2</v>
      </c>
      <c r="AH256">
        <f>IF(AND('08 Exs'!F256&lt;Tmax, NOT('08 Exs'!$H256="")),'08 Exs'!$H256,4)</f>
        <v>2</v>
      </c>
      <c r="AI256"/>
    </row>
    <row r="257" spans="1:35" ht="22.5" outlineLevel="2" x14ac:dyDescent="0.2">
      <c r="A257" s="636" t="s">
        <v>4072</v>
      </c>
      <c r="B257" s="636" t="s">
        <v>4690</v>
      </c>
      <c r="C257" s="786"/>
      <c r="D257" s="702"/>
      <c r="E257" s="789"/>
      <c r="F257" s="789"/>
      <c r="G257" s="1480">
        <v>4</v>
      </c>
      <c r="H257" s="1480">
        <v>3</v>
      </c>
      <c r="I257" s="1480"/>
      <c r="J257" s="1480" t="s">
        <v>2329</v>
      </c>
      <c r="K257" s="1459"/>
      <c r="L257" s="1459"/>
      <c r="M257" s="785"/>
      <c r="AA257">
        <f>IF(AND('08 Exs'!C257&gt;Tmin, NOT('08 Exs'!$I257="")),'08 Exs'!$I257,0)</f>
        <v>0</v>
      </c>
      <c r="AB257">
        <f>IF(AND('08 Exs'!D257&gt;Tmin, NOT('08 Exs'!$I257="")),'08 Exs'!$I257,0)</f>
        <v>0</v>
      </c>
      <c r="AC257">
        <f>IF(AND('08 Exs'!E257&gt;Tmin, NOT('08 Exs'!$I257="")),'08 Exs'!$I257,0)</f>
        <v>0</v>
      </c>
      <c r="AD257">
        <f>IF(AND('08 Exs'!F257&gt;Tmin, NOT('08 Exs'!$I257="")),'08 Exs'!$I257,0)</f>
        <v>0</v>
      </c>
      <c r="AE257">
        <f>IF(AND('08 Exs'!C257&lt;Tmax, NOT('08 Exs'!$H257="")),'08 Exs'!$H257,4)</f>
        <v>3</v>
      </c>
      <c r="AF257">
        <f>IF(AND('08 Exs'!D257&lt;Tmax, NOT('08 Exs'!$H257="")),'08 Exs'!$H257,4)</f>
        <v>3</v>
      </c>
      <c r="AG257">
        <f>IF(AND('08 Exs'!E257&lt;Tmax, NOT('08 Exs'!$H257="")),'08 Exs'!$H257,4)</f>
        <v>3</v>
      </c>
      <c r="AH257">
        <f>IF(AND('08 Exs'!F257&lt;Tmax, NOT('08 Exs'!$H257="")),'08 Exs'!$H257,4)</f>
        <v>3</v>
      </c>
      <c r="AI257"/>
    </row>
    <row r="258" spans="1:35" outlineLevel="2" x14ac:dyDescent="0.2">
      <c r="A258" s="636" t="s">
        <v>4073</v>
      </c>
      <c r="B258" s="636" t="s">
        <v>4074</v>
      </c>
      <c r="C258" s="786"/>
      <c r="D258" s="702"/>
      <c r="E258" s="789"/>
      <c r="F258" s="789"/>
      <c r="G258" s="1480">
        <v>4</v>
      </c>
      <c r="H258" s="1480">
        <v>3</v>
      </c>
      <c r="I258" s="1480"/>
      <c r="J258" s="1480" t="s">
        <v>1592</v>
      </c>
      <c r="K258" s="1459"/>
      <c r="L258" s="1459"/>
      <c r="M258" s="785"/>
      <c r="AA258">
        <f>IF(AND('08 Exs'!C258&gt;Tmin, NOT('08 Exs'!$I258="")),'08 Exs'!$I258,0)</f>
        <v>0</v>
      </c>
      <c r="AB258">
        <f>IF(AND('08 Exs'!D258&gt;Tmin, NOT('08 Exs'!$I258="")),'08 Exs'!$I258,0)</f>
        <v>0</v>
      </c>
      <c r="AC258">
        <f>IF(AND('08 Exs'!E258&gt;Tmin, NOT('08 Exs'!$I258="")),'08 Exs'!$I258,0)</f>
        <v>0</v>
      </c>
      <c r="AD258">
        <f>IF(AND('08 Exs'!F258&gt;Tmin, NOT('08 Exs'!$I258="")),'08 Exs'!$I258,0)</f>
        <v>0</v>
      </c>
      <c r="AE258">
        <f>IF(AND('08 Exs'!C258&lt;Tmax, NOT('08 Exs'!$H258="")),'08 Exs'!$H258,4)</f>
        <v>3</v>
      </c>
      <c r="AF258">
        <f>IF(AND('08 Exs'!D258&lt;Tmax, NOT('08 Exs'!$H258="")),'08 Exs'!$H258,4)</f>
        <v>3</v>
      </c>
      <c r="AG258">
        <f>IF(AND('08 Exs'!E258&lt;Tmax, NOT('08 Exs'!$H258="")),'08 Exs'!$H258,4)</f>
        <v>3</v>
      </c>
      <c r="AH258">
        <f>IF(AND('08 Exs'!F258&lt;Tmax, NOT('08 Exs'!$H258="")),'08 Exs'!$H258,4)</f>
        <v>3</v>
      </c>
      <c r="AI258"/>
    </row>
    <row r="259" spans="1:35" outlineLevel="2" x14ac:dyDescent="0.2">
      <c r="A259" s="636" t="s">
        <v>4075</v>
      </c>
      <c r="B259" s="636" t="s">
        <v>4689</v>
      </c>
      <c r="C259" s="786"/>
      <c r="D259" s="702"/>
      <c r="E259" s="789"/>
      <c r="F259" s="789"/>
      <c r="G259" s="1480">
        <v>2</v>
      </c>
      <c r="H259" s="1480">
        <v>3</v>
      </c>
      <c r="I259" s="1480"/>
      <c r="J259" s="1480" t="s">
        <v>2109</v>
      </c>
      <c r="K259" s="1459"/>
      <c r="L259" s="1459"/>
      <c r="M259" s="785"/>
      <c r="AA259">
        <f>IF(AND('08 Exs'!C259&gt;Tmin, NOT('08 Exs'!$I259="")),'08 Exs'!$I259,0)</f>
        <v>0</v>
      </c>
      <c r="AB259">
        <f>IF(AND('08 Exs'!D259&gt;Tmin, NOT('08 Exs'!$I259="")),'08 Exs'!$I259,0)</f>
        <v>0</v>
      </c>
      <c r="AC259">
        <f>IF(AND('08 Exs'!E259&gt;Tmin, NOT('08 Exs'!$I259="")),'08 Exs'!$I259,0)</f>
        <v>0</v>
      </c>
      <c r="AD259">
        <f>IF(AND('08 Exs'!F259&gt;Tmin, NOT('08 Exs'!$I259="")),'08 Exs'!$I259,0)</f>
        <v>0</v>
      </c>
      <c r="AE259">
        <f>IF(AND('08 Exs'!C259&lt;Tmax, NOT('08 Exs'!$H259="")),'08 Exs'!$H259,4)</f>
        <v>3</v>
      </c>
      <c r="AF259">
        <f>IF(AND('08 Exs'!D259&lt;Tmax, NOT('08 Exs'!$H259="")),'08 Exs'!$H259,4)</f>
        <v>3</v>
      </c>
      <c r="AG259">
        <f>IF(AND('08 Exs'!E259&lt;Tmax, NOT('08 Exs'!$H259="")),'08 Exs'!$H259,4)</f>
        <v>3</v>
      </c>
      <c r="AH259">
        <f>IF(AND('08 Exs'!F259&lt;Tmax, NOT('08 Exs'!$H259="")),'08 Exs'!$H259,4)</f>
        <v>3</v>
      </c>
      <c r="AI259"/>
    </row>
    <row r="260" spans="1:35" outlineLevel="1" x14ac:dyDescent="0.2">
      <c r="A260" s="633" t="s">
        <v>1994</v>
      </c>
      <c r="B260" s="634" t="s">
        <v>4076</v>
      </c>
      <c r="C260" s="786"/>
      <c r="D260" s="702"/>
      <c r="E260" s="789"/>
      <c r="F260" s="789"/>
      <c r="G260" s="1480"/>
      <c r="H260" s="1480"/>
      <c r="I260" s="1480"/>
      <c r="J260" s="1480"/>
      <c r="K260" s="1459"/>
      <c r="L260" s="1459"/>
      <c r="M260" s="785"/>
      <c r="AA260"/>
      <c r="AB260"/>
      <c r="AC260"/>
      <c r="AD260"/>
      <c r="AE260"/>
      <c r="AF260"/>
      <c r="AG260"/>
      <c r="AH260"/>
      <c r="AI260"/>
    </row>
    <row r="261" spans="1:35" ht="33.75" outlineLevel="2" x14ac:dyDescent="0.2">
      <c r="A261" s="636" t="s">
        <v>4077</v>
      </c>
      <c r="B261" s="636" t="s">
        <v>5062</v>
      </c>
      <c r="C261" s="786"/>
      <c r="D261" s="702"/>
      <c r="E261" s="789"/>
      <c r="F261" s="789"/>
      <c r="G261" s="1480">
        <v>2</v>
      </c>
      <c r="H261" s="1480"/>
      <c r="I261" s="1480"/>
      <c r="J261" s="1480" t="s">
        <v>1592</v>
      </c>
      <c r="K261" s="1459"/>
      <c r="L261" s="1459"/>
      <c r="M261" s="785"/>
      <c r="AA261">
        <f>IF(AND('08 Exs'!C261&gt;Tmin, NOT('08 Exs'!$I261="")),'08 Exs'!$I261,0)</f>
        <v>0</v>
      </c>
      <c r="AB261">
        <f>IF(AND('08 Exs'!D261&gt;Tmin, NOT('08 Exs'!$I261="")),'08 Exs'!$I261,0)</f>
        <v>0</v>
      </c>
      <c r="AC261">
        <f>IF(AND('08 Exs'!E261&gt;Tmin, NOT('08 Exs'!$I261="")),'08 Exs'!$I261,0)</f>
        <v>0</v>
      </c>
      <c r="AD261">
        <f>IF(AND('08 Exs'!F261&gt;Tmin, NOT('08 Exs'!$I261="")),'08 Exs'!$I261,0)</f>
        <v>0</v>
      </c>
      <c r="AE261">
        <f>IF(AND('08 Exs'!C261&lt;Tmax, NOT('08 Exs'!$H261="")),'08 Exs'!$H261,4)</f>
        <v>4</v>
      </c>
      <c r="AF261">
        <f>IF(AND('08 Exs'!D261&lt;Tmax, NOT('08 Exs'!$H261="")),'08 Exs'!$H261,4)</f>
        <v>4</v>
      </c>
      <c r="AG261">
        <f>IF(AND('08 Exs'!E261&lt;Tmax, NOT('08 Exs'!$H261="")),'08 Exs'!$H261,4)</f>
        <v>4</v>
      </c>
      <c r="AH261">
        <f>IF(AND('08 Exs'!F261&lt;Tmax, NOT('08 Exs'!$H261="")),'08 Exs'!$H261,4)</f>
        <v>4</v>
      </c>
      <c r="AI261"/>
    </row>
    <row r="262" spans="1:35" ht="33.75" outlineLevel="2" x14ac:dyDescent="0.2">
      <c r="A262" s="636" t="s">
        <v>4078</v>
      </c>
      <c r="B262" s="636" t="s">
        <v>4079</v>
      </c>
      <c r="C262" s="786"/>
      <c r="D262" s="702"/>
      <c r="E262" s="789"/>
      <c r="F262" s="789"/>
      <c r="G262" s="1480">
        <v>2</v>
      </c>
      <c r="H262" s="1480"/>
      <c r="I262" s="1480"/>
      <c r="J262" s="1480" t="s">
        <v>1592</v>
      </c>
      <c r="K262" s="1459"/>
      <c r="L262" s="1459"/>
      <c r="M262" s="785"/>
      <c r="AA262">
        <f>IF(AND('08 Exs'!C262&gt;Tmin, NOT('08 Exs'!$I262="")),'08 Exs'!$I262,0)</f>
        <v>0</v>
      </c>
      <c r="AB262">
        <f>IF(AND('08 Exs'!D262&gt;Tmin, NOT('08 Exs'!$I262="")),'08 Exs'!$I262,0)</f>
        <v>0</v>
      </c>
      <c r="AC262">
        <f>IF(AND('08 Exs'!E262&gt;Tmin, NOT('08 Exs'!$I262="")),'08 Exs'!$I262,0)</f>
        <v>0</v>
      </c>
      <c r="AD262">
        <f>IF(AND('08 Exs'!F262&gt;Tmin, NOT('08 Exs'!$I262="")),'08 Exs'!$I262,0)</f>
        <v>0</v>
      </c>
      <c r="AE262">
        <f>IF(AND('08 Exs'!C262&lt;Tmax, NOT('08 Exs'!$H262="")),'08 Exs'!$H262,4)</f>
        <v>4</v>
      </c>
      <c r="AF262">
        <f>IF(AND('08 Exs'!D262&lt;Tmax, NOT('08 Exs'!$H262="")),'08 Exs'!$H262,4)</f>
        <v>4</v>
      </c>
      <c r="AG262">
        <f>IF(AND('08 Exs'!E262&lt;Tmax, NOT('08 Exs'!$H262="")),'08 Exs'!$H262,4)</f>
        <v>4</v>
      </c>
      <c r="AH262">
        <f>IF(AND('08 Exs'!F262&lt;Tmax, NOT('08 Exs'!$H262="")),'08 Exs'!$H262,4)</f>
        <v>4</v>
      </c>
      <c r="AI262"/>
    </row>
    <row r="263" spans="1:35" ht="22.5" outlineLevel="2" x14ac:dyDescent="0.2">
      <c r="A263" s="636" t="s">
        <v>4080</v>
      </c>
      <c r="B263" s="636" t="s">
        <v>6609</v>
      </c>
      <c r="C263" s="786"/>
      <c r="D263" s="702"/>
      <c r="E263" s="789"/>
      <c r="F263" s="789"/>
      <c r="G263" s="1480">
        <v>2</v>
      </c>
      <c r="H263" s="1480">
        <v>2</v>
      </c>
      <c r="I263" s="1480"/>
      <c r="J263" s="1480" t="s">
        <v>1592</v>
      </c>
      <c r="K263" s="1459"/>
      <c r="L263" s="1459"/>
      <c r="M263" s="785"/>
      <c r="AA263">
        <f>IF(AND('08 Exs'!C263&gt;Tmin, NOT('08 Exs'!$I263="")),'08 Exs'!$I263,0)</f>
        <v>0</v>
      </c>
      <c r="AB263">
        <f>IF(AND('08 Exs'!D263&gt;Tmin, NOT('08 Exs'!$I263="")),'08 Exs'!$I263,0)</f>
        <v>0</v>
      </c>
      <c r="AC263">
        <f>IF(AND('08 Exs'!E263&gt;Tmin, NOT('08 Exs'!$I263="")),'08 Exs'!$I263,0)</f>
        <v>0</v>
      </c>
      <c r="AD263">
        <f>IF(AND('08 Exs'!F263&gt;Tmin, NOT('08 Exs'!$I263="")),'08 Exs'!$I263,0)</f>
        <v>0</v>
      </c>
      <c r="AE263">
        <f>IF(AND('08 Exs'!C263&lt;Tmax, NOT('08 Exs'!$H263="")),'08 Exs'!$H263,4)</f>
        <v>2</v>
      </c>
      <c r="AF263">
        <f>IF(AND('08 Exs'!D263&lt;Tmax, NOT('08 Exs'!$H263="")),'08 Exs'!$H263,4)</f>
        <v>2</v>
      </c>
      <c r="AG263">
        <f>IF(AND('08 Exs'!E263&lt;Tmax, NOT('08 Exs'!$H263="")),'08 Exs'!$H263,4)</f>
        <v>2</v>
      </c>
      <c r="AH263">
        <f>IF(AND('08 Exs'!F263&lt;Tmax, NOT('08 Exs'!$H263="")),'08 Exs'!$H263,4)</f>
        <v>2</v>
      </c>
      <c r="AI263"/>
    </row>
    <row r="264" spans="1:35" outlineLevel="2" x14ac:dyDescent="0.2">
      <c r="A264" s="636" t="s">
        <v>4081</v>
      </c>
      <c r="B264" s="636" t="s">
        <v>6610</v>
      </c>
      <c r="C264" s="786"/>
      <c r="D264" s="702"/>
      <c r="E264" s="789"/>
      <c r="F264" s="789"/>
      <c r="G264" s="1480">
        <v>2</v>
      </c>
      <c r="H264" s="1480">
        <v>3</v>
      </c>
      <c r="I264" s="1480"/>
      <c r="J264" s="1480" t="s">
        <v>2329</v>
      </c>
      <c r="K264" s="1459"/>
      <c r="L264" s="1459"/>
      <c r="M264" s="785"/>
      <c r="AA264">
        <f>IF(AND('08 Exs'!C264&gt;Tmin, NOT('08 Exs'!$I264="")),'08 Exs'!$I264,0)</f>
        <v>0</v>
      </c>
      <c r="AB264">
        <f>IF(AND('08 Exs'!D264&gt;Tmin, NOT('08 Exs'!$I264="")),'08 Exs'!$I264,0)</f>
        <v>0</v>
      </c>
      <c r="AC264">
        <f>IF(AND('08 Exs'!E264&gt;Tmin, NOT('08 Exs'!$I264="")),'08 Exs'!$I264,0)</f>
        <v>0</v>
      </c>
      <c r="AD264">
        <f>IF(AND('08 Exs'!F264&gt;Tmin, NOT('08 Exs'!$I264="")),'08 Exs'!$I264,0)</f>
        <v>0</v>
      </c>
      <c r="AE264">
        <f>IF(AND('08 Exs'!C264&lt;Tmax, NOT('08 Exs'!$H264="")),'08 Exs'!$H264,4)</f>
        <v>3</v>
      </c>
      <c r="AF264">
        <f>IF(AND('08 Exs'!D264&lt;Tmax, NOT('08 Exs'!$H264="")),'08 Exs'!$H264,4)</f>
        <v>3</v>
      </c>
      <c r="AG264">
        <f>IF(AND('08 Exs'!E264&lt;Tmax, NOT('08 Exs'!$H264="")),'08 Exs'!$H264,4)</f>
        <v>3</v>
      </c>
      <c r="AH264">
        <f>IF(AND('08 Exs'!F264&lt;Tmax, NOT('08 Exs'!$H264="")),'08 Exs'!$H264,4)</f>
        <v>3</v>
      </c>
      <c r="AI264"/>
    </row>
    <row r="265" spans="1:35" outlineLevel="2" x14ac:dyDescent="0.2">
      <c r="A265" s="636" t="s">
        <v>4082</v>
      </c>
      <c r="B265" s="636" t="s">
        <v>4083</v>
      </c>
      <c r="C265" s="786"/>
      <c r="D265" s="702"/>
      <c r="E265" s="789"/>
      <c r="F265" s="789"/>
      <c r="G265" s="1480">
        <v>2</v>
      </c>
      <c r="H265" s="1480">
        <v>3</v>
      </c>
      <c r="I265" s="1480"/>
      <c r="J265" s="1480" t="s">
        <v>2109</v>
      </c>
      <c r="K265" s="1459"/>
      <c r="L265" s="1459"/>
      <c r="M265" s="785"/>
      <c r="AA265">
        <f>IF(AND('08 Exs'!C265&gt;Tmin, NOT('08 Exs'!$I265="")),'08 Exs'!$I265,0)</f>
        <v>0</v>
      </c>
      <c r="AB265">
        <f>IF(AND('08 Exs'!D265&gt;Tmin, NOT('08 Exs'!$I265="")),'08 Exs'!$I265,0)</f>
        <v>0</v>
      </c>
      <c r="AC265">
        <f>IF(AND('08 Exs'!E265&gt;Tmin, NOT('08 Exs'!$I265="")),'08 Exs'!$I265,0)</f>
        <v>0</v>
      </c>
      <c r="AD265">
        <f>IF(AND('08 Exs'!F265&gt;Tmin, NOT('08 Exs'!$I265="")),'08 Exs'!$I265,0)</f>
        <v>0</v>
      </c>
      <c r="AE265">
        <f>IF(AND('08 Exs'!C265&lt;Tmax, NOT('08 Exs'!$H265="")),'08 Exs'!$H265,4)</f>
        <v>3</v>
      </c>
      <c r="AF265">
        <f>IF(AND('08 Exs'!D265&lt;Tmax, NOT('08 Exs'!$H265="")),'08 Exs'!$H265,4)</f>
        <v>3</v>
      </c>
      <c r="AG265">
        <f>IF(AND('08 Exs'!E265&lt;Tmax, NOT('08 Exs'!$H265="")),'08 Exs'!$H265,4)</f>
        <v>3</v>
      </c>
      <c r="AH265">
        <f>IF(AND('08 Exs'!F265&lt;Tmax, NOT('08 Exs'!$H265="")),'08 Exs'!$H265,4)</f>
        <v>3</v>
      </c>
      <c r="AI265"/>
    </row>
    <row r="266" spans="1:35" outlineLevel="1" x14ac:dyDescent="0.2">
      <c r="A266" s="633" t="s">
        <v>2514</v>
      </c>
      <c r="B266" s="634" t="s">
        <v>5740</v>
      </c>
      <c r="C266" s="786"/>
      <c r="D266" s="702"/>
      <c r="E266" s="789"/>
      <c r="F266" s="789"/>
      <c r="G266" s="1480"/>
      <c r="H266" s="1480"/>
      <c r="I266" s="1480"/>
      <c r="J266" s="1480"/>
      <c r="K266" s="1459"/>
      <c r="L266" s="1459"/>
      <c r="M266" s="785"/>
      <c r="AA266"/>
      <c r="AB266"/>
      <c r="AC266"/>
      <c r="AD266"/>
      <c r="AE266"/>
      <c r="AF266"/>
      <c r="AG266"/>
      <c r="AH266"/>
      <c r="AI266"/>
    </row>
    <row r="267" spans="1:35" ht="22.5" outlineLevel="2" x14ac:dyDescent="0.2">
      <c r="A267" s="636" t="s">
        <v>4084</v>
      </c>
      <c r="B267" s="636" t="s">
        <v>6057</v>
      </c>
      <c r="C267" s="786"/>
      <c r="D267" s="702"/>
      <c r="E267" s="789"/>
      <c r="F267" s="789"/>
      <c r="G267" s="1480">
        <v>4</v>
      </c>
      <c r="H267" s="1480">
        <v>3</v>
      </c>
      <c r="I267" s="1480"/>
      <c r="J267" s="1480" t="s">
        <v>4246</v>
      </c>
      <c r="K267" s="1459"/>
      <c r="L267" s="1459"/>
      <c r="M267" s="785"/>
      <c r="AA267">
        <f>IF(AND('08 Exs'!C267&gt;Tmin, NOT('08 Exs'!$I267="")),'08 Exs'!$I267,0)</f>
        <v>0</v>
      </c>
      <c r="AB267">
        <f>IF(AND('08 Exs'!D267&gt;Tmin, NOT('08 Exs'!$I267="")),'08 Exs'!$I267,0)</f>
        <v>0</v>
      </c>
      <c r="AC267">
        <f>IF(AND('08 Exs'!E267&gt;Tmin, NOT('08 Exs'!$I267="")),'08 Exs'!$I267,0)</f>
        <v>0</v>
      </c>
      <c r="AD267">
        <f>IF(AND('08 Exs'!F267&gt;Tmin, NOT('08 Exs'!$I267="")),'08 Exs'!$I267,0)</f>
        <v>0</v>
      </c>
      <c r="AE267">
        <f>IF(AND('08 Exs'!C267&lt;Tmax, NOT('08 Exs'!$H267="")),'08 Exs'!$H267,4)</f>
        <v>3</v>
      </c>
      <c r="AF267">
        <f>IF(AND('08 Exs'!D267&lt;Tmax, NOT('08 Exs'!$H267="")),'08 Exs'!$H267,4)</f>
        <v>3</v>
      </c>
      <c r="AG267">
        <f>IF(AND('08 Exs'!E267&lt;Tmax, NOT('08 Exs'!$H267="")),'08 Exs'!$H267,4)</f>
        <v>3</v>
      </c>
      <c r="AH267">
        <f>IF(AND('08 Exs'!F267&lt;Tmax, NOT('08 Exs'!$H267="")),'08 Exs'!$H267,4)</f>
        <v>3</v>
      </c>
      <c r="AI267"/>
    </row>
    <row r="268" spans="1:35" ht="12" customHeight="1" outlineLevel="2" x14ac:dyDescent="0.2">
      <c r="A268" s="636" t="s">
        <v>4085</v>
      </c>
      <c r="B268" s="636" t="s">
        <v>6036</v>
      </c>
      <c r="C268" s="786"/>
      <c r="D268" s="702"/>
      <c r="E268" s="789"/>
      <c r="F268" s="789"/>
      <c r="G268" s="1480">
        <v>4</v>
      </c>
      <c r="H268" s="1480">
        <v>2</v>
      </c>
      <c r="I268" s="1480"/>
      <c r="J268" s="1480" t="s">
        <v>4246</v>
      </c>
      <c r="K268" s="1459"/>
      <c r="L268" s="1459"/>
      <c r="M268" s="785"/>
      <c r="AA268">
        <f>IF(AND('08 Exs'!C268&gt;Tmin, NOT('08 Exs'!$I268="")),'08 Exs'!$I268,0)</f>
        <v>0</v>
      </c>
      <c r="AB268">
        <f>IF(AND('08 Exs'!D268&gt;Tmin, NOT('08 Exs'!$I268="")),'08 Exs'!$I268,0)</f>
        <v>0</v>
      </c>
      <c r="AC268">
        <f>IF(AND('08 Exs'!E268&gt;Tmin, NOT('08 Exs'!$I268="")),'08 Exs'!$I268,0)</f>
        <v>0</v>
      </c>
      <c r="AD268">
        <f>IF(AND('08 Exs'!F268&gt;Tmin, NOT('08 Exs'!$I268="")),'08 Exs'!$I268,0)</f>
        <v>0</v>
      </c>
      <c r="AE268">
        <f>IF(AND('08 Exs'!C268&lt;Tmax, NOT('08 Exs'!$H268="")),'08 Exs'!$H268,4)</f>
        <v>2</v>
      </c>
      <c r="AF268">
        <f>IF(AND('08 Exs'!D268&lt;Tmax, NOT('08 Exs'!$H268="")),'08 Exs'!$H268,4)</f>
        <v>2</v>
      </c>
      <c r="AG268">
        <f>IF(AND('08 Exs'!E268&lt;Tmax, NOT('08 Exs'!$H268="")),'08 Exs'!$H268,4)</f>
        <v>2</v>
      </c>
      <c r="AH268">
        <f>IF(AND('08 Exs'!F268&lt;Tmax, NOT('08 Exs'!$H268="")),'08 Exs'!$H268,4)</f>
        <v>2</v>
      </c>
      <c r="AI268"/>
    </row>
    <row r="269" spans="1:35" outlineLevel="2" x14ac:dyDescent="0.2">
      <c r="A269" s="636" t="s">
        <v>4086</v>
      </c>
      <c r="B269" s="636" t="s">
        <v>6037</v>
      </c>
      <c r="C269" s="786"/>
      <c r="D269" s="702"/>
      <c r="E269" s="789"/>
      <c r="F269" s="789"/>
      <c r="G269" s="1480">
        <v>2</v>
      </c>
      <c r="H269" s="1480">
        <v>3</v>
      </c>
      <c r="I269" s="1480"/>
      <c r="J269" s="1480" t="s">
        <v>1592</v>
      </c>
      <c r="K269" s="1459"/>
      <c r="L269" s="1459"/>
      <c r="M269" s="785"/>
      <c r="AA269">
        <f>IF(AND('08 Exs'!C269&gt;Tmin, NOT('08 Exs'!$I269="")),'08 Exs'!$I269,0)</f>
        <v>0</v>
      </c>
      <c r="AB269">
        <f>IF(AND('08 Exs'!D269&gt;Tmin, NOT('08 Exs'!$I269="")),'08 Exs'!$I269,0)</f>
        <v>0</v>
      </c>
      <c r="AC269">
        <f>IF(AND('08 Exs'!E269&gt;Tmin, NOT('08 Exs'!$I269="")),'08 Exs'!$I269,0)</f>
        <v>0</v>
      </c>
      <c r="AD269">
        <f>IF(AND('08 Exs'!F269&gt;Tmin, NOT('08 Exs'!$I269="")),'08 Exs'!$I269,0)</f>
        <v>0</v>
      </c>
      <c r="AE269">
        <f>IF(AND('08 Exs'!C269&lt;Tmax, NOT('08 Exs'!$H269="")),'08 Exs'!$H269,4)</f>
        <v>3</v>
      </c>
      <c r="AF269">
        <f>IF(AND('08 Exs'!D269&lt;Tmax, NOT('08 Exs'!$H269="")),'08 Exs'!$H269,4)</f>
        <v>3</v>
      </c>
      <c r="AG269">
        <f>IF(AND('08 Exs'!E269&lt;Tmax, NOT('08 Exs'!$H269="")),'08 Exs'!$H269,4)</f>
        <v>3</v>
      </c>
      <c r="AH269">
        <f>IF(AND('08 Exs'!F269&lt;Tmax, NOT('08 Exs'!$H269="")),'08 Exs'!$H269,4)</f>
        <v>3</v>
      </c>
      <c r="AI269"/>
    </row>
    <row r="270" spans="1:35" outlineLevel="1" x14ac:dyDescent="0.2">
      <c r="A270" s="633" t="s">
        <v>1324</v>
      </c>
      <c r="B270" s="634" t="s">
        <v>1325</v>
      </c>
      <c r="C270" s="786"/>
      <c r="D270" s="702"/>
      <c r="E270" s="789"/>
      <c r="F270" s="789"/>
      <c r="G270" s="1480"/>
      <c r="H270" s="1480"/>
      <c r="I270" s="1480"/>
      <c r="J270" s="1480"/>
      <c r="K270" s="1459"/>
      <c r="L270" s="1459"/>
      <c r="M270" s="785"/>
      <c r="AA270"/>
      <c r="AB270"/>
      <c r="AC270"/>
      <c r="AD270"/>
      <c r="AE270"/>
      <c r="AF270"/>
      <c r="AG270"/>
      <c r="AH270"/>
      <c r="AI270"/>
    </row>
    <row r="271" spans="1:35" ht="22.5" outlineLevel="2" x14ac:dyDescent="0.2">
      <c r="A271" s="636" t="s">
        <v>4087</v>
      </c>
      <c r="B271" s="636" t="s">
        <v>1995</v>
      </c>
      <c r="C271" s="786"/>
      <c r="D271" s="702"/>
      <c r="E271" s="789"/>
      <c r="F271" s="789"/>
      <c r="G271" s="1480">
        <v>4</v>
      </c>
      <c r="H271" s="1480"/>
      <c r="I271" s="1480"/>
      <c r="J271" s="1480" t="s">
        <v>4246</v>
      </c>
      <c r="K271" s="1459"/>
      <c r="L271" s="1459"/>
      <c r="M271" s="785"/>
      <c r="AA271">
        <f>IF(AND('08 Exs'!C271&gt;Tmin, NOT('08 Exs'!$I271="")),'08 Exs'!$I271,0)</f>
        <v>0</v>
      </c>
      <c r="AB271">
        <f>IF(AND('08 Exs'!D271&gt;Tmin, NOT('08 Exs'!$I271="")),'08 Exs'!$I271,0)</f>
        <v>0</v>
      </c>
      <c r="AC271">
        <f>IF(AND('08 Exs'!E271&gt;Tmin, NOT('08 Exs'!$I271="")),'08 Exs'!$I271,0)</f>
        <v>0</v>
      </c>
      <c r="AD271">
        <f>IF(AND('08 Exs'!F271&gt;Tmin, NOT('08 Exs'!$I271="")),'08 Exs'!$I271,0)</f>
        <v>0</v>
      </c>
      <c r="AE271">
        <f>IF(AND('08 Exs'!C271&lt;Tmax, NOT('08 Exs'!$H271="")),'08 Exs'!$H271,4)</f>
        <v>4</v>
      </c>
      <c r="AF271">
        <f>IF(AND('08 Exs'!D271&lt;Tmax, NOT('08 Exs'!$H271="")),'08 Exs'!$H271,4)</f>
        <v>4</v>
      </c>
      <c r="AG271">
        <f>IF(AND('08 Exs'!E271&lt;Tmax, NOT('08 Exs'!$H271="")),'08 Exs'!$H271,4)</f>
        <v>4</v>
      </c>
      <c r="AH271">
        <f>IF(AND('08 Exs'!F271&lt;Tmax, NOT('08 Exs'!$H271="")),'08 Exs'!$H271,4)</f>
        <v>4</v>
      </c>
      <c r="AI271"/>
    </row>
    <row r="272" spans="1:35" outlineLevel="2" x14ac:dyDescent="0.2">
      <c r="A272" s="636" t="s">
        <v>1996</v>
      </c>
      <c r="B272" s="636" t="s">
        <v>1997</v>
      </c>
      <c r="C272" s="786"/>
      <c r="D272" s="702"/>
      <c r="E272" s="789"/>
      <c r="F272" s="789"/>
      <c r="G272" s="1480">
        <v>4</v>
      </c>
      <c r="H272" s="1480"/>
      <c r="I272" s="1480"/>
      <c r="J272" s="1480" t="s">
        <v>1592</v>
      </c>
      <c r="K272" s="1459"/>
      <c r="L272" s="1459"/>
      <c r="M272" s="785"/>
      <c r="AA272">
        <f>IF(AND('08 Exs'!C272&gt;Tmin, NOT('08 Exs'!$I272="")),'08 Exs'!$I272,0)</f>
        <v>0</v>
      </c>
      <c r="AB272">
        <f>IF(AND('08 Exs'!D272&gt;Tmin, NOT('08 Exs'!$I272="")),'08 Exs'!$I272,0)</f>
        <v>0</v>
      </c>
      <c r="AC272">
        <f>IF(AND('08 Exs'!E272&gt;Tmin, NOT('08 Exs'!$I272="")),'08 Exs'!$I272,0)</f>
        <v>0</v>
      </c>
      <c r="AD272">
        <f>IF(AND('08 Exs'!F272&gt;Tmin, NOT('08 Exs'!$I272="")),'08 Exs'!$I272,0)</f>
        <v>0</v>
      </c>
      <c r="AE272">
        <f>IF(AND('08 Exs'!C272&lt;Tmax, NOT('08 Exs'!$H272="")),'08 Exs'!$H272,4)</f>
        <v>4</v>
      </c>
      <c r="AF272">
        <f>IF(AND('08 Exs'!D272&lt;Tmax, NOT('08 Exs'!$H272="")),'08 Exs'!$H272,4)</f>
        <v>4</v>
      </c>
      <c r="AG272">
        <f>IF(AND('08 Exs'!E272&lt;Tmax, NOT('08 Exs'!$H272="")),'08 Exs'!$H272,4)</f>
        <v>4</v>
      </c>
      <c r="AH272">
        <f>IF(AND('08 Exs'!F272&lt;Tmax, NOT('08 Exs'!$H272="")),'08 Exs'!$H272,4)</f>
        <v>4</v>
      </c>
      <c r="AI272"/>
    </row>
    <row r="273" spans="1:35" outlineLevel="2" x14ac:dyDescent="0.2">
      <c r="A273" s="636" t="s">
        <v>1998</v>
      </c>
      <c r="B273" s="636" t="s">
        <v>1999</v>
      </c>
      <c r="C273" s="786"/>
      <c r="D273" s="789"/>
      <c r="E273" s="789"/>
      <c r="F273" s="789"/>
      <c r="G273" s="1480">
        <v>2</v>
      </c>
      <c r="H273" s="1480"/>
      <c r="I273" s="1480"/>
      <c r="J273" s="1480" t="s">
        <v>1592</v>
      </c>
      <c r="K273" s="1459"/>
      <c r="L273" s="1459"/>
      <c r="M273" s="785"/>
      <c r="AA273">
        <f>IF(AND('08 Exs'!C273&gt;Tmin, NOT('08 Exs'!$I273="")),'08 Exs'!$I273,0)</f>
        <v>0</v>
      </c>
      <c r="AB273">
        <f>IF(AND('08 Exs'!D273&gt;Tmin, NOT('08 Exs'!$I273="")),'08 Exs'!$I273,0)</f>
        <v>0</v>
      </c>
      <c r="AC273">
        <f>IF(AND('08 Exs'!E273&gt;Tmin, NOT('08 Exs'!$I273="")),'08 Exs'!$I273,0)</f>
        <v>0</v>
      </c>
      <c r="AD273">
        <f>IF(AND('08 Exs'!F273&gt;Tmin, NOT('08 Exs'!$I273="")),'08 Exs'!$I273,0)</f>
        <v>0</v>
      </c>
      <c r="AE273">
        <f>IF(AND('08 Exs'!C273&lt;Tmax, NOT('08 Exs'!$H273="")),'08 Exs'!$H273,4)</f>
        <v>4</v>
      </c>
      <c r="AF273">
        <f>IF(AND('08 Exs'!D273&lt;Tmax, NOT('08 Exs'!$H273="")),'08 Exs'!$H273,4)</f>
        <v>4</v>
      </c>
      <c r="AG273">
        <f>IF(AND('08 Exs'!E273&lt;Tmax, NOT('08 Exs'!$H273="")),'08 Exs'!$H273,4)</f>
        <v>4</v>
      </c>
      <c r="AH273">
        <f>IF(AND('08 Exs'!F273&lt;Tmax, NOT('08 Exs'!$H273="")),'08 Exs'!$H273,4)</f>
        <v>4</v>
      </c>
      <c r="AI273"/>
    </row>
    <row r="274" spans="1:35" ht="22.5" outlineLevel="2" collapsed="1" x14ac:dyDescent="0.2">
      <c r="A274" s="636" t="s">
        <v>2000</v>
      </c>
      <c r="B274" s="636" t="s">
        <v>4494</v>
      </c>
      <c r="C274" s="786"/>
      <c r="D274" s="789"/>
      <c r="E274" s="789"/>
      <c r="F274" s="789"/>
      <c r="G274" s="1480">
        <v>2</v>
      </c>
      <c r="H274" s="1480">
        <v>2</v>
      </c>
      <c r="I274" s="1484"/>
      <c r="J274" s="1480" t="s">
        <v>1592</v>
      </c>
      <c r="K274" s="1459"/>
      <c r="L274" s="1459"/>
      <c r="M274" s="785"/>
      <c r="AA274">
        <f>IF(AND('08 Exs'!C274&gt;Tmin, NOT('08 Exs'!$I274="")),'08 Exs'!$I274,0)</f>
        <v>0</v>
      </c>
      <c r="AB274">
        <f>IF(AND('08 Exs'!D274&gt;Tmin, NOT('08 Exs'!$I274="")),'08 Exs'!$I274,0)</f>
        <v>0</v>
      </c>
      <c r="AC274">
        <f>IF(AND('08 Exs'!E274&gt;Tmin, NOT('08 Exs'!$I274="")),'08 Exs'!$I274,0)</f>
        <v>0</v>
      </c>
      <c r="AD274">
        <f>IF(AND('08 Exs'!F274&gt;Tmin, NOT('08 Exs'!$I274="")),'08 Exs'!$I274,0)</f>
        <v>0</v>
      </c>
      <c r="AE274">
        <f>IF(AND('08 Exs'!C274&lt;Tmax, NOT('08 Exs'!$H274="")),'08 Exs'!$H274,4)</f>
        <v>2</v>
      </c>
      <c r="AF274">
        <f>IF(AND('08 Exs'!D274&lt;Tmax, NOT('08 Exs'!$H274="")),'08 Exs'!$H274,4)</f>
        <v>2</v>
      </c>
      <c r="AG274">
        <f>IF(AND('08 Exs'!E274&lt;Tmax, NOT('08 Exs'!$H274="")),'08 Exs'!$H274,4)</f>
        <v>2</v>
      </c>
      <c r="AH274">
        <f>IF(AND('08 Exs'!F274&lt;Tmax, NOT('08 Exs'!$H274="")),'08 Exs'!$H274,4)</f>
        <v>2</v>
      </c>
      <c r="AI274"/>
    </row>
    <row r="275" spans="1:35" outlineLevel="2" x14ac:dyDescent="0.2">
      <c r="A275" s="636" t="s">
        <v>4495</v>
      </c>
      <c r="B275" s="636" t="s">
        <v>1980</v>
      </c>
      <c r="C275" s="786"/>
      <c r="D275" s="789"/>
      <c r="E275" s="789"/>
      <c r="F275" s="789"/>
      <c r="G275" s="1480">
        <v>4</v>
      </c>
      <c r="H275" s="1480">
        <v>3</v>
      </c>
      <c r="I275" s="1484"/>
      <c r="J275" s="1480" t="s">
        <v>2329</v>
      </c>
      <c r="K275" s="1459"/>
      <c r="L275" s="1459"/>
      <c r="M275" s="785"/>
      <c r="AA275">
        <f>IF(AND('08 Exs'!C275&gt;Tmin, NOT('08 Exs'!$I275="")),'08 Exs'!$I275,0)</f>
        <v>0</v>
      </c>
      <c r="AB275">
        <f>IF(AND('08 Exs'!D275&gt;Tmin, NOT('08 Exs'!$I275="")),'08 Exs'!$I275,0)</f>
        <v>0</v>
      </c>
      <c r="AC275">
        <f>IF(AND('08 Exs'!E275&gt;Tmin, NOT('08 Exs'!$I275="")),'08 Exs'!$I275,0)</f>
        <v>0</v>
      </c>
      <c r="AD275">
        <f>IF(AND('08 Exs'!F275&gt;Tmin, NOT('08 Exs'!$I275="")),'08 Exs'!$I275,0)</f>
        <v>0</v>
      </c>
      <c r="AE275">
        <f>IF(AND('08 Exs'!C275&lt;Tmax, NOT('08 Exs'!$H275="")),'08 Exs'!$H275,4)</f>
        <v>3</v>
      </c>
      <c r="AF275">
        <f>IF(AND('08 Exs'!D275&lt;Tmax, NOT('08 Exs'!$H275="")),'08 Exs'!$H275,4)</f>
        <v>3</v>
      </c>
      <c r="AG275">
        <f>IF(AND('08 Exs'!E275&lt;Tmax, NOT('08 Exs'!$H275="")),'08 Exs'!$H275,4)</f>
        <v>3</v>
      </c>
      <c r="AH275">
        <f>IF(AND('08 Exs'!F275&lt;Tmax, NOT('08 Exs'!$H275="")),'08 Exs'!$H275,4)</f>
        <v>3</v>
      </c>
      <c r="AI275"/>
    </row>
    <row r="276" spans="1:35" outlineLevel="2" x14ac:dyDescent="0.2">
      <c r="A276" s="636" t="s">
        <v>4496</v>
      </c>
      <c r="B276" s="636" t="s">
        <v>6818</v>
      </c>
      <c r="C276" s="786"/>
      <c r="D276" s="789"/>
      <c r="E276" s="789"/>
      <c r="F276" s="789"/>
      <c r="G276" s="1480">
        <v>4</v>
      </c>
      <c r="H276" s="1480">
        <v>3</v>
      </c>
      <c r="I276" s="1484"/>
      <c r="J276" s="1480" t="s">
        <v>2329</v>
      </c>
      <c r="K276" s="1459"/>
      <c r="L276" s="1459"/>
      <c r="M276" s="785"/>
      <c r="AA276">
        <f>IF(AND('08 Exs'!C276&gt;Tmin, NOT('08 Exs'!$I276="")),'08 Exs'!$I276,0)</f>
        <v>0</v>
      </c>
      <c r="AB276">
        <f>IF(AND('08 Exs'!D276&gt;Tmin, NOT('08 Exs'!$I276="")),'08 Exs'!$I276,0)</f>
        <v>0</v>
      </c>
      <c r="AC276">
        <f>IF(AND('08 Exs'!E276&gt;Tmin, NOT('08 Exs'!$I276="")),'08 Exs'!$I276,0)</f>
        <v>0</v>
      </c>
      <c r="AD276">
        <f>IF(AND('08 Exs'!F276&gt;Tmin, NOT('08 Exs'!$I276="")),'08 Exs'!$I276,0)</f>
        <v>0</v>
      </c>
      <c r="AE276">
        <f>IF(AND('08 Exs'!C276&lt;Tmax, NOT('08 Exs'!$H276="")),'08 Exs'!$H276,4)</f>
        <v>3</v>
      </c>
      <c r="AF276">
        <f>IF(AND('08 Exs'!D276&lt;Tmax, NOT('08 Exs'!$H276="")),'08 Exs'!$H276,4)</f>
        <v>3</v>
      </c>
      <c r="AG276">
        <f>IF(AND('08 Exs'!E276&lt;Tmax, NOT('08 Exs'!$H276="")),'08 Exs'!$H276,4)</f>
        <v>3</v>
      </c>
      <c r="AH276">
        <f>IF(AND('08 Exs'!F276&lt;Tmax, NOT('08 Exs'!$H276="")),'08 Exs'!$H276,4)</f>
        <v>3</v>
      </c>
      <c r="AI276"/>
    </row>
    <row r="277" spans="1:35" outlineLevel="2" x14ac:dyDescent="0.2">
      <c r="A277" s="636" t="s">
        <v>6819</v>
      </c>
      <c r="B277" s="636" t="s">
        <v>6820</v>
      </c>
      <c r="C277" s="786"/>
      <c r="D277" s="789"/>
      <c r="E277" s="789"/>
      <c r="F277" s="789"/>
      <c r="G277" s="1480">
        <v>2</v>
      </c>
      <c r="H277" s="1480">
        <v>2</v>
      </c>
      <c r="I277" s="1480"/>
      <c r="J277" s="1480" t="s">
        <v>2109</v>
      </c>
      <c r="K277" s="1459"/>
      <c r="L277" s="1459"/>
      <c r="M277" s="785"/>
      <c r="AA277">
        <f>IF(AND('08 Exs'!C277&gt;Tmin, NOT('08 Exs'!$I277="")),'08 Exs'!$I277,0)</f>
        <v>0</v>
      </c>
      <c r="AB277">
        <f>IF(AND('08 Exs'!D277&gt;Tmin, NOT('08 Exs'!$I277="")),'08 Exs'!$I277,0)</f>
        <v>0</v>
      </c>
      <c r="AC277">
        <f>IF(AND('08 Exs'!E277&gt;Tmin, NOT('08 Exs'!$I277="")),'08 Exs'!$I277,0)</f>
        <v>0</v>
      </c>
      <c r="AD277">
        <f>IF(AND('08 Exs'!F277&gt;Tmin, NOT('08 Exs'!$I277="")),'08 Exs'!$I277,0)</f>
        <v>0</v>
      </c>
      <c r="AE277">
        <f>IF(AND('08 Exs'!C277&lt;Tmax, NOT('08 Exs'!$H277="")),'08 Exs'!$H277,4)</f>
        <v>2</v>
      </c>
      <c r="AF277">
        <f>IF(AND('08 Exs'!D277&lt;Tmax, NOT('08 Exs'!$H277="")),'08 Exs'!$H277,4)</f>
        <v>2</v>
      </c>
      <c r="AG277">
        <f>IF(AND('08 Exs'!E277&lt;Tmax, NOT('08 Exs'!$H277="")),'08 Exs'!$H277,4)</f>
        <v>2</v>
      </c>
      <c r="AH277">
        <f>IF(AND('08 Exs'!F277&lt;Tmax, NOT('08 Exs'!$H277="")),'08 Exs'!$H277,4)</f>
        <v>2</v>
      </c>
      <c r="AI277"/>
    </row>
    <row r="278" spans="1:35" x14ac:dyDescent="0.2">
      <c r="A278" s="644" t="s">
        <v>6821</v>
      </c>
      <c r="B278" s="644" t="s">
        <v>6822</v>
      </c>
      <c r="C278" s="786"/>
      <c r="D278" s="789"/>
      <c r="E278" s="789"/>
      <c r="F278" s="789"/>
      <c r="G278" s="1480"/>
      <c r="H278" s="1480"/>
      <c r="I278" s="1480"/>
      <c r="J278" s="1480"/>
      <c r="K278" s="1459"/>
      <c r="L278" s="1459"/>
      <c r="M278" s="785"/>
      <c r="AA278"/>
      <c r="AB278"/>
      <c r="AC278"/>
      <c r="AD278"/>
      <c r="AE278"/>
      <c r="AF278"/>
      <c r="AG278"/>
      <c r="AH278"/>
      <c r="AI278"/>
    </row>
    <row r="279" spans="1:35" outlineLevel="1" x14ac:dyDescent="0.2">
      <c r="A279" s="633" t="s">
        <v>2800</v>
      </c>
      <c r="B279" s="634" t="s">
        <v>5741</v>
      </c>
      <c r="C279" s="786"/>
      <c r="D279" s="789"/>
      <c r="E279" s="789"/>
      <c r="F279" s="789"/>
      <c r="G279" s="1480"/>
      <c r="H279" s="1480"/>
      <c r="I279" s="1480"/>
      <c r="J279" s="1480"/>
      <c r="K279" s="1459"/>
      <c r="L279" s="1459"/>
      <c r="M279" s="785"/>
      <c r="AA279"/>
      <c r="AB279"/>
      <c r="AC279"/>
      <c r="AD279"/>
      <c r="AE279"/>
      <c r="AF279"/>
      <c r="AG279"/>
      <c r="AH279"/>
      <c r="AI279"/>
    </row>
    <row r="280" spans="1:35" ht="22.5" outlineLevel="2" x14ac:dyDescent="0.2">
      <c r="A280" s="636" t="s">
        <v>6324</v>
      </c>
      <c r="B280" s="636" t="s">
        <v>6005</v>
      </c>
      <c r="C280" s="786"/>
      <c r="D280" s="789"/>
      <c r="E280" s="789"/>
      <c r="F280" s="789"/>
      <c r="G280" s="1480">
        <v>4</v>
      </c>
      <c r="H280" s="1480"/>
      <c r="I280" s="1480"/>
      <c r="J280" s="1480" t="s">
        <v>1592</v>
      </c>
      <c r="K280" s="1459" t="s">
        <v>7039</v>
      </c>
      <c r="L280" s="1459"/>
      <c r="M280" s="788"/>
      <c r="AA280">
        <f>IF(AND('08 Exs'!C280&gt;Tmin, NOT('08 Exs'!$I280="")),'08 Exs'!$I280,0)</f>
        <v>0</v>
      </c>
      <c r="AB280">
        <f>IF(AND('08 Exs'!D280&gt;Tmin, NOT('08 Exs'!$I280="")),'08 Exs'!$I280,0)</f>
        <v>0</v>
      </c>
      <c r="AC280">
        <f>IF(AND('08 Exs'!E280&gt;Tmin, NOT('08 Exs'!$I280="")),'08 Exs'!$I280,0)</f>
        <v>0</v>
      </c>
      <c r="AD280">
        <f>IF(AND('08 Exs'!F280&gt;Tmin, NOT('08 Exs'!$I280="")),'08 Exs'!$I280,0)</f>
        <v>0</v>
      </c>
      <c r="AE280">
        <f>IF(AND('08 Exs'!C280&lt;Tmax, NOT('08 Exs'!$H280="")),'08 Exs'!$H280,4)</f>
        <v>4</v>
      </c>
      <c r="AF280">
        <f>IF(AND('08 Exs'!D280&lt;Tmax, NOT('08 Exs'!$H280="")),'08 Exs'!$H280,4)</f>
        <v>4</v>
      </c>
      <c r="AG280">
        <f>IF(AND('08 Exs'!E280&lt;Tmax, NOT('08 Exs'!$H280="")),'08 Exs'!$H280,4)</f>
        <v>4</v>
      </c>
      <c r="AH280">
        <f>IF(AND('08 Exs'!F280&lt;Tmax, NOT('08 Exs'!$H280="")),'08 Exs'!$H280,4)</f>
        <v>4</v>
      </c>
      <c r="AI280"/>
    </row>
    <row r="281" spans="1:35" s="230" customFormat="1" ht="22.5" outlineLevel="2" x14ac:dyDescent="0.2">
      <c r="A281" s="636" t="s">
        <v>6006</v>
      </c>
      <c r="B281" s="636" t="s">
        <v>5971</v>
      </c>
      <c r="C281" s="786"/>
      <c r="D281" s="789"/>
      <c r="E281" s="789"/>
      <c r="F281" s="789"/>
      <c r="G281" s="1480">
        <v>4</v>
      </c>
      <c r="H281" s="1480"/>
      <c r="I281" s="1480"/>
      <c r="J281" s="1480" t="s">
        <v>2329</v>
      </c>
      <c r="K281" s="1459" t="s">
        <v>7039</v>
      </c>
      <c r="L281" s="1459"/>
      <c r="M281" s="785"/>
      <c r="N281" s="624"/>
      <c r="O281" s="624"/>
      <c r="P281" s="624"/>
      <c r="Q281" s="624"/>
      <c r="R281" s="624"/>
      <c r="S281" s="624"/>
      <c r="T281" s="624"/>
      <c r="U281" s="624"/>
      <c r="V281" s="624"/>
      <c r="W281" s="624"/>
      <c r="X281" s="624"/>
      <c r="Y281" s="624"/>
      <c r="Z281" s="624"/>
      <c r="AA281">
        <f>IF(AND('08 Exs'!C281&gt;Tmin, NOT('08 Exs'!$I281="")),'08 Exs'!$I281,0)</f>
        <v>0</v>
      </c>
      <c r="AB281">
        <f>IF(AND('08 Exs'!D281&gt;Tmin, NOT('08 Exs'!$I281="")),'08 Exs'!$I281,0)</f>
        <v>0</v>
      </c>
      <c r="AC281">
        <f>IF(AND('08 Exs'!E281&gt;Tmin, NOT('08 Exs'!$I281="")),'08 Exs'!$I281,0)</f>
        <v>0</v>
      </c>
      <c r="AD281">
        <f>IF(AND('08 Exs'!F281&gt;Tmin, NOT('08 Exs'!$I281="")),'08 Exs'!$I281,0)</f>
        <v>0</v>
      </c>
      <c r="AE281">
        <f>IF(AND('08 Exs'!C281&lt;Tmax, NOT('08 Exs'!$H281="")),'08 Exs'!$H281,4)</f>
        <v>4</v>
      </c>
      <c r="AF281">
        <f>IF(AND('08 Exs'!D281&lt;Tmax, NOT('08 Exs'!$H281="")),'08 Exs'!$H281,4)</f>
        <v>4</v>
      </c>
      <c r="AG281">
        <f>IF(AND('08 Exs'!E281&lt;Tmax, NOT('08 Exs'!$H281="")),'08 Exs'!$H281,4)</f>
        <v>4</v>
      </c>
      <c r="AH281">
        <f>IF(AND('08 Exs'!F281&lt;Tmax, NOT('08 Exs'!$H281="")),'08 Exs'!$H281,4)</f>
        <v>4</v>
      </c>
      <c r="AI281"/>
    </row>
    <row r="282" spans="1:35" s="230" customFormat="1" ht="22.5" outlineLevel="2" x14ac:dyDescent="0.2">
      <c r="A282" s="636" t="s">
        <v>5972</v>
      </c>
      <c r="B282" s="636" t="s">
        <v>5973</v>
      </c>
      <c r="C282" s="786"/>
      <c r="D282" s="789"/>
      <c r="E282" s="789"/>
      <c r="F282" s="789"/>
      <c r="G282" s="1480">
        <v>4</v>
      </c>
      <c r="H282" s="1480"/>
      <c r="I282" s="1480"/>
      <c r="J282" s="1480" t="s">
        <v>2329</v>
      </c>
      <c r="K282" s="1459" t="s">
        <v>7039</v>
      </c>
      <c r="L282" s="1459"/>
      <c r="M282" s="788"/>
      <c r="N282" s="624"/>
      <c r="O282" s="624"/>
      <c r="P282" s="624"/>
      <c r="Q282" s="624"/>
      <c r="R282" s="624"/>
      <c r="S282" s="624"/>
      <c r="T282" s="624"/>
      <c r="U282" s="624"/>
      <c r="V282" s="624"/>
      <c r="W282" s="624"/>
      <c r="X282" s="624"/>
      <c r="Y282" s="624"/>
      <c r="Z282" s="624"/>
      <c r="AA282">
        <f>IF(AND('08 Exs'!C282&gt;Tmin, NOT('08 Exs'!$I282="")),'08 Exs'!$I282,0)</f>
        <v>0</v>
      </c>
      <c r="AB282">
        <f>IF(AND('08 Exs'!D282&gt;Tmin, NOT('08 Exs'!$I282="")),'08 Exs'!$I282,0)</f>
        <v>0</v>
      </c>
      <c r="AC282">
        <f>IF(AND('08 Exs'!E282&gt;Tmin, NOT('08 Exs'!$I282="")),'08 Exs'!$I282,0)</f>
        <v>0</v>
      </c>
      <c r="AD282">
        <f>IF(AND('08 Exs'!F282&gt;Tmin, NOT('08 Exs'!$I282="")),'08 Exs'!$I282,0)</f>
        <v>0</v>
      </c>
      <c r="AE282">
        <f>IF(AND('08 Exs'!C282&lt;Tmax, NOT('08 Exs'!$H282="")),'08 Exs'!$H282,4)</f>
        <v>4</v>
      </c>
      <c r="AF282">
        <f>IF(AND('08 Exs'!D282&lt;Tmax, NOT('08 Exs'!$H282="")),'08 Exs'!$H282,4)</f>
        <v>4</v>
      </c>
      <c r="AG282">
        <f>IF(AND('08 Exs'!E282&lt;Tmax, NOT('08 Exs'!$H282="")),'08 Exs'!$H282,4)</f>
        <v>4</v>
      </c>
      <c r="AH282">
        <f>IF(AND('08 Exs'!F282&lt;Tmax, NOT('08 Exs'!$H282="")),'08 Exs'!$H282,4)</f>
        <v>4</v>
      </c>
      <c r="AI282"/>
    </row>
    <row r="283" spans="1:35" ht="22.5" outlineLevel="2" x14ac:dyDescent="0.2">
      <c r="A283" s="636" t="s">
        <v>5974</v>
      </c>
      <c r="B283" s="636" t="s">
        <v>6038</v>
      </c>
      <c r="C283" s="786"/>
      <c r="D283" s="789"/>
      <c r="E283" s="789"/>
      <c r="F283" s="789"/>
      <c r="G283" s="1480">
        <v>4</v>
      </c>
      <c r="H283" s="1480">
        <v>2</v>
      </c>
      <c r="I283" s="1480"/>
      <c r="J283" s="1480" t="s">
        <v>2329</v>
      </c>
      <c r="K283" s="1459" t="s">
        <v>7039</v>
      </c>
      <c r="L283" s="1459"/>
      <c r="M283" s="785"/>
      <c r="AA283">
        <f>IF(AND('08 Exs'!C283&gt;Tmin, NOT('08 Exs'!$I283="")),'08 Exs'!$I283,0)</f>
        <v>0</v>
      </c>
      <c r="AB283">
        <f>IF(AND('08 Exs'!D283&gt;Tmin, NOT('08 Exs'!$I283="")),'08 Exs'!$I283,0)</f>
        <v>0</v>
      </c>
      <c r="AC283">
        <f>IF(AND('08 Exs'!E283&gt;Tmin, NOT('08 Exs'!$I283="")),'08 Exs'!$I283,0)</f>
        <v>0</v>
      </c>
      <c r="AD283">
        <f>IF(AND('08 Exs'!F283&gt;Tmin, NOT('08 Exs'!$I283="")),'08 Exs'!$I283,0)</f>
        <v>0</v>
      </c>
      <c r="AE283">
        <f>IF(AND('08 Exs'!C283&lt;Tmax, NOT('08 Exs'!$H283="")),'08 Exs'!$H283,4)</f>
        <v>2</v>
      </c>
      <c r="AF283">
        <f>IF(AND('08 Exs'!D283&lt;Tmax, NOT('08 Exs'!$H283="")),'08 Exs'!$H283,4)</f>
        <v>2</v>
      </c>
      <c r="AG283">
        <f>IF(AND('08 Exs'!E283&lt;Tmax, NOT('08 Exs'!$H283="")),'08 Exs'!$H283,4)</f>
        <v>2</v>
      </c>
      <c r="AH283">
        <f>IF(AND('08 Exs'!F283&lt;Tmax, NOT('08 Exs'!$H283="")),'08 Exs'!$H283,4)</f>
        <v>2</v>
      </c>
      <c r="AI283"/>
    </row>
    <row r="284" spans="1:35" ht="22.5" outlineLevel="2" x14ac:dyDescent="0.2">
      <c r="A284" s="636" t="s">
        <v>5975</v>
      </c>
      <c r="B284" s="636" t="s">
        <v>5976</v>
      </c>
      <c r="C284" s="786"/>
      <c r="D284" s="789"/>
      <c r="E284" s="789"/>
      <c r="F284" s="789"/>
      <c r="G284" s="1480">
        <v>4</v>
      </c>
      <c r="H284" s="1480"/>
      <c r="I284" s="1480"/>
      <c r="J284" s="1480" t="s">
        <v>2329</v>
      </c>
      <c r="K284" s="1459" t="s">
        <v>7039</v>
      </c>
      <c r="L284" s="1459"/>
      <c r="M284" s="788"/>
      <c r="AA284">
        <f>IF(AND('08 Exs'!C284&gt;Tmin, NOT('08 Exs'!$I284="")),'08 Exs'!$I284,0)</f>
        <v>0</v>
      </c>
      <c r="AB284">
        <f>IF(AND('08 Exs'!D284&gt;Tmin, NOT('08 Exs'!$I284="")),'08 Exs'!$I284,0)</f>
        <v>0</v>
      </c>
      <c r="AC284">
        <f>IF(AND('08 Exs'!E284&gt;Tmin, NOT('08 Exs'!$I284="")),'08 Exs'!$I284,0)</f>
        <v>0</v>
      </c>
      <c r="AD284">
        <f>IF(AND('08 Exs'!F284&gt;Tmin, NOT('08 Exs'!$I284="")),'08 Exs'!$I284,0)</f>
        <v>0</v>
      </c>
      <c r="AE284">
        <f>IF(AND('08 Exs'!C284&lt;Tmax, NOT('08 Exs'!$H284="")),'08 Exs'!$H284,4)</f>
        <v>4</v>
      </c>
      <c r="AF284">
        <f>IF(AND('08 Exs'!D284&lt;Tmax, NOT('08 Exs'!$H284="")),'08 Exs'!$H284,4)</f>
        <v>4</v>
      </c>
      <c r="AG284">
        <f>IF(AND('08 Exs'!E284&lt;Tmax, NOT('08 Exs'!$H284="")),'08 Exs'!$H284,4)</f>
        <v>4</v>
      </c>
      <c r="AH284">
        <f>IF(AND('08 Exs'!F284&lt;Tmax, NOT('08 Exs'!$H284="")),'08 Exs'!$H284,4)</f>
        <v>4</v>
      </c>
      <c r="AI284"/>
    </row>
    <row r="285" spans="1:35" ht="22.5" outlineLevel="2" x14ac:dyDescent="0.2">
      <c r="A285" s="636" t="s">
        <v>5182</v>
      </c>
      <c r="B285" s="636" t="s">
        <v>5366</v>
      </c>
      <c r="C285" s="786"/>
      <c r="D285" s="789"/>
      <c r="E285" s="789"/>
      <c r="F285" s="789"/>
      <c r="G285" s="1480">
        <v>4</v>
      </c>
      <c r="H285" s="1480">
        <v>3</v>
      </c>
      <c r="I285" s="1480"/>
      <c r="J285" s="1480" t="s">
        <v>2349</v>
      </c>
      <c r="K285" s="1459"/>
      <c r="L285" s="1459"/>
      <c r="M285" s="785"/>
      <c r="AA285">
        <f>IF(AND('08 Exs'!C285&gt;Tmin, NOT('08 Exs'!$I285="")),'08 Exs'!$I285,0)</f>
        <v>0</v>
      </c>
      <c r="AB285">
        <f>IF(AND('08 Exs'!D285&gt;Tmin, NOT('08 Exs'!$I285="")),'08 Exs'!$I285,0)</f>
        <v>0</v>
      </c>
      <c r="AC285">
        <f>IF(AND('08 Exs'!E285&gt;Tmin, NOT('08 Exs'!$I285="")),'08 Exs'!$I285,0)</f>
        <v>0</v>
      </c>
      <c r="AD285">
        <f>IF(AND('08 Exs'!F285&gt;Tmin, NOT('08 Exs'!$I285="")),'08 Exs'!$I285,0)</f>
        <v>0</v>
      </c>
      <c r="AE285">
        <f>IF(AND('08 Exs'!C285&lt;Tmax, NOT('08 Exs'!$H285="")),'08 Exs'!$H285,4)</f>
        <v>3</v>
      </c>
      <c r="AF285">
        <f>IF(AND('08 Exs'!D285&lt;Tmax, NOT('08 Exs'!$H285="")),'08 Exs'!$H285,4)</f>
        <v>3</v>
      </c>
      <c r="AG285">
        <f>IF(AND('08 Exs'!E285&lt;Tmax, NOT('08 Exs'!$H285="")),'08 Exs'!$H285,4)</f>
        <v>3</v>
      </c>
      <c r="AH285">
        <f>IF(AND('08 Exs'!F285&lt;Tmax, NOT('08 Exs'!$H285="")),'08 Exs'!$H285,4)</f>
        <v>3</v>
      </c>
      <c r="AI285"/>
    </row>
    <row r="286" spans="1:35" outlineLevel="2" x14ac:dyDescent="0.2">
      <c r="A286" s="636" t="s">
        <v>5183</v>
      </c>
      <c r="B286" s="636" t="s">
        <v>6039</v>
      </c>
      <c r="C286" s="786"/>
      <c r="D286" s="789"/>
      <c r="E286" s="789"/>
      <c r="F286" s="789"/>
      <c r="G286" s="1480">
        <v>4</v>
      </c>
      <c r="H286" s="1480">
        <v>3</v>
      </c>
      <c r="I286" s="1480"/>
      <c r="J286" s="1480" t="s">
        <v>2349</v>
      </c>
      <c r="K286" s="1459"/>
      <c r="L286" s="1459"/>
      <c r="M286" s="785"/>
      <c r="AA286">
        <f>IF(AND('08 Exs'!C286&gt;Tmin, NOT('08 Exs'!$I286="")),'08 Exs'!$I286,0)</f>
        <v>0</v>
      </c>
      <c r="AB286">
        <f>IF(AND('08 Exs'!D286&gt;Tmin, NOT('08 Exs'!$I286="")),'08 Exs'!$I286,0)</f>
        <v>0</v>
      </c>
      <c r="AC286">
        <f>IF(AND('08 Exs'!E286&gt;Tmin, NOT('08 Exs'!$I286="")),'08 Exs'!$I286,0)</f>
        <v>0</v>
      </c>
      <c r="AD286">
        <f>IF(AND('08 Exs'!F286&gt;Tmin, NOT('08 Exs'!$I286="")),'08 Exs'!$I286,0)</f>
        <v>0</v>
      </c>
      <c r="AE286">
        <f>IF(AND('08 Exs'!C286&lt;Tmax, NOT('08 Exs'!$H286="")),'08 Exs'!$H286,4)</f>
        <v>3</v>
      </c>
      <c r="AF286">
        <f>IF(AND('08 Exs'!D286&lt;Tmax, NOT('08 Exs'!$H286="")),'08 Exs'!$H286,4)</f>
        <v>3</v>
      </c>
      <c r="AG286">
        <f>IF(AND('08 Exs'!E286&lt;Tmax, NOT('08 Exs'!$H286="")),'08 Exs'!$H286,4)</f>
        <v>3</v>
      </c>
      <c r="AH286">
        <f>IF(AND('08 Exs'!F286&lt;Tmax, NOT('08 Exs'!$H286="")),'08 Exs'!$H286,4)</f>
        <v>3</v>
      </c>
      <c r="AI286"/>
    </row>
    <row r="287" spans="1:35" ht="22.5" outlineLevel="2" x14ac:dyDescent="0.2">
      <c r="A287" s="636" t="s">
        <v>5184</v>
      </c>
      <c r="B287" s="636" t="s">
        <v>6339</v>
      </c>
      <c r="C287" s="786"/>
      <c r="D287" s="789"/>
      <c r="E287" s="789"/>
      <c r="F287" s="789"/>
      <c r="G287" s="1480">
        <v>2</v>
      </c>
      <c r="H287" s="1480"/>
      <c r="I287" s="1480"/>
      <c r="J287" s="1480" t="s">
        <v>1592</v>
      </c>
      <c r="K287" s="1459"/>
      <c r="L287" s="1459"/>
      <c r="M287" s="785"/>
      <c r="AA287">
        <f>IF(AND('08 Exs'!C287&gt;Tmin, NOT('08 Exs'!$I287="")),'08 Exs'!$I287,0)</f>
        <v>0</v>
      </c>
      <c r="AB287">
        <f>IF(AND('08 Exs'!D287&gt;Tmin, NOT('08 Exs'!$I287="")),'08 Exs'!$I287,0)</f>
        <v>0</v>
      </c>
      <c r="AC287">
        <f>IF(AND('08 Exs'!E287&gt;Tmin, NOT('08 Exs'!$I287="")),'08 Exs'!$I287,0)</f>
        <v>0</v>
      </c>
      <c r="AD287">
        <f>IF(AND('08 Exs'!F287&gt;Tmin, NOT('08 Exs'!$I287="")),'08 Exs'!$I287,0)</f>
        <v>0</v>
      </c>
      <c r="AE287">
        <f>IF(AND('08 Exs'!C287&lt;Tmax, NOT('08 Exs'!$H287="")),'08 Exs'!$H287,4)</f>
        <v>4</v>
      </c>
      <c r="AF287">
        <f>IF(AND('08 Exs'!D287&lt;Tmax, NOT('08 Exs'!$H287="")),'08 Exs'!$H287,4)</f>
        <v>4</v>
      </c>
      <c r="AG287">
        <f>IF(AND('08 Exs'!E287&lt;Tmax, NOT('08 Exs'!$H287="")),'08 Exs'!$H287,4)</f>
        <v>4</v>
      </c>
      <c r="AH287">
        <f>IF(AND('08 Exs'!F287&lt;Tmax, NOT('08 Exs'!$H287="")),'08 Exs'!$H287,4)</f>
        <v>4</v>
      </c>
      <c r="AI287"/>
    </row>
    <row r="288" spans="1:35" outlineLevel="2" x14ac:dyDescent="0.2">
      <c r="A288" s="636" t="s">
        <v>5185</v>
      </c>
      <c r="B288" s="636" t="s">
        <v>5358</v>
      </c>
      <c r="C288" s="786"/>
      <c r="D288" s="789"/>
      <c r="E288" s="789"/>
      <c r="F288" s="789"/>
      <c r="G288" s="1480">
        <v>2</v>
      </c>
      <c r="H288" s="1480">
        <v>3</v>
      </c>
      <c r="I288" s="1480"/>
      <c r="J288" s="1480" t="s">
        <v>2109</v>
      </c>
      <c r="K288" s="1459"/>
      <c r="L288" s="1459"/>
      <c r="M288" s="785"/>
      <c r="AA288">
        <f>IF(AND('08 Exs'!C288&gt;Tmin, NOT('08 Exs'!$I288="")),'08 Exs'!$I288,0)</f>
        <v>0</v>
      </c>
      <c r="AB288">
        <f>IF(AND('08 Exs'!D288&gt;Tmin, NOT('08 Exs'!$I288="")),'08 Exs'!$I288,0)</f>
        <v>0</v>
      </c>
      <c r="AC288">
        <f>IF(AND('08 Exs'!E288&gt;Tmin, NOT('08 Exs'!$I288="")),'08 Exs'!$I288,0)</f>
        <v>0</v>
      </c>
      <c r="AD288">
        <f>IF(AND('08 Exs'!F288&gt;Tmin, NOT('08 Exs'!$I288="")),'08 Exs'!$I288,0)</f>
        <v>0</v>
      </c>
      <c r="AE288">
        <f>IF(AND('08 Exs'!C288&lt;Tmax, NOT('08 Exs'!$H288="")),'08 Exs'!$H288,4)</f>
        <v>3</v>
      </c>
      <c r="AF288">
        <f>IF(AND('08 Exs'!D288&lt;Tmax, NOT('08 Exs'!$H288="")),'08 Exs'!$H288,4)</f>
        <v>3</v>
      </c>
      <c r="AG288">
        <f>IF(AND('08 Exs'!E288&lt;Tmax, NOT('08 Exs'!$H288="")),'08 Exs'!$H288,4)</f>
        <v>3</v>
      </c>
      <c r="AH288">
        <f>IF(AND('08 Exs'!F288&lt;Tmax, NOT('08 Exs'!$H288="")),'08 Exs'!$H288,4)</f>
        <v>3</v>
      </c>
      <c r="AI288"/>
    </row>
    <row r="289" spans="1:35" outlineLevel="1" x14ac:dyDescent="0.2">
      <c r="A289" s="633" t="s">
        <v>1498</v>
      </c>
      <c r="B289" s="634" t="s">
        <v>5962</v>
      </c>
      <c r="C289" s="786"/>
      <c r="D289" s="789"/>
      <c r="E289" s="789"/>
      <c r="F289" s="789"/>
      <c r="G289" s="1480"/>
      <c r="H289" s="1480"/>
      <c r="I289" s="1480"/>
      <c r="J289" s="1484"/>
      <c r="K289" s="1459"/>
      <c r="L289" s="1459"/>
      <c r="M289" s="785"/>
      <c r="AA289"/>
      <c r="AB289"/>
      <c r="AC289"/>
      <c r="AD289"/>
      <c r="AE289"/>
      <c r="AF289"/>
      <c r="AG289"/>
      <c r="AH289"/>
      <c r="AI289"/>
    </row>
    <row r="290" spans="1:35" ht="24" customHeight="1" outlineLevel="2" x14ac:dyDescent="0.2">
      <c r="A290" s="636" t="s">
        <v>5963</v>
      </c>
      <c r="B290" s="636" t="s">
        <v>2074</v>
      </c>
      <c r="C290" s="786"/>
      <c r="D290" s="789"/>
      <c r="E290" s="789"/>
      <c r="F290" s="789"/>
      <c r="G290" s="1480">
        <v>2</v>
      </c>
      <c r="H290" s="1480"/>
      <c r="I290" s="1480"/>
      <c r="J290" s="1480" t="s">
        <v>4246</v>
      </c>
      <c r="K290" s="1459"/>
      <c r="L290" s="1459"/>
      <c r="M290" s="785"/>
      <c r="AA290">
        <f>IF(AND('08 Exs'!C290&gt;Tmin, NOT('08 Exs'!$I290="")),'08 Exs'!$I290,0)</f>
        <v>0</v>
      </c>
      <c r="AB290">
        <f>IF(AND('08 Exs'!D290&gt;Tmin, NOT('08 Exs'!$I290="")),'08 Exs'!$I290,0)</f>
        <v>0</v>
      </c>
      <c r="AC290">
        <f>IF(AND('08 Exs'!E290&gt;Tmin, NOT('08 Exs'!$I290="")),'08 Exs'!$I290,0)</f>
        <v>0</v>
      </c>
      <c r="AD290">
        <f>IF(AND('08 Exs'!F290&gt;Tmin, NOT('08 Exs'!$I290="")),'08 Exs'!$I290,0)</f>
        <v>0</v>
      </c>
      <c r="AE290">
        <f>IF(AND('08 Exs'!C290&lt;Tmax, NOT('08 Exs'!$H290="")),'08 Exs'!$H290,4)</f>
        <v>4</v>
      </c>
      <c r="AF290">
        <f>IF(AND('08 Exs'!D290&lt;Tmax, NOT('08 Exs'!$H290="")),'08 Exs'!$H290,4)</f>
        <v>4</v>
      </c>
      <c r="AG290">
        <f>IF(AND('08 Exs'!E290&lt;Tmax, NOT('08 Exs'!$H290="")),'08 Exs'!$H290,4)</f>
        <v>4</v>
      </c>
      <c r="AH290">
        <f>IF(AND('08 Exs'!F290&lt;Tmax, NOT('08 Exs'!$H290="")),'08 Exs'!$H290,4)</f>
        <v>4</v>
      </c>
      <c r="AI290"/>
    </row>
    <row r="291" spans="1:35" outlineLevel="2" x14ac:dyDescent="0.2">
      <c r="A291" s="636" t="s">
        <v>2075</v>
      </c>
      <c r="B291" s="636" t="s">
        <v>4989</v>
      </c>
      <c r="C291" s="786"/>
      <c r="D291" s="789"/>
      <c r="E291" s="789"/>
      <c r="F291" s="789"/>
      <c r="G291" s="1480">
        <v>4</v>
      </c>
      <c r="H291" s="1480"/>
      <c r="I291" s="1480"/>
      <c r="J291" s="1480" t="s">
        <v>4246</v>
      </c>
      <c r="K291" s="1459"/>
      <c r="L291" s="1459"/>
      <c r="M291" s="785"/>
      <c r="AA291">
        <f>IF(AND('08 Exs'!C291&gt;Tmin, NOT('08 Exs'!$I291="")),'08 Exs'!$I291,0)</f>
        <v>0</v>
      </c>
      <c r="AB291">
        <f>IF(AND('08 Exs'!D291&gt;Tmin, NOT('08 Exs'!$I291="")),'08 Exs'!$I291,0)</f>
        <v>0</v>
      </c>
      <c r="AC291">
        <f>IF(AND('08 Exs'!E291&gt;Tmin, NOT('08 Exs'!$I291="")),'08 Exs'!$I291,0)</f>
        <v>0</v>
      </c>
      <c r="AD291">
        <f>IF(AND('08 Exs'!F291&gt;Tmin, NOT('08 Exs'!$I291="")),'08 Exs'!$I291,0)</f>
        <v>0</v>
      </c>
      <c r="AE291">
        <f>IF(AND('08 Exs'!C291&lt;Tmax, NOT('08 Exs'!$H291="")),'08 Exs'!$H291,4)</f>
        <v>4</v>
      </c>
      <c r="AF291">
        <f>IF(AND('08 Exs'!D291&lt;Tmax, NOT('08 Exs'!$H291="")),'08 Exs'!$H291,4)</f>
        <v>4</v>
      </c>
      <c r="AG291">
        <f>IF(AND('08 Exs'!E291&lt;Tmax, NOT('08 Exs'!$H291="")),'08 Exs'!$H291,4)</f>
        <v>4</v>
      </c>
      <c r="AH291">
        <f>IF(AND('08 Exs'!F291&lt;Tmax, NOT('08 Exs'!$H291="")),'08 Exs'!$H291,4)</f>
        <v>4</v>
      </c>
      <c r="AI291"/>
    </row>
    <row r="292" spans="1:35" ht="22.5" outlineLevel="2" x14ac:dyDescent="0.2">
      <c r="A292" s="636" t="s">
        <v>2076</v>
      </c>
      <c r="B292" s="636" t="s">
        <v>4128</v>
      </c>
      <c r="C292" s="786"/>
      <c r="D292" s="789"/>
      <c r="E292" s="789"/>
      <c r="F292" s="789"/>
      <c r="G292" s="1480">
        <v>4</v>
      </c>
      <c r="H292" s="1480">
        <v>2</v>
      </c>
      <c r="I292" s="1480">
        <v>3</v>
      </c>
      <c r="J292" s="1480" t="s">
        <v>1592</v>
      </c>
      <c r="K292" s="1459"/>
      <c r="L292" s="1459"/>
      <c r="M292" s="785"/>
      <c r="AA292">
        <f>IF(AND('08 Exs'!C292&gt;Tmin, NOT('08 Exs'!$I292="")),'08 Exs'!$I292,0)</f>
        <v>0</v>
      </c>
      <c r="AB292">
        <f>IF(AND('08 Exs'!D292&gt;Tmin, NOT('08 Exs'!$I292="")),'08 Exs'!$I292,0)</f>
        <v>0</v>
      </c>
      <c r="AC292">
        <f>IF(AND('08 Exs'!E292&gt;Tmin, NOT('08 Exs'!$I292="")),'08 Exs'!$I292,0)</f>
        <v>0</v>
      </c>
      <c r="AD292">
        <f>IF(AND('08 Exs'!F292&gt;Tmin, NOT('08 Exs'!$I292="")),'08 Exs'!$I292,0)</f>
        <v>0</v>
      </c>
      <c r="AE292">
        <f>IF(AND('08 Exs'!C292&lt;Tmax, NOT('08 Exs'!$H292="")),'08 Exs'!$H292,4)</f>
        <v>2</v>
      </c>
      <c r="AF292">
        <f>IF(AND('08 Exs'!D292&lt;Tmax, NOT('08 Exs'!$H292="")),'08 Exs'!$H292,4)</f>
        <v>2</v>
      </c>
      <c r="AG292">
        <f>IF(AND('08 Exs'!E292&lt;Tmax, NOT('08 Exs'!$H292="")),'08 Exs'!$H292,4)</f>
        <v>2</v>
      </c>
      <c r="AH292">
        <f>IF(AND('08 Exs'!F292&lt;Tmax, NOT('08 Exs'!$H292="")),'08 Exs'!$H292,4)</f>
        <v>2</v>
      </c>
      <c r="AI292"/>
    </row>
    <row r="293" spans="1:35" ht="22.5" outlineLevel="2" x14ac:dyDescent="0.2">
      <c r="A293" s="636" t="s">
        <v>2077</v>
      </c>
      <c r="B293" s="636" t="s">
        <v>4016</v>
      </c>
      <c r="C293" s="786"/>
      <c r="D293" s="789"/>
      <c r="E293" s="789"/>
      <c r="F293" s="789"/>
      <c r="G293" s="1480">
        <v>4</v>
      </c>
      <c r="H293" s="1480"/>
      <c r="I293" s="1480"/>
      <c r="J293" s="1480" t="s">
        <v>1592</v>
      </c>
      <c r="K293" s="1459"/>
      <c r="L293" s="1459"/>
      <c r="M293" s="785"/>
      <c r="AA293">
        <f>IF(AND('08 Exs'!C293&gt;Tmin, NOT('08 Exs'!$I293="")),'08 Exs'!$I293,0)</f>
        <v>0</v>
      </c>
      <c r="AB293">
        <f>IF(AND('08 Exs'!D293&gt;Tmin, NOT('08 Exs'!$I293="")),'08 Exs'!$I293,0)</f>
        <v>0</v>
      </c>
      <c r="AC293">
        <f>IF(AND('08 Exs'!E293&gt;Tmin, NOT('08 Exs'!$I293="")),'08 Exs'!$I293,0)</f>
        <v>0</v>
      </c>
      <c r="AD293">
        <f>IF(AND('08 Exs'!F293&gt;Tmin, NOT('08 Exs'!$I293="")),'08 Exs'!$I293,0)</f>
        <v>0</v>
      </c>
      <c r="AE293">
        <f>IF(AND('08 Exs'!C293&lt;Tmax, NOT('08 Exs'!$H293="")),'08 Exs'!$H293,4)</f>
        <v>4</v>
      </c>
      <c r="AF293">
        <f>IF(AND('08 Exs'!D293&lt;Tmax, NOT('08 Exs'!$H293="")),'08 Exs'!$H293,4)</f>
        <v>4</v>
      </c>
      <c r="AG293">
        <f>IF(AND('08 Exs'!E293&lt;Tmax, NOT('08 Exs'!$H293="")),'08 Exs'!$H293,4)</f>
        <v>4</v>
      </c>
      <c r="AH293">
        <f>IF(AND('08 Exs'!F293&lt;Tmax, NOT('08 Exs'!$H293="")),'08 Exs'!$H293,4)</f>
        <v>4</v>
      </c>
      <c r="AI293"/>
    </row>
    <row r="294" spans="1:35" ht="22.5" outlineLevel="2" x14ac:dyDescent="0.2">
      <c r="A294" s="636" t="s">
        <v>4099</v>
      </c>
      <c r="B294" s="636" t="s">
        <v>5432</v>
      </c>
      <c r="C294" s="786"/>
      <c r="D294" s="789"/>
      <c r="E294" s="789"/>
      <c r="F294" s="789"/>
      <c r="G294" s="1480">
        <v>4</v>
      </c>
      <c r="H294" s="1480"/>
      <c r="I294" s="1480"/>
      <c r="J294" s="1480" t="s">
        <v>2329</v>
      </c>
      <c r="K294" s="1459"/>
      <c r="L294" s="1459"/>
      <c r="M294" s="785"/>
      <c r="AA294">
        <f>IF(AND('08 Exs'!C294&gt;Tmin, NOT('08 Exs'!$I294="")),'08 Exs'!$I294,0)</f>
        <v>0</v>
      </c>
      <c r="AB294">
        <f>IF(AND('08 Exs'!D294&gt;Tmin, NOT('08 Exs'!$I294="")),'08 Exs'!$I294,0)</f>
        <v>0</v>
      </c>
      <c r="AC294">
        <f>IF(AND('08 Exs'!E294&gt;Tmin, NOT('08 Exs'!$I294="")),'08 Exs'!$I294,0)</f>
        <v>0</v>
      </c>
      <c r="AD294">
        <f>IF(AND('08 Exs'!F294&gt;Tmin, NOT('08 Exs'!$I294="")),'08 Exs'!$I294,0)</f>
        <v>0</v>
      </c>
      <c r="AE294">
        <f>IF(AND('08 Exs'!C294&lt;Tmax, NOT('08 Exs'!$H294="")),'08 Exs'!$H294,4)</f>
        <v>4</v>
      </c>
      <c r="AF294">
        <f>IF(AND('08 Exs'!D294&lt;Tmax, NOT('08 Exs'!$H294="")),'08 Exs'!$H294,4)</f>
        <v>4</v>
      </c>
      <c r="AG294">
        <f>IF(AND('08 Exs'!E294&lt;Tmax, NOT('08 Exs'!$H294="")),'08 Exs'!$H294,4)</f>
        <v>4</v>
      </c>
      <c r="AH294">
        <f>IF(AND('08 Exs'!F294&lt;Tmax, NOT('08 Exs'!$H294="")),'08 Exs'!$H294,4)</f>
        <v>4</v>
      </c>
      <c r="AI294"/>
    </row>
    <row r="295" spans="1:35" ht="22.5" outlineLevel="2" x14ac:dyDescent="0.2">
      <c r="A295" s="636" t="s">
        <v>4107</v>
      </c>
      <c r="B295" s="636" t="s">
        <v>5372</v>
      </c>
      <c r="C295" s="786"/>
      <c r="D295" s="789"/>
      <c r="E295" s="789"/>
      <c r="F295" s="789"/>
      <c r="G295" s="1480">
        <v>4</v>
      </c>
      <c r="H295" s="1480"/>
      <c r="I295" s="1480"/>
      <c r="J295" s="1480" t="s">
        <v>2349</v>
      </c>
      <c r="K295" s="1459"/>
      <c r="L295" s="1459"/>
      <c r="M295" s="785"/>
      <c r="AA295">
        <f>IF(AND('08 Exs'!C295&gt;Tmin, NOT('08 Exs'!$I295="")),'08 Exs'!$I295,0)</f>
        <v>0</v>
      </c>
      <c r="AB295">
        <f>IF(AND('08 Exs'!D295&gt;Tmin, NOT('08 Exs'!$I295="")),'08 Exs'!$I295,0)</f>
        <v>0</v>
      </c>
      <c r="AC295">
        <f>IF(AND('08 Exs'!E295&gt;Tmin, NOT('08 Exs'!$I295="")),'08 Exs'!$I295,0)</f>
        <v>0</v>
      </c>
      <c r="AD295">
        <f>IF(AND('08 Exs'!F295&gt;Tmin, NOT('08 Exs'!$I295="")),'08 Exs'!$I295,0)</f>
        <v>0</v>
      </c>
      <c r="AE295">
        <f>IF(AND('08 Exs'!C295&lt;Tmax, NOT('08 Exs'!$H295="")),'08 Exs'!$H295,4)</f>
        <v>4</v>
      </c>
      <c r="AF295">
        <f>IF(AND('08 Exs'!D295&lt;Tmax, NOT('08 Exs'!$H295="")),'08 Exs'!$H295,4)</f>
        <v>4</v>
      </c>
      <c r="AG295">
        <f>IF(AND('08 Exs'!E295&lt;Tmax, NOT('08 Exs'!$H295="")),'08 Exs'!$H295,4)</f>
        <v>4</v>
      </c>
      <c r="AH295">
        <f>IF(AND('08 Exs'!F295&lt;Tmax, NOT('08 Exs'!$H295="")),'08 Exs'!$H295,4)</f>
        <v>4</v>
      </c>
      <c r="AI295"/>
    </row>
    <row r="296" spans="1:35" ht="22.5" outlineLevel="2" x14ac:dyDescent="0.2">
      <c r="A296" s="636" t="s">
        <v>4108</v>
      </c>
      <c r="B296" s="636" t="s">
        <v>5839</v>
      </c>
      <c r="C296" s="786"/>
      <c r="D296" s="789"/>
      <c r="E296" s="789"/>
      <c r="F296" s="789"/>
      <c r="G296" s="1480">
        <v>4</v>
      </c>
      <c r="H296" s="1480"/>
      <c r="I296" s="1480"/>
      <c r="J296" s="1480" t="s">
        <v>2349</v>
      </c>
      <c r="K296" s="1459"/>
      <c r="L296" s="1459"/>
      <c r="M296" s="785"/>
      <c r="AA296">
        <f>IF(AND('08 Exs'!C296&gt;Tmin, NOT('08 Exs'!$I296="")),'08 Exs'!$I296,0)</f>
        <v>0</v>
      </c>
      <c r="AB296">
        <f>IF(AND('08 Exs'!D296&gt;Tmin, NOT('08 Exs'!$I296="")),'08 Exs'!$I296,0)</f>
        <v>0</v>
      </c>
      <c r="AC296">
        <f>IF(AND('08 Exs'!E296&gt;Tmin, NOT('08 Exs'!$I296="")),'08 Exs'!$I296,0)</f>
        <v>0</v>
      </c>
      <c r="AD296">
        <f>IF(AND('08 Exs'!F296&gt;Tmin, NOT('08 Exs'!$I296="")),'08 Exs'!$I296,0)</f>
        <v>0</v>
      </c>
      <c r="AE296">
        <f>IF(AND('08 Exs'!C296&lt;Tmax, NOT('08 Exs'!$H296="")),'08 Exs'!$H296,4)</f>
        <v>4</v>
      </c>
      <c r="AF296">
        <f>IF(AND('08 Exs'!D296&lt;Tmax, NOT('08 Exs'!$H296="")),'08 Exs'!$H296,4)</f>
        <v>4</v>
      </c>
      <c r="AG296">
        <f>IF(AND('08 Exs'!E296&lt;Tmax, NOT('08 Exs'!$H296="")),'08 Exs'!$H296,4)</f>
        <v>4</v>
      </c>
      <c r="AH296">
        <f>IF(AND('08 Exs'!F296&lt;Tmax, NOT('08 Exs'!$H296="")),'08 Exs'!$H296,4)</f>
        <v>4</v>
      </c>
      <c r="AI296"/>
    </row>
    <row r="297" spans="1:35" outlineLevel="2" x14ac:dyDescent="0.2">
      <c r="A297" s="636" t="s">
        <v>4109</v>
      </c>
      <c r="B297" s="636" t="s">
        <v>4110</v>
      </c>
      <c r="C297" s="786"/>
      <c r="D297" s="789"/>
      <c r="E297" s="789"/>
      <c r="F297" s="789"/>
      <c r="G297" s="1480">
        <v>2</v>
      </c>
      <c r="H297" s="1480"/>
      <c r="I297" s="1480"/>
      <c r="J297" s="1480" t="s">
        <v>1592</v>
      </c>
      <c r="K297" s="1459"/>
      <c r="L297" s="1459"/>
      <c r="M297" s="785"/>
      <c r="AA297">
        <f>IF(AND('08 Exs'!C297&gt;Tmin, NOT('08 Exs'!$I297="")),'08 Exs'!$I297,0)</f>
        <v>0</v>
      </c>
      <c r="AB297">
        <f>IF(AND('08 Exs'!D297&gt;Tmin, NOT('08 Exs'!$I297="")),'08 Exs'!$I297,0)</f>
        <v>0</v>
      </c>
      <c r="AC297">
        <f>IF(AND('08 Exs'!E297&gt;Tmin, NOT('08 Exs'!$I297="")),'08 Exs'!$I297,0)</f>
        <v>0</v>
      </c>
      <c r="AD297">
        <f>IF(AND('08 Exs'!F297&gt;Tmin, NOT('08 Exs'!$I297="")),'08 Exs'!$I297,0)</f>
        <v>0</v>
      </c>
      <c r="AE297">
        <f>IF(AND('08 Exs'!C297&lt;Tmax, NOT('08 Exs'!$H297="")),'08 Exs'!$H297,4)</f>
        <v>4</v>
      </c>
      <c r="AF297">
        <f>IF(AND('08 Exs'!D297&lt;Tmax, NOT('08 Exs'!$H297="")),'08 Exs'!$H297,4)</f>
        <v>4</v>
      </c>
      <c r="AG297">
        <f>IF(AND('08 Exs'!E297&lt;Tmax, NOT('08 Exs'!$H297="")),'08 Exs'!$H297,4)</f>
        <v>4</v>
      </c>
      <c r="AH297">
        <f>IF(AND('08 Exs'!F297&lt;Tmax, NOT('08 Exs'!$H297="")),'08 Exs'!$H297,4)</f>
        <v>4</v>
      </c>
      <c r="AI297"/>
    </row>
    <row r="298" spans="1:35" ht="22.5" outlineLevel="2" x14ac:dyDescent="0.2">
      <c r="A298" s="636" t="s">
        <v>4111</v>
      </c>
      <c r="B298" s="636" t="s">
        <v>3097</v>
      </c>
      <c r="C298" s="786"/>
      <c r="D298" s="789"/>
      <c r="E298" s="789"/>
      <c r="F298" s="789"/>
      <c r="G298" s="1480">
        <v>2</v>
      </c>
      <c r="H298" s="1480"/>
      <c r="I298" s="1480"/>
      <c r="J298" s="1480" t="s">
        <v>2109</v>
      </c>
      <c r="K298" s="1459"/>
      <c r="L298" s="1459"/>
      <c r="M298" s="785"/>
      <c r="AA298">
        <f>IF(AND('08 Exs'!C298&gt;Tmin, NOT('08 Exs'!$I298="")),'08 Exs'!$I298,0)</f>
        <v>0</v>
      </c>
      <c r="AB298">
        <f>IF(AND('08 Exs'!D298&gt;Tmin, NOT('08 Exs'!$I298="")),'08 Exs'!$I298,0)</f>
        <v>0</v>
      </c>
      <c r="AC298">
        <f>IF(AND('08 Exs'!E298&gt;Tmin, NOT('08 Exs'!$I298="")),'08 Exs'!$I298,0)</f>
        <v>0</v>
      </c>
      <c r="AD298">
        <f>IF(AND('08 Exs'!F298&gt;Tmin, NOT('08 Exs'!$I298="")),'08 Exs'!$I298,0)</f>
        <v>0</v>
      </c>
      <c r="AE298">
        <f>IF(AND('08 Exs'!C298&lt;Tmax, NOT('08 Exs'!$H298="")),'08 Exs'!$H298,4)</f>
        <v>4</v>
      </c>
      <c r="AF298">
        <f>IF(AND('08 Exs'!D298&lt;Tmax, NOT('08 Exs'!$H298="")),'08 Exs'!$H298,4)</f>
        <v>4</v>
      </c>
      <c r="AG298">
        <f>IF(AND('08 Exs'!E298&lt;Tmax, NOT('08 Exs'!$H298="")),'08 Exs'!$H298,4)</f>
        <v>4</v>
      </c>
      <c r="AH298">
        <f>IF(AND('08 Exs'!F298&lt;Tmax, NOT('08 Exs'!$H298="")),'08 Exs'!$H298,4)</f>
        <v>4</v>
      </c>
      <c r="AI298"/>
    </row>
    <row r="299" spans="1:35" outlineLevel="1" x14ac:dyDescent="0.2">
      <c r="A299" s="633" t="s">
        <v>2532</v>
      </c>
      <c r="B299" s="634" t="s">
        <v>5146</v>
      </c>
      <c r="C299" s="786"/>
      <c r="D299" s="789"/>
      <c r="E299" s="789"/>
      <c r="F299" s="789"/>
      <c r="G299" s="1480"/>
      <c r="H299" s="1480"/>
      <c r="I299" s="1480"/>
      <c r="J299" s="1484"/>
      <c r="K299" s="1459"/>
      <c r="L299" s="1459"/>
      <c r="M299" s="785"/>
      <c r="AA299"/>
      <c r="AB299"/>
      <c r="AC299"/>
      <c r="AD299"/>
      <c r="AE299"/>
      <c r="AF299"/>
      <c r="AG299"/>
      <c r="AH299"/>
      <c r="AI299"/>
    </row>
    <row r="300" spans="1:35" outlineLevel="2" x14ac:dyDescent="0.2">
      <c r="A300" s="636" t="s">
        <v>4112</v>
      </c>
      <c r="B300" s="636" t="s">
        <v>2408</v>
      </c>
      <c r="C300" s="786"/>
      <c r="D300" s="789"/>
      <c r="E300" s="789"/>
      <c r="F300" s="789"/>
      <c r="G300" s="1480">
        <v>2</v>
      </c>
      <c r="H300" s="1480"/>
      <c r="I300" s="1480"/>
      <c r="J300" s="1480" t="s">
        <v>4246</v>
      </c>
      <c r="K300" s="1459" t="s">
        <v>7041</v>
      </c>
      <c r="L300" s="1459"/>
      <c r="M300" s="785"/>
      <c r="AA300">
        <f>IF(AND('08 Exs'!C300&gt;Tmin, NOT('08 Exs'!$I300="")),'08 Exs'!$I300,0)</f>
        <v>0</v>
      </c>
      <c r="AB300">
        <f>IF(AND('08 Exs'!D300&gt;Tmin, NOT('08 Exs'!$I300="")),'08 Exs'!$I300,0)</f>
        <v>0</v>
      </c>
      <c r="AC300">
        <f>IF(AND('08 Exs'!E300&gt;Tmin, NOT('08 Exs'!$I300="")),'08 Exs'!$I300,0)</f>
        <v>0</v>
      </c>
      <c r="AD300">
        <f>IF(AND('08 Exs'!F300&gt;Tmin, NOT('08 Exs'!$I300="")),'08 Exs'!$I300,0)</f>
        <v>0</v>
      </c>
      <c r="AE300">
        <f>IF(AND('08 Exs'!C300&lt;Tmax, NOT('08 Exs'!$H300="")),'08 Exs'!$H300,4)</f>
        <v>4</v>
      </c>
      <c r="AF300">
        <f>IF(AND('08 Exs'!D300&lt;Tmax, NOT('08 Exs'!$H300="")),'08 Exs'!$H300,4)</f>
        <v>4</v>
      </c>
      <c r="AG300">
        <f>IF(AND('08 Exs'!E300&lt;Tmax, NOT('08 Exs'!$H300="")),'08 Exs'!$H300,4)</f>
        <v>4</v>
      </c>
      <c r="AH300">
        <f>IF(AND('08 Exs'!F300&lt;Tmax, NOT('08 Exs'!$H300="")),'08 Exs'!$H300,4)</f>
        <v>4</v>
      </c>
      <c r="AI300"/>
    </row>
    <row r="301" spans="1:35" outlineLevel="2" x14ac:dyDescent="0.2">
      <c r="A301" s="636" t="s">
        <v>4113</v>
      </c>
      <c r="B301" s="636" t="s">
        <v>4675</v>
      </c>
      <c r="C301" s="786"/>
      <c r="D301" s="789"/>
      <c r="E301" s="789"/>
      <c r="F301" s="789"/>
      <c r="G301" s="1480">
        <v>2</v>
      </c>
      <c r="H301" s="1480"/>
      <c r="I301" s="1480"/>
      <c r="J301" s="1480" t="s">
        <v>1592</v>
      </c>
      <c r="K301" s="1459" t="s">
        <v>7041</v>
      </c>
      <c r="L301" s="1459"/>
      <c r="M301" s="785"/>
      <c r="AA301">
        <f>IF(AND('08 Exs'!C301&gt;Tmin, NOT('08 Exs'!$I301="")),'08 Exs'!$I301,0)</f>
        <v>0</v>
      </c>
      <c r="AB301">
        <f>IF(AND('08 Exs'!D301&gt;Tmin, NOT('08 Exs'!$I301="")),'08 Exs'!$I301,0)</f>
        <v>0</v>
      </c>
      <c r="AC301">
        <f>IF(AND('08 Exs'!E301&gt;Tmin, NOT('08 Exs'!$I301="")),'08 Exs'!$I301,0)</f>
        <v>0</v>
      </c>
      <c r="AD301">
        <f>IF(AND('08 Exs'!F301&gt;Tmin, NOT('08 Exs'!$I301="")),'08 Exs'!$I301,0)</f>
        <v>0</v>
      </c>
      <c r="AE301">
        <f>IF(AND('08 Exs'!C301&lt;Tmax, NOT('08 Exs'!$H301="")),'08 Exs'!$H301,4)</f>
        <v>4</v>
      </c>
      <c r="AF301">
        <f>IF(AND('08 Exs'!D301&lt;Tmax, NOT('08 Exs'!$H301="")),'08 Exs'!$H301,4)</f>
        <v>4</v>
      </c>
      <c r="AG301">
        <f>IF(AND('08 Exs'!E301&lt;Tmax, NOT('08 Exs'!$H301="")),'08 Exs'!$H301,4)</f>
        <v>4</v>
      </c>
      <c r="AH301">
        <f>IF(AND('08 Exs'!F301&lt;Tmax, NOT('08 Exs'!$H301="")),'08 Exs'!$H301,4)</f>
        <v>4</v>
      </c>
      <c r="AI301"/>
    </row>
    <row r="302" spans="1:35" outlineLevel="2" x14ac:dyDescent="0.2">
      <c r="A302" s="636" t="s">
        <v>4114</v>
      </c>
      <c r="B302" s="636" t="s">
        <v>5409</v>
      </c>
      <c r="C302" s="786"/>
      <c r="D302" s="789"/>
      <c r="E302" s="789"/>
      <c r="F302" s="789"/>
      <c r="G302" s="1480">
        <v>1</v>
      </c>
      <c r="H302" s="1480"/>
      <c r="I302" s="1480"/>
      <c r="J302" s="1480" t="s">
        <v>1592</v>
      </c>
      <c r="K302" s="1459" t="s">
        <v>7041</v>
      </c>
      <c r="L302" s="1459"/>
      <c r="M302" s="785"/>
      <c r="AA302">
        <f>IF(AND('08 Exs'!C302&gt;Tmin, NOT('08 Exs'!$I302="")),'08 Exs'!$I302,0)</f>
        <v>0</v>
      </c>
      <c r="AB302">
        <f>IF(AND('08 Exs'!D302&gt;Tmin, NOT('08 Exs'!$I302="")),'08 Exs'!$I302,0)</f>
        <v>0</v>
      </c>
      <c r="AC302">
        <f>IF(AND('08 Exs'!E302&gt;Tmin, NOT('08 Exs'!$I302="")),'08 Exs'!$I302,0)</f>
        <v>0</v>
      </c>
      <c r="AD302">
        <f>IF(AND('08 Exs'!F302&gt;Tmin, NOT('08 Exs'!$I302="")),'08 Exs'!$I302,0)</f>
        <v>0</v>
      </c>
      <c r="AE302">
        <f>IF(AND('08 Exs'!C302&lt;Tmax, NOT('08 Exs'!$H302="")),'08 Exs'!$H302,4)</f>
        <v>4</v>
      </c>
      <c r="AF302">
        <f>IF(AND('08 Exs'!D302&lt;Tmax, NOT('08 Exs'!$H302="")),'08 Exs'!$H302,4)</f>
        <v>4</v>
      </c>
      <c r="AG302">
        <f>IF(AND('08 Exs'!E302&lt;Tmax, NOT('08 Exs'!$H302="")),'08 Exs'!$H302,4)</f>
        <v>4</v>
      </c>
      <c r="AH302">
        <f>IF(AND('08 Exs'!F302&lt;Tmax, NOT('08 Exs'!$H302="")),'08 Exs'!$H302,4)</f>
        <v>4</v>
      </c>
      <c r="AI302"/>
    </row>
    <row r="303" spans="1:35" ht="22.5" outlineLevel="2" x14ac:dyDescent="0.2">
      <c r="A303" s="636" t="s">
        <v>4115</v>
      </c>
      <c r="B303" s="636" t="s">
        <v>3066</v>
      </c>
      <c r="C303" s="786"/>
      <c r="D303" s="789"/>
      <c r="E303" s="789"/>
      <c r="F303" s="789"/>
      <c r="G303" s="1480">
        <v>4</v>
      </c>
      <c r="H303" s="1480">
        <v>2</v>
      </c>
      <c r="I303" s="1480"/>
      <c r="J303" s="1480" t="s">
        <v>1592</v>
      </c>
      <c r="K303" s="1459" t="s">
        <v>7041</v>
      </c>
      <c r="L303" s="1459"/>
      <c r="M303" s="785"/>
      <c r="AA303">
        <f>IF(AND('08 Exs'!C303&gt;Tmin, NOT('08 Exs'!$I303="")),'08 Exs'!$I303,0)</f>
        <v>0</v>
      </c>
      <c r="AB303">
        <f>IF(AND('08 Exs'!D303&gt;Tmin, NOT('08 Exs'!$I303="")),'08 Exs'!$I303,0)</f>
        <v>0</v>
      </c>
      <c r="AC303">
        <f>IF(AND('08 Exs'!E303&gt;Tmin, NOT('08 Exs'!$I303="")),'08 Exs'!$I303,0)</f>
        <v>0</v>
      </c>
      <c r="AD303">
        <f>IF(AND('08 Exs'!F303&gt;Tmin, NOT('08 Exs'!$I303="")),'08 Exs'!$I303,0)</f>
        <v>0</v>
      </c>
      <c r="AE303">
        <f>IF(AND('08 Exs'!C303&lt;Tmax, NOT('08 Exs'!$H303="")),'08 Exs'!$H303,4)</f>
        <v>2</v>
      </c>
      <c r="AF303">
        <f>IF(AND('08 Exs'!D303&lt;Tmax, NOT('08 Exs'!$H303="")),'08 Exs'!$H303,4)</f>
        <v>2</v>
      </c>
      <c r="AG303">
        <f>IF(AND('08 Exs'!E303&lt;Tmax, NOT('08 Exs'!$H303="")),'08 Exs'!$H303,4)</f>
        <v>2</v>
      </c>
      <c r="AH303">
        <f>IF(AND('08 Exs'!F303&lt;Tmax, NOT('08 Exs'!$H303="")),'08 Exs'!$H303,4)</f>
        <v>2</v>
      </c>
      <c r="AI303"/>
    </row>
    <row r="304" spans="1:35" outlineLevel="2" x14ac:dyDescent="0.2">
      <c r="A304" s="636" t="s">
        <v>4116</v>
      </c>
      <c r="B304" s="636" t="s">
        <v>3068</v>
      </c>
      <c r="C304" s="786"/>
      <c r="D304" s="789"/>
      <c r="E304" s="789"/>
      <c r="F304" s="789"/>
      <c r="G304" s="1480">
        <v>4</v>
      </c>
      <c r="H304" s="1480"/>
      <c r="I304" s="1480"/>
      <c r="J304" s="1480" t="s">
        <v>2329</v>
      </c>
      <c r="K304" s="1459" t="s">
        <v>7041</v>
      </c>
      <c r="L304" s="1459"/>
      <c r="M304" s="785"/>
      <c r="AA304">
        <f>IF(AND('08 Exs'!C304&gt;Tmin, NOT('08 Exs'!$I304="")),'08 Exs'!$I304,0)</f>
        <v>0</v>
      </c>
      <c r="AB304">
        <f>IF(AND('08 Exs'!D304&gt;Tmin, NOT('08 Exs'!$I304="")),'08 Exs'!$I304,0)</f>
        <v>0</v>
      </c>
      <c r="AC304">
        <f>IF(AND('08 Exs'!E304&gt;Tmin, NOT('08 Exs'!$I304="")),'08 Exs'!$I304,0)</f>
        <v>0</v>
      </c>
      <c r="AD304">
        <f>IF(AND('08 Exs'!F304&gt;Tmin, NOT('08 Exs'!$I304="")),'08 Exs'!$I304,0)</f>
        <v>0</v>
      </c>
      <c r="AE304">
        <f>IF(AND('08 Exs'!C304&lt;Tmax, NOT('08 Exs'!$H304="")),'08 Exs'!$H304,4)</f>
        <v>4</v>
      </c>
      <c r="AF304">
        <f>IF(AND('08 Exs'!D304&lt;Tmax, NOT('08 Exs'!$H304="")),'08 Exs'!$H304,4)</f>
        <v>4</v>
      </c>
      <c r="AG304">
        <f>IF(AND('08 Exs'!E304&lt;Tmax, NOT('08 Exs'!$H304="")),'08 Exs'!$H304,4)</f>
        <v>4</v>
      </c>
      <c r="AH304">
        <f>IF(AND('08 Exs'!F304&lt;Tmax, NOT('08 Exs'!$H304="")),'08 Exs'!$H304,4)</f>
        <v>4</v>
      </c>
      <c r="AI304"/>
    </row>
    <row r="305" spans="1:35" ht="22.5" outlineLevel="2" x14ac:dyDescent="0.2">
      <c r="A305" s="636" t="s">
        <v>4117</v>
      </c>
      <c r="B305" s="636" t="s">
        <v>3070</v>
      </c>
      <c r="C305" s="786"/>
      <c r="D305" s="789"/>
      <c r="E305" s="789"/>
      <c r="F305" s="789"/>
      <c r="G305" s="1480">
        <v>4</v>
      </c>
      <c r="H305" s="1480"/>
      <c r="I305" s="1480"/>
      <c r="J305" s="1480" t="s">
        <v>2329</v>
      </c>
      <c r="K305" s="1459" t="s">
        <v>7041</v>
      </c>
      <c r="L305" s="1459"/>
      <c r="M305" s="785"/>
      <c r="AA305">
        <f>IF(AND('08 Exs'!C305&gt;Tmin, NOT('08 Exs'!$I305="")),'08 Exs'!$I305,0)</f>
        <v>0</v>
      </c>
      <c r="AB305">
        <f>IF(AND('08 Exs'!D305&gt;Tmin, NOT('08 Exs'!$I305="")),'08 Exs'!$I305,0)</f>
        <v>0</v>
      </c>
      <c r="AC305">
        <f>IF(AND('08 Exs'!E305&gt;Tmin, NOT('08 Exs'!$I305="")),'08 Exs'!$I305,0)</f>
        <v>0</v>
      </c>
      <c r="AD305">
        <f>IF(AND('08 Exs'!F305&gt;Tmin, NOT('08 Exs'!$I305="")),'08 Exs'!$I305,0)</f>
        <v>0</v>
      </c>
      <c r="AE305">
        <f>IF(AND('08 Exs'!C305&lt;Tmax, NOT('08 Exs'!$H305="")),'08 Exs'!$H305,4)</f>
        <v>4</v>
      </c>
      <c r="AF305">
        <f>IF(AND('08 Exs'!D305&lt;Tmax, NOT('08 Exs'!$H305="")),'08 Exs'!$H305,4)</f>
        <v>4</v>
      </c>
      <c r="AG305">
        <f>IF(AND('08 Exs'!E305&lt;Tmax, NOT('08 Exs'!$H305="")),'08 Exs'!$H305,4)</f>
        <v>4</v>
      </c>
      <c r="AH305">
        <f>IF(AND('08 Exs'!F305&lt;Tmax, NOT('08 Exs'!$H305="")),'08 Exs'!$H305,4)</f>
        <v>4</v>
      </c>
      <c r="AI305"/>
    </row>
    <row r="306" spans="1:35" ht="33.75" outlineLevel="2" x14ac:dyDescent="0.2">
      <c r="A306" s="636" t="s">
        <v>4118</v>
      </c>
      <c r="B306" s="636" t="s">
        <v>6509</v>
      </c>
      <c r="C306" s="786"/>
      <c r="D306" s="789"/>
      <c r="E306" s="789"/>
      <c r="F306" s="789"/>
      <c r="G306" s="1480">
        <v>4</v>
      </c>
      <c r="H306" s="1480">
        <v>3</v>
      </c>
      <c r="I306" s="1480"/>
      <c r="J306" s="1480" t="s">
        <v>2349</v>
      </c>
      <c r="K306" s="1459"/>
      <c r="L306" s="1459"/>
      <c r="M306" s="785"/>
      <c r="AA306">
        <f>IF(AND('08 Exs'!C306&gt;Tmin, NOT('08 Exs'!$I306="")),'08 Exs'!$I306,0)</f>
        <v>0</v>
      </c>
      <c r="AB306">
        <f>IF(AND('08 Exs'!D306&gt;Tmin, NOT('08 Exs'!$I306="")),'08 Exs'!$I306,0)</f>
        <v>0</v>
      </c>
      <c r="AC306">
        <f>IF(AND('08 Exs'!E306&gt;Tmin, NOT('08 Exs'!$I306="")),'08 Exs'!$I306,0)</f>
        <v>0</v>
      </c>
      <c r="AD306">
        <f>IF(AND('08 Exs'!F306&gt;Tmin, NOT('08 Exs'!$I306="")),'08 Exs'!$I306,0)</f>
        <v>0</v>
      </c>
      <c r="AE306">
        <f>IF(AND('08 Exs'!C306&lt;Tmax, NOT('08 Exs'!$H306="")),'08 Exs'!$H306,4)</f>
        <v>3</v>
      </c>
      <c r="AF306">
        <f>IF(AND('08 Exs'!D306&lt;Tmax, NOT('08 Exs'!$H306="")),'08 Exs'!$H306,4)</f>
        <v>3</v>
      </c>
      <c r="AG306">
        <f>IF(AND('08 Exs'!E306&lt;Tmax, NOT('08 Exs'!$H306="")),'08 Exs'!$H306,4)</f>
        <v>3</v>
      </c>
      <c r="AH306">
        <f>IF(AND('08 Exs'!F306&lt;Tmax, NOT('08 Exs'!$H306="")),'08 Exs'!$H306,4)</f>
        <v>3</v>
      </c>
      <c r="AI306"/>
    </row>
    <row r="307" spans="1:35" ht="22.5" outlineLevel="2" x14ac:dyDescent="0.2">
      <c r="A307" s="636" t="s">
        <v>4119</v>
      </c>
      <c r="B307" s="636" t="s">
        <v>4120</v>
      </c>
      <c r="C307" s="786"/>
      <c r="D307" s="789"/>
      <c r="E307" s="789"/>
      <c r="F307" s="789"/>
      <c r="G307" s="1480">
        <v>4</v>
      </c>
      <c r="H307" s="1480"/>
      <c r="I307" s="1480"/>
      <c r="J307" s="1480" t="s">
        <v>1592</v>
      </c>
      <c r="K307" s="1458" t="s">
        <v>7036</v>
      </c>
      <c r="L307" s="1459"/>
      <c r="M307" s="785"/>
      <c r="AA307">
        <f>IF(AND('08 Exs'!C307&gt;Tmin, NOT('08 Exs'!$I307="")),'08 Exs'!$I307,0)</f>
        <v>0</v>
      </c>
      <c r="AB307">
        <f>IF(AND('08 Exs'!D307&gt;Tmin, NOT('08 Exs'!$I307="")),'08 Exs'!$I307,0)</f>
        <v>0</v>
      </c>
      <c r="AC307">
        <f>IF(AND('08 Exs'!E307&gt;Tmin, NOT('08 Exs'!$I307="")),'08 Exs'!$I307,0)</f>
        <v>0</v>
      </c>
      <c r="AD307">
        <f>IF(AND('08 Exs'!F307&gt;Tmin, NOT('08 Exs'!$I307="")),'08 Exs'!$I307,0)</f>
        <v>0</v>
      </c>
      <c r="AE307">
        <f>IF(AND('08 Exs'!C307&lt;Tmax, NOT('08 Exs'!$H307="")),'08 Exs'!$H307,4)</f>
        <v>4</v>
      </c>
      <c r="AF307">
        <f>IF(AND('08 Exs'!D307&lt;Tmax, NOT('08 Exs'!$H307="")),'08 Exs'!$H307,4)</f>
        <v>4</v>
      </c>
      <c r="AG307">
        <f>IF(AND('08 Exs'!E307&lt;Tmax, NOT('08 Exs'!$H307="")),'08 Exs'!$H307,4)</f>
        <v>4</v>
      </c>
      <c r="AH307">
        <f>IF(AND('08 Exs'!F307&lt;Tmax, NOT('08 Exs'!$H307="")),'08 Exs'!$H307,4)</f>
        <v>4</v>
      </c>
      <c r="AI307"/>
    </row>
    <row r="308" spans="1:35" x14ac:dyDescent="0.2">
      <c r="A308" s="644" t="s">
        <v>4121</v>
      </c>
      <c r="B308" s="644" t="s">
        <v>1026</v>
      </c>
      <c r="C308" s="786"/>
      <c r="D308" s="789"/>
      <c r="E308" s="789"/>
      <c r="F308" s="789"/>
      <c r="G308" s="1481"/>
      <c r="H308" s="1481"/>
      <c r="I308" s="1481"/>
      <c r="J308" s="1481"/>
      <c r="K308" s="1459"/>
      <c r="L308" s="1459"/>
      <c r="M308" s="785"/>
      <c r="AA308"/>
      <c r="AB308"/>
      <c r="AC308"/>
      <c r="AD308"/>
      <c r="AE308"/>
      <c r="AF308"/>
      <c r="AG308"/>
      <c r="AH308"/>
      <c r="AI308"/>
    </row>
    <row r="309" spans="1:35" outlineLevel="1" x14ac:dyDescent="0.2">
      <c r="A309" s="633" t="s">
        <v>5147</v>
      </c>
      <c r="B309" s="634" t="s">
        <v>4298</v>
      </c>
      <c r="C309" s="786"/>
      <c r="D309" s="789"/>
      <c r="E309" s="789"/>
      <c r="F309" s="789"/>
      <c r="G309" s="1480"/>
      <c r="H309" s="1480"/>
      <c r="I309" s="1480"/>
      <c r="J309" s="1480"/>
      <c r="K309" s="1459"/>
      <c r="L309" s="1459"/>
      <c r="M309" s="785"/>
      <c r="AA309"/>
      <c r="AB309"/>
      <c r="AC309"/>
      <c r="AD309"/>
      <c r="AE309"/>
      <c r="AF309"/>
      <c r="AG309"/>
      <c r="AH309"/>
      <c r="AI309"/>
    </row>
    <row r="310" spans="1:35" ht="22.5" customHeight="1" outlineLevel="2" x14ac:dyDescent="0.2">
      <c r="A310" s="636" t="s">
        <v>4122</v>
      </c>
      <c r="B310" s="636" t="s">
        <v>3872</v>
      </c>
      <c r="C310" s="786"/>
      <c r="D310" s="789"/>
      <c r="E310" s="789"/>
      <c r="F310" s="789"/>
      <c r="G310" s="1480">
        <v>1</v>
      </c>
      <c r="H310" s="1480"/>
      <c r="I310" s="1480"/>
      <c r="J310" s="1480" t="s">
        <v>4246</v>
      </c>
      <c r="K310" s="1453" t="s">
        <v>7141</v>
      </c>
      <c r="L310" s="1459" t="s">
        <v>7368</v>
      </c>
      <c r="M310" s="785"/>
      <c r="AA310">
        <f>IF(AND('08 Exs'!C310&gt;Tmin, NOT('08 Exs'!$I310="")),'08 Exs'!$I310,0)</f>
        <v>0</v>
      </c>
      <c r="AB310">
        <f>IF(AND('08 Exs'!D310&gt;Tmin, NOT('08 Exs'!$I310="")),'08 Exs'!$I310,0)</f>
        <v>0</v>
      </c>
      <c r="AC310">
        <f>IF(AND('08 Exs'!E310&gt;Tmin, NOT('08 Exs'!$I310="")),'08 Exs'!$I310,0)</f>
        <v>0</v>
      </c>
      <c r="AD310">
        <f>IF(AND('08 Exs'!F310&gt;Tmin, NOT('08 Exs'!$I310="")),'08 Exs'!$I310,0)</f>
        <v>0</v>
      </c>
      <c r="AE310">
        <f>IF(AND('08 Exs'!C310&lt;Tmax, NOT('08 Exs'!$H310="")),'08 Exs'!$H310,4)</f>
        <v>4</v>
      </c>
      <c r="AF310">
        <f>IF(AND('08 Exs'!D310&lt;Tmax, NOT('08 Exs'!$H310="")),'08 Exs'!$H310,4)</f>
        <v>4</v>
      </c>
      <c r="AG310">
        <f>IF(AND('08 Exs'!E310&lt;Tmax, NOT('08 Exs'!$H310="")),'08 Exs'!$H310,4)</f>
        <v>4</v>
      </c>
      <c r="AH310">
        <f>IF(AND('08 Exs'!F310&lt;Tmax, NOT('08 Exs'!$H310="")),'08 Exs'!$H310,4)</f>
        <v>4</v>
      </c>
      <c r="AI310"/>
    </row>
    <row r="311" spans="1:35" outlineLevel="2" x14ac:dyDescent="0.2">
      <c r="A311" s="636" t="s">
        <v>3873</v>
      </c>
      <c r="B311" s="636" t="s">
        <v>6089</v>
      </c>
      <c r="C311" s="786"/>
      <c r="D311" s="789"/>
      <c r="E311" s="789"/>
      <c r="F311" s="789"/>
      <c r="G311" s="1480">
        <v>4</v>
      </c>
      <c r="H311" s="1480">
        <v>2</v>
      </c>
      <c r="I311" s="1480"/>
      <c r="J311" s="1480" t="s">
        <v>4246</v>
      </c>
      <c r="K311" s="1453" t="s">
        <v>3952</v>
      </c>
      <c r="L311" s="1459" t="s">
        <v>7341</v>
      </c>
      <c r="M311" s="785"/>
      <c r="AA311">
        <f>IF(AND('08 Exs'!C311&gt;Tmin, NOT('08 Exs'!$I311="")),'08 Exs'!$I311,0)</f>
        <v>0</v>
      </c>
      <c r="AB311">
        <f>IF(AND('08 Exs'!D311&gt;Tmin, NOT('08 Exs'!$I311="")),'08 Exs'!$I311,0)</f>
        <v>0</v>
      </c>
      <c r="AC311">
        <f>IF(AND('08 Exs'!E311&gt;Tmin, NOT('08 Exs'!$I311="")),'08 Exs'!$I311,0)</f>
        <v>0</v>
      </c>
      <c r="AD311">
        <f>IF(AND('08 Exs'!F311&gt;Tmin, NOT('08 Exs'!$I311="")),'08 Exs'!$I311,0)</f>
        <v>0</v>
      </c>
      <c r="AE311">
        <f>IF(AND('08 Exs'!C311&lt;Tmax, NOT('08 Exs'!$H311="")),'08 Exs'!$H311,4)</f>
        <v>2</v>
      </c>
      <c r="AF311">
        <f>IF(AND('08 Exs'!D311&lt;Tmax, NOT('08 Exs'!$H311="")),'08 Exs'!$H311,4)</f>
        <v>2</v>
      </c>
      <c r="AG311">
        <f>IF(AND('08 Exs'!E311&lt;Tmax, NOT('08 Exs'!$H311="")),'08 Exs'!$H311,4)</f>
        <v>2</v>
      </c>
      <c r="AH311">
        <f>IF(AND('08 Exs'!F311&lt;Tmax, NOT('08 Exs'!$H311="")),'08 Exs'!$H311,4)</f>
        <v>2</v>
      </c>
      <c r="AI311"/>
    </row>
    <row r="312" spans="1:35" ht="22.5" outlineLevel="2" x14ac:dyDescent="0.2">
      <c r="A312" s="636" t="s">
        <v>3874</v>
      </c>
      <c r="B312" s="636" t="s">
        <v>6455</v>
      </c>
      <c r="C312" s="786"/>
      <c r="D312" s="789"/>
      <c r="E312" s="789"/>
      <c r="F312" s="789"/>
      <c r="G312" s="1480">
        <v>4</v>
      </c>
      <c r="H312" s="1480">
        <v>2</v>
      </c>
      <c r="I312" s="1480"/>
      <c r="J312" s="1480" t="s">
        <v>1592</v>
      </c>
      <c r="K312" s="1453" t="s">
        <v>3952</v>
      </c>
      <c r="L312" s="1459" t="s">
        <v>7341</v>
      </c>
      <c r="M312" s="785"/>
      <c r="AA312">
        <f>IF(AND('08 Exs'!C312&gt;Tmin, NOT('08 Exs'!$I312="")),'08 Exs'!$I312,0)</f>
        <v>0</v>
      </c>
      <c r="AB312">
        <f>IF(AND('08 Exs'!D312&gt;Tmin, NOT('08 Exs'!$I312="")),'08 Exs'!$I312,0)</f>
        <v>0</v>
      </c>
      <c r="AC312">
        <f>IF(AND('08 Exs'!E312&gt;Tmin, NOT('08 Exs'!$I312="")),'08 Exs'!$I312,0)</f>
        <v>0</v>
      </c>
      <c r="AD312">
        <f>IF(AND('08 Exs'!F312&gt;Tmin, NOT('08 Exs'!$I312="")),'08 Exs'!$I312,0)</f>
        <v>0</v>
      </c>
      <c r="AE312">
        <f>IF(AND('08 Exs'!C312&lt;Tmax, NOT('08 Exs'!$H312="")),'08 Exs'!$H312,4)</f>
        <v>2</v>
      </c>
      <c r="AF312">
        <f>IF(AND('08 Exs'!D312&lt;Tmax, NOT('08 Exs'!$H312="")),'08 Exs'!$H312,4)</f>
        <v>2</v>
      </c>
      <c r="AG312">
        <f>IF(AND('08 Exs'!E312&lt;Tmax, NOT('08 Exs'!$H312="")),'08 Exs'!$H312,4)</f>
        <v>2</v>
      </c>
      <c r="AH312">
        <f>IF(AND('08 Exs'!F312&lt;Tmax, NOT('08 Exs'!$H312="")),'08 Exs'!$H312,4)</f>
        <v>2</v>
      </c>
      <c r="AI312"/>
    </row>
    <row r="313" spans="1:35" outlineLevel="2" x14ac:dyDescent="0.2">
      <c r="A313" s="636" t="s">
        <v>3875</v>
      </c>
      <c r="B313" s="636" t="s">
        <v>6456</v>
      </c>
      <c r="C313" s="786"/>
      <c r="D313" s="789"/>
      <c r="E313" s="789"/>
      <c r="F313" s="789"/>
      <c r="G313" s="1480">
        <v>4</v>
      </c>
      <c r="H313" s="1480">
        <v>2</v>
      </c>
      <c r="I313" s="1480"/>
      <c r="J313" s="1480" t="s">
        <v>1592</v>
      </c>
      <c r="K313" s="1453" t="s">
        <v>3952</v>
      </c>
      <c r="L313" s="1459" t="s">
        <v>7341</v>
      </c>
      <c r="M313" s="785"/>
      <c r="AA313">
        <f>IF(AND('08 Exs'!C313&gt;Tmin, NOT('08 Exs'!$I313="")),'08 Exs'!$I313,0)</f>
        <v>0</v>
      </c>
      <c r="AB313">
        <f>IF(AND('08 Exs'!D313&gt;Tmin, NOT('08 Exs'!$I313="")),'08 Exs'!$I313,0)</f>
        <v>0</v>
      </c>
      <c r="AC313">
        <f>IF(AND('08 Exs'!E313&gt;Tmin, NOT('08 Exs'!$I313="")),'08 Exs'!$I313,0)</f>
        <v>0</v>
      </c>
      <c r="AD313">
        <f>IF(AND('08 Exs'!F313&gt;Tmin, NOT('08 Exs'!$I313="")),'08 Exs'!$I313,0)</f>
        <v>0</v>
      </c>
      <c r="AE313">
        <f>IF(AND('08 Exs'!C313&lt;Tmax, NOT('08 Exs'!$H313="")),'08 Exs'!$H313,4)</f>
        <v>2</v>
      </c>
      <c r="AF313">
        <f>IF(AND('08 Exs'!D313&lt;Tmax, NOT('08 Exs'!$H313="")),'08 Exs'!$H313,4)</f>
        <v>2</v>
      </c>
      <c r="AG313">
        <f>IF(AND('08 Exs'!E313&lt;Tmax, NOT('08 Exs'!$H313="")),'08 Exs'!$H313,4)</f>
        <v>2</v>
      </c>
      <c r="AH313">
        <f>IF(AND('08 Exs'!F313&lt;Tmax, NOT('08 Exs'!$H313="")),'08 Exs'!$H313,4)</f>
        <v>2</v>
      </c>
      <c r="AI313"/>
    </row>
    <row r="314" spans="1:35" ht="45" outlineLevel="2" x14ac:dyDescent="0.2">
      <c r="A314" s="636" t="s">
        <v>3876</v>
      </c>
      <c r="B314" s="636" t="s">
        <v>5793</v>
      </c>
      <c r="C314" s="786"/>
      <c r="D314" s="789"/>
      <c r="E314" s="789"/>
      <c r="F314" s="789"/>
      <c r="G314" s="1480">
        <v>4</v>
      </c>
      <c r="H314" s="1480">
        <v>2</v>
      </c>
      <c r="I314" s="1480">
        <v>3</v>
      </c>
      <c r="J314" s="1480" t="s">
        <v>2349</v>
      </c>
      <c r="K314" s="1458" t="s">
        <v>7122</v>
      </c>
      <c r="L314" s="1459" t="s">
        <v>3579</v>
      </c>
      <c r="M314" s="785"/>
      <c r="AA314">
        <f>IF(AND('08 Exs'!C314&gt;Tmin, NOT('08 Exs'!$I314="")),'08 Exs'!$I314,0)</f>
        <v>0</v>
      </c>
      <c r="AB314">
        <f>IF(AND('08 Exs'!D314&gt;Tmin, NOT('08 Exs'!$I314="")),'08 Exs'!$I314,0)</f>
        <v>0</v>
      </c>
      <c r="AC314">
        <f>IF(AND('08 Exs'!E314&gt;Tmin, NOT('08 Exs'!$I314="")),'08 Exs'!$I314,0)</f>
        <v>0</v>
      </c>
      <c r="AD314">
        <f>IF(AND('08 Exs'!F314&gt;Tmin, NOT('08 Exs'!$I314="")),'08 Exs'!$I314,0)</f>
        <v>0</v>
      </c>
      <c r="AE314">
        <f>IF(AND('08 Exs'!C314&lt;Tmax, NOT('08 Exs'!$H314="")),'08 Exs'!$H314,4)</f>
        <v>2</v>
      </c>
      <c r="AF314">
        <f>IF(AND('08 Exs'!D314&lt;Tmax, NOT('08 Exs'!$H314="")),'08 Exs'!$H314,4)</f>
        <v>2</v>
      </c>
      <c r="AG314">
        <f>IF(AND('08 Exs'!E314&lt;Tmax, NOT('08 Exs'!$H314="")),'08 Exs'!$H314,4)</f>
        <v>2</v>
      </c>
      <c r="AH314">
        <f>IF(AND('08 Exs'!F314&lt;Tmax, NOT('08 Exs'!$H314="")),'08 Exs'!$H314,4)</f>
        <v>2</v>
      </c>
      <c r="AI314"/>
    </row>
    <row r="315" spans="1:35" outlineLevel="2" x14ac:dyDescent="0.2">
      <c r="A315" s="636" t="s">
        <v>3877</v>
      </c>
      <c r="B315" s="636" t="s">
        <v>1374</v>
      </c>
      <c r="C315" s="786"/>
      <c r="D315" s="789"/>
      <c r="E315" s="789"/>
      <c r="F315" s="789"/>
      <c r="G315" s="1480">
        <v>2</v>
      </c>
      <c r="H315" s="1480"/>
      <c r="I315" s="1480"/>
      <c r="J315" s="1480" t="s">
        <v>1592</v>
      </c>
      <c r="K315" s="1459" t="s">
        <v>6477</v>
      </c>
      <c r="L315" s="1459" t="s">
        <v>4434</v>
      </c>
      <c r="M315" s="785"/>
      <c r="AA315">
        <f>IF(AND('08 Exs'!C315&gt;Tmin, NOT('08 Exs'!$I315="")),'08 Exs'!$I315,0)</f>
        <v>0</v>
      </c>
      <c r="AB315">
        <f>IF(AND('08 Exs'!D315&gt;Tmin, NOT('08 Exs'!$I315="")),'08 Exs'!$I315,0)</f>
        <v>0</v>
      </c>
      <c r="AC315">
        <f>IF(AND('08 Exs'!E315&gt;Tmin, NOT('08 Exs'!$I315="")),'08 Exs'!$I315,0)</f>
        <v>0</v>
      </c>
      <c r="AD315">
        <f>IF(AND('08 Exs'!F315&gt;Tmin, NOT('08 Exs'!$I315="")),'08 Exs'!$I315,0)</f>
        <v>0</v>
      </c>
      <c r="AE315">
        <f>IF(AND('08 Exs'!C315&lt;Tmax, NOT('08 Exs'!$H315="")),'08 Exs'!$H315,4)</f>
        <v>4</v>
      </c>
      <c r="AF315">
        <f>IF(AND('08 Exs'!D315&lt;Tmax, NOT('08 Exs'!$H315="")),'08 Exs'!$H315,4)</f>
        <v>4</v>
      </c>
      <c r="AG315">
        <f>IF(AND('08 Exs'!E315&lt;Tmax, NOT('08 Exs'!$H315="")),'08 Exs'!$H315,4)</f>
        <v>4</v>
      </c>
      <c r="AH315">
        <f>IF(AND('08 Exs'!F315&lt;Tmax, NOT('08 Exs'!$H315="")),'08 Exs'!$H315,4)</f>
        <v>4</v>
      </c>
      <c r="AI315"/>
    </row>
    <row r="316" spans="1:35" s="230" customFormat="1" outlineLevel="2" x14ac:dyDescent="0.2">
      <c r="A316" s="636" t="s">
        <v>3878</v>
      </c>
      <c r="B316" s="636" t="s">
        <v>1376</v>
      </c>
      <c r="C316" s="786"/>
      <c r="D316" s="789"/>
      <c r="E316" s="789"/>
      <c r="F316" s="789"/>
      <c r="G316" s="1480">
        <v>1</v>
      </c>
      <c r="H316" s="1480">
        <v>2</v>
      </c>
      <c r="I316" s="1480"/>
      <c r="J316" s="1480" t="s">
        <v>2109</v>
      </c>
      <c r="K316" s="1459" t="s">
        <v>6477</v>
      </c>
      <c r="L316" s="1459" t="s">
        <v>4434</v>
      </c>
      <c r="M316" s="785"/>
      <c r="N316" s="624"/>
      <c r="O316" s="624"/>
      <c r="P316" s="624"/>
      <c r="Q316" s="624"/>
      <c r="R316" s="624"/>
      <c r="S316" s="624"/>
      <c r="T316" s="624"/>
      <c r="U316" s="624"/>
      <c r="V316" s="624"/>
      <c r="W316" s="624"/>
      <c r="X316" s="624"/>
      <c r="Y316" s="624"/>
      <c r="Z316" s="624"/>
      <c r="AA316">
        <f>IF(AND('08 Exs'!C316&gt;Tmin, NOT('08 Exs'!$I316="")),'08 Exs'!$I316,0)</f>
        <v>0</v>
      </c>
      <c r="AB316">
        <f>IF(AND('08 Exs'!D316&gt;Tmin, NOT('08 Exs'!$I316="")),'08 Exs'!$I316,0)</f>
        <v>0</v>
      </c>
      <c r="AC316">
        <f>IF(AND('08 Exs'!E316&gt;Tmin, NOT('08 Exs'!$I316="")),'08 Exs'!$I316,0)</f>
        <v>0</v>
      </c>
      <c r="AD316">
        <f>IF(AND('08 Exs'!F316&gt;Tmin, NOT('08 Exs'!$I316="")),'08 Exs'!$I316,0)</f>
        <v>0</v>
      </c>
      <c r="AE316">
        <f>IF(AND('08 Exs'!C316&lt;Tmax, NOT('08 Exs'!$H316="")),'08 Exs'!$H316,4)</f>
        <v>2</v>
      </c>
      <c r="AF316">
        <f>IF(AND('08 Exs'!D316&lt;Tmax, NOT('08 Exs'!$H316="")),'08 Exs'!$H316,4)</f>
        <v>2</v>
      </c>
      <c r="AG316">
        <f>IF(AND('08 Exs'!E316&lt;Tmax, NOT('08 Exs'!$H316="")),'08 Exs'!$H316,4)</f>
        <v>2</v>
      </c>
      <c r="AH316">
        <f>IF(AND('08 Exs'!F316&lt;Tmax, NOT('08 Exs'!$H316="")),'08 Exs'!$H316,4)</f>
        <v>2</v>
      </c>
      <c r="AI316"/>
    </row>
    <row r="317" spans="1:35" outlineLevel="1" x14ac:dyDescent="0.2">
      <c r="A317" s="633" t="s">
        <v>4299</v>
      </c>
      <c r="B317" s="634" t="s">
        <v>1377</v>
      </c>
      <c r="C317" s="786"/>
      <c r="D317" s="789"/>
      <c r="E317" s="789"/>
      <c r="F317" s="789"/>
      <c r="G317" s="1480"/>
      <c r="H317" s="1480"/>
      <c r="I317" s="1480"/>
      <c r="J317" s="1480"/>
      <c r="K317" s="1459"/>
      <c r="L317" s="1459"/>
      <c r="M317" s="785"/>
      <c r="AA317"/>
      <c r="AB317"/>
      <c r="AC317"/>
      <c r="AD317"/>
      <c r="AE317"/>
      <c r="AF317"/>
      <c r="AG317"/>
      <c r="AH317"/>
      <c r="AI317"/>
    </row>
    <row r="318" spans="1:35" ht="45" outlineLevel="2" x14ac:dyDescent="0.2">
      <c r="A318" s="636" t="s">
        <v>3879</v>
      </c>
      <c r="B318" s="636" t="s">
        <v>2181</v>
      </c>
      <c r="C318" s="786"/>
      <c r="D318" s="789"/>
      <c r="E318" s="789"/>
      <c r="F318" s="789"/>
      <c r="G318" s="1480">
        <v>4</v>
      </c>
      <c r="H318" s="1480"/>
      <c r="I318" s="1480">
        <v>4</v>
      </c>
      <c r="J318" s="1480" t="s">
        <v>1592</v>
      </c>
      <c r="K318" s="1459"/>
      <c r="L318" s="1459"/>
      <c r="M318" s="785"/>
      <c r="AA318">
        <f>IF(AND('08 Exs'!C318&gt;Tmin, NOT('08 Exs'!$I318="")),'08 Exs'!$I318,0)</f>
        <v>0</v>
      </c>
      <c r="AB318">
        <f>IF(AND('08 Exs'!D318&gt;Tmin, NOT('08 Exs'!$I318="")),'08 Exs'!$I318,0)</f>
        <v>0</v>
      </c>
      <c r="AC318">
        <f>IF(AND('08 Exs'!E318&gt;Tmin, NOT('08 Exs'!$I318="")),'08 Exs'!$I318,0)</f>
        <v>0</v>
      </c>
      <c r="AD318">
        <f>IF(AND('08 Exs'!F318&gt;Tmin, NOT('08 Exs'!$I318="")),'08 Exs'!$I318,0)</f>
        <v>0</v>
      </c>
      <c r="AE318">
        <f>IF(AND('08 Exs'!C318&lt;Tmax, NOT('08 Exs'!$H318="")),'08 Exs'!$H318,4)</f>
        <v>4</v>
      </c>
      <c r="AF318">
        <f>IF(AND('08 Exs'!D318&lt;Tmax, NOT('08 Exs'!$H318="")),'08 Exs'!$H318,4)</f>
        <v>4</v>
      </c>
      <c r="AG318">
        <f>IF(AND('08 Exs'!E318&lt;Tmax, NOT('08 Exs'!$H318="")),'08 Exs'!$H318,4)</f>
        <v>4</v>
      </c>
      <c r="AH318">
        <f>IF(AND('08 Exs'!F318&lt;Tmax, NOT('08 Exs'!$H318="")),'08 Exs'!$H318,4)</f>
        <v>4</v>
      </c>
      <c r="AI318"/>
    </row>
    <row r="319" spans="1:35" ht="45" outlineLevel="2" x14ac:dyDescent="0.2">
      <c r="A319" s="636" t="s">
        <v>3880</v>
      </c>
      <c r="B319" s="636" t="s">
        <v>5852</v>
      </c>
      <c r="C319" s="786"/>
      <c r="D319" s="789"/>
      <c r="E319" s="789"/>
      <c r="F319" s="789"/>
      <c r="G319" s="1480">
        <v>2</v>
      </c>
      <c r="H319" s="1480"/>
      <c r="I319" s="1480"/>
      <c r="J319" s="1480" t="s">
        <v>1592</v>
      </c>
      <c r="K319" s="1459"/>
      <c r="L319" s="1459"/>
      <c r="M319" s="785"/>
      <c r="AA319">
        <f>IF(AND('08 Exs'!C319&gt;Tmin, NOT('08 Exs'!$I319="")),'08 Exs'!$I319,0)</f>
        <v>0</v>
      </c>
      <c r="AB319">
        <f>IF(AND('08 Exs'!D319&gt;Tmin, NOT('08 Exs'!$I319="")),'08 Exs'!$I319,0)</f>
        <v>0</v>
      </c>
      <c r="AC319">
        <f>IF(AND('08 Exs'!E319&gt;Tmin, NOT('08 Exs'!$I319="")),'08 Exs'!$I319,0)</f>
        <v>0</v>
      </c>
      <c r="AD319">
        <f>IF(AND('08 Exs'!F319&gt;Tmin, NOT('08 Exs'!$I319="")),'08 Exs'!$I319,0)</f>
        <v>0</v>
      </c>
      <c r="AE319">
        <f>IF(AND('08 Exs'!C319&lt;Tmax, NOT('08 Exs'!$H319="")),'08 Exs'!$H319,4)</f>
        <v>4</v>
      </c>
      <c r="AF319">
        <f>IF(AND('08 Exs'!D319&lt;Tmax, NOT('08 Exs'!$H319="")),'08 Exs'!$H319,4)</f>
        <v>4</v>
      </c>
      <c r="AG319">
        <f>IF(AND('08 Exs'!E319&lt;Tmax, NOT('08 Exs'!$H319="")),'08 Exs'!$H319,4)</f>
        <v>4</v>
      </c>
      <c r="AH319">
        <f>IF(AND('08 Exs'!F319&lt;Tmax, NOT('08 Exs'!$H319="")),'08 Exs'!$H319,4)</f>
        <v>4</v>
      </c>
      <c r="AI319"/>
    </row>
    <row r="320" spans="1:35" ht="22.5" outlineLevel="2" x14ac:dyDescent="0.2">
      <c r="A320" s="636" t="s">
        <v>3881</v>
      </c>
      <c r="B320" s="636" t="s">
        <v>2378</v>
      </c>
      <c r="C320" s="786"/>
      <c r="D320" s="789"/>
      <c r="E320" s="789"/>
      <c r="F320" s="789"/>
      <c r="G320" s="1480">
        <v>4</v>
      </c>
      <c r="H320" s="1480"/>
      <c r="I320" s="1480"/>
      <c r="J320" s="1480" t="s">
        <v>1592</v>
      </c>
      <c r="K320" s="1459"/>
      <c r="L320" s="1459"/>
      <c r="M320" s="788"/>
      <c r="AA320">
        <f>IF(AND('08 Exs'!C320&gt;Tmin, NOT('08 Exs'!$I320="")),'08 Exs'!$I320,0)</f>
        <v>0</v>
      </c>
      <c r="AB320">
        <f>IF(AND('08 Exs'!D320&gt;Tmin, NOT('08 Exs'!$I320="")),'08 Exs'!$I320,0)</f>
        <v>0</v>
      </c>
      <c r="AC320">
        <f>IF(AND('08 Exs'!E320&gt;Tmin, NOT('08 Exs'!$I320="")),'08 Exs'!$I320,0)</f>
        <v>0</v>
      </c>
      <c r="AD320">
        <f>IF(AND('08 Exs'!F320&gt;Tmin, NOT('08 Exs'!$I320="")),'08 Exs'!$I320,0)</f>
        <v>0</v>
      </c>
      <c r="AE320">
        <f>IF(AND('08 Exs'!C320&lt;Tmax, NOT('08 Exs'!$H320="")),'08 Exs'!$H320,4)</f>
        <v>4</v>
      </c>
      <c r="AF320">
        <f>IF(AND('08 Exs'!D320&lt;Tmax, NOT('08 Exs'!$H320="")),'08 Exs'!$H320,4)</f>
        <v>4</v>
      </c>
      <c r="AG320">
        <f>IF(AND('08 Exs'!E320&lt;Tmax, NOT('08 Exs'!$H320="")),'08 Exs'!$H320,4)</f>
        <v>4</v>
      </c>
      <c r="AH320">
        <f>IF(AND('08 Exs'!F320&lt;Tmax, NOT('08 Exs'!$H320="")),'08 Exs'!$H320,4)</f>
        <v>4</v>
      </c>
      <c r="AI320"/>
    </row>
    <row r="321" spans="1:35" ht="56.25" outlineLevel="2" x14ac:dyDescent="0.2">
      <c r="A321" s="636" t="s">
        <v>3882</v>
      </c>
      <c r="B321" s="636" t="s">
        <v>1284</v>
      </c>
      <c r="C321" s="786"/>
      <c r="D321" s="789"/>
      <c r="E321" s="789"/>
      <c r="F321" s="789"/>
      <c r="G321" s="1480">
        <v>4</v>
      </c>
      <c r="H321" s="1480">
        <v>2</v>
      </c>
      <c r="I321" s="1480"/>
      <c r="J321" s="1480" t="s">
        <v>2349</v>
      </c>
      <c r="K321" s="1459"/>
      <c r="L321" s="1459"/>
      <c r="M321" s="785"/>
      <c r="AA321">
        <f>IF(AND('08 Exs'!C321&gt;Tmin, NOT('08 Exs'!$I321="")),'08 Exs'!$I321,0)</f>
        <v>0</v>
      </c>
      <c r="AB321">
        <f>IF(AND('08 Exs'!D321&gt;Tmin, NOT('08 Exs'!$I321="")),'08 Exs'!$I321,0)</f>
        <v>0</v>
      </c>
      <c r="AC321">
        <f>IF(AND('08 Exs'!E321&gt;Tmin, NOT('08 Exs'!$I321="")),'08 Exs'!$I321,0)</f>
        <v>0</v>
      </c>
      <c r="AD321">
        <f>IF(AND('08 Exs'!F321&gt;Tmin, NOT('08 Exs'!$I321="")),'08 Exs'!$I321,0)</f>
        <v>0</v>
      </c>
      <c r="AE321">
        <f>IF(AND('08 Exs'!C321&lt;Tmax, NOT('08 Exs'!$H321="")),'08 Exs'!$H321,4)</f>
        <v>2</v>
      </c>
      <c r="AF321">
        <f>IF(AND('08 Exs'!D321&lt;Tmax, NOT('08 Exs'!$H321="")),'08 Exs'!$H321,4)</f>
        <v>2</v>
      </c>
      <c r="AG321">
        <f>IF(AND('08 Exs'!E321&lt;Tmax, NOT('08 Exs'!$H321="")),'08 Exs'!$H321,4)</f>
        <v>2</v>
      </c>
      <c r="AH321">
        <f>IF(AND('08 Exs'!F321&lt;Tmax, NOT('08 Exs'!$H321="")),'08 Exs'!$H321,4)</f>
        <v>2</v>
      </c>
      <c r="AI321"/>
    </row>
    <row r="322" spans="1:35" ht="33.75" outlineLevel="2" x14ac:dyDescent="0.2">
      <c r="A322" s="636" t="s">
        <v>3883</v>
      </c>
      <c r="B322" s="636" t="s">
        <v>3164</v>
      </c>
      <c r="C322" s="786"/>
      <c r="D322" s="789"/>
      <c r="E322" s="789"/>
      <c r="F322" s="789"/>
      <c r="G322" s="1480">
        <v>4</v>
      </c>
      <c r="H322" s="1480">
        <v>3</v>
      </c>
      <c r="I322" s="1480"/>
      <c r="J322" s="1480" t="s">
        <v>2349</v>
      </c>
      <c r="K322" s="1459"/>
      <c r="L322" s="1459"/>
      <c r="M322" s="785"/>
      <c r="AA322">
        <f>IF(AND('08 Exs'!C322&gt;Tmin, NOT('08 Exs'!$I322="")),'08 Exs'!$I322,0)</f>
        <v>0</v>
      </c>
      <c r="AB322">
        <f>IF(AND('08 Exs'!D322&gt;Tmin, NOT('08 Exs'!$I322="")),'08 Exs'!$I322,0)</f>
        <v>0</v>
      </c>
      <c r="AC322">
        <f>IF(AND('08 Exs'!E322&gt;Tmin, NOT('08 Exs'!$I322="")),'08 Exs'!$I322,0)</f>
        <v>0</v>
      </c>
      <c r="AD322">
        <f>IF(AND('08 Exs'!F322&gt;Tmin, NOT('08 Exs'!$I322="")),'08 Exs'!$I322,0)</f>
        <v>0</v>
      </c>
      <c r="AE322">
        <f>IF(AND('08 Exs'!C322&lt;Tmax, NOT('08 Exs'!$H322="")),'08 Exs'!$H322,4)</f>
        <v>3</v>
      </c>
      <c r="AF322">
        <f>IF(AND('08 Exs'!D322&lt;Tmax, NOT('08 Exs'!$H322="")),'08 Exs'!$H322,4)</f>
        <v>3</v>
      </c>
      <c r="AG322">
        <f>IF(AND('08 Exs'!E322&lt;Tmax, NOT('08 Exs'!$H322="")),'08 Exs'!$H322,4)</f>
        <v>3</v>
      </c>
      <c r="AH322">
        <f>IF(AND('08 Exs'!F322&lt;Tmax, NOT('08 Exs'!$H322="")),'08 Exs'!$H322,4)</f>
        <v>3</v>
      </c>
      <c r="AI322"/>
    </row>
    <row r="323" spans="1:35" outlineLevel="2" x14ac:dyDescent="0.2">
      <c r="A323" s="636" t="s">
        <v>2921</v>
      </c>
      <c r="B323" s="636" t="s">
        <v>3942</v>
      </c>
      <c r="C323" s="786"/>
      <c r="D323" s="789"/>
      <c r="E323" s="789"/>
      <c r="F323" s="789"/>
      <c r="G323" s="1480">
        <v>4</v>
      </c>
      <c r="H323" s="1480">
        <v>3</v>
      </c>
      <c r="I323" s="1481"/>
      <c r="J323" s="1480" t="s">
        <v>2109</v>
      </c>
      <c r="K323" s="1459" t="s">
        <v>6477</v>
      </c>
      <c r="L323" s="1459" t="s">
        <v>4434</v>
      </c>
      <c r="M323" s="785"/>
      <c r="AA323">
        <f>IF(AND('08 Exs'!C323&gt;Tmin, NOT('08 Exs'!$I323="")),'08 Exs'!$I323,0)</f>
        <v>0</v>
      </c>
      <c r="AB323">
        <f>IF(AND('08 Exs'!D323&gt;Tmin, NOT('08 Exs'!$I323="")),'08 Exs'!$I323,0)</f>
        <v>0</v>
      </c>
      <c r="AC323">
        <f>IF(AND('08 Exs'!E323&gt;Tmin, NOT('08 Exs'!$I323="")),'08 Exs'!$I323,0)</f>
        <v>0</v>
      </c>
      <c r="AD323">
        <f>IF(AND('08 Exs'!F323&gt;Tmin, NOT('08 Exs'!$I323="")),'08 Exs'!$I323,0)</f>
        <v>0</v>
      </c>
      <c r="AE323">
        <f>IF(AND('08 Exs'!C323&lt;Tmax, NOT('08 Exs'!$H323="")),'08 Exs'!$H323,4)</f>
        <v>3</v>
      </c>
      <c r="AF323">
        <f>IF(AND('08 Exs'!D323&lt;Tmax, NOT('08 Exs'!$H323="")),'08 Exs'!$H323,4)</f>
        <v>3</v>
      </c>
      <c r="AG323">
        <f>IF(AND('08 Exs'!E323&lt;Tmax, NOT('08 Exs'!$H323="")),'08 Exs'!$H323,4)</f>
        <v>3</v>
      </c>
      <c r="AH323">
        <f>IF(AND('08 Exs'!F323&lt;Tmax, NOT('08 Exs'!$H323="")),'08 Exs'!$H323,4)</f>
        <v>3</v>
      </c>
      <c r="AI323"/>
    </row>
    <row r="324" spans="1:35" ht="22.5" outlineLevel="2" collapsed="1" x14ac:dyDescent="0.2">
      <c r="A324" s="636" t="s">
        <v>3943</v>
      </c>
      <c r="B324" s="636" t="s">
        <v>2383</v>
      </c>
      <c r="C324" s="786"/>
      <c r="D324" s="789"/>
      <c r="E324" s="789"/>
      <c r="F324" s="789"/>
      <c r="G324" s="1480">
        <v>4</v>
      </c>
      <c r="H324" s="1480">
        <v>3</v>
      </c>
      <c r="I324" s="1481"/>
      <c r="J324" s="1480" t="s">
        <v>2109</v>
      </c>
      <c r="K324" s="1459"/>
      <c r="L324" s="1459"/>
      <c r="M324" s="785"/>
      <c r="AA324">
        <f>IF(AND('08 Exs'!C324&gt;Tmin, NOT('08 Exs'!$I324="")),'08 Exs'!$I324,0)</f>
        <v>0</v>
      </c>
      <c r="AB324">
        <f>IF(AND('08 Exs'!D324&gt;Tmin, NOT('08 Exs'!$I324="")),'08 Exs'!$I324,0)</f>
        <v>0</v>
      </c>
      <c r="AC324">
        <f>IF(AND('08 Exs'!E324&gt;Tmin, NOT('08 Exs'!$I324="")),'08 Exs'!$I324,0)</f>
        <v>0</v>
      </c>
      <c r="AD324">
        <f>IF(AND('08 Exs'!F324&gt;Tmin, NOT('08 Exs'!$I324="")),'08 Exs'!$I324,0)</f>
        <v>0</v>
      </c>
      <c r="AE324">
        <f>IF(AND('08 Exs'!C324&lt;Tmax, NOT('08 Exs'!$H324="")),'08 Exs'!$H324,4)</f>
        <v>3</v>
      </c>
      <c r="AF324">
        <f>IF(AND('08 Exs'!D324&lt;Tmax, NOT('08 Exs'!$H324="")),'08 Exs'!$H324,4)</f>
        <v>3</v>
      </c>
      <c r="AG324">
        <f>IF(AND('08 Exs'!E324&lt;Tmax, NOT('08 Exs'!$H324="")),'08 Exs'!$H324,4)</f>
        <v>3</v>
      </c>
      <c r="AH324">
        <f>IF(AND('08 Exs'!F324&lt;Tmax, NOT('08 Exs'!$H324="")),'08 Exs'!$H324,4)</f>
        <v>3</v>
      </c>
      <c r="AI324"/>
    </row>
    <row r="325" spans="1:35" outlineLevel="2" x14ac:dyDescent="0.2">
      <c r="A325" s="633" t="s">
        <v>4300</v>
      </c>
      <c r="B325" s="634" t="s">
        <v>4659</v>
      </c>
      <c r="C325" s="786"/>
      <c r="D325" s="789"/>
      <c r="E325" s="789"/>
      <c r="F325" s="789"/>
      <c r="G325" s="1480"/>
      <c r="H325" s="1480"/>
      <c r="I325" s="1480"/>
      <c r="J325" s="1480"/>
      <c r="K325" s="1459"/>
      <c r="L325" s="1459"/>
      <c r="M325" s="785"/>
      <c r="AA325"/>
      <c r="AB325"/>
      <c r="AC325"/>
      <c r="AD325"/>
      <c r="AE325"/>
      <c r="AF325"/>
      <c r="AG325"/>
      <c r="AH325"/>
      <c r="AI325"/>
    </row>
    <row r="326" spans="1:35" ht="33.75" outlineLevel="2" x14ac:dyDescent="0.2">
      <c r="A326" s="636" t="s">
        <v>3944</v>
      </c>
      <c r="B326" s="636" t="s">
        <v>1722</v>
      </c>
      <c r="C326" s="786"/>
      <c r="D326" s="789"/>
      <c r="E326" s="789"/>
      <c r="F326" s="789"/>
      <c r="G326" s="1480">
        <v>2</v>
      </c>
      <c r="H326" s="1480"/>
      <c r="I326" s="1480"/>
      <c r="J326" s="1480" t="s">
        <v>1592</v>
      </c>
      <c r="K326" s="1458" t="s">
        <v>5650</v>
      </c>
      <c r="L326" s="1459" t="s">
        <v>7342</v>
      </c>
      <c r="M326" s="785"/>
      <c r="AA326">
        <f>IF(AND('08 Exs'!C326&gt;Tmin, NOT('08 Exs'!$I326="")),'08 Exs'!$I326,0)</f>
        <v>0</v>
      </c>
      <c r="AB326">
        <f>IF(AND('08 Exs'!D326&gt;Tmin, NOT('08 Exs'!$I326="")),'08 Exs'!$I326,0)</f>
        <v>0</v>
      </c>
      <c r="AC326">
        <f>IF(AND('08 Exs'!E326&gt;Tmin, NOT('08 Exs'!$I326="")),'08 Exs'!$I326,0)</f>
        <v>0</v>
      </c>
      <c r="AD326">
        <f>IF(AND('08 Exs'!F326&gt;Tmin, NOT('08 Exs'!$I326="")),'08 Exs'!$I326,0)</f>
        <v>0</v>
      </c>
      <c r="AE326">
        <f>IF(AND('08 Exs'!C326&lt;Tmax, NOT('08 Exs'!$H326="")),'08 Exs'!$H326,4)</f>
        <v>4</v>
      </c>
      <c r="AF326">
        <f>IF(AND('08 Exs'!D326&lt;Tmax, NOT('08 Exs'!$H326="")),'08 Exs'!$H326,4)</f>
        <v>4</v>
      </c>
      <c r="AG326">
        <f>IF(AND('08 Exs'!E326&lt;Tmax, NOT('08 Exs'!$H326="")),'08 Exs'!$H326,4)</f>
        <v>4</v>
      </c>
      <c r="AH326">
        <f>IF(AND('08 Exs'!F326&lt;Tmax, NOT('08 Exs'!$H326="")),'08 Exs'!$H326,4)</f>
        <v>4</v>
      </c>
      <c r="AI326"/>
    </row>
    <row r="327" spans="1:35" outlineLevel="2" x14ac:dyDescent="0.2">
      <c r="A327" s="636" t="s">
        <v>1723</v>
      </c>
      <c r="B327" s="636" t="s">
        <v>4989</v>
      </c>
      <c r="C327" s="786"/>
      <c r="D327" s="789"/>
      <c r="E327" s="789"/>
      <c r="F327" s="789"/>
      <c r="G327" s="1480">
        <v>4</v>
      </c>
      <c r="H327" s="1480"/>
      <c r="I327" s="1480"/>
      <c r="J327" s="1480" t="s">
        <v>1592</v>
      </c>
      <c r="K327" s="1458" t="s">
        <v>5650</v>
      </c>
      <c r="L327" s="1459" t="s">
        <v>7342</v>
      </c>
      <c r="M327" s="785"/>
      <c r="AA327">
        <f>IF(AND('08 Exs'!C327&gt;Tmin, NOT('08 Exs'!$I327="")),'08 Exs'!$I327,0)</f>
        <v>0</v>
      </c>
      <c r="AB327">
        <f>IF(AND('08 Exs'!D327&gt;Tmin, NOT('08 Exs'!$I327="")),'08 Exs'!$I327,0)</f>
        <v>0</v>
      </c>
      <c r="AC327">
        <f>IF(AND('08 Exs'!E327&gt;Tmin, NOT('08 Exs'!$I327="")),'08 Exs'!$I327,0)</f>
        <v>0</v>
      </c>
      <c r="AD327">
        <f>IF(AND('08 Exs'!F327&gt;Tmin, NOT('08 Exs'!$I327="")),'08 Exs'!$I327,0)</f>
        <v>0</v>
      </c>
      <c r="AE327">
        <f>IF(AND('08 Exs'!C327&lt;Tmax, NOT('08 Exs'!$H327="")),'08 Exs'!$H327,4)</f>
        <v>4</v>
      </c>
      <c r="AF327">
        <f>IF(AND('08 Exs'!D327&lt;Tmax, NOT('08 Exs'!$H327="")),'08 Exs'!$H327,4)</f>
        <v>4</v>
      </c>
      <c r="AG327">
        <f>IF(AND('08 Exs'!E327&lt;Tmax, NOT('08 Exs'!$H327="")),'08 Exs'!$H327,4)</f>
        <v>4</v>
      </c>
      <c r="AH327">
        <f>IF(AND('08 Exs'!F327&lt;Tmax, NOT('08 Exs'!$H327="")),'08 Exs'!$H327,4)</f>
        <v>4</v>
      </c>
      <c r="AI327"/>
    </row>
    <row r="328" spans="1:35" ht="22.5" outlineLevel="2" x14ac:dyDescent="0.2">
      <c r="A328" s="636" t="s">
        <v>1724</v>
      </c>
      <c r="B328" s="636" t="s">
        <v>2801</v>
      </c>
      <c r="C328" s="786"/>
      <c r="D328" s="789"/>
      <c r="E328" s="789"/>
      <c r="F328" s="789"/>
      <c r="G328" s="1480">
        <v>4</v>
      </c>
      <c r="H328" s="1480">
        <v>2</v>
      </c>
      <c r="I328" s="1480"/>
      <c r="J328" s="1480" t="s">
        <v>2329</v>
      </c>
      <c r="K328" s="1458" t="s">
        <v>5650</v>
      </c>
      <c r="L328" s="1459" t="s">
        <v>7343</v>
      </c>
      <c r="M328" s="785"/>
      <c r="AA328">
        <f>IF(AND('08 Exs'!C328&gt;Tmin, NOT('08 Exs'!$I328="")),'08 Exs'!$I328,0)</f>
        <v>0</v>
      </c>
      <c r="AB328">
        <f>IF(AND('08 Exs'!D328&gt;Tmin, NOT('08 Exs'!$I328="")),'08 Exs'!$I328,0)</f>
        <v>0</v>
      </c>
      <c r="AC328">
        <f>IF(AND('08 Exs'!E328&gt;Tmin, NOT('08 Exs'!$I328="")),'08 Exs'!$I328,0)</f>
        <v>0</v>
      </c>
      <c r="AD328">
        <f>IF(AND('08 Exs'!F328&gt;Tmin, NOT('08 Exs'!$I328="")),'08 Exs'!$I328,0)</f>
        <v>0</v>
      </c>
      <c r="AE328">
        <f>IF(AND('08 Exs'!C328&lt;Tmax, NOT('08 Exs'!$H328="")),'08 Exs'!$H328,4)</f>
        <v>2</v>
      </c>
      <c r="AF328">
        <f>IF(AND('08 Exs'!D328&lt;Tmax, NOT('08 Exs'!$H328="")),'08 Exs'!$H328,4)</f>
        <v>2</v>
      </c>
      <c r="AG328">
        <f>IF(AND('08 Exs'!E328&lt;Tmax, NOT('08 Exs'!$H328="")),'08 Exs'!$H328,4)</f>
        <v>2</v>
      </c>
      <c r="AH328">
        <f>IF(AND('08 Exs'!F328&lt;Tmax, NOT('08 Exs'!$H328="")),'08 Exs'!$H328,4)</f>
        <v>2</v>
      </c>
      <c r="AI328"/>
    </row>
    <row r="329" spans="1:35" outlineLevel="2" x14ac:dyDescent="0.2">
      <c r="A329" s="636" t="s">
        <v>1725</v>
      </c>
      <c r="B329" s="636" t="s">
        <v>2803</v>
      </c>
      <c r="C329" s="786"/>
      <c r="D329" s="789"/>
      <c r="E329" s="789"/>
      <c r="F329" s="789"/>
      <c r="G329" s="1480">
        <v>4</v>
      </c>
      <c r="H329" s="1480"/>
      <c r="I329" s="1480">
        <v>3</v>
      </c>
      <c r="J329" s="1480" t="s">
        <v>2329</v>
      </c>
      <c r="K329" s="1458" t="s">
        <v>5650</v>
      </c>
      <c r="L329" s="1459" t="s">
        <v>7343</v>
      </c>
      <c r="M329" s="785"/>
      <c r="AA329">
        <f>IF(AND('08 Exs'!C329&gt;Tmin, NOT('08 Exs'!$I329="")),'08 Exs'!$I329,0)</f>
        <v>0</v>
      </c>
      <c r="AB329">
        <f>IF(AND('08 Exs'!D329&gt;Tmin, NOT('08 Exs'!$I329="")),'08 Exs'!$I329,0)</f>
        <v>0</v>
      </c>
      <c r="AC329">
        <f>IF(AND('08 Exs'!E329&gt;Tmin, NOT('08 Exs'!$I329="")),'08 Exs'!$I329,0)</f>
        <v>0</v>
      </c>
      <c r="AD329">
        <f>IF(AND('08 Exs'!F329&gt;Tmin, NOT('08 Exs'!$I329="")),'08 Exs'!$I329,0)</f>
        <v>0</v>
      </c>
      <c r="AE329">
        <f>IF(AND('08 Exs'!C329&lt;Tmax, NOT('08 Exs'!$H329="")),'08 Exs'!$H329,4)</f>
        <v>4</v>
      </c>
      <c r="AF329">
        <f>IF(AND('08 Exs'!D329&lt;Tmax, NOT('08 Exs'!$H329="")),'08 Exs'!$H329,4)</f>
        <v>4</v>
      </c>
      <c r="AG329">
        <f>IF(AND('08 Exs'!E329&lt;Tmax, NOT('08 Exs'!$H329="")),'08 Exs'!$H329,4)</f>
        <v>4</v>
      </c>
      <c r="AH329">
        <f>IF(AND('08 Exs'!F329&lt;Tmax, NOT('08 Exs'!$H329="")),'08 Exs'!$H329,4)</f>
        <v>4</v>
      </c>
      <c r="AI329"/>
    </row>
    <row r="330" spans="1:35" ht="22.5" outlineLevel="2" x14ac:dyDescent="0.2">
      <c r="A330" s="636" t="s">
        <v>1726</v>
      </c>
      <c r="B330" s="636" t="s">
        <v>2805</v>
      </c>
      <c r="C330" s="786"/>
      <c r="D330" s="789"/>
      <c r="E330" s="789"/>
      <c r="F330" s="789"/>
      <c r="G330" s="1480">
        <v>4</v>
      </c>
      <c r="H330" s="1480">
        <v>2</v>
      </c>
      <c r="I330" s="1480"/>
      <c r="J330" s="1480" t="s">
        <v>2329</v>
      </c>
      <c r="K330" s="1458" t="s">
        <v>5650</v>
      </c>
      <c r="L330" s="1459" t="s">
        <v>7343</v>
      </c>
      <c r="M330" s="785"/>
      <c r="AA330">
        <f>IF(AND('08 Exs'!C330&gt;Tmin, NOT('08 Exs'!$I330="")),'08 Exs'!$I330,0)</f>
        <v>0</v>
      </c>
      <c r="AB330">
        <f>IF(AND('08 Exs'!D330&gt;Tmin, NOT('08 Exs'!$I330="")),'08 Exs'!$I330,0)</f>
        <v>0</v>
      </c>
      <c r="AC330">
        <f>IF(AND('08 Exs'!E330&gt;Tmin, NOT('08 Exs'!$I330="")),'08 Exs'!$I330,0)</f>
        <v>0</v>
      </c>
      <c r="AD330">
        <f>IF(AND('08 Exs'!F330&gt;Tmin, NOT('08 Exs'!$I330="")),'08 Exs'!$I330,0)</f>
        <v>0</v>
      </c>
      <c r="AE330">
        <f>IF(AND('08 Exs'!C330&lt;Tmax, NOT('08 Exs'!$H330="")),'08 Exs'!$H330,4)</f>
        <v>2</v>
      </c>
      <c r="AF330">
        <f>IF(AND('08 Exs'!D330&lt;Tmax, NOT('08 Exs'!$H330="")),'08 Exs'!$H330,4)</f>
        <v>2</v>
      </c>
      <c r="AG330">
        <f>IF(AND('08 Exs'!E330&lt;Tmax, NOT('08 Exs'!$H330="")),'08 Exs'!$H330,4)</f>
        <v>2</v>
      </c>
      <c r="AH330">
        <f>IF(AND('08 Exs'!F330&lt;Tmax, NOT('08 Exs'!$H330="")),'08 Exs'!$H330,4)</f>
        <v>2</v>
      </c>
      <c r="AI330"/>
    </row>
    <row r="331" spans="1:35" ht="22.5" outlineLevel="2" x14ac:dyDescent="0.2">
      <c r="A331" s="636" t="s">
        <v>1727</v>
      </c>
      <c r="B331" s="636" t="s">
        <v>6510</v>
      </c>
      <c r="C331" s="786"/>
      <c r="D331" s="789"/>
      <c r="E331" s="789"/>
      <c r="F331" s="789"/>
      <c r="G331" s="1480">
        <v>4</v>
      </c>
      <c r="H331" s="1480"/>
      <c r="I331" s="1480"/>
      <c r="J331" s="1480" t="s">
        <v>2329</v>
      </c>
      <c r="K331" s="1458" t="s">
        <v>5650</v>
      </c>
      <c r="L331" s="1459" t="s">
        <v>7343</v>
      </c>
      <c r="M331" s="785"/>
      <c r="AA331">
        <f>IF(AND('08 Exs'!C331&gt;Tmin, NOT('08 Exs'!$I331="")),'08 Exs'!$I331,0)</f>
        <v>0</v>
      </c>
      <c r="AB331">
        <f>IF(AND('08 Exs'!D331&gt;Tmin, NOT('08 Exs'!$I331="")),'08 Exs'!$I331,0)</f>
        <v>0</v>
      </c>
      <c r="AC331">
        <f>IF(AND('08 Exs'!E331&gt;Tmin, NOT('08 Exs'!$I331="")),'08 Exs'!$I331,0)</f>
        <v>0</v>
      </c>
      <c r="AD331">
        <f>IF(AND('08 Exs'!F331&gt;Tmin, NOT('08 Exs'!$I331="")),'08 Exs'!$I331,0)</f>
        <v>0</v>
      </c>
      <c r="AE331">
        <f>IF(AND('08 Exs'!C331&lt;Tmax, NOT('08 Exs'!$H331="")),'08 Exs'!$H331,4)</f>
        <v>4</v>
      </c>
      <c r="AF331">
        <f>IF(AND('08 Exs'!D331&lt;Tmax, NOT('08 Exs'!$H331="")),'08 Exs'!$H331,4)</f>
        <v>4</v>
      </c>
      <c r="AG331">
        <f>IF(AND('08 Exs'!E331&lt;Tmax, NOT('08 Exs'!$H331="")),'08 Exs'!$H331,4)</f>
        <v>4</v>
      </c>
      <c r="AH331">
        <f>IF(AND('08 Exs'!F331&lt;Tmax, NOT('08 Exs'!$H331="")),'08 Exs'!$H331,4)</f>
        <v>4</v>
      </c>
      <c r="AI331"/>
    </row>
    <row r="332" spans="1:35" outlineLevel="2" collapsed="1" x14ac:dyDescent="0.2">
      <c r="A332" s="636" t="s">
        <v>1728</v>
      </c>
      <c r="B332" s="636" t="s">
        <v>6733</v>
      </c>
      <c r="C332" s="786"/>
      <c r="D332" s="789"/>
      <c r="E332" s="789"/>
      <c r="F332" s="789"/>
      <c r="G332" s="1480">
        <v>2</v>
      </c>
      <c r="H332" s="1480"/>
      <c r="I332" s="1480"/>
      <c r="J332" s="1480" t="s">
        <v>1592</v>
      </c>
      <c r="K332" s="1458" t="s">
        <v>5650</v>
      </c>
      <c r="L332" s="1459" t="s">
        <v>7343</v>
      </c>
      <c r="M332" s="785"/>
      <c r="AA332">
        <f>IF(AND('08 Exs'!C332&gt;Tmin, NOT('08 Exs'!$I332="")),'08 Exs'!$I332,0)</f>
        <v>0</v>
      </c>
      <c r="AB332">
        <f>IF(AND('08 Exs'!D332&gt;Tmin, NOT('08 Exs'!$I332="")),'08 Exs'!$I332,0)</f>
        <v>0</v>
      </c>
      <c r="AC332">
        <f>IF(AND('08 Exs'!E332&gt;Tmin, NOT('08 Exs'!$I332="")),'08 Exs'!$I332,0)</f>
        <v>0</v>
      </c>
      <c r="AD332">
        <f>IF(AND('08 Exs'!F332&gt;Tmin, NOT('08 Exs'!$I332="")),'08 Exs'!$I332,0)</f>
        <v>0</v>
      </c>
      <c r="AE332">
        <f>IF(AND('08 Exs'!C332&lt;Tmax, NOT('08 Exs'!$H332="")),'08 Exs'!$H332,4)</f>
        <v>4</v>
      </c>
      <c r="AF332">
        <f>IF(AND('08 Exs'!D332&lt;Tmax, NOT('08 Exs'!$H332="")),'08 Exs'!$H332,4)</f>
        <v>4</v>
      </c>
      <c r="AG332">
        <f>IF(AND('08 Exs'!E332&lt;Tmax, NOT('08 Exs'!$H332="")),'08 Exs'!$H332,4)</f>
        <v>4</v>
      </c>
      <c r="AH332">
        <f>IF(AND('08 Exs'!F332&lt;Tmax, NOT('08 Exs'!$H332="")),'08 Exs'!$H332,4)</f>
        <v>4</v>
      </c>
      <c r="AI332"/>
    </row>
    <row r="333" spans="1:35" outlineLevel="2" x14ac:dyDescent="0.2">
      <c r="A333" s="636" t="s">
        <v>1729</v>
      </c>
      <c r="B333" s="636" t="s">
        <v>4110</v>
      </c>
      <c r="C333" s="786"/>
      <c r="D333" s="789"/>
      <c r="E333" s="789"/>
      <c r="F333" s="789"/>
      <c r="G333" s="1480">
        <v>2</v>
      </c>
      <c r="H333" s="1480"/>
      <c r="I333" s="1480"/>
      <c r="J333" s="1480" t="s">
        <v>1592</v>
      </c>
      <c r="K333" s="1459"/>
      <c r="L333" s="1459" t="s">
        <v>7343</v>
      </c>
      <c r="M333" s="785"/>
      <c r="AA333">
        <f>IF(AND('08 Exs'!C333&gt;Tmin, NOT('08 Exs'!$I333="")),'08 Exs'!$I333,0)</f>
        <v>0</v>
      </c>
      <c r="AB333">
        <f>IF(AND('08 Exs'!D333&gt;Tmin, NOT('08 Exs'!$I333="")),'08 Exs'!$I333,0)</f>
        <v>0</v>
      </c>
      <c r="AC333">
        <f>IF(AND('08 Exs'!E333&gt;Tmin, NOT('08 Exs'!$I333="")),'08 Exs'!$I333,0)</f>
        <v>0</v>
      </c>
      <c r="AD333">
        <f>IF(AND('08 Exs'!F333&gt;Tmin, NOT('08 Exs'!$I333="")),'08 Exs'!$I333,0)</f>
        <v>0</v>
      </c>
      <c r="AE333">
        <f>IF(AND('08 Exs'!C333&lt;Tmax, NOT('08 Exs'!$H333="")),'08 Exs'!$H333,4)</f>
        <v>4</v>
      </c>
      <c r="AF333">
        <f>IF(AND('08 Exs'!D333&lt;Tmax, NOT('08 Exs'!$H333="")),'08 Exs'!$H333,4)</f>
        <v>4</v>
      </c>
      <c r="AG333">
        <f>IF(AND('08 Exs'!E333&lt;Tmax, NOT('08 Exs'!$H333="")),'08 Exs'!$H333,4)</f>
        <v>4</v>
      </c>
      <c r="AH333">
        <f>IF(AND('08 Exs'!F333&lt;Tmax, NOT('08 Exs'!$H333="")),'08 Exs'!$H333,4)</f>
        <v>4</v>
      </c>
      <c r="AI333"/>
    </row>
    <row r="334" spans="1:35" ht="22.5" outlineLevel="2" x14ac:dyDescent="0.2">
      <c r="A334" s="636" t="s">
        <v>1730</v>
      </c>
      <c r="B334" s="636" t="s">
        <v>2850</v>
      </c>
      <c r="C334" s="786"/>
      <c r="D334" s="789"/>
      <c r="E334" s="789"/>
      <c r="F334" s="789"/>
      <c r="G334" s="1480">
        <v>2</v>
      </c>
      <c r="H334" s="1480"/>
      <c r="I334" s="1480"/>
      <c r="J334" s="1480" t="s">
        <v>2109</v>
      </c>
      <c r="K334" s="1459"/>
      <c r="L334" s="1459" t="s">
        <v>7343</v>
      </c>
      <c r="M334" s="785"/>
      <c r="AA334">
        <f>IF(AND('08 Exs'!C334&gt;Tmin, NOT('08 Exs'!$I334="")),'08 Exs'!$I334,0)</f>
        <v>0</v>
      </c>
      <c r="AB334">
        <f>IF(AND('08 Exs'!D334&gt;Tmin, NOT('08 Exs'!$I334="")),'08 Exs'!$I334,0)</f>
        <v>0</v>
      </c>
      <c r="AC334">
        <f>IF(AND('08 Exs'!E334&gt;Tmin, NOT('08 Exs'!$I334="")),'08 Exs'!$I334,0)</f>
        <v>0</v>
      </c>
      <c r="AD334">
        <f>IF(AND('08 Exs'!F334&gt;Tmin, NOT('08 Exs'!$I334="")),'08 Exs'!$I334,0)</f>
        <v>0</v>
      </c>
      <c r="AE334">
        <f>IF(AND('08 Exs'!C334&lt;Tmax, NOT('08 Exs'!$H334="")),'08 Exs'!$H334,4)</f>
        <v>4</v>
      </c>
      <c r="AF334">
        <f>IF(AND('08 Exs'!D334&lt;Tmax, NOT('08 Exs'!$H334="")),'08 Exs'!$H334,4)</f>
        <v>4</v>
      </c>
      <c r="AG334">
        <f>IF(AND('08 Exs'!E334&lt;Tmax, NOT('08 Exs'!$H334="")),'08 Exs'!$H334,4)</f>
        <v>4</v>
      </c>
      <c r="AH334">
        <f>IF(AND('08 Exs'!F334&lt;Tmax, NOT('08 Exs'!$H334="")),'08 Exs'!$H334,4)</f>
        <v>4</v>
      </c>
      <c r="AI334"/>
    </row>
    <row r="335" spans="1:35" outlineLevel="2" x14ac:dyDescent="0.2">
      <c r="A335" s="644" t="s">
        <v>1731</v>
      </c>
      <c r="B335" s="644" t="s">
        <v>1732</v>
      </c>
      <c r="C335" s="786"/>
      <c r="D335" s="789"/>
      <c r="E335" s="789"/>
      <c r="F335" s="789"/>
      <c r="G335" s="1481"/>
      <c r="H335" s="1480"/>
      <c r="I335" s="1480"/>
      <c r="J335" s="1485"/>
      <c r="K335" s="1486"/>
      <c r="L335" s="1459"/>
      <c r="M335" s="785"/>
      <c r="AA335"/>
      <c r="AB335"/>
      <c r="AC335"/>
      <c r="AD335"/>
      <c r="AE335"/>
      <c r="AF335"/>
      <c r="AG335"/>
      <c r="AH335"/>
      <c r="AI335"/>
    </row>
    <row r="336" spans="1:35" outlineLevel="2" x14ac:dyDescent="0.2">
      <c r="A336" s="633" t="s">
        <v>4301</v>
      </c>
      <c r="B336" s="634" t="s">
        <v>4579</v>
      </c>
      <c r="C336" s="786"/>
      <c r="D336" s="789"/>
      <c r="E336" s="789"/>
      <c r="F336" s="789"/>
      <c r="G336" s="1481"/>
      <c r="H336" s="1480"/>
      <c r="I336" s="1480"/>
      <c r="J336" s="1480"/>
      <c r="K336" s="1459"/>
      <c r="L336" s="1459"/>
      <c r="M336" s="785"/>
      <c r="AA336"/>
      <c r="AB336"/>
      <c r="AC336"/>
      <c r="AD336"/>
      <c r="AE336"/>
      <c r="AF336"/>
      <c r="AG336"/>
      <c r="AH336"/>
      <c r="AI336"/>
    </row>
    <row r="337" spans="1:35" s="648" customFormat="1" ht="22.5" outlineLevel="2" x14ac:dyDescent="0.2">
      <c r="A337" s="636" t="s">
        <v>1733</v>
      </c>
      <c r="B337" s="636" t="s">
        <v>1734</v>
      </c>
      <c r="C337" s="786"/>
      <c r="D337" s="789"/>
      <c r="E337" s="789"/>
      <c r="F337" s="789"/>
      <c r="G337" s="1482">
        <v>4</v>
      </c>
      <c r="H337" s="1480"/>
      <c r="I337" s="1480"/>
      <c r="J337" s="1480" t="s">
        <v>1592</v>
      </c>
      <c r="K337" s="1459" t="s">
        <v>6880</v>
      </c>
      <c r="L337" s="1459" t="s">
        <v>7344</v>
      </c>
      <c r="M337" s="785"/>
      <c r="N337" s="611"/>
      <c r="O337" s="611"/>
      <c r="P337" s="611"/>
      <c r="Q337" s="611"/>
      <c r="R337" s="611"/>
      <c r="S337" s="611"/>
      <c r="T337" s="611"/>
      <c r="U337" s="611"/>
      <c r="V337" s="611"/>
      <c r="W337" s="611"/>
      <c r="X337" s="611"/>
      <c r="Y337" s="611"/>
      <c r="Z337" s="611"/>
      <c r="AA337">
        <f>IF(AND('08 Exs'!C337&gt;Tmin, NOT('08 Exs'!$I337="")),'08 Exs'!$I337,0)</f>
        <v>0</v>
      </c>
      <c r="AB337">
        <f>IF(AND('08 Exs'!D337&gt;Tmin, NOT('08 Exs'!$I337="")),'08 Exs'!$I337,0)</f>
        <v>0</v>
      </c>
      <c r="AC337">
        <f>IF(AND('08 Exs'!E337&gt;Tmin, NOT('08 Exs'!$I337="")),'08 Exs'!$I337,0)</f>
        <v>0</v>
      </c>
      <c r="AD337">
        <f>IF(AND('08 Exs'!F337&gt;Tmin, NOT('08 Exs'!$I337="")),'08 Exs'!$I337,0)</f>
        <v>0</v>
      </c>
      <c r="AE337">
        <f>IF(AND('08 Exs'!C337&lt;Tmax, NOT('08 Exs'!$H337="")),'08 Exs'!$H337,4)</f>
        <v>4</v>
      </c>
      <c r="AF337">
        <f>IF(AND('08 Exs'!D337&lt;Tmax, NOT('08 Exs'!$H337="")),'08 Exs'!$H337,4)</f>
        <v>4</v>
      </c>
      <c r="AG337">
        <f>IF(AND('08 Exs'!E337&lt;Tmax, NOT('08 Exs'!$H337="")),'08 Exs'!$H337,4)</f>
        <v>4</v>
      </c>
      <c r="AH337">
        <f>IF(AND('08 Exs'!F337&lt;Tmax, NOT('08 Exs'!$H337="")),'08 Exs'!$H337,4)</f>
        <v>4</v>
      </c>
      <c r="AI337"/>
    </row>
    <row r="338" spans="1:35" s="648" customFormat="1" ht="56.25" outlineLevel="2" x14ac:dyDescent="0.2">
      <c r="A338" s="636" t="s">
        <v>1735</v>
      </c>
      <c r="B338" s="636" t="s">
        <v>5040</v>
      </c>
      <c r="C338" s="786"/>
      <c r="D338" s="789"/>
      <c r="E338" s="789"/>
      <c r="F338" s="789"/>
      <c r="G338" s="1482">
        <v>3</v>
      </c>
      <c r="H338" s="1480"/>
      <c r="I338" s="1480"/>
      <c r="J338" s="1480" t="s">
        <v>1592</v>
      </c>
      <c r="K338" s="1459" t="s">
        <v>6880</v>
      </c>
      <c r="L338" s="1459" t="s">
        <v>7344</v>
      </c>
      <c r="M338" s="785"/>
      <c r="N338" s="611"/>
      <c r="O338" s="611"/>
      <c r="P338" s="611"/>
      <c r="Q338" s="611"/>
      <c r="R338" s="611"/>
      <c r="S338" s="611"/>
      <c r="T338" s="611"/>
      <c r="U338" s="611"/>
      <c r="V338" s="611"/>
      <c r="W338" s="611"/>
      <c r="X338" s="611"/>
      <c r="Y338" s="611"/>
      <c r="Z338" s="611"/>
      <c r="AA338">
        <f>IF(AND('08 Exs'!C338&gt;Tmin, NOT('08 Exs'!$I338="")),'08 Exs'!$I338,0)</f>
        <v>0</v>
      </c>
      <c r="AB338">
        <f>IF(AND('08 Exs'!D338&gt;Tmin, NOT('08 Exs'!$I338="")),'08 Exs'!$I338,0)</f>
        <v>0</v>
      </c>
      <c r="AC338">
        <f>IF(AND('08 Exs'!E338&gt;Tmin, NOT('08 Exs'!$I338="")),'08 Exs'!$I338,0)</f>
        <v>0</v>
      </c>
      <c r="AD338">
        <f>IF(AND('08 Exs'!F338&gt;Tmin, NOT('08 Exs'!$I338="")),'08 Exs'!$I338,0)</f>
        <v>0</v>
      </c>
      <c r="AE338">
        <f>IF(AND('08 Exs'!C338&lt;Tmax, NOT('08 Exs'!$H338="")),'08 Exs'!$H338,4)</f>
        <v>4</v>
      </c>
      <c r="AF338">
        <f>IF(AND('08 Exs'!D338&lt;Tmax, NOT('08 Exs'!$H338="")),'08 Exs'!$H338,4)</f>
        <v>4</v>
      </c>
      <c r="AG338">
        <f>IF(AND('08 Exs'!E338&lt;Tmax, NOT('08 Exs'!$H338="")),'08 Exs'!$H338,4)</f>
        <v>4</v>
      </c>
      <c r="AH338">
        <f>IF(AND('08 Exs'!F338&lt;Tmax, NOT('08 Exs'!$H338="")),'08 Exs'!$H338,4)</f>
        <v>4</v>
      </c>
      <c r="AI338"/>
    </row>
    <row r="339" spans="1:35" s="648" customFormat="1" outlineLevel="2" collapsed="1" x14ac:dyDescent="0.2">
      <c r="A339" s="636" t="s">
        <v>1736</v>
      </c>
      <c r="B339" s="636" t="s">
        <v>2859</v>
      </c>
      <c r="C339" s="786"/>
      <c r="D339" s="789"/>
      <c r="E339" s="789"/>
      <c r="F339" s="789"/>
      <c r="G339" s="1482">
        <v>2</v>
      </c>
      <c r="H339" s="1480"/>
      <c r="I339" s="1480"/>
      <c r="J339" s="1480" t="s">
        <v>1592</v>
      </c>
      <c r="K339" s="1459" t="s">
        <v>6880</v>
      </c>
      <c r="L339" s="1459" t="s">
        <v>7344</v>
      </c>
      <c r="M339" s="785"/>
      <c r="N339" s="611"/>
      <c r="O339" s="611"/>
      <c r="P339" s="611"/>
      <c r="Q339" s="611"/>
      <c r="R339" s="611"/>
      <c r="S339" s="611"/>
      <c r="T339" s="611"/>
      <c r="U339" s="611"/>
      <c r="V339" s="611"/>
      <c r="W339" s="611"/>
      <c r="X339" s="611"/>
      <c r="Y339" s="611"/>
      <c r="Z339" s="611"/>
      <c r="AA339">
        <f>IF(AND('08 Exs'!C339&gt;Tmin, NOT('08 Exs'!$I339="")),'08 Exs'!$I339,0)</f>
        <v>0</v>
      </c>
      <c r="AB339">
        <f>IF(AND('08 Exs'!D339&gt;Tmin, NOT('08 Exs'!$I339="")),'08 Exs'!$I339,0)</f>
        <v>0</v>
      </c>
      <c r="AC339">
        <f>IF(AND('08 Exs'!E339&gt;Tmin, NOT('08 Exs'!$I339="")),'08 Exs'!$I339,0)</f>
        <v>0</v>
      </c>
      <c r="AD339">
        <f>IF(AND('08 Exs'!F339&gt;Tmin, NOT('08 Exs'!$I339="")),'08 Exs'!$I339,0)</f>
        <v>0</v>
      </c>
      <c r="AE339">
        <f>IF(AND('08 Exs'!C339&lt;Tmax, NOT('08 Exs'!$H339="")),'08 Exs'!$H339,4)</f>
        <v>4</v>
      </c>
      <c r="AF339">
        <f>IF(AND('08 Exs'!D339&lt;Tmax, NOT('08 Exs'!$H339="")),'08 Exs'!$H339,4)</f>
        <v>4</v>
      </c>
      <c r="AG339">
        <f>IF(AND('08 Exs'!E339&lt;Tmax, NOT('08 Exs'!$H339="")),'08 Exs'!$H339,4)</f>
        <v>4</v>
      </c>
      <c r="AH339">
        <f>IF(AND('08 Exs'!F339&lt;Tmax, NOT('08 Exs'!$H339="")),'08 Exs'!$H339,4)</f>
        <v>4</v>
      </c>
      <c r="AI339"/>
    </row>
    <row r="340" spans="1:35" s="648" customFormat="1" outlineLevel="2" x14ac:dyDescent="0.2">
      <c r="A340" s="636" t="s">
        <v>1737</v>
      </c>
      <c r="B340" s="636" t="s">
        <v>2861</v>
      </c>
      <c r="C340" s="786"/>
      <c r="D340" s="789"/>
      <c r="E340" s="789"/>
      <c r="F340" s="789"/>
      <c r="G340" s="1482">
        <v>2</v>
      </c>
      <c r="H340" s="1481"/>
      <c r="I340" s="1481"/>
      <c r="J340" s="1480" t="s">
        <v>2329</v>
      </c>
      <c r="K340" s="1459" t="s">
        <v>6880</v>
      </c>
      <c r="L340" s="1459" t="s">
        <v>7344</v>
      </c>
      <c r="M340" s="785"/>
      <c r="N340" s="611"/>
      <c r="O340" s="611"/>
      <c r="P340" s="611"/>
      <c r="Q340" s="611"/>
      <c r="R340" s="611"/>
      <c r="S340" s="611"/>
      <c r="T340" s="611"/>
      <c r="U340" s="611"/>
      <c r="V340" s="611"/>
      <c r="W340" s="611"/>
      <c r="X340" s="611"/>
      <c r="Y340" s="611"/>
      <c r="Z340" s="611"/>
      <c r="AA340">
        <f>IF(AND('08 Exs'!C340&gt;Tmin, NOT('08 Exs'!$I340="")),'08 Exs'!$I340,0)</f>
        <v>0</v>
      </c>
      <c r="AB340">
        <f>IF(AND('08 Exs'!D340&gt;Tmin, NOT('08 Exs'!$I340="")),'08 Exs'!$I340,0)</f>
        <v>0</v>
      </c>
      <c r="AC340">
        <f>IF(AND('08 Exs'!E340&gt;Tmin, NOT('08 Exs'!$I340="")),'08 Exs'!$I340,0)</f>
        <v>0</v>
      </c>
      <c r="AD340">
        <f>IF(AND('08 Exs'!F340&gt;Tmin, NOT('08 Exs'!$I340="")),'08 Exs'!$I340,0)</f>
        <v>0</v>
      </c>
      <c r="AE340">
        <f>IF(AND('08 Exs'!C340&lt;Tmax, NOT('08 Exs'!$H340="")),'08 Exs'!$H340,4)</f>
        <v>4</v>
      </c>
      <c r="AF340">
        <f>IF(AND('08 Exs'!D340&lt;Tmax, NOT('08 Exs'!$H340="")),'08 Exs'!$H340,4)</f>
        <v>4</v>
      </c>
      <c r="AG340">
        <f>IF(AND('08 Exs'!E340&lt;Tmax, NOT('08 Exs'!$H340="")),'08 Exs'!$H340,4)</f>
        <v>4</v>
      </c>
      <c r="AH340">
        <f>IF(AND('08 Exs'!F340&lt;Tmax, NOT('08 Exs'!$H340="")),'08 Exs'!$H340,4)</f>
        <v>4</v>
      </c>
      <c r="AI340"/>
    </row>
    <row r="341" spans="1:35" s="648" customFormat="1" outlineLevel="2" x14ac:dyDescent="0.2">
      <c r="A341" s="633" t="s">
        <v>4302</v>
      </c>
      <c r="B341" s="634" t="s">
        <v>4580</v>
      </c>
      <c r="C341" s="786"/>
      <c r="D341" s="789"/>
      <c r="E341" s="789"/>
      <c r="F341" s="789"/>
      <c r="G341" s="1482"/>
      <c r="H341" s="1481"/>
      <c r="I341" s="1481"/>
      <c r="J341" s="1481"/>
      <c r="K341" s="1459"/>
      <c r="L341" s="1459"/>
      <c r="M341" s="785"/>
      <c r="N341" s="611"/>
      <c r="O341" s="611"/>
      <c r="P341" s="611"/>
      <c r="Q341" s="611"/>
      <c r="R341" s="611"/>
      <c r="S341" s="611"/>
      <c r="T341" s="611"/>
      <c r="U341" s="611"/>
      <c r="V341" s="611"/>
      <c r="W341" s="611"/>
      <c r="X341" s="611"/>
      <c r="Y341" s="611"/>
      <c r="Z341" s="611"/>
      <c r="AA341"/>
      <c r="AB341"/>
      <c r="AC341"/>
      <c r="AD341"/>
      <c r="AE341"/>
      <c r="AF341"/>
      <c r="AG341"/>
      <c r="AH341"/>
      <c r="AI341"/>
    </row>
    <row r="342" spans="1:35" s="648" customFormat="1" ht="22.5" outlineLevel="2" x14ac:dyDescent="0.2">
      <c r="A342" s="636" t="s">
        <v>1738</v>
      </c>
      <c r="B342" s="636" t="s">
        <v>6511</v>
      </c>
      <c r="C342" s="786"/>
      <c r="D342" s="789"/>
      <c r="E342" s="789"/>
      <c r="F342" s="789"/>
      <c r="G342" s="1482">
        <v>3</v>
      </c>
      <c r="H342" s="1481"/>
      <c r="I342" s="1481"/>
      <c r="J342" s="1480" t="s">
        <v>1592</v>
      </c>
      <c r="K342" s="1459"/>
      <c r="L342" s="1459" t="s">
        <v>7345</v>
      </c>
      <c r="M342" s="785"/>
      <c r="N342" s="611"/>
      <c r="O342" s="611"/>
      <c r="P342" s="611"/>
      <c r="Q342" s="611"/>
      <c r="R342" s="611"/>
      <c r="S342" s="611"/>
      <c r="T342" s="611"/>
      <c r="U342" s="611"/>
      <c r="V342" s="611"/>
      <c r="W342" s="611"/>
      <c r="X342" s="611"/>
      <c r="Y342" s="611"/>
      <c r="Z342" s="611"/>
      <c r="AA342">
        <f>IF(AND('08 Exs'!C342&gt;Tmin, NOT('08 Exs'!$I342="")),'08 Exs'!$I342,0)</f>
        <v>0</v>
      </c>
      <c r="AB342">
        <f>IF(AND('08 Exs'!D342&gt;Tmin, NOT('08 Exs'!$I342="")),'08 Exs'!$I342,0)</f>
        <v>0</v>
      </c>
      <c r="AC342">
        <f>IF(AND('08 Exs'!E342&gt;Tmin, NOT('08 Exs'!$I342="")),'08 Exs'!$I342,0)</f>
        <v>0</v>
      </c>
      <c r="AD342">
        <f>IF(AND('08 Exs'!F342&gt;Tmin, NOT('08 Exs'!$I342="")),'08 Exs'!$I342,0)</f>
        <v>0</v>
      </c>
      <c r="AE342">
        <f>IF(AND('08 Exs'!C342&lt;Tmax, NOT('08 Exs'!$H342="")),'08 Exs'!$H342,4)</f>
        <v>4</v>
      </c>
      <c r="AF342">
        <f>IF(AND('08 Exs'!D342&lt;Tmax, NOT('08 Exs'!$H342="")),'08 Exs'!$H342,4)</f>
        <v>4</v>
      </c>
      <c r="AG342">
        <f>IF(AND('08 Exs'!E342&lt;Tmax, NOT('08 Exs'!$H342="")),'08 Exs'!$H342,4)</f>
        <v>4</v>
      </c>
      <c r="AH342">
        <f>IF(AND('08 Exs'!F342&lt;Tmax, NOT('08 Exs'!$H342="")),'08 Exs'!$H342,4)</f>
        <v>4</v>
      </c>
      <c r="AI342"/>
    </row>
    <row r="343" spans="1:35" s="648" customFormat="1" outlineLevel="2" collapsed="1" x14ac:dyDescent="0.2">
      <c r="A343" s="636" t="s">
        <v>1739</v>
      </c>
      <c r="B343" s="636" t="s">
        <v>6202</v>
      </c>
      <c r="C343" s="786"/>
      <c r="D343" s="789"/>
      <c r="E343" s="789"/>
      <c r="F343" s="789"/>
      <c r="G343" s="1482">
        <v>3</v>
      </c>
      <c r="H343" s="1481"/>
      <c r="I343" s="1481"/>
      <c r="J343" s="1480" t="s">
        <v>1592</v>
      </c>
      <c r="K343" s="1459"/>
      <c r="L343" s="1459" t="s">
        <v>7345</v>
      </c>
      <c r="M343" s="785"/>
      <c r="N343" s="611"/>
      <c r="O343" s="611"/>
      <c r="P343" s="611"/>
      <c r="Q343" s="611"/>
      <c r="R343" s="611"/>
      <c r="S343" s="611"/>
      <c r="T343" s="611"/>
      <c r="U343" s="611"/>
      <c r="V343" s="611"/>
      <c r="W343" s="611"/>
      <c r="X343" s="611"/>
      <c r="Y343" s="611"/>
      <c r="Z343" s="611"/>
      <c r="AA343">
        <f>IF(AND('08 Exs'!C343&gt;Tmin, NOT('08 Exs'!$I343="")),'08 Exs'!$I343,0)</f>
        <v>0</v>
      </c>
      <c r="AB343">
        <f>IF(AND('08 Exs'!D343&gt;Tmin, NOT('08 Exs'!$I343="")),'08 Exs'!$I343,0)</f>
        <v>0</v>
      </c>
      <c r="AC343">
        <f>IF(AND('08 Exs'!E343&gt;Tmin, NOT('08 Exs'!$I343="")),'08 Exs'!$I343,0)</f>
        <v>0</v>
      </c>
      <c r="AD343">
        <f>IF(AND('08 Exs'!F343&gt;Tmin, NOT('08 Exs'!$I343="")),'08 Exs'!$I343,0)</f>
        <v>0</v>
      </c>
      <c r="AE343">
        <f>IF(AND('08 Exs'!C343&lt;Tmax, NOT('08 Exs'!$H343="")),'08 Exs'!$H343,4)</f>
        <v>4</v>
      </c>
      <c r="AF343">
        <f>IF(AND('08 Exs'!D343&lt;Tmax, NOT('08 Exs'!$H343="")),'08 Exs'!$H343,4)</f>
        <v>4</v>
      </c>
      <c r="AG343">
        <f>IF(AND('08 Exs'!E343&lt;Tmax, NOT('08 Exs'!$H343="")),'08 Exs'!$H343,4)</f>
        <v>4</v>
      </c>
      <c r="AH343">
        <f>IF(AND('08 Exs'!F343&lt;Tmax, NOT('08 Exs'!$H343="")),'08 Exs'!$H343,4)</f>
        <v>4</v>
      </c>
      <c r="AI343"/>
    </row>
    <row r="344" spans="1:35" ht="22.5" outlineLevel="2" x14ac:dyDescent="0.2">
      <c r="A344" s="636" t="s">
        <v>1740</v>
      </c>
      <c r="B344" s="636" t="s">
        <v>4997</v>
      </c>
      <c r="C344" s="786"/>
      <c r="D344" s="789"/>
      <c r="E344" s="789"/>
      <c r="F344" s="789"/>
      <c r="G344" s="1482">
        <v>2</v>
      </c>
      <c r="H344" s="1481"/>
      <c r="I344" s="1481"/>
      <c r="J344" s="1480" t="s">
        <v>1592</v>
      </c>
      <c r="K344" s="1459"/>
      <c r="L344" s="1459" t="s">
        <v>7345</v>
      </c>
      <c r="M344" s="785"/>
      <c r="AA344">
        <f>IF(AND('08 Exs'!C344&gt;Tmin, NOT('08 Exs'!$I344="")),'08 Exs'!$I344,0)</f>
        <v>0</v>
      </c>
      <c r="AB344">
        <f>IF(AND('08 Exs'!D344&gt;Tmin, NOT('08 Exs'!$I344="")),'08 Exs'!$I344,0)</f>
        <v>0</v>
      </c>
      <c r="AC344">
        <f>IF(AND('08 Exs'!E344&gt;Tmin, NOT('08 Exs'!$I344="")),'08 Exs'!$I344,0)</f>
        <v>0</v>
      </c>
      <c r="AD344">
        <f>IF(AND('08 Exs'!F344&gt;Tmin, NOT('08 Exs'!$I344="")),'08 Exs'!$I344,0)</f>
        <v>0</v>
      </c>
      <c r="AE344">
        <f>IF(AND('08 Exs'!C344&lt;Tmax, NOT('08 Exs'!$H344="")),'08 Exs'!$H344,4)</f>
        <v>4</v>
      </c>
      <c r="AF344">
        <f>IF(AND('08 Exs'!D344&lt;Tmax, NOT('08 Exs'!$H344="")),'08 Exs'!$H344,4)</f>
        <v>4</v>
      </c>
      <c r="AG344">
        <f>IF(AND('08 Exs'!E344&lt;Tmax, NOT('08 Exs'!$H344="")),'08 Exs'!$H344,4)</f>
        <v>4</v>
      </c>
      <c r="AH344">
        <f>IF(AND('08 Exs'!F344&lt;Tmax, NOT('08 Exs'!$H344="")),'08 Exs'!$H344,4)</f>
        <v>4</v>
      </c>
      <c r="AI344"/>
    </row>
    <row r="345" spans="1:35" x14ac:dyDescent="0.2">
      <c r="A345" s="644" t="s">
        <v>1741</v>
      </c>
      <c r="B345" s="644" t="s">
        <v>1138</v>
      </c>
      <c r="C345" s="786"/>
      <c r="D345" s="789"/>
      <c r="E345" s="789"/>
      <c r="F345" s="789"/>
      <c r="G345" s="1481"/>
      <c r="H345" s="1480"/>
      <c r="I345" s="1480"/>
      <c r="J345" s="1485"/>
      <c r="K345" s="1486"/>
      <c r="L345" s="1459"/>
      <c r="M345" s="785"/>
      <c r="AA345"/>
      <c r="AB345"/>
      <c r="AC345"/>
      <c r="AD345"/>
      <c r="AE345"/>
      <c r="AF345"/>
      <c r="AG345"/>
      <c r="AH345"/>
      <c r="AI345"/>
    </row>
    <row r="346" spans="1:35" s="648" customFormat="1" x14ac:dyDescent="0.2">
      <c r="A346" s="633" t="s">
        <v>4253</v>
      </c>
      <c r="B346" s="634" t="s">
        <v>5564</v>
      </c>
      <c r="C346" s="786"/>
      <c r="D346" s="789"/>
      <c r="E346" s="789"/>
      <c r="F346" s="789"/>
      <c r="G346" s="1487"/>
      <c r="H346" s="1487"/>
      <c r="I346" s="1487"/>
      <c r="J346" s="1487"/>
      <c r="K346" s="1488"/>
      <c r="L346" s="1488"/>
      <c r="M346" s="793"/>
      <c r="N346" s="611"/>
      <c r="O346" s="611"/>
      <c r="P346" s="611"/>
      <c r="Q346" s="611"/>
      <c r="R346" s="611"/>
      <c r="S346" s="611"/>
      <c r="T346" s="611"/>
      <c r="U346" s="611"/>
      <c r="V346" s="611"/>
      <c r="W346" s="611"/>
      <c r="X346" s="611"/>
      <c r="Y346" s="611"/>
      <c r="Z346" s="611"/>
      <c r="AA346"/>
      <c r="AB346"/>
      <c r="AC346"/>
      <c r="AD346"/>
      <c r="AE346"/>
      <c r="AF346"/>
      <c r="AG346"/>
      <c r="AH346"/>
      <c r="AI346"/>
    </row>
    <row r="347" spans="1:35" s="648" customFormat="1" outlineLevel="2" x14ac:dyDescent="0.2">
      <c r="A347" s="636" t="s">
        <v>1125</v>
      </c>
      <c r="B347" s="636" t="s">
        <v>1126</v>
      </c>
      <c r="C347" s="786"/>
      <c r="D347" s="789"/>
      <c r="E347" s="789"/>
      <c r="F347" s="789"/>
      <c r="G347" s="1487">
        <v>4</v>
      </c>
      <c r="H347" s="1487"/>
      <c r="I347" s="1487"/>
      <c r="J347" s="1487" t="s">
        <v>1592</v>
      </c>
      <c r="K347" s="1488"/>
      <c r="L347" s="1488"/>
      <c r="M347" s="793"/>
      <c r="N347" s="611"/>
      <c r="O347" s="611"/>
      <c r="P347" s="611"/>
      <c r="Q347" s="611"/>
      <c r="R347" s="611"/>
      <c r="S347" s="611"/>
      <c r="T347" s="611"/>
      <c r="U347" s="611"/>
      <c r="V347" s="611"/>
      <c r="W347" s="611"/>
      <c r="X347" s="611"/>
      <c r="Y347" s="611"/>
      <c r="Z347" s="611"/>
      <c r="AA347">
        <f>IF(AND('08 Exs'!C347&gt;Tmin, NOT('08 Exs'!$I347="")),'08 Exs'!$I347,0)</f>
        <v>0</v>
      </c>
      <c r="AB347">
        <f>IF(AND('08 Exs'!D347&gt;Tmin, NOT('08 Exs'!$I347="")),'08 Exs'!$I347,0)</f>
        <v>0</v>
      </c>
      <c r="AC347">
        <f>IF(AND('08 Exs'!E347&gt;Tmin, NOT('08 Exs'!$I347="")),'08 Exs'!$I347,0)</f>
        <v>0</v>
      </c>
      <c r="AD347">
        <f>IF(AND('08 Exs'!F347&gt;Tmin, NOT('08 Exs'!$I347="")),'08 Exs'!$I347,0)</f>
        <v>0</v>
      </c>
      <c r="AE347">
        <f>IF(AND('08 Exs'!C347&lt;Tmax, NOT('08 Exs'!$H347="")),'08 Exs'!$H347,4)</f>
        <v>4</v>
      </c>
      <c r="AF347">
        <f>IF(AND('08 Exs'!D347&lt;Tmax, NOT('08 Exs'!$H347="")),'08 Exs'!$H347,4)</f>
        <v>4</v>
      </c>
      <c r="AG347">
        <f>IF(AND('08 Exs'!E347&lt;Tmax, NOT('08 Exs'!$H347="")),'08 Exs'!$H347,4)</f>
        <v>4</v>
      </c>
      <c r="AH347">
        <f>IF(AND('08 Exs'!F347&lt;Tmax, NOT('08 Exs'!$H347="")),'08 Exs'!$H347,4)</f>
        <v>4</v>
      </c>
      <c r="AI347"/>
    </row>
    <row r="348" spans="1:35" s="648" customFormat="1" ht="22.5" outlineLevel="2" x14ac:dyDescent="0.2">
      <c r="A348" s="636" t="s">
        <v>5565</v>
      </c>
      <c r="B348" s="636" t="s">
        <v>2820</v>
      </c>
      <c r="C348" s="786"/>
      <c r="D348" s="789"/>
      <c r="E348" s="789"/>
      <c r="F348" s="789"/>
      <c r="G348" s="1487">
        <v>4</v>
      </c>
      <c r="H348" s="1487"/>
      <c r="I348" s="1487"/>
      <c r="J348" s="1487" t="s">
        <v>1592</v>
      </c>
      <c r="K348" s="1488"/>
      <c r="L348" s="1488"/>
      <c r="M348" s="793"/>
      <c r="N348" s="611"/>
      <c r="O348" s="611"/>
      <c r="P348" s="611"/>
      <c r="Q348" s="611"/>
      <c r="R348" s="611"/>
      <c r="S348" s="611"/>
      <c r="T348" s="611"/>
      <c r="U348" s="611"/>
      <c r="V348" s="611"/>
      <c r="W348" s="611"/>
      <c r="X348" s="611"/>
      <c r="Y348" s="611"/>
      <c r="Z348" s="611"/>
      <c r="AA348">
        <f>IF(AND('08 Exs'!C348&gt;Tmin, NOT('08 Exs'!$I348="")),'08 Exs'!$I348,0)</f>
        <v>0</v>
      </c>
      <c r="AB348">
        <f>IF(AND('08 Exs'!D348&gt;Tmin, NOT('08 Exs'!$I348="")),'08 Exs'!$I348,0)</f>
        <v>0</v>
      </c>
      <c r="AC348">
        <f>IF(AND('08 Exs'!E348&gt;Tmin, NOT('08 Exs'!$I348="")),'08 Exs'!$I348,0)</f>
        <v>0</v>
      </c>
      <c r="AD348">
        <f>IF(AND('08 Exs'!F348&gt;Tmin, NOT('08 Exs'!$I348="")),'08 Exs'!$I348,0)</f>
        <v>0</v>
      </c>
      <c r="AE348">
        <f>IF(AND('08 Exs'!C348&lt;Tmax, NOT('08 Exs'!$H348="")),'08 Exs'!$H348,4)</f>
        <v>4</v>
      </c>
      <c r="AF348">
        <f>IF(AND('08 Exs'!D348&lt;Tmax, NOT('08 Exs'!$H348="")),'08 Exs'!$H348,4)</f>
        <v>4</v>
      </c>
      <c r="AG348">
        <f>IF(AND('08 Exs'!E348&lt;Tmax, NOT('08 Exs'!$H348="")),'08 Exs'!$H348,4)</f>
        <v>4</v>
      </c>
      <c r="AH348">
        <f>IF(AND('08 Exs'!F348&lt;Tmax, NOT('08 Exs'!$H348="")),'08 Exs'!$H348,4)</f>
        <v>4</v>
      </c>
      <c r="AI348"/>
    </row>
    <row r="349" spans="1:35" s="648" customFormat="1" ht="22.5" outlineLevel="2" x14ac:dyDescent="0.2">
      <c r="A349" s="636" t="s">
        <v>5566</v>
      </c>
      <c r="B349" s="636" t="s">
        <v>6522</v>
      </c>
      <c r="C349" s="786"/>
      <c r="D349" s="702"/>
      <c r="E349" s="702"/>
      <c r="F349" s="702"/>
      <c r="G349" s="1480">
        <v>4</v>
      </c>
      <c r="H349" s="1480">
        <v>1</v>
      </c>
      <c r="I349" s="1480"/>
      <c r="J349" s="1480" t="s">
        <v>4246</v>
      </c>
      <c r="K349" s="1459"/>
      <c r="L349" s="1459"/>
      <c r="M349" s="785"/>
      <c r="N349" s="611"/>
      <c r="O349" s="611"/>
      <c r="P349" s="611"/>
      <c r="Q349" s="611"/>
      <c r="R349" s="611"/>
      <c r="S349" s="611"/>
      <c r="T349" s="611"/>
      <c r="U349" s="611"/>
      <c r="V349" s="611"/>
      <c r="W349" s="611"/>
      <c r="X349" s="611"/>
      <c r="Y349" s="611"/>
      <c r="Z349" s="611"/>
      <c r="AA349">
        <f>IF(AND('08 Exs'!C349&gt;Tmin, NOT('08 Exs'!$I349="")),'08 Exs'!$I349,0)</f>
        <v>0</v>
      </c>
      <c r="AB349">
        <f>IF(AND('08 Exs'!D349&gt;Tmin, NOT('08 Exs'!$I349="")),'08 Exs'!$I349,0)</f>
        <v>0</v>
      </c>
      <c r="AC349">
        <f>IF(AND('08 Exs'!E349&gt;Tmin, NOT('08 Exs'!$I349="")),'08 Exs'!$I349,0)</f>
        <v>0</v>
      </c>
      <c r="AD349">
        <f>IF(AND('08 Exs'!F349&gt;Tmin, NOT('08 Exs'!$I349="")),'08 Exs'!$I349,0)</f>
        <v>0</v>
      </c>
      <c r="AE349">
        <f>IF(AND('08 Exs'!C349&lt;Tmax, NOT('08 Exs'!$H349="")),'08 Exs'!$H349,4)</f>
        <v>1</v>
      </c>
      <c r="AF349">
        <f>IF(AND('08 Exs'!D349&lt;Tmax, NOT('08 Exs'!$H349="")),'08 Exs'!$H349,4)</f>
        <v>1</v>
      </c>
      <c r="AG349">
        <f>IF(AND('08 Exs'!E349&lt;Tmax, NOT('08 Exs'!$H349="")),'08 Exs'!$H349,4)</f>
        <v>1</v>
      </c>
      <c r="AH349">
        <f>IF(AND('08 Exs'!F349&lt;Tmax, NOT('08 Exs'!$H349="")),'08 Exs'!$H349,4)</f>
        <v>1</v>
      </c>
      <c r="AI349"/>
    </row>
    <row r="350" spans="1:35" s="648" customFormat="1" ht="45" outlineLevel="2" x14ac:dyDescent="0.2">
      <c r="A350" s="636" t="s">
        <v>5567</v>
      </c>
      <c r="B350" s="636" t="s">
        <v>5340</v>
      </c>
      <c r="C350" s="786"/>
      <c r="D350" s="702"/>
      <c r="E350" s="702"/>
      <c r="F350" s="702"/>
      <c r="G350" s="1480">
        <v>4</v>
      </c>
      <c r="H350" s="1480"/>
      <c r="I350" s="1480"/>
      <c r="J350" s="1480" t="s">
        <v>4246</v>
      </c>
      <c r="K350" s="1458" t="s">
        <v>7142</v>
      </c>
      <c r="L350" s="1459" t="s">
        <v>7369</v>
      </c>
      <c r="M350" s="785"/>
      <c r="N350" s="611"/>
      <c r="O350" s="611"/>
      <c r="P350" s="611"/>
      <c r="Q350" s="611"/>
      <c r="R350" s="611"/>
      <c r="S350" s="611"/>
      <c r="T350" s="611"/>
      <c r="U350" s="611"/>
      <c r="V350" s="611"/>
      <c r="W350" s="611"/>
      <c r="X350" s="611"/>
      <c r="Y350" s="611"/>
      <c r="Z350" s="611"/>
      <c r="AA350">
        <f>IF(AND('08 Exs'!C350&gt;Tmin, NOT('08 Exs'!$I350="")),'08 Exs'!$I350,0)</f>
        <v>0</v>
      </c>
      <c r="AB350">
        <f>IF(AND('08 Exs'!D350&gt;Tmin, NOT('08 Exs'!$I350="")),'08 Exs'!$I350,0)</f>
        <v>0</v>
      </c>
      <c r="AC350">
        <f>IF(AND('08 Exs'!E350&gt;Tmin, NOT('08 Exs'!$I350="")),'08 Exs'!$I350,0)</f>
        <v>0</v>
      </c>
      <c r="AD350">
        <f>IF(AND('08 Exs'!F350&gt;Tmin, NOT('08 Exs'!$I350="")),'08 Exs'!$I350,0)</f>
        <v>0</v>
      </c>
      <c r="AE350">
        <f>IF(AND('08 Exs'!C350&lt;Tmax, NOT('08 Exs'!$H350="")),'08 Exs'!$H350,4)</f>
        <v>4</v>
      </c>
      <c r="AF350">
        <f>IF(AND('08 Exs'!D350&lt;Tmax, NOT('08 Exs'!$H350="")),'08 Exs'!$H350,4)</f>
        <v>4</v>
      </c>
      <c r="AG350">
        <f>IF(AND('08 Exs'!E350&lt;Tmax, NOT('08 Exs'!$H350="")),'08 Exs'!$H350,4)</f>
        <v>4</v>
      </c>
      <c r="AH350">
        <f>IF(AND('08 Exs'!F350&lt;Tmax, NOT('08 Exs'!$H350="")),'08 Exs'!$H350,4)</f>
        <v>4</v>
      </c>
      <c r="AI350"/>
    </row>
    <row r="351" spans="1:35" s="648" customFormat="1" ht="56.25" outlineLevel="2" x14ac:dyDescent="0.2">
      <c r="A351" s="636" t="s">
        <v>5568</v>
      </c>
      <c r="B351" s="636" t="s">
        <v>4514</v>
      </c>
      <c r="C351" s="786"/>
      <c r="D351" s="702"/>
      <c r="E351" s="702"/>
      <c r="F351" s="702"/>
      <c r="G351" s="1480">
        <v>4</v>
      </c>
      <c r="H351" s="1480">
        <v>1</v>
      </c>
      <c r="I351" s="1480"/>
      <c r="J351" s="1480" t="s">
        <v>1592</v>
      </c>
      <c r="K351" s="1458" t="s">
        <v>6891</v>
      </c>
      <c r="L351" s="1459" t="s">
        <v>5072</v>
      </c>
      <c r="M351" s="788"/>
      <c r="N351" s="611"/>
      <c r="O351" s="611"/>
      <c r="P351" s="611"/>
      <c r="Q351" s="611"/>
      <c r="R351" s="611"/>
      <c r="S351" s="611"/>
      <c r="T351" s="611"/>
      <c r="U351" s="611"/>
      <c r="V351" s="611"/>
      <c r="W351" s="611"/>
      <c r="X351" s="611"/>
      <c r="Y351" s="611"/>
      <c r="Z351" s="611"/>
      <c r="AA351">
        <f>IF(AND('08 Exs'!C351&gt;Tmin, NOT('08 Exs'!$I351="")),'08 Exs'!$I351,0)</f>
        <v>0</v>
      </c>
      <c r="AB351">
        <f>IF(AND('08 Exs'!D351&gt;Tmin, NOT('08 Exs'!$I351="")),'08 Exs'!$I351,0)</f>
        <v>0</v>
      </c>
      <c r="AC351">
        <f>IF(AND('08 Exs'!E351&gt;Tmin, NOT('08 Exs'!$I351="")),'08 Exs'!$I351,0)</f>
        <v>0</v>
      </c>
      <c r="AD351">
        <f>IF(AND('08 Exs'!F351&gt;Tmin, NOT('08 Exs'!$I351="")),'08 Exs'!$I351,0)</f>
        <v>0</v>
      </c>
      <c r="AE351">
        <f>IF(AND('08 Exs'!C351&lt;Tmax, NOT('08 Exs'!$H351="")),'08 Exs'!$H351,4)</f>
        <v>1</v>
      </c>
      <c r="AF351">
        <f>IF(AND('08 Exs'!D351&lt;Tmax, NOT('08 Exs'!$H351="")),'08 Exs'!$H351,4)</f>
        <v>1</v>
      </c>
      <c r="AG351">
        <f>IF(AND('08 Exs'!E351&lt;Tmax, NOT('08 Exs'!$H351="")),'08 Exs'!$H351,4)</f>
        <v>1</v>
      </c>
      <c r="AH351">
        <f>IF(AND('08 Exs'!F351&lt;Tmax, NOT('08 Exs'!$H351="")),'08 Exs'!$H351,4)</f>
        <v>1</v>
      </c>
      <c r="AI351"/>
    </row>
    <row r="352" spans="1:35" s="648" customFormat="1" outlineLevel="2" x14ac:dyDescent="0.2">
      <c r="A352" s="636" t="s">
        <v>6184</v>
      </c>
      <c r="B352" s="636" t="s">
        <v>5055</v>
      </c>
      <c r="C352" s="786"/>
      <c r="D352" s="702"/>
      <c r="E352" s="702"/>
      <c r="F352" s="702"/>
      <c r="G352" s="1480">
        <v>2</v>
      </c>
      <c r="H352" s="1480">
        <v>1</v>
      </c>
      <c r="I352" s="1480"/>
      <c r="J352" s="1480" t="s">
        <v>1592</v>
      </c>
      <c r="K352" s="1458" t="s">
        <v>6891</v>
      </c>
      <c r="L352" s="1459" t="s">
        <v>5072</v>
      </c>
      <c r="M352" s="788"/>
      <c r="N352" s="611"/>
      <c r="O352" s="611"/>
      <c r="P352" s="611"/>
      <c r="Q352" s="611"/>
      <c r="R352" s="611"/>
      <c r="S352" s="611"/>
      <c r="T352" s="611"/>
      <c r="U352" s="611"/>
      <c r="V352" s="611"/>
      <c r="W352" s="611"/>
      <c r="X352" s="611"/>
      <c r="Y352" s="611"/>
      <c r="Z352" s="611"/>
      <c r="AA352">
        <f>IF(AND('08 Exs'!C352&gt;Tmin, NOT('08 Exs'!$I352="")),'08 Exs'!$I352,0)</f>
        <v>0</v>
      </c>
      <c r="AB352">
        <f>IF(AND('08 Exs'!D352&gt;Tmin, NOT('08 Exs'!$I352="")),'08 Exs'!$I352,0)</f>
        <v>0</v>
      </c>
      <c r="AC352">
        <f>IF(AND('08 Exs'!E352&gt;Tmin, NOT('08 Exs'!$I352="")),'08 Exs'!$I352,0)</f>
        <v>0</v>
      </c>
      <c r="AD352">
        <f>IF(AND('08 Exs'!F352&gt;Tmin, NOT('08 Exs'!$I352="")),'08 Exs'!$I352,0)</f>
        <v>0</v>
      </c>
      <c r="AE352">
        <f>IF(AND('08 Exs'!C352&lt;Tmax, NOT('08 Exs'!$H352="")),'08 Exs'!$H352,4)</f>
        <v>1</v>
      </c>
      <c r="AF352">
        <f>IF(AND('08 Exs'!D352&lt;Tmax, NOT('08 Exs'!$H352="")),'08 Exs'!$H352,4)</f>
        <v>1</v>
      </c>
      <c r="AG352">
        <f>IF(AND('08 Exs'!E352&lt;Tmax, NOT('08 Exs'!$H352="")),'08 Exs'!$H352,4)</f>
        <v>1</v>
      </c>
      <c r="AH352">
        <f>IF(AND('08 Exs'!F352&lt;Tmax, NOT('08 Exs'!$H352="")),'08 Exs'!$H352,4)</f>
        <v>1</v>
      </c>
      <c r="AI352"/>
    </row>
    <row r="353" spans="1:35" s="648" customFormat="1" outlineLevel="2" x14ac:dyDescent="0.2">
      <c r="A353" s="636" t="s">
        <v>6185</v>
      </c>
      <c r="B353" s="636" t="s">
        <v>5569</v>
      </c>
      <c r="C353" s="786"/>
      <c r="D353" s="789"/>
      <c r="E353" s="789"/>
      <c r="F353" s="789"/>
      <c r="G353" s="1487">
        <v>4</v>
      </c>
      <c r="H353" s="1487"/>
      <c r="I353" s="1487"/>
      <c r="J353" s="1487" t="s">
        <v>2109</v>
      </c>
      <c r="K353" s="1488"/>
      <c r="L353" s="1488"/>
      <c r="M353" s="793"/>
      <c r="N353" s="611"/>
      <c r="O353" s="611"/>
      <c r="P353" s="611"/>
      <c r="Q353" s="611"/>
      <c r="R353" s="611"/>
      <c r="S353" s="611"/>
      <c r="T353" s="611"/>
      <c r="U353" s="611"/>
      <c r="V353" s="611"/>
      <c r="W353" s="611"/>
      <c r="X353" s="611"/>
      <c r="Y353" s="611"/>
      <c r="Z353" s="611"/>
      <c r="AA353">
        <f>IF(AND('08 Exs'!C353&gt;Tmin, NOT('08 Exs'!$I353="")),'08 Exs'!$I353,0)</f>
        <v>0</v>
      </c>
      <c r="AB353">
        <f>IF(AND('08 Exs'!D353&gt;Tmin, NOT('08 Exs'!$I353="")),'08 Exs'!$I353,0)</f>
        <v>0</v>
      </c>
      <c r="AC353">
        <f>IF(AND('08 Exs'!E353&gt;Tmin, NOT('08 Exs'!$I353="")),'08 Exs'!$I353,0)</f>
        <v>0</v>
      </c>
      <c r="AD353">
        <f>IF(AND('08 Exs'!F353&gt;Tmin, NOT('08 Exs'!$I353="")),'08 Exs'!$I353,0)</f>
        <v>0</v>
      </c>
      <c r="AE353">
        <f>IF(AND('08 Exs'!C353&lt;Tmax, NOT('08 Exs'!$H353="")),'08 Exs'!$H353,4)</f>
        <v>4</v>
      </c>
      <c r="AF353">
        <f>IF(AND('08 Exs'!D353&lt;Tmax, NOT('08 Exs'!$H353="")),'08 Exs'!$H353,4)</f>
        <v>4</v>
      </c>
      <c r="AG353">
        <f>IF(AND('08 Exs'!E353&lt;Tmax, NOT('08 Exs'!$H353="")),'08 Exs'!$H353,4)</f>
        <v>4</v>
      </c>
      <c r="AH353">
        <f>IF(AND('08 Exs'!F353&lt;Tmax, NOT('08 Exs'!$H353="")),'08 Exs'!$H353,4)</f>
        <v>4</v>
      </c>
      <c r="AI353"/>
    </row>
    <row r="354" spans="1:35" s="648" customFormat="1" ht="45" outlineLevel="2" x14ac:dyDescent="0.2">
      <c r="A354" s="636" t="s">
        <v>6186</v>
      </c>
      <c r="B354" s="636" t="s">
        <v>5324</v>
      </c>
      <c r="C354" s="786"/>
      <c r="D354" s="702"/>
      <c r="E354" s="702"/>
      <c r="F354" s="702"/>
      <c r="G354" s="1480">
        <v>4</v>
      </c>
      <c r="H354" s="1480">
        <v>2</v>
      </c>
      <c r="I354" s="1480"/>
      <c r="J354" s="1480" t="s">
        <v>1592</v>
      </c>
      <c r="K354" s="1459"/>
      <c r="L354" s="1459"/>
      <c r="M354" s="785"/>
      <c r="N354" s="611"/>
      <c r="O354" s="611"/>
      <c r="P354" s="611"/>
      <c r="Q354" s="611"/>
      <c r="R354" s="611"/>
      <c r="S354" s="611"/>
      <c r="T354" s="611"/>
      <c r="U354" s="611"/>
      <c r="V354" s="611"/>
      <c r="W354" s="611"/>
      <c r="X354" s="611"/>
      <c r="Y354" s="611"/>
      <c r="Z354" s="611"/>
      <c r="AA354">
        <f>IF(AND('08 Exs'!C354&gt;Tmin, NOT('08 Exs'!$I354="")),'08 Exs'!$I354,0)</f>
        <v>0</v>
      </c>
      <c r="AB354">
        <f>IF(AND('08 Exs'!D354&gt;Tmin, NOT('08 Exs'!$I354="")),'08 Exs'!$I354,0)</f>
        <v>0</v>
      </c>
      <c r="AC354">
        <f>IF(AND('08 Exs'!E354&gt;Tmin, NOT('08 Exs'!$I354="")),'08 Exs'!$I354,0)</f>
        <v>0</v>
      </c>
      <c r="AD354">
        <f>IF(AND('08 Exs'!F354&gt;Tmin, NOT('08 Exs'!$I354="")),'08 Exs'!$I354,0)</f>
        <v>0</v>
      </c>
      <c r="AE354">
        <f>IF(AND('08 Exs'!C354&lt;Tmax, NOT('08 Exs'!$H354="")),'08 Exs'!$H354,4)</f>
        <v>2</v>
      </c>
      <c r="AF354">
        <f>IF(AND('08 Exs'!D354&lt;Tmax, NOT('08 Exs'!$H354="")),'08 Exs'!$H354,4)</f>
        <v>2</v>
      </c>
      <c r="AG354">
        <f>IF(AND('08 Exs'!E354&lt;Tmax, NOT('08 Exs'!$H354="")),'08 Exs'!$H354,4)</f>
        <v>2</v>
      </c>
      <c r="AH354">
        <f>IF(AND('08 Exs'!F354&lt;Tmax, NOT('08 Exs'!$H354="")),'08 Exs'!$H354,4)</f>
        <v>2</v>
      </c>
      <c r="AI354"/>
    </row>
    <row r="355" spans="1:35" s="648" customFormat="1" outlineLevel="2" x14ac:dyDescent="0.2">
      <c r="A355" s="636" t="s">
        <v>6187</v>
      </c>
      <c r="B355" s="636" t="s">
        <v>6183</v>
      </c>
      <c r="C355" s="786"/>
      <c r="D355" s="789"/>
      <c r="E355" s="789"/>
      <c r="F355" s="789"/>
      <c r="G355" s="1487">
        <v>2</v>
      </c>
      <c r="H355" s="1487"/>
      <c r="I355" s="1487"/>
      <c r="J355" s="1487" t="s">
        <v>2109</v>
      </c>
      <c r="K355" s="1488"/>
      <c r="L355" s="1488"/>
      <c r="M355" s="793"/>
      <c r="N355" s="611"/>
      <c r="O355" s="611"/>
      <c r="P355" s="611"/>
      <c r="Q355" s="611"/>
      <c r="R355" s="611"/>
      <c r="S355" s="611"/>
      <c r="T355" s="611"/>
      <c r="U355" s="611"/>
      <c r="V355" s="611"/>
      <c r="W355" s="611"/>
      <c r="X355" s="611"/>
      <c r="Y355" s="611"/>
      <c r="Z355" s="611"/>
      <c r="AA355">
        <f>IF(AND('08 Exs'!C355&gt;Tmin, NOT('08 Exs'!$I355="")),'08 Exs'!$I355,0)</f>
        <v>0</v>
      </c>
      <c r="AB355">
        <f>IF(AND('08 Exs'!D355&gt;Tmin, NOT('08 Exs'!$I355="")),'08 Exs'!$I355,0)</f>
        <v>0</v>
      </c>
      <c r="AC355">
        <f>IF(AND('08 Exs'!E355&gt;Tmin, NOT('08 Exs'!$I355="")),'08 Exs'!$I355,0)</f>
        <v>0</v>
      </c>
      <c r="AD355">
        <f>IF(AND('08 Exs'!F355&gt;Tmin, NOT('08 Exs'!$I355="")),'08 Exs'!$I355,0)</f>
        <v>0</v>
      </c>
      <c r="AE355">
        <f>IF(AND('08 Exs'!C355&lt;Tmax, NOT('08 Exs'!$H355="")),'08 Exs'!$H355,4)</f>
        <v>4</v>
      </c>
      <c r="AF355">
        <f>IF(AND('08 Exs'!D355&lt;Tmax, NOT('08 Exs'!$H355="")),'08 Exs'!$H355,4)</f>
        <v>4</v>
      </c>
      <c r="AG355">
        <f>IF(AND('08 Exs'!E355&lt;Tmax, NOT('08 Exs'!$H355="")),'08 Exs'!$H355,4)</f>
        <v>4</v>
      </c>
      <c r="AH355">
        <f>IF(AND('08 Exs'!F355&lt;Tmax, NOT('08 Exs'!$H355="")),'08 Exs'!$H355,4)</f>
        <v>4</v>
      </c>
      <c r="AI355"/>
    </row>
    <row r="356" spans="1:35" s="648" customFormat="1" ht="45" outlineLevel="2" x14ac:dyDescent="0.2">
      <c r="A356" s="636" t="s">
        <v>6188</v>
      </c>
      <c r="B356" s="636" t="s">
        <v>5319</v>
      </c>
      <c r="C356" s="786"/>
      <c r="D356" s="702"/>
      <c r="E356" s="702"/>
      <c r="F356" s="702"/>
      <c r="G356" s="1480">
        <v>4</v>
      </c>
      <c r="H356" s="1480">
        <v>2</v>
      </c>
      <c r="I356" s="1480"/>
      <c r="J356" s="1480" t="s">
        <v>2109</v>
      </c>
      <c r="K356" s="1459"/>
      <c r="L356" s="1459"/>
      <c r="M356" s="785"/>
      <c r="N356" s="611"/>
      <c r="O356" s="611"/>
      <c r="P356" s="611"/>
      <c r="Q356" s="611"/>
      <c r="R356" s="611"/>
      <c r="S356" s="611"/>
      <c r="T356" s="611"/>
      <c r="U356" s="611"/>
      <c r="V356" s="611"/>
      <c r="W356" s="611"/>
      <c r="X356" s="611"/>
      <c r="Y356" s="611"/>
      <c r="Z356" s="611"/>
      <c r="AA356">
        <f>IF(AND('08 Exs'!C356&gt;Tmin, NOT('08 Exs'!$I356="")),'08 Exs'!$I356,0)</f>
        <v>0</v>
      </c>
      <c r="AB356">
        <f>IF(AND('08 Exs'!D356&gt;Tmin, NOT('08 Exs'!$I356="")),'08 Exs'!$I356,0)</f>
        <v>0</v>
      </c>
      <c r="AC356">
        <f>IF(AND('08 Exs'!E356&gt;Tmin, NOT('08 Exs'!$I356="")),'08 Exs'!$I356,0)</f>
        <v>0</v>
      </c>
      <c r="AD356">
        <f>IF(AND('08 Exs'!F356&gt;Tmin, NOT('08 Exs'!$I356="")),'08 Exs'!$I356,0)</f>
        <v>0</v>
      </c>
      <c r="AE356">
        <f>IF(AND('08 Exs'!C356&lt;Tmax, NOT('08 Exs'!$H356="")),'08 Exs'!$H356,4)</f>
        <v>2</v>
      </c>
      <c r="AF356">
        <f>IF(AND('08 Exs'!D356&lt;Tmax, NOT('08 Exs'!$H356="")),'08 Exs'!$H356,4)</f>
        <v>2</v>
      </c>
      <c r="AG356">
        <f>IF(AND('08 Exs'!E356&lt;Tmax, NOT('08 Exs'!$H356="")),'08 Exs'!$H356,4)</f>
        <v>2</v>
      </c>
      <c r="AH356">
        <f>IF(AND('08 Exs'!F356&lt;Tmax, NOT('08 Exs'!$H356="")),'08 Exs'!$H356,4)</f>
        <v>2</v>
      </c>
      <c r="AI356"/>
    </row>
    <row r="357" spans="1:35" s="648" customFormat="1" outlineLevel="2" x14ac:dyDescent="0.2">
      <c r="A357" s="636" t="s">
        <v>6189</v>
      </c>
      <c r="B357" s="636" t="s">
        <v>5869</v>
      </c>
      <c r="C357" s="786"/>
      <c r="D357" s="702"/>
      <c r="E357" s="702"/>
      <c r="F357" s="702"/>
      <c r="G357" s="1480">
        <v>4</v>
      </c>
      <c r="H357" s="1480">
        <v>3</v>
      </c>
      <c r="I357" s="1480"/>
      <c r="J357" s="1489"/>
      <c r="K357" s="1459"/>
      <c r="L357" s="1459"/>
      <c r="M357" s="785"/>
      <c r="N357" s="611"/>
      <c r="O357" s="611"/>
      <c r="P357" s="611"/>
      <c r="Q357" s="611"/>
      <c r="R357" s="611"/>
      <c r="S357" s="611"/>
      <c r="T357" s="611"/>
      <c r="U357" s="611"/>
      <c r="V357" s="611"/>
      <c r="W357" s="611"/>
      <c r="X357" s="611"/>
      <c r="Y357" s="611"/>
      <c r="Z357" s="611"/>
      <c r="AA357">
        <f>IF(AND('08 Exs'!C357&gt;Tmin, NOT('08 Exs'!$I357="")),'08 Exs'!$I357,0)</f>
        <v>0</v>
      </c>
      <c r="AB357">
        <f>IF(AND('08 Exs'!D357&gt;Tmin, NOT('08 Exs'!$I357="")),'08 Exs'!$I357,0)</f>
        <v>0</v>
      </c>
      <c r="AC357">
        <f>IF(AND('08 Exs'!E357&gt;Tmin, NOT('08 Exs'!$I357="")),'08 Exs'!$I357,0)</f>
        <v>0</v>
      </c>
      <c r="AD357">
        <f>IF(AND('08 Exs'!F357&gt;Tmin, NOT('08 Exs'!$I357="")),'08 Exs'!$I357,0)</f>
        <v>0</v>
      </c>
      <c r="AE357">
        <f>IF(AND('08 Exs'!C357&lt;Tmax, NOT('08 Exs'!$H357="")),'08 Exs'!$H357,4)</f>
        <v>3</v>
      </c>
      <c r="AF357">
        <f>IF(AND('08 Exs'!D357&lt;Tmax, NOT('08 Exs'!$H357="")),'08 Exs'!$H357,4)</f>
        <v>3</v>
      </c>
      <c r="AG357">
        <f>IF(AND('08 Exs'!E357&lt;Tmax, NOT('08 Exs'!$H357="")),'08 Exs'!$H357,4)</f>
        <v>3</v>
      </c>
      <c r="AH357">
        <f>IF(AND('08 Exs'!F357&lt;Tmax, NOT('08 Exs'!$H357="")),'08 Exs'!$H357,4)</f>
        <v>3</v>
      </c>
      <c r="AI357"/>
    </row>
    <row r="358" spans="1:35" x14ac:dyDescent="0.2">
      <c r="A358" s="633" t="s">
        <v>4252</v>
      </c>
      <c r="B358" s="634" t="s">
        <v>4254</v>
      </c>
      <c r="C358" s="786"/>
      <c r="D358" s="789"/>
      <c r="E358" s="789"/>
      <c r="F358" s="789"/>
      <c r="G358" s="1481"/>
      <c r="H358" s="1480"/>
      <c r="I358" s="1480"/>
      <c r="J358" s="1480"/>
      <c r="K358" s="1459"/>
      <c r="L358" s="1459"/>
      <c r="M358" s="785"/>
      <c r="AA358"/>
      <c r="AB358"/>
      <c r="AC358"/>
      <c r="AD358"/>
      <c r="AE358"/>
      <c r="AF358"/>
      <c r="AG358"/>
      <c r="AH358"/>
      <c r="AI358"/>
    </row>
    <row r="359" spans="1:35" s="648" customFormat="1" outlineLevel="2" x14ac:dyDescent="0.2">
      <c r="A359" s="636" t="s">
        <v>2821</v>
      </c>
      <c r="B359" s="636" t="s">
        <v>2824</v>
      </c>
      <c r="C359" s="786"/>
      <c r="D359" s="789"/>
      <c r="E359" s="789"/>
      <c r="F359" s="789"/>
      <c r="G359" s="1482">
        <v>2</v>
      </c>
      <c r="H359" s="1480"/>
      <c r="I359" s="1480"/>
      <c r="J359" s="1480" t="s">
        <v>1592</v>
      </c>
      <c r="K359" s="1459"/>
      <c r="L359" s="1459" t="s">
        <v>7344</v>
      </c>
      <c r="M359" s="785"/>
      <c r="N359" s="611"/>
      <c r="O359" s="611"/>
      <c r="P359" s="611"/>
      <c r="Q359" s="611"/>
      <c r="R359" s="611"/>
      <c r="S359" s="611"/>
      <c r="T359" s="611"/>
      <c r="U359" s="611"/>
      <c r="V359" s="611"/>
      <c r="W359" s="611"/>
      <c r="X359" s="611"/>
      <c r="Y359" s="611"/>
      <c r="Z359" s="611"/>
      <c r="AA359">
        <f>IF(AND('08 Exs'!C359&gt;Tmin, NOT('08 Exs'!$I359="")),'08 Exs'!$I359,0)</f>
        <v>0</v>
      </c>
      <c r="AB359">
        <f>IF(AND('08 Exs'!D359&gt;Tmin, NOT('08 Exs'!$I359="")),'08 Exs'!$I359,0)</f>
        <v>0</v>
      </c>
      <c r="AC359">
        <f>IF(AND('08 Exs'!E359&gt;Tmin, NOT('08 Exs'!$I359="")),'08 Exs'!$I359,0)</f>
        <v>0</v>
      </c>
      <c r="AD359">
        <f>IF(AND('08 Exs'!F359&gt;Tmin, NOT('08 Exs'!$I359="")),'08 Exs'!$I359,0)</f>
        <v>0</v>
      </c>
      <c r="AE359">
        <f>IF(AND('08 Exs'!C359&lt;Tmax, NOT('08 Exs'!$H359="")),'08 Exs'!$H359,4)</f>
        <v>4</v>
      </c>
      <c r="AF359">
        <f>IF(AND('08 Exs'!D359&lt;Tmax, NOT('08 Exs'!$H359="")),'08 Exs'!$H359,4)</f>
        <v>4</v>
      </c>
      <c r="AG359">
        <f>IF(AND('08 Exs'!E359&lt;Tmax, NOT('08 Exs'!$H359="")),'08 Exs'!$H359,4)</f>
        <v>4</v>
      </c>
      <c r="AH359">
        <f>IF(AND('08 Exs'!F359&lt;Tmax, NOT('08 Exs'!$H359="")),'08 Exs'!$H359,4)</f>
        <v>4</v>
      </c>
      <c r="AI359"/>
    </row>
    <row r="360" spans="1:35" outlineLevel="2" x14ac:dyDescent="0.2">
      <c r="A360" s="636" t="s">
        <v>2753</v>
      </c>
      <c r="B360" s="636" t="s">
        <v>5842</v>
      </c>
      <c r="C360" s="786"/>
      <c r="D360" s="789"/>
      <c r="E360" s="789"/>
      <c r="F360" s="789"/>
      <c r="G360" s="1481">
        <v>4</v>
      </c>
      <c r="H360" s="1481"/>
      <c r="I360" s="1481"/>
      <c r="J360" s="1480" t="s">
        <v>1592</v>
      </c>
      <c r="K360" s="1459"/>
      <c r="L360" s="1459"/>
      <c r="M360" s="785"/>
      <c r="AA360">
        <f>IF(AND('08 Exs'!C360&gt;Tmin, NOT('08 Exs'!$I360="")),'08 Exs'!$I360,0)</f>
        <v>0</v>
      </c>
      <c r="AB360">
        <f>IF(AND('08 Exs'!D360&gt;Tmin, NOT('08 Exs'!$I360="")),'08 Exs'!$I360,0)</f>
        <v>0</v>
      </c>
      <c r="AC360">
        <f>IF(AND('08 Exs'!E360&gt;Tmin, NOT('08 Exs'!$I360="")),'08 Exs'!$I360,0)</f>
        <v>0</v>
      </c>
      <c r="AD360">
        <f>IF(AND('08 Exs'!F360&gt;Tmin, NOT('08 Exs'!$I360="")),'08 Exs'!$I360,0)</f>
        <v>0</v>
      </c>
      <c r="AE360">
        <f>IF(AND('08 Exs'!C360&lt;Tmax, NOT('08 Exs'!$H360="")),'08 Exs'!$H360,4)</f>
        <v>4</v>
      </c>
      <c r="AF360">
        <f>IF(AND('08 Exs'!D360&lt;Tmax, NOT('08 Exs'!$H360="")),'08 Exs'!$H360,4)</f>
        <v>4</v>
      </c>
      <c r="AG360">
        <f>IF(AND('08 Exs'!E360&lt;Tmax, NOT('08 Exs'!$H360="")),'08 Exs'!$H360,4)</f>
        <v>4</v>
      </c>
      <c r="AH360">
        <f>IF(AND('08 Exs'!F360&lt;Tmax, NOT('08 Exs'!$H360="")),'08 Exs'!$H360,4)</f>
        <v>4</v>
      </c>
      <c r="AI360"/>
    </row>
    <row r="361" spans="1:35" outlineLevel="2" x14ac:dyDescent="0.2">
      <c r="A361" s="636" t="s">
        <v>3612</v>
      </c>
      <c r="B361" s="636" t="s">
        <v>3613</v>
      </c>
      <c r="C361" s="786"/>
      <c r="D361" s="789"/>
      <c r="E361" s="789"/>
      <c r="F361" s="789"/>
      <c r="G361" s="1481">
        <v>4</v>
      </c>
      <c r="H361" s="1481">
        <v>2</v>
      </c>
      <c r="I361" s="1481"/>
      <c r="J361" s="1480" t="s">
        <v>1592</v>
      </c>
      <c r="K361" s="1459"/>
      <c r="L361" s="1459"/>
      <c r="M361" s="785"/>
      <c r="AA361">
        <f>IF(AND('08 Exs'!C361&gt;Tmin, NOT('08 Exs'!$I361="")),'08 Exs'!$I361,0)</f>
        <v>0</v>
      </c>
      <c r="AB361">
        <f>IF(AND('08 Exs'!D361&gt;Tmin, NOT('08 Exs'!$I361="")),'08 Exs'!$I361,0)</f>
        <v>0</v>
      </c>
      <c r="AC361">
        <f>IF(AND('08 Exs'!E361&gt;Tmin, NOT('08 Exs'!$I361="")),'08 Exs'!$I361,0)</f>
        <v>0</v>
      </c>
      <c r="AD361">
        <f>IF(AND('08 Exs'!F361&gt;Tmin, NOT('08 Exs'!$I361="")),'08 Exs'!$I361,0)</f>
        <v>0</v>
      </c>
      <c r="AE361">
        <f>IF(AND('08 Exs'!C361&lt;Tmax, NOT('08 Exs'!$H361="")),'08 Exs'!$H361,4)</f>
        <v>2</v>
      </c>
      <c r="AF361">
        <f>IF(AND('08 Exs'!D361&lt;Tmax, NOT('08 Exs'!$H361="")),'08 Exs'!$H361,4)</f>
        <v>2</v>
      </c>
      <c r="AG361">
        <f>IF(AND('08 Exs'!E361&lt;Tmax, NOT('08 Exs'!$H361="")),'08 Exs'!$H361,4)</f>
        <v>2</v>
      </c>
      <c r="AH361">
        <f>IF(AND('08 Exs'!F361&lt;Tmax, NOT('08 Exs'!$H361="")),'08 Exs'!$H361,4)</f>
        <v>2</v>
      </c>
      <c r="AI361"/>
    </row>
    <row r="362" spans="1:35" outlineLevel="2" x14ac:dyDescent="0.2">
      <c r="A362" s="636" t="s">
        <v>3614</v>
      </c>
      <c r="B362" s="636" t="s">
        <v>3615</v>
      </c>
      <c r="C362" s="786"/>
      <c r="D362" s="789"/>
      <c r="E362" s="789"/>
      <c r="F362" s="789"/>
      <c r="G362" s="1481">
        <v>4</v>
      </c>
      <c r="H362" s="1481">
        <v>2</v>
      </c>
      <c r="I362" s="1481"/>
      <c r="J362" s="1480" t="s">
        <v>1592</v>
      </c>
      <c r="K362" s="1459"/>
      <c r="L362" s="1459"/>
      <c r="M362" s="785"/>
      <c r="AA362">
        <f>IF(AND('08 Exs'!C362&gt;Tmin, NOT('08 Exs'!$I362="")),'08 Exs'!$I362,0)</f>
        <v>0</v>
      </c>
      <c r="AB362">
        <f>IF(AND('08 Exs'!D362&gt;Tmin, NOT('08 Exs'!$I362="")),'08 Exs'!$I362,0)</f>
        <v>0</v>
      </c>
      <c r="AC362">
        <f>IF(AND('08 Exs'!E362&gt;Tmin, NOT('08 Exs'!$I362="")),'08 Exs'!$I362,0)</f>
        <v>0</v>
      </c>
      <c r="AD362">
        <f>IF(AND('08 Exs'!F362&gt;Tmin, NOT('08 Exs'!$I362="")),'08 Exs'!$I362,0)</f>
        <v>0</v>
      </c>
      <c r="AE362">
        <f>IF(AND('08 Exs'!C362&lt;Tmax, NOT('08 Exs'!$H362="")),'08 Exs'!$H362,4)</f>
        <v>2</v>
      </c>
      <c r="AF362">
        <f>IF(AND('08 Exs'!D362&lt;Tmax, NOT('08 Exs'!$H362="")),'08 Exs'!$H362,4)</f>
        <v>2</v>
      </c>
      <c r="AG362">
        <f>IF(AND('08 Exs'!E362&lt;Tmax, NOT('08 Exs'!$H362="")),'08 Exs'!$H362,4)</f>
        <v>2</v>
      </c>
      <c r="AH362">
        <f>IF(AND('08 Exs'!F362&lt;Tmax, NOT('08 Exs'!$H362="")),'08 Exs'!$H362,4)</f>
        <v>2</v>
      </c>
      <c r="AI362"/>
    </row>
    <row r="363" spans="1:35" outlineLevel="2" x14ac:dyDescent="0.2">
      <c r="A363" s="636" t="s">
        <v>3616</v>
      </c>
      <c r="B363" s="636" t="s">
        <v>3617</v>
      </c>
      <c r="C363" s="786"/>
      <c r="D363" s="789"/>
      <c r="E363" s="789"/>
      <c r="F363" s="789"/>
      <c r="G363" s="1481">
        <v>4</v>
      </c>
      <c r="H363" s="1481">
        <v>3</v>
      </c>
      <c r="I363" s="1481"/>
      <c r="J363" s="1480" t="s">
        <v>2329</v>
      </c>
      <c r="K363" s="1459"/>
      <c r="L363" s="1459"/>
      <c r="M363" s="785"/>
      <c r="AA363">
        <f>IF(AND('08 Exs'!C363&gt;Tmin, NOT('08 Exs'!$I363="")),'08 Exs'!$I363,0)</f>
        <v>0</v>
      </c>
      <c r="AB363">
        <f>IF(AND('08 Exs'!D363&gt;Tmin, NOT('08 Exs'!$I363="")),'08 Exs'!$I363,0)</f>
        <v>0</v>
      </c>
      <c r="AC363">
        <f>IF(AND('08 Exs'!E363&gt;Tmin, NOT('08 Exs'!$I363="")),'08 Exs'!$I363,0)</f>
        <v>0</v>
      </c>
      <c r="AD363">
        <f>IF(AND('08 Exs'!F363&gt;Tmin, NOT('08 Exs'!$I363="")),'08 Exs'!$I363,0)</f>
        <v>0</v>
      </c>
      <c r="AE363">
        <f>IF(AND('08 Exs'!C363&lt;Tmax, NOT('08 Exs'!$H363="")),'08 Exs'!$H363,4)</f>
        <v>3</v>
      </c>
      <c r="AF363">
        <f>IF(AND('08 Exs'!D363&lt;Tmax, NOT('08 Exs'!$H363="")),'08 Exs'!$H363,4)</f>
        <v>3</v>
      </c>
      <c r="AG363">
        <f>IF(AND('08 Exs'!E363&lt;Tmax, NOT('08 Exs'!$H363="")),'08 Exs'!$H363,4)</f>
        <v>3</v>
      </c>
      <c r="AH363">
        <f>IF(AND('08 Exs'!F363&lt;Tmax, NOT('08 Exs'!$H363="")),'08 Exs'!$H363,4)</f>
        <v>3</v>
      </c>
      <c r="AI363"/>
    </row>
    <row r="364" spans="1:35" ht="22.5" outlineLevel="2" x14ac:dyDescent="0.2">
      <c r="A364" s="636" t="s">
        <v>3618</v>
      </c>
      <c r="B364" s="636" t="s">
        <v>4209</v>
      </c>
      <c r="C364" s="786"/>
      <c r="D364" s="789"/>
      <c r="E364" s="789"/>
      <c r="F364" s="789"/>
      <c r="G364" s="1481">
        <v>4</v>
      </c>
      <c r="H364" s="1481">
        <v>3</v>
      </c>
      <c r="I364" s="1481"/>
      <c r="J364" s="1480" t="s">
        <v>2329</v>
      </c>
      <c r="K364" s="1459"/>
      <c r="L364" s="1459"/>
      <c r="M364" s="785"/>
      <c r="AA364">
        <f>IF(AND('08 Exs'!C364&gt;Tmin, NOT('08 Exs'!$I364="")),'08 Exs'!$I364,0)</f>
        <v>0</v>
      </c>
      <c r="AB364">
        <f>IF(AND('08 Exs'!D364&gt;Tmin, NOT('08 Exs'!$I364="")),'08 Exs'!$I364,0)</f>
        <v>0</v>
      </c>
      <c r="AC364">
        <f>IF(AND('08 Exs'!E364&gt;Tmin, NOT('08 Exs'!$I364="")),'08 Exs'!$I364,0)</f>
        <v>0</v>
      </c>
      <c r="AD364">
        <f>IF(AND('08 Exs'!F364&gt;Tmin, NOT('08 Exs'!$I364="")),'08 Exs'!$I364,0)</f>
        <v>0</v>
      </c>
      <c r="AE364">
        <f>IF(AND('08 Exs'!C364&lt;Tmax, NOT('08 Exs'!$H364="")),'08 Exs'!$H364,4)</f>
        <v>3</v>
      </c>
      <c r="AF364">
        <f>IF(AND('08 Exs'!D364&lt;Tmax, NOT('08 Exs'!$H364="")),'08 Exs'!$H364,4)</f>
        <v>3</v>
      </c>
      <c r="AG364">
        <f>IF(AND('08 Exs'!E364&lt;Tmax, NOT('08 Exs'!$H364="")),'08 Exs'!$H364,4)</f>
        <v>3</v>
      </c>
      <c r="AH364">
        <f>IF(AND('08 Exs'!F364&lt;Tmax, NOT('08 Exs'!$H364="")),'08 Exs'!$H364,4)</f>
        <v>3</v>
      </c>
      <c r="AI364"/>
    </row>
    <row r="365" spans="1:35" outlineLevel="2" x14ac:dyDescent="0.2">
      <c r="A365" s="636" t="s">
        <v>3619</v>
      </c>
      <c r="B365" s="636" t="s">
        <v>5111</v>
      </c>
      <c r="C365" s="786"/>
      <c r="D365" s="789"/>
      <c r="E365" s="789"/>
      <c r="F365" s="789"/>
      <c r="G365" s="1481">
        <v>4</v>
      </c>
      <c r="H365" s="1481">
        <v>3</v>
      </c>
      <c r="I365" s="1481"/>
      <c r="J365" s="1480" t="s">
        <v>2329</v>
      </c>
      <c r="K365" s="1459"/>
      <c r="L365" s="1459"/>
      <c r="M365" s="785"/>
      <c r="AA365">
        <f>IF(AND('08 Exs'!C365&gt;Tmin, NOT('08 Exs'!$I365="")),'08 Exs'!$I365,0)</f>
        <v>0</v>
      </c>
      <c r="AB365">
        <f>IF(AND('08 Exs'!D365&gt;Tmin, NOT('08 Exs'!$I365="")),'08 Exs'!$I365,0)</f>
        <v>0</v>
      </c>
      <c r="AC365">
        <f>IF(AND('08 Exs'!E365&gt;Tmin, NOT('08 Exs'!$I365="")),'08 Exs'!$I365,0)</f>
        <v>0</v>
      </c>
      <c r="AD365">
        <f>IF(AND('08 Exs'!F365&gt;Tmin, NOT('08 Exs'!$I365="")),'08 Exs'!$I365,0)</f>
        <v>0</v>
      </c>
      <c r="AE365">
        <f>IF(AND('08 Exs'!C365&lt;Tmax, NOT('08 Exs'!$H365="")),'08 Exs'!$H365,4)</f>
        <v>3</v>
      </c>
      <c r="AF365">
        <f>IF(AND('08 Exs'!D365&lt;Tmax, NOT('08 Exs'!$H365="")),'08 Exs'!$H365,4)</f>
        <v>3</v>
      </c>
      <c r="AG365">
        <f>IF(AND('08 Exs'!E365&lt;Tmax, NOT('08 Exs'!$H365="")),'08 Exs'!$H365,4)</f>
        <v>3</v>
      </c>
      <c r="AH365">
        <f>IF(AND('08 Exs'!F365&lt;Tmax, NOT('08 Exs'!$H365="")),'08 Exs'!$H365,4)</f>
        <v>3</v>
      </c>
      <c r="AI365"/>
    </row>
    <row r="366" spans="1:35" outlineLevel="2" x14ac:dyDescent="0.2">
      <c r="A366" s="636" t="s">
        <v>2695</v>
      </c>
      <c r="B366" s="636" t="s">
        <v>2644</v>
      </c>
      <c r="C366" s="786"/>
      <c r="D366" s="789"/>
      <c r="E366" s="789"/>
      <c r="F366" s="789"/>
      <c r="G366" s="1481">
        <v>4</v>
      </c>
      <c r="H366" s="1481">
        <v>3</v>
      </c>
      <c r="I366" s="1481"/>
      <c r="J366" s="1480" t="s">
        <v>2329</v>
      </c>
      <c r="K366" s="1459"/>
      <c r="L366" s="1459"/>
      <c r="M366" s="785"/>
      <c r="AA366">
        <f>IF(AND('08 Exs'!C366&gt;Tmin, NOT('08 Exs'!$I366="")),'08 Exs'!$I366,0)</f>
        <v>0</v>
      </c>
      <c r="AB366">
        <f>IF(AND('08 Exs'!D366&gt;Tmin, NOT('08 Exs'!$I366="")),'08 Exs'!$I366,0)</f>
        <v>0</v>
      </c>
      <c r="AC366">
        <f>IF(AND('08 Exs'!E366&gt;Tmin, NOT('08 Exs'!$I366="")),'08 Exs'!$I366,0)</f>
        <v>0</v>
      </c>
      <c r="AD366">
        <f>IF(AND('08 Exs'!F366&gt;Tmin, NOT('08 Exs'!$I366="")),'08 Exs'!$I366,0)</f>
        <v>0</v>
      </c>
      <c r="AE366">
        <f>IF(AND('08 Exs'!C366&lt;Tmax, NOT('08 Exs'!$H366="")),'08 Exs'!$H366,4)</f>
        <v>3</v>
      </c>
      <c r="AF366">
        <f>IF(AND('08 Exs'!D366&lt;Tmax, NOT('08 Exs'!$H366="")),'08 Exs'!$H366,4)</f>
        <v>3</v>
      </c>
      <c r="AG366">
        <f>IF(AND('08 Exs'!E366&lt;Tmax, NOT('08 Exs'!$H366="")),'08 Exs'!$H366,4)</f>
        <v>3</v>
      </c>
      <c r="AH366">
        <f>IF(AND('08 Exs'!F366&lt;Tmax, NOT('08 Exs'!$H366="")),'08 Exs'!$H366,4)</f>
        <v>3</v>
      </c>
      <c r="AI366"/>
    </row>
    <row r="367" spans="1:35" outlineLevel="2" x14ac:dyDescent="0.2">
      <c r="A367" s="636" t="s">
        <v>2645</v>
      </c>
      <c r="B367" s="636" t="s">
        <v>2646</v>
      </c>
      <c r="C367" s="786"/>
      <c r="D367" s="789"/>
      <c r="E367" s="789"/>
      <c r="F367" s="789"/>
      <c r="G367" s="1481">
        <v>4</v>
      </c>
      <c r="H367" s="1481">
        <v>3</v>
      </c>
      <c r="I367" s="1481"/>
      <c r="J367" s="1480" t="s">
        <v>2329</v>
      </c>
      <c r="K367" s="1459"/>
      <c r="L367" s="1459"/>
      <c r="M367" s="785"/>
      <c r="AA367">
        <f>IF(AND('08 Exs'!C367&gt;Tmin, NOT('08 Exs'!$I367="")),'08 Exs'!$I367,0)</f>
        <v>0</v>
      </c>
      <c r="AB367">
        <f>IF(AND('08 Exs'!D367&gt;Tmin, NOT('08 Exs'!$I367="")),'08 Exs'!$I367,0)</f>
        <v>0</v>
      </c>
      <c r="AC367">
        <f>IF(AND('08 Exs'!E367&gt;Tmin, NOT('08 Exs'!$I367="")),'08 Exs'!$I367,0)</f>
        <v>0</v>
      </c>
      <c r="AD367">
        <f>IF(AND('08 Exs'!F367&gt;Tmin, NOT('08 Exs'!$I367="")),'08 Exs'!$I367,0)</f>
        <v>0</v>
      </c>
      <c r="AE367">
        <f>IF(AND('08 Exs'!C367&lt;Tmax, NOT('08 Exs'!$H367="")),'08 Exs'!$H367,4)</f>
        <v>3</v>
      </c>
      <c r="AF367">
        <f>IF(AND('08 Exs'!D367&lt;Tmax, NOT('08 Exs'!$H367="")),'08 Exs'!$H367,4)</f>
        <v>3</v>
      </c>
      <c r="AG367">
        <f>IF(AND('08 Exs'!E367&lt;Tmax, NOT('08 Exs'!$H367="")),'08 Exs'!$H367,4)</f>
        <v>3</v>
      </c>
      <c r="AH367">
        <f>IF(AND('08 Exs'!F367&lt;Tmax, NOT('08 Exs'!$H367="")),'08 Exs'!$H367,4)</f>
        <v>3</v>
      </c>
      <c r="AI367"/>
    </row>
    <row r="368" spans="1:35" s="648" customFormat="1" outlineLevel="2" x14ac:dyDescent="0.2">
      <c r="A368" s="636" t="s">
        <v>1654</v>
      </c>
      <c r="B368" s="636" t="s">
        <v>1594</v>
      </c>
      <c r="C368" s="786"/>
      <c r="D368" s="789"/>
      <c r="E368" s="789"/>
      <c r="F368" s="789"/>
      <c r="G368" s="1487">
        <v>3</v>
      </c>
      <c r="H368" s="1487">
        <v>2</v>
      </c>
      <c r="I368" s="1487"/>
      <c r="J368" s="1487" t="s">
        <v>2109</v>
      </c>
      <c r="K368" s="1488"/>
      <c r="L368" s="1488"/>
      <c r="M368" s="793"/>
      <c r="N368" s="611"/>
      <c r="O368" s="611"/>
      <c r="P368" s="611"/>
      <c r="Q368" s="611"/>
      <c r="R368" s="611"/>
      <c r="S368" s="611"/>
      <c r="T368" s="611"/>
      <c r="U368" s="611"/>
      <c r="V368" s="611"/>
      <c r="W368" s="611"/>
      <c r="X368" s="611"/>
      <c r="Y368" s="611"/>
      <c r="Z368" s="611"/>
      <c r="AA368">
        <f>IF(AND('08 Exs'!C368&gt;Tmin, NOT('08 Exs'!$I368="")),'08 Exs'!$I368,0)</f>
        <v>0</v>
      </c>
      <c r="AB368">
        <f>IF(AND('08 Exs'!D368&gt;Tmin, NOT('08 Exs'!$I368="")),'08 Exs'!$I368,0)</f>
        <v>0</v>
      </c>
      <c r="AC368">
        <f>IF(AND('08 Exs'!E368&gt;Tmin, NOT('08 Exs'!$I368="")),'08 Exs'!$I368,0)</f>
        <v>0</v>
      </c>
      <c r="AD368">
        <f>IF(AND('08 Exs'!F368&gt;Tmin, NOT('08 Exs'!$I368="")),'08 Exs'!$I368,0)</f>
        <v>0</v>
      </c>
      <c r="AE368">
        <f>IF(AND('08 Exs'!C368&lt;Tmax, NOT('08 Exs'!$H368="")),'08 Exs'!$H368,4)</f>
        <v>2</v>
      </c>
      <c r="AF368">
        <f>IF(AND('08 Exs'!D368&lt;Tmax, NOT('08 Exs'!$H368="")),'08 Exs'!$H368,4)</f>
        <v>2</v>
      </c>
      <c r="AG368">
        <f>IF(AND('08 Exs'!E368&lt;Tmax, NOT('08 Exs'!$H368="")),'08 Exs'!$H368,4)</f>
        <v>2</v>
      </c>
      <c r="AH368">
        <f>IF(AND('08 Exs'!F368&lt;Tmax, NOT('08 Exs'!$H368="")),'08 Exs'!$H368,4)</f>
        <v>2</v>
      </c>
      <c r="AI368"/>
    </row>
    <row r="369" spans="1:35" x14ac:dyDescent="0.2">
      <c r="A369" s="633" t="s">
        <v>5417</v>
      </c>
      <c r="B369" s="634" t="s">
        <v>5418</v>
      </c>
      <c r="C369" s="786"/>
      <c r="D369" s="789"/>
      <c r="E369" s="789"/>
      <c r="F369" s="789"/>
      <c r="G369" s="1481"/>
      <c r="H369" s="1481"/>
      <c r="I369" s="1481"/>
      <c r="J369" s="1481"/>
      <c r="K369" s="1459"/>
      <c r="L369" s="1459"/>
      <c r="M369" s="785"/>
      <c r="AA369"/>
      <c r="AB369"/>
      <c r="AC369"/>
      <c r="AD369"/>
      <c r="AE369"/>
      <c r="AF369"/>
      <c r="AG369"/>
      <c r="AH369"/>
      <c r="AI369"/>
    </row>
    <row r="370" spans="1:35" s="648" customFormat="1" ht="22.5" outlineLevel="2" x14ac:dyDescent="0.2">
      <c r="A370" s="636" t="s">
        <v>1595</v>
      </c>
      <c r="B370" s="636" t="s">
        <v>2647</v>
      </c>
      <c r="C370" s="786"/>
      <c r="D370" s="789"/>
      <c r="E370" s="789"/>
      <c r="F370" s="789"/>
      <c r="G370" s="1487">
        <v>3</v>
      </c>
      <c r="H370" s="1487">
        <v>2</v>
      </c>
      <c r="I370" s="1487"/>
      <c r="J370" s="1487" t="s">
        <v>1592</v>
      </c>
      <c r="K370" s="1488"/>
      <c r="L370" s="1488"/>
      <c r="M370" s="793"/>
      <c r="N370" s="611"/>
      <c r="O370" s="611"/>
      <c r="P370" s="611"/>
      <c r="Q370" s="611"/>
      <c r="R370" s="611"/>
      <c r="S370" s="611"/>
      <c r="T370" s="611"/>
      <c r="U370" s="611"/>
      <c r="V370" s="611"/>
      <c r="W370" s="611"/>
      <c r="X370" s="611"/>
      <c r="Y370" s="611"/>
      <c r="Z370" s="611"/>
      <c r="AA370">
        <f>IF(AND('08 Exs'!C370&gt;Tmin, NOT('08 Exs'!$I370="")),'08 Exs'!$I370,0)</f>
        <v>0</v>
      </c>
      <c r="AB370">
        <f>IF(AND('08 Exs'!D370&gt;Tmin, NOT('08 Exs'!$I370="")),'08 Exs'!$I370,0)</f>
        <v>0</v>
      </c>
      <c r="AC370">
        <f>IF(AND('08 Exs'!E370&gt;Tmin, NOT('08 Exs'!$I370="")),'08 Exs'!$I370,0)</f>
        <v>0</v>
      </c>
      <c r="AD370">
        <f>IF(AND('08 Exs'!F370&gt;Tmin, NOT('08 Exs'!$I370="")),'08 Exs'!$I370,0)</f>
        <v>0</v>
      </c>
      <c r="AE370">
        <f>IF(AND('08 Exs'!C370&lt;Tmax, NOT('08 Exs'!$H370="")),'08 Exs'!$H370,4)</f>
        <v>2</v>
      </c>
      <c r="AF370">
        <f>IF(AND('08 Exs'!D370&lt;Tmax, NOT('08 Exs'!$H370="")),'08 Exs'!$H370,4)</f>
        <v>2</v>
      </c>
      <c r="AG370">
        <f>IF(AND('08 Exs'!E370&lt;Tmax, NOT('08 Exs'!$H370="")),'08 Exs'!$H370,4)</f>
        <v>2</v>
      </c>
      <c r="AH370">
        <f>IF(AND('08 Exs'!F370&lt;Tmax, NOT('08 Exs'!$H370="")),'08 Exs'!$H370,4)</f>
        <v>2</v>
      </c>
      <c r="AI370"/>
    </row>
    <row r="371" spans="1:35" s="648" customFormat="1" outlineLevel="2" x14ac:dyDescent="0.2">
      <c r="A371" s="636" t="s">
        <v>2648</v>
      </c>
      <c r="B371" s="636" t="s">
        <v>2649</v>
      </c>
      <c r="C371" s="786"/>
      <c r="D371" s="789"/>
      <c r="E371" s="789"/>
      <c r="F371" s="789"/>
      <c r="G371" s="1487">
        <v>3</v>
      </c>
      <c r="H371" s="1487"/>
      <c r="I371" s="1487"/>
      <c r="J371" s="1487" t="s">
        <v>1592</v>
      </c>
      <c r="K371" s="1488"/>
      <c r="L371" s="1488"/>
      <c r="M371" s="793"/>
      <c r="N371" s="611"/>
      <c r="O371" s="611"/>
      <c r="P371" s="611"/>
      <c r="Q371" s="611"/>
      <c r="R371" s="611"/>
      <c r="S371" s="611"/>
      <c r="T371" s="611"/>
      <c r="U371" s="611"/>
      <c r="V371" s="611"/>
      <c r="W371" s="611"/>
      <c r="X371" s="611"/>
      <c r="Y371" s="611"/>
      <c r="Z371" s="611"/>
      <c r="AA371">
        <f>IF(AND('08 Exs'!C371&gt;Tmin, NOT('08 Exs'!$I371="")),'08 Exs'!$I371,0)</f>
        <v>0</v>
      </c>
      <c r="AB371">
        <f>IF(AND('08 Exs'!D371&gt;Tmin, NOT('08 Exs'!$I371="")),'08 Exs'!$I371,0)</f>
        <v>0</v>
      </c>
      <c r="AC371">
        <f>IF(AND('08 Exs'!E371&gt;Tmin, NOT('08 Exs'!$I371="")),'08 Exs'!$I371,0)</f>
        <v>0</v>
      </c>
      <c r="AD371">
        <f>IF(AND('08 Exs'!F371&gt;Tmin, NOT('08 Exs'!$I371="")),'08 Exs'!$I371,0)</f>
        <v>0</v>
      </c>
      <c r="AE371">
        <f>IF(AND('08 Exs'!C371&lt;Tmax, NOT('08 Exs'!$H371="")),'08 Exs'!$H371,4)</f>
        <v>4</v>
      </c>
      <c r="AF371">
        <f>IF(AND('08 Exs'!D371&lt;Tmax, NOT('08 Exs'!$H371="")),'08 Exs'!$H371,4)</f>
        <v>4</v>
      </c>
      <c r="AG371">
        <f>IF(AND('08 Exs'!E371&lt;Tmax, NOT('08 Exs'!$H371="")),'08 Exs'!$H371,4)</f>
        <v>4</v>
      </c>
      <c r="AH371">
        <f>IF(AND('08 Exs'!F371&lt;Tmax, NOT('08 Exs'!$H371="")),'08 Exs'!$H371,4)</f>
        <v>4</v>
      </c>
      <c r="AI371"/>
    </row>
    <row r="372" spans="1:35" s="648" customFormat="1" outlineLevel="2" x14ac:dyDescent="0.2">
      <c r="A372" s="636" t="s">
        <v>2650</v>
      </c>
      <c r="B372" s="636" t="s">
        <v>1159</v>
      </c>
      <c r="C372" s="786"/>
      <c r="D372" s="789"/>
      <c r="E372" s="789"/>
      <c r="F372" s="789"/>
      <c r="G372" s="1487">
        <v>2</v>
      </c>
      <c r="H372" s="1487">
        <v>3</v>
      </c>
      <c r="I372" s="1487"/>
      <c r="J372" s="1487" t="s">
        <v>1592</v>
      </c>
      <c r="K372" s="1488"/>
      <c r="L372" s="1488"/>
      <c r="M372" s="793"/>
      <c r="N372" s="611"/>
      <c r="O372" s="611"/>
      <c r="P372" s="611"/>
      <c r="Q372" s="611"/>
      <c r="R372" s="611"/>
      <c r="S372" s="611"/>
      <c r="T372" s="611"/>
      <c r="U372" s="611"/>
      <c r="V372" s="611"/>
      <c r="W372" s="611"/>
      <c r="X372" s="611"/>
      <c r="Y372" s="611"/>
      <c r="Z372" s="611"/>
      <c r="AA372">
        <f>IF(AND('08 Exs'!C372&gt;Tmin, NOT('08 Exs'!$I372="")),'08 Exs'!$I372,0)</f>
        <v>0</v>
      </c>
      <c r="AB372">
        <f>IF(AND('08 Exs'!D372&gt;Tmin, NOT('08 Exs'!$I372="")),'08 Exs'!$I372,0)</f>
        <v>0</v>
      </c>
      <c r="AC372">
        <f>IF(AND('08 Exs'!E372&gt;Tmin, NOT('08 Exs'!$I372="")),'08 Exs'!$I372,0)</f>
        <v>0</v>
      </c>
      <c r="AD372">
        <f>IF(AND('08 Exs'!F372&gt;Tmin, NOT('08 Exs'!$I372="")),'08 Exs'!$I372,0)</f>
        <v>0</v>
      </c>
      <c r="AE372">
        <f>IF(AND('08 Exs'!C372&lt;Tmax, NOT('08 Exs'!$H372="")),'08 Exs'!$H372,4)</f>
        <v>3</v>
      </c>
      <c r="AF372">
        <f>IF(AND('08 Exs'!D372&lt;Tmax, NOT('08 Exs'!$H372="")),'08 Exs'!$H372,4)</f>
        <v>3</v>
      </c>
      <c r="AG372">
        <f>IF(AND('08 Exs'!E372&lt;Tmax, NOT('08 Exs'!$H372="")),'08 Exs'!$H372,4)</f>
        <v>3</v>
      </c>
      <c r="AH372">
        <f>IF(AND('08 Exs'!F372&lt;Tmax, NOT('08 Exs'!$H372="")),'08 Exs'!$H372,4)</f>
        <v>3</v>
      </c>
      <c r="AI372"/>
    </row>
    <row r="373" spans="1:35" s="648" customFormat="1" outlineLevel="2" x14ac:dyDescent="0.2">
      <c r="A373" s="636" t="s">
        <v>2651</v>
      </c>
      <c r="B373" s="636" t="s">
        <v>5112</v>
      </c>
      <c r="C373" s="786"/>
      <c r="D373" s="789"/>
      <c r="E373" s="789"/>
      <c r="F373" s="789"/>
      <c r="G373" s="1487">
        <v>2</v>
      </c>
      <c r="H373" s="1487">
        <v>3</v>
      </c>
      <c r="I373" s="1487"/>
      <c r="J373" s="1487" t="s">
        <v>1592</v>
      </c>
      <c r="K373" s="1488"/>
      <c r="L373" s="1488"/>
      <c r="M373" s="793"/>
      <c r="N373" s="611"/>
      <c r="O373" s="611"/>
      <c r="P373" s="611"/>
      <c r="Q373" s="611"/>
      <c r="R373" s="611"/>
      <c r="S373" s="611"/>
      <c r="T373" s="611"/>
      <c r="U373" s="611"/>
      <c r="V373" s="611"/>
      <c r="W373" s="611"/>
      <c r="X373" s="611"/>
      <c r="Y373" s="611"/>
      <c r="Z373" s="611"/>
      <c r="AA373">
        <f>IF(AND('08 Exs'!C373&gt;Tmin, NOT('08 Exs'!$I373="")),'08 Exs'!$I373,0)</f>
        <v>0</v>
      </c>
      <c r="AB373">
        <f>IF(AND('08 Exs'!D373&gt;Tmin, NOT('08 Exs'!$I373="")),'08 Exs'!$I373,0)</f>
        <v>0</v>
      </c>
      <c r="AC373">
        <f>IF(AND('08 Exs'!E373&gt;Tmin, NOT('08 Exs'!$I373="")),'08 Exs'!$I373,0)</f>
        <v>0</v>
      </c>
      <c r="AD373">
        <f>IF(AND('08 Exs'!F373&gt;Tmin, NOT('08 Exs'!$I373="")),'08 Exs'!$I373,0)</f>
        <v>0</v>
      </c>
      <c r="AE373">
        <f>IF(AND('08 Exs'!C373&lt;Tmax, NOT('08 Exs'!$H373="")),'08 Exs'!$H373,4)</f>
        <v>3</v>
      </c>
      <c r="AF373">
        <f>IF(AND('08 Exs'!D373&lt;Tmax, NOT('08 Exs'!$H373="")),'08 Exs'!$H373,4)</f>
        <v>3</v>
      </c>
      <c r="AG373">
        <f>IF(AND('08 Exs'!E373&lt;Tmax, NOT('08 Exs'!$H373="")),'08 Exs'!$H373,4)</f>
        <v>3</v>
      </c>
      <c r="AH373">
        <f>IF(AND('08 Exs'!F373&lt;Tmax, NOT('08 Exs'!$H373="")),'08 Exs'!$H373,4)</f>
        <v>3</v>
      </c>
      <c r="AI373"/>
    </row>
    <row r="374" spans="1:35" s="648" customFormat="1" outlineLevel="2" x14ac:dyDescent="0.2">
      <c r="A374" s="636" t="s">
        <v>2652</v>
      </c>
      <c r="B374" s="636" t="s">
        <v>2653</v>
      </c>
      <c r="C374" s="786"/>
      <c r="D374" s="789"/>
      <c r="E374" s="789"/>
      <c r="F374" s="789"/>
      <c r="G374" s="1487">
        <v>3</v>
      </c>
      <c r="H374" s="1487"/>
      <c r="I374" s="1487"/>
      <c r="J374" s="1487" t="s">
        <v>1592</v>
      </c>
      <c r="K374" s="1488"/>
      <c r="L374" s="1488"/>
      <c r="M374" s="793"/>
      <c r="N374" s="611"/>
      <c r="O374" s="611"/>
      <c r="P374" s="611"/>
      <c r="Q374" s="611"/>
      <c r="R374" s="611"/>
      <c r="S374" s="611"/>
      <c r="T374" s="611"/>
      <c r="U374" s="611"/>
      <c r="V374" s="611"/>
      <c r="W374" s="611"/>
      <c r="X374" s="611"/>
      <c r="Y374" s="611"/>
      <c r="Z374" s="611"/>
      <c r="AA374">
        <f>IF(AND('08 Exs'!C374&gt;Tmin, NOT('08 Exs'!$I374="")),'08 Exs'!$I374,0)</f>
        <v>0</v>
      </c>
      <c r="AB374">
        <f>IF(AND('08 Exs'!D374&gt;Tmin, NOT('08 Exs'!$I374="")),'08 Exs'!$I374,0)</f>
        <v>0</v>
      </c>
      <c r="AC374">
        <f>IF(AND('08 Exs'!E374&gt;Tmin, NOT('08 Exs'!$I374="")),'08 Exs'!$I374,0)</f>
        <v>0</v>
      </c>
      <c r="AD374">
        <f>IF(AND('08 Exs'!F374&gt;Tmin, NOT('08 Exs'!$I374="")),'08 Exs'!$I374,0)</f>
        <v>0</v>
      </c>
      <c r="AE374">
        <f>IF(AND('08 Exs'!C374&lt;Tmax, NOT('08 Exs'!$H374="")),'08 Exs'!$H374,4)</f>
        <v>4</v>
      </c>
      <c r="AF374">
        <f>IF(AND('08 Exs'!D374&lt;Tmax, NOT('08 Exs'!$H374="")),'08 Exs'!$H374,4)</f>
        <v>4</v>
      </c>
      <c r="AG374">
        <f>IF(AND('08 Exs'!E374&lt;Tmax, NOT('08 Exs'!$H374="")),'08 Exs'!$H374,4)</f>
        <v>4</v>
      </c>
      <c r="AH374">
        <f>IF(AND('08 Exs'!F374&lt;Tmax, NOT('08 Exs'!$H374="")),'08 Exs'!$H374,4)</f>
        <v>4</v>
      </c>
      <c r="AI374"/>
    </row>
    <row r="375" spans="1:35" s="648" customFormat="1" ht="22.5" outlineLevel="2" x14ac:dyDescent="0.2">
      <c r="A375" s="636" t="s">
        <v>2654</v>
      </c>
      <c r="B375" s="636" t="s">
        <v>2655</v>
      </c>
      <c r="C375" s="786"/>
      <c r="D375" s="789"/>
      <c r="E375" s="789"/>
      <c r="F375" s="789"/>
      <c r="G375" s="1487">
        <v>3</v>
      </c>
      <c r="H375" s="1487">
        <v>3</v>
      </c>
      <c r="I375" s="1487"/>
      <c r="J375" s="1487" t="s">
        <v>1592</v>
      </c>
      <c r="K375" s="1488"/>
      <c r="L375" s="1488"/>
      <c r="M375" s="793"/>
      <c r="N375" s="611"/>
      <c r="O375" s="611"/>
      <c r="P375" s="611"/>
      <c r="Q375" s="611"/>
      <c r="R375" s="611"/>
      <c r="S375" s="611"/>
      <c r="T375" s="611"/>
      <c r="U375" s="611"/>
      <c r="V375" s="611"/>
      <c r="W375" s="611"/>
      <c r="X375" s="611"/>
      <c r="Y375" s="611"/>
      <c r="Z375" s="611"/>
      <c r="AA375">
        <f>IF(AND('08 Exs'!C375&gt;Tmin, NOT('08 Exs'!$I375="")),'08 Exs'!$I375,0)</f>
        <v>0</v>
      </c>
      <c r="AB375">
        <f>IF(AND('08 Exs'!D375&gt;Tmin, NOT('08 Exs'!$I375="")),'08 Exs'!$I375,0)</f>
        <v>0</v>
      </c>
      <c r="AC375">
        <f>IF(AND('08 Exs'!E375&gt;Tmin, NOT('08 Exs'!$I375="")),'08 Exs'!$I375,0)</f>
        <v>0</v>
      </c>
      <c r="AD375">
        <f>IF(AND('08 Exs'!F375&gt;Tmin, NOT('08 Exs'!$I375="")),'08 Exs'!$I375,0)</f>
        <v>0</v>
      </c>
      <c r="AE375">
        <f>IF(AND('08 Exs'!C375&lt;Tmax, NOT('08 Exs'!$H375="")),'08 Exs'!$H375,4)</f>
        <v>3</v>
      </c>
      <c r="AF375">
        <f>IF(AND('08 Exs'!D375&lt;Tmax, NOT('08 Exs'!$H375="")),'08 Exs'!$H375,4)</f>
        <v>3</v>
      </c>
      <c r="AG375">
        <f>IF(AND('08 Exs'!E375&lt;Tmax, NOT('08 Exs'!$H375="")),'08 Exs'!$H375,4)</f>
        <v>3</v>
      </c>
      <c r="AH375">
        <f>IF(AND('08 Exs'!F375&lt;Tmax, NOT('08 Exs'!$H375="")),'08 Exs'!$H375,4)</f>
        <v>3</v>
      </c>
      <c r="AI375"/>
    </row>
    <row r="376" spans="1:35" s="648" customFormat="1" outlineLevel="2" x14ac:dyDescent="0.2">
      <c r="A376" s="636" t="s">
        <v>2656</v>
      </c>
      <c r="B376" s="636" t="s">
        <v>4403</v>
      </c>
      <c r="C376" s="786"/>
      <c r="D376" s="789"/>
      <c r="E376" s="789"/>
      <c r="F376" s="789"/>
      <c r="G376" s="1487">
        <v>3</v>
      </c>
      <c r="H376" s="1487">
        <v>3</v>
      </c>
      <c r="I376" s="1487"/>
      <c r="J376" s="1487" t="s">
        <v>1592</v>
      </c>
      <c r="K376" s="1488"/>
      <c r="L376" s="1488"/>
      <c r="M376" s="793"/>
      <c r="N376" s="611"/>
      <c r="O376" s="611"/>
      <c r="P376" s="611"/>
      <c r="Q376" s="611"/>
      <c r="R376" s="611"/>
      <c r="S376" s="611"/>
      <c r="T376" s="611"/>
      <c r="U376" s="611"/>
      <c r="V376" s="611"/>
      <c r="W376" s="611"/>
      <c r="X376" s="611"/>
      <c r="Y376" s="611"/>
      <c r="Z376" s="611"/>
      <c r="AA376">
        <f>IF(AND('08 Exs'!C376&gt;Tmin, NOT('08 Exs'!$I376="")),'08 Exs'!$I376,0)</f>
        <v>0</v>
      </c>
      <c r="AB376">
        <f>IF(AND('08 Exs'!D376&gt;Tmin, NOT('08 Exs'!$I376="")),'08 Exs'!$I376,0)</f>
        <v>0</v>
      </c>
      <c r="AC376">
        <f>IF(AND('08 Exs'!E376&gt;Tmin, NOT('08 Exs'!$I376="")),'08 Exs'!$I376,0)</f>
        <v>0</v>
      </c>
      <c r="AD376">
        <f>IF(AND('08 Exs'!F376&gt;Tmin, NOT('08 Exs'!$I376="")),'08 Exs'!$I376,0)</f>
        <v>0</v>
      </c>
      <c r="AE376">
        <f>IF(AND('08 Exs'!C376&lt;Tmax, NOT('08 Exs'!$H376="")),'08 Exs'!$H376,4)</f>
        <v>3</v>
      </c>
      <c r="AF376">
        <f>IF(AND('08 Exs'!D376&lt;Tmax, NOT('08 Exs'!$H376="")),'08 Exs'!$H376,4)</f>
        <v>3</v>
      </c>
      <c r="AG376">
        <f>IF(AND('08 Exs'!E376&lt;Tmax, NOT('08 Exs'!$H376="")),'08 Exs'!$H376,4)</f>
        <v>3</v>
      </c>
      <c r="AH376">
        <f>IF(AND('08 Exs'!F376&lt;Tmax, NOT('08 Exs'!$H376="")),'08 Exs'!$H376,4)</f>
        <v>3</v>
      </c>
      <c r="AI376"/>
    </row>
    <row r="377" spans="1:35" s="648" customFormat="1" ht="22.5" outlineLevel="2" x14ac:dyDescent="0.2">
      <c r="A377" s="636" t="s">
        <v>4404</v>
      </c>
      <c r="B377" s="636" t="s">
        <v>6028</v>
      </c>
      <c r="C377" s="794"/>
      <c r="D377" s="795"/>
      <c r="E377" s="795"/>
      <c r="F377" s="795"/>
      <c r="G377" s="1490">
        <v>3</v>
      </c>
      <c r="H377" s="1490">
        <v>3</v>
      </c>
      <c r="I377" s="1490"/>
      <c r="J377" s="1490" t="s">
        <v>2349</v>
      </c>
      <c r="K377" s="1491"/>
      <c r="L377" s="1491"/>
      <c r="M377" s="796"/>
      <c r="N377" s="611"/>
      <c r="O377" s="611"/>
      <c r="P377" s="611"/>
      <c r="Q377" s="611"/>
      <c r="R377" s="611"/>
      <c r="S377" s="611"/>
      <c r="T377" s="611"/>
      <c r="U377" s="611"/>
      <c r="V377" s="611"/>
      <c r="W377" s="611"/>
      <c r="X377" s="611"/>
      <c r="Y377" s="611"/>
      <c r="Z377" s="611"/>
      <c r="AA377">
        <f>IF(AND('08 Exs'!C377&gt;Tmin, NOT('08 Exs'!$I377="")),'08 Exs'!$I377,0)</f>
        <v>0</v>
      </c>
      <c r="AB377">
        <f>IF(AND('08 Exs'!D377&gt;Tmin, NOT('08 Exs'!$I377="")),'08 Exs'!$I377,0)</f>
        <v>0</v>
      </c>
      <c r="AC377">
        <f>IF(AND('08 Exs'!E377&gt;Tmin, NOT('08 Exs'!$I377="")),'08 Exs'!$I377,0)</f>
        <v>0</v>
      </c>
      <c r="AD377">
        <f>IF(AND('08 Exs'!F377&gt;Tmin, NOT('08 Exs'!$I377="")),'08 Exs'!$I377,0)</f>
        <v>0</v>
      </c>
      <c r="AE377">
        <f>IF(AND('08 Exs'!C377&lt;Tmax, NOT('08 Exs'!$H377="")),'08 Exs'!$H377,4)</f>
        <v>3</v>
      </c>
      <c r="AF377">
        <f>IF(AND('08 Exs'!D377&lt;Tmax, NOT('08 Exs'!$H377="")),'08 Exs'!$H377,4)</f>
        <v>3</v>
      </c>
      <c r="AG377">
        <f>IF(AND('08 Exs'!E377&lt;Tmax, NOT('08 Exs'!$H377="")),'08 Exs'!$H377,4)</f>
        <v>3</v>
      </c>
      <c r="AH377">
        <f>IF(AND('08 Exs'!F377&lt;Tmax, NOT('08 Exs'!$H377="")),'08 Exs'!$H377,4)</f>
        <v>3</v>
      </c>
      <c r="AI377"/>
    </row>
    <row r="378" spans="1:35" s="648" customFormat="1" outlineLevel="2" x14ac:dyDescent="0.2">
      <c r="A378" s="636" t="s">
        <v>5704</v>
      </c>
      <c r="B378" s="636" t="s">
        <v>5705</v>
      </c>
      <c r="C378" s="797"/>
      <c r="D378" s="798"/>
      <c r="E378" s="798"/>
      <c r="F378" s="798"/>
      <c r="G378" s="1492">
        <v>3</v>
      </c>
      <c r="H378" s="1492">
        <v>2</v>
      </c>
      <c r="I378" s="1492"/>
      <c r="J378" s="1492" t="s">
        <v>2109</v>
      </c>
      <c r="K378" s="1493"/>
      <c r="L378" s="1493"/>
      <c r="M378" s="799"/>
      <c r="N378" s="611"/>
      <c r="O378" s="611"/>
      <c r="P378" s="611"/>
      <c r="Q378" s="611"/>
      <c r="R378" s="611"/>
      <c r="S378" s="611"/>
      <c r="T378" s="611"/>
      <c r="U378" s="611"/>
      <c r="V378" s="611"/>
      <c r="W378" s="611"/>
      <c r="X378" s="611"/>
      <c r="Y378" s="611"/>
      <c r="Z378" s="611"/>
      <c r="AA378">
        <f>IF(AND('08 Exs'!C378&gt;Tmin, NOT('08 Exs'!$I378="")),'08 Exs'!$I378,0)</f>
        <v>0</v>
      </c>
      <c r="AB378">
        <f>IF(AND('08 Exs'!D378&gt;Tmin, NOT('08 Exs'!$I378="")),'08 Exs'!$I378,0)</f>
        <v>0</v>
      </c>
      <c r="AC378">
        <f>IF(AND('08 Exs'!E378&gt;Tmin, NOT('08 Exs'!$I378="")),'08 Exs'!$I378,0)</f>
        <v>0</v>
      </c>
      <c r="AD378">
        <f>IF(AND('08 Exs'!F378&gt;Tmin, NOT('08 Exs'!$I378="")),'08 Exs'!$I378,0)</f>
        <v>0</v>
      </c>
      <c r="AE378">
        <f>IF(AND('08 Exs'!C378&lt;Tmax, NOT('08 Exs'!$H378="")),'08 Exs'!$H378,4)</f>
        <v>2</v>
      </c>
      <c r="AF378">
        <f>IF(AND('08 Exs'!D378&lt;Tmax, NOT('08 Exs'!$H378="")),'08 Exs'!$H378,4)</f>
        <v>2</v>
      </c>
      <c r="AG378">
        <f>IF(AND('08 Exs'!E378&lt;Tmax, NOT('08 Exs'!$H378="")),'08 Exs'!$H378,4)</f>
        <v>2</v>
      </c>
      <c r="AH378">
        <f>IF(AND('08 Exs'!F378&lt;Tmax, NOT('08 Exs'!$H378="")),'08 Exs'!$H378,4)</f>
        <v>2</v>
      </c>
      <c r="AI378"/>
    </row>
    <row r="379" spans="1:35" s="648" customFormat="1" x14ac:dyDescent="0.2">
      <c r="A379" s="800"/>
      <c r="B379" s="169"/>
      <c r="C379" s="801"/>
      <c r="D379" s="802"/>
      <c r="E379" s="802"/>
      <c r="F379" s="802"/>
      <c r="G379" s="803"/>
      <c r="H379" s="803"/>
      <c r="I379" s="803"/>
      <c r="J379" s="803"/>
      <c r="K379" s="804"/>
      <c r="L379" s="804"/>
      <c r="M379" s="805"/>
      <c r="N379" s="611"/>
      <c r="O379" s="611"/>
      <c r="P379" s="611"/>
      <c r="Q379" s="611"/>
      <c r="R379" s="611"/>
      <c r="S379" s="611"/>
      <c r="T379" s="611"/>
      <c r="U379" s="611"/>
      <c r="V379" s="611"/>
      <c r="W379" s="611"/>
      <c r="X379" s="611"/>
      <c r="Y379" s="611"/>
      <c r="Z379" s="611"/>
      <c r="AA379"/>
      <c r="AB379"/>
      <c r="AC379"/>
      <c r="AD379"/>
      <c r="AE379"/>
      <c r="AF379"/>
      <c r="AG379"/>
      <c r="AH379"/>
      <c r="AI379"/>
    </row>
    <row r="380" spans="1:35" s="648" customFormat="1" x14ac:dyDescent="0.2">
      <c r="A380" s="612" t="str">
        <f>C$2</f>
        <v>R-V1</v>
      </c>
      <c r="B380" s="727" t="s">
        <v>7232</v>
      </c>
      <c r="C380" s="612" t="str">
        <f>C$2</f>
        <v>R-V1</v>
      </c>
      <c r="D380" s="612"/>
      <c r="E380" s="612"/>
      <c r="F380" s="612"/>
      <c r="G380" s="803"/>
      <c r="H380" s="803"/>
      <c r="I380" s="803"/>
      <c r="J380" s="803"/>
      <c r="K380" s="806"/>
      <c r="L380" s="804"/>
      <c r="M380" s="805"/>
      <c r="N380" s="611"/>
      <c r="O380" s="611"/>
      <c r="P380" s="611"/>
      <c r="Q380" s="611"/>
      <c r="R380" s="611"/>
      <c r="S380" s="611"/>
      <c r="T380" s="611"/>
      <c r="U380" s="611"/>
      <c r="V380" s="611"/>
      <c r="W380" s="611"/>
      <c r="X380" s="611"/>
      <c r="Y380" s="611"/>
      <c r="Z380" s="611"/>
      <c r="AA380"/>
      <c r="AB380"/>
      <c r="AC380"/>
      <c r="AD380"/>
      <c r="AE380"/>
      <c r="AF380"/>
      <c r="AG380"/>
      <c r="AH380"/>
      <c r="AI380"/>
    </row>
    <row r="381" spans="1:35" s="648" customFormat="1" x14ac:dyDescent="0.2">
      <c r="A381" s="612" t="str">
        <f>C$2</f>
        <v>R-V1</v>
      </c>
      <c r="B381" s="727" t="s">
        <v>7233</v>
      </c>
      <c r="C381" s="612" t="str">
        <f>C$2</f>
        <v>R-V1</v>
      </c>
      <c r="D381" s="612"/>
      <c r="E381" s="612"/>
      <c r="F381" s="612"/>
      <c r="G381" s="803"/>
      <c r="H381" s="803"/>
      <c r="I381" s="803"/>
      <c r="J381" s="803"/>
      <c r="K381" s="806"/>
      <c r="L381" s="804"/>
      <c r="M381" s="807"/>
      <c r="N381" s="611"/>
      <c r="O381" s="611"/>
      <c r="P381" s="611"/>
      <c r="Q381" s="611"/>
      <c r="R381" s="611"/>
      <c r="S381" s="611"/>
      <c r="T381" s="611"/>
      <c r="U381" s="611"/>
      <c r="V381" s="611"/>
      <c r="W381" s="611"/>
      <c r="X381" s="611"/>
      <c r="Y381" s="611"/>
      <c r="Z381" s="611"/>
      <c r="AA381"/>
      <c r="AB381"/>
      <c r="AC381"/>
      <c r="AD381"/>
      <c r="AE381"/>
      <c r="AF381"/>
      <c r="AG381"/>
      <c r="AH381"/>
      <c r="AI381"/>
    </row>
    <row r="382" spans="1:35" s="648" customFormat="1" x14ac:dyDescent="0.2">
      <c r="A382" s="612" t="str">
        <f>C$2</f>
        <v>R-V1</v>
      </c>
      <c r="B382" s="727" t="s">
        <v>7234</v>
      </c>
      <c r="C382" s="612" t="str">
        <f>C$2</f>
        <v>R-V1</v>
      </c>
      <c r="D382" s="612"/>
      <c r="E382" s="612"/>
      <c r="F382" s="612"/>
      <c r="G382" s="803"/>
      <c r="H382" s="803"/>
      <c r="I382" s="803"/>
      <c r="J382" s="803"/>
      <c r="K382" s="806"/>
      <c r="L382" s="804"/>
      <c r="M382" s="807"/>
      <c r="N382" s="611"/>
      <c r="O382" s="611"/>
      <c r="P382" s="611"/>
      <c r="Q382" s="611"/>
      <c r="R382" s="611"/>
      <c r="S382" s="611"/>
      <c r="T382" s="611"/>
      <c r="U382" s="611"/>
      <c r="V382" s="611"/>
      <c r="W382" s="611"/>
      <c r="X382" s="611"/>
      <c r="Y382" s="611"/>
      <c r="Z382" s="611"/>
      <c r="AA382"/>
      <c r="AB382"/>
      <c r="AC382"/>
      <c r="AD382"/>
      <c r="AE382"/>
      <c r="AF382"/>
      <c r="AG382"/>
      <c r="AH382"/>
      <c r="AI382"/>
    </row>
    <row r="383" spans="1:35" x14ac:dyDescent="0.2">
      <c r="A383" s="612" t="str">
        <f>C$2</f>
        <v>R-V1</v>
      </c>
      <c r="B383" s="728" t="s">
        <v>7235</v>
      </c>
      <c r="C383" s="612" t="str">
        <f>C$2</f>
        <v>R-V1</v>
      </c>
      <c r="D383" s="612"/>
      <c r="E383" s="612"/>
      <c r="F383" s="612"/>
      <c r="G383" s="808"/>
      <c r="H383" s="808"/>
      <c r="I383" s="808"/>
      <c r="J383" s="808"/>
      <c r="K383" s="688"/>
      <c r="L383" s="688"/>
      <c r="M383" s="809"/>
      <c r="AA383"/>
      <c r="AB383"/>
      <c r="AC383"/>
      <c r="AD383"/>
      <c r="AE383"/>
      <c r="AF383"/>
      <c r="AG383"/>
      <c r="AH383"/>
      <c r="AI383"/>
    </row>
    <row r="384" spans="1:35" x14ac:dyDescent="0.2">
      <c r="A384" s="612"/>
      <c r="B384" s="727"/>
      <c r="C384" s="612"/>
      <c r="D384" s="612"/>
      <c r="E384" s="612"/>
      <c r="F384" s="612"/>
      <c r="G384" s="803"/>
      <c r="H384" s="803"/>
      <c r="I384" s="803"/>
      <c r="J384" s="803"/>
      <c r="L384" s="804"/>
      <c r="M384" s="805"/>
      <c r="AA384"/>
      <c r="AB384"/>
      <c r="AC384"/>
      <c r="AD384"/>
      <c r="AE384"/>
      <c r="AF384"/>
      <c r="AG384"/>
      <c r="AH384"/>
      <c r="AI384"/>
    </row>
    <row r="385" spans="1:35" x14ac:dyDescent="0.2">
      <c r="A385" s="612" t="str">
        <f>D$2</f>
        <v>R-V2</v>
      </c>
      <c r="B385" s="727" t="s">
        <v>7232</v>
      </c>
      <c r="C385" s="612"/>
      <c r="D385" s="612" t="str">
        <f>D$2</f>
        <v>R-V2</v>
      </c>
      <c r="E385" s="612"/>
      <c r="F385" s="612"/>
      <c r="G385" s="808"/>
      <c r="H385" s="808"/>
      <c r="I385" s="808"/>
      <c r="J385" s="808"/>
      <c r="K385" s="688"/>
      <c r="L385" s="688"/>
      <c r="M385" s="809"/>
      <c r="AA385"/>
      <c r="AB385"/>
      <c r="AC385"/>
      <c r="AD385"/>
      <c r="AE385"/>
      <c r="AF385"/>
      <c r="AG385"/>
      <c r="AH385"/>
      <c r="AI385"/>
    </row>
    <row r="386" spans="1:35" x14ac:dyDescent="0.2">
      <c r="A386" s="612" t="str">
        <f>D$2</f>
        <v>R-V2</v>
      </c>
      <c r="B386" s="727" t="s">
        <v>7233</v>
      </c>
      <c r="C386" s="612"/>
      <c r="D386" s="612" t="str">
        <f>D$2</f>
        <v>R-V2</v>
      </c>
      <c r="E386" s="612"/>
      <c r="F386" s="612"/>
      <c r="G386" s="803"/>
      <c r="H386" s="803"/>
      <c r="I386" s="803"/>
      <c r="J386" s="803"/>
      <c r="L386" s="804"/>
      <c r="M386" s="805"/>
      <c r="AA386"/>
      <c r="AB386"/>
      <c r="AC386"/>
      <c r="AD386"/>
      <c r="AE386"/>
      <c r="AF386"/>
      <c r="AG386"/>
      <c r="AH386"/>
      <c r="AI386"/>
    </row>
    <row r="387" spans="1:35" x14ac:dyDescent="0.2">
      <c r="A387" s="612" t="str">
        <f>D$2</f>
        <v>R-V2</v>
      </c>
      <c r="B387" s="727" t="s">
        <v>7234</v>
      </c>
      <c r="C387" s="612"/>
      <c r="D387" s="612" t="str">
        <f>D$2</f>
        <v>R-V2</v>
      </c>
      <c r="E387" s="612"/>
      <c r="F387" s="612"/>
      <c r="G387" s="803"/>
      <c r="H387" s="803"/>
      <c r="I387" s="803"/>
      <c r="J387" s="810"/>
      <c r="L387" s="804"/>
      <c r="M387" s="805"/>
      <c r="AA387"/>
      <c r="AB387"/>
      <c r="AC387"/>
      <c r="AD387"/>
      <c r="AE387"/>
      <c r="AF387"/>
      <c r="AG387"/>
      <c r="AH387"/>
      <c r="AI387"/>
    </row>
    <row r="388" spans="1:35" x14ac:dyDescent="0.2">
      <c r="A388" s="612" t="str">
        <f>D$2</f>
        <v>R-V2</v>
      </c>
      <c r="B388" s="727" t="s">
        <v>7235</v>
      </c>
      <c r="C388" s="612"/>
      <c r="D388" s="612" t="str">
        <f>D$2</f>
        <v>R-V2</v>
      </c>
      <c r="E388" s="612"/>
      <c r="F388" s="612"/>
      <c r="G388" s="811"/>
      <c r="H388" s="803"/>
      <c r="I388" s="803"/>
      <c r="J388" s="803"/>
      <c r="L388" s="804"/>
      <c r="M388" s="805"/>
      <c r="AA388"/>
      <c r="AB388"/>
      <c r="AC388"/>
      <c r="AD388"/>
      <c r="AE388"/>
      <c r="AF388"/>
      <c r="AG388"/>
      <c r="AH388"/>
      <c r="AI388"/>
    </row>
    <row r="389" spans="1:35" x14ac:dyDescent="0.2">
      <c r="A389" s="612"/>
      <c r="B389" s="727"/>
      <c r="C389" s="612"/>
      <c r="D389" s="612"/>
      <c r="E389" s="612"/>
      <c r="F389" s="612"/>
      <c r="G389" s="812"/>
      <c r="H389" s="803"/>
      <c r="I389" s="803"/>
      <c r="J389" s="803"/>
      <c r="L389" s="804"/>
      <c r="M389" s="805"/>
      <c r="AA389"/>
      <c r="AB389"/>
      <c r="AC389"/>
      <c r="AD389"/>
      <c r="AE389"/>
      <c r="AF389"/>
      <c r="AG389"/>
      <c r="AH389"/>
      <c r="AI389"/>
    </row>
    <row r="390" spans="1:35" x14ac:dyDescent="0.2">
      <c r="A390" s="612" t="str">
        <f>E$2</f>
        <v>R-V3</v>
      </c>
      <c r="B390" s="727" t="s">
        <v>7232</v>
      </c>
      <c r="C390" s="612"/>
      <c r="D390" s="612"/>
      <c r="E390" s="612" t="str">
        <f>E$2</f>
        <v>R-V3</v>
      </c>
      <c r="F390" s="612"/>
      <c r="G390" s="811"/>
      <c r="H390" s="811"/>
      <c r="I390" s="811"/>
      <c r="J390" s="803"/>
      <c r="L390" s="804"/>
      <c r="M390" s="805"/>
      <c r="AA390"/>
      <c r="AB390"/>
      <c r="AC390"/>
      <c r="AD390"/>
      <c r="AE390"/>
      <c r="AF390"/>
      <c r="AG390"/>
      <c r="AH390"/>
      <c r="AI390"/>
    </row>
    <row r="391" spans="1:35" x14ac:dyDescent="0.2">
      <c r="A391" s="612" t="str">
        <f>E$2</f>
        <v>R-V3</v>
      </c>
      <c r="B391" s="727" t="s">
        <v>7233</v>
      </c>
      <c r="C391" s="612"/>
      <c r="D391" s="612"/>
      <c r="E391" s="612" t="str">
        <f>E$2</f>
        <v>R-V3</v>
      </c>
      <c r="F391" s="612"/>
      <c r="G391" s="811"/>
      <c r="H391" s="811"/>
      <c r="I391" s="811"/>
      <c r="J391" s="803"/>
      <c r="L391" s="804"/>
      <c r="M391" s="805"/>
      <c r="AA391"/>
      <c r="AB391"/>
      <c r="AC391"/>
      <c r="AD391"/>
      <c r="AE391"/>
      <c r="AF391"/>
      <c r="AG391"/>
      <c r="AH391"/>
      <c r="AI391"/>
    </row>
    <row r="392" spans="1:35" x14ac:dyDescent="0.2">
      <c r="A392" s="612" t="str">
        <f>E$2</f>
        <v>R-V3</v>
      </c>
      <c r="B392" s="727" t="s">
        <v>7234</v>
      </c>
      <c r="C392" s="612"/>
      <c r="D392" s="612"/>
      <c r="E392" s="612" t="str">
        <f>E$2</f>
        <v>R-V3</v>
      </c>
      <c r="F392" s="612"/>
      <c r="G392" s="811"/>
      <c r="H392" s="811"/>
      <c r="I392" s="811"/>
      <c r="J392" s="803"/>
      <c r="L392" s="804"/>
      <c r="M392" s="805"/>
      <c r="AA392"/>
      <c r="AB392"/>
      <c r="AC392"/>
      <c r="AD392"/>
      <c r="AE392"/>
      <c r="AF392"/>
      <c r="AG392"/>
      <c r="AH392"/>
      <c r="AI392"/>
    </row>
    <row r="393" spans="1:35" x14ac:dyDescent="0.2">
      <c r="A393" s="612" t="str">
        <f>E$2</f>
        <v>R-V3</v>
      </c>
      <c r="B393" s="727" t="s">
        <v>7235</v>
      </c>
      <c r="C393" s="612"/>
      <c r="D393" s="612"/>
      <c r="E393" s="612" t="str">
        <f>E$2</f>
        <v>R-V3</v>
      </c>
      <c r="F393" s="612"/>
      <c r="G393" s="811"/>
      <c r="H393" s="811"/>
      <c r="I393" s="811"/>
      <c r="J393" s="803"/>
      <c r="L393" s="804"/>
      <c r="M393" s="805"/>
      <c r="AA393"/>
      <c r="AB393"/>
      <c r="AC393"/>
      <c r="AD393"/>
      <c r="AE393"/>
      <c r="AF393"/>
      <c r="AG393"/>
      <c r="AH393"/>
      <c r="AI393"/>
    </row>
    <row r="394" spans="1:35" x14ac:dyDescent="0.2">
      <c r="A394" s="612"/>
      <c r="B394" s="727"/>
      <c r="C394" s="612"/>
      <c r="D394" s="612"/>
      <c r="E394" s="612"/>
      <c r="F394" s="612"/>
      <c r="G394" s="811"/>
      <c r="H394" s="811"/>
      <c r="I394" s="811"/>
      <c r="J394" s="803"/>
      <c r="L394" s="804"/>
      <c r="M394" s="805"/>
      <c r="AA394"/>
      <c r="AB394"/>
      <c r="AC394"/>
      <c r="AD394"/>
      <c r="AE394"/>
      <c r="AF394"/>
      <c r="AG394"/>
      <c r="AH394"/>
      <c r="AI394"/>
    </row>
    <row r="395" spans="1:35" x14ac:dyDescent="0.2">
      <c r="A395" s="612" t="str">
        <f>F$2</f>
        <v>R-V4</v>
      </c>
      <c r="B395" s="727" t="s">
        <v>7232</v>
      </c>
      <c r="C395" s="612"/>
      <c r="D395" s="612"/>
      <c r="E395" s="612"/>
      <c r="F395" s="612" t="str">
        <f>F$2</f>
        <v>R-V4</v>
      </c>
      <c r="G395" s="811"/>
      <c r="H395" s="811"/>
      <c r="I395" s="811"/>
      <c r="J395" s="803"/>
      <c r="L395" s="804"/>
      <c r="M395" s="805"/>
      <c r="AA395"/>
      <c r="AB395"/>
      <c r="AC395"/>
      <c r="AD395"/>
      <c r="AE395"/>
      <c r="AF395"/>
      <c r="AG395"/>
      <c r="AH395"/>
      <c r="AI395"/>
    </row>
    <row r="396" spans="1:35" x14ac:dyDescent="0.2">
      <c r="A396" s="612" t="str">
        <f>F$2</f>
        <v>R-V4</v>
      </c>
      <c r="B396" s="727" t="s">
        <v>7233</v>
      </c>
      <c r="C396" s="612"/>
      <c r="D396" s="612"/>
      <c r="E396" s="612"/>
      <c r="F396" s="612" t="str">
        <f>F$2</f>
        <v>R-V4</v>
      </c>
      <c r="G396" s="811"/>
      <c r="H396" s="811"/>
      <c r="I396" s="811"/>
      <c r="J396" s="803"/>
      <c r="L396" s="804"/>
      <c r="M396" s="805"/>
      <c r="AA396"/>
      <c r="AB396"/>
      <c r="AC396"/>
      <c r="AD396"/>
      <c r="AE396"/>
      <c r="AF396"/>
      <c r="AG396"/>
      <c r="AH396"/>
      <c r="AI396"/>
    </row>
    <row r="397" spans="1:35" x14ac:dyDescent="0.2">
      <c r="A397" s="612" t="str">
        <f>F$2</f>
        <v>R-V4</v>
      </c>
      <c r="B397" s="727" t="s">
        <v>7234</v>
      </c>
      <c r="C397" s="612"/>
      <c r="D397" s="612"/>
      <c r="E397" s="612"/>
      <c r="F397" s="612" t="str">
        <f>F$2</f>
        <v>R-V4</v>
      </c>
      <c r="G397" s="811"/>
      <c r="H397" s="811"/>
      <c r="I397" s="811"/>
      <c r="J397" s="803"/>
      <c r="L397" s="804"/>
      <c r="M397" s="805"/>
      <c r="AA397"/>
      <c r="AB397"/>
      <c r="AC397"/>
      <c r="AD397"/>
      <c r="AE397"/>
      <c r="AF397"/>
      <c r="AG397"/>
      <c r="AH397"/>
      <c r="AI397"/>
    </row>
    <row r="398" spans="1:35" x14ac:dyDescent="0.2">
      <c r="A398" s="612" t="str">
        <f>F$2</f>
        <v>R-V4</v>
      </c>
      <c r="B398" s="727" t="s">
        <v>7235</v>
      </c>
      <c r="C398" s="612"/>
      <c r="D398" s="612"/>
      <c r="E398" s="612"/>
      <c r="F398" s="612" t="str">
        <f>F$2</f>
        <v>R-V4</v>
      </c>
      <c r="G398" s="808"/>
      <c r="H398" s="808"/>
      <c r="I398" s="808"/>
      <c r="J398" s="808"/>
      <c r="K398" s="688"/>
      <c r="L398" s="688"/>
      <c r="M398" s="809"/>
      <c r="AA398"/>
      <c r="AB398"/>
      <c r="AC398"/>
      <c r="AD398"/>
      <c r="AE398"/>
      <c r="AF398"/>
      <c r="AG398"/>
      <c r="AH398"/>
      <c r="AI398"/>
    </row>
    <row r="399" spans="1:35" x14ac:dyDescent="0.2">
      <c r="C399" s="801"/>
      <c r="D399" s="813"/>
      <c r="E399" s="813"/>
      <c r="F399" s="813"/>
      <c r="G399" s="811"/>
      <c r="H399" s="811"/>
      <c r="I399" s="811"/>
      <c r="J399" s="811"/>
      <c r="L399" s="804"/>
      <c r="M399" s="805"/>
      <c r="AA399"/>
      <c r="AB399"/>
      <c r="AC399"/>
      <c r="AD399"/>
      <c r="AE399"/>
      <c r="AF399"/>
      <c r="AG399"/>
      <c r="AH399"/>
      <c r="AI399"/>
    </row>
    <row r="400" spans="1:35" x14ac:dyDescent="0.2">
      <c r="C400" s="801"/>
      <c r="D400" s="813"/>
      <c r="E400" s="813"/>
      <c r="F400" s="813"/>
      <c r="G400" s="808"/>
      <c r="H400" s="808"/>
      <c r="I400" s="808"/>
      <c r="J400" s="808"/>
      <c r="K400" s="688"/>
      <c r="L400" s="688"/>
      <c r="M400" s="809"/>
      <c r="AA400"/>
      <c r="AB400"/>
      <c r="AC400"/>
      <c r="AD400"/>
      <c r="AE400"/>
      <c r="AF400"/>
      <c r="AG400"/>
      <c r="AH400"/>
      <c r="AI400"/>
    </row>
    <row r="401" spans="3:13" x14ac:dyDescent="0.2">
      <c r="C401" s="801"/>
      <c r="D401" s="813"/>
      <c r="E401" s="813"/>
      <c r="F401" s="813"/>
      <c r="G401" s="808"/>
      <c r="H401" s="808"/>
      <c r="I401" s="808"/>
      <c r="J401" s="808"/>
      <c r="K401" s="688"/>
      <c r="L401" s="688"/>
      <c r="M401" s="809"/>
    </row>
    <row r="402" spans="3:13" x14ac:dyDescent="0.2">
      <c r="C402" s="801"/>
      <c r="D402" s="813"/>
      <c r="E402" s="813"/>
      <c r="F402" s="813"/>
      <c r="G402" s="808"/>
      <c r="H402" s="808"/>
      <c r="I402" s="808"/>
      <c r="J402" s="808"/>
      <c r="K402" s="688"/>
      <c r="L402" s="688"/>
      <c r="M402" s="809"/>
    </row>
    <row r="403" spans="3:13" x14ac:dyDescent="0.2">
      <c r="C403" s="801"/>
      <c r="D403" s="813"/>
      <c r="E403" s="813"/>
      <c r="F403" s="813"/>
      <c r="G403" s="808"/>
      <c r="H403" s="808"/>
      <c r="I403" s="808"/>
      <c r="J403" s="808"/>
      <c r="K403" s="688"/>
      <c r="L403" s="688"/>
      <c r="M403" s="809"/>
    </row>
    <row r="404" spans="3:13" x14ac:dyDescent="0.2">
      <c r="C404" s="801"/>
      <c r="D404" s="813"/>
      <c r="E404" s="813"/>
      <c r="F404" s="813"/>
      <c r="G404" s="808"/>
      <c r="H404" s="808"/>
      <c r="I404" s="808"/>
      <c r="J404" s="808"/>
      <c r="K404" s="688"/>
      <c r="L404" s="688"/>
      <c r="M404" s="809"/>
    </row>
    <row r="405" spans="3:13" x14ac:dyDescent="0.2">
      <c r="C405" s="801"/>
      <c r="D405" s="813"/>
      <c r="E405" s="813"/>
      <c r="F405" s="813"/>
      <c r="G405" s="808"/>
      <c r="H405" s="808"/>
      <c r="I405" s="808"/>
      <c r="J405" s="808"/>
      <c r="K405" s="688"/>
      <c r="L405" s="688"/>
      <c r="M405" s="809"/>
    </row>
    <row r="406" spans="3:13" x14ac:dyDescent="0.2">
      <c r="C406" s="801"/>
      <c r="D406" s="813"/>
      <c r="E406" s="813"/>
      <c r="F406" s="813"/>
      <c r="G406" s="808"/>
      <c r="H406" s="808"/>
      <c r="I406" s="808"/>
      <c r="J406" s="808"/>
      <c r="K406" s="688"/>
      <c r="L406" s="688"/>
      <c r="M406" s="809"/>
    </row>
    <row r="407" spans="3:13" x14ac:dyDescent="0.2">
      <c r="C407" s="801"/>
      <c r="D407" s="813"/>
      <c r="E407" s="813"/>
      <c r="F407" s="813"/>
      <c r="G407" s="808"/>
      <c r="H407" s="808"/>
      <c r="I407" s="808"/>
      <c r="J407" s="808"/>
      <c r="K407" s="688"/>
      <c r="L407" s="688"/>
      <c r="M407" s="809"/>
    </row>
    <row r="408" spans="3:13" x14ac:dyDescent="0.2">
      <c r="C408" s="801"/>
      <c r="D408" s="813"/>
      <c r="E408" s="813"/>
      <c r="F408" s="813"/>
      <c r="G408" s="808"/>
      <c r="H408" s="808"/>
      <c r="I408" s="808"/>
      <c r="J408" s="808"/>
      <c r="K408" s="688"/>
      <c r="L408" s="688"/>
      <c r="M408" s="809"/>
    </row>
  </sheetData>
  <sheetProtection sheet="1" objects="1" scenarios="1" formatCells="0" formatColumns="0" formatRows="0"/>
  <mergeCells count="1">
    <mergeCell ref="D1:E1"/>
  </mergeCells>
  <phoneticPr fontId="5" type="noConversion"/>
  <conditionalFormatting sqref="A5:B15 A17:B24 A26:B41 A43:B48 A50:B54 A56:B65 A67:B76 A78:B83 A85:B91 A93:B101 A103:B110 A112:B120 A122:B130 A132:B134 A136:B148 A150:B156 A158:B164 A166:B175 A177:B182 A184:B191 A193:B201 A203:B212 A214:B221 A223:B236 A238:B251 A253:B259 A261:B265 A267:B269 A271:B278 A280:B288 A290:B298 A300:B308 A310:B316 A318:B324 A326:B335 A337:B340 A342:B345 A347:B357 A359:B368 A370:B378">
    <cfRule type="expression" dxfId="162" priority="14" stopIfTrue="1">
      <formula>AND(NOT($K5=""),$K$1=1)</formula>
    </cfRule>
  </conditionalFormatting>
  <conditionalFormatting sqref="C379:M379 C399:M408 G380:M398">
    <cfRule type="expression" dxfId="161" priority="12">
      <formula>AND(NOT($K379=""),$K$1=1)</formula>
    </cfRule>
  </conditionalFormatting>
  <conditionalFormatting sqref="C379 C399:C408">
    <cfRule type="expression" dxfId="160" priority="11">
      <formula>AND(NOT($K379=""),$K$1=1)</formula>
    </cfRule>
  </conditionalFormatting>
  <conditionalFormatting sqref="C379 C399:C408">
    <cfRule type="expression" dxfId="159" priority="10">
      <formula>AND(NOT($K379=""),$K$1=1)</formula>
    </cfRule>
  </conditionalFormatting>
  <conditionalFormatting sqref="C379 C399:C408">
    <cfRule type="expression" dxfId="158" priority="9">
      <formula>AND(NOT($K379=""),$K$1=1)</formula>
    </cfRule>
  </conditionalFormatting>
  <conditionalFormatting sqref="C379 C399:C408">
    <cfRule type="expression" dxfId="157" priority="8" stopIfTrue="1">
      <formula>AND(NOT($K379=""),$K$1=1)</formula>
    </cfRule>
  </conditionalFormatting>
  <conditionalFormatting sqref="C379 C399:C408">
    <cfRule type="expression" dxfId="156" priority="7" stopIfTrue="1">
      <formula>AND(NOT($K379=""),$K$1=1)</formula>
    </cfRule>
  </conditionalFormatting>
  <conditionalFormatting sqref="C5:M378">
    <cfRule type="expression" dxfId="155" priority="6">
      <formula>AND(NOT($K5=""),$K$1=1)</formula>
    </cfRule>
  </conditionalFormatting>
  <conditionalFormatting sqref="C5:C378">
    <cfRule type="expression" dxfId="154" priority="5">
      <formula>AND(NOT($K5=""),$K$1=1)</formula>
    </cfRule>
  </conditionalFormatting>
  <conditionalFormatting sqref="C5:C378">
    <cfRule type="expression" dxfId="153" priority="4">
      <formula>AND(NOT($K5=""),$K$1=1)</formula>
    </cfRule>
  </conditionalFormatting>
  <conditionalFormatting sqref="C5:C378">
    <cfRule type="expression" dxfId="152" priority="3">
      <formula>AND(NOT($K5=""),$K$1=1)</formula>
    </cfRule>
  </conditionalFormatting>
  <conditionalFormatting sqref="C5:C378">
    <cfRule type="expression" dxfId="151" priority="2" stopIfTrue="1">
      <formula>AND(NOT($K5=""),$K$1=1)</formula>
    </cfRule>
  </conditionalFormatting>
  <conditionalFormatting sqref="C4:C378">
    <cfRule type="expression" dxfId="150"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indexed="47"/>
  </sheetPr>
  <dimension ref="A1:AI400"/>
  <sheetViews>
    <sheetView workbookViewId="0">
      <pane xSplit="12" ySplit="2" topLeftCell="M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10" style="658" customWidth="1"/>
    <col min="2" max="2" width="87" style="659" customWidth="1"/>
    <col min="3" max="3" width="4.42578125" style="573" bestFit="1" customWidth="1"/>
    <col min="4" max="4" width="4.42578125" style="573" customWidth="1"/>
    <col min="5" max="6" width="5.140625" style="573" bestFit="1" customWidth="1"/>
    <col min="7" max="10" width="4.140625" style="659" customWidth="1" outlineLevel="1"/>
    <col min="11" max="11" width="12.28515625" style="655" customWidth="1" outlineLevel="1"/>
    <col min="12" max="12" width="13" style="663" customWidth="1"/>
    <col min="13" max="13" width="18.42578125" style="168" customWidth="1"/>
    <col min="14" max="25" width="11.28515625" style="168"/>
    <col min="26" max="26" width="12.42578125" style="168" customWidth="1"/>
    <col min="27" max="34" width="12.42578125" style="169" hidden="1" customWidth="1"/>
    <col min="35" max="35" width="12.42578125" style="169" customWidth="1"/>
    <col min="36" max="16384" width="11.28515625" style="169"/>
  </cols>
  <sheetData>
    <row r="1" spans="1:35" ht="18" x14ac:dyDescent="0.25">
      <c r="A1" s="739" t="s">
        <v>6180</v>
      </c>
      <c r="B1" s="740"/>
      <c r="C1" s="694">
        <v>1</v>
      </c>
      <c r="D1" s="1971" t="str">
        <f>"variante"&amp;IF(C1&gt;1,"s","")</f>
        <v>variante</v>
      </c>
      <c r="E1" s="1972"/>
      <c r="F1" s="576"/>
      <c r="G1" s="741"/>
      <c r="H1" s="741"/>
      <c r="I1" s="741"/>
      <c r="J1" s="741"/>
      <c r="K1" s="742">
        <f>'ISO 27002'!F2</f>
        <v>0</v>
      </c>
      <c r="L1" s="743"/>
      <c r="M1" s="581"/>
    </row>
    <row r="2" spans="1:35" s="648" customFormat="1" ht="14.25" customHeight="1" x14ac:dyDescent="0.2">
      <c r="A2" s="584" t="s">
        <v>3585</v>
      </c>
      <c r="B2" s="744" t="s">
        <v>3675</v>
      </c>
      <c r="C2" s="586" t="s">
        <v>3676</v>
      </c>
      <c r="D2" s="698" t="s">
        <v>3677</v>
      </c>
      <c r="E2" s="698" t="s">
        <v>3678</v>
      </c>
      <c r="F2" s="698" t="s">
        <v>3679</v>
      </c>
      <c r="G2" s="699" t="s">
        <v>1428</v>
      </c>
      <c r="H2" s="699" t="s">
        <v>3680</v>
      </c>
      <c r="I2" s="699" t="s">
        <v>2054</v>
      </c>
      <c r="J2" s="699" t="s">
        <v>3681</v>
      </c>
      <c r="K2" s="699">
        <v>2013</v>
      </c>
      <c r="L2" s="699">
        <v>2005</v>
      </c>
      <c r="M2" s="699" t="s">
        <v>3682</v>
      </c>
      <c r="N2" s="611"/>
      <c r="O2" s="611"/>
      <c r="P2" s="611"/>
      <c r="Q2" s="611"/>
      <c r="R2" s="611"/>
      <c r="S2" s="611"/>
      <c r="T2" s="611"/>
      <c r="U2" s="611"/>
      <c r="V2" s="611"/>
      <c r="W2" s="611"/>
      <c r="X2" s="611"/>
      <c r="Y2" s="611"/>
      <c r="Z2" s="611"/>
    </row>
    <row r="3" spans="1:35" s="648" customFormat="1" x14ac:dyDescent="0.2">
      <c r="A3" s="745" t="s">
        <v>5706</v>
      </c>
      <c r="B3" s="746" t="s">
        <v>5707</v>
      </c>
      <c r="C3" s="747"/>
      <c r="D3" s="1157"/>
      <c r="E3" s="1157"/>
      <c r="F3" s="747"/>
      <c r="G3" s="1494"/>
      <c r="H3" s="1494"/>
      <c r="I3" s="1494"/>
      <c r="J3" s="1494"/>
      <c r="K3" s="1495"/>
      <c r="L3" s="1495"/>
      <c r="M3" s="748"/>
      <c r="N3" s="611"/>
      <c r="O3" s="611"/>
      <c r="P3" s="611"/>
      <c r="Q3" s="611"/>
      <c r="R3" s="611"/>
      <c r="S3" s="611"/>
      <c r="T3" s="611"/>
      <c r="U3" s="611"/>
      <c r="V3" s="611"/>
      <c r="W3" s="611"/>
      <c r="X3" s="611"/>
      <c r="Y3" s="611"/>
      <c r="Z3" s="611"/>
    </row>
    <row r="4" spans="1:35" s="648" customFormat="1" outlineLevel="1" x14ac:dyDescent="0.2">
      <c r="A4" s="749" t="s">
        <v>3657</v>
      </c>
      <c r="B4" s="750" t="s">
        <v>3658</v>
      </c>
      <c r="C4" s="751"/>
      <c r="D4" s="1157"/>
      <c r="E4" s="1157"/>
      <c r="F4" s="747"/>
      <c r="G4" s="1496"/>
      <c r="H4" s="1496"/>
      <c r="I4" s="1496"/>
      <c r="J4" s="1496"/>
      <c r="K4" s="1495"/>
      <c r="L4" s="1495"/>
      <c r="M4" s="748"/>
      <c r="N4" s="611"/>
      <c r="O4" s="611"/>
      <c r="P4" s="611"/>
      <c r="Q4" s="611"/>
      <c r="R4" s="611"/>
      <c r="S4" s="611"/>
      <c r="T4" s="611"/>
      <c r="U4" s="611"/>
      <c r="V4" s="611"/>
      <c r="W4" s="611"/>
      <c r="X4" s="611"/>
      <c r="Y4" s="611"/>
      <c r="Z4" s="611"/>
      <c r="AA4"/>
      <c r="AB4"/>
      <c r="AC4"/>
      <c r="AD4"/>
      <c r="AE4"/>
      <c r="AF4"/>
      <c r="AG4"/>
      <c r="AH4"/>
      <c r="AI4"/>
    </row>
    <row r="5" spans="1:35" s="648" customFormat="1" ht="22.5" outlineLevel="2" x14ac:dyDescent="0.2">
      <c r="A5" s="601" t="s">
        <v>1923</v>
      </c>
      <c r="B5" s="752" t="s">
        <v>5325</v>
      </c>
      <c r="C5" s="751"/>
      <c r="D5" s="1157"/>
      <c r="E5" s="1157"/>
      <c r="F5" s="747"/>
      <c r="G5" s="1497">
        <v>2</v>
      </c>
      <c r="H5" s="1496"/>
      <c r="I5" s="1496"/>
      <c r="J5" s="1497" t="s">
        <v>4246</v>
      </c>
      <c r="K5" s="1495" t="s">
        <v>1165</v>
      </c>
      <c r="L5" s="1495" t="s">
        <v>3577</v>
      </c>
      <c r="M5" s="748"/>
      <c r="N5" s="611"/>
      <c r="O5" s="611"/>
      <c r="P5" s="611"/>
      <c r="Q5" s="611"/>
      <c r="R5" s="611"/>
      <c r="S5" s="611"/>
      <c r="T5" s="611"/>
      <c r="U5" s="611"/>
      <c r="V5" s="611"/>
      <c r="W5" s="611"/>
      <c r="X5" s="611"/>
      <c r="Y5" s="611"/>
      <c r="Z5" s="611"/>
      <c r="AA5">
        <f>IF(AND('09 App'!C5&gt;Tmin, NOT('09 App'!$I5="")),'09 App'!$I5,0)</f>
        <v>0</v>
      </c>
      <c r="AB5">
        <f>IF(AND('09 App'!D5&gt;Tmin, NOT('09 App'!$I5="")),'09 App'!$I5,0)</f>
        <v>0</v>
      </c>
      <c r="AC5">
        <f>IF(AND('09 App'!E5&gt;Tmin, NOT('09 App'!$I5="")),'09 App'!$I5,0)</f>
        <v>0</v>
      </c>
      <c r="AD5">
        <f>IF(AND('09 App'!F5&gt;Tmin, NOT('09 App'!$I5="")),'09 App'!$I5,0)</f>
        <v>0</v>
      </c>
      <c r="AE5">
        <f>IF(AND('09 App'!C5&lt;Tmax, NOT('09 App'!$H5="")),'09 App'!$H5,4)</f>
        <v>4</v>
      </c>
      <c r="AF5">
        <f>IF(AND('09 App'!D5&lt;Tmax, NOT('09 App'!$H5="")),'09 App'!$H5,4)</f>
        <v>4</v>
      </c>
      <c r="AG5">
        <f>IF(AND('09 App'!E5&lt;Tmax, NOT('09 App'!$H5="")),'09 App'!$H5,4)</f>
        <v>4</v>
      </c>
      <c r="AH5">
        <f>IF(AND('09 App'!F5&lt;Tmax, NOT('09 App'!$H5="")),'09 App'!$H5,4)</f>
        <v>4</v>
      </c>
      <c r="AI5"/>
    </row>
    <row r="6" spans="1:35" s="648" customFormat="1" ht="46.5" customHeight="1" outlineLevel="2" x14ac:dyDescent="0.2">
      <c r="A6" s="601" t="s">
        <v>1924</v>
      </c>
      <c r="B6" s="752" t="s">
        <v>6004</v>
      </c>
      <c r="C6" s="751"/>
      <c r="D6" s="1157"/>
      <c r="E6" s="1157"/>
      <c r="F6" s="747"/>
      <c r="G6" s="1497">
        <v>4</v>
      </c>
      <c r="H6" s="1497">
        <v>2</v>
      </c>
      <c r="I6" s="1497"/>
      <c r="J6" s="1497" t="s">
        <v>4246</v>
      </c>
      <c r="K6" s="1498" t="s">
        <v>7124</v>
      </c>
      <c r="L6" s="1495" t="s">
        <v>7370</v>
      </c>
      <c r="M6" s="748"/>
      <c r="N6" s="611"/>
      <c r="O6" s="611"/>
      <c r="P6" s="611"/>
      <c r="Q6" s="611"/>
      <c r="R6" s="611"/>
      <c r="S6" s="611"/>
      <c r="T6" s="611"/>
      <c r="U6" s="611"/>
      <c r="V6" s="611"/>
      <c r="W6" s="611"/>
      <c r="X6" s="611"/>
      <c r="Y6" s="611"/>
      <c r="Z6" s="611"/>
      <c r="AA6">
        <f>IF(AND('09 App'!C6&gt;Tmin, NOT('09 App'!$I6="")),'09 App'!$I6,0)</f>
        <v>0</v>
      </c>
      <c r="AB6">
        <f>IF(AND('09 App'!D6&gt;Tmin, NOT('09 App'!$I6="")),'09 App'!$I6,0)</f>
        <v>0</v>
      </c>
      <c r="AC6">
        <f>IF(AND('09 App'!E6&gt;Tmin, NOT('09 App'!$I6="")),'09 App'!$I6,0)</f>
        <v>0</v>
      </c>
      <c r="AD6">
        <f>IF(AND('09 App'!F6&gt;Tmin, NOT('09 App'!$I6="")),'09 App'!$I6,0)</f>
        <v>0</v>
      </c>
      <c r="AE6">
        <f>IF(AND('09 App'!C6&lt;Tmax, NOT('09 App'!$H6="")),'09 App'!$H6,4)</f>
        <v>2</v>
      </c>
      <c r="AF6">
        <f>IF(AND('09 App'!D6&lt;Tmax, NOT('09 App'!$H6="")),'09 App'!$H6,4)</f>
        <v>2</v>
      </c>
      <c r="AG6">
        <f>IF(AND('09 App'!E6&lt;Tmax, NOT('09 App'!$H6="")),'09 App'!$H6,4)</f>
        <v>2</v>
      </c>
      <c r="AH6">
        <f>IF(AND('09 App'!F6&lt;Tmax, NOT('09 App'!$H6="")),'09 App'!$H6,4)</f>
        <v>2</v>
      </c>
      <c r="AI6"/>
    </row>
    <row r="7" spans="1:35" s="648" customFormat="1" ht="33.75" outlineLevel="2" x14ac:dyDescent="0.2">
      <c r="A7" s="601" t="s">
        <v>1925</v>
      </c>
      <c r="B7" s="752" t="s">
        <v>5326</v>
      </c>
      <c r="C7" s="751"/>
      <c r="D7" s="1157"/>
      <c r="E7" s="1157"/>
      <c r="F7" s="747"/>
      <c r="G7" s="1497">
        <v>4</v>
      </c>
      <c r="H7" s="1497"/>
      <c r="I7" s="1497"/>
      <c r="J7" s="1497" t="s">
        <v>1592</v>
      </c>
      <c r="K7" s="1495"/>
      <c r="L7" s="1495"/>
      <c r="M7" s="748"/>
      <c r="N7" s="611"/>
      <c r="O7" s="611"/>
      <c r="P7" s="611"/>
      <c r="Q7" s="611"/>
      <c r="R7" s="611"/>
      <c r="S7" s="611"/>
      <c r="T7" s="611"/>
      <c r="U7" s="611"/>
      <c r="V7" s="611"/>
      <c r="W7" s="611"/>
      <c r="X7" s="611"/>
      <c r="Y7" s="611"/>
      <c r="Z7" s="611"/>
      <c r="AA7">
        <f>IF(AND('09 App'!C7&gt;Tmin, NOT('09 App'!$I7="")),'09 App'!$I7,0)</f>
        <v>0</v>
      </c>
      <c r="AB7">
        <f>IF(AND('09 App'!D7&gt;Tmin, NOT('09 App'!$I7="")),'09 App'!$I7,0)</f>
        <v>0</v>
      </c>
      <c r="AC7">
        <f>IF(AND('09 App'!E7&gt;Tmin, NOT('09 App'!$I7="")),'09 App'!$I7,0)</f>
        <v>0</v>
      </c>
      <c r="AD7">
        <f>IF(AND('09 App'!F7&gt;Tmin, NOT('09 App'!$I7="")),'09 App'!$I7,0)</f>
        <v>0</v>
      </c>
      <c r="AE7">
        <f>IF(AND('09 App'!C7&lt;Tmax, NOT('09 App'!$H7="")),'09 App'!$H7,4)</f>
        <v>4</v>
      </c>
      <c r="AF7">
        <f>IF(AND('09 App'!D7&lt;Tmax, NOT('09 App'!$H7="")),'09 App'!$H7,4)</f>
        <v>4</v>
      </c>
      <c r="AG7">
        <f>IF(AND('09 App'!E7&lt;Tmax, NOT('09 App'!$H7="")),'09 App'!$H7,4)</f>
        <v>4</v>
      </c>
      <c r="AH7">
        <f>IF(AND('09 App'!F7&lt;Tmax, NOT('09 App'!$H7="")),'09 App'!$H7,4)</f>
        <v>4</v>
      </c>
      <c r="AI7"/>
    </row>
    <row r="8" spans="1:35" s="648" customFormat="1" ht="22.5" outlineLevel="2" x14ac:dyDescent="0.2">
      <c r="A8" s="601" t="s">
        <v>1926</v>
      </c>
      <c r="B8" s="752" t="s">
        <v>5141</v>
      </c>
      <c r="C8" s="751"/>
      <c r="D8" s="1157"/>
      <c r="E8" s="1157"/>
      <c r="F8" s="747"/>
      <c r="G8" s="1497">
        <v>2</v>
      </c>
      <c r="H8" s="1497"/>
      <c r="I8" s="1497"/>
      <c r="J8" s="1497" t="s">
        <v>2329</v>
      </c>
      <c r="K8" s="1495" t="s">
        <v>6951</v>
      </c>
      <c r="L8" s="1495" t="s">
        <v>7346</v>
      </c>
      <c r="M8" s="748"/>
      <c r="N8" s="611"/>
      <c r="O8" s="611"/>
      <c r="P8" s="611"/>
      <c r="Q8" s="611"/>
      <c r="R8" s="611"/>
      <c r="S8" s="611"/>
      <c r="T8" s="611"/>
      <c r="U8" s="611"/>
      <c r="V8" s="611"/>
      <c r="W8" s="611"/>
      <c r="X8" s="611"/>
      <c r="Y8" s="611"/>
      <c r="Z8" s="611"/>
      <c r="AA8">
        <f>IF(AND('09 App'!C8&gt;Tmin, NOT('09 App'!$I8="")),'09 App'!$I8,0)</f>
        <v>0</v>
      </c>
      <c r="AB8">
        <f>IF(AND('09 App'!D8&gt;Tmin, NOT('09 App'!$I8="")),'09 App'!$I8,0)</f>
        <v>0</v>
      </c>
      <c r="AC8">
        <f>IF(AND('09 App'!E8&gt;Tmin, NOT('09 App'!$I8="")),'09 App'!$I8,0)</f>
        <v>0</v>
      </c>
      <c r="AD8">
        <f>IF(AND('09 App'!F8&gt;Tmin, NOT('09 App'!$I8="")),'09 App'!$I8,0)</f>
        <v>0</v>
      </c>
      <c r="AE8">
        <f>IF(AND('09 App'!C8&lt;Tmax, NOT('09 App'!$H8="")),'09 App'!$H8,4)</f>
        <v>4</v>
      </c>
      <c r="AF8">
        <f>IF(AND('09 App'!D8&lt;Tmax, NOT('09 App'!$H8="")),'09 App'!$H8,4)</f>
        <v>4</v>
      </c>
      <c r="AG8">
        <f>IF(AND('09 App'!E8&lt;Tmax, NOT('09 App'!$H8="")),'09 App'!$H8,4)</f>
        <v>4</v>
      </c>
      <c r="AH8">
        <f>IF(AND('09 App'!F8&lt;Tmax, NOT('09 App'!$H8="")),'09 App'!$H8,4)</f>
        <v>4</v>
      </c>
      <c r="AI8"/>
    </row>
    <row r="9" spans="1:35" s="648" customFormat="1" ht="22.5" outlineLevel="2" x14ac:dyDescent="0.2">
      <c r="A9" s="601" t="s">
        <v>1927</v>
      </c>
      <c r="B9" s="752" t="s">
        <v>1948</v>
      </c>
      <c r="C9" s="751"/>
      <c r="D9" s="1157"/>
      <c r="E9" s="1157"/>
      <c r="F9" s="747"/>
      <c r="G9" s="1497">
        <v>4</v>
      </c>
      <c r="H9" s="1497"/>
      <c r="I9" s="1497"/>
      <c r="J9" s="1497" t="s">
        <v>1592</v>
      </c>
      <c r="K9" s="1495"/>
      <c r="L9" s="1495"/>
      <c r="M9" s="748"/>
      <c r="N9" s="611"/>
      <c r="O9" s="611"/>
      <c r="P9" s="611"/>
      <c r="Q9" s="611"/>
      <c r="R9" s="611"/>
      <c r="S9" s="611"/>
      <c r="T9" s="611"/>
      <c r="U9" s="611"/>
      <c r="V9" s="611"/>
      <c r="W9" s="611"/>
      <c r="X9" s="611"/>
      <c r="Y9" s="611"/>
      <c r="Z9" s="611"/>
      <c r="AA9">
        <f>IF(AND('09 App'!C9&gt;Tmin, NOT('09 App'!$I9="")),'09 App'!$I9,0)</f>
        <v>0</v>
      </c>
      <c r="AB9">
        <f>IF(AND('09 App'!D9&gt;Tmin, NOT('09 App'!$I9="")),'09 App'!$I9,0)</f>
        <v>0</v>
      </c>
      <c r="AC9">
        <f>IF(AND('09 App'!E9&gt;Tmin, NOT('09 App'!$I9="")),'09 App'!$I9,0)</f>
        <v>0</v>
      </c>
      <c r="AD9">
        <f>IF(AND('09 App'!F9&gt;Tmin, NOT('09 App'!$I9="")),'09 App'!$I9,0)</f>
        <v>0</v>
      </c>
      <c r="AE9">
        <f>IF(AND('09 App'!C9&lt;Tmax, NOT('09 App'!$H9="")),'09 App'!$H9,4)</f>
        <v>4</v>
      </c>
      <c r="AF9">
        <f>IF(AND('09 App'!D9&lt;Tmax, NOT('09 App'!$H9="")),'09 App'!$H9,4)</f>
        <v>4</v>
      </c>
      <c r="AG9">
        <f>IF(AND('09 App'!E9&lt;Tmax, NOT('09 App'!$H9="")),'09 App'!$H9,4)</f>
        <v>4</v>
      </c>
      <c r="AH9">
        <f>IF(AND('09 App'!F9&lt;Tmax, NOT('09 App'!$H9="")),'09 App'!$H9,4)</f>
        <v>4</v>
      </c>
      <c r="AI9"/>
    </row>
    <row r="10" spans="1:35" s="648" customFormat="1" ht="48.75" customHeight="1" outlineLevel="2" x14ac:dyDescent="0.2">
      <c r="A10" s="601" t="s">
        <v>1928</v>
      </c>
      <c r="B10" s="752" t="s">
        <v>6281</v>
      </c>
      <c r="C10" s="751"/>
      <c r="D10" s="1157"/>
      <c r="E10" s="1157"/>
      <c r="F10" s="747"/>
      <c r="G10" s="1497">
        <v>4</v>
      </c>
      <c r="H10" s="1497">
        <v>2</v>
      </c>
      <c r="I10" s="1497"/>
      <c r="J10" s="1497" t="s">
        <v>2349</v>
      </c>
      <c r="K10" s="1495"/>
      <c r="L10" s="1495"/>
      <c r="M10" s="748"/>
      <c r="N10" s="611"/>
      <c r="O10" s="611"/>
      <c r="P10" s="611"/>
      <c r="Q10" s="611"/>
      <c r="R10" s="611"/>
      <c r="S10" s="611"/>
      <c r="T10" s="611"/>
      <c r="U10" s="611"/>
      <c r="V10" s="611"/>
      <c r="W10" s="611"/>
      <c r="X10" s="611"/>
      <c r="Y10" s="611"/>
      <c r="Z10" s="611"/>
      <c r="AA10">
        <f>IF(AND('09 App'!C10&gt;Tmin, NOT('09 App'!$I10="")),'09 App'!$I10,0)</f>
        <v>0</v>
      </c>
      <c r="AB10">
        <f>IF(AND('09 App'!D10&gt;Tmin, NOT('09 App'!$I10="")),'09 App'!$I10,0)</f>
        <v>0</v>
      </c>
      <c r="AC10">
        <f>IF(AND('09 App'!E10&gt;Tmin, NOT('09 App'!$I10="")),'09 App'!$I10,0)</f>
        <v>0</v>
      </c>
      <c r="AD10">
        <f>IF(AND('09 App'!F10&gt;Tmin, NOT('09 App'!$I10="")),'09 App'!$I10,0)</f>
        <v>0</v>
      </c>
      <c r="AE10">
        <f>IF(AND('09 App'!C10&lt;Tmax, NOT('09 App'!$H10="")),'09 App'!$H10,4)</f>
        <v>2</v>
      </c>
      <c r="AF10">
        <f>IF(AND('09 App'!D10&lt;Tmax, NOT('09 App'!$H10="")),'09 App'!$H10,4)</f>
        <v>2</v>
      </c>
      <c r="AG10">
        <f>IF(AND('09 App'!E10&lt;Tmax, NOT('09 App'!$H10="")),'09 App'!$H10,4)</f>
        <v>2</v>
      </c>
      <c r="AH10">
        <f>IF(AND('09 App'!F10&lt;Tmax, NOT('09 App'!$H10="")),'09 App'!$H10,4)</f>
        <v>2</v>
      </c>
      <c r="AI10"/>
    </row>
    <row r="11" spans="1:35" outlineLevel="2" x14ac:dyDescent="0.2">
      <c r="A11" s="601" t="s">
        <v>1929</v>
      </c>
      <c r="B11" s="752" t="s">
        <v>6562</v>
      </c>
      <c r="C11" s="751"/>
      <c r="D11" s="1157"/>
      <c r="E11" s="1157"/>
      <c r="F11" s="747"/>
      <c r="G11" s="1497">
        <v>2</v>
      </c>
      <c r="H11" s="1497">
        <v>2</v>
      </c>
      <c r="I11" s="1497"/>
      <c r="J11" s="1497" t="s">
        <v>2109</v>
      </c>
      <c r="K11" s="1495"/>
      <c r="L11" s="1495"/>
      <c r="M11" s="753"/>
      <c r="AA11">
        <f>IF(AND('09 App'!C11&gt;Tmin, NOT('09 App'!$I11="")),'09 App'!$I11,0)</f>
        <v>0</v>
      </c>
      <c r="AB11">
        <f>IF(AND('09 App'!D11&gt;Tmin, NOT('09 App'!$I11="")),'09 App'!$I11,0)</f>
        <v>0</v>
      </c>
      <c r="AC11">
        <f>IF(AND('09 App'!E11&gt;Tmin, NOT('09 App'!$I11="")),'09 App'!$I11,0)</f>
        <v>0</v>
      </c>
      <c r="AD11">
        <f>IF(AND('09 App'!F11&gt;Tmin, NOT('09 App'!$I11="")),'09 App'!$I11,0)</f>
        <v>0</v>
      </c>
      <c r="AE11">
        <f>IF(AND('09 App'!C11&lt;Tmax, NOT('09 App'!$H11="")),'09 App'!$H11,4)</f>
        <v>2</v>
      </c>
      <c r="AF11">
        <f>IF(AND('09 App'!D11&lt;Tmax, NOT('09 App'!$H11="")),'09 App'!$H11,4)</f>
        <v>2</v>
      </c>
      <c r="AG11">
        <f>IF(AND('09 App'!E11&lt;Tmax, NOT('09 App'!$H11="")),'09 App'!$H11,4)</f>
        <v>2</v>
      </c>
      <c r="AH11">
        <f>IF(AND('09 App'!F11&lt;Tmax, NOT('09 App'!$H11="")),'09 App'!$H11,4)</f>
        <v>2</v>
      </c>
      <c r="AI11"/>
    </row>
    <row r="12" spans="1:35" s="648" customFormat="1" ht="24" customHeight="1" outlineLevel="2" x14ac:dyDescent="0.2">
      <c r="A12" s="601" t="s">
        <v>1930</v>
      </c>
      <c r="B12" s="752" t="s">
        <v>4433</v>
      </c>
      <c r="C12" s="751"/>
      <c r="D12" s="1157"/>
      <c r="E12" s="1157"/>
      <c r="F12" s="747"/>
      <c r="G12" s="1497">
        <v>4</v>
      </c>
      <c r="H12" s="1497">
        <v>2</v>
      </c>
      <c r="I12" s="1497"/>
      <c r="J12" s="1497" t="s">
        <v>2109</v>
      </c>
      <c r="K12" s="1495" t="s">
        <v>6477</v>
      </c>
      <c r="L12" s="1495" t="s">
        <v>4434</v>
      </c>
      <c r="M12" s="748"/>
      <c r="N12" s="611"/>
      <c r="O12" s="611"/>
      <c r="P12" s="611"/>
      <c r="Q12" s="611"/>
      <c r="R12" s="611"/>
      <c r="S12" s="611"/>
      <c r="T12" s="611"/>
      <c r="U12" s="611"/>
      <c r="V12" s="611"/>
      <c r="W12" s="611"/>
      <c r="X12" s="611"/>
      <c r="Y12" s="611"/>
      <c r="Z12" s="611"/>
      <c r="AA12">
        <f>IF(AND('09 App'!C12&gt;Tmin, NOT('09 App'!$I12="")),'09 App'!$I12,0)</f>
        <v>0</v>
      </c>
      <c r="AB12">
        <f>IF(AND('09 App'!D12&gt;Tmin, NOT('09 App'!$I12="")),'09 App'!$I12,0)</f>
        <v>0</v>
      </c>
      <c r="AC12">
        <f>IF(AND('09 App'!E12&gt;Tmin, NOT('09 App'!$I12="")),'09 App'!$I12,0)</f>
        <v>0</v>
      </c>
      <c r="AD12">
        <f>IF(AND('09 App'!F12&gt;Tmin, NOT('09 App'!$I12="")),'09 App'!$I12,0)</f>
        <v>0</v>
      </c>
      <c r="AE12">
        <f>IF(AND('09 App'!C12&lt;Tmax, NOT('09 App'!$H12="")),'09 App'!$H12,4)</f>
        <v>2</v>
      </c>
      <c r="AF12">
        <f>IF(AND('09 App'!D12&lt;Tmax, NOT('09 App'!$H12="")),'09 App'!$H12,4)</f>
        <v>2</v>
      </c>
      <c r="AG12">
        <f>IF(AND('09 App'!E12&lt;Tmax, NOT('09 App'!$H12="")),'09 App'!$H12,4)</f>
        <v>2</v>
      </c>
      <c r="AH12">
        <f>IF(AND('09 App'!F12&lt;Tmax, NOT('09 App'!$H12="")),'09 App'!$H12,4)</f>
        <v>2</v>
      </c>
      <c r="AI12"/>
    </row>
    <row r="13" spans="1:35" s="648" customFormat="1" outlineLevel="1" x14ac:dyDescent="0.2">
      <c r="A13" s="749" t="s">
        <v>3659</v>
      </c>
      <c r="B13" s="750" t="s">
        <v>3660</v>
      </c>
      <c r="C13" s="751"/>
      <c r="D13" s="1157"/>
      <c r="E13" s="1157"/>
      <c r="F13" s="747"/>
      <c r="G13" s="1497"/>
      <c r="H13" s="1497"/>
      <c r="I13" s="1497"/>
      <c r="J13" s="1497"/>
      <c r="K13" s="1495"/>
      <c r="L13" s="1495"/>
      <c r="M13" s="748"/>
      <c r="N13" s="611"/>
      <c r="O13" s="611"/>
      <c r="P13" s="611"/>
      <c r="Q13" s="611"/>
      <c r="R13" s="611"/>
      <c r="S13" s="611"/>
      <c r="T13" s="611"/>
      <c r="U13" s="611"/>
      <c r="V13" s="611"/>
      <c r="W13" s="611"/>
      <c r="X13" s="611"/>
      <c r="Y13" s="611"/>
      <c r="Z13" s="611"/>
      <c r="AA13"/>
      <c r="AB13"/>
      <c r="AC13"/>
      <c r="AD13"/>
      <c r="AE13"/>
      <c r="AF13"/>
      <c r="AG13"/>
      <c r="AH13"/>
      <c r="AI13"/>
    </row>
    <row r="14" spans="1:35" ht="22.5" outlineLevel="2" x14ac:dyDescent="0.2">
      <c r="A14" s="601" t="s">
        <v>1931</v>
      </c>
      <c r="B14" s="752" t="s">
        <v>6565</v>
      </c>
      <c r="C14" s="751"/>
      <c r="D14" s="1157"/>
      <c r="E14" s="1157"/>
      <c r="F14" s="747"/>
      <c r="G14" s="1497">
        <v>4</v>
      </c>
      <c r="H14" s="1497">
        <v>2</v>
      </c>
      <c r="I14" s="1497"/>
      <c r="J14" s="1497" t="s">
        <v>4246</v>
      </c>
      <c r="K14" s="1495" t="s">
        <v>6949</v>
      </c>
      <c r="L14" s="1495" t="s">
        <v>7371</v>
      </c>
      <c r="M14" s="753"/>
      <c r="AA14">
        <f>IF(AND('09 App'!C14&gt;Tmin, NOT('09 App'!$I14="")),'09 App'!$I14,0)</f>
        <v>0</v>
      </c>
      <c r="AB14">
        <f>IF(AND('09 App'!D14&gt;Tmin, NOT('09 App'!$I14="")),'09 App'!$I14,0)</f>
        <v>0</v>
      </c>
      <c r="AC14">
        <f>IF(AND('09 App'!E14&gt;Tmin, NOT('09 App'!$I14="")),'09 App'!$I14,0)</f>
        <v>0</v>
      </c>
      <c r="AD14">
        <f>IF(AND('09 App'!F14&gt;Tmin, NOT('09 App'!$I14="")),'09 App'!$I14,0)</f>
        <v>0</v>
      </c>
      <c r="AE14">
        <f>IF(AND('09 App'!C14&lt;Tmax, NOT('09 App'!$H14="")),'09 App'!$H14,4)</f>
        <v>2</v>
      </c>
      <c r="AF14">
        <f>IF(AND('09 App'!D14&lt;Tmax, NOT('09 App'!$H14="")),'09 App'!$H14,4)</f>
        <v>2</v>
      </c>
      <c r="AG14">
        <f>IF(AND('09 App'!E14&lt;Tmax, NOT('09 App'!$H14="")),'09 App'!$H14,4)</f>
        <v>2</v>
      </c>
      <c r="AH14">
        <f>IF(AND('09 App'!F14&lt;Tmax, NOT('09 App'!$H14="")),'09 App'!$H14,4)</f>
        <v>2</v>
      </c>
      <c r="AI14"/>
    </row>
    <row r="15" spans="1:35" s="648" customFormat="1" ht="26.25" customHeight="1" outlineLevel="2" x14ac:dyDescent="0.2">
      <c r="A15" s="601" t="s">
        <v>1932</v>
      </c>
      <c r="B15" s="752" t="s">
        <v>3592</v>
      </c>
      <c r="C15" s="751"/>
      <c r="D15" s="1157"/>
      <c r="E15" s="1157"/>
      <c r="F15" s="747"/>
      <c r="G15" s="1497">
        <v>2</v>
      </c>
      <c r="H15" s="1497"/>
      <c r="I15" s="1497"/>
      <c r="J15" s="1497" t="s">
        <v>4246</v>
      </c>
      <c r="K15" s="1495"/>
      <c r="L15" s="1495" t="s">
        <v>7371</v>
      </c>
      <c r="M15" s="748"/>
      <c r="N15" s="611"/>
      <c r="O15" s="611"/>
      <c r="P15" s="611"/>
      <c r="Q15" s="611"/>
      <c r="R15" s="611"/>
      <c r="S15" s="611"/>
      <c r="T15" s="611"/>
      <c r="U15" s="611"/>
      <c r="V15" s="611"/>
      <c r="W15" s="611"/>
      <c r="X15" s="611"/>
      <c r="Y15" s="611"/>
      <c r="Z15" s="611"/>
      <c r="AA15">
        <f>IF(AND('09 App'!C15&gt;Tmin, NOT('09 App'!$I15="")),'09 App'!$I15,0)</f>
        <v>0</v>
      </c>
      <c r="AB15">
        <f>IF(AND('09 App'!D15&gt;Tmin, NOT('09 App'!$I15="")),'09 App'!$I15,0)</f>
        <v>0</v>
      </c>
      <c r="AC15">
        <f>IF(AND('09 App'!E15&gt;Tmin, NOT('09 App'!$I15="")),'09 App'!$I15,0)</f>
        <v>0</v>
      </c>
      <c r="AD15">
        <f>IF(AND('09 App'!F15&gt;Tmin, NOT('09 App'!$I15="")),'09 App'!$I15,0)</f>
        <v>0</v>
      </c>
      <c r="AE15">
        <f>IF(AND('09 App'!C15&lt;Tmax, NOT('09 App'!$H15="")),'09 App'!$H15,4)</f>
        <v>4</v>
      </c>
      <c r="AF15">
        <f>IF(AND('09 App'!D15&lt;Tmax, NOT('09 App'!$H15="")),'09 App'!$H15,4)</f>
        <v>4</v>
      </c>
      <c r="AG15">
        <f>IF(AND('09 App'!E15&lt;Tmax, NOT('09 App'!$H15="")),'09 App'!$H15,4)</f>
        <v>4</v>
      </c>
      <c r="AH15">
        <f>IF(AND('09 App'!F15&lt;Tmax, NOT('09 App'!$H15="")),'09 App'!$H15,4)</f>
        <v>4</v>
      </c>
      <c r="AI15"/>
    </row>
    <row r="16" spans="1:35" s="648" customFormat="1" ht="60" customHeight="1" outlineLevel="2" x14ac:dyDescent="0.2">
      <c r="A16" s="601" t="s">
        <v>2690</v>
      </c>
      <c r="B16" s="752" t="s">
        <v>6823</v>
      </c>
      <c r="C16" s="751"/>
      <c r="D16" s="1157"/>
      <c r="E16" s="1157"/>
      <c r="F16" s="747"/>
      <c r="G16" s="1497">
        <v>4</v>
      </c>
      <c r="H16" s="1497">
        <v>2</v>
      </c>
      <c r="I16" s="1497">
        <v>3</v>
      </c>
      <c r="J16" s="1497" t="s">
        <v>1592</v>
      </c>
      <c r="K16" s="1498" t="s">
        <v>1019</v>
      </c>
      <c r="L16" s="1495" t="s">
        <v>3579</v>
      </c>
      <c r="M16" s="751"/>
      <c r="N16" s="611"/>
      <c r="O16" s="611"/>
      <c r="P16" s="611"/>
      <c r="Q16" s="611"/>
      <c r="R16" s="611"/>
      <c r="S16" s="611"/>
      <c r="T16" s="611"/>
      <c r="U16" s="611"/>
      <c r="V16" s="611"/>
      <c r="W16" s="611"/>
      <c r="X16" s="611"/>
      <c r="Y16" s="611"/>
      <c r="Z16" s="611"/>
      <c r="AA16">
        <f>IF(AND('09 App'!C16&gt;Tmin, NOT('09 App'!$I16="")),'09 App'!$I16,0)</f>
        <v>0</v>
      </c>
      <c r="AB16">
        <f>IF(AND('09 App'!D16&gt;Tmin, NOT('09 App'!$I16="")),'09 App'!$I16,0)</f>
        <v>0</v>
      </c>
      <c r="AC16">
        <f>IF(AND('09 App'!E16&gt;Tmin, NOT('09 App'!$I16="")),'09 App'!$I16,0)</f>
        <v>0</v>
      </c>
      <c r="AD16">
        <f>IF(AND('09 App'!F16&gt;Tmin, NOT('09 App'!$I16="")),'09 App'!$I16,0)</f>
        <v>0</v>
      </c>
      <c r="AE16">
        <f>IF(AND('09 App'!C16&lt;Tmax, NOT('09 App'!$H16="")),'09 App'!$H16,4)</f>
        <v>2</v>
      </c>
      <c r="AF16">
        <f>IF(AND('09 App'!D16&lt;Tmax, NOT('09 App'!$H16="")),'09 App'!$H16,4)</f>
        <v>2</v>
      </c>
      <c r="AG16">
        <f>IF(AND('09 App'!E16&lt;Tmax, NOT('09 App'!$H16="")),'09 App'!$H16,4)</f>
        <v>2</v>
      </c>
      <c r="AH16">
        <f>IF(AND('09 App'!F16&lt;Tmax, NOT('09 App'!$H16="")),'09 App'!$H16,4)</f>
        <v>2</v>
      </c>
      <c r="AI16"/>
    </row>
    <row r="17" spans="1:35" s="648" customFormat="1" ht="22.5" outlineLevel="2" x14ac:dyDescent="0.2">
      <c r="A17" s="601" t="s">
        <v>2691</v>
      </c>
      <c r="B17" s="752" t="s">
        <v>5327</v>
      </c>
      <c r="C17" s="751"/>
      <c r="D17" s="1157"/>
      <c r="E17" s="1157"/>
      <c r="F17" s="747"/>
      <c r="G17" s="1497">
        <v>4</v>
      </c>
      <c r="H17" s="1497"/>
      <c r="I17" s="1497"/>
      <c r="J17" s="1497" t="s">
        <v>1592</v>
      </c>
      <c r="K17" s="1495" t="s">
        <v>6477</v>
      </c>
      <c r="L17" s="1495" t="s">
        <v>4434</v>
      </c>
      <c r="M17" s="754"/>
      <c r="N17" s="611"/>
      <c r="O17" s="611"/>
      <c r="P17" s="611"/>
      <c r="Q17" s="611"/>
      <c r="R17" s="611"/>
      <c r="S17" s="611"/>
      <c r="T17" s="611"/>
      <c r="U17" s="611"/>
      <c r="V17" s="611"/>
      <c r="W17" s="611"/>
      <c r="X17" s="611"/>
      <c r="Y17" s="611"/>
      <c r="Z17" s="611"/>
      <c r="AA17">
        <f>IF(AND('09 App'!C17&gt;Tmin, NOT('09 App'!$I17="")),'09 App'!$I17,0)</f>
        <v>0</v>
      </c>
      <c r="AB17">
        <f>IF(AND('09 App'!D17&gt;Tmin, NOT('09 App'!$I17="")),'09 App'!$I17,0)</f>
        <v>0</v>
      </c>
      <c r="AC17">
        <f>IF(AND('09 App'!E17&gt;Tmin, NOT('09 App'!$I17="")),'09 App'!$I17,0)</f>
        <v>0</v>
      </c>
      <c r="AD17">
        <f>IF(AND('09 App'!F17&gt;Tmin, NOT('09 App'!$I17="")),'09 App'!$I17,0)</f>
        <v>0</v>
      </c>
      <c r="AE17">
        <f>IF(AND('09 App'!C17&lt;Tmax, NOT('09 App'!$H17="")),'09 App'!$H17,4)</f>
        <v>4</v>
      </c>
      <c r="AF17">
        <f>IF(AND('09 App'!D17&lt;Tmax, NOT('09 App'!$H17="")),'09 App'!$H17,4)</f>
        <v>4</v>
      </c>
      <c r="AG17">
        <f>IF(AND('09 App'!E17&lt;Tmax, NOT('09 App'!$H17="")),'09 App'!$H17,4)</f>
        <v>4</v>
      </c>
      <c r="AH17">
        <f>IF(AND('09 App'!F17&lt;Tmax, NOT('09 App'!$H17="")),'09 App'!$H17,4)</f>
        <v>4</v>
      </c>
      <c r="AI17"/>
    </row>
    <row r="18" spans="1:35" s="648" customFormat="1" ht="22.5" outlineLevel="2" x14ac:dyDescent="0.2">
      <c r="A18" s="601" t="s">
        <v>2692</v>
      </c>
      <c r="B18" s="752" t="s">
        <v>3470</v>
      </c>
      <c r="C18" s="751"/>
      <c r="D18" s="1157"/>
      <c r="E18" s="1157"/>
      <c r="F18" s="747"/>
      <c r="G18" s="1497">
        <v>4</v>
      </c>
      <c r="H18" s="1497"/>
      <c r="I18" s="1497"/>
      <c r="J18" s="1497" t="s">
        <v>2329</v>
      </c>
      <c r="K18" s="1495" t="s">
        <v>6477</v>
      </c>
      <c r="L18" s="1495" t="s">
        <v>4434</v>
      </c>
      <c r="M18" s="754"/>
      <c r="N18" s="611"/>
      <c r="O18" s="611"/>
      <c r="P18" s="611"/>
      <c r="Q18" s="611"/>
      <c r="R18" s="611"/>
      <c r="S18" s="611"/>
      <c r="T18" s="611"/>
      <c r="U18" s="611"/>
      <c r="V18" s="611"/>
      <c r="W18" s="611"/>
      <c r="X18" s="611"/>
      <c r="Y18" s="611"/>
      <c r="Z18" s="611"/>
      <c r="AA18">
        <f>IF(AND('09 App'!C18&gt;Tmin, NOT('09 App'!$I18="")),'09 App'!$I18,0)</f>
        <v>0</v>
      </c>
      <c r="AB18">
        <f>IF(AND('09 App'!D18&gt;Tmin, NOT('09 App'!$I18="")),'09 App'!$I18,0)</f>
        <v>0</v>
      </c>
      <c r="AC18">
        <f>IF(AND('09 App'!E18&gt;Tmin, NOT('09 App'!$I18="")),'09 App'!$I18,0)</f>
        <v>0</v>
      </c>
      <c r="AD18">
        <f>IF(AND('09 App'!F18&gt;Tmin, NOT('09 App'!$I18="")),'09 App'!$I18,0)</f>
        <v>0</v>
      </c>
      <c r="AE18">
        <f>IF(AND('09 App'!C18&lt;Tmax, NOT('09 App'!$H18="")),'09 App'!$H18,4)</f>
        <v>4</v>
      </c>
      <c r="AF18">
        <f>IF(AND('09 App'!D18&lt;Tmax, NOT('09 App'!$H18="")),'09 App'!$H18,4)</f>
        <v>4</v>
      </c>
      <c r="AG18">
        <f>IF(AND('09 App'!E18&lt;Tmax, NOT('09 App'!$H18="")),'09 App'!$H18,4)</f>
        <v>4</v>
      </c>
      <c r="AH18">
        <f>IF(AND('09 App'!F18&lt;Tmax, NOT('09 App'!$H18="")),'09 App'!$H18,4)</f>
        <v>4</v>
      </c>
      <c r="AI18"/>
    </row>
    <row r="19" spans="1:35" s="648" customFormat="1" ht="47.25" customHeight="1" outlineLevel="2" x14ac:dyDescent="0.2">
      <c r="A19" s="601" t="s">
        <v>2693</v>
      </c>
      <c r="B19" s="752" t="s">
        <v>3568</v>
      </c>
      <c r="C19" s="751"/>
      <c r="D19" s="1157"/>
      <c r="E19" s="1157"/>
      <c r="F19" s="747"/>
      <c r="G19" s="1497">
        <v>4</v>
      </c>
      <c r="H19" s="1497"/>
      <c r="I19" s="1497"/>
      <c r="J19" s="1497" t="s">
        <v>2329</v>
      </c>
      <c r="K19" s="1495"/>
      <c r="L19" s="1495"/>
      <c r="M19" s="748"/>
      <c r="N19" s="611"/>
      <c r="O19" s="611"/>
      <c r="P19" s="611"/>
      <c r="Q19" s="611"/>
      <c r="R19" s="611"/>
      <c r="S19" s="611"/>
      <c r="T19" s="611"/>
      <c r="U19" s="611"/>
      <c r="V19" s="611"/>
      <c r="W19" s="611"/>
      <c r="X19" s="611"/>
      <c r="Y19" s="611"/>
      <c r="Z19" s="611"/>
      <c r="AA19">
        <f>IF(AND('09 App'!C19&gt;Tmin, NOT('09 App'!$I19="")),'09 App'!$I19,0)</f>
        <v>0</v>
      </c>
      <c r="AB19">
        <f>IF(AND('09 App'!D19&gt;Tmin, NOT('09 App'!$I19="")),'09 App'!$I19,0)</f>
        <v>0</v>
      </c>
      <c r="AC19">
        <f>IF(AND('09 App'!E19&gt;Tmin, NOT('09 App'!$I19="")),'09 App'!$I19,0)</f>
        <v>0</v>
      </c>
      <c r="AD19">
        <f>IF(AND('09 App'!F19&gt;Tmin, NOT('09 App'!$I19="")),'09 App'!$I19,0)</f>
        <v>0</v>
      </c>
      <c r="AE19">
        <f>IF(AND('09 App'!C19&lt;Tmax, NOT('09 App'!$H19="")),'09 App'!$H19,4)</f>
        <v>4</v>
      </c>
      <c r="AF19">
        <f>IF(AND('09 App'!D19&lt;Tmax, NOT('09 App'!$H19="")),'09 App'!$H19,4)</f>
        <v>4</v>
      </c>
      <c r="AG19">
        <f>IF(AND('09 App'!E19&lt;Tmax, NOT('09 App'!$H19="")),'09 App'!$H19,4)</f>
        <v>4</v>
      </c>
      <c r="AH19">
        <f>IF(AND('09 App'!F19&lt;Tmax, NOT('09 App'!$H19="")),'09 App'!$H19,4)</f>
        <v>4</v>
      </c>
      <c r="AI19"/>
    </row>
    <row r="20" spans="1:35" s="648" customFormat="1" outlineLevel="2" x14ac:dyDescent="0.2">
      <c r="A20" s="601" t="s">
        <v>2694</v>
      </c>
      <c r="B20" s="752" t="s">
        <v>3982</v>
      </c>
      <c r="C20" s="751"/>
      <c r="D20" s="1157"/>
      <c r="E20" s="1157"/>
      <c r="F20" s="755"/>
      <c r="G20" s="1497">
        <v>2</v>
      </c>
      <c r="H20" s="1497"/>
      <c r="I20" s="1497"/>
      <c r="J20" s="1497" t="s">
        <v>2109</v>
      </c>
      <c r="K20" s="1495"/>
      <c r="L20" s="1495"/>
      <c r="M20" s="748"/>
      <c r="N20" s="611"/>
      <c r="O20" s="611"/>
      <c r="P20" s="611"/>
      <c r="Q20" s="611"/>
      <c r="R20" s="611"/>
      <c r="S20" s="611"/>
      <c r="T20" s="611"/>
      <c r="U20" s="611"/>
      <c r="V20" s="611"/>
      <c r="W20" s="611"/>
      <c r="X20" s="611"/>
      <c r="Y20" s="611"/>
      <c r="Z20" s="611"/>
      <c r="AA20">
        <f>IF(AND('09 App'!C20&gt;Tmin, NOT('09 App'!$I20="")),'09 App'!$I20,0)</f>
        <v>0</v>
      </c>
      <c r="AB20">
        <f>IF(AND('09 App'!D20&gt;Tmin, NOT('09 App'!$I20="")),'09 App'!$I20,0)</f>
        <v>0</v>
      </c>
      <c r="AC20">
        <f>IF(AND('09 App'!E20&gt;Tmin, NOT('09 App'!$I20="")),'09 App'!$I20,0)</f>
        <v>0</v>
      </c>
      <c r="AD20">
        <f>IF(AND('09 App'!F20&gt;Tmin, NOT('09 App'!$I20="")),'09 App'!$I20,0)</f>
        <v>0</v>
      </c>
      <c r="AE20">
        <f>IF(AND('09 App'!C20&lt;Tmax, NOT('09 App'!$H20="")),'09 App'!$H20,4)</f>
        <v>4</v>
      </c>
      <c r="AF20">
        <f>IF(AND('09 App'!D20&lt;Tmax, NOT('09 App'!$H20="")),'09 App'!$H20,4)</f>
        <v>4</v>
      </c>
      <c r="AG20">
        <f>IF(AND('09 App'!E20&lt;Tmax, NOT('09 App'!$H20="")),'09 App'!$H20,4)</f>
        <v>4</v>
      </c>
      <c r="AH20">
        <f>IF(AND('09 App'!F20&lt;Tmax, NOT('09 App'!$H20="")),'09 App'!$H20,4)</f>
        <v>4</v>
      </c>
      <c r="AI20"/>
    </row>
    <row r="21" spans="1:35" s="648" customFormat="1" ht="22.5" outlineLevel="2" x14ac:dyDescent="0.2">
      <c r="A21" s="601" t="s">
        <v>5113</v>
      </c>
      <c r="B21" s="752" t="s">
        <v>5083</v>
      </c>
      <c r="C21" s="751"/>
      <c r="D21" s="1157"/>
      <c r="E21" s="1157"/>
      <c r="F21" s="747"/>
      <c r="G21" s="1497">
        <v>1</v>
      </c>
      <c r="H21" s="1497">
        <v>2</v>
      </c>
      <c r="I21" s="1497"/>
      <c r="J21" s="1497" t="s">
        <v>2109</v>
      </c>
      <c r="K21" s="1495" t="s">
        <v>6477</v>
      </c>
      <c r="L21" s="1495" t="s">
        <v>4434</v>
      </c>
      <c r="M21" s="748"/>
      <c r="N21" s="611"/>
      <c r="O21" s="611"/>
      <c r="P21" s="611"/>
      <c r="Q21" s="611"/>
      <c r="R21" s="611"/>
      <c r="S21" s="611"/>
      <c r="T21" s="611"/>
      <c r="U21" s="611"/>
      <c r="V21" s="611"/>
      <c r="W21" s="611"/>
      <c r="X21" s="611"/>
      <c r="Y21" s="611"/>
      <c r="Z21" s="611"/>
      <c r="AA21">
        <f>IF(AND('09 App'!C21&gt;Tmin, NOT('09 App'!$I21="")),'09 App'!$I21,0)</f>
        <v>0</v>
      </c>
      <c r="AB21">
        <f>IF(AND('09 App'!D21&gt;Tmin, NOT('09 App'!$I21="")),'09 App'!$I21,0)</f>
        <v>0</v>
      </c>
      <c r="AC21">
        <f>IF(AND('09 App'!E21&gt;Tmin, NOT('09 App'!$I21="")),'09 App'!$I21,0)</f>
        <v>0</v>
      </c>
      <c r="AD21">
        <f>IF(AND('09 App'!F21&gt;Tmin, NOT('09 App'!$I21="")),'09 App'!$I21,0)</f>
        <v>0</v>
      </c>
      <c r="AE21">
        <f>IF(AND('09 App'!C21&lt;Tmax, NOT('09 App'!$H21="")),'09 App'!$H21,4)</f>
        <v>2</v>
      </c>
      <c r="AF21">
        <f>IF(AND('09 App'!D21&lt;Tmax, NOT('09 App'!$H21="")),'09 App'!$H21,4)</f>
        <v>2</v>
      </c>
      <c r="AG21">
        <f>IF(AND('09 App'!E21&lt;Tmax, NOT('09 App'!$H21="")),'09 App'!$H21,4)</f>
        <v>2</v>
      </c>
      <c r="AH21">
        <f>IF(AND('09 App'!F21&lt;Tmax, NOT('09 App'!$H21="")),'09 App'!$H21,4)</f>
        <v>2</v>
      </c>
      <c r="AI21"/>
    </row>
    <row r="22" spans="1:35" s="648" customFormat="1" outlineLevel="1" x14ac:dyDescent="0.2">
      <c r="A22" s="749" t="s">
        <v>3661</v>
      </c>
      <c r="B22" s="750" t="s">
        <v>5114</v>
      </c>
      <c r="C22" s="751"/>
      <c r="D22" s="747"/>
      <c r="E22" s="747"/>
      <c r="F22" s="747"/>
      <c r="G22" s="1497"/>
      <c r="H22" s="1497"/>
      <c r="I22" s="1497"/>
      <c r="J22" s="1497"/>
      <c r="K22" s="1495"/>
      <c r="L22" s="1495"/>
      <c r="M22" s="748"/>
      <c r="N22" s="611"/>
      <c r="O22" s="611"/>
      <c r="P22" s="611"/>
      <c r="Q22" s="611"/>
      <c r="R22" s="611"/>
      <c r="S22" s="611"/>
      <c r="T22" s="611"/>
      <c r="U22" s="611"/>
      <c r="V22" s="611"/>
      <c r="W22" s="611"/>
      <c r="X22" s="611"/>
      <c r="Y22" s="611"/>
      <c r="Z22" s="611"/>
      <c r="AA22"/>
      <c r="AB22"/>
      <c r="AC22"/>
      <c r="AD22"/>
      <c r="AE22"/>
      <c r="AF22"/>
      <c r="AG22"/>
      <c r="AH22"/>
      <c r="AI22"/>
    </row>
    <row r="23" spans="1:35" s="648" customFormat="1" ht="22.5" outlineLevel="2" x14ac:dyDescent="0.2">
      <c r="A23" s="601" t="s">
        <v>5084</v>
      </c>
      <c r="B23" s="752" t="s">
        <v>1984</v>
      </c>
      <c r="C23" s="751"/>
      <c r="D23" s="747"/>
      <c r="E23" s="747"/>
      <c r="F23" s="747"/>
      <c r="G23" s="1497">
        <v>2</v>
      </c>
      <c r="H23" s="1497">
        <v>1</v>
      </c>
      <c r="I23" s="1497"/>
      <c r="J23" s="1497" t="s">
        <v>4246</v>
      </c>
      <c r="K23" s="1495" t="s">
        <v>7143</v>
      </c>
      <c r="L23" s="1495" t="s">
        <v>7347</v>
      </c>
      <c r="M23" s="748"/>
      <c r="N23" s="611"/>
      <c r="O23" s="611"/>
      <c r="P23" s="611"/>
      <c r="Q23" s="611"/>
      <c r="R23" s="611"/>
      <c r="S23" s="611"/>
      <c r="T23" s="611"/>
      <c r="U23" s="611"/>
      <c r="V23" s="611"/>
      <c r="W23" s="611"/>
      <c r="X23" s="611"/>
      <c r="Y23" s="611"/>
      <c r="Z23" s="611"/>
      <c r="AA23">
        <f>IF(AND('09 App'!C23&gt;Tmin, NOT('09 App'!$I23="")),'09 App'!$I23,0)</f>
        <v>0</v>
      </c>
      <c r="AB23">
        <f>IF(AND('09 App'!D23&gt;Tmin, NOT('09 App'!$I23="")),'09 App'!$I23,0)</f>
        <v>0</v>
      </c>
      <c r="AC23">
        <f>IF(AND('09 App'!E23&gt;Tmin, NOT('09 App'!$I23="")),'09 App'!$I23,0)</f>
        <v>0</v>
      </c>
      <c r="AD23">
        <f>IF(AND('09 App'!F23&gt;Tmin, NOT('09 App'!$I23="")),'09 App'!$I23,0)</f>
        <v>0</v>
      </c>
      <c r="AE23">
        <f>IF(AND('09 App'!C23&lt;Tmax, NOT('09 App'!$H23="")),'09 App'!$H23,4)</f>
        <v>1</v>
      </c>
      <c r="AF23">
        <f>IF(AND('09 App'!D23&lt;Tmax, NOT('09 App'!$H23="")),'09 App'!$H23,4)</f>
        <v>1</v>
      </c>
      <c r="AG23">
        <f>IF(AND('09 App'!E23&lt;Tmax, NOT('09 App'!$H23="")),'09 App'!$H23,4)</f>
        <v>1</v>
      </c>
      <c r="AH23">
        <f>IF(AND('09 App'!F23&lt;Tmax, NOT('09 App'!$H23="")),'09 App'!$H23,4)</f>
        <v>1</v>
      </c>
      <c r="AI23"/>
    </row>
    <row r="24" spans="1:35" s="648" customFormat="1" ht="92.25" customHeight="1" outlineLevel="2" x14ac:dyDescent="0.2">
      <c r="A24" s="601" t="s">
        <v>5085</v>
      </c>
      <c r="B24" s="752" t="s">
        <v>4488</v>
      </c>
      <c r="C24" s="751"/>
      <c r="D24" s="747"/>
      <c r="E24" s="747"/>
      <c r="F24" s="747"/>
      <c r="G24" s="1497">
        <v>4</v>
      </c>
      <c r="H24" s="1497">
        <v>2</v>
      </c>
      <c r="I24" s="1497"/>
      <c r="J24" s="1497" t="s">
        <v>1592</v>
      </c>
      <c r="K24" s="1495" t="s">
        <v>7143</v>
      </c>
      <c r="L24" s="1495" t="s">
        <v>7348</v>
      </c>
      <c r="M24" s="748"/>
      <c r="N24" s="611"/>
      <c r="O24" s="611"/>
      <c r="P24" s="611"/>
      <c r="Q24" s="611"/>
      <c r="R24" s="611"/>
      <c r="S24" s="611"/>
      <c r="T24" s="611"/>
      <c r="U24" s="611"/>
      <c r="V24" s="611"/>
      <c r="W24" s="611"/>
      <c r="X24" s="611"/>
      <c r="Y24" s="611"/>
      <c r="Z24" s="611"/>
      <c r="AA24">
        <f>IF(AND('09 App'!C24&gt;Tmin, NOT('09 App'!$I24="")),'09 App'!$I24,0)</f>
        <v>0</v>
      </c>
      <c r="AB24">
        <f>IF(AND('09 App'!D24&gt;Tmin, NOT('09 App'!$I24="")),'09 App'!$I24,0)</f>
        <v>0</v>
      </c>
      <c r="AC24">
        <f>IF(AND('09 App'!E24&gt;Tmin, NOT('09 App'!$I24="")),'09 App'!$I24,0)</f>
        <v>0</v>
      </c>
      <c r="AD24">
        <f>IF(AND('09 App'!F24&gt;Tmin, NOT('09 App'!$I24="")),'09 App'!$I24,0)</f>
        <v>0</v>
      </c>
      <c r="AE24">
        <f>IF(AND('09 App'!C24&lt;Tmax, NOT('09 App'!$H24="")),'09 App'!$H24,4)</f>
        <v>2</v>
      </c>
      <c r="AF24">
        <f>IF(AND('09 App'!D24&lt;Tmax, NOT('09 App'!$H24="")),'09 App'!$H24,4)</f>
        <v>2</v>
      </c>
      <c r="AG24">
        <f>IF(AND('09 App'!E24&lt;Tmax, NOT('09 App'!$H24="")),'09 App'!$H24,4)</f>
        <v>2</v>
      </c>
      <c r="AH24">
        <f>IF(AND('09 App'!F24&lt;Tmax, NOT('09 App'!$H24="")),'09 App'!$H24,4)</f>
        <v>2</v>
      </c>
      <c r="AI24"/>
    </row>
    <row r="25" spans="1:35" s="648" customFormat="1" ht="59.25" customHeight="1" outlineLevel="2" x14ac:dyDescent="0.2">
      <c r="A25" s="601" t="s">
        <v>4222</v>
      </c>
      <c r="B25" s="752" t="s">
        <v>4520</v>
      </c>
      <c r="C25" s="751"/>
      <c r="D25" s="747"/>
      <c r="E25" s="747"/>
      <c r="F25" s="747"/>
      <c r="G25" s="1497">
        <v>4</v>
      </c>
      <c r="H25" s="1497">
        <v>2</v>
      </c>
      <c r="I25" s="1497"/>
      <c r="J25" s="1497" t="s">
        <v>2329</v>
      </c>
      <c r="K25" s="1495" t="s">
        <v>7143</v>
      </c>
      <c r="L25" s="1495" t="s">
        <v>7347</v>
      </c>
      <c r="M25" s="748"/>
      <c r="N25" s="611"/>
      <c r="O25" s="611"/>
      <c r="P25" s="611"/>
      <c r="Q25" s="611"/>
      <c r="R25" s="611"/>
      <c r="S25" s="611"/>
      <c r="T25" s="611"/>
      <c r="U25" s="611"/>
      <c r="V25" s="611"/>
      <c r="W25" s="611"/>
      <c r="X25" s="611"/>
      <c r="Y25" s="611"/>
      <c r="Z25" s="611"/>
      <c r="AA25">
        <f>IF(AND('09 App'!C25&gt;Tmin, NOT('09 App'!$I25="")),'09 App'!$I25,0)</f>
        <v>0</v>
      </c>
      <c r="AB25">
        <f>IF(AND('09 App'!D25&gt;Tmin, NOT('09 App'!$I25="")),'09 App'!$I25,0)</f>
        <v>0</v>
      </c>
      <c r="AC25">
        <f>IF(AND('09 App'!E25&gt;Tmin, NOT('09 App'!$I25="")),'09 App'!$I25,0)</f>
        <v>0</v>
      </c>
      <c r="AD25">
        <f>IF(AND('09 App'!F25&gt;Tmin, NOT('09 App'!$I25="")),'09 App'!$I25,0)</f>
        <v>0</v>
      </c>
      <c r="AE25">
        <f>IF(AND('09 App'!C25&lt;Tmax, NOT('09 App'!$H25="")),'09 App'!$H25,4)</f>
        <v>2</v>
      </c>
      <c r="AF25">
        <f>IF(AND('09 App'!D25&lt;Tmax, NOT('09 App'!$H25="")),'09 App'!$H25,4)</f>
        <v>2</v>
      </c>
      <c r="AG25">
        <f>IF(AND('09 App'!E25&lt;Tmax, NOT('09 App'!$H25="")),'09 App'!$H25,4)</f>
        <v>2</v>
      </c>
      <c r="AH25">
        <f>IF(AND('09 App'!F25&lt;Tmax, NOT('09 App'!$H25="")),'09 App'!$H25,4)</f>
        <v>2</v>
      </c>
      <c r="AI25"/>
    </row>
    <row r="26" spans="1:35" s="648" customFormat="1" ht="78" customHeight="1" outlineLevel="2" x14ac:dyDescent="0.2">
      <c r="A26" s="601" t="s">
        <v>4223</v>
      </c>
      <c r="B26" s="752" t="s">
        <v>6735</v>
      </c>
      <c r="C26" s="751"/>
      <c r="D26" s="747"/>
      <c r="E26" s="747"/>
      <c r="F26" s="747"/>
      <c r="G26" s="1497">
        <v>2</v>
      </c>
      <c r="H26" s="1497">
        <v>2</v>
      </c>
      <c r="I26" s="1497">
        <v>3</v>
      </c>
      <c r="J26" s="1497" t="s">
        <v>1592</v>
      </c>
      <c r="K26" s="1495" t="s">
        <v>7143</v>
      </c>
      <c r="L26" s="1495" t="s">
        <v>7347</v>
      </c>
      <c r="M26" s="754"/>
      <c r="N26" s="611"/>
      <c r="O26" s="611"/>
      <c r="P26" s="611"/>
      <c r="Q26" s="611"/>
      <c r="R26" s="611"/>
      <c r="S26" s="611"/>
      <c r="T26" s="611"/>
      <c r="U26" s="611"/>
      <c r="V26" s="611"/>
      <c r="W26" s="611"/>
      <c r="X26" s="611"/>
      <c r="Y26" s="611"/>
      <c r="Z26" s="611"/>
      <c r="AA26">
        <f>IF(AND('09 App'!C26&gt;Tmin, NOT('09 App'!$I26="")),'09 App'!$I26,0)</f>
        <v>0</v>
      </c>
      <c r="AB26">
        <f>IF(AND('09 App'!D26&gt;Tmin, NOT('09 App'!$I26="")),'09 App'!$I26,0)</f>
        <v>0</v>
      </c>
      <c r="AC26">
        <f>IF(AND('09 App'!E26&gt;Tmin, NOT('09 App'!$I26="")),'09 App'!$I26,0)</f>
        <v>0</v>
      </c>
      <c r="AD26">
        <f>IF(AND('09 App'!F26&gt;Tmin, NOT('09 App'!$I26="")),'09 App'!$I26,0)</f>
        <v>0</v>
      </c>
      <c r="AE26">
        <f>IF(AND('09 App'!C26&lt;Tmax, NOT('09 App'!$H26="")),'09 App'!$H26,4)</f>
        <v>2</v>
      </c>
      <c r="AF26">
        <f>IF(AND('09 App'!D26&lt;Tmax, NOT('09 App'!$H26="")),'09 App'!$H26,4)</f>
        <v>2</v>
      </c>
      <c r="AG26">
        <f>IF(AND('09 App'!E26&lt;Tmax, NOT('09 App'!$H26="")),'09 App'!$H26,4)</f>
        <v>2</v>
      </c>
      <c r="AH26">
        <f>IF(AND('09 App'!F26&lt;Tmax, NOT('09 App'!$H26="")),'09 App'!$H26,4)</f>
        <v>2</v>
      </c>
      <c r="AI26"/>
    </row>
    <row r="27" spans="1:35" s="648" customFormat="1" ht="66" customHeight="1" outlineLevel="2" x14ac:dyDescent="0.2">
      <c r="A27" s="601" t="s">
        <v>4224</v>
      </c>
      <c r="B27" s="752" t="s">
        <v>5585</v>
      </c>
      <c r="C27" s="751"/>
      <c r="D27" s="747"/>
      <c r="E27" s="747"/>
      <c r="F27" s="747"/>
      <c r="G27" s="1497">
        <v>2</v>
      </c>
      <c r="H27" s="1497">
        <v>2</v>
      </c>
      <c r="I27" s="1497">
        <v>3</v>
      </c>
      <c r="J27" s="1497" t="s">
        <v>2329</v>
      </c>
      <c r="K27" s="1495" t="s">
        <v>7143</v>
      </c>
      <c r="L27" s="1495" t="s">
        <v>7347</v>
      </c>
      <c r="M27" s="754"/>
      <c r="N27" s="611"/>
      <c r="O27" s="611"/>
      <c r="P27" s="611"/>
      <c r="Q27" s="611"/>
      <c r="R27" s="611"/>
      <c r="S27" s="611"/>
      <c r="T27" s="611"/>
      <c r="U27" s="611"/>
      <c r="V27" s="611"/>
      <c r="W27" s="611"/>
      <c r="X27" s="611"/>
      <c r="Y27" s="611"/>
      <c r="Z27" s="611"/>
      <c r="AA27">
        <f>IF(AND('09 App'!C27&gt;Tmin, NOT('09 App'!$I27="")),'09 App'!$I27,0)</f>
        <v>0</v>
      </c>
      <c r="AB27">
        <f>IF(AND('09 App'!D27&gt;Tmin, NOT('09 App'!$I27="")),'09 App'!$I27,0)</f>
        <v>0</v>
      </c>
      <c r="AC27">
        <f>IF(AND('09 App'!E27&gt;Tmin, NOT('09 App'!$I27="")),'09 App'!$I27,0)</f>
        <v>0</v>
      </c>
      <c r="AD27">
        <f>IF(AND('09 App'!F27&gt;Tmin, NOT('09 App'!$I27="")),'09 App'!$I27,0)</f>
        <v>0</v>
      </c>
      <c r="AE27">
        <f>IF(AND('09 App'!C27&lt;Tmax, NOT('09 App'!$H27="")),'09 App'!$H27,4)</f>
        <v>2</v>
      </c>
      <c r="AF27">
        <f>IF(AND('09 App'!D27&lt;Tmax, NOT('09 App'!$H27="")),'09 App'!$H27,4)</f>
        <v>2</v>
      </c>
      <c r="AG27">
        <f>IF(AND('09 App'!E27&lt;Tmax, NOT('09 App'!$H27="")),'09 App'!$H27,4)</f>
        <v>2</v>
      </c>
      <c r="AH27">
        <f>IF(AND('09 App'!F27&lt;Tmax, NOT('09 App'!$H27="")),'09 App'!$H27,4)</f>
        <v>2</v>
      </c>
      <c r="AI27"/>
    </row>
    <row r="28" spans="1:35" s="648" customFormat="1" ht="33.75" outlineLevel="2" x14ac:dyDescent="0.2">
      <c r="A28" s="601" t="s">
        <v>4225</v>
      </c>
      <c r="B28" s="752" t="s">
        <v>3994</v>
      </c>
      <c r="C28" s="751"/>
      <c r="D28" s="747"/>
      <c r="E28" s="747"/>
      <c r="F28" s="755"/>
      <c r="G28" s="1497">
        <v>4</v>
      </c>
      <c r="H28" s="1497">
        <v>2</v>
      </c>
      <c r="I28" s="1497"/>
      <c r="J28" s="1497" t="s">
        <v>1592</v>
      </c>
      <c r="K28" s="1495" t="s">
        <v>7143</v>
      </c>
      <c r="L28" s="1495" t="s">
        <v>7347</v>
      </c>
      <c r="M28" s="748"/>
      <c r="N28" s="611"/>
      <c r="O28" s="611"/>
      <c r="P28" s="611"/>
      <c r="Q28" s="611"/>
      <c r="R28" s="611"/>
      <c r="S28" s="611"/>
      <c r="T28" s="611"/>
      <c r="U28" s="611"/>
      <c r="V28" s="611"/>
      <c r="W28" s="611"/>
      <c r="X28" s="611"/>
      <c r="Y28" s="611"/>
      <c r="Z28" s="611"/>
      <c r="AA28">
        <f>IF(AND('09 App'!C28&gt;Tmin, NOT('09 App'!$I28="")),'09 App'!$I28,0)</f>
        <v>0</v>
      </c>
      <c r="AB28">
        <f>IF(AND('09 App'!D28&gt;Tmin, NOT('09 App'!$I28="")),'09 App'!$I28,0)</f>
        <v>0</v>
      </c>
      <c r="AC28">
        <f>IF(AND('09 App'!E28&gt;Tmin, NOT('09 App'!$I28="")),'09 App'!$I28,0)</f>
        <v>0</v>
      </c>
      <c r="AD28">
        <f>IF(AND('09 App'!F28&gt;Tmin, NOT('09 App'!$I28="")),'09 App'!$I28,0)</f>
        <v>0</v>
      </c>
      <c r="AE28">
        <f>IF(AND('09 App'!C28&lt;Tmax, NOT('09 App'!$H28="")),'09 App'!$H28,4)</f>
        <v>2</v>
      </c>
      <c r="AF28">
        <f>IF(AND('09 App'!D28&lt;Tmax, NOT('09 App'!$H28="")),'09 App'!$H28,4)</f>
        <v>2</v>
      </c>
      <c r="AG28">
        <f>IF(AND('09 App'!E28&lt;Tmax, NOT('09 App'!$H28="")),'09 App'!$H28,4)</f>
        <v>2</v>
      </c>
      <c r="AH28">
        <f>IF(AND('09 App'!F28&lt;Tmax, NOT('09 App'!$H28="")),'09 App'!$H28,4)</f>
        <v>2</v>
      </c>
      <c r="AI28"/>
    </row>
    <row r="29" spans="1:35" s="648" customFormat="1" ht="24" customHeight="1" outlineLevel="2" x14ac:dyDescent="0.2">
      <c r="A29" s="601" t="s">
        <v>4226</v>
      </c>
      <c r="B29" s="752" t="s">
        <v>5586</v>
      </c>
      <c r="C29" s="751"/>
      <c r="D29" s="747"/>
      <c r="E29" s="747"/>
      <c r="F29" s="747"/>
      <c r="G29" s="1497">
        <v>2</v>
      </c>
      <c r="H29" s="1497">
        <v>2</v>
      </c>
      <c r="I29" s="1497"/>
      <c r="J29" s="1497" t="s">
        <v>1592</v>
      </c>
      <c r="K29" s="1495" t="s">
        <v>7143</v>
      </c>
      <c r="L29" s="1495" t="s">
        <v>7347</v>
      </c>
      <c r="M29" s="754"/>
      <c r="N29" s="611"/>
      <c r="O29" s="611"/>
      <c r="P29" s="611"/>
      <c r="Q29" s="611"/>
      <c r="R29" s="611"/>
      <c r="S29" s="611"/>
      <c r="T29" s="611"/>
      <c r="U29" s="611"/>
      <c r="V29" s="611"/>
      <c r="W29" s="611"/>
      <c r="X29" s="611"/>
      <c r="Y29" s="611"/>
      <c r="Z29" s="611"/>
      <c r="AA29">
        <f>IF(AND('09 App'!C29&gt;Tmin, NOT('09 App'!$I29="")),'09 App'!$I29,0)</f>
        <v>0</v>
      </c>
      <c r="AB29">
        <f>IF(AND('09 App'!D29&gt;Tmin, NOT('09 App'!$I29="")),'09 App'!$I29,0)</f>
        <v>0</v>
      </c>
      <c r="AC29">
        <f>IF(AND('09 App'!E29&gt;Tmin, NOT('09 App'!$I29="")),'09 App'!$I29,0)</f>
        <v>0</v>
      </c>
      <c r="AD29">
        <f>IF(AND('09 App'!F29&gt;Tmin, NOT('09 App'!$I29="")),'09 App'!$I29,0)</f>
        <v>0</v>
      </c>
      <c r="AE29">
        <f>IF(AND('09 App'!C29&lt;Tmax, NOT('09 App'!$H29="")),'09 App'!$H29,4)</f>
        <v>2</v>
      </c>
      <c r="AF29">
        <f>IF(AND('09 App'!D29&lt;Tmax, NOT('09 App'!$H29="")),'09 App'!$H29,4)</f>
        <v>2</v>
      </c>
      <c r="AG29">
        <f>IF(AND('09 App'!E29&lt;Tmax, NOT('09 App'!$H29="")),'09 App'!$H29,4)</f>
        <v>2</v>
      </c>
      <c r="AH29">
        <f>IF(AND('09 App'!F29&lt;Tmax, NOT('09 App'!$H29="")),'09 App'!$H29,4)</f>
        <v>2</v>
      </c>
      <c r="AI29"/>
    </row>
    <row r="30" spans="1:35" s="648" customFormat="1" ht="24" customHeight="1" outlineLevel="2" x14ac:dyDescent="0.2">
      <c r="A30" s="601" t="s">
        <v>4227</v>
      </c>
      <c r="B30" s="752" t="s">
        <v>2764</v>
      </c>
      <c r="C30" s="751"/>
      <c r="D30" s="747"/>
      <c r="E30" s="747"/>
      <c r="F30" s="747"/>
      <c r="G30" s="1497">
        <v>2</v>
      </c>
      <c r="H30" s="1497">
        <v>2</v>
      </c>
      <c r="I30" s="1497"/>
      <c r="J30" s="1497" t="s">
        <v>2329</v>
      </c>
      <c r="K30" s="1495" t="s">
        <v>7143</v>
      </c>
      <c r="L30" s="1495" t="s">
        <v>7347</v>
      </c>
      <c r="M30" s="754"/>
      <c r="N30" s="611"/>
      <c r="O30" s="611"/>
      <c r="P30" s="611"/>
      <c r="Q30" s="611"/>
      <c r="R30" s="611"/>
      <c r="S30" s="611"/>
      <c r="T30" s="611"/>
      <c r="U30" s="611"/>
      <c r="V30" s="611"/>
      <c r="W30" s="611"/>
      <c r="X30" s="611"/>
      <c r="Y30" s="611"/>
      <c r="Z30" s="611"/>
      <c r="AA30">
        <f>IF(AND('09 App'!C30&gt;Tmin, NOT('09 App'!$I30="")),'09 App'!$I30,0)</f>
        <v>0</v>
      </c>
      <c r="AB30">
        <f>IF(AND('09 App'!D30&gt;Tmin, NOT('09 App'!$I30="")),'09 App'!$I30,0)</f>
        <v>0</v>
      </c>
      <c r="AC30">
        <f>IF(AND('09 App'!E30&gt;Tmin, NOT('09 App'!$I30="")),'09 App'!$I30,0)</f>
        <v>0</v>
      </c>
      <c r="AD30">
        <f>IF(AND('09 App'!F30&gt;Tmin, NOT('09 App'!$I30="")),'09 App'!$I30,0)</f>
        <v>0</v>
      </c>
      <c r="AE30">
        <f>IF(AND('09 App'!C30&lt;Tmax, NOT('09 App'!$H30="")),'09 App'!$H30,4)</f>
        <v>2</v>
      </c>
      <c r="AF30">
        <f>IF(AND('09 App'!D30&lt;Tmax, NOT('09 App'!$H30="")),'09 App'!$H30,4)</f>
        <v>2</v>
      </c>
      <c r="AG30">
        <f>IF(AND('09 App'!E30&lt;Tmax, NOT('09 App'!$H30="")),'09 App'!$H30,4)</f>
        <v>2</v>
      </c>
      <c r="AH30">
        <f>IF(AND('09 App'!F30&lt;Tmax, NOT('09 App'!$H30="")),'09 App'!$H30,4)</f>
        <v>2</v>
      </c>
      <c r="AI30"/>
    </row>
    <row r="31" spans="1:35" s="648" customFormat="1" ht="59.25" customHeight="1" outlineLevel="2" x14ac:dyDescent="0.2">
      <c r="A31" s="601" t="s">
        <v>5115</v>
      </c>
      <c r="B31" s="752" t="s">
        <v>1284</v>
      </c>
      <c r="C31" s="751"/>
      <c r="D31" s="747"/>
      <c r="E31" s="747"/>
      <c r="F31" s="747"/>
      <c r="G31" s="1497">
        <v>4</v>
      </c>
      <c r="H31" s="1497">
        <v>2</v>
      </c>
      <c r="I31" s="1497"/>
      <c r="J31" s="1497" t="s">
        <v>2349</v>
      </c>
      <c r="K31" s="1495"/>
      <c r="L31" s="1495"/>
      <c r="M31" s="748"/>
      <c r="N31" s="611"/>
      <c r="O31" s="611"/>
      <c r="P31" s="611"/>
      <c r="Q31" s="611"/>
      <c r="R31" s="611"/>
      <c r="S31" s="611"/>
      <c r="T31" s="611"/>
      <c r="U31" s="611"/>
      <c r="V31" s="611"/>
      <c r="W31" s="611"/>
      <c r="X31" s="611"/>
      <c r="Y31" s="611"/>
      <c r="Z31" s="611"/>
      <c r="AA31">
        <f>IF(AND('09 App'!C31&gt;Tmin, NOT('09 App'!$I31="")),'09 App'!$I31,0)</f>
        <v>0</v>
      </c>
      <c r="AB31">
        <f>IF(AND('09 App'!D31&gt;Tmin, NOT('09 App'!$I31="")),'09 App'!$I31,0)</f>
        <v>0</v>
      </c>
      <c r="AC31">
        <f>IF(AND('09 App'!E31&gt;Tmin, NOT('09 App'!$I31="")),'09 App'!$I31,0)</f>
        <v>0</v>
      </c>
      <c r="AD31">
        <f>IF(AND('09 App'!F31&gt;Tmin, NOT('09 App'!$I31="")),'09 App'!$I31,0)</f>
        <v>0</v>
      </c>
      <c r="AE31">
        <f>IF(AND('09 App'!C31&lt;Tmax, NOT('09 App'!$H31="")),'09 App'!$H31,4)</f>
        <v>2</v>
      </c>
      <c r="AF31">
        <f>IF(AND('09 App'!D31&lt;Tmax, NOT('09 App'!$H31="")),'09 App'!$H31,4)</f>
        <v>2</v>
      </c>
      <c r="AG31">
        <f>IF(AND('09 App'!E31&lt;Tmax, NOT('09 App'!$H31="")),'09 App'!$H31,4)</f>
        <v>2</v>
      </c>
      <c r="AH31">
        <f>IF(AND('09 App'!F31&lt;Tmax, NOT('09 App'!$H31="")),'09 App'!$H31,4)</f>
        <v>2</v>
      </c>
      <c r="AI31"/>
    </row>
    <row r="32" spans="1:35" s="648" customFormat="1" ht="49.5" customHeight="1" outlineLevel="2" x14ac:dyDescent="0.2">
      <c r="A32" s="601" t="s">
        <v>5116</v>
      </c>
      <c r="B32" s="752" t="s">
        <v>6310</v>
      </c>
      <c r="C32" s="751"/>
      <c r="D32" s="747"/>
      <c r="E32" s="747"/>
      <c r="F32" s="747"/>
      <c r="G32" s="1497">
        <v>4</v>
      </c>
      <c r="H32" s="1497">
        <v>3</v>
      </c>
      <c r="I32" s="1497"/>
      <c r="J32" s="1497" t="s">
        <v>2109</v>
      </c>
      <c r="K32" s="1495"/>
      <c r="L32" s="1495"/>
      <c r="M32" s="748"/>
      <c r="N32" s="611"/>
      <c r="O32" s="611"/>
      <c r="P32" s="611"/>
      <c r="Q32" s="611"/>
      <c r="R32" s="611"/>
      <c r="S32" s="611"/>
      <c r="T32" s="611"/>
      <c r="U32" s="611"/>
      <c r="V32" s="611"/>
      <c r="W32" s="611"/>
      <c r="X32" s="611"/>
      <c r="Y32" s="611"/>
      <c r="Z32" s="611"/>
      <c r="AA32">
        <f>IF(AND('09 App'!C32&gt;Tmin, NOT('09 App'!$I32="")),'09 App'!$I32,0)</f>
        <v>0</v>
      </c>
      <c r="AB32">
        <f>IF(AND('09 App'!D32&gt;Tmin, NOT('09 App'!$I32="")),'09 App'!$I32,0)</f>
        <v>0</v>
      </c>
      <c r="AC32">
        <f>IF(AND('09 App'!E32&gt;Tmin, NOT('09 App'!$I32="")),'09 App'!$I32,0)</f>
        <v>0</v>
      </c>
      <c r="AD32">
        <f>IF(AND('09 App'!F32&gt;Tmin, NOT('09 App'!$I32="")),'09 App'!$I32,0)</f>
        <v>0</v>
      </c>
      <c r="AE32">
        <f>IF(AND('09 App'!C32&lt;Tmax, NOT('09 App'!$H32="")),'09 App'!$H32,4)</f>
        <v>3</v>
      </c>
      <c r="AF32">
        <f>IF(AND('09 App'!D32&lt;Tmax, NOT('09 App'!$H32="")),'09 App'!$H32,4)</f>
        <v>3</v>
      </c>
      <c r="AG32">
        <f>IF(AND('09 App'!E32&lt;Tmax, NOT('09 App'!$H32="")),'09 App'!$H32,4)</f>
        <v>3</v>
      </c>
      <c r="AH32">
        <f>IF(AND('09 App'!F32&lt;Tmax, NOT('09 App'!$H32="")),'09 App'!$H32,4)</f>
        <v>3</v>
      </c>
      <c r="AI32"/>
    </row>
    <row r="33" spans="1:35" s="648" customFormat="1" outlineLevel="1" x14ac:dyDescent="0.2">
      <c r="A33" s="749" t="s">
        <v>3662</v>
      </c>
      <c r="B33" s="750" t="s">
        <v>5138</v>
      </c>
      <c r="C33" s="751"/>
      <c r="D33" s="747"/>
      <c r="E33" s="747"/>
      <c r="F33" s="747"/>
      <c r="G33" s="1497"/>
      <c r="H33" s="1497"/>
      <c r="I33" s="1497"/>
      <c r="J33" s="1497"/>
      <c r="K33" s="1495"/>
      <c r="L33" s="1495"/>
      <c r="M33" s="748"/>
      <c r="N33" s="611"/>
      <c r="O33" s="611"/>
      <c r="P33" s="611"/>
      <c r="Q33" s="611"/>
      <c r="R33" s="611"/>
      <c r="S33" s="611"/>
      <c r="T33" s="611"/>
      <c r="U33" s="611"/>
      <c r="V33" s="611"/>
      <c r="W33" s="611"/>
      <c r="X33" s="611"/>
      <c r="Y33" s="611"/>
      <c r="Z33" s="611"/>
      <c r="AA33"/>
      <c r="AB33"/>
      <c r="AC33"/>
      <c r="AD33"/>
      <c r="AE33"/>
      <c r="AF33"/>
      <c r="AG33"/>
      <c r="AH33"/>
      <c r="AI33"/>
    </row>
    <row r="34" spans="1:35" s="648" customFormat="1" outlineLevel="2" x14ac:dyDescent="0.2">
      <c r="A34" s="601" t="s">
        <v>4228</v>
      </c>
      <c r="B34" s="752" t="s">
        <v>4521</v>
      </c>
      <c r="C34" s="751"/>
      <c r="D34" s="747"/>
      <c r="E34" s="747"/>
      <c r="F34" s="747"/>
      <c r="G34" s="1497">
        <v>1</v>
      </c>
      <c r="H34" s="1497">
        <v>2</v>
      </c>
      <c r="I34" s="1497"/>
      <c r="J34" s="1497" t="s">
        <v>4246</v>
      </c>
      <c r="K34" s="1495" t="s">
        <v>6949</v>
      </c>
      <c r="L34" s="1495" t="s">
        <v>7372</v>
      </c>
      <c r="M34" s="748"/>
      <c r="N34" s="611"/>
      <c r="O34" s="611"/>
      <c r="P34" s="611"/>
      <c r="Q34" s="611"/>
      <c r="R34" s="611"/>
      <c r="S34" s="611"/>
      <c r="T34" s="611"/>
      <c r="U34" s="611"/>
      <c r="V34" s="611"/>
      <c r="W34" s="611"/>
      <c r="X34" s="611"/>
      <c r="Y34" s="611"/>
      <c r="Z34" s="611"/>
      <c r="AA34">
        <f>IF(AND('09 App'!C34&gt;Tmin, NOT('09 App'!$I34="")),'09 App'!$I34,0)</f>
        <v>0</v>
      </c>
      <c r="AB34">
        <f>IF(AND('09 App'!D34&gt;Tmin, NOT('09 App'!$I34="")),'09 App'!$I34,0)</f>
        <v>0</v>
      </c>
      <c r="AC34">
        <f>IF(AND('09 App'!E34&gt;Tmin, NOT('09 App'!$I34="")),'09 App'!$I34,0)</f>
        <v>0</v>
      </c>
      <c r="AD34">
        <f>IF(AND('09 App'!F34&gt;Tmin, NOT('09 App'!$I34="")),'09 App'!$I34,0)</f>
        <v>0</v>
      </c>
      <c r="AE34">
        <f>IF(AND('09 App'!C34&lt;Tmax, NOT('09 App'!$H34="")),'09 App'!$H34,4)</f>
        <v>2</v>
      </c>
      <c r="AF34">
        <f>IF(AND('09 App'!D34&lt;Tmax, NOT('09 App'!$H34="")),'09 App'!$H34,4)</f>
        <v>2</v>
      </c>
      <c r="AG34">
        <f>IF(AND('09 App'!E34&lt;Tmax, NOT('09 App'!$H34="")),'09 App'!$H34,4)</f>
        <v>2</v>
      </c>
      <c r="AH34">
        <f>IF(AND('09 App'!F34&lt;Tmax, NOT('09 App'!$H34="")),'09 App'!$H34,4)</f>
        <v>2</v>
      </c>
      <c r="AI34"/>
    </row>
    <row r="35" spans="1:35" s="648" customFormat="1" ht="56.25" customHeight="1" outlineLevel="2" x14ac:dyDescent="0.2">
      <c r="A35" s="601" t="s">
        <v>4229</v>
      </c>
      <c r="B35" s="752" t="s">
        <v>4679</v>
      </c>
      <c r="C35" s="751"/>
      <c r="D35" s="747"/>
      <c r="E35" s="747"/>
      <c r="F35" s="747"/>
      <c r="G35" s="1497">
        <v>4</v>
      </c>
      <c r="H35" s="1497">
        <v>2</v>
      </c>
      <c r="I35" s="1497"/>
      <c r="J35" s="1497" t="s">
        <v>4246</v>
      </c>
      <c r="K35" s="1495" t="s">
        <v>6949</v>
      </c>
      <c r="L35" s="1495" t="s">
        <v>7372</v>
      </c>
      <c r="M35" s="748"/>
      <c r="N35" s="611"/>
      <c r="O35" s="611"/>
      <c r="P35" s="611"/>
      <c r="Q35" s="611"/>
      <c r="R35" s="611"/>
      <c r="S35" s="611"/>
      <c r="T35" s="611"/>
      <c r="U35" s="611"/>
      <c r="V35" s="611"/>
      <c r="W35" s="611"/>
      <c r="X35" s="611"/>
      <c r="Y35" s="611"/>
      <c r="Z35" s="611"/>
      <c r="AA35">
        <f>IF(AND('09 App'!C35&gt;Tmin, NOT('09 App'!$I35="")),'09 App'!$I35,0)</f>
        <v>0</v>
      </c>
      <c r="AB35">
        <f>IF(AND('09 App'!D35&gt;Tmin, NOT('09 App'!$I35="")),'09 App'!$I35,0)</f>
        <v>0</v>
      </c>
      <c r="AC35">
        <f>IF(AND('09 App'!E35&gt;Tmin, NOT('09 App'!$I35="")),'09 App'!$I35,0)</f>
        <v>0</v>
      </c>
      <c r="AD35">
        <f>IF(AND('09 App'!F35&gt;Tmin, NOT('09 App'!$I35="")),'09 App'!$I35,0)</f>
        <v>0</v>
      </c>
      <c r="AE35">
        <f>IF(AND('09 App'!C35&lt;Tmax, NOT('09 App'!$H35="")),'09 App'!$H35,4)</f>
        <v>2</v>
      </c>
      <c r="AF35">
        <f>IF(AND('09 App'!D35&lt;Tmax, NOT('09 App'!$H35="")),'09 App'!$H35,4)</f>
        <v>2</v>
      </c>
      <c r="AG35">
        <f>IF(AND('09 App'!E35&lt;Tmax, NOT('09 App'!$H35="")),'09 App'!$H35,4)</f>
        <v>2</v>
      </c>
      <c r="AH35">
        <f>IF(AND('09 App'!F35&lt;Tmax, NOT('09 App'!$H35="")),'09 App'!$H35,4)</f>
        <v>2</v>
      </c>
      <c r="AI35"/>
    </row>
    <row r="36" spans="1:35" s="648" customFormat="1" outlineLevel="2" x14ac:dyDescent="0.2">
      <c r="A36" s="601" t="s">
        <v>4265</v>
      </c>
      <c r="B36" s="752" t="s">
        <v>3862</v>
      </c>
      <c r="C36" s="751"/>
      <c r="D36" s="747"/>
      <c r="E36" s="747"/>
      <c r="F36" s="747"/>
      <c r="G36" s="1497">
        <v>4</v>
      </c>
      <c r="H36" s="1497">
        <v>2</v>
      </c>
      <c r="I36" s="1497"/>
      <c r="J36" s="1497" t="s">
        <v>1592</v>
      </c>
      <c r="K36" s="1495"/>
      <c r="L36" s="1495" t="s">
        <v>7350</v>
      </c>
      <c r="M36" s="748"/>
      <c r="N36" s="611"/>
      <c r="O36" s="611"/>
      <c r="P36" s="611"/>
      <c r="Q36" s="611"/>
      <c r="R36" s="611"/>
      <c r="S36" s="611"/>
      <c r="T36" s="611"/>
      <c r="U36" s="611"/>
      <c r="V36" s="611"/>
      <c r="W36" s="611"/>
      <c r="X36" s="611"/>
      <c r="Y36" s="611"/>
      <c r="Z36" s="611"/>
      <c r="AA36">
        <f>IF(AND('09 App'!C36&gt;Tmin, NOT('09 App'!$I36="")),'09 App'!$I36,0)</f>
        <v>0</v>
      </c>
      <c r="AB36">
        <f>IF(AND('09 App'!D36&gt;Tmin, NOT('09 App'!$I36="")),'09 App'!$I36,0)</f>
        <v>0</v>
      </c>
      <c r="AC36">
        <f>IF(AND('09 App'!E36&gt;Tmin, NOT('09 App'!$I36="")),'09 App'!$I36,0)</f>
        <v>0</v>
      </c>
      <c r="AD36">
        <f>IF(AND('09 App'!F36&gt;Tmin, NOT('09 App'!$I36="")),'09 App'!$I36,0)</f>
        <v>0</v>
      </c>
      <c r="AE36">
        <f>IF(AND('09 App'!C36&lt;Tmax, NOT('09 App'!$H36="")),'09 App'!$H36,4)</f>
        <v>2</v>
      </c>
      <c r="AF36">
        <f>IF(AND('09 App'!D36&lt;Tmax, NOT('09 App'!$H36="")),'09 App'!$H36,4)</f>
        <v>2</v>
      </c>
      <c r="AG36">
        <f>IF(AND('09 App'!E36&lt;Tmax, NOT('09 App'!$H36="")),'09 App'!$H36,4)</f>
        <v>2</v>
      </c>
      <c r="AH36">
        <f>IF(AND('09 App'!F36&lt;Tmax, NOT('09 App'!$H36="")),'09 App'!$H36,4)</f>
        <v>2</v>
      </c>
      <c r="AI36"/>
    </row>
    <row r="37" spans="1:35" s="648" customFormat="1" ht="59.25" customHeight="1" outlineLevel="2" x14ac:dyDescent="0.2">
      <c r="A37" s="601" t="s">
        <v>4266</v>
      </c>
      <c r="B37" s="752" t="s">
        <v>3787</v>
      </c>
      <c r="C37" s="751"/>
      <c r="D37" s="747"/>
      <c r="E37" s="747"/>
      <c r="F37" s="747"/>
      <c r="G37" s="1497">
        <v>2</v>
      </c>
      <c r="H37" s="1497">
        <v>2</v>
      </c>
      <c r="I37" s="1497"/>
      <c r="J37" s="1497" t="s">
        <v>1592</v>
      </c>
      <c r="K37" s="1495"/>
      <c r="L37" s="1495" t="s">
        <v>7350</v>
      </c>
      <c r="M37" s="748"/>
      <c r="N37" s="611"/>
      <c r="O37" s="611"/>
      <c r="P37" s="611"/>
      <c r="Q37" s="611"/>
      <c r="R37" s="611"/>
      <c r="S37" s="611"/>
      <c r="T37" s="611"/>
      <c r="U37" s="611"/>
      <c r="V37" s="611"/>
      <c r="W37" s="611"/>
      <c r="X37" s="611"/>
      <c r="Y37" s="611"/>
      <c r="Z37" s="611"/>
      <c r="AA37">
        <f>IF(AND('09 App'!C37&gt;Tmin, NOT('09 App'!$I37="")),'09 App'!$I37,0)</f>
        <v>0</v>
      </c>
      <c r="AB37">
        <f>IF(AND('09 App'!D37&gt;Tmin, NOT('09 App'!$I37="")),'09 App'!$I37,0)</f>
        <v>0</v>
      </c>
      <c r="AC37">
        <f>IF(AND('09 App'!E37&gt;Tmin, NOT('09 App'!$I37="")),'09 App'!$I37,0)</f>
        <v>0</v>
      </c>
      <c r="AD37">
        <f>IF(AND('09 App'!F37&gt;Tmin, NOT('09 App'!$I37="")),'09 App'!$I37,0)</f>
        <v>0</v>
      </c>
      <c r="AE37">
        <f>IF(AND('09 App'!C37&lt;Tmax, NOT('09 App'!$H37="")),'09 App'!$H37,4)</f>
        <v>2</v>
      </c>
      <c r="AF37">
        <f>IF(AND('09 App'!D37&lt;Tmax, NOT('09 App'!$H37="")),'09 App'!$H37,4)</f>
        <v>2</v>
      </c>
      <c r="AG37">
        <f>IF(AND('09 App'!E37&lt;Tmax, NOT('09 App'!$H37="")),'09 App'!$H37,4)</f>
        <v>2</v>
      </c>
      <c r="AH37">
        <f>IF(AND('09 App'!F37&lt;Tmax, NOT('09 App'!$H37="")),'09 App'!$H37,4)</f>
        <v>2</v>
      </c>
      <c r="AI37"/>
    </row>
    <row r="38" spans="1:35" s="648" customFormat="1" outlineLevel="2" x14ac:dyDescent="0.2">
      <c r="A38" s="601" t="s">
        <v>4645</v>
      </c>
      <c r="B38" s="752" t="s">
        <v>3569</v>
      </c>
      <c r="C38" s="751"/>
      <c r="D38" s="747"/>
      <c r="E38" s="747"/>
      <c r="F38" s="747"/>
      <c r="G38" s="1497">
        <v>4</v>
      </c>
      <c r="H38" s="1497"/>
      <c r="I38" s="1497"/>
      <c r="J38" s="1497" t="s">
        <v>2329</v>
      </c>
      <c r="K38" s="1495" t="s">
        <v>6951</v>
      </c>
      <c r="L38" s="1495" t="s">
        <v>7346</v>
      </c>
      <c r="M38" s="748"/>
      <c r="N38" s="611"/>
      <c r="O38" s="611"/>
      <c r="P38" s="611"/>
      <c r="Q38" s="611"/>
      <c r="R38" s="611"/>
      <c r="S38" s="611"/>
      <c r="T38" s="611"/>
      <c r="U38" s="611"/>
      <c r="V38" s="611"/>
      <c r="W38" s="611"/>
      <c r="X38" s="611"/>
      <c r="Y38" s="611"/>
      <c r="Z38" s="611"/>
      <c r="AA38">
        <f>IF(AND('09 App'!C38&gt;Tmin, NOT('09 App'!$I38="")),'09 App'!$I38,0)</f>
        <v>0</v>
      </c>
      <c r="AB38">
        <f>IF(AND('09 App'!D38&gt;Tmin, NOT('09 App'!$I38="")),'09 App'!$I38,0)</f>
        <v>0</v>
      </c>
      <c r="AC38">
        <f>IF(AND('09 App'!E38&gt;Tmin, NOT('09 App'!$I38="")),'09 App'!$I38,0)</f>
        <v>0</v>
      </c>
      <c r="AD38">
        <f>IF(AND('09 App'!F38&gt;Tmin, NOT('09 App'!$I38="")),'09 App'!$I38,0)</f>
        <v>0</v>
      </c>
      <c r="AE38">
        <f>IF(AND('09 App'!C38&lt;Tmax, NOT('09 App'!$H38="")),'09 App'!$H38,4)</f>
        <v>4</v>
      </c>
      <c r="AF38">
        <f>IF(AND('09 App'!D38&lt;Tmax, NOT('09 App'!$H38="")),'09 App'!$H38,4)</f>
        <v>4</v>
      </c>
      <c r="AG38">
        <f>IF(AND('09 App'!E38&lt;Tmax, NOT('09 App'!$H38="")),'09 App'!$H38,4)</f>
        <v>4</v>
      </c>
      <c r="AH38">
        <f>IF(AND('09 App'!F38&lt;Tmax, NOT('09 App'!$H38="")),'09 App'!$H38,4)</f>
        <v>4</v>
      </c>
      <c r="AI38"/>
    </row>
    <row r="39" spans="1:35" s="648" customFormat="1" ht="22.5" outlineLevel="2" x14ac:dyDescent="0.2">
      <c r="A39" s="601" t="s">
        <v>4646</v>
      </c>
      <c r="B39" s="752" t="s">
        <v>4522</v>
      </c>
      <c r="C39" s="751"/>
      <c r="D39" s="747"/>
      <c r="E39" s="747"/>
      <c r="F39" s="747"/>
      <c r="G39" s="1497">
        <v>4</v>
      </c>
      <c r="H39" s="1497"/>
      <c r="I39" s="1497"/>
      <c r="J39" s="1497" t="s">
        <v>2329</v>
      </c>
      <c r="K39" s="1495" t="s">
        <v>6951</v>
      </c>
      <c r="L39" s="1495" t="s">
        <v>7351</v>
      </c>
      <c r="M39" s="748"/>
      <c r="N39" s="611"/>
      <c r="O39" s="611"/>
      <c r="P39" s="611"/>
      <c r="Q39" s="611"/>
      <c r="R39" s="611"/>
      <c r="S39" s="611"/>
      <c r="T39" s="611"/>
      <c r="U39" s="611"/>
      <c r="V39" s="611"/>
      <c r="W39" s="611"/>
      <c r="X39" s="611"/>
      <c r="Y39" s="611"/>
      <c r="Z39" s="611"/>
      <c r="AA39">
        <f>IF(AND('09 App'!C39&gt;Tmin, NOT('09 App'!$I39="")),'09 App'!$I39,0)</f>
        <v>0</v>
      </c>
      <c r="AB39">
        <f>IF(AND('09 App'!D39&gt;Tmin, NOT('09 App'!$I39="")),'09 App'!$I39,0)</f>
        <v>0</v>
      </c>
      <c r="AC39">
        <f>IF(AND('09 App'!E39&gt;Tmin, NOT('09 App'!$I39="")),'09 App'!$I39,0)</f>
        <v>0</v>
      </c>
      <c r="AD39">
        <f>IF(AND('09 App'!F39&gt;Tmin, NOT('09 App'!$I39="")),'09 App'!$I39,0)</f>
        <v>0</v>
      </c>
      <c r="AE39">
        <f>IF(AND('09 App'!C39&lt;Tmax, NOT('09 App'!$H39="")),'09 App'!$H39,4)</f>
        <v>4</v>
      </c>
      <c r="AF39">
        <f>IF(AND('09 App'!D39&lt;Tmax, NOT('09 App'!$H39="")),'09 App'!$H39,4)</f>
        <v>4</v>
      </c>
      <c r="AG39">
        <f>IF(AND('09 App'!E39&lt;Tmax, NOT('09 App'!$H39="")),'09 App'!$H39,4)</f>
        <v>4</v>
      </c>
      <c r="AH39">
        <f>IF(AND('09 App'!F39&lt;Tmax, NOT('09 App'!$H39="")),'09 App'!$H39,4)</f>
        <v>4</v>
      </c>
      <c r="AI39"/>
    </row>
    <row r="40" spans="1:35" s="648" customFormat="1" ht="22.5" outlineLevel="2" x14ac:dyDescent="0.2">
      <c r="A40" s="601" t="s">
        <v>4647</v>
      </c>
      <c r="B40" s="752" t="s">
        <v>5229</v>
      </c>
      <c r="C40" s="751"/>
      <c r="D40" s="747"/>
      <c r="E40" s="747"/>
      <c r="F40" s="747"/>
      <c r="G40" s="1497">
        <v>4</v>
      </c>
      <c r="H40" s="1497"/>
      <c r="I40" s="1497"/>
      <c r="J40" s="1497" t="s">
        <v>2329</v>
      </c>
      <c r="K40" s="1495" t="s">
        <v>6949</v>
      </c>
      <c r="L40" s="1495" t="s">
        <v>7371</v>
      </c>
      <c r="M40" s="748"/>
      <c r="N40" s="611"/>
      <c r="O40" s="611"/>
      <c r="P40" s="611"/>
      <c r="Q40" s="611"/>
      <c r="R40" s="611"/>
      <c r="S40" s="611"/>
      <c r="T40" s="611"/>
      <c r="U40" s="611"/>
      <c r="V40" s="611"/>
      <c r="W40" s="611"/>
      <c r="X40" s="611"/>
      <c r="Y40" s="611"/>
      <c r="Z40" s="611"/>
      <c r="AA40">
        <f>IF(AND('09 App'!C40&gt;Tmin, NOT('09 App'!$I40="")),'09 App'!$I40,0)</f>
        <v>0</v>
      </c>
      <c r="AB40">
        <f>IF(AND('09 App'!D40&gt;Tmin, NOT('09 App'!$I40="")),'09 App'!$I40,0)</f>
        <v>0</v>
      </c>
      <c r="AC40">
        <f>IF(AND('09 App'!E40&gt;Tmin, NOT('09 App'!$I40="")),'09 App'!$I40,0)</f>
        <v>0</v>
      </c>
      <c r="AD40">
        <f>IF(AND('09 App'!F40&gt;Tmin, NOT('09 App'!$I40="")),'09 App'!$I40,0)</f>
        <v>0</v>
      </c>
      <c r="AE40">
        <f>IF(AND('09 App'!C40&lt;Tmax, NOT('09 App'!$H40="")),'09 App'!$H40,4)</f>
        <v>4</v>
      </c>
      <c r="AF40">
        <f>IF(AND('09 App'!D40&lt;Tmax, NOT('09 App'!$H40="")),'09 App'!$H40,4)</f>
        <v>4</v>
      </c>
      <c r="AG40">
        <f>IF(AND('09 App'!E40&lt;Tmax, NOT('09 App'!$H40="")),'09 App'!$H40,4)</f>
        <v>4</v>
      </c>
      <c r="AH40">
        <f>IF(AND('09 App'!F40&lt;Tmax, NOT('09 App'!$H40="")),'09 App'!$H40,4)</f>
        <v>4</v>
      </c>
      <c r="AI40"/>
    </row>
    <row r="41" spans="1:35" s="648" customFormat="1" ht="22.5" outlineLevel="2" x14ac:dyDescent="0.2">
      <c r="A41" s="601" t="s">
        <v>5230</v>
      </c>
      <c r="B41" s="752" t="s">
        <v>1409</v>
      </c>
      <c r="C41" s="751"/>
      <c r="D41" s="747"/>
      <c r="E41" s="747"/>
      <c r="F41" s="747"/>
      <c r="G41" s="1497">
        <v>4</v>
      </c>
      <c r="H41" s="1497">
        <v>2</v>
      </c>
      <c r="I41" s="1497"/>
      <c r="J41" s="1497" t="s">
        <v>2349</v>
      </c>
      <c r="K41" s="1495"/>
      <c r="L41" s="1495"/>
      <c r="M41" s="748"/>
      <c r="N41" s="611"/>
      <c r="O41" s="611"/>
      <c r="P41" s="611"/>
      <c r="Q41" s="611"/>
      <c r="R41" s="611"/>
      <c r="S41" s="611"/>
      <c r="T41" s="611"/>
      <c r="U41" s="611"/>
      <c r="V41" s="611"/>
      <c r="W41" s="611"/>
      <c r="X41" s="611"/>
      <c r="Y41" s="611"/>
      <c r="Z41" s="611"/>
      <c r="AA41">
        <f>IF(AND('09 App'!C41&gt;Tmin, NOT('09 App'!$I41="")),'09 App'!$I41,0)</f>
        <v>0</v>
      </c>
      <c r="AB41">
        <f>IF(AND('09 App'!D41&gt;Tmin, NOT('09 App'!$I41="")),'09 App'!$I41,0)</f>
        <v>0</v>
      </c>
      <c r="AC41">
        <f>IF(AND('09 App'!E41&gt;Tmin, NOT('09 App'!$I41="")),'09 App'!$I41,0)</f>
        <v>0</v>
      </c>
      <c r="AD41">
        <f>IF(AND('09 App'!F41&gt;Tmin, NOT('09 App'!$I41="")),'09 App'!$I41,0)</f>
        <v>0</v>
      </c>
      <c r="AE41">
        <f>IF(AND('09 App'!C41&lt;Tmax, NOT('09 App'!$H41="")),'09 App'!$H41,4)</f>
        <v>2</v>
      </c>
      <c r="AF41">
        <f>IF(AND('09 App'!D41&lt;Tmax, NOT('09 App'!$H41="")),'09 App'!$H41,4)</f>
        <v>2</v>
      </c>
      <c r="AG41">
        <f>IF(AND('09 App'!E41&lt;Tmax, NOT('09 App'!$H41="")),'09 App'!$H41,4)</f>
        <v>2</v>
      </c>
      <c r="AH41">
        <f>IF(AND('09 App'!F41&lt;Tmax, NOT('09 App'!$H41="")),'09 App'!$H41,4)</f>
        <v>2</v>
      </c>
      <c r="AI41"/>
    </row>
    <row r="42" spans="1:35" s="648" customFormat="1" ht="45.75" customHeight="1" outlineLevel="2" x14ac:dyDescent="0.2">
      <c r="A42" s="601" t="s">
        <v>5231</v>
      </c>
      <c r="B42" s="752" t="s">
        <v>2699</v>
      </c>
      <c r="C42" s="751"/>
      <c r="D42" s="747"/>
      <c r="E42" s="747"/>
      <c r="F42" s="747"/>
      <c r="G42" s="1497">
        <v>4</v>
      </c>
      <c r="H42" s="1497">
        <v>2</v>
      </c>
      <c r="I42" s="1497"/>
      <c r="J42" s="1497" t="s">
        <v>2109</v>
      </c>
      <c r="K42" s="1495"/>
      <c r="L42" s="1495"/>
      <c r="M42" s="748"/>
      <c r="N42" s="611"/>
      <c r="O42" s="611"/>
      <c r="P42" s="611"/>
      <c r="Q42" s="611"/>
      <c r="R42" s="611"/>
      <c r="S42" s="611"/>
      <c r="T42" s="611"/>
      <c r="U42" s="611"/>
      <c r="V42" s="611"/>
      <c r="W42" s="611"/>
      <c r="X42" s="611"/>
      <c r="Y42" s="611"/>
      <c r="Z42" s="611"/>
      <c r="AA42">
        <f>IF(AND('09 App'!C42&gt;Tmin, NOT('09 App'!$I42="")),'09 App'!$I42,0)</f>
        <v>0</v>
      </c>
      <c r="AB42">
        <f>IF(AND('09 App'!D42&gt;Tmin, NOT('09 App'!$I42="")),'09 App'!$I42,0)</f>
        <v>0</v>
      </c>
      <c r="AC42">
        <f>IF(AND('09 App'!E42&gt;Tmin, NOT('09 App'!$I42="")),'09 App'!$I42,0)</f>
        <v>0</v>
      </c>
      <c r="AD42">
        <f>IF(AND('09 App'!F42&gt;Tmin, NOT('09 App'!$I42="")),'09 App'!$I42,0)</f>
        <v>0</v>
      </c>
      <c r="AE42">
        <f>IF(AND('09 App'!C42&lt;Tmax, NOT('09 App'!$H42="")),'09 App'!$H42,4)</f>
        <v>2</v>
      </c>
      <c r="AF42">
        <f>IF(AND('09 App'!D42&lt;Tmax, NOT('09 App'!$H42="")),'09 App'!$H42,4)</f>
        <v>2</v>
      </c>
      <c r="AG42">
        <f>IF(AND('09 App'!E42&lt;Tmax, NOT('09 App'!$H42="")),'09 App'!$H42,4)</f>
        <v>2</v>
      </c>
      <c r="AH42">
        <f>IF(AND('09 App'!F42&lt;Tmax, NOT('09 App'!$H42="")),'09 App'!$H42,4)</f>
        <v>2</v>
      </c>
      <c r="AI42"/>
    </row>
    <row r="43" spans="1:35" s="648" customFormat="1" ht="56.25" customHeight="1" outlineLevel="2" x14ac:dyDescent="0.2">
      <c r="A43" s="601" t="s">
        <v>5232</v>
      </c>
      <c r="B43" s="752" t="s">
        <v>6778</v>
      </c>
      <c r="C43" s="751"/>
      <c r="D43" s="747"/>
      <c r="E43" s="747"/>
      <c r="F43" s="747"/>
      <c r="G43" s="1497">
        <v>4</v>
      </c>
      <c r="H43" s="1497">
        <v>3</v>
      </c>
      <c r="I43" s="1497"/>
      <c r="J43" s="1497" t="s">
        <v>2107</v>
      </c>
      <c r="K43" s="1495"/>
      <c r="L43" s="1495"/>
      <c r="M43" s="748"/>
      <c r="N43" s="611"/>
      <c r="O43" s="611"/>
      <c r="P43" s="611"/>
      <c r="Q43" s="611"/>
      <c r="R43" s="611"/>
      <c r="S43" s="611"/>
      <c r="T43" s="611"/>
      <c r="U43" s="611"/>
      <c r="V43" s="611"/>
      <c r="W43" s="611"/>
      <c r="X43" s="611"/>
      <c r="Y43" s="611"/>
      <c r="Z43" s="611"/>
      <c r="AA43">
        <f>IF(AND('09 App'!C43&gt;Tmin, NOT('09 App'!$I43="")),'09 App'!$I43,0)</f>
        <v>0</v>
      </c>
      <c r="AB43">
        <f>IF(AND('09 App'!D43&gt;Tmin, NOT('09 App'!$I43="")),'09 App'!$I43,0)</f>
        <v>0</v>
      </c>
      <c r="AC43">
        <f>IF(AND('09 App'!E43&gt;Tmin, NOT('09 App'!$I43="")),'09 App'!$I43,0)</f>
        <v>0</v>
      </c>
      <c r="AD43">
        <f>IF(AND('09 App'!F43&gt;Tmin, NOT('09 App'!$I43="")),'09 App'!$I43,0)</f>
        <v>0</v>
      </c>
      <c r="AE43">
        <f>IF(AND('09 App'!C43&lt;Tmax, NOT('09 App'!$H43="")),'09 App'!$H43,4)</f>
        <v>3</v>
      </c>
      <c r="AF43">
        <f>IF(AND('09 App'!D43&lt;Tmax, NOT('09 App'!$H43="")),'09 App'!$H43,4)</f>
        <v>3</v>
      </c>
      <c r="AG43">
        <f>IF(AND('09 App'!E43&lt;Tmax, NOT('09 App'!$H43="")),'09 App'!$H43,4)</f>
        <v>3</v>
      </c>
      <c r="AH43">
        <f>IF(AND('09 App'!F43&lt;Tmax, NOT('09 App'!$H43="")),'09 App'!$H43,4)</f>
        <v>3</v>
      </c>
      <c r="AI43"/>
    </row>
    <row r="44" spans="1:35" outlineLevel="1" x14ac:dyDescent="0.2">
      <c r="A44" s="749" t="s">
        <v>1182</v>
      </c>
      <c r="B44" s="750" t="s">
        <v>3426</v>
      </c>
      <c r="C44" s="751"/>
      <c r="D44" s="747"/>
      <c r="E44" s="747"/>
      <c r="F44" s="747"/>
      <c r="G44" s="1496"/>
      <c r="H44" s="1496"/>
      <c r="I44" s="1496"/>
      <c r="J44" s="1497"/>
      <c r="K44" s="1495"/>
      <c r="L44" s="1495"/>
      <c r="M44" s="754"/>
      <c r="AA44"/>
      <c r="AB44"/>
      <c r="AC44"/>
      <c r="AD44"/>
      <c r="AE44"/>
      <c r="AF44"/>
      <c r="AG44"/>
      <c r="AH44"/>
      <c r="AI44"/>
    </row>
    <row r="45" spans="1:35" ht="22.5" outlineLevel="2" x14ac:dyDescent="0.2">
      <c r="A45" s="601" t="s">
        <v>1183</v>
      </c>
      <c r="B45" s="752" t="s">
        <v>3427</v>
      </c>
      <c r="C45" s="751"/>
      <c r="D45" s="747"/>
      <c r="E45" s="747"/>
      <c r="F45" s="747"/>
      <c r="G45" s="1497">
        <v>4</v>
      </c>
      <c r="H45" s="1497">
        <v>1</v>
      </c>
      <c r="I45" s="1496"/>
      <c r="J45" s="1497" t="s">
        <v>1592</v>
      </c>
      <c r="K45" s="1495"/>
      <c r="L45" s="1495"/>
      <c r="M45" s="754"/>
      <c r="AA45">
        <f>IF(AND('09 App'!C45&gt;Tmin, NOT('09 App'!$I45="")),'09 App'!$I45,0)</f>
        <v>0</v>
      </c>
      <c r="AB45">
        <f>IF(AND('09 App'!D45&gt;Tmin, NOT('09 App'!$I45="")),'09 App'!$I45,0)</f>
        <v>0</v>
      </c>
      <c r="AC45">
        <f>IF(AND('09 App'!E45&gt;Tmin, NOT('09 App'!$I45="")),'09 App'!$I45,0)</f>
        <v>0</v>
      </c>
      <c r="AD45">
        <f>IF(AND('09 App'!F45&gt;Tmin, NOT('09 App'!$I45="")),'09 App'!$I45,0)</f>
        <v>0</v>
      </c>
      <c r="AE45">
        <f>IF(AND('09 App'!C45&lt;Tmax, NOT('09 App'!$H45="")),'09 App'!$H45,4)</f>
        <v>1</v>
      </c>
      <c r="AF45">
        <f>IF(AND('09 App'!D45&lt;Tmax, NOT('09 App'!$H45="")),'09 App'!$H45,4)</f>
        <v>1</v>
      </c>
      <c r="AG45">
        <f>IF(AND('09 App'!E45&lt;Tmax, NOT('09 App'!$H45="")),'09 App'!$H45,4)</f>
        <v>1</v>
      </c>
      <c r="AH45">
        <f>IF(AND('09 App'!F45&lt;Tmax, NOT('09 App'!$H45="")),'09 App'!$H45,4)</f>
        <v>1</v>
      </c>
      <c r="AI45"/>
    </row>
    <row r="46" spans="1:35" ht="13.5" customHeight="1" outlineLevel="2" x14ac:dyDescent="0.2">
      <c r="A46" s="601" t="s">
        <v>1184</v>
      </c>
      <c r="B46" s="752" t="s">
        <v>2961</v>
      </c>
      <c r="C46" s="751"/>
      <c r="D46" s="747"/>
      <c r="E46" s="747"/>
      <c r="F46" s="747"/>
      <c r="G46" s="1497">
        <v>4</v>
      </c>
      <c r="H46" s="1497">
        <v>1</v>
      </c>
      <c r="I46" s="1496"/>
      <c r="J46" s="1497" t="s">
        <v>1592</v>
      </c>
      <c r="K46" s="1495"/>
      <c r="L46" s="1495"/>
      <c r="M46" s="754"/>
      <c r="AA46">
        <f>IF(AND('09 App'!C46&gt;Tmin, NOT('09 App'!$I46="")),'09 App'!$I46,0)</f>
        <v>0</v>
      </c>
      <c r="AB46">
        <f>IF(AND('09 App'!D46&gt;Tmin, NOT('09 App'!$I46="")),'09 App'!$I46,0)</f>
        <v>0</v>
      </c>
      <c r="AC46">
        <f>IF(AND('09 App'!E46&gt;Tmin, NOT('09 App'!$I46="")),'09 App'!$I46,0)</f>
        <v>0</v>
      </c>
      <c r="AD46">
        <f>IF(AND('09 App'!F46&gt;Tmin, NOT('09 App'!$I46="")),'09 App'!$I46,0)</f>
        <v>0</v>
      </c>
      <c r="AE46">
        <f>IF(AND('09 App'!C46&lt;Tmax, NOT('09 App'!$H46="")),'09 App'!$H46,4)</f>
        <v>1</v>
      </c>
      <c r="AF46">
        <f>IF(AND('09 App'!D46&lt;Tmax, NOT('09 App'!$H46="")),'09 App'!$H46,4)</f>
        <v>1</v>
      </c>
      <c r="AG46">
        <f>IF(AND('09 App'!E46&lt;Tmax, NOT('09 App'!$H46="")),'09 App'!$H46,4)</f>
        <v>1</v>
      </c>
      <c r="AH46">
        <f>IF(AND('09 App'!F46&lt;Tmax, NOT('09 App'!$H46="")),'09 App'!$H46,4)</f>
        <v>1</v>
      </c>
      <c r="AI46"/>
    </row>
    <row r="47" spans="1:35" ht="57" customHeight="1" outlineLevel="2" x14ac:dyDescent="0.2">
      <c r="A47" s="601" t="s">
        <v>1185</v>
      </c>
      <c r="B47" s="752" t="s">
        <v>4506</v>
      </c>
      <c r="C47" s="751"/>
      <c r="D47" s="747"/>
      <c r="E47" s="747"/>
      <c r="F47" s="747"/>
      <c r="G47" s="1497">
        <v>4</v>
      </c>
      <c r="H47" s="1497">
        <v>2</v>
      </c>
      <c r="I47" s="1496"/>
      <c r="J47" s="1497" t="s">
        <v>2329</v>
      </c>
      <c r="K47" s="1495"/>
      <c r="L47" s="1495"/>
      <c r="M47" s="754"/>
      <c r="AA47">
        <f>IF(AND('09 App'!C47&gt;Tmin, NOT('09 App'!$I47="")),'09 App'!$I47,0)</f>
        <v>0</v>
      </c>
      <c r="AB47">
        <f>IF(AND('09 App'!D47&gt;Tmin, NOT('09 App'!$I47="")),'09 App'!$I47,0)</f>
        <v>0</v>
      </c>
      <c r="AC47">
        <f>IF(AND('09 App'!E47&gt;Tmin, NOT('09 App'!$I47="")),'09 App'!$I47,0)</f>
        <v>0</v>
      </c>
      <c r="AD47">
        <f>IF(AND('09 App'!F47&gt;Tmin, NOT('09 App'!$I47="")),'09 App'!$I47,0)</f>
        <v>0</v>
      </c>
      <c r="AE47">
        <f>IF(AND('09 App'!C47&lt;Tmax, NOT('09 App'!$H47="")),'09 App'!$H47,4)</f>
        <v>2</v>
      </c>
      <c r="AF47">
        <f>IF(AND('09 App'!D47&lt;Tmax, NOT('09 App'!$H47="")),'09 App'!$H47,4)</f>
        <v>2</v>
      </c>
      <c r="AG47">
        <f>IF(AND('09 App'!E47&lt;Tmax, NOT('09 App'!$H47="")),'09 App'!$H47,4)</f>
        <v>2</v>
      </c>
      <c r="AH47">
        <f>IF(AND('09 App'!F47&lt;Tmax, NOT('09 App'!$H47="")),'09 App'!$H47,4)</f>
        <v>2</v>
      </c>
      <c r="AI47"/>
    </row>
    <row r="48" spans="1:35" s="648" customFormat="1" ht="71.25" customHeight="1" outlineLevel="2" x14ac:dyDescent="0.2">
      <c r="A48" s="601" t="s">
        <v>1186</v>
      </c>
      <c r="B48" s="752" t="s">
        <v>1363</v>
      </c>
      <c r="C48" s="751"/>
      <c r="D48" s="747"/>
      <c r="E48" s="747"/>
      <c r="F48" s="747"/>
      <c r="G48" s="1497">
        <v>4</v>
      </c>
      <c r="H48" s="1497">
        <v>3</v>
      </c>
      <c r="I48" s="1497"/>
      <c r="J48" s="1497" t="s">
        <v>1592</v>
      </c>
      <c r="K48" s="1495"/>
      <c r="L48" s="1495"/>
      <c r="M48" s="754"/>
      <c r="N48" s="611"/>
      <c r="O48" s="611"/>
      <c r="P48" s="611"/>
      <c r="Q48" s="611"/>
      <c r="R48" s="611"/>
      <c r="S48" s="611"/>
      <c r="T48" s="611"/>
      <c r="U48" s="611"/>
      <c r="V48" s="611"/>
      <c r="W48" s="611"/>
      <c r="X48" s="611"/>
      <c r="Y48" s="611"/>
      <c r="Z48" s="611"/>
      <c r="AA48">
        <f>IF(AND('09 App'!C48&gt;Tmin, NOT('09 App'!$I48="")),'09 App'!$I48,0)</f>
        <v>0</v>
      </c>
      <c r="AB48">
        <f>IF(AND('09 App'!D48&gt;Tmin, NOT('09 App'!$I48="")),'09 App'!$I48,0)</f>
        <v>0</v>
      </c>
      <c r="AC48">
        <f>IF(AND('09 App'!E48&gt;Tmin, NOT('09 App'!$I48="")),'09 App'!$I48,0)</f>
        <v>0</v>
      </c>
      <c r="AD48">
        <f>IF(AND('09 App'!F48&gt;Tmin, NOT('09 App'!$I48="")),'09 App'!$I48,0)</f>
        <v>0</v>
      </c>
      <c r="AE48">
        <f>IF(AND('09 App'!C48&lt;Tmax, NOT('09 App'!$H48="")),'09 App'!$H48,4)</f>
        <v>3</v>
      </c>
      <c r="AF48">
        <f>IF(AND('09 App'!D48&lt;Tmax, NOT('09 App'!$H48="")),'09 App'!$H48,4)</f>
        <v>3</v>
      </c>
      <c r="AG48">
        <f>IF(AND('09 App'!E48&lt;Tmax, NOT('09 App'!$H48="")),'09 App'!$H48,4)</f>
        <v>3</v>
      </c>
      <c r="AH48">
        <f>IF(AND('09 App'!F48&lt;Tmax, NOT('09 App'!$H48="")),'09 App'!$H48,4)</f>
        <v>3</v>
      </c>
      <c r="AI48"/>
    </row>
    <row r="49" spans="1:35" s="648" customFormat="1" ht="83.25" customHeight="1" outlineLevel="2" x14ac:dyDescent="0.2">
      <c r="A49" s="601" t="s">
        <v>1187</v>
      </c>
      <c r="B49" s="752" t="s">
        <v>2878</v>
      </c>
      <c r="C49" s="751"/>
      <c r="D49" s="747"/>
      <c r="E49" s="747"/>
      <c r="F49" s="747"/>
      <c r="G49" s="1497">
        <v>4</v>
      </c>
      <c r="H49" s="1497">
        <v>3</v>
      </c>
      <c r="I49" s="1497"/>
      <c r="J49" s="1497" t="s">
        <v>2329</v>
      </c>
      <c r="K49" s="1495"/>
      <c r="L49" s="1495"/>
      <c r="M49" s="754"/>
      <c r="N49" s="611"/>
      <c r="O49" s="611"/>
      <c r="P49" s="611"/>
      <c r="Q49" s="611"/>
      <c r="R49" s="611"/>
      <c r="S49" s="611"/>
      <c r="T49" s="611"/>
      <c r="U49" s="611"/>
      <c r="V49" s="611"/>
      <c r="W49" s="611"/>
      <c r="X49" s="611"/>
      <c r="Y49" s="611"/>
      <c r="Z49" s="611"/>
      <c r="AA49">
        <f>IF(AND('09 App'!C49&gt;Tmin, NOT('09 App'!$I49="")),'09 App'!$I49,0)</f>
        <v>0</v>
      </c>
      <c r="AB49">
        <f>IF(AND('09 App'!D49&gt;Tmin, NOT('09 App'!$I49="")),'09 App'!$I49,0)</f>
        <v>0</v>
      </c>
      <c r="AC49">
        <f>IF(AND('09 App'!E49&gt;Tmin, NOT('09 App'!$I49="")),'09 App'!$I49,0)</f>
        <v>0</v>
      </c>
      <c r="AD49">
        <f>IF(AND('09 App'!F49&gt;Tmin, NOT('09 App'!$I49="")),'09 App'!$I49,0)</f>
        <v>0</v>
      </c>
      <c r="AE49">
        <f>IF(AND('09 App'!C49&lt;Tmax, NOT('09 App'!$H49="")),'09 App'!$H49,4)</f>
        <v>3</v>
      </c>
      <c r="AF49">
        <f>IF(AND('09 App'!D49&lt;Tmax, NOT('09 App'!$H49="")),'09 App'!$H49,4)</f>
        <v>3</v>
      </c>
      <c r="AG49">
        <f>IF(AND('09 App'!E49&lt;Tmax, NOT('09 App'!$H49="")),'09 App'!$H49,4)</f>
        <v>3</v>
      </c>
      <c r="AH49">
        <f>IF(AND('09 App'!F49&lt;Tmax, NOT('09 App'!$H49="")),'09 App'!$H49,4)</f>
        <v>3</v>
      </c>
      <c r="AI49"/>
    </row>
    <row r="50" spans="1:35" ht="22.5" outlineLevel="2" x14ac:dyDescent="0.2">
      <c r="A50" s="601" t="s">
        <v>1188</v>
      </c>
      <c r="B50" s="752" t="s">
        <v>4787</v>
      </c>
      <c r="C50" s="751"/>
      <c r="D50" s="747"/>
      <c r="E50" s="747"/>
      <c r="F50" s="747"/>
      <c r="G50" s="1497">
        <v>4</v>
      </c>
      <c r="H50" s="1497">
        <v>2</v>
      </c>
      <c r="I50" s="1496"/>
      <c r="J50" s="1497" t="s">
        <v>1592</v>
      </c>
      <c r="K50" s="1495"/>
      <c r="L50" s="1495"/>
      <c r="M50" s="754"/>
      <c r="AA50">
        <f>IF(AND('09 App'!C50&gt;Tmin, NOT('09 App'!$I50="")),'09 App'!$I50,0)</f>
        <v>0</v>
      </c>
      <c r="AB50">
        <f>IF(AND('09 App'!D50&gt;Tmin, NOT('09 App'!$I50="")),'09 App'!$I50,0)</f>
        <v>0</v>
      </c>
      <c r="AC50">
        <f>IF(AND('09 App'!E50&gt;Tmin, NOT('09 App'!$I50="")),'09 App'!$I50,0)</f>
        <v>0</v>
      </c>
      <c r="AD50">
        <f>IF(AND('09 App'!F50&gt;Tmin, NOT('09 App'!$I50="")),'09 App'!$I50,0)</f>
        <v>0</v>
      </c>
      <c r="AE50">
        <f>IF(AND('09 App'!C50&lt;Tmax, NOT('09 App'!$H50="")),'09 App'!$H50,4)</f>
        <v>2</v>
      </c>
      <c r="AF50">
        <f>IF(AND('09 App'!D50&lt;Tmax, NOT('09 App'!$H50="")),'09 App'!$H50,4)</f>
        <v>2</v>
      </c>
      <c r="AG50">
        <f>IF(AND('09 App'!E50&lt;Tmax, NOT('09 App'!$H50="")),'09 App'!$H50,4)</f>
        <v>2</v>
      </c>
      <c r="AH50">
        <f>IF(AND('09 App'!F50&lt;Tmax, NOT('09 App'!$H50="")),'09 App'!$H50,4)</f>
        <v>2</v>
      </c>
      <c r="AI50"/>
    </row>
    <row r="51" spans="1:35" ht="22.5" outlineLevel="2" x14ac:dyDescent="0.2">
      <c r="A51" s="601" t="s">
        <v>1189</v>
      </c>
      <c r="B51" s="752" t="s">
        <v>2662</v>
      </c>
      <c r="C51" s="751"/>
      <c r="D51" s="747"/>
      <c r="E51" s="747"/>
      <c r="F51" s="747"/>
      <c r="G51" s="1497">
        <v>4</v>
      </c>
      <c r="H51" s="1497">
        <v>2</v>
      </c>
      <c r="I51" s="1496"/>
      <c r="J51" s="1497" t="s">
        <v>2329</v>
      </c>
      <c r="K51" s="1495"/>
      <c r="L51" s="1495"/>
      <c r="M51" s="754"/>
      <c r="AA51">
        <f>IF(AND('09 App'!C51&gt;Tmin, NOT('09 App'!$I51="")),'09 App'!$I51,0)</f>
        <v>0</v>
      </c>
      <c r="AB51">
        <f>IF(AND('09 App'!D51&gt;Tmin, NOT('09 App'!$I51="")),'09 App'!$I51,0)</f>
        <v>0</v>
      </c>
      <c r="AC51">
        <f>IF(AND('09 App'!E51&gt;Tmin, NOT('09 App'!$I51="")),'09 App'!$I51,0)</f>
        <v>0</v>
      </c>
      <c r="AD51">
        <f>IF(AND('09 App'!F51&gt;Tmin, NOT('09 App'!$I51="")),'09 App'!$I51,0)</f>
        <v>0</v>
      </c>
      <c r="AE51">
        <f>IF(AND('09 App'!C51&lt;Tmax, NOT('09 App'!$H51="")),'09 App'!$H51,4)</f>
        <v>2</v>
      </c>
      <c r="AF51">
        <f>IF(AND('09 App'!D51&lt;Tmax, NOT('09 App'!$H51="")),'09 App'!$H51,4)</f>
        <v>2</v>
      </c>
      <c r="AG51">
        <f>IF(AND('09 App'!E51&lt;Tmax, NOT('09 App'!$H51="")),'09 App'!$H51,4)</f>
        <v>2</v>
      </c>
      <c r="AH51">
        <f>IF(AND('09 App'!F51&lt;Tmax, NOT('09 App'!$H51="")),'09 App'!$H51,4)</f>
        <v>2</v>
      </c>
      <c r="AI51"/>
    </row>
    <row r="52" spans="1:35" ht="40.5" customHeight="1" outlineLevel="2" x14ac:dyDescent="0.2">
      <c r="A52" s="601" t="s">
        <v>1190</v>
      </c>
      <c r="B52" s="752" t="s">
        <v>1013</v>
      </c>
      <c r="C52" s="751"/>
      <c r="D52" s="747"/>
      <c r="E52" s="747"/>
      <c r="F52" s="747"/>
      <c r="G52" s="1497">
        <v>4</v>
      </c>
      <c r="H52" s="1497">
        <v>3</v>
      </c>
      <c r="I52" s="1496"/>
      <c r="J52" s="1497" t="s">
        <v>2349</v>
      </c>
      <c r="K52" s="1495"/>
      <c r="L52" s="1495"/>
      <c r="M52" s="754"/>
      <c r="AA52">
        <f>IF(AND('09 App'!C52&gt;Tmin, NOT('09 App'!$I52="")),'09 App'!$I52,0)</f>
        <v>0</v>
      </c>
      <c r="AB52">
        <f>IF(AND('09 App'!D52&gt;Tmin, NOT('09 App'!$I52="")),'09 App'!$I52,0)</f>
        <v>0</v>
      </c>
      <c r="AC52">
        <f>IF(AND('09 App'!E52&gt;Tmin, NOT('09 App'!$I52="")),'09 App'!$I52,0)</f>
        <v>0</v>
      </c>
      <c r="AD52">
        <f>IF(AND('09 App'!F52&gt;Tmin, NOT('09 App'!$I52="")),'09 App'!$I52,0)</f>
        <v>0</v>
      </c>
      <c r="AE52">
        <f>IF(AND('09 App'!C52&lt;Tmax, NOT('09 App'!$H52="")),'09 App'!$H52,4)</f>
        <v>3</v>
      </c>
      <c r="AF52">
        <f>IF(AND('09 App'!D52&lt;Tmax, NOT('09 App'!$H52="")),'09 App'!$H52,4)</f>
        <v>3</v>
      </c>
      <c r="AG52">
        <f>IF(AND('09 App'!E52&lt;Tmax, NOT('09 App'!$H52="")),'09 App'!$H52,4)</f>
        <v>3</v>
      </c>
      <c r="AH52">
        <f>IF(AND('09 App'!F52&lt;Tmax, NOT('09 App'!$H52="")),'09 App'!$H52,4)</f>
        <v>3</v>
      </c>
      <c r="AI52"/>
    </row>
    <row r="53" spans="1:35" s="648" customFormat="1" x14ac:dyDescent="0.2">
      <c r="A53" s="602" t="s">
        <v>5233</v>
      </c>
      <c r="B53" s="756" t="s">
        <v>5234</v>
      </c>
      <c r="C53" s="751"/>
      <c r="D53" s="747"/>
      <c r="E53" s="747"/>
      <c r="F53" s="747"/>
      <c r="G53" s="1497"/>
      <c r="H53" s="1497"/>
      <c r="I53" s="1497"/>
      <c r="J53" s="1497"/>
      <c r="K53" s="1495"/>
      <c r="L53" s="1495"/>
      <c r="M53" s="748"/>
      <c r="N53" s="611"/>
      <c r="O53" s="611"/>
      <c r="P53" s="611"/>
      <c r="Q53" s="611"/>
      <c r="R53" s="611"/>
      <c r="S53" s="611"/>
      <c r="T53" s="611"/>
      <c r="U53" s="611"/>
      <c r="V53" s="611"/>
      <c r="W53" s="611"/>
      <c r="X53" s="611"/>
      <c r="Y53" s="611"/>
      <c r="Z53" s="611"/>
      <c r="AA53"/>
      <c r="AB53"/>
      <c r="AC53"/>
      <c r="AD53"/>
      <c r="AE53"/>
      <c r="AF53"/>
      <c r="AG53"/>
      <c r="AH53"/>
      <c r="AI53"/>
    </row>
    <row r="54" spans="1:35" s="648" customFormat="1" outlineLevel="1" x14ac:dyDescent="0.2">
      <c r="A54" s="749" t="s">
        <v>3663</v>
      </c>
      <c r="B54" s="750" t="s">
        <v>3664</v>
      </c>
      <c r="C54" s="751"/>
      <c r="D54" s="747"/>
      <c r="E54" s="747"/>
      <c r="F54" s="747"/>
      <c r="G54" s="1497"/>
      <c r="H54" s="1497"/>
      <c r="I54" s="1497"/>
      <c r="J54" s="1497"/>
      <c r="K54" s="1495"/>
      <c r="L54" s="1495"/>
      <c r="M54" s="748"/>
      <c r="N54" s="611"/>
      <c r="O54" s="611"/>
      <c r="P54" s="611"/>
      <c r="Q54" s="611"/>
      <c r="R54" s="611"/>
      <c r="S54" s="611"/>
      <c r="T54" s="611"/>
      <c r="U54" s="611"/>
      <c r="V54" s="611"/>
      <c r="W54" s="611"/>
      <c r="X54" s="611"/>
      <c r="Y54" s="611"/>
      <c r="Z54" s="611"/>
      <c r="AA54"/>
      <c r="AB54"/>
      <c r="AC54"/>
      <c r="AD54"/>
      <c r="AE54"/>
      <c r="AF54"/>
      <c r="AG54"/>
      <c r="AH54"/>
      <c r="AI54"/>
    </row>
    <row r="55" spans="1:35" s="648" customFormat="1" ht="22.5" outlineLevel="2" x14ac:dyDescent="0.2">
      <c r="A55" s="601" t="s">
        <v>5235</v>
      </c>
      <c r="B55" s="752" t="s">
        <v>5236</v>
      </c>
      <c r="C55" s="751"/>
      <c r="D55" s="747"/>
      <c r="E55" s="747"/>
      <c r="F55" s="747"/>
      <c r="G55" s="1497">
        <v>4</v>
      </c>
      <c r="H55" s="1497"/>
      <c r="I55" s="1497"/>
      <c r="J55" s="1497" t="s">
        <v>1592</v>
      </c>
      <c r="K55" s="1495"/>
      <c r="L55" s="1495"/>
      <c r="M55" s="748"/>
      <c r="N55" s="611"/>
      <c r="O55" s="611"/>
      <c r="P55" s="611"/>
      <c r="Q55" s="611"/>
      <c r="R55" s="611"/>
      <c r="S55" s="611"/>
      <c r="T55" s="611"/>
      <c r="U55" s="611"/>
      <c r="V55" s="611"/>
      <c r="W55" s="611"/>
      <c r="X55" s="611"/>
      <c r="Y55" s="611"/>
      <c r="Z55" s="611"/>
      <c r="AA55">
        <f>IF(AND('09 App'!C55&gt;Tmin, NOT('09 App'!$I55="")),'09 App'!$I55,0)</f>
        <v>0</v>
      </c>
      <c r="AB55">
        <f>IF(AND('09 App'!D55&gt;Tmin, NOT('09 App'!$I55="")),'09 App'!$I55,0)</f>
        <v>0</v>
      </c>
      <c r="AC55">
        <f>IF(AND('09 App'!E55&gt;Tmin, NOT('09 App'!$I55="")),'09 App'!$I55,0)</f>
        <v>0</v>
      </c>
      <c r="AD55">
        <f>IF(AND('09 App'!F55&gt;Tmin, NOT('09 App'!$I55="")),'09 App'!$I55,0)</f>
        <v>0</v>
      </c>
      <c r="AE55">
        <f>IF(AND('09 App'!C55&lt;Tmax, NOT('09 App'!$H55="")),'09 App'!$H55,4)</f>
        <v>4</v>
      </c>
      <c r="AF55">
        <f>IF(AND('09 App'!D55&lt;Tmax, NOT('09 App'!$H55="")),'09 App'!$H55,4)</f>
        <v>4</v>
      </c>
      <c r="AG55">
        <f>IF(AND('09 App'!E55&lt;Tmax, NOT('09 App'!$H55="")),'09 App'!$H55,4)</f>
        <v>4</v>
      </c>
      <c r="AH55">
        <f>IF(AND('09 App'!F55&lt;Tmax, NOT('09 App'!$H55="")),'09 App'!$H55,4)</f>
        <v>4</v>
      </c>
      <c r="AI55"/>
    </row>
    <row r="56" spans="1:35" s="648" customFormat="1" outlineLevel="2" x14ac:dyDescent="0.2">
      <c r="A56" s="601" t="s">
        <v>5237</v>
      </c>
      <c r="B56" s="752" t="s">
        <v>2912</v>
      </c>
      <c r="C56" s="751"/>
      <c r="D56" s="747"/>
      <c r="E56" s="747"/>
      <c r="F56" s="747"/>
      <c r="G56" s="1497">
        <v>4</v>
      </c>
      <c r="H56" s="1497">
        <v>2</v>
      </c>
      <c r="I56" s="1497"/>
      <c r="J56" s="1497" t="s">
        <v>2329</v>
      </c>
      <c r="K56" s="1495"/>
      <c r="L56" s="1495"/>
      <c r="M56" s="748"/>
      <c r="N56" s="611"/>
      <c r="O56" s="611"/>
      <c r="P56" s="611"/>
      <c r="Q56" s="611"/>
      <c r="R56" s="611"/>
      <c r="S56" s="611"/>
      <c r="T56" s="611"/>
      <c r="U56" s="611"/>
      <c r="V56" s="611"/>
      <c r="W56" s="611"/>
      <c r="X56" s="611"/>
      <c r="Y56" s="611"/>
      <c r="Z56" s="611"/>
      <c r="AA56">
        <f>IF(AND('09 App'!C56&gt;Tmin, NOT('09 App'!$I56="")),'09 App'!$I56,0)</f>
        <v>0</v>
      </c>
      <c r="AB56">
        <f>IF(AND('09 App'!D56&gt;Tmin, NOT('09 App'!$I56="")),'09 App'!$I56,0)</f>
        <v>0</v>
      </c>
      <c r="AC56">
        <f>IF(AND('09 App'!E56&gt;Tmin, NOT('09 App'!$I56="")),'09 App'!$I56,0)</f>
        <v>0</v>
      </c>
      <c r="AD56">
        <f>IF(AND('09 App'!F56&gt;Tmin, NOT('09 App'!$I56="")),'09 App'!$I56,0)</f>
        <v>0</v>
      </c>
      <c r="AE56">
        <f>IF(AND('09 App'!C56&lt;Tmax, NOT('09 App'!$H56="")),'09 App'!$H56,4)</f>
        <v>2</v>
      </c>
      <c r="AF56">
        <f>IF(AND('09 App'!D56&lt;Tmax, NOT('09 App'!$H56="")),'09 App'!$H56,4)</f>
        <v>2</v>
      </c>
      <c r="AG56">
        <f>IF(AND('09 App'!E56&lt;Tmax, NOT('09 App'!$H56="")),'09 App'!$H56,4)</f>
        <v>2</v>
      </c>
      <c r="AH56">
        <f>IF(AND('09 App'!F56&lt;Tmax, NOT('09 App'!$H56="")),'09 App'!$H56,4)</f>
        <v>2</v>
      </c>
      <c r="AI56"/>
    </row>
    <row r="57" spans="1:35" s="648" customFormat="1" ht="39.75" customHeight="1" outlineLevel="2" x14ac:dyDescent="0.2">
      <c r="A57" s="601" t="s">
        <v>2913</v>
      </c>
      <c r="B57" s="752" t="s">
        <v>3493</v>
      </c>
      <c r="C57" s="751"/>
      <c r="D57" s="747"/>
      <c r="E57" s="747"/>
      <c r="F57" s="747"/>
      <c r="G57" s="1497">
        <v>4</v>
      </c>
      <c r="H57" s="1497">
        <v>2</v>
      </c>
      <c r="I57" s="1497"/>
      <c r="J57" s="1497" t="s">
        <v>2329</v>
      </c>
      <c r="K57" s="1495"/>
      <c r="L57" s="1495"/>
      <c r="M57" s="748"/>
      <c r="N57" s="611"/>
      <c r="O57" s="611"/>
      <c r="P57" s="611"/>
      <c r="Q57" s="611"/>
      <c r="R57" s="611"/>
      <c r="S57" s="611"/>
      <c r="T57" s="611"/>
      <c r="U57" s="611"/>
      <c r="V57" s="611"/>
      <c r="W57" s="611"/>
      <c r="X57" s="611"/>
      <c r="Y57" s="611"/>
      <c r="Z57" s="611"/>
      <c r="AA57">
        <f>IF(AND('09 App'!C57&gt;Tmin, NOT('09 App'!$I57="")),'09 App'!$I57,0)</f>
        <v>0</v>
      </c>
      <c r="AB57">
        <f>IF(AND('09 App'!D57&gt;Tmin, NOT('09 App'!$I57="")),'09 App'!$I57,0)</f>
        <v>0</v>
      </c>
      <c r="AC57">
        <f>IF(AND('09 App'!E57&gt;Tmin, NOT('09 App'!$I57="")),'09 App'!$I57,0)</f>
        <v>0</v>
      </c>
      <c r="AD57">
        <f>IF(AND('09 App'!F57&gt;Tmin, NOT('09 App'!$I57="")),'09 App'!$I57,0)</f>
        <v>0</v>
      </c>
      <c r="AE57">
        <f>IF(AND('09 App'!C57&lt;Tmax, NOT('09 App'!$H57="")),'09 App'!$H57,4)</f>
        <v>2</v>
      </c>
      <c r="AF57">
        <f>IF(AND('09 App'!D57&lt;Tmax, NOT('09 App'!$H57="")),'09 App'!$H57,4)</f>
        <v>2</v>
      </c>
      <c r="AG57">
        <f>IF(AND('09 App'!E57&lt;Tmax, NOT('09 App'!$H57="")),'09 App'!$H57,4)</f>
        <v>2</v>
      </c>
      <c r="AH57">
        <f>IF(AND('09 App'!F57&lt;Tmax, NOT('09 App'!$H57="")),'09 App'!$H57,4)</f>
        <v>2</v>
      </c>
      <c r="AI57"/>
    </row>
    <row r="58" spans="1:35" s="648" customFormat="1" ht="22.5" outlineLevel="2" x14ac:dyDescent="0.2">
      <c r="A58" s="601" t="s">
        <v>2914</v>
      </c>
      <c r="B58" s="752" t="s">
        <v>981</v>
      </c>
      <c r="C58" s="751"/>
      <c r="D58" s="747"/>
      <c r="E58" s="747"/>
      <c r="F58" s="747"/>
      <c r="G58" s="1497">
        <v>4</v>
      </c>
      <c r="H58" s="1497">
        <v>3</v>
      </c>
      <c r="I58" s="1497"/>
      <c r="J58" s="1497" t="s">
        <v>2349</v>
      </c>
      <c r="K58" s="1495"/>
      <c r="L58" s="1495"/>
      <c r="M58" s="748"/>
      <c r="N58" s="611"/>
      <c r="O58" s="611"/>
      <c r="P58" s="611"/>
      <c r="Q58" s="611"/>
      <c r="R58" s="611"/>
      <c r="S58" s="611"/>
      <c r="T58" s="611"/>
      <c r="U58" s="611"/>
      <c r="V58" s="611"/>
      <c r="W58" s="611"/>
      <c r="X58" s="611"/>
      <c r="Y58" s="611"/>
      <c r="Z58" s="611"/>
      <c r="AA58">
        <f>IF(AND('09 App'!C58&gt;Tmin, NOT('09 App'!$I58="")),'09 App'!$I58,0)</f>
        <v>0</v>
      </c>
      <c r="AB58">
        <f>IF(AND('09 App'!D58&gt;Tmin, NOT('09 App'!$I58="")),'09 App'!$I58,0)</f>
        <v>0</v>
      </c>
      <c r="AC58">
        <f>IF(AND('09 App'!E58&gt;Tmin, NOT('09 App'!$I58="")),'09 App'!$I58,0)</f>
        <v>0</v>
      </c>
      <c r="AD58">
        <f>IF(AND('09 App'!F58&gt;Tmin, NOT('09 App'!$I58="")),'09 App'!$I58,0)</f>
        <v>0</v>
      </c>
      <c r="AE58">
        <f>IF(AND('09 App'!C58&lt;Tmax, NOT('09 App'!$H58="")),'09 App'!$H58,4)</f>
        <v>3</v>
      </c>
      <c r="AF58">
        <f>IF(AND('09 App'!D58&lt;Tmax, NOT('09 App'!$H58="")),'09 App'!$H58,4)</f>
        <v>3</v>
      </c>
      <c r="AG58">
        <f>IF(AND('09 App'!E58&lt;Tmax, NOT('09 App'!$H58="")),'09 App'!$H58,4)</f>
        <v>3</v>
      </c>
      <c r="AH58">
        <f>IF(AND('09 App'!F58&lt;Tmax, NOT('09 App'!$H58="")),'09 App'!$H58,4)</f>
        <v>3</v>
      </c>
      <c r="AI58"/>
    </row>
    <row r="59" spans="1:35" s="648" customFormat="1" ht="39.75" customHeight="1" outlineLevel="2" x14ac:dyDescent="0.2">
      <c r="A59" s="601" t="s">
        <v>2915</v>
      </c>
      <c r="B59" s="752" t="s">
        <v>6712</v>
      </c>
      <c r="C59" s="751"/>
      <c r="D59" s="747"/>
      <c r="E59" s="747"/>
      <c r="F59" s="747"/>
      <c r="G59" s="1497">
        <v>4</v>
      </c>
      <c r="H59" s="1497">
        <v>3</v>
      </c>
      <c r="I59" s="1497">
        <v>3</v>
      </c>
      <c r="J59" s="1497" t="s">
        <v>2107</v>
      </c>
      <c r="K59" s="1495"/>
      <c r="L59" s="1495"/>
      <c r="M59" s="748"/>
      <c r="N59" s="611"/>
      <c r="O59" s="611"/>
      <c r="P59" s="611"/>
      <c r="Q59" s="611"/>
      <c r="R59" s="611"/>
      <c r="S59" s="611"/>
      <c r="T59" s="611"/>
      <c r="U59" s="611"/>
      <c r="V59" s="611"/>
      <c r="W59" s="611"/>
      <c r="X59" s="611"/>
      <c r="Y59" s="611"/>
      <c r="Z59" s="611"/>
      <c r="AA59">
        <f>IF(AND('09 App'!C59&gt;Tmin, NOT('09 App'!$I59="")),'09 App'!$I59,0)</f>
        <v>0</v>
      </c>
      <c r="AB59">
        <f>IF(AND('09 App'!D59&gt;Tmin, NOT('09 App'!$I59="")),'09 App'!$I59,0)</f>
        <v>0</v>
      </c>
      <c r="AC59">
        <f>IF(AND('09 App'!E59&gt;Tmin, NOT('09 App'!$I59="")),'09 App'!$I59,0)</f>
        <v>0</v>
      </c>
      <c r="AD59">
        <f>IF(AND('09 App'!F59&gt;Tmin, NOT('09 App'!$I59="")),'09 App'!$I59,0)</f>
        <v>0</v>
      </c>
      <c r="AE59">
        <f>IF(AND('09 App'!C59&lt;Tmax, NOT('09 App'!$H59="")),'09 App'!$H59,4)</f>
        <v>3</v>
      </c>
      <c r="AF59">
        <f>IF(AND('09 App'!D59&lt;Tmax, NOT('09 App'!$H59="")),'09 App'!$H59,4)</f>
        <v>3</v>
      </c>
      <c r="AG59">
        <f>IF(AND('09 App'!E59&lt;Tmax, NOT('09 App'!$H59="")),'09 App'!$H59,4)</f>
        <v>3</v>
      </c>
      <c r="AH59">
        <f>IF(AND('09 App'!F59&lt;Tmax, NOT('09 App'!$H59="")),'09 App'!$H59,4)</f>
        <v>3</v>
      </c>
      <c r="AI59"/>
    </row>
    <row r="60" spans="1:35" s="648" customFormat="1" ht="22.5" outlineLevel="2" x14ac:dyDescent="0.2">
      <c r="A60" s="601" t="s">
        <v>2916</v>
      </c>
      <c r="B60" s="752" t="s">
        <v>4507</v>
      </c>
      <c r="C60" s="751"/>
      <c r="D60" s="747"/>
      <c r="E60" s="747"/>
      <c r="F60" s="747"/>
      <c r="G60" s="1497">
        <v>4</v>
      </c>
      <c r="H60" s="1497">
        <v>2</v>
      </c>
      <c r="I60" s="1497"/>
      <c r="J60" s="1497" t="s">
        <v>2107</v>
      </c>
      <c r="K60" s="1495"/>
      <c r="L60" s="1495"/>
      <c r="M60" s="748"/>
      <c r="N60" s="611"/>
      <c r="O60" s="611"/>
      <c r="P60" s="611"/>
      <c r="Q60" s="611"/>
      <c r="R60" s="611"/>
      <c r="S60" s="611"/>
      <c r="T60" s="611"/>
      <c r="U60" s="611"/>
      <c r="V60" s="611"/>
      <c r="W60" s="611"/>
      <c r="X60" s="611"/>
      <c r="Y60" s="611"/>
      <c r="Z60" s="611"/>
      <c r="AA60">
        <f>IF(AND('09 App'!C60&gt;Tmin, NOT('09 App'!$I60="")),'09 App'!$I60,0)</f>
        <v>0</v>
      </c>
      <c r="AB60">
        <f>IF(AND('09 App'!D60&gt;Tmin, NOT('09 App'!$I60="")),'09 App'!$I60,0)</f>
        <v>0</v>
      </c>
      <c r="AC60">
        <f>IF(AND('09 App'!E60&gt;Tmin, NOT('09 App'!$I60="")),'09 App'!$I60,0)</f>
        <v>0</v>
      </c>
      <c r="AD60">
        <f>IF(AND('09 App'!F60&gt;Tmin, NOT('09 App'!$I60="")),'09 App'!$I60,0)</f>
        <v>0</v>
      </c>
      <c r="AE60">
        <f>IF(AND('09 App'!C60&lt;Tmax, NOT('09 App'!$H60="")),'09 App'!$H60,4)</f>
        <v>2</v>
      </c>
      <c r="AF60">
        <f>IF(AND('09 App'!D60&lt;Tmax, NOT('09 App'!$H60="")),'09 App'!$H60,4)</f>
        <v>2</v>
      </c>
      <c r="AG60">
        <f>IF(AND('09 App'!E60&lt;Tmax, NOT('09 App'!$H60="")),'09 App'!$H60,4)</f>
        <v>2</v>
      </c>
      <c r="AH60">
        <f>IF(AND('09 App'!F60&lt;Tmax, NOT('09 App'!$H60="")),'09 App'!$H60,4)</f>
        <v>2</v>
      </c>
      <c r="AI60"/>
    </row>
    <row r="61" spans="1:35" s="648" customFormat="1" outlineLevel="2" x14ac:dyDescent="0.2">
      <c r="A61" s="601" t="s">
        <v>2917</v>
      </c>
      <c r="B61" s="752" t="s">
        <v>6191</v>
      </c>
      <c r="C61" s="751"/>
      <c r="D61" s="747"/>
      <c r="E61" s="747"/>
      <c r="F61" s="747"/>
      <c r="G61" s="1497">
        <v>3</v>
      </c>
      <c r="H61" s="1497"/>
      <c r="I61" s="1497">
        <v>2</v>
      </c>
      <c r="J61" s="1497" t="s">
        <v>2107</v>
      </c>
      <c r="K61" s="1495"/>
      <c r="L61" s="1495"/>
      <c r="M61" s="748"/>
      <c r="N61" s="611"/>
      <c r="O61" s="611"/>
      <c r="P61" s="611"/>
      <c r="Q61" s="611"/>
      <c r="R61" s="611"/>
      <c r="S61" s="611"/>
      <c r="T61" s="611"/>
      <c r="U61" s="611"/>
      <c r="V61" s="611"/>
      <c r="W61" s="611"/>
      <c r="X61" s="611"/>
      <c r="Y61" s="611"/>
      <c r="Z61" s="611"/>
      <c r="AA61">
        <f>IF(AND('09 App'!C61&gt;Tmin, NOT('09 App'!$I61="")),'09 App'!$I61,0)</f>
        <v>0</v>
      </c>
      <c r="AB61">
        <f>IF(AND('09 App'!D61&gt;Tmin, NOT('09 App'!$I61="")),'09 App'!$I61,0)</f>
        <v>0</v>
      </c>
      <c r="AC61">
        <f>IF(AND('09 App'!E61&gt;Tmin, NOT('09 App'!$I61="")),'09 App'!$I61,0)</f>
        <v>0</v>
      </c>
      <c r="AD61">
        <f>IF(AND('09 App'!F61&gt;Tmin, NOT('09 App'!$I61="")),'09 App'!$I61,0)</f>
        <v>0</v>
      </c>
      <c r="AE61">
        <f>IF(AND('09 App'!C61&lt;Tmax, NOT('09 App'!$H61="")),'09 App'!$H61,4)</f>
        <v>4</v>
      </c>
      <c r="AF61">
        <f>IF(AND('09 App'!D61&lt;Tmax, NOT('09 App'!$H61="")),'09 App'!$H61,4)</f>
        <v>4</v>
      </c>
      <c r="AG61">
        <f>IF(AND('09 App'!E61&lt;Tmax, NOT('09 App'!$H61="")),'09 App'!$H61,4)</f>
        <v>4</v>
      </c>
      <c r="AH61">
        <f>IF(AND('09 App'!F61&lt;Tmax, NOT('09 App'!$H61="")),'09 App'!$H61,4)</f>
        <v>4</v>
      </c>
      <c r="AI61"/>
    </row>
    <row r="62" spans="1:35" s="648" customFormat="1" outlineLevel="2" x14ac:dyDescent="0.2">
      <c r="A62" s="601" t="s">
        <v>2918</v>
      </c>
      <c r="B62" s="752" t="s">
        <v>3058</v>
      </c>
      <c r="C62" s="751"/>
      <c r="D62" s="747"/>
      <c r="E62" s="747"/>
      <c r="F62" s="747"/>
      <c r="G62" s="1497">
        <v>4</v>
      </c>
      <c r="H62" s="1497">
        <v>3</v>
      </c>
      <c r="I62" s="1497"/>
      <c r="J62" s="1497" t="s">
        <v>2109</v>
      </c>
      <c r="K62" s="1495"/>
      <c r="L62" s="1495"/>
      <c r="M62" s="748"/>
      <c r="N62" s="611"/>
      <c r="O62" s="611"/>
      <c r="P62" s="611"/>
      <c r="Q62" s="611"/>
      <c r="R62" s="611"/>
      <c r="S62" s="611"/>
      <c r="T62" s="611"/>
      <c r="U62" s="611"/>
      <c r="V62" s="611"/>
      <c r="W62" s="611"/>
      <c r="X62" s="611"/>
      <c r="Y62" s="611"/>
      <c r="Z62" s="611"/>
      <c r="AA62">
        <f>IF(AND('09 App'!C62&gt;Tmin, NOT('09 App'!$I62="")),'09 App'!$I62,0)</f>
        <v>0</v>
      </c>
      <c r="AB62">
        <f>IF(AND('09 App'!D62&gt;Tmin, NOT('09 App'!$I62="")),'09 App'!$I62,0)</f>
        <v>0</v>
      </c>
      <c r="AC62">
        <f>IF(AND('09 App'!E62&gt;Tmin, NOT('09 App'!$I62="")),'09 App'!$I62,0)</f>
        <v>0</v>
      </c>
      <c r="AD62">
        <f>IF(AND('09 App'!F62&gt;Tmin, NOT('09 App'!$I62="")),'09 App'!$I62,0)</f>
        <v>0</v>
      </c>
      <c r="AE62">
        <f>IF(AND('09 App'!C62&lt;Tmax, NOT('09 App'!$H62="")),'09 App'!$H62,4)</f>
        <v>3</v>
      </c>
      <c r="AF62">
        <f>IF(AND('09 App'!D62&lt;Tmax, NOT('09 App'!$H62="")),'09 App'!$H62,4)</f>
        <v>3</v>
      </c>
      <c r="AG62">
        <f>IF(AND('09 App'!E62&lt;Tmax, NOT('09 App'!$H62="")),'09 App'!$H62,4)</f>
        <v>3</v>
      </c>
      <c r="AH62">
        <f>IF(AND('09 App'!F62&lt;Tmax, NOT('09 App'!$H62="")),'09 App'!$H62,4)</f>
        <v>3</v>
      </c>
      <c r="AI62"/>
    </row>
    <row r="63" spans="1:35" s="648" customFormat="1" outlineLevel="1" x14ac:dyDescent="0.2">
      <c r="A63" s="749" t="s">
        <v>3665</v>
      </c>
      <c r="B63" s="750" t="s">
        <v>3666</v>
      </c>
      <c r="C63" s="751"/>
      <c r="D63" s="747"/>
      <c r="E63" s="747"/>
      <c r="F63" s="747"/>
      <c r="G63" s="1497"/>
      <c r="H63" s="1497"/>
      <c r="I63" s="1497"/>
      <c r="J63" s="1497"/>
      <c r="K63" s="1495"/>
      <c r="L63" s="1495"/>
      <c r="M63" s="748"/>
      <c r="N63" s="611"/>
      <c r="O63" s="611"/>
      <c r="P63" s="611"/>
      <c r="Q63" s="611"/>
      <c r="R63" s="611"/>
      <c r="S63" s="611"/>
      <c r="T63" s="611"/>
      <c r="U63" s="611"/>
      <c r="V63" s="611"/>
      <c r="W63" s="611"/>
      <c r="X63" s="611"/>
      <c r="Y63" s="611"/>
      <c r="Z63" s="611"/>
      <c r="AA63"/>
      <c r="AB63"/>
      <c r="AC63"/>
      <c r="AD63"/>
      <c r="AE63"/>
      <c r="AF63"/>
      <c r="AG63"/>
      <c r="AH63"/>
      <c r="AI63"/>
    </row>
    <row r="64" spans="1:35" s="648" customFormat="1" ht="22.5" outlineLevel="2" x14ac:dyDescent="0.2">
      <c r="A64" s="601" t="s">
        <v>3059</v>
      </c>
      <c r="B64" s="752" t="s">
        <v>1336</v>
      </c>
      <c r="C64" s="751"/>
      <c r="D64" s="747"/>
      <c r="E64" s="747"/>
      <c r="F64" s="747"/>
      <c r="G64" s="1497">
        <v>4</v>
      </c>
      <c r="H64" s="1497"/>
      <c r="I64" s="1497"/>
      <c r="J64" s="1497" t="s">
        <v>1592</v>
      </c>
      <c r="K64" s="1495"/>
      <c r="L64" s="1495" t="s">
        <v>7373</v>
      </c>
      <c r="M64" s="748"/>
      <c r="N64" s="611"/>
      <c r="O64" s="611"/>
      <c r="P64" s="611"/>
      <c r="Q64" s="611"/>
      <c r="R64" s="611"/>
      <c r="S64" s="611"/>
      <c r="T64" s="611"/>
      <c r="U64" s="611"/>
      <c r="V64" s="611"/>
      <c r="W64" s="611"/>
      <c r="X64" s="611"/>
      <c r="Y64" s="611"/>
      <c r="Z64" s="611"/>
      <c r="AA64">
        <f>IF(AND('09 App'!C64&gt;Tmin, NOT('09 App'!$I64="")),'09 App'!$I64,0)</f>
        <v>0</v>
      </c>
      <c r="AB64">
        <f>IF(AND('09 App'!D64&gt;Tmin, NOT('09 App'!$I64="")),'09 App'!$I64,0)</f>
        <v>0</v>
      </c>
      <c r="AC64">
        <f>IF(AND('09 App'!E64&gt;Tmin, NOT('09 App'!$I64="")),'09 App'!$I64,0)</f>
        <v>0</v>
      </c>
      <c r="AD64">
        <f>IF(AND('09 App'!F64&gt;Tmin, NOT('09 App'!$I64="")),'09 App'!$I64,0)</f>
        <v>0</v>
      </c>
      <c r="AE64">
        <f>IF(AND('09 App'!C64&lt;Tmax, NOT('09 App'!$H64="")),'09 App'!$H64,4)</f>
        <v>4</v>
      </c>
      <c r="AF64">
        <f>IF(AND('09 App'!D64&lt;Tmax, NOT('09 App'!$H64="")),'09 App'!$H64,4)</f>
        <v>4</v>
      </c>
      <c r="AG64">
        <f>IF(AND('09 App'!E64&lt;Tmax, NOT('09 App'!$H64="")),'09 App'!$H64,4)</f>
        <v>4</v>
      </c>
      <c r="AH64">
        <f>IF(AND('09 App'!F64&lt;Tmax, NOT('09 App'!$H64="")),'09 App'!$H64,4)</f>
        <v>4</v>
      </c>
      <c r="AI64"/>
    </row>
    <row r="65" spans="1:35" s="648" customFormat="1" outlineLevel="2" x14ac:dyDescent="0.2">
      <c r="A65" s="601" t="s">
        <v>1337</v>
      </c>
      <c r="B65" s="752" t="s">
        <v>2912</v>
      </c>
      <c r="C65" s="751"/>
      <c r="D65" s="747"/>
      <c r="E65" s="747"/>
      <c r="F65" s="747"/>
      <c r="G65" s="1497">
        <v>4</v>
      </c>
      <c r="H65" s="1497">
        <v>2</v>
      </c>
      <c r="I65" s="1497"/>
      <c r="J65" s="1497" t="s">
        <v>2329</v>
      </c>
      <c r="K65" s="1495"/>
      <c r="L65" s="1495" t="s">
        <v>7373</v>
      </c>
      <c r="M65" s="748"/>
      <c r="N65" s="611"/>
      <c r="O65" s="611"/>
      <c r="P65" s="611"/>
      <c r="Q65" s="611"/>
      <c r="R65" s="611"/>
      <c r="S65" s="611"/>
      <c r="T65" s="611"/>
      <c r="U65" s="611"/>
      <c r="V65" s="611"/>
      <c r="W65" s="611"/>
      <c r="X65" s="611"/>
      <c r="Y65" s="611"/>
      <c r="Z65" s="611"/>
      <c r="AA65">
        <f>IF(AND('09 App'!C65&gt;Tmin, NOT('09 App'!$I65="")),'09 App'!$I65,0)</f>
        <v>0</v>
      </c>
      <c r="AB65">
        <f>IF(AND('09 App'!D65&gt;Tmin, NOT('09 App'!$I65="")),'09 App'!$I65,0)</f>
        <v>0</v>
      </c>
      <c r="AC65">
        <f>IF(AND('09 App'!E65&gt;Tmin, NOT('09 App'!$I65="")),'09 App'!$I65,0)</f>
        <v>0</v>
      </c>
      <c r="AD65">
        <f>IF(AND('09 App'!F65&gt;Tmin, NOT('09 App'!$I65="")),'09 App'!$I65,0)</f>
        <v>0</v>
      </c>
      <c r="AE65">
        <f>IF(AND('09 App'!C65&lt;Tmax, NOT('09 App'!$H65="")),'09 App'!$H65,4)</f>
        <v>2</v>
      </c>
      <c r="AF65">
        <f>IF(AND('09 App'!D65&lt;Tmax, NOT('09 App'!$H65="")),'09 App'!$H65,4)</f>
        <v>2</v>
      </c>
      <c r="AG65">
        <f>IF(AND('09 App'!E65&lt;Tmax, NOT('09 App'!$H65="")),'09 App'!$H65,4)</f>
        <v>2</v>
      </c>
      <c r="AH65">
        <f>IF(AND('09 App'!F65&lt;Tmax, NOT('09 App'!$H65="")),'09 App'!$H65,4)</f>
        <v>2</v>
      </c>
      <c r="AI65"/>
    </row>
    <row r="66" spans="1:35" s="648" customFormat="1" ht="37.5" customHeight="1" outlineLevel="2" x14ac:dyDescent="0.2">
      <c r="A66" s="601" t="s">
        <v>1338</v>
      </c>
      <c r="B66" s="752" t="s">
        <v>3493</v>
      </c>
      <c r="C66" s="751"/>
      <c r="D66" s="747"/>
      <c r="E66" s="747"/>
      <c r="F66" s="747"/>
      <c r="G66" s="1497">
        <v>4</v>
      </c>
      <c r="H66" s="1497">
        <v>2</v>
      </c>
      <c r="I66" s="1497"/>
      <c r="J66" s="1497" t="s">
        <v>1592</v>
      </c>
      <c r="K66" s="1495"/>
      <c r="L66" s="1495" t="s">
        <v>7373</v>
      </c>
      <c r="M66" s="748"/>
      <c r="N66" s="611"/>
      <c r="O66" s="611"/>
      <c r="P66" s="611"/>
      <c r="Q66" s="611"/>
      <c r="R66" s="611"/>
      <c r="S66" s="611"/>
      <c r="T66" s="611"/>
      <c r="U66" s="611"/>
      <c r="V66" s="611"/>
      <c r="W66" s="611"/>
      <c r="X66" s="611"/>
      <c r="Y66" s="611"/>
      <c r="Z66" s="611"/>
      <c r="AA66">
        <f>IF(AND('09 App'!C66&gt;Tmin, NOT('09 App'!$I66="")),'09 App'!$I66,0)</f>
        <v>0</v>
      </c>
      <c r="AB66">
        <f>IF(AND('09 App'!D66&gt;Tmin, NOT('09 App'!$I66="")),'09 App'!$I66,0)</f>
        <v>0</v>
      </c>
      <c r="AC66">
        <f>IF(AND('09 App'!E66&gt;Tmin, NOT('09 App'!$I66="")),'09 App'!$I66,0)</f>
        <v>0</v>
      </c>
      <c r="AD66">
        <f>IF(AND('09 App'!F66&gt;Tmin, NOT('09 App'!$I66="")),'09 App'!$I66,0)</f>
        <v>0</v>
      </c>
      <c r="AE66">
        <f>IF(AND('09 App'!C66&lt;Tmax, NOT('09 App'!$H66="")),'09 App'!$H66,4)</f>
        <v>2</v>
      </c>
      <c r="AF66">
        <f>IF(AND('09 App'!D66&lt;Tmax, NOT('09 App'!$H66="")),'09 App'!$H66,4)</f>
        <v>2</v>
      </c>
      <c r="AG66">
        <f>IF(AND('09 App'!E66&lt;Tmax, NOT('09 App'!$H66="")),'09 App'!$H66,4)</f>
        <v>2</v>
      </c>
      <c r="AH66">
        <f>IF(AND('09 App'!F66&lt;Tmax, NOT('09 App'!$H66="")),'09 App'!$H66,4)</f>
        <v>2</v>
      </c>
      <c r="AI66"/>
    </row>
    <row r="67" spans="1:35" s="648" customFormat="1" ht="22.5" outlineLevel="2" x14ac:dyDescent="0.2">
      <c r="A67" s="601" t="s">
        <v>1339</v>
      </c>
      <c r="B67" s="752" t="s">
        <v>981</v>
      </c>
      <c r="C67" s="751"/>
      <c r="D67" s="747"/>
      <c r="E67" s="747"/>
      <c r="F67" s="747"/>
      <c r="G67" s="1497">
        <v>4</v>
      </c>
      <c r="H67" s="1497">
        <v>3</v>
      </c>
      <c r="I67" s="1497"/>
      <c r="J67" s="1497" t="s">
        <v>2349</v>
      </c>
      <c r="K67" s="1495"/>
      <c r="L67" s="1495"/>
      <c r="M67" s="748"/>
      <c r="N67" s="611"/>
      <c r="O67" s="611"/>
      <c r="P67" s="611"/>
      <c r="Q67" s="611"/>
      <c r="R67" s="611"/>
      <c r="S67" s="611"/>
      <c r="T67" s="611"/>
      <c r="U67" s="611"/>
      <c r="V67" s="611"/>
      <c r="W67" s="611"/>
      <c r="X67" s="611"/>
      <c r="Y67" s="611"/>
      <c r="Z67" s="611"/>
      <c r="AA67">
        <f>IF(AND('09 App'!C67&gt;Tmin, NOT('09 App'!$I67="")),'09 App'!$I67,0)</f>
        <v>0</v>
      </c>
      <c r="AB67">
        <f>IF(AND('09 App'!D67&gt;Tmin, NOT('09 App'!$I67="")),'09 App'!$I67,0)</f>
        <v>0</v>
      </c>
      <c r="AC67">
        <f>IF(AND('09 App'!E67&gt;Tmin, NOT('09 App'!$I67="")),'09 App'!$I67,0)</f>
        <v>0</v>
      </c>
      <c r="AD67">
        <f>IF(AND('09 App'!F67&gt;Tmin, NOT('09 App'!$I67="")),'09 App'!$I67,0)</f>
        <v>0</v>
      </c>
      <c r="AE67">
        <f>IF(AND('09 App'!C67&lt;Tmax, NOT('09 App'!$H67="")),'09 App'!$H67,4)</f>
        <v>3</v>
      </c>
      <c r="AF67">
        <f>IF(AND('09 App'!D67&lt;Tmax, NOT('09 App'!$H67="")),'09 App'!$H67,4)</f>
        <v>3</v>
      </c>
      <c r="AG67">
        <f>IF(AND('09 App'!E67&lt;Tmax, NOT('09 App'!$H67="")),'09 App'!$H67,4)</f>
        <v>3</v>
      </c>
      <c r="AH67">
        <f>IF(AND('09 App'!F67&lt;Tmax, NOT('09 App'!$H67="")),'09 App'!$H67,4)</f>
        <v>3</v>
      </c>
      <c r="AI67"/>
    </row>
    <row r="68" spans="1:35" s="648" customFormat="1" ht="44.25" customHeight="1" outlineLevel="2" x14ac:dyDescent="0.2">
      <c r="A68" s="601" t="s">
        <v>1340</v>
      </c>
      <c r="B68" s="752" t="s">
        <v>5509</v>
      </c>
      <c r="C68" s="751"/>
      <c r="D68" s="747"/>
      <c r="E68" s="747"/>
      <c r="F68" s="755"/>
      <c r="G68" s="1497">
        <v>4</v>
      </c>
      <c r="H68" s="1497">
        <v>3</v>
      </c>
      <c r="I68" s="1497">
        <v>3</v>
      </c>
      <c r="J68" s="1497" t="s">
        <v>2107</v>
      </c>
      <c r="K68" s="1495"/>
      <c r="L68" s="1495"/>
      <c r="M68" s="748"/>
      <c r="N68" s="611"/>
      <c r="O68" s="611"/>
      <c r="P68" s="611"/>
      <c r="Q68" s="611"/>
      <c r="R68" s="611"/>
      <c r="S68" s="611"/>
      <c r="T68" s="611"/>
      <c r="U68" s="611"/>
      <c r="V68" s="611"/>
      <c r="W68" s="611"/>
      <c r="X68" s="611"/>
      <c r="Y68" s="611"/>
      <c r="Z68" s="611"/>
      <c r="AA68">
        <f>IF(AND('09 App'!C68&gt;Tmin, NOT('09 App'!$I68="")),'09 App'!$I68,0)</f>
        <v>0</v>
      </c>
      <c r="AB68">
        <f>IF(AND('09 App'!D68&gt;Tmin, NOT('09 App'!$I68="")),'09 App'!$I68,0)</f>
        <v>0</v>
      </c>
      <c r="AC68">
        <f>IF(AND('09 App'!E68&gt;Tmin, NOT('09 App'!$I68="")),'09 App'!$I68,0)</f>
        <v>0</v>
      </c>
      <c r="AD68">
        <f>IF(AND('09 App'!F68&gt;Tmin, NOT('09 App'!$I68="")),'09 App'!$I68,0)</f>
        <v>0</v>
      </c>
      <c r="AE68">
        <f>IF(AND('09 App'!C68&lt;Tmax, NOT('09 App'!$H68="")),'09 App'!$H68,4)</f>
        <v>3</v>
      </c>
      <c r="AF68">
        <f>IF(AND('09 App'!D68&lt;Tmax, NOT('09 App'!$H68="")),'09 App'!$H68,4)</f>
        <v>3</v>
      </c>
      <c r="AG68">
        <f>IF(AND('09 App'!E68&lt;Tmax, NOT('09 App'!$H68="")),'09 App'!$H68,4)</f>
        <v>3</v>
      </c>
      <c r="AH68">
        <f>IF(AND('09 App'!F68&lt;Tmax, NOT('09 App'!$H68="")),'09 App'!$H68,4)</f>
        <v>3</v>
      </c>
      <c r="AI68"/>
    </row>
    <row r="69" spans="1:35" s="648" customFormat="1" ht="22.5" outlineLevel="2" x14ac:dyDescent="0.2">
      <c r="A69" s="601" t="s">
        <v>1342</v>
      </c>
      <c r="B69" s="752" t="s">
        <v>4507</v>
      </c>
      <c r="C69" s="751"/>
      <c r="D69" s="747"/>
      <c r="E69" s="747"/>
      <c r="F69" s="747"/>
      <c r="G69" s="1497">
        <v>4</v>
      </c>
      <c r="H69" s="1497">
        <v>2</v>
      </c>
      <c r="I69" s="1497"/>
      <c r="J69" s="1497" t="s">
        <v>2107</v>
      </c>
      <c r="K69" s="1495"/>
      <c r="L69" s="1495"/>
      <c r="M69" s="748"/>
      <c r="N69" s="611"/>
      <c r="O69" s="611"/>
      <c r="P69" s="611"/>
      <c r="Q69" s="611"/>
      <c r="R69" s="611"/>
      <c r="S69" s="611"/>
      <c r="T69" s="611"/>
      <c r="U69" s="611"/>
      <c r="V69" s="611"/>
      <c r="W69" s="611"/>
      <c r="X69" s="611"/>
      <c r="Y69" s="611"/>
      <c r="Z69" s="611"/>
      <c r="AA69">
        <f>IF(AND('09 App'!C69&gt;Tmin, NOT('09 App'!$I69="")),'09 App'!$I69,0)</f>
        <v>0</v>
      </c>
      <c r="AB69">
        <f>IF(AND('09 App'!D69&gt;Tmin, NOT('09 App'!$I69="")),'09 App'!$I69,0)</f>
        <v>0</v>
      </c>
      <c r="AC69">
        <f>IF(AND('09 App'!E69&gt;Tmin, NOT('09 App'!$I69="")),'09 App'!$I69,0)</f>
        <v>0</v>
      </c>
      <c r="AD69">
        <f>IF(AND('09 App'!F69&gt;Tmin, NOT('09 App'!$I69="")),'09 App'!$I69,0)</f>
        <v>0</v>
      </c>
      <c r="AE69">
        <f>IF(AND('09 App'!C69&lt;Tmax, NOT('09 App'!$H69="")),'09 App'!$H69,4)</f>
        <v>2</v>
      </c>
      <c r="AF69">
        <f>IF(AND('09 App'!D69&lt;Tmax, NOT('09 App'!$H69="")),'09 App'!$H69,4)</f>
        <v>2</v>
      </c>
      <c r="AG69">
        <f>IF(AND('09 App'!E69&lt;Tmax, NOT('09 App'!$H69="")),'09 App'!$H69,4)</f>
        <v>2</v>
      </c>
      <c r="AH69">
        <f>IF(AND('09 App'!F69&lt;Tmax, NOT('09 App'!$H69="")),'09 App'!$H69,4)</f>
        <v>2</v>
      </c>
      <c r="AI69"/>
    </row>
    <row r="70" spans="1:35" s="648" customFormat="1" outlineLevel="2" x14ac:dyDescent="0.2">
      <c r="A70" s="601" t="s">
        <v>1343</v>
      </c>
      <c r="B70" s="752" t="s">
        <v>6191</v>
      </c>
      <c r="C70" s="751"/>
      <c r="D70" s="747"/>
      <c r="E70" s="747"/>
      <c r="F70" s="747"/>
      <c r="G70" s="1497">
        <v>3</v>
      </c>
      <c r="H70" s="1497"/>
      <c r="I70" s="1497">
        <v>2</v>
      </c>
      <c r="J70" s="1497" t="s">
        <v>2107</v>
      </c>
      <c r="K70" s="1495"/>
      <c r="L70" s="1495"/>
      <c r="M70" s="748"/>
      <c r="N70" s="611"/>
      <c r="O70" s="611"/>
      <c r="P70" s="611"/>
      <c r="Q70" s="611"/>
      <c r="R70" s="611"/>
      <c r="S70" s="611"/>
      <c r="T70" s="611"/>
      <c r="U70" s="611"/>
      <c r="V70" s="611"/>
      <c r="W70" s="611"/>
      <c r="X70" s="611"/>
      <c r="Y70" s="611"/>
      <c r="Z70" s="611"/>
      <c r="AA70">
        <f>IF(AND('09 App'!C70&gt;Tmin, NOT('09 App'!$I70="")),'09 App'!$I70,0)</f>
        <v>0</v>
      </c>
      <c r="AB70">
        <f>IF(AND('09 App'!D70&gt;Tmin, NOT('09 App'!$I70="")),'09 App'!$I70,0)</f>
        <v>0</v>
      </c>
      <c r="AC70">
        <f>IF(AND('09 App'!E70&gt;Tmin, NOT('09 App'!$I70="")),'09 App'!$I70,0)</f>
        <v>0</v>
      </c>
      <c r="AD70">
        <f>IF(AND('09 App'!F70&gt;Tmin, NOT('09 App'!$I70="")),'09 App'!$I70,0)</f>
        <v>0</v>
      </c>
      <c r="AE70">
        <f>IF(AND('09 App'!C70&lt;Tmax, NOT('09 App'!$H70="")),'09 App'!$H70,4)</f>
        <v>4</v>
      </c>
      <c r="AF70">
        <f>IF(AND('09 App'!D70&lt;Tmax, NOT('09 App'!$H70="")),'09 App'!$H70,4)</f>
        <v>4</v>
      </c>
      <c r="AG70">
        <f>IF(AND('09 App'!E70&lt;Tmax, NOT('09 App'!$H70="")),'09 App'!$H70,4)</f>
        <v>4</v>
      </c>
      <c r="AH70">
        <f>IF(AND('09 App'!F70&lt;Tmax, NOT('09 App'!$H70="")),'09 App'!$H70,4)</f>
        <v>4</v>
      </c>
      <c r="AI70"/>
    </row>
    <row r="71" spans="1:35" s="648" customFormat="1" outlineLevel="2" x14ac:dyDescent="0.2">
      <c r="A71" s="601" t="s">
        <v>1344</v>
      </c>
      <c r="B71" s="752" t="s">
        <v>3058</v>
      </c>
      <c r="C71" s="751"/>
      <c r="D71" s="747"/>
      <c r="E71" s="747"/>
      <c r="F71" s="747"/>
      <c r="G71" s="1497">
        <v>4</v>
      </c>
      <c r="H71" s="1497">
        <v>3</v>
      </c>
      <c r="I71" s="1497"/>
      <c r="J71" s="1497" t="s">
        <v>2109</v>
      </c>
      <c r="K71" s="1495"/>
      <c r="L71" s="1495"/>
      <c r="M71" s="748"/>
      <c r="N71" s="611"/>
      <c r="O71" s="611"/>
      <c r="P71" s="611"/>
      <c r="Q71" s="611"/>
      <c r="R71" s="611"/>
      <c r="S71" s="611"/>
      <c r="T71" s="611"/>
      <c r="U71" s="611"/>
      <c r="V71" s="611"/>
      <c r="W71" s="611"/>
      <c r="X71" s="611"/>
      <c r="Y71" s="611"/>
      <c r="Z71" s="611"/>
      <c r="AA71">
        <f>IF(AND('09 App'!C71&gt;Tmin, NOT('09 App'!$I71="")),'09 App'!$I71,0)</f>
        <v>0</v>
      </c>
      <c r="AB71">
        <f>IF(AND('09 App'!D71&gt;Tmin, NOT('09 App'!$I71="")),'09 App'!$I71,0)</f>
        <v>0</v>
      </c>
      <c r="AC71">
        <f>IF(AND('09 App'!E71&gt;Tmin, NOT('09 App'!$I71="")),'09 App'!$I71,0)</f>
        <v>0</v>
      </c>
      <c r="AD71">
        <f>IF(AND('09 App'!F71&gt;Tmin, NOT('09 App'!$I71="")),'09 App'!$I71,0)</f>
        <v>0</v>
      </c>
      <c r="AE71">
        <f>IF(AND('09 App'!C71&lt;Tmax, NOT('09 App'!$H71="")),'09 App'!$H71,4)</f>
        <v>3</v>
      </c>
      <c r="AF71">
        <f>IF(AND('09 App'!D71&lt;Tmax, NOT('09 App'!$H71="")),'09 App'!$H71,4)</f>
        <v>3</v>
      </c>
      <c r="AG71">
        <f>IF(AND('09 App'!E71&lt;Tmax, NOT('09 App'!$H71="")),'09 App'!$H71,4)</f>
        <v>3</v>
      </c>
      <c r="AH71">
        <f>IF(AND('09 App'!F71&lt;Tmax, NOT('09 App'!$H71="")),'09 App'!$H71,4)</f>
        <v>3</v>
      </c>
      <c r="AI71"/>
    </row>
    <row r="72" spans="1:35" s="648" customFormat="1" outlineLevel="1" x14ac:dyDescent="0.2">
      <c r="A72" s="749" t="s">
        <v>3667</v>
      </c>
      <c r="B72" s="750" t="s">
        <v>3668</v>
      </c>
      <c r="C72" s="751"/>
      <c r="D72" s="747"/>
      <c r="E72" s="747"/>
      <c r="F72" s="747"/>
      <c r="G72" s="1497"/>
      <c r="H72" s="1497"/>
      <c r="I72" s="1497"/>
      <c r="J72" s="1497"/>
      <c r="K72" s="1495"/>
      <c r="L72" s="1495"/>
      <c r="M72" s="748"/>
      <c r="N72" s="611"/>
      <c r="O72" s="611"/>
      <c r="P72" s="611"/>
      <c r="Q72" s="611"/>
      <c r="R72" s="611"/>
      <c r="S72" s="611"/>
      <c r="T72" s="611"/>
      <c r="U72" s="611"/>
      <c r="V72" s="611"/>
      <c r="W72" s="611"/>
      <c r="X72" s="611"/>
      <c r="Y72" s="611"/>
      <c r="Z72" s="611"/>
      <c r="AA72"/>
      <c r="AB72"/>
      <c r="AC72"/>
      <c r="AD72"/>
      <c r="AE72"/>
      <c r="AF72"/>
      <c r="AG72"/>
      <c r="AH72"/>
      <c r="AI72"/>
    </row>
    <row r="73" spans="1:35" s="648" customFormat="1" outlineLevel="2" x14ac:dyDescent="0.2">
      <c r="A73" s="601" t="s">
        <v>1345</v>
      </c>
      <c r="B73" s="752" t="s">
        <v>1382</v>
      </c>
      <c r="C73" s="751"/>
      <c r="D73" s="747"/>
      <c r="E73" s="747"/>
      <c r="F73" s="747"/>
      <c r="G73" s="1497">
        <v>2</v>
      </c>
      <c r="H73" s="1497"/>
      <c r="I73" s="1497"/>
      <c r="J73" s="1497" t="s">
        <v>4246</v>
      </c>
      <c r="K73" s="1495"/>
      <c r="L73" s="1495" t="s">
        <v>6100</v>
      </c>
      <c r="M73" s="748"/>
      <c r="N73" s="611"/>
      <c r="O73" s="611"/>
      <c r="P73" s="611"/>
      <c r="Q73" s="611"/>
      <c r="R73" s="611"/>
      <c r="S73" s="611"/>
      <c r="T73" s="611"/>
      <c r="U73" s="611"/>
      <c r="V73" s="611"/>
      <c r="W73" s="611"/>
      <c r="X73" s="611"/>
      <c r="Y73" s="611"/>
      <c r="Z73" s="611"/>
      <c r="AA73">
        <f>IF(AND('09 App'!C73&gt;Tmin, NOT('09 App'!$I73="")),'09 App'!$I73,0)</f>
        <v>0</v>
      </c>
      <c r="AB73">
        <f>IF(AND('09 App'!D73&gt;Tmin, NOT('09 App'!$I73="")),'09 App'!$I73,0)</f>
        <v>0</v>
      </c>
      <c r="AC73">
        <f>IF(AND('09 App'!E73&gt;Tmin, NOT('09 App'!$I73="")),'09 App'!$I73,0)</f>
        <v>0</v>
      </c>
      <c r="AD73">
        <f>IF(AND('09 App'!F73&gt;Tmin, NOT('09 App'!$I73="")),'09 App'!$I73,0)</f>
        <v>0</v>
      </c>
      <c r="AE73">
        <f>IF(AND('09 App'!C73&lt;Tmax, NOT('09 App'!$H73="")),'09 App'!$H73,4)</f>
        <v>4</v>
      </c>
      <c r="AF73">
        <f>IF(AND('09 App'!D73&lt;Tmax, NOT('09 App'!$H73="")),'09 App'!$H73,4)</f>
        <v>4</v>
      </c>
      <c r="AG73">
        <f>IF(AND('09 App'!E73&lt;Tmax, NOT('09 App'!$H73="")),'09 App'!$H73,4)</f>
        <v>4</v>
      </c>
      <c r="AH73">
        <f>IF(AND('09 App'!F73&lt;Tmax, NOT('09 App'!$H73="")),'09 App'!$H73,4)</f>
        <v>4</v>
      </c>
      <c r="AI73"/>
    </row>
    <row r="74" spans="1:35" s="648" customFormat="1" outlineLevel="2" x14ac:dyDescent="0.2">
      <c r="A74" s="601" t="s">
        <v>6051</v>
      </c>
      <c r="B74" s="752" t="s">
        <v>1938</v>
      </c>
      <c r="C74" s="751"/>
      <c r="D74" s="747"/>
      <c r="E74" s="747"/>
      <c r="F74" s="747"/>
      <c r="G74" s="1497">
        <v>4</v>
      </c>
      <c r="H74" s="1497">
        <v>2</v>
      </c>
      <c r="I74" s="1497"/>
      <c r="J74" s="1497" t="s">
        <v>4246</v>
      </c>
      <c r="K74" s="1495"/>
      <c r="L74" s="1495" t="s">
        <v>6100</v>
      </c>
      <c r="M74" s="748"/>
      <c r="N74" s="611"/>
      <c r="O74" s="611"/>
      <c r="P74" s="611"/>
      <c r="Q74" s="611"/>
      <c r="R74" s="611"/>
      <c r="S74" s="611"/>
      <c r="T74" s="611"/>
      <c r="U74" s="611"/>
      <c r="V74" s="611"/>
      <c r="W74" s="611"/>
      <c r="X74" s="611"/>
      <c r="Y74" s="611"/>
      <c r="Z74" s="611"/>
      <c r="AA74">
        <f>IF(AND('09 App'!C74&gt;Tmin, NOT('09 App'!$I74="")),'09 App'!$I74,0)</f>
        <v>0</v>
      </c>
      <c r="AB74">
        <f>IF(AND('09 App'!D74&gt;Tmin, NOT('09 App'!$I74="")),'09 App'!$I74,0)</f>
        <v>0</v>
      </c>
      <c r="AC74">
        <f>IF(AND('09 App'!E74&gt;Tmin, NOT('09 App'!$I74="")),'09 App'!$I74,0)</f>
        <v>0</v>
      </c>
      <c r="AD74">
        <f>IF(AND('09 App'!F74&gt;Tmin, NOT('09 App'!$I74="")),'09 App'!$I74,0)</f>
        <v>0</v>
      </c>
      <c r="AE74">
        <f>IF(AND('09 App'!C74&lt;Tmax, NOT('09 App'!$H74="")),'09 App'!$H74,4)</f>
        <v>2</v>
      </c>
      <c r="AF74">
        <f>IF(AND('09 App'!D74&lt;Tmax, NOT('09 App'!$H74="")),'09 App'!$H74,4)</f>
        <v>2</v>
      </c>
      <c r="AG74">
        <f>IF(AND('09 App'!E74&lt;Tmax, NOT('09 App'!$H74="")),'09 App'!$H74,4)</f>
        <v>2</v>
      </c>
      <c r="AH74">
        <f>IF(AND('09 App'!F74&lt;Tmax, NOT('09 App'!$H74="")),'09 App'!$H74,4)</f>
        <v>2</v>
      </c>
      <c r="AI74"/>
    </row>
    <row r="75" spans="1:35" s="648" customFormat="1" ht="14.25" customHeight="1" outlineLevel="2" x14ac:dyDescent="0.2">
      <c r="A75" s="601" t="s">
        <v>1620</v>
      </c>
      <c r="B75" s="752" t="s">
        <v>5056</v>
      </c>
      <c r="C75" s="751"/>
      <c r="D75" s="747"/>
      <c r="E75" s="747"/>
      <c r="F75" s="747"/>
      <c r="G75" s="1497">
        <v>4</v>
      </c>
      <c r="H75" s="1497"/>
      <c r="I75" s="1497"/>
      <c r="J75" s="1497" t="s">
        <v>2329</v>
      </c>
      <c r="K75" s="1495"/>
      <c r="L75" s="1495" t="s">
        <v>6100</v>
      </c>
      <c r="M75" s="748"/>
      <c r="N75" s="611"/>
      <c r="O75" s="611"/>
      <c r="P75" s="611"/>
      <c r="Q75" s="611"/>
      <c r="R75" s="611"/>
      <c r="S75" s="611"/>
      <c r="T75" s="611"/>
      <c r="U75" s="611"/>
      <c r="V75" s="611"/>
      <c r="W75" s="611"/>
      <c r="X75" s="611"/>
      <c r="Y75" s="611"/>
      <c r="Z75" s="611"/>
      <c r="AA75">
        <f>IF(AND('09 App'!C75&gt;Tmin, NOT('09 App'!$I75="")),'09 App'!$I75,0)</f>
        <v>0</v>
      </c>
      <c r="AB75">
        <f>IF(AND('09 App'!D75&gt;Tmin, NOT('09 App'!$I75="")),'09 App'!$I75,0)</f>
        <v>0</v>
      </c>
      <c r="AC75">
        <f>IF(AND('09 App'!E75&gt;Tmin, NOT('09 App'!$I75="")),'09 App'!$I75,0)</f>
        <v>0</v>
      </c>
      <c r="AD75">
        <f>IF(AND('09 App'!F75&gt;Tmin, NOT('09 App'!$I75="")),'09 App'!$I75,0)</f>
        <v>0</v>
      </c>
      <c r="AE75">
        <f>IF(AND('09 App'!C75&lt;Tmax, NOT('09 App'!$H75="")),'09 App'!$H75,4)</f>
        <v>4</v>
      </c>
      <c r="AF75">
        <f>IF(AND('09 App'!D75&lt;Tmax, NOT('09 App'!$H75="")),'09 App'!$H75,4)</f>
        <v>4</v>
      </c>
      <c r="AG75">
        <f>IF(AND('09 App'!E75&lt;Tmax, NOT('09 App'!$H75="")),'09 App'!$H75,4)</f>
        <v>4</v>
      </c>
      <c r="AH75">
        <f>IF(AND('09 App'!F75&lt;Tmax, NOT('09 App'!$H75="")),'09 App'!$H75,4)</f>
        <v>4</v>
      </c>
      <c r="AI75"/>
    </row>
    <row r="76" spans="1:35" s="648" customFormat="1" ht="14.25" customHeight="1" outlineLevel="2" x14ac:dyDescent="0.2">
      <c r="A76" s="601" t="s">
        <v>1621</v>
      </c>
      <c r="B76" s="752" t="s">
        <v>4508</v>
      </c>
      <c r="C76" s="751"/>
      <c r="D76" s="747"/>
      <c r="E76" s="747"/>
      <c r="F76" s="747"/>
      <c r="G76" s="1497">
        <v>2</v>
      </c>
      <c r="H76" s="1497"/>
      <c r="I76" s="1497"/>
      <c r="J76" s="1497" t="s">
        <v>1592</v>
      </c>
      <c r="K76" s="1495"/>
      <c r="L76" s="1495" t="s">
        <v>6100</v>
      </c>
      <c r="M76" s="748"/>
      <c r="N76" s="611"/>
      <c r="O76" s="611"/>
      <c r="P76" s="611"/>
      <c r="Q76" s="611"/>
      <c r="R76" s="611"/>
      <c r="S76" s="611"/>
      <c r="T76" s="611"/>
      <c r="U76" s="611"/>
      <c r="V76" s="611"/>
      <c r="W76" s="611"/>
      <c r="X76" s="611"/>
      <c r="Y76" s="611"/>
      <c r="Z76" s="611"/>
      <c r="AA76">
        <f>IF(AND('09 App'!C76&gt;Tmin, NOT('09 App'!$I76="")),'09 App'!$I76,0)</f>
        <v>0</v>
      </c>
      <c r="AB76">
        <f>IF(AND('09 App'!D76&gt;Tmin, NOT('09 App'!$I76="")),'09 App'!$I76,0)</f>
        <v>0</v>
      </c>
      <c r="AC76">
        <f>IF(AND('09 App'!E76&gt;Tmin, NOT('09 App'!$I76="")),'09 App'!$I76,0)</f>
        <v>0</v>
      </c>
      <c r="AD76">
        <f>IF(AND('09 App'!F76&gt;Tmin, NOT('09 App'!$I76="")),'09 App'!$I76,0)</f>
        <v>0</v>
      </c>
      <c r="AE76">
        <f>IF(AND('09 App'!C76&lt;Tmax, NOT('09 App'!$H76="")),'09 App'!$H76,4)</f>
        <v>4</v>
      </c>
      <c r="AF76">
        <f>IF(AND('09 App'!D76&lt;Tmax, NOT('09 App'!$H76="")),'09 App'!$H76,4)</f>
        <v>4</v>
      </c>
      <c r="AG76">
        <f>IF(AND('09 App'!E76&lt;Tmax, NOT('09 App'!$H76="")),'09 App'!$H76,4)</f>
        <v>4</v>
      </c>
      <c r="AH76">
        <f>IF(AND('09 App'!F76&lt;Tmax, NOT('09 App'!$H76="")),'09 App'!$H76,4)</f>
        <v>4</v>
      </c>
      <c r="AI76"/>
    </row>
    <row r="77" spans="1:35" s="648" customFormat="1" outlineLevel="2" x14ac:dyDescent="0.2">
      <c r="A77" s="601" t="s">
        <v>1623</v>
      </c>
      <c r="B77" s="752" t="s">
        <v>1622</v>
      </c>
      <c r="C77" s="751"/>
      <c r="D77" s="747"/>
      <c r="E77" s="747"/>
      <c r="F77" s="747"/>
      <c r="G77" s="1497">
        <v>4</v>
      </c>
      <c r="H77" s="1497"/>
      <c r="I77" s="1497"/>
      <c r="J77" s="1497" t="s">
        <v>1592</v>
      </c>
      <c r="K77" s="1495"/>
      <c r="L77" s="1495" t="s">
        <v>6100</v>
      </c>
      <c r="M77" s="748"/>
      <c r="N77" s="611"/>
      <c r="O77" s="611"/>
      <c r="P77" s="611"/>
      <c r="Q77" s="611"/>
      <c r="R77" s="611"/>
      <c r="S77" s="611"/>
      <c r="T77" s="611"/>
      <c r="U77" s="611"/>
      <c r="V77" s="611"/>
      <c r="W77" s="611"/>
      <c r="X77" s="611"/>
      <c r="Y77" s="611"/>
      <c r="Z77" s="611"/>
      <c r="AA77">
        <f>IF(AND('09 App'!C77&gt;Tmin, NOT('09 App'!$I77="")),'09 App'!$I77,0)</f>
        <v>0</v>
      </c>
      <c r="AB77">
        <f>IF(AND('09 App'!D77&gt;Tmin, NOT('09 App'!$I77="")),'09 App'!$I77,0)</f>
        <v>0</v>
      </c>
      <c r="AC77">
        <f>IF(AND('09 App'!E77&gt;Tmin, NOT('09 App'!$I77="")),'09 App'!$I77,0)</f>
        <v>0</v>
      </c>
      <c r="AD77">
        <f>IF(AND('09 App'!F77&gt;Tmin, NOT('09 App'!$I77="")),'09 App'!$I77,0)</f>
        <v>0</v>
      </c>
      <c r="AE77">
        <f>IF(AND('09 App'!C77&lt;Tmax, NOT('09 App'!$H77="")),'09 App'!$H77,4)</f>
        <v>4</v>
      </c>
      <c r="AF77">
        <f>IF(AND('09 App'!D77&lt;Tmax, NOT('09 App'!$H77="")),'09 App'!$H77,4)</f>
        <v>4</v>
      </c>
      <c r="AG77">
        <f>IF(AND('09 App'!E77&lt;Tmax, NOT('09 App'!$H77="")),'09 App'!$H77,4)</f>
        <v>4</v>
      </c>
      <c r="AH77">
        <f>IF(AND('09 App'!F77&lt;Tmax, NOT('09 App'!$H77="")),'09 App'!$H77,4)</f>
        <v>4</v>
      </c>
      <c r="AI77"/>
    </row>
    <row r="78" spans="1:35" s="648" customFormat="1" outlineLevel="2" x14ac:dyDescent="0.2">
      <c r="A78" s="601" t="s">
        <v>1625</v>
      </c>
      <c r="B78" s="752" t="s">
        <v>1624</v>
      </c>
      <c r="C78" s="751"/>
      <c r="D78" s="747"/>
      <c r="E78" s="747"/>
      <c r="F78" s="747"/>
      <c r="G78" s="1497">
        <v>4</v>
      </c>
      <c r="H78" s="1497"/>
      <c r="I78" s="1497"/>
      <c r="J78" s="1497" t="s">
        <v>1592</v>
      </c>
      <c r="K78" s="1495"/>
      <c r="L78" s="1495" t="s">
        <v>6100</v>
      </c>
      <c r="M78" s="748"/>
      <c r="N78" s="611"/>
      <c r="O78" s="611"/>
      <c r="P78" s="611"/>
      <c r="Q78" s="611"/>
      <c r="R78" s="611"/>
      <c r="S78" s="611"/>
      <c r="T78" s="611"/>
      <c r="U78" s="611"/>
      <c r="V78" s="611"/>
      <c r="W78" s="611"/>
      <c r="X78" s="611"/>
      <c r="Y78" s="611"/>
      <c r="Z78" s="611"/>
      <c r="AA78">
        <f>IF(AND('09 App'!C78&gt;Tmin, NOT('09 App'!$I78="")),'09 App'!$I78,0)</f>
        <v>0</v>
      </c>
      <c r="AB78">
        <f>IF(AND('09 App'!D78&gt;Tmin, NOT('09 App'!$I78="")),'09 App'!$I78,0)</f>
        <v>0</v>
      </c>
      <c r="AC78">
        <f>IF(AND('09 App'!E78&gt;Tmin, NOT('09 App'!$I78="")),'09 App'!$I78,0)</f>
        <v>0</v>
      </c>
      <c r="AD78">
        <f>IF(AND('09 App'!F78&gt;Tmin, NOT('09 App'!$I78="")),'09 App'!$I78,0)</f>
        <v>0</v>
      </c>
      <c r="AE78">
        <f>IF(AND('09 App'!C78&lt;Tmax, NOT('09 App'!$H78="")),'09 App'!$H78,4)</f>
        <v>4</v>
      </c>
      <c r="AF78">
        <f>IF(AND('09 App'!D78&lt;Tmax, NOT('09 App'!$H78="")),'09 App'!$H78,4)</f>
        <v>4</v>
      </c>
      <c r="AG78">
        <f>IF(AND('09 App'!E78&lt;Tmax, NOT('09 App'!$H78="")),'09 App'!$H78,4)</f>
        <v>4</v>
      </c>
      <c r="AH78">
        <f>IF(AND('09 App'!F78&lt;Tmax, NOT('09 App'!$H78="")),'09 App'!$H78,4)</f>
        <v>4</v>
      </c>
      <c r="AI78"/>
    </row>
    <row r="79" spans="1:35" s="648" customFormat="1" ht="13.5" customHeight="1" outlineLevel="2" x14ac:dyDescent="0.2">
      <c r="A79" s="601" t="s">
        <v>1384</v>
      </c>
      <c r="B79" s="752" t="s">
        <v>1383</v>
      </c>
      <c r="C79" s="751"/>
      <c r="D79" s="747"/>
      <c r="E79" s="747"/>
      <c r="F79" s="747"/>
      <c r="G79" s="1497">
        <v>4</v>
      </c>
      <c r="H79" s="1497"/>
      <c r="I79" s="1497"/>
      <c r="J79" s="1497" t="s">
        <v>2349</v>
      </c>
      <c r="K79" s="1495"/>
      <c r="L79" s="1495"/>
      <c r="M79" s="748"/>
      <c r="N79" s="611"/>
      <c r="O79" s="611"/>
      <c r="P79" s="611"/>
      <c r="Q79" s="611"/>
      <c r="R79" s="611"/>
      <c r="S79" s="611"/>
      <c r="T79" s="611"/>
      <c r="U79" s="611"/>
      <c r="V79" s="611"/>
      <c r="W79" s="611"/>
      <c r="X79" s="611"/>
      <c r="Y79" s="611"/>
      <c r="Z79" s="611"/>
      <c r="AA79">
        <f>IF(AND('09 App'!C79&gt;Tmin, NOT('09 App'!$I79="")),'09 App'!$I79,0)</f>
        <v>0</v>
      </c>
      <c r="AB79">
        <f>IF(AND('09 App'!D79&gt;Tmin, NOT('09 App'!$I79="")),'09 App'!$I79,0)</f>
        <v>0</v>
      </c>
      <c r="AC79">
        <f>IF(AND('09 App'!E79&gt;Tmin, NOT('09 App'!$I79="")),'09 App'!$I79,0)</f>
        <v>0</v>
      </c>
      <c r="AD79">
        <f>IF(AND('09 App'!F79&gt;Tmin, NOT('09 App'!$I79="")),'09 App'!$I79,0)</f>
        <v>0</v>
      </c>
      <c r="AE79">
        <f>IF(AND('09 App'!C79&lt;Tmax, NOT('09 App'!$H79="")),'09 App'!$H79,4)</f>
        <v>4</v>
      </c>
      <c r="AF79">
        <f>IF(AND('09 App'!D79&lt;Tmax, NOT('09 App'!$H79="")),'09 App'!$H79,4)</f>
        <v>4</v>
      </c>
      <c r="AG79">
        <f>IF(AND('09 App'!E79&lt;Tmax, NOT('09 App'!$H79="")),'09 App'!$H79,4)</f>
        <v>4</v>
      </c>
      <c r="AH79">
        <f>IF(AND('09 App'!F79&lt;Tmax, NOT('09 App'!$H79="")),'09 App'!$H79,4)</f>
        <v>4</v>
      </c>
      <c r="AI79"/>
    </row>
    <row r="80" spans="1:35" s="648" customFormat="1" outlineLevel="2" x14ac:dyDescent="0.2">
      <c r="A80" s="601" t="s">
        <v>1386</v>
      </c>
      <c r="B80" s="752" t="s">
        <v>1385</v>
      </c>
      <c r="C80" s="751"/>
      <c r="D80" s="747"/>
      <c r="E80" s="747"/>
      <c r="F80" s="747"/>
      <c r="G80" s="1497">
        <v>4</v>
      </c>
      <c r="H80" s="1497"/>
      <c r="I80" s="1497"/>
      <c r="J80" s="1497" t="s">
        <v>2349</v>
      </c>
      <c r="K80" s="1495"/>
      <c r="L80" s="1495" t="s">
        <v>6100</v>
      </c>
      <c r="M80" s="748"/>
      <c r="N80" s="611"/>
      <c r="O80" s="611"/>
      <c r="P80" s="611"/>
      <c r="Q80" s="611"/>
      <c r="R80" s="611"/>
      <c r="S80" s="611"/>
      <c r="T80" s="611"/>
      <c r="U80" s="611"/>
      <c r="V80" s="611"/>
      <c r="W80" s="611"/>
      <c r="X80" s="611"/>
      <c r="Y80" s="611"/>
      <c r="Z80" s="611"/>
      <c r="AA80">
        <f>IF(AND('09 App'!C80&gt;Tmin, NOT('09 App'!$I80="")),'09 App'!$I80,0)</f>
        <v>0</v>
      </c>
      <c r="AB80">
        <f>IF(AND('09 App'!D80&gt;Tmin, NOT('09 App'!$I80="")),'09 App'!$I80,0)</f>
        <v>0</v>
      </c>
      <c r="AC80">
        <f>IF(AND('09 App'!E80&gt;Tmin, NOT('09 App'!$I80="")),'09 App'!$I80,0)</f>
        <v>0</v>
      </c>
      <c r="AD80">
        <f>IF(AND('09 App'!F80&gt;Tmin, NOT('09 App'!$I80="")),'09 App'!$I80,0)</f>
        <v>0</v>
      </c>
      <c r="AE80">
        <f>IF(AND('09 App'!C80&lt;Tmax, NOT('09 App'!$H80="")),'09 App'!$H80,4)</f>
        <v>4</v>
      </c>
      <c r="AF80">
        <f>IF(AND('09 App'!D80&lt;Tmax, NOT('09 App'!$H80="")),'09 App'!$H80,4)</f>
        <v>4</v>
      </c>
      <c r="AG80">
        <f>IF(AND('09 App'!E80&lt;Tmax, NOT('09 App'!$H80="")),'09 App'!$H80,4)</f>
        <v>4</v>
      </c>
      <c r="AH80">
        <f>IF(AND('09 App'!F80&lt;Tmax, NOT('09 App'!$H80="")),'09 App'!$H80,4)</f>
        <v>4</v>
      </c>
      <c r="AI80"/>
    </row>
    <row r="81" spans="1:35" s="648" customFormat="1" outlineLevel="2" x14ac:dyDescent="0.2">
      <c r="A81" s="601" t="s">
        <v>5117</v>
      </c>
      <c r="B81" s="752" t="s">
        <v>2741</v>
      </c>
      <c r="C81" s="751"/>
      <c r="D81" s="747"/>
      <c r="E81" s="747"/>
      <c r="F81" s="747"/>
      <c r="G81" s="1497">
        <v>2</v>
      </c>
      <c r="H81" s="1497">
        <v>3</v>
      </c>
      <c r="I81" s="1497"/>
      <c r="J81" s="1497" t="s">
        <v>2109</v>
      </c>
      <c r="K81" s="1495"/>
      <c r="L81" s="1495"/>
      <c r="M81" s="748"/>
      <c r="N81" s="611"/>
      <c r="O81" s="611"/>
      <c r="P81" s="611"/>
      <c r="Q81" s="611"/>
      <c r="R81" s="611"/>
      <c r="S81" s="611"/>
      <c r="T81" s="611"/>
      <c r="U81" s="611"/>
      <c r="V81" s="611"/>
      <c r="W81" s="611"/>
      <c r="X81" s="611"/>
      <c r="Y81" s="611"/>
      <c r="Z81" s="611"/>
      <c r="AA81">
        <f>IF(AND('09 App'!C81&gt;Tmin, NOT('09 App'!$I81="")),'09 App'!$I81,0)</f>
        <v>0</v>
      </c>
      <c r="AB81">
        <f>IF(AND('09 App'!D81&gt;Tmin, NOT('09 App'!$I81="")),'09 App'!$I81,0)</f>
        <v>0</v>
      </c>
      <c r="AC81">
        <f>IF(AND('09 App'!E81&gt;Tmin, NOT('09 App'!$I81="")),'09 App'!$I81,0)</f>
        <v>0</v>
      </c>
      <c r="AD81">
        <f>IF(AND('09 App'!F81&gt;Tmin, NOT('09 App'!$I81="")),'09 App'!$I81,0)</f>
        <v>0</v>
      </c>
      <c r="AE81">
        <f>IF(AND('09 App'!C81&lt;Tmax, NOT('09 App'!$H81="")),'09 App'!$H81,4)</f>
        <v>3</v>
      </c>
      <c r="AF81">
        <f>IF(AND('09 App'!D81&lt;Tmax, NOT('09 App'!$H81="")),'09 App'!$H81,4)</f>
        <v>3</v>
      </c>
      <c r="AG81">
        <f>IF(AND('09 App'!E81&lt;Tmax, NOT('09 App'!$H81="")),'09 App'!$H81,4)</f>
        <v>3</v>
      </c>
      <c r="AH81">
        <f>IF(AND('09 App'!F81&lt;Tmax, NOT('09 App'!$H81="")),'09 App'!$H81,4)</f>
        <v>3</v>
      </c>
      <c r="AI81"/>
    </row>
    <row r="82" spans="1:35" s="648" customFormat="1" outlineLevel="1" x14ac:dyDescent="0.2">
      <c r="A82" s="749" t="s">
        <v>3669</v>
      </c>
      <c r="B82" s="750" t="s">
        <v>4509</v>
      </c>
      <c r="C82" s="751"/>
      <c r="D82" s="747"/>
      <c r="E82" s="747"/>
      <c r="F82" s="747"/>
      <c r="G82" s="1497"/>
      <c r="H82" s="1497"/>
      <c r="I82" s="1497"/>
      <c r="J82" s="1497"/>
      <c r="K82" s="1495"/>
      <c r="L82" s="1495"/>
      <c r="M82" s="748"/>
      <c r="N82" s="611"/>
      <c r="O82" s="611"/>
      <c r="P82" s="611"/>
      <c r="Q82" s="611"/>
      <c r="R82" s="611"/>
      <c r="S82" s="611"/>
      <c r="T82" s="611"/>
      <c r="U82" s="611"/>
      <c r="V82" s="611"/>
      <c r="W82" s="611"/>
      <c r="X82" s="611"/>
      <c r="Y82" s="611"/>
      <c r="Z82" s="611"/>
      <c r="AA82"/>
      <c r="AB82"/>
      <c r="AC82"/>
      <c r="AD82"/>
      <c r="AE82"/>
      <c r="AF82"/>
      <c r="AG82"/>
      <c r="AH82"/>
      <c r="AI82"/>
    </row>
    <row r="83" spans="1:35" s="648" customFormat="1" ht="47.25" customHeight="1" outlineLevel="2" x14ac:dyDescent="0.2">
      <c r="A83" s="601" t="s">
        <v>2742</v>
      </c>
      <c r="B83" s="752" t="s">
        <v>3834</v>
      </c>
      <c r="C83" s="751"/>
      <c r="D83" s="747"/>
      <c r="E83" s="747"/>
      <c r="F83" s="747"/>
      <c r="G83" s="1497">
        <v>4</v>
      </c>
      <c r="H83" s="1497"/>
      <c r="I83" s="1497"/>
      <c r="J83" s="1497" t="s">
        <v>4246</v>
      </c>
      <c r="K83" s="1495"/>
      <c r="L83" s="1495" t="s">
        <v>7374</v>
      </c>
      <c r="M83" s="748"/>
      <c r="N83" s="611"/>
      <c r="O83" s="611"/>
      <c r="P83" s="611"/>
      <c r="Q83" s="611"/>
      <c r="R83" s="611"/>
      <c r="S83" s="611"/>
      <c r="T83" s="611"/>
      <c r="U83" s="611"/>
      <c r="V83" s="611"/>
      <c r="W83" s="611"/>
      <c r="X83" s="611"/>
      <c r="Y83" s="611"/>
      <c r="Z83" s="611"/>
      <c r="AA83">
        <f>IF(AND('09 App'!C83&gt;Tmin, NOT('09 App'!$I83="")),'09 App'!$I83,0)</f>
        <v>0</v>
      </c>
      <c r="AB83">
        <f>IF(AND('09 App'!D83&gt;Tmin, NOT('09 App'!$I83="")),'09 App'!$I83,0)</f>
        <v>0</v>
      </c>
      <c r="AC83">
        <f>IF(AND('09 App'!E83&gt;Tmin, NOT('09 App'!$I83="")),'09 App'!$I83,0)</f>
        <v>0</v>
      </c>
      <c r="AD83">
        <f>IF(AND('09 App'!F83&gt;Tmin, NOT('09 App'!$I83="")),'09 App'!$I83,0)</f>
        <v>0</v>
      </c>
      <c r="AE83">
        <f>IF(AND('09 App'!C83&lt;Tmax, NOT('09 App'!$H83="")),'09 App'!$H83,4)</f>
        <v>4</v>
      </c>
      <c r="AF83">
        <f>IF(AND('09 App'!D83&lt;Tmax, NOT('09 App'!$H83="")),'09 App'!$H83,4)</f>
        <v>4</v>
      </c>
      <c r="AG83">
        <f>IF(AND('09 App'!E83&lt;Tmax, NOT('09 App'!$H83="")),'09 App'!$H83,4)</f>
        <v>4</v>
      </c>
      <c r="AH83">
        <f>IF(AND('09 App'!F83&lt;Tmax, NOT('09 App'!$H83="")),'09 App'!$H83,4)</f>
        <v>4</v>
      </c>
      <c r="AI83"/>
    </row>
    <row r="84" spans="1:35" s="648" customFormat="1" ht="22.5" outlineLevel="2" x14ac:dyDescent="0.2">
      <c r="A84" s="601" t="s">
        <v>3835</v>
      </c>
      <c r="B84" s="752" t="s">
        <v>3623</v>
      </c>
      <c r="C84" s="751"/>
      <c r="D84" s="747"/>
      <c r="E84" s="747"/>
      <c r="F84" s="747"/>
      <c r="G84" s="1497">
        <v>4</v>
      </c>
      <c r="H84" s="1497"/>
      <c r="I84" s="1497"/>
      <c r="J84" s="1497" t="s">
        <v>1592</v>
      </c>
      <c r="K84" s="1495"/>
      <c r="L84" s="1495"/>
      <c r="M84" s="748"/>
      <c r="N84" s="611"/>
      <c r="O84" s="611"/>
      <c r="P84" s="611"/>
      <c r="Q84" s="611"/>
      <c r="R84" s="611"/>
      <c r="S84" s="611"/>
      <c r="T84" s="611"/>
      <c r="U84" s="611"/>
      <c r="V84" s="611"/>
      <c r="W84" s="611"/>
      <c r="X84" s="611"/>
      <c r="Y84" s="611"/>
      <c r="Z84" s="611"/>
      <c r="AA84">
        <f>IF(AND('09 App'!C84&gt;Tmin, NOT('09 App'!$I84="")),'09 App'!$I84,0)</f>
        <v>0</v>
      </c>
      <c r="AB84">
        <f>IF(AND('09 App'!D84&gt;Tmin, NOT('09 App'!$I84="")),'09 App'!$I84,0)</f>
        <v>0</v>
      </c>
      <c r="AC84">
        <f>IF(AND('09 App'!E84&gt;Tmin, NOT('09 App'!$I84="")),'09 App'!$I84,0)</f>
        <v>0</v>
      </c>
      <c r="AD84">
        <f>IF(AND('09 App'!F84&gt;Tmin, NOT('09 App'!$I84="")),'09 App'!$I84,0)</f>
        <v>0</v>
      </c>
      <c r="AE84">
        <f>IF(AND('09 App'!C84&lt;Tmax, NOT('09 App'!$H84="")),'09 App'!$H84,4)</f>
        <v>4</v>
      </c>
      <c r="AF84">
        <f>IF(AND('09 App'!D84&lt;Tmax, NOT('09 App'!$H84="")),'09 App'!$H84,4)</f>
        <v>4</v>
      </c>
      <c r="AG84">
        <f>IF(AND('09 App'!E84&lt;Tmax, NOT('09 App'!$H84="")),'09 App'!$H84,4)</f>
        <v>4</v>
      </c>
      <c r="AH84">
        <f>IF(AND('09 App'!F84&lt;Tmax, NOT('09 App'!$H84="")),'09 App'!$H84,4)</f>
        <v>4</v>
      </c>
      <c r="AI84"/>
    </row>
    <row r="85" spans="1:35" s="648" customFormat="1" ht="48.75" customHeight="1" outlineLevel="2" x14ac:dyDescent="0.2">
      <c r="A85" s="601" t="s">
        <v>3800</v>
      </c>
      <c r="B85" s="752" t="s">
        <v>6656</v>
      </c>
      <c r="C85" s="751"/>
      <c r="D85" s="747"/>
      <c r="E85" s="747"/>
      <c r="F85" s="747"/>
      <c r="G85" s="1497">
        <v>4</v>
      </c>
      <c r="H85" s="1497">
        <v>3</v>
      </c>
      <c r="I85" s="1497"/>
      <c r="J85" s="1497" t="s">
        <v>2349</v>
      </c>
      <c r="K85" s="1495"/>
      <c r="L85" s="1495"/>
      <c r="M85" s="748"/>
      <c r="N85" s="611"/>
      <c r="O85" s="611"/>
      <c r="P85" s="611"/>
      <c r="Q85" s="611"/>
      <c r="R85" s="611"/>
      <c r="S85" s="611"/>
      <c r="T85" s="611"/>
      <c r="U85" s="611"/>
      <c r="V85" s="611"/>
      <c r="W85" s="611"/>
      <c r="X85" s="611"/>
      <c r="Y85" s="611"/>
      <c r="Z85" s="611"/>
      <c r="AA85">
        <f>IF(AND('09 App'!C85&gt;Tmin, NOT('09 App'!$I85="")),'09 App'!$I85,0)</f>
        <v>0</v>
      </c>
      <c r="AB85">
        <f>IF(AND('09 App'!D85&gt;Tmin, NOT('09 App'!$I85="")),'09 App'!$I85,0)</f>
        <v>0</v>
      </c>
      <c r="AC85">
        <f>IF(AND('09 App'!E85&gt;Tmin, NOT('09 App'!$I85="")),'09 App'!$I85,0)</f>
        <v>0</v>
      </c>
      <c r="AD85">
        <f>IF(AND('09 App'!F85&gt;Tmin, NOT('09 App'!$I85="")),'09 App'!$I85,0)</f>
        <v>0</v>
      </c>
      <c r="AE85">
        <f>IF(AND('09 App'!C85&lt;Tmax, NOT('09 App'!$H85="")),'09 App'!$H85,4)</f>
        <v>3</v>
      </c>
      <c r="AF85">
        <f>IF(AND('09 App'!D85&lt;Tmax, NOT('09 App'!$H85="")),'09 App'!$H85,4)</f>
        <v>3</v>
      </c>
      <c r="AG85">
        <f>IF(AND('09 App'!E85&lt;Tmax, NOT('09 App'!$H85="")),'09 App'!$H85,4)</f>
        <v>3</v>
      </c>
      <c r="AH85">
        <f>IF(AND('09 App'!F85&lt;Tmax, NOT('09 App'!$H85="")),'09 App'!$H85,4)</f>
        <v>3</v>
      </c>
      <c r="AI85"/>
    </row>
    <row r="86" spans="1:35" s="648" customFormat="1" ht="46.5" customHeight="1" outlineLevel="2" x14ac:dyDescent="0.2">
      <c r="A86" s="601" t="s">
        <v>3801</v>
      </c>
      <c r="B86" s="752" t="s">
        <v>6031</v>
      </c>
      <c r="C86" s="751"/>
      <c r="D86" s="747"/>
      <c r="E86" s="747"/>
      <c r="F86" s="747"/>
      <c r="G86" s="1497">
        <v>4</v>
      </c>
      <c r="H86" s="1497">
        <v>2</v>
      </c>
      <c r="I86" s="1497"/>
      <c r="J86" s="1497" t="s">
        <v>2349</v>
      </c>
      <c r="K86" s="1495"/>
      <c r="L86" s="1495"/>
      <c r="M86" s="748"/>
      <c r="N86" s="611"/>
      <c r="O86" s="611"/>
      <c r="P86" s="611"/>
      <c r="Q86" s="611"/>
      <c r="R86" s="611"/>
      <c r="S86" s="611"/>
      <c r="T86" s="611"/>
      <c r="U86" s="611"/>
      <c r="V86" s="611"/>
      <c r="W86" s="611"/>
      <c r="X86" s="611"/>
      <c r="Y86" s="611"/>
      <c r="Z86" s="611"/>
      <c r="AA86">
        <f>IF(AND('09 App'!C86&gt;Tmin, NOT('09 App'!$I86="")),'09 App'!$I86,0)</f>
        <v>0</v>
      </c>
      <c r="AB86">
        <f>IF(AND('09 App'!D86&gt;Tmin, NOT('09 App'!$I86="")),'09 App'!$I86,0)</f>
        <v>0</v>
      </c>
      <c r="AC86">
        <f>IF(AND('09 App'!E86&gt;Tmin, NOT('09 App'!$I86="")),'09 App'!$I86,0)</f>
        <v>0</v>
      </c>
      <c r="AD86">
        <f>IF(AND('09 App'!F86&gt;Tmin, NOT('09 App'!$I86="")),'09 App'!$I86,0)</f>
        <v>0</v>
      </c>
      <c r="AE86">
        <f>IF(AND('09 App'!C86&lt;Tmax, NOT('09 App'!$H86="")),'09 App'!$H86,4)</f>
        <v>2</v>
      </c>
      <c r="AF86">
        <f>IF(AND('09 App'!D86&lt;Tmax, NOT('09 App'!$H86="")),'09 App'!$H86,4)</f>
        <v>2</v>
      </c>
      <c r="AG86">
        <f>IF(AND('09 App'!E86&lt;Tmax, NOT('09 App'!$H86="")),'09 App'!$H86,4)</f>
        <v>2</v>
      </c>
      <c r="AH86">
        <f>IF(AND('09 App'!F86&lt;Tmax, NOT('09 App'!$H86="")),'09 App'!$H86,4)</f>
        <v>2</v>
      </c>
      <c r="AI86"/>
    </row>
    <row r="87" spans="1:35" s="648" customFormat="1" ht="13.5" customHeight="1" outlineLevel="2" x14ac:dyDescent="0.2">
      <c r="A87" s="601" t="s">
        <v>3802</v>
      </c>
      <c r="B87" s="752" t="s">
        <v>2738</v>
      </c>
      <c r="C87" s="751"/>
      <c r="D87" s="747"/>
      <c r="E87" s="747"/>
      <c r="F87" s="747"/>
      <c r="G87" s="1497">
        <v>4</v>
      </c>
      <c r="H87" s="1497"/>
      <c r="I87" s="1497"/>
      <c r="J87" s="1499" t="s">
        <v>1592</v>
      </c>
      <c r="K87" s="1495"/>
      <c r="L87" s="1495"/>
      <c r="M87" s="748"/>
      <c r="N87" s="611"/>
      <c r="O87" s="611"/>
      <c r="P87" s="611"/>
      <c r="Q87" s="611"/>
      <c r="R87" s="611"/>
      <c r="S87" s="611"/>
      <c r="T87" s="611"/>
      <c r="U87" s="611"/>
      <c r="V87" s="611"/>
      <c r="W87" s="611"/>
      <c r="X87" s="611"/>
      <c r="Y87" s="611"/>
      <c r="Z87" s="611"/>
      <c r="AA87">
        <f>IF(AND('09 App'!C87&gt;Tmin, NOT('09 App'!$I87="")),'09 App'!$I87,0)</f>
        <v>0</v>
      </c>
      <c r="AB87">
        <f>IF(AND('09 App'!D87&gt;Tmin, NOT('09 App'!$I87="")),'09 App'!$I87,0)</f>
        <v>0</v>
      </c>
      <c r="AC87">
        <f>IF(AND('09 App'!E87&gt;Tmin, NOT('09 App'!$I87="")),'09 App'!$I87,0)</f>
        <v>0</v>
      </c>
      <c r="AD87">
        <f>IF(AND('09 App'!F87&gt;Tmin, NOT('09 App'!$I87="")),'09 App'!$I87,0)</f>
        <v>0</v>
      </c>
      <c r="AE87">
        <f>IF(AND('09 App'!C87&lt;Tmax, NOT('09 App'!$H87="")),'09 App'!$H87,4)</f>
        <v>4</v>
      </c>
      <c r="AF87">
        <f>IF(AND('09 App'!D87&lt;Tmax, NOT('09 App'!$H87="")),'09 App'!$H87,4)</f>
        <v>4</v>
      </c>
      <c r="AG87">
        <f>IF(AND('09 App'!E87&lt;Tmax, NOT('09 App'!$H87="")),'09 App'!$H87,4)</f>
        <v>4</v>
      </c>
      <c r="AH87">
        <f>IF(AND('09 App'!F87&lt;Tmax, NOT('09 App'!$H87="")),'09 App'!$H87,4)</f>
        <v>4</v>
      </c>
      <c r="AI87"/>
    </row>
    <row r="88" spans="1:35" s="648" customFormat="1" outlineLevel="1" x14ac:dyDescent="0.2">
      <c r="A88" s="749" t="s">
        <v>1957</v>
      </c>
      <c r="B88" s="750" t="s">
        <v>2739</v>
      </c>
      <c r="C88" s="751"/>
      <c r="D88" s="747"/>
      <c r="E88" s="747"/>
      <c r="F88" s="747"/>
      <c r="G88" s="1497"/>
      <c r="H88" s="1497"/>
      <c r="I88" s="1497"/>
      <c r="J88" s="1497"/>
      <c r="K88" s="1495"/>
      <c r="L88" s="1495"/>
      <c r="M88" s="748"/>
      <c r="N88" s="611"/>
      <c r="O88" s="611"/>
      <c r="P88" s="611"/>
      <c r="Q88" s="611"/>
      <c r="R88" s="611"/>
      <c r="S88" s="611"/>
      <c r="T88" s="611"/>
      <c r="U88" s="611"/>
      <c r="V88" s="611"/>
      <c r="W88" s="611"/>
      <c r="X88" s="611"/>
      <c r="Y88" s="611"/>
      <c r="Z88" s="611"/>
      <c r="AA88"/>
      <c r="AB88"/>
      <c r="AC88"/>
      <c r="AD88"/>
      <c r="AE88"/>
      <c r="AF88"/>
      <c r="AG88"/>
      <c r="AH88"/>
      <c r="AI88"/>
    </row>
    <row r="89" spans="1:35" s="648" customFormat="1" ht="40.5" customHeight="1" outlineLevel="2" x14ac:dyDescent="0.2">
      <c r="A89" s="601" t="s">
        <v>2740</v>
      </c>
      <c r="B89" s="752" t="s">
        <v>2296</v>
      </c>
      <c r="C89" s="751"/>
      <c r="D89" s="747"/>
      <c r="E89" s="747"/>
      <c r="F89" s="747"/>
      <c r="G89" s="1497">
        <v>4</v>
      </c>
      <c r="H89" s="1497"/>
      <c r="I89" s="1497"/>
      <c r="J89" s="1497" t="s">
        <v>4246</v>
      </c>
      <c r="K89" s="1495"/>
      <c r="L89" s="1495" t="s">
        <v>7374</v>
      </c>
      <c r="M89" s="748"/>
      <c r="N89" s="611"/>
      <c r="O89" s="611"/>
      <c r="P89" s="611"/>
      <c r="Q89" s="611"/>
      <c r="R89" s="611"/>
      <c r="S89" s="611"/>
      <c r="T89" s="611"/>
      <c r="U89" s="611"/>
      <c r="V89" s="611"/>
      <c r="W89" s="611"/>
      <c r="X89" s="611"/>
      <c r="Y89" s="611"/>
      <c r="Z89" s="611"/>
      <c r="AA89">
        <f>IF(AND('09 App'!C89&gt;Tmin, NOT('09 App'!$I89="")),'09 App'!$I89,0)</f>
        <v>0</v>
      </c>
      <c r="AB89">
        <f>IF(AND('09 App'!D89&gt;Tmin, NOT('09 App'!$I89="")),'09 App'!$I89,0)</f>
        <v>0</v>
      </c>
      <c r="AC89">
        <f>IF(AND('09 App'!E89&gt;Tmin, NOT('09 App'!$I89="")),'09 App'!$I89,0)</f>
        <v>0</v>
      </c>
      <c r="AD89">
        <f>IF(AND('09 App'!F89&gt;Tmin, NOT('09 App'!$I89="")),'09 App'!$I89,0)</f>
        <v>0</v>
      </c>
      <c r="AE89">
        <f>IF(AND('09 App'!C89&lt;Tmax, NOT('09 App'!$H89="")),'09 App'!$H89,4)</f>
        <v>4</v>
      </c>
      <c r="AF89">
        <f>IF(AND('09 App'!D89&lt;Tmax, NOT('09 App'!$H89="")),'09 App'!$H89,4)</f>
        <v>4</v>
      </c>
      <c r="AG89">
        <f>IF(AND('09 App'!E89&lt;Tmax, NOT('09 App'!$H89="")),'09 App'!$H89,4)</f>
        <v>4</v>
      </c>
      <c r="AH89">
        <f>IF(AND('09 App'!F89&lt;Tmax, NOT('09 App'!$H89="")),'09 App'!$H89,4)</f>
        <v>4</v>
      </c>
      <c r="AI89"/>
    </row>
    <row r="90" spans="1:35" s="648" customFormat="1" outlineLevel="2" x14ac:dyDescent="0.2">
      <c r="A90" s="601" t="s">
        <v>1605</v>
      </c>
      <c r="B90" s="752" t="s">
        <v>5118</v>
      </c>
      <c r="C90" s="751"/>
      <c r="D90" s="747"/>
      <c r="E90" s="747"/>
      <c r="F90" s="747"/>
      <c r="G90" s="1497">
        <v>4</v>
      </c>
      <c r="H90" s="1497"/>
      <c r="I90" s="1497"/>
      <c r="J90" s="1497" t="s">
        <v>1592</v>
      </c>
      <c r="K90" s="1495"/>
      <c r="L90" s="1495"/>
      <c r="M90" s="748"/>
      <c r="N90" s="611"/>
      <c r="O90" s="611"/>
      <c r="P90" s="611"/>
      <c r="Q90" s="611"/>
      <c r="R90" s="611"/>
      <c r="S90" s="611"/>
      <c r="T90" s="611"/>
      <c r="U90" s="611"/>
      <c r="V90" s="611"/>
      <c r="W90" s="611"/>
      <c r="X90" s="611"/>
      <c r="Y90" s="611"/>
      <c r="Z90" s="611"/>
      <c r="AA90">
        <f>IF(AND('09 App'!C90&gt;Tmin, NOT('09 App'!$I90="")),'09 App'!$I90,0)</f>
        <v>0</v>
      </c>
      <c r="AB90">
        <f>IF(AND('09 App'!D90&gt;Tmin, NOT('09 App'!$I90="")),'09 App'!$I90,0)</f>
        <v>0</v>
      </c>
      <c r="AC90">
        <f>IF(AND('09 App'!E90&gt;Tmin, NOT('09 App'!$I90="")),'09 App'!$I90,0)</f>
        <v>0</v>
      </c>
      <c r="AD90">
        <f>IF(AND('09 App'!F90&gt;Tmin, NOT('09 App'!$I90="")),'09 App'!$I90,0)</f>
        <v>0</v>
      </c>
      <c r="AE90">
        <f>IF(AND('09 App'!C90&lt;Tmax, NOT('09 App'!$H90="")),'09 App'!$H90,4)</f>
        <v>4</v>
      </c>
      <c r="AF90">
        <f>IF(AND('09 App'!D90&lt;Tmax, NOT('09 App'!$H90="")),'09 App'!$H90,4)</f>
        <v>4</v>
      </c>
      <c r="AG90">
        <f>IF(AND('09 App'!E90&lt;Tmax, NOT('09 App'!$H90="")),'09 App'!$H90,4)</f>
        <v>4</v>
      </c>
      <c r="AH90">
        <f>IF(AND('09 App'!F90&lt;Tmax, NOT('09 App'!$H90="")),'09 App'!$H90,4)</f>
        <v>4</v>
      </c>
      <c r="AI90"/>
    </row>
    <row r="91" spans="1:35" s="648" customFormat="1" ht="51" customHeight="1" outlineLevel="2" x14ac:dyDescent="0.2">
      <c r="A91" s="601" t="s">
        <v>1606</v>
      </c>
      <c r="B91" s="752" t="s">
        <v>6007</v>
      </c>
      <c r="C91" s="751"/>
      <c r="D91" s="747"/>
      <c r="E91" s="747"/>
      <c r="F91" s="747"/>
      <c r="G91" s="1497">
        <v>4</v>
      </c>
      <c r="H91" s="1497">
        <v>3</v>
      </c>
      <c r="I91" s="1497"/>
      <c r="J91" s="1497" t="s">
        <v>2349</v>
      </c>
      <c r="K91" s="1495"/>
      <c r="L91" s="1495"/>
      <c r="M91" s="748"/>
      <c r="N91" s="611"/>
      <c r="O91" s="611"/>
      <c r="P91" s="611"/>
      <c r="Q91" s="611"/>
      <c r="R91" s="611"/>
      <c r="S91" s="611"/>
      <c r="T91" s="611"/>
      <c r="U91" s="611"/>
      <c r="V91" s="611"/>
      <c r="W91" s="611"/>
      <c r="X91" s="611"/>
      <c r="Y91" s="611"/>
      <c r="Z91" s="611"/>
      <c r="AA91">
        <f>IF(AND('09 App'!C91&gt;Tmin, NOT('09 App'!$I91="")),'09 App'!$I91,0)</f>
        <v>0</v>
      </c>
      <c r="AB91">
        <f>IF(AND('09 App'!D91&gt;Tmin, NOT('09 App'!$I91="")),'09 App'!$I91,0)</f>
        <v>0</v>
      </c>
      <c r="AC91">
        <f>IF(AND('09 App'!E91&gt;Tmin, NOT('09 App'!$I91="")),'09 App'!$I91,0)</f>
        <v>0</v>
      </c>
      <c r="AD91">
        <f>IF(AND('09 App'!F91&gt;Tmin, NOT('09 App'!$I91="")),'09 App'!$I91,0)</f>
        <v>0</v>
      </c>
      <c r="AE91">
        <f>IF(AND('09 App'!C91&lt;Tmax, NOT('09 App'!$H91="")),'09 App'!$H91,4)</f>
        <v>3</v>
      </c>
      <c r="AF91">
        <f>IF(AND('09 App'!D91&lt;Tmax, NOT('09 App'!$H91="")),'09 App'!$H91,4)</f>
        <v>3</v>
      </c>
      <c r="AG91">
        <f>IF(AND('09 App'!E91&lt;Tmax, NOT('09 App'!$H91="")),'09 App'!$H91,4)</f>
        <v>3</v>
      </c>
      <c r="AH91">
        <f>IF(AND('09 App'!F91&lt;Tmax, NOT('09 App'!$H91="")),'09 App'!$H91,4)</f>
        <v>3</v>
      </c>
      <c r="AI91"/>
    </row>
    <row r="92" spans="1:35" s="648" customFormat="1" ht="43.5" customHeight="1" outlineLevel="2" x14ac:dyDescent="0.2">
      <c r="A92" s="601" t="s">
        <v>1607</v>
      </c>
      <c r="B92" s="752" t="s">
        <v>6031</v>
      </c>
      <c r="C92" s="751"/>
      <c r="D92" s="747"/>
      <c r="E92" s="747"/>
      <c r="F92" s="747"/>
      <c r="G92" s="1497">
        <v>4</v>
      </c>
      <c r="H92" s="1497">
        <v>2</v>
      </c>
      <c r="I92" s="1497"/>
      <c r="J92" s="1497" t="s">
        <v>2349</v>
      </c>
      <c r="K92" s="1495"/>
      <c r="L92" s="1495"/>
      <c r="M92" s="748"/>
      <c r="N92" s="611"/>
      <c r="O92" s="611"/>
      <c r="P92" s="611"/>
      <c r="Q92" s="611"/>
      <c r="R92" s="611"/>
      <c r="S92" s="611"/>
      <c r="T92" s="611"/>
      <c r="U92" s="611"/>
      <c r="V92" s="611"/>
      <c r="W92" s="611"/>
      <c r="X92" s="611"/>
      <c r="Y92" s="611"/>
      <c r="Z92" s="611"/>
      <c r="AA92">
        <f>IF(AND('09 App'!C92&gt;Tmin, NOT('09 App'!$I92="")),'09 App'!$I92,0)</f>
        <v>0</v>
      </c>
      <c r="AB92">
        <f>IF(AND('09 App'!D92&gt;Tmin, NOT('09 App'!$I92="")),'09 App'!$I92,0)</f>
        <v>0</v>
      </c>
      <c r="AC92">
        <f>IF(AND('09 App'!E92&gt;Tmin, NOT('09 App'!$I92="")),'09 App'!$I92,0)</f>
        <v>0</v>
      </c>
      <c r="AD92">
        <f>IF(AND('09 App'!F92&gt;Tmin, NOT('09 App'!$I92="")),'09 App'!$I92,0)</f>
        <v>0</v>
      </c>
      <c r="AE92">
        <f>IF(AND('09 App'!C92&lt;Tmax, NOT('09 App'!$H92="")),'09 App'!$H92,4)</f>
        <v>2</v>
      </c>
      <c r="AF92">
        <f>IF(AND('09 App'!D92&lt;Tmax, NOT('09 App'!$H92="")),'09 App'!$H92,4)</f>
        <v>2</v>
      </c>
      <c r="AG92">
        <f>IF(AND('09 App'!E92&lt;Tmax, NOT('09 App'!$H92="")),'09 App'!$H92,4)</f>
        <v>2</v>
      </c>
      <c r="AH92">
        <f>IF(AND('09 App'!F92&lt;Tmax, NOT('09 App'!$H92="")),'09 App'!$H92,4)</f>
        <v>2</v>
      </c>
      <c r="AI92"/>
    </row>
    <row r="93" spans="1:35" s="648" customFormat="1" ht="13.5" customHeight="1" outlineLevel="2" x14ac:dyDescent="0.2">
      <c r="A93" s="601" t="s">
        <v>1608</v>
      </c>
      <c r="B93" s="752" t="s">
        <v>2738</v>
      </c>
      <c r="C93" s="751"/>
      <c r="D93" s="747"/>
      <c r="E93" s="747"/>
      <c r="F93" s="747"/>
      <c r="G93" s="1497">
        <v>4</v>
      </c>
      <c r="H93" s="1497"/>
      <c r="I93" s="1497"/>
      <c r="J93" s="1499" t="s">
        <v>1592</v>
      </c>
      <c r="K93" s="1495"/>
      <c r="L93" s="1495"/>
      <c r="M93" s="748"/>
      <c r="N93" s="611"/>
      <c r="O93" s="611"/>
      <c r="P93" s="611"/>
      <c r="Q93" s="611"/>
      <c r="R93" s="611"/>
      <c r="S93" s="611"/>
      <c r="T93" s="611"/>
      <c r="U93" s="611"/>
      <c r="V93" s="611"/>
      <c r="W93" s="611"/>
      <c r="X93" s="611"/>
      <c r="Y93" s="611"/>
      <c r="Z93" s="611"/>
      <c r="AA93">
        <f>IF(AND('09 App'!C93&gt;Tmin, NOT('09 App'!$I93="")),'09 App'!$I93,0)</f>
        <v>0</v>
      </c>
      <c r="AB93">
        <f>IF(AND('09 App'!D93&gt;Tmin, NOT('09 App'!$I93="")),'09 App'!$I93,0)</f>
        <v>0</v>
      </c>
      <c r="AC93">
        <f>IF(AND('09 App'!E93&gt;Tmin, NOT('09 App'!$I93="")),'09 App'!$I93,0)</f>
        <v>0</v>
      </c>
      <c r="AD93">
        <f>IF(AND('09 App'!F93&gt;Tmin, NOT('09 App'!$I93="")),'09 App'!$I93,0)</f>
        <v>0</v>
      </c>
      <c r="AE93">
        <f>IF(AND('09 App'!C93&lt;Tmax, NOT('09 App'!$H93="")),'09 App'!$H93,4)</f>
        <v>4</v>
      </c>
      <c r="AF93">
        <f>IF(AND('09 App'!D93&lt;Tmax, NOT('09 App'!$H93="")),'09 App'!$H93,4)</f>
        <v>4</v>
      </c>
      <c r="AG93">
        <f>IF(AND('09 App'!E93&lt;Tmax, NOT('09 App'!$H93="")),'09 App'!$H93,4)</f>
        <v>4</v>
      </c>
      <c r="AH93">
        <f>IF(AND('09 App'!F93&lt;Tmax, NOT('09 App'!$H93="")),'09 App'!$H93,4)</f>
        <v>4</v>
      </c>
      <c r="AI93"/>
    </row>
    <row r="94" spans="1:35" s="648" customFormat="1" x14ac:dyDescent="0.2">
      <c r="A94" s="602" t="s">
        <v>1609</v>
      </c>
      <c r="B94" s="756" t="s">
        <v>1610</v>
      </c>
      <c r="C94" s="751"/>
      <c r="D94" s="747"/>
      <c r="E94" s="747"/>
      <c r="F94" s="747"/>
      <c r="G94" s="1499"/>
      <c r="H94" s="1499"/>
      <c r="I94" s="1499"/>
      <c r="J94" s="1497"/>
      <c r="K94" s="1495"/>
      <c r="L94" s="1495"/>
      <c r="M94" s="748"/>
      <c r="N94" s="611"/>
      <c r="O94" s="611"/>
      <c r="P94" s="611"/>
      <c r="Q94" s="611"/>
      <c r="R94" s="611"/>
      <c r="S94" s="611"/>
      <c r="T94" s="611"/>
      <c r="U94" s="611"/>
      <c r="V94" s="611"/>
      <c r="W94" s="611"/>
      <c r="X94" s="611"/>
      <c r="Y94" s="611"/>
      <c r="Z94" s="611"/>
      <c r="AA94"/>
      <c r="AB94"/>
      <c r="AC94"/>
      <c r="AD94"/>
      <c r="AE94"/>
      <c r="AF94"/>
      <c r="AG94"/>
      <c r="AH94"/>
      <c r="AI94"/>
    </row>
    <row r="95" spans="1:35" s="648" customFormat="1" ht="13.5" customHeight="1" outlineLevel="1" x14ac:dyDescent="0.2">
      <c r="A95" s="749" t="s">
        <v>3670</v>
      </c>
      <c r="B95" s="750" t="s">
        <v>3204</v>
      </c>
      <c r="C95" s="751"/>
      <c r="D95" s="747"/>
      <c r="E95" s="747"/>
      <c r="F95" s="747"/>
      <c r="G95" s="1497"/>
      <c r="H95" s="1497"/>
      <c r="I95" s="1497"/>
      <c r="J95" s="1497"/>
      <c r="K95" s="1495"/>
      <c r="L95" s="1495"/>
      <c r="M95" s="748"/>
      <c r="N95" s="611"/>
      <c r="O95" s="611"/>
      <c r="P95" s="611"/>
      <c r="Q95" s="611"/>
      <c r="R95" s="611"/>
      <c r="S95" s="611"/>
      <c r="T95" s="611"/>
      <c r="U95" s="611"/>
      <c r="V95" s="611"/>
      <c r="W95" s="611"/>
      <c r="X95" s="611"/>
      <c r="Y95" s="611"/>
      <c r="Z95" s="611"/>
      <c r="AA95"/>
      <c r="AB95"/>
      <c r="AC95"/>
      <c r="AD95"/>
      <c r="AE95"/>
      <c r="AF95"/>
      <c r="AG95"/>
      <c r="AH95"/>
      <c r="AI95"/>
    </row>
    <row r="96" spans="1:35" s="648" customFormat="1" ht="22.5" outlineLevel="2" x14ac:dyDescent="0.2">
      <c r="A96" s="601" t="s">
        <v>1611</v>
      </c>
      <c r="B96" s="752" t="s">
        <v>1612</v>
      </c>
      <c r="C96" s="751"/>
      <c r="D96" s="747"/>
      <c r="E96" s="747"/>
      <c r="F96" s="747"/>
      <c r="G96" s="1497">
        <v>4</v>
      </c>
      <c r="H96" s="1497"/>
      <c r="I96" s="1497"/>
      <c r="J96" s="1497" t="s">
        <v>4246</v>
      </c>
      <c r="K96" s="1495" t="s">
        <v>5882</v>
      </c>
      <c r="L96" s="1495" t="s">
        <v>978</v>
      </c>
      <c r="M96" s="748"/>
      <c r="N96" s="611"/>
      <c r="O96" s="611"/>
      <c r="P96" s="611"/>
      <c r="Q96" s="611"/>
      <c r="R96" s="611"/>
      <c r="S96" s="611"/>
      <c r="T96" s="611"/>
      <c r="U96" s="611"/>
      <c r="V96" s="611"/>
      <c r="W96" s="611"/>
      <c r="X96" s="611"/>
      <c r="Y96" s="611"/>
      <c r="Z96" s="611"/>
      <c r="AA96">
        <f>IF(AND('09 App'!C96&gt;Tmin, NOT('09 App'!$I96="")),'09 App'!$I96,0)</f>
        <v>0</v>
      </c>
      <c r="AB96">
        <f>IF(AND('09 App'!D96&gt;Tmin, NOT('09 App'!$I96="")),'09 App'!$I96,0)</f>
        <v>0</v>
      </c>
      <c r="AC96">
        <f>IF(AND('09 App'!E96&gt;Tmin, NOT('09 App'!$I96="")),'09 App'!$I96,0)</f>
        <v>0</v>
      </c>
      <c r="AD96">
        <f>IF(AND('09 App'!F96&gt;Tmin, NOT('09 App'!$I96="")),'09 App'!$I96,0)</f>
        <v>0</v>
      </c>
      <c r="AE96">
        <f>IF(AND('09 App'!C96&lt;Tmax, NOT('09 App'!$H96="")),'09 App'!$H96,4)</f>
        <v>4</v>
      </c>
      <c r="AF96">
        <f>IF(AND('09 App'!D96&lt;Tmax, NOT('09 App'!$H96="")),'09 App'!$H96,4)</f>
        <v>4</v>
      </c>
      <c r="AG96">
        <f>IF(AND('09 App'!E96&lt;Tmax, NOT('09 App'!$H96="")),'09 App'!$H96,4)</f>
        <v>4</v>
      </c>
      <c r="AH96">
        <f>IF(AND('09 App'!F96&lt;Tmax, NOT('09 App'!$H96="")),'09 App'!$H96,4)</f>
        <v>4</v>
      </c>
      <c r="AI96"/>
    </row>
    <row r="97" spans="1:35" s="648" customFormat="1" ht="36.75" customHeight="1" outlineLevel="2" x14ac:dyDescent="0.2">
      <c r="A97" s="601" t="s">
        <v>1613</v>
      </c>
      <c r="B97" s="752" t="s">
        <v>6008</v>
      </c>
      <c r="C97" s="751"/>
      <c r="D97" s="747"/>
      <c r="E97" s="747"/>
      <c r="F97" s="747"/>
      <c r="G97" s="1497">
        <v>4</v>
      </c>
      <c r="H97" s="1497">
        <v>2</v>
      </c>
      <c r="I97" s="1497"/>
      <c r="J97" s="1497" t="s">
        <v>1592</v>
      </c>
      <c r="K97" s="1495"/>
      <c r="L97" s="1495"/>
      <c r="M97" s="748"/>
      <c r="N97" s="611"/>
      <c r="O97" s="611"/>
      <c r="P97" s="611"/>
      <c r="Q97" s="611"/>
      <c r="R97" s="611"/>
      <c r="S97" s="611"/>
      <c r="T97" s="611"/>
      <c r="U97" s="611"/>
      <c r="V97" s="611"/>
      <c r="W97" s="611"/>
      <c r="X97" s="611"/>
      <c r="Y97" s="611"/>
      <c r="Z97" s="611"/>
      <c r="AA97">
        <f>IF(AND('09 App'!C97&gt;Tmin, NOT('09 App'!$I97="")),'09 App'!$I97,0)</f>
        <v>0</v>
      </c>
      <c r="AB97">
        <f>IF(AND('09 App'!D97&gt;Tmin, NOT('09 App'!$I97="")),'09 App'!$I97,0)</f>
        <v>0</v>
      </c>
      <c r="AC97">
        <f>IF(AND('09 App'!E97&gt;Tmin, NOT('09 App'!$I97="")),'09 App'!$I97,0)</f>
        <v>0</v>
      </c>
      <c r="AD97">
        <f>IF(AND('09 App'!F97&gt;Tmin, NOT('09 App'!$I97="")),'09 App'!$I97,0)</f>
        <v>0</v>
      </c>
      <c r="AE97">
        <f>IF(AND('09 App'!C97&lt;Tmax, NOT('09 App'!$H97="")),'09 App'!$H97,4)</f>
        <v>2</v>
      </c>
      <c r="AF97">
        <f>IF(AND('09 App'!D97&lt;Tmax, NOT('09 App'!$H97="")),'09 App'!$H97,4)</f>
        <v>2</v>
      </c>
      <c r="AG97">
        <f>IF(AND('09 App'!E97&lt;Tmax, NOT('09 App'!$H97="")),'09 App'!$H97,4)</f>
        <v>2</v>
      </c>
      <c r="AH97">
        <f>IF(AND('09 App'!F97&lt;Tmax, NOT('09 App'!$H97="")),'09 App'!$H97,4)</f>
        <v>2</v>
      </c>
      <c r="AI97"/>
    </row>
    <row r="98" spans="1:35" s="648" customFormat="1" ht="22.5" outlineLevel="2" x14ac:dyDescent="0.2">
      <c r="A98" s="601" t="s">
        <v>4155</v>
      </c>
      <c r="B98" s="752" t="s">
        <v>981</v>
      </c>
      <c r="C98" s="751"/>
      <c r="D98" s="747"/>
      <c r="E98" s="747"/>
      <c r="F98" s="747"/>
      <c r="G98" s="1497">
        <v>4</v>
      </c>
      <c r="H98" s="1497">
        <v>3</v>
      </c>
      <c r="I98" s="1497"/>
      <c r="J98" s="1497" t="s">
        <v>1592</v>
      </c>
      <c r="K98" s="1495" t="s">
        <v>5713</v>
      </c>
      <c r="L98" s="1495" t="s">
        <v>7317</v>
      </c>
      <c r="M98" s="748"/>
      <c r="N98" s="611"/>
      <c r="O98" s="611"/>
      <c r="P98" s="611"/>
      <c r="Q98" s="611"/>
      <c r="R98" s="611"/>
      <c r="S98" s="611"/>
      <c r="T98" s="611"/>
      <c r="U98" s="611"/>
      <c r="V98" s="611"/>
      <c r="W98" s="611"/>
      <c r="X98" s="611"/>
      <c r="Y98" s="611"/>
      <c r="Z98" s="611"/>
      <c r="AA98">
        <f>IF(AND('09 App'!C98&gt;Tmin, NOT('09 App'!$I98="")),'09 App'!$I98,0)</f>
        <v>0</v>
      </c>
      <c r="AB98">
        <f>IF(AND('09 App'!D98&gt;Tmin, NOT('09 App'!$I98="")),'09 App'!$I98,0)</f>
        <v>0</v>
      </c>
      <c r="AC98">
        <f>IF(AND('09 App'!E98&gt;Tmin, NOT('09 App'!$I98="")),'09 App'!$I98,0)</f>
        <v>0</v>
      </c>
      <c r="AD98">
        <f>IF(AND('09 App'!F98&gt;Tmin, NOT('09 App'!$I98="")),'09 App'!$I98,0)</f>
        <v>0</v>
      </c>
      <c r="AE98">
        <f>IF(AND('09 App'!C98&lt;Tmax, NOT('09 App'!$H98="")),'09 App'!$H98,4)</f>
        <v>3</v>
      </c>
      <c r="AF98">
        <f>IF(AND('09 App'!D98&lt;Tmax, NOT('09 App'!$H98="")),'09 App'!$H98,4)</f>
        <v>3</v>
      </c>
      <c r="AG98">
        <f>IF(AND('09 App'!E98&lt;Tmax, NOT('09 App'!$H98="")),'09 App'!$H98,4)</f>
        <v>3</v>
      </c>
      <c r="AH98">
        <f>IF(AND('09 App'!F98&lt;Tmax, NOT('09 App'!$H98="")),'09 App'!$H98,4)</f>
        <v>3</v>
      </c>
      <c r="AI98"/>
    </row>
    <row r="99" spans="1:35" s="648" customFormat="1" ht="44.25" customHeight="1" outlineLevel="2" x14ac:dyDescent="0.2">
      <c r="A99" s="601" t="s">
        <v>4156</v>
      </c>
      <c r="B99" s="752" t="s">
        <v>6780</v>
      </c>
      <c r="C99" s="751"/>
      <c r="D99" s="747"/>
      <c r="E99" s="747"/>
      <c r="F99" s="747"/>
      <c r="G99" s="1497">
        <v>4</v>
      </c>
      <c r="H99" s="1497">
        <v>3</v>
      </c>
      <c r="I99" s="1497">
        <v>3</v>
      </c>
      <c r="J99" s="1497" t="s">
        <v>2107</v>
      </c>
      <c r="K99" s="1495"/>
      <c r="L99" s="1495"/>
      <c r="M99" s="748"/>
      <c r="N99" s="611"/>
      <c r="O99" s="611"/>
      <c r="P99" s="611"/>
      <c r="Q99" s="611"/>
      <c r="R99" s="611"/>
      <c r="S99" s="611"/>
      <c r="T99" s="611"/>
      <c r="U99" s="611"/>
      <c r="V99" s="611"/>
      <c r="W99" s="611"/>
      <c r="X99" s="611"/>
      <c r="Y99" s="611"/>
      <c r="Z99" s="611"/>
      <c r="AA99">
        <f>IF(AND('09 App'!C99&gt;Tmin, NOT('09 App'!$I99="")),'09 App'!$I99,0)</f>
        <v>0</v>
      </c>
      <c r="AB99">
        <f>IF(AND('09 App'!D99&gt;Tmin, NOT('09 App'!$I99="")),'09 App'!$I99,0)</f>
        <v>0</v>
      </c>
      <c r="AC99">
        <f>IF(AND('09 App'!E99&gt;Tmin, NOT('09 App'!$I99="")),'09 App'!$I99,0)</f>
        <v>0</v>
      </c>
      <c r="AD99">
        <f>IF(AND('09 App'!F99&gt;Tmin, NOT('09 App'!$I99="")),'09 App'!$I99,0)</f>
        <v>0</v>
      </c>
      <c r="AE99">
        <f>IF(AND('09 App'!C99&lt;Tmax, NOT('09 App'!$H99="")),'09 App'!$H99,4)</f>
        <v>3</v>
      </c>
      <c r="AF99">
        <f>IF(AND('09 App'!D99&lt;Tmax, NOT('09 App'!$H99="")),'09 App'!$H99,4)</f>
        <v>3</v>
      </c>
      <c r="AG99">
        <f>IF(AND('09 App'!E99&lt;Tmax, NOT('09 App'!$H99="")),'09 App'!$H99,4)</f>
        <v>3</v>
      </c>
      <c r="AH99">
        <f>IF(AND('09 App'!F99&lt;Tmax, NOT('09 App'!$H99="")),'09 App'!$H99,4)</f>
        <v>3</v>
      </c>
      <c r="AI99"/>
    </row>
    <row r="100" spans="1:35" s="648" customFormat="1" ht="22.5" outlineLevel="2" x14ac:dyDescent="0.2">
      <c r="A100" s="601" t="s">
        <v>4100</v>
      </c>
      <c r="B100" s="752" t="s">
        <v>6009</v>
      </c>
      <c r="C100" s="751"/>
      <c r="D100" s="747"/>
      <c r="E100" s="747"/>
      <c r="F100" s="747"/>
      <c r="G100" s="1497">
        <v>4</v>
      </c>
      <c r="H100" s="1497">
        <v>2</v>
      </c>
      <c r="I100" s="1497"/>
      <c r="J100" s="1497" t="s">
        <v>2349</v>
      </c>
      <c r="K100" s="1495"/>
      <c r="L100" s="1495"/>
      <c r="M100" s="748"/>
      <c r="N100" s="611"/>
      <c r="O100" s="611"/>
      <c r="P100" s="611"/>
      <c r="Q100" s="611"/>
      <c r="R100" s="611"/>
      <c r="S100" s="611"/>
      <c r="T100" s="611"/>
      <c r="U100" s="611"/>
      <c r="V100" s="611"/>
      <c r="W100" s="611"/>
      <c r="X100" s="611"/>
      <c r="Y100" s="611"/>
      <c r="Z100" s="611"/>
      <c r="AA100">
        <f>IF(AND('09 App'!C100&gt;Tmin, NOT('09 App'!$I100="")),'09 App'!$I100,0)</f>
        <v>0</v>
      </c>
      <c r="AB100">
        <f>IF(AND('09 App'!D100&gt;Tmin, NOT('09 App'!$I100="")),'09 App'!$I100,0)</f>
        <v>0</v>
      </c>
      <c r="AC100">
        <f>IF(AND('09 App'!E100&gt;Tmin, NOT('09 App'!$I100="")),'09 App'!$I100,0)</f>
        <v>0</v>
      </c>
      <c r="AD100">
        <f>IF(AND('09 App'!F100&gt;Tmin, NOT('09 App'!$I100="")),'09 App'!$I100,0)</f>
        <v>0</v>
      </c>
      <c r="AE100">
        <f>IF(AND('09 App'!C100&lt;Tmax, NOT('09 App'!$H100="")),'09 App'!$H100,4)</f>
        <v>2</v>
      </c>
      <c r="AF100">
        <f>IF(AND('09 App'!D100&lt;Tmax, NOT('09 App'!$H100="")),'09 App'!$H100,4)</f>
        <v>2</v>
      </c>
      <c r="AG100">
        <f>IF(AND('09 App'!E100&lt;Tmax, NOT('09 App'!$H100="")),'09 App'!$H100,4)</f>
        <v>2</v>
      </c>
      <c r="AH100">
        <f>IF(AND('09 App'!F100&lt;Tmax, NOT('09 App'!$H100="")),'09 App'!$H100,4)</f>
        <v>2</v>
      </c>
      <c r="AI100"/>
    </row>
    <row r="101" spans="1:35" s="648" customFormat="1" ht="22.5" outlineLevel="2" x14ac:dyDescent="0.2">
      <c r="A101" s="601" t="s">
        <v>4101</v>
      </c>
      <c r="B101" s="752" t="s">
        <v>2371</v>
      </c>
      <c r="C101" s="751"/>
      <c r="D101" s="747"/>
      <c r="E101" s="747"/>
      <c r="F101" s="747"/>
      <c r="G101" s="1497">
        <v>4</v>
      </c>
      <c r="H101" s="1497">
        <v>3</v>
      </c>
      <c r="I101" s="1497"/>
      <c r="J101" s="1497" t="s">
        <v>2109</v>
      </c>
      <c r="K101" s="1495"/>
      <c r="L101" s="1495"/>
      <c r="M101" s="748"/>
      <c r="N101" s="611"/>
      <c r="O101" s="611"/>
      <c r="P101" s="611"/>
      <c r="Q101" s="611"/>
      <c r="R101" s="611"/>
      <c r="S101" s="611"/>
      <c r="T101" s="611"/>
      <c r="U101" s="611"/>
      <c r="V101" s="611"/>
      <c r="W101" s="611"/>
      <c r="X101" s="611"/>
      <c r="Y101" s="611"/>
      <c r="Z101" s="611"/>
      <c r="AA101">
        <f>IF(AND('09 App'!C101&gt;Tmin, NOT('09 App'!$I101="")),'09 App'!$I101,0)</f>
        <v>0</v>
      </c>
      <c r="AB101">
        <f>IF(AND('09 App'!D101&gt;Tmin, NOT('09 App'!$I101="")),'09 App'!$I101,0)</f>
        <v>0</v>
      </c>
      <c r="AC101">
        <f>IF(AND('09 App'!E101&gt;Tmin, NOT('09 App'!$I101="")),'09 App'!$I101,0)</f>
        <v>0</v>
      </c>
      <c r="AD101">
        <f>IF(AND('09 App'!F101&gt;Tmin, NOT('09 App'!$I101="")),'09 App'!$I101,0)</f>
        <v>0</v>
      </c>
      <c r="AE101">
        <f>IF(AND('09 App'!C101&lt;Tmax, NOT('09 App'!$H101="")),'09 App'!$H101,4)</f>
        <v>3</v>
      </c>
      <c r="AF101">
        <f>IF(AND('09 App'!D101&lt;Tmax, NOT('09 App'!$H101="")),'09 App'!$H101,4)</f>
        <v>3</v>
      </c>
      <c r="AG101">
        <f>IF(AND('09 App'!E101&lt;Tmax, NOT('09 App'!$H101="")),'09 App'!$H101,4)</f>
        <v>3</v>
      </c>
      <c r="AH101">
        <f>IF(AND('09 App'!F101&lt;Tmax, NOT('09 App'!$H101="")),'09 App'!$H101,4)</f>
        <v>3</v>
      </c>
      <c r="AI101"/>
    </row>
    <row r="102" spans="1:35" s="648" customFormat="1" outlineLevel="1" x14ac:dyDescent="0.2">
      <c r="A102" s="749" t="s">
        <v>2553</v>
      </c>
      <c r="B102" s="750" t="s">
        <v>2554</v>
      </c>
      <c r="C102" s="751"/>
      <c r="D102" s="747"/>
      <c r="E102" s="747"/>
      <c r="F102" s="747"/>
      <c r="G102" s="1497"/>
      <c r="H102" s="1497"/>
      <c r="I102" s="1497"/>
      <c r="J102" s="1497"/>
      <c r="K102" s="1495"/>
      <c r="L102" s="1495"/>
      <c r="M102" s="748"/>
      <c r="N102" s="611"/>
      <c r="O102" s="611"/>
      <c r="P102" s="611"/>
      <c r="Q102" s="611"/>
      <c r="R102" s="611"/>
      <c r="S102" s="611"/>
      <c r="T102" s="611"/>
      <c r="U102" s="611"/>
      <c r="V102" s="611"/>
      <c r="W102" s="611"/>
      <c r="X102" s="611"/>
      <c r="Y102" s="611"/>
      <c r="Z102" s="611"/>
      <c r="AA102"/>
      <c r="AB102"/>
      <c r="AC102"/>
      <c r="AD102"/>
      <c r="AE102"/>
      <c r="AF102"/>
      <c r="AG102"/>
      <c r="AH102"/>
      <c r="AI102"/>
    </row>
    <row r="103" spans="1:35" s="648" customFormat="1" ht="22.5" outlineLevel="2" x14ac:dyDescent="0.2">
      <c r="A103" s="601" t="s">
        <v>2372</v>
      </c>
      <c r="B103" s="752" t="s">
        <v>907</v>
      </c>
      <c r="C103" s="751"/>
      <c r="D103" s="747"/>
      <c r="E103" s="747"/>
      <c r="F103" s="747"/>
      <c r="G103" s="1497">
        <v>4</v>
      </c>
      <c r="H103" s="1497"/>
      <c r="I103" s="1497"/>
      <c r="J103" s="1497" t="s">
        <v>4246</v>
      </c>
      <c r="K103" s="1495" t="s">
        <v>5882</v>
      </c>
      <c r="L103" s="1495" t="s">
        <v>978</v>
      </c>
      <c r="M103" s="748"/>
      <c r="N103" s="611"/>
      <c r="O103" s="611"/>
      <c r="P103" s="611"/>
      <c r="Q103" s="611"/>
      <c r="R103" s="611"/>
      <c r="S103" s="611"/>
      <c r="T103" s="611"/>
      <c r="U103" s="611"/>
      <c r="V103" s="611"/>
      <c r="W103" s="611"/>
      <c r="X103" s="611"/>
      <c r="Y103" s="611"/>
      <c r="Z103" s="611"/>
      <c r="AA103">
        <f>IF(AND('09 App'!C103&gt;Tmin, NOT('09 App'!$I103="")),'09 App'!$I103,0)</f>
        <v>0</v>
      </c>
      <c r="AB103">
        <f>IF(AND('09 App'!D103&gt;Tmin, NOT('09 App'!$I103="")),'09 App'!$I103,0)</f>
        <v>0</v>
      </c>
      <c r="AC103">
        <f>IF(AND('09 App'!E103&gt;Tmin, NOT('09 App'!$I103="")),'09 App'!$I103,0)</f>
        <v>0</v>
      </c>
      <c r="AD103">
        <f>IF(AND('09 App'!F103&gt;Tmin, NOT('09 App'!$I103="")),'09 App'!$I103,0)</f>
        <v>0</v>
      </c>
      <c r="AE103">
        <f>IF(AND('09 App'!C103&lt;Tmax, NOT('09 App'!$H103="")),'09 App'!$H103,4)</f>
        <v>4</v>
      </c>
      <c r="AF103">
        <f>IF(AND('09 App'!D103&lt;Tmax, NOT('09 App'!$H103="")),'09 App'!$H103,4)</f>
        <v>4</v>
      </c>
      <c r="AG103">
        <f>IF(AND('09 App'!E103&lt;Tmax, NOT('09 App'!$H103="")),'09 App'!$H103,4)</f>
        <v>4</v>
      </c>
      <c r="AH103">
        <f>IF(AND('09 App'!F103&lt;Tmax, NOT('09 App'!$H103="")),'09 App'!$H103,4)</f>
        <v>4</v>
      </c>
      <c r="AI103"/>
    </row>
    <row r="104" spans="1:35" s="648" customFormat="1" ht="22.5" outlineLevel="2" x14ac:dyDescent="0.2">
      <c r="A104" s="601" t="s">
        <v>2373</v>
      </c>
      <c r="B104" s="752" t="s">
        <v>1388</v>
      </c>
      <c r="C104" s="751"/>
      <c r="D104" s="747"/>
      <c r="E104" s="747"/>
      <c r="F104" s="747"/>
      <c r="G104" s="1497">
        <v>2</v>
      </c>
      <c r="H104" s="1497">
        <v>3</v>
      </c>
      <c r="I104" s="1497"/>
      <c r="J104" s="1497" t="s">
        <v>1592</v>
      </c>
      <c r="K104" s="1495"/>
      <c r="L104" s="1495"/>
      <c r="M104" s="748"/>
      <c r="N104" s="611"/>
      <c r="O104" s="611"/>
      <c r="P104" s="611"/>
      <c r="Q104" s="611"/>
      <c r="R104" s="611"/>
      <c r="S104" s="611"/>
      <c r="T104" s="611"/>
      <c r="U104" s="611"/>
      <c r="V104" s="611"/>
      <c r="W104" s="611"/>
      <c r="X104" s="611"/>
      <c r="Y104" s="611"/>
      <c r="Z104" s="611"/>
      <c r="AA104">
        <f>IF(AND('09 App'!C104&gt;Tmin, NOT('09 App'!$I104="")),'09 App'!$I104,0)</f>
        <v>0</v>
      </c>
      <c r="AB104">
        <f>IF(AND('09 App'!D104&gt;Tmin, NOT('09 App'!$I104="")),'09 App'!$I104,0)</f>
        <v>0</v>
      </c>
      <c r="AC104">
        <f>IF(AND('09 App'!E104&gt;Tmin, NOT('09 App'!$I104="")),'09 App'!$I104,0)</f>
        <v>0</v>
      </c>
      <c r="AD104">
        <f>IF(AND('09 App'!F104&gt;Tmin, NOT('09 App'!$I104="")),'09 App'!$I104,0)</f>
        <v>0</v>
      </c>
      <c r="AE104">
        <f>IF(AND('09 App'!C104&lt;Tmax, NOT('09 App'!$H104="")),'09 App'!$H104,4)</f>
        <v>3</v>
      </c>
      <c r="AF104">
        <f>IF(AND('09 App'!D104&lt;Tmax, NOT('09 App'!$H104="")),'09 App'!$H104,4)</f>
        <v>3</v>
      </c>
      <c r="AG104">
        <f>IF(AND('09 App'!E104&lt;Tmax, NOT('09 App'!$H104="")),'09 App'!$H104,4)</f>
        <v>3</v>
      </c>
      <c r="AH104">
        <f>IF(AND('09 App'!F104&lt;Tmax, NOT('09 App'!$H104="")),'09 App'!$H104,4)</f>
        <v>3</v>
      </c>
      <c r="AI104"/>
    </row>
    <row r="105" spans="1:35" s="648" customFormat="1" ht="24.75" customHeight="1" outlineLevel="2" x14ac:dyDescent="0.2">
      <c r="A105" s="601" t="s">
        <v>1389</v>
      </c>
      <c r="B105" s="752" t="s">
        <v>4936</v>
      </c>
      <c r="C105" s="751"/>
      <c r="D105" s="747"/>
      <c r="E105" s="747"/>
      <c r="F105" s="747"/>
      <c r="G105" s="1497">
        <v>2</v>
      </c>
      <c r="H105" s="1497">
        <v>3</v>
      </c>
      <c r="I105" s="1497"/>
      <c r="J105" s="1497" t="s">
        <v>1592</v>
      </c>
      <c r="K105" s="1495"/>
      <c r="L105" s="1495"/>
      <c r="M105" s="748"/>
      <c r="N105" s="611"/>
      <c r="O105" s="611"/>
      <c r="P105" s="611"/>
      <c r="Q105" s="611"/>
      <c r="R105" s="611"/>
      <c r="S105" s="611"/>
      <c r="T105" s="611"/>
      <c r="U105" s="611"/>
      <c r="V105" s="611"/>
      <c r="W105" s="611"/>
      <c r="X105" s="611"/>
      <c r="Y105" s="611"/>
      <c r="Z105" s="611"/>
      <c r="AA105">
        <f>IF(AND('09 App'!C105&gt;Tmin, NOT('09 App'!$I105="")),'09 App'!$I105,0)</f>
        <v>0</v>
      </c>
      <c r="AB105">
        <f>IF(AND('09 App'!D105&gt;Tmin, NOT('09 App'!$I105="")),'09 App'!$I105,0)</f>
        <v>0</v>
      </c>
      <c r="AC105">
        <f>IF(AND('09 App'!E105&gt;Tmin, NOT('09 App'!$I105="")),'09 App'!$I105,0)</f>
        <v>0</v>
      </c>
      <c r="AD105">
        <f>IF(AND('09 App'!F105&gt;Tmin, NOT('09 App'!$I105="")),'09 App'!$I105,0)</f>
        <v>0</v>
      </c>
      <c r="AE105">
        <f>IF(AND('09 App'!C105&lt;Tmax, NOT('09 App'!$H105="")),'09 App'!$H105,4)</f>
        <v>3</v>
      </c>
      <c r="AF105">
        <f>IF(AND('09 App'!D105&lt;Tmax, NOT('09 App'!$H105="")),'09 App'!$H105,4)</f>
        <v>3</v>
      </c>
      <c r="AG105">
        <f>IF(AND('09 App'!E105&lt;Tmax, NOT('09 App'!$H105="")),'09 App'!$H105,4)</f>
        <v>3</v>
      </c>
      <c r="AH105">
        <f>IF(AND('09 App'!F105&lt;Tmax, NOT('09 App'!$H105="")),'09 App'!$H105,4)</f>
        <v>3</v>
      </c>
      <c r="AI105"/>
    </row>
    <row r="106" spans="1:35" s="648" customFormat="1" ht="39.75" customHeight="1" outlineLevel="2" x14ac:dyDescent="0.2">
      <c r="A106" s="601" t="s">
        <v>4937</v>
      </c>
      <c r="B106" s="752" t="s">
        <v>6008</v>
      </c>
      <c r="C106" s="751"/>
      <c r="D106" s="747"/>
      <c r="E106" s="747"/>
      <c r="F106" s="747"/>
      <c r="G106" s="1497">
        <v>4</v>
      </c>
      <c r="H106" s="1497">
        <v>2</v>
      </c>
      <c r="I106" s="1497"/>
      <c r="J106" s="1497" t="s">
        <v>1592</v>
      </c>
      <c r="K106" s="1495"/>
      <c r="L106" s="1495"/>
      <c r="M106" s="748"/>
      <c r="N106" s="611"/>
      <c r="O106" s="611"/>
      <c r="P106" s="611"/>
      <c r="Q106" s="611"/>
      <c r="R106" s="611"/>
      <c r="S106" s="611"/>
      <c r="T106" s="611"/>
      <c r="U106" s="611"/>
      <c r="V106" s="611"/>
      <c r="W106" s="611"/>
      <c r="X106" s="611"/>
      <c r="Y106" s="611"/>
      <c r="Z106" s="611"/>
      <c r="AA106">
        <f>IF(AND('09 App'!C106&gt;Tmin, NOT('09 App'!$I106="")),'09 App'!$I106,0)</f>
        <v>0</v>
      </c>
      <c r="AB106">
        <f>IF(AND('09 App'!D106&gt;Tmin, NOT('09 App'!$I106="")),'09 App'!$I106,0)</f>
        <v>0</v>
      </c>
      <c r="AC106">
        <f>IF(AND('09 App'!E106&gt;Tmin, NOT('09 App'!$I106="")),'09 App'!$I106,0)</f>
        <v>0</v>
      </c>
      <c r="AD106">
        <f>IF(AND('09 App'!F106&gt;Tmin, NOT('09 App'!$I106="")),'09 App'!$I106,0)</f>
        <v>0</v>
      </c>
      <c r="AE106">
        <f>IF(AND('09 App'!C106&lt;Tmax, NOT('09 App'!$H106="")),'09 App'!$H106,4)</f>
        <v>2</v>
      </c>
      <c r="AF106">
        <f>IF(AND('09 App'!D106&lt;Tmax, NOT('09 App'!$H106="")),'09 App'!$H106,4)</f>
        <v>2</v>
      </c>
      <c r="AG106">
        <f>IF(AND('09 App'!E106&lt;Tmax, NOT('09 App'!$H106="")),'09 App'!$H106,4)</f>
        <v>2</v>
      </c>
      <c r="AH106">
        <f>IF(AND('09 App'!F106&lt;Tmax, NOT('09 App'!$H106="")),'09 App'!$H106,4)</f>
        <v>2</v>
      </c>
      <c r="AI106"/>
    </row>
    <row r="107" spans="1:35" s="648" customFormat="1" ht="47.25" customHeight="1" outlineLevel="2" x14ac:dyDescent="0.2">
      <c r="A107" s="601" t="s">
        <v>4938</v>
      </c>
      <c r="B107" s="752" t="s">
        <v>6655</v>
      </c>
      <c r="C107" s="751"/>
      <c r="D107" s="747"/>
      <c r="E107" s="747"/>
      <c r="F107" s="747"/>
      <c r="G107" s="1497">
        <v>4</v>
      </c>
      <c r="H107" s="1497">
        <v>3</v>
      </c>
      <c r="I107" s="1497"/>
      <c r="J107" s="1497" t="s">
        <v>1592</v>
      </c>
      <c r="K107" s="1495" t="s">
        <v>5713</v>
      </c>
      <c r="L107" s="1495" t="s">
        <v>7317</v>
      </c>
      <c r="M107" s="748"/>
      <c r="N107" s="611"/>
      <c r="O107" s="611"/>
      <c r="P107" s="611"/>
      <c r="Q107" s="611"/>
      <c r="R107" s="611"/>
      <c r="S107" s="611"/>
      <c r="T107" s="611"/>
      <c r="U107" s="611"/>
      <c r="V107" s="611"/>
      <c r="W107" s="611"/>
      <c r="X107" s="611"/>
      <c r="Y107" s="611"/>
      <c r="Z107" s="611"/>
      <c r="AA107">
        <f>IF(AND('09 App'!C107&gt;Tmin, NOT('09 App'!$I107="")),'09 App'!$I107,0)</f>
        <v>0</v>
      </c>
      <c r="AB107">
        <f>IF(AND('09 App'!D107&gt;Tmin, NOT('09 App'!$I107="")),'09 App'!$I107,0)</f>
        <v>0</v>
      </c>
      <c r="AC107">
        <f>IF(AND('09 App'!E107&gt;Tmin, NOT('09 App'!$I107="")),'09 App'!$I107,0)</f>
        <v>0</v>
      </c>
      <c r="AD107">
        <f>IF(AND('09 App'!F107&gt;Tmin, NOT('09 App'!$I107="")),'09 App'!$I107,0)</f>
        <v>0</v>
      </c>
      <c r="AE107">
        <f>IF(AND('09 App'!C107&lt;Tmax, NOT('09 App'!$H107="")),'09 App'!$H107,4)</f>
        <v>3</v>
      </c>
      <c r="AF107">
        <f>IF(AND('09 App'!D107&lt;Tmax, NOT('09 App'!$H107="")),'09 App'!$H107,4)</f>
        <v>3</v>
      </c>
      <c r="AG107">
        <f>IF(AND('09 App'!E107&lt;Tmax, NOT('09 App'!$H107="")),'09 App'!$H107,4)</f>
        <v>3</v>
      </c>
      <c r="AH107">
        <f>IF(AND('09 App'!F107&lt;Tmax, NOT('09 App'!$H107="")),'09 App'!$H107,4)</f>
        <v>3</v>
      </c>
      <c r="AI107"/>
    </row>
    <row r="108" spans="1:35" s="648" customFormat="1" ht="48" customHeight="1" outlineLevel="2" x14ac:dyDescent="0.2">
      <c r="A108" s="601" t="s">
        <v>4939</v>
      </c>
      <c r="B108" s="752" t="s">
        <v>6780</v>
      </c>
      <c r="C108" s="751"/>
      <c r="D108" s="747"/>
      <c r="E108" s="747"/>
      <c r="F108" s="747"/>
      <c r="G108" s="1497">
        <v>4</v>
      </c>
      <c r="H108" s="1497">
        <v>3</v>
      </c>
      <c r="I108" s="1497">
        <v>3</v>
      </c>
      <c r="J108" s="1497" t="s">
        <v>2329</v>
      </c>
      <c r="K108" s="1495"/>
      <c r="L108" s="1495"/>
      <c r="M108" s="748"/>
      <c r="N108" s="611"/>
      <c r="O108" s="611"/>
      <c r="P108" s="611"/>
      <c r="Q108" s="611"/>
      <c r="R108" s="611"/>
      <c r="S108" s="611"/>
      <c r="T108" s="611"/>
      <c r="U108" s="611"/>
      <c r="V108" s="611"/>
      <c r="W108" s="611"/>
      <c r="X108" s="611"/>
      <c r="Y108" s="611"/>
      <c r="Z108" s="611"/>
      <c r="AA108">
        <f>IF(AND('09 App'!C108&gt;Tmin, NOT('09 App'!$I108="")),'09 App'!$I108,0)</f>
        <v>0</v>
      </c>
      <c r="AB108">
        <f>IF(AND('09 App'!D108&gt;Tmin, NOT('09 App'!$I108="")),'09 App'!$I108,0)</f>
        <v>0</v>
      </c>
      <c r="AC108">
        <f>IF(AND('09 App'!E108&gt;Tmin, NOT('09 App'!$I108="")),'09 App'!$I108,0)</f>
        <v>0</v>
      </c>
      <c r="AD108">
        <f>IF(AND('09 App'!F108&gt;Tmin, NOT('09 App'!$I108="")),'09 App'!$I108,0)</f>
        <v>0</v>
      </c>
      <c r="AE108">
        <f>IF(AND('09 App'!C108&lt;Tmax, NOT('09 App'!$H108="")),'09 App'!$H108,4)</f>
        <v>3</v>
      </c>
      <c r="AF108">
        <f>IF(AND('09 App'!D108&lt;Tmax, NOT('09 App'!$H108="")),'09 App'!$H108,4)</f>
        <v>3</v>
      </c>
      <c r="AG108">
        <f>IF(AND('09 App'!E108&lt;Tmax, NOT('09 App'!$H108="")),'09 App'!$H108,4)</f>
        <v>3</v>
      </c>
      <c r="AH108">
        <f>IF(AND('09 App'!F108&lt;Tmax, NOT('09 App'!$H108="")),'09 App'!$H108,4)</f>
        <v>3</v>
      </c>
      <c r="AI108"/>
    </row>
    <row r="109" spans="1:35" s="648" customFormat="1" ht="22.5" outlineLevel="2" x14ac:dyDescent="0.2">
      <c r="A109" s="601" t="s">
        <v>4940</v>
      </c>
      <c r="B109" s="752" t="s">
        <v>6009</v>
      </c>
      <c r="C109" s="751"/>
      <c r="D109" s="747"/>
      <c r="E109" s="747"/>
      <c r="F109" s="747"/>
      <c r="G109" s="1497">
        <v>4</v>
      </c>
      <c r="H109" s="1497">
        <v>2</v>
      </c>
      <c r="I109" s="1497"/>
      <c r="J109" s="1497" t="s">
        <v>2349</v>
      </c>
      <c r="K109" s="1495"/>
      <c r="L109" s="1495"/>
      <c r="M109" s="748"/>
      <c r="N109" s="611"/>
      <c r="O109" s="611"/>
      <c r="P109" s="611"/>
      <c r="Q109" s="611"/>
      <c r="R109" s="611"/>
      <c r="S109" s="611"/>
      <c r="T109" s="611"/>
      <c r="U109" s="611"/>
      <c r="V109" s="611"/>
      <c r="W109" s="611"/>
      <c r="X109" s="611"/>
      <c r="Y109" s="611"/>
      <c r="Z109" s="611"/>
      <c r="AA109">
        <f>IF(AND('09 App'!C109&gt;Tmin, NOT('09 App'!$I109="")),'09 App'!$I109,0)</f>
        <v>0</v>
      </c>
      <c r="AB109">
        <f>IF(AND('09 App'!D109&gt;Tmin, NOT('09 App'!$I109="")),'09 App'!$I109,0)</f>
        <v>0</v>
      </c>
      <c r="AC109">
        <f>IF(AND('09 App'!E109&gt;Tmin, NOT('09 App'!$I109="")),'09 App'!$I109,0)</f>
        <v>0</v>
      </c>
      <c r="AD109">
        <f>IF(AND('09 App'!F109&gt;Tmin, NOT('09 App'!$I109="")),'09 App'!$I109,0)</f>
        <v>0</v>
      </c>
      <c r="AE109">
        <f>IF(AND('09 App'!C109&lt;Tmax, NOT('09 App'!$H109="")),'09 App'!$H109,4)</f>
        <v>2</v>
      </c>
      <c r="AF109">
        <f>IF(AND('09 App'!D109&lt;Tmax, NOT('09 App'!$H109="")),'09 App'!$H109,4)</f>
        <v>2</v>
      </c>
      <c r="AG109">
        <f>IF(AND('09 App'!E109&lt;Tmax, NOT('09 App'!$H109="")),'09 App'!$H109,4)</f>
        <v>2</v>
      </c>
      <c r="AH109">
        <f>IF(AND('09 App'!F109&lt;Tmax, NOT('09 App'!$H109="")),'09 App'!$H109,4)</f>
        <v>2</v>
      </c>
      <c r="AI109"/>
    </row>
    <row r="110" spans="1:35" s="648" customFormat="1" ht="22.5" outlineLevel="2" x14ac:dyDescent="0.2">
      <c r="A110" s="601" t="s">
        <v>5703</v>
      </c>
      <c r="B110" s="752" t="s">
        <v>5877</v>
      </c>
      <c r="C110" s="751"/>
      <c r="D110" s="747"/>
      <c r="E110" s="747"/>
      <c r="F110" s="747"/>
      <c r="G110" s="1497">
        <v>4</v>
      </c>
      <c r="H110" s="1497">
        <v>3</v>
      </c>
      <c r="I110" s="1497"/>
      <c r="J110" s="1497" t="s">
        <v>2109</v>
      </c>
      <c r="K110" s="1495"/>
      <c r="L110" s="1495"/>
      <c r="M110" s="748"/>
      <c r="N110" s="611"/>
      <c r="O110" s="611"/>
      <c r="P110" s="611"/>
      <c r="Q110" s="611"/>
      <c r="R110" s="611"/>
      <c r="S110" s="611"/>
      <c r="T110" s="611"/>
      <c r="U110" s="611"/>
      <c r="V110" s="611"/>
      <c r="W110" s="611"/>
      <c r="X110" s="611"/>
      <c r="Y110" s="611"/>
      <c r="Z110" s="611"/>
      <c r="AA110">
        <f>IF(AND('09 App'!C110&gt;Tmin, NOT('09 App'!$I110="")),'09 App'!$I110,0)</f>
        <v>0</v>
      </c>
      <c r="AB110">
        <f>IF(AND('09 App'!D110&gt;Tmin, NOT('09 App'!$I110="")),'09 App'!$I110,0)</f>
        <v>0</v>
      </c>
      <c r="AC110">
        <f>IF(AND('09 App'!E110&gt;Tmin, NOT('09 App'!$I110="")),'09 App'!$I110,0)</f>
        <v>0</v>
      </c>
      <c r="AD110">
        <f>IF(AND('09 App'!F110&gt;Tmin, NOT('09 App'!$I110="")),'09 App'!$I110,0)</f>
        <v>0</v>
      </c>
      <c r="AE110">
        <f>IF(AND('09 App'!C110&lt;Tmax, NOT('09 App'!$H110="")),'09 App'!$H110,4)</f>
        <v>3</v>
      </c>
      <c r="AF110">
        <f>IF(AND('09 App'!D110&lt;Tmax, NOT('09 App'!$H110="")),'09 App'!$H110,4)</f>
        <v>3</v>
      </c>
      <c r="AG110">
        <f>IF(AND('09 App'!E110&lt;Tmax, NOT('09 App'!$H110="")),'09 App'!$H110,4)</f>
        <v>3</v>
      </c>
      <c r="AH110">
        <f>IF(AND('09 App'!F110&lt;Tmax, NOT('09 App'!$H110="")),'09 App'!$H110,4)</f>
        <v>3</v>
      </c>
      <c r="AI110"/>
    </row>
    <row r="111" spans="1:35" outlineLevel="1" x14ac:dyDescent="0.2">
      <c r="A111" s="749" t="s">
        <v>2555</v>
      </c>
      <c r="B111" s="750" t="s">
        <v>6332</v>
      </c>
      <c r="C111" s="751"/>
      <c r="D111" s="747"/>
      <c r="E111" s="747"/>
      <c r="F111" s="747"/>
      <c r="G111" s="1497"/>
      <c r="H111" s="1497"/>
      <c r="I111" s="1497"/>
      <c r="J111" s="1497"/>
      <c r="K111" s="1495"/>
      <c r="L111" s="1495"/>
      <c r="M111" s="754"/>
      <c r="AA111"/>
      <c r="AB111"/>
      <c r="AC111"/>
      <c r="AD111"/>
      <c r="AE111"/>
      <c r="AF111"/>
      <c r="AG111"/>
      <c r="AH111"/>
      <c r="AI111"/>
    </row>
    <row r="112" spans="1:35" s="648" customFormat="1" ht="22.5" outlineLevel="2" x14ac:dyDescent="0.2">
      <c r="A112" s="601" t="s">
        <v>5806</v>
      </c>
      <c r="B112" s="752" t="s">
        <v>6630</v>
      </c>
      <c r="C112" s="751"/>
      <c r="D112" s="747"/>
      <c r="E112" s="747"/>
      <c r="F112" s="747"/>
      <c r="G112" s="1497">
        <v>2</v>
      </c>
      <c r="H112" s="1497"/>
      <c r="I112" s="1497"/>
      <c r="J112" s="1497" t="s">
        <v>1592</v>
      </c>
      <c r="K112" s="1495"/>
      <c r="L112" s="1495"/>
      <c r="M112" s="748"/>
      <c r="N112" s="611"/>
      <c r="O112" s="611"/>
      <c r="P112" s="611"/>
      <c r="Q112" s="611"/>
      <c r="R112" s="611"/>
      <c r="S112" s="611"/>
      <c r="T112" s="611"/>
      <c r="U112" s="611"/>
      <c r="V112" s="611"/>
      <c r="W112" s="611"/>
      <c r="X112" s="611"/>
      <c r="Y112" s="611"/>
      <c r="Z112" s="611"/>
      <c r="AA112">
        <f>IF(AND('09 App'!C112&gt;Tmin, NOT('09 App'!$I112="")),'09 App'!$I112,0)</f>
        <v>0</v>
      </c>
      <c r="AB112">
        <f>IF(AND('09 App'!D112&gt;Tmin, NOT('09 App'!$I112="")),'09 App'!$I112,0)</f>
        <v>0</v>
      </c>
      <c r="AC112">
        <f>IF(AND('09 App'!E112&gt;Tmin, NOT('09 App'!$I112="")),'09 App'!$I112,0)</f>
        <v>0</v>
      </c>
      <c r="AD112">
        <f>IF(AND('09 App'!F112&gt;Tmin, NOT('09 App'!$I112="")),'09 App'!$I112,0)</f>
        <v>0</v>
      </c>
      <c r="AE112">
        <f>IF(AND('09 App'!C112&lt;Tmax, NOT('09 App'!$H112="")),'09 App'!$H112,4)</f>
        <v>4</v>
      </c>
      <c r="AF112">
        <f>IF(AND('09 App'!D112&lt;Tmax, NOT('09 App'!$H112="")),'09 App'!$H112,4)</f>
        <v>4</v>
      </c>
      <c r="AG112">
        <f>IF(AND('09 App'!E112&lt;Tmax, NOT('09 App'!$H112="")),'09 App'!$H112,4)</f>
        <v>4</v>
      </c>
      <c r="AH112">
        <f>IF(AND('09 App'!F112&lt;Tmax, NOT('09 App'!$H112="")),'09 App'!$H112,4)</f>
        <v>4</v>
      </c>
      <c r="AI112"/>
    </row>
    <row r="113" spans="1:35" s="648" customFormat="1" outlineLevel="2" x14ac:dyDescent="0.2">
      <c r="A113" s="601" t="s">
        <v>5807</v>
      </c>
      <c r="B113" s="752" t="s">
        <v>5808</v>
      </c>
      <c r="C113" s="751"/>
      <c r="D113" s="747"/>
      <c r="E113" s="747"/>
      <c r="F113" s="747"/>
      <c r="G113" s="1497">
        <v>2</v>
      </c>
      <c r="H113" s="1497">
        <v>2</v>
      </c>
      <c r="I113" s="1497"/>
      <c r="J113" s="1499" t="s">
        <v>2329</v>
      </c>
      <c r="K113" s="1495"/>
      <c r="L113" s="1495"/>
      <c r="M113" s="748"/>
      <c r="N113" s="611"/>
      <c r="O113" s="611"/>
      <c r="P113" s="611"/>
      <c r="Q113" s="611"/>
      <c r="R113" s="611"/>
      <c r="S113" s="611"/>
      <c r="T113" s="611"/>
      <c r="U113" s="611"/>
      <c r="V113" s="611"/>
      <c r="W113" s="611"/>
      <c r="X113" s="611"/>
      <c r="Y113" s="611"/>
      <c r="Z113" s="611"/>
      <c r="AA113">
        <f>IF(AND('09 App'!C113&gt;Tmin, NOT('09 App'!$I113="")),'09 App'!$I113,0)</f>
        <v>0</v>
      </c>
      <c r="AB113">
        <f>IF(AND('09 App'!D113&gt;Tmin, NOT('09 App'!$I113="")),'09 App'!$I113,0)</f>
        <v>0</v>
      </c>
      <c r="AC113">
        <f>IF(AND('09 App'!E113&gt;Tmin, NOT('09 App'!$I113="")),'09 App'!$I113,0)</f>
        <v>0</v>
      </c>
      <c r="AD113">
        <f>IF(AND('09 App'!F113&gt;Tmin, NOT('09 App'!$I113="")),'09 App'!$I113,0)</f>
        <v>0</v>
      </c>
      <c r="AE113">
        <f>IF(AND('09 App'!C113&lt;Tmax, NOT('09 App'!$H113="")),'09 App'!$H113,4)</f>
        <v>2</v>
      </c>
      <c r="AF113">
        <f>IF(AND('09 App'!D113&lt;Tmax, NOT('09 App'!$H113="")),'09 App'!$H113,4)</f>
        <v>2</v>
      </c>
      <c r="AG113">
        <f>IF(AND('09 App'!E113&lt;Tmax, NOT('09 App'!$H113="")),'09 App'!$H113,4)</f>
        <v>2</v>
      </c>
      <c r="AH113">
        <f>IF(AND('09 App'!F113&lt;Tmax, NOT('09 App'!$H113="")),'09 App'!$H113,4)</f>
        <v>2</v>
      </c>
      <c r="AI113"/>
    </row>
    <row r="114" spans="1:35" s="648" customFormat="1" x14ac:dyDescent="0.2">
      <c r="A114" s="602" t="s">
        <v>5809</v>
      </c>
      <c r="B114" s="756" t="s">
        <v>6086</v>
      </c>
      <c r="C114" s="751"/>
      <c r="D114" s="747"/>
      <c r="E114" s="747"/>
      <c r="F114" s="747"/>
      <c r="G114" s="1499"/>
      <c r="H114" s="1499"/>
      <c r="I114" s="1499"/>
      <c r="J114" s="1497"/>
      <c r="K114" s="1495"/>
      <c r="L114" s="1495"/>
      <c r="M114" s="748"/>
      <c r="N114" s="611"/>
      <c r="O114" s="611"/>
      <c r="P114" s="611"/>
      <c r="Q114" s="611"/>
      <c r="R114" s="611"/>
      <c r="S114" s="611"/>
      <c r="T114" s="611"/>
      <c r="U114" s="611"/>
      <c r="V114" s="611"/>
      <c r="W114" s="611"/>
      <c r="X114" s="611"/>
      <c r="Y114" s="611"/>
      <c r="Z114" s="611"/>
      <c r="AA114"/>
      <c r="AB114"/>
      <c r="AC114"/>
      <c r="AD114"/>
      <c r="AE114"/>
      <c r="AF114"/>
      <c r="AG114"/>
      <c r="AH114"/>
      <c r="AI114"/>
    </row>
    <row r="115" spans="1:35" s="648" customFormat="1" outlineLevel="1" x14ac:dyDescent="0.2">
      <c r="A115" s="749" t="s">
        <v>4189</v>
      </c>
      <c r="B115" s="750" t="s">
        <v>6392</v>
      </c>
      <c r="C115" s="751"/>
      <c r="D115" s="747"/>
      <c r="E115" s="747"/>
      <c r="F115" s="747"/>
      <c r="G115" s="1497"/>
      <c r="H115" s="1497"/>
      <c r="I115" s="1497"/>
      <c r="J115" s="1497"/>
      <c r="K115" s="1495"/>
      <c r="L115" s="1495"/>
      <c r="M115" s="748"/>
      <c r="N115" s="611"/>
      <c r="O115" s="611"/>
      <c r="P115" s="611"/>
      <c r="Q115" s="611"/>
      <c r="R115" s="611"/>
      <c r="S115" s="611"/>
      <c r="T115" s="611"/>
      <c r="U115" s="611"/>
      <c r="V115" s="611"/>
      <c r="W115" s="611"/>
      <c r="X115" s="611"/>
      <c r="Y115" s="611"/>
      <c r="Z115" s="611"/>
      <c r="AA115"/>
      <c r="AB115"/>
      <c r="AC115"/>
      <c r="AD115"/>
      <c r="AE115"/>
      <c r="AF115"/>
      <c r="AG115"/>
      <c r="AH115"/>
      <c r="AI115"/>
    </row>
    <row r="116" spans="1:35" s="648" customFormat="1" outlineLevel="2" x14ac:dyDescent="0.2">
      <c r="A116" s="601" t="s">
        <v>6393</v>
      </c>
      <c r="B116" s="752" t="s">
        <v>6394</v>
      </c>
      <c r="C116" s="751"/>
      <c r="D116" s="747"/>
      <c r="E116" s="747"/>
      <c r="F116" s="747"/>
      <c r="G116" s="1497">
        <v>4</v>
      </c>
      <c r="H116" s="1497">
        <v>2</v>
      </c>
      <c r="I116" s="1497"/>
      <c r="J116" s="1497" t="s">
        <v>1592</v>
      </c>
      <c r="K116" s="1495"/>
      <c r="L116" s="1495"/>
      <c r="M116" s="748"/>
      <c r="N116" s="611"/>
      <c r="O116" s="611"/>
      <c r="P116" s="611"/>
      <c r="Q116" s="611"/>
      <c r="R116" s="611"/>
      <c r="S116" s="611"/>
      <c r="T116" s="611"/>
      <c r="U116" s="611"/>
      <c r="V116" s="611"/>
      <c r="W116" s="611"/>
      <c r="X116" s="611"/>
      <c r="Y116" s="611"/>
      <c r="Z116" s="611"/>
      <c r="AA116">
        <f>IF(AND('09 App'!C116&gt;Tmin, NOT('09 App'!$I116="")),'09 App'!$I116,0)</f>
        <v>0</v>
      </c>
      <c r="AB116">
        <f>IF(AND('09 App'!D116&gt;Tmin, NOT('09 App'!$I116="")),'09 App'!$I116,0)</f>
        <v>0</v>
      </c>
      <c r="AC116">
        <f>IF(AND('09 App'!E116&gt;Tmin, NOT('09 App'!$I116="")),'09 App'!$I116,0)</f>
        <v>0</v>
      </c>
      <c r="AD116">
        <f>IF(AND('09 App'!F116&gt;Tmin, NOT('09 App'!$I116="")),'09 App'!$I116,0)</f>
        <v>0</v>
      </c>
      <c r="AE116">
        <f>IF(AND('09 App'!C116&lt;Tmax, NOT('09 App'!$H116="")),'09 App'!$H116,4)</f>
        <v>2</v>
      </c>
      <c r="AF116">
        <f>IF(AND('09 App'!D116&lt;Tmax, NOT('09 App'!$H116="")),'09 App'!$H116,4)</f>
        <v>2</v>
      </c>
      <c r="AG116">
        <f>IF(AND('09 App'!E116&lt;Tmax, NOT('09 App'!$H116="")),'09 App'!$H116,4)</f>
        <v>2</v>
      </c>
      <c r="AH116">
        <f>IF(AND('09 App'!F116&lt;Tmax, NOT('09 App'!$H116="")),'09 App'!$H116,4)</f>
        <v>2</v>
      </c>
      <c r="AI116"/>
    </row>
    <row r="117" spans="1:35" s="648" customFormat="1" ht="22.5" outlineLevel="2" x14ac:dyDescent="0.2">
      <c r="A117" s="601" t="s">
        <v>6395</v>
      </c>
      <c r="B117" s="752" t="s">
        <v>6396</v>
      </c>
      <c r="C117" s="751"/>
      <c r="D117" s="747"/>
      <c r="E117" s="747"/>
      <c r="F117" s="747"/>
      <c r="G117" s="1497">
        <v>4</v>
      </c>
      <c r="H117" s="1497"/>
      <c r="I117" s="1497">
        <v>3</v>
      </c>
      <c r="J117" s="1497" t="s">
        <v>1592</v>
      </c>
      <c r="K117" s="1495"/>
      <c r="L117" s="1495"/>
      <c r="M117" s="748"/>
      <c r="N117" s="611"/>
      <c r="O117" s="611"/>
      <c r="P117" s="611"/>
      <c r="Q117" s="611"/>
      <c r="R117" s="611"/>
      <c r="S117" s="611"/>
      <c r="T117" s="611"/>
      <c r="U117" s="611"/>
      <c r="V117" s="611"/>
      <c r="W117" s="611"/>
      <c r="X117" s="611"/>
      <c r="Y117" s="611"/>
      <c r="Z117" s="611"/>
      <c r="AA117">
        <f>IF(AND('09 App'!C117&gt;Tmin, NOT('09 App'!$I117="")),'09 App'!$I117,0)</f>
        <v>0</v>
      </c>
      <c r="AB117">
        <f>IF(AND('09 App'!D117&gt;Tmin, NOT('09 App'!$I117="")),'09 App'!$I117,0)</f>
        <v>0</v>
      </c>
      <c r="AC117">
        <f>IF(AND('09 App'!E117&gt;Tmin, NOT('09 App'!$I117="")),'09 App'!$I117,0)</f>
        <v>0</v>
      </c>
      <c r="AD117">
        <f>IF(AND('09 App'!F117&gt;Tmin, NOT('09 App'!$I117="")),'09 App'!$I117,0)</f>
        <v>0</v>
      </c>
      <c r="AE117">
        <f>IF(AND('09 App'!C117&lt;Tmax, NOT('09 App'!$H117="")),'09 App'!$H117,4)</f>
        <v>4</v>
      </c>
      <c r="AF117">
        <f>IF(AND('09 App'!D117&lt;Tmax, NOT('09 App'!$H117="")),'09 App'!$H117,4)</f>
        <v>4</v>
      </c>
      <c r="AG117">
        <f>IF(AND('09 App'!E117&lt;Tmax, NOT('09 App'!$H117="")),'09 App'!$H117,4)</f>
        <v>4</v>
      </c>
      <c r="AH117">
        <f>IF(AND('09 App'!F117&lt;Tmax, NOT('09 App'!$H117="")),'09 App'!$H117,4)</f>
        <v>4</v>
      </c>
      <c r="AI117"/>
    </row>
    <row r="118" spans="1:35" s="648" customFormat="1" ht="22.5" outlineLevel="2" x14ac:dyDescent="0.2">
      <c r="A118" s="601" t="s">
        <v>6338</v>
      </c>
      <c r="B118" s="752" t="s">
        <v>5693</v>
      </c>
      <c r="C118" s="751"/>
      <c r="D118" s="747"/>
      <c r="E118" s="747"/>
      <c r="F118" s="747"/>
      <c r="G118" s="1497">
        <v>4</v>
      </c>
      <c r="H118" s="1497"/>
      <c r="I118" s="1497"/>
      <c r="J118" s="1497" t="s">
        <v>2329</v>
      </c>
      <c r="K118" s="1495"/>
      <c r="L118" s="1495"/>
      <c r="M118" s="748"/>
      <c r="N118" s="611"/>
      <c r="O118" s="611"/>
      <c r="P118" s="611"/>
      <c r="Q118" s="611"/>
      <c r="R118" s="611"/>
      <c r="S118" s="611"/>
      <c r="T118" s="611"/>
      <c r="U118" s="611"/>
      <c r="V118" s="611"/>
      <c r="W118" s="611"/>
      <c r="X118" s="611"/>
      <c r="Y118" s="611"/>
      <c r="Z118" s="611"/>
      <c r="AA118">
        <f>IF(AND('09 App'!C118&gt;Tmin, NOT('09 App'!$I118="")),'09 App'!$I118,0)</f>
        <v>0</v>
      </c>
      <c r="AB118">
        <f>IF(AND('09 App'!D118&gt;Tmin, NOT('09 App'!$I118="")),'09 App'!$I118,0)</f>
        <v>0</v>
      </c>
      <c r="AC118">
        <f>IF(AND('09 App'!E118&gt;Tmin, NOT('09 App'!$I118="")),'09 App'!$I118,0)</f>
        <v>0</v>
      </c>
      <c r="AD118">
        <f>IF(AND('09 App'!F118&gt;Tmin, NOT('09 App'!$I118="")),'09 App'!$I118,0)</f>
        <v>0</v>
      </c>
      <c r="AE118">
        <f>IF(AND('09 App'!C118&lt;Tmax, NOT('09 App'!$H118="")),'09 App'!$H118,4)</f>
        <v>4</v>
      </c>
      <c r="AF118">
        <f>IF(AND('09 App'!D118&lt;Tmax, NOT('09 App'!$H118="")),'09 App'!$H118,4)</f>
        <v>4</v>
      </c>
      <c r="AG118">
        <f>IF(AND('09 App'!E118&lt;Tmax, NOT('09 App'!$H118="")),'09 App'!$H118,4)</f>
        <v>4</v>
      </c>
      <c r="AH118">
        <f>IF(AND('09 App'!F118&lt;Tmax, NOT('09 App'!$H118="")),'09 App'!$H118,4)</f>
        <v>4</v>
      </c>
      <c r="AI118"/>
    </row>
    <row r="119" spans="1:35" s="648" customFormat="1" ht="22.5" outlineLevel="2" x14ac:dyDescent="0.2">
      <c r="A119" s="601" t="s">
        <v>5694</v>
      </c>
      <c r="B119" s="752" t="s">
        <v>4933</v>
      </c>
      <c r="C119" s="751"/>
      <c r="D119" s="747"/>
      <c r="E119" s="747"/>
      <c r="F119" s="747"/>
      <c r="G119" s="1497">
        <v>4</v>
      </c>
      <c r="H119" s="1497"/>
      <c r="I119" s="1497"/>
      <c r="J119" s="1497" t="s">
        <v>1592</v>
      </c>
      <c r="K119" s="1495"/>
      <c r="L119" s="1495"/>
      <c r="M119" s="748"/>
      <c r="N119" s="611"/>
      <c r="O119" s="611"/>
      <c r="P119" s="611"/>
      <c r="Q119" s="611"/>
      <c r="R119" s="611"/>
      <c r="S119" s="611"/>
      <c r="T119" s="611"/>
      <c r="U119" s="611"/>
      <c r="V119" s="611"/>
      <c r="W119" s="611"/>
      <c r="X119" s="611"/>
      <c r="Y119" s="611"/>
      <c r="Z119" s="611"/>
      <c r="AA119">
        <f>IF(AND('09 App'!C119&gt;Tmin, NOT('09 App'!$I119="")),'09 App'!$I119,0)</f>
        <v>0</v>
      </c>
      <c r="AB119">
        <f>IF(AND('09 App'!D119&gt;Tmin, NOT('09 App'!$I119="")),'09 App'!$I119,0)</f>
        <v>0</v>
      </c>
      <c r="AC119">
        <f>IF(AND('09 App'!E119&gt;Tmin, NOT('09 App'!$I119="")),'09 App'!$I119,0)</f>
        <v>0</v>
      </c>
      <c r="AD119">
        <f>IF(AND('09 App'!F119&gt;Tmin, NOT('09 App'!$I119="")),'09 App'!$I119,0)</f>
        <v>0</v>
      </c>
      <c r="AE119">
        <f>IF(AND('09 App'!C119&lt;Tmax, NOT('09 App'!$H119="")),'09 App'!$H119,4)</f>
        <v>4</v>
      </c>
      <c r="AF119">
        <f>IF(AND('09 App'!D119&lt;Tmax, NOT('09 App'!$H119="")),'09 App'!$H119,4)</f>
        <v>4</v>
      </c>
      <c r="AG119">
        <f>IF(AND('09 App'!E119&lt;Tmax, NOT('09 App'!$H119="")),'09 App'!$H119,4)</f>
        <v>4</v>
      </c>
      <c r="AH119">
        <f>IF(AND('09 App'!F119&lt;Tmax, NOT('09 App'!$H119="")),'09 App'!$H119,4)</f>
        <v>4</v>
      </c>
      <c r="AI119"/>
    </row>
    <row r="120" spans="1:35" outlineLevel="1" x14ac:dyDescent="0.2">
      <c r="A120" s="749" t="s">
        <v>5998</v>
      </c>
      <c r="B120" s="750" t="s">
        <v>5870</v>
      </c>
      <c r="C120" s="751"/>
      <c r="D120" s="747"/>
      <c r="E120" s="747"/>
      <c r="F120" s="747"/>
      <c r="G120" s="1497"/>
      <c r="H120" s="1497"/>
      <c r="I120" s="1497"/>
      <c r="J120" s="1497"/>
      <c r="K120" s="1495"/>
      <c r="L120" s="1495"/>
      <c r="M120" s="748"/>
      <c r="AA120"/>
      <c r="AB120"/>
      <c r="AC120"/>
      <c r="AD120"/>
      <c r="AE120"/>
      <c r="AF120"/>
      <c r="AG120"/>
      <c r="AH120"/>
      <c r="AI120"/>
    </row>
    <row r="121" spans="1:35" outlineLevel="2" x14ac:dyDescent="0.2">
      <c r="A121" s="601" t="s">
        <v>4934</v>
      </c>
      <c r="B121" s="752" t="s">
        <v>5913</v>
      </c>
      <c r="C121" s="751"/>
      <c r="D121" s="747"/>
      <c r="E121" s="747"/>
      <c r="F121" s="747"/>
      <c r="G121" s="1497">
        <v>4</v>
      </c>
      <c r="H121" s="1497">
        <v>3</v>
      </c>
      <c r="I121" s="1497"/>
      <c r="J121" s="1497" t="s">
        <v>4246</v>
      </c>
      <c r="K121" s="1495"/>
      <c r="L121" s="1495"/>
      <c r="M121" s="748"/>
      <c r="AA121">
        <f>IF(AND('09 App'!C121&gt;Tmin, NOT('09 App'!$I121="")),'09 App'!$I121,0)</f>
        <v>0</v>
      </c>
      <c r="AB121">
        <f>IF(AND('09 App'!D121&gt;Tmin, NOT('09 App'!$I121="")),'09 App'!$I121,0)</f>
        <v>0</v>
      </c>
      <c r="AC121">
        <f>IF(AND('09 App'!E121&gt;Tmin, NOT('09 App'!$I121="")),'09 App'!$I121,0)</f>
        <v>0</v>
      </c>
      <c r="AD121">
        <f>IF(AND('09 App'!F121&gt;Tmin, NOT('09 App'!$I121="")),'09 App'!$I121,0)</f>
        <v>0</v>
      </c>
      <c r="AE121">
        <f>IF(AND('09 App'!C121&lt;Tmax, NOT('09 App'!$H121="")),'09 App'!$H121,4)</f>
        <v>3</v>
      </c>
      <c r="AF121">
        <f>IF(AND('09 App'!D121&lt;Tmax, NOT('09 App'!$H121="")),'09 App'!$H121,4)</f>
        <v>3</v>
      </c>
      <c r="AG121">
        <f>IF(AND('09 App'!E121&lt;Tmax, NOT('09 App'!$H121="")),'09 App'!$H121,4)</f>
        <v>3</v>
      </c>
      <c r="AH121">
        <f>IF(AND('09 App'!F121&lt;Tmax, NOT('09 App'!$H121="")),'09 App'!$H121,4)</f>
        <v>3</v>
      </c>
      <c r="AI121"/>
    </row>
    <row r="122" spans="1:35" ht="22.5" outlineLevel="2" x14ac:dyDescent="0.2">
      <c r="A122" s="601" t="s">
        <v>4935</v>
      </c>
      <c r="B122" s="752" t="s">
        <v>6423</v>
      </c>
      <c r="C122" s="751"/>
      <c r="D122" s="747"/>
      <c r="E122" s="747"/>
      <c r="F122" s="747"/>
      <c r="G122" s="1497">
        <v>4</v>
      </c>
      <c r="H122" s="1497">
        <v>3</v>
      </c>
      <c r="I122" s="1497"/>
      <c r="J122" s="1497" t="s">
        <v>4246</v>
      </c>
      <c r="K122" s="1495"/>
      <c r="L122" s="1495"/>
      <c r="M122" s="748"/>
      <c r="AA122">
        <f>IF(AND('09 App'!C122&gt;Tmin, NOT('09 App'!$I122="")),'09 App'!$I122,0)</f>
        <v>0</v>
      </c>
      <c r="AB122">
        <f>IF(AND('09 App'!D122&gt;Tmin, NOT('09 App'!$I122="")),'09 App'!$I122,0)</f>
        <v>0</v>
      </c>
      <c r="AC122">
        <f>IF(AND('09 App'!E122&gt;Tmin, NOT('09 App'!$I122="")),'09 App'!$I122,0)</f>
        <v>0</v>
      </c>
      <c r="AD122">
        <f>IF(AND('09 App'!F122&gt;Tmin, NOT('09 App'!$I122="")),'09 App'!$I122,0)</f>
        <v>0</v>
      </c>
      <c r="AE122">
        <f>IF(AND('09 App'!C122&lt;Tmax, NOT('09 App'!$H122="")),'09 App'!$H122,4)</f>
        <v>3</v>
      </c>
      <c r="AF122">
        <f>IF(AND('09 App'!D122&lt;Tmax, NOT('09 App'!$H122="")),'09 App'!$H122,4)</f>
        <v>3</v>
      </c>
      <c r="AG122">
        <f>IF(AND('09 App'!E122&lt;Tmax, NOT('09 App'!$H122="")),'09 App'!$H122,4)</f>
        <v>3</v>
      </c>
      <c r="AH122">
        <f>IF(AND('09 App'!F122&lt;Tmax, NOT('09 App'!$H122="")),'09 App'!$H122,4)</f>
        <v>3</v>
      </c>
      <c r="AI122"/>
    </row>
    <row r="123" spans="1:35" ht="22.5" outlineLevel="2" x14ac:dyDescent="0.2">
      <c r="A123" s="601" t="s">
        <v>6258</v>
      </c>
      <c r="B123" s="752" t="s">
        <v>4853</v>
      </c>
      <c r="C123" s="751"/>
      <c r="D123" s="747"/>
      <c r="E123" s="747"/>
      <c r="F123" s="747"/>
      <c r="G123" s="1497">
        <v>4</v>
      </c>
      <c r="H123" s="1497">
        <v>3</v>
      </c>
      <c r="I123" s="1497"/>
      <c r="J123" s="1497" t="s">
        <v>1592</v>
      </c>
      <c r="K123" s="1495"/>
      <c r="L123" s="1495"/>
      <c r="M123" s="748"/>
      <c r="AA123">
        <f>IF(AND('09 App'!C123&gt;Tmin, NOT('09 App'!$I123="")),'09 App'!$I123,0)</f>
        <v>0</v>
      </c>
      <c r="AB123">
        <f>IF(AND('09 App'!D123&gt;Tmin, NOT('09 App'!$I123="")),'09 App'!$I123,0)</f>
        <v>0</v>
      </c>
      <c r="AC123">
        <f>IF(AND('09 App'!E123&gt;Tmin, NOT('09 App'!$I123="")),'09 App'!$I123,0)</f>
        <v>0</v>
      </c>
      <c r="AD123">
        <f>IF(AND('09 App'!F123&gt;Tmin, NOT('09 App'!$I123="")),'09 App'!$I123,0)</f>
        <v>0</v>
      </c>
      <c r="AE123">
        <f>IF(AND('09 App'!C123&lt;Tmax, NOT('09 App'!$H123="")),'09 App'!$H123,4)</f>
        <v>3</v>
      </c>
      <c r="AF123">
        <f>IF(AND('09 App'!D123&lt;Tmax, NOT('09 App'!$H123="")),'09 App'!$H123,4)</f>
        <v>3</v>
      </c>
      <c r="AG123">
        <f>IF(AND('09 App'!E123&lt;Tmax, NOT('09 App'!$H123="")),'09 App'!$H123,4)</f>
        <v>3</v>
      </c>
      <c r="AH123">
        <f>IF(AND('09 App'!F123&lt;Tmax, NOT('09 App'!$H123="")),'09 App'!$H123,4)</f>
        <v>3</v>
      </c>
      <c r="AI123"/>
    </row>
    <row r="124" spans="1:35" ht="21" customHeight="1" outlineLevel="2" x14ac:dyDescent="0.2">
      <c r="A124" s="601" t="s">
        <v>6259</v>
      </c>
      <c r="B124" s="752" t="s">
        <v>4854</v>
      </c>
      <c r="C124" s="751"/>
      <c r="D124" s="747"/>
      <c r="E124" s="747"/>
      <c r="F124" s="747"/>
      <c r="G124" s="1497">
        <v>4</v>
      </c>
      <c r="H124" s="1497">
        <v>3</v>
      </c>
      <c r="I124" s="1497"/>
      <c r="J124" s="1497" t="s">
        <v>1592</v>
      </c>
      <c r="K124" s="1495"/>
      <c r="L124" s="1495"/>
      <c r="M124" s="748"/>
      <c r="AA124">
        <f>IF(AND('09 App'!C124&gt;Tmin, NOT('09 App'!$I124="")),'09 App'!$I124,0)</f>
        <v>0</v>
      </c>
      <c r="AB124">
        <f>IF(AND('09 App'!D124&gt;Tmin, NOT('09 App'!$I124="")),'09 App'!$I124,0)</f>
        <v>0</v>
      </c>
      <c r="AC124">
        <f>IF(AND('09 App'!E124&gt;Tmin, NOT('09 App'!$I124="")),'09 App'!$I124,0)</f>
        <v>0</v>
      </c>
      <c r="AD124">
        <f>IF(AND('09 App'!F124&gt;Tmin, NOT('09 App'!$I124="")),'09 App'!$I124,0)</f>
        <v>0</v>
      </c>
      <c r="AE124">
        <f>IF(AND('09 App'!C124&lt;Tmax, NOT('09 App'!$H124="")),'09 App'!$H124,4)</f>
        <v>3</v>
      </c>
      <c r="AF124">
        <f>IF(AND('09 App'!D124&lt;Tmax, NOT('09 App'!$H124="")),'09 App'!$H124,4)</f>
        <v>3</v>
      </c>
      <c r="AG124">
        <f>IF(AND('09 App'!E124&lt;Tmax, NOT('09 App'!$H124="")),'09 App'!$H124,4)</f>
        <v>3</v>
      </c>
      <c r="AH124">
        <f>IF(AND('09 App'!F124&lt;Tmax, NOT('09 App'!$H124="")),'09 App'!$H124,4)</f>
        <v>3</v>
      </c>
      <c r="AI124"/>
    </row>
    <row r="125" spans="1:35" ht="22.5" outlineLevel="2" x14ac:dyDescent="0.2">
      <c r="A125" s="601" t="s">
        <v>6260</v>
      </c>
      <c r="B125" s="752" t="s">
        <v>6685</v>
      </c>
      <c r="C125" s="751"/>
      <c r="D125" s="747"/>
      <c r="E125" s="747"/>
      <c r="F125" s="747"/>
      <c r="G125" s="1497">
        <v>2</v>
      </c>
      <c r="H125" s="1497">
        <v>3</v>
      </c>
      <c r="I125" s="1497"/>
      <c r="J125" s="1497" t="s">
        <v>1592</v>
      </c>
      <c r="K125" s="1495"/>
      <c r="L125" s="1495"/>
      <c r="M125" s="748"/>
      <c r="AA125">
        <f>IF(AND('09 App'!C125&gt;Tmin, NOT('09 App'!$I125="")),'09 App'!$I125,0)</f>
        <v>0</v>
      </c>
      <c r="AB125">
        <f>IF(AND('09 App'!D125&gt;Tmin, NOT('09 App'!$I125="")),'09 App'!$I125,0)</f>
        <v>0</v>
      </c>
      <c r="AC125">
        <f>IF(AND('09 App'!E125&gt;Tmin, NOT('09 App'!$I125="")),'09 App'!$I125,0)</f>
        <v>0</v>
      </c>
      <c r="AD125">
        <f>IF(AND('09 App'!F125&gt;Tmin, NOT('09 App'!$I125="")),'09 App'!$I125,0)</f>
        <v>0</v>
      </c>
      <c r="AE125">
        <f>IF(AND('09 App'!C125&lt;Tmax, NOT('09 App'!$H125="")),'09 App'!$H125,4)</f>
        <v>3</v>
      </c>
      <c r="AF125">
        <f>IF(AND('09 App'!D125&lt;Tmax, NOT('09 App'!$H125="")),'09 App'!$H125,4)</f>
        <v>3</v>
      </c>
      <c r="AG125">
        <f>IF(AND('09 App'!E125&lt;Tmax, NOT('09 App'!$H125="")),'09 App'!$H125,4)</f>
        <v>3</v>
      </c>
      <c r="AH125">
        <f>IF(AND('09 App'!F125&lt;Tmax, NOT('09 App'!$H125="")),'09 App'!$H125,4)</f>
        <v>3</v>
      </c>
      <c r="AI125"/>
    </row>
    <row r="126" spans="1:35" x14ac:dyDescent="0.2">
      <c r="A126" s="602" t="s">
        <v>6686</v>
      </c>
      <c r="B126" s="756" t="s">
        <v>5049</v>
      </c>
      <c r="C126" s="751"/>
      <c r="D126" s="747"/>
      <c r="E126" s="747"/>
      <c r="F126" s="747"/>
      <c r="G126" s="1499"/>
      <c r="H126" s="1499"/>
      <c r="I126" s="1499"/>
      <c r="J126" s="1497"/>
      <c r="K126" s="1495"/>
      <c r="L126" s="1495"/>
      <c r="M126" s="754"/>
      <c r="AA126"/>
      <c r="AB126"/>
      <c r="AC126"/>
      <c r="AD126"/>
      <c r="AE126"/>
      <c r="AF126"/>
      <c r="AG126"/>
      <c r="AH126"/>
      <c r="AI126"/>
    </row>
    <row r="127" spans="1:35" outlineLevel="1" x14ac:dyDescent="0.2">
      <c r="A127" s="749" t="s">
        <v>5928</v>
      </c>
      <c r="B127" s="750" t="s">
        <v>3209</v>
      </c>
      <c r="C127" s="751"/>
      <c r="D127" s="747"/>
      <c r="E127" s="747"/>
      <c r="F127" s="747"/>
      <c r="G127" s="1497"/>
      <c r="H127" s="1497"/>
      <c r="I127" s="1497"/>
      <c r="J127" s="1497"/>
      <c r="K127" s="1495"/>
      <c r="L127" s="1495"/>
      <c r="M127" s="754"/>
      <c r="AA127"/>
      <c r="AB127"/>
      <c r="AC127"/>
      <c r="AD127"/>
      <c r="AE127"/>
      <c r="AF127"/>
      <c r="AG127"/>
      <c r="AH127"/>
      <c r="AI127"/>
    </row>
    <row r="128" spans="1:35" ht="22.5" outlineLevel="2" x14ac:dyDescent="0.2">
      <c r="A128" s="601" t="s">
        <v>6687</v>
      </c>
      <c r="B128" s="752" t="s">
        <v>6631</v>
      </c>
      <c r="C128" s="751"/>
      <c r="D128" s="747"/>
      <c r="E128" s="747"/>
      <c r="F128" s="747"/>
      <c r="G128" s="1497">
        <v>4</v>
      </c>
      <c r="H128" s="1497">
        <v>2</v>
      </c>
      <c r="I128" s="1497"/>
      <c r="J128" s="1497" t="s">
        <v>1592</v>
      </c>
      <c r="K128" s="1495"/>
      <c r="L128" s="1495" t="s">
        <v>7375</v>
      </c>
      <c r="M128" s="754"/>
      <c r="AA128">
        <f>IF(AND('09 App'!C128&gt;Tmin, NOT('09 App'!$I128="")),'09 App'!$I128,0)</f>
        <v>0</v>
      </c>
      <c r="AB128">
        <f>IF(AND('09 App'!D128&gt;Tmin, NOT('09 App'!$I128="")),'09 App'!$I128,0)</f>
        <v>0</v>
      </c>
      <c r="AC128">
        <f>IF(AND('09 App'!E128&gt;Tmin, NOT('09 App'!$I128="")),'09 App'!$I128,0)</f>
        <v>0</v>
      </c>
      <c r="AD128">
        <f>IF(AND('09 App'!F128&gt;Tmin, NOT('09 App'!$I128="")),'09 App'!$I128,0)</f>
        <v>0</v>
      </c>
      <c r="AE128">
        <f>IF(AND('09 App'!C128&lt;Tmax, NOT('09 App'!$H128="")),'09 App'!$H128,4)</f>
        <v>2</v>
      </c>
      <c r="AF128">
        <f>IF(AND('09 App'!D128&lt;Tmax, NOT('09 App'!$H128="")),'09 App'!$H128,4)</f>
        <v>2</v>
      </c>
      <c r="AG128">
        <f>IF(AND('09 App'!E128&lt;Tmax, NOT('09 App'!$H128="")),'09 App'!$H128,4)</f>
        <v>2</v>
      </c>
      <c r="AH128">
        <f>IF(AND('09 App'!F128&lt;Tmax, NOT('09 App'!$H128="")),'09 App'!$H128,4)</f>
        <v>2</v>
      </c>
      <c r="AI128"/>
    </row>
    <row r="129" spans="1:35" ht="57.75" customHeight="1" outlineLevel="2" x14ac:dyDescent="0.2">
      <c r="A129" s="601" t="s">
        <v>6688</v>
      </c>
      <c r="B129" s="752" t="s">
        <v>5999</v>
      </c>
      <c r="C129" s="751"/>
      <c r="D129" s="747"/>
      <c r="E129" s="747"/>
      <c r="F129" s="747"/>
      <c r="G129" s="1497">
        <v>4</v>
      </c>
      <c r="H129" s="1497">
        <v>2</v>
      </c>
      <c r="I129" s="1497"/>
      <c r="J129" s="1497" t="s">
        <v>1592</v>
      </c>
      <c r="K129" s="1495"/>
      <c r="L129" s="1495"/>
      <c r="M129" s="754"/>
      <c r="AA129">
        <f>IF(AND('09 App'!C129&gt;Tmin, NOT('09 App'!$I129="")),'09 App'!$I129,0)</f>
        <v>0</v>
      </c>
      <c r="AB129">
        <f>IF(AND('09 App'!D129&gt;Tmin, NOT('09 App'!$I129="")),'09 App'!$I129,0)</f>
        <v>0</v>
      </c>
      <c r="AC129">
        <f>IF(AND('09 App'!E129&gt;Tmin, NOT('09 App'!$I129="")),'09 App'!$I129,0)</f>
        <v>0</v>
      </c>
      <c r="AD129">
        <f>IF(AND('09 App'!F129&gt;Tmin, NOT('09 App'!$I129="")),'09 App'!$I129,0)</f>
        <v>0</v>
      </c>
      <c r="AE129">
        <f>IF(AND('09 App'!C129&lt;Tmax, NOT('09 App'!$H129="")),'09 App'!$H129,4)</f>
        <v>2</v>
      </c>
      <c r="AF129">
        <f>IF(AND('09 App'!D129&lt;Tmax, NOT('09 App'!$H129="")),'09 App'!$H129,4)</f>
        <v>2</v>
      </c>
      <c r="AG129">
        <f>IF(AND('09 App'!E129&lt;Tmax, NOT('09 App'!$H129="")),'09 App'!$H129,4)</f>
        <v>2</v>
      </c>
      <c r="AH129">
        <f>IF(AND('09 App'!F129&lt;Tmax, NOT('09 App'!$H129="")),'09 App'!$H129,4)</f>
        <v>2</v>
      </c>
      <c r="AI129"/>
    </row>
    <row r="130" spans="1:35" ht="35.25" customHeight="1" outlineLevel="2" x14ac:dyDescent="0.2">
      <c r="A130" s="601" t="s">
        <v>6084</v>
      </c>
      <c r="B130" s="752" t="s">
        <v>2456</v>
      </c>
      <c r="C130" s="751"/>
      <c r="D130" s="747"/>
      <c r="E130" s="747"/>
      <c r="F130" s="747"/>
      <c r="G130" s="1497">
        <v>2</v>
      </c>
      <c r="H130" s="1497"/>
      <c r="I130" s="1497"/>
      <c r="J130" s="1497" t="s">
        <v>2329</v>
      </c>
      <c r="K130" s="1495"/>
      <c r="L130" s="1495"/>
      <c r="M130" s="754"/>
      <c r="AA130">
        <f>IF(AND('09 App'!C130&gt;Tmin, NOT('09 App'!$I130="")),'09 App'!$I130,0)</f>
        <v>0</v>
      </c>
      <c r="AB130">
        <f>IF(AND('09 App'!D130&gt;Tmin, NOT('09 App'!$I130="")),'09 App'!$I130,0)</f>
        <v>0</v>
      </c>
      <c r="AC130">
        <f>IF(AND('09 App'!E130&gt;Tmin, NOT('09 App'!$I130="")),'09 App'!$I130,0)</f>
        <v>0</v>
      </c>
      <c r="AD130">
        <f>IF(AND('09 App'!F130&gt;Tmin, NOT('09 App'!$I130="")),'09 App'!$I130,0)</f>
        <v>0</v>
      </c>
      <c r="AE130">
        <f>IF(AND('09 App'!C130&lt;Tmax, NOT('09 App'!$H130="")),'09 App'!$H130,4)</f>
        <v>4</v>
      </c>
      <c r="AF130">
        <f>IF(AND('09 App'!D130&lt;Tmax, NOT('09 App'!$H130="")),'09 App'!$H130,4)</f>
        <v>4</v>
      </c>
      <c r="AG130">
        <f>IF(AND('09 App'!E130&lt;Tmax, NOT('09 App'!$H130="")),'09 App'!$H130,4)</f>
        <v>4</v>
      </c>
      <c r="AH130">
        <f>IF(AND('09 App'!F130&lt;Tmax, NOT('09 App'!$H130="")),'09 App'!$H130,4)</f>
        <v>4</v>
      </c>
      <c r="AI130"/>
    </row>
    <row r="131" spans="1:35" ht="22.5" outlineLevel="2" x14ac:dyDescent="0.2">
      <c r="A131" s="601" t="s">
        <v>6085</v>
      </c>
      <c r="B131" s="752" t="s">
        <v>6635</v>
      </c>
      <c r="C131" s="751"/>
      <c r="D131" s="747"/>
      <c r="E131" s="747"/>
      <c r="F131" s="747"/>
      <c r="G131" s="1497">
        <v>2</v>
      </c>
      <c r="H131" s="1497"/>
      <c r="I131" s="1497"/>
      <c r="J131" s="1497" t="s">
        <v>2349</v>
      </c>
      <c r="K131" s="1495"/>
      <c r="L131" s="1495"/>
      <c r="M131" s="754"/>
      <c r="AA131">
        <f>IF(AND('09 App'!C131&gt;Tmin, NOT('09 App'!$I131="")),'09 App'!$I131,0)</f>
        <v>0</v>
      </c>
      <c r="AB131">
        <f>IF(AND('09 App'!D131&gt;Tmin, NOT('09 App'!$I131="")),'09 App'!$I131,0)</f>
        <v>0</v>
      </c>
      <c r="AC131">
        <f>IF(AND('09 App'!E131&gt;Tmin, NOT('09 App'!$I131="")),'09 App'!$I131,0)</f>
        <v>0</v>
      </c>
      <c r="AD131">
        <f>IF(AND('09 App'!F131&gt;Tmin, NOT('09 App'!$I131="")),'09 App'!$I131,0)</f>
        <v>0</v>
      </c>
      <c r="AE131">
        <f>IF(AND('09 App'!C131&lt;Tmax, NOT('09 App'!$H131="")),'09 App'!$H131,4)</f>
        <v>4</v>
      </c>
      <c r="AF131">
        <f>IF(AND('09 App'!D131&lt;Tmax, NOT('09 App'!$H131="")),'09 App'!$H131,4)</f>
        <v>4</v>
      </c>
      <c r="AG131">
        <f>IF(AND('09 App'!E131&lt;Tmax, NOT('09 App'!$H131="")),'09 App'!$H131,4)</f>
        <v>4</v>
      </c>
      <c r="AH131">
        <f>IF(AND('09 App'!F131&lt;Tmax, NOT('09 App'!$H131="")),'09 App'!$H131,4)</f>
        <v>4</v>
      </c>
      <c r="AI131"/>
    </row>
    <row r="132" spans="1:35" ht="22.5" outlineLevel="2" x14ac:dyDescent="0.2">
      <c r="A132" s="601" t="s">
        <v>1146</v>
      </c>
      <c r="B132" s="752" t="s">
        <v>3336</v>
      </c>
      <c r="C132" s="751"/>
      <c r="D132" s="747"/>
      <c r="E132" s="747"/>
      <c r="F132" s="747"/>
      <c r="G132" s="1497">
        <v>2</v>
      </c>
      <c r="H132" s="1497">
        <v>2</v>
      </c>
      <c r="I132" s="1497"/>
      <c r="J132" s="1497" t="s">
        <v>2109</v>
      </c>
      <c r="K132" s="1495"/>
      <c r="L132" s="1495"/>
      <c r="M132" s="754"/>
      <c r="AA132">
        <f>IF(AND('09 App'!C132&gt;Tmin, NOT('09 App'!$I132="")),'09 App'!$I132,0)</f>
        <v>0</v>
      </c>
      <c r="AB132">
        <f>IF(AND('09 App'!D132&gt;Tmin, NOT('09 App'!$I132="")),'09 App'!$I132,0)</f>
        <v>0</v>
      </c>
      <c r="AC132">
        <f>IF(AND('09 App'!E132&gt;Tmin, NOT('09 App'!$I132="")),'09 App'!$I132,0)</f>
        <v>0</v>
      </c>
      <c r="AD132">
        <f>IF(AND('09 App'!F132&gt;Tmin, NOT('09 App'!$I132="")),'09 App'!$I132,0)</f>
        <v>0</v>
      </c>
      <c r="AE132">
        <f>IF(AND('09 App'!C132&lt;Tmax, NOT('09 App'!$H132="")),'09 App'!$H132,4)</f>
        <v>2</v>
      </c>
      <c r="AF132">
        <f>IF(AND('09 App'!D132&lt;Tmax, NOT('09 App'!$H132="")),'09 App'!$H132,4)</f>
        <v>2</v>
      </c>
      <c r="AG132">
        <f>IF(AND('09 App'!E132&lt;Tmax, NOT('09 App'!$H132="")),'09 App'!$H132,4)</f>
        <v>2</v>
      </c>
      <c r="AH132">
        <f>IF(AND('09 App'!F132&lt;Tmax, NOT('09 App'!$H132="")),'09 App'!$H132,4)</f>
        <v>2</v>
      </c>
      <c r="AI132"/>
    </row>
    <row r="133" spans="1:35" outlineLevel="1" x14ac:dyDescent="0.2">
      <c r="A133" s="749" t="s">
        <v>3210</v>
      </c>
      <c r="B133" s="750" t="s">
        <v>2215</v>
      </c>
      <c r="C133" s="751"/>
      <c r="D133" s="747"/>
      <c r="E133" s="747"/>
      <c r="F133" s="747"/>
      <c r="G133" s="1497"/>
      <c r="H133" s="1497"/>
      <c r="I133" s="1497"/>
      <c r="J133" s="1497"/>
      <c r="K133" s="1495"/>
      <c r="L133" s="1495"/>
      <c r="M133" s="754"/>
      <c r="AA133"/>
      <c r="AB133"/>
      <c r="AC133"/>
      <c r="AD133"/>
      <c r="AE133"/>
      <c r="AF133"/>
      <c r="AG133"/>
      <c r="AH133"/>
      <c r="AI133"/>
    </row>
    <row r="134" spans="1:35" outlineLevel="2" x14ac:dyDescent="0.2">
      <c r="A134" s="601" t="s">
        <v>2216</v>
      </c>
      <c r="B134" s="752" t="s">
        <v>6636</v>
      </c>
      <c r="C134" s="751"/>
      <c r="D134" s="747"/>
      <c r="E134" s="747"/>
      <c r="F134" s="747"/>
      <c r="G134" s="1497">
        <v>3</v>
      </c>
      <c r="H134" s="1497"/>
      <c r="I134" s="1497"/>
      <c r="J134" s="1497" t="s">
        <v>4246</v>
      </c>
      <c r="K134" s="1498" t="s">
        <v>6903</v>
      </c>
      <c r="L134" s="1495" t="s">
        <v>5895</v>
      </c>
      <c r="M134" s="754"/>
      <c r="AA134">
        <f>IF(AND('09 App'!C134&gt;Tmin, NOT('09 App'!$I134="")),'09 App'!$I134,0)</f>
        <v>0</v>
      </c>
      <c r="AB134">
        <f>IF(AND('09 App'!D134&gt;Tmin, NOT('09 App'!$I134="")),'09 App'!$I134,0)</f>
        <v>0</v>
      </c>
      <c r="AC134">
        <f>IF(AND('09 App'!E134&gt;Tmin, NOT('09 App'!$I134="")),'09 App'!$I134,0)</f>
        <v>0</v>
      </c>
      <c r="AD134">
        <f>IF(AND('09 App'!F134&gt;Tmin, NOT('09 App'!$I134="")),'09 App'!$I134,0)</f>
        <v>0</v>
      </c>
      <c r="AE134">
        <f>IF(AND('09 App'!C134&lt;Tmax, NOT('09 App'!$H134="")),'09 App'!$H134,4)</f>
        <v>4</v>
      </c>
      <c r="AF134">
        <f>IF(AND('09 App'!D134&lt;Tmax, NOT('09 App'!$H134="")),'09 App'!$H134,4)</f>
        <v>4</v>
      </c>
      <c r="AG134">
        <f>IF(AND('09 App'!E134&lt;Tmax, NOT('09 App'!$H134="")),'09 App'!$H134,4)</f>
        <v>4</v>
      </c>
      <c r="AH134">
        <f>IF(AND('09 App'!F134&lt;Tmax, NOT('09 App'!$H134="")),'09 App'!$H134,4)</f>
        <v>4</v>
      </c>
      <c r="AI134"/>
    </row>
    <row r="135" spans="1:35" ht="22.5" outlineLevel="2" x14ac:dyDescent="0.2">
      <c r="A135" s="601" t="s">
        <v>2217</v>
      </c>
      <c r="B135" s="752" t="s">
        <v>6637</v>
      </c>
      <c r="C135" s="751"/>
      <c r="D135" s="747"/>
      <c r="E135" s="747"/>
      <c r="F135" s="747"/>
      <c r="G135" s="1497">
        <v>3</v>
      </c>
      <c r="H135" s="1497">
        <v>2</v>
      </c>
      <c r="I135" s="1497"/>
      <c r="J135" s="1497" t="s">
        <v>4246</v>
      </c>
      <c r="K135" s="1498" t="s">
        <v>6903</v>
      </c>
      <c r="L135" s="1495" t="s">
        <v>5895</v>
      </c>
      <c r="M135" s="754"/>
      <c r="AA135">
        <f>IF(AND('09 App'!C135&gt;Tmin, NOT('09 App'!$I135="")),'09 App'!$I135,0)</f>
        <v>0</v>
      </c>
      <c r="AB135">
        <f>IF(AND('09 App'!D135&gt;Tmin, NOT('09 App'!$I135="")),'09 App'!$I135,0)</f>
        <v>0</v>
      </c>
      <c r="AC135">
        <f>IF(AND('09 App'!E135&gt;Tmin, NOT('09 App'!$I135="")),'09 App'!$I135,0)</f>
        <v>0</v>
      </c>
      <c r="AD135">
        <f>IF(AND('09 App'!F135&gt;Tmin, NOT('09 App'!$I135="")),'09 App'!$I135,0)</f>
        <v>0</v>
      </c>
      <c r="AE135">
        <f>IF(AND('09 App'!C135&lt;Tmax, NOT('09 App'!$H135="")),'09 App'!$H135,4)</f>
        <v>2</v>
      </c>
      <c r="AF135">
        <f>IF(AND('09 App'!D135&lt;Tmax, NOT('09 App'!$H135="")),'09 App'!$H135,4)</f>
        <v>2</v>
      </c>
      <c r="AG135">
        <f>IF(AND('09 App'!E135&lt;Tmax, NOT('09 App'!$H135="")),'09 App'!$H135,4)</f>
        <v>2</v>
      </c>
      <c r="AH135">
        <f>IF(AND('09 App'!F135&lt;Tmax, NOT('09 App'!$H135="")),'09 App'!$H135,4)</f>
        <v>2</v>
      </c>
      <c r="AI135"/>
    </row>
    <row r="136" spans="1:35" s="648" customFormat="1" ht="38.25" customHeight="1" outlineLevel="2" x14ac:dyDescent="0.2">
      <c r="A136" s="601" t="s">
        <v>2283</v>
      </c>
      <c r="B136" s="752" t="s">
        <v>6744</v>
      </c>
      <c r="C136" s="751"/>
      <c r="D136" s="747"/>
      <c r="E136" s="747"/>
      <c r="F136" s="747"/>
      <c r="G136" s="1497">
        <v>3</v>
      </c>
      <c r="H136" s="1497">
        <v>2</v>
      </c>
      <c r="I136" s="1497"/>
      <c r="J136" s="1497" t="s">
        <v>1592</v>
      </c>
      <c r="K136" s="1498" t="s">
        <v>6903</v>
      </c>
      <c r="L136" s="1495" t="s">
        <v>5895</v>
      </c>
      <c r="M136" s="748"/>
      <c r="N136" s="611"/>
      <c r="O136" s="611"/>
      <c r="P136" s="611"/>
      <c r="Q136" s="611"/>
      <c r="R136" s="611"/>
      <c r="S136" s="611"/>
      <c r="T136" s="611"/>
      <c r="U136" s="611"/>
      <c r="V136" s="611"/>
      <c r="W136" s="611"/>
      <c r="X136" s="611"/>
      <c r="Y136" s="611"/>
      <c r="Z136" s="611"/>
      <c r="AA136">
        <f>IF(AND('09 App'!C136&gt;Tmin, NOT('09 App'!$I136="")),'09 App'!$I136,0)</f>
        <v>0</v>
      </c>
      <c r="AB136">
        <f>IF(AND('09 App'!D136&gt;Tmin, NOT('09 App'!$I136="")),'09 App'!$I136,0)</f>
        <v>0</v>
      </c>
      <c r="AC136">
        <f>IF(AND('09 App'!E136&gt;Tmin, NOT('09 App'!$I136="")),'09 App'!$I136,0)</f>
        <v>0</v>
      </c>
      <c r="AD136">
        <f>IF(AND('09 App'!F136&gt;Tmin, NOT('09 App'!$I136="")),'09 App'!$I136,0)</f>
        <v>0</v>
      </c>
      <c r="AE136">
        <f>IF(AND('09 App'!C136&lt;Tmax, NOT('09 App'!$H136="")),'09 App'!$H136,4)</f>
        <v>2</v>
      </c>
      <c r="AF136">
        <f>IF(AND('09 App'!D136&lt;Tmax, NOT('09 App'!$H136="")),'09 App'!$H136,4)</f>
        <v>2</v>
      </c>
      <c r="AG136">
        <f>IF(AND('09 App'!E136&lt;Tmax, NOT('09 App'!$H136="")),'09 App'!$H136,4)</f>
        <v>2</v>
      </c>
      <c r="AH136">
        <f>IF(AND('09 App'!F136&lt;Tmax, NOT('09 App'!$H136="")),'09 App'!$H136,4)</f>
        <v>2</v>
      </c>
      <c r="AI136"/>
    </row>
    <row r="137" spans="1:35" s="648" customFormat="1" ht="25.5" customHeight="1" outlineLevel="2" x14ac:dyDescent="0.2">
      <c r="A137" s="601" t="s">
        <v>2284</v>
      </c>
      <c r="B137" s="752" t="s">
        <v>5824</v>
      </c>
      <c r="C137" s="751"/>
      <c r="D137" s="747"/>
      <c r="E137" s="747"/>
      <c r="F137" s="747"/>
      <c r="G137" s="1497">
        <v>3</v>
      </c>
      <c r="H137" s="1497"/>
      <c r="I137" s="1497"/>
      <c r="J137" s="1497" t="s">
        <v>1592</v>
      </c>
      <c r="K137" s="1498" t="s">
        <v>6903</v>
      </c>
      <c r="L137" s="1495" t="s">
        <v>5895</v>
      </c>
      <c r="M137" s="748"/>
      <c r="N137" s="611"/>
      <c r="O137" s="611"/>
      <c r="P137" s="611"/>
      <c r="Q137" s="611"/>
      <c r="R137" s="611"/>
      <c r="S137" s="611"/>
      <c r="T137" s="611"/>
      <c r="U137" s="611"/>
      <c r="V137" s="611"/>
      <c r="W137" s="611"/>
      <c r="X137" s="611"/>
      <c r="Y137" s="611"/>
      <c r="Z137" s="611"/>
      <c r="AA137">
        <f>IF(AND('09 App'!C137&gt;Tmin, NOT('09 App'!$I137="")),'09 App'!$I137,0)</f>
        <v>0</v>
      </c>
      <c r="AB137">
        <f>IF(AND('09 App'!D137&gt;Tmin, NOT('09 App'!$I137="")),'09 App'!$I137,0)</f>
        <v>0</v>
      </c>
      <c r="AC137">
        <f>IF(AND('09 App'!E137&gt;Tmin, NOT('09 App'!$I137="")),'09 App'!$I137,0)</f>
        <v>0</v>
      </c>
      <c r="AD137">
        <f>IF(AND('09 App'!F137&gt;Tmin, NOT('09 App'!$I137="")),'09 App'!$I137,0)</f>
        <v>0</v>
      </c>
      <c r="AE137">
        <f>IF(AND('09 App'!C137&lt;Tmax, NOT('09 App'!$H137="")),'09 App'!$H137,4)</f>
        <v>4</v>
      </c>
      <c r="AF137">
        <f>IF(AND('09 App'!D137&lt;Tmax, NOT('09 App'!$H137="")),'09 App'!$H137,4)</f>
        <v>4</v>
      </c>
      <c r="AG137">
        <f>IF(AND('09 App'!E137&lt;Tmax, NOT('09 App'!$H137="")),'09 App'!$H137,4)</f>
        <v>4</v>
      </c>
      <c r="AH137">
        <f>IF(AND('09 App'!F137&lt;Tmax, NOT('09 App'!$H137="")),'09 App'!$H137,4)</f>
        <v>4</v>
      </c>
      <c r="AI137"/>
    </row>
    <row r="138" spans="1:35" s="648" customFormat="1" outlineLevel="2" x14ac:dyDescent="0.2">
      <c r="A138" s="601" t="s">
        <v>2285</v>
      </c>
      <c r="B138" s="752" t="s">
        <v>2286</v>
      </c>
      <c r="C138" s="751"/>
      <c r="D138" s="747"/>
      <c r="E138" s="747"/>
      <c r="F138" s="747"/>
      <c r="G138" s="1497">
        <v>2</v>
      </c>
      <c r="H138" s="1497"/>
      <c r="I138" s="1497"/>
      <c r="J138" s="1497" t="s">
        <v>1592</v>
      </c>
      <c r="K138" s="1498" t="s">
        <v>6903</v>
      </c>
      <c r="L138" s="1495" t="s">
        <v>5895</v>
      </c>
      <c r="M138" s="748"/>
      <c r="N138" s="611"/>
      <c r="O138" s="611"/>
      <c r="P138" s="611"/>
      <c r="Q138" s="611"/>
      <c r="R138" s="611"/>
      <c r="S138" s="611"/>
      <c r="T138" s="611"/>
      <c r="U138" s="611"/>
      <c r="V138" s="611"/>
      <c r="W138" s="611"/>
      <c r="X138" s="611"/>
      <c r="Y138" s="611"/>
      <c r="Z138" s="611"/>
      <c r="AA138">
        <f>IF(AND('09 App'!C138&gt;Tmin, NOT('09 App'!$I138="")),'09 App'!$I138,0)</f>
        <v>0</v>
      </c>
      <c r="AB138">
        <f>IF(AND('09 App'!D138&gt;Tmin, NOT('09 App'!$I138="")),'09 App'!$I138,0)</f>
        <v>0</v>
      </c>
      <c r="AC138">
        <f>IF(AND('09 App'!E138&gt;Tmin, NOT('09 App'!$I138="")),'09 App'!$I138,0)</f>
        <v>0</v>
      </c>
      <c r="AD138">
        <f>IF(AND('09 App'!F138&gt;Tmin, NOT('09 App'!$I138="")),'09 App'!$I138,0)</f>
        <v>0</v>
      </c>
      <c r="AE138">
        <f>IF(AND('09 App'!C138&lt;Tmax, NOT('09 App'!$H138="")),'09 App'!$H138,4)</f>
        <v>4</v>
      </c>
      <c r="AF138">
        <f>IF(AND('09 App'!D138&lt;Tmax, NOT('09 App'!$H138="")),'09 App'!$H138,4)</f>
        <v>4</v>
      </c>
      <c r="AG138">
        <f>IF(AND('09 App'!E138&lt;Tmax, NOT('09 App'!$H138="")),'09 App'!$H138,4)</f>
        <v>4</v>
      </c>
      <c r="AH138">
        <f>IF(AND('09 App'!F138&lt;Tmax, NOT('09 App'!$H138="")),'09 App'!$H138,4)</f>
        <v>4</v>
      </c>
      <c r="AI138"/>
    </row>
    <row r="139" spans="1:35" outlineLevel="2" x14ac:dyDescent="0.2">
      <c r="A139" s="601" t="s">
        <v>2287</v>
      </c>
      <c r="B139" s="752" t="s">
        <v>6782</v>
      </c>
      <c r="C139" s="751"/>
      <c r="D139" s="747"/>
      <c r="E139" s="747"/>
      <c r="F139" s="747"/>
      <c r="G139" s="1497">
        <v>4</v>
      </c>
      <c r="H139" s="1497">
        <v>2</v>
      </c>
      <c r="I139" s="1497"/>
      <c r="J139" s="1497" t="s">
        <v>1592</v>
      </c>
      <c r="K139" s="1498" t="s">
        <v>6903</v>
      </c>
      <c r="L139" s="1495" t="s">
        <v>5895</v>
      </c>
      <c r="M139" s="754"/>
      <c r="AA139">
        <f>IF(AND('09 App'!C139&gt;Tmin, NOT('09 App'!$I139="")),'09 App'!$I139,0)</f>
        <v>0</v>
      </c>
      <c r="AB139">
        <f>IF(AND('09 App'!D139&gt;Tmin, NOT('09 App'!$I139="")),'09 App'!$I139,0)</f>
        <v>0</v>
      </c>
      <c r="AC139">
        <f>IF(AND('09 App'!E139&gt;Tmin, NOT('09 App'!$I139="")),'09 App'!$I139,0)</f>
        <v>0</v>
      </c>
      <c r="AD139">
        <f>IF(AND('09 App'!F139&gt;Tmin, NOT('09 App'!$I139="")),'09 App'!$I139,0)</f>
        <v>0</v>
      </c>
      <c r="AE139">
        <f>IF(AND('09 App'!C139&lt;Tmax, NOT('09 App'!$H139="")),'09 App'!$H139,4)</f>
        <v>2</v>
      </c>
      <c r="AF139">
        <f>IF(AND('09 App'!D139&lt;Tmax, NOT('09 App'!$H139="")),'09 App'!$H139,4)</f>
        <v>2</v>
      </c>
      <c r="AG139">
        <f>IF(AND('09 App'!E139&lt;Tmax, NOT('09 App'!$H139="")),'09 App'!$H139,4)</f>
        <v>2</v>
      </c>
      <c r="AH139">
        <f>IF(AND('09 App'!F139&lt;Tmax, NOT('09 App'!$H139="")),'09 App'!$H139,4)</f>
        <v>2</v>
      </c>
      <c r="AI139"/>
    </row>
    <row r="140" spans="1:35" ht="22.5" outlineLevel="2" x14ac:dyDescent="0.2">
      <c r="A140" s="601" t="s">
        <v>2288</v>
      </c>
      <c r="B140" s="752" t="s">
        <v>6577</v>
      </c>
      <c r="C140" s="751"/>
      <c r="D140" s="747"/>
      <c r="E140" s="747"/>
      <c r="F140" s="747"/>
      <c r="G140" s="1497">
        <v>4</v>
      </c>
      <c r="H140" s="1497"/>
      <c r="I140" s="1497"/>
      <c r="J140" s="1497" t="s">
        <v>1592</v>
      </c>
      <c r="K140" s="1498" t="s">
        <v>6903</v>
      </c>
      <c r="L140" s="1495" t="s">
        <v>5895</v>
      </c>
      <c r="M140" s="754"/>
      <c r="AA140">
        <f>IF(AND('09 App'!C140&gt;Tmin, NOT('09 App'!$I140="")),'09 App'!$I140,0)</f>
        <v>0</v>
      </c>
      <c r="AB140">
        <f>IF(AND('09 App'!D140&gt;Tmin, NOT('09 App'!$I140="")),'09 App'!$I140,0)</f>
        <v>0</v>
      </c>
      <c r="AC140">
        <f>IF(AND('09 App'!E140&gt;Tmin, NOT('09 App'!$I140="")),'09 App'!$I140,0)</f>
        <v>0</v>
      </c>
      <c r="AD140">
        <f>IF(AND('09 App'!F140&gt;Tmin, NOT('09 App'!$I140="")),'09 App'!$I140,0)</f>
        <v>0</v>
      </c>
      <c r="AE140">
        <f>IF(AND('09 App'!C140&lt;Tmax, NOT('09 App'!$H140="")),'09 App'!$H140,4)</f>
        <v>4</v>
      </c>
      <c r="AF140">
        <f>IF(AND('09 App'!D140&lt;Tmax, NOT('09 App'!$H140="")),'09 App'!$H140,4)</f>
        <v>4</v>
      </c>
      <c r="AG140">
        <f>IF(AND('09 App'!E140&lt;Tmax, NOT('09 App'!$H140="")),'09 App'!$H140,4)</f>
        <v>4</v>
      </c>
      <c r="AH140">
        <f>IF(AND('09 App'!F140&lt;Tmax, NOT('09 App'!$H140="")),'09 App'!$H140,4)</f>
        <v>4</v>
      </c>
      <c r="AI140"/>
    </row>
    <row r="141" spans="1:35" outlineLevel="2" x14ac:dyDescent="0.2">
      <c r="A141" s="601" t="s">
        <v>6578</v>
      </c>
      <c r="B141" s="752" t="s">
        <v>5790</v>
      </c>
      <c r="C141" s="751"/>
      <c r="D141" s="747"/>
      <c r="E141" s="747"/>
      <c r="F141" s="747"/>
      <c r="G141" s="1497">
        <v>4</v>
      </c>
      <c r="H141" s="1497"/>
      <c r="I141" s="1497"/>
      <c r="J141" s="1497" t="s">
        <v>1592</v>
      </c>
      <c r="K141" s="1498" t="s">
        <v>6903</v>
      </c>
      <c r="L141" s="1495"/>
      <c r="M141" s="754"/>
      <c r="AA141">
        <f>IF(AND('09 App'!C141&gt;Tmin, NOT('09 App'!$I141="")),'09 App'!$I141,0)</f>
        <v>0</v>
      </c>
      <c r="AB141">
        <f>IF(AND('09 App'!D141&gt;Tmin, NOT('09 App'!$I141="")),'09 App'!$I141,0)</f>
        <v>0</v>
      </c>
      <c r="AC141">
        <f>IF(AND('09 App'!E141&gt;Tmin, NOT('09 App'!$I141="")),'09 App'!$I141,0)</f>
        <v>0</v>
      </c>
      <c r="AD141">
        <f>IF(AND('09 App'!F141&gt;Tmin, NOT('09 App'!$I141="")),'09 App'!$I141,0)</f>
        <v>0</v>
      </c>
      <c r="AE141">
        <f>IF(AND('09 App'!C141&lt;Tmax, NOT('09 App'!$H141="")),'09 App'!$H141,4)</f>
        <v>4</v>
      </c>
      <c r="AF141">
        <f>IF(AND('09 App'!D141&lt;Tmax, NOT('09 App'!$H141="")),'09 App'!$H141,4)</f>
        <v>4</v>
      </c>
      <c r="AG141">
        <f>IF(AND('09 App'!E141&lt;Tmax, NOT('09 App'!$H141="")),'09 App'!$H141,4)</f>
        <v>4</v>
      </c>
      <c r="AH141">
        <f>IF(AND('09 App'!F141&lt;Tmax, NOT('09 App'!$H141="")),'09 App'!$H141,4)</f>
        <v>4</v>
      </c>
      <c r="AI141"/>
    </row>
    <row r="142" spans="1:35" ht="22.5" outlineLevel="2" x14ac:dyDescent="0.2">
      <c r="A142" s="601" t="s">
        <v>2289</v>
      </c>
      <c r="B142" s="752" t="s">
        <v>5791</v>
      </c>
      <c r="C142" s="751"/>
      <c r="D142" s="747"/>
      <c r="E142" s="747"/>
      <c r="F142" s="747"/>
      <c r="G142" s="1497">
        <v>3</v>
      </c>
      <c r="H142" s="1497">
        <v>2</v>
      </c>
      <c r="I142" s="1497"/>
      <c r="J142" s="1497" t="s">
        <v>2109</v>
      </c>
      <c r="K142" s="1498" t="s">
        <v>6904</v>
      </c>
      <c r="L142" s="1495" t="s">
        <v>7249</v>
      </c>
      <c r="M142" s="754"/>
      <c r="AA142">
        <f>IF(AND('09 App'!C142&gt;Tmin, NOT('09 App'!$I142="")),'09 App'!$I142,0)</f>
        <v>0</v>
      </c>
      <c r="AB142">
        <f>IF(AND('09 App'!D142&gt;Tmin, NOT('09 App'!$I142="")),'09 App'!$I142,0)</f>
        <v>0</v>
      </c>
      <c r="AC142">
        <f>IF(AND('09 App'!E142&gt;Tmin, NOT('09 App'!$I142="")),'09 App'!$I142,0)</f>
        <v>0</v>
      </c>
      <c r="AD142">
        <f>IF(AND('09 App'!F142&gt;Tmin, NOT('09 App'!$I142="")),'09 App'!$I142,0)</f>
        <v>0</v>
      </c>
      <c r="AE142">
        <f>IF(AND('09 App'!C142&lt;Tmax, NOT('09 App'!$H142="")),'09 App'!$H142,4)</f>
        <v>2</v>
      </c>
      <c r="AF142">
        <f>IF(AND('09 App'!D142&lt;Tmax, NOT('09 App'!$H142="")),'09 App'!$H142,4)</f>
        <v>2</v>
      </c>
      <c r="AG142">
        <f>IF(AND('09 App'!E142&lt;Tmax, NOT('09 App'!$H142="")),'09 App'!$H142,4)</f>
        <v>2</v>
      </c>
      <c r="AH142">
        <f>IF(AND('09 App'!F142&lt;Tmax, NOT('09 App'!$H142="")),'09 App'!$H142,4)</f>
        <v>2</v>
      </c>
      <c r="AI142"/>
    </row>
    <row r="143" spans="1:35" outlineLevel="2" x14ac:dyDescent="0.2">
      <c r="A143" s="601" t="s">
        <v>5249</v>
      </c>
      <c r="B143" s="752" t="s">
        <v>4972</v>
      </c>
      <c r="C143" s="751"/>
      <c r="D143" s="747"/>
      <c r="E143" s="747"/>
      <c r="F143" s="747"/>
      <c r="G143" s="1497">
        <v>3</v>
      </c>
      <c r="H143" s="1497">
        <v>2</v>
      </c>
      <c r="I143" s="1497"/>
      <c r="J143" s="1497" t="s">
        <v>2109</v>
      </c>
      <c r="K143" s="1495"/>
      <c r="L143" s="1495"/>
      <c r="M143" s="754"/>
      <c r="AA143">
        <f>IF(AND('09 App'!C143&gt;Tmin, NOT('09 App'!$I143="")),'09 App'!$I143,0)</f>
        <v>0</v>
      </c>
      <c r="AB143">
        <f>IF(AND('09 App'!D143&gt;Tmin, NOT('09 App'!$I143="")),'09 App'!$I143,0)</f>
        <v>0</v>
      </c>
      <c r="AC143">
        <f>IF(AND('09 App'!E143&gt;Tmin, NOT('09 App'!$I143="")),'09 App'!$I143,0)</f>
        <v>0</v>
      </c>
      <c r="AD143">
        <f>IF(AND('09 App'!F143&gt;Tmin, NOT('09 App'!$I143="")),'09 App'!$I143,0)</f>
        <v>0</v>
      </c>
      <c r="AE143">
        <f>IF(AND('09 App'!C143&lt;Tmax, NOT('09 App'!$H143="")),'09 App'!$H143,4)</f>
        <v>2</v>
      </c>
      <c r="AF143">
        <f>IF(AND('09 App'!D143&lt;Tmax, NOT('09 App'!$H143="")),'09 App'!$H143,4)</f>
        <v>2</v>
      </c>
      <c r="AG143">
        <f>IF(AND('09 App'!E143&lt;Tmax, NOT('09 App'!$H143="")),'09 App'!$H143,4)</f>
        <v>2</v>
      </c>
      <c r="AH143">
        <f>IF(AND('09 App'!F143&lt;Tmax, NOT('09 App'!$H143="")),'09 App'!$H143,4)</f>
        <v>2</v>
      </c>
      <c r="AI143"/>
    </row>
    <row r="144" spans="1:35" outlineLevel="1" x14ac:dyDescent="0.2">
      <c r="A144" s="749" t="s">
        <v>3213</v>
      </c>
      <c r="B144" s="750" t="s">
        <v>3214</v>
      </c>
      <c r="C144" s="751"/>
      <c r="D144" s="747"/>
      <c r="E144" s="747"/>
      <c r="F144" s="747"/>
      <c r="G144" s="1497"/>
      <c r="H144" s="1497"/>
      <c r="I144" s="1497"/>
      <c r="J144" s="1497"/>
      <c r="K144" s="1495"/>
      <c r="L144" s="1495"/>
      <c r="M144" s="754"/>
      <c r="AA144"/>
      <c r="AB144"/>
      <c r="AC144"/>
      <c r="AD144"/>
      <c r="AE144"/>
      <c r="AF144"/>
      <c r="AG144"/>
      <c r="AH144"/>
      <c r="AI144"/>
    </row>
    <row r="145" spans="1:35" ht="22.5" outlineLevel="2" x14ac:dyDescent="0.2">
      <c r="A145" s="601" t="s">
        <v>5250</v>
      </c>
      <c r="B145" s="752" t="s">
        <v>5792</v>
      </c>
      <c r="C145" s="751"/>
      <c r="D145" s="747"/>
      <c r="E145" s="747"/>
      <c r="F145" s="747"/>
      <c r="G145" s="1497">
        <v>2</v>
      </c>
      <c r="H145" s="1497"/>
      <c r="I145" s="1497"/>
      <c r="J145" s="1497" t="s">
        <v>1592</v>
      </c>
      <c r="K145" s="1495"/>
      <c r="L145" s="1495"/>
      <c r="M145" s="754"/>
      <c r="AA145">
        <f>IF(AND('09 App'!C145&gt;Tmin, NOT('09 App'!$I145="")),'09 App'!$I145,0)</f>
        <v>0</v>
      </c>
      <c r="AB145">
        <f>IF(AND('09 App'!D145&gt;Tmin, NOT('09 App'!$I145="")),'09 App'!$I145,0)</f>
        <v>0</v>
      </c>
      <c r="AC145">
        <f>IF(AND('09 App'!E145&gt;Tmin, NOT('09 App'!$I145="")),'09 App'!$I145,0)</f>
        <v>0</v>
      </c>
      <c r="AD145">
        <f>IF(AND('09 App'!F145&gt;Tmin, NOT('09 App'!$I145="")),'09 App'!$I145,0)</f>
        <v>0</v>
      </c>
      <c r="AE145">
        <f>IF(AND('09 App'!C145&lt;Tmax, NOT('09 App'!$H145="")),'09 App'!$H145,4)</f>
        <v>4</v>
      </c>
      <c r="AF145">
        <f>IF(AND('09 App'!D145&lt;Tmax, NOT('09 App'!$H145="")),'09 App'!$H145,4)</f>
        <v>4</v>
      </c>
      <c r="AG145">
        <f>IF(AND('09 App'!E145&lt;Tmax, NOT('09 App'!$H145="")),'09 App'!$H145,4)</f>
        <v>4</v>
      </c>
      <c r="AH145">
        <f>IF(AND('09 App'!F145&lt;Tmax, NOT('09 App'!$H145="")),'09 App'!$H145,4)</f>
        <v>4</v>
      </c>
      <c r="AI145"/>
    </row>
    <row r="146" spans="1:35" ht="33.75" outlineLevel="2" x14ac:dyDescent="0.2">
      <c r="A146" s="601" t="s">
        <v>5251</v>
      </c>
      <c r="B146" s="752" t="s">
        <v>2210</v>
      </c>
      <c r="C146" s="751"/>
      <c r="D146" s="747"/>
      <c r="E146" s="757"/>
      <c r="F146" s="757"/>
      <c r="G146" s="1497">
        <v>2</v>
      </c>
      <c r="H146" s="1497"/>
      <c r="I146" s="1497"/>
      <c r="J146" s="1497" t="s">
        <v>1592</v>
      </c>
      <c r="K146" s="1495"/>
      <c r="L146" s="1495"/>
      <c r="M146" s="754"/>
      <c r="AA146">
        <f>IF(AND('09 App'!C146&gt;Tmin, NOT('09 App'!$I146="")),'09 App'!$I146,0)</f>
        <v>0</v>
      </c>
      <c r="AB146">
        <f>IF(AND('09 App'!D146&gt;Tmin, NOT('09 App'!$I146="")),'09 App'!$I146,0)</f>
        <v>0</v>
      </c>
      <c r="AC146">
        <f>IF(AND('09 App'!E146&gt;Tmin, NOT('09 App'!$I146="")),'09 App'!$I146,0)</f>
        <v>0</v>
      </c>
      <c r="AD146">
        <f>IF(AND('09 App'!F146&gt;Tmin, NOT('09 App'!$I146="")),'09 App'!$I146,0)</f>
        <v>0</v>
      </c>
      <c r="AE146">
        <f>IF(AND('09 App'!C146&lt;Tmax, NOT('09 App'!$H146="")),'09 App'!$H146,4)</f>
        <v>4</v>
      </c>
      <c r="AF146">
        <f>IF(AND('09 App'!D146&lt;Tmax, NOT('09 App'!$H146="")),'09 App'!$H146,4)</f>
        <v>4</v>
      </c>
      <c r="AG146">
        <f>IF(AND('09 App'!E146&lt;Tmax, NOT('09 App'!$H146="")),'09 App'!$H146,4)</f>
        <v>4</v>
      </c>
      <c r="AH146">
        <f>IF(AND('09 App'!F146&lt;Tmax, NOT('09 App'!$H146="")),'09 App'!$H146,4)</f>
        <v>4</v>
      </c>
      <c r="AI146"/>
    </row>
    <row r="147" spans="1:35" s="648" customFormat="1" ht="22.5" outlineLevel="2" x14ac:dyDescent="0.2">
      <c r="A147" s="601" t="s">
        <v>2211</v>
      </c>
      <c r="B147" s="752" t="s">
        <v>6609</v>
      </c>
      <c r="C147" s="751"/>
      <c r="D147" s="747"/>
      <c r="E147" s="757"/>
      <c r="F147" s="757"/>
      <c r="G147" s="1497">
        <v>2</v>
      </c>
      <c r="H147" s="1497">
        <v>2</v>
      </c>
      <c r="I147" s="1497"/>
      <c r="J147" s="1497" t="s">
        <v>1592</v>
      </c>
      <c r="K147" s="1495"/>
      <c r="L147" s="1495"/>
      <c r="M147" s="748"/>
      <c r="N147" s="611"/>
      <c r="O147" s="611"/>
      <c r="P147" s="611"/>
      <c r="Q147" s="611"/>
      <c r="R147" s="611"/>
      <c r="S147" s="611"/>
      <c r="T147" s="611"/>
      <c r="U147" s="611"/>
      <c r="V147" s="611"/>
      <c r="W147" s="611"/>
      <c r="X147" s="611"/>
      <c r="Y147" s="611"/>
      <c r="Z147" s="611"/>
      <c r="AA147">
        <f>IF(AND('09 App'!C147&gt;Tmin, NOT('09 App'!$I147="")),'09 App'!$I147,0)</f>
        <v>0</v>
      </c>
      <c r="AB147">
        <f>IF(AND('09 App'!D147&gt;Tmin, NOT('09 App'!$I147="")),'09 App'!$I147,0)</f>
        <v>0</v>
      </c>
      <c r="AC147">
        <f>IF(AND('09 App'!E147&gt;Tmin, NOT('09 App'!$I147="")),'09 App'!$I147,0)</f>
        <v>0</v>
      </c>
      <c r="AD147">
        <f>IF(AND('09 App'!F147&gt;Tmin, NOT('09 App'!$I147="")),'09 App'!$I147,0)</f>
        <v>0</v>
      </c>
      <c r="AE147">
        <f>IF(AND('09 App'!C147&lt;Tmax, NOT('09 App'!$H147="")),'09 App'!$H147,4)</f>
        <v>2</v>
      </c>
      <c r="AF147">
        <f>IF(AND('09 App'!D147&lt;Tmax, NOT('09 App'!$H147="")),'09 App'!$H147,4)</f>
        <v>2</v>
      </c>
      <c r="AG147">
        <f>IF(AND('09 App'!E147&lt;Tmax, NOT('09 App'!$H147="")),'09 App'!$H147,4)</f>
        <v>2</v>
      </c>
      <c r="AH147">
        <f>IF(AND('09 App'!F147&lt;Tmax, NOT('09 App'!$H147="")),'09 App'!$H147,4)</f>
        <v>2</v>
      </c>
      <c r="AI147"/>
    </row>
    <row r="148" spans="1:35" s="648" customFormat="1" outlineLevel="2" x14ac:dyDescent="0.2">
      <c r="A148" s="601" t="s">
        <v>2212</v>
      </c>
      <c r="B148" s="752" t="s">
        <v>6610</v>
      </c>
      <c r="C148" s="751"/>
      <c r="D148" s="747"/>
      <c r="E148" s="758"/>
      <c r="F148" s="758"/>
      <c r="G148" s="1497">
        <v>2</v>
      </c>
      <c r="H148" s="1497">
        <v>3</v>
      </c>
      <c r="I148" s="1497"/>
      <c r="J148" s="1497" t="s">
        <v>2329</v>
      </c>
      <c r="K148" s="1495"/>
      <c r="L148" s="1495"/>
      <c r="M148" s="748"/>
      <c r="N148" s="611"/>
      <c r="O148" s="611"/>
      <c r="P148" s="611"/>
      <c r="Q148" s="611"/>
      <c r="R148" s="611"/>
      <c r="S148" s="611"/>
      <c r="T148" s="611"/>
      <c r="U148" s="611"/>
      <c r="V148" s="611"/>
      <c r="W148" s="611"/>
      <c r="X148" s="611"/>
      <c r="Y148" s="611"/>
      <c r="Z148" s="611"/>
      <c r="AA148">
        <f>IF(AND('09 App'!C148&gt;Tmin, NOT('09 App'!$I148="")),'09 App'!$I148,0)</f>
        <v>0</v>
      </c>
      <c r="AB148">
        <f>IF(AND('09 App'!D148&gt;Tmin, NOT('09 App'!$I148="")),'09 App'!$I148,0)</f>
        <v>0</v>
      </c>
      <c r="AC148">
        <f>IF(AND('09 App'!E148&gt;Tmin, NOT('09 App'!$I148="")),'09 App'!$I148,0)</f>
        <v>0</v>
      </c>
      <c r="AD148">
        <f>IF(AND('09 App'!F148&gt;Tmin, NOT('09 App'!$I148="")),'09 App'!$I148,0)</f>
        <v>0</v>
      </c>
      <c r="AE148">
        <f>IF(AND('09 App'!C148&lt;Tmax, NOT('09 App'!$H148="")),'09 App'!$H148,4)</f>
        <v>3</v>
      </c>
      <c r="AF148">
        <f>IF(AND('09 App'!D148&lt;Tmax, NOT('09 App'!$H148="")),'09 App'!$H148,4)</f>
        <v>3</v>
      </c>
      <c r="AG148">
        <f>IF(AND('09 App'!E148&lt;Tmax, NOT('09 App'!$H148="")),'09 App'!$H148,4)</f>
        <v>3</v>
      </c>
      <c r="AH148">
        <f>IF(AND('09 App'!F148&lt;Tmax, NOT('09 App'!$H148="")),'09 App'!$H148,4)</f>
        <v>3</v>
      </c>
      <c r="AI148"/>
    </row>
    <row r="149" spans="1:35" s="648" customFormat="1" outlineLevel="2" x14ac:dyDescent="0.2">
      <c r="A149" s="601" t="s">
        <v>2213</v>
      </c>
      <c r="B149" s="752" t="s">
        <v>4167</v>
      </c>
      <c r="C149" s="751"/>
      <c r="D149" s="747"/>
      <c r="E149" s="757"/>
      <c r="F149" s="757"/>
      <c r="G149" s="1497">
        <v>2</v>
      </c>
      <c r="H149" s="1497">
        <v>3</v>
      </c>
      <c r="I149" s="1497"/>
      <c r="J149" s="1497" t="s">
        <v>2109</v>
      </c>
      <c r="K149" s="1495"/>
      <c r="L149" s="1495"/>
      <c r="M149" s="748"/>
      <c r="N149" s="611"/>
      <c r="O149" s="611"/>
      <c r="P149" s="611"/>
      <c r="Q149" s="611"/>
      <c r="R149" s="611"/>
      <c r="S149" s="611"/>
      <c r="T149" s="611"/>
      <c r="U149" s="611"/>
      <c r="V149" s="611"/>
      <c r="W149" s="611"/>
      <c r="X149" s="611"/>
      <c r="Y149" s="611"/>
      <c r="Z149" s="611"/>
      <c r="AA149">
        <f>IF(AND('09 App'!C149&gt;Tmin, NOT('09 App'!$I149="")),'09 App'!$I149,0)</f>
        <v>0</v>
      </c>
      <c r="AB149">
        <f>IF(AND('09 App'!D149&gt;Tmin, NOT('09 App'!$I149="")),'09 App'!$I149,0)</f>
        <v>0</v>
      </c>
      <c r="AC149">
        <f>IF(AND('09 App'!E149&gt;Tmin, NOT('09 App'!$I149="")),'09 App'!$I149,0)</f>
        <v>0</v>
      </c>
      <c r="AD149">
        <f>IF(AND('09 App'!F149&gt;Tmin, NOT('09 App'!$I149="")),'09 App'!$I149,0)</f>
        <v>0</v>
      </c>
      <c r="AE149">
        <f>IF(AND('09 App'!C149&lt;Tmax, NOT('09 App'!$H149="")),'09 App'!$H149,4)</f>
        <v>3</v>
      </c>
      <c r="AF149">
        <f>IF(AND('09 App'!D149&lt;Tmax, NOT('09 App'!$H149="")),'09 App'!$H149,4)</f>
        <v>3</v>
      </c>
      <c r="AG149">
        <f>IF(AND('09 App'!E149&lt;Tmax, NOT('09 App'!$H149="")),'09 App'!$H149,4)</f>
        <v>3</v>
      </c>
      <c r="AH149">
        <f>IF(AND('09 App'!F149&lt;Tmax, NOT('09 App'!$H149="")),'09 App'!$H149,4)</f>
        <v>3</v>
      </c>
      <c r="AI149"/>
    </row>
    <row r="150" spans="1:35" x14ac:dyDescent="0.2">
      <c r="A150" s="602" t="s">
        <v>4168</v>
      </c>
      <c r="B150" s="756" t="s">
        <v>4169</v>
      </c>
      <c r="C150" s="751"/>
      <c r="D150" s="747"/>
      <c r="E150" s="757"/>
      <c r="F150" s="757"/>
      <c r="G150" s="1497"/>
      <c r="H150" s="1497"/>
      <c r="I150" s="1497"/>
      <c r="J150" s="1497"/>
      <c r="K150" s="1495"/>
      <c r="L150" s="1495"/>
      <c r="M150" s="754"/>
      <c r="AA150"/>
      <c r="AB150"/>
      <c r="AC150"/>
      <c r="AD150"/>
      <c r="AE150"/>
      <c r="AF150"/>
      <c r="AG150"/>
      <c r="AH150"/>
      <c r="AI150"/>
    </row>
    <row r="151" spans="1:35" s="648" customFormat="1" outlineLevel="1" x14ac:dyDescent="0.2">
      <c r="A151" s="749" t="s">
        <v>3215</v>
      </c>
      <c r="B151" s="750" t="s">
        <v>3772</v>
      </c>
      <c r="C151" s="751"/>
      <c r="D151" s="747"/>
      <c r="E151" s="757"/>
      <c r="F151" s="757"/>
      <c r="G151" s="1497"/>
      <c r="H151" s="1497"/>
      <c r="I151" s="1497"/>
      <c r="J151" s="1497"/>
      <c r="K151" s="1495"/>
      <c r="L151" s="1495"/>
      <c r="M151" s="748"/>
      <c r="N151" s="611"/>
      <c r="O151" s="611"/>
      <c r="P151" s="611"/>
      <c r="Q151" s="611"/>
      <c r="R151" s="611"/>
      <c r="S151" s="611"/>
      <c r="T151" s="611"/>
      <c r="U151" s="611"/>
      <c r="V151" s="611"/>
      <c r="W151" s="611"/>
      <c r="X151" s="611"/>
      <c r="Y151" s="611"/>
      <c r="Z151" s="611"/>
      <c r="AA151"/>
      <c r="AB151"/>
      <c r="AC151"/>
      <c r="AD151"/>
      <c r="AE151"/>
      <c r="AF151"/>
      <c r="AG151"/>
      <c r="AH151"/>
      <c r="AI151"/>
    </row>
    <row r="152" spans="1:35" s="648" customFormat="1" ht="22.5" outlineLevel="2" x14ac:dyDescent="0.2">
      <c r="A152" s="601" t="s">
        <v>3773</v>
      </c>
      <c r="B152" s="752" t="s">
        <v>4160</v>
      </c>
      <c r="C152" s="751"/>
      <c r="D152" s="747"/>
      <c r="E152" s="757"/>
      <c r="F152" s="757"/>
      <c r="G152" s="1497">
        <v>4</v>
      </c>
      <c r="H152" s="1497"/>
      <c r="I152" s="1497"/>
      <c r="J152" s="1497" t="s">
        <v>1592</v>
      </c>
      <c r="K152" s="1495" t="s">
        <v>5882</v>
      </c>
      <c r="L152" s="1495" t="s">
        <v>978</v>
      </c>
      <c r="M152" s="748"/>
      <c r="N152" s="611"/>
      <c r="O152" s="611"/>
      <c r="P152" s="611"/>
      <c r="Q152" s="611"/>
      <c r="R152" s="611"/>
      <c r="S152" s="611"/>
      <c r="T152" s="611"/>
      <c r="U152" s="611"/>
      <c r="V152" s="611"/>
      <c r="W152" s="611"/>
      <c r="X152" s="611"/>
      <c r="Y152" s="611"/>
      <c r="Z152" s="611"/>
      <c r="AA152">
        <f>IF(AND('09 App'!C152&gt;Tmin, NOT('09 App'!$I152="")),'09 App'!$I152,0)</f>
        <v>0</v>
      </c>
      <c r="AB152">
        <f>IF(AND('09 App'!D152&gt;Tmin, NOT('09 App'!$I152="")),'09 App'!$I152,0)</f>
        <v>0</v>
      </c>
      <c r="AC152">
        <f>IF(AND('09 App'!E152&gt;Tmin, NOT('09 App'!$I152="")),'09 App'!$I152,0)</f>
        <v>0</v>
      </c>
      <c r="AD152">
        <f>IF(AND('09 App'!F152&gt;Tmin, NOT('09 App'!$I152="")),'09 App'!$I152,0)</f>
        <v>0</v>
      </c>
      <c r="AE152">
        <f>IF(AND('09 App'!C152&lt;Tmax, NOT('09 App'!$H152="")),'09 App'!$H152,4)</f>
        <v>4</v>
      </c>
      <c r="AF152">
        <f>IF(AND('09 App'!D152&lt;Tmax, NOT('09 App'!$H152="")),'09 App'!$H152,4)</f>
        <v>4</v>
      </c>
      <c r="AG152">
        <f>IF(AND('09 App'!E152&lt;Tmax, NOT('09 App'!$H152="")),'09 App'!$H152,4)</f>
        <v>4</v>
      </c>
      <c r="AH152">
        <f>IF(AND('09 App'!F152&lt;Tmax, NOT('09 App'!$H152="")),'09 App'!$H152,4)</f>
        <v>4</v>
      </c>
      <c r="AI152"/>
    </row>
    <row r="153" spans="1:35" s="648" customFormat="1" outlineLevel="2" x14ac:dyDescent="0.2">
      <c r="A153" s="601" t="s">
        <v>4161</v>
      </c>
      <c r="B153" s="752" t="s">
        <v>4162</v>
      </c>
      <c r="C153" s="751"/>
      <c r="D153" s="747"/>
      <c r="E153" s="757"/>
      <c r="F153" s="757"/>
      <c r="G153" s="1497">
        <v>4</v>
      </c>
      <c r="H153" s="1497">
        <v>2</v>
      </c>
      <c r="I153" s="1497"/>
      <c r="J153" s="1497" t="s">
        <v>1592</v>
      </c>
      <c r="K153" s="1495"/>
      <c r="L153" s="1495"/>
      <c r="M153" s="748"/>
      <c r="N153" s="611"/>
      <c r="O153" s="611"/>
      <c r="P153" s="611"/>
      <c r="Q153" s="611"/>
      <c r="R153" s="611"/>
      <c r="S153" s="611"/>
      <c r="T153" s="611"/>
      <c r="U153" s="611"/>
      <c r="V153" s="611"/>
      <c r="W153" s="611"/>
      <c r="X153" s="611"/>
      <c r="Y153" s="611"/>
      <c r="Z153" s="611"/>
      <c r="AA153">
        <f>IF(AND('09 App'!C153&gt;Tmin, NOT('09 App'!$I153="")),'09 App'!$I153,0)</f>
        <v>0</v>
      </c>
      <c r="AB153">
        <f>IF(AND('09 App'!D153&gt;Tmin, NOT('09 App'!$I153="")),'09 App'!$I153,0)</f>
        <v>0</v>
      </c>
      <c r="AC153">
        <f>IF(AND('09 App'!E153&gt;Tmin, NOT('09 App'!$I153="")),'09 App'!$I153,0)</f>
        <v>0</v>
      </c>
      <c r="AD153">
        <f>IF(AND('09 App'!F153&gt;Tmin, NOT('09 App'!$I153="")),'09 App'!$I153,0)</f>
        <v>0</v>
      </c>
      <c r="AE153">
        <f>IF(AND('09 App'!C153&lt;Tmax, NOT('09 App'!$H153="")),'09 App'!$H153,4)</f>
        <v>2</v>
      </c>
      <c r="AF153">
        <f>IF(AND('09 App'!D153&lt;Tmax, NOT('09 App'!$H153="")),'09 App'!$H153,4)</f>
        <v>2</v>
      </c>
      <c r="AG153">
        <f>IF(AND('09 App'!E153&lt;Tmax, NOT('09 App'!$H153="")),'09 App'!$H153,4)</f>
        <v>2</v>
      </c>
      <c r="AH153">
        <f>IF(AND('09 App'!F153&lt;Tmax, NOT('09 App'!$H153="")),'09 App'!$H153,4)</f>
        <v>2</v>
      </c>
      <c r="AI153"/>
    </row>
    <row r="154" spans="1:35" s="648" customFormat="1" ht="39" customHeight="1" outlineLevel="2" x14ac:dyDescent="0.2">
      <c r="A154" s="601" t="s">
        <v>4163</v>
      </c>
      <c r="B154" s="752" t="s">
        <v>5747</v>
      </c>
      <c r="C154" s="751"/>
      <c r="D154" s="747"/>
      <c r="E154" s="757"/>
      <c r="F154" s="757"/>
      <c r="G154" s="1497">
        <v>4</v>
      </c>
      <c r="H154" s="1497">
        <v>2</v>
      </c>
      <c r="I154" s="1497"/>
      <c r="J154" s="1497" t="s">
        <v>1592</v>
      </c>
      <c r="K154" s="1495"/>
      <c r="L154" s="1495"/>
      <c r="M154" s="748"/>
      <c r="N154" s="611"/>
      <c r="O154" s="611"/>
      <c r="P154" s="611"/>
      <c r="Q154" s="611"/>
      <c r="R154" s="611"/>
      <c r="S154" s="611"/>
      <c r="T154" s="611"/>
      <c r="U154" s="611"/>
      <c r="V154" s="611"/>
      <c r="W154" s="611"/>
      <c r="X154" s="611"/>
      <c r="Y154" s="611"/>
      <c r="Z154" s="611"/>
      <c r="AA154">
        <f>IF(AND('09 App'!C154&gt;Tmin, NOT('09 App'!$I154="")),'09 App'!$I154,0)</f>
        <v>0</v>
      </c>
      <c r="AB154">
        <f>IF(AND('09 App'!D154&gt;Tmin, NOT('09 App'!$I154="")),'09 App'!$I154,0)</f>
        <v>0</v>
      </c>
      <c r="AC154">
        <f>IF(AND('09 App'!E154&gt;Tmin, NOT('09 App'!$I154="")),'09 App'!$I154,0)</f>
        <v>0</v>
      </c>
      <c r="AD154">
        <f>IF(AND('09 App'!F154&gt;Tmin, NOT('09 App'!$I154="")),'09 App'!$I154,0)</f>
        <v>0</v>
      </c>
      <c r="AE154">
        <f>IF(AND('09 App'!C154&lt;Tmax, NOT('09 App'!$H154="")),'09 App'!$H154,4)</f>
        <v>2</v>
      </c>
      <c r="AF154">
        <f>IF(AND('09 App'!D154&lt;Tmax, NOT('09 App'!$H154="")),'09 App'!$H154,4)</f>
        <v>2</v>
      </c>
      <c r="AG154">
        <f>IF(AND('09 App'!E154&lt;Tmax, NOT('09 App'!$H154="")),'09 App'!$H154,4)</f>
        <v>2</v>
      </c>
      <c r="AH154">
        <f>IF(AND('09 App'!F154&lt;Tmax, NOT('09 App'!$H154="")),'09 App'!$H154,4)</f>
        <v>2</v>
      </c>
      <c r="AI154"/>
    </row>
    <row r="155" spans="1:35" s="648" customFormat="1" ht="22.5" outlineLevel="2" x14ac:dyDescent="0.2">
      <c r="A155" s="601" t="s">
        <v>4164</v>
      </c>
      <c r="B155" s="752" t="s">
        <v>981</v>
      </c>
      <c r="C155" s="751"/>
      <c r="D155" s="747"/>
      <c r="E155" s="757"/>
      <c r="F155" s="757"/>
      <c r="G155" s="1497">
        <v>4</v>
      </c>
      <c r="H155" s="1497">
        <v>3</v>
      </c>
      <c r="I155" s="1497"/>
      <c r="J155" s="1497" t="s">
        <v>1592</v>
      </c>
      <c r="K155" s="1495" t="s">
        <v>5713</v>
      </c>
      <c r="L155" s="1495" t="s">
        <v>7317</v>
      </c>
      <c r="M155" s="748"/>
      <c r="N155" s="611"/>
      <c r="O155" s="611"/>
      <c r="P155" s="611"/>
      <c r="Q155" s="611"/>
      <c r="R155" s="611"/>
      <c r="S155" s="611"/>
      <c r="T155" s="611"/>
      <c r="U155" s="611"/>
      <c r="V155" s="611"/>
      <c r="W155" s="611"/>
      <c r="X155" s="611"/>
      <c r="Y155" s="611"/>
      <c r="Z155" s="611"/>
      <c r="AA155">
        <f>IF(AND('09 App'!C155&gt;Tmin, NOT('09 App'!$I155="")),'09 App'!$I155,0)</f>
        <v>0</v>
      </c>
      <c r="AB155">
        <f>IF(AND('09 App'!D155&gt;Tmin, NOT('09 App'!$I155="")),'09 App'!$I155,0)</f>
        <v>0</v>
      </c>
      <c r="AC155">
        <f>IF(AND('09 App'!E155&gt;Tmin, NOT('09 App'!$I155="")),'09 App'!$I155,0)</f>
        <v>0</v>
      </c>
      <c r="AD155">
        <f>IF(AND('09 App'!F155&gt;Tmin, NOT('09 App'!$I155="")),'09 App'!$I155,0)</f>
        <v>0</v>
      </c>
      <c r="AE155">
        <f>IF(AND('09 App'!C155&lt;Tmax, NOT('09 App'!$H155="")),'09 App'!$H155,4)</f>
        <v>3</v>
      </c>
      <c r="AF155">
        <f>IF(AND('09 App'!D155&lt;Tmax, NOT('09 App'!$H155="")),'09 App'!$H155,4)</f>
        <v>3</v>
      </c>
      <c r="AG155">
        <f>IF(AND('09 App'!E155&lt;Tmax, NOT('09 App'!$H155="")),'09 App'!$H155,4)</f>
        <v>3</v>
      </c>
      <c r="AH155">
        <f>IF(AND('09 App'!F155&lt;Tmax, NOT('09 App'!$H155="")),'09 App'!$H155,4)</f>
        <v>3</v>
      </c>
      <c r="AI155"/>
    </row>
    <row r="156" spans="1:35" s="648" customFormat="1" ht="39" customHeight="1" outlineLevel="2" x14ac:dyDescent="0.2">
      <c r="A156" s="601" t="s">
        <v>4165</v>
      </c>
      <c r="B156" s="752" t="s">
        <v>1207</v>
      </c>
      <c r="C156" s="751"/>
      <c r="D156" s="747"/>
      <c r="E156" s="757"/>
      <c r="F156" s="757"/>
      <c r="G156" s="1497">
        <v>4</v>
      </c>
      <c r="H156" s="1497">
        <v>3</v>
      </c>
      <c r="I156" s="1497">
        <v>3</v>
      </c>
      <c r="J156" s="1497" t="s">
        <v>2107</v>
      </c>
      <c r="K156" s="1495"/>
      <c r="L156" s="1495"/>
      <c r="M156" s="748"/>
      <c r="N156" s="611"/>
      <c r="O156" s="611"/>
      <c r="P156" s="611"/>
      <c r="Q156" s="611"/>
      <c r="R156" s="611"/>
      <c r="S156" s="611"/>
      <c r="T156" s="611"/>
      <c r="U156" s="611"/>
      <c r="V156" s="611"/>
      <c r="W156" s="611"/>
      <c r="X156" s="611"/>
      <c r="Y156" s="611"/>
      <c r="Z156" s="611"/>
      <c r="AA156">
        <f>IF(AND('09 App'!C156&gt;Tmin, NOT('09 App'!$I156="")),'09 App'!$I156,0)</f>
        <v>0</v>
      </c>
      <c r="AB156">
        <f>IF(AND('09 App'!D156&gt;Tmin, NOT('09 App'!$I156="")),'09 App'!$I156,0)</f>
        <v>0</v>
      </c>
      <c r="AC156">
        <f>IF(AND('09 App'!E156&gt;Tmin, NOT('09 App'!$I156="")),'09 App'!$I156,0)</f>
        <v>0</v>
      </c>
      <c r="AD156">
        <f>IF(AND('09 App'!F156&gt;Tmin, NOT('09 App'!$I156="")),'09 App'!$I156,0)</f>
        <v>0</v>
      </c>
      <c r="AE156">
        <f>IF(AND('09 App'!C156&lt;Tmax, NOT('09 App'!$H156="")),'09 App'!$H156,4)</f>
        <v>3</v>
      </c>
      <c r="AF156">
        <f>IF(AND('09 App'!D156&lt;Tmax, NOT('09 App'!$H156="")),'09 App'!$H156,4)</f>
        <v>3</v>
      </c>
      <c r="AG156">
        <f>IF(AND('09 App'!E156&lt;Tmax, NOT('09 App'!$H156="")),'09 App'!$H156,4)</f>
        <v>3</v>
      </c>
      <c r="AH156">
        <f>IF(AND('09 App'!F156&lt;Tmax, NOT('09 App'!$H156="")),'09 App'!$H156,4)</f>
        <v>3</v>
      </c>
      <c r="AI156"/>
    </row>
    <row r="157" spans="1:35" s="648" customFormat="1" ht="22.5" outlineLevel="2" x14ac:dyDescent="0.2">
      <c r="A157" s="601" t="s">
        <v>4166</v>
      </c>
      <c r="B157" s="752" t="s">
        <v>6537</v>
      </c>
      <c r="C157" s="751"/>
      <c r="D157" s="747"/>
      <c r="E157" s="757"/>
      <c r="F157" s="757"/>
      <c r="G157" s="1497">
        <v>4</v>
      </c>
      <c r="H157" s="1497">
        <v>2</v>
      </c>
      <c r="I157" s="1497"/>
      <c r="J157" s="1497" t="s">
        <v>2349</v>
      </c>
      <c r="K157" s="1495"/>
      <c r="L157" s="1495"/>
      <c r="M157" s="748"/>
      <c r="N157" s="611"/>
      <c r="O157" s="611"/>
      <c r="P157" s="611"/>
      <c r="Q157" s="611"/>
      <c r="R157" s="611"/>
      <c r="S157" s="611"/>
      <c r="T157" s="611"/>
      <c r="U157" s="611"/>
      <c r="V157" s="611"/>
      <c r="W157" s="611"/>
      <c r="X157" s="611"/>
      <c r="Y157" s="611"/>
      <c r="Z157" s="611"/>
      <c r="AA157">
        <f>IF(AND('09 App'!C157&gt;Tmin, NOT('09 App'!$I157="")),'09 App'!$I157,0)</f>
        <v>0</v>
      </c>
      <c r="AB157">
        <f>IF(AND('09 App'!D157&gt;Tmin, NOT('09 App'!$I157="")),'09 App'!$I157,0)</f>
        <v>0</v>
      </c>
      <c r="AC157">
        <f>IF(AND('09 App'!E157&gt;Tmin, NOT('09 App'!$I157="")),'09 App'!$I157,0)</f>
        <v>0</v>
      </c>
      <c r="AD157">
        <f>IF(AND('09 App'!F157&gt;Tmin, NOT('09 App'!$I157="")),'09 App'!$I157,0)</f>
        <v>0</v>
      </c>
      <c r="AE157">
        <f>IF(AND('09 App'!C157&lt;Tmax, NOT('09 App'!$H157="")),'09 App'!$H157,4)</f>
        <v>2</v>
      </c>
      <c r="AF157">
        <f>IF(AND('09 App'!D157&lt;Tmax, NOT('09 App'!$H157="")),'09 App'!$H157,4)</f>
        <v>2</v>
      </c>
      <c r="AG157">
        <f>IF(AND('09 App'!E157&lt;Tmax, NOT('09 App'!$H157="")),'09 App'!$H157,4)</f>
        <v>2</v>
      </c>
      <c r="AH157">
        <f>IF(AND('09 App'!F157&lt;Tmax, NOT('09 App'!$H157="")),'09 App'!$H157,4)</f>
        <v>2</v>
      </c>
      <c r="AI157"/>
    </row>
    <row r="158" spans="1:35" s="648" customFormat="1" outlineLevel="2" x14ac:dyDescent="0.2">
      <c r="A158" s="601" t="s">
        <v>5970</v>
      </c>
      <c r="B158" s="752" t="s">
        <v>6191</v>
      </c>
      <c r="C158" s="751"/>
      <c r="D158" s="747"/>
      <c r="E158" s="757"/>
      <c r="F158" s="757"/>
      <c r="G158" s="1497">
        <v>3</v>
      </c>
      <c r="H158" s="1497"/>
      <c r="I158" s="1497">
        <v>2</v>
      </c>
      <c r="J158" s="1497" t="s">
        <v>2349</v>
      </c>
      <c r="K158" s="1495"/>
      <c r="L158" s="1495"/>
      <c r="M158" s="748"/>
      <c r="N158" s="611"/>
      <c r="O158" s="611"/>
      <c r="P158" s="611"/>
      <c r="Q158" s="611"/>
      <c r="R158" s="611"/>
      <c r="S158" s="611"/>
      <c r="T158" s="611"/>
      <c r="U158" s="611"/>
      <c r="V158" s="611"/>
      <c r="W158" s="611"/>
      <c r="X158" s="611"/>
      <c r="Y158" s="611"/>
      <c r="Z158" s="611"/>
      <c r="AA158">
        <f>IF(AND('09 App'!C158&gt;Tmin, NOT('09 App'!$I158="")),'09 App'!$I158,0)</f>
        <v>0</v>
      </c>
      <c r="AB158">
        <f>IF(AND('09 App'!D158&gt;Tmin, NOT('09 App'!$I158="")),'09 App'!$I158,0)</f>
        <v>0</v>
      </c>
      <c r="AC158">
        <f>IF(AND('09 App'!E158&gt;Tmin, NOT('09 App'!$I158="")),'09 App'!$I158,0)</f>
        <v>0</v>
      </c>
      <c r="AD158">
        <f>IF(AND('09 App'!F158&gt;Tmin, NOT('09 App'!$I158="")),'09 App'!$I158,0)</f>
        <v>0</v>
      </c>
      <c r="AE158">
        <f>IF(AND('09 App'!C158&lt;Tmax, NOT('09 App'!$H158="")),'09 App'!$H158,4)</f>
        <v>4</v>
      </c>
      <c r="AF158">
        <f>IF(AND('09 App'!D158&lt;Tmax, NOT('09 App'!$H158="")),'09 App'!$H158,4)</f>
        <v>4</v>
      </c>
      <c r="AG158">
        <f>IF(AND('09 App'!E158&lt;Tmax, NOT('09 App'!$H158="")),'09 App'!$H158,4)</f>
        <v>4</v>
      </c>
      <c r="AH158">
        <f>IF(AND('09 App'!F158&lt;Tmax, NOT('09 App'!$H158="")),'09 App'!$H158,4)</f>
        <v>4</v>
      </c>
      <c r="AI158"/>
    </row>
    <row r="159" spans="1:35" s="648" customFormat="1" outlineLevel="2" x14ac:dyDescent="0.2">
      <c r="A159" s="601" t="s">
        <v>6561</v>
      </c>
      <c r="B159" s="752" t="s">
        <v>3813</v>
      </c>
      <c r="C159" s="751"/>
      <c r="D159" s="747"/>
      <c r="E159" s="757"/>
      <c r="F159" s="757"/>
      <c r="G159" s="1497">
        <v>4</v>
      </c>
      <c r="H159" s="1497">
        <v>3</v>
      </c>
      <c r="I159" s="1497"/>
      <c r="J159" s="1497" t="s">
        <v>2109</v>
      </c>
      <c r="K159" s="1495"/>
      <c r="L159" s="1495"/>
      <c r="M159" s="748"/>
      <c r="N159" s="611"/>
      <c r="O159" s="611"/>
      <c r="P159" s="611"/>
      <c r="Q159" s="611"/>
      <c r="R159" s="611"/>
      <c r="S159" s="611"/>
      <c r="T159" s="611"/>
      <c r="U159" s="611"/>
      <c r="V159" s="611"/>
      <c r="W159" s="611"/>
      <c r="X159" s="611"/>
      <c r="Y159" s="611"/>
      <c r="Z159" s="611"/>
      <c r="AA159">
        <f>IF(AND('09 App'!C159&gt;Tmin, NOT('09 App'!$I159="")),'09 App'!$I159,0)</f>
        <v>0</v>
      </c>
      <c r="AB159">
        <f>IF(AND('09 App'!D159&gt;Tmin, NOT('09 App'!$I159="")),'09 App'!$I159,0)</f>
        <v>0</v>
      </c>
      <c r="AC159">
        <f>IF(AND('09 App'!E159&gt;Tmin, NOT('09 App'!$I159="")),'09 App'!$I159,0)</f>
        <v>0</v>
      </c>
      <c r="AD159">
        <f>IF(AND('09 App'!F159&gt;Tmin, NOT('09 App'!$I159="")),'09 App'!$I159,0)</f>
        <v>0</v>
      </c>
      <c r="AE159">
        <f>IF(AND('09 App'!C159&lt;Tmax, NOT('09 App'!$H159="")),'09 App'!$H159,4)</f>
        <v>3</v>
      </c>
      <c r="AF159">
        <f>IF(AND('09 App'!D159&lt;Tmax, NOT('09 App'!$H159="")),'09 App'!$H159,4)</f>
        <v>3</v>
      </c>
      <c r="AG159">
        <f>IF(AND('09 App'!E159&lt;Tmax, NOT('09 App'!$H159="")),'09 App'!$H159,4)</f>
        <v>3</v>
      </c>
      <c r="AH159">
        <f>IF(AND('09 App'!F159&lt;Tmax, NOT('09 App'!$H159="")),'09 App'!$H159,4)</f>
        <v>3</v>
      </c>
      <c r="AI159"/>
    </row>
    <row r="160" spans="1:35" s="648" customFormat="1" outlineLevel="1" x14ac:dyDescent="0.2">
      <c r="A160" s="749" t="s">
        <v>3216</v>
      </c>
      <c r="B160" s="750" t="s">
        <v>3814</v>
      </c>
      <c r="C160" s="751"/>
      <c r="D160" s="747"/>
      <c r="E160" s="757"/>
      <c r="F160" s="757"/>
      <c r="G160" s="1497"/>
      <c r="H160" s="1497"/>
      <c r="I160" s="1497"/>
      <c r="J160" s="1497"/>
      <c r="K160" s="1495"/>
      <c r="L160" s="1495"/>
      <c r="M160" s="748"/>
      <c r="N160" s="611"/>
      <c r="O160" s="611"/>
      <c r="P160" s="611"/>
      <c r="Q160" s="611"/>
      <c r="R160" s="611"/>
      <c r="S160" s="611"/>
      <c r="T160" s="611"/>
      <c r="U160" s="611"/>
      <c r="V160" s="611"/>
      <c r="W160" s="611"/>
      <c r="X160" s="611"/>
      <c r="Y160" s="611"/>
      <c r="Z160" s="611"/>
      <c r="AA160"/>
      <c r="AB160"/>
      <c r="AC160"/>
      <c r="AD160"/>
      <c r="AE160"/>
      <c r="AF160"/>
      <c r="AG160"/>
      <c r="AH160"/>
      <c r="AI160"/>
    </row>
    <row r="161" spans="1:35" s="648" customFormat="1" ht="22.5" outlineLevel="2" x14ac:dyDescent="0.2">
      <c r="A161" s="601" t="s">
        <v>3815</v>
      </c>
      <c r="B161" s="752" t="s">
        <v>3842</v>
      </c>
      <c r="C161" s="751"/>
      <c r="D161" s="747"/>
      <c r="E161" s="757"/>
      <c r="F161" s="757"/>
      <c r="G161" s="1497">
        <v>4</v>
      </c>
      <c r="H161" s="1497"/>
      <c r="I161" s="1497"/>
      <c r="J161" s="1497" t="s">
        <v>1592</v>
      </c>
      <c r="K161" s="1495"/>
      <c r="L161" s="1495"/>
      <c r="M161" s="748"/>
      <c r="N161" s="611"/>
      <c r="O161" s="611"/>
      <c r="P161" s="611"/>
      <c r="Q161" s="611"/>
      <c r="R161" s="611"/>
      <c r="S161" s="611"/>
      <c r="T161" s="611"/>
      <c r="U161" s="611"/>
      <c r="V161" s="611"/>
      <c r="W161" s="611"/>
      <c r="X161" s="611"/>
      <c r="Y161" s="611"/>
      <c r="Z161" s="611"/>
      <c r="AA161">
        <f>IF(AND('09 App'!C161&gt;Tmin, NOT('09 App'!$I161="")),'09 App'!$I161,0)</f>
        <v>0</v>
      </c>
      <c r="AB161">
        <f>IF(AND('09 App'!D161&gt;Tmin, NOT('09 App'!$I161="")),'09 App'!$I161,0)</f>
        <v>0</v>
      </c>
      <c r="AC161">
        <f>IF(AND('09 App'!E161&gt;Tmin, NOT('09 App'!$I161="")),'09 App'!$I161,0)</f>
        <v>0</v>
      </c>
      <c r="AD161">
        <f>IF(AND('09 App'!F161&gt;Tmin, NOT('09 App'!$I161="")),'09 App'!$I161,0)</f>
        <v>0</v>
      </c>
      <c r="AE161">
        <f>IF(AND('09 App'!C161&lt;Tmax, NOT('09 App'!$H161="")),'09 App'!$H161,4)</f>
        <v>4</v>
      </c>
      <c r="AF161">
        <f>IF(AND('09 App'!D161&lt;Tmax, NOT('09 App'!$H161="")),'09 App'!$H161,4)</f>
        <v>4</v>
      </c>
      <c r="AG161">
        <f>IF(AND('09 App'!E161&lt;Tmax, NOT('09 App'!$H161="")),'09 App'!$H161,4)</f>
        <v>4</v>
      </c>
      <c r="AH161">
        <f>IF(AND('09 App'!F161&lt;Tmax, NOT('09 App'!$H161="")),'09 App'!$H161,4)</f>
        <v>4</v>
      </c>
      <c r="AI161"/>
    </row>
    <row r="162" spans="1:35" s="648" customFormat="1" ht="22.5" outlineLevel="2" x14ac:dyDescent="0.2">
      <c r="A162" s="601" t="s">
        <v>3438</v>
      </c>
      <c r="B162" s="752" t="s">
        <v>3439</v>
      </c>
      <c r="C162" s="751"/>
      <c r="D162" s="747"/>
      <c r="E162" s="757"/>
      <c r="F162" s="757"/>
      <c r="G162" s="1497">
        <v>4</v>
      </c>
      <c r="H162" s="1497">
        <v>2</v>
      </c>
      <c r="I162" s="1497"/>
      <c r="J162" s="1497" t="s">
        <v>1592</v>
      </c>
      <c r="K162" s="1495"/>
      <c r="L162" s="1495"/>
      <c r="M162" s="748"/>
      <c r="N162" s="611"/>
      <c r="O162" s="611"/>
      <c r="P162" s="611"/>
      <c r="Q162" s="611"/>
      <c r="R162" s="611"/>
      <c r="S162" s="611"/>
      <c r="T162" s="611"/>
      <c r="U162" s="611"/>
      <c r="V162" s="611"/>
      <c r="W162" s="611"/>
      <c r="X162" s="611"/>
      <c r="Y162" s="611"/>
      <c r="Z162" s="611"/>
      <c r="AA162">
        <f>IF(AND('09 App'!C162&gt;Tmin, NOT('09 App'!$I162="")),'09 App'!$I162,0)</f>
        <v>0</v>
      </c>
      <c r="AB162">
        <f>IF(AND('09 App'!D162&gt;Tmin, NOT('09 App'!$I162="")),'09 App'!$I162,0)</f>
        <v>0</v>
      </c>
      <c r="AC162">
        <f>IF(AND('09 App'!E162&gt;Tmin, NOT('09 App'!$I162="")),'09 App'!$I162,0)</f>
        <v>0</v>
      </c>
      <c r="AD162">
        <f>IF(AND('09 App'!F162&gt;Tmin, NOT('09 App'!$I162="")),'09 App'!$I162,0)</f>
        <v>0</v>
      </c>
      <c r="AE162">
        <f>IF(AND('09 App'!C162&lt;Tmax, NOT('09 App'!$H162="")),'09 App'!$H162,4)</f>
        <v>2</v>
      </c>
      <c r="AF162">
        <f>IF(AND('09 App'!D162&lt;Tmax, NOT('09 App'!$H162="")),'09 App'!$H162,4)</f>
        <v>2</v>
      </c>
      <c r="AG162">
        <f>IF(AND('09 App'!E162&lt;Tmax, NOT('09 App'!$H162="")),'09 App'!$H162,4)</f>
        <v>2</v>
      </c>
      <c r="AH162">
        <f>IF(AND('09 App'!F162&lt;Tmax, NOT('09 App'!$H162="")),'09 App'!$H162,4)</f>
        <v>2</v>
      </c>
      <c r="AI162"/>
    </row>
    <row r="163" spans="1:35" s="648" customFormat="1" ht="40.5" customHeight="1" outlineLevel="2" x14ac:dyDescent="0.2">
      <c r="A163" s="601" t="s">
        <v>3440</v>
      </c>
      <c r="B163" s="752" t="s">
        <v>6538</v>
      </c>
      <c r="C163" s="751"/>
      <c r="D163" s="747"/>
      <c r="E163" s="757"/>
      <c r="F163" s="757"/>
      <c r="G163" s="1497">
        <v>4</v>
      </c>
      <c r="H163" s="1497">
        <v>2</v>
      </c>
      <c r="I163" s="1497"/>
      <c r="J163" s="1497" t="s">
        <v>1592</v>
      </c>
      <c r="K163" s="1495"/>
      <c r="L163" s="1495"/>
      <c r="M163" s="748"/>
      <c r="N163" s="611"/>
      <c r="O163" s="611"/>
      <c r="P163" s="611"/>
      <c r="Q163" s="611"/>
      <c r="R163" s="611"/>
      <c r="S163" s="611"/>
      <c r="T163" s="611"/>
      <c r="U163" s="611"/>
      <c r="V163" s="611"/>
      <c r="W163" s="611"/>
      <c r="X163" s="611"/>
      <c r="Y163" s="611"/>
      <c r="Z163" s="611"/>
      <c r="AA163">
        <f>IF(AND('09 App'!C163&gt;Tmin, NOT('09 App'!$I163="")),'09 App'!$I163,0)</f>
        <v>0</v>
      </c>
      <c r="AB163">
        <f>IF(AND('09 App'!D163&gt;Tmin, NOT('09 App'!$I163="")),'09 App'!$I163,0)</f>
        <v>0</v>
      </c>
      <c r="AC163">
        <f>IF(AND('09 App'!E163&gt;Tmin, NOT('09 App'!$I163="")),'09 App'!$I163,0)</f>
        <v>0</v>
      </c>
      <c r="AD163">
        <f>IF(AND('09 App'!F163&gt;Tmin, NOT('09 App'!$I163="")),'09 App'!$I163,0)</f>
        <v>0</v>
      </c>
      <c r="AE163">
        <f>IF(AND('09 App'!C163&lt;Tmax, NOT('09 App'!$H163="")),'09 App'!$H163,4)</f>
        <v>2</v>
      </c>
      <c r="AF163">
        <f>IF(AND('09 App'!D163&lt;Tmax, NOT('09 App'!$H163="")),'09 App'!$H163,4)</f>
        <v>2</v>
      </c>
      <c r="AG163">
        <f>IF(AND('09 App'!E163&lt;Tmax, NOT('09 App'!$H163="")),'09 App'!$H163,4)</f>
        <v>2</v>
      </c>
      <c r="AH163">
        <f>IF(AND('09 App'!F163&lt;Tmax, NOT('09 App'!$H163="")),'09 App'!$H163,4)</f>
        <v>2</v>
      </c>
      <c r="AI163"/>
    </row>
    <row r="164" spans="1:35" s="648" customFormat="1" ht="50.25" customHeight="1" outlineLevel="2" x14ac:dyDescent="0.2">
      <c r="A164" s="601" t="s">
        <v>3441</v>
      </c>
      <c r="B164" s="752" t="s">
        <v>6776</v>
      </c>
      <c r="C164" s="751"/>
      <c r="D164" s="747"/>
      <c r="E164" s="757"/>
      <c r="F164" s="757"/>
      <c r="G164" s="1497">
        <v>4</v>
      </c>
      <c r="H164" s="1497">
        <v>3</v>
      </c>
      <c r="I164" s="1497">
        <v>3</v>
      </c>
      <c r="J164" s="1497" t="s">
        <v>2107</v>
      </c>
      <c r="K164" s="1495"/>
      <c r="L164" s="1495"/>
      <c r="M164" s="748"/>
      <c r="N164" s="611"/>
      <c r="O164" s="611"/>
      <c r="P164" s="611"/>
      <c r="Q164" s="611"/>
      <c r="R164" s="611"/>
      <c r="S164" s="611"/>
      <c r="T164" s="611"/>
      <c r="U164" s="611"/>
      <c r="V164" s="611"/>
      <c r="W164" s="611"/>
      <c r="X164" s="611"/>
      <c r="Y164" s="611"/>
      <c r="Z164" s="611"/>
      <c r="AA164">
        <f>IF(AND('09 App'!C164&gt;Tmin, NOT('09 App'!$I164="")),'09 App'!$I164,0)</f>
        <v>0</v>
      </c>
      <c r="AB164">
        <f>IF(AND('09 App'!D164&gt;Tmin, NOT('09 App'!$I164="")),'09 App'!$I164,0)</f>
        <v>0</v>
      </c>
      <c r="AC164">
        <f>IF(AND('09 App'!E164&gt;Tmin, NOT('09 App'!$I164="")),'09 App'!$I164,0)</f>
        <v>0</v>
      </c>
      <c r="AD164">
        <f>IF(AND('09 App'!F164&gt;Tmin, NOT('09 App'!$I164="")),'09 App'!$I164,0)</f>
        <v>0</v>
      </c>
      <c r="AE164">
        <f>IF(AND('09 App'!C164&lt;Tmax, NOT('09 App'!$H164="")),'09 App'!$H164,4)</f>
        <v>3</v>
      </c>
      <c r="AF164">
        <f>IF(AND('09 App'!D164&lt;Tmax, NOT('09 App'!$H164="")),'09 App'!$H164,4)</f>
        <v>3</v>
      </c>
      <c r="AG164">
        <f>IF(AND('09 App'!E164&lt;Tmax, NOT('09 App'!$H164="")),'09 App'!$H164,4)</f>
        <v>3</v>
      </c>
      <c r="AH164">
        <f>IF(AND('09 App'!F164&lt;Tmax, NOT('09 App'!$H164="")),'09 App'!$H164,4)</f>
        <v>3</v>
      </c>
      <c r="AI164"/>
    </row>
    <row r="165" spans="1:35" s="648" customFormat="1" ht="22.5" outlineLevel="2" x14ac:dyDescent="0.2">
      <c r="A165" s="601" t="s">
        <v>3442</v>
      </c>
      <c r="B165" s="752" t="s">
        <v>4947</v>
      </c>
      <c r="C165" s="751"/>
      <c r="D165" s="747"/>
      <c r="E165" s="757"/>
      <c r="F165" s="757"/>
      <c r="G165" s="1497">
        <v>4</v>
      </c>
      <c r="H165" s="1497">
        <v>2</v>
      </c>
      <c r="I165" s="1497"/>
      <c r="J165" s="1497" t="s">
        <v>2349</v>
      </c>
      <c r="K165" s="1495"/>
      <c r="L165" s="1495"/>
      <c r="M165" s="748"/>
      <c r="N165" s="611"/>
      <c r="O165" s="611"/>
      <c r="P165" s="611"/>
      <c r="Q165" s="611"/>
      <c r="R165" s="611"/>
      <c r="S165" s="611"/>
      <c r="T165" s="611"/>
      <c r="U165" s="611"/>
      <c r="V165" s="611"/>
      <c r="W165" s="611"/>
      <c r="X165" s="611"/>
      <c r="Y165" s="611"/>
      <c r="Z165" s="611"/>
      <c r="AA165">
        <f>IF(AND('09 App'!C165&gt;Tmin, NOT('09 App'!$I165="")),'09 App'!$I165,0)</f>
        <v>0</v>
      </c>
      <c r="AB165">
        <f>IF(AND('09 App'!D165&gt;Tmin, NOT('09 App'!$I165="")),'09 App'!$I165,0)</f>
        <v>0</v>
      </c>
      <c r="AC165">
        <f>IF(AND('09 App'!E165&gt;Tmin, NOT('09 App'!$I165="")),'09 App'!$I165,0)</f>
        <v>0</v>
      </c>
      <c r="AD165">
        <f>IF(AND('09 App'!F165&gt;Tmin, NOT('09 App'!$I165="")),'09 App'!$I165,0)</f>
        <v>0</v>
      </c>
      <c r="AE165">
        <f>IF(AND('09 App'!C165&lt;Tmax, NOT('09 App'!$H165="")),'09 App'!$H165,4)</f>
        <v>2</v>
      </c>
      <c r="AF165">
        <f>IF(AND('09 App'!D165&lt;Tmax, NOT('09 App'!$H165="")),'09 App'!$H165,4)</f>
        <v>2</v>
      </c>
      <c r="AG165">
        <f>IF(AND('09 App'!E165&lt;Tmax, NOT('09 App'!$H165="")),'09 App'!$H165,4)</f>
        <v>2</v>
      </c>
      <c r="AH165">
        <f>IF(AND('09 App'!F165&lt;Tmax, NOT('09 App'!$H165="")),'09 App'!$H165,4)</f>
        <v>2</v>
      </c>
      <c r="AI165"/>
    </row>
    <row r="166" spans="1:35" s="648" customFormat="1" outlineLevel="2" x14ac:dyDescent="0.2">
      <c r="A166" s="601" t="s">
        <v>3443</v>
      </c>
      <c r="B166" s="752" t="s">
        <v>6191</v>
      </c>
      <c r="C166" s="751"/>
      <c r="D166" s="747"/>
      <c r="E166" s="757"/>
      <c r="F166" s="757"/>
      <c r="G166" s="1497">
        <v>3</v>
      </c>
      <c r="H166" s="1497"/>
      <c r="I166" s="1497">
        <v>2</v>
      </c>
      <c r="J166" s="1497" t="s">
        <v>2349</v>
      </c>
      <c r="K166" s="1495"/>
      <c r="L166" s="1495"/>
      <c r="M166" s="748"/>
      <c r="N166" s="611"/>
      <c r="O166" s="611"/>
      <c r="P166" s="611"/>
      <c r="Q166" s="611"/>
      <c r="R166" s="611"/>
      <c r="S166" s="611"/>
      <c r="T166" s="611"/>
      <c r="U166" s="611"/>
      <c r="V166" s="611"/>
      <c r="W166" s="611"/>
      <c r="X166" s="611"/>
      <c r="Y166" s="611"/>
      <c r="Z166" s="611"/>
      <c r="AA166">
        <f>IF(AND('09 App'!C166&gt;Tmin, NOT('09 App'!$I166="")),'09 App'!$I166,0)</f>
        <v>0</v>
      </c>
      <c r="AB166">
        <f>IF(AND('09 App'!D166&gt;Tmin, NOT('09 App'!$I166="")),'09 App'!$I166,0)</f>
        <v>0</v>
      </c>
      <c r="AC166">
        <f>IF(AND('09 App'!E166&gt;Tmin, NOT('09 App'!$I166="")),'09 App'!$I166,0)</f>
        <v>0</v>
      </c>
      <c r="AD166">
        <f>IF(AND('09 App'!F166&gt;Tmin, NOT('09 App'!$I166="")),'09 App'!$I166,0)</f>
        <v>0</v>
      </c>
      <c r="AE166">
        <f>IF(AND('09 App'!C166&lt;Tmax, NOT('09 App'!$H166="")),'09 App'!$H166,4)</f>
        <v>4</v>
      </c>
      <c r="AF166">
        <f>IF(AND('09 App'!D166&lt;Tmax, NOT('09 App'!$H166="")),'09 App'!$H166,4)</f>
        <v>4</v>
      </c>
      <c r="AG166">
        <f>IF(AND('09 App'!E166&lt;Tmax, NOT('09 App'!$H166="")),'09 App'!$H166,4)</f>
        <v>4</v>
      </c>
      <c r="AH166">
        <f>IF(AND('09 App'!F166&lt;Tmax, NOT('09 App'!$H166="")),'09 App'!$H166,4)</f>
        <v>4</v>
      </c>
      <c r="AI166"/>
    </row>
    <row r="167" spans="1:35" s="648" customFormat="1" ht="22.5" outlineLevel="2" x14ac:dyDescent="0.2">
      <c r="A167" s="601" t="s">
        <v>3444</v>
      </c>
      <c r="B167" s="752" t="s">
        <v>3445</v>
      </c>
      <c r="C167" s="751"/>
      <c r="D167" s="747"/>
      <c r="E167" s="757"/>
      <c r="F167" s="757"/>
      <c r="G167" s="1497">
        <v>4</v>
      </c>
      <c r="H167" s="1497">
        <v>3</v>
      </c>
      <c r="I167" s="1497"/>
      <c r="J167" s="1497" t="s">
        <v>2109</v>
      </c>
      <c r="K167" s="1495"/>
      <c r="L167" s="1495"/>
      <c r="M167" s="748"/>
      <c r="N167" s="611"/>
      <c r="O167" s="611"/>
      <c r="P167" s="611"/>
      <c r="Q167" s="611"/>
      <c r="R167" s="611"/>
      <c r="S167" s="611"/>
      <c r="T167" s="611"/>
      <c r="U167" s="611"/>
      <c r="V167" s="611"/>
      <c r="W167" s="611"/>
      <c r="X167" s="611"/>
      <c r="Y167" s="611"/>
      <c r="Z167" s="611"/>
      <c r="AA167">
        <f>IF(AND('09 App'!C167&gt;Tmin, NOT('09 App'!$I167="")),'09 App'!$I167,0)</f>
        <v>0</v>
      </c>
      <c r="AB167">
        <f>IF(AND('09 App'!D167&gt;Tmin, NOT('09 App'!$I167="")),'09 App'!$I167,0)</f>
        <v>0</v>
      </c>
      <c r="AC167">
        <f>IF(AND('09 App'!E167&gt;Tmin, NOT('09 App'!$I167="")),'09 App'!$I167,0)</f>
        <v>0</v>
      </c>
      <c r="AD167">
        <f>IF(AND('09 App'!F167&gt;Tmin, NOT('09 App'!$I167="")),'09 App'!$I167,0)</f>
        <v>0</v>
      </c>
      <c r="AE167">
        <f>IF(AND('09 App'!C167&lt;Tmax, NOT('09 App'!$H167="")),'09 App'!$H167,4)</f>
        <v>3</v>
      </c>
      <c r="AF167">
        <f>IF(AND('09 App'!D167&lt;Tmax, NOT('09 App'!$H167="")),'09 App'!$H167,4)</f>
        <v>3</v>
      </c>
      <c r="AG167">
        <f>IF(AND('09 App'!E167&lt;Tmax, NOT('09 App'!$H167="")),'09 App'!$H167,4)</f>
        <v>3</v>
      </c>
      <c r="AH167">
        <f>IF(AND('09 App'!F167&lt;Tmax, NOT('09 App'!$H167="")),'09 App'!$H167,4)</f>
        <v>3</v>
      </c>
      <c r="AI167"/>
    </row>
    <row r="168" spans="1:35" s="648" customFormat="1" outlineLevel="1" x14ac:dyDescent="0.2">
      <c r="A168" s="749" t="s">
        <v>4211</v>
      </c>
      <c r="B168" s="750" t="s">
        <v>3446</v>
      </c>
      <c r="C168" s="751"/>
      <c r="D168" s="747"/>
      <c r="E168" s="757"/>
      <c r="F168" s="757"/>
      <c r="G168" s="1497"/>
      <c r="H168" s="1497"/>
      <c r="I168" s="1497"/>
      <c r="J168" s="1497"/>
      <c r="K168" s="1495"/>
      <c r="L168" s="1495"/>
      <c r="M168" s="748"/>
      <c r="N168" s="611"/>
      <c r="O168" s="611"/>
      <c r="P168" s="611"/>
      <c r="Q168" s="611"/>
      <c r="R168" s="611"/>
      <c r="S168" s="611"/>
      <c r="T168" s="611"/>
      <c r="U168" s="611"/>
      <c r="V168" s="611"/>
      <c r="W168" s="611"/>
      <c r="X168" s="611"/>
      <c r="Y168" s="611"/>
      <c r="Z168" s="611"/>
      <c r="AA168"/>
      <c r="AB168"/>
      <c r="AC168"/>
      <c r="AD168"/>
      <c r="AE168"/>
      <c r="AF168"/>
      <c r="AG168"/>
      <c r="AH168"/>
      <c r="AI168"/>
    </row>
    <row r="169" spans="1:35" s="648" customFormat="1" ht="25.5" customHeight="1" outlineLevel="2" x14ac:dyDescent="0.2">
      <c r="A169" s="601" t="s">
        <v>3447</v>
      </c>
      <c r="B169" s="752" t="s">
        <v>6777</v>
      </c>
      <c r="C169" s="751"/>
      <c r="D169" s="747"/>
      <c r="E169" s="757"/>
      <c r="F169" s="757"/>
      <c r="G169" s="1497">
        <v>4</v>
      </c>
      <c r="H169" s="1497"/>
      <c r="I169" s="1497"/>
      <c r="J169" s="1497" t="s">
        <v>4246</v>
      </c>
      <c r="K169" s="1495"/>
      <c r="L169" s="1495"/>
      <c r="M169" s="748"/>
      <c r="N169" s="611"/>
      <c r="O169" s="611"/>
      <c r="P169" s="611"/>
      <c r="Q169" s="611"/>
      <c r="R169" s="611"/>
      <c r="S169" s="611"/>
      <c r="T169" s="611"/>
      <c r="U169" s="611"/>
      <c r="V169" s="611"/>
      <c r="W169" s="611"/>
      <c r="X169" s="611"/>
      <c r="Y169" s="611"/>
      <c r="Z169" s="611"/>
      <c r="AA169">
        <f>IF(AND('09 App'!C169&gt;Tmin, NOT('09 App'!$I169="")),'09 App'!$I169,0)</f>
        <v>0</v>
      </c>
      <c r="AB169">
        <f>IF(AND('09 App'!D169&gt;Tmin, NOT('09 App'!$I169="")),'09 App'!$I169,0)</f>
        <v>0</v>
      </c>
      <c r="AC169">
        <f>IF(AND('09 App'!E169&gt;Tmin, NOT('09 App'!$I169="")),'09 App'!$I169,0)</f>
        <v>0</v>
      </c>
      <c r="AD169">
        <f>IF(AND('09 App'!F169&gt;Tmin, NOT('09 App'!$I169="")),'09 App'!$I169,0)</f>
        <v>0</v>
      </c>
      <c r="AE169">
        <f>IF(AND('09 App'!C169&lt;Tmax, NOT('09 App'!$H169="")),'09 App'!$H169,4)</f>
        <v>4</v>
      </c>
      <c r="AF169">
        <f>IF(AND('09 App'!D169&lt;Tmax, NOT('09 App'!$H169="")),'09 App'!$H169,4)</f>
        <v>4</v>
      </c>
      <c r="AG169">
        <f>IF(AND('09 App'!E169&lt;Tmax, NOT('09 App'!$H169="")),'09 App'!$H169,4)</f>
        <v>4</v>
      </c>
      <c r="AH169">
        <f>IF(AND('09 App'!F169&lt;Tmax, NOT('09 App'!$H169="")),'09 App'!$H169,4)</f>
        <v>4</v>
      </c>
      <c r="AI169"/>
    </row>
    <row r="170" spans="1:35" s="648" customFormat="1" outlineLevel="2" x14ac:dyDescent="0.2">
      <c r="A170" s="601" t="s">
        <v>3448</v>
      </c>
      <c r="B170" s="752" t="s">
        <v>4948</v>
      </c>
      <c r="C170" s="751"/>
      <c r="D170" s="747"/>
      <c r="E170" s="757"/>
      <c r="F170" s="757"/>
      <c r="G170" s="1497">
        <v>4</v>
      </c>
      <c r="H170" s="1497">
        <v>2</v>
      </c>
      <c r="I170" s="1497"/>
      <c r="J170" s="1497" t="s">
        <v>1592</v>
      </c>
      <c r="K170" s="1495"/>
      <c r="L170" s="1495"/>
      <c r="M170" s="748"/>
      <c r="N170" s="611"/>
      <c r="O170" s="611"/>
      <c r="P170" s="611"/>
      <c r="Q170" s="611"/>
      <c r="R170" s="611"/>
      <c r="S170" s="611"/>
      <c r="T170" s="611"/>
      <c r="U170" s="611"/>
      <c r="V170" s="611"/>
      <c r="W170" s="611"/>
      <c r="X170" s="611"/>
      <c r="Y170" s="611"/>
      <c r="Z170" s="611"/>
      <c r="AA170">
        <f>IF(AND('09 App'!C170&gt;Tmin, NOT('09 App'!$I170="")),'09 App'!$I170,0)</f>
        <v>0</v>
      </c>
      <c r="AB170">
        <f>IF(AND('09 App'!D170&gt;Tmin, NOT('09 App'!$I170="")),'09 App'!$I170,0)</f>
        <v>0</v>
      </c>
      <c r="AC170">
        <f>IF(AND('09 App'!E170&gt;Tmin, NOT('09 App'!$I170="")),'09 App'!$I170,0)</f>
        <v>0</v>
      </c>
      <c r="AD170">
        <f>IF(AND('09 App'!F170&gt;Tmin, NOT('09 App'!$I170="")),'09 App'!$I170,0)</f>
        <v>0</v>
      </c>
      <c r="AE170">
        <f>IF(AND('09 App'!C170&lt;Tmax, NOT('09 App'!$H170="")),'09 App'!$H170,4)</f>
        <v>2</v>
      </c>
      <c r="AF170">
        <f>IF(AND('09 App'!D170&lt;Tmax, NOT('09 App'!$H170="")),'09 App'!$H170,4)</f>
        <v>2</v>
      </c>
      <c r="AG170">
        <f>IF(AND('09 App'!E170&lt;Tmax, NOT('09 App'!$H170="")),'09 App'!$H170,4)</f>
        <v>2</v>
      </c>
      <c r="AH170">
        <f>IF(AND('09 App'!F170&lt;Tmax, NOT('09 App'!$H170="")),'09 App'!$H170,4)</f>
        <v>2</v>
      </c>
      <c r="AI170"/>
    </row>
    <row r="171" spans="1:35" s="648" customFormat="1" ht="26.25" customHeight="1" outlineLevel="2" x14ac:dyDescent="0.2">
      <c r="A171" s="601" t="s">
        <v>3449</v>
      </c>
      <c r="B171" s="752" t="s">
        <v>4949</v>
      </c>
      <c r="C171" s="751"/>
      <c r="D171" s="747"/>
      <c r="E171" s="757"/>
      <c r="F171" s="757"/>
      <c r="G171" s="1497">
        <v>4</v>
      </c>
      <c r="H171" s="1497">
        <v>3</v>
      </c>
      <c r="I171" s="1497"/>
      <c r="J171" s="1497" t="s">
        <v>2329</v>
      </c>
      <c r="K171" s="1495"/>
      <c r="L171" s="1495"/>
      <c r="M171" s="748"/>
      <c r="N171" s="611"/>
      <c r="O171" s="611"/>
      <c r="P171" s="611"/>
      <c r="Q171" s="611"/>
      <c r="R171" s="611"/>
      <c r="S171" s="611"/>
      <c r="T171" s="611"/>
      <c r="U171" s="611"/>
      <c r="V171" s="611"/>
      <c r="W171" s="611"/>
      <c r="X171" s="611"/>
      <c r="Y171" s="611"/>
      <c r="Z171" s="611"/>
      <c r="AA171">
        <f>IF(AND('09 App'!C171&gt;Tmin, NOT('09 App'!$I171="")),'09 App'!$I171,0)</f>
        <v>0</v>
      </c>
      <c r="AB171">
        <f>IF(AND('09 App'!D171&gt;Tmin, NOT('09 App'!$I171="")),'09 App'!$I171,0)</f>
        <v>0</v>
      </c>
      <c r="AC171">
        <f>IF(AND('09 App'!E171&gt;Tmin, NOT('09 App'!$I171="")),'09 App'!$I171,0)</f>
        <v>0</v>
      </c>
      <c r="AD171">
        <f>IF(AND('09 App'!F171&gt;Tmin, NOT('09 App'!$I171="")),'09 App'!$I171,0)</f>
        <v>0</v>
      </c>
      <c r="AE171">
        <f>IF(AND('09 App'!C171&lt;Tmax, NOT('09 App'!$H171="")),'09 App'!$H171,4)</f>
        <v>3</v>
      </c>
      <c r="AF171">
        <f>IF(AND('09 App'!D171&lt;Tmax, NOT('09 App'!$H171="")),'09 App'!$H171,4)</f>
        <v>3</v>
      </c>
      <c r="AG171">
        <f>IF(AND('09 App'!E171&lt;Tmax, NOT('09 App'!$H171="")),'09 App'!$H171,4)</f>
        <v>3</v>
      </c>
      <c r="AH171">
        <f>IF(AND('09 App'!F171&lt;Tmax, NOT('09 App'!$H171="")),'09 App'!$H171,4)</f>
        <v>3</v>
      </c>
      <c r="AI171"/>
    </row>
    <row r="172" spans="1:35" s="648" customFormat="1" outlineLevel="2" x14ac:dyDescent="0.2">
      <c r="A172" s="601" t="s">
        <v>3450</v>
      </c>
      <c r="B172" s="752" t="s">
        <v>3451</v>
      </c>
      <c r="C172" s="751"/>
      <c r="D172" s="747"/>
      <c r="E172" s="757"/>
      <c r="F172" s="757"/>
      <c r="G172" s="1497">
        <v>2</v>
      </c>
      <c r="H172" s="1497">
        <v>3</v>
      </c>
      <c r="I172" s="1497"/>
      <c r="J172" s="1497" t="s">
        <v>2349</v>
      </c>
      <c r="K172" s="1495"/>
      <c r="L172" s="1495"/>
      <c r="M172" s="748"/>
      <c r="N172" s="611"/>
      <c r="O172" s="611"/>
      <c r="P172" s="611"/>
      <c r="Q172" s="611"/>
      <c r="R172" s="611"/>
      <c r="S172" s="611"/>
      <c r="T172" s="611"/>
      <c r="U172" s="611"/>
      <c r="V172" s="611"/>
      <c r="W172" s="611"/>
      <c r="X172" s="611"/>
      <c r="Y172" s="611"/>
      <c r="Z172" s="611"/>
      <c r="AA172">
        <f>IF(AND('09 App'!C172&gt;Tmin, NOT('09 App'!$I172="")),'09 App'!$I172,0)</f>
        <v>0</v>
      </c>
      <c r="AB172">
        <f>IF(AND('09 App'!D172&gt;Tmin, NOT('09 App'!$I172="")),'09 App'!$I172,0)</f>
        <v>0</v>
      </c>
      <c r="AC172">
        <f>IF(AND('09 App'!E172&gt;Tmin, NOT('09 App'!$I172="")),'09 App'!$I172,0)</f>
        <v>0</v>
      </c>
      <c r="AD172">
        <f>IF(AND('09 App'!F172&gt;Tmin, NOT('09 App'!$I172="")),'09 App'!$I172,0)</f>
        <v>0</v>
      </c>
      <c r="AE172">
        <f>IF(AND('09 App'!C172&lt;Tmax, NOT('09 App'!$H172="")),'09 App'!$H172,4)</f>
        <v>3</v>
      </c>
      <c r="AF172">
        <f>IF(AND('09 App'!D172&lt;Tmax, NOT('09 App'!$H172="")),'09 App'!$H172,4)</f>
        <v>3</v>
      </c>
      <c r="AG172">
        <f>IF(AND('09 App'!E172&lt;Tmax, NOT('09 App'!$H172="")),'09 App'!$H172,4)</f>
        <v>3</v>
      </c>
      <c r="AH172">
        <f>IF(AND('09 App'!F172&lt;Tmax, NOT('09 App'!$H172="")),'09 App'!$H172,4)</f>
        <v>3</v>
      </c>
      <c r="AI172"/>
    </row>
    <row r="173" spans="1:35" s="648" customFormat="1" outlineLevel="2" x14ac:dyDescent="0.2">
      <c r="A173" s="601" t="s">
        <v>3452</v>
      </c>
      <c r="B173" s="752" t="s">
        <v>3453</v>
      </c>
      <c r="C173" s="751"/>
      <c r="D173" s="747"/>
      <c r="E173" s="757"/>
      <c r="F173" s="757"/>
      <c r="G173" s="1497">
        <v>3</v>
      </c>
      <c r="H173" s="1497">
        <v>2</v>
      </c>
      <c r="I173" s="1497"/>
      <c r="J173" s="1497" t="s">
        <v>2349</v>
      </c>
      <c r="K173" s="1495"/>
      <c r="L173" s="1495"/>
      <c r="M173" s="748"/>
      <c r="N173" s="611"/>
      <c r="O173" s="611"/>
      <c r="P173" s="611"/>
      <c r="Q173" s="611"/>
      <c r="R173" s="611"/>
      <c r="S173" s="611"/>
      <c r="T173" s="611"/>
      <c r="U173" s="611"/>
      <c r="V173" s="611"/>
      <c r="W173" s="611"/>
      <c r="X173" s="611"/>
      <c r="Y173" s="611"/>
      <c r="Z173" s="611"/>
      <c r="AA173">
        <f>IF(AND('09 App'!C173&gt;Tmin, NOT('09 App'!$I173="")),'09 App'!$I173,0)</f>
        <v>0</v>
      </c>
      <c r="AB173">
        <f>IF(AND('09 App'!D173&gt;Tmin, NOT('09 App'!$I173="")),'09 App'!$I173,0)</f>
        <v>0</v>
      </c>
      <c r="AC173">
        <f>IF(AND('09 App'!E173&gt;Tmin, NOT('09 App'!$I173="")),'09 App'!$I173,0)</f>
        <v>0</v>
      </c>
      <c r="AD173">
        <f>IF(AND('09 App'!F173&gt;Tmin, NOT('09 App'!$I173="")),'09 App'!$I173,0)</f>
        <v>0</v>
      </c>
      <c r="AE173">
        <f>IF(AND('09 App'!C173&lt;Tmax, NOT('09 App'!$H173="")),'09 App'!$H173,4)</f>
        <v>2</v>
      </c>
      <c r="AF173">
        <f>IF(AND('09 App'!D173&lt;Tmax, NOT('09 App'!$H173="")),'09 App'!$H173,4)</f>
        <v>2</v>
      </c>
      <c r="AG173">
        <f>IF(AND('09 App'!E173&lt;Tmax, NOT('09 App'!$H173="")),'09 App'!$H173,4)</f>
        <v>2</v>
      </c>
      <c r="AH173">
        <f>IF(AND('09 App'!F173&lt;Tmax, NOT('09 App'!$H173="")),'09 App'!$H173,4)</f>
        <v>2</v>
      </c>
      <c r="AI173"/>
    </row>
    <row r="174" spans="1:35" s="648" customFormat="1" outlineLevel="2" x14ac:dyDescent="0.2">
      <c r="A174" s="601" t="s">
        <v>3454</v>
      </c>
      <c r="B174" s="752" t="s">
        <v>3455</v>
      </c>
      <c r="C174" s="751"/>
      <c r="D174" s="747"/>
      <c r="E174" s="757"/>
      <c r="F174" s="757"/>
      <c r="G174" s="1497">
        <v>3</v>
      </c>
      <c r="H174" s="1497">
        <v>2</v>
      </c>
      <c r="I174" s="1497"/>
      <c r="J174" s="1500" t="s">
        <v>2109</v>
      </c>
      <c r="K174" s="1495"/>
      <c r="L174" s="1495"/>
      <c r="M174" s="748"/>
      <c r="N174" s="611"/>
      <c r="O174" s="611"/>
      <c r="P174" s="611"/>
      <c r="Q174" s="611"/>
      <c r="R174" s="611"/>
      <c r="S174" s="611"/>
      <c r="T174" s="611"/>
      <c r="U174" s="611"/>
      <c r="V174" s="611"/>
      <c r="W174" s="611"/>
      <c r="X174" s="611"/>
      <c r="Y174" s="611"/>
      <c r="Z174" s="611"/>
      <c r="AA174">
        <f>IF(AND('09 App'!C174&gt;Tmin, NOT('09 App'!$I174="")),'09 App'!$I174,0)</f>
        <v>0</v>
      </c>
      <c r="AB174">
        <f>IF(AND('09 App'!D174&gt;Tmin, NOT('09 App'!$I174="")),'09 App'!$I174,0)</f>
        <v>0</v>
      </c>
      <c r="AC174">
        <f>IF(AND('09 App'!E174&gt;Tmin, NOT('09 App'!$I174="")),'09 App'!$I174,0)</f>
        <v>0</v>
      </c>
      <c r="AD174">
        <f>IF(AND('09 App'!F174&gt;Tmin, NOT('09 App'!$I174="")),'09 App'!$I174,0)</f>
        <v>0</v>
      </c>
      <c r="AE174">
        <f>IF(AND('09 App'!C174&lt;Tmax, NOT('09 App'!$H174="")),'09 App'!$H174,4)</f>
        <v>2</v>
      </c>
      <c r="AF174">
        <f>IF(AND('09 App'!D174&lt;Tmax, NOT('09 App'!$H174="")),'09 App'!$H174,4)</f>
        <v>2</v>
      </c>
      <c r="AG174">
        <f>IF(AND('09 App'!E174&lt;Tmax, NOT('09 App'!$H174="")),'09 App'!$H174,4)</f>
        <v>2</v>
      </c>
      <c r="AH174">
        <f>IF(AND('09 App'!F174&lt;Tmax, NOT('09 App'!$H174="")),'09 App'!$H174,4)</f>
        <v>2</v>
      </c>
      <c r="AI174"/>
    </row>
    <row r="175" spans="1:35" s="648" customFormat="1" x14ac:dyDescent="0.2">
      <c r="A175" s="602" t="s">
        <v>3456</v>
      </c>
      <c r="B175" s="756" t="s">
        <v>3457</v>
      </c>
      <c r="C175" s="751"/>
      <c r="D175" s="747"/>
      <c r="E175" s="757"/>
      <c r="F175" s="757"/>
      <c r="G175" s="1500"/>
      <c r="H175" s="1500"/>
      <c r="I175" s="1500"/>
      <c r="J175" s="1497"/>
      <c r="K175" s="1495"/>
      <c r="L175" s="1495"/>
      <c r="M175" s="748"/>
      <c r="N175" s="611"/>
      <c r="O175" s="611"/>
      <c r="P175" s="611"/>
      <c r="Q175" s="611"/>
      <c r="R175" s="611"/>
      <c r="S175" s="611"/>
      <c r="T175" s="611"/>
      <c r="U175" s="611"/>
      <c r="V175" s="611"/>
      <c r="W175" s="611"/>
      <c r="X175" s="611"/>
      <c r="Y175" s="611"/>
      <c r="Z175" s="611"/>
      <c r="AA175"/>
      <c r="AB175"/>
      <c r="AC175"/>
      <c r="AD175"/>
      <c r="AE175"/>
      <c r="AF175"/>
      <c r="AG175"/>
      <c r="AH175"/>
      <c r="AI175"/>
    </row>
    <row r="176" spans="1:35" s="648" customFormat="1" outlineLevel="1" x14ac:dyDescent="0.2">
      <c r="A176" s="749" t="s">
        <v>2220</v>
      </c>
      <c r="B176" s="750" t="s">
        <v>2221</v>
      </c>
      <c r="C176" s="751"/>
      <c r="D176" s="747"/>
      <c r="E176" s="757"/>
      <c r="F176" s="757"/>
      <c r="G176" s="1497"/>
      <c r="H176" s="1497"/>
      <c r="I176" s="1497"/>
      <c r="J176" s="1497"/>
      <c r="K176" s="1495"/>
      <c r="L176" s="1495"/>
      <c r="M176" s="748"/>
      <c r="N176" s="611"/>
      <c r="O176" s="611"/>
      <c r="P176" s="611"/>
      <c r="Q176" s="611"/>
      <c r="R176" s="611"/>
      <c r="S176" s="611"/>
      <c r="T176" s="611"/>
      <c r="U176" s="611"/>
      <c r="V176" s="611"/>
      <c r="W176" s="611"/>
      <c r="X176" s="611"/>
      <c r="Y176" s="611"/>
      <c r="Z176" s="611"/>
      <c r="AA176"/>
      <c r="AB176"/>
      <c r="AC176"/>
      <c r="AD176"/>
      <c r="AE176"/>
      <c r="AF176"/>
      <c r="AG176"/>
      <c r="AH176"/>
      <c r="AI176"/>
    </row>
    <row r="177" spans="1:35" s="648" customFormat="1" ht="22.5" outlineLevel="2" x14ac:dyDescent="0.2">
      <c r="A177" s="601" t="s">
        <v>3458</v>
      </c>
      <c r="B177" s="752" t="s">
        <v>2724</v>
      </c>
      <c r="C177" s="751"/>
      <c r="D177" s="747"/>
      <c r="E177" s="757"/>
      <c r="F177" s="757"/>
      <c r="G177" s="1497">
        <v>4</v>
      </c>
      <c r="H177" s="1497"/>
      <c r="I177" s="1497"/>
      <c r="J177" s="1497" t="s">
        <v>1592</v>
      </c>
      <c r="K177" s="1495" t="s">
        <v>7039</v>
      </c>
      <c r="L177" s="1495"/>
      <c r="M177" s="748"/>
      <c r="N177" s="611"/>
      <c r="O177" s="611"/>
      <c r="P177" s="611"/>
      <c r="Q177" s="611"/>
      <c r="R177" s="611"/>
      <c r="S177" s="611"/>
      <c r="T177" s="611"/>
      <c r="U177" s="611"/>
      <c r="V177" s="611"/>
      <c r="W177" s="611"/>
      <c r="X177" s="611"/>
      <c r="Y177" s="611"/>
      <c r="Z177" s="611"/>
      <c r="AA177">
        <f>IF(AND('09 App'!C177&gt;Tmin, NOT('09 App'!$I177="")),'09 App'!$I177,0)</f>
        <v>0</v>
      </c>
      <c r="AB177">
        <f>IF(AND('09 App'!D177&gt;Tmin, NOT('09 App'!$I177="")),'09 App'!$I177,0)</f>
        <v>0</v>
      </c>
      <c r="AC177">
        <f>IF(AND('09 App'!E177&gt;Tmin, NOT('09 App'!$I177="")),'09 App'!$I177,0)</f>
        <v>0</v>
      </c>
      <c r="AD177">
        <f>IF(AND('09 App'!F177&gt;Tmin, NOT('09 App'!$I177="")),'09 App'!$I177,0)</f>
        <v>0</v>
      </c>
      <c r="AE177">
        <f>IF(AND('09 App'!C177&lt;Tmax, NOT('09 App'!$H177="")),'09 App'!$H177,4)</f>
        <v>4</v>
      </c>
      <c r="AF177">
        <f>IF(AND('09 App'!D177&lt;Tmax, NOT('09 App'!$H177="")),'09 App'!$H177,4)</f>
        <v>4</v>
      </c>
      <c r="AG177">
        <f>IF(AND('09 App'!E177&lt;Tmax, NOT('09 App'!$H177="")),'09 App'!$H177,4)</f>
        <v>4</v>
      </c>
      <c r="AH177">
        <f>IF(AND('09 App'!F177&lt;Tmax, NOT('09 App'!$H177="")),'09 App'!$H177,4)</f>
        <v>4</v>
      </c>
      <c r="AI177"/>
    </row>
    <row r="178" spans="1:35" s="648" customFormat="1" ht="22.5" outlineLevel="2" x14ac:dyDescent="0.2">
      <c r="A178" s="601" t="s">
        <v>3459</v>
      </c>
      <c r="B178" s="752" t="s">
        <v>1895</v>
      </c>
      <c r="C178" s="751"/>
      <c r="D178" s="747"/>
      <c r="E178" s="757"/>
      <c r="F178" s="757"/>
      <c r="G178" s="1497">
        <v>4</v>
      </c>
      <c r="H178" s="1497"/>
      <c r="I178" s="1497">
        <v>3</v>
      </c>
      <c r="J178" s="1497" t="s">
        <v>1592</v>
      </c>
      <c r="K178" s="1495" t="s">
        <v>5723</v>
      </c>
      <c r="L178" s="1495"/>
      <c r="M178" s="748"/>
      <c r="N178" s="611"/>
      <c r="O178" s="611"/>
      <c r="P178" s="611"/>
      <c r="Q178" s="611"/>
      <c r="R178" s="611"/>
      <c r="S178" s="611"/>
      <c r="T178" s="611"/>
      <c r="U178" s="611"/>
      <c r="V178" s="611"/>
      <c r="W178" s="611"/>
      <c r="X178" s="611"/>
      <c r="Y178" s="611"/>
      <c r="Z178" s="611"/>
      <c r="AA178">
        <f>IF(AND('09 App'!C178&gt;Tmin, NOT('09 App'!$I178="")),'09 App'!$I178,0)</f>
        <v>0</v>
      </c>
      <c r="AB178">
        <f>IF(AND('09 App'!D178&gt;Tmin, NOT('09 App'!$I178="")),'09 App'!$I178,0)</f>
        <v>0</v>
      </c>
      <c r="AC178">
        <f>IF(AND('09 App'!E178&gt;Tmin, NOT('09 App'!$I178="")),'09 App'!$I178,0)</f>
        <v>0</v>
      </c>
      <c r="AD178">
        <f>IF(AND('09 App'!F178&gt;Tmin, NOT('09 App'!$I178="")),'09 App'!$I178,0)</f>
        <v>0</v>
      </c>
      <c r="AE178">
        <f>IF(AND('09 App'!C178&lt;Tmax, NOT('09 App'!$H178="")),'09 App'!$H178,4)</f>
        <v>4</v>
      </c>
      <c r="AF178">
        <f>IF(AND('09 App'!D178&lt;Tmax, NOT('09 App'!$H178="")),'09 App'!$H178,4)</f>
        <v>4</v>
      </c>
      <c r="AG178">
        <f>IF(AND('09 App'!E178&lt;Tmax, NOT('09 App'!$H178="")),'09 App'!$H178,4)</f>
        <v>4</v>
      </c>
      <c r="AH178">
        <f>IF(AND('09 App'!F178&lt;Tmax, NOT('09 App'!$H178="")),'09 App'!$H178,4)</f>
        <v>4</v>
      </c>
      <c r="AI178"/>
    </row>
    <row r="179" spans="1:35" s="648" customFormat="1" ht="22.5" outlineLevel="2" x14ac:dyDescent="0.2">
      <c r="A179" s="601" t="s">
        <v>1896</v>
      </c>
      <c r="B179" s="752" t="s">
        <v>2019</v>
      </c>
      <c r="C179" s="751"/>
      <c r="D179" s="747"/>
      <c r="E179" s="757"/>
      <c r="F179" s="757"/>
      <c r="G179" s="1497">
        <v>4</v>
      </c>
      <c r="H179" s="1497"/>
      <c r="I179" s="1497">
        <v>3</v>
      </c>
      <c r="J179" s="1497" t="s">
        <v>2329</v>
      </c>
      <c r="K179" s="1495" t="s">
        <v>7039</v>
      </c>
      <c r="L179" s="1495"/>
      <c r="M179" s="748"/>
      <c r="N179" s="611"/>
      <c r="O179" s="611"/>
      <c r="P179" s="611"/>
      <c r="Q179" s="611"/>
      <c r="R179" s="611"/>
      <c r="S179" s="611"/>
      <c r="T179" s="611"/>
      <c r="U179" s="611"/>
      <c r="V179" s="611"/>
      <c r="W179" s="611"/>
      <c r="X179" s="611"/>
      <c r="Y179" s="611"/>
      <c r="Z179" s="611"/>
      <c r="AA179">
        <f>IF(AND('09 App'!C179&gt;Tmin, NOT('09 App'!$I179="")),'09 App'!$I179,0)</f>
        <v>0</v>
      </c>
      <c r="AB179">
        <f>IF(AND('09 App'!D179&gt;Tmin, NOT('09 App'!$I179="")),'09 App'!$I179,0)</f>
        <v>0</v>
      </c>
      <c r="AC179">
        <f>IF(AND('09 App'!E179&gt;Tmin, NOT('09 App'!$I179="")),'09 App'!$I179,0)</f>
        <v>0</v>
      </c>
      <c r="AD179">
        <f>IF(AND('09 App'!F179&gt;Tmin, NOT('09 App'!$I179="")),'09 App'!$I179,0)</f>
        <v>0</v>
      </c>
      <c r="AE179">
        <f>IF(AND('09 App'!C179&lt;Tmax, NOT('09 App'!$H179="")),'09 App'!$H179,4)</f>
        <v>4</v>
      </c>
      <c r="AF179">
        <f>IF(AND('09 App'!D179&lt;Tmax, NOT('09 App'!$H179="")),'09 App'!$H179,4)</f>
        <v>4</v>
      </c>
      <c r="AG179">
        <f>IF(AND('09 App'!E179&lt;Tmax, NOT('09 App'!$H179="")),'09 App'!$H179,4)</f>
        <v>4</v>
      </c>
      <c r="AH179">
        <f>IF(AND('09 App'!F179&lt;Tmax, NOT('09 App'!$H179="")),'09 App'!$H179,4)</f>
        <v>4</v>
      </c>
      <c r="AI179"/>
    </row>
    <row r="180" spans="1:35" s="648" customFormat="1" ht="33.75" outlineLevel="2" x14ac:dyDescent="0.2">
      <c r="A180" s="601" t="s">
        <v>2020</v>
      </c>
      <c r="B180" s="752" t="s">
        <v>3571</v>
      </c>
      <c r="C180" s="751"/>
      <c r="D180" s="747"/>
      <c r="E180" s="757"/>
      <c r="F180" s="757"/>
      <c r="G180" s="1497">
        <v>4</v>
      </c>
      <c r="H180" s="1497"/>
      <c r="I180" s="1497">
        <v>3</v>
      </c>
      <c r="J180" s="1497" t="s">
        <v>2329</v>
      </c>
      <c r="K180" s="1495" t="s">
        <v>7039</v>
      </c>
      <c r="L180" s="1495"/>
      <c r="M180" s="748"/>
      <c r="N180" s="611"/>
      <c r="O180" s="611"/>
      <c r="P180" s="611"/>
      <c r="Q180" s="611"/>
      <c r="R180" s="611"/>
      <c r="S180" s="611"/>
      <c r="T180" s="611"/>
      <c r="U180" s="611"/>
      <c r="V180" s="611"/>
      <c r="W180" s="611"/>
      <c r="X180" s="611"/>
      <c r="Y180" s="611"/>
      <c r="Z180" s="611"/>
      <c r="AA180">
        <f>IF(AND('09 App'!C180&gt;Tmin, NOT('09 App'!$I180="")),'09 App'!$I180,0)</f>
        <v>0</v>
      </c>
      <c r="AB180">
        <f>IF(AND('09 App'!D180&gt;Tmin, NOT('09 App'!$I180="")),'09 App'!$I180,0)</f>
        <v>0</v>
      </c>
      <c r="AC180">
        <f>IF(AND('09 App'!E180&gt;Tmin, NOT('09 App'!$I180="")),'09 App'!$I180,0)</f>
        <v>0</v>
      </c>
      <c r="AD180">
        <f>IF(AND('09 App'!F180&gt;Tmin, NOT('09 App'!$I180="")),'09 App'!$I180,0)</f>
        <v>0</v>
      </c>
      <c r="AE180">
        <f>IF(AND('09 App'!C180&lt;Tmax, NOT('09 App'!$H180="")),'09 App'!$H180,4)</f>
        <v>4</v>
      </c>
      <c r="AF180">
        <f>IF(AND('09 App'!D180&lt;Tmax, NOT('09 App'!$H180="")),'09 App'!$H180,4)</f>
        <v>4</v>
      </c>
      <c r="AG180">
        <f>IF(AND('09 App'!E180&lt;Tmax, NOT('09 App'!$H180="")),'09 App'!$H180,4)</f>
        <v>4</v>
      </c>
      <c r="AH180">
        <f>IF(AND('09 App'!F180&lt;Tmax, NOT('09 App'!$H180="")),'09 App'!$H180,4)</f>
        <v>4</v>
      </c>
      <c r="AI180"/>
    </row>
    <row r="181" spans="1:35" s="648" customFormat="1" outlineLevel="2" x14ac:dyDescent="0.2">
      <c r="A181" s="601" t="s">
        <v>3572</v>
      </c>
      <c r="B181" s="752" t="s">
        <v>3573</v>
      </c>
      <c r="C181" s="751"/>
      <c r="D181" s="747"/>
      <c r="E181" s="757"/>
      <c r="F181" s="757"/>
      <c r="G181" s="1497">
        <v>2</v>
      </c>
      <c r="H181" s="1497"/>
      <c r="I181" s="1497"/>
      <c r="J181" s="1497" t="s">
        <v>1592</v>
      </c>
      <c r="K181" s="1495" t="s">
        <v>7039</v>
      </c>
      <c r="L181" s="1495"/>
      <c r="M181" s="748"/>
      <c r="N181" s="611"/>
      <c r="O181" s="611"/>
      <c r="P181" s="611"/>
      <c r="Q181" s="611"/>
      <c r="R181" s="611"/>
      <c r="S181" s="611"/>
      <c r="T181" s="611"/>
      <c r="U181" s="611"/>
      <c r="V181" s="611"/>
      <c r="W181" s="611"/>
      <c r="X181" s="611"/>
      <c r="Y181" s="611"/>
      <c r="Z181" s="611"/>
      <c r="AA181">
        <f>IF(AND('09 App'!C181&gt;Tmin, NOT('09 App'!$I181="")),'09 App'!$I181,0)</f>
        <v>0</v>
      </c>
      <c r="AB181">
        <f>IF(AND('09 App'!D181&gt;Tmin, NOT('09 App'!$I181="")),'09 App'!$I181,0)</f>
        <v>0</v>
      </c>
      <c r="AC181">
        <f>IF(AND('09 App'!E181&gt;Tmin, NOT('09 App'!$I181="")),'09 App'!$I181,0)</f>
        <v>0</v>
      </c>
      <c r="AD181">
        <f>IF(AND('09 App'!F181&gt;Tmin, NOT('09 App'!$I181="")),'09 App'!$I181,0)</f>
        <v>0</v>
      </c>
      <c r="AE181">
        <f>IF(AND('09 App'!C181&lt;Tmax, NOT('09 App'!$H181="")),'09 App'!$H181,4)</f>
        <v>4</v>
      </c>
      <c r="AF181">
        <f>IF(AND('09 App'!D181&lt;Tmax, NOT('09 App'!$H181="")),'09 App'!$H181,4)</f>
        <v>4</v>
      </c>
      <c r="AG181">
        <f>IF(AND('09 App'!E181&lt;Tmax, NOT('09 App'!$H181="")),'09 App'!$H181,4)</f>
        <v>4</v>
      </c>
      <c r="AH181">
        <f>IF(AND('09 App'!F181&lt;Tmax, NOT('09 App'!$H181="")),'09 App'!$H181,4)</f>
        <v>4</v>
      </c>
      <c r="AI181"/>
    </row>
    <row r="182" spans="1:35" s="648" customFormat="1" ht="22.5" outlineLevel="2" x14ac:dyDescent="0.2">
      <c r="A182" s="601" t="s">
        <v>3485</v>
      </c>
      <c r="B182" s="752" t="s">
        <v>3486</v>
      </c>
      <c r="C182" s="751"/>
      <c r="D182" s="747"/>
      <c r="E182" s="757"/>
      <c r="F182" s="757"/>
      <c r="G182" s="1497">
        <v>4</v>
      </c>
      <c r="H182" s="1497">
        <v>2</v>
      </c>
      <c r="I182" s="1497"/>
      <c r="J182" s="1497" t="s">
        <v>2329</v>
      </c>
      <c r="K182" s="1495" t="s">
        <v>7039</v>
      </c>
      <c r="L182" s="1495"/>
      <c r="M182" s="748"/>
      <c r="N182" s="611"/>
      <c r="O182" s="611"/>
      <c r="P182" s="611"/>
      <c r="Q182" s="611"/>
      <c r="R182" s="611"/>
      <c r="S182" s="611"/>
      <c r="T182" s="611"/>
      <c r="U182" s="611"/>
      <c r="V182" s="611"/>
      <c r="W182" s="611"/>
      <c r="X182" s="611"/>
      <c r="Y182" s="611"/>
      <c r="Z182" s="611"/>
      <c r="AA182">
        <f>IF(AND('09 App'!C182&gt;Tmin, NOT('09 App'!$I182="")),'09 App'!$I182,0)</f>
        <v>0</v>
      </c>
      <c r="AB182">
        <f>IF(AND('09 App'!D182&gt;Tmin, NOT('09 App'!$I182="")),'09 App'!$I182,0)</f>
        <v>0</v>
      </c>
      <c r="AC182">
        <f>IF(AND('09 App'!E182&gt;Tmin, NOT('09 App'!$I182="")),'09 App'!$I182,0)</f>
        <v>0</v>
      </c>
      <c r="AD182">
        <f>IF(AND('09 App'!F182&gt;Tmin, NOT('09 App'!$I182="")),'09 App'!$I182,0)</f>
        <v>0</v>
      </c>
      <c r="AE182">
        <f>IF(AND('09 App'!C182&lt;Tmax, NOT('09 App'!$H182="")),'09 App'!$H182,4)</f>
        <v>2</v>
      </c>
      <c r="AF182">
        <f>IF(AND('09 App'!D182&lt;Tmax, NOT('09 App'!$H182="")),'09 App'!$H182,4)</f>
        <v>2</v>
      </c>
      <c r="AG182">
        <f>IF(AND('09 App'!E182&lt;Tmax, NOT('09 App'!$H182="")),'09 App'!$H182,4)</f>
        <v>2</v>
      </c>
      <c r="AH182">
        <f>IF(AND('09 App'!F182&lt;Tmax, NOT('09 App'!$H182="")),'09 App'!$H182,4)</f>
        <v>2</v>
      </c>
      <c r="AI182"/>
    </row>
    <row r="183" spans="1:35" s="648" customFormat="1" ht="22.5" outlineLevel="2" x14ac:dyDescent="0.2">
      <c r="A183" s="601" t="s">
        <v>3487</v>
      </c>
      <c r="B183" s="752" t="s">
        <v>4950</v>
      </c>
      <c r="C183" s="751"/>
      <c r="D183" s="747"/>
      <c r="E183" s="757"/>
      <c r="F183" s="757"/>
      <c r="G183" s="1497">
        <v>4</v>
      </c>
      <c r="H183" s="1497"/>
      <c r="I183" s="1497">
        <v>3</v>
      </c>
      <c r="J183" s="1497" t="s">
        <v>2329</v>
      </c>
      <c r="K183" s="1495" t="s">
        <v>7039</v>
      </c>
      <c r="L183" s="1495"/>
      <c r="M183" s="748"/>
      <c r="N183" s="611"/>
      <c r="O183" s="611"/>
      <c r="P183" s="611"/>
      <c r="Q183" s="611"/>
      <c r="R183" s="611"/>
      <c r="S183" s="611"/>
      <c r="T183" s="611"/>
      <c r="U183" s="611"/>
      <c r="V183" s="611"/>
      <c r="W183" s="611"/>
      <c r="X183" s="611"/>
      <c r="Y183" s="611"/>
      <c r="Z183" s="611"/>
      <c r="AA183">
        <f>IF(AND('09 App'!C183&gt;Tmin, NOT('09 App'!$I183="")),'09 App'!$I183,0)</f>
        <v>0</v>
      </c>
      <c r="AB183">
        <f>IF(AND('09 App'!D183&gt;Tmin, NOT('09 App'!$I183="")),'09 App'!$I183,0)</f>
        <v>0</v>
      </c>
      <c r="AC183">
        <f>IF(AND('09 App'!E183&gt;Tmin, NOT('09 App'!$I183="")),'09 App'!$I183,0)</f>
        <v>0</v>
      </c>
      <c r="AD183">
        <f>IF(AND('09 App'!F183&gt;Tmin, NOT('09 App'!$I183="")),'09 App'!$I183,0)</f>
        <v>0</v>
      </c>
      <c r="AE183">
        <f>IF(AND('09 App'!C183&lt;Tmax, NOT('09 App'!$H183="")),'09 App'!$H183,4)</f>
        <v>4</v>
      </c>
      <c r="AF183">
        <f>IF(AND('09 App'!D183&lt;Tmax, NOT('09 App'!$H183="")),'09 App'!$H183,4)</f>
        <v>4</v>
      </c>
      <c r="AG183">
        <f>IF(AND('09 App'!E183&lt;Tmax, NOT('09 App'!$H183="")),'09 App'!$H183,4)</f>
        <v>4</v>
      </c>
      <c r="AH183">
        <f>IF(AND('09 App'!F183&lt;Tmax, NOT('09 App'!$H183="")),'09 App'!$H183,4)</f>
        <v>4</v>
      </c>
      <c r="AI183"/>
    </row>
    <row r="184" spans="1:35" s="648" customFormat="1" ht="22.5" outlineLevel="2" x14ac:dyDescent="0.2">
      <c r="A184" s="601" t="s">
        <v>3488</v>
      </c>
      <c r="B184" s="752" t="s">
        <v>5432</v>
      </c>
      <c r="C184" s="751"/>
      <c r="D184" s="747"/>
      <c r="E184" s="757"/>
      <c r="F184" s="757"/>
      <c r="G184" s="1497">
        <v>4</v>
      </c>
      <c r="H184" s="1497"/>
      <c r="I184" s="1497"/>
      <c r="J184" s="1497" t="s">
        <v>2329</v>
      </c>
      <c r="K184" s="1495" t="s">
        <v>7039</v>
      </c>
      <c r="L184" s="1495"/>
      <c r="M184" s="748"/>
      <c r="N184" s="611"/>
      <c r="O184" s="611"/>
      <c r="P184" s="611"/>
      <c r="Q184" s="611"/>
      <c r="R184" s="611"/>
      <c r="S184" s="611"/>
      <c r="T184" s="611"/>
      <c r="U184" s="611"/>
      <c r="V184" s="611"/>
      <c r="W184" s="611"/>
      <c r="X184" s="611"/>
      <c r="Y184" s="611"/>
      <c r="Z184" s="611"/>
      <c r="AA184">
        <f>IF(AND('09 App'!C184&gt;Tmin, NOT('09 App'!$I184="")),'09 App'!$I184,0)</f>
        <v>0</v>
      </c>
      <c r="AB184">
        <f>IF(AND('09 App'!D184&gt;Tmin, NOT('09 App'!$I184="")),'09 App'!$I184,0)</f>
        <v>0</v>
      </c>
      <c r="AC184">
        <f>IF(AND('09 App'!E184&gt;Tmin, NOT('09 App'!$I184="")),'09 App'!$I184,0)</f>
        <v>0</v>
      </c>
      <c r="AD184">
        <f>IF(AND('09 App'!F184&gt;Tmin, NOT('09 App'!$I184="")),'09 App'!$I184,0)</f>
        <v>0</v>
      </c>
      <c r="AE184">
        <f>IF(AND('09 App'!C184&lt;Tmax, NOT('09 App'!$H184="")),'09 App'!$H184,4)</f>
        <v>4</v>
      </c>
      <c r="AF184">
        <f>IF(AND('09 App'!D184&lt;Tmax, NOT('09 App'!$H184="")),'09 App'!$H184,4)</f>
        <v>4</v>
      </c>
      <c r="AG184">
        <f>IF(AND('09 App'!E184&lt;Tmax, NOT('09 App'!$H184="")),'09 App'!$H184,4)</f>
        <v>4</v>
      </c>
      <c r="AH184">
        <f>IF(AND('09 App'!F184&lt;Tmax, NOT('09 App'!$H184="")),'09 App'!$H184,4)</f>
        <v>4</v>
      </c>
      <c r="AI184"/>
    </row>
    <row r="185" spans="1:35" s="648" customFormat="1" ht="22.5" outlineLevel="2" x14ac:dyDescent="0.2">
      <c r="A185" s="601" t="s">
        <v>3489</v>
      </c>
      <c r="B185" s="752" t="s">
        <v>3490</v>
      </c>
      <c r="C185" s="751"/>
      <c r="D185" s="747"/>
      <c r="E185" s="757"/>
      <c r="F185" s="757"/>
      <c r="G185" s="1497">
        <v>4</v>
      </c>
      <c r="H185" s="1497"/>
      <c r="I185" s="1497"/>
      <c r="J185" s="1497" t="s">
        <v>2107</v>
      </c>
      <c r="K185" s="1495"/>
      <c r="L185" s="1495"/>
      <c r="M185" s="748"/>
      <c r="N185" s="611"/>
      <c r="O185" s="611"/>
      <c r="P185" s="611"/>
      <c r="Q185" s="611"/>
      <c r="R185" s="611"/>
      <c r="S185" s="611"/>
      <c r="T185" s="611"/>
      <c r="U185" s="611"/>
      <c r="V185" s="611"/>
      <c r="W185" s="611"/>
      <c r="X185" s="611"/>
      <c r="Y185" s="611"/>
      <c r="Z185" s="611"/>
      <c r="AA185">
        <f>IF(AND('09 App'!C185&gt;Tmin, NOT('09 App'!$I185="")),'09 App'!$I185,0)</f>
        <v>0</v>
      </c>
      <c r="AB185">
        <f>IF(AND('09 App'!D185&gt;Tmin, NOT('09 App'!$I185="")),'09 App'!$I185,0)</f>
        <v>0</v>
      </c>
      <c r="AC185">
        <f>IF(AND('09 App'!E185&gt;Tmin, NOT('09 App'!$I185="")),'09 App'!$I185,0)</f>
        <v>0</v>
      </c>
      <c r="AD185">
        <f>IF(AND('09 App'!F185&gt;Tmin, NOT('09 App'!$I185="")),'09 App'!$I185,0)</f>
        <v>0</v>
      </c>
      <c r="AE185">
        <f>IF(AND('09 App'!C185&lt;Tmax, NOT('09 App'!$H185="")),'09 App'!$H185,4)</f>
        <v>4</v>
      </c>
      <c r="AF185">
        <f>IF(AND('09 App'!D185&lt;Tmax, NOT('09 App'!$H185="")),'09 App'!$H185,4)</f>
        <v>4</v>
      </c>
      <c r="AG185">
        <f>IF(AND('09 App'!E185&lt;Tmax, NOT('09 App'!$H185="")),'09 App'!$H185,4)</f>
        <v>4</v>
      </c>
      <c r="AH185">
        <f>IF(AND('09 App'!F185&lt;Tmax, NOT('09 App'!$H185="")),'09 App'!$H185,4)</f>
        <v>4</v>
      </c>
      <c r="AI185"/>
    </row>
    <row r="186" spans="1:35" s="648" customFormat="1" ht="22.5" outlineLevel="2" x14ac:dyDescent="0.2">
      <c r="A186" s="601" t="s">
        <v>3491</v>
      </c>
      <c r="B186" s="752" t="s">
        <v>5839</v>
      </c>
      <c r="C186" s="751"/>
      <c r="D186" s="747"/>
      <c r="E186" s="757"/>
      <c r="F186" s="757"/>
      <c r="G186" s="1497">
        <v>4</v>
      </c>
      <c r="H186" s="1497"/>
      <c r="I186" s="1497"/>
      <c r="J186" s="1497" t="s">
        <v>2349</v>
      </c>
      <c r="K186" s="1495"/>
      <c r="L186" s="1495"/>
      <c r="M186" s="748"/>
      <c r="N186" s="611"/>
      <c r="O186" s="611"/>
      <c r="P186" s="611"/>
      <c r="Q186" s="611"/>
      <c r="R186" s="611"/>
      <c r="S186" s="611"/>
      <c r="T186" s="611"/>
      <c r="U186" s="611"/>
      <c r="V186" s="611"/>
      <c r="W186" s="611"/>
      <c r="X186" s="611"/>
      <c r="Y186" s="611"/>
      <c r="Z186" s="611"/>
      <c r="AA186">
        <f>IF(AND('09 App'!C186&gt;Tmin, NOT('09 App'!$I186="")),'09 App'!$I186,0)</f>
        <v>0</v>
      </c>
      <c r="AB186">
        <f>IF(AND('09 App'!D186&gt;Tmin, NOT('09 App'!$I186="")),'09 App'!$I186,0)</f>
        <v>0</v>
      </c>
      <c r="AC186">
        <f>IF(AND('09 App'!E186&gt;Tmin, NOT('09 App'!$I186="")),'09 App'!$I186,0)</f>
        <v>0</v>
      </c>
      <c r="AD186">
        <f>IF(AND('09 App'!F186&gt;Tmin, NOT('09 App'!$I186="")),'09 App'!$I186,0)</f>
        <v>0</v>
      </c>
      <c r="AE186">
        <f>IF(AND('09 App'!C186&lt;Tmax, NOT('09 App'!$H186="")),'09 App'!$H186,4)</f>
        <v>4</v>
      </c>
      <c r="AF186">
        <f>IF(AND('09 App'!D186&lt;Tmax, NOT('09 App'!$H186="")),'09 App'!$H186,4)</f>
        <v>4</v>
      </c>
      <c r="AG186">
        <f>IF(AND('09 App'!E186&lt;Tmax, NOT('09 App'!$H186="")),'09 App'!$H186,4)</f>
        <v>4</v>
      </c>
      <c r="AH186">
        <f>IF(AND('09 App'!F186&lt;Tmax, NOT('09 App'!$H186="")),'09 App'!$H186,4)</f>
        <v>4</v>
      </c>
      <c r="AI186"/>
    </row>
    <row r="187" spans="1:35" s="648" customFormat="1" ht="22.5" outlineLevel="2" x14ac:dyDescent="0.2">
      <c r="A187" s="759" t="s">
        <v>3492</v>
      </c>
      <c r="B187" s="760" t="s">
        <v>999</v>
      </c>
      <c r="C187" s="751"/>
      <c r="D187" s="747"/>
      <c r="E187" s="757"/>
      <c r="F187" s="757"/>
      <c r="G187" s="1497">
        <v>2</v>
      </c>
      <c r="H187" s="1497"/>
      <c r="I187" s="1497"/>
      <c r="J187" s="1497" t="s">
        <v>2109</v>
      </c>
      <c r="K187" s="1495"/>
      <c r="L187" s="1495"/>
      <c r="M187" s="748"/>
      <c r="N187" s="611"/>
      <c r="O187" s="611"/>
      <c r="P187" s="611"/>
      <c r="Q187" s="611"/>
      <c r="R187" s="611"/>
      <c r="S187" s="611"/>
      <c r="T187" s="611"/>
      <c r="U187" s="611"/>
      <c r="V187" s="611"/>
      <c r="W187" s="611"/>
      <c r="X187" s="611"/>
      <c r="Y187" s="611"/>
      <c r="Z187" s="611"/>
      <c r="AA187">
        <f>IF(AND('09 App'!C187&gt;Tmin, NOT('09 App'!$I187="")),'09 App'!$I187,0)</f>
        <v>0</v>
      </c>
      <c r="AB187">
        <f>IF(AND('09 App'!D187&gt;Tmin, NOT('09 App'!$I187="")),'09 App'!$I187,0)</f>
        <v>0</v>
      </c>
      <c r="AC187">
        <f>IF(AND('09 App'!E187&gt;Tmin, NOT('09 App'!$I187="")),'09 App'!$I187,0)</f>
        <v>0</v>
      </c>
      <c r="AD187">
        <f>IF(AND('09 App'!F187&gt;Tmin, NOT('09 App'!$I187="")),'09 App'!$I187,0)</f>
        <v>0</v>
      </c>
      <c r="AE187">
        <f>IF(AND('09 App'!C187&lt;Tmax, NOT('09 App'!$H187="")),'09 App'!$H187,4)</f>
        <v>4</v>
      </c>
      <c r="AF187">
        <f>IF(AND('09 App'!D187&lt;Tmax, NOT('09 App'!$H187="")),'09 App'!$H187,4)</f>
        <v>4</v>
      </c>
      <c r="AG187">
        <f>IF(AND('09 App'!E187&lt;Tmax, NOT('09 App'!$H187="")),'09 App'!$H187,4)</f>
        <v>4</v>
      </c>
      <c r="AH187">
        <f>IF(AND('09 App'!F187&lt;Tmax, NOT('09 App'!$H187="")),'09 App'!$H187,4)</f>
        <v>4</v>
      </c>
      <c r="AI187"/>
    </row>
    <row r="188" spans="1:35" s="648" customFormat="1" x14ac:dyDescent="0.2">
      <c r="A188" s="761" t="s">
        <v>1000</v>
      </c>
      <c r="B188" s="762" t="s">
        <v>7473</v>
      </c>
      <c r="C188" s="763"/>
      <c r="D188" s="764"/>
      <c r="E188" s="764"/>
      <c r="F188" s="764"/>
      <c r="G188" s="1501"/>
      <c r="H188" s="1501"/>
      <c r="I188" s="1501"/>
      <c r="J188" s="1501"/>
      <c r="K188" s="1498"/>
      <c r="L188" s="1498"/>
      <c r="M188" s="748"/>
      <c r="N188" s="611"/>
      <c r="O188" s="611"/>
      <c r="P188" s="611"/>
      <c r="Q188" s="611"/>
      <c r="R188" s="611"/>
      <c r="S188" s="611"/>
      <c r="T188" s="611"/>
      <c r="U188" s="611"/>
      <c r="V188" s="611"/>
      <c r="W188" s="611"/>
      <c r="X188" s="611"/>
      <c r="Y188" s="611"/>
      <c r="Z188" s="611"/>
      <c r="AA188"/>
      <c r="AB188"/>
      <c r="AC188"/>
      <c r="AD188"/>
      <c r="AE188"/>
      <c r="AF188"/>
      <c r="AG188"/>
      <c r="AH188"/>
      <c r="AI188"/>
    </row>
    <row r="189" spans="1:35" s="648" customFormat="1" ht="33.75" outlineLevel="1" x14ac:dyDescent="0.2">
      <c r="A189" s="765" t="s">
        <v>2222</v>
      </c>
      <c r="B189" s="766" t="s">
        <v>7447</v>
      </c>
      <c r="C189" s="763"/>
      <c r="D189" s="764"/>
      <c r="E189" s="764"/>
      <c r="F189" s="764"/>
      <c r="G189" s="1501"/>
      <c r="H189" s="1501"/>
      <c r="I189" s="1501"/>
      <c r="J189" s="1501"/>
      <c r="K189" s="1498"/>
      <c r="L189" s="1498"/>
      <c r="M189" s="748"/>
      <c r="N189" s="611"/>
      <c r="O189" s="611"/>
      <c r="P189" s="611"/>
      <c r="Q189" s="611"/>
      <c r="R189" s="611"/>
      <c r="S189" s="611"/>
      <c r="T189" s="611"/>
      <c r="U189" s="611"/>
      <c r="V189" s="611"/>
      <c r="W189" s="611"/>
      <c r="X189" s="611"/>
      <c r="Y189" s="611"/>
      <c r="Z189" s="611"/>
      <c r="AA189"/>
      <c r="AB189"/>
      <c r="AC189"/>
      <c r="AD189"/>
      <c r="AE189"/>
      <c r="AF189"/>
      <c r="AG189"/>
      <c r="AH189"/>
      <c r="AI189"/>
    </row>
    <row r="190" spans="1:35" s="648" customFormat="1" ht="33.75" outlineLevel="2" x14ac:dyDescent="0.2">
      <c r="A190" s="767" t="s">
        <v>1001</v>
      </c>
      <c r="B190" s="768" t="s">
        <v>7474</v>
      </c>
      <c r="C190" s="763"/>
      <c r="D190" s="764"/>
      <c r="E190" s="764"/>
      <c r="F190" s="764"/>
      <c r="G190" s="1501">
        <v>2</v>
      </c>
      <c r="H190" s="1501"/>
      <c r="I190" s="1501"/>
      <c r="J190" s="1501"/>
      <c r="K190" s="1498" t="s">
        <v>5994</v>
      </c>
      <c r="L190" s="1498"/>
      <c r="M190" s="748"/>
      <c r="N190" s="611"/>
      <c r="O190" s="611"/>
      <c r="P190" s="611"/>
      <c r="Q190" s="611"/>
      <c r="R190" s="611"/>
      <c r="S190" s="611"/>
      <c r="T190" s="611"/>
      <c r="U190" s="611"/>
      <c r="V190" s="611"/>
      <c r="W190" s="611"/>
      <c r="X190" s="611"/>
      <c r="Y190" s="611"/>
      <c r="Z190" s="611"/>
      <c r="AA190">
        <f>IF(AND('09 App'!C190&gt;Tmin, NOT('09 App'!$I190="")),'09 App'!$I190,0)</f>
        <v>0</v>
      </c>
      <c r="AB190">
        <f>IF(AND('09 App'!D190&gt;Tmin, NOT('09 App'!$I190="")),'09 App'!$I190,0)</f>
        <v>0</v>
      </c>
      <c r="AC190">
        <f>IF(AND('09 App'!E190&gt;Tmin, NOT('09 App'!$I190="")),'09 App'!$I190,0)</f>
        <v>0</v>
      </c>
      <c r="AD190">
        <f>IF(AND('09 App'!F190&gt;Tmin, NOT('09 App'!$I190="")),'09 App'!$I190,0)</f>
        <v>0</v>
      </c>
      <c r="AE190">
        <f>IF(AND('09 App'!C190&lt;Tmax, NOT('09 App'!$H190="")),'09 App'!$H190,4)</f>
        <v>4</v>
      </c>
      <c r="AF190">
        <f>IF(AND('09 App'!D190&lt;Tmax, NOT('09 App'!$H190="")),'09 App'!$H190,4)</f>
        <v>4</v>
      </c>
      <c r="AG190">
        <f>IF(AND('09 App'!E190&lt;Tmax, NOT('09 App'!$H190="")),'09 App'!$H190,4)</f>
        <v>4</v>
      </c>
      <c r="AH190">
        <f>IF(AND('09 App'!F190&lt;Tmax, NOT('09 App'!$H190="")),'09 App'!$H190,4)</f>
        <v>4</v>
      </c>
      <c r="AI190"/>
    </row>
    <row r="191" spans="1:35" s="648" customFormat="1" ht="22.5" outlineLevel="2" x14ac:dyDescent="0.2">
      <c r="A191" s="767" t="s">
        <v>937</v>
      </c>
      <c r="B191" s="768" t="s">
        <v>7444</v>
      </c>
      <c r="C191" s="763"/>
      <c r="D191" s="764"/>
      <c r="E191" s="764"/>
      <c r="F191" s="764"/>
      <c r="G191" s="1502">
        <v>2</v>
      </c>
      <c r="H191" s="1501"/>
      <c r="I191" s="1501"/>
      <c r="J191" s="1502" t="s">
        <v>1592</v>
      </c>
      <c r="K191" s="1498" t="s">
        <v>5891</v>
      </c>
      <c r="L191" s="1498" t="s">
        <v>7376</v>
      </c>
      <c r="M191" s="748"/>
      <c r="N191" s="611"/>
      <c r="O191" s="611"/>
      <c r="P191" s="611"/>
      <c r="Q191" s="611"/>
      <c r="R191" s="611"/>
      <c r="S191" s="611"/>
      <c r="T191" s="611"/>
      <c r="U191" s="611"/>
      <c r="V191" s="611"/>
      <c r="W191" s="611"/>
      <c r="X191" s="611"/>
      <c r="Y191" s="611"/>
      <c r="Z191" s="611"/>
      <c r="AA191">
        <f>IF(AND('09 App'!C191&gt;Tmin, NOT('09 App'!$I191="")),'09 App'!$I191,0)</f>
        <v>0</v>
      </c>
      <c r="AB191">
        <f>IF(AND('09 App'!D191&gt;Tmin, NOT('09 App'!$I191="")),'09 App'!$I191,0)</f>
        <v>0</v>
      </c>
      <c r="AC191">
        <f>IF(AND('09 App'!E191&gt;Tmin, NOT('09 App'!$I191="")),'09 App'!$I191,0)</f>
        <v>0</v>
      </c>
      <c r="AD191">
        <f>IF(AND('09 App'!F191&gt;Tmin, NOT('09 App'!$I191="")),'09 App'!$I191,0)</f>
        <v>0</v>
      </c>
      <c r="AE191">
        <f>IF(AND('09 App'!C191&lt;Tmax, NOT('09 App'!$H191="")),'09 App'!$H191,4)</f>
        <v>4</v>
      </c>
      <c r="AF191">
        <f>IF(AND('09 App'!D191&lt;Tmax, NOT('09 App'!$H191="")),'09 App'!$H191,4)</f>
        <v>4</v>
      </c>
      <c r="AG191">
        <f>IF(AND('09 App'!E191&lt;Tmax, NOT('09 App'!$H191="")),'09 App'!$H191,4)</f>
        <v>4</v>
      </c>
      <c r="AH191">
        <f>IF(AND('09 App'!F191&lt;Tmax, NOT('09 App'!$H191="")),'09 App'!$H191,4)</f>
        <v>4</v>
      </c>
      <c r="AI191"/>
    </row>
    <row r="192" spans="1:35" s="648" customFormat="1" ht="33.75" outlineLevel="2" x14ac:dyDescent="0.2">
      <c r="A192" s="767" t="s">
        <v>4003</v>
      </c>
      <c r="B192" s="768" t="s">
        <v>7475</v>
      </c>
      <c r="C192" s="763"/>
      <c r="D192" s="764"/>
      <c r="E192" s="764"/>
      <c r="F192" s="764"/>
      <c r="G192" s="1502">
        <v>4</v>
      </c>
      <c r="H192" s="1501">
        <v>2</v>
      </c>
      <c r="I192" s="1501"/>
      <c r="J192" s="1502"/>
      <c r="K192" s="1498" t="s">
        <v>5994</v>
      </c>
      <c r="L192" s="1498"/>
      <c r="M192" s="748"/>
      <c r="N192" s="611"/>
      <c r="O192" s="611"/>
      <c r="P192" s="611"/>
      <c r="Q192" s="611"/>
      <c r="R192" s="611"/>
      <c r="S192" s="611"/>
      <c r="T192" s="611"/>
      <c r="U192" s="611"/>
      <c r="V192" s="611"/>
      <c r="W192" s="611"/>
      <c r="X192" s="611"/>
      <c r="Y192" s="611"/>
      <c r="Z192" s="611"/>
      <c r="AA192">
        <f>IF(AND('09 App'!C192&gt;Tmin, NOT('09 App'!$I192="")),'09 App'!$I192,0)</f>
        <v>0</v>
      </c>
      <c r="AB192">
        <f>IF(AND('09 App'!D192&gt;Tmin, NOT('09 App'!$I192="")),'09 App'!$I192,0)</f>
        <v>0</v>
      </c>
      <c r="AC192">
        <f>IF(AND('09 App'!E192&gt;Tmin, NOT('09 App'!$I192="")),'09 App'!$I192,0)</f>
        <v>0</v>
      </c>
      <c r="AD192">
        <f>IF(AND('09 App'!F192&gt;Tmin, NOT('09 App'!$I192="")),'09 App'!$I192,0)</f>
        <v>0</v>
      </c>
      <c r="AE192">
        <f>IF(AND('09 App'!C192&lt;Tmax, NOT('09 App'!$H192="")),'09 App'!$H192,4)</f>
        <v>2</v>
      </c>
      <c r="AF192">
        <f>IF(AND('09 App'!D192&lt;Tmax, NOT('09 App'!$H192="")),'09 App'!$H192,4)</f>
        <v>2</v>
      </c>
      <c r="AG192">
        <f>IF(AND('09 App'!E192&lt;Tmax, NOT('09 App'!$H192="")),'09 App'!$H192,4)</f>
        <v>2</v>
      </c>
      <c r="AH192">
        <f>IF(AND('09 App'!F192&lt;Tmax, NOT('09 App'!$H192="")),'09 App'!$H192,4)</f>
        <v>2</v>
      </c>
      <c r="AI192"/>
    </row>
    <row r="193" spans="1:35" s="648" customFormat="1" ht="56.25" x14ac:dyDescent="0.2">
      <c r="A193" s="767" t="s">
        <v>7377</v>
      </c>
      <c r="B193" s="768" t="s">
        <v>7476</v>
      </c>
      <c r="C193" s="763"/>
      <c r="D193" s="764"/>
      <c r="E193" s="764"/>
      <c r="F193" s="764"/>
      <c r="G193" s="1502">
        <v>3</v>
      </c>
      <c r="H193" s="1501">
        <v>2</v>
      </c>
      <c r="I193" s="1501"/>
      <c r="J193" s="1502"/>
      <c r="K193" s="1498"/>
      <c r="L193" s="1498"/>
      <c r="M193" s="1504"/>
      <c r="N193" s="611"/>
      <c r="O193" s="611"/>
      <c r="P193" s="611"/>
      <c r="Q193" s="611"/>
      <c r="R193" s="611"/>
      <c r="S193" s="611"/>
      <c r="T193" s="611"/>
      <c r="U193" s="611"/>
      <c r="V193" s="611"/>
      <c r="W193" s="611"/>
      <c r="X193" s="611"/>
      <c r="Y193" s="611"/>
      <c r="Z193" s="611"/>
      <c r="AA193">
        <f>IF(AND('09 App'!C193&gt;Tmin, NOT('09 App'!$I193="")),'09 App'!$I193,0)</f>
        <v>0</v>
      </c>
      <c r="AB193">
        <f>IF(AND('09 App'!D193&gt;Tmin, NOT('09 App'!$I193="")),'09 App'!$I193,0)</f>
        <v>0</v>
      </c>
      <c r="AC193">
        <f>IF(AND('09 App'!E193&gt;Tmin, NOT('09 App'!$I193="")),'09 App'!$I193,0)</f>
        <v>0</v>
      </c>
      <c r="AD193">
        <f>IF(AND('09 App'!F193&gt;Tmin, NOT('09 App'!$I193="")),'09 App'!$I193,0)</f>
        <v>0</v>
      </c>
      <c r="AE193">
        <f>IF(AND('09 App'!C193&lt;Tmax, NOT('09 App'!$H193="")),'09 App'!$H193,4)</f>
        <v>2</v>
      </c>
      <c r="AF193">
        <f>IF(AND('09 App'!D193&lt;Tmax, NOT('09 App'!$H193="")),'09 App'!$H193,4)</f>
        <v>2</v>
      </c>
      <c r="AG193">
        <f>IF(AND('09 App'!E193&lt;Tmax, NOT('09 App'!$H193="")),'09 App'!$H193,4)</f>
        <v>2</v>
      </c>
      <c r="AH193">
        <f>IF(AND('09 App'!F193&lt;Tmax, NOT('09 App'!$H193="")),'09 App'!$H193,4)</f>
        <v>2</v>
      </c>
      <c r="AI193"/>
    </row>
    <row r="194" spans="1:35" s="648" customFormat="1" ht="33.75" x14ac:dyDescent="0.2">
      <c r="A194" s="767" t="s">
        <v>7378</v>
      </c>
      <c r="B194" s="768" t="s">
        <v>7477</v>
      </c>
      <c r="C194" s="763"/>
      <c r="D194" s="764"/>
      <c r="E194" s="764"/>
      <c r="F194" s="764"/>
      <c r="G194" s="1502">
        <v>3</v>
      </c>
      <c r="H194" s="1501">
        <v>2</v>
      </c>
      <c r="I194" s="1501"/>
      <c r="J194" s="1502"/>
      <c r="K194" s="1498" t="s">
        <v>5994</v>
      </c>
      <c r="L194" s="1498"/>
      <c r="M194" s="1504"/>
      <c r="N194" s="611"/>
      <c r="O194" s="611"/>
      <c r="P194" s="611"/>
      <c r="Q194" s="611"/>
      <c r="R194" s="611"/>
      <c r="S194" s="611"/>
      <c r="T194" s="611"/>
      <c r="U194" s="611"/>
      <c r="V194" s="611"/>
      <c r="W194" s="611"/>
      <c r="X194" s="611"/>
      <c r="Y194" s="611"/>
      <c r="Z194" s="611"/>
      <c r="AA194">
        <f>IF(AND('09 App'!C194&gt;Tmin, NOT('09 App'!$I194="")),'09 App'!$I194,0)</f>
        <v>0</v>
      </c>
      <c r="AB194">
        <f>IF(AND('09 App'!D194&gt;Tmin, NOT('09 App'!$I194="")),'09 App'!$I194,0)</f>
        <v>0</v>
      </c>
      <c r="AC194">
        <f>IF(AND('09 App'!E194&gt;Tmin, NOT('09 App'!$I194="")),'09 App'!$I194,0)</f>
        <v>0</v>
      </c>
      <c r="AD194">
        <f>IF(AND('09 App'!F194&gt;Tmin, NOT('09 App'!$I194="")),'09 App'!$I194,0)</f>
        <v>0</v>
      </c>
      <c r="AE194">
        <f>IF(AND('09 App'!C194&lt;Tmax, NOT('09 App'!$H194="")),'09 App'!$H194,4)</f>
        <v>2</v>
      </c>
      <c r="AF194">
        <f>IF(AND('09 App'!D194&lt;Tmax, NOT('09 App'!$H194="")),'09 App'!$H194,4)</f>
        <v>2</v>
      </c>
      <c r="AG194">
        <f>IF(AND('09 App'!E194&lt;Tmax, NOT('09 App'!$H194="")),'09 App'!$H194,4)</f>
        <v>2</v>
      </c>
      <c r="AH194">
        <f>IF(AND('09 App'!F194&lt;Tmax, NOT('09 App'!$H194="")),'09 App'!$H194,4)</f>
        <v>2</v>
      </c>
      <c r="AI194"/>
    </row>
    <row r="195" spans="1:35" s="648" customFormat="1" ht="33.75" x14ac:dyDescent="0.2">
      <c r="A195" s="767" t="s">
        <v>7379</v>
      </c>
      <c r="B195" s="768" t="s">
        <v>7478</v>
      </c>
      <c r="C195" s="763"/>
      <c r="D195" s="764"/>
      <c r="E195" s="764"/>
      <c r="F195" s="764"/>
      <c r="G195" s="1502">
        <v>3</v>
      </c>
      <c r="H195" s="1501">
        <v>2</v>
      </c>
      <c r="I195" s="1501"/>
      <c r="J195" s="1502"/>
      <c r="K195" s="1498" t="s">
        <v>5891</v>
      </c>
      <c r="L195" s="1498"/>
      <c r="M195" s="1504"/>
      <c r="N195" s="611"/>
      <c r="O195" s="611"/>
      <c r="P195" s="611"/>
      <c r="Q195" s="611"/>
      <c r="R195" s="611"/>
      <c r="S195" s="611"/>
      <c r="T195" s="611"/>
      <c r="U195" s="611"/>
      <c r="V195" s="611"/>
      <c r="W195" s="611"/>
      <c r="X195" s="611"/>
      <c r="Y195" s="611"/>
      <c r="Z195" s="611"/>
      <c r="AA195">
        <f>IF(AND('09 App'!C195&gt;Tmin, NOT('09 App'!$I195="")),'09 App'!$I195,0)</f>
        <v>0</v>
      </c>
      <c r="AB195">
        <f>IF(AND('09 App'!D195&gt;Tmin, NOT('09 App'!$I195="")),'09 App'!$I195,0)</f>
        <v>0</v>
      </c>
      <c r="AC195">
        <f>IF(AND('09 App'!E195&gt;Tmin, NOT('09 App'!$I195="")),'09 App'!$I195,0)</f>
        <v>0</v>
      </c>
      <c r="AD195">
        <f>IF(AND('09 App'!F195&gt;Tmin, NOT('09 App'!$I195="")),'09 App'!$I195,0)</f>
        <v>0</v>
      </c>
      <c r="AE195">
        <f>IF(AND('09 App'!C195&lt;Tmax, NOT('09 App'!$H195="")),'09 App'!$H195,4)</f>
        <v>2</v>
      </c>
      <c r="AF195">
        <f>IF(AND('09 App'!D195&lt;Tmax, NOT('09 App'!$H195="")),'09 App'!$H195,4)</f>
        <v>2</v>
      </c>
      <c r="AG195">
        <f>IF(AND('09 App'!E195&lt;Tmax, NOT('09 App'!$H195="")),'09 App'!$H195,4)</f>
        <v>2</v>
      </c>
      <c r="AH195">
        <f>IF(AND('09 App'!F195&lt;Tmax, NOT('09 App'!$H195="")),'09 App'!$H195,4)</f>
        <v>2</v>
      </c>
      <c r="AI195"/>
    </row>
    <row r="196" spans="1:35" s="648" customFormat="1" ht="56.25" x14ac:dyDescent="0.2">
      <c r="A196" s="767" t="s">
        <v>7380</v>
      </c>
      <c r="B196" s="768" t="s">
        <v>7479</v>
      </c>
      <c r="C196" s="763"/>
      <c r="D196" s="764"/>
      <c r="E196" s="764"/>
      <c r="F196" s="764"/>
      <c r="G196" s="1502">
        <v>4</v>
      </c>
      <c r="H196" s="1501"/>
      <c r="I196" s="1501"/>
      <c r="J196" s="1502"/>
      <c r="K196" s="1498"/>
      <c r="L196" s="1498"/>
      <c r="M196" s="1504"/>
      <c r="N196" s="611"/>
      <c r="O196" s="611"/>
      <c r="P196" s="611"/>
      <c r="Q196" s="611"/>
      <c r="R196" s="611"/>
      <c r="S196" s="611"/>
      <c r="T196" s="611"/>
      <c r="U196" s="611"/>
      <c r="V196" s="611"/>
      <c r="W196" s="611"/>
      <c r="X196" s="611"/>
      <c r="Y196" s="611"/>
      <c r="Z196" s="611"/>
      <c r="AA196">
        <f>IF(AND('09 App'!C196&gt;Tmin, NOT('09 App'!$I196="")),'09 App'!$I196,0)</f>
        <v>0</v>
      </c>
      <c r="AB196">
        <f>IF(AND('09 App'!D196&gt;Tmin, NOT('09 App'!$I196="")),'09 App'!$I196,0)</f>
        <v>0</v>
      </c>
      <c r="AC196">
        <f>IF(AND('09 App'!E196&gt;Tmin, NOT('09 App'!$I196="")),'09 App'!$I196,0)</f>
        <v>0</v>
      </c>
      <c r="AD196">
        <f>IF(AND('09 App'!F196&gt;Tmin, NOT('09 App'!$I196="")),'09 App'!$I196,0)</f>
        <v>0</v>
      </c>
      <c r="AE196">
        <f>IF(AND('09 App'!C196&lt;Tmax, NOT('09 App'!$H196="")),'09 App'!$H196,4)</f>
        <v>4</v>
      </c>
      <c r="AF196">
        <f>IF(AND('09 App'!D196&lt;Tmax, NOT('09 App'!$H196="")),'09 App'!$H196,4)</f>
        <v>4</v>
      </c>
      <c r="AG196">
        <f>IF(AND('09 App'!E196&lt;Tmax, NOT('09 App'!$H196="")),'09 App'!$H196,4)</f>
        <v>4</v>
      </c>
      <c r="AH196">
        <f>IF(AND('09 App'!F196&lt;Tmax, NOT('09 App'!$H196="")),'09 App'!$H196,4)</f>
        <v>4</v>
      </c>
      <c r="AI196"/>
    </row>
    <row r="197" spans="1:35" s="648" customFormat="1" ht="33.75" x14ac:dyDescent="0.2">
      <c r="A197" s="767" t="s">
        <v>7381</v>
      </c>
      <c r="B197" s="768" t="s">
        <v>7480</v>
      </c>
      <c r="C197" s="763"/>
      <c r="D197" s="764"/>
      <c r="E197" s="764"/>
      <c r="F197" s="764"/>
      <c r="G197" s="1502">
        <v>3</v>
      </c>
      <c r="H197" s="1501"/>
      <c r="I197" s="1501"/>
      <c r="J197" s="1502"/>
      <c r="K197" s="1498" t="s">
        <v>5994</v>
      </c>
      <c r="L197" s="1498"/>
      <c r="M197" s="1504"/>
      <c r="N197" s="611"/>
      <c r="O197" s="611"/>
      <c r="P197" s="611"/>
      <c r="Q197" s="611"/>
      <c r="R197" s="611"/>
      <c r="S197" s="611"/>
      <c r="T197" s="611"/>
      <c r="U197" s="611"/>
      <c r="V197" s="611"/>
      <c r="W197" s="611"/>
      <c r="X197" s="611"/>
      <c r="Y197" s="611"/>
      <c r="Z197" s="611"/>
      <c r="AA197">
        <f>IF(AND('09 App'!C197&gt;Tmin, NOT('09 App'!$I197="")),'09 App'!$I197,0)</f>
        <v>0</v>
      </c>
      <c r="AB197">
        <f>IF(AND('09 App'!D197&gt;Tmin, NOT('09 App'!$I197="")),'09 App'!$I197,0)</f>
        <v>0</v>
      </c>
      <c r="AC197">
        <f>IF(AND('09 App'!E197&gt;Tmin, NOT('09 App'!$I197="")),'09 App'!$I197,0)</f>
        <v>0</v>
      </c>
      <c r="AD197">
        <f>IF(AND('09 App'!F197&gt;Tmin, NOT('09 App'!$I197="")),'09 App'!$I197,0)</f>
        <v>0</v>
      </c>
      <c r="AE197">
        <f>IF(AND('09 App'!C197&lt;Tmax, NOT('09 App'!$H197="")),'09 App'!$H197,4)</f>
        <v>4</v>
      </c>
      <c r="AF197">
        <f>IF(AND('09 App'!D197&lt;Tmax, NOT('09 App'!$H197="")),'09 App'!$H197,4)</f>
        <v>4</v>
      </c>
      <c r="AG197">
        <f>IF(AND('09 App'!E197&lt;Tmax, NOT('09 App'!$H197="")),'09 App'!$H197,4)</f>
        <v>4</v>
      </c>
      <c r="AH197">
        <f>IF(AND('09 App'!F197&lt;Tmax, NOT('09 App'!$H197="")),'09 App'!$H197,4)</f>
        <v>4</v>
      </c>
      <c r="AI197"/>
    </row>
    <row r="198" spans="1:35" s="648" customFormat="1" ht="22.5" x14ac:dyDescent="0.2">
      <c r="A198" s="767" t="s">
        <v>7382</v>
      </c>
      <c r="B198" s="768" t="s">
        <v>7445</v>
      </c>
      <c r="C198" s="763"/>
      <c r="D198" s="764"/>
      <c r="E198" s="764"/>
      <c r="F198" s="764"/>
      <c r="G198" s="1502">
        <v>2</v>
      </c>
      <c r="H198" s="1501">
        <v>2</v>
      </c>
      <c r="I198" s="1501"/>
      <c r="J198" s="1502"/>
      <c r="K198" s="1498" t="s">
        <v>5891</v>
      </c>
      <c r="L198" s="1498"/>
      <c r="M198" s="1504"/>
      <c r="N198" s="611"/>
      <c r="O198" s="611"/>
      <c r="P198" s="611"/>
      <c r="Q198" s="611"/>
      <c r="R198" s="611"/>
      <c r="S198" s="611"/>
      <c r="T198" s="611"/>
      <c r="U198" s="611"/>
      <c r="V198" s="611"/>
      <c r="W198" s="611"/>
      <c r="X198" s="611"/>
      <c r="Y198" s="611"/>
      <c r="Z198" s="611"/>
      <c r="AA198">
        <f>IF(AND('09 App'!C198&gt;Tmin, NOT('09 App'!$I198="")),'09 App'!$I198,0)</f>
        <v>0</v>
      </c>
      <c r="AB198">
        <f>IF(AND('09 App'!D198&gt;Tmin, NOT('09 App'!$I198="")),'09 App'!$I198,0)</f>
        <v>0</v>
      </c>
      <c r="AC198">
        <f>IF(AND('09 App'!E198&gt;Tmin, NOT('09 App'!$I198="")),'09 App'!$I198,0)</f>
        <v>0</v>
      </c>
      <c r="AD198">
        <f>IF(AND('09 App'!F198&gt;Tmin, NOT('09 App'!$I198="")),'09 App'!$I198,0)</f>
        <v>0</v>
      </c>
      <c r="AE198">
        <f>IF(AND('09 App'!C198&lt;Tmax, NOT('09 App'!$H198="")),'09 App'!$H198,4)</f>
        <v>2</v>
      </c>
      <c r="AF198">
        <f>IF(AND('09 App'!D198&lt;Tmax, NOT('09 App'!$H198="")),'09 App'!$H198,4)</f>
        <v>2</v>
      </c>
      <c r="AG198">
        <f>IF(AND('09 App'!E198&lt;Tmax, NOT('09 App'!$H198="")),'09 App'!$H198,4)</f>
        <v>2</v>
      </c>
      <c r="AH198">
        <f>IF(AND('09 App'!F198&lt;Tmax, NOT('09 App'!$H198="")),'09 App'!$H198,4)</f>
        <v>2</v>
      </c>
      <c r="AI198"/>
    </row>
    <row r="199" spans="1:35" s="648" customFormat="1" ht="33.75" x14ac:dyDescent="0.2">
      <c r="A199" s="767" t="s">
        <v>7383</v>
      </c>
      <c r="B199" s="768" t="s">
        <v>7481</v>
      </c>
      <c r="C199" s="763"/>
      <c r="D199" s="764"/>
      <c r="E199" s="764"/>
      <c r="F199" s="764"/>
      <c r="G199" s="1502">
        <v>3</v>
      </c>
      <c r="H199" s="1501">
        <v>2</v>
      </c>
      <c r="I199" s="1501"/>
      <c r="J199" s="1502"/>
      <c r="K199" s="1498" t="s">
        <v>5994</v>
      </c>
      <c r="L199" s="1498"/>
      <c r="M199" s="1504"/>
      <c r="N199" s="611"/>
      <c r="O199" s="611"/>
      <c r="P199" s="611"/>
      <c r="Q199" s="611"/>
      <c r="R199" s="611"/>
      <c r="S199" s="611"/>
      <c r="T199" s="611"/>
      <c r="U199" s="611"/>
      <c r="V199" s="611"/>
      <c r="W199" s="611"/>
      <c r="X199" s="611"/>
      <c r="Y199" s="611"/>
      <c r="Z199" s="611"/>
      <c r="AA199">
        <f>IF(AND('09 App'!C199&gt;Tmin, NOT('09 App'!$I199="")),'09 App'!$I199,0)</f>
        <v>0</v>
      </c>
      <c r="AB199">
        <f>IF(AND('09 App'!D199&gt;Tmin, NOT('09 App'!$I199="")),'09 App'!$I199,0)</f>
        <v>0</v>
      </c>
      <c r="AC199">
        <f>IF(AND('09 App'!E199&gt;Tmin, NOT('09 App'!$I199="")),'09 App'!$I199,0)</f>
        <v>0</v>
      </c>
      <c r="AD199">
        <f>IF(AND('09 App'!F199&gt;Tmin, NOT('09 App'!$I199="")),'09 App'!$I199,0)</f>
        <v>0</v>
      </c>
      <c r="AE199">
        <f>IF(AND('09 App'!C199&lt;Tmax, NOT('09 App'!$H199="")),'09 App'!$H199,4)</f>
        <v>2</v>
      </c>
      <c r="AF199">
        <f>IF(AND('09 App'!D199&lt;Tmax, NOT('09 App'!$H199="")),'09 App'!$H199,4)</f>
        <v>2</v>
      </c>
      <c r="AG199">
        <f>IF(AND('09 App'!E199&lt;Tmax, NOT('09 App'!$H199="")),'09 App'!$H199,4)</f>
        <v>2</v>
      </c>
      <c r="AH199">
        <f>IF(AND('09 App'!F199&lt;Tmax, NOT('09 App'!$H199="")),'09 App'!$H199,4)</f>
        <v>2</v>
      </c>
      <c r="AI199"/>
    </row>
    <row r="200" spans="1:35" s="648" customFormat="1" ht="33.75" x14ac:dyDescent="0.2">
      <c r="A200" s="767" t="s">
        <v>7384</v>
      </c>
      <c r="B200" s="768" t="s">
        <v>7482</v>
      </c>
      <c r="C200" s="763"/>
      <c r="D200" s="764"/>
      <c r="E200" s="764"/>
      <c r="F200" s="764"/>
      <c r="G200" s="1502">
        <v>2</v>
      </c>
      <c r="H200" s="1501">
        <v>2</v>
      </c>
      <c r="I200" s="1501"/>
      <c r="J200" s="1502"/>
      <c r="K200" s="1498"/>
      <c r="L200" s="1498"/>
      <c r="M200" s="1504"/>
      <c r="N200" s="611"/>
      <c r="O200" s="611"/>
      <c r="P200" s="611"/>
      <c r="Q200" s="611"/>
      <c r="R200" s="611"/>
      <c r="S200" s="611"/>
      <c r="T200" s="611"/>
      <c r="U200" s="611"/>
      <c r="V200" s="611"/>
      <c r="W200" s="611"/>
      <c r="X200" s="611"/>
      <c r="Y200" s="611"/>
      <c r="Z200" s="611"/>
      <c r="AA200">
        <f>IF(AND('09 App'!C200&gt;Tmin, NOT('09 App'!$I200="")),'09 App'!$I200,0)</f>
        <v>0</v>
      </c>
      <c r="AB200">
        <f>IF(AND('09 App'!D200&gt;Tmin, NOT('09 App'!$I200="")),'09 App'!$I200,0)</f>
        <v>0</v>
      </c>
      <c r="AC200">
        <f>IF(AND('09 App'!E200&gt;Tmin, NOT('09 App'!$I200="")),'09 App'!$I200,0)</f>
        <v>0</v>
      </c>
      <c r="AD200">
        <f>IF(AND('09 App'!F200&gt;Tmin, NOT('09 App'!$I200="")),'09 App'!$I200,0)</f>
        <v>0</v>
      </c>
      <c r="AE200">
        <f>IF(AND('09 App'!C200&lt;Tmax, NOT('09 App'!$H200="")),'09 App'!$H200,4)</f>
        <v>2</v>
      </c>
      <c r="AF200">
        <f>IF(AND('09 App'!D200&lt;Tmax, NOT('09 App'!$H200="")),'09 App'!$H200,4)</f>
        <v>2</v>
      </c>
      <c r="AG200">
        <f>IF(AND('09 App'!E200&lt;Tmax, NOT('09 App'!$H200="")),'09 App'!$H200,4)</f>
        <v>2</v>
      </c>
      <c r="AH200">
        <f>IF(AND('09 App'!F200&lt;Tmax, NOT('09 App'!$H200="")),'09 App'!$H200,4)</f>
        <v>2</v>
      </c>
      <c r="AI200"/>
    </row>
    <row r="201" spans="1:35" s="648" customFormat="1" x14ac:dyDescent="0.2">
      <c r="A201" s="765" t="s">
        <v>7301</v>
      </c>
      <c r="B201" s="766" t="s">
        <v>7312</v>
      </c>
      <c r="C201" s="763"/>
      <c r="D201" s="764"/>
      <c r="E201" s="764"/>
      <c r="F201" s="764"/>
      <c r="G201" s="1502"/>
      <c r="H201" s="1501"/>
      <c r="I201" s="1501"/>
      <c r="J201" s="1502"/>
      <c r="K201" s="1498"/>
      <c r="L201" s="1498"/>
      <c r="M201" s="1504"/>
      <c r="N201" s="611"/>
      <c r="O201" s="611"/>
      <c r="P201" s="611"/>
      <c r="Q201" s="611"/>
      <c r="R201" s="611"/>
      <c r="S201" s="611"/>
      <c r="T201" s="611"/>
      <c r="U201" s="611"/>
      <c r="V201" s="611"/>
      <c r="W201" s="611"/>
      <c r="X201" s="611"/>
      <c r="Y201" s="611"/>
      <c r="Z201" s="611"/>
      <c r="AA201"/>
      <c r="AB201"/>
      <c r="AC201"/>
      <c r="AD201"/>
      <c r="AE201"/>
      <c r="AF201"/>
      <c r="AG201"/>
      <c r="AH201"/>
      <c r="AI201"/>
    </row>
    <row r="202" spans="1:35" s="648" customFormat="1" ht="33.75" x14ac:dyDescent="0.2">
      <c r="A202" s="769" t="s">
        <v>7385</v>
      </c>
      <c r="B202" s="768" t="s">
        <v>7483</v>
      </c>
      <c r="C202" s="763"/>
      <c r="D202" s="764"/>
      <c r="E202" s="764"/>
      <c r="F202" s="764"/>
      <c r="G202" s="1502">
        <v>3</v>
      </c>
      <c r="H202" s="1501"/>
      <c r="I202" s="1501"/>
      <c r="J202" s="1502"/>
      <c r="K202" s="1498" t="s">
        <v>5895</v>
      </c>
      <c r="L202" s="1498"/>
      <c r="M202" s="1504"/>
      <c r="N202" s="611"/>
      <c r="O202" s="611"/>
      <c r="P202" s="611"/>
      <c r="Q202" s="611"/>
      <c r="R202" s="611"/>
      <c r="S202" s="611"/>
      <c r="T202" s="611"/>
      <c r="U202" s="611"/>
      <c r="V202" s="611"/>
      <c r="W202" s="611"/>
      <c r="X202" s="611"/>
      <c r="Y202" s="611"/>
      <c r="Z202" s="611"/>
      <c r="AA202">
        <f>IF(AND('09 App'!C202&gt;Tmin, NOT('09 App'!$I202="")),'09 App'!$I202,0)</f>
        <v>0</v>
      </c>
      <c r="AB202">
        <f>IF(AND('09 App'!D202&gt;Tmin, NOT('09 App'!$I202="")),'09 App'!$I202,0)</f>
        <v>0</v>
      </c>
      <c r="AC202">
        <f>IF(AND('09 App'!E202&gt;Tmin, NOT('09 App'!$I202="")),'09 App'!$I202,0)</f>
        <v>0</v>
      </c>
      <c r="AD202">
        <f>IF(AND('09 App'!F202&gt;Tmin, NOT('09 App'!$I202="")),'09 App'!$I202,0)</f>
        <v>0</v>
      </c>
      <c r="AE202">
        <f>IF(AND('09 App'!C202&lt;Tmax, NOT('09 App'!$H202="")),'09 App'!$H202,4)</f>
        <v>4</v>
      </c>
      <c r="AF202">
        <f>IF(AND('09 App'!D202&lt;Tmax, NOT('09 App'!$H202="")),'09 App'!$H202,4)</f>
        <v>4</v>
      </c>
      <c r="AG202">
        <f>IF(AND('09 App'!E202&lt;Tmax, NOT('09 App'!$H202="")),'09 App'!$H202,4)</f>
        <v>4</v>
      </c>
      <c r="AH202">
        <f>IF(AND('09 App'!F202&lt;Tmax, NOT('09 App'!$H202="")),'09 App'!$H202,4)</f>
        <v>4</v>
      </c>
      <c r="AI202"/>
    </row>
    <row r="203" spans="1:35" s="648" customFormat="1" ht="45" x14ac:dyDescent="0.2">
      <c r="A203" s="769" t="s">
        <v>7386</v>
      </c>
      <c r="B203" s="768" t="s">
        <v>7484</v>
      </c>
      <c r="C203" s="763"/>
      <c r="D203" s="764"/>
      <c r="E203" s="764"/>
      <c r="F203" s="764"/>
      <c r="G203" s="1502">
        <v>3</v>
      </c>
      <c r="H203" s="1501"/>
      <c r="I203" s="1501"/>
      <c r="J203" s="1502"/>
      <c r="K203" s="1498" t="s">
        <v>5895</v>
      </c>
      <c r="L203" s="1498"/>
      <c r="M203" s="1504"/>
      <c r="N203" s="611"/>
      <c r="O203" s="611"/>
      <c r="P203" s="611"/>
      <c r="Q203" s="611"/>
      <c r="R203" s="611"/>
      <c r="S203" s="611"/>
      <c r="T203" s="611"/>
      <c r="U203" s="611"/>
      <c r="V203" s="611"/>
      <c r="W203" s="611"/>
      <c r="X203" s="611"/>
      <c r="Y203" s="611"/>
      <c r="Z203" s="611"/>
      <c r="AA203">
        <f>IF(AND('09 App'!C203&gt;Tmin, NOT('09 App'!$I203="")),'09 App'!$I203,0)</f>
        <v>0</v>
      </c>
      <c r="AB203">
        <f>IF(AND('09 App'!D203&gt;Tmin, NOT('09 App'!$I203="")),'09 App'!$I203,0)</f>
        <v>0</v>
      </c>
      <c r="AC203">
        <f>IF(AND('09 App'!E203&gt;Tmin, NOT('09 App'!$I203="")),'09 App'!$I203,0)</f>
        <v>0</v>
      </c>
      <c r="AD203">
        <f>IF(AND('09 App'!F203&gt;Tmin, NOT('09 App'!$I203="")),'09 App'!$I203,0)</f>
        <v>0</v>
      </c>
      <c r="AE203">
        <f>IF(AND('09 App'!C203&lt;Tmax, NOT('09 App'!$H203="")),'09 App'!$H203,4)</f>
        <v>4</v>
      </c>
      <c r="AF203">
        <f>IF(AND('09 App'!D203&lt;Tmax, NOT('09 App'!$H203="")),'09 App'!$H203,4)</f>
        <v>4</v>
      </c>
      <c r="AG203">
        <f>IF(AND('09 App'!E203&lt;Tmax, NOT('09 App'!$H203="")),'09 App'!$H203,4)</f>
        <v>4</v>
      </c>
      <c r="AH203">
        <f>IF(AND('09 App'!F203&lt;Tmax, NOT('09 App'!$H203="")),'09 App'!$H203,4)</f>
        <v>4</v>
      </c>
      <c r="AI203"/>
    </row>
    <row r="204" spans="1:35" s="648" customFormat="1" x14ac:dyDescent="0.2">
      <c r="A204" s="769" t="s">
        <v>7387</v>
      </c>
      <c r="B204" s="768" t="s">
        <v>7446</v>
      </c>
      <c r="C204" s="763"/>
      <c r="D204" s="764"/>
      <c r="E204" s="764"/>
      <c r="F204" s="764"/>
      <c r="G204" s="1502">
        <v>4</v>
      </c>
      <c r="H204" s="1501"/>
      <c r="I204" s="1501"/>
      <c r="J204" s="1502"/>
      <c r="K204" s="1498" t="s">
        <v>5895</v>
      </c>
      <c r="L204" s="1498"/>
      <c r="M204" s="1504"/>
      <c r="N204" s="611"/>
      <c r="O204" s="611"/>
      <c r="P204" s="611"/>
      <c r="Q204" s="611"/>
      <c r="R204" s="611"/>
      <c r="S204" s="611"/>
      <c r="T204" s="611"/>
      <c r="U204" s="611"/>
      <c r="V204" s="611"/>
      <c r="W204" s="611"/>
      <c r="X204" s="611"/>
      <c r="Y204" s="611"/>
      <c r="Z204" s="611"/>
      <c r="AA204">
        <f>IF(AND('09 App'!C204&gt;Tmin, NOT('09 App'!$I204="")),'09 App'!$I204,0)</f>
        <v>0</v>
      </c>
      <c r="AB204">
        <f>IF(AND('09 App'!D204&gt;Tmin, NOT('09 App'!$I204="")),'09 App'!$I204,0)</f>
        <v>0</v>
      </c>
      <c r="AC204">
        <f>IF(AND('09 App'!E204&gt;Tmin, NOT('09 App'!$I204="")),'09 App'!$I204,0)</f>
        <v>0</v>
      </c>
      <c r="AD204">
        <f>IF(AND('09 App'!F204&gt;Tmin, NOT('09 App'!$I204="")),'09 App'!$I204,0)</f>
        <v>0</v>
      </c>
      <c r="AE204">
        <f>IF(AND('09 App'!C204&lt;Tmax, NOT('09 App'!$H204="")),'09 App'!$H204,4)</f>
        <v>4</v>
      </c>
      <c r="AF204">
        <f>IF(AND('09 App'!D204&lt;Tmax, NOT('09 App'!$H204="")),'09 App'!$H204,4)</f>
        <v>4</v>
      </c>
      <c r="AG204">
        <f>IF(AND('09 App'!E204&lt;Tmax, NOT('09 App'!$H204="")),'09 App'!$H204,4)</f>
        <v>4</v>
      </c>
      <c r="AH204">
        <f>IF(AND('09 App'!F204&lt;Tmax, NOT('09 App'!$H204="")),'09 App'!$H204,4)</f>
        <v>4</v>
      </c>
      <c r="AI204"/>
    </row>
    <row r="205" spans="1:35" s="648" customFormat="1" ht="22.5" x14ac:dyDescent="0.2">
      <c r="A205" s="769" t="s">
        <v>7388</v>
      </c>
      <c r="B205" s="768" t="s">
        <v>7485</v>
      </c>
      <c r="C205" s="763"/>
      <c r="D205" s="764"/>
      <c r="E205" s="764"/>
      <c r="F205" s="764"/>
      <c r="G205" s="1502">
        <v>3</v>
      </c>
      <c r="H205" s="1501"/>
      <c r="I205" s="1501"/>
      <c r="J205" s="1502"/>
      <c r="K205" s="1498" t="s">
        <v>5895</v>
      </c>
      <c r="L205" s="1498"/>
      <c r="M205" s="1504"/>
      <c r="N205" s="611"/>
      <c r="O205" s="611"/>
      <c r="P205" s="611"/>
      <c r="Q205" s="611"/>
      <c r="R205" s="611"/>
      <c r="S205" s="611"/>
      <c r="T205" s="611"/>
      <c r="U205" s="611"/>
      <c r="V205" s="611"/>
      <c r="W205" s="611"/>
      <c r="X205" s="611"/>
      <c r="Y205" s="611"/>
      <c r="Z205" s="611"/>
      <c r="AA205">
        <f>IF(AND('09 App'!C205&gt;Tmin, NOT('09 App'!$I205="")),'09 App'!$I205,0)</f>
        <v>0</v>
      </c>
      <c r="AB205">
        <f>IF(AND('09 App'!D205&gt;Tmin, NOT('09 App'!$I205="")),'09 App'!$I205,0)</f>
        <v>0</v>
      </c>
      <c r="AC205">
        <f>IF(AND('09 App'!E205&gt;Tmin, NOT('09 App'!$I205="")),'09 App'!$I205,0)</f>
        <v>0</v>
      </c>
      <c r="AD205">
        <f>IF(AND('09 App'!F205&gt;Tmin, NOT('09 App'!$I205="")),'09 App'!$I205,0)</f>
        <v>0</v>
      </c>
      <c r="AE205">
        <f>IF(AND('09 App'!C205&lt;Tmax, NOT('09 App'!$H205="")),'09 App'!$H205,4)</f>
        <v>4</v>
      </c>
      <c r="AF205">
        <f>IF(AND('09 App'!D205&lt;Tmax, NOT('09 App'!$H205="")),'09 App'!$H205,4)</f>
        <v>4</v>
      </c>
      <c r="AG205">
        <f>IF(AND('09 App'!E205&lt;Tmax, NOT('09 App'!$H205="")),'09 App'!$H205,4)</f>
        <v>4</v>
      </c>
      <c r="AH205">
        <f>IF(AND('09 App'!F205&lt;Tmax, NOT('09 App'!$H205="")),'09 App'!$H205,4)</f>
        <v>4</v>
      </c>
      <c r="AI205"/>
    </row>
    <row r="206" spans="1:35" s="648" customFormat="1" ht="22.5" x14ac:dyDescent="0.2">
      <c r="A206" s="769" t="s">
        <v>7389</v>
      </c>
      <c r="B206" s="768" t="s">
        <v>7486</v>
      </c>
      <c r="C206" s="763"/>
      <c r="D206" s="764"/>
      <c r="E206" s="764"/>
      <c r="F206" s="764"/>
      <c r="G206" s="1502">
        <v>3</v>
      </c>
      <c r="H206" s="1501">
        <v>2</v>
      </c>
      <c r="I206" s="1501"/>
      <c r="J206" s="1502"/>
      <c r="K206" s="1498"/>
      <c r="L206" s="1498"/>
      <c r="M206" s="1504"/>
      <c r="N206" s="611"/>
      <c r="O206" s="611"/>
      <c r="P206" s="611"/>
      <c r="Q206" s="611"/>
      <c r="R206" s="611"/>
      <c r="S206" s="611"/>
      <c r="T206" s="611"/>
      <c r="U206" s="611"/>
      <c r="V206" s="611"/>
      <c r="W206" s="611"/>
      <c r="X206" s="611"/>
      <c r="Y206" s="611"/>
      <c r="Z206" s="611"/>
      <c r="AA206">
        <f>IF(AND('09 App'!C206&gt;Tmin, NOT('09 App'!$I206="")),'09 App'!$I206,0)</f>
        <v>0</v>
      </c>
      <c r="AB206">
        <f>IF(AND('09 App'!D206&gt;Tmin, NOT('09 App'!$I206="")),'09 App'!$I206,0)</f>
        <v>0</v>
      </c>
      <c r="AC206">
        <f>IF(AND('09 App'!E206&gt;Tmin, NOT('09 App'!$I206="")),'09 App'!$I206,0)</f>
        <v>0</v>
      </c>
      <c r="AD206">
        <f>IF(AND('09 App'!F206&gt;Tmin, NOT('09 App'!$I206="")),'09 App'!$I206,0)</f>
        <v>0</v>
      </c>
      <c r="AE206">
        <f>IF(AND('09 App'!C206&lt;Tmax, NOT('09 App'!$H206="")),'09 App'!$H206,4)</f>
        <v>2</v>
      </c>
      <c r="AF206">
        <f>IF(AND('09 App'!D206&lt;Tmax, NOT('09 App'!$H206="")),'09 App'!$H206,4)</f>
        <v>2</v>
      </c>
      <c r="AG206">
        <f>IF(AND('09 App'!E206&lt;Tmax, NOT('09 App'!$H206="")),'09 App'!$H206,4)</f>
        <v>2</v>
      </c>
      <c r="AH206">
        <f>IF(AND('09 App'!F206&lt;Tmax, NOT('09 App'!$H206="")),'09 App'!$H206,4)</f>
        <v>2</v>
      </c>
      <c r="AI206"/>
    </row>
    <row r="207" spans="1:35" s="648" customFormat="1" ht="45" x14ac:dyDescent="0.2">
      <c r="A207" s="769" t="s">
        <v>7390</v>
      </c>
      <c r="B207" s="768" t="s">
        <v>7487</v>
      </c>
      <c r="C207" s="763"/>
      <c r="D207" s="764"/>
      <c r="E207" s="764"/>
      <c r="F207" s="764"/>
      <c r="G207" s="1502">
        <v>2</v>
      </c>
      <c r="H207" s="1501">
        <v>2</v>
      </c>
      <c r="I207" s="1501"/>
      <c r="J207" s="1502"/>
      <c r="K207" s="1498"/>
      <c r="L207" s="1498"/>
      <c r="M207" s="1504"/>
      <c r="N207" s="611"/>
      <c r="O207" s="611"/>
      <c r="P207" s="611"/>
      <c r="Q207" s="611"/>
      <c r="R207" s="611"/>
      <c r="S207" s="611"/>
      <c r="T207" s="611"/>
      <c r="U207" s="611"/>
      <c r="V207" s="611"/>
      <c r="W207" s="611"/>
      <c r="X207" s="611"/>
      <c r="Y207" s="611"/>
      <c r="Z207" s="611"/>
      <c r="AA207">
        <f>IF(AND('09 App'!C207&gt;Tmin, NOT('09 App'!$I207="")),'09 App'!$I207,0)</f>
        <v>0</v>
      </c>
      <c r="AB207">
        <f>IF(AND('09 App'!D207&gt;Tmin, NOT('09 App'!$I207="")),'09 App'!$I207,0)</f>
        <v>0</v>
      </c>
      <c r="AC207">
        <f>IF(AND('09 App'!E207&gt;Tmin, NOT('09 App'!$I207="")),'09 App'!$I207,0)</f>
        <v>0</v>
      </c>
      <c r="AD207">
        <f>IF(AND('09 App'!F207&gt;Tmin, NOT('09 App'!$I207="")),'09 App'!$I207,0)</f>
        <v>0</v>
      </c>
      <c r="AE207">
        <f>IF(AND('09 App'!C207&lt;Tmax, NOT('09 App'!$H207="")),'09 App'!$H207,4)</f>
        <v>2</v>
      </c>
      <c r="AF207">
        <f>IF(AND('09 App'!D207&lt;Tmax, NOT('09 App'!$H207="")),'09 App'!$H207,4)</f>
        <v>2</v>
      </c>
      <c r="AG207">
        <f>IF(AND('09 App'!E207&lt;Tmax, NOT('09 App'!$H207="")),'09 App'!$H207,4)</f>
        <v>2</v>
      </c>
      <c r="AH207">
        <f>IF(AND('09 App'!F207&lt;Tmax, NOT('09 App'!$H207="")),'09 App'!$H207,4)</f>
        <v>2</v>
      </c>
      <c r="AI207"/>
    </row>
    <row r="208" spans="1:35" s="648" customFormat="1" x14ac:dyDescent="0.2">
      <c r="A208" s="765" t="s">
        <v>7302</v>
      </c>
      <c r="B208" s="766" t="s">
        <v>5726</v>
      </c>
      <c r="C208" s="763"/>
      <c r="D208" s="1505"/>
      <c r="E208" s="1505"/>
      <c r="F208" s="1505"/>
      <c r="G208" s="1503"/>
      <c r="H208" s="1503"/>
      <c r="I208" s="1503"/>
      <c r="J208" s="1503"/>
      <c r="K208" s="1503"/>
      <c r="L208" s="1503"/>
      <c r="M208" s="1504"/>
      <c r="N208" s="611"/>
      <c r="O208" s="611"/>
      <c r="P208" s="611"/>
      <c r="Q208" s="611"/>
      <c r="R208" s="611"/>
      <c r="S208" s="611"/>
      <c r="T208" s="611"/>
      <c r="U208" s="611"/>
      <c r="V208" s="611"/>
      <c r="W208" s="611"/>
      <c r="X208" s="611"/>
      <c r="Y208" s="611"/>
      <c r="Z208" s="611"/>
      <c r="AA208"/>
      <c r="AB208"/>
      <c r="AC208"/>
      <c r="AD208"/>
      <c r="AE208"/>
      <c r="AF208"/>
      <c r="AG208"/>
      <c r="AH208"/>
      <c r="AI208"/>
    </row>
    <row r="209" spans="1:35" s="648" customFormat="1" ht="36" customHeight="1" x14ac:dyDescent="0.2">
      <c r="A209" s="769" t="s">
        <v>7391</v>
      </c>
      <c r="B209" s="770" t="s">
        <v>7488</v>
      </c>
      <c r="C209" s="763"/>
      <c r="D209" s="1505"/>
      <c r="E209" s="1505"/>
      <c r="F209" s="1505"/>
      <c r="G209" s="1503">
        <v>3</v>
      </c>
      <c r="H209" s="1503">
        <v>2</v>
      </c>
      <c r="I209" s="1503"/>
      <c r="J209" s="1503"/>
      <c r="K209" s="1503"/>
      <c r="L209" s="1503"/>
      <c r="M209" s="1504"/>
      <c r="N209" s="611"/>
      <c r="O209" s="611"/>
      <c r="P209" s="611"/>
      <c r="Q209" s="611"/>
      <c r="R209" s="611"/>
      <c r="S209" s="611"/>
      <c r="T209" s="611"/>
      <c r="U209" s="611"/>
      <c r="V209" s="611"/>
      <c r="W209" s="611"/>
      <c r="X209" s="611"/>
      <c r="Y209" s="611"/>
      <c r="Z209" s="611"/>
      <c r="AA209">
        <f>IF(AND('09 App'!C209&gt;Tmin, NOT('09 App'!$I209="")),'09 App'!$I209,0)</f>
        <v>0</v>
      </c>
      <c r="AB209">
        <f>IF(AND('09 App'!D209&gt;Tmin, NOT('09 App'!$I209="")),'09 App'!$I209,0)</f>
        <v>0</v>
      </c>
      <c r="AC209">
        <f>IF(AND('09 App'!E209&gt;Tmin, NOT('09 App'!$I209="")),'09 App'!$I209,0)</f>
        <v>0</v>
      </c>
      <c r="AD209">
        <f>IF(AND('09 App'!F209&gt;Tmin, NOT('09 App'!$I209="")),'09 App'!$I209,0)</f>
        <v>0</v>
      </c>
      <c r="AE209">
        <f>IF(AND('09 App'!C209&lt;Tmax, NOT('09 App'!$H209="")),'09 App'!$H209,4)</f>
        <v>2</v>
      </c>
      <c r="AF209">
        <f>IF(AND('09 App'!D209&lt;Tmax, NOT('09 App'!$H209="")),'09 App'!$H209,4)</f>
        <v>2</v>
      </c>
      <c r="AG209">
        <f>IF(AND('09 App'!E209&lt;Tmax, NOT('09 App'!$H209="")),'09 App'!$H209,4)</f>
        <v>2</v>
      </c>
      <c r="AH209">
        <f>IF(AND('09 App'!F209&lt;Tmax, NOT('09 App'!$H209="")),'09 App'!$H209,4)</f>
        <v>2</v>
      </c>
      <c r="AI209"/>
    </row>
    <row r="210" spans="1:35" s="648" customFormat="1" ht="22.5" x14ac:dyDescent="0.2">
      <c r="A210" s="769" t="s">
        <v>7392</v>
      </c>
      <c r="B210" s="768" t="s">
        <v>7489</v>
      </c>
      <c r="C210" s="763"/>
      <c r="D210" s="1505"/>
      <c r="E210" s="1505"/>
      <c r="F210" s="1505"/>
      <c r="G210" s="1503">
        <v>2</v>
      </c>
      <c r="H210" s="1503">
        <v>2</v>
      </c>
      <c r="I210" s="1503"/>
      <c r="J210" s="1503"/>
      <c r="K210" s="1503"/>
      <c r="L210" s="1503"/>
      <c r="M210" s="1504"/>
      <c r="N210" s="611"/>
      <c r="O210" s="611"/>
      <c r="P210" s="611"/>
      <c r="Q210" s="611"/>
      <c r="R210" s="611"/>
      <c r="S210" s="611"/>
      <c r="T210" s="611"/>
      <c r="U210" s="611"/>
      <c r="V210" s="611"/>
      <c r="W210" s="611"/>
      <c r="X210" s="611"/>
      <c r="Y210" s="611"/>
      <c r="Z210" s="611"/>
      <c r="AA210">
        <f>IF(AND('09 App'!C210&gt;Tmin, NOT('09 App'!$I210="")),'09 App'!$I210,0)</f>
        <v>0</v>
      </c>
      <c r="AB210">
        <f>IF(AND('09 App'!D210&gt;Tmin, NOT('09 App'!$I210="")),'09 App'!$I210,0)</f>
        <v>0</v>
      </c>
      <c r="AC210">
        <f>IF(AND('09 App'!E210&gt;Tmin, NOT('09 App'!$I210="")),'09 App'!$I210,0)</f>
        <v>0</v>
      </c>
      <c r="AD210">
        <f>IF(AND('09 App'!F210&gt;Tmin, NOT('09 App'!$I210="")),'09 App'!$I210,0)</f>
        <v>0</v>
      </c>
      <c r="AE210">
        <f>IF(AND('09 App'!C210&lt;Tmax, NOT('09 App'!$H210="")),'09 App'!$H210,4)</f>
        <v>2</v>
      </c>
      <c r="AF210">
        <f>IF(AND('09 App'!D210&lt;Tmax, NOT('09 App'!$H210="")),'09 App'!$H210,4)</f>
        <v>2</v>
      </c>
      <c r="AG210">
        <f>IF(AND('09 App'!E210&lt;Tmax, NOT('09 App'!$H210="")),'09 App'!$H210,4)</f>
        <v>2</v>
      </c>
      <c r="AH210">
        <f>IF(AND('09 App'!F210&lt;Tmax, NOT('09 App'!$H210="")),'09 App'!$H210,4)</f>
        <v>2</v>
      </c>
      <c r="AI210"/>
    </row>
    <row r="211" spans="1:35" s="648" customFormat="1" x14ac:dyDescent="0.2">
      <c r="A211" s="769" t="s">
        <v>7393</v>
      </c>
      <c r="B211" s="768" t="s">
        <v>7490</v>
      </c>
      <c r="C211" s="763"/>
      <c r="D211" s="1505"/>
      <c r="E211" s="1505"/>
      <c r="F211" s="1505"/>
      <c r="G211" s="1503">
        <v>3</v>
      </c>
      <c r="H211" s="1503"/>
      <c r="I211" s="1503"/>
      <c r="J211" s="1503"/>
      <c r="K211" s="1503"/>
      <c r="L211" s="1503"/>
      <c r="M211" s="1504"/>
      <c r="N211" s="611"/>
      <c r="O211" s="611"/>
      <c r="P211" s="611"/>
      <c r="Q211" s="611"/>
      <c r="R211" s="611"/>
      <c r="S211" s="611"/>
      <c r="T211" s="611"/>
      <c r="U211" s="611"/>
      <c r="V211" s="611"/>
      <c r="W211" s="611"/>
      <c r="X211" s="611"/>
      <c r="Y211" s="611"/>
      <c r="Z211" s="611"/>
      <c r="AA211">
        <f>IF(AND('09 App'!C211&gt;Tmin, NOT('09 App'!$I211="")),'09 App'!$I211,0)</f>
        <v>0</v>
      </c>
      <c r="AB211">
        <f>IF(AND('09 App'!D211&gt;Tmin, NOT('09 App'!$I211="")),'09 App'!$I211,0)</f>
        <v>0</v>
      </c>
      <c r="AC211">
        <f>IF(AND('09 App'!E211&gt;Tmin, NOT('09 App'!$I211="")),'09 App'!$I211,0)</f>
        <v>0</v>
      </c>
      <c r="AD211">
        <f>IF(AND('09 App'!F211&gt;Tmin, NOT('09 App'!$I211="")),'09 App'!$I211,0)</f>
        <v>0</v>
      </c>
      <c r="AE211">
        <f>IF(AND('09 App'!C211&lt;Tmax, NOT('09 App'!$H211="")),'09 App'!$H211,4)</f>
        <v>4</v>
      </c>
      <c r="AF211">
        <f>IF(AND('09 App'!D211&lt;Tmax, NOT('09 App'!$H211="")),'09 App'!$H211,4)</f>
        <v>4</v>
      </c>
      <c r="AG211">
        <f>IF(AND('09 App'!E211&lt;Tmax, NOT('09 App'!$H211="")),'09 App'!$H211,4)</f>
        <v>4</v>
      </c>
      <c r="AH211">
        <f>IF(AND('09 App'!F211&lt;Tmax, NOT('09 App'!$H211="")),'09 App'!$H211,4)</f>
        <v>4</v>
      </c>
      <c r="AI211"/>
    </row>
    <row r="212" spans="1:35" s="648" customFormat="1" ht="24.75" customHeight="1" x14ac:dyDescent="0.2">
      <c r="A212" s="769" t="s">
        <v>7394</v>
      </c>
      <c r="B212" s="771" t="s">
        <v>7448</v>
      </c>
      <c r="C212" s="763"/>
      <c r="D212" s="1505"/>
      <c r="E212" s="1505"/>
      <c r="F212" s="1505"/>
      <c r="G212" s="1503">
        <v>3</v>
      </c>
      <c r="H212" s="1503">
        <v>2</v>
      </c>
      <c r="I212" s="1503"/>
      <c r="J212" s="1503"/>
      <c r="K212" s="1503"/>
      <c r="L212" s="1503"/>
      <c r="M212" s="1504"/>
      <c r="N212" s="611"/>
      <c r="O212" s="611"/>
      <c r="P212" s="611"/>
      <c r="Q212" s="611"/>
      <c r="R212" s="611"/>
      <c r="S212" s="611"/>
      <c r="T212" s="611"/>
      <c r="U212" s="611"/>
      <c r="V212" s="611"/>
      <c r="W212" s="611"/>
      <c r="X212" s="611"/>
      <c r="Y212" s="611"/>
      <c r="Z212" s="611"/>
      <c r="AA212">
        <f>IF(AND('09 App'!C212&gt;Tmin, NOT('09 App'!$I212="")),'09 App'!$I212,0)</f>
        <v>0</v>
      </c>
      <c r="AB212">
        <f>IF(AND('09 App'!D212&gt;Tmin, NOT('09 App'!$I212="")),'09 App'!$I212,0)</f>
        <v>0</v>
      </c>
      <c r="AC212">
        <f>IF(AND('09 App'!E212&gt;Tmin, NOT('09 App'!$I212="")),'09 App'!$I212,0)</f>
        <v>0</v>
      </c>
      <c r="AD212">
        <f>IF(AND('09 App'!F212&gt;Tmin, NOT('09 App'!$I212="")),'09 App'!$I212,0)</f>
        <v>0</v>
      </c>
      <c r="AE212">
        <f>IF(AND('09 App'!C212&lt;Tmax, NOT('09 App'!$H212="")),'09 App'!$H212,4)</f>
        <v>2</v>
      </c>
      <c r="AF212">
        <f>IF(AND('09 App'!D212&lt;Tmax, NOT('09 App'!$H212="")),'09 App'!$H212,4)</f>
        <v>2</v>
      </c>
      <c r="AG212">
        <f>IF(AND('09 App'!E212&lt;Tmax, NOT('09 App'!$H212="")),'09 App'!$H212,4)</f>
        <v>2</v>
      </c>
      <c r="AH212">
        <f>IF(AND('09 App'!F212&lt;Tmax, NOT('09 App'!$H212="")),'09 App'!$H212,4)</f>
        <v>2</v>
      </c>
      <c r="AI212"/>
    </row>
    <row r="213" spans="1:35" s="648" customFormat="1" ht="33.75" x14ac:dyDescent="0.2">
      <c r="A213" s="769" t="s">
        <v>7395</v>
      </c>
      <c r="B213" s="770" t="s">
        <v>7491</v>
      </c>
      <c r="C213" s="763"/>
      <c r="D213" s="1505"/>
      <c r="E213" s="1505"/>
      <c r="F213" s="1505"/>
      <c r="G213" s="1503">
        <v>2</v>
      </c>
      <c r="H213" s="1503"/>
      <c r="I213" s="1503"/>
      <c r="J213" s="1503"/>
      <c r="K213" s="1503"/>
      <c r="L213" s="1503"/>
      <c r="M213" s="1504"/>
      <c r="N213" s="611"/>
      <c r="O213" s="611"/>
      <c r="P213" s="611"/>
      <c r="Q213" s="611"/>
      <c r="R213" s="611"/>
      <c r="S213" s="611"/>
      <c r="T213" s="611"/>
      <c r="U213" s="611"/>
      <c r="V213" s="611"/>
      <c r="W213" s="611"/>
      <c r="X213" s="611"/>
      <c r="Y213" s="611"/>
      <c r="Z213" s="611"/>
      <c r="AA213">
        <f>IF(AND('09 App'!C213&gt;Tmin, NOT('09 App'!$I213="")),'09 App'!$I213,0)</f>
        <v>0</v>
      </c>
      <c r="AB213">
        <f>IF(AND('09 App'!D213&gt;Tmin, NOT('09 App'!$I213="")),'09 App'!$I213,0)</f>
        <v>0</v>
      </c>
      <c r="AC213">
        <f>IF(AND('09 App'!E213&gt;Tmin, NOT('09 App'!$I213="")),'09 App'!$I213,0)</f>
        <v>0</v>
      </c>
      <c r="AD213">
        <f>IF(AND('09 App'!F213&gt;Tmin, NOT('09 App'!$I213="")),'09 App'!$I213,0)</f>
        <v>0</v>
      </c>
      <c r="AE213">
        <f>IF(AND('09 App'!C213&lt;Tmax, NOT('09 App'!$H213="")),'09 App'!$H213,4)</f>
        <v>4</v>
      </c>
      <c r="AF213">
        <f>IF(AND('09 App'!D213&lt;Tmax, NOT('09 App'!$H213="")),'09 App'!$H213,4)</f>
        <v>4</v>
      </c>
      <c r="AG213">
        <f>IF(AND('09 App'!E213&lt;Tmax, NOT('09 App'!$H213="")),'09 App'!$H213,4)</f>
        <v>4</v>
      </c>
      <c r="AH213">
        <f>IF(AND('09 App'!F213&lt;Tmax, NOT('09 App'!$H213="")),'09 App'!$H213,4)</f>
        <v>4</v>
      </c>
      <c r="AI213"/>
    </row>
    <row r="214" spans="1:35" s="648" customFormat="1" x14ac:dyDescent="0.2">
      <c r="A214" s="772"/>
      <c r="B214" s="661"/>
      <c r="C214" s="731"/>
      <c r="D214" s="731"/>
      <c r="E214" s="606"/>
      <c r="F214" s="606"/>
      <c r="G214" s="773"/>
      <c r="H214" s="773"/>
      <c r="I214" s="773"/>
      <c r="J214" s="773"/>
      <c r="K214" s="774"/>
      <c r="L214" s="775"/>
      <c r="M214" s="611"/>
      <c r="N214" s="611"/>
      <c r="O214" s="611"/>
      <c r="P214" s="611"/>
      <c r="Q214" s="611"/>
      <c r="R214" s="611"/>
      <c r="S214" s="611"/>
      <c r="T214" s="611"/>
      <c r="U214" s="611"/>
      <c r="V214" s="611"/>
      <c r="W214" s="611"/>
      <c r="X214" s="611"/>
      <c r="Y214" s="611"/>
      <c r="Z214" s="611"/>
      <c r="AA214"/>
      <c r="AB214"/>
      <c r="AC214"/>
      <c r="AD214"/>
      <c r="AE214"/>
      <c r="AF214"/>
      <c r="AG214"/>
      <c r="AH214"/>
      <c r="AI214"/>
    </row>
    <row r="215" spans="1:35" s="648" customFormat="1" ht="12.75" customHeight="1" x14ac:dyDescent="0.2">
      <c r="A215" s="612" t="str">
        <f>C$2</f>
        <v>R-V1</v>
      </c>
      <c r="B215" s="727" t="s">
        <v>7232</v>
      </c>
      <c r="C215" s="612" t="str">
        <f>C$2</f>
        <v>R-V1</v>
      </c>
      <c r="D215" s="612"/>
      <c r="E215" s="612"/>
      <c r="F215" s="612"/>
      <c r="G215" s="773"/>
      <c r="H215" s="773"/>
      <c r="I215" s="773"/>
      <c r="J215" s="773"/>
      <c r="K215" s="774"/>
      <c r="L215" s="775"/>
      <c r="M215" s="611"/>
      <c r="N215" s="611"/>
      <c r="O215" s="611"/>
      <c r="P215" s="611"/>
      <c r="Q215" s="611"/>
      <c r="R215" s="611"/>
      <c r="S215" s="611"/>
      <c r="T215" s="611"/>
      <c r="U215" s="611"/>
      <c r="V215" s="611"/>
      <c r="W215" s="611"/>
      <c r="X215" s="611"/>
      <c r="Y215" s="611"/>
      <c r="Z215" s="611"/>
      <c r="AA215"/>
      <c r="AB215"/>
      <c r="AC215"/>
      <c r="AD215"/>
      <c r="AE215"/>
      <c r="AF215"/>
      <c r="AG215"/>
      <c r="AH215"/>
      <c r="AI215"/>
    </row>
    <row r="216" spans="1:35" s="648" customFormat="1" ht="12.75" customHeight="1" x14ac:dyDescent="0.2">
      <c r="A216" s="612" t="str">
        <f>C$2</f>
        <v>R-V1</v>
      </c>
      <c r="B216" s="727" t="s">
        <v>7233</v>
      </c>
      <c r="C216" s="612" t="str">
        <f>C$2</f>
        <v>R-V1</v>
      </c>
      <c r="D216" s="612"/>
      <c r="E216" s="612"/>
      <c r="F216" s="612"/>
      <c r="G216" s="773"/>
      <c r="H216" s="773"/>
      <c r="I216" s="773"/>
      <c r="J216" s="773"/>
      <c r="K216" s="774"/>
      <c r="L216" s="775"/>
      <c r="M216" s="611"/>
      <c r="N216" s="611"/>
      <c r="O216" s="611"/>
      <c r="P216" s="611"/>
      <c r="Q216" s="611"/>
      <c r="R216" s="611"/>
      <c r="S216" s="611"/>
      <c r="T216" s="611"/>
      <c r="U216" s="611"/>
      <c r="V216" s="611"/>
      <c r="W216" s="611"/>
      <c r="X216" s="611"/>
      <c r="Y216" s="611"/>
      <c r="Z216" s="611"/>
      <c r="AA216"/>
      <c r="AB216"/>
      <c r="AC216"/>
      <c r="AD216"/>
      <c r="AE216"/>
      <c r="AF216"/>
      <c r="AG216"/>
      <c r="AH216"/>
      <c r="AI216"/>
    </row>
    <row r="217" spans="1:35" s="648" customFormat="1" ht="12.75" customHeight="1" x14ac:dyDescent="0.2">
      <c r="A217" s="612" t="str">
        <f>C$2</f>
        <v>R-V1</v>
      </c>
      <c r="B217" s="727" t="s">
        <v>7234</v>
      </c>
      <c r="C217" s="612" t="str">
        <f>C$2</f>
        <v>R-V1</v>
      </c>
      <c r="D217" s="612"/>
      <c r="E217" s="612"/>
      <c r="F217" s="612"/>
      <c r="G217" s="773"/>
      <c r="H217" s="773"/>
      <c r="I217" s="773"/>
      <c r="J217" s="773"/>
      <c r="K217" s="774"/>
      <c r="L217" s="775"/>
      <c r="M217" s="611"/>
      <c r="N217" s="611"/>
      <c r="O217" s="611"/>
      <c r="P217" s="611"/>
      <c r="Q217" s="611"/>
      <c r="R217" s="611"/>
      <c r="S217" s="611"/>
      <c r="T217" s="611"/>
      <c r="U217" s="611"/>
      <c r="V217" s="611"/>
      <c r="W217" s="611"/>
      <c r="X217" s="611"/>
      <c r="Y217" s="611"/>
      <c r="Z217" s="611"/>
      <c r="AA217"/>
      <c r="AB217"/>
      <c r="AC217"/>
      <c r="AD217"/>
      <c r="AE217"/>
      <c r="AF217"/>
      <c r="AG217"/>
      <c r="AH217"/>
      <c r="AI217"/>
    </row>
    <row r="218" spans="1:35" s="648" customFormat="1" ht="12.75" customHeight="1" x14ac:dyDescent="0.2">
      <c r="A218" s="612" t="str">
        <f>C$2</f>
        <v>R-V1</v>
      </c>
      <c r="B218" s="728" t="s">
        <v>7235</v>
      </c>
      <c r="C218" s="612" t="str">
        <f>C$2</f>
        <v>R-V1</v>
      </c>
      <c r="D218" s="612"/>
      <c r="E218" s="612"/>
      <c r="F218" s="612"/>
      <c r="G218" s="773"/>
      <c r="H218" s="773"/>
      <c r="I218" s="773"/>
      <c r="J218" s="773"/>
      <c r="K218" s="774"/>
      <c r="L218" s="775"/>
      <c r="M218" s="611"/>
      <c r="N218" s="611"/>
      <c r="O218" s="611"/>
      <c r="P218" s="611"/>
      <c r="Q218" s="611"/>
      <c r="R218" s="611"/>
      <c r="S218" s="611"/>
      <c r="T218" s="611"/>
      <c r="U218" s="611"/>
      <c r="V218" s="611"/>
      <c r="W218" s="611"/>
      <c r="X218" s="611"/>
      <c r="Y218" s="611"/>
      <c r="Z218" s="611"/>
      <c r="AA218"/>
      <c r="AB218"/>
      <c r="AC218"/>
      <c r="AD218"/>
      <c r="AE218"/>
      <c r="AF218"/>
      <c r="AG218"/>
      <c r="AH218"/>
      <c r="AI218"/>
    </row>
    <row r="219" spans="1:35" s="648" customFormat="1" ht="12.75" customHeight="1" x14ac:dyDescent="0.2">
      <c r="A219" s="612"/>
      <c r="B219" s="727"/>
      <c r="C219" s="612"/>
      <c r="D219" s="612"/>
      <c r="E219" s="612"/>
      <c r="F219" s="612"/>
      <c r="G219" s="773"/>
      <c r="H219" s="773"/>
      <c r="I219" s="773"/>
      <c r="J219" s="773"/>
      <c r="K219" s="774"/>
      <c r="L219" s="775"/>
      <c r="M219" s="611"/>
      <c r="N219" s="611"/>
      <c r="O219" s="611"/>
      <c r="P219" s="611"/>
      <c r="Q219" s="611"/>
      <c r="R219" s="611"/>
      <c r="S219" s="611"/>
      <c r="T219" s="611"/>
      <c r="U219" s="611"/>
      <c r="V219" s="611"/>
      <c r="W219" s="611"/>
      <c r="X219" s="611"/>
      <c r="Y219" s="611"/>
      <c r="Z219" s="611"/>
      <c r="AA219"/>
      <c r="AB219"/>
      <c r="AC219"/>
      <c r="AD219"/>
      <c r="AE219"/>
      <c r="AF219"/>
      <c r="AG219"/>
      <c r="AH219"/>
      <c r="AI219"/>
    </row>
    <row r="220" spans="1:35" s="648" customFormat="1" ht="12.75" customHeight="1" x14ac:dyDescent="0.2">
      <c r="A220" s="612" t="str">
        <f>D$2</f>
        <v>R-V2</v>
      </c>
      <c r="B220" s="727" t="s">
        <v>7232</v>
      </c>
      <c r="C220" s="612"/>
      <c r="D220" s="612" t="str">
        <f>D$2</f>
        <v>R-V2</v>
      </c>
      <c r="E220" s="612"/>
      <c r="F220" s="612"/>
      <c r="G220" s="773"/>
      <c r="H220" s="773"/>
      <c r="I220" s="773"/>
      <c r="J220" s="773"/>
      <c r="K220" s="774"/>
      <c r="L220" s="775"/>
      <c r="M220" s="611"/>
      <c r="N220" s="611"/>
      <c r="O220" s="611"/>
      <c r="P220" s="611"/>
      <c r="Q220" s="611"/>
      <c r="R220" s="611"/>
      <c r="S220" s="611"/>
      <c r="T220" s="611"/>
      <c r="U220" s="611"/>
      <c r="V220" s="611"/>
      <c r="W220" s="611"/>
      <c r="X220" s="611"/>
      <c r="Y220" s="611"/>
      <c r="Z220" s="611"/>
      <c r="AA220"/>
      <c r="AB220"/>
      <c r="AC220"/>
      <c r="AD220"/>
      <c r="AE220"/>
      <c r="AF220"/>
      <c r="AG220"/>
      <c r="AH220"/>
      <c r="AI220"/>
    </row>
    <row r="221" spans="1:35" s="648" customFormat="1" ht="12.75" customHeight="1" x14ac:dyDescent="0.2">
      <c r="A221" s="612" t="str">
        <f>D$2</f>
        <v>R-V2</v>
      </c>
      <c r="B221" s="727" t="s">
        <v>7233</v>
      </c>
      <c r="C221" s="612"/>
      <c r="D221" s="612" t="str">
        <f>D$2</f>
        <v>R-V2</v>
      </c>
      <c r="E221" s="612"/>
      <c r="F221" s="612"/>
      <c r="G221" s="773"/>
      <c r="H221" s="773"/>
      <c r="I221" s="773"/>
      <c r="J221" s="773"/>
      <c r="K221" s="774"/>
      <c r="L221" s="775"/>
      <c r="M221" s="611"/>
      <c r="N221" s="611"/>
      <c r="O221" s="611"/>
      <c r="P221" s="611"/>
      <c r="Q221" s="611"/>
      <c r="R221" s="611"/>
      <c r="S221" s="611"/>
      <c r="T221" s="611"/>
      <c r="U221" s="611"/>
      <c r="V221" s="611"/>
      <c r="W221" s="611"/>
      <c r="X221" s="611"/>
      <c r="Y221" s="611"/>
      <c r="Z221" s="611"/>
      <c r="AA221"/>
      <c r="AB221"/>
      <c r="AC221"/>
      <c r="AD221"/>
      <c r="AE221"/>
      <c r="AF221"/>
      <c r="AG221"/>
      <c r="AH221"/>
      <c r="AI221"/>
    </row>
    <row r="222" spans="1:35" s="648" customFormat="1" ht="12.75" customHeight="1" x14ac:dyDescent="0.2">
      <c r="A222" s="612" t="str">
        <f>D$2</f>
        <v>R-V2</v>
      </c>
      <c r="B222" s="727" t="s">
        <v>7234</v>
      </c>
      <c r="C222" s="612"/>
      <c r="D222" s="612" t="str">
        <f>D$2</f>
        <v>R-V2</v>
      </c>
      <c r="E222" s="612"/>
      <c r="F222" s="612"/>
      <c r="G222" s="773"/>
      <c r="H222" s="773"/>
      <c r="I222" s="773"/>
      <c r="J222" s="773"/>
      <c r="K222" s="774"/>
      <c r="L222" s="775"/>
      <c r="M222" s="611"/>
      <c r="N222" s="611"/>
      <c r="O222" s="611"/>
      <c r="P222" s="611"/>
      <c r="Q222" s="611"/>
      <c r="R222" s="611"/>
      <c r="S222" s="611"/>
      <c r="T222" s="611"/>
      <c r="U222" s="611"/>
      <c r="V222" s="611"/>
      <c r="W222" s="611"/>
      <c r="X222" s="611"/>
      <c r="Y222" s="611"/>
      <c r="Z222" s="611"/>
      <c r="AA222"/>
      <c r="AB222"/>
      <c r="AC222"/>
      <c r="AD222"/>
      <c r="AE222"/>
      <c r="AF222"/>
      <c r="AG222"/>
      <c r="AH222"/>
      <c r="AI222"/>
    </row>
    <row r="223" spans="1:35" s="648" customFormat="1" ht="12.75" customHeight="1" x14ac:dyDescent="0.2">
      <c r="A223" s="612" t="str">
        <f>D$2</f>
        <v>R-V2</v>
      </c>
      <c r="B223" s="727" t="s">
        <v>7235</v>
      </c>
      <c r="C223" s="612"/>
      <c r="D223" s="612" t="str">
        <f>D$2</f>
        <v>R-V2</v>
      </c>
      <c r="E223" s="612"/>
      <c r="F223" s="612"/>
      <c r="G223" s="773"/>
      <c r="H223" s="773"/>
      <c r="I223" s="773"/>
      <c r="J223" s="773"/>
      <c r="K223" s="774"/>
      <c r="L223" s="775"/>
      <c r="M223" s="611"/>
      <c r="N223" s="611"/>
      <c r="O223" s="611"/>
      <c r="P223" s="611"/>
      <c r="Q223" s="611"/>
      <c r="R223" s="611"/>
      <c r="S223" s="611"/>
      <c r="T223" s="611"/>
      <c r="U223" s="611"/>
      <c r="V223" s="611"/>
      <c r="W223" s="611"/>
      <c r="X223" s="611"/>
      <c r="Y223" s="611"/>
      <c r="Z223" s="611"/>
      <c r="AA223"/>
      <c r="AB223"/>
      <c r="AC223"/>
      <c r="AD223"/>
      <c r="AE223"/>
      <c r="AF223"/>
      <c r="AG223"/>
      <c r="AH223"/>
      <c r="AI223"/>
    </row>
    <row r="224" spans="1:35" s="648" customFormat="1" ht="12.75" customHeight="1" x14ac:dyDescent="0.2">
      <c r="A224" s="612"/>
      <c r="B224" s="727"/>
      <c r="C224" s="612"/>
      <c r="D224" s="612"/>
      <c r="E224" s="612"/>
      <c r="F224" s="612"/>
      <c r="G224" s="773"/>
      <c r="H224" s="773"/>
      <c r="I224" s="773"/>
      <c r="J224" s="773"/>
      <c r="K224" s="774"/>
      <c r="L224" s="775"/>
      <c r="M224" s="611"/>
      <c r="N224" s="611"/>
      <c r="O224" s="611"/>
      <c r="P224" s="611"/>
      <c r="Q224" s="611"/>
      <c r="R224" s="611"/>
      <c r="S224" s="611"/>
      <c r="T224" s="611"/>
      <c r="U224" s="611"/>
      <c r="V224" s="611"/>
      <c r="W224" s="611"/>
      <c r="X224" s="611"/>
      <c r="Y224" s="611"/>
      <c r="Z224" s="611"/>
      <c r="AA224"/>
      <c r="AB224"/>
      <c r="AC224"/>
      <c r="AD224"/>
      <c r="AE224"/>
      <c r="AF224"/>
      <c r="AG224"/>
      <c r="AH224"/>
      <c r="AI224"/>
    </row>
    <row r="225" spans="1:35" s="648" customFormat="1" ht="12.75" customHeight="1" x14ac:dyDescent="0.2">
      <c r="A225" s="612" t="str">
        <f>E$2</f>
        <v>R-V3</v>
      </c>
      <c r="B225" s="727" t="s">
        <v>7232</v>
      </c>
      <c r="C225" s="612"/>
      <c r="D225" s="612"/>
      <c r="E225" s="612" t="str">
        <f>E$2</f>
        <v>R-V3</v>
      </c>
      <c r="F225" s="612"/>
      <c r="G225" s="773"/>
      <c r="H225" s="773"/>
      <c r="I225" s="773"/>
      <c r="J225" s="773"/>
      <c r="K225" s="774"/>
      <c r="L225" s="775"/>
      <c r="M225" s="611"/>
      <c r="N225" s="611"/>
      <c r="O225" s="611"/>
      <c r="P225" s="611"/>
      <c r="Q225" s="611"/>
      <c r="R225" s="611"/>
      <c r="S225" s="611"/>
      <c r="T225" s="611"/>
      <c r="U225" s="611"/>
      <c r="V225" s="611"/>
      <c r="W225" s="611"/>
      <c r="X225" s="611"/>
      <c r="Y225" s="611"/>
      <c r="Z225" s="611"/>
      <c r="AA225"/>
      <c r="AB225"/>
      <c r="AC225"/>
      <c r="AD225"/>
      <c r="AE225"/>
      <c r="AF225"/>
      <c r="AG225"/>
      <c r="AH225"/>
      <c r="AI225"/>
    </row>
    <row r="226" spans="1:35" s="648" customFormat="1" ht="12.75" customHeight="1" x14ac:dyDescent="0.2">
      <c r="A226" s="612" t="str">
        <f>E$2</f>
        <v>R-V3</v>
      </c>
      <c r="B226" s="727" t="s">
        <v>7233</v>
      </c>
      <c r="C226" s="612"/>
      <c r="D226" s="612"/>
      <c r="E226" s="612" t="str">
        <f>E$2</f>
        <v>R-V3</v>
      </c>
      <c r="F226" s="612"/>
      <c r="G226" s="773"/>
      <c r="H226" s="773"/>
      <c r="I226" s="773"/>
      <c r="J226" s="773"/>
      <c r="K226" s="774"/>
      <c r="L226" s="775"/>
      <c r="M226" s="611"/>
      <c r="N226" s="611"/>
      <c r="O226" s="611"/>
      <c r="P226" s="611"/>
      <c r="Q226" s="611"/>
      <c r="R226" s="611"/>
      <c r="S226" s="611"/>
      <c r="T226" s="611"/>
      <c r="U226" s="611"/>
      <c r="V226" s="611"/>
      <c r="W226" s="611"/>
      <c r="X226" s="611"/>
      <c r="Y226" s="611"/>
      <c r="Z226" s="611"/>
      <c r="AA226"/>
      <c r="AB226"/>
      <c r="AC226"/>
      <c r="AD226"/>
      <c r="AE226"/>
      <c r="AF226"/>
      <c r="AG226"/>
      <c r="AH226"/>
      <c r="AI226"/>
    </row>
    <row r="227" spans="1:35" s="648" customFormat="1" ht="12.75" customHeight="1" x14ac:dyDescent="0.2">
      <c r="A227" s="612" t="str">
        <f>E$2</f>
        <v>R-V3</v>
      </c>
      <c r="B227" s="727" t="s">
        <v>7234</v>
      </c>
      <c r="C227" s="612"/>
      <c r="D227" s="612"/>
      <c r="E227" s="612" t="str">
        <f>E$2</f>
        <v>R-V3</v>
      </c>
      <c r="F227" s="612"/>
      <c r="G227" s="773"/>
      <c r="H227" s="773"/>
      <c r="I227" s="773"/>
      <c r="J227" s="773"/>
      <c r="K227" s="774"/>
      <c r="L227" s="775"/>
      <c r="M227" s="611"/>
      <c r="N227" s="611"/>
      <c r="O227" s="611"/>
      <c r="P227" s="611"/>
      <c r="Q227" s="611"/>
      <c r="R227" s="611"/>
      <c r="S227" s="611"/>
      <c r="T227" s="611"/>
      <c r="U227" s="611"/>
      <c r="V227" s="611"/>
      <c r="W227" s="611"/>
      <c r="X227" s="611"/>
      <c r="Y227" s="611"/>
      <c r="Z227" s="611"/>
      <c r="AA227"/>
      <c r="AB227"/>
      <c r="AC227"/>
      <c r="AD227"/>
      <c r="AE227"/>
      <c r="AF227"/>
      <c r="AG227"/>
      <c r="AH227"/>
      <c r="AI227"/>
    </row>
    <row r="228" spans="1:35" s="648" customFormat="1" ht="12.75" customHeight="1" x14ac:dyDescent="0.2">
      <c r="A228" s="612" t="str">
        <f>E$2</f>
        <v>R-V3</v>
      </c>
      <c r="B228" s="727" t="s">
        <v>7235</v>
      </c>
      <c r="C228" s="612"/>
      <c r="D228" s="612"/>
      <c r="E228" s="612" t="str">
        <f>E$2</f>
        <v>R-V3</v>
      </c>
      <c r="F228" s="612"/>
      <c r="G228" s="773"/>
      <c r="H228" s="773"/>
      <c r="I228" s="773"/>
      <c r="J228" s="773"/>
      <c r="K228" s="774"/>
      <c r="L228" s="775"/>
      <c r="M228" s="611"/>
      <c r="N228" s="611"/>
      <c r="O228" s="611"/>
      <c r="P228" s="611"/>
      <c r="Q228" s="611"/>
      <c r="R228" s="611"/>
      <c r="S228" s="611"/>
      <c r="T228" s="611"/>
      <c r="U228" s="611"/>
      <c r="V228" s="611"/>
      <c r="W228" s="611"/>
      <c r="X228" s="611"/>
      <c r="Y228" s="611"/>
      <c r="Z228" s="611"/>
      <c r="AA228"/>
      <c r="AB228"/>
      <c r="AC228"/>
      <c r="AD228"/>
      <c r="AE228"/>
      <c r="AF228"/>
      <c r="AG228"/>
      <c r="AH228"/>
      <c r="AI228"/>
    </row>
    <row r="229" spans="1:35" s="648" customFormat="1" ht="12.75" customHeight="1" x14ac:dyDescent="0.2">
      <c r="A229" s="612"/>
      <c r="B229" s="727"/>
      <c r="C229" s="612"/>
      <c r="D229" s="612"/>
      <c r="E229" s="612"/>
      <c r="F229" s="612"/>
      <c r="G229" s="773"/>
      <c r="H229" s="773"/>
      <c r="I229" s="773"/>
      <c r="J229" s="773"/>
      <c r="K229" s="774"/>
      <c r="L229" s="775"/>
      <c r="M229" s="611"/>
      <c r="N229" s="611"/>
      <c r="O229" s="611"/>
      <c r="P229" s="611"/>
      <c r="Q229" s="611"/>
      <c r="R229" s="611"/>
      <c r="S229" s="611"/>
      <c r="T229" s="611"/>
      <c r="U229" s="611"/>
      <c r="V229" s="611"/>
      <c r="W229" s="611"/>
      <c r="X229" s="611"/>
      <c r="Y229" s="611"/>
      <c r="Z229" s="611"/>
      <c r="AA229"/>
      <c r="AB229"/>
      <c r="AC229"/>
      <c r="AD229"/>
      <c r="AE229"/>
      <c r="AF229"/>
      <c r="AG229"/>
      <c r="AH229"/>
      <c r="AI229"/>
    </row>
    <row r="230" spans="1:35" s="648" customFormat="1" ht="12.75" customHeight="1" x14ac:dyDescent="0.2">
      <c r="A230" s="612" t="str">
        <f>F$2</f>
        <v>R-V4</v>
      </c>
      <c r="B230" s="727" t="s">
        <v>7232</v>
      </c>
      <c r="C230" s="612"/>
      <c r="D230" s="612"/>
      <c r="E230" s="612"/>
      <c r="F230" s="612" t="str">
        <f>F$2</f>
        <v>R-V4</v>
      </c>
      <c r="G230" s="773"/>
      <c r="H230" s="773"/>
      <c r="I230" s="773"/>
      <c r="J230" s="659"/>
      <c r="K230" s="774"/>
      <c r="L230" s="775"/>
      <c r="M230" s="611"/>
      <c r="N230" s="611"/>
      <c r="O230" s="611"/>
      <c r="P230" s="611"/>
      <c r="Q230" s="611"/>
      <c r="R230" s="611"/>
      <c r="S230" s="611"/>
      <c r="T230" s="611"/>
      <c r="U230" s="611"/>
      <c r="V230" s="611"/>
      <c r="W230" s="611"/>
      <c r="X230" s="611"/>
      <c r="Y230" s="611"/>
      <c r="Z230" s="611"/>
      <c r="AA230"/>
      <c r="AB230"/>
      <c r="AC230"/>
      <c r="AD230"/>
      <c r="AE230"/>
      <c r="AF230"/>
      <c r="AG230"/>
      <c r="AH230"/>
      <c r="AI230"/>
    </row>
    <row r="231" spans="1:35" ht="12.75" customHeight="1" x14ac:dyDescent="0.2">
      <c r="A231" s="612" t="str">
        <f>F$2</f>
        <v>R-V4</v>
      </c>
      <c r="B231" s="727" t="s">
        <v>7233</v>
      </c>
      <c r="C231" s="612"/>
      <c r="D231" s="612"/>
      <c r="E231" s="612"/>
      <c r="F231" s="612" t="str">
        <f>F$2</f>
        <v>R-V4</v>
      </c>
      <c r="G231" s="661"/>
      <c r="H231" s="661"/>
      <c r="I231" s="661"/>
      <c r="J231" s="661"/>
      <c r="AA231"/>
      <c r="AB231"/>
      <c r="AC231"/>
      <c r="AD231"/>
      <c r="AE231"/>
      <c r="AF231"/>
      <c r="AG231"/>
      <c r="AH231"/>
      <c r="AI231"/>
    </row>
    <row r="232" spans="1:35" ht="12.75" customHeight="1" x14ac:dyDescent="0.2">
      <c r="A232" s="612" t="str">
        <f>F$2</f>
        <v>R-V4</v>
      </c>
      <c r="B232" s="727" t="s">
        <v>7234</v>
      </c>
      <c r="C232" s="612"/>
      <c r="D232" s="612"/>
      <c r="E232" s="612"/>
      <c r="F232" s="612" t="str">
        <f>F$2</f>
        <v>R-V4</v>
      </c>
      <c r="AA232"/>
      <c r="AB232"/>
      <c r="AC232"/>
      <c r="AD232"/>
      <c r="AE232"/>
      <c r="AF232"/>
      <c r="AG232"/>
      <c r="AH232"/>
      <c r="AI232"/>
    </row>
    <row r="233" spans="1:35" ht="12.75" customHeight="1" x14ac:dyDescent="0.2">
      <c r="A233" s="612" t="str">
        <f>F$2</f>
        <v>R-V4</v>
      </c>
      <c r="B233" s="727" t="s">
        <v>7235</v>
      </c>
      <c r="C233" s="612"/>
      <c r="D233" s="612"/>
      <c r="E233" s="612"/>
      <c r="F233" s="612" t="str">
        <f>F$2</f>
        <v>R-V4</v>
      </c>
      <c r="AA233"/>
      <c r="AB233"/>
      <c r="AC233"/>
      <c r="AD233"/>
      <c r="AE233"/>
      <c r="AF233"/>
      <c r="AG233"/>
      <c r="AH233"/>
      <c r="AI233"/>
    </row>
    <row r="234" spans="1:35" x14ac:dyDescent="0.2">
      <c r="C234" s="722"/>
      <c r="D234" s="722"/>
      <c r="AA234"/>
      <c r="AB234"/>
      <c r="AC234"/>
      <c r="AD234"/>
      <c r="AE234"/>
      <c r="AF234"/>
      <c r="AG234"/>
      <c r="AH234"/>
      <c r="AI234"/>
    </row>
    <row r="235" spans="1:35" x14ac:dyDescent="0.2">
      <c r="C235" s="722"/>
      <c r="D235" s="722"/>
      <c r="AA235"/>
      <c r="AB235"/>
      <c r="AC235"/>
      <c r="AD235"/>
      <c r="AE235"/>
      <c r="AF235"/>
      <c r="AG235"/>
      <c r="AH235"/>
      <c r="AI235"/>
    </row>
    <row r="236" spans="1:35" x14ac:dyDescent="0.2">
      <c r="C236" s="722"/>
      <c r="D236" s="722"/>
      <c r="AA236"/>
      <c r="AB236"/>
      <c r="AC236"/>
      <c r="AD236"/>
      <c r="AE236"/>
      <c r="AF236"/>
      <c r="AG236"/>
      <c r="AH236"/>
      <c r="AI236"/>
    </row>
    <row r="237" spans="1:35" x14ac:dyDescent="0.2">
      <c r="C237" s="722"/>
      <c r="D237" s="722"/>
      <c r="AA237"/>
      <c r="AB237"/>
      <c r="AC237"/>
      <c r="AD237"/>
      <c r="AE237"/>
      <c r="AF237"/>
      <c r="AG237"/>
      <c r="AH237"/>
      <c r="AI237"/>
    </row>
    <row r="238" spans="1:35" x14ac:dyDescent="0.2">
      <c r="C238" s="722"/>
      <c r="D238" s="722"/>
      <c r="AA238"/>
      <c r="AB238"/>
      <c r="AC238"/>
      <c r="AD238"/>
      <c r="AE238"/>
      <c r="AF238"/>
      <c r="AG238"/>
      <c r="AH238"/>
      <c r="AI238"/>
    </row>
    <row r="239" spans="1:35" x14ac:dyDescent="0.2">
      <c r="C239" s="722"/>
      <c r="D239" s="722"/>
      <c r="AA239"/>
      <c r="AB239"/>
      <c r="AC239"/>
      <c r="AD239"/>
      <c r="AE239"/>
      <c r="AF239"/>
      <c r="AG239"/>
      <c r="AH239"/>
      <c r="AI239"/>
    </row>
    <row r="240" spans="1:35" x14ac:dyDescent="0.2">
      <c r="C240" s="722"/>
      <c r="D240" s="722"/>
      <c r="AA240"/>
      <c r="AB240"/>
      <c r="AC240"/>
      <c r="AD240"/>
      <c r="AE240"/>
      <c r="AF240"/>
      <c r="AG240"/>
      <c r="AH240"/>
      <c r="AI240"/>
    </row>
    <row r="241" spans="3:35" x14ac:dyDescent="0.2">
      <c r="C241" s="722"/>
      <c r="D241" s="722"/>
      <c r="AA241"/>
      <c r="AB241"/>
      <c r="AC241"/>
      <c r="AD241"/>
      <c r="AE241"/>
      <c r="AF241"/>
      <c r="AG241"/>
      <c r="AH241"/>
      <c r="AI241"/>
    </row>
    <row r="242" spans="3:35" x14ac:dyDescent="0.2">
      <c r="C242" s="722"/>
      <c r="D242" s="722"/>
      <c r="AA242"/>
      <c r="AB242"/>
      <c r="AC242"/>
      <c r="AD242"/>
      <c r="AE242"/>
      <c r="AF242"/>
      <c r="AG242"/>
      <c r="AH242"/>
      <c r="AI242"/>
    </row>
    <row r="243" spans="3:35" x14ac:dyDescent="0.2">
      <c r="C243" s="722"/>
      <c r="D243" s="722"/>
      <c r="AA243"/>
      <c r="AB243"/>
      <c r="AC243"/>
      <c r="AD243"/>
      <c r="AE243"/>
      <c r="AF243"/>
      <c r="AG243"/>
      <c r="AH243"/>
      <c r="AI243"/>
    </row>
    <row r="244" spans="3:35" x14ac:dyDescent="0.2">
      <c r="C244" s="722"/>
      <c r="D244" s="722"/>
      <c r="AA244"/>
      <c r="AB244"/>
      <c r="AC244"/>
      <c r="AD244"/>
      <c r="AE244"/>
      <c r="AF244"/>
      <c r="AG244"/>
      <c r="AH244"/>
      <c r="AI244"/>
    </row>
    <row r="245" spans="3:35" x14ac:dyDescent="0.2">
      <c r="C245" s="722"/>
      <c r="D245" s="722"/>
      <c r="AA245"/>
      <c r="AB245"/>
      <c r="AC245"/>
      <c r="AD245"/>
      <c r="AE245"/>
      <c r="AF245"/>
      <c r="AG245"/>
      <c r="AH245"/>
      <c r="AI245"/>
    </row>
    <row r="246" spans="3:35" x14ac:dyDescent="0.2">
      <c r="C246" s="722"/>
      <c r="D246" s="722"/>
      <c r="AA246"/>
      <c r="AB246"/>
      <c r="AC246"/>
      <c r="AD246"/>
      <c r="AE246"/>
      <c r="AF246"/>
      <c r="AG246"/>
      <c r="AH246"/>
      <c r="AI246"/>
    </row>
    <row r="247" spans="3:35" x14ac:dyDescent="0.2">
      <c r="C247" s="722"/>
      <c r="D247" s="722"/>
      <c r="AA247"/>
      <c r="AB247"/>
      <c r="AC247"/>
      <c r="AD247"/>
      <c r="AE247"/>
      <c r="AF247"/>
      <c r="AG247"/>
      <c r="AH247"/>
      <c r="AI247"/>
    </row>
    <row r="248" spans="3:35" x14ac:dyDescent="0.2">
      <c r="C248" s="722"/>
      <c r="D248" s="722"/>
      <c r="AA248"/>
      <c r="AB248"/>
      <c r="AC248"/>
      <c r="AD248"/>
      <c r="AE248"/>
      <c r="AF248"/>
      <c r="AG248"/>
      <c r="AH248"/>
      <c r="AI248"/>
    </row>
    <row r="249" spans="3:35" x14ac:dyDescent="0.2">
      <c r="AA249"/>
      <c r="AB249"/>
      <c r="AC249"/>
      <c r="AD249"/>
      <c r="AE249"/>
      <c r="AF249"/>
      <c r="AG249"/>
      <c r="AH249"/>
      <c r="AI249"/>
    </row>
    <row r="250" spans="3:35" x14ac:dyDescent="0.2">
      <c r="AA250"/>
      <c r="AB250"/>
      <c r="AC250"/>
      <c r="AD250"/>
      <c r="AE250"/>
      <c r="AF250"/>
      <c r="AG250"/>
      <c r="AH250"/>
      <c r="AI250"/>
    </row>
    <row r="251" spans="3:35" x14ac:dyDescent="0.2">
      <c r="AA251"/>
      <c r="AB251"/>
      <c r="AC251"/>
      <c r="AD251"/>
      <c r="AE251"/>
      <c r="AF251"/>
      <c r="AG251"/>
      <c r="AH251"/>
      <c r="AI251"/>
    </row>
    <row r="252" spans="3:35" x14ac:dyDescent="0.2">
      <c r="AA252"/>
      <c r="AB252"/>
      <c r="AC252"/>
      <c r="AD252"/>
      <c r="AE252"/>
      <c r="AF252"/>
      <c r="AG252"/>
      <c r="AH252"/>
      <c r="AI252"/>
    </row>
    <row r="253" spans="3:35" x14ac:dyDescent="0.2">
      <c r="AA253"/>
      <c r="AB253"/>
      <c r="AC253"/>
      <c r="AD253"/>
      <c r="AE253"/>
      <c r="AF253"/>
      <c r="AG253"/>
      <c r="AH253"/>
      <c r="AI253"/>
    </row>
    <row r="254" spans="3:35" x14ac:dyDescent="0.2">
      <c r="AA254"/>
      <c r="AB254"/>
      <c r="AC254"/>
      <c r="AD254"/>
      <c r="AE254"/>
      <c r="AF254"/>
      <c r="AG254"/>
      <c r="AH254"/>
      <c r="AI254"/>
    </row>
    <row r="255" spans="3:35" x14ac:dyDescent="0.2">
      <c r="AA255"/>
      <c r="AB255"/>
      <c r="AC255"/>
      <c r="AD255"/>
      <c r="AE255"/>
      <c r="AF255"/>
      <c r="AG255"/>
      <c r="AH255"/>
      <c r="AI255"/>
    </row>
    <row r="256" spans="3: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A5:B12 A14:B21 A23:B32 A34:B43 A45:B53 A55:B62 A64:B71 A73:B81 A83:B87 A89:B94 A96:B101 A103:B110 A112:B114 A116:B119 A121:B126 A128:B132 A134:B143 A145:B150 A152:B159 A161:B167 A169:B175 A177:B187">
    <cfRule type="expression" dxfId="149" priority="9" stopIfTrue="1">
      <formula>AND(NOT($K5=""),$K$1=1)</formula>
    </cfRule>
  </conditionalFormatting>
  <conditionalFormatting sqref="C5:M213">
    <cfRule type="expression" dxfId="148" priority="7">
      <formula>AND(NOT($K5=""),$K$1=1)</formula>
    </cfRule>
  </conditionalFormatting>
  <conditionalFormatting sqref="C5:C213">
    <cfRule type="expression" dxfId="147" priority="6">
      <formula>AND(NOT($K5=""),$K$1=1)</formula>
    </cfRule>
  </conditionalFormatting>
  <conditionalFormatting sqref="C5:C213">
    <cfRule type="expression" dxfId="146" priority="5">
      <formula>AND(NOT($K5=""),$K$1=1)</formula>
    </cfRule>
  </conditionalFormatting>
  <conditionalFormatting sqref="C5:C213">
    <cfRule type="expression" dxfId="145" priority="4">
      <formula>AND(NOT($K5=""),$K$1=1)</formula>
    </cfRule>
  </conditionalFormatting>
  <conditionalFormatting sqref="C5:C213">
    <cfRule type="expression" dxfId="144" priority="3" stopIfTrue="1">
      <formula>AND(NOT($K5=""),$K$1=1)</formula>
    </cfRule>
  </conditionalFormatting>
  <conditionalFormatting sqref="C4:C213">
    <cfRule type="expression" dxfId="143" priority="2" stopIfTrue="1">
      <formula>AND(NOT($K4=""),$K$1=1)</formula>
    </cfRule>
  </conditionalFormatting>
  <conditionalFormatting sqref="A188:A213">
    <cfRule type="expression" dxfId="142" priority="1">
      <formula>AND(NOT($K188=""),$K$1=1)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tabColor indexed="47"/>
  </sheetPr>
  <dimension ref="A1:IU400"/>
  <sheetViews>
    <sheetView workbookViewId="0">
      <pane xSplit="12" ySplit="2" topLeftCell="M3" activePane="bottomRight" state="frozen"/>
      <selection activeCell="I304" sqref="I304"/>
      <selection pane="topRight" activeCell="I304" sqref="I304"/>
      <selection pane="bottomLeft" activeCell="I304" sqref="I304"/>
      <selection pane="bottomRight" sqref="A1:B1"/>
    </sheetView>
  </sheetViews>
  <sheetFormatPr baseColWidth="10" defaultColWidth="11.28515625" defaultRowHeight="12.75" outlineLevelRow="2" outlineLevelCol="1" x14ac:dyDescent="0.2"/>
  <cols>
    <col min="1" max="1" width="10" style="720" customWidth="1"/>
    <col min="2" max="2" width="88.140625" style="721" customWidth="1"/>
    <col min="3" max="3" width="4.42578125" style="573" bestFit="1" customWidth="1"/>
    <col min="4" max="4" width="4.7109375" style="573" customWidth="1"/>
    <col min="5" max="6" width="5.140625" style="573" bestFit="1" customWidth="1"/>
    <col min="7" max="8" width="4.140625" style="732" customWidth="1" outlineLevel="1"/>
    <col min="9" max="10" width="4.140625" style="733" customWidth="1" outlineLevel="1"/>
    <col min="11" max="11" width="13.140625" style="734" customWidth="1" outlineLevel="1"/>
    <col min="12" max="12" width="12" style="711" customWidth="1"/>
    <col min="13" max="13" width="19.28515625" style="168" customWidth="1"/>
    <col min="14" max="25" width="11.28515625" style="168"/>
    <col min="26" max="26" width="12.85546875" style="168" customWidth="1"/>
    <col min="27" max="34" width="12.85546875" style="169" hidden="1" customWidth="1"/>
    <col min="35" max="35" width="12.85546875" style="169" customWidth="1"/>
    <col min="36" max="16384" width="11.28515625" style="169"/>
  </cols>
  <sheetData>
    <row r="1" spans="1:35" ht="21" customHeight="1" x14ac:dyDescent="0.2">
      <c r="A1" s="1974" t="s">
        <v>6181</v>
      </c>
      <c r="B1" s="1974"/>
      <c r="C1" s="694">
        <v>1</v>
      </c>
      <c r="D1" s="1975" t="str">
        <f>"variante"&amp;IF(C1&gt;1,"s","")</f>
        <v>variante</v>
      </c>
      <c r="E1" s="1976"/>
      <c r="F1" s="694"/>
      <c r="G1" s="695"/>
      <c r="H1" s="695"/>
      <c r="I1" s="695"/>
      <c r="J1" s="695"/>
      <c r="K1" s="696">
        <f>'ISO 27002'!F2</f>
        <v>0</v>
      </c>
      <c r="L1" s="697"/>
      <c r="M1" s="581"/>
    </row>
    <row r="2" spans="1:35" s="648" customFormat="1" x14ac:dyDescent="0.2">
      <c r="A2" s="545" t="s">
        <v>3585</v>
      </c>
      <c r="B2" s="546" t="s">
        <v>3675</v>
      </c>
      <c r="C2" s="587" t="s">
        <v>3676</v>
      </c>
      <c r="D2" s="586" t="s">
        <v>3677</v>
      </c>
      <c r="E2" s="698" t="s">
        <v>3678</v>
      </c>
      <c r="F2" s="698" t="s">
        <v>3679</v>
      </c>
      <c r="G2" s="699" t="s">
        <v>1428</v>
      </c>
      <c r="H2" s="699" t="s">
        <v>3680</v>
      </c>
      <c r="I2" s="699" t="s">
        <v>2054</v>
      </c>
      <c r="J2" s="699" t="s">
        <v>3681</v>
      </c>
      <c r="K2" s="699">
        <v>2013</v>
      </c>
      <c r="L2" s="699">
        <v>2005</v>
      </c>
      <c r="M2" s="699" t="s">
        <v>3682</v>
      </c>
      <c r="N2" s="611"/>
      <c r="O2" s="611"/>
      <c r="P2" s="611"/>
      <c r="Q2" s="611"/>
      <c r="R2" s="611"/>
      <c r="S2" s="611"/>
      <c r="T2" s="611"/>
      <c r="U2" s="611"/>
      <c r="V2" s="611"/>
      <c r="W2" s="611"/>
      <c r="X2" s="611"/>
      <c r="Y2" s="611"/>
      <c r="Z2" s="611"/>
    </row>
    <row r="3" spans="1:35" ht="59.25" customHeight="1" x14ac:dyDescent="0.2">
      <c r="A3" s="1973" t="s">
        <v>4435</v>
      </c>
      <c r="B3" s="1973"/>
      <c r="C3" s="700"/>
      <c r="D3" s="1155"/>
      <c r="E3" s="1156"/>
      <c r="F3" s="702"/>
      <c r="G3" s="1506"/>
      <c r="H3" s="1506"/>
      <c r="I3" s="1506"/>
      <c r="J3" s="1506"/>
      <c r="K3" s="1488"/>
      <c r="L3" s="1488"/>
      <c r="M3" s="703"/>
    </row>
    <row r="4" spans="1:35" x14ac:dyDescent="0.2">
      <c r="A4" s="550" t="s">
        <v>4436</v>
      </c>
      <c r="B4" s="550" t="s">
        <v>5076</v>
      </c>
      <c r="C4" s="700"/>
      <c r="D4" s="1155"/>
      <c r="E4" s="1156"/>
      <c r="F4" s="702"/>
      <c r="G4" s="1507"/>
      <c r="H4" s="1507"/>
      <c r="I4" s="1507"/>
      <c r="J4" s="1507"/>
      <c r="K4" s="1488"/>
      <c r="L4" s="1488"/>
      <c r="M4" s="703"/>
      <c r="AA4"/>
      <c r="AB4"/>
      <c r="AC4"/>
      <c r="AD4"/>
      <c r="AE4"/>
      <c r="AF4"/>
      <c r="AG4"/>
      <c r="AH4"/>
      <c r="AI4"/>
    </row>
    <row r="5" spans="1:35" outlineLevel="1" x14ac:dyDescent="0.2">
      <c r="A5" s="553" t="s">
        <v>2223</v>
      </c>
      <c r="B5" s="704" t="s">
        <v>5906</v>
      </c>
      <c r="C5" s="700"/>
      <c r="D5" s="1155"/>
      <c r="E5" s="1156"/>
      <c r="F5" s="702"/>
      <c r="G5" s="1507"/>
      <c r="H5" s="1507"/>
      <c r="I5" s="1507"/>
      <c r="J5" s="1507"/>
      <c r="K5" s="1488"/>
      <c r="L5" s="1488"/>
      <c r="M5" s="703"/>
      <c r="AA5"/>
      <c r="AB5"/>
      <c r="AC5"/>
      <c r="AD5"/>
      <c r="AE5"/>
      <c r="AF5"/>
      <c r="AG5"/>
      <c r="AH5"/>
      <c r="AI5"/>
    </row>
    <row r="6" spans="1:35" ht="79.5" customHeight="1" outlineLevel="2" x14ac:dyDescent="0.2">
      <c r="A6" s="636" t="s">
        <v>5907</v>
      </c>
      <c r="B6" s="636" t="s">
        <v>1691</v>
      </c>
      <c r="C6" s="705"/>
      <c r="D6" s="1155"/>
      <c r="E6" s="1156"/>
      <c r="F6" s="702"/>
      <c r="G6" s="1487">
        <v>4</v>
      </c>
      <c r="H6" s="1487"/>
      <c r="I6" s="1487"/>
      <c r="J6" s="1487" t="s">
        <v>4246</v>
      </c>
      <c r="K6" s="1458" t="s">
        <v>7144</v>
      </c>
      <c r="L6" s="1488" t="s">
        <v>5908</v>
      </c>
      <c r="M6" s="703"/>
      <c r="AA6">
        <f>IF(AND('10 Dev'!C6&gt;Tmin, NOT('10 Dev'!$I6="")),'10 Dev'!$I6,0)</f>
        <v>0</v>
      </c>
      <c r="AB6">
        <f>IF(AND('10 Dev'!D6&gt;Tmin, NOT('10 Dev'!$I6="")),'10 Dev'!$I6,0)</f>
        <v>0</v>
      </c>
      <c r="AC6">
        <f>IF(AND('10 Dev'!E6&gt;Tmin, NOT('10 Dev'!$I6="")),'10 Dev'!$I6,0)</f>
        <v>0</v>
      </c>
      <c r="AD6">
        <f>IF(AND('10 Dev'!F6&gt;Tmin, NOT('10 Dev'!$I6="")),'10 Dev'!$I6,0)</f>
        <v>0</v>
      </c>
      <c r="AE6">
        <f>IF(AND('10 Dev'!C6&lt;Tmax, NOT('10 Dev'!$H6="")),'10 Dev'!$H6,4)</f>
        <v>4</v>
      </c>
      <c r="AF6">
        <f>IF(AND('10 Dev'!D6&lt;Tmax, NOT('10 Dev'!$H6="")),'10 Dev'!$H6,4)</f>
        <v>4</v>
      </c>
      <c r="AG6">
        <f>IF(AND('10 Dev'!E6&lt;Tmax, NOT('10 Dev'!$H6="")),'10 Dev'!$H6,4)</f>
        <v>4</v>
      </c>
      <c r="AH6">
        <f>IF(AND('10 Dev'!F6&lt;Tmax, NOT('10 Dev'!$H6="")),'10 Dev'!$H6,4)</f>
        <v>4</v>
      </c>
      <c r="AI6"/>
    </row>
    <row r="7" spans="1:35" ht="33.75" outlineLevel="2" x14ac:dyDescent="0.2">
      <c r="A7" s="636" t="s">
        <v>5909</v>
      </c>
      <c r="B7" s="636" t="s">
        <v>3193</v>
      </c>
      <c r="C7" s="705"/>
      <c r="D7" s="1155"/>
      <c r="E7" s="1156"/>
      <c r="F7" s="702"/>
      <c r="G7" s="1487">
        <v>4</v>
      </c>
      <c r="H7" s="1487"/>
      <c r="I7" s="1487"/>
      <c r="J7" s="1487" t="s">
        <v>1592</v>
      </c>
      <c r="K7" s="1458" t="s">
        <v>7144</v>
      </c>
      <c r="L7" s="1488" t="s">
        <v>5908</v>
      </c>
      <c r="M7" s="703"/>
      <c r="AA7">
        <f>IF(AND('10 Dev'!C7&gt;Tmin, NOT('10 Dev'!$I7="")),'10 Dev'!$I7,0)</f>
        <v>0</v>
      </c>
      <c r="AB7">
        <f>IF(AND('10 Dev'!D7&gt;Tmin, NOT('10 Dev'!$I7="")),'10 Dev'!$I7,0)</f>
        <v>0</v>
      </c>
      <c r="AC7">
        <f>IF(AND('10 Dev'!E7&gt;Tmin, NOT('10 Dev'!$I7="")),'10 Dev'!$I7,0)</f>
        <v>0</v>
      </c>
      <c r="AD7">
        <f>IF(AND('10 Dev'!F7&gt;Tmin, NOT('10 Dev'!$I7="")),'10 Dev'!$I7,0)</f>
        <v>0</v>
      </c>
      <c r="AE7">
        <f>IF(AND('10 Dev'!C7&lt;Tmax, NOT('10 Dev'!$H7="")),'10 Dev'!$H7,4)</f>
        <v>4</v>
      </c>
      <c r="AF7">
        <f>IF(AND('10 Dev'!D7&lt;Tmax, NOT('10 Dev'!$H7="")),'10 Dev'!$H7,4)</f>
        <v>4</v>
      </c>
      <c r="AG7">
        <f>IF(AND('10 Dev'!E7&lt;Tmax, NOT('10 Dev'!$H7="")),'10 Dev'!$H7,4)</f>
        <v>4</v>
      </c>
      <c r="AH7">
        <f>IF(AND('10 Dev'!F7&lt;Tmax, NOT('10 Dev'!$H7="")),'10 Dev'!$H7,4)</f>
        <v>4</v>
      </c>
      <c r="AI7"/>
    </row>
    <row r="8" spans="1:35" ht="22.5" outlineLevel="2" x14ac:dyDescent="0.2">
      <c r="A8" s="636" t="s">
        <v>3194</v>
      </c>
      <c r="B8" s="636" t="s">
        <v>1692</v>
      </c>
      <c r="C8" s="705"/>
      <c r="D8" s="1155"/>
      <c r="E8" s="1156"/>
      <c r="F8" s="702"/>
      <c r="G8" s="1487">
        <v>4</v>
      </c>
      <c r="H8" s="1487">
        <v>2</v>
      </c>
      <c r="I8" s="1487"/>
      <c r="J8" s="1487" t="s">
        <v>4246</v>
      </c>
      <c r="K8" s="1458" t="s">
        <v>7144</v>
      </c>
      <c r="L8" s="1488" t="s">
        <v>5908</v>
      </c>
      <c r="M8" s="703"/>
      <c r="AA8">
        <f>IF(AND('10 Dev'!C8&gt;Tmin, NOT('10 Dev'!$I8="")),'10 Dev'!$I8,0)</f>
        <v>0</v>
      </c>
      <c r="AB8">
        <f>IF(AND('10 Dev'!D8&gt;Tmin, NOT('10 Dev'!$I8="")),'10 Dev'!$I8,0)</f>
        <v>0</v>
      </c>
      <c r="AC8">
        <f>IF(AND('10 Dev'!E8&gt;Tmin, NOT('10 Dev'!$I8="")),'10 Dev'!$I8,0)</f>
        <v>0</v>
      </c>
      <c r="AD8">
        <f>IF(AND('10 Dev'!F8&gt;Tmin, NOT('10 Dev'!$I8="")),'10 Dev'!$I8,0)</f>
        <v>0</v>
      </c>
      <c r="AE8">
        <f>IF(AND('10 Dev'!C8&lt;Tmax, NOT('10 Dev'!$H8="")),'10 Dev'!$H8,4)</f>
        <v>2</v>
      </c>
      <c r="AF8">
        <f>IF(AND('10 Dev'!D8&lt;Tmax, NOT('10 Dev'!$H8="")),'10 Dev'!$H8,4)</f>
        <v>2</v>
      </c>
      <c r="AG8">
        <f>IF(AND('10 Dev'!E8&lt;Tmax, NOT('10 Dev'!$H8="")),'10 Dev'!$H8,4)</f>
        <v>2</v>
      </c>
      <c r="AH8">
        <f>IF(AND('10 Dev'!F8&lt;Tmax, NOT('10 Dev'!$H8="")),'10 Dev'!$H8,4)</f>
        <v>2</v>
      </c>
      <c r="AI8"/>
    </row>
    <row r="9" spans="1:35" ht="22.5" outlineLevel="2" x14ac:dyDescent="0.2">
      <c r="A9" s="636" t="s">
        <v>3195</v>
      </c>
      <c r="B9" s="636" t="s">
        <v>2674</v>
      </c>
      <c r="C9" s="705"/>
      <c r="D9" s="1155"/>
      <c r="E9" s="1156"/>
      <c r="F9" s="702"/>
      <c r="G9" s="1487">
        <v>4</v>
      </c>
      <c r="H9" s="1487">
        <v>2</v>
      </c>
      <c r="I9" s="1487"/>
      <c r="J9" s="1487" t="s">
        <v>2329</v>
      </c>
      <c r="K9" s="1458" t="s">
        <v>3118</v>
      </c>
      <c r="L9" s="1488" t="s">
        <v>7396</v>
      </c>
      <c r="M9" s="703"/>
      <c r="AA9">
        <f>IF(AND('10 Dev'!C9&gt;Tmin, NOT('10 Dev'!$I9="")),'10 Dev'!$I9,0)</f>
        <v>0</v>
      </c>
      <c r="AB9">
        <f>IF(AND('10 Dev'!D9&gt;Tmin, NOT('10 Dev'!$I9="")),'10 Dev'!$I9,0)</f>
        <v>0</v>
      </c>
      <c r="AC9">
        <f>IF(AND('10 Dev'!E9&gt;Tmin, NOT('10 Dev'!$I9="")),'10 Dev'!$I9,0)</f>
        <v>0</v>
      </c>
      <c r="AD9">
        <f>IF(AND('10 Dev'!F9&gt;Tmin, NOT('10 Dev'!$I9="")),'10 Dev'!$I9,0)</f>
        <v>0</v>
      </c>
      <c r="AE9">
        <f>IF(AND('10 Dev'!C9&lt;Tmax, NOT('10 Dev'!$H9="")),'10 Dev'!$H9,4)</f>
        <v>2</v>
      </c>
      <c r="AF9">
        <f>IF(AND('10 Dev'!D9&lt;Tmax, NOT('10 Dev'!$H9="")),'10 Dev'!$H9,4)</f>
        <v>2</v>
      </c>
      <c r="AG9">
        <f>IF(AND('10 Dev'!E9&lt;Tmax, NOT('10 Dev'!$H9="")),'10 Dev'!$H9,4)</f>
        <v>2</v>
      </c>
      <c r="AH9">
        <f>IF(AND('10 Dev'!F9&lt;Tmax, NOT('10 Dev'!$H9="")),'10 Dev'!$H9,4)</f>
        <v>2</v>
      </c>
      <c r="AI9"/>
    </row>
    <row r="10" spans="1:35" ht="57" customHeight="1" outlineLevel="2" x14ac:dyDescent="0.2">
      <c r="A10" s="636" t="s">
        <v>2675</v>
      </c>
      <c r="B10" s="636" t="s">
        <v>4914</v>
      </c>
      <c r="C10" s="705"/>
      <c r="D10" s="1155"/>
      <c r="E10" s="1156"/>
      <c r="F10" s="702"/>
      <c r="G10" s="1487">
        <v>4</v>
      </c>
      <c r="H10" s="1487"/>
      <c r="I10" s="1487"/>
      <c r="J10" s="1487" t="s">
        <v>2109</v>
      </c>
      <c r="K10" s="1458" t="s">
        <v>7145</v>
      </c>
      <c r="L10" s="1488"/>
      <c r="M10" s="703"/>
      <c r="AA10">
        <f>IF(AND('10 Dev'!C10&gt;Tmin, NOT('10 Dev'!$I10="")),'10 Dev'!$I10,0)</f>
        <v>0</v>
      </c>
      <c r="AB10">
        <f>IF(AND('10 Dev'!D10&gt;Tmin, NOT('10 Dev'!$I10="")),'10 Dev'!$I10,0)</f>
        <v>0</v>
      </c>
      <c r="AC10">
        <f>IF(AND('10 Dev'!E10&gt;Tmin, NOT('10 Dev'!$I10="")),'10 Dev'!$I10,0)</f>
        <v>0</v>
      </c>
      <c r="AD10">
        <f>IF(AND('10 Dev'!F10&gt;Tmin, NOT('10 Dev'!$I10="")),'10 Dev'!$I10,0)</f>
        <v>0</v>
      </c>
      <c r="AE10">
        <f>IF(AND('10 Dev'!C10&lt;Tmax, NOT('10 Dev'!$H10="")),'10 Dev'!$H10,4)</f>
        <v>4</v>
      </c>
      <c r="AF10">
        <f>IF(AND('10 Dev'!D10&lt;Tmax, NOT('10 Dev'!$H10="")),'10 Dev'!$H10,4)</f>
        <v>4</v>
      </c>
      <c r="AG10">
        <f>IF(AND('10 Dev'!E10&lt;Tmax, NOT('10 Dev'!$H10="")),'10 Dev'!$H10,4)</f>
        <v>4</v>
      </c>
      <c r="AH10">
        <f>IF(AND('10 Dev'!F10&lt;Tmax, NOT('10 Dev'!$H10="")),'10 Dev'!$H10,4)</f>
        <v>4</v>
      </c>
      <c r="AI10"/>
    </row>
    <row r="11" spans="1:35" s="708" customFormat="1" ht="22.5" outlineLevel="2" x14ac:dyDescent="0.2">
      <c r="A11" s="636" t="s">
        <v>2676</v>
      </c>
      <c r="B11" s="636" t="s">
        <v>4915</v>
      </c>
      <c r="C11" s="705"/>
      <c r="D11" s="1155"/>
      <c r="E11" s="1156"/>
      <c r="F11" s="702"/>
      <c r="G11" s="1487">
        <v>4</v>
      </c>
      <c r="H11" s="1487"/>
      <c r="I11" s="1487"/>
      <c r="J11" s="1487" t="s">
        <v>1592</v>
      </c>
      <c r="K11" s="1458" t="s">
        <v>7146</v>
      </c>
      <c r="L11" s="1488"/>
      <c r="M11" s="706"/>
      <c r="N11" s="707"/>
      <c r="O11" s="707"/>
      <c r="P11" s="707"/>
      <c r="Q11" s="707"/>
      <c r="R11" s="707"/>
      <c r="S11" s="707"/>
      <c r="T11" s="707"/>
      <c r="U11" s="707"/>
      <c r="V11" s="707"/>
      <c r="W11" s="707"/>
      <c r="X11" s="707"/>
      <c r="Y11" s="707"/>
      <c r="Z11" s="707"/>
      <c r="AA11">
        <f>IF(AND('10 Dev'!C11&gt;Tmin, NOT('10 Dev'!$I11="")),'10 Dev'!$I11,0)</f>
        <v>0</v>
      </c>
      <c r="AB11">
        <f>IF(AND('10 Dev'!D11&gt;Tmin, NOT('10 Dev'!$I11="")),'10 Dev'!$I11,0)</f>
        <v>0</v>
      </c>
      <c r="AC11">
        <f>IF(AND('10 Dev'!E11&gt;Tmin, NOT('10 Dev'!$I11="")),'10 Dev'!$I11,0)</f>
        <v>0</v>
      </c>
      <c r="AD11">
        <f>IF(AND('10 Dev'!F11&gt;Tmin, NOT('10 Dev'!$I11="")),'10 Dev'!$I11,0)</f>
        <v>0</v>
      </c>
      <c r="AE11">
        <f>IF(AND('10 Dev'!C11&lt;Tmax, NOT('10 Dev'!$H11="")),'10 Dev'!$H11,4)</f>
        <v>4</v>
      </c>
      <c r="AF11">
        <f>IF(AND('10 Dev'!D11&lt;Tmax, NOT('10 Dev'!$H11="")),'10 Dev'!$H11,4)</f>
        <v>4</v>
      </c>
      <c r="AG11">
        <f>IF(AND('10 Dev'!E11&lt;Tmax, NOT('10 Dev'!$H11="")),'10 Dev'!$H11,4)</f>
        <v>4</v>
      </c>
      <c r="AH11">
        <f>IF(AND('10 Dev'!F11&lt;Tmax, NOT('10 Dev'!$H11="")),'10 Dev'!$H11,4)</f>
        <v>4</v>
      </c>
      <c r="AI11"/>
    </row>
    <row r="12" spans="1:35" s="648" customFormat="1" ht="22.5" outlineLevel="2" x14ac:dyDescent="0.2">
      <c r="A12" s="636" t="s">
        <v>2677</v>
      </c>
      <c r="B12" s="636" t="s">
        <v>2670</v>
      </c>
      <c r="C12" s="705"/>
      <c r="D12" s="1155"/>
      <c r="E12" s="1156"/>
      <c r="F12" s="702"/>
      <c r="G12" s="1487">
        <v>4</v>
      </c>
      <c r="H12" s="1487"/>
      <c r="I12" s="1487"/>
      <c r="J12" s="1487" t="s">
        <v>1592</v>
      </c>
      <c r="K12" s="1488" t="s">
        <v>7147</v>
      </c>
      <c r="L12" s="1488"/>
      <c r="M12" s="703"/>
      <c r="N12" s="611"/>
      <c r="O12" s="611"/>
      <c r="P12" s="611"/>
      <c r="Q12" s="611"/>
      <c r="R12" s="611"/>
      <c r="S12" s="611"/>
      <c r="T12" s="611"/>
      <c r="U12" s="611"/>
      <c r="V12" s="611"/>
      <c r="W12" s="611"/>
      <c r="X12" s="611"/>
      <c r="Y12" s="611"/>
      <c r="Z12" s="611"/>
      <c r="AA12">
        <f>IF(AND('10 Dev'!C12&gt;Tmin, NOT('10 Dev'!$I12="")),'10 Dev'!$I12,0)</f>
        <v>0</v>
      </c>
      <c r="AB12">
        <f>IF(AND('10 Dev'!D12&gt;Tmin, NOT('10 Dev'!$I12="")),'10 Dev'!$I12,0)</f>
        <v>0</v>
      </c>
      <c r="AC12">
        <f>IF(AND('10 Dev'!E12&gt;Tmin, NOT('10 Dev'!$I12="")),'10 Dev'!$I12,0)</f>
        <v>0</v>
      </c>
      <c r="AD12">
        <f>IF(AND('10 Dev'!F12&gt;Tmin, NOT('10 Dev'!$I12="")),'10 Dev'!$I12,0)</f>
        <v>0</v>
      </c>
      <c r="AE12">
        <f>IF(AND('10 Dev'!C12&lt;Tmax, NOT('10 Dev'!$H12="")),'10 Dev'!$H12,4)</f>
        <v>4</v>
      </c>
      <c r="AF12">
        <f>IF(AND('10 Dev'!D12&lt;Tmax, NOT('10 Dev'!$H12="")),'10 Dev'!$H12,4)</f>
        <v>4</v>
      </c>
      <c r="AG12">
        <f>IF(AND('10 Dev'!E12&lt;Tmax, NOT('10 Dev'!$H12="")),'10 Dev'!$H12,4)</f>
        <v>4</v>
      </c>
      <c r="AH12">
        <f>IF(AND('10 Dev'!F12&lt;Tmax, NOT('10 Dev'!$H12="")),'10 Dev'!$H12,4)</f>
        <v>4</v>
      </c>
      <c r="AI12"/>
    </row>
    <row r="13" spans="1:35" s="648" customFormat="1" ht="12.75" customHeight="1" outlineLevel="1" x14ac:dyDescent="0.2">
      <c r="A13" s="553" t="s">
        <v>2224</v>
      </c>
      <c r="B13" s="704" t="s">
        <v>2225</v>
      </c>
      <c r="C13" s="705"/>
      <c r="D13" s="1155"/>
      <c r="E13" s="1156"/>
      <c r="F13" s="702"/>
      <c r="G13" s="1508"/>
      <c r="H13" s="1508"/>
      <c r="I13" s="1508"/>
      <c r="J13" s="1508"/>
      <c r="K13" s="1488"/>
      <c r="L13" s="1488"/>
      <c r="M13" s="709"/>
      <c r="N13" s="611"/>
      <c r="O13" s="611"/>
      <c r="P13" s="611"/>
      <c r="Q13" s="611"/>
      <c r="R13" s="611"/>
      <c r="S13" s="611"/>
      <c r="T13" s="611"/>
      <c r="U13" s="611"/>
      <c r="V13" s="611"/>
      <c r="W13" s="611"/>
      <c r="X13" s="611"/>
      <c r="Y13" s="611"/>
      <c r="Z13" s="611"/>
      <c r="AA13"/>
      <c r="AB13"/>
      <c r="AC13"/>
      <c r="AD13"/>
      <c r="AE13"/>
      <c r="AF13"/>
      <c r="AG13"/>
      <c r="AH13"/>
      <c r="AI13"/>
    </row>
    <row r="14" spans="1:35" s="648" customFormat="1" ht="22.5" outlineLevel="2" x14ac:dyDescent="0.2">
      <c r="A14" s="636" t="s">
        <v>2671</v>
      </c>
      <c r="B14" s="636" t="s">
        <v>4916</v>
      </c>
      <c r="C14" s="705"/>
      <c r="D14" s="1155"/>
      <c r="E14" s="1156"/>
      <c r="F14" s="702"/>
      <c r="G14" s="1487">
        <v>2</v>
      </c>
      <c r="H14" s="1508"/>
      <c r="I14" s="1508"/>
      <c r="J14" s="1487" t="s">
        <v>1592</v>
      </c>
      <c r="K14" s="1458" t="s">
        <v>7148</v>
      </c>
      <c r="L14" s="1488" t="s">
        <v>2672</v>
      </c>
      <c r="M14" s="709"/>
      <c r="N14" s="611"/>
      <c r="O14" s="611"/>
      <c r="P14" s="611"/>
      <c r="Q14" s="611"/>
      <c r="R14" s="611"/>
      <c r="S14" s="611"/>
      <c r="T14" s="611"/>
      <c r="U14" s="611"/>
      <c r="V14" s="611"/>
      <c r="W14" s="611"/>
      <c r="X14" s="611"/>
      <c r="Y14" s="611"/>
      <c r="Z14" s="611"/>
      <c r="AA14">
        <f>IF(AND('10 Dev'!C14&gt;Tmin, NOT('10 Dev'!$I14="")),'10 Dev'!$I14,0)</f>
        <v>0</v>
      </c>
      <c r="AB14">
        <f>IF(AND('10 Dev'!D14&gt;Tmin, NOT('10 Dev'!$I14="")),'10 Dev'!$I14,0)</f>
        <v>0</v>
      </c>
      <c r="AC14">
        <f>IF(AND('10 Dev'!E14&gt;Tmin, NOT('10 Dev'!$I14="")),'10 Dev'!$I14,0)</f>
        <v>0</v>
      </c>
      <c r="AD14">
        <f>IF(AND('10 Dev'!F14&gt;Tmin, NOT('10 Dev'!$I14="")),'10 Dev'!$I14,0)</f>
        <v>0</v>
      </c>
      <c r="AE14">
        <f>IF(AND('10 Dev'!C14&lt;Tmax, NOT('10 Dev'!$H14="")),'10 Dev'!$H14,4)</f>
        <v>4</v>
      </c>
      <c r="AF14">
        <f>IF(AND('10 Dev'!D14&lt;Tmax, NOT('10 Dev'!$H14="")),'10 Dev'!$H14,4)</f>
        <v>4</v>
      </c>
      <c r="AG14">
        <f>IF(AND('10 Dev'!E14&lt;Tmax, NOT('10 Dev'!$H14="")),'10 Dev'!$H14,4)</f>
        <v>4</v>
      </c>
      <c r="AH14">
        <f>IF(AND('10 Dev'!F14&lt;Tmax, NOT('10 Dev'!$H14="")),'10 Dev'!$H14,4)</f>
        <v>4</v>
      </c>
      <c r="AI14"/>
    </row>
    <row r="15" spans="1:35" s="648" customFormat="1" ht="26.25" customHeight="1" outlineLevel="2" x14ac:dyDescent="0.2">
      <c r="A15" s="636" t="s">
        <v>2673</v>
      </c>
      <c r="B15" s="636" t="s">
        <v>4088</v>
      </c>
      <c r="C15" s="705"/>
      <c r="D15" s="1155"/>
      <c r="E15" s="1156"/>
      <c r="F15" s="702"/>
      <c r="G15" s="1487">
        <v>2</v>
      </c>
      <c r="H15" s="1508"/>
      <c r="I15" s="1508"/>
      <c r="J15" s="1508" t="s">
        <v>2107</v>
      </c>
      <c r="K15" s="1488" t="s">
        <v>7007</v>
      </c>
      <c r="L15" s="1488" t="s">
        <v>2672</v>
      </c>
      <c r="M15" s="709"/>
      <c r="N15" s="611"/>
      <c r="O15" s="611"/>
      <c r="P15" s="611"/>
      <c r="Q15" s="611"/>
      <c r="R15" s="611"/>
      <c r="S15" s="611"/>
      <c r="T15" s="611"/>
      <c r="U15" s="611"/>
      <c r="V15" s="611"/>
      <c r="W15" s="611"/>
      <c r="X15" s="611"/>
      <c r="Y15" s="611"/>
      <c r="Z15" s="611"/>
      <c r="AA15">
        <f>IF(AND('10 Dev'!C15&gt;Tmin, NOT('10 Dev'!$I15="")),'10 Dev'!$I15,0)</f>
        <v>0</v>
      </c>
      <c r="AB15">
        <f>IF(AND('10 Dev'!D15&gt;Tmin, NOT('10 Dev'!$I15="")),'10 Dev'!$I15,0)</f>
        <v>0</v>
      </c>
      <c r="AC15">
        <f>IF(AND('10 Dev'!E15&gt;Tmin, NOT('10 Dev'!$I15="")),'10 Dev'!$I15,0)</f>
        <v>0</v>
      </c>
      <c r="AD15">
        <f>IF(AND('10 Dev'!F15&gt;Tmin, NOT('10 Dev'!$I15="")),'10 Dev'!$I15,0)</f>
        <v>0</v>
      </c>
      <c r="AE15">
        <f>IF(AND('10 Dev'!C15&lt;Tmax, NOT('10 Dev'!$H15="")),'10 Dev'!$H15,4)</f>
        <v>4</v>
      </c>
      <c r="AF15">
        <f>IF(AND('10 Dev'!D15&lt;Tmax, NOT('10 Dev'!$H15="")),'10 Dev'!$H15,4)</f>
        <v>4</v>
      </c>
      <c r="AG15">
        <f>IF(AND('10 Dev'!E15&lt;Tmax, NOT('10 Dev'!$H15="")),'10 Dev'!$H15,4)</f>
        <v>4</v>
      </c>
      <c r="AH15">
        <f>IF(AND('10 Dev'!F15&lt;Tmax, NOT('10 Dev'!$H15="")),'10 Dev'!$H15,4)</f>
        <v>4</v>
      </c>
      <c r="AI15"/>
    </row>
    <row r="16" spans="1:35" s="648" customFormat="1" outlineLevel="2" x14ac:dyDescent="0.2">
      <c r="A16" s="636" t="s">
        <v>4618</v>
      </c>
      <c r="B16" s="636" t="s">
        <v>6785</v>
      </c>
      <c r="C16" s="705"/>
      <c r="D16" s="1155"/>
      <c r="E16" s="1156"/>
      <c r="F16" s="702"/>
      <c r="G16" s="1487">
        <v>2</v>
      </c>
      <c r="H16" s="1508"/>
      <c r="I16" s="1508"/>
      <c r="J16" s="1487" t="s">
        <v>1592</v>
      </c>
      <c r="K16" s="1488" t="s">
        <v>7007</v>
      </c>
      <c r="L16" s="1488" t="s">
        <v>2672</v>
      </c>
      <c r="M16" s="709"/>
      <c r="N16" s="611"/>
      <c r="O16" s="611"/>
      <c r="P16" s="611"/>
      <c r="Q16" s="611"/>
      <c r="R16" s="611"/>
      <c r="S16" s="611"/>
      <c r="T16" s="611"/>
      <c r="U16" s="611"/>
      <c r="V16" s="611"/>
      <c r="W16" s="611"/>
      <c r="X16" s="611"/>
      <c r="Y16" s="611"/>
      <c r="Z16" s="611"/>
      <c r="AA16">
        <f>IF(AND('10 Dev'!C16&gt;Tmin, NOT('10 Dev'!$I16="")),'10 Dev'!$I16,0)</f>
        <v>0</v>
      </c>
      <c r="AB16">
        <f>IF(AND('10 Dev'!D16&gt;Tmin, NOT('10 Dev'!$I16="")),'10 Dev'!$I16,0)</f>
        <v>0</v>
      </c>
      <c r="AC16">
        <f>IF(AND('10 Dev'!E16&gt;Tmin, NOT('10 Dev'!$I16="")),'10 Dev'!$I16,0)</f>
        <v>0</v>
      </c>
      <c r="AD16">
        <f>IF(AND('10 Dev'!F16&gt;Tmin, NOT('10 Dev'!$I16="")),'10 Dev'!$I16,0)</f>
        <v>0</v>
      </c>
      <c r="AE16">
        <f>IF(AND('10 Dev'!C16&lt;Tmax, NOT('10 Dev'!$H16="")),'10 Dev'!$H16,4)</f>
        <v>4</v>
      </c>
      <c r="AF16">
        <f>IF(AND('10 Dev'!D16&lt;Tmax, NOT('10 Dev'!$H16="")),'10 Dev'!$H16,4)</f>
        <v>4</v>
      </c>
      <c r="AG16">
        <f>IF(AND('10 Dev'!E16&lt;Tmax, NOT('10 Dev'!$H16="")),'10 Dev'!$H16,4)</f>
        <v>4</v>
      </c>
      <c r="AH16">
        <f>IF(AND('10 Dev'!F16&lt;Tmax, NOT('10 Dev'!$H16="")),'10 Dev'!$H16,4)</f>
        <v>4</v>
      </c>
      <c r="AI16"/>
    </row>
    <row r="17" spans="1:35" s="648" customFormat="1" outlineLevel="2" x14ac:dyDescent="0.2">
      <c r="A17" s="636" t="s">
        <v>6786</v>
      </c>
      <c r="B17" s="636" t="s">
        <v>6787</v>
      </c>
      <c r="C17" s="705"/>
      <c r="D17" s="1155"/>
      <c r="E17" s="1156"/>
      <c r="F17" s="702"/>
      <c r="G17" s="1487">
        <v>2</v>
      </c>
      <c r="H17" s="1508"/>
      <c r="I17" s="1508"/>
      <c r="J17" s="1487" t="s">
        <v>1592</v>
      </c>
      <c r="K17" s="1488"/>
      <c r="L17" s="1488"/>
      <c r="M17" s="709"/>
      <c r="N17" s="611"/>
      <c r="O17" s="611"/>
      <c r="P17" s="611"/>
      <c r="Q17" s="611"/>
      <c r="R17" s="611"/>
      <c r="S17" s="611"/>
      <c r="T17" s="611"/>
      <c r="U17" s="611"/>
      <c r="V17" s="611"/>
      <c r="W17" s="611"/>
      <c r="X17" s="611"/>
      <c r="Y17" s="611"/>
      <c r="Z17" s="611"/>
      <c r="AA17">
        <f>IF(AND('10 Dev'!C17&gt;Tmin, NOT('10 Dev'!$I17="")),'10 Dev'!$I17,0)</f>
        <v>0</v>
      </c>
      <c r="AB17">
        <f>IF(AND('10 Dev'!D17&gt;Tmin, NOT('10 Dev'!$I17="")),'10 Dev'!$I17,0)</f>
        <v>0</v>
      </c>
      <c r="AC17">
        <f>IF(AND('10 Dev'!E17&gt;Tmin, NOT('10 Dev'!$I17="")),'10 Dev'!$I17,0)</f>
        <v>0</v>
      </c>
      <c r="AD17">
        <f>IF(AND('10 Dev'!F17&gt;Tmin, NOT('10 Dev'!$I17="")),'10 Dev'!$I17,0)</f>
        <v>0</v>
      </c>
      <c r="AE17">
        <f>IF(AND('10 Dev'!C17&lt;Tmax, NOT('10 Dev'!$H17="")),'10 Dev'!$H17,4)</f>
        <v>4</v>
      </c>
      <c r="AF17">
        <f>IF(AND('10 Dev'!D17&lt;Tmax, NOT('10 Dev'!$H17="")),'10 Dev'!$H17,4)</f>
        <v>4</v>
      </c>
      <c r="AG17">
        <f>IF(AND('10 Dev'!E17&lt;Tmax, NOT('10 Dev'!$H17="")),'10 Dev'!$H17,4)</f>
        <v>4</v>
      </c>
      <c r="AH17">
        <f>IF(AND('10 Dev'!F17&lt;Tmax, NOT('10 Dev'!$H17="")),'10 Dev'!$H17,4)</f>
        <v>4</v>
      </c>
      <c r="AI17"/>
    </row>
    <row r="18" spans="1:35" s="648" customFormat="1" ht="22.5" outlineLevel="2" x14ac:dyDescent="0.2">
      <c r="A18" s="636" t="s">
        <v>6788</v>
      </c>
      <c r="B18" s="636" t="s">
        <v>4089</v>
      </c>
      <c r="C18" s="705"/>
      <c r="D18" s="1155"/>
      <c r="E18" s="1156"/>
      <c r="F18" s="702"/>
      <c r="G18" s="1508">
        <v>4</v>
      </c>
      <c r="H18" s="1508"/>
      <c r="I18" s="1508"/>
      <c r="J18" s="1487" t="s">
        <v>1592</v>
      </c>
      <c r="K18" s="1458" t="s">
        <v>7149</v>
      </c>
      <c r="L18" s="1488" t="s">
        <v>7397</v>
      </c>
      <c r="M18" s="709"/>
      <c r="N18" s="611"/>
      <c r="O18" s="611"/>
      <c r="P18" s="611"/>
      <c r="Q18" s="611"/>
      <c r="R18" s="611"/>
      <c r="S18" s="611"/>
      <c r="T18" s="611"/>
      <c r="U18" s="611"/>
      <c r="V18" s="611"/>
      <c r="W18" s="611"/>
      <c r="X18" s="611"/>
      <c r="Y18" s="611"/>
      <c r="Z18" s="611"/>
      <c r="AA18">
        <f>IF(AND('10 Dev'!C18&gt;Tmin, NOT('10 Dev'!$I18="")),'10 Dev'!$I18,0)</f>
        <v>0</v>
      </c>
      <c r="AB18">
        <f>IF(AND('10 Dev'!D18&gt;Tmin, NOT('10 Dev'!$I18="")),'10 Dev'!$I18,0)</f>
        <v>0</v>
      </c>
      <c r="AC18">
        <f>IF(AND('10 Dev'!E18&gt;Tmin, NOT('10 Dev'!$I18="")),'10 Dev'!$I18,0)</f>
        <v>0</v>
      </c>
      <c r="AD18">
        <f>IF(AND('10 Dev'!F18&gt;Tmin, NOT('10 Dev'!$I18="")),'10 Dev'!$I18,0)</f>
        <v>0</v>
      </c>
      <c r="AE18">
        <f>IF(AND('10 Dev'!C18&lt;Tmax, NOT('10 Dev'!$H18="")),'10 Dev'!$H18,4)</f>
        <v>4</v>
      </c>
      <c r="AF18">
        <f>IF(AND('10 Dev'!D18&lt;Tmax, NOT('10 Dev'!$H18="")),'10 Dev'!$H18,4)</f>
        <v>4</v>
      </c>
      <c r="AG18">
        <f>IF(AND('10 Dev'!E18&lt;Tmax, NOT('10 Dev'!$H18="")),'10 Dev'!$H18,4)</f>
        <v>4</v>
      </c>
      <c r="AH18">
        <f>IF(AND('10 Dev'!F18&lt;Tmax, NOT('10 Dev'!$H18="")),'10 Dev'!$H18,4)</f>
        <v>4</v>
      </c>
      <c r="AI18"/>
    </row>
    <row r="19" spans="1:35" s="648" customFormat="1" ht="33.75" outlineLevel="2" x14ac:dyDescent="0.2">
      <c r="A19" s="636" t="s">
        <v>6789</v>
      </c>
      <c r="B19" s="636" t="s">
        <v>4055</v>
      </c>
      <c r="C19" s="705"/>
      <c r="D19" s="1155"/>
      <c r="E19" s="1156"/>
      <c r="F19" s="702"/>
      <c r="G19" s="1508">
        <v>4</v>
      </c>
      <c r="H19" s="1508"/>
      <c r="I19" s="1508"/>
      <c r="J19" s="1487" t="s">
        <v>1592</v>
      </c>
      <c r="K19" s="1488" t="s">
        <v>7150</v>
      </c>
      <c r="L19" s="1488" t="s">
        <v>7397</v>
      </c>
      <c r="M19" s="709"/>
      <c r="N19" s="611"/>
      <c r="O19" s="611"/>
      <c r="P19" s="611"/>
      <c r="Q19" s="611"/>
      <c r="R19" s="611"/>
      <c r="S19" s="611"/>
      <c r="T19" s="611"/>
      <c r="U19" s="611"/>
      <c r="V19" s="611"/>
      <c r="W19" s="611"/>
      <c r="X19" s="611"/>
      <c r="Y19" s="611"/>
      <c r="Z19" s="611"/>
      <c r="AA19">
        <f>IF(AND('10 Dev'!C19&gt;Tmin, NOT('10 Dev'!$I19="")),'10 Dev'!$I19,0)</f>
        <v>0</v>
      </c>
      <c r="AB19">
        <f>IF(AND('10 Dev'!D19&gt;Tmin, NOT('10 Dev'!$I19="")),'10 Dev'!$I19,0)</f>
        <v>0</v>
      </c>
      <c r="AC19">
        <f>IF(AND('10 Dev'!E19&gt;Tmin, NOT('10 Dev'!$I19="")),'10 Dev'!$I19,0)</f>
        <v>0</v>
      </c>
      <c r="AD19">
        <f>IF(AND('10 Dev'!F19&gt;Tmin, NOT('10 Dev'!$I19="")),'10 Dev'!$I19,0)</f>
        <v>0</v>
      </c>
      <c r="AE19">
        <f>IF(AND('10 Dev'!C19&lt;Tmax, NOT('10 Dev'!$H19="")),'10 Dev'!$H19,4)</f>
        <v>4</v>
      </c>
      <c r="AF19">
        <f>IF(AND('10 Dev'!D19&lt;Tmax, NOT('10 Dev'!$H19="")),'10 Dev'!$H19,4)</f>
        <v>4</v>
      </c>
      <c r="AG19">
        <f>IF(AND('10 Dev'!E19&lt;Tmax, NOT('10 Dev'!$H19="")),'10 Dev'!$H19,4)</f>
        <v>4</v>
      </c>
      <c r="AH19">
        <f>IF(AND('10 Dev'!F19&lt;Tmax, NOT('10 Dev'!$H19="")),'10 Dev'!$H19,4)</f>
        <v>4</v>
      </c>
      <c r="AI19"/>
    </row>
    <row r="20" spans="1:35" ht="22.5" outlineLevel="2" collapsed="1" x14ac:dyDescent="0.2">
      <c r="A20" s="636" t="s">
        <v>6790</v>
      </c>
      <c r="B20" s="636" t="s">
        <v>4056</v>
      </c>
      <c r="C20" s="705"/>
      <c r="D20" s="1155"/>
      <c r="E20" s="1156"/>
      <c r="F20" s="710"/>
      <c r="G20" s="1508">
        <v>2</v>
      </c>
      <c r="H20" s="1508"/>
      <c r="I20" s="1508"/>
      <c r="J20" s="1487" t="s">
        <v>1592</v>
      </c>
      <c r="K20" s="1458" t="s">
        <v>7151</v>
      </c>
      <c r="L20" s="1488" t="s">
        <v>7398</v>
      </c>
      <c r="M20" s="703"/>
      <c r="AA20">
        <f>IF(AND('10 Dev'!C20&gt;Tmin, NOT('10 Dev'!$I20="")),'10 Dev'!$I20,0)</f>
        <v>0</v>
      </c>
      <c r="AB20">
        <f>IF(AND('10 Dev'!D20&gt;Tmin, NOT('10 Dev'!$I20="")),'10 Dev'!$I20,0)</f>
        <v>0</v>
      </c>
      <c r="AC20">
        <f>IF(AND('10 Dev'!E20&gt;Tmin, NOT('10 Dev'!$I20="")),'10 Dev'!$I20,0)</f>
        <v>0</v>
      </c>
      <c r="AD20">
        <f>IF(AND('10 Dev'!F20&gt;Tmin, NOT('10 Dev'!$I20="")),'10 Dev'!$I20,0)</f>
        <v>0</v>
      </c>
      <c r="AE20">
        <f>IF(AND('10 Dev'!C20&lt;Tmax, NOT('10 Dev'!$H20="")),'10 Dev'!$H20,4)</f>
        <v>4</v>
      </c>
      <c r="AF20">
        <f>IF(AND('10 Dev'!D20&lt;Tmax, NOT('10 Dev'!$H20="")),'10 Dev'!$H20,4)</f>
        <v>4</v>
      </c>
      <c r="AG20">
        <f>IF(AND('10 Dev'!E20&lt;Tmax, NOT('10 Dev'!$H20="")),'10 Dev'!$H20,4)</f>
        <v>4</v>
      </c>
      <c r="AH20">
        <f>IF(AND('10 Dev'!F20&lt;Tmax, NOT('10 Dev'!$H20="")),'10 Dev'!$H20,4)</f>
        <v>4</v>
      </c>
      <c r="AI20"/>
    </row>
    <row r="21" spans="1:35" outlineLevel="1" x14ac:dyDescent="0.2">
      <c r="A21" s="553" t="s">
        <v>2226</v>
      </c>
      <c r="B21" s="704" t="s">
        <v>5742</v>
      </c>
      <c r="C21" s="705"/>
      <c r="D21" s="1155"/>
      <c r="E21" s="1156"/>
      <c r="F21" s="702"/>
      <c r="G21" s="1487"/>
      <c r="H21" s="1487"/>
      <c r="I21" s="1507"/>
      <c r="J21" s="1507"/>
      <c r="K21" s="1491"/>
      <c r="L21" s="1488"/>
      <c r="M21" s="703"/>
      <c r="AA21"/>
      <c r="AB21"/>
      <c r="AC21"/>
      <c r="AD21"/>
      <c r="AE21"/>
      <c r="AF21"/>
      <c r="AG21"/>
      <c r="AH21"/>
      <c r="AI21"/>
    </row>
    <row r="22" spans="1:35" ht="22.5" outlineLevel="2" x14ac:dyDescent="0.2">
      <c r="A22" s="636" t="s">
        <v>2731</v>
      </c>
      <c r="B22" s="636" t="s">
        <v>2732</v>
      </c>
      <c r="C22" s="705"/>
      <c r="D22" s="701"/>
      <c r="E22" s="702"/>
      <c r="F22" s="702"/>
      <c r="G22" s="1487">
        <v>2</v>
      </c>
      <c r="H22" s="1487"/>
      <c r="I22" s="1507"/>
      <c r="J22" s="1509" t="s">
        <v>1592</v>
      </c>
      <c r="K22" s="1510" t="s">
        <v>7152</v>
      </c>
      <c r="L22" s="1511" t="s">
        <v>7399</v>
      </c>
      <c r="M22" s="703"/>
      <c r="AA22">
        <f>IF(AND('10 Dev'!C22&gt;Tmin, NOT('10 Dev'!$I22="")),'10 Dev'!$I22,0)</f>
        <v>0</v>
      </c>
      <c r="AB22">
        <f>IF(AND('10 Dev'!D22&gt;Tmin, NOT('10 Dev'!$I22="")),'10 Dev'!$I22,0)</f>
        <v>0</v>
      </c>
      <c r="AC22">
        <f>IF(AND('10 Dev'!E22&gt;Tmin, NOT('10 Dev'!$I22="")),'10 Dev'!$I22,0)</f>
        <v>0</v>
      </c>
      <c r="AD22">
        <f>IF(AND('10 Dev'!F22&gt;Tmin, NOT('10 Dev'!$I22="")),'10 Dev'!$I22,0)</f>
        <v>0</v>
      </c>
      <c r="AE22">
        <f>IF(AND('10 Dev'!C22&lt;Tmax, NOT('10 Dev'!$H22="")),'10 Dev'!$H22,4)</f>
        <v>4</v>
      </c>
      <c r="AF22">
        <f>IF(AND('10 Dev'!D22&lt;Tmax, NOT('10 Dev'!$H22="")),'10 Dev'!$H22,4)</f>
        <v>4</v>
      </c>
      <c r="AG22">
        <f>IF(AND('10 Dev'!E22&lt;Tmax, NOT('10 Dev'!$H22="")),'10 Dev'!$H22,4)</f>
        <v>4</v>
      </c>
      <c r="AH22">
        <f>IF(AND('10 Dev'!F22&lt;Tmax, NOT('10 Dev'!$H22="")),'10 Dev'!$H22,4)</f>
        <v>4</v>
      </c>
      <c r="AI22"/>
    </row>
    <row r="23" spans="1:35" outlineLevel="2" x14ac:dyDescent="0.2">
      <c r="A23" s="636" t="s">
        <v>2733</v>
      </c>
      <c r="B23" s="636" t="s">
        <v>5057</v>
      </c>
      <c r="C23" s="705"/>
      <c r="D23" s="701"/>
      <c r="E23" s="702"/>
      <c r="F23" s="702"/>
      <c r="G23" s="1487">
        <v>2</v>
      </c>
      <c r="H23" s="1487">
        <v>2</v>
      </c>
      <c r="I23" s="1507"/>
      <c r="J23" s="1509" t="s">
        <v>1592</v>
      </c>
      <c r="K23" s="1510" t="s">
        <v>7152</v>
      </c>
      <c r="L23" s="1511" t="s">
        <v>7399</v>
      </c>
      <c r="M23" s="703"/>
      <c r="AA23">
        <f>IF(AND('10 Dev'!C23&gt;Tmin, NOT('10 Dev'!$I23="")),'10 Dev'!$I23,0)</f>
        <v>0</v>
      </c>
      <c r="AB23">
        <f>IF(AND('10 Dev'!D23&gt;Tmin, NOT('10 Dev'!$I23="")),'10 Dev'!$I23,0)</f>
        <v>0</v>
      </c>
      <c r="AC23">
        <f>IF(AND('10 Dev'!E23&gt;Tmin, NOT('10 Dev'!$I23="")),'10 Dev'!$I23,0)</f>
        <v>0</v>
      </c>
      <c r="AD23">
        <f>IF(AND('10 Dev'!F23&gt;Tmin, NOT('10 Dev'!$I23="")),'10 Dev'!$I23,0)</f>
        <v>0</v>
      </c>
      <c r="AE23">
        <f>IF(AND('10 Dev'!C23&lt;Tmax, NOT('10 Dev'!$H23="")),'10 Dev'!$H23,4)</f>
        <v>2</v>
      </c>
      <c r="AF23">
        <f>IF(AND('10 Dev'!D23&lt;Tmax, NOT('10 Dev'!$H23="")),'10 Dev'!$H23,4)</f>
        <v>2</v>
      </c>
      <c r="AG23">
        <f>IF(AND('10 Dev'!E23&lt;Tmax, NOT('10 Dev'!$H23="")),'10 Dev'!$H23,4)</f>
        <v>2</v>
      </c>
      <c r="AH23">
        <f>IF(AND('10 Dev'!F23&lt;Tmax, NOT('10 Dev'!$H23="")),'10 Dev'!$H23,4)</f>
        <v>2</v>
      </c>
      <c r="AI23"/>
    </row>
    <row r="24" spans="1:35" outlineLevel="2" x14ac:dyDescent="0.2">
      <c r="A24" s="636" t="s">
        <v>2734</v>
      </c>
      <c r="B24" s="636" t="s">
        <v>6320</v>
      </c>
      <c r="C24" s="705"/>
      <c r="D24" s="701"/>
      <c r="E24" s="702"/>
      <c r="F24" s="702"/>
      <c r="G24" s="1487">
        <v>2</v>
      </c>
      <c r="H24" s="1487">
        <v>2</v>
      </c>
      <c r="I24" s="1507"/>
      <c r="J24" s="1487" t="s">
        <v>1592</v>
      </c>
      <c r="K24" s="1512" t="s">
        <v>7017</v>
      </c>
      <c r="L24" s="1488" t="s">
        <v>7399</v>
      </c>
      <c r="M24" s="703"/>
      <c r="AA24">
        <f>IF(AND('10 Dev'!C24&gt;Tmin, NOT('10 Dev'!$I24="")),'10 Dev'!$I24,0)</f>
        <v>0</v>
      </c>
      <c r="AB24">
        <f>IF(AND('10 Dev'!D24&gt;Tmin, NOT('10 Dev'!$I24="")),'10 Dev'!$I24,0)</f>
        <v>0</v>
      </c>
      <c r="AC24">
        <f>IF(AND('10 Dev'!E24&gt;Tmin, NOT('10 Dev'!$I24="")),'10 Dev'!$I24,0)</f>
        <v>0</v>
      </c>
      <c r="AD24">
        <f>IF(AND('10 Dev'!F24&gt;Tmin, NOT('10 Dev'!$I24="")),'10 Dev'!$I24,0)</f>
        <v>0</v>
      </c>
      <c r="AE24">
        <f>IF(AND('10 Dev'!C24&lt;Tmax, NOT('10 Dev'!$H24="")),'10 Dev'!$H24,4)</f>
        <v>2</v>
      </c>
      <c r="AF24">
        <f>IF(AND('10 Dev'!D24&lt;Tmax, NOT('10 Dev'!$H24="")),'10 Dev'!$H24,4)</f>
        <v>2</v>
      </c>
      <c r="AG24">
        <f>IF(AND('10 Dev'!E24&lt;Tmax, NOT('10 Dev'!$H24="")),'10 Dev'!$H24,4)</f>
        <v>2</v>
      </c>
      <c r="AH24">
        <f>IF(AND('10 Dev'!F24&lt;Tmax, NOT('10 Dev'!$H24="")),'10 Dev'!$H24,4)</f>
        <v>2</v>
      </c>
      <c r="AI24"/>
    </row>
    <row r="25" spans="1:35" s="712" customFormat="1" ht="22.5" outlineLevel="2" collapsed="1" x14ac:dyDescent="0.2">
      <c r="A25" s="636" t="s">
        <v>2735</v>
      </c>
      <c r="B25" s="636" t="s">
        <v>6321</v>
      </c>
      <c r="C25" s="705"/>
      <c r="D25" s="701"/>
      <c r="E25" s="702"/>
      <c r="F25" s="702"/>
      <c r="G25" s="1487">
        <v>2</v>
      </c>
      <c r="H25" s="1487"/>
      <c r="I25" s="1507"/>
      <c r="J25" s="1487" t="s">
        <v>1592</v>
      </c>
      <c r="K25" s="1488" t="s">
        <v>7017</v>
      </c>
      <c r="L25" s="1488" t="s">
        <v>7399</v>
      </c>
      <c r="M25" s="703"/>
      <c r="N25" s="711"/>
      <c r="O25" s="711"/>
      <c r="P25" s="711"/>
      <c r="Q25" s="711"/>
      <c r="R25" s="711"/>
      <c r="S25" s="711"/>
      <c r="T25" s="711"/>
      <c r="U25" s="711"/>
      <c r="V25" s="711"/>
      <c r="W25" s="711"/>
      <c r="X25" s="711"/>
      <c r="Y25" s="711"/>
      <c r="Z25" s="711"/>
      <c r="AA25">
        <f>IF(AND('10 Dev'!C25&gt;Tmin, NOT('10 Dev'!$I25="")),'10 Dev'!$I25,0)</f>
        <v>0</v>
      </c>
      <c r="AB25">
        <f>IF(AND('10 Dev'!D25&gt;Tmin, NOT('10 Dev'!$I25="")),'10 Dev'!$I25,0)</f>
        <v>0</v>
      </c>
      <c r="AC25">
        <f>IF(AND('10 Dev'!E25&gt;Tmin, NOT('10 Dev'!$I25="")),'10 Dev'!$I25,0)</f>
        <v>0</v>
      </c>
      <c r="AD25">
        <f>IF(AND('10 Dev'!F25&gt;Tmin, NOT('10 Dev'!$I25="")),'10 Dev'!$I25,0)</f>
        <v>0</v>
      </c>
      <c r="AE25">
        <f>IF(AND('10 Dev'!C25&lt;Tmax, NOT('10 Dev'!$H25="")),'10 Dev'!$H25,4)</f>
        <v>4</v>
      </c>
      <c r="AF25">
        <f>IF(AND('10 Dev'!D25&lt;Tmax, NOT('10 Dev'!$H25="")),'10 Dev'!$H25,4)</f>
        <v>4</v>
      </c>
      <c r="AG25">
        <f>IF(AND('10 Dev'!E25&lt;Tmax, NOT('10 Dev'!$H25="")),'10 Dev'!$H25,4)</f>
        <v>4</v>
      </c>
      <c r="AH25">
        <f>IF(AND('10 Dev'!F25&lt;Tmax, NOT('10 Dev'!$H25="")),'10 Dev'!$H25,4)</f>
        <v>4</v>
      </c>
      <c r="AI25"/>
    </row>
    <row r="26" spans="1:35" ht="22.5" outlineLevel="2" x14ac:dyDescent="0.2">
      <c r="A26" s="636" t="s">
        <v>2736</v>
      </c>
      <c r="B26" s="636" t="s">
        <v>6322</v>
      </c>
      <c r="C26" s="705"/>
      <c r="D26" s="701"/>
      <c r="E26" s="702"/>
      <c r="F26" s="702"/>
      <c r="G26" s="1487">
        <v>2</v>
      </c>
      <c r="H26" s="1487">
        <v>2</v>
      </c>
      <c r="I26" s="1507"/>
      <c r="J26" s="1487" t="s">
        <v>1592</v>
      </c>
      <c r="K26" s="1488" t="s">
        <v>7017</v>
      </c>
      <c r="L26" s="1488" t="s">
        <v>7399</v>
      </c>
      <c r="M26" s="703"/>
      <c r="AA26">
        <f>IF(AND('10 Dev'!C26&gt;Tmin, NOT('10 Dev'!$I26="")),'10 Dev'!$I26,0)</f>
        <v>0</v>
      </c>
      <c r="AB26">
        <f>IF(AND('10 Dev'!D26&gt;Tmin, NOT('10 Dev'!$I26="")),'10 Dev'!$I26,0)</f>
        <v>0</v>
      </c>
      <c r="AC26">
        <f>IF(AND('10 Dev'!E26&gt;Tmin, NOT('10 Dev'!$I26="")),'10 Dev'!$I26,0)</f>
        <v>0</v>
      </c>
      <c r="AD26">
        <f>IF(AND('10 Dev'!F26&gt;Tmin, NOT('10 Dev'!$I26="")),'10 Dev'!$I26,0)</f>
        <v>0</v>
      </c>
      <c r="AE26">
        <f>IF(AND('10 Dev'!C26&lt;Tmax, NOT('10 Dev'!$H26="")),'10 Dev'!$H26,4)</f>
        <v>2</v>
      </c>
      <c r="AF26">
        <f>IF(AND('10 Dev'!D26&lt;Tmax, NOT('10 Dev'!$H26="")),'10 Dev'!$H26,4)</f>
        <v>2</v>
      </c>
      <c r="AG26">
        <f>IF(AND('10 Dev'!E26&lt;Tmax, NOT('10 Dev'!$H26="")),'10 Dev'!$H26,4)</f>
        <v>2</v>
      </c>
      <c r="AH26">
        <f>IF(AND('10 Dev'!F26&lt;Tmax, NOT('10 Dev'!$H26="")),'10 Dev'!$H26,4)</f>
        <v>2</v>
      </c>
      <c r="AI26"/>
    </row>
    <row r="27" spans="1:35" outlineLevel="1" x14ac:dyDescent="0.2">
      <c r="A27" s="553" t="s">
        <v>1202</v>
      </c>
      <c r="B27" s="704" t="s">
        <v>2162</v>
      </c>
      <c r="C27" s="705"/>
      <c r="D27" s="701"/>
      <c r="E27" s="702"/>
      <c r="F27" s="702"/>
      <c r="G27" s="1487"/>
      <c r="H27" s="1487"/>
      <c r="I27" s="1487"/>
      <c r="J27" s="1487"/>
      <c r="K27" s="1488"/>
      <c r="L27" s="1488"/>
      <c r="M27" s="703"/>
      <c r="AA27"/>
      <c r="AB27"/>
      <c r="AC27"/>
      <c r="AD27"/>
      <c r="AE27"/>
      <c r="AF27"/>
      <c r="AG27"/>
      <c r="AH27"/>
      <c r="AI27"/>
    </row>
    <row r="28" spans="1:35" ht="22.5" outlineLevel="2" x14ac:dyDescent="0.2">
      <c r="A28" s="636" t="s">
        <v>4619</v>
      </c>
      <c r="B28" s="636" t="s">
        <v>6323</v>
      </c>
      <c r="C28" s="705"/>
      <c r="D28" s="701"/>
      <c r="E28" s="702"/>
      <c r="F28" s="710"/>
      <c r="G28" s="1487">
        <v>2</v>
      </c>
      <c r="H28" s="1487"/>
      <c r="I28" s="1487"/>
      <c r="J28" s="1487" t="s">
        <v>4246</v>
      </c>
      <c r="K28" s="1458" t="s">
        <v>7153</v>
      </c>
      <c r="L28" s="1488"/>
      <c r="M28" s="703"/>
      <c r="AA28">
        <f>IF(AND('10 Dev'!C28&gt;Tmin, NOT('10 Dev'!$I28="")),'10 Dev'!$I28,0)</f>
        <v>0</v>
      </c>
      <c r="AB28">
        <f>IF(AND('10 Dev'!D28&gt;Tmin, NOT('10 Dev'!$I28="")),'10 Dev'!$I28,0)</f>
        <v>0</v>
      </c>
      <c r="AC28">
        <f>IF(AND('10 Dev'!E28&gt;Tmin, NOT('10 Dev'!$I28="")),'10 Dev'!$I28,0)</f>
        <v>0</v>
      </c>
      <c r="AD28">
        <f>IF(AND('10 Dev'!F28&gt;Tmin, NOT('10 Dev'!$I28="")),'10 Dev'!$I28,0)</f>
        <v>0</v>
      </c>
      <c r="AE28">
        <f>IF(AND('10 Dev'!C28&lt;Tmax, NOT('10 Dev'!$H28="")),'10 Dev'!$H28,4)</f>
        <v>4</v>
      </c>
      <c r="AF28">
        <f>IF(AND('10 Dev'!D28&lt;Tmax, NOT('10 Dev'!$H28="")),'10 Dev'!$H28,4)</f>
        <v>4</v>
      </c>
      <c r="AG28">
        <f>IF(AND('10 Dev'!E28&lt;Tmax, NOT('10 Dev'!$H28="")),'10 Dev'!$H28,4)</f>
        <v>4</v>
      </c>
      <c r="AH28">
        <f>IF(AND('10 Dev'!F28&lt;Tmax, NOT('10 Dev'!$H28="")),'10 Dev'!$H28,4)</f>
        <v>4</v>
      </c>
      <c r="AI28"/>
    </row>
    <row r="29" spans="1:35" ht="22.5" outlineLevel="2" x14ac:dyDescent="0.2">
      <c r="A29" s="636" t="s">
        <v>4620</v>
      </c>
      <c r="B29" s="636" t="s">
        <v>5734</v>
      </c>
      <c r="C29" s="705"/>
      <c r="D29" s="701"/>
      <c r="E29" s="702"/>
      <c r="F29" s="702"/>
      <c r="G29" s="1508">
        <v>4</v>
      </c>
      <c r="H29" s="1508">
        <v>2</v>
      </c>
      <c r="I29" s="1508"/>
      <c r="J29" s="1487" t="s">
        <v>1592</v>
      </c>
      <c r="K29" s="1458" t="s">
        <v>7011</v>
      </c>
      <c r="L29" s="1488"/>
      <c r="M29" s="703"/>
      <c r="AA29">
        <f>IF(AND('10 Dev'!C29&gt;Tmin, NOT('10 Dev'!$I29="")),'10 Dev'!$I29,0)</f>
        <v>0</v>
      </c>
      <c r="AB29">
        <f>IF(AND('10 Dev'!D29&gt;Tmin, NOT('10 Dev'!$I29="")),'10 Dev'!$I29,0)</f>
        <v>0</v>
      </c>
      <c r="AC29">
        <f>IF(AND('10 Dev'!E29&gt;Tmin, NOT('10 Dev'!$I29="")),'10 Dev'!$I29,0)</f>
        <v>0</v>
      </c>
      <c r="AD29">
        <f>IF(AND('10 Dev'!F29&gt;Tmin, NOT('10 Dev'!$I29="")),'10 Dev'!$I29,0)</f>
        <v>0</v>
      </c>
      <c r="AE29">
        <f>IF(AND('10 Dev'!C29&lt;Tmax, NOT('10 Dev'!$H29="")),'10 Dev'!$H29,4)</f>
        <v>2</v>
      </c>
      <c r="AF29">
        <f>IF(AND('10 Dev'!D29&lt;Tmax, NOT('10 Dev'!$H29="")),'10 Dev'!$H29,4)</f>
        <v>2</v>
      </c>
      <c r="AG29">
        <f>IF(AND('10 Dev'!E29&lt;Tmax, NOT('10 Dev'!$H29="")),'10 Dev'!$H29,4)</f>
        <v>2</v>
      </c>
      <c r="AH29">
        <f>IF(AND('10 Dev'!F29&lt;Tmax, NOT('10 Dev'!$H29="")),'10 Dev'!$H29,4)</f>
        <v>2</v>
      </c>
      <c r="AI29"/>
    </row>
    <row r="30" spans="1:35" ht="22.5" outlineLevel="2" x14ac:dyDescent="0.2">
      <c r="A30" s="636" t="s">
        <v>4621</v>
      </c>
      <c r="B30" s="636" t="s">
        <v>5293</v>
      </c>
      <c r="C30" s="705"/>
      <c r="D30" s="701"/>
      <c r="E30" s="702"/>
      <c r="F30" s="702"/>
      <c r="G30" s="1508">
        <v>4</v>
      </c>
      <c r="H30" s="1508">
        <v>3</v>
      </c>
      <c r="I30" s="1508"/>
      <c r="J30" s="1487" t="s">
        <v>1592</v>
      </c>
      <c r="K30" s="1458" t="s">
        <v>7011</v>
      </c>
      <c r="L30" s="1488"/>
      <c r="M30" s="703"/>
      <c r="AA30">
        <f>IF(AND('10 Dev'!C30&gt;Tmin, NOT('10 Dev'!$I30="")),'10 Dev'!$I30,0)</f>
        <v>0</v>
      </c>
      <c r="AB30">
        <f>IF(AND('10 Dev'!D30&gt;Tmin, NOT('10 Dev'!$I30="")),'10 Dev'!$I30,0)</f>
        <v>0</v>
      </c>
      <c r="AC30">
        <f>IF(AND('10 Dev'!E30&gt;Tmin, NOT('10 Dev'!$I30="")),'10 Dev'!$I30,0)</f>
        <v>0</v>
      </c>
      <c r="AD30">
        <f>IF(AND('10 Dev'!F30&gt;Tmin, NOT('10 Dev'!$I30="")),'10 Dev'!$I30,0)</f>
        <v>0</v>
      </c>
      <c r="AE30">
        <f>IF(AND('10 Dev'!C30&lt;Tmax, NOT('10 Dev'!$H30="")),'10 Dev'!$H30,4)</f>
        <v>3</v>
      </c>
      <c r="AF30">
        <f>IF(AND('10 Dev'!D30&lt;Tmax, NOT('10 Dev'!$H30="")),'10 Dev'!$H30,4)</f>
        <v>3</v>
      </c>
      <c r="AG30">
        <f>IF(AND('10 Dev'!E30&lt;Tmax, NOT('10 Dev'!$H30="")),'10 Dev'!$H30,4)</f>
        <v>3</v>
      </c>
      <c r="AH30">
        <f>IF(AND('10 Dev'!F30&lt;Tmax, NOT('10 Dev'!$H30="")),'10 Dev'!$H30,4)</f>
        <v>3</v>
      </c>
      <c r="AI30"/>
    </row>
    <row r="31" spans="1:35" ht="33.75" outlineLevel="2" x14ac:dyDescent="0.2">
      <c r="A31" s="636" t="s">
        <v>5294</v>
      </c>
      <c r="B31" s="636" t="s">
        <v>6648</v>
      </c>
      <c r="C31" s="705"/>
      <c r="D31" s="701"/>
      <c r="E31" s="702"/>
      <c r="F31" s="702"/>
      <c r="G31" s="1508">
        <v>4</v>
      </c>
      <c r="H31" s="1508">
        <v>2</v>
      </c>
      <c r="I31" s="1508"/>
      <c r="J31" s="1487" t="s">
        <v>1592</v>
      </c>
      <c r="K31" s="1458" t="s">
        <v>7011</v>
      </c>
      <c r="L31" s="1488"/>
      <c r="M31" s="703"/>
      <c r="AA31">
        <f>IF(AND('10 Dev'!C31&gt;Tmin, NOT('10 Dev'!$I31="")),'10 Dev'!$I31,0)</f>
        <v>0</v>
      </c>
      <c r="AB31">
        <f>IF(AND('10 Dev'!D31&gt;Tmin, NOT('10 Dev'!$I31="")),'10 Dev'!$I31,0)</f>
        <v>0</v>
      </c>
      <c r="AC31">
        <f>IF(AND('10 Dev'!E31&gt;Tmin, NOT('10 Dev'!$I31="")),'10 Dev'!$I31,0)</f>
        <v>0</v>
      </c>
      <c r="AD31">
        <f>IF(AND('10 Dev'!F31&gt;Tmin, NOT('10 Dev'!$I31="")),'10 Dev'!$I31,0)</f>
        <v>0</v>
      </c>
      <c r="AE31">
        <f>IF(AND('10 Dev'!C31&lt;Tmax, NOT('10 Dev'!$H31="")),'10 Dev'!$H31,4)</f>
        <v>2</v>
      </c>
      <c r="AF31">
        <f>IF(AND('10 Dev'!D31&lt;Tmax, NOT('10 Dev'!$H31="")),'10 Dev'!$H31,4)</f>
        <v>2</v>
      </c>
      <c r="AG31">
        <f>IF(AND('10 Dev'!E31&lt;Tmax, NOT('10 Dev'!$H31="")),'10 Dev'!$H31,4)</f>
        <v>2</v>
      </c>
      <c r="AH31">
        <f>IF(AND('10 Dev'!F31&lt;Tmax, NOT('10 Dev'!$H31="")),'10 Dev'!$H31,4)</f>
        <v>2</v>
      </c>
      <c r="AI31"/>
    </row>
    <row r="32" spans="1:35" outlineLevel="2" collapsed="1" x14ac:dyDescent="0.2">
      <c r="A32" s="636" t="s">
        <v>5295</v>
      </c>
      <c r="B32" s="636" t="s">
        <v>4652</v>
      </c>
      <c r="C32" s="705"/>
      <c r="D32" s="701"/>
      <c r="E32" s="702"/>
      <c r="F32" s="702"/>
      <c r="G32" s="1508">
        <v>2</v>
      </c>
      <c r="H32" s="1508">
        <v>3</v>
      </c>
      <c r="I32" s="1508"/>
      <c r="J32" s="1508" t="s">
        <v>2109</v>
      </c>
      <c r="K32" s="1488"/>
      <c r="L32" s="1488"/>
      <c r="M32" s="703"/>
      <c r="AA32">
        <f>IF(AND('10 Dev'!C32&gt;Tmin, NOT('10 Dev'!$I32="")),'10 Dev'!$I32,0)</f>
        <v>0</v>
      </c>
      <c r="AB32">
        <f>IF(AND('10 Dev'!D32&gt;Tmin, NOT('10 Dev'!$I32="")),'10 Dev'!$I32,0)</f>
        <v>0</v>
      </c>
      <c r="AC32">
        <f>IF(AND('10 Dev'!E32&gt;Tmin, NOT('10 Dev'!$I32="")),'10 Dev'!$I32,0)</f>
        <v>0</v>
      </c>
      <c r="AD32">
        <f>IF(AND('10 Dev'!F32&gt;Tmin, NOT('10 Dev'!$I32="")),'10 Dev'!$I32,0)</f>
        <v>0</v>
      </c>
      <c r="AE32">
        <f>IF(AND('10 Dev'!C32&lt;Tmax, NOT('10 Dev'!$H32="")),'10 Dev'!$H32,4)</f>
        <v>3</v>
      </c>
      <c r="AF32">
        <f>IF(AND('10 Dev'!D32&lt;Tmax, NOT('10 Dev'!$H32="")),'10 Dev'!$H32,4)</f>
        <v>3</v>
      </c>
      <c r="AG32">
        <f>IF(AND('10 Dev'!E32&lt;Tmax, NOT('10 Dev'!$H32="")),'10 Dev'!$H32,4)</f>
        <v>3</v>
      </c>
      <c r="AH32">
        <f>IF(AND('10 Dev'!F32&lt;Tmax, NOT('10 Dev'!$H32="")),'10 Dev'!$H32,4)</f>
        <v>3</v>
      </c>
      <c r="AI32"/>
    </row>
    <row r="33" spans="1:255" outlineLevel="1" x14ac:dyDescent="0.2">
      <c r="A33" s="553" t="s">
        <v>2163</v>
      </c>
      <c r="B33" s="704" t="s">
        <v>2164</v>
      </c>
      <c r="C33" s="705"/>
      <c r="D33" s="701"/>
      <c r="E33" s="702"/>
      <c r="F33" s="702"/>
      <c r="G33" s="1487"/>
      <c r="H33" s="1487"/>
      <c r="I33" s="1507"/>
      <c r="J33" s="1507"/>
      <c r="K33" s="1488"/>
      <c r="L33" s="1488"/>
      <c r="M33" s="703"/>
      <c r="AA33"/>
      <c r="AB33"/>
      <c r="AC33"/>
      <c r="AD33"/>
      <c r="AE33"/>
      <c r="AF33"/>
      <c r="AG33"/>
      <c r="AH33"/>
      <c r="AI33"/>
    </row>
    <row r="34" spans="1:255" s="648" customFormat="1" ht="15" customHeight="1" outlineLevel="2" x14ac:dyDescent="0.2">
      <c r="A34" s="636" t="s">
        <v>4653</v>
      </c>
      <c r="B34" s="636" t="s">
        <v>4472</v>
      </c>
      <c r="C34" s="705"/>
      <c r="D34" s="701"/>
      <c r="E34" s="702"/>
      <c r="F34" s="702"/>
      <c r="G34" s="1487">
        <v>2</v>
      </c>
      <c r="H34" s="1487"/>
      <c r="I34" s="1507"/>
      <c r="J34" s="1487" t="s">
        <v>1592</v>
      </c>
      <c r="K34" s="1488"/>
      <c r="L34" s="1488" t="s">
        <v>7400</v>
      </c>
      <c r="M34" s="713"/>
      <c r="N34" s="611"/>
      <c r="O34" s="611"/>
      <c r="P34" s="611"/>
      <c r="Q34" s="611"/>
      <c r="R34" s="611"/>
      <c r="S34" s="611"/>
      <c r="T34" s="611"/>
      <c r="U34" s="611"/>
      <c r="V34" s="611"/>
      <c r="W34" s="611"/>
      <c r="X34" s="611"/>
      <c r="Y34" s="611"/>
      <c r="Z34" s="611"/>
      <c r="AA34">
        <f>IF(AND('10 Dev'!C34&gt;Tmin, NOT('10 Dev'!$I34="")),'10 Dev'!$I34,0)</f>
        <v>0</v>
      </c>
      <c r="AB34">
        <f>IF(AND('10 Dev'!D34&gt;Tmin, NOT('10 Dev'!$I34="")),'10 Dev'!$I34,0)</f>
        <v>0</v>
      </c>
      <c r="AC34">
        <f>IF(AND('10 Dev'!E34&gt;Tmin, NOT('10 Dev'!$I34="")),'10 Dev'!$I34,0)</f>
        <v>0</v>
      </c>
      <c r="AD34">
        <f>IF(AND('10 Dev'!F34&gt;Tmin, NOT('10 Dev'!$I34="")),'10 Dev'!$I34,0)</f>
        <v>0</v>
      </c>
      <c r="AE34">
        <f>IF(AND('10 Dev'!C34&lt;Tmax, NOT('10 Dev'!$H34="")),'10 Dev'!$H34,4)</f>
        <v>4</v>
      </c>
      <c r="AF34">
        <f>IF(AND('10 Dev'!D34&lt;Tmax, NOT('10 Dev'!$H34="")),'10 Dev'!$H34,4)</f>
        <v>4</v>
      </c>
      <c r="AG34">
        <f>IF(AND('10 Dev'!E34&lt;Tmax, NOT('10 Dev'!$H34="")),'10 Dev'!$H34,4)</f>
        <v>4</v>
      </c>
      <c r="AH34">
        <f>IF(AND('10 Dev'!F34&lt;Tmax, NOT('10 Dev'!$H34="")),'10 Dev'!$H34,4)</f>
        <v>4</v>
      </c>
      <c r="AI34"/>
    </row>
    <row r="35" spans="1:255" outlineLevel="2" x14ac:dyDescent="0.2">
      <c r="A35" s="636" t="s">
        <v>4654</v>
      </c>
      <c r="B35" s="636" t="s">
        <v>4473</v>
      </c>
      <c r="C35" s="705"/>
      <c r="D35" s="701"/>
      <c r="E35" s="702"/>
      <c r="F35" s="702"/>
      <c r="G35" s="1487">
        <v>2</v>
      </c>
      <c r="H35" s="1487"/>
      <c r="I35" s="1507"/>
      <c r="J35" s="1487" t="s">
        <v>1592</v>
      </c>
      <c r="K35" s="1488"/>
      <c r="L35" s="1488" t="s">
        <v>7400</v>
      </c>
      <c r="M35" s="703"/>
      <c r="AA35">
        <f>IF(AND('10 Dev'!C35&gt;Tmin, NOT('10 Dev'!$I35="")),'10 Dev'!$I35,0)</f>
        <v>0</v>
      </c>
      <c r="AB35">
        <f>IF(AND('10 Dev'!D35&gt;Tmin, NOT('10 Dev'!$I35="")),'10 Dev'!$I35,0)</f>
        <v>0</v>
      </c>
      <c r="AC35">
        <f>IF(AND('10 Dev'!E35&gt;Tmin, NOT('10 Dev'!$I35="")),'10 Dev'!$I35,0)</f>
        <v>0</v>
      </c>
      <c r="AD35">
        <f>IF(AND('10 Dev'!F35&gt;Tmin, NOT('10 Dev'!$I35="")),'10 Dev'!$I35,0)</f>
        <v>0</v>
      </c>
      <c r="AE35">
        <f>IF(AND('10 Dev'!C35&lt;Tmax, NOT('10 Dev'!$H35="")),'10 Dev'!$H35,4)</f>
        <v>4</v>
      </c>
      <c r="AF35">
        <f>IF(AND('10 Dev'!D35&lt;Tmax, NOT('10 Dev'!$H35="")),'10 Dev'!$H35,4)</f>
        <v>4</v>
      </c>
      <c r="AG35">
        <f>IF(AND('10 Dev'!E35&lt;Tmax, NOT('10 Dev'!$H35="")),'10 Dev'!$H35,4)</f>
        <v>4</v>
      </c>
      <c r="AH35">
        <f>IF(AND('10 Dev'!F35&lt;Tmax, NOT('10 Dev'!$H35="")),'10 Dev'!$H35,4)</f>
        <v>4</v>
      </c>
      <c r="AI35"/>
    </row>
    <row r="36" spans="1:255" outlineLevel="2" x14ac:dyDescent="0.2">
      <c r="A36" s="636" t="s">
        <v>6390</v>
      </c>
      <c r="B36" s="636" t="s">
        <v>4655</v>
      </c>
      <c r="C36" s="705"/>
      <c r="D36" s="701"/>
      <c r="E36" s="702"/>
      <c r="F36" s="702"/>
      <c r="G36" s="1487">
        <v>2</v>
      </c>
      <c r="H36" s="1487"/>
      <c r="I36" s="1507"/>
      <c r="J36" s="1487" t="s">
        <v>1592</v>
      </c>
      <c r="K36" s="1488"/>
      <c r="L36" s="1488" t="s">
        <v>7400</v>
      </c>
      <c r="M36" s="703"/>
      <c r="AA36">
        <f>IF(AND('10 Dev'!C36&gt;Tmin, NOT('10 Dev'!$I36="")),'10 Dev'!$I36,0)</f>
        <v>0</v>
      </c>
      <c r="AB36">
        <f>IF(AND('10 Dev'!D36&gt;Tmin, NOT('10 Dev'!$I36="")),'10 Dev'!$I36,0)</f>
        <v>0</v>
      </c>
      <c r="AC36">
        <f>IF(AND('10 Dev'!E36&gt;Tmin, NOT('10 Dev'!$I36="")),'10 Dev'!$I36,0)</f>
        <v>0</v>
      </c>
      <c r="AD36">
        <f>IF(AND('10 Dev'!F36&gt;Tmin, NOT('10 Dev'!$I36="")),'10 Dev'!$I36,0)</f>
        <v>0</v>
      </c>
      <c r="AE36">
        <f>IF(AND('10 Dev'!C36&lt;Tmax, NOT('10 Dev'!$H36="")),'10 Dev'!$H36,4)</f>
        <v>4</v>
      </c>
      <c r="AF36">
        <f>IF(AND('10 Dev'!D36&lt;Tmax, NOT('10 Dev'!$H36="")),'10 Dev'!$H36,4)</f>
        <v>4</v>
      </c>
      <c r="AG36">
        <f>IF(AND('10 Dev'!E36&lt;Tmax, NOT('10 Dev'!$H36="")),'10 Dev'!$H36,4)</f>
        <v>4</v>
      </c>
      <c r="AH36">
        <f>IF(AND('10 Dev'!F36&lt;Tmax, NOT('10 Dev'!$H36="")),'10 Dev'!$H36,4)</f>
        <v>4</v>
      </c>
      <c r="AI36"/>
    </row>
    <row r="37" spans="1:255" s="715" customFormat="1" outlineLevel="2" x14ac:dyDescent="0.2">
      <c r="A37" s="636" t="s">
        <v>6649</v>
      </c>
      <c r="B37" s="636" t="s">
        <v>5089</v>
      </c>
      <c r="C37" s="705"/>
      <c r="D37" s="701"/>
      <c r="E37" s="702"/>
      <c r="F37" s="702"/>
      <c r="G37" s="1487">
        <v>2</v>
      </c>
      <c r="H37" s="1487">
        <v>2</v>
      </c>
      <c r="I37" s="1507"/>
      <c r="J37" s="1487" t="s">
        <v>1592</v>
      </c>
      <c r="K37" s="1488"/>
      <c r="L37" s="1488" t="s">
        <v>7400</v>
      </c>
      <c r="M37" s="703"/>
      <c r="N37" s="714"/>
      <c r="O37" s="714"/>
      <c r="P37" s="714"/>
      <c r="Q37" s="714"/>
      <c r="R37" s="714"/>
      <c r="S37" s="714"/>
      <c r="T37" s="714"/>
      <c r="U37" s="714"/>
      <c r="V37" s="714"/>
      <c r="W37" s="714"/>
      <c r="X37" s="714"/>
      <c r="Y37" s="714"/>
      <c r="Z37" s="714"/>
      <c r="AA37">
        <f>IF(AND('10 Dev'!C37&gt;Tmin, NOT('10 Dev'!$I37="")),'10 Dev'!$I37,0)</f>
        <v>0</v>
      </c>
      <c r="AB37">
        <f>IF(AND('10 Dev'!D37&gt;Tmin, NOT('10 Dev'!$I37="")),'10 Dev'!$I37,0)</f>
        <v>0</v>
      </c>
      <c r="AC37">
        <f>IF(AND('10 Dev'!E37&gt;Tmin, NOT('10 Dev'!$I37="")),'10 Dev'!$I37,0)</f>
        <v>0</v>
      </c>
      <c r="AD37">
        <f>IF(AND('10 Dev'!F37&gt;Tmin, NOT('10 Dev'!$I37="")),'10 Dev'!$I37,0)</f>
        <v>0</v>
      </c>
      <c r="AE37">
        <f>IF(AND('10 Dev'!C37&lt;Tmax, NOT('10 Dev'!$H37="")),'10 Dev'!$H37,4)</f>
        <v>2</v>
      </c>
      <c r="AF37">
        <f>IF(AND('10 Dev'!D37&lt;Tmax, NOT('10 Dev'!$H37="")),'10 Dev'!$H37,4)</f>
        <v>2</v>
      </c>
      <c r="AG37">
        <f>IF(AND('10 Dev'!E37&lt;Tmax, NOT('10 Dev'!$H37="")),'10 Dev'!$H37,4)</f>
        <v>2</v>
      </c>
      <c r="AH37">
        <f>IF(AND('10 Dev'!F37&lt;Tmax, NOT('10 Dev'!$H37="")),'10 Dev'!$H37,4)</f>
        <v>2</v>
      </c>
      <c r="AI37"/>
      <c r="IU37" s="169"/>
    </row>
    <row r="38" spans="1:255" x14ac:dyDescent="0.2">
      <c r="A38" s="644" t="s">
        <v>5090</v>
      </c>
      <c r="B38" s="644" t="s">
        <v>5091</v>
      </c>
      <c r="C38" s="705"/>
      <c r="D38" s="701"/>
      <c r="E38" s="702"/>
      <c r="F38" s="702"/>
      <c r="G38" s="1507"/>
      <c r="H38" s="1507"/>
      <c r="I38" s="1507"/>
      <c r="J38" s="1507"/>
      <c r="K38" s="1488"/>
      <c r="L38" s="1488"/>
      <c r="M38" s="703"/>
      <c r="AA38"/>
      <c r="AB38"/>
      <c r="AC38"/>
      <c r="AD38"/>
      <c r="AE38"/>
      <c r="AF38"/>
      <c r="AG38"/>
      <c r="AH38"/>
      <c r="AI38"/>
    </row>
    <row r="39" spans="1:255" outlineLevel="1" x14ac:dyDescent="0.2">
      <c r="A39" s="553" t="s">
        <v>3217</v>
      </c>
      <c r="B39" s="704" t="s">
        <v>3218</v>
      </c>
      <c r="C39" s="705"/>
      <c r="D39" s="701"/>
      <c r="E39" s="702"/>
      <c r="F39" s="702"/>
      <c r="G39" s="1487"/>
      <c r="H39" s="1487"/>
      <c r="I39" s="1487"/>
      <c r="J39" s="1487"/>
      <c r="K39" s="1488"/>
      <c r="L39" s="1488"/>
      <c r="M39" s="703"/>
      <c r="AA39"/>
      <c r="AB39"/>
      <c r="AC39"/>
      <c r="AD39"/>
      <c r="AE39"/>
      <c r="AF39"/>
      <c r="AG39"/>
      <c r="AH39"/>
      <c r="AI39"/>
    </row>
    <row r="40" spans="1:255" ht="33.75" outlineLevel="2" x14ac:dyDescent="0.2">
      <c r="A40" s="636" t="s">
        <v>5092</v>
      </c>
      <c r="B40" s="636" t="s">
        <v>6327</v>
      </c>
      <c r="C40" s="705"/>
      <c r="D40" s="701"/>
      <c r="E40" s="702"/>
      <c r="F40" s="702"/>
      <c r="G40" s="1487">
        <v>4</v>
      </c>
      <c r="H40" s="1487"/>
      <c r="I40" s="1487"/>
      <c r="J40" s="1487" t="s">
        <v>4246</v>
      </c>
      <c r="K40" s="1488" t="s">
        <v>7015</v>
      </c>
      <c r="L40" s="1488"/>
      <c r="M40" s="703"/>
      <c r="AA40">
        <f>IF(AND('10 Dev'!C40&gt;Tmin, NOT('10 Dev'!$I40="")),'10 Dev'!$I40,0)</f>
        <v>0</v>
      </c>
      <c r="AB40">
        <f>IF(AND('10 Dev'!D40&gt;Tmin, NOT('10 Dev'!$I40="")),'10 Dev'!$I40,0)</f>
        <v>0</v>
      </c>
      <c r="AC40">
        <f>IF(AND('10 Dev'!E40&gt;Tmin, NOT('10 Dev'!$I40="")),'10 Dev'!$I40,0)</f>
        <v>0</v>
      </c>
      <c r="AD40">
        <f>IF(AND('10 Dev'!F40&gt;Tmin, NOT('10 Dev'!$I40="")),'10 Dev'!$I40,0)</f>
        <v>0</v>
      </c>
      <c r="AE40">
        <f>IF(AND('10 Dev'!C40&lt;Tmax, NOT('10 Dev'!$H40="")),'10 Dev'!$H40,4)</f>
        <v>4</v>
      </c>
      <c r="AF40">
        <f>IF(AND('10 Dev'!D40&lt;Tmax, NOT('10 Dev'!$H40="")),'10 Dev'!$H40,4)</f>
        <v>4</v>
      </c>
      <c r="AG40">
        <f>IF(AND('10 Dev'!E40&lt;Tmax, NOT('10 Dev'!$H40="")),'10 Dev'!$H40,4)</f>
        <v>4</v>
      </c>
      <c r="AH40">
        <f>IF(AND('10 Dev'!F40&lt;Tmax, NOT('10 Dev'!$H40="")),'10 Dev'!$H40,4)</f>
        <v>4</v>
      </c>
      <c r="AI40"/>
    </row>
    <row r="41" spans="1:255" s="648" customFormat="1" ht="14.25" customHeight="1" outlineLevel="2" x14ac:dyDescent="0.2">
      <c r="A41" s="636" t="s">
        <v>6193</v>
      </c>
      <c r="B41" s="636" t="s">
        <v>6328</v>
      </c>
      <c r="C41" s="705"/>
      <c r="D41" s="701"/>
      <c r="E41" s="702"/>
      <c r="F41" s="702"/>
      <c r="G41" s="1487">
        <v>2</v>
      </c>
      <c r="H41" s="1487">
        <v>2</v>
      </c>
      <c r="I41" s="1487"/>
      <c r="J41" s="1487" t="s">
        <v>1592</v>
      </c>
      <c r="K41" s="1488"/>
      <c r="L41" s="1488"/>
      <c r="M41" s="703"/>
      <c r="N41" s="611"/>
      <c r="O41" s="611"/>
      <c r="P41" s="611"/>
      <c r="Q41" s="611"/>
      <c r="R41" s="611"/>
      <c r="S41" s="611"/>
      <c r="T41" s="611"/>
      <c r="U41" s="611"/>
      <c r="V41" s="611"/>
      <c r="W41" s="611"/>
      <c r="X41" s="611"/>
      <c r="Y41" s="611"/>
      <c r="Z41" s="611"/>
      <c r="AA41">
        <f>IF(AND('10 Dev'!C41&gt;Tmin, NOT('10 Dev'!$I41="")),'10 Dev'!$I41,0)</f>
        <v>0</v>
      </c>
      <c r="AB41">
        <f>IF(AND('10 Dev'!D41&gt;Tmin, NOT('10 Dev'!$I41="")),'10 Dev'!$I41,0)</f>
        <v>0</v>
      </c>
      <c r="AC41">
        <f>IF(AND('10 Dev'!E41&gt;Tmin, NOT('10 Dev'!$I41="")),'10 Dev'!$I41,0)</f>
        <v>0</v>
      </c>
      <c r="AD41">
        <f>IF(AND('10 Dev'!F41&gt;Tmin, NOT('10 Dev'!$I41="")),'10 Dev'!$I41,0)</f>
        <v>0</v>
      </c>
      <c r="AE41">
        <f>IF(AND('10 Dev'!C41&lt;Tmax, NOT('10 Dev'!$H41="")),'10 Dev'!$H41,4)</f>
        <v>2</v>
      </c>
      <c r="AF41">
        <f>IF(AND('10 Dev'!D41&lt;Tmax, NOT('10 Dev'!$H41="")),'10 Dev'!$H41,4)</f>
        <v>2</v>
      </c>
      <c r="AG41">
        <f>IF(AND('10 Dev'!E41&lt;Tmax, NOT('10 Dev'!$H41="")),'10 Dev'!$H41,4)</f>
        <v>2</v>
      </c>
      <c r="AH41">
        <f>IF(AND('10 Dev'!F41&lt;Tmax, NOT('10 Dev'!$H41="")),'10 Dev'!$H41,4)</f>
        <v>2</v>
      </c>
      <c r="AI41"/>
    </row>
    <row r="42" spans="1:255" outlineLevel="2" x14ac:dyDescent="0.2">
      <c r="A42" s="636" t="s">
        <v>6194</v>
      </c>
      <c r="B42" s="636" t="s">
        <v>6195</v>
      </c>
      <c r="C42" s="705"/>
      <c r="D42" s="701"/>
      <c r="E42" s="702"/>
      <c r="F42" s="702"/>
      <c r="G42" s="1487">
        <v>2</v>
      </c>
      <c r="H42" s="1487"/>
      <c r="I42" s="1487"/>
      <c r="J42" s="1487" t="s">
        <v>1592</v>
      </c>
      <c r="K42" s="1458" t="s">
        <v>2672</v>
      </c>
      <c r="L42" s="1488"/>
      <c r="M42" s="703"/>
      <c r="AA42">
        <f>IF(AND('10 Dev'!C42&gt;Tmin, NOT('10 Dev'!$I42="")),'10 Dev'!$I42,0)</f>
        <v>0</v>
      </c>
      <c r="AB42">
        <f>IF(AND('10 Dev'!D42&gt;Tmin, NOT('10 Dev'!$I42="")),'10 Dev'!$I42,0)</f>
        <v>0</v>
      </c>
      <c r="AC42">
        <f>IF(AND('10 Dev'!E42&gt;Tmin, NOT('10 Dev'!$I42="")),'10 Dev'!$I42,0)</f>
        <v>0</v>
      </c>
      <c r="AD42">
        <f>IF(AND('10 Dev'!F42&gt;Tmin, NOT('10 Dev'!$I42="")),'10 Dev'!$I42,0)</f>
        <v>0</v>
      </c>
      <c r="AE42">
        <f>IF(AND('10 Dev'!C42&lt;Tmax, NOT('10 Dev'!$H42="")),'10 Dev'!$H42,4)</f>
        <v>4</v>
      </c>
      <c r="AF42">
        <f>IF(AND('10 Dev'!D42&lt;Tmax, NOT('10 Dev'!$H42="")),'10 Dev'!$H42,4)</f>
        <v>4</v>
      </c>
      <c r="AG42">
        <f>IF(AND('10 Dev'!E42&lt;Tmax, NOT('10 Dev'!$H42="")),'10 Dev'!$H42,4)</f>
        <v>4</v>
      </c>
      <c r="AH42">
        <f>IF(AND('10 Dev'!F42&lt;Tmax, NOT('10 Dev'!$H42="")),'10 Dev'!$H42,4)</f>
        <v>4</v>
      </c>
      <c r="AI42"/>
    </row>
    <row r="43" spans="1:255" outlineLevel="2" x14ac:dyDescent="0.2">
      <c r="A43" s="636" t="s">
        <v>6196</v>
      </c>
      <c r="B43" s="636" t="s">
        <v>908</v>
      </c>
      <c r="C43" s="705"/>
      <c r="D43" s="701"/>
      <c r="E43" s="702"/>
      <c r="F43" s="702"/>
      <c r="G43" s="1487">
        <v>4</v>
      </c>
      <c r="H43" s="1487"/>
      <c r="I43" s="1487"/>
      <c r="J43" s="1487" t="s">
        <v>4246</v>
      </c>
      <c r="K43" s="1488" t="s">
        <v>6978</v>
      </c>
      <c r="L43" s="1488" t="s">
        <v>1369</v>
      </c>
      <c r="M43" s="703"/>
      <c r="AA43">
        <f>IF(AND('10 Dev'!C43&gt;Tmin, NOT('10 Dev'!$I43="")),'10 Dev'!$I43,0)</f>
        <v>0</v>
      </c>
      <c r="AB43">
        <f>IF(AND('10 Dev'!D43&gt;Tmin, NOT('10 Dev'!$I43="")),'10 Dev'!$I43,0)</f>
        <v>0</v>
      </c>
      <c r="AC43">
        <f>IF(AND('10 Dev'!E43&gt;Tmin, NOT('10 Dev'!$I43="")),'10 Dev'!$I43,0)</f>
        <v>0</v>
      </c>
      <c r="AD43">
        <f>IF(AND('10 Dev'!F43&gt;Tmin, NOT('10 Dev'!$I43="")),'10 Dev'!$I43,0)</f>
        <v>0</v>
      </c>
      <c r="AE43">
        <f>IF(AND('10 Dev'!C43&lt;Tmax, NOT('10 Dev'!$H43="")),'10 Dev'!$H43,4)</f>
        <v>4</v>
      </c>
      <c r="AF43">
        <f>IF(AND('10 Dev'!D43&lt;Tmax, NOT('10 Dev'!$H43="")),'10 Dev'!$H43,4)</f>
        <v>4</v>
      </c>
      <c r="AG43">
        <f>IF(AND('10 Dev'!E43&lt;Tmax, NOT('10 Dev'!$H43="")),'10 Dev'!$H43,4)</f>
        <v>4</v>
      </c>
      <c r="AH43">
        <f>IF(AND('10 Dev'!F43&lt;Tmax, NOT('10 Dev'!$H43="")),'10 Dev'!$H43,4)</f>
        <v>4</v>
      </c>
      <c r="AI43"/>
    </row>
    <row r="44" spans="1:255" s="648" customFormat="1" ht="33.75" outlineLevel="2" x14ac:dyDescent="0.2">
      <c r="A44" s="636" t="s">
        <v>6197</v>
      </c>
      <c r="B44" s="636" t="s">
        <v>4474</v>
      </c>
      <c r="C44" s="705"/>
      <c r="D44" s="701"/>
      <c r="E44" s="702"/>
      <c r="F44" s="702"/>
      <c r="G44" s="1487">
        <v>4</v>
      </c>
      <c r="H44" s="1487"/>
      <c r="I44" s="1487"/>
      <c r="J44" s="1487" t="s">
        <v>1592</v>
      </c>
      <c r="K44" s="1488" t="s">
        <v>7154</v>
      </c>
      <c r="L44" s="1488"/>
      <c r="M44" s="703"/>
      <c r="N44" s="611"/>
      <c r="O44" s="611"/>
      <c r="P44" s="611"/>
      <c r="Q44" s="611"/>
      <c r="R44" s="611"/>
      <c r="S44" s="611"/>
      <c r="T44" s="611"/>
      <c r="U44" s="611"/>
      <c r="V44" s="611"/>
      <c r="W44" s="611"/>
      <c r="X44" s="611"/>
      <c r="Y44" s="611"/>
      <c r="Z44" s="611"/>
      <c r="AA44">
        <f>IF(AND('10 Dev'!C44&gt;Tmin, NOT('10 Dev'!$I44="")),'10 Dev'!$I44,0)</f>
        <v>0</v>
      </c>
      <c r="AB44">
        <f>IF(AND('10 Dev'!D44&gt;Tmin, NOT('10 Dev'!$I44="")),'10 Dev'!$I44,0)</f>
        <v>0</v>
      </c>
      <c r="AC44">
        <f>IF(AND('10 Dev'!E44&gt;Tmin, NOT('10 Dev'!$I44="")),'10 Dev'!$I44,0)</f>
        <v>0</v>
      </c>
      <c r="AD44">
        <f>IF(AND('10 Dev'!F44&gt;Tmin, NOT('10 Dev'!$I44="")),'10 Dev'!$I44,0)</f>
        <v>0</v>
      </c>
      <c r="AE44">
        <f>IF(AND('10 Dev'!C44&lt;Tmax, NOT('10 Dev'!$H44="")),'10 Dev'!$H44,4)</f>
        <v>4</v>
      </c>
      <c r="AF44">
        <f>IF(AND('10 Dev'!D44&lt;Tmax, NOT('10 Dev'!$H44="")),'10 Dev'!$H44,4)</f>
        <v>4</v>
      </c>
      <c r="AG44">
        <f>IF(AND('10 Dev'!E44&lt;Tmax, NOT('10 Dev'!$H44="")),'10 Dev'!$H44,4)</f>
        <v>4</v>
      </c>
      <c r="AH44">
        <f>IF(AND('10 Dev'!F44&lt;Tmax, NOT('10 Dev'!$H44="")),'10 Dev'!$H44,4)</f>
        <v>4</v>
      </c>
      <c r="AI44"/>
    </row>
    <row r="45" spans="1:255" ht="47.25" customHeight="1" outlineLevel="2" x14ac:dyDescent="0.2">
      <c r="A45" s="636" t="s">
        <v>6198</v>
      </c>
      <c r="B45" s="636" t="s">
        <v>6529</v>
      </c>
      <c r="C45" s="705"/>
      <c r="D45" s="701"/>
      <c r="E45" s="702"/>
      <c r="F45" s="702"/>
      <c r="G45" s="1487">
        <v>4</v>
      </c>
      <c r="H45" s="1487"/>
      <c r="I45" s="1487">
        <v>4</v>
      </c>
      <c r="J45" s="1487" t="s">
        <v>2329</v>
      </c>
      <c r="K45" s="1488" t="s">
        <v>6978</v>
      </c>
      <c r="L45" s="1488"/>
      <c r="M45" s="703"/>
      <c r="AA45">
        <f>IF(AND('10 Dev'!C45&gt;Tmin, NOT('10 Dev'!$I45="")),'10 Dev'!$I45,0)</f>
        <v>0</v>
      </c>
      <c r="AB45">
        <f>IF(AND('10 Dev'!D45&gt;Tmin, NOT('10 Dev'!$I45="")),'10 Dev'!$I45,0)</f>
        <v>0</v>
      </c>
      <c r="AC45">
        <f>IF(AND('10 Dev'!E45&gt;Tmin, NOT('10 Dev'!$I45="")),'10 Dev'!$I45,0)</f>
        <v>0</v>
      </c>
      <c r="AD45">
        <f>IF(AND('10 Dev'!F45&gt;Tmin, NOT('10 Dev'!$I45="")),'10 Dev'!$I45,0)</f>
        <v>0</v>
      </c>
      <c r="AE45">
        <f>IF(AND('10 Dev'!C45&lt;Tmax, NOT('10 Dev'!$H45="")),'10 Dev'!$H45,4)</f>
        <v>4</v>
      </c>
      <c r="AF45">
        <f>IF(AND('10 Dev'!D45&lt;Tmax, NOT('10 Dev'!$H45="")),'10 Dev'!$H45,4)</f>
        <v>4</v>
      </c>
      <c r="AG45">
        <f>IF(AND('10 Dev'!E45&lt;Tmax, NOT('10 Dev'!$H45="")),'10 Dev'!$H45,4)</f>
        <v>4</v>
      </c>
      <c r="AH45">
        <f>IF(AND('10 Dev'!F45&lt;Tmax, NOT('10 Dev'!$H45="")),'10 Dev'!$H45,4)</f>
        <v>4</v>
      </c>
      <c r="AI45"/>
    </row>
    <row r="46" spans="1:255" ht="45.75" customHeight="1" outlineLevel="2" x14ac:dyDescent="0.2">
      <c r="A46" s="636" t="s">
        <v>6199</v>
      </c>
      <c r="B46" s="636" t="s">
        <v>5872</v>
      </c>
      <c r="C46" s="705"/>
      <c r="D46" s="701"/>
      <c r="E46" s="702"/>
      <c r="F46" s="702"/>
      <c r="G46" s="1487">
        <v>2</v>
      </c>
      <c r="H46" s="1487"/>
      <c r="I46" s="1487"/>
      <c r="J46" s="1487" t="s">
        <v>1592</v>
      </c>
      <c r="K46" s="1488" t="s">
        <v>6978</v>
      </c>
      <c r="L46" s="1488"/>
      <c r="M46" s="703"/>
      <c r="AA46">
        <f>IF(AND('10 Dev'!C46&gt;Tmin, NOT('10 Dev'!$I46="")),'10 Dev'!$I46,0)</f>
        <v>0</v>
      </c>
      <c r="AB46">
        <f>IF(AND('10 Dev'!D46&gt;Tmin, NOT('10 Dev'!$I46="")),'10 Dev'!$I46,0)</f>
        <v>0</v>
      </c>
      <c r="AC46">
        <f>IF(AND('10 Dev'!E46&gt;Tmin, NOT('10 Dev'!$I46="")),'10 Dev'!$I46,0)</f>
        <v>0</v>
      </c>
      <c r="AD46">
        <f>IF(AND('10 Dev'!F46&gt;Tmin, NOT('10 Dev'!$I46="")),'10 Dev'!$I46,0)</f>
        <v>0</v>
      </c>
      <c r="AE46">
        <f>IF(AND('10 Dev'!C46&lt;Tmax, NOT('10 Dev'!$H46="")),'10 Dev'!$H46,4)</f>
        <v>4</v>
      </c>
      <c r="AF46">
        <f>IF(AND('10 Dev'!D46&lt;Tmax, NOT('10 Dev'!$H46="")),'10 Dev'!$H46,4)</f>
        <v>4</v>
      </c>
      <c r="AG46">
        <f>IF(AND('10 Dev'!E46&lt;Tmax, NOT('10 Dev'!$H46="")),'10 Dev'!$H46,4)</f>
        <v>4</v>
      </c>
      <c r="AH46">
        <f>IF(AND('10 Dev'!F46&lt;Tmax, NOT('10 Dev'!$H46="")),'10 Dev'!$H46,4)</f>
        <v>4</v>
      </c>
      <c r="AI46"/>
    </row>
    <row r="47" spans="1:255" ht="22.5" outlineLevel="2" x14ac:dyDescent="0.2">
      <c r="A47" s="636" t="s">
        <v>6200</v>
      </c>
      <c r="B47" s="636" t="s">
        <v>3479</v>
      </c>
      <c r="C47" s="705"/>
      <c r="D47" s="701"/>
      <c r="E47" s="702"/>
      <c r="F47" s="702"/>
      <c r="G47" s="1487">
        <v>2</v>
      </c>
      <c r="H47" s="1487"/>
      <c r="I47" s="1487"/>
      <c r="J47" s="1487" t="s">
        <v>2349</v>
      </c>
      <c r="K47" s="1488" t="s">
        <v>7155</v>
      </c>
      <c r="L47" s="1488"/>
      <c r="M47" s="703"/>
      <c r="AA47">
        <f>IF(AND('10 Dev'!C47&gt;Tmin, NOT('10 Dev'!$I47="")),'10 Dev'!$I47,0)</f>
        <v>0</v>
      </c>
      <c r="AB47">
        <f>IF(AND('10 Dev'!D47&gt;Tmin, NOT('10 Dev'!$I47="")),'10 Dev'!$I47,0)</f>
        <v>0</v>
      </c>
      <c r="AC47">
        <f>IF(AND('10 Dev'!E47&gt;Tmin, NOT('10 Dev'!$I47="")),'10 Dev'!$I47,0)</f>
        <v>0</v>
      </c>
      <c r="AD47">
        <f>IF(AND('10 Dev'!F47&gt;Tmin, NOT('10 Dev'!$I47="")),'10 Dev'!$I47,0)</f>
        <v>0</v>
      </c>
      <c r="AE47">
        <f>IF(AND('10 Dev'!C47&lt;Tmax, NOT('10 Dev'!$H47="")),'10 Dev'!$H47,4)</f>
        <v>4</v>
      </c>
      <c r="AF47">
        <f>IF(AND('10 Dev'!D47&lt;Tmax, NOT('10 Dev'!$H47="")),'10 Dev'!$H47,4)</f>
        <v>4</v>
      </c>
      <c r="AG47">
        <f>IF(AND('10 Dev'!E47&lt;Tmax, NOT('10 Dev'!$H47="")),'10 Dev'!$H47,4)</f>
        <v>4</v>
      </c>
      <c r="AH47">
        <f>IF(AND('10 Dev'!F47&lt;Tmax, NOT('10 Dev'!$H47="")),'10 Dev'!$H47,4)</f>
        <v>4</v>
      </c>
      <c r="AI47"/>
    </row>
    <row r="48" spans="1:255" ht="22.5" outlineLevel="2" x14ac:dyDescent="0.2">
      <c r="A48" s="636" t="s">
        <v>3480</v>
      </c>
      <c r="B48" s="636" t="s">
        <v>3481</v>
      </c>
      <c r="C48" s="705"/>
      <c r="D48" s="701"/>
      <c r="E48" s="702"/>
      <c r="F48" s="702"/>
      <c r="G48" s="1487">
        <v>4</v>
      </c>
      <c r="H48" s="1487">
        <v>3</v>
      </c>
      <c r="I48" s="1487"/>
      <c r="J48" s="1487" t="s">
        <v>2107</v>
      </c>
      <c r="K48" s="1488" t="s">
        <v>7156</v>
      </c>
      <c r="L48" s="1488"/>
      <c r="M48" s="703"/>
      <c r="AA48">
        <f>IF(AND('10 Dev'!C48&gt;Tmin, NOT('10 Dev'!$I48="")),'10 Dev'!$I48,0)</f>
        <v>0</v>
      </c>
      <c r="AB48">
        <f>IF(AND('10 Dev'!D48&gt;Tmin, NOT('10 Dev'!$I48="")),'10 Dev'!$I48,0)</f>
        <v>0</v>
      </c>
      <c r="AC48">
        <f>IF(AND('10 Dev'!E48&gt;Tmin, NOT('10 Dev'!$I48="")),'10 Dev'!$I48,0)</f>
        <v>0</v>
      </c>
      <c r="AD48">
        <f>IF(AND('10 Dev'!F48&gt;Tmin, NOT('10 Dev'!$I48="")),'10 Dev'!$I48,0)</f>
        <v>0</v>
      </c>
      <c r="AE48">
        <f>IF(AND('10 Dev'!C48&lt;Tmax, NOT('10 Dev'!$H48="")),'10 Dev'!$H48,4)</f>
        <v>3</v>
      </c>
      <c r="AF48">
        <f>IF(AND('10 Dev'!D48&lt;Tmax, NOT('10 Dev'!$H48="")),'10 Dev'!$H48,4)</f>
        <v>3</v>
      </c>
      <c r="AG48">
        <f>IF(AND('10 Dev'!E48&lt;Tmax, NOT('10 Dev'!$H48="")),'10 Dev'!$H48,4)</f>
        <v>3</v>
      </c>
      <c r="AH48">
        <f>IF(AND('10 Dev'!F48&lt;Tmax, NOT('10 Dev'!$H48="")),'10 Dev'!$H48,4)</f>
        <v>3</v>
      </c>
      <c r="AI48"/>
    </row>
    <row r="49" spans="1:35" ht="22.5" outlineLevel="2" x14ac:dyDescent="0.2">
      <c r="A49" s="636" t="s">
        <v>3482</v>
      </c>
      <c r="B49" s="636" t="s">
        <v>3483</v>
      </c>
      <c r="C49" s="705"/>
      <c r="D49" s="701"/>
      <c r="E49" s="702"/>
      <c r="F49" s="702"/>
      <c r="G49" s="1487">
        <v>4</v>
      </c>
      <c r="H49" s="1487"/>
      <c r="I49" s="1487"/>
      <c r="J49" s="1487" t="s">
        <v>1592</v>
      </c>
      <c r="K49" s="1488" t="s">
        <v>7156</v>
      </c>
      <c r="L49" s="1488"/>
      <c r="M49" s="703"/>
      <c r="AA49">
        <f>IF(AND('10 Dev'!C49&gt;Tmin, NOT('10 Dev'!$I49="")),'10 Dev'!$I49,0)</f>
        <v>0</v>
      </c>
      <c r="AB49">
        <f>IF(AND('10 Dev'!D49&gt;Tmin, NOT('10 Dev'!$I49="")),'10 Dev'!$I49,0)</f>
        <v>0</v>
      </c>
      <c r="AC49">
        <f>IF(AND('10 Dev'!E49&gt;Tmin, NOT('10 Dev'!$I49="")),'10 Dev'!$I49,0)</f>
        <v>0</v>
      </c>
      <c r="AD49">
        <f>IF(AND('10 Dev'!F49&gt;Tmin, NOT('10 Dev'!$I49="")),'10 Dev'!$I49,0)</f>
        <v>0</v>
      </c>
      <c r="AE49">
        <f>IF(AND('10 Dev'!C49&lt;Tmax, NOT('10 Dev'!$H49="")),'10 Dev'!$H49,4)</f>
        <v>4</v>
      </c>
      <c r="AF49">
        <f>IF(AND('10 Dev'!D49&lt;Tmax, NOT('10 Dev'!$H49="")),'10 Dev'!$H49,4)</f>
        <v>4</v>
      </c>
      <c r="AG49">
        <f>IF(AND('10 Dev'!E49&lt;Tmax, NOT('10 Dev'!$H49="")),'10 Dev'!$H49,4)</f>
        <v>4</v>
      </c>
      <c r="AH49">
        <f>IF(AND('10 Dev'!F49&lt;Tmax, NOT('10 Dev'!$H49="")),'10 Dev'!$H49,4)</f>
        <v>4</v>
      </c>
      <c r="AI49"/>
    </row>
    <row r="50" spans="1:35" ht="27" customHeight="1" outlineLevel="2" x14ac:dyDescent="0.2">
      <c r="A50" s="636" t="s">
        <v>3484</v>
      </c>
      <c r="B50" s="636" t="s">
        <v>4500</v>
      </c>
      <c r="C50" s="705"/>
      <c r="D50" s="701"/>
      <c r="E50" s="702"/>
      <c r="F50" s="702"/>
      <c r="G50" s="1487">
        <v>4</v>
      </c>
      <c r="H50" s="1487">
        <v>3</v>
      </c>
      <c r="I50" s="1487"/>
      <c r="J50" s="1487" t="s">
        <v>2329</v>
      </c>
      <c r="K50" s="1458" t="s">
        <v>7157</v>
      </c>
      <c r="L50" s="1488"/>
      <c r="M50" s="703"/>
      <c r="AA50">
        <f>IF(AND('10 Dev'!C50&gt;Tmin, NOT('10 Dev'!$I50="")),'10 Dev'!$I50,0)</f>
        <v>0</v>
      </c>
      <c r="AB50">
        <f>IF(AND('10 Dev'!D50&gt;Tmin, NOT('10 Dev'!$I50="")),'10 Dev'!$I50,0)</f>
        <v>0</v>
      </c>
      <c r="AC50">
        <f>IF(AND('10 Dev'!E50&gt;Tmin, NOT('10 Dev'!$I50="")),'10 Dev'!$I50,0)</f>
        <v>0</v>
      </c>
      <c r="AD50">
        <f>IF(AND('10 Dev'!F50&gt;Tmin, NOT('10 Dev'!$I50="")),'10 Dev'!$I50,0)</f>
        <v>0</v>
      </c>
      <c r="AE50">
        <f>IF(AND('10 Dev'!C50&lt;Tmax, NOT('10 Dev'!$H50="")),'10 Dev'!$H50,4)</f>
        <v>3</v>
      </c>
      <c r="AF50">
        <f>IF(AND('10 Dev'!D50&lt;Tmax, NOT('10 Dev'!$H50="")),'10 Dev'!$H50,4)</f>
        <v>3</v>
      </c>
      <c r="AG50">
        <f>IF(AND('10 Dev'!E50&lt;Tmax, NOT('10 Dev'!$H50="")),'10 Dev'!$H50,4)</f>
        <v>3</v>
      </c>
      <c r="AH50">
        <f>IF(AND('10 Dev'!F50&lt;Tmax, NOT('10 Dev'!$H50="")),'10 Dev'!$H50,4)</f>
        <v>3</v>
      </c>
      <c r="AI50"/>
    </row>
    <row r="51" spans="1:35" ht="22.5" outlineLevel="2" collapsed="1" x14ac:dyDescent="0.2">
      <c r="A51" s="636" t="s">
        <v>4501</v>
      </c>
      <c r="B51" s="636" t="s">
        <v>5873</v>
      </c>
      <c r="C51" s="705"/>
      <c r="D51" s="701"/>
      <c r="E51" s="702"/>
      <c r="F51" s="702"/>
      <c r="G51" s="1487">
        <v>2</v>
      </c>
      <c r="H51" s="1487"/>
      <c r="I51" s="1487"/>
      <c r="J51" s="1487" t="s">
        <v>4246</v>
      </c>
      <c r="K51" s="1488" t="s">
        <v>7019</v>
      </c>
      <c r="L51" s="1488"/>
      <c r="M51" s="703"/>
      <c r="AA51">
        <f>IF(AND('10 Dev'!C51&gt;Tmin, NOT('10 Dev'!$I51="")),'10 Dev'!$I51,0)</f>
        <v>0</v>
      </c>
      <c r="AB51">
        <f>IF(AND('10 Dev'!D51&gt;Tmin, NOT('10 Dev'!$I51="")),'10 Dev'!$I51,0)</f>
        <v>0</v>
      </c>
      <c r="AC51">
        <f>IF(AND('10 Dev'!E51&gt;Tmin, NOT('10 Dev'!$I51="")),'10 Dev'!$I51,0)</f>
        <v>0</v>
      </c>
      <c r="AD51">
        <f>IF(AND('10 Dev'!F51&gt;Tmin, NOT('10 Dev'!$I51="")),'10 Dev'!$I51,0)</f>
        <v>0</v>
      </c>
      <c r="AE51">
        <f>IF(AND('10 Dev'!C51&lt;Tmax, NOT('10 Dev'!$H51="")),'10 Dev'!$H51,4)</f>
        <v>4</v>
      </c>
      <c r="AF51">
        <f>IF(AND('10 Dev'!D51&lt;Tmax, NOT('10 Dev'!$H51="")),'10 Dev'!$H51,4)</f>
        <v>4</v>
      </c>
      <c r="AG51">
        <f>IF(AND('10 Dev'!E51&lt;Tmax, NOT('10 Dev'!$H51="")),'10 Dev'!$H51,4)</f>
        <v>4</v>
      </c>
      <c r="AH51">
        <f>IF(AND('10 Dev'!F51&lt;Tmax, NOT('10 Dev'!$H51="")),'10 Dev'!$H51,4)</f>
        <v>4</v>
      </c>
      <c r="AI51"/>
    </row>
    <row r="52" spans="1:35" ht="46.5" customHeight="1" outlineLevel="2" x14ac:dyDescent="0.2">
      <c r="A52" s="636" t="s">
        <v>4502</v>
      </c>
      <c r="B52" s="636" t="s">
        <v>2680</v>
      </c>
      <c r="C52" s="705"/>
      <c r="D52" s="701"/>
      <c r="E52" s="702"/>
      <c r="F52" s="702"/>
      <c r="G52" s="1487">
        <v>4</v>
      </c>
      <c r="H52" s="1487"/>
      <c r="I52" s="1487"/>
      <c r="J52" s="1487" t="s">
        <v>2964</v>
      </c>
      <c r="K52" s="1488"/>
      <c r="L52" s="1488"/>
      <c r="M52" s="703"/>
      <c r="AA52">
        <f>IF(AND('10 Dev'!C52&gt;Tmin, NOT('10 Dev'!$I52="")),'10 Dev'!$I52,0)</f>
        <v>0</v>
      </c>
      <c r="AB52">
        <f>IF(AND('10 Dev'!D52&gt;Tmin, NOT('10 Dev'!$I52="")),'10 Dev'!$I52,0)</f>
        <v>0</v>
      </c>
      <c r="AC52">
        <f>IF(AND('10 Dev'!E52&gt;Tmin, NOT('10 Dev'!$I52="")),'10 Dev'!$I52,0)</f>
        <v>0</v>
      </c>
      <c r="AD52">
        <f>IF(AND('10 Dev'!F52&gt;Tmin, NOT('10 Dev'!$I52="")),'10 Dev'!$I52,0)</f>
        <v>0</v>
      </c>
      <c r="AE52">
        <f>IF(AND('10 Dev'!C52&lt;Tmax, NOT('10 Dev'!$H52="")),'10 Dev'!$H52,4)</f>
        <v>4</v>
      </c>
      <c r="AF52">
        <f>IF(AND('10 Dev'!D52&lt;Tmax, NOT('10 Dev'!$H52="")),'10 Dev'!$H52,4)</f>
        <v>4</v>
      </c>
      <c r="AG52">
        <f>IF(AND('10 Dev'!E52&lt;Tmax, NOT('10 Dev'!$H52="")),'10 Dev'!$H52,4)</f>
        <v>4</v>
      </c>
      <c r="AH52">
        <f>IF(AND('10 Dev'!F52&lt;Tmax, NOT('10 Dev'!$H52="")),'10 Dev'!$H52,4)</f>
        <v>4</v>
      </c>
      <c r="AI52"/>
    </row>
    <row r="53" spans="1:35" ht="27" customHeight="1" outlineLevel="2" x14ac:dyDescent="0.2">
      <c r="A53" s="636" t="s">
        <v>4503</v>
      </c>
      <c r="B53" s="636" t="s">
        <v>5063</v>
      </c>
      <c r="C53" s="705"/>
      <c r="D53" s="701"/>
      <c r="E53" s="702"/>
      <c r="F53" s="702"/>
      <c r="G53" s="1487">
        <v>2</v>
      </c>
      <c r="H53" s="1507"/>
      <c r="I53" s="1507"/>
      <c r="J53" s="1487" t="s">
        <v>2109</v>
      </c>
      <c r="K53" s="1488"/>
      <c r="L53" s="1488"/>
      <c r="M53" s="703"/>
      <c r="AA53">
        <f>IF(AND('10 Dev'!C53&gt;Tmin, NOT('10 Dev'!$I53="")),'10 Dev'!$I53,0)</f>
        <v>0</v>
      </c>
      <c r="AB53">
        <f>IF(AND('10 Dev'!D53&gt;Tmin, NOT('10 Dev'!$I53="")),'10 Dev'!$I53,0)</f>
        <v>0</v>
      </c>
      <c r="AC53">
        <f>IF(AND('10 Dev'!E53&gt;Tmin, NOT('10 Dev'!$I53="")),'10 Dev'!$I53,0)</f>
        <v>0</v>
      </c>
      <c r="AD53">
        <f>IF(AND('10 Dev'!F53&gt;Tmin, NOT('10 Dev'!$I53="")),'10 Dev'!$I53,0)</f>
        <v>0</v>
      </c>
      <c r="AE53">
        <f>IF(AND('10 Dev'!C53&lt;Tmax, NOT('10 Dev'!$H53="")),'10 Dev'!$H53,4)</f>
        <v>4</v>
      </c>
      <c r="AF53">
        <f>IF(AND('10 Dev'!D53&lt;Tmax, NOT('10 Dev'!$H53="")),'10 Dev'!$H53,4)</f>
        <v>4</v>
      </c>
      <c r="AG53">
        <f>IF(AND('10 Dev'!E53&lt;Tmax, NOT('10 Dev'!$H53="")),'10 Dev'!$H53,4)</f>
        <v>4</v>
      </c>
      <c r="AH53">
        <f>IF(AND('10 Dev'!F53&lt;Tmax, NOT('10 Dev'!$H53="")),'10 Dev'!$H53,4)</f>
        <v>4</v>
      </c>
      <c r="AI53"/>
    </row>
    <row r="54" spans="1:35" outlineLevel="1" x14ac:dyDescent="0.2">
      <c r="A54" s="553" t="s">
        <v>3219</v>
      </c>
      <c r="B54" s="704" t="s">
        <v>3220</v>
      </c>
      <c r="C54" s="705"/>
      <c r="D54" s="701"/>
      <c r="E54" s="702"/>
      <c r="F54" s="702"/>
      <c r="G54" s="1487"/>
      <c r="H54" s="1487"/>
      <c r="I54" s="1487"/>
      <c r="J54" s="1487"/>
      <c r="K54" s="1488"/>
      <c r="L54" s="1488"/>
      <c r="M54" s="703"/>
      <c r="AA54"/>
      <c r="AB54"/>
      <c r="AC54"/>
      <c r="AD54"/>
      <c r="AE54"/>
      <c r="AF54"/>
      <c r="AG54"/>
      <c r="AH54"/>
      <c r="AI54"/>
    </row>
    <row r="55" spans="1:35" s="708" customFormat="1" ht="36" customHeight="1" outlineLevel="2" x14ac:dyDescent="0.2">
      <c r="A55" s="636" t="s">
        <v>4504</v>
      </c>
      <c r="B55" s="636" t="s">
        <v>6226</v>
      </c>
      <c r="C55" s="705"/>
      <c r="D55" s="701"/>
      <c r="E55" s="702"/>
      <c r="F55" s="702"/>
      <c r="G55" s="1487">
        <v>4</v>
      </c>
      <c r="H55" s="1487"/>
      <c r="I55" s="1487"/>
      <c r="J55" s="1487" t="s">
        <v>4246</v>
      </c>
      <c r="K55" s="1458" t="s">
        <v>7005</v>
      </c>
      <c r="L55" s="1488"/>
      <c r="M55" s="716"/>
      <c r="N55" s="707"/>
      <c r="O55" s="707"/>
      <c r="P55" s="707"/>
      <c r="Q55" s="707"/>
      <c r="R55" s="707"/>
      <c r="S55" s="707"/>
      <c r="T55" s="707"/>
      <c r="U55" s="707"/>
      <c r="V55" s="707"/>
      <c r="W55" s="707"/>
      <c r="X55" s="707"/>
      <c r="Y55" s="707"/>
      <c r="Z55" s="707"/>
      <c r="AA55">
        <f>IF(AND('10 Dev'!C55&gt;Tmin, NOT('10 Dev'!$I55="")),'10 Dev'!$I55,0)</f>
        <v>0</v>
      </c>
      <c r="AB55">
        <f>IF(AND('10 Dev'!D55&gt;Tmin, NOT('10 Dev'!$I55="")),'10 Dev'!$I55,0)</f>
        <v>0</v>
      </c>
      <c r="AC55">
        <f>IF(AND('10 Dev'!E55&gt;Tmin, NOT('10 Dev'!$I55="")),'10 Dev'!$I55,0)</f>
        <v>0</v>
      </c>
      <c r="AD55">
        <f>IF(AND('10 Dev'!F55&gt;Tmin, NOT('10 Dev'!$I55="")),'10 Dev'!$I55,0)</f>
        <v>0</v>
      </c>
      <c r="AE55">
        <f>IF(AND('10 Dev'!C55&lt;Tmax, NOT('10 Dev'!$H55="")),'10 Dev'!$H55,4)</f>
        <v>4</v>
      </c>
      <c r="AF55">
        <f>IF(AND('10 Dev'!D55&lt;Tmax, NOT('10 Dev'!$H55="")),'10 Dev'!$H55,4)</f>
        <v>4</v>
      </c>
      <c r="AG55">
        <f>IF(AND('10 Dev'!E55&lt;Tmax, NOT('10 Dev'!$H55="")),'10 Dev'!$H55,4)</f>
        <v>4</v>
      </c>
      <c r="AH55">
        <f>IF(AND('10 Dev'!F55&lt;Tmax, NOT('10 Dev'!$H55="")),'10 Dev'!$H55,4)</f>
        <v>4</v>
      </c>
      <c r="AI55"/>
    </row>
    <row r="56" spans="1:35" ht="24.75" customHeight="1" outlineLevel="2" x14ac:dyDescent="0.2">
      <c r="A56" s="636" t="s">
        <v>6227</v>
      </c>
      <c r="B56" s="636" t="s">
        <v>6223</v>
      </c>
      <c r="C56" s="705"/>
      <c r="D56" s="701"/>
      <c r="E56" s="702"/>
      <c r="F56" s="702"/>
      <c r="G56" s="1487">
        <v>4</v>
      </c>
      <c r="H56" s="1487"/>
      <c r="I56" s="1487"/>
      <c r="J56" s="1487" t="s">
        <v>4246</v>
      </c>
      <c r="K56" s="1458" t="s">
        <v>7005</v>
      </c>
      <c r="L56" s="1488"/>
      <c r="M56" s="703"/>
      <c r="AA56">
        <f>IF(AND('10 Dev'!C56&gt;Tmin, NOT('10 Dev'!$I56="")),'10 Dev'!$I56,0)</f>
        <v>0</v>
      </c>
      <c r="AB56">
        <f>IF(AND('10 Dev'!D56&gt;Tmin, NOT('10 Dev'!$I56="")),'10 Dev'!$I56,0)</f>
        <v>0</v>
      </c>
      <c r="AC56">
        <f>IF(AND('10 Dev'!E56&gt;Tmin, NOT('10 Dev'!$I56="")),'10 Dev'!$I56,0)</f>
        <v>0</v>
      </c>
      <c r="AD56">
        <f>IF(AND('10 Dev'!F56&gt;Tmin, NOT('10 Dev'!$I56="")),'10 Dev'!$I56,0)</f>
        <v>0</v>
      </c>
      <c r="AE56">
        <f>IF(AND('10 Dev'!C56&lt;Tmax, NOT('10 Dev'!$H56="")),'10 Dev'!$H56,4)</f>
        <v>4</v>
      </c>
      <c r="AF56">
        <f>IF(AND('10 Dev'!D56&lt;Tmax, NOT('10 Dev'!$H56="")),'10 Dev'!$H56,4)</f>
        <v>4</v>
      </c>
      <c r="AG56">
        <f>IF(AND('10 Dev'!E56&lt;Tmax, NOT('10 Dev'!$H56="")),'10 Dev'!$H56,4)</f>
        <v>4</v>
      </c>
      <c r="AH56">
        <f>IF(AND('10 Dev'!F56&lt;Tmax, NOT('10 Dev'!$H56="")),'10 Dev'!$H56,4)</f>
        <v>4</v>
      </c>
      <c r="AI56"/>
    </row>
    <row r="57" spans="1:35" ht="27.75" customHeight="1" outlineLevel="2" x14ac:dyDescent="0.2">
      <c r="A57" s="636" t="s">
        <v>6224</v>
      </c>
      <c r="B57" s="636" t="s">
        <v>5648</v>
      </c>
      <c r="C57" s="705"/>
      <c r="D57" s="701"/>
      <c r="E57" s="702"/>
      <c r="F57" s="702"/>
      <c r="G57" s="1487">
        <v>4</v>
      </c>
      <c r="H57" s="1487">
        <v>2</v>
      </c>
      <c r="I57" s="1487"/>
      <c r="J57" s="1487" t="s">
        <v>4246</v>
      </c>
      <c r="K57" s="1458" t="s">
        <v>7005</v>
      </c>
      <c r="L57" s="1488"/>
      <c r="M57" s="703"/>
      <c r="AA57">
        <f>IF(AND('10 Dev'!C57&gt;Tmin, NOT('10 Dev'!$I57="")),'10 Dev'!$I57,0)</f>
        <v>0</v>
      </c>
      <c r="AB57">
        <f>IF(AND('10 Dev'!D57&gt;Tmin, NOT('10 Dev'!$I57="")),'10 Dev'!$I57,0)</f>
        <v>0</v>
      </c>
      <c r="AC57">
        <f>IF(AND('10 Dev'!E57&gt;Tmin, NOT('10 Dev'!$I57="")),'10 Dev'!$I57,0)</f>
        <v>0</v>
      </c>
      <c r="AD57">
        <f>IF(AND('10 Dev'!F57&gt;Tmin, NOT('10 Dev'!$I57="")),'10 Dev'!$I57,0)</f>
        <v>0</v>
      </c>
      <c r="AE57">
        <f>IF(AND('10 Dev'!C57&lt;Tmax, NOT('10 Dev'!$H57="")),'10 Dev'!$H57,4)</f>
        <v>2</v>
      </c>
      <c r="AF57">
        <f>IF(AND('10 Dev'!D57&lt;Tmax, NOT('10 Dev'!$H57="")),'10 Dev'!$H57,4)</f>
        <v>2</v>
      </c>
      <c r="AG57">
        <f>IF(AND('10 Dev'!E57&lt;Tmax, NOT('10 Dev'!$H57="")),'10 Dev'!$H57,4)</f>
        <v>2</v>
      </c>
      <c r="AH57">
        <f>IF(AND('10 Dev'!F57&lt;Tmax, NOT('10 Dev'!$H57="")),'10 Dev'!$H57,4)</f>
        <v>2</v>
      </c>
      <c r="AI57"/>
    </row>
    <row r="58" spans="1:35" ht="56.25" outlineLevel="2" x14ac:dyDescent="0.2">
      <c r="A58" s="636" t="s">
        <v>5649</v>
      </c>
      <c r="B58" s="636" t="s">
        <v>3749</v>
      </c>
      <c r="C58" s="705"/>
      <c r="D58" s="701"/>
      <c r="E58" s="702"/>
      <c r="F58" s="702"/>
      <c r="G58" s="1487">
        <v>4</v>
      </c>
      <c r="H58" s="1487">
        <v>2</v>
      </c>
      <c r="I58" s="1487"/>
      <c r="J58" s="1487" t="s">
        <v>1592</v>
      </c>
      <c r="K58" s="1459" t="s">
        <v>7158</v>
      </c>
      <c r="L58" s="1488" t="s">
        <v>5650</v>
      </c>
      <c r="M58" s="703"/>
      <c r="AA58">
        <f>IF(AND('10 Dev'!C58&gt;Tmin, NOT('10 Dev'!$I58="")),'10 Dev'!$I58,0)</f>
        <v>0</v>
      </c>
      <c r="AB58">
        <f>IF(AND('10 Dev'!D58&gt;Tmin, NOT('10 Dev'!$I58="")),'10 Dev'!$I58,0)</f>
        <v>0</v>
      </c>
      <c r="AC58">
        <f>IF(AND('10 Dev'!E58&gt;Tmin, NOT('10 Dev'!$I58="")),'10 Dev'!$I58,0)</f>
        <v>0</v>
      </c>
      <c r="AD58">
        <f>IF(AND('10 Dev'!F58&gt;Tmin, NOT('10 Dev'!$I58="")),'10 Dev'!$I58,0)</f>
        <v>0</v>
      </c>
      <c r="AE58">
        <f>IF(AND('10 Dev'!C58&lt;Tmax, NOT('10 Dev'!$H58="")),'10 Dev'!$H58,4)</f>
        <v>2</v>
      </c>
      <c r="AF58">
        <f>IF(AND('10 Dev'!D58&lt;Tmax, NOT('10 Dev'!$H58="")),'10 Dev'!$H58,4)</f>
        <v>2</v>
      </c>
      <c r="AG58">
        <f>IF(AND('10 Dev'!E58&lt;Tmax, NOT('10 Dev'!$H58="")),'10 Dev'!$H58,4)</f>
        <v>2</v>
      </c>
      <c r="AH58">
        <f>IF(AND('10 Dev'!F58&lt;Tmax, NOT('10 Dev'!$H58="")),'10 Dev'!$H58,4)</f>
        <v>2</v>
      </c>
      <c r="AI58"/>
    </row>
    <row r="59" spans="1:35" ht="47.25" customHeight="1" outlineLevel="2" x14ac:dyDescent="0.2">
      <c r="A59" s="636" t="s">
        <v>5651</v>
      </c>
      <c r="B59" s="636" t="s">
        <v>2680</v>
      </c>
      <c r="C59" s="705"/>
      <c r="D59" s="701"/>
      <c r="E59" s="702"/>
      <c r="F59" s="702"/>
      <c r="G59" s="1487">
        <v>2</v>
      </c>
      <c r="H59" s="1487">
        <v>3</v>
      </c>
      <c r="I59" s="1487"/>
      <c r="J59" s="1487" t="s">
        <v>2107</v>
      </c>
      <c r="K59" s="1488"/>
      <c r="L59" s="1488"/>
      <c r="M59" s="703"/>
      <c r="AA59">
        <f>IF(AND('10 Dev'!C59&gt;Tmin, NOT('10 Dev'!$I59="")),'10 Dev'!$I59,0)</f>
        <v>0</v>
      </c>
      <c r="AB59">
        <f>IF(AND('10 Dev'!D59&gt;Tmin, NOT('10 Dev'!$I59="")),'10 Dev'!$I59,0)</f>
        <v>0</v>
      </c>
      <c r="AC59">
        <f>IF(AND('10 Dev'!E59&gt;Tmin, NOT('10 Dev'!$I59="")),'10 Dev'!$I59,0)</f>
        <v>0</v>
      </c>
      <c r="AD59">
        <f>IF(AND('10 Dev'!F59&gt;Tmin, NOT('10 Dev'!$I59="")),'10 Dev'!$I59,0)</f>
        <v>0</v>
      </c>
      <c r="AE59">
        <f>IF(AND('10 Dev'!C59&lt;Tmax, NOT('10 Dev'!$H59="")),'10 Dev'!$H59,4)</f>
        <v>3</v>
      </c>
      <c r="AF59">
        <f>IF(AND('10 Dev'!D59&lt;Tmax, NOT('10 Dev'!$H59="")),'10 Dev'!$H59,4)</f>
        <v>3</v>
      </c>
      <c r="AG59">
        <f>IF(AND('10 Dev'!E59&lt;Tmax, NOT('10 Dev'!$H59="")),'10 Dev'!$H59,4)</f>
        <v>3</v>
      </c>
      <c r="AH59">
        <f>IF(AND('10 Dev'!F59&lt;Tmax, NOT('10 Dev'!$H59="")),'10 Dev'!$H59,4)</f>
        <v>3</v>
      </c>
      <c r="AI59"/>
    </row>
    <row r="60" spans="1:35" ht="58.5" customHeight="1" outlineLevel="2" collapsed="1" x14ac:dyDescent="0.2">
      <c r="A60" s="636" t="s">
        <v>5652</v>
      </c>
      <c r="B60" s="636" t="s">
        <v>5500</v>
      </c>
      <c r="C60" s="705"/>
      <c r="D60" s="701"/>
      <c r="E60" s="702"/>
      <c r="F60" s="702"/>
      <c r="G60" s="1487">
        <v>2</v>
      </c>
      <c r="H60" s="1487">
        <v>3</v>
      </c>
      <c r="I60" s="1487"/>
      <c r="J60" s="1487" t="s">
        <v>5653</v>
      </c>
      <c r="K60" s="1488"/>
      <c r="L60" s="1488"/>
      <c r="M60" s="703"/>
      <c r="AA60">
        <f>IF(AND('10 Dev'!C60&gt;Tmin, NOT('10 Dev'!$I60="")),'10 Dev'!$I60,0)</f>
        <v>0</v>
      </c>
      <c r="AB60">
        <f>IF(AND('10 Dev'!D60&gt;Tmin, NOT('10 Dev'!$I60="")),'10 Dev'!$I60,0)</f>
        <v>0</v>
      </c>
      <c r="AC60">
        <f>IF(AND('10 Dev'!E60&gt;Tmin, NOT('10 Dev'!$I60="")),'10 Dev'!$I60,0)</f>
        <v>0</v>
      </c>
      <c r="AD60">
        <f>IF(AND('10 Dev'!F60&gt;Tmin, NOT('10 Dev'!$I60="")),'10 Dev'!$I60,0)</f>
        <v>0</v>
      </c>
      <c r="AE60">
        <f>IF(AND('10 Dev'!C60&lt;Tmax, NOT('10 Dev'!$H60="")),'10 Dev'!$H60,4)</f>
        <v>3</v>
      </c>
      <c r="AF60">
        <f>IF(AND('10 Dev'!D60&lt;Tmax, NOT('10 Dev'!$H60="")),'10 Dev'!$H60,4)</f>
        <v>3</v>
      </c>
      <c r="AG60">
        <f>IF(AND('10 Dev'!E60&lt;Tmax, NOT('10 Dev'!$H60="")),'10 Dev'!$H60,4)</f>
        <v>3</v>
      </c>
      <c r="AH60">
        <f>IF(AND('10 Dev'!F60&lt;Tmax, NOT('10 Dev'!$H60="")),'10 Dev'!$H60,4)</f>
        <v>3</v>
      </c>
      <c r="AI60"/>
    </row>
    <row r="61" spans="1:35" ht="22.5" outlineLevel="2" x14ac:dyDescent="0.2">
      <c r="A61" s="636" t="s">
        <v>5654</v>
      </c>
      <c r="B61" s="636" t="s">
        <v>5873</v>
      </c>
      <c r="C61" s="705"/>
      <c r="D61" s="701"/>
      <c r="E61" s="702"/>
      <c r="F61" s="702"/>
      <c r="G61" s="1487">
        <v>2</v>
      </c>
      <c r="H61" s="1487">
        <v>2</v>
      </c>
      <c r="I61" s="1487"/>
      <c r="J61" s="1487" t="s">
        <v>4246</v>
      </c>
      <c r="K61" s="1488"/>
      <c r="L61" s="1488"/>
      <c r="M61" s="703"/>
      <c r="AA61">
        <f>IF(AND('10 Dev'!C61&gt;Tmin, NOT('10 Dev'!$I61="")),'10 Dev'!$I61,0)</f>
        <v>0</v>
      </c>
      <c r="AB61">
        <f>IF(AND('10 Dev'!D61&gt;Tmin, NOT('10 Dev'!$I61="")),'10 Dev'!$I61,0)</f>
        <v>0</v>
      </c>
      <c r="AC61">
        <f>IF(AND('10 Dev'!E61&gt;Tmin, NOT('10 Dev'!$I61="")),'10 Dev'!$I61,0)</f>
        <v>0</v>
      </c>
      <c r="AD61">
        <f>IF(AND('10 Dev'!F61&gt;Tmin, NOT('10 Dev'!$I61="")),'10 Dev'!$I61,0)</f>
        <v>0</v>
      </c>
      <c r="AE61">
        <f>IF(AND('10 Dev'!C61&lt;Tmax, NOT('10 Dev'!$H61="")),'10 Dev'!$H61,4)</f>
        <v>2</v>
      </c>
      <c r="AF61">
        <f>IF(AND('10 Dev'!D61&lt;Tmax, NOT('10 Dev'!$H61="")),'10 Dev'!$H61,4)</f>
        <v>2</v>
      </c>
      <c r="AG61">
        <f>IF(AND('10 Dev'!E61&lt;Tmax, NOT('10 Dev'!$H61="")),'10 Dev'!$H61,4)</f>
        <v>2</v>
      </c>
      <c r="AH61">
        <f>IF(AND('10 Dev'!F61&lt;Tmax, NOT('10 Dev'!$H61="")),'10 Dev'!$H61,4)</f>
        <v>2</v>
      </c>
      <c r="AI61"/>
    </row>
    <row r="62" spans="1:35" ht="22.5" outlineLevel="2" x14ac:dyDescent="0.2">
      <c r="A62" s="636" t="s">
        <v>5655</v>
      </c>
      <c r="B62" s="636" t="s">
        <v>5023</v>
      </c>
      <c r="C62" s="705"/>
      <c r="D62" s="701"/>
      <c r="E62" s="702"/>
      <c r="F62" s="702"/>
      <c r="G62" s="1487">
        <v>2</v>
      </c>
      <c r="H62" s="1487">
        <v>3</v>
      </c>
      <c r="I62" s="1507"/>
      <c r="J62" s="1487" t="s">
        <v>2109</v>
      </c>
      <c r="K62" s="1488"/>
      <c r="L62" s="1488"/>
      <c r="M62" s="703"/>
      <c r="AA62">
        <f>IF(AND('10 Dev'!C62&gt;Tmin, NOT('10 Dev'!$I62="")),'10 Dev'!$I62,0)</f>
        <v>0</v>
      </c>
      <c r="AB62">
        <f>IF(AND('10 Dev'!D62&gt;Tmin, NOT('10 Dev'!$I62="")),'10 Dev'!$I62,0)</f>
        <v>0</v>
      </c>
      <c r="AC62">
        <f>IF(AND('10 Dev'!E62&gt;Tmin, NOT('10 Dev'!$I62="")),'10 Dev'!$I62,0)</f>
        <v>0</v>
      </c>
      <c r="AD62">
        <f>IF(AND('10 Dev'!F62&gt;Tmin, NOT('10 Dev'!$I62="")),'10 Dev'!$I62,0)</f>
        <v>0</v>
      </c>
      <c r="AE62">
        <f>IF(AND('10 Dev'!C62&lt;Tmax, NOT('10 Dev'!$H62="")),'10 Dev'!$H62,4)</f>
        <v>3</v>
      </c>
      <c r="AF62">
        <f>IF(AND('10 Dev'!D62&lt;Tmax, NOT('10 Dev'!$H62="")),'10 Dev'!$H62,4)</f>
        <v>3</v>
      </c>
      <c r="AG62">
        <f>IF(AND('10 Dev'!E62&lt;Tmax, NOT('10 Dev'!$H62="")),'10 Dev'!$H62,4)</f>
        <v>3</v>
      </c>
      <c r="AH62">
        <f>IF(AND('10 Dev'!F62&lt;Tmax, NOT('10 Dev'!$H62="")),'10 Dev'!$H62,4)</f>
        <v>3</v>
      </c>
      <c r="AI62"/>
    </row>
    <row r="63" spans="1:35" outlineLevel="1" x14ac:dyDescent="0.2">
      <c r="A63" s="553" t="s">
        <v>3221</v>
      </c>
      <c r="B63" s="704" t="s">
        <v>5024</v>
      </c>
      <c r="C63" s="705"/>
      <c r="D63" s="701"/>
      <c r="E63" s="702"/>
      <c r="F63" s="702"/>
      <c r="G63" s="1487"/>
      <c r="H63" s="1487"/>
      <c r="I63" s="1507"/>
      <c r="J63" s="1507"/>
      <c r="K63" s="1488"/>
      <c r="L63" s="1488"/>
      <c r="M63" s="703"/>
      <c r="AA63"/>
      <c r="AB63"/>
      <c r="AC63"/>
      <c r="AD63"/>
      <c r="AE63"/>
      <c r="AF63"/>
      <c r="AG63"/>
      <c r="AH63"/>
      <c r="AI63"/>
    </row>
    <row r="64" spans="1:35" ht="22.5" outlineLevel="2" x14ac:dyDescent="0.2">
      <c r="A64" s="636" t="s">
        <v>5025</v>
      </c>
      <c r="B64" s="636" t="s">
        <v>4143</v>
      </c>
      <c r="C64" s="705"/>
      <c r="D64" s="701"/>
      <c r="E64" s="702"/>
      <c r="F64" s="702"/>
      <c r="G64" s="1487">
        <v>4</v>
      </c>
      <c r="H64" s="1487"/>
      <c r="I64" s="1507"/>
      <c r="J64" s="1487" t="s">
        <v>1592</v>
      </c>
      <c r="K64" s="1458" t="s">
        <v>7015</v>
      </c>
      <c r="L64" s="1488" t="s">
        <v>7401</v>
      </c>
      <c r="M64" s="703"/>
      <c r="AA64">
        <f>IF(AND('10 Dev'!C64&gt;Tmin, NOT('10 Dev'!$I64="")),'10 Dev'!$I64,0)</f>
        <v>0</v>
      </c>
      <c r="AB64">
        <f>IF(AND('10 Dev'!D64&gt;Tmin, NOT('10 Dev'!$I64="")),'10 Dev'!$I64,0)</f>
        <v>0</v>
      </c>
      <c r="AC64">
        <f>IF(AND('10 Dev'!E64&gt;Tmin, NOT('10 Dev'!$I64="")),'10 Dev'!$I64,0)</f>
        <v>0</v>
      </c>
      <c r="AD64">
        <f>IF(AND('10 Dev'!F64&gt;Tmin, NOT('10 Dev'!$I64="")),'10 Dev'!$I64,0)</f>
        <v>0</v>
      </c>
      <c r="AE64">
        <f>IF(AND('10 Dev'!C64&lt;Tmax, NOT('10 Dev'!$H64="")),'10 Dev'!$H64,4)</f>
        <v>4</v>
      </c>
      <c r="AF64">
        <f>IF(AND('10 Dev'!D64&lt;Tmax, NOT('10 Dev'!$H64="")),'10 Dev'!$H64,4)</f>
        <v>4</v>
      </c>
      <c r="AG64">
        <f>IF(AND('10 Dev'!E64&lt;Tmax, NOT('10 Dev'!$H64="")),'10 Dev'!$H64,4)</f>
        <v>4</v>
      </c>
      <c r="AH64">
        <f>IF(AND('10 Dev'!F64&lt;Tmax, NOT('10 Dev'!$H64="")),'10 Dev'!$H64,4)</f>
        <v>4</v>
      </c>
      <c r="AI64"/>
    </row>
    <row r="65" spans="1:255" ht="22.5" outlineLevel="2" collapsed="1" x14ac:dyDescent="0.2">
      <c r="A65" s="636" t="s">
        <v>4144</v>
      </c>
      <c r="B65" s="636" t="s">
        <v>5033</v>
      </c>
      <c r="C65" s="705"/>
      <c r="D65" s="701"/>
      <c r="E65" s="702"/>
      <c r="F65" s="702"/>
      <c r="G65" s="1487">
        <v>2</v>
      </c>
      <c r="H65" s="1487"/>
      <c r="I65" s="1507"/>
      <c r="J65" s="1487" t="s">
        <v>1592</v>
      </c>
      <c r="K65" s="1488"/>
      <c r="L65" s="1488" t="s">
        <v>7401</v>
      </c>
      <c r="M65" s="703"/>
      <c r="AA65">
        <f>IF(AND('10 Dev'!C65&gt;Tmin, NOT('10 Dev'!$I65="")),'10 Dev'!$I65,0)</f>
        <v>0</v>
      </c>
      <c r="AB65">
        <f>IF(AND('10 Dev'!D65&gt;Tmin, NOT('10 Dev'!$I65="")),'10 Dev'!$I65,0)</f>
        <v>0</v>
      </c>
      <c r="AC65">
        <f>IF(AND('10 Dev'!E65&gt;Tmin, NOT('10 Dev'!$I65="")),'10 Dev'!$I65,0)</f>
        <v>0</v>
      </c>
      <c r="AD65">
        <f>IF(AND('10 Dev'!F65&gt;Tmin, NOT('10 Dev'!$I65="")),'10 Dev'!$I65,0)</f>
        <v>0</v>
      </c>
      <c r="AE65">
        <f>IF(AND('10 Dev'!C65&lt;Tmax, NOT('10 Dev'!$H65="")),'10 Dev'!$H65,4)</f>
        <v>4</v>
      </c>
      <c r="AF65">
        <f>IF(AND('10 Dev'!D65&lt;Tmax, NOT('10 Dev'!$H65="")),'10 Dev'!$H65,4)</f>
        <v>4</v>
      </c>
      <c r="AG65">
        <f>IF(AND('10 Dev'!E65&lt;Tmax, NOT('10 Dev'!$H65="")),'10 Dev'!$H65,4)</f>
        <v>4</v>
      </c>
      <c r="AH65">
        <f>IF(AND('10 Dev'!F65&lt;Tmax, NOT('10 Dev'!$H65="")),'10 Dev'!$H65,4)</f>
        <v>4</v>
      </c>
      <c r="AI65"/>
    </row>
    <row r="66" spans="1:255" ht="14.25" customHeight="1" outlineLevel="2" x14ac:dyDescent="0.2">
      <c r="A66" s="636" t="s">
        <v>5034</v>
      </c>
      <c r="B66" s="636" t="s">
        <v>2942</v>
      </c>
      <c r="C66" s="705"/>
      <c r="D66" s="701"/>
      <c r="E66" s="702"/>
      <c r="F66" s="702"/>
      <c r="G66" s="1487">
        <v>2</v>
      </c>
      <c r="H66" s="1487"/>
      <c r="I66" s="1507"/>
      <c r="J66" s="1487" t="s">
        <v>1592</v>
      </c>
      <c r="K66" s="1488"/>
      <c r="L66" s="1488" t="s">
        <v>7401</v>
      </c>
      <c r="M66" s="703"/>
      <c r="AA66">
        <f>IF(AND('10 Dev'!C66&gt;Tmin, NOT('10 Dev'!$I66="")),'10 Dev'!$I66,0)</f>
        <v>0</v>
      </c>
      <c r="AB66">
        <f>IF(AND('10 Dev'!D66&gt;Tmin, NOT('10 Dev'!$I66="")),'10 Dev'!$I66,0)</f>
        <v>0</v>
      </c>
      <c r="AC66">
        <f>IF(AND('10 Dev'!E66&gt;Tmin, NOT('10 Dev'!$I66="")),'10 Dev'!$I66,0)</f>
        <v>0</v>
      </c>
      <c r="AD66">
        <f>IF(AND('10 Dev'!F66&gt;Tmin, NOT('10 Dev'!$I66="")),'10 Dev'!$I66,0)</f>
        <v>0</v>
      </c>
      <c r="AE66">
        <f>IF(AND('10 Dev'!C66&lt;Tmax, NOT('10 Dev'!$H66="")),'10 Dev'!$H66,4)</f>
        <v>4</v>
      </c>
      <c r="AF66">
        <f>IF(AND('10 Dev'!D66&lt;Tmax, NOT('10 Dev'!$H66="")),'10 Dev'!$H66,4)</f>
        <v>4</v>
      </c>
      <c r="AG66">
        <f>IF(AND('10 Dev'!E66&lt;Tmax, NOT('10 Dev'!$H66="")),'10 Dev'!$H66,4)</f>
        <v>4</v>
      </c>
      <c r="AH66">
        <f>IF(AND('10 Dev'!F66&lt;Tmax, NOT('10 Dev'!$H66="")),'10 Dev'!$H66,4)</f>
        <v>4</v>
      </c>
      <c r="AI66"/>
    </row>
    <row r="67" spans="1:255" outlineLevel="2" x14ac:dyDescent="0.2">
      <c r="A67" s="636" t="s">
        <v>2943</v>
      </c>
      <c r="B67" s="636" t="s">
        <v>1113</v>
      </c>
      <c r="C67" s="705"/>
      <c r="D67" s="701"/>
      <c r="E67" s="702"/>
      <c r="F67" s="702"/>
      <c r="G67" s="1487">
        <v>2</v>
      </c>
      <c r="H67" s="1487"/>
      <c r="I67" s="1507"/>
      <c r="J67" s="1487" t="s">
        <v>1592</v>
      </c>
      <c r="K67" s="1488"/>
      <c r="L67" s="1488" t="s">
        <v>7401</v>
      </c>
      <c r="M67" s="703"/>
      <c r="AA67">
        <f>IF(AND('10 Dev'!C67&gt;Tmin, NOT('10 Dev'!$I67="")),'10 Dev'!$I67,0)</f>
        <v>0</v>
      </c>
      <c r="AB67">
        <f>IF(AND('10 Dev'!D67&gt;Tmin, NOT('10 Dev'!$I67="")),'10 Dev'!$I67,0)</f>
        <v>0</v>
      </c>
      <c r="AC67">
        <f>IF(AND('10 Dev'!E67&gt;Tmin, NOT('10 Dev'!$I67="")),'10 Dev'!$I67,0)</f>
        <v>0</v>
      </c>
      <c r="AD67">
        <f>IF(AND('10 Dev'!F67&gt;Tmin, NOT('10 Dev'!$I67="")),'10 Dev'!$I67,0)</f>
        <v>0</v>
      </c>
      <c r="AE67">
        <f>IF(AND('10 Dev'!C67&lt;Tmax, NOT('10 Dev'!$H67="")),'10 Dev'!$H67,4)</f>
        <v>4</v>
      </c>
      <c r="AF67">
        <f>IF(AND('10 Dev'!D67&lt;Tmax, NOT('10 Dev'!$H67="")),'10 Dev'!$H67,4)</f>
        <v>4</v>
      </c>
      <c r="AG67">
        <f>IF(AND('10 Dev'!E67&lt;Tmax, NOT('10 Dev'!$H67="")),'10 Dev'!$H67,4)</f>
        <v>4</v>
      </c>
      <c r="AH67">
        <f>IF(AND('10 Dev'!F67&lt;Tmax, NOT('10 Dev'!$H67="")),'10 Dev'!$H67,4)</f>
        <v>4</v>
      </c>
      <c r="AI67"/>
    </row>
    <row r="68" spans="1:255" outlineLevel="1" x14ac:dyDescent="0.2">
      <c r="A68" s="553" t="s">
        <v>3222</v>
      </c>
      <c r="B68" s="704" t="s">
        <v>3223</v>
      </c>
      <c r="C68" s="705"/>
      <c r="D68" s="701"/>
      <c r="E68" s="702"/>
      <c r="F68" s="710"/>
      <c r="G68" s="1487"/>
      <c r="H68" s="1487"/>
      <c r="I68" s="1507"/>
      <c r="J68" s="1507"/>
      <c r="K68" s="1488"/>
      <c r="L68" s="1488"/>
      <c r="M68" s="703"/>
      <c r="AA68"/>
      <c r="AB68"/>
      <c r="AC68"/>
      <c r="AD68"/>
      <c r="AE68"/>
      <c r="AF68"/>
      <c r="AG68"/>
      <c r="AH68"/>
      <c r="AI68"/>
    </row>
    <row r="69" spans="1:255" ht="22.5" outlineLevel="2" x14ac:dyDescent="0.2">
      <c r="A69" s="636" t="s">
        <v>1114</v>
      </c>
      <c r="B69" s="636" t="s">
        <v>5874</v>
      </c>
      <c r="C69" s="705"/>
      <c r="D69" s="701"/>
      <c r="E69" s="702"/>
      <c r="F69" s="702"/>
      <c r="G69" s="1487">
        <v>4</v>
      </c>
      <c r="H69" s="1487"/>
      <c r="I69" s="1507"/>
      <c r="J69" s="1487" t="s">
        <v>4246</v>
      </c>
      <c r="K69" s="1488" t="s">
        <v>7159</v>
      </c>
      <c r="L69" s="1488" t="s">
        <v>2026</v>
      </c>
      <c r="M69" s="703"/>
      <c r="AA69">
        <f>IF(AND('10 Dev'!C69&gt;Tmin, NOT('10 Dev'!$I69="")),'10 Dev'!$I69,0)</f>
        <v>0</v>
      </c>
      <c r="AB69">
        <f>IF(AND('10 Dev'!D69&gt;Tmin, NOT('10 Dev'!$I69="")),'10 Dev'!$I69,0)</f>
        <v>0</v>
      </c>
      <c r="AC69">
        <f>IF(AND('10 Dev'!E69&gt;Tmin, NOT('10 Dev'!$I69="")),'10 Dev'!$I69,0)</f>
        <v>0</v>
      </c>
      <c r="AD69">
        <f>IF(AND('10 Dev'!F69&gt;Tmin, NOT('10 Dev'!$I69="")),'10 Dev'!$I69,0)</f>
        <v>0</v>
      </c>
      <c r="AE69">
        <f>IF(AND('10 Dev'!C69&lt;Tmax, NOT('10 Dev'!$H69="")),'10 Dev'!$H69,4)</f>
        <v>4</v>
      </c>
      <c r="AF69">
        <f>IF(AND('10 Dev'!D69&lt;Tmax, NOT('10 Dev'!$H69="")),'10 Dev'!$H69,4)</f>
        <v>4</v>
      </c>
      <c r="AG69">
        <f>IF(AND('10 Dev'!E69&lt;Tmax, NOT('10 Dev'!$H69="")),'10 Dev'!$H69,4)</f>
        <v>4</v>
      </c>
      <c r="AH69">
        <f>IF(AND('10 Dev'!F69&lt;Tmax, NOT('10 Dev'!$H69="")),'10 Dev'!$H69,4)</f>
        <v>4</v>
      </c>
      <c r="AI69"/>
    </row>
    <row r="70" spans="1:255" ht="22.5" outlineLevel="2" x14ac:dyDescent="0.2">
      <c r="A70" s="636" t="s">
        <v>2027</v>
      </c>
      <c r="B70" s="636" t="s">
        <v>1936</v>
      </c>
      <c r="C70" s="705"/>
      <c r="D70" s="701"/>
      <c r="E70" s="702"/>
      <c r="F70" s="702"/>
      <c r="G70" s="1487">
        <v>2</v>
      </c>
      <c r="H70" s="1487">
        <v>2</v>
      </c>
      <c r="I70" s="1507"/>
      <c r="J70" s="1487" t="s">
        <v>1592</v>
      </c>
      <c r="K70" s="1488" t="s">
        <v>7024</v>
      </c>
      <c r="L70" s="1488" t="s">
        <v>2026</v>
      </c>
      <c r="M70" s="703"/>
      <c r="AA70">
        <f>IF(AND('10 Dev'!C70&gt;Tmin, NOT('10 Dev'!$I70="")),'10 Dev'!$I70,0)</f>
        <v>0</v>
      </c>
      <c r="AB70">
        <f>IF(AND('10 Dev'!D70&gt;Tmin, NOT('10 Dev'!$I70="")),'10 Dev'!$I70,0)</f>
        <v>0</v>
      </c>
      <c r="AC70">
        <f>IF(AND('10 Dev'!E70&gt;Tmin, NOT('10 Dev'!$I70="")),'10 Dev'!$I70,0)</f>
        <v>0</v>
      </c>
      <c r="AD70">
        <f>IF(AND('10 Dev'!F70&gt;Tmin, NOT('10 Dev'!$I70="")),'10 Dev'!$I70,0)</f>
        <v>0</v>
      </c>
      <c r="AE70">
        <f>IF(AND('10 Dev'!C70&lt;Tmax, NOT('10 Dev'!$H70="")),'10 Dev'!$H70,4)</f>
        <v>2</v>
      </c>
      <c r="AF70">
        <f>IF(AND('10 Dev'!D70&lt;Tmax, NOT('10 Dev'!$H70="")),'10 Dev'!$H70,4)</f>
        <v>2</v>
      </c>
      <c r="AG70">
        <f>IF(AND('10 Dev'!E70&lt;Tmax, NOT('10 Dev'!$H70="")),'10 Dev'!$H70,4)</f>
        <v>2</v>
      </c>
      <c r="AH70">
        <f>IF(AND('10 Dev'!F70&lt;Tmax, NOT('10 Dev'!$H70="")),'10 Dev'!$H70,4)</f>
        <v>2</v>
      </c>
      <c r="AI70"/>
    </row>
    <row r="71" spans="1:255" ht="22.5" outlineLevel="2" collapsed="1" x14ac:dyDescent="0.2">
      <c r="A71" s="636" t="s">
        <v>1937</v>
      </c>
      <c r="B71" s="636" t="s">
        <v>2568</v>
      </c>
      <c r="C71" s="705"/>
      <c r="D71" s="701"/>
      <c r="E71" s="702"/>
      <c r="F71" s="702"/>
      <c r="G71" s="1487">
        <v>2</v>
      </c>
      <c r="H71" s="1487">
        <v>2</v>
      </c>
      <c r="I71" s="1507"/>
      <c r="J71" s="1487" t="s">
        <v>1592</v>
      </c>
      <c r="K71" s="1458" t="s">
        <v>7024</v>
      </c>
      <c r="L71" s="1488" t="s">
        <v>2026</v>
      </c>
      <c r="M71" s="703"/>
      <c r="AA71">
        <f>IF(AND('10 Dev'!C71&gt;Tmin, NOT('10 Dev'!$I71="")),'10 Dev'!$I71,0)</f>
        <v>0</v>
      </c>
      <c r="AB71">
        <f>IF(AND('10 Dev'!D71&gt;Tmin, NOT('10 Dev'!$I71="")),'10 Dev'!$I71,0)</f>
        <v>0</v>
      </c>
      <c r="AC71">
        <f>IF(AND('10 Dev'!E71&gt;Tmin, NOT('10 Dev'!$I71="")),'10 Dev'!$I71,0)</f>
        <v>0</v>
      </c>
      <c r="AD71">
        <f>IF(AND('10 Dev'!F71&gt;Tmin, NOT('10 Dev'!$I71="")),'10 Dev'!$I71,0)</f>
        <v>0</v>
      </c>
      <c r="AE71">
        <f>IF(AND('10 Dev'!C71&lt;Tmax, NOT('10 Dev'!$H71="")),'10 Dev'!$H71,4)</f>
        <v>2</v>
      </c>
      <c r="AF71">
        <f>IF(AND('10 Dev'!D71&lt;Tmax, NOT('10 Dev'!$H71="")),'10 Dev'!$H71,4)</f>
        <v>2</v>
      </c>
      <c r="AG71">
        <f>IF(AND('10 Dev'!E71&lt;Tmax, NOT('10 Dev'!$H71="")),'10 Dev'!$H71,4)</f>
        <v>2</v>
      </c>
      <c r="AH71">
        <f>IF(AND('10 Dev'!F71&lt;Tmax, NOT('10 Dev'!$H71="")),'10 Dev'!$H71,4)</f>
        <v>2</v>
      </c>
      <c r="AI71"/>
    </row>
    <row r="72" spans="1:255" ht="22.5" outlineLevel="2" x14ac:dyDescent="0.2">
      <c r="A72" s="636" t="s">
        <v>2569</v>
      </c>
      <c r="B72" s="636" t="s">
        <v>1364</v>
      </c>
      <c r="C72" s="705"/>
      <c r="D72" s="701"/>
      <c r="E72" s="702"/>
      <c r="F72" s="702"/>
      <c r="G72" s="1487">
        <v>2</v>
      </c>
      <c r="H72" s="1487"/>
      <c r="I72" s="1507"/>
      <c r="J72" s="1487" t="s">
        <v>1592</v>
      </c>
      <c r="K72" s="1458" t="s">
        <v>7024</v>
      </c>
      <c r="L72" s="1488" t="s">
        <v>2026</v>
      </c>
      <c r="M72" s="703"/>
      <c r="AA72">
        <f>IF(AND('10 Dev'!C72&gt;Tmin, NOT('10 Dev'!$I72="")),'10 Dev'!$I72,0)</f>
        <v>0</v>
      </c>
      <c r="AB72">
        <f>IF(AND('10 Dev'!D72&gt;Tmin, NOT('10 Dev'!$I72="")),'10 Dev'!$I72,0)</f>
        <v>0</v>
      </c>
      <c r="AC72">
        <f>IF(AND('10 Dev'!E72&gt;Tmin, NOT('10 Dev'!$I72="")),'10 Dev'!$I72,0)</f>
        <v>0</v>
      </c>
      <c r="AD72">
        <f>IF(AND('10 Dev'!F72&gt;Tmin, NOT('10 Dev'!$I72="")),'10 Dev'!$I72,0)</f>
        <v>0</v>
      </c>
      <c r="AE72">
        <f>IF(AND('10 Dev'!C72&lt;Tmax, NOT('10 Dev'!$H72="")),'10 Dev'!$H72,4)</f>
        <v>4</v>
      </c>
      <c r="AF72">
        <f>IF(AND('10 Dev'!D72&lt;Tmax, NOT('10 Dev'!$H72="")),'10 Dev'!$H72,4)</f>
        <v>4</v>
      </c>
      <c r="AG72">
        <f>IF(AND('10 Dev'!E72&lt;Tmax, NOT('10 Dev'!$H72="")),'10 Dev'!$H72,4)</f>
        <v>4</v>
      </c>
      <c r="AH72">
        <f>IF(AND('10 Dev'!F72&lt;Tmax, NOT('10 Dev'!$H72="")),'10 Dev'!$H72,4)</f>
        <v>4</v>
      </c>
      <c r="AI72"/>
    </row>
    <row r="73" spans="1:255" s="715" customFormat="1" outlineLevel="2" x14ac:dyDescent="0.2">
      <c r="A73" s="636" t="s">
        <v>1365</v>
      </c>
      <c r="B73" s="636" t="s">
        <v>1366</v>
      </c>
      <c r="C73" s="705"/>
      <c r="D73" s="701"/>
      <c r="E73" s="702"/>
      <c r="F73" s="702"/>
      <c r="G73" s="1487">
        <v>2</v>
      </c>
      <c r="H73" s="1487"/>
      <c r="I73" s="1507"/>
      <c r="J73" s="1487" t="s">
        <v>2109</v>
      </c>
      <c r="K73" s="1458" t="s">
        <v>7024</v>
      </c>
      <c r="L73" s="1488" t="s">
        <v>2026</v>
      </c>
      <c r="M73" s="703"/>
      <c r="N73" s="714"/>
      <c r="O73" s="714"/>
      <c r="P73" s="714"/>
      <c r="Q73" s="714"/>
      <c r="R73" s="714"/>
      <c r="S73" s="714"/>
      <c r="T73" s="714"/>
      <c r="U73" s="714"/>
      <c r="V73" s="714"/>
      <c r="W73" s="714"/>
      <c r="X73" s="714"/>
      <c r="Y73" s="714"/>
      <c r="Z73" s="714"/>
      <c r="AA73">
        <f>IF(AND('10 Dev'!C73&gt;Tmin, NOT('10 Dev'!$I73="")),'10 Dev'!$I73,0)</f>
        <v>0</v>
      </c>
      <c r="AB73">
        <f>IF(AND('10 Dev'!D73&gt;Tmin, NOT('10 Dev'!$I73="")),'10 Dev'!$I73,0)</f>
        <v>0</v>
      </c>
      <c r="AC73">
        <f>IF(AND('10 Dev'!E73&gt;Tmin, NOT('10 Dev'!$I73="")),'10 Dev'!$I73,0)</f>
        <v>0</v>
      </c>
      <c r="AD73">
        <f>IF(AND('10 Dev'!F73&gt;Tmin, NOT('10 Dev'!$I73="")),'10 Dev'!$I73,0)</f>
        <v>0</v>
      </c>
      <c r="AE73">
        <f>IF(AND('10 Dev'!C73&lt;Tmax, NOT('10 Dev'!$H73="")),'10 Dev'!$H73,4)</f>
        <v>4</v>
      </c>
      <c r="AF73">
        <f>IF(AND('10 Dev'!D73&lt;Tmax, NOT('10 Dev'!$H73="")),'10 Dev'!$H73,4)</f>
        <v>4</v>
      </c>
      <c r="AG73">
        <f>IF(AND('10 Dev'!E73&lt;Tmax, NOT('10 Dev'!$H73="")),'10 Dev'!$H73,4)</f>
        <v>4</v>
      </c>
      <c r="AH73">
        <f>IF(AND('10 Dev'!F73&lt;Tmax, NOT('10 Dev'!$H73="")),'10 Dev'!$H73,4)</f>
        <v>4</v>
      </c>
      <c r="AI73"/>
      <c r="IU73" s="169"/>
    </row>
    <row r="74" spans="1:255" s="715" customFormat="1" ht="15" customHeight="1" outlineLevel="1" x14ac:dyDescent="0.2">
      <c r="A74" s="553" t="s">
        <v>3224</v>
      </c>
      <c r="B74" s="704" t="s">
        <v>3225</v>
      </c>
      <c r="C74" s="705"/>
      <c r="D74" s="701"/>
      <c r="E74" s="702"/>
      <c r="F74" s="702"/>
      <c r="G74" s="1487"/>
      <c r="H74" s="1487"/>
      <c r="I74" s="1487"/>
      <c r="J74" s="1487"/>
      <c r="K74" s="1488"/>
      <c r="L74" s="1488"/>
      <c r="M74" s="703"/>
      <c r="N74" s="714"/>
      <c r="O74" s="714"/>
      <c r="P74" s="714"/>
      <c r="Q74" s="714"/>
      <c r="R74" s="714"/>
      <c r="S74" s="714"/>
      <c r="T74" s="714"/>
      <c r="U74" s="714"/>
      <c r="V74" s="714"/>
      <c r="W74" s="714"/>
      <c r="X74" s="714"/>
      <c r="Y74" s="714"/>
      <c r="Z74" s="714"/>
      <c r="AA74"/>
      <c r="AB74"/>
      <c r="AC74"/>
      <c r="AD74"/>
      <c r="AE74"/>
      <c r="AF74"/>
      <c r="AG74"/>
      <c r="AH74"/>
      <c r="AI74"/>
      <c r="IU74" s="169"/>
    </row>
    <row r="75" spans="1:255" ht="33.75" outlineLevel="2" x14ac:dyDescent="0.2">
      <c r="A75" s="636" t="s">
        <v>1367</v>
      </c>
      <c r="B75" s="636" t="s">
        <v>6505</v>
      </c>
      <c r="C75" s="705"/>
      <c r="D75" s="701"/>
      <c r="E75" s="702"/>
      <c r="F75" s="702"/>
      <c r="G75" s="1487">
        <v>4</v>
      </c>
      <c r="H75" s="1487"/>
      <c r="I75" s="1487"/>
      <c r="J75" s="1487" t="s">
        <v>4246</v>
      </c>
      <c r="K75" s="1488"/>
      <c r="L75" s="1488"/>
      <c r="M75" s="703"/>
      <c r="AA75">
        <f>IF(AND('10 Dev'!C75&gt;Tmin, NOT('10 Dev'!$I75="")),'10 Dev'!$I75,0)</f>
        <v>0</v>
      </c>
      <c r="AB75">
        <f>IF(AND('10 Dev'!D75&gt;Tmin, NOT('10 Dev'!$I75="")),'10 Dev'!$I75,0)</f>
        <v>0</v>
      </c>
      <c r="AC75">
        <f>IF(AND('10 Dev'!E75&gt;Tmin, NOT('10 Dev'!$I75="")),'10 Dev'!$I75,0)</f>
        <v>0</v>
      </c>
      <c r="AD75">
        <f>IF(AND('10 Dev'!F75&gt;Tmin, NOT('10 Dev'!$I75="")),'10 Dev'!$I75,0)</f>
        <v>0</v>
      </c>
      <c r="AE75">
        <f>IF(AND('10 Dev'!C75&lt;Tmax, NOT('10 Dev'!$H75="")),'10 Dev'!$H75,4)</f>
        <v>4</v>
      </c>
      <c r="AF75">
        <f>IF(AND('10 Dev'!D75&lt;Tmax, NOT('10 Dev'!$H75="")),'10 Dev'!$H75,4)</f>
        <v>4</v>
      </c>
      <c r="AG75">
        <f>IF(AND('10 Dev'!E75&lt;Tmax, NOT('10 Dev'!$H75="")),'10 Dev'!$H75,4)</f>
        <v>4</v>
      </c>
      <c r="AH75">
        <f>IF(AND('10 Dev'!F75&lt;Tmax, NOT('10 Dev'!$H75="")),'10 Dev'!$H75,4)</f>
        <v>4</v>
      </c>
      <c r="AI75"/>
    </row>
    <row r="76" spans="1:255" ht="12" customHeight="1" outlineLevel="2" x14ac:dyDescent="0.2">
      <c r="A76" s="636" t="s">
        <v>2737</v>
      </c>
      <c r="B76" s="636" t="s">
        <v>2745</v>
      </c>
      <c r="C76" s="705"/>
      <c r="D76" s="701"/>
      <c r="E76" s="702"/>
      <c r="F76" s="702"/>
      <c r="G76" s="1487">
        <v>2</v>
      </c>
      <c r="H76" s="1487">
        <v>2</v>
      </c>
      <c r="I76" s="1487"/>
      <c r="J76" s="1487" t="s">
        <v>1592</v>
      </c>
      <c r="K76" s="1488"/>
      <c r="L76" s="1488"/>
      <c r="M76" s="703"/>
      <c r="AA76">
        <f>IF(AND('10 Dev'!C76&gt;Tmin, NOT('10 Dev'!$I76="")),'10 Dev'!$I76,0)</f>
        <v>0</v>
      </c>
      <c r="AB76">
        <f>IF(AND('10 Dev'!D76&gt;Tmin, NOT('10 Dev'!$I76="")),'10 Dev'!$I76,0)</f>
        <v>0</v>
      </c>
      <c r="AC76">
        <f>IF(AND('10 Dev'!E76&gt;Tmin, NOT('10 Dev'!$I76="")),'10 Dev'!$I76,0)</f>
        <v>0</v>
      </c>
      <c r="AD76">
        <f>IF(AND('10 Dev'!F76&gt;Tmin, NOT('10 Dev'!$I76="")),'10 Dev'!$I76,0)</f>
        <v>0</v>
      </c>
      <c r="AE76">
        <f>IF(AND('10 Dev'!C76&lt;Tmax, NOT('10 Dev'!$H76="")),'10 Dev'!$H76,4)</f>
        <v>2</v>
      </c>
      <c r="AF76">
        <f>IF(AND('10 Dev'!D76&lt;Tmax, NOT('10 Dev'!$H76="")),'10 Dev'!$H76,4)</f>
        <v>2</v>
      </c>
      <c r="AG76">
        <f>IF(AND('10 Dev'!E76&lt;Tmax, NOT('10 Dev'!$H76="")),'10 Dev'!$H76,4)</f>
        <v>2</v>
      </c>
      <c r="AH76">
        <f>IF(AND('10 Dev'!F76&lt;Tmax, NOT('10 Dev'!$H76="")),'10 Dev'!$H76,4)</f>
        <v>2</v>
      </c>
      <c r="AI76"/>
    </row>
    <row r="77" spans="1:255" outlineLevel="2" x14ac:dyDescent="0.2">
      <c r="A77" s="636" t="s">
        <v>2746</v>
      </c>
      <c r="B77" s="636" t="s">
        <v>3782</v>
      </c>
      <c r="C77" s="705"/>
      <c r="D77" s="701"/>
      <c r="E77" s="702"/>
      <c r="F77" s="702"/>
      <c r="G77" s="1487">
        <v>2</v>
      </c>
      <c r="H77" s="1487">
        <v>2</v>
      </c>
      <c r="I77" s="1487"/>
      <c r="J77" s="1487" t="s">
        <v>1592</v>
      </c>
      <c r="K77" s="1488"/>
      <c r="L77" s="1488"/>
      <c r="M77" s="703"/>
      <c r="AA77">
        <f>IF(AND('10 Dev'!C77&gt;Tmin, NOT('10 Dev'!$I77="")),'10 Dev'!$I77,0)</f>
        <v>0</v>
      </c>
      <c r="AB77">
        <f>IF(AND('10 Dev'!D77&gt;Tmin, NOT('10 Dev'!$I77="")),'10 Dev'!$I77,0)</f>
        <v>0</v>
      </c>
      <c r="AC77">
        <f>IF(AND('10 Dev'!E77&gt;Tmin, NOT('10 Dev'!$I77="")),'10 Dev'!$I77,0)</f>
        <v>0</v>
      </c>
      <c r="AD77">
        <f>IF(AND('10 Dev'!F77&gt;Tmin, NOT('10 Dev'!$I77="")),'10 Dev'!$I77,0)</f>
        <v>0</v>
      </c>
      <c r="AE77">
        <f>IF(AND('10 Dev'!C77&lt;Tmax, NOT('10 Dev'!$H77="")),'10 Dev'!$H77,4)</f>
        <v>2</v>
      </c>
      <c r="AF77">
        <f>IF(AND('10 Dev'!D77&lt;Tmax, NOT('10 Dev'!$H77="")),'10 Dev'!$H77,4)</f>
        <v>2</v>
      </c>
      <c r="AG77">
        <f>IF(AND('10 Dev'!E77&lt;Tmax, NOT('10 Dev'!$H77="")),'10 Dev'!$H77,4)</f>
        <v>2</v>
      </c>
      <c r="AH77">
        <f>IF(AND('10 Dev'!F77&lt;Tmax, NOT('10 Dev'!$H77="")),'10 Dev'!$H77,4)</f>
        <v>2</v>
      </c>
      <c r="AI77"/>
    </row>
    <row r="78" spans="1:255" outlineLevel="2" x14ac:dyDescent="0.2">
      <c r="A78" s="636" t="s">
        <v>3816</v>
      </c>
      <c r="B78" s="636" t="s">
        <v>909</v>
      </c>
      <c r="C78" s="705"/>
      <c r="D78" s="701"/>
      <c r="E78" s="702"/>
      <c r="F78" s="702"/>
      <c r="G78" s="1487">
        <v>4</v>
      </c>
      <c r="H78" s="1487"/>
      <c r="I78" s="1487"/>
      <c r="J78" s="1487"/>
      <c r="K78" s="1488" t="s">
        <v>7019</v>
      </c>
      <c r="L78" s="1488"/>
      <c r="M78" s="703"/>
      <c r="AA78">
        <f>IF(AND('10 Dev'!C78&gt;Tmin, NOT('10 Dev'!$I78="")),'10 Dev'!$I78,0)</f>
        <v>0</v>
      </c>
      <c r="AB78">
        <f>IF(AND('10 Dev'!D78&gt;Tmin, NOT('10 Dev'!$I78="")),'10 Dev'!$I78,0)</f>
        <v>0</v>
      </c>
      <c r="AC78">
        <f>IF(AND('10 Dev'!E78&gt;Tmin, NOT('10 Dev'!$I78="")),'10 Dev'!$I78,0)</f>
        <v>0</v>
      </c>
      <c r="AD78">
        <f>IF(AND('10 Dev'!F78&gt;Tmin, NOT('10 Dev'!$I78="")),'10 Dev'!$I78,0)</f>
        <v>0</v>
      </c>
      <c r="AE78">
        <f>IF(AND('10 Dev'!C78&lt;Tmax, NOT('10 Dev'!$H78="")),'10 Dev'!$H78,4)</f>
        <v>4</v>
      </c>
      <c r="AF78">
        <f>IF(AND('10 Dev'!D78&lt;Tmax, NOT('10 Dev'!$H78="")),'10 Dev'!$H78,4)</f>
        <v>4</v>
      </c>
      <c r="AG78">
        <f>IF(AND('10 Dev'!E78&lt;Tmax, NOT('10 Dev'!$H78="")),'10 Dev'!$H78,4)</f>
        <v>4</v>
      </c>
      <c r="AH78">
        <f>IF(AND('10 Dev'!F78&lt;Tmax, NOT('10 Dev'!$H78="")),'10 Dev'!$H78,4)</f>
        <v>4</v>
      </c>
      <c r="AI78"/>
    </row>
    <row r="79" spans="1:255" s="648" customFormat="1" ht="33.75" outlineLevel="2" x14ac:dyDescent="0.2">
      <c r="A79" s="636" t="s">
        <v>3817</v>
      </c>
      <c r="B79" s="636" t="s">
        <v>6444</v>
      </c>
      <c r="C79" s="705"/>
      <c r="D79" s="701"/>
      <c r="E79" s="702"/>
      <c r="F79" s="702"/>
      <c r="G79" s="1487">
        <v>4</v>
      </c>
      <c r="H79" s="1487"/>
      <c r="I79" s="1487"/>
      <c r="J79" s="1487" t="s">
        <v>1592</v>
      </c>
      <c r="K79" s="1488"/>
      <c r="L79" s="1488"/>
      <c r="M79" s="703"/>
      <c r="N79" s="611"/>
      <c r="O79" s="611"/>
      <c r="P79" s="611"/>
      <c r="Q79" s="611"/>
      <c r="R79" s="611"/>
      <c r="S79" s="611"/>
      <c r="T79" s="611"/>
      <c r="U79" s="611"/>
      <c r="V79" s="611"/>
      <c r="W79" s="611"/>
      <c r="X79" s="611"/>
      <c r="Y79" s="611"/>
      <c r="Z79" s="611"/>
      <c r="AA79">
        <f>IF(AND('10 Dev'!C79&gt;Tmin, NOT('10 Dev'!$I79="")),'10 Dev'!$I79,0)</f>
        <v>0</v>
      </c>
      <c r="AB79">
        <f>IF(AND('10 Dev'!D79&gt;Tmin, NOT('10 Dev'!$I79="")),'10 Dev'!$I79,0)</f>
        <v>0</v>
      </c>
      <c r="AC79">
        <f>IF(AND('10 Dev'!E79&gt;Tmin, NOT('10 Dev'!$I79="")),'10 Dev'!$I79,0)</f>
        <v>0</v>
      </c>
      <c r="AD79">
        <f>IF(AND('10 Dev'!F79&gt;Tmin, NOT('10 Dev'!$I79="")),'10 Dev'!$I79,0)</f>
        <v>0</v>
      </c>
      <c r="AE79">
        <f>IF(AND('10 Dev'!C79&lt;Tmax, NOT('10 Dev'!$H79="")),'10 Dev'!$H79,4)</f>
        <v>4</v>
      </c>
      <c r="AF79">
        <f>IF(AND('10 Dev'!D79&lt;Tmax, NOT('10 Dev'!$H79="")),'10 Dev'!$H79,4)</f>
        <v>4</v>
      </c>
      <c r="AG79">
        <f>IF(AND('10 Dev'!E79&lt;Tmax, NOT('10 Dev'!$H79="")),'10 Dev'!$H79,4)</f>
        <v>4</v>
      </c>
      <c r="AH79">
        <f>IF(AND('10 Dev'!F79&lt;Tmax, NOT('10 Dev'!$H79="")),'10 Dev'!$H79,4)</f>
        <v>4</v>
      </c>
      <c r="AI79"/>
    </row>
    <row r="80" spans="1:255" ht="51.75" customHeight="1" outlineLevel="2" x14ac:dyDescent="0.2">
      <c r="A80" s="636" t="s">
        <v>3818</v>
      </c>
      <c r="B80" s="636" t="s">
        <v>6508</v>
      </c>
      <c r="C80" s="705"/>
      <c r="D80" s="701"/>
      <c r="E80" s="702"/>
      <c r="F80" s="702"/>
      <c r="G80" s="1487">
        <v>4</v>
      </c>
      <c r="H80" s="1487"/>
      <c r="I80" s="1487">
        <v>4</v>
      </c>
      <c r="J80" s="1487" t="s">
        <v>2329</v>
      </c>
      <c r="K80" s="1488"/>
      <c r="L80" s="1488"/>
      <c r="M80" s="703"/>
      <c r="AA80">
        <f>IF(AND('10 Dev'!C80&gt;Tmin, NOT('10 Dev'!$I80="")),'10 Dev'!$I80,0)</f>
        <v>0</v>
      </c>
      <c r="AB80">
        <f>IF(AND('10 Dev'!D80&gt;Tmin, NOT('10 Dev'!$I80="")),'10 Dev'!$I80,0)</f>
        <v>0</v>
      </c>
      <c r="AC80">
        <f>IF(AND('10 Dev'!E80&gt;Tmin, NOT('10 Dev'!$I80="")),'10 Dev'!$I80,0)</f>
        <v>0</v>
      </c>
      <c r="AD80">
        <f>IF(AND('10 Dev'!F80&gt;Tmin, NOT('10 Dev'!$I80="")),'10 Dev'!$I80,0)</f>
        <v>0</v>
      </c>
      <c r="AE80">
        <f>IF(AND('10 Dev'!C80&lt;Tmax, NOT('10 Dev'!$H80="")),'10 Dev'!$H80,4)</f>
        <v>4</v>
      </c>
      <c r="AF80">
        <f>IF(AND('10 Dev'!D80&lt;Tmax, NOT('10 Dev'!$H80="")),'10 Dev'!$H80,4)</f>
        <v>4</v>
      </c>
      <c r="AG80">
        <f>IF(AND('10 Dev'!E80&lt;Tmax, NOT('10 Dev'!$H80="")),'10 Dev'!$H80,4)</f>
        <v>4</v>
      </c>
      <c r="AH80">
        <f>IF(AND('10 Dev'!F80&lt;Tmax, NOT('10 Dev'!$H80="")),'10 Dev'!$H80,4)</f>
        <v>4</v>
      </c>
      <c r="AI80"/>
    </row>
    <row r="81" spans="1:35" ht="45.75" customHeight="1" outlineLevel="2" x14ac:dyDescent="0.2">
      <c r="A81" s="636" t="s">
        <v>3819</v>
      </c>
      <c r="B81" s="636" t="s">
        <v>5843</v>
      </c>
      <c r="C81" s="705"/>
      <c r="D81" s="701"/>
      <c r="E81" s="702"/>
      <c r="F81" s="702"/>
      <c r="G81" s="1487">
        <v>2</v>
      </c>
      <c r="H81" s="1487"/>
      <c r="I81" s="1487"/>
      <c r="J81" s="1487" t="s">
        <v>1592</v>
      </c>
      <c r="K81" s="1488"/>
      <c r="L81" s="1488"/>
      <c r="M81" s="703"/>
      <c r="AA81">
        <f>IF(AND('10 Dev'!C81&gt;Tmin, NOT('10 Dev'!$I81="")),'10 Dev'!$I81,0)</f>
        <v>0</v>
      </c>
      <c r="AB81">
        <f>IF(AND('10 Dev'!D81&gt;Tmin, NOT('10 Dev'!$I81="")),'10 Dev'!$I81,0)</f>
        <v>0</v>
      </c>
      <c r="AC81">
        <f>IF(AND('10 Dev'!E81&gt;Tmin, NOT('10 Dev'!$I81="")),'10 Dev'!$I81,0)</f>
        <v>0</v>
      </c>
      <c r="AD81">
        <f>IF(AND('10 Dev'!F81&gt;Tmin, NOT('10 Dev'!$I81="")),'10 Dev'!$I81,0)</f>
        <v>0</v>
      </c>
      <c r="AE81">
        <f>IF(AND('10 Dev'!C81&lt;Tmax, NOT('10 Dev'!$H81="")),'10 Dev'!$H81,4)</f>
        <v>4</v>
      </c>
      <c r="AF81">
        <f>IF(AND('10 Dev'!D81&lt;Tmax, NOT('10 Dev'!$H81="")),'10 Dev'!$H81,4)</f>
        <v>4</v>
      </c>
      <c r="AG81">
        <f>IF(AND('10 Dev'!E81&lt;Tmax, NOT('10 Dev'!$H81="")),'10 Dev'!$H81,4)</f>
        <v>4</v>
      </c>
      <c r="AH81">
        <f>IF(AND('10 Dev'!F81&lt;Tmax, NOT('10 Dev'!$H81="")),'10 Dev'!$H81,4)</f>
        <v>4</v>
      </c>
      <c r="AI81"/>
    </row>
    <row r="82" spans="1:35" ht="14.25" customHeight="1" outlineLevel="2" x14ac:dyDescent="0.2">
      <c r="A82" s="636" t="s">
        <v>3820</v>
      </c>
      <c r="B82" s="636" t="s">
        <v>3783</v>
      </c>
      <c r="C82" s="705"/>
      <c r="D82" s="701"/>
      <c r="E82" s="702"/>
      <c r="F82" s="702"/>
      <c r="G82" s="1487">
        <v>2</v>
      </c>
      <c r="H82" s="1487"/>
      <c r="I82" s="1487"/>
      <c r="J82" s="1487" t="s">
        <v>1592</v>
      </c>
      <c r="K82" s="1488"/>
      <c r="L82" s="1488"/>
      <c r="M82" s="703"/>
      <c r="AA82">
        <f>IF(AND('10 Dev'!C82&gt;Tmin, NOT('10 Dev'!$I82="")),'10 Dev'!$I82,0)</f>
        <v>0</v>
      </c>
      <c r="AB82">
        <f>IF(AND('10 Dev'!D82&gt;Tmin, NOT('10 Dev'!$I82="")),'10 Dev'!$I82,0)</f>
        <v>0</v>
      </c>
      <c r="AC82">
        <f>IF(AND('10 Dev'!E82&gt;Tmin, NOT('10 Dev'!$I82="")),'10 Dev'!$I82,0)</f>
        <v>0</v>
      </c>
      <c r="AD82">
        <f>IF(AND('10 Dev'!F82&gt;Tmin, NOT('10 Dev'!$I82="")),'10 Dev'!$I82,0)</f>
        <v>0</v>
      </c>
      <c r="AE82">
        <f>IF(AND('10 Dev'!C82&lt;Tmax, NOT('10 Dev'!$H82="")),'10 Dev'!$H82,4)</f>
        <v>4</v>
      </c>
      <c r="AF82">
        <f>IF(AND('10 Dev'!D82&lt;Tmax, NOT('10 Dev'!$H82="")),'10 Dev'!$H82,4)</f>
        <v>4</v>
      </c>
      <c r="AG82">
        <f>IF(AND('10 Dev'!E82&lt;Tmax, NOT('10 Dev'!$H82="")),'10 Dev'!$H82,4)</f>
        <v>4</v>
      </c>
      <c r="AH82">
        <f>IF(AND('10 Dev'!F82&lt;Tmax, NOT('10 Dev'!$H82="")),'10 Dev'!$H82,4)</f>
        <v>4</v>
      </c>
      <c r="AI82"/>
    </row>
    <row r="83" spans="1:35" ht="23.25" customHeight="1" outlineLevel="2" x14ac:dyDescent="0.2">
      <c r="A83" s="636" t="s">
        <v>3784</v>
      </c>
      <c r="B83" s="636" t="s">
        <v>3785</v>
      </c>
      <c r="C83" s="705"/>
      <c r="D83" s="701"/>
      <c r="E83" s="702"/>
      <c r="F83" s="702"/>
      <c r="G83" s="1487">
        <v>4</v>
      </c>
      <c r="H83" s="1487">
        <v>3</v>
      </c>
      <c r="I83" s="1487"/>
      <c r="J83" s="1487" t="s">
        <v>1592</v>
      </c>
      <c r="K83" s="1488"/>
      <c r="L83" s="1488"/>
      <c r="M83" s="703"/>
      <c r="AA83">
        <f>IF(AND('10 Dev'!C83&gt;Tmin, NOT('10 Dev'!$I83="")),'10 Dev'!$I83,0)</f>
        <v>0</v>
      </c>
      <c r="AB83">
        <f>IF(AND('10 Dev'!D83&gt;Tmin, NOT('10 Dev'!$I83="")),'10 Dev'!$I83,0)</f>
        <v>0</v>
      </c>
      <c r="AC83">
        <f>IF(AND('10 Dev'!E83&gt;Tmin, NOT('10 Dev'!$I83="")),'10 Dev'!$I83,0)</f>
        <v>0</v>
      </c>
      <c r="AD83">
        <f>IF(AND('10 Dev'!F83&gt;Tmin, NOT('10 Dev'!$I83="")),'10 Dev'!$I83,0)</f>
        <v>0</v>
      </c>
      <c r="AE83">
        <f>IF(AND('10 Dev'!C83&lt;Tmax, NOT('10 Dev'!$H83="")),'10 Dev'!$H83,4)</f>
        <v>3</v>
      </c>
      <c r="AF83">
        <f>IF(AND('10 Dev'!D83&lt;Tmax, NOT('10 Dev'!$H83="")),'10 Dev'!$H83,4)</f>
        <v>3</v>
      </c>
      <c r="AG83">
        <f>IF(AND('10 Dev'!E83&lt;Tmax, NOT('10 Dev'!$H83="")),'10 Dev'!$H83,4)</f>
        <v>3</v>
      </c>
      <c r="AH83">
        <f>IF(AND('10 Dev'!F83&lt;Tmax, NOT('10 Dev'!$H83="")),'10 Dev'!$H83,4)</f>
        <v>3</v>
      </c>
      <c r="AI83"/>
    </row>
    <row r="84" spans="1:35" ht="28.5" customHeight="1" outlineLevel="2" x14ac:dyDescent="0.2">
      <c r="A84" s="636" t="s">
        <v>3786</v>
      </c>
      <c r="B84" s="636" t="s">
        <v>2697</v>
      </c>
      <c r="C84" s="705"/>
      <c r="D84" s="701"/>
      <c r="E84" s="702"/>
      <c r="F84" s="702"/>
      <c r="G84" s="1487">
        <v>4</v>
      </c>
      <c r="H84" s="1487"/>
      <c r="I84" s="1487"/>
      <c r="J84" s="1487" t="s">
        <v>1592</v>
      </c>
      <c r="K84" s="1488"/>
      <c r="L84" s="1488"/>
      <c r="M84" s="703"/>
      <c r="AA84">
        <f>IF(AND('10 Dev'!C84&gt;Tmin, NOT('10 Dev'!$I84="")),'10 Dev'!$I84,0)</f>
        <v>0</v>
      </c>
      <c r="AB84">
        <f>IF(AND('10 Dev'!D84&gt;Tmin, NOT('10 Dev'!$I84="")),'10 Dev'!$I84,0)</f>
        <v>0</v>
      </c>
      <c r="AC84">
        <f>IF(AND('10 Dev'!E84&gt;Tmin, NOT('10 Dev'!$I84="")),'10 Dev'!$I84,0)</f>
        <v>0</v>
      </c>
      <c r="AD84">
        <f>IF(AND('10 Dev'!F84&gt;Tmin, NOT('10 Dev'!$I84="")),'10 Dev'!$I84,0)</f>
        <v>0</v>
      </c>
      <c r="AE84">
        <f>IF(AND('10 Dev'!C84&lt;Tmax, NOT('10 Dev'!$H84="")),'10 Dev'!$H84,4)</f>
        <v>4</v>
      </c>
      <c r="AF84">
        <f>IF(AND('10 Dev'!D84&lt;Tmax, NOT('10 Dev'!$H84="")),'10 Dev'!$H84,4)</f>
        <v>4</v>
      </c>
      <c r="AG84">
        <f>IF(AND('10 Dev'!E84&lt;Tmax, NOT('10 Dev'!$H84="")),'10 Dev'!$H84,4)</f>
        <v>4</v>
      </c>
      <c r="AH84">
        <f>IF(AND('10 Dev'!F84&lt;Tmax, NOT('10 Dev'!$H84="")),'10 Dev'!$H84,4)</f>
        <v>4</v>
      </c>
      <c r="AI84"/>
    </row>
    <row r="85" spans="1:35" ht="22.5" outlineLevel="2" x14ac:dyDescent="0.2">
      <c r="A85" s="636" t="s">
        <v>2698</v>
      </c>
      <c r="B85" s="636" t="s">
        <v>6428</v>
      </c>
      <c r="C85" s="705"/>
      <c r="D85" s="701"/>
      <c r="E85" s="702"/>
      <c r="F85" s="702"/>
      <c r="G85" s="1487">
        <v>4</v>
      </c>
      <c r="H85" s="1487">
        <v>3</v>
      </c>
      <c r="I85" s="1487"/>
      <c r="J85" s="1487" t="s">
        <v>2329</v>
      </c>
      <c r="K85" s="1488"/>
      <c r="L85" s="1488"/>
      <c r="M85" s="703"/>
      <c r="AA85">
        <f>IF(AND('10 Dev'!C85&gt;Tmin, NOT('10 Dev'!$I85="")),'10 Dev'!$I85,0)</f>
        <v>0</v>
      </c>
      <c r="AB85">
        <f>IF(AND('10 Dev'!D85&gt;Tmin, NOT('10 Dev'!$I85="")),'10 Dev'!$I85,0)</f>
        <v>0</v>
      </c>
      <c r="AC85">
        <f>IF(AND('10 Dev'!E85&gt;Tmin, NOT('10 Dev'!$I85="")),'10 Dev'!$I85,0)</f>
        <v>0</v>
      </c>
      <c r="AD85">
        <f>IF(AND('10 Dev'!F85&gt;Tmin, NOT('10 Dev'!$I85="")),'10 Dev'!$I85,0)</f>
        <v>0</v>
      </c>
      <c r="AE85">
        <f>IF(AND('10 Dev'!C85&lt;Tmax, NOT('10 Dev'!$H85="")),'10 Dev'!$H85,4)</f>
        <v>3</v>
      </c>
      <c r="AF85">
        <f>IF(AND('10 Dev'!D85&lt;Tmax, NOT('10 Dev'!$H85="")),'10 Dev'!$H85,4)</f>
        <v>3</v>
      </c>
      <c r="AG85">
        <f>IF(AND('10 Dev'!E85&lt;Tmax, NOT('10 Dev'!$H85="")),'10 Dev'!$H85,4)</f>
        <v>3</v>
      </c>
      <c r="AH85">
        <f>IF(AND('10 Dev'!F85&lt;Tmax, NOT('10 Dev'!$H85="")),'10 Dev'!$H85,4)</f>
        <v>3</v>
      </c>
      <c r="AI85"/>
    </row>
    <row r="86" spans="1:35" ht="45" outlineLevel="2" x14ac:dyDescent="0.2">
      <c r="A86" s="636" t="s">
        <v>6235</v>
      </c>
      <c r="B86" s="636" t="s">
        <v>5844</v>
      </c>
      <c r="C86" s="705"/>
      <c r="D86" s="701"/>
      <c r="E86" s="702"/>
      <c r="F86" s="702"/>
      <c r="G86" s="1487">
        <v>2</v>
      </c>
      <c r="H86" s="1487"/>
      <c r="I86" s="1487"/>
      <c r="J86" s="1487" t="s">
        <v>4246</v>
      </c>
      <c r="K86" s="1488"/>
      <c r="L86" s="1488"/>
      <c r="M86" s="703"/>
      <c r="AA86">
        <f>IF(AND('10 Dev'!C86&gt;Tmin, NOT('10 Dev'!$I86="")),'10 Dev'!$I86,0)</f>
        <v>0</v>
      </c>
      <c r="AB86">
        <f>IF(AND('10 Dev'!D86&gt;Tmin, NOT('10 Dev'!$I86="")),'10 Dev'!$I86,0)</f>
        <v>0</v>
      </c>
      <c r="AC86">
        <f>IF(AND('10 Dev'!E86&gt;Tmin, NOT('10 Dev'!$I86="")),'10 Dev'!$I86,0)</f>
        <v>0</v>
      </c>
      <c r="AD86">
        <f>IF(AND('10 Dev'!F86&gt;Tmin, NOT('10 Dev'!$I86="")),'10 Dev'!$I86,0)</f>
        <v>0</v>
      </c>
      <c r="AE86">
        <f>IF(AND('10 Dev'!C86&lt;Tmax, NOT('10 Dev'!$H86="")),'10 Dev'!$H86,4)</f>
        <v>4</v>
      </c>
      <c r="AF86">
        <f>IF(AND('10 Dev'!D86&lt;Tmax, NOT('10 Dev'!$H86="")),'10 Dev'!$H86,4)</f>
        <v>4</v>
      </c>
      <c r="AG86">
        <f>IF(AND('10 Dev'!E86&lt;Tmax, NOT('10 Dev'!$H86="")),'10 Dev'!$H86,4)</f>
        <v>4</v>
      </c>
      <c r="AH86">
        <f>IF(AND('10 Dev'!F86&lt;Tmax, NOT('10 Dev'!$H86="")),'10 Dev'!$H86,4)</f>
        <v>4</v>
      </c>
      <c r="AI86"/>
    </row>
    <row r="87" spans="1:35" ht="67.5" outlineLevel="2" x14ac:dyDescent="0.2">
      <c r="A87" s="636" t="s">
        <v>6233</v>
      </c>
      <c r="B87" s="636" t="s">
        <v>4650</v>
      </c>
      <c r="C87" s="705"/>
      <c r="D87" s="701"/>
      <c r="E87" s="702"/>
      <c r="F87" s="702"/>
      <c r="G87" s="1487">
        <v>4</v>
      </c>
      <c r="H87" s="1487"/>
      <c r="I87" s="1487"/>
      <c r="J87" s="1487" t="s">
        <v>2964</v>
      </c>
      <c r="K87" s="1488"/>
      <c r="L87" s="1488"/>
      <c r="M87" s="703"/>
      <c r="AA87">
        <f>IF(AND('10 Dev'!C87&gt;Tmin, NOT('10 Dev'!$I87="")),'10 Dev'!$I87,0)</f>
        <v>0</v>
      </c>
      <c r="AB87">
        <f>IF(AND('10 Dev'!D87&gt;Tmin, NOT('10 Dev'!$I87="")),'10 Dev'!$I87,0)</f>
        <v>0</v>
      </c>
      <c r="AC87">
        <f>IF(AND('10 Dev'!E87&gt;Tmin, NOT('10 Dev'!$I87="")),'10 Dev'!$I87,0)</f>
        <v>0</v>
      </c>
      <c r="AD87">
        <f>IF(AND('10 Dev'!F87&gt;Tmin, NOT('10 Dev'!$I87="")),'10 Dev'!$I87,0)</f>
        <v>0</v>
      </c>
      <c r="AE87">
        <f>IF(AND('10 Dev'!C87&lt;Tmax, NOT('10 Dev'!$H87="")),'10 Dev'!$H87,4)</f>
        <v>4</v>
      </c>
      <c r="AF87">
        <f>IF(AND('10 Dev'!D87&lt;Tmax, NOT('10 Dev'!$H87="")),'10 Dev'!$H87,4)</f>
        <v>4</v>
      </c>
      <c r="AG87">
        <f>IF(AND('10 Dev'!E87&lt;Tmax, NOT('10 Dev'!$H87="")),'10 Dev'!$H87,4)</f>
        <v>4</v>
      </c>
      <c r="AH87">
        <f>IF(AND('10 Dev'!F87&lt;Tmax, NOT('10 Dev'!$H87="")),'10 Dev'!$H87,4)</f>
        <v>4</v>
      </c>
      <c r="AI87"/>
    </row>
    <row r="88" spans="1:35" ht="22.5" outlineLevel="2" x14ac:dyDescent="0.2">
      <c r="A88" s="636" t="s">
        <v>6234</v>
      </c>
      <c r="B88" s="636" t="s">
        <v>5776</v>
      </c>
      <c r="C88" s="705"/>
      <c r="D88" s="701"/>
      <c r="E88" s="702"/>
      <c r="F88" s="702"/>
      <c r="G88" s="1487">
        <v>2</v>
      </c>
      <c r="H88" s="1507"/>
      <c r="I88" s="1507"/>
      <c r="J88" s="1487" t="s">
        <v>2109</v>
      </c>
      <c r="K88" s="1488"/>
      <c r="L88" s="1488"/>
      <c r="M88" s="703"/>
      <c r="AA88">
        <f>IF(AND('10 Dev'!C88&gt;Tmin, NOT('10 Dev'!$I88="")),'10 Dev'!$I88,0)</f>
        <v>0</v>
      </c>
      <c r="AB88">
        <f>IF(AND('10 Dev'!D88&gt;Tmin, NOT('10 Dev'!$I88="")),'10 Dev'!$I88,0)</f>
        <v>0</v>
      </c>
      <c r="AC88">
        <f>IF(AND('10 Dev'!E88&gt;Tmin, NOT('10 Dev'!$I88="")),'10 Dev'!$I88,0)</f>
        <v>0</v>
      </c>
      <c r="AD88">
        <f>IF(AND('10 Dev'!F88&gt;Tmin, NOT('10 Dev'!$I88="")),'10 Dev'!$I88,0)</f>
        <v>0</v>
      </c>
      <c r="AE88">
        <f>IF(AND('10 Dev'!C88&lt;Tmax, NOT('10 Dev'!$H88="")),'10 Dev'!$H88,4)</f>
        <v>4</v>
      </c>
      <c r="AF88">
        <f>IF(AND('10 Dev'!D88&lt;Tmax, NOT('10 Dev'!$H88="")),'10 Dev'!$H88,4)</f>
        <v>4</v>
      </c>
      <c r="AG88">
        <f>IF(AND('10 Dev'!E88&lt;Tmax, NOT('10 Dev'!$H88="")),'10 Dev'!$H88,4)</f>
        <v>4</v>
      </c>
      <c r="AH88">
        <f>IF(AND('10 Dev'!F88&lt;Tmax, NOT('10 Dev'!$H88="")),'10 Dev'!$H88,4)</f>
        <v>4</v>
      </c>
      <c r="AI88"/>
    </row>
    <row r="89" spans="1:35" outlineLevel="1" x14ac:dyDescent="0.2">
      <c r="A89" s="553" t="s">
        <v>3226</v>
      </c>
      <c r="B89" s="704" t="s">
        <v>4133</v>
      </c>
      <c r="C89" s="705"/>
      <c r="D89" s="701"/>
      <c r="E89" s="702"/>
      <c r="F89" s="702"/>
      <c r="G89" s="1487"/>
      <c r="H89" s="1487"/>
      <c r="I89" s="1487"/>
      <c r="J89" s="1487"/>
      <c r="K89" s="1488"/>
      <c r="L89" s="1488"/>
      <c r="M89" s="703"/>
      <c r="AA89"/>
      <c r="AB89"/>
      <c r="AC89"/>
      <c r="AD89"/>
      <c r="AE89"/>
      <c r="AF89"/>
      <c r="AG89"/>
      <c r="AH89"/>
      <c r="AI89"/>
    </row>
    <row r="90" spans="1:35" ht="33.75" outlineLevel="2" x14ac:dyDescent="0.2">
      <c r="A90" s="636" t="s">
        <v>4134</v>
      </c>
      <c r="B90" s="636" t="s">
        <v>5001</v>
      </c>
      <c r="C90" s="705"/>
      <c r="D90" s="701"/>
      <c r="E90" s="702"/>
      <c r="F90" s="702"/>
      <c r="G90" s="1508">
        <v>4</v>
      </c>
      <c r="H90" s="1508">
        <v>2</v>
      </c>
      <c r="I90" s="1508"/>
      <c r="J90" s="1508" t="s">
        <v>4246</v>
      </c>
      <c r="K90" s="1488"/>
      <c r="L90" s="1488"/>
      <c r="M90" s="703"/>
      <c r="AA90">
        <f>IF(AND('10 Dev'!C90&gt;Tmin, NOT('10 Dev'!$I90="")),'10 Dev'!$I90,0)</f>
        <v>0</v>
      </c>
      <c r="AB90">
        <f>IF(AND('10 Dev'!D90&gt;Tmin, NOT('10 Dev'!$I90="")),'10 Dev'!$I90,0)</f>
        <v>0</v>
      </c>
      <c r="AC90">
        <f>IF(AND('10 Dev'!E90&gt;Tmin, NOT('10 Dev'!$I90="")),'10 Dev'!$I90,0)</f>
        <v>0</v>
      </c>
      <c r="AD90">
        <f>IF(AND('10 Dev'!F90&gt;Tmin, NOT('10 Dev'!$I90="")),'10 Dev'!$I90,0)</f>
        <v>0</v>
      </c>
      <c r="AE90">
        <f>IF(AND('10 Dev'!C90&lt;Tmax, NOT('10 Dev'!$H90="")),'10 Dev'!$H90,4)</f>
        <v>2</v>
      </c>
      <c r="AF90">
        <f>IF(AND('10 Dev'!D90&lt;Tmax, NOT('10 Dev'!$H90="")),'10 Dev'!$H90,4)</f>
        <v>2</v>
      </c>
      <c r="AG90">
        <f>IF(AND('10 Dev'!E90&lt;Tmax, NOT('10 Dev'!$H90="")),'10 Dev'!$H90,4)</f>
        <v>2</v>
      </c>
      <c r="AH90">
        <f>IF(AND('10 Dev'!F90&lt;Tmax, NOT('10 Dev'!$H90="")),'10 Dev'!$H90,4)</f>
        <v>2</v>
      </c>
      <c r="AI90"/>
    </row>
    <row r="91" spans="1:35" ht="22.5" outlineLevel="2" x14ac:dyDescent="0.2">
      <c r="A91" s="636" t="s">
        <v>5002</v>
      </c>
      <c r="B91" s="636" t="s">
        <v>4963</v>
      </c>
      <c r="C91" s="705"/>
      <c r="D91" s="701"/>
      <c r="E91" s="702"/>
      <c r="F91" s="702"/>
      <c r="G91" s="1508">
        <v>4</v>
      </c>
      <c r="H91" s="1508">
        <v>2</v>
      </c>
      <c r="I91" s="1508"/>
      <c r="J91" s="1487" t="s">
        <v>1592</v>
      </c>
      <c r="K91" s="1488"/>
      <c r="L91" s="1488"/>
      <c r="M91" s="703"/>
      <c r="AA91">
        <f>IF(AND('10 Dev'!C91&gt;Tmin, NOT('10 Dev'!$I91="")),'10 Dev'!$I91,0)</f>
        <v>0</v>
      </c>
      <c r="AB91">
        <f>IF(AND('10 Dev'!D91&gt;Tmin, NOT('10 Dev'!$I91="")),'10 Dev'!$I91,0)</f>
        <v>0</v>
      </c>
      <c r="AC91">
        <f>IF(AND('10 Dev'!E91&gt;Tmin, NOT('10 Dev'!$I91="")),'10 Dev'!$I91,0)</f>
        <v>0</v>
      </c>
      <c r="AD91">
        <f>IF(AND('10 Dev'!F91&gt;Tmin, NOT('10 Dev'!$I91="")),'10 Dev'!$I91,0)</f>
        <v>0</v>
      </c>
      <c r="AE91">
        <f>IF(AND('10 Dev'!C91&lt;Tmax, NOT('10 Dev'!$H91="")),'10 Dev'!$H91,4)</f>
        <v>2</v>
      </c>
      <c r="AF91">
        <f>IF(AND('10 Dev'!D91&lt;Tmax, NOT('10 Dev'!$H91="")),'10 Dev'!$H91,4)</f>
        <v>2</v>
      </c>
      <c r="AG91">
        <f>IF(AND('10 Dev'!E91&lt;Tmax, NOT('10 Dev'!$H91="")),'10 Dev'!$H91,4)</f>
        <v>2</v>
      </c>
      <c r="AH91">
        <f>IF(AND('10 Dev'!F91&lt;Tmax, NOT('10 Dev'!$H91="")),'10 Dev'!$H91,4)</f>
        <v>2</v>
      </c>
      <c r="AI91"/>
    </row>
    <row r="92" spans="1:35" ht="22.5" outlineLevel="2" x14ac:dyDescent="0.2">
      <c r="A92" s="636" t="s">
        <v>4964</v>
      </c>
      <c r="B92" s="636" t="s">
        <v>1711</v>
      </c>
      <c r="C92" s="705"/>
      <c r="D92" s="701"/>
      <c r="E92" s="702"/>
      <c r="F92" s="702"/>
      <c r="G92" s="1508">
        <v>4</v>
      </c>
      <c r="H92" s="1508">
        <v>2</v>
      </c>
      <c r="I92" s="1508"/>
      <c r="J92" s="1487" t="s">
        <v>1592</v>
      </c>
      <c r="K92" s="1488"/>
      <c r="L92" s="1488"/>
      <c r="M92" s="703"/>
      <c r="AA92">
        <f>IF(AND('10 Dev'!C92&gt;Tmin, NOT('10 Dev'!$I92="")),'10 Dev'!$I92,0)</f>
        <v>0</v>
      </c>
      <c r="AB92">
        <f>IF(AND('10 Dev'!D92&gt;Tmin, NOT('10 Dev'!$I92="")),'10 Dev'!$I92,0)</f>
        <v>0</v>
      </c>
      <c r="AC92">
        <f>IF(AND('10 Dev'!E92&gt;Tmin, NOT('10 Dev'!$I92="")),'10 Dev'!$I92,0)</f>
        <v>0</v>
      </c>
      <c r="AD92">
        <f>IF(AND('10 Dev'!F92&gt;Tmin, NOT('10 Dev'!$I92="")),'10 Dev'!$I92,0)</f>
        <v>0</v>
      </c>
      <c r="AE92">
        <f>IF(AND('10 Dev'!C92&lt;Tmax, NOT('10 Dev'!$H92="")),'10 Dev'!$H92,4)</f>
        <v>2</v>
      </c>
      <c r="AF92">
        <f>IF(AND('10 Dev'!D92&lt;Tmax, NOT('10 Dev'!$H92="")),'10 Dev'!$H92,4)</f>
        <v>2</v>
      </c>
      <c r="AG92">
        <f>IF(AND('10 Dev'!E92&lt;Tmax, NOT('10 Dev'!$H92="")),'10 Dev'!$H92,4)</f>
        <v>2</v>
      </c>
      <c r="AH92">
        <f>IF(AND('10 Dev'!F92&lt;Tmax, NOT('10 Dev'!$H92="")),'10 Dev'!$H92,4)</f>
        <v>2</v>
      </c>
      <c r="AI92"/>
    </row>
    <row r="93" spans="1:35" ht="33.75" outlineLevel="2" x14ac:dyDescent="0.2">
      <c r="A93" s="636" t="s">
        <v>1712</v>
      </c>
      <c r="B93" s="636" t="s">
        <v>5777</v>
      </c>
      <c r="C93" s="705"/>
      <c r="D93" s="701"/>
      <c r="E93" s="702"/>
      <c r="F93" s="702"/>
      <c r="G93" s="1508">
        <v>4</v>
      </c>
      <c r="H93" s="1508"/>
      <c r="I93" s="1508"/>
      <c r="J93" s="1487" t="s">
        <v>1592</v>
      </c>
      <c r="K93" s="1488"/>
      <c r="L93" s="1488"/>
      <c r="M93" s="703"/>
      <c r="AA93">
        <f>IF(AND('10 Dev'!C93&gt;Tmin, NOT('10 Dev'!$I93="")),'10 Dev'!$I93,0)</f>
        <v>0</v>
      </c>
      <c r="AB93">
        <f>IF(AND('10 Dev'!D93&gt;Tmin, NOT('10 Dev'!$I93="")),'10 Dev'!$I93,0)</f>
        <v>0</v>
      </c>
      <c r="AC93">
        <f>IF(AND('10 Dev'!E93&gt;Tmin, NOT('10 Dev'!$I93="")),'10 Dev'!$I93,0)</f>
        <v>0</v>
      </c>
      <c r="AD93">
        <f>IF(AND('10 Dev'!F93&gt;Tmin, NOT('10 Dev'!$I93="")),'10 Dev'!$I93,0)</f>
        <v>0</v>
      </c>
      <c r="AE93">
        <f>IF(AND('10 Dev'!C93&lt;Tmax, NOT('10 Dev'!$H93="")),'10 Dev'!$H93,4)</f>
        <v>4</v>
      </c>
      <c r="AF93">
        <f>IF(AND('10 Dev'!D93&lt;Tmax, NOT('10 Dev'!$H93="")),'10 Dev'!$H93,4)</f>
        <v>4</v>
      </c>
      <c r="AG93">
        <f>IF(AND('10 Dev'!E93&lt;Tmax, NOT('10 Dev'!$H93="")),'10 Dev'!$H93,4)</f>
        <v>4</v>
      </c>
      <c r="AH93">
        <f>IF(AND('10 Dev'!F93&lt;Tmax, NOT('10 Dev'!$H93="")),'10 Dev'!$H93,4)</f>
        <v>4</v>
      </c>
      <c r="AI93"/>
    </row>
    <row r="94" spans="1:35" outlineLevel="2" x14ac:dyDescent="0.2">
      <c r="A94" s="636" t="s">
        <v>1713</v>
      </c>
      <c r="B94" s="636" t="s">
        <v>1714</v>
      </c>
      <c r="C94" s="705"/>
      <c r="D94" s="701"/>
      <c r="E94" s="702"/>
      <c r="F94" s="702"/>
      <c r="G94" s="1508">
        <v>4</v>
      </c>
      <c r="H94" s="1508">
        <v>3</v>
      </c>
      <c r="I94" s="1508"/>
      <c r="J94" s="1508" t="s">
        <v>2109</v>
      </c>
      <c r="K94" s="1488"/>
      <c r="L94" s="1488"/>
      <c r="M94" s="703"/>
      <c r="AA94">
        <f>IF(AND('10 Dev'!C94&gt;Tmin, NOT('10 Dev'!$I94="")),'10 Dev'!$I94,0)</f>
        <v>0</v>
      </c>
      <c r="AB94">
        <f>IF(AND('10 Dev'!D94&gt;Tmin, NOT('10 Dev'!$I94="")),'10 Dev'!$I94,0)</f>
        <v>0</v>
      </c>
      <c r="AC94">
        <f>IF(AND('10 Dev'!E94&gt;Tmin, NOT('10 Dev'!$I94="")),'10 Dev'!$I94,0)</f>
        <v>0</v>
      </c>
      <c r="AD94">
        <f>IF(AND('10 Dev'!F94&gt;Tmin, NOT('10 Dev'!$I94="")),'10 Dev'!$I94,0)</f>
        <v>0</v>
      </c>
      <c r="AE94">
        <f>IF(AND('10 Dev'!C94&lt;Tmax, NOT('10 Dev'!$H94="")),'10 Dev'!$H94,4)</f>
        <v>3</v>
      </c>
      <c r="AF94">
        <f>IF(AND('10 Dev'!D94&lt;Tmax, NOT('10 Dev'!$H94="")),'10 Dev'!$H94,4)</f>
        <v>3</v>
      </c>
      <c r="AG94">
        <f>IF(AND('10 Dev'!E94&lt;Tmax, NOT('10 Dev'!$H94="")),'10 Dev'!$H94,4)</f>
        <v>3</v>
      </c>
      <c r="AH94">
        <f>IF(AND('10 Dev'!F94&lt;Tmax, NOT('10 Dev'!$H94="")),'10 Dev'!$H94,4)</f>
        <v>3</v>
      </c>
      <c r="AI94"/>
    </row>
    <row r="95" spans="1:35" x14ac:dyDescent="0.2">
      <c r="A95" s="717" t="s">
        <v>7568</v>
      </c>
      <c r="B95" s="718" t="s">
        <v>7006</v>
      </c>
      <c r="C95" s="705"/>
      <c r="D95" s="701"/>
      <c r="E95" s="702"/>
      <c r="F95" s="702"/>
      <c r="G95" s="1507"/>
      <c r="H95" s="1507"/>
      <c r="I95" s="1507"/>
      <c r="J95" s="1507"/>
      <c r="K95" s="1488"/>
      <c r="L95" s="1513"/>
      <c r="M95" s="703"/>
      <c r="AA95"/>
      <c r="AB95"/>
      <c r="AC95"/>
      <c r="AD95"/>
      <c r="AE95"/>
      <c r="AF95"/>
      <c r="AG95"/>
      <c r="AH95"/>
      <c r="AI95"/>
    </row>
    <row r="96" spans="1:35" ht="36" customHeight="1" x14ac:dyDescent="0.2">
      <c r="A96" s="1656" t="s">
        <v>7569</v>
      </c>
      <c r="B96" s="719" t="s">
        <v>7597</v>
      </c>
      <c r="C96" s="705"/>
      <c r="D96" s="701"/>
      <c r="E96" s="702"/>
      <c r="F96" s="702"/>
      <c r="G96" s="1507">
        <v>3</v>
      </c>
      <c r="H96" s="1507"/>
      <c r="I96" s="1507"/>
      <c r="J96" s="1507"/>
      <c r="K96" s="1488" t="s">
        <v>7005</v>
      </c>
      <c r="L96" s="1513"/>
      <c r="M96" s="703"/>
      <c r="AA96">
        <f>IF(AND('10 Dev'!C96&gt;Tmin, NOT('10 Dev'!$I96="")),'10 Dev'!$I96,0)</f>
        <v>0</v>
      </c>
      <c r="AB96">
        <f>IF(AND('10 Dev'!D96&gt;Tmin, NOT('10 Dev'!$I96="")),'10 Dev'!$I96,0)</f>
        <v>0</v>
      </c>
      <c r="AC96">
        <f>IF(AND('10 Dev'!E96&gt;Tmin, NOT('10 Dev'!$I96="")),'10 Dev'!$I96,0)</f>
        <v>0</v>
      </c>
      <c r="AD96">
        <f>IF(AND('10 Dev'!F96&gt;Tmin, NOT('10 Dev'!$I96="")),'10 Dev'!$I96,0)</f>
        <v>0</v>
      </c>
      <c r="AE96">
        <f>IF(AND('10 Dev'!C96&lt;Tmax, NOT('10 Dev'!$H96="")),'10 Dev'!$H96,4)</f>
        <v>4</v>
      </c>
      <c r="AF96">
        <f>IF(AND('10 Dev'!D96&lt;Tmax, NOT('10 Dev'!$H96="")),'10 Dev'!$H96,4)</f>
        <v>4</v>
      </c>
      <c r="AG96">
        <f>IF(AND('10 Dev'!E96&lt;Tmax, NOT('10 Dev'!$H96="")),'10 Dev'!$H96,4)</f>
        <v>4</v>
      </c>
      <c r="AH96">
        <f>IF(AND('10 Dev'!F96&lt;Tmax, NOT('10 Dev'!$H96="")),'10 Dev'!$H96,4)</f>
        <v>4</v>
      </c>
      <c r="AI96"/>
    </row>
    <row r="97" spans="1:35" ht="45" customHeight="1" x14ac:dyDescent="0.2">
      <c r="A97" s="1656" t="s">
        <v>7570</v>
      </c>
      <c r="B97" s="719" t="s">
        <v>7615</v>
      </c>
      <c r="C97" s="705"/>
      <c r="D97" s="701"/>
      <c r="E97" s="702"/>
      <c r="F97" s="702"/>
      <c r="G97" s="1507">
        <v>3</v>
      </c>
      <c r="H97" s="1507"/>
      <c r="I97" s="1507"/>
      <c r="J97" s="1507"/>
      <c r="K97" s="1488" t="s">
        <v>7005</v>
      </c>
      <c r="L97" s="1513"/>
      <c r="M97" s="703"/>
      <c r="AA97">
        <f>IF(AND('10 Dev'!C97&gt;Tmin, NOT('10 Dev'!$I97="")),'10 Dev'!$I97,0)</f>
        <v>0</v>
      </c>
      <c r="AB97">
        <f>IF(AND('10 Dev'!D97&gt;Tmin, NOT('10 Dev'!$I97="")),'10 Dev'!$I97,0)</f>
        <v>0</v>
      </c>
      <c r="AC97">
        <f>IF(AND('10 Dev'!E97&gt;Tmin, NOT('10 Dev'!$I97="")),'10 Dev'!$I97,0)</f>
        <v>0</v>
      </c>
      <c r="AD97">
        <f>IF(AND('10 Dev'!F97&gt;Tmin, NOT('10 Dev'!$I97="")),'10 Dev'!$I97,0)</f>
        <v>0</v>
      </c>
      <c r="AE97">
        <f>IF(AND('10 Dev'!C97&lt;Tmax, NOT('10 Dev'!$H97="")),'10 Dev'!$H97,4)</f>
        <v>4</v>
      </c>
      <c r="AF97">
        <f>IF(AND('10 Dev'!D97&lt;Tmax, NOT('10 Dev'!$H97="")),'10 Dev'!$H97,4)</f>
        <v>4</v>
      </c>
      <c r="AG97">
        <f>IF(AND('10 Dev'!E97&lt;Tmax, NOT('10 Dev'!$H97="")),'10 Dev'!$H97,4)</f>
        <v>4</v>
      </c>
      <c r="AH97">
        <f>IF(AND('10 Dev'!F97&lt;Tmax, NOT('10 Dev'!$H97="")),'10 Dev'!$H97,4)</f>
        <v>4</v>
      </c>
      <c r="AI97"/>
    </row>
    <row r="98" spans="1:35" ht="37.5" customHeight="1" x14ac:dyDescent="0.2">
      <c r="A98" s="1656" t="s">
        <v>7571</v>
      </c>
      <c r="B98" s="719" t="s">
        <v>7614</v>
      </c>
      <c r="C98" s="705"/>
      <c r="D98" s="701"/>
      <c r="E98" s="702"/>
      <c r="F98" s="702"/>
      <c r="G98" s="1507">
        <v>3</v>
      </c>
      <c r="H98" s="1507"/>
      <c r="I98" s="1507"/>
      <c r="J98" s="1507"/>
      <c r="K98" s="1488" t="s">
        <v>7005</v>
      </c>
      <c r="L98" s="1513"/>
      <c r="M98" s="703"/>
      <c r="AA98">
        <f>IF(AND('10 Dev'!C98&gt;Tmin, NOT('10 Dev'!$I98="")),'10 Dev'!$I98,0)</f>
        <v>0</v>
      </c>
      <c r="AB98">
        <f>IF(AND('10 Dev'!D98&gt;Tmin, NOT('10 Dev'!$I98="")),'10 Dev'!$I98,0)</f>
        <v>0</v>
      </c>
      <c r="AC98">
        <f>IF(AND('10 Dev'!E98&gt;Tmin, NOT('10 Dev'!$I98="")),'10 Dev'!$I98,0)</f>
        <v>0</v>
      </c>
      <c r="AD98">
        <f>IF(AND('10 Dev'!F98&gt;Tmin, NOT('10 Dev'!$I98="")),'10 Dev'!$I98,0)</f>
        <v>0</v>
      </c>
      <c r="AE98">
        <f>IF(AND('10 Dev'!C98&lt;Tmax, NOT('10 Dev'!$H98="")),'10 Dev'!$H98,4)</f>
        <v>4</v>
      </c>
      <c r="AF98">
        <f>IF(AND('10 Dev'!D98&lt;Tmax, NOT('10 Dev'!$H98="")),'10 Dev'!$H98,4)</f>
        <v>4</v>
      </c>
      <c r="AG98">
        <f>IF(AND('10 Dev'!E98&lt;Tmax, NOT('10 Dev'!$H98="")),'10 Dev'!$H98,4)</f>
        <v>4</v>
      </c>
      <c r="AH98">
        <f>IF(AND('10 Dev'!F98&lt;Tmax, NOT('10 Dev'!$H98="")),'10 Dev'!$H98,4)</f>
        <v>4</v>
      </c>
      <c r="AI98"/>
    </row>
    <row r="99" spans="1:35" ht="26.25" customHeight="1" x14ac:dyDescent="0.2">
      <c r="A99" s="1656" t="s">
        <v>7572</v>
      </c>
      <c r="B99" s="719" t="s">
        <v>7613</v>
      </c>
      <c r="C99" s="559"/>
      <c r="D99" s="701"/>
      <c r="E99" s="702"/>
      <c r="F99" s="702"/>
      <c r="G99" s="1507">
        <v>3</v>
      </c>
      <c r="H99" s="1507"/>
      <c r="I99" s="1507"/>
      <c r="J99" s="1507"/>
      <c r="K99" s="1488" t="s">
        <v>7005</v>
      </c>
      <c r="L99" s="1513"/>
      <c r="M99" s="703"/>
      <c r="AA99">
        <f>IF(AND('10 Dev'!C99&gt;Tmin, NOT('10 Dev'!$I99="")),'10 Dev'!$I99,0)</f>
        <v>0</v>
      </c>
      <c r="AB99">
        <f>IF(AND('10 Dev'!D99&gt;Tmin, NOT('10 Dev'!$I99="")),'10 Dev'!$I99,0)</f>
        <v>0</v>
      </c>
      <c r="AC99">
        <f>IF(AND('10 Dev'!E99&gt;Tmin, NOT('10 Dev'!$I99="")),'10 Dev'!$I99,0)</f>
        <v>0</v>
      </c>
      <c r="AD99">
        <f>IF(AND('10 Dev'!F99&gt;Tmin, NOT('10 Dev'!$I99="")),'10 Dev'!$I99,0)</f>
        <v>0</v>
      </c>
      <c r="AE99">
        <f>IF(AND('10 Dev'!C99&lt;Tmax, NOT('10 Dev'!$H99="")),'10 Dev'!$H99,4)</f>
        <v>4</v>
      </c>
      <c r="AF99">
        <f>IF(AND('10 Dev'!D99&lt;Tmax, NOT('10 Dev'!$H99="")),'10 Dev'!$H99,4)</f>
        <v>4</v>
      </c>
      <c r="AG99">
        <f>IF(AND('10 Dev'!E99&lt;Tmax, NOT('10 Dev'!$H99="")),'10 Dev'!$H99,4)</f>
        <v>4</v>
      </c>
      <c r="AH99">
        <f>IF(AND('10 Dev'!F99&lt;Tmax, NOT('10 Dev'!$H99="")),'10 Dev'!$H99,4)</f>
        <v>4</v>
      </c>
      <c r="AI99"/>
    </row>
    <row r="100" spans="1:35" ht="33.75" x14ac:dyDescent="0.2">
      <c r="A100" s="1656" t="s">
        <v>7573</v>
      </c>
      <c r="B100" s="719" t="s">
        <v>7612</v>
      </c>
      <c r="C100" s="705"/>
      <c r="D100" s="701"/>
      <c r="E100" s="702"/>
      <c r="F100" s="702"/>
      <c r="G100" s="1507">
        <v>2</v>
      </c>
      <c r="H100" s="1507"/>
      <c r="I100" s="1507"/>
      <c r="J100" s="1507"/>
      <c r="K100" s="1488" t="s">
        <v>7005</v>
      </c>
      <c r="L100" s="1488"/>
      <c r="M100" s="703"/>
      <c r="AA100">
        <f>IF(AND('10 Dev'!C100&gt;Tmin, NOT('10 Dev'!$I100="")),'10 Dev'!$I100,0)</f>
        <v>0</v>
      </c>
      <c r="AB100">
        <f>IF(AND('10 Dev'!D100&gt;Tmin, NOT('10 Dev'!$I100="")),'10 Dev'!$I100,0)</f>
        <v>0</v>
      </c>
      <c r="AC100">
        <f>IF(AND('10 Dev'!E100&gt;Tmin, NOT('10 Dev'!$I100="")),'10 Dev'!$I100,0)</f>
        <v>0</v>
      </c>
      <c r="AD100">
        <f>IF(AND('10 Dev'!F100&gt;Tmin, NOT('10 Dev'!$I100="")),'10 Dev'!$I100,0)</f>
        <v>0</v>
      </c>
      <c r="AE100">
        <f>IF(AND('10 Dev'!C100&lt;Tmax, NOT('10 Dev'!$H100="")),'10 Dev'!$H100,4)</f>
        <v>4</v>
      </c>
      <c r="AF100">
        <f>IF(AND('10 Dev'!D100&lt;Tmax, NOT('10 Dev'!$H100="")),'10 Dev'!$H100,4)</f>
        <v>4</v>
      </c>
      <c r="AG100">
        <f>IF(AND('10 Dev'!E100&lt;Tmax, NOT('10 Dev'!$H100="")),'10 Dev'!$H100,4)</f>
        <v>4</v>
      </c>
      <c r="AH100">
        <f>IF(AND('10 Dev'!F100&lt;Tmax, NOT('10 Dev'!$H100="")),'10 Dev'!$H100,4)</f>
        <v>4</v>
      </c>
      <c r="AI100"/>
    </row>
    <row r="101" spans="1:35" s="648" customFormat="1" ht="33" customHeight="1" x14ac:dyDescent="0.2">
      <c r="A101" s="1656" t="s">
        <v>7574</v>
      </c>
      <c r="B101" s="719" t="s">
        <v>7616</v>
      </c>
      <c r="C101" s="705"/>
      <c r="D101" s="701"/>
      <c r="E101" s="702"/>
      <c r="F101" s="702"/>
      <c r="G101" s="1507">
        <v>3</v>
      </c>
      <c r="H101" s="1507"/>
      <c r="I101" s="1507"/>
      <c r="J101" s="1507"/>
      <c r="K101" s="1488" t="s">
        <v>7005</v>
      </c>
      <c r="L101" s="1488"/>
      <c r="M101" s="703"/>
      <c r="N101" s="611"/>
      <c r="O101" s="611"/>
      <c r="P101" s="611"/>
      <c r="Q101" s="611"/>
      <c r="R101" s="611"/>
      <c r="S101" s="611"/>
      <c r="T101" s="611"/>
      <c r="U101" s="611"/>
      <c r="V101" s="611"/>
      <c r="W101" s="611"/>
      <c r="X101" s="611"/>
      <c r="Y101" s="611"/>
      <c r="Z101" s="611"/>
      <c r="AA101">
        <f>IF(AND('10 Dev'!C101&gt;Tmin, NOT('10 Dev'!$I101="")),'10 Dev'!$I101,0)</f>
        <v>0</v>
      </c>
      <c r="AB101">
        <f>IF(AND('10 Dev'!D101&gt;Tmin, NOT('10 Dev'!$I101="")),'10 Dev'!$I101,0)</f>
        <v>0</v>
      </c>
      <c r="AC101">
        <f>IF(AND('10 Dev'!E101&gt;Tmin, NOT('10 Dev'!$I101="")),'10 Dev'!$I101,0)</f>
        <v>0</v>
      </c>
      <c r="AD101">
        <f>IF(AND('10 Dev'!F101&gt;Tmin, NOT('10 Dev'!$I101="")),'10 Dev'!$I101,0)</f>
        <v>0</v>
      </c>
      <c r="AE101">
        <f>IF(AND('10 Dev'!C101&lt;Tmax, NOT('10 Dev'!$H101="")),'10 Dev'!$H101,4)</f>
        <v>4</v>
      </c>
      <c r="AF101">
        <f>IF(AND('10 Dev'!D101&lt;Tmax, NOT('10 Dev'!$H101="")),'10 Dev'!$H101,4)</f>
        <v>4</v>
      </c>
      <c r="AG101">
        <f>IF(AND('10 Dev'!E101&lt;Tmax, NOT('10 Dev'!$H101="")),'10 Dev'!$H101,4)</f>
        <v>4</v>
      </c>
      <c r="AH101">
        <f>IF(AND('10 Dev'!F101&lt;Tmax, NOT('10 Dev'!$H101="")),'10 Dev'!$H101,4)</f>
        <v>4</v>
      </c>
      <c r="AI101"/>
    </row>
    <row r="102" spans="1:35" ht="12.75" customHeight="1" x14ac:dyDescent="0.25">
      <c r="B102" s="1702"/>
      <c r="C102" s="722"/>
      <c r="D102" s="722"/>
      <c r="E102" s="722"/>
      <c r="F102" s="581"/>
      <c r="G102" s="723"/>
      <c r="H102" s="723"/>
      <c r="I102" s="724"/>
      <c r="J102" s="724"/>
      <c r="K102" s="725"/>
      <c r="L102" s="726"/>
      <c r="AA102"/>
      <c r="AB102"/>
      <c r="AC102"/>
      <c r="AD102"/>
      <c r="AE102"/>
      <c r="AF102"/>
      <c r="AG102"/>
      <c r="AH102"/>
      <c r="AI102"/>
    </row>
    <row r="103" spans="1:35" ht="12.75" customHeight="1" x14ac:dyDescent="0.25">
      <c r="A103" s="612" t="str">
        <f>C$2</f>
        <v>R-V1</v>
      </c>
      <c r="B103" s="727" t="s">
        <v>7232</v>
      </c>
      <c r="C103" s="612" t="str">
        <f>C$2</f>
        <v>R-V1</v>
      </c>
      <c r="D103" s="612"/>
      <c r="E103" s="612"/>
      <c r="F103" s="612"/>
      <c r="G103" s="723"/>
      <c r="H103" s="723"/>
      <c r="I103" s="724"/>
      <c r="J103" s="724"/>
      <c r="K103" s="725"/>
      <c r="L103" s="726"/>
      <c r="AA103"/>
      <c r="AB103"/>
      <c r="AC103"/>
      <c r="AD103"/>
      <c r="AE103"/>
      <c r="AF103"/>
      <c r="AG103"/>
      <c r="AH103"/>
      <c r="AI103"/>
    </row>
    <row r="104" spans="1:35" ht="12.75" customHeight="1" x14ac:dyDescent="0.25">
      <c r="A104" s="612" t="str">
        <f>C$2</f>
        <v>R-V1</v>
      </c>
      <c r="B104" s="727" t="s">
        <v>7233</v>
      </c>
      <c r="C104" s="612" t="str">
        <f>C$2</f>
        <v>R-V1</v>
      </c>
      <c r="D104" s="612"/>
      <c r="E104" s="612"/>
      <c r="F104" s="612"/>
      <c r="G104" s="723"/>
      <c r="H104" s="723"/>
      <c r="I104" s="724"/>
      <c r="J104" s="724"/>
      <c r="K104" s="725"/>
      <c r="L104" s="726"/>
      <c r="AA104"/>
      <c r="AB104"/>
      <c r="AC104"/>
      <c r="AD104"/>
      <c r="AE104"/>
      <c r="AF104"/>
      <c r="AG104"/>
      <c r="AH104"/>
      <c r="AI104"/>
    </row>
    <row r="105" spans="1:35" ht="12.75" customHeight="1" x14ac:dyDescent="0.25">
      <c r="A105" s="612" t="str">
        <f>C$2</f>
        <v>R-V1</v>
      </c>
      <c r="B105" s="727" t="s">
        <v>7234</v>
      </c>
      <c r="C105" s="612" t="str">
        <f>C$2</f>
        <v>R-V1</v>
      </c>
      <c r="D105" s="612"/>
      <c r="E105" s="612"/>
      <c r="F105" s="612"/>
      <c r="G105" s="723"/>
      <c r="H105" s="723"/>
      <c r="I105" s="724"/>
      <c r="J105" s="724"/>
      <c r="K105" s="725"/>
      <c r="L105" s="726"/>
      <c r="AA105"/>
      <c r="AB105"/>
      <c r="AC105"/>
      <c r="AD105"/>
      <c r="AE105"/>
      <c r="AF105"/>
      <c r="AG105"/>
      <c r="AH105"/>
      <c r="AI105"/>
    </row>
    <row r="106" spans="1:35" ht="12.75" customHeight="1" x14ac:dyDescent="0.25">
      <c r="A106" s="612" t="str">
        <f>C$2</f>
        <v>R-V1</v>
      </c>
      <c r="B106" s="728" t="s">
        <v>7235</v>
      </c>
      <c r="C106" s="612" t="str">
        <f>C$2</f>
        <v>R-V1</v>
      </c>
      <c r="D106" s="612"/>
      <c r="E106" s="612"/>
      <c r="F106" s="612"/>
      <c r="G106" s="723"/>
      <c r="H106" s="723"/>
      <c r="I106" s="724"/>
      <c r="J106" s="724"/>
      <c r="K106" s="725"/>
      <c r="L106" s="726"/>
      <c r="AA106"/>
      <c r="AB106"/>
      <c r="AC106"/>
      <c r="AD106"/>
      <c r="AE106"/>
      <c r="AF106"/>
      <c r="AG106"/>
      <c r="AH106"/>
      <c r="AI106"/>
    </row>
    <row r="107" spans="1:35" ht="12.75" customHeight="1" x14ac:dyDescent="0.25">
      <c r="A107" s="612"/>
      <c r="B107" s="727"/>
      <c r="C107" s="612"/>
      <c r="D107" s="612"/>
      <c r="E107" s="612"/>
      <c r="F107" s="612"/>
      <c r="G107" s="723"/>
      <c r="H107" s="723"/>
      <c r="I107" s="724"/>
      <c r="J107" s="724"/>
      <c r="K107" s="725"/>
      <c r="L107" s="726"/>
      <c r="AA107"/>
      <c r="AB107"/>
      <c r="AC107"/>
      <c r="AD107"/>
      <c r="AE107"/>
      <c r="AF107"/>
      <c r="AG107"/>
      <c r="AH107"/>
      <c r="AI107"/>
    </row>
    <row r="108" spans="1:35" ht="12.75" customHeight="1" x14ac:dyDescent="0.25">
      <c r="A108" s="612" t="str">
        <f>D$2</f>
        <v>R-V2</v>
      </c>
      <c r="B108" s="727" t="s">
        <v>7232</v>
      </c>
      <c r="C108" s="612"/>
      <c r="D108" s="612" t="str">
        <f>D$2</f>
        <v>R-V2</v>
      </c>
      <c r="E108" s="612"/>
      <c r="F108" s="612"/>
      <c r="G108" s="723"/>
      <c r="H108" s="723"/>
      <c r="I108" s="724"/>
      <c r="J108" s="724"/>
      <c r="K108" s="725"/>
      <c r="L108" s="726"/>
      <c r="AA108"/>
      <c r="AB108"/>
      <c r="AC108"/>
      <c r="AD108"/>
      <c r="AE108"/>
      <c r="AF108"/>
      <c r="AG108"/>
      <c r="AH108"/>
      <c r="AI108"/>
    </row>
    <row r="109" spans="1:35" ht="12.75" customHeight="1" x14ac:dyDescent="0.25">
      <c r="A109" s="612" t="str">
        <f>D$2</f>
        <v>R-V2</v>
      </c>
      <c r="B109" s="727" t="s">
        <v>7233</v>
      </c>
      <c r="C109" s="612"/>
      <c r="D109" s="612" t="str">
        <f>D$2</f>
        <v>R-V2</v>
      </c>
      <c r="E109" s="612"/>
      <c r="F109" s="612"/>
      <c r="G109" s="723"/>
      <c r="H109" s="723"/>
      <c r="I109" s="724"/>
      <c r="J109" s="724"/>
      <c r="K109" s="725"/>
      <c r="L109" s="726"/>
      <c r="AA109"/>
      <c r="AB109"/>
      <c r="AC109"/>
      <c r="AD109"/>
      <c r="AE109"/>
      <c r="AF109"/>
      <c r="AG109"/>
      <c r="AH109"/>
      <c r="AI109"/>
    </row>
    <row r="110" spans="1:35" ht="12.75" customHeight="1" x14ac:dyDescent="0.25">
      <c r="A110" s="612" t="str">
        <f>D$2</f>
        <v>R-V2</v>
      </c>
      <c r="B110" s="727" t="s">
        <v>7234</v>
      </c>
      <c r="C110" s="612"/>
      <c r="D110" s="612" t="str">
        <f>D$2</f>
        <v>R-V2</v>
      </c>
      <c r="E110" s="612"/>
      <c r="F110" s="612"/>
      <c r="G110" s="723"/>
      <c r="H110" s="723"/>
      <c r="I110" s="724"/>
      <c r="J110" s="724"/>
      <c r="K110" s="725"/>
      <c r="L110" s="726"/>
      <c r="AA110"/>
      <c r="AB110"/>
      <c r="AC110"/>
      <c r="AD110"/>
      <c r="AE110"/>
      <c r="AF110"/>
      <c r="AG110"/>
      <c r="AH110"/>
      <c r="AI110"/>
    </row>
    <row r="111" spans="1:35" ht="12.75" customHeight="1" x14ac:dyDescent="0.25">
      <c r="A111" s="612" t="str">
        <f>D$2</f>
        <v>R-V2</v>
      </c>
      <c r="B111" s="727" t="s">
        <v>7235</v>
      </c>
      <c r="C111" s="612"/>
      <c r="D111" s="612" t="str">
        <f>D$2</f>
        <v>R-V2</v>
      </c>
      <c r="E111" s="612"/>
      <c r="F111" s="612"/>
      <c r="G111" s="723"/>
      <c r="H111" s="723"/>
      <c r="I111" s="724"/>
      <c r="J111" s="724"/>
      <c r="K111" s="725"/>
      <c r="L111" s="726"/>
      <c r="AA111"/>
      <c r="AB111"/>
      <c r="AC111"/>
      <c r="AD111"/>
      <c r="AE111"/>
      <c r="AF111"/>
      <c r="AG111"/>
      <c r="AH111"/>
      <c r="AI111"/>
    </row>
    <row r="112" spans="1:35" ht="12.75" customHeight="1" x14ac:dyDescent="0.25">
      <c r="A112" s="612"/>
      <c r="B112" s="727"/>
      <c r="C112" s="612"/>
      <c r="D112" s="612"/>
      <c r="E112" s="612"/>
      <c r="F112" s="612"/>
      <c r="G112" s="723"/>
      <c r="H112" s="723"/>
      <c r="I112" s="724"/>
      <c r="J112" s="724"/>
      <c r="K112" s="725"/>
      <c r="L112" s="726"/>
      <c r="AA112"/>
      <c r="AB112"/>
      <c r="AC112"/>
      <c r="AD112"/>
      <c r="AE112"/>
      <c r="AF112"/>
      <c r="AG112"/>
      <c r="AH112"/>
      <c r="AI112"/>
    </row>
    <row r="113" spans="1:35" ht="12.75" customHeight="1" x14ac:dyDescent="0.25">
      <c r="A113" s="612" t="str">
        <f>E$2</f>
        <v>R-V3</v>
      </c>
      <c r="B113" s="727" t="s">
        <v>7232</v>
      </c>
      <c r="C113" s="612"/>
      <c r="D113" s="612"/>
      <c r="E113" s="612" t="str">
        <f>E$2</f>
        <v>R-V3</v>
      </c>
      <c r="F113" s="612"/>
      <c r="G113" s="723"/>
      <c r="H113" s="723"/>
      <c r="I113" s="724"/>
      <c r="J113" s="724"/>
      <c r="K113" s="725"/>
      <c r="L113" s="726"/>
      <c r="AA113"/>
      <c r="AB113"/>
      <c r="AC113"/>
      <c r="AD113"/>
      <c r="AE113"/>
      <c r="AF113"/>
      <c r="AG113"/>
      <c r="AH113"/>
      <c r="AI113"/>
    </row>
    <row r="114" spans="1:35" ht="12.75" customHeight="1" x14ac:dyDescent="0.25">
      <c r="A114" s="612" t="str">
        <f>E$2</f>
        <v>R-V3</v>
      </c>
      <c r="B114" s="727" t="s">
        <v>7233</v>
      </c>
      <c r="C114" s="612"/>
      <c r="D114" s="612"/>
      <c r="E114" s="612" t="str">
        <f>E$2</f>
        <v>R-V3</v>
      </c>
      <c r="F114" s="612"/>
      <c r="G114" s="723"/>
      <c r="H114" s="723"/>
      <c r="I114" s="724"/>
      <c r="J114" s="724"/>
      <c r="K114" s="725"/>
      <c r="L114" s="726"/>
      <c r="AA114"/>
      <c r="AB114"/>
      <c r="AC114"/>
      <c r="AD114"/>
      <c r="AE114"/>
      <c r="AF114"/>
      <c r="AG114"/>
      <c r="AH114"/>
      <c r="AI114"/>
    </row>
    <row r="115" spans="1:35" ht="12.75" customHeight="1" x14ac:dyDescent="0.25">
      <c r="A115" s="612" t="str">
        <f>E$2</f>
        <v>R-V3</v>
      </c>
      <c r="B115" s="727" t="s">
        <v>7234</v>
      </c>
      <c r="C115" s="612"/>
      <c r="D115" s="612"/>
      <c r="E115" s="612" t="str">
        <f>E$2</f>
        <v>R-V3</v>
      </c>
      <c r="F115" s="612"/>
      <c r="G115" s="723"/>
      <c r="H115" s="723"/>
      <c r="I115" s="724"/>
      <c r="J115" s="724"/>
      <c r="K115" s="725"/>
      <c r="L115" s="726"/>
      <c r="AA115"/>
      <c r="AB115"/>
      <c r="AC115"/>
      <c r="AD115"/>
      <c r="AE115"/>
      <c r="AF115"/>
      <c r="AG115"/>
      <c r="AH115"/>
      <c r="AI115"/>
    </row>
    <row r="116" spans="1:35" ht="12.75" customHeight="1" x14ac:dyDescent="0.25">
      <c r="A116" s="612" t="str">
        <f>E$2</f>
        <v>R-V3</v>
      </c>
      <c r="B116" s="727" t="s">
        <v>7235</v>
      </c>
      <c r="C116" s="612"/>
      <c r="D116" s="612"/>
      <c r="E116" s="612" t="str">
        <f>E$2</f>
        <v>R-V3</v>
      </c>
      <c r="F116" s="612"/>
      <c r="G116" s="723"/>
      <c r="H116" s="723"/>
      <c r="I116" s="724"/>
      <c r="J116" s="724"/>
      <c r="K116" s="725"/>
      <c r="L116" s="726"/>
      <c r="AA116"/>
      <c r="AB116"/>
      <c r="AC116"/>
      <c r="AD116"/>
      <c r="AE116"/>
      <c r="AF116"/>
      <c r="AG116"/>
      <c r="AH116"/>
      <c r="AI116"/>
    </row>
    <row r="117" spans="1:35" ht="12.75" customHeight="1" x14ac:dyDescent="0.25">
      <c r="A117" s="612"/>
      <c r="B117" s="727"/>
      <c r="C117" s="612"/>
      <c r="D117" s="612"/>
      <c r="E117" s="612"/>
      <c r="F117" s="612"/>
      <c r="G117" s="723"/>
      <c r="H117" s="723"/>
      <c r="I117" s="724"/>
      <c r="J117" s="724"/>
      <c r="K117" s="725"/>
      <c r="L117" s="726"/>
      <c r="AA117"/>
      <c r="AB117"/>
      <c r="AC117"/>
      <c r="AD117"/>
      <c r="AE117"/>
      <c r="AF117"/>
      <c r="AG117"/>
      <c r="AH117"/>
      <c r="AI117"/>
    </row>
    <row r="118" spans="1:35" ht="12.75" customHeight="1" x14ac:dyDescent="0.25">
      <c r="A118" s="612" t="str">
        <f>F$2</f>
        <v>R-V4</v>
      </c>
      <c r="B118" s="727" t="s">
        <v>7232</v>
      </c>
      <c r="C118" s="612"/>
      <c r="D118" s="612"/>
      <c r="E118" s="612"/>
      <c r="F118" s="612" t="str">
        <f>F$2</f>
        <v>R-V4</v>
      </c>
      <c r="G118" s="723"/>
      <c r="H118" s="723"/>
      <c r="I118" s="724"/>
      <c r="J118" s="724"/>
      <c r="K118" s="725"/>
      <c r="L118" s="726"/>
      <c r="AA118"/>
      <c r="AB118"/>
      <c r="AC118"/>
      <c r="AD118"/>
      <c r="AE118"/>
      <c r="AF118"/>
      <c r="AG118"/>
      <c r="AH118"/>
      <c r="AI118"/>
    </row>
    <row r="119" spans="1:35" ht="12.75" customHeight="1" x14ac:dyDescent="0.25">
      <c r="A119" s="612" t="str">
        <f>F$2</f>
        <v>R-V4</v>
      </c>
      <c r="B119" s="727" t="s">
        <v>7233</v>
      </c>
      <c r="C119" s="612"/>
      <c r="D119" s="612"/>
      <c r="E119" s="612"/>
      <c r="F119" s="612" t="str">
        <f>F$2</f>
        <v>R-V4</v>
      </c>
      <c r="G119" s="723"/>
      <c r="H119" s="723"/>
      <c r="I119" s="724"/>
      <c r="J119" s="724"/>
      <c r="K119" s="725"/>
      <c r="L119" s="726"/>
      <c r="AA119"/>
      <c r="AB119"/>
      <c r="AC119"/>
      <c r="AD119"/>
      <c r="AE119"/>
      <c r="AF119"/>
      <c r="AG119"/>
      <c r="AH119"/>
      <c r="AI119"/>
    </row>
    <row r="120" spans="1:35" ht="12.75" customHeight="1" x14ac:dyDescent="0.25">
      <c r="A120" s="612" t="str">
        <f>F$2</f>
        <v>R-V4</v>
      </c>
      <c r="B120" s="727" t="s">
        <v>7234</v>
      </c>
      <c r="C120" s="612"/>
      <c r="D120" s="612"/>
      <c r="E120" s="612"/>
      <c r="F120" s="612" t="str">
        <f>F$2</f>
        <v>R-V4</v>
      </c>
      <c r="G120" s="723"/>
      <c r="H120" s="723"/>
      <c r="I120" s="724"/>
      <c r="J120" s="724"/>
      <c r="K120" s="725"/>
      <c r="L120" s="726"/>
      <c r="AA120"/>
      <c r="AB120"/>
      <c r="AC120"/>
      <c r="AD120"/>
      <c r="AE120"/>
      <c r="AF120"/>
      <c r="AG120"/>
      <c r="AH120"/>
      <c r="AI120"/>
    </row>
    <row r="121" spans="1:35" ht="12.75" customHeight="1" x14ac:dyDescent="0.25">
      <c r="A121" s="612" t="str">
        <f>F$2</f>
        <v>R-V4</v>
      </c>
      <c r="B121" s="727" t="s">
        <v>7235</v>
      </c>
      <c r="C121" s="612"/>
      <c r="D121" s="612"/>
      <c r="E121" s="612"/>
      <c r="F121" s="612" t="str">
        <f>F$2</f>
        <v>R-V4</v>
      </c>
      <c r="G121" s="723"/>
      <c r="H121" s="723"/>
      <c r="I121" s="724"/>
      <c r="J121" s="724"/>
      <c r="K121" s="725"/>
      <c r="L121" s="726"/>
      <c r="AA121"/>
      <c r="AB121"/>
      <c r="AC121"/>
      <c r="AD121"/>
      <c r="AE121"/>
      <c r="AF121"/>
      <c r="AG121"/>
      <c r="AH121"/>
      <c r="AI121"/>
    </row>
    <row r="122" spans="1:35" ht="13.5" x14ac:dyDescent="0.25">
      <c r="C122" s="722"/>
      <c r="D122" s="722"/>
      <c r="E122" s="722"/>
      <c r="F122" s="581"/>
      <c r="G122" s="723"/>
      <c r="H122" s="723"/>
      <c r="I122" s="724"/>
      <c r="J122" s="724"/>
      <c r="K122" s="725"/>
      <c r="L122" s="726"/>
      <c r="AA122"/>
      <c r="AB122"/>
      <c r="AC122"/>
      <c r="AD122"/>
      <c r="AE122"/>
      <c r="AF122"/>
      <c r="AG122"/>
      <c r="AH122"/>
      <c r="AI122"/>
    </row>
    <row r="123" spans="1:35" ht="13.5" x14ac:dyDescent="0.25">
      <c r="C123" s="722"/>
      <c r="D123" s="722"/>
      <c r="E123" s="581"/>
      <c r="F123" s="581"/>
      <c r="G123" s="723"/>
      <c r="H123" s="723"/>
      <c r="I123" s="724"/>
      <c r="J123" s="724"/>
      <c r="K123" s="725"/>
      <c r="L123" s="726"/>
      <c r="AA123"/>
      <c r="AB123"/>
      <c r="AC123"/>
      <c r="AD123"/>
      <c r="AE123"/>
      <c r="AF123"/>
      <c r="AG123"/>
      <c r="AH123"/>
      <c r="AI123"/>
    </row>
    <row r="124" spans="1:35" ht="13.5" x14ac:dyDescent="0.25">
      <c r="C124" s="722"/>
      <c r="D124" s="722"/>
      <c r="E124" s="722"/>
      <c r="F124" s="581"/>
      <c r="G124" s="723"/>
      <c r="H124" s="723"/>
      <c r="I124" s="724"/>
      <c r="J124" s="724"/>
      <c r="K124" s="725"/>
      <c r="L124" s="726"/>
      <c r="AA124"/>
      <c r="AB124"/>
      <c r="AC124"/>
      <c r="AD124"/>
      <c r="AE124"/>
      <c r="AF124"/>
      <c r="AG124"/>
      <c r="AH124"/>
      <c r="AI124"/>
    </row>
    <row r="125" spans="1:35" ht="13.5" x14ac:dyDescent="0.25">
      <c r="C125" s="722"/>
      <c r="D125" s="722"/>
      <c r="E125" s="722"/>
      <c r="F125" s="581"/>
      <c r="G125" s="723"/>
      <c r="H125" s="723"/>
      <c r="I125" s="724"/>
      <c r="J125" s="724"/>
      <c r="K125" s="725"/>
      <c r="L125" s="726"/>
      <c r="AA125"/>
      <c r="AB125"/>
      <c r="AC125"/>
      <c r="AD125"/>
      <c r="AE125"/>
      <c r="AF125"/>
      <c r="AG125"/>
      <c r="AH125"/>
      <c r="AI125"/>
    </row>
    <row r="126" spans="1:35" ht="13.5" x14ac:dyDescent="0.25">
      <c r="C126" s="722"/>
      <c r="D126" s="722"/>
      <c r="E126" s="722"/>
      <c r="F126" s="581"/>
      <c r="G126" s="723"/>
      <c r="H126" s="723"/>
      <c r="I126" s="724"/>
      <c r="J126" s="724"/>
      <c r="K126" s="725"/>
      <c r="L126" s="726"/>
      <c r="AA126"/>
      <c r="AB126"/>
      <c r="AC126"/>
      <c r="AD126"/>
      <c r="AE126"/>
      <c r="AF126"/>
      <c r="AG126"/>
      <c r="AH126"/>
      <c r="AI126"/>
    </row>
    <row r="127" spans="1:35" ht="13.5" x14ac:dyDescent="0.25">
      <c r="C127" s="722"/>
      <c r="D127" s="722"/>
      <c r="E127" s="722"/>
      <c r="F127" s="581"/>
      <c r="G127" s="723"/>
      <c r="H127" s="723"/>
      <c r="I127" s="724"/>
      <c r="J127" s="724"/>
      <c r="K127" s="725"/>
      <c r="L127" s="726"/>
      <c r="AA127"/>
      <c r="AB127"/>
      <c r="AC127"/>
      <c r="AD127"/>
      <c r="AE127"/>
      <c r="AF127"/>
      <c r="AG127"/>
      <c r="AH127"/>
      <c r="AI127"/>
    </row>
    <row r="128" spans="1:35" ht="13.5" x14ac:dyDescent="0.25">
      <c r="C128" s="722"/>
      <c r="D128" s="722"/>
      <c r="E128" s="722"/>
      <c r="F128" s="581"/>
      <c r="G128" s="723"/>
      <c r="H128" s="723"/>
      <c r="I128" s="724"/>
      <c r="J128" s="724"/>
      <c r="K128" s="725"/>
      <c r="L128" s="726"/>
      <c r="AA128"/>
      <c r="AB128"/>
      <c r="AC128"/>
      <c r="AD128"/>
      <c r="AE128"/>
      <c r="AF128"/>
      <c r="AG128"/>
      <c r="AH128"/>
      <c r="AI128"/>
    </row>
    <row r="129" spans="1:35" ht="13.5" x14ac:dyDescent="0.25">
      <c r="C129" s="722"/>
      <c r="D129" s="722"/>
      <c r="E129" s="581"/>
      <c r="F129" s="581"/>
      <c r="G129" s="723"/>
      <c r="H129" s="723"/>
      <c r="I129" s="724"/>
      <c r="J129" s="724"/>
      <c r="K129" s="725"/>
      <c r="L129" s="726"/>
      <c r="AA129"/>
      <c r="AB129"/>
      <c r="AC129"/>
      <c r="AD129"/>
      <c r="AE129"/>
      <c r="AF129"/>
      <c r="AG129"/>
      <c r="AH129"/>
      <c r="AI129"/>
    </row>
    <row r="130" spans="1:35" ht="13.5" x14ac:dyDescent="0.25">
      <c r="C130" s="722"/>
      <c r="D130" s="722"/>
      <c r="E130" s="722"/>
      <c r="F130" s="581"/>
      <c r="G130" s="723"/>
      <c r="H130" s="723"/>
      <c r="I130" s="724"/>
      <c r="J130" s="724"/>
      <c r="K130" s="725"/>
      <c r="L130" s="726"/>
      <c r="AA130"/>
      <c r="AB130"/>
      <c r="AC130"/>
      <c r="AD130"/>
      <c r="AE130"/>
      <c r="AF130"/>
      <c r="AG130"/>
      <c r="AH130"/>
      <c r="AI130"/>
    </row>
    <row r="131" spans="1:35" ht="13.5" x14ac:dyDescent="0.25">
      <c r="C131" s="722"/>
      <c r="D131" s="722"/>
      <c r="E131" s="722"/>
      <c r="F131" s="581"/>
      <c r="G131" s="723"/>
      <c r="H131" s="723"/>
      <c r="I131" s="724"/>
      <c r="J131" s="724"/>
      <c r="K131" s="725"/>
      <c r="L131" s="726"/>
      <c r="AA131"/>
      <c r="AB131"/>
      <c r="AC131"/>
      <c r="AD131"/>
      <c r="AE131"/>
      <c r="AF131"/>
      <c r="AG131"/>
      <c r="AH131"/>
      <c r="AI131"/>
    </row>
    <row r="132" spans="1:35" ht="13.5" x14ac:dyDescent="0.25">
      <c r="C132" s="722"/>
      <c r="D132" s="722"/>
      <c r="E132" s="722"/>
      <c r="F132" s="581"/>
      <c r="G132" s="723"/>
      <c r="H132" s="723"/>
      <c r="I132" s="724"/>
      <c r="J132" s="724"/>
      <c r="K132" s="725"/>
      <c r="L132" s="726"/>
      <c r="AA132"/>
      <c r="AB132"/>
      <c r="AC132"/>
      <c r="AD132"/>
      <c r="AE132"/>
      <c r="AF132"/>
      <c r="AG132"/>
      <c r="AH132"/>
      <c r="AI132"/>
    </row>
    <row r="133" spans="1:35" s="648" customFormat="1" ht="13.5" x14ac:dyDescent="0.25">
      <c r="A133" s="720"/>
      <c r="B133" s="721"/>
      <c r="C133" s="722"/>
      <c r="D133" s="722"/>
      <c r="E133" s="722"/>
      <c r="F133" s="581"/>
      <c r="G133" s="723"/>
      <c r="H133" s="723"/>
      <c r="I133" s="724"/>
      <c r="J133" s="724"/>
      <c r="K133" s="725"/>
      <c r="L133" s="652"/>
      <c r="M133" s="611"/>
      <c r="N133" s="611"/>
      <c r="O133" s="611"/>
      <c r="P133" s="611"/>
      <c r="Q133" s="611"/>
      <c r="R133" s="611"/>
      <c r="S133" s="611"/>
      <c r="T133" s="611"/>
      <c r="U133" s="611"/>
      <c r="V133" s="611"/>
      <c r="W133" s="611"/>
      <c r="X133" s="611"/>
      <c r="Y133" s="611"/>
      <c r="Z133" s="611"/>
      <c r="AA133"/>
      <c r="AB133"/>
      <c r="AC133"/>
      <c r="AD133"/>
      <c r="AE133"/>
      <c r="AF133"/>
      <c r="AG133"/>
      <c r="AH133"/>
      <c r="AI133"/>
    </row>
    <row r="134" spans="1:35" s="648" customFormat="1" ht="13.5" x14ac:dyDescent="0.25">
      <c r="A134" s="729"/>
      <c r="B134" s="730"/>
      <c r="C134" s="731"/>
      <c r="D134" s="731"/>
      <c r="E134" s="731"/>
      <c r="F134" s="679"/>
      <c r="G134" s="723"/>
      <c r="H134" s="723"/>
      <c r="I134" s="724"/>
      <c r="J134" s="724"/>
      <c r="K134" s="725"/>
      <c r="L134" s="652"/>
      <c r="M134" s="611"/>
      <c r="N134" s="611"/>
      <c r="O134" s="611"/>
      <c r="P134" s="611"/>
      <c r="Q134" s="611"/>
      <c r="R134" s="611"/>
      <c r="S134" s="611"/>
      <c r="T134" s="611"/>
      <c r="U134" s="611"/>
      <c r="V134" s="611"/>
      <c r="W134" s="611"/>
      <c r="X134" s="611"/>
      <c r="Y134" s="611"/>
      <c r="Z134" s="611"/>
      <c r="AA134"/>
      <c r="AB134"/>
      <c r="AC134"/>
      <c r="AD134"/>
      <c r="AE134"/>
      <c r="AF134"/>
      <c r="AG134"/>
      <c r="AH134"/>
      <c r="AI134"/>
    </row>
    <row r="135" spans="1:35" s="648" customFormat="1" ht="13.5" x14ac:dyDescent="0.25">
      <c r="A135" s="729"/>
      <c r="B135" s="730"/>
      <c r="C135" s="731"/>
      <c r="D135" s="731"/>
      <c r="E135" s="731"/>
      <c r="F135" s="679"/>
      <c r="G135" s="723"/>
      <c r="H135" s="723"/>
      <c r="I135" s="724"/>
      <c r="J135" s="724"/>
      <c r="K135" s="725"/>
      <c r="L135" s="652"/>
      <c r="M135" s="611"/>
      <c r="N135" s="611"/>
      <c r="O135" s="611"/>
      <c r="P135" s="611"/>
      <c r="Q135" s="611"/>
      <c r="R135" s="611"/>
      <c r="S135" s="611"/>
      <c r="T135" s="611"/>
      <c r="U135" s="611"/>
      <c r="V135" s="611"/>
      <c r="W135" s="611"/>
      <c r="X135" s="611"/>
      <c r="Y135" s="611"/>
      <c r="Z135" s="611"/>
      <c r="AA135"/>
      <c r="AB135"/>
      <c r="AC135"/>
      <c r="AD135"/>
      <c r="AE135"/>
      <c r="AF135"/>
      <c r="AG135"/>
      <c r="AH135"/>
      <c r="AI135"/>
    </row>
    <row r="136" spans="1:35" s="648" customFormat="1" ht="13.5" x14ac:dyDescent="0.25">
      <c r="A136" s="729"/>
      <c r="B136" s="730"/>
      <c r="C136" s="731"/>
      <c r="D136" s="731"/>
      <c r="E136" s="731"/>
      <c r="F136" s="679"/>
      <c r="G136" s="723"/>
      <c r="H136" s="723"/>
      <c r="I136" s="724"/>
      <c r="J136" s="724"/>
      <c r="K136" s="725"/>
      <c r="L136" s="652"/>
      <c r="M136" s="611"/>
      <c r="N136" s="611"/>
      <c r="O136" s="611"/>
      <c r="P136" s="611"/>
      <c r="Q136" s="611"/>
      <c r="R136" s="611"/>
      <c r="S136" s="611"/>
      <c r="T136" s="611"/>
      <c r="U136" s="611"/>
      <c r="V136" s="611"/>
      <c r="W136" s="611"/>
      <c r="X136" s="611"/>
      <c r="Y136" s="611"/>
      <c r="Z136" s="611"/>
      <c r="AA136"/>
      <c r="AB136"/>
      <c r="AC136"/>
      <c r="AD136"/>
      <c r="AE136"/>
      <c r="AF136"/>
      <c r="AG136"/>
      <c r="AH136"/>
      <c r="AI136"/>
    </row>
    <row r="137" spans="1:35" s="648" customFormat="1" ht="13.5" x14ac:dyDescent="0.25">
      <c r="A137" s="729"/>
      <c r="B137" s="730"/>
      <c r="C137" s="731"/>
      <c r="D137" s="731"/>
      <c r="E137" s="731"/>
      <c r="F137" s="679"/>
      <c r="G137" s="723"/>
      <c r="H137" s="723"/>
      <c r="I137" s="724"/>
      <c r="J137" s="724"/>
      <c r="K137" s="725"/>
      <c r="L137" s="652"/>
      <c r="M137" s="611"/>
      <c r="N137" s="611"/>
      <c r="O137" s="611"/>
      <c r="P137" s="611"/>
      <c r="Q137" s="611"/>
      <c r="R137" s="611"/>
      <c r="S137" s="611"/>
      <c r="T137" s="611"/>
      <c r="U137" s="611"/>
      <c r="V137" s="611"/>
      <c r="W137" s="611"/>
      <c r="X137" s="611"/>
      <c r="Y137" s="611"/>
      <c r="Z137" s="611"/>
      <c r="AA137"/>
      <c r="AB137"/>
      <c r="AC137"/>
      <c r="AD137"/>
      <c r="AE137"/>
      <c r="AF137"/>
      <c r="AG137"/>
      <c r="AH137"/>
      <c r="AI137"/>
    </row>
    <row r="138" spans="1:35" s="648" customFormat="1" ht="13.5" x14ac:dyDescent="0.25">
      <c r="A138" s="729"/>
      <c r="B138" s="730"/>
      <c r="C138" s="731"/>
      <c r="D138" s="731"/>
      <c r="E138" s="731"/>
      <c r="F138" s="679"/>
      <c r="G138" s="723"/>
      <c r="H138" s="723"/>
      <c r="I138" s="724"/>
      <c r="J138" s="724"/>
      <c r="K138" s="725"/>
      <c r="L138" s="652"/>
      <c r="M138" s="611"/>
      <c r="N138" s="611"/>
      <c r="O138" s="611"/>
      <c r="P138" s="611"/>
      <c r="Q138" s="611"/>
      <c r="R138" s="611"/>
      <c r="S138" s="611"/>
      <c r="T138" s="611"/>
      <c r="U138" s="611"/>
      <c r="V138" s="611"/>
      <c r="W138" s="611"/>
      <c r="X138" s="611"/>
      <c r="Y138" s="611"/>
      <c r="Z138" s="611"/>
      <c r="AA138"/>
      <c r="AB138"/>
      <c r="AC138"/>
      <c r="AD138"/>
      <c r="AE138"/>
      <c r="AF138"/>
      <c r="AG138"/>
      <c r="AH138"/>
      <c r="AI138"/>
    </row>
    <row r="139" spans="1:35" s="648" customFormat="1" ht="13.5" x14ac:dyDescent="0.25">
      <c r="A139" s="729"/>
      <c r="B139" s="730"/>
      <c r="C139" s="731"/>
      <c r="D139" s="731"/>
      <c r="E139" s="731"/>
      <c r="F139" s="679"/>
      <c r="G139" s="723"/>
      <c r="H139" s="723"/>
      <c r="I139" s="724"/>
      <c r="J139" s="724"/>
      <c r="K139" s="725"/>
      <c r="L139" s="652"/>
      <c r="M139" s="611"/>
      <c r="N139" s="611"/>
      <c r="O139" s="611"/>
      <c r="P139" s="611"/>
      <c r="Q139" s="611"/>
      <c r="R139" s="611"/>
      <c r="S139" s="611"/>
      <c r="T139" s="611"/>
      <c r="U139" s="611"/>
      <c r="V139" s="611"/>
      <c r="W139" s="611"/>
      <c r="X139" s="611"/>
      <c r="Y139" s="611"/>
      <c r="Z139" s="611"/>
      <c r="AA139"/>
      <c r="AB139"/>
      <c r="AC139"/>
      <c r="AD139"/>
      <c r="AE139"/>
      <c r="AF139"/>
      <c r="AG139"/>
      <c r="AH139"/>
      <c r="AI139"/>
    </row>
    <row r="140" spans="1:35" x14ac:dyDescent="0.2">
      <c r="A140" s="729"/>
      <c r="B140" s="730"/>
      <c r="C140" s="731"/>
      <c r="D140" s="731"/>
      <c r="E140" s="731"/>
      <c r="F140" s="679"/>
      <c r="L140" s="735"/>
      <c r="AA140"/>
      <c r="AB140"/>
      <c r="AC140"/>
      <c r="AD140"/>
      <c r="AE140"/>
      <c r="AF140"/>
      <c r="AG140"/>
      <c r="AH140"/>
      <c r="AI140"/>
    </row>
    <row r="141" spans="1:35" x14ac:dyDescent="0.2">
      <c r="C141" s="722"/>
      <c r="D141" s="722"/>
      <c r="E141" s="722"/>
      <c r="F141" s="581"/>
      <c r="L141" s="735"/>
      <c r="AA141"/>
      <c r="AB141"/>
      <c r="AC141"/>
      <c r="AD141"/>
      <c r="AE141"/>
      <c r="AF141"/>
      <c r="AG141"/>
      <c r="AH141"/>
      <c r="AI141"/>
    </row>
    <row r="142" spans="1:35" x14ac:dyDescent="0.2">
      <c r="C142" s="722"/>
      <c r="D142" s="722"/>
      <c r="E142" s="581"/>
      <c r="F142" s="581"/>
      <c r="L142" s="735"/>
      <c r="AA142"/>
      <c r="AB142"/>
      <c r="AC142"/>
      <c r="AD142"/>
      <c r="AE142"/>
      <c r="AF142"/>
      <c r="AG142"/>
      <c r="AH142"/>
      <c r="AI142"/>
    </row>
    <row r="143" spans="1:35" x14ac:dyDescent="0.2">
      <c r="C143" s="722"/>
      <c r="D143" s="722"/>
      <c r="E143" s="722"/>
      <c r="F143" s="581"/>
      <c r="AA143"/>
      <c r="AB143"/>
      <c r="AC143"/>
      <c r="AD143"/>
      <c r="AE143"/>
      <c r="AF143"/>
      <c r="AG143"/>
      <c r="AH143"/>
      <c r="AI143"/>
    </row>
    <row r="144" spans="1:35" x14ac:dyDescent="0.2">
      <c r="C144" s="722"/>
      <c r="D144" s="722"/>
      <c r="E144" s="722"/>
      <c r="F144" s="581"/>
      <c r="AA144"/>
      <c r="AB144"/>
      <c r="AC144"/>
      <c r="AD144"/>
      <c r="AE144"/>
      <c r="AF144"/>
      <c r="AG144"/>
      <c r="AH144"/>
      <c r="AI144"/>
    </row>
    <row r="145" spans="3:35" x14ac:dyDescent="0.2">
      <c r="C145" s="722"/>
      <c r="D145" s="722"/>
      <c r="E145" s="722"/>
      <c r="F145" s="581"/>
      <c r="AA145"/>
      <c r="AB145"/>
      <c r="AC145"/>
      <c r="AD145"/>
      <c r="AE145"/>
      <c r="AF145"/>
      <c r="AG145"/>
      <c r="AH145"/>
      <c r="AI145"/>
    </row>
    <row r="146" spans="3:35" x14ac:dyDescent="0.2">
      <c r="C146" s="722"/>
      <c r="D146" s="722"/>
      <c r="E146" s="722"/>
      <c r="F146" s="581"/>
      <c r="L146" s="735"/>
      <c r="AA146"/>
      <c r="AB146"/>
      <c r="AC146"/>
      <c r="AD146"/>
      <c r="AE146"/>
      <c r="AF146"/>
      <c r="AG146"/>
      <c r="AH146"/>
      <c r="AI146"/>
    </row>
    <row r="147" spans="3:35" x14ac:dyDescent="0.2">
      <c r="C147" s="722"/>
      <c r="D147" s="722"/>
      <c r="E147" s="722"/>
      <c r="F147" s="581"/>
      <c r="L147" s="735"/>
      <c r="AA147"/>
      <c r="AB147"/>
      <c r="AC147"/>
      <c r="AD147"/>
      <c r="AE147"/>
      <c r="AF147"/>
      <c r="AG147"/>
      <c r="AH147"/>
      <c r="AI147"/>
    </row>
    <row r="148" spans="3:35" x14ac:dyDescent="0.2">
      <c r="C148" s="722"/>
      <c r="D148" s="722"/>
      <c r="E148" s="722"/>
      <c r="F148" s="581"/>
      <c r="L148" s="735"/>
      <c r="AA148"/>
      <c r="AB148"/>
      <c r="AC148"/>
      <c r="AD148"/>
      <c r="AE148"/>
      <c r="AF148"/>
      <c r="AG148"/>
      <c r="AH148"/>
      <c r="AI148"/>
    </row>
    <row r="149" spans="3:35" x14ac:dyDescent="0.2">
      <c r="C149" s="722"/>
      <c r="D149" s="722"/>
      <c r="E149" s="722"/>
      <c r="F149" s="581"/>
      <c r="L149" s="735"/>
      <c r="AA149"/>
      <c r="AB149"/>
      <c r="AC149"/>
      <c r="AD149"/>
      <c r="AE149"/>
      <c r="AF149"/>
      <c r="AG149"/>
      <c r="AH149"/>
      <c r="AI149"/>
    </row>
    <row r="150" spans="3:35" x14ac:dyDescent="0.2">
      <c r="C150" s="722"/>
      <c r="D150" s="722"/>
      <c r="E150" s="722"/>
      <c r="F150" s="581"/>
      <c r="L150" s="735"/>
      <c r="AA150"/>
      <c r="AB150"/>
      <c r="AC150"/>
      <c r="AD150"/>
      <c r="AE150"/>
      <c r="AF150"/>
      <c r="AG150"/>
      <c r="AH150"/>
      <c r="AI150"/>
    </row>
    <row r="151" spans="3:35" x14ac:dyDescent="0.2">
      <c r="C151" s="722"/>
      <c r="D151" s="722"/>
      <c r="E151" s="722"/>
      <c r="F151" s="581"/>
      <c r="L151" s="735"/>
      <c r="AA151"/>
      <c r="AB151"/>
      <c r="AC151"/>
      <c r="AD151"/>
      <c r="AE151"/>
      <c r="AF151"/>
      <c r="AG151"/>
      <c r="AH151"/>
      <c r="AI151"/>
    </row>
    <row r="152" spans="3:35" x14ac:dyDescent="0.2">
      <c r="C152" s="722"/>
      <c r="D152" s="722"/>
      <c r="E152" s="722"/>
      <c r="F152" s="581"/>
      <c r="L152" s="735"/>
      <c r="AA152"/>
      <c r="AB152"/>
      <c r="AC152"/>
      <c r="AD152"/>
      <c r="AE152"/>
      <c r="AF152"/>
      <c r="AG152"/>
      <c r="AH152"/>
      <c r="AI152"/>
    </row>
    <row r="153" spans="3:35" x14ac:dyDescent="0.2">
      <c r="C153" s="722"/>
      <c r="D153" s="722"/>
      <c r="E153" s="722"/>
      <c r="F153" s="581"/>
      <c r="L153" s="735"/>
      <c r="AA153"/>
      <c r="AB153"/>
      <c r="AC153"/>
      <c r="AD153"/>
      <c r="AE153"/>
      <c r="AF153"/>
      <c r="AG153"/>
      <c r="AH153"/>
      <c r="AI153"/>
    </row>
    <row r="154" spans="3:35" x14ac:dyDescent="0.2">
      <c r="C154" s="722"/>
      <c r="D154" s="722"/>
      <c r="E154" s="581"/>
      <c r="F154" s="581"/>
      <c r="AA154"/>
      <c r="AB154"/>
      <c r="AC154"/>
      <c r="AD154"/>
      <c r="AE154"/>
      <c r="AF154"/>
      <c r="AG154"/>
      <c r="AH154"/>
      <c r="AI154"/>
    </row>
    <row r="155" spans="3:35" x14ac:dyDescent="0.2">
      <c r="C155" s="581"/>
      <c r="D155" s="722"/>
      <c r="E155" s="581"/>
      <c r="F155" s="581"/>
      <c r="AA155"/>
      <c r="AB155"/>
      <c r="AC155"/>
      <c r="AD155"/>
      <c r="AE155"/>
      <c r="AF155"/>
      <c r="AG155"/>
      <c r="AH155"/>
      <c r="AI155"/>
    </row>
    <row r="156" spans="3:35" x14ac:dyDescent="0.2">
      <c r="C156" s="722"/>
      <c r="D156" s="722"/>
      <c r="E156" s="581"/>
      <c r="F156" s="581"/>
      <c r="AA156"/>
      <c r="AB156"/>
      <c r="AC156"/>
      <c r="AD156"/>
      <c r="AE156"/>
      <c r="AF156"/>
      <c r="AG156"/>
      <c r="AH156"/>
      <c r="AI156"/>
    </row>
    <row r="157" spans="3:35" x14ac:dyDescent="0.2">
      <c r="C157" s="722"/>
      <c r="D157" s="722"/>
      <c r="E157" s="581"/>
      <c r="F157" s="581"/>
      <c r="AA157"/>
      <c r="AB157"/>
      <c r="AC157"/>
      <c r="AD157"/>
      <c r="AE157"/>
      <c r="AF157"/>
      <c r="AG157"/>
      <c r="AH157"/>
      <c r="AI157"/>
    </row>
    <row r="158" spans="3:35" x14ac:dyDescent="0.2">
      <c r="C158" s="722"/>
      <c r="D158" s="722"/>
      <c r="E158" s="581"/>
      <c r="F158" s="581"/>
      <c r="AA158"/>
      <c r="AB158"/>
      <c r="AC158"/>
      <c r="AD158"/>
      <c r="AE158"/>
      <c r="AF158"/>
      <c r="AG158"/>
      <c r="AH158"/>
      <c r="AI158"/>
    </row>
    <row r="159" spans="3:35" x14ac:dyDescent="0.2">
      <c r="C159" s="722"/>
      <c r="D159" s="722"/>
      <c r="E159" s="581"/>
      <c r="F159" s="581"/>
      <c r="AA159"/>
      <c r="AB159"/>
      <c r="AC159"/>
      <c r="AD159"/>
      <c r="AE159"/>
      <c r="AF159"/>
      <c r="AG159"/>
      <c r="AH159"/>
      <c r="AI159"/>
    </row>
    <row r="160" spans="3:35" x14ac:dyDescent="0.2">
      <c r="C160" s="722"/>
      <c r="D160" s="722"/>
      <c r="E160" s="581"/>
      <c r="F160" s="581"/>
      <c r="AA160"/>
      <c r="AB160"/>
      <c r="AC160"/>
      <c r="AD160"/>
      <c r="AE160"/>
      <c r="AF160"/>
      <c r="AG160"/>
      <c r="AH160"/>
      <c r="AI160"/>
    </row>
    <row r="161" spans="3:35" x14ac:dyDescent="0.2">
      <c r="C161" s="722"/>
      <c r="D161" s="722"/>
      <c r="E161" s="581"/>
      <c r="F161" s="581"/>
      <c r="AA161"/>
      <c r="AB161"/>
      <c r="AC161"/>
      <c r="AD161"/>
      <c r="AE161"/>
      <c r="AF161"/>
      <c r="AG161"/>
      <c r="AH161"/>
      <c r="AI161"/>
    </row>
    <row r="162" spans="3:35" x14ac:dyDescent="0.2">
      <c r="C162" s="722"/>
      <c r="D162" s="722"/>
      <c r="E162" s="581"/>
      <c r="F162" s="581"/>
      <c r="AA162"/>
      <c r="AB162"/>
      <c r="AC162"/>
      <c r="AD162"/>
      <c r="AE162"/>
      <c r="AF162"/>
      <c r="AG162"/>
      <c r="AH162"/>
      <c r="AI162"/>
    </row>
    <row r="163" spans="3:35" x14ac:dyDescent="0.2">
      <c r="C163" s="722"/>
      <c r="D163" s="722"/>
      <c r="E163" s="581"/>
      <c r="F163" s="581"/>
      <c r="L163" s="735"/>
      <c r="AA163"/>
      <c r="AB163"/>
      <c r="AC163"/>
      <c r="AD163"/>
      <c r="AE163"/>
      <c r="AF163"/>
      <c r="AG163"/>
      <c r="AH163"/>
      <c r="AI163"/>
    </row>
    <row r="164" spans="3:35" x14ac:dyDescent="0.2">
      <c r="C164" s="722"/>
      <c r="D164" s="722"/>
      <c r="E164" s="581"/>
      <c r="F164" s="581"/>
      <c r="AA164"/>
      <c r="AB164"/>
      <c r="AC164"/>
      <c r="AD164"/>
      <c r="AE164"/>
      <c r="AF164"/>
      <c r="AG164"/>
      <c r="AH164"/>
      <c r="AI164"/>
    </row>
    <row r="165" spans="3:35" x14ac:dyDescent="0.2">
      <c r="C165" s="722"/>
      <c r="D165" s="722"/>
      <c r="E165" s="581"/>
      <c r="F165" s="581"/>
      <c r="AA165"/>
      <c r="AB165"/>
      <c r="AC165"/>
      <c r="AD165"/>
      <c r="AE165"/>
      <c r="AF165"/>
      <c r="AG165"/>
      <c r="AH165"/>
      <c r="AI165"/>
    </row>
    <row r="166" spans="3:35" x14ac:dyDescent="0.2">
      <c r="C166" s="581"/>
      <c r="D166" s="581"/>
      <c r="E166" s="581"/>
      <c r="F166" s="581"/>
      <c r="AA166"/>
      <c r="AB166"/>
      <c r="AC166"/>
      <c r="AD166"/>
      <c r="AE166"/>
      <c r="AF166"/>
      <c r="AG166"/>
      <c r="AH166"/>
      <c r="AI166"/>
    </row>
    <row r="167" spans="3:35" x14ac:dyDescent="0.2">
      <c r="C167" s="722"/>
      <c r="D167" s="722"/>
      <c r="E167" s="581"/>
      <c r="F167" s="581"/>
      <c r="AA167"/>
      <c r="AB167"/>
      <c r="AC167"/>
      <c r="AD167"/>
      <c r="AE167"/>
      <c r="AF167"/>
      <c r="AG167"/>
      <c r="AH167"/>
      <c r="AI167"/>
    </row>
    <row r="168" spans="3:35" x14ac:dyDescent="0.2">
      <c r="C168" s="722"/>
      <c r="D168" s="722"/>
      <c r="E168" s="581"/>
      <c r="F168" s="581"/>
      <c r="AA168"/>
      <c r="AB168"/>
      <c r="AC168"/>
      <c r="AD168"/>
      <c r="AE168"/>
      <c r="AF168"/>
      <c r="AG168"/>
      <c r="AH168"/>
      <c r="AI168"/>
    </row>
    <row r="169" spans="3:35" x14ac:dyDescent="0.2">
      <c r="C169" s="722"/>
      <c r="D169" s="722"/>
      <c r="E169" s="581"/>
      <c r="F169" s="581"/>
      <c r="AA169"/>
      <c r="AB169"/>
      <c r="AC169"/>
      <c r="AD169"/>
      <c r="AE169"/>
      <c r="AF169"/>
      <c r="AG169"/>
      <c r="AH169"/>
      <c r="AI169"/>
    </row>
    <row r="170" spans="3:35" x14ac:dyDescent="0.2">
      <c r="C170" s="722"/>
      <c r="D170" s="722"/>
      <c r="E170" s="581"/>
      <c r="F170" s="581"/>
      <c r="AA170"/>
      <c r="AB170"/>
      <c r="AC170"/>
      <c r="AD170"/>
      <c r="AE170"/>
      <c r="AF170"/>
      <c r="AG170"/>
      <c r="AH170"/>
      <c r="AI170"/>
    </row>
    <row r="171" spans="3:35" x14ac:dyDescent="0.2">
      <c r="C171" s="722"/>
      <c r="D171" s="722"/>
      <c r="E171" s="581"/>
      <c r="F171" s="581"/>
      <c r="AA171"/>
      <c r="AB171"/>
      <c r="AC171"/>
      <c r="AD171"/>
      <c r="AE171"/>
      <c r="AF171"/>
      <c r="AG171"/>
      <c r="AH171"/>
      <c r="AI171"/>
    </row>
    <row r="172" spans="3:35" x14ac:dyDescent="0.2">
      <c r="C172" s="722"/>
      <c r="D172" s="722"/>
      <c r="E172" s="736"/>
      <c r="F172" s="736"/>
      <c r="AA172"/>
      <c r="AB172"/>
      <c r="AC172"/>
      <c r="AD172"/>
      <c r="AE172"/>
      <c r="AF172"/>
      <c r="AG172"/>
      <c r="AH172"/>
      <c r="AI172"/>
    </row>
    <row r="173" spans="3:35" x14ac:dyDescent="0.2">
      <c r="C173" s="722"/>
      <c r="D173" s="722"/>
      <c r="E173" s="736"/>
      <c r="F173" s="736"/>
      <c r="AA173"/>
      <c r="AB173"/>
      <c r="AC173"/>
      <c r="AD173"/>
      <c r="AE173"/>
      <c r="AF173"/>
      <c r="AG173"/>
      <c r="AH173"/>
      <c r="AI173"/>
    </row>
    <row r="174" spans="3:35" x14ac:dyDescent="0.2">
      <c r="C174" s="722"/>
      <c r="D174" s="722"/>
      <c r="E174" s="737"/>
      <c r="F174" s="737"/>
      <c r="AA174"/>
      <c r="AB174"/>
      <c r="AC174"/>
      <c r="AD174"/>
      <c r="AE174"/>
      <c r="AF174"/>
      <c r="AG174"/>
      <c r="AH174"/>
      <c r="AI174"/>
    </row>
    <row r="175" spans="3:35" x14ac:dyDescent="0.2">
      <c r="C175" s="722"/>
      <c r="D175" s="722"/>
      <c r="E175" s="736"/>
      <c r="F175" s="736"/>
      <c r="AA175"/>
      <c r="AB175"/>
      <c r="AC175"/>
      <c r="AD175"/>
      <c r="AE175"/>
      <c r="AF175"/>
      <c r="AG175"/>
      <c r="AH175"/>
      <c r="AI175"/>
    </row>
    <row r="176" spans="3:35" x14ac:dyDescent="0.2">
      <c r="C176" s="722"/>
      <c r="D176" s="722"/>
      <c r="E176" s="736"/>
      <c r="F176" s="736"/>
      <c r="AA176"/>
      <c r="AB176"/>
      <c r="AC176"/>
      <c r="AD176"/>
      <c r="AE176"/>
      <c r="AF176"/>
      <c r="AG176"/>
      <c r="AH176"/>
      <c r="AI176"/>
    </row>
    <row r="177" spans="3:35" x14ac:dyDescent="0.2">
      <c r="C177" s="722"/>
      <c r="D177" s="722"/>
      <c r="E177" s="736"/>
      <c r="F177" s="736"/>
      <c r="AA177"/>
      <c r="AB177"/>
      <c r="AC177"/>
      <c r="AD177"/>
      <c r="AE177"/>
      <c r="AF177"/>
      <c r="AG177"/>
      <c r="AH177"/>
      <c r="AI177"/>
    </row>
    <row r="178" spans="3:35" x14ac:dyDescent="0.2">
      <c r="C178" s="722"/>
      <c r="D178" s="722"/>
      <c r="E178" s="736"/>
      <c r="F178" s="736"/>
      <c r="AA178"/>
      <c r="AB178"/>
      <c r="AC178"/>
      <c r="AD178"/>
      <c r="AE178"/>
      <c r="AF178"/>
      <c r="AG178"/>
      <c r="AH178"/>
      <c r="AI178"/>
    </row>
    <row r="179" spans="3:35" x14ac:dyDescent="0.2">
      <c r="C179" s="722"/>
      <c r="D179" s="722"/>
      <c r="E179" s="736"/>
      <c r="F179" s="736"/>
      <c r="AA179"/>
      <c r="AB179"/>
      <c r="AC179"/>
      <c r="AD179"/>
      <c r="AE179"/>
      <c r="AF179"/>
      <c r="AG179"/>
      <c r="AH179"/>
      <c r="AI179"/>
    </row>
    <row r="180" spans="3:35" x14ac:dyDescent="0.2">
      <c r="C180" s="722"/>
      <c r="D180" s="722"/>
      <c r="E180" s="736"/>
      <c r="F180" s="736"/>
      <c r="AA180"/>
      <c r="AB180"/>
      <c r="AC180"/>
      <c r="AD180"/>
      <c r="AE180"/>
      <c r="AF180"/>
      <c r="AG180"/>
      <c r="AH180"/>
      <c r="AI180"/>
    </row>
    <row r="181" spans="3:35" x14ac:dyDescent="0.2">
      <c r="C181" s="722"/>
      <c r="D181" s="722"/>
      <c r="E181" s="736"/>
      <c r="F181" s="736"/>
      <c r="AA181"/>
      <c r="AB181"/>
      <c r="AC181"/>
      <c r="AD181"/>
      <c r="AE181"/>
      <c r="AF181"/>
      <c r="AG181"/>
      <c r="AH181"/>
      <c r="AI181"/>
    </row>
    <row r="182" spans="3:35" x14ac:dyDescent="0.2">
      <c r="C182" s="722"/>
      <c r="D182" s="722"/>
      <c r="E182" s="736"/>
      <c r="F182" s="736"/>
      <c r="AA182"/>
      <c r="AB182"/>
      <c r="AC182"/>
      <c r="AD182"/>
      <c r="AE182"/>
      <c r="AF182"/>
      <c r="AG182"/>
      <c r="AH182"/>
      <c r="AI182"/>
    </row>
    <row r="183" spans="3:35" x14ac:dyDescent="0.2">
      <c r="C183" s="722"/>
      <c r="D183" s="722"/>
      <c r="E183" s="738"/>
      <c r="F183" s="738"/>
      <c r="AA183"/>
      <c r="AB183"/>
      <c r="AC183"/>
      <c r="AD183"/>
      <c r="AE183"/>
      <c r="AF183"/>
      <c r="AG183"/>
      <c r="AH183"/>
      <c r="AI183"/>
    </row>
    <row r="184" spans="3:35" x14ac:dyDescent="0.2">
      <c r="C184" s="722"/>
      <c r="D184" s="722"/>
      <c r="E184" s="736"/>
      <c r="F184" s="736"/>
      <c r="AA184"/>
      <c r="AB184"/>
      <c r="AC184"/>
      <c r="AD184"/>
      <c r="AE184"/>
      <c r="AF184"/>
      <c r="AG184"/>
      <c r="AH184"/>
      <c r="AI184"/>
    </row>
    <row r="185" spans="3:35" x14ac:dyDescent="0.2">
      <c r="C185" s="722"/>
      <c r="D185" s="722"/>
      <c r="E185" s="736"/>
      <c r="F185" s="736"/>
      <c r="AA185"/>
      <c r="AB185"/>
      <c r="AC185"/>
      <c r="AD185"/>
      <c r="AE185"/>
      <c r="AF185"/>
      <c r="AG185"/>
      <c r="AH185"/>
      <c r="AI185"/>
    </row>
    <row r="186" spans="3:35" x14ac:dyDescent="0.2">
      <c r="C186" s="722"/>
      <c r="D186" s="722"/>
      <c r="E186" s="736"/>
      <c r="F186" s="736"/>
      <c r="AA186"/>
      <c r="AB186"/>
      <c r="AC186"/>
      <c r="AD186"/>
      <c r="AE186"/>
      <c r="AF186"/>
      <c r="AG186"/>
      <c r="AH186"/>
      <c r="AI186"/>
    </row>
    <row r="187" spans="3:35" x14ac:dyDescent="0.2">
      <c r="C187" s="722"/>
      <c r="D187" s="722"/>
      <c r="E187" s="736"/>
      <c r="F187" s="736"/>
      <c r="AA187"/>
      <c r="AB187"/>
      <c r="AC187"/>
      <c r="AD187"/>
      <c r="AE187"/>
      <c r="AF187"/>
      <c r="AG187"/>
      <c r="AH187"/>
      <c r="AI187"/>
    </row>
    <row r="188" spans="3:35" x14ac:dyDescent="0.2">
      <c r="C188" s="722"/>
      <c r="D188" s="722"/>
      <c r="E188" s="736"/>
      <c r="F188" s="736"/>
      <c r="AA188"/>
      <c r="AB188"/>
      <c r="AC188"/>
      <c r="AD188"/>
      <c r="AE188"/>
      <c r="AF188"/>
      <c r="AG188"/>
      <c r="AH188"/>
      <c r="AI188"/>
    </row>
    <row r="189" spans="3:35" x14ac:dyDescent="0.2">
      <c r="C189" s="722"/>
      <c r="D189" s="722"/>
      <c r="E189" s="736"/>
      <c r="F189" s="736"/>
      <c r="AA189"/>
      <c r="AB189"/>
      <c r="AC189"/>
      <c r="AD189"/>
      <c r="AE189"/>
      <c r="AF189"/>
      <c r="AG189"/>
      <c r="AH189"/>
      <c r="AI189"/>
    </row>
    <row r="190" spans="3:35" x14ac:dyDescent="0.2">
      <c r="C190" s="722"/>
      <c r="D190" s="722"/>
      <c r="E190" s="736"/>
      <c r="F190" s="736"/>
      <c r="AA190"/>
      <c r="AB190"/>
      <c r="AC190"/>
      <c r="AD190"/>
      <c r="AE190"/>
      <c r="AF190"/>
      <c r="AG190"/>
      <c r="AH190"/>
      <c r="AI190"/>
    </row>
    <row r="191" spans="3:35" x14ac:dyDescent="0.2">
      <c r="C191" s="722"/>
      <c r="D191" s="722"/>
      <c r="E191" s="736"/>
      <c r="F191" s="736"/>
      <c r="AA191"/>
      <c r="AB191"/>
      <c r="AC191"/>
      <c r="AD191"/>
      <c r="AE191"/>
      <c r="AF191"/>
      <c r="AG191"/>
      <c r="AH191"/>
      <c r="AI191"/>
    </row>
    <row r="192" spans="3:35" x14ac:dyDescent="0.2">
      <c r="C192" s="722"/>
      <c r="D192" s="722"/>
      <c r="E192" s="736"/>
      <c r="F192" s="736"/>
      <c r="AA192"/>
      <c r="AB192"/>
      <c r="AC192"/>
      <c r="AD192"/>
      <c r="AE192"/>
      <c r="AF192"/>
      <c r="AG192"/>
      <c r="AH192"/>
      <c r="AI192"/>
    </row>
    <row r="193" spans="3:35" x14ac:dyDescent="0.2">
      <c r="C193" s="581"/>
      <c r="D193" s="722"/>
      <c r="E193" s="736"/>
      <c r="F193" s="736"/>
      <c r="AA193"/>
      <c r="AB193"/>
      <c r="AC193"/>
      <c r="AD193"/>
      <c r="AE193"/>
      <c r="AF193"/>
      <c r="AG193"/>
      <c r="AH193"/>
      <c r="AI193"/>
    </row>
    <row r="194" spans="3:35" x14ac:dyDescent="0.2">
      <c r="C194" s="722"/>
      <c r="D194" s="722"/>
      <c r="E194" s="736"/>
      <c r="F194" s="736"/>
      <c r="AA194"/>
      <c r="AB194"/>
      <c r="AC194"/>
      <c r="AD194"/>
      <c r="AE194"/>
      <c r="AF194"/>
      <c r="AG194"/>
      <c r="AH194"/>
      <c r="AI194"/>
    </row>
    <row r="195" spans="3:35" x14ac:dyDescent="0.2">
      <c r="C195" s="722"/>
      <c r="D195" s="722"/>
      <c r="E195" s="736"/>
      <c r="F195" s="736"/>
      <c r="AA195"/>
      <c r="AB195"/>
      <c r="AC195"/>
      <c r="AD195"/>
      <c r="AE195"/>
      <c r="AF195"/>
      <c r="AG195"/>
      <c r="AH195"/>
      <c r="AI195"/>
    </row>
    <row r="196" spans="3:35" x14ac:dyDescent="0.2">
      <c r="C196" s="722"/>
      <c r="D196" s="722"/>
      <c r="E196" s="736"/>
      <c r="F196" s="736"/>
      <c r="AA196"/>
      <c r="AB196"/>
      <c r="AC196"/>
      <c r="AD196"/>
      <c r="AE196"/>
      <c r="AF196"/>
      <c r="AG196"/>
      <c r="AH196"/>
      <c r="AI196"/>
    </row>
    <row r="197" spans="3:35" x14ac:dyDescent="0.2">
      <c r="C197" s="722"/>
      <c r="D197" s="722"/>
      <c r="E197" s="736"/>
      <c r="F197" s="736"/>
      <c r="AA197"/>
      <c r="AB197"/>
      <c r="AC197"/>
      <c r="AD197"/>
      <c r="AE197"/>
      <c r="AF197"/>
      <c r="AG197"/>
      <c r="AH197"/>
      <c r="AI197"/>
    </row>
    <row r="198" spans="3:35" x14ac:dyDescent="0.2">
      <c r="C198" s="722"/>
      <c r="D198" s="722"/>
      <c r="E198" s="738"/>
      <c r="F198" s="738"/>
      <c r="AA198"/>
      <c r="AB198"/>
      <c r="AC198"/>
      <c r="AD198"/>
      <c r="AE198"/>
      <c r="AF198"/>
      <c r="AG198"/>
      <c r="AH198"/>
      <c r="AI198"/>
    </row>
    <row r="199" spans="3:35" x14ac:dyDescent="0.2">
      <c r="C199" s="722"/>
      <c r="D199" s="722"/>
      <c r="AA199"/>
      <c r="AB199"/>
      <c r="AC199"/>
      <c r="AD199"/>
      <c r="AE199"/>
      <c r="AF199"/>
      <c r="AG199"/>
      <c r="AH199"/>
      <c r="AI199"/>
    </row>
    <row r="200" spans="3:35" x14ac:dyDescent="0.2">
      <c r="C200" s="722"/>
      <c r="D200" s="722"/>
      <c r="AA200"/>
      <c r="AB200"/>
      <c r="AC200"/>
      <c r="AD200"/>
      <c r="AE200"/>
      <c r="AF200"/>
      <c r="AG200"/>
      <c r="AH200"/>
      <c r="AI200"/>
    </row>
    <row r="201" spans="3:35" x14ac:dyDescent="0.2">
      <c r="C201" s="722"/>
      <c r="D201" s="722"/>
      <c r="AA201"/>
      <c r="AB201"/>
      <c r="AC201"/>
      <c r="AD201"/>
      <c r="AE201"/>
      <c r="AF201"/>
      <c r="AG201"/>
      <c r="AH201"/>
      <c r="AI201"/>
    </row>
    <row r="202" spans="3:35" x14ac:dyDescent="0.2">
      <c r="C202" s="722"/>
      <c r="D202" s="722"/>
      <c r="AA202"/>
      <c r="AB202"/>
      <c r="AC202"/>
      <c r="AD202"/>
      <c r="AE202"/>
      <c r="AF202"/>
      <c r="AG202"/>
      <c r="AH202"/>
      <c r="AI202"/>
    </row>
    <row r="203" spans="3:35" x14ac:dyDescent="0.2">
      <c r="C203" s="722"/>
      <c r="D203" s="722"/>
      <c r="AA203"/>
      <c r="AB203"/>
      <c r="AC203"/>
      <c r="AD203"/>
      <c r="AE203"/>
      <c r="AF203"/>
      <c r="AG203"/>
      <c r="AH203"/>
      <c r="AI203"/>
    </row>
    <row r="204" spans="3:35" x14ac:dyDescent="0.2">
      <c r="C204" s="722"/>
      <c r="D204" s="722"/>
      <c r="AA204"/>
      <c r="AB204"/>
      <c r="AC204"/>
      <c r="AD204"/>
      <c r="AE204"/>
      <c r="AF204"/>
      <c r="AG204"/>
      <c r="AH204"/>
      <c r="AI204"/>
    </row>
    <row r="205" spans="3:35" x14ac:dyDescent="0.2">
      <c r="C205" s="722"/>
      <c r="D205" s="722"/>
      <c r="AA205"/>
      <c r="AB205"/>
      <c r="AC205"/>
      <c r="AD205"/>
      <c r="AE205"/>
      <c r="AF205"/>
      <c r="AG205"/>
      <c r="AH205"/>
      <c r="AI205"/>
    </row>
    <row r="206" spans="3:35" x14ac:dyDescent="0.2">
      <c r="C206" s="722"/>
      <c r="D206" s="722"/>
      <c r="AA206"/>
      <c r="AB206"/>
      <c r="AC206"/>
      <c r="AD206"/>
      <c r="AE206"/>
      <c r="AF206"/>
      <c r="AG206"/>
      <c r="AH206"/>
      <c r="AI206"/>
    </row>
    <row r="207" spans="3:35" x14ac:dyDescent="0.2">
      <c r="C207" s="722"/>
      <c r="D207" s="722"/>
      <c r="AA207"/>
      <c r="AB207"/>
      <c r="AC207"/>
      <c r="AD207"/>
      <c r="AE207"/>
      <c r="AF207"/>
      <c r="AG207"/>
      <c r="AH207"/>
      <c r="AI207"/>
    </row>
    <row r="208" spans="3:35" x14ac:dyDescent="0.2">
      <c r="C208" s="722"/>
      <c r="D208" s="722"/>
      <c r="AA208"/>
      <c r="AB208"/>
      <c r="AC208"/>
      <c r="AD208"/>
      <c r="AE208"/>
      <c r="AF208"/>
      <c r="AG208"/>
      <c r="AH208"/>
      <c r="AI208"/>
    </row>
    <row r="209" spans="3:35" x14ac:dyDescent="0.2">
      <c r="C209" s="722"/>
      <c r="D209" s="722"/>
      <c r="AA209"/>
      <c r="AB209"/>
      <c r="AC209"/>
      <c r="AD209"/>
      <c r="AE209"/>
      <c r="AF209"/>
      <c r="AG209"/>
      <c r="AH209"/>
      <c r="AI209"/>
    </row>
    <row r="210" spans="3:35" x14ac:dyDescent="0.2">
      <c r="C210" s="722"/>
      <c r="D210" s="722"/>
      <c r="AA210"/>
      <c r="AB210"/>
      <c r="AC210"/>
      <c r="AD210"/>
      <c r="AE210"/>
      <c r="AF210"/>
      <c r="AG210"/>
      <c r="AH210"/>
      <c r="AI210"/>
    </row>
    <row r="211" spans="3:35" x14ac:dyDescent="0.2">
      <c r="C211" s="722"/>
      <c r="D211" s="722"/>
      <c r="AA211"/>
      <c r="AB211"/>
      <c r="AC211"/>
      <c r="AD211"/>
      <c r="AE211"/>
      <c r="AF211"/>
      <c r="AG211"/>
      <c r="AH211"/>
      <c r="AI211"/>
    </row>
    <row r="212" spans="3:35" x14ac:dyDescent="0.2">
      <c r="C212" s="722"/>
      <c r="D212" s="722"/>
      <c r="AA212"/>
      <c r="AB212"/>
      <c r="AC212"/>
      <c r="AD212"/>
      <c r="AE212"/>
      <c r="AF212"/>
      <c r="AG212"/>
      <c r="AH212"/>
      <c r="AI212"/>
    </row>
    <row r="213" spans="3:35" x14ac:dyDescent="0.2">
      <c r="C213" s="722"/>
      <c r="D213" s="722"/>
      <c r="AA213"/>
      <c r="AB213"/>
      <c r="AC213"/>
      <c r="AD213"/>
      <c r="AE213"/>
      <c r="AF213"/>
      <c r="AG213"/>
      <c r="AH213"/>
      <c r="AI213"/>
    </row>
    <row r="214" spans="3:35" x14ac:dyDescent="0.2">
      <c r="C214" s="722"/>
      <c r="D214" s="722"/>
      <c r="AA214"/>
      <c r="AB214"/>
      <c r="AC214"/>
      <c r="AD214"/>
      <c r="AE214"/>
      <c r="AF214"/>
      <c r="AG214"/>
      <c r="AH214"/>
      <c r="AI214"/>
    </row>
    <row r="215" spans="3:35" x14ac:dyDescent="0.2">
      <c r="C215" s="722"/>
      <c r="D215" s="722"/>
      <c r="AA215"/>
      <c r="AB215"/>
      <c r="AC215"/>
      <c r="AD215"/>
      <c r="AE215"/>
      <c r="AF215"/>
      <c r="AG215"/>
      <c r="AH215"/>
      <c r="AI215"/>
    </row>
    <row r="216" spans="3:35" x14ac:dyDescent="0.2">
      <c r="C216" s="722"/>
      <c r="D216" s="722"/>
      <c r="AA216"/>
      <c r="AB216"/>
      <c r="AC216"/>
      <c r="AD216"/>
      <c r="AE216"/>
      <c r="AF216"/>
      <c r="AG216"/>
      <c r="AH216"/>
      <c r="AI216"/>
    </row>
    <row r="217" spans="3:35" x14ac:dyDescent="0.2">
      <c r="C217" s="722"/>
      <c r="D217" s="722"/>
      <c r="AA217"/>
      <c r="AB217"/>
      <c r="AC217"/>
      <c r="AD217"/>
      <c r="AE217"/>
      <c r="AF217"/>
      <c r="AG217"/>
      <c r="AH217"/>
      <c r="AI217"/>
    </row>
    <row r="218" spans="3:35" x14ac:dyDescent="0.2">
      <c r="C218" s="722"/>
      <c r="D218" s="722"/>
      <c r="AA218"/>
      <c r="AB218"/>
      <c r="AC218"/>
      <c r="AD218"/>
      <c r="AE218"/>
      <c r="AF218"/>
      <c r="AG218"/>
      <c r="AH218"/>
      <c r="AI218"/>
    </row>
    <row r="219" spans="3:35" x14ac:dyDescent="0.2">
      <c r="C219" s="722"/>
      <c r="D219" s="722"/>
      <c r="AA219"/>
      <c r="AB219"/>
      <c r="AC219"/>
      <c r="AD219"/>
      <c r="AE219"/>
      <c r="AF219"/>
      <c r="AG219"/>
      <c r="AH219"/>
      <c r="AI219"/>
    </row>
    <row r="220" spans="3:35" x14ac:dyDescent="0.2">
      <c r="C220" s="722"/>
      <c r="D220" s="722"/>
      <c r="AA220"/>
      <c r="AB220"/>
      <c r="AC220"/>
      <c r="AD220"/>
      <c r="AE220"/>
      <c r="AF220"/>
      <c r="AG220"/>
      <c r="AH220"/>
      <c r="AI220"/>
    </row>
    <row r="221" spans="3:35" x14ac:dyDescent="0.2">
      <c r="C221" s="722"/>
      <c r="D221" s="722"/>
      <c r="AA221"/>
      <c r="AB221"/>
      <c r="AC221"/>
      <c r="AD221"/>
      <c r="AE221"/>
      <c r="AF221"/>
      <c r="AG221"/>
      <c r="AH221"/>
      <c r="AI221"/>
    </row>
    <row r="222" spans="3:35" x14ac:dyDescent="0.2">
      <c r="C222" s="722"/>
      <c r="D222" s="722"/>
      <c r="AA222"/>
      <c r="AB222"/>
      <c r="AC222"/>
      <c r="AD222"/>
      <c r="AE222"/>
      <c r="AF222"/>
      <c r="AG222"/>
      <c r="AH222"/>
      <c r="AI222"/>
    </row>
    <row r="223" spans="3:35" x14ac:dyDescent="0.2">
      <c r="C223" s="722"/>
      <c r="D223" s="722"/>
      <c r="AA223"/>
      <c r="AB223"/>
      <c r="AC223"/>
      <c r="AD223"/>
      <c r="AE223"/>
      <c r="AF223"/>
      <c r="AG223"/>
      <c r="AH223"/>
      <c r="AI223"/>
    </row>
    <row r="224" spans="3:35" x14ac:dyDescent="0.2">
      <c r="C224" s="722"/>
      <c r="D224" s="722"/>
      <c r="AA224"/>
      <c r="AB224"/>
      <c r="AC224"/>
      <c r="AD224"/>
      <c r="AE224"/>
      <c r="AF224"/>
      <c r="AG224"/>
      <c r="AH224"/>
      <c r="AI224"/>
    </row>
    <row r="225" spans="3:35" x14ac:dyDescent="0.2">
      <c r="C225" s="722"/>
      <c r="D225" s="722"/>
      <c r="AA225"/>
      <c r="AB225"/>
      <c r="AC225"/>
      <c r="AD225"/>
      <c r="AE225"/>
      <c r="AF225"/>
      <c r="AG225"/>
      <c r="AH225"/>
      <c r="AI225"/>
    </row>
    <row r="226" spans="3:35" x14ac:dyDescent="0.2">
      <c r="C226" s="722"/>
      <c r="D226" s="722"/>
      <c r="AA226"/>
      <c r="AB226"/>
      <c r="AC226"/>
      <c r="AD226"/>
      <c r="AE226"/>
      <c r="AF226"/>
      <c r="AG226"/>
      <c r="AH226"/>
      <c r="AI226"/>
    </row>
    <row r="227" spans="3:35" x14ac:dyDescent="0.2">
      <c r="C227" s="722"/>
      <c r="D227" s="722"/>
      <c r="AA227"/>
      <c r="AB227"/>
      <c r="AC227"/>
      <c r="AD227"/>
      <c r="AE227"/>
      <c r="AF227"/>
      <c r="AG227"/>
      <c r="AH227"/>
      <c r="AI227"/>
    </row>
    <row r="228" spans="3:35" x14ac:dyDescent="0.2">
      <c r="C228" s="722"/>
      <c r="D228" s="722"/>
      <c r="AA228"/>
      <c r="AB228"/>
      <c r="AC228"/>
      <c r="AD228"/>
      <c r="AE228"/>
      <c r="AF228"/>
      <c r="AG228"/>
      <c r="AH228"/>
      <c r="AI228"/>
    </row>
    <row r="229" spans="3:35" x14ac:dyDescent="0.2">
      <c r="C229" s="722"/>
      <c r="D229" s="722"/>
      <c r="AA229"/>
      <c r="AB229"/>
      <c r="AC229"/>
      <c r="AD229"/>
      <c r="AE229"/>
      <c r="AF229"/>
      <c r="AG229"/>
      <c r="AH229"/>
      <c r="AI229"/>
    </row>
    <row r="230" spans="3:35" x14ac:dyDescent="0.2">
      <c r="C230" s="722"/>
      <c r="D230" s="722"/>
      <c r="AA230"/>
      <c r="AB230"/>
      <c r="AC230"/>
      <c r="AD230"/>
      <c r="AE230"/>
      <c r="AF230"/>
      <c r="AG230"/>
      <c r="AH230"/>
      <c r="AI230"/>
    </row>
    <row r="231" spans="3:35" x14ac:dyDescent="0.2">
      <c r="C231" s="722"/>
      <c r="D231" s="722"/>
      <c r="AA231"/>
      <c r="AB231"/>
      <c r="AC231"/>
      <c r="AD231"/>
      <c r="AE231"/>
      <c r="AF231"/>
      <c r="AG231"/>
      <c r="AH231"/>
      <c r="AI231"/>
    </row>
    <row r="232" spans="3:35" x14ac:dyDescent="0.2">
      <c r="C232" s="722"/>
      <c r="D232" s="722"/>
      <c r="AA232"/>
      <c r="AB232"/>
      <c r="AC232"/>
      <c r="AD232"/>
      <c r="AE232"/>
      <c r="AF232"/>
      <c r="AG232"/>
      <c r="AH232"/>
      <c r="AI232"/>
    </row>
    <row r="233" spans="3:35" x14ac:dyDescent="0.2">
      <c r="C233" s="722"/>
      <c r="D233" s="722"/>
      <c r="AA233"/>
      <c r="AB233"/>
      <c r="AC233"/>
      <c r="AD233"/>
      <c r="AE233"/>
      <c r="AF233"/>
      <c r="AG233"/>
      <c r="AH233"/>
      <c r="AI233"/>
    </row>
    <row r="234" spans="3:35" x14ac:dyDescent="0.2">
      <c r="C234" s="722"/>
      <c r="D234" s="722"/>
      <c r="AA234"/>
      <c r="AB234"/>
      <c r="AC234"/>
      <c r="AD234"/>
      <c r="AE234"/>
      <c r="AF234"/>
      <c r="AG234"/>
      <c r="AH234"/>
      <c r="AI234"/>
    </row>
    <row r="235" spans="3:35" x14ac:dyDescent="0.2">
      <c r="C235" s="722"/>
      <c r="D235" s="722"/>
      <c r="AA235"/>
      <c r="AB235"/>
      <c r="AC235"/>
      <c r="AD235"/>
      <c r="AE235"/>
      <c r="AF235"/>
      <c r="AG235"/>
      <c r="AH235"/>
      <c r="AI235"/>
    </row>
    <row r="236" spans="3:35" x14ac:dyDescent="0.2">
      <c r="C236" s="722"/>
      <c r="D236" s="722"/>
      <c r="AA236"/>
      <c r="AB236"/>
      <c r="AC236"/>
      <c r="AD236"/>
      <c r="AE236"/>
      <c r="AF236"/>
      <c r="AG236"/>
      <c r="AH236"/>
      <c r="AI236"/>
    </row>
    <row r="237" spans="3:35" x14ac:dyDescent="0.2">
      <c r="C237" s="722"/>
      <c r="D237" s="722"/>
      <c r="AA237"/>
      <c r="AB237"/>
      <c r="AC237"/>
      <c r="AD237"/>
      <c r="AE237"/>
      <c r="AF237"/>
      <c r="AG237"/>
      <c r="AH237"/>
      <c r="AI237"/>
    </row>
    <row r="238" spans="3:35" x14ac:dyDescent="0.2">
      <c r="C238" s="722"/>
      <c r="D238" s="722"/>
      <c r="AA238"/>
      <c r="AB238"/>
      <c r="AC238"/>
      <c r="AD238"/>
      <c r="AE238"/>
      <c r="AF238"/>
      <c r="AG238"/>
      <c r="AH238"/>
      <c r="AI238"/>
    </row>
    <row r="239" spans="3:35" x14ac:dyDescent="0.2">
      <c r="C239" s="722"/>
      <c r="D239" s="722"/>
      <c r="AA239"/>
      <c r="AB239"/>
      <c r="AC239"/>
      <c r="AD239"/>
      <c r="AE239"/>
      <c r="AF239"/>
      <c r="AG239"/>
      <c r="AH239"/>
      <c r="AI239"/>
    </row>
    <row r="240" spans="3:35" x14ac:dyDescent="0.2">
      <c r="C240" s="722"/>
      <c r="D240" s="722"/>
      <c r="AA240"/>
      <c r="AB240"/>
      <c r="AC240"/>
      <c r="AD240"/>
      <c r="AE240"/>
      <c r="AF240"/>
      <c r="AG240"/>
      <c r="AH240"/>
      <c r="AI240"/>
    </row>
    <row r="241" spans="3:35" x14ac:dyDescent="0.2">
      <c r="C241" s="722"/>
      <c r="D241" s="722"/>
      <c r="AA241"/>
      <c r="AB241"/>
      <c r="AC241"/>
      <c r="AD241"/>
      <c r="AE241"/>
      <c r="AF241"/>
      <c r="AG241"/>
      <c r="AH241"/>
      <c r="AI241"/>
    </row>
    <row r="242" spans="3:35" x14ac:dyDescent="0.2">
      <c r="C242" s="722"/>
      <c r="D242" s="722"/>
      <c r="AA242"/>
      <c r="AB242"/>
      <c r="AC242"/>
      <c r="AD242"/>
      <c r="AE242"/>
      <c r="AF242"/>
      <c r="AG242"/>
      <c r="AH242"/>
      <c r="AI242"/>
    </row>
    <row r="243" spans="3:35" x14ac:dyDescent="0.2">
      <c r="C243" s="722"/>
      <c r="D243" s="722"/>
      <c r="AA243"/>
      <c r="AB243"/>
      <c r="AC243"/>
      <c r="AD243"/>
      <c r="AE243"/>
      <c r="AF243"/>
      <c r="AG243"/>
      <c r="AH243"/>
      <c r="AI243"/>
    </row>
    <row r="244" spans="3:35" x14ac:dyDescent="0.2">
      <c r="C244" s="722"/>
      <c r="D244" s="722"/>
      <c r="AA244"/>
      <c r="AB244"/>
      <c r="AC244"/>
      <c r="AD244"/>
      <c r="AE244"/>
      <c r="AF244"/>
      <c r="AG244"/>
      <c r="AH244"/>
      <c r="AI244"/>
    </row>
    <row r="245" spans="3:35" x14ac:dyDescent="0.2">
      <c r="C245" s="722"/>
      <c r="D245" s="722"/>
      <c r="AA245"/>
      <c r="AB245"/>
      <c r="AC245"/>
      <c r="AD245"/>
      <c r="AE245"/>
      <c r="AF245"/>
      <c r="AG245"/>
      <c r="AH245"/>
      <c r="AI245"/>
    </row>
    <row r="246" spans="3:35" x14ac:dyDescent="0.2">
      <c r="C246" s="722"/>
      <c r="D246" s="722"/>
      <c r="AA246"/>
      <c r="AB246"/>
      <c r="AC246"/>
      <c r="AD246"/>
      <c r="AE246"/>
      <c r="AF246"/>
      <c r="AG246"/>
      <c r="AH246"/>
      <c r="AI246"/>
    </row>
    <row r="247" spans="3:35" x14ac:dyDescent="0.2">
      <c r="C247" s="722"/>
      <c r="D247" s="722"/>
      <c r="AA247"/>
      <c r="AB247"/>
      <c r="AC247"/>
      <c r="AD247"/>
      <c r="AE247"/>
      <c r="AF247"/>
      <c r="AG247"/>
      <c r="AH247"/>
      <c r="AI247"/>
    </row>
    <row r="248" spans="3:35" x14ac:dyDescent="0.2">
      <c r="C248" s="722"/>
      <c r="D248" s="722"/>
      <c r="AA248"/>
      <c r="AB248"/>
      <c r="AC248"/>
      <c r="AD248"/>
      <c r="AE248"/>
      <c r="AF248"/>
      <c r="AG248"/>
      <c r="AH248"/>
      <c r="AI248"/>
    </row>
    <row r="249" spans="3:35" x14ac:dyDescent="0.2">
      <c r="C249" s="722"/>
      <c r="D249" s="722"/>
      <c r="AA249"/>
      <c r="AB249"/>
      <c r="AC249"/>
      <c r="AD249"/>
      <c r="AE249"/>
      <c r="AF249"/>
      <c r="AG249"/>
      <c r="AH249"/>
      <c r="AI249"/>
    </row>
    <row r="250" spans="3:35" x14ac:dyDescent="0.2">
      <c r="C250" s="722"/>
      <c r="D250" s="722"/>
      <c r="AA250"/>
      <c r="AB250"/>
      <c r="AC250"/>
      <c r="AD250"/>
      <c r="AE250"/>
      <c r="AF250"/>
      <c r="AG250"/>
      <c r="AH250"/>
      <c r="AI250"/>
    </row>
    <row r="251" spans="3:35" x14ac:dyDescent="0.2">
      <c r="C251" s="722"/>
      <c r="D251" s="722"/>
      <c r="AA251"/>
      <c r="AB251"/>
      <c r="AC251"/>
      <c r="AD251"/>
      <c r="AE251"/>
      <c r="AF251"/>
      <c r="AG251"/>
      <c r="AH251"/>
      <c r="AI251"/>
    </row>
    <row r="252" spans="3:35" x14ac:dyDescent="0.2">
      <c r="C252" s="722"/>
      <c r="D252" s="722"/>
      <c r="AA252"/>
      <c r="AB252"/>
      <c r="AC252"/>
      <c r="AD252"/>
      <c r="AE252"/>
      <c r="AF252"/>
      <c r="AG252"/>
      <c r="AH252"/>
      <c r="AI252"/>
    </row>
    <row r="253" spans="3:35" x14ac:dyDescent="0.2">
      <c r="C253" s="722"/>
      <c r="D253" s="722"/>
      <c r="AA253"/>
      <c r="AB253"/>
      <c r="AC253"/>
      <c r="AD253"/>
      <c r="AE253"/>
      <c r="AF253"/>
      <c r="AG253"/>
      <c r="AH253"/>
      <c r="AI253"/>
    </row>
    <row r="254" spans="3:35" x14ac:dyDescent="0.2">
      <c r="C254" s="722"/>
      <c r="D254" s="722"/>
      <c r="AA254"/>
      <c r="AB254"/>
      <c r="AC254"/>
      <c r="AD254"/>
      <c r="AE254"/>
      <c r="AF254"/>
      <c r="AG254"/>
      <c r="AH254"/>
      <c r="AI254"/>
    </row>
    <row r="255" spans="3:35" x14ac:dyDescent="0.2">
      <c r="C255" s="722"/>
      <c r="D255" s="722"/>
      <c r="AA255"/>
      <c r="AB255"/>
      <c r="AC255"/>
      <c r="AD255"/>
      <c r="AE255"/>
      <c r="AF255"/>
      <c r="AG255"/>
      <c r="AH255"/>
      <c r="AI255"/>
    </row>
    <row r="256" spans="3:35" x14ac:dyDescent="0.2">
      <c r="C256" s="722"/>
      <c r="D256" s="722"/>
      <c r="AA256"/>
      <c r="AB256"/>
      <c r="AC256"/>
      <c r="AD256"/>
      <c r="AE256"/>
      <c r="AF256"/>
      <c r="AG256"/>
      <c r="AH256"/>
      <c r="AI256"/>
    </row>
    <row r="257" spans="3:35" x14ac:dyDescent="0.2">
      <c r="C257" s="722"/>
      <c r="D257" s="722"/>
      <c r="AA257"/>
      <c r="AB257"/>
      <c r="AC257"/>
      <c r="AD257"/>
      <c r="AE257"/>
      <c r="AF257"/>
      <c r="AG257"/>
      <c r="AH257"/>
      <c r="AI257"/>
    </row>
    <row r="258" spans="3:35" x14ac:dyDescent="0.2">
      <c r="C258" s="722"/>
      <c r="D258" s="722"/>
      <c r="AA258"/>
      <c r="AB258"/>
      <c r="AC258"/>
      <c r="AD258"/>
      <c r="AE258"/>
      <c r="AF258"/>
      <c r="AG258"/>
      <c r="AH258"/>
      <c r="AI258"/>
    </row>
    <row r="259" spans="3:35" x14ac:dyDescent="0.2">
      <c r="C259" s="722"/>
      <c r="D259" s="722"/>
      <c r="AA259"/>
      <c r="AB259"/>
      <c r="AC259"/>
      <c r="AD259"/>
      <c r="AE259"/>
      <c r="AF259"/>
      <c r="AG259"/>
      <c r="AH259"/>
      <c r="AI259"/>
    </row>
    <row r="260" spans="3:35" x14ac:dyDescent="0.2">
      <c r="C260" s="722"/>
      <c r="D260" s="722"/>
      <c r="AA260"/>
      <c r="AB260"/>
      <c r="AC260"/>
      <c r="AD260"/>
      <c r="AE260"/>
      <c r="AF260"/>
      <c r="AG260"/>
      <c r="AH260"/>
      <c r="AI260"/>
    </row>
    <row r="261" spans="3:35" x14ac:dyDescent="0.2">
      <c r="C261" s="722"/>
      <c r="D261" s="722"/>
      <c r="AA261"/>
      <c r="AB261"/>
      <c r="AC261"/>
      <c r="AD261"/>
      <c r="AE261"/>
      <c r="AF261"/>
      <c r="AG261"/>
      <c r="AH261"/>
      <c r="AI261"/>
    </row>
    <row r="262" spans="3:35" x14ac:dyDescent="0.2">
      <c r="C262" s="722"/>
      <c r="D262" s="722"/>
      <c r="AA262"/>
      <c r="AB262"/>
      <c r="AC262"/>
      <c r="AD262"/>
      <c r="AE262"/>
      <c r="AF262"/>
      <c r="AG262"/>
      <c r="AH262"/>
      <c r="AI262"/>
    </row>
    <row r="263" spans="3:35" x14ac:dyDescent="0.2">
      <c r="C263" s="722"/>
      <c r="D263" s="722"/>
      <c r="AA263"/>
      <c r="AB263"/>
      <c r="AC263"/>
      <c r="AD263"/>
      <c r="AE263"/>
      <c r="AF263"/>
      <c r="AG263"/>
      <c r="AH263"/>
      <c r="AI263"/>
    </row>
    <row r="264" spans="3:35" x14ac:dyDescent="0.2">
      <c r="C264" s="722"/>
      <c r="D264" s="722"/>
      <c r="AA264"/>
      <c r="AB264"/>
      <c r="AC264"/>
      <c r="AD264"/>
      <c r="AE264"/>
      <c r="AF264"/>
      <c r="AG264"/>
      <c r="AH264"/>
      <c r="AI264"/>
    </row>
    <row r="265" spans="3:35" x14ac:dyDescent="0.2">
      <c r="C265" s="722"/>
      <c r="D265" s="722"/>
      <c r="AA265"/>
      <c r="AB265"/>
      <c r="AC265"/>
      <c r="AD265"/>
      <c r="AE265"/>
      <c r="AF265"/>
      <c r="AG265"/>
      <c r="AH265"/>
      <c r="AI265"/>
    </row>
    <row r="266" spans="3:35" x14ac:dyDescent="0.2">
      <c r="C266" s="722"/>
      <c r="D266" s="722"/>
      <c r="AA266"/>
      <c r="AB266"/>
      <c r="AC266"/>
      <c r="AD266"/>
      <c r="AE266"/>
      <c r="AF266"/>
      <c r="AG266"/>
      <c r="AH266"/>
      <c r="AI266"/>
    </row>
    <row r="267" spans="3:35" x14ac:dyDescent="0.2">
      <c r="C267" s="722"/>
      <c r="D267" s="722"/>
      <c r="AA267"/>
      <c r="AB267"/>
      <c r="AC267"/>
      <c r="AD267"/>
      <c r="AE267"/>
      <c r="AF267"/>
      <c r="AG267"/>
      <c r="AH267"/>
      <c r="AI267"/>
    </row>
    <row r="268" spans="3:35" x14ac:dyDescent="0.2">
      <c r="C268" s="722"/>
      <c r="D268" s="722"/>
      <c r="AA268"/>
      <c r="AB268"/>
      <c r="AC268"/>
      <c r="AD268"/>
      <c r="AE268"/>
      <c r="AF268"/>
      <c r="AG268"/>
      <c r="AH268"/>
      <c r="AI268"/>
    </row>
    <row r="269" spans="3:35" x14ac:dyDescent="0.2">
      <c r="C269" s="722"/>
      <c r="D269" s="722"/>
      <c r="AA269"/>
      <c r="AB269"/>
      <c r="AC269"/>
      <c r="AD269"/>
      <c r="AE269"/>
      <c r="AF269"/>
      <c r="AG269"/>
      <c r="AH269"/>
      <c r="AI269"/>
    </row>
    <row r="270" spans="3:35" x14ac:dyDescent="0.2">
      <c r="C270" s="722"/>
      <c r="D270" s="722"/>
      <c r="AA270"/>
      <c r="AB270"/>
      <c r="AC270"/>
      <c r="AD270"/>
      <c r="AE270"/>
      <c r="AF270"/>
      <c r="AG270"/>
      <c r="AH270"/>
      <c r="AI270"/>
    </row>
    <row r="271" spans="3:35" x14ac:dyDescent="0.2">
      <c r="C271" s="722"/>
      <c r="D271" s="722"/>
      <c r="AA271"/>
      <c r="AB271"/>
      <c r="AC271"/>
      <c r="AD271"/>
      <c r="AE271"/>
      <c r="AF271"/>
      <c r="AG271"/>
      <c r="AH271"/>
      <c r="AI271"/>
    </row>
    <row r="272" spans="3:35" x14ac:dyDescent="0.2">
      <c r="C272" s="722"/>
      <c r="D272" s="722"/>
      <c r="AA272"/>
      <c r="AB272"/>
      <c r="AC272"/>
      <c r="AD272"/>
      <c r="AE272"/>
      <c r="AF272"/>
      <c r="AG272"/>
      <c r="AH272"/>
      <c r="AI272"/>
    </row>
    <row r="273" spans="3:35" x14ac:dyDescent="0.2">
      <c r="C273" s="722"/>
      <c r="D273" s="722"/>
      <c r="AA273"/>
      <c r="AB273"/>
      <c r="AC273"/>
      <c r="AD273"/>
      <c r="AE273"/>
      <c r="AF273"/>
      <c r="AG273"/>
      <c r="AH273"/>
      <c r="AI273"/>
    </row>
    <row r="274" spans="3:35" x14ac:dyDescent="0.2">
      <c r="C274" s="722"/>
      <c r="D274" s="722"/>
      <c r="AA274"/>
      <c r="AB274"/>
      <c r="AC274"/>
      <c r="AD274"/>
      <c r="AE274"/>
      <c r="AF274"/>
      <c r="AG274"/>
      <c r="AH274"/>
      <c r="AI274"/>
    </row>
    <row r="275" spans="3:35" x14ac:dyDescent="0.2">
      <c r="C275" s="722"/>
      <c r="D275" s="722"/>
      <c r="AA275"/>
      <c r="AB275"/>
      <c r="AC275"/>
      <c r="AD275"/>
      <c r="AE275"/>
      <c r="AF275"/>
      <c r="AG275"/>
      <c r="AH275"/>
      <c r="AI275"/>
    </row>
    <row r="276" spans="3:35" x14ac:dyDescent="0.2">
      <c r="C276" s="722"/>
      <c r="D276" s="722"/>
      <c r="AA276"/>
      <c r="AB276"/>
      <c r="AC276"/>
      <c r="AD276"/>
      <c r="AE276"/>
      <c r="AF276"/>
      <c r="AG276"/>
      <c r="AH276"/>
      <c r="AI276"/>
    </row>
    <row r="277" spans="3:35" x14ac:dyDescent="0.2">
      <c r="C277" s="722"/>
      <c r="D277" s="722"/>
      <c r="AA277"/>
      <c r="AB277"/>
      <c r="AC277"/>
      <c r="AD277"/>
      <c r="AE277"/>
      <c r="AF277"/>
      <c r="AG277"/>
      <c r="AH277"/>
      <c r="AI277"/>
    </row>
    <row r="278" spans="3:35" x14ac:dyDescent="0.2">
      <c r="C278" s="722"/>
      <c r="D278" s="722"/>
      <c r="AA278"/>
      <c r="AB278"/>
      <c r="AC278"/>
      <c r="AD278"/>
      <c r="AE278"/>
      <c r="AF278"/>
      <c r="AG278"/>
      <c r="AH278"/>
      <c r="AI278"/>
    </row>
    <row r="279" spans="3:35" x14ac:dyDescent="0.2">
      <c r="C279" s="722"/>
      <c r="D279" s="722"/>
      <c r="AA279"/>
      <c r="AB279"/>
      <c r="AC279"/>
      <c r="AD279"/>
      <c r="AE279"/>
      <c r="AF279"/>
      <c r="AG279"/>
      <c r="AH279"/>
      <c r="AI279"/>
    </row>
    <row r="280" spans="3:35" x14ac:dyDescent="0.2">
      <c r="C280" s="722"/>
      <c r="D280" s="722"/>
      <c r="AA280"/>
      <c r="AB280"/>
      <c r="AC280"/>
      <c r="AD280"/>
      <c r="AE280"/>
      <c r="AF280"/>
      <c r="AG280"/>
      <c r="AH280"/>
      <c r="AI280"/>
    </row>
    <row r="281" spans="3:35" x14ac:dyDescent="0.2">
      <c r="AA281"/>
      <c r="AB281"/>
      <c r="AC281"/>
      <c r="AD281"/>
      <c r="AE281"/>
      <c r="AF281"/>
      <c r="AG281"/>
      <c r="AH281"/>
      <c r="AI281"/>
    </row>
    <row r="282" spans="3:35" x14ac:dyDescent="0.2">
      <c r="AA282"/>
      <c r="AB282"/>
      <c r="AC282"/>
      <c r="AD282"/>
      <c r="AE282"/>
      <c r="AF282"/>
      <c r="AG282"/>
      <c r="AH282"/>
      <c r="AI282"/>
    </row>
    <row r="283" spans="3:35" x14ac:dyDescent="0.2">
      <c r="AA283"/>
      <c r="AB283"/>
      <c r="AC283"/>
      <c r="AD283"/>
      <c r="AE283"/>
      <c r="AF283"/>
      <c r="AG283"/>
      <c r="AH283"/>
      <c r="AI283"/>
    </row>
    <row r="284" spans="3:35" x14ac:dyDescent="0.2">
      <c r="AA284"/>
      <c r="AB284"/>
      <c r="AC284"/>
      <c r="AD284"/>
      <c r="AE284"/>
      <c r="AF284"/>
      <c r="AG284"/>
      <c r="AH284"/>
      <c r="AI284"/>
    </row>
    <row r="285" spans="3:35" x14ac:dyDescent="0.2">
      <c r="AA285"/>
      <c r="AB285"/>
      <c r="AC285"/>
      <c r="AD285"/>
      <c r="AE285"/>
      <c r="AF285"/>
      <c r="AG285"/>
      <c r="AH285"/>
      <c r="AI285"/>
    </row>
    <row r="286" spans="3:35" x14ac:dyDescent="0.2">
      <c r="AA286"/>
      <c r="AB286"/>
      <c r="AC286"/>
      <c r="AD286"/>
      <c r="AE286"/>
      <c r="AF286"/>
      <c r="AG286"/>
      <c r="AH286"/>
      <c r="AI286"/>
    </row>
    <row r="287" spans="3:35" x14ac:dyDescent="0.2">
      <c r="AA287"/>
      <c r="AB287"/>
      <c r="AC287"/>
      <c r="AD287"/>
      <c r="AE287"/>
      <c r="AF287"/>
      <c r="AG287"/>
      <c r="AH287"/>
      <c r="AI287"/>
    </row>
    <row r="288" spans="3: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3">
    <mergeCell ref="A3:B3"/>
    <mergeCell ref="A1:B1"/>
    <mergeCell ref="D1:E1"/>
  </mergeCells>
  <phoneticPr fontId="5" type="noConversion"/>
  <conditionalFormatting sqref="A6:B12 A14:B20 A22:B26 A28:B32 A34:B38 A40:B53 A55:B62 A64:B67 A69:B73 A75:B88 A90:B94">
    <cfRule type="expression" dxfId="141" priority="8" stopIfTrue="1">
      <formula>AND(NOT($K6=""),$K$1=1)</formula>
    </cfRule>
  </conditionalFormatting>
  <conditionalFormatting sqref="C100:C101 C6:C98">
    <cfRule type="expression" dxfId="140" priority="3" stopIfTrue="1">
      <formula>AND(NOT($K6=""),$K$1=1)</formula>
    </cfRule>
  </conditionalFormatting>
  <conditionalFormatting sqref="G100:J100 L100:M100">
    <cfRule type="expression" dxfId="139" priority="6">
      <formula>AND(NOT($G100=""),$G$1=1)</formula>
    </cfRule>
  </conditionalFormatting>
  <conditionalFormatting sqref="G101:J101 L101:M101">
    <cfRule type="expression" dxfId="138" priority="5">
      <formula>AND(NOT($G101=""),$G$1=1)</formula>
    </cfRule>
  </conditionalFormatting>
  <conditionalFormatting sqref="C100:M101 D99:M99 C6:M98">
    <cfRule type="expression" dxfId="137" priority="4" stopIfTrue="1">
      <formula>AND(NOT($K6=""),$K$1=1)</formula>
    </cfRule>
  </conditionalFormatting>
  <conditionalFormatting sqref="A95:A101">
    <cfRule type="expression" dxfId="136" priority="2" stopIfTrue="1">
      <formula>AND(NOT($K95=""),$K$1=1)</formula>
    </cfRule>
  </conditionalFormatting>
  <conditionalFormatting sqref="B95:B101">
    <cfRule type="expression" dxfId="135" priority="1" stopIfTrue="1">
      <formula>AND(NOT($K95=""),$K$1=1)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8">
    <tabColor indexed="47"/>
  </sheetPr>
  <dimension ref="A1:AI400"/>
  <sheetViews>
    <sheetView workbookViewId="0">
      <pane xSplit="13" ySplit="2" topLeftCell="N3" activePane="bottomRight" state="frozen"/>
      <selection activeCell="I304" sqref="I304"/>
      <selection pane="topRight" activeCell="I304" sqref="I304"/>
      <selection pane="bottomLeft" activeCell="I304" sqref="I304"/>
      <selection pane="bottomRight"/>
    </sheetView>
  </sheetViews>
  <sheetFormatPr baseColWidth="10" defaultColWidth="11.28515625" defaultRowHeight="12.75" outlineLevelRow="2" outlineLevelCol="1" x14ac:dyDescent="0.2"/>
  <cols>
    <col min="1" max="1" width="9.85546875" style="682" customWidth="1"/>
    <col min="2" max="2" width="88.28515625" style="683" customWidth="1"/>
    <col min="3" max="3" width="4.7109375" style="684" customWidth="1"/>
    <col min="4" max="4" width="5" style="684" customWidth="1"/>
    <col min="5" max="6" width="5.140625" style="684" bestFit="1" customWidth="1"/>
    <col min="7" max="7" width="3.7109375" style="685" customWidth="1" outlineLevel="1"/>
    <col min="8" max="8" width="4.42578125" style="686" customWidth="1" outlineLevel="1"/>
    <col min="9" max="9" width="4.28515625" style="687" customWidth="1" outlineLevel="1"/>
    <col min="10" max="10" width="5.140625" style="688" customWidth="1" outlineLevel="1"/>
    <col min="11" max="11" width="15.28515625" style="689" customWidth="1" outlineLevel="1"/>
    <col min="12" max="12" width="15.140625" style="690" customWidth="1"/>
    <col min="13" max="13" width="23.140625" style="691" customWidth="1"/>
    <col min="14" max="25" width="11.28515625" style="168"/>
    <col min="26" max="26" width="11.85546875" style="168" customWidth="1"/>
    <col min="27" max="34" width="11.85546875" style="169" hidden="1" customWidth="1"/>
    <col min="35" max="35" width="11.85546875" style="169" customWidth="1"/>
    <col min="36" max="16384" width="11.28515625" style="169"/>
  </cols>
  <sheetData>
    <row r="1" spans="1:35" ht="19.5" customHeight="1" x14ac:dyDescent="0.25">
      <c r="A1" s="574" t="s">
        <v>2643</v>
      </c>
      <c r="B1" s="665"/>
      <c r="C1" s="666">
        <v>1</v>
      </c>
      <c r="D1" s="1963" t="str">
        <f>"variante"&amp;IF(C1&gt;1,"s","")</f>
        <v>variante</v>
      </c>
      <c r="E1" s="1964"/>
      <c r="F1" s="666"/>
      <c r="G1" s="667"/>
      <c r="H1" s="667"/>
      <c r="I1" s="668"/>
      <c r="J1" s="669"/>
      <c r="K1" s="670">
        <f>'ISO 27002'!F2</f>
        <v>0</v>
      </c>
      <c r="L1" s="671"/>
      <c r="M1" s="672"/>
    </row>
    <row r="2" spans="1:35" s="648" customFormat="1" x14ac:dyDescent="0.2">
      <c r="A2" s="584" t="s">
        <v>3585</v>
      </c>
      <c r="B2" s="585" t="s">
        <v>3675</v>
      </c>
      <c r="C2" s="673" t="s">
        <v>3676</v>
      </c>
      <c r="D2" s="673" t="s">
        <v>3677</v>
      </c>
      <c r="E2" s="673" t="s">
        <v>3678</v>
      </c>
      <c r="F2" s="673" t="s">
        <v>3679</v>
      </c>
      <c r="G2" s="674" t="s">
        <v>1428</v>
      </c>
      <c r="H2" s="674" t="s">
        <v>3680</v>
      </c>
      <c r="I2" s="674" t="s">
        <v>2054</v>
      </c>
      <c r="J2" s="674" t="s">
        <v>3681</v>
      </c>
      <c r="K2" s="674">
        <v>2013</v>
      </c>
      <c r="L2" s="674">
        <v>2005</v>
      </c>
      <c r="M2" s="674" t="s">
        <v>3682</v>
      </c>
      <c r="N2" s="611"/>
      <c r="O2" s="611"/>
      <c r="P2" s="611"/>
      <c r="Q2" s="611"/>
      <c r="R2" s="611"/>
      <c r="S2" s="611"/>
      <c r="T2" s="611"/>
      <c r="U2" s="611"/>
      <c r="V2" s="611"/>
      <c r="W2" s="611"/>
      <c r="X2" s="611"/>
      <c r="Y2" s="611"/>
      <c r="Z2" s="611"/>
    </row>
    <row r="3" spans="1:35" s="648" customFormat="1" x14ac:dyDescent="0.2">
      <c r="A3" s="675" t="s">
        <v>1715</v>
      </c>
      <c r="B3" s="676" t="s">
        <v>1199</v>
      </c>
      <c r="C3" s="642"/>
      <c r="D3" s="1154"/>
      <c r="E3" s="1154"/>
      <c r="F3" s="642"/>
      <c r="G3" s="1514"/>
      <c r="H3" s="1514"/>
      <c r="I3" s="1515"/>
      <c r="J3" s="1515"/>
      <c r="K3" s="1516"/>
      <c r="L3" s="1516"/>
      <c r="M3" s="647"/>
      <c r="N3" s="611"/>
      <c r="O3" s="611"/>
      <c r="P3" s="611"/>
      <c r="Q3" s="611"/>
      <c r="R3" s="611"/>
      <c r="S3" s="611"/>
      <c r="T3" s="611"/>
      <c r="U3" s="611"/>
      <c r="V3" s="611"/>
      <c r="W3" s="611"/>
      <c r="X3" s="611"/>
      <c r="Y3" s="611"/>
      <c r="Z3" s="611"/>
    </row>
    <row r="4" spans="1:35" outlineLevel="1" x14ac:dyDescent="0.2">
      <c r="A4" s="677" t="s">
        <v>3228</v>
      </c>
      <c r="B4" s="678" t="s">
        <v>3809</v>
      </c>
      <c r="C4" s="598"/>
      <c r="D4" s="1153"/>
      <c r="E4" s="1153"/>
      <c r="F4" s="635"/>
      <c r="G4" s="1517"/>
      <c r="H4" s="1517"/>
      <c r="I4" s="1517"/>
      <c r="J4" s="1517"/>
      <c r="K4" s="1518"/>
      <c r="L4" s="1518"/>
      <c r="M4" s="635"/>
      <c r="AA4"/>
      <c r="AB4"/>
      <c r="AC4"/>
      <c r="AD4"/>
      <c r="AE4"/>
      <c r="AF4"/>
      <c r="AG4"/>
      <c r="AH4"/>
      <c r="AI4"/>
    </row>
    <row r="5" spans="1:35" ht="22.5" outlineLevel="2" x14ac:dyDescent="0.2">
      <c r="A5" s="601" t="s">
        <v>4178</v>
      </c>
      <c r="B5" s="601" t="s">
        <v>6585</v>
      </c>
      <c r="C5" s="642"/>
      <c r="D5" s="1153"/>
      <c r="E5" s="1153"/>
      <c r="F5" s="635"/>
      <c r="G5" s="1517">
        <v>4</v>
      </c>
      <c r="H5" s="1517"/>
      <c r="I5" s="1517"/>
      <c r="J5" s="1517" t="s">
        <v>4246</v>
      </c>
      <c r="K5" s="1518" t="s">
        <v>7160</v>
      </c>
      <c r="L5" s="1518" t="s">
        <v>7402</v>
      </c>
      <c r="M5" s="638"/>
      <c r="AA5">
        <f>IF(AND('11 Mic'!C5&gt;Tmin, NOT('11 Mic'!$I5="")),'11 Mic'!$I5,0)</f>
        <v>0</v>
      </c>
      <c r="AB5">
        <f>IF(AND('11 Mic'!D5&gt;Tmin, NOT('11 Mic'!$I5="")),'11 Mic'!$I5,0)</f>
        <v>0</v>
      </c>
      <c r="AC5">
        <f>IF(AND('11 Mic'!E5&gt;Tmin, NOT('11 Mic'!$I5="")),'11 Mic'!$I5,0)</f>
        <v>0</v>
      </c>
      <c r="AD5">
        <f>IF(AND('11 Mic'!F5&gt;Tmin, NOT('11 Mic'!$I5="")),'11 Mic'!$I5,0)</f>
        <v>0</v>
      </c>
      <c r="AE5">
        <f>IF(AND('11 Mic'!C5&lt;Tmax, NOT('11 Mic'!$H5="")),'11 Mic'!$H5,4)</f>
        <v>4</v>
      </c>
      <c r="AF5">
        <f>IF(AND('11 Mic'!D5&lt;Tmax, NOT('11 Mic'!$H5="")),'11 Mic'!$H5,4)</f>
        <v>4</v>
      </c>
      <c r="AG5">
        <f>IF(AND('11 Mic'!E5&lt;Tmax, NOT('11 Mic'!$H5="")),'11 Mic'!$H5,4)</f>
        <v>4</v>
      </c>
      <c r="AH5">
        <f>IF(AND('11 Mic'!F5&lt;Tmax, NOT('11 Mic'!$H5="")),'11 Mic'!$H5,4)</f>
        <v>4</v>
      </c>
      <c r="AI5"/>
    </row>
    <row r="6" spans="1:35" outlineLevel="2" x14ac:dyDescent="0.2">
      <c r="A6" s="601" t="s">
        <v>3465</v>
      </c>
      <c r="B6" s="601" t="s">
        <v>6586</v>
      </c>
      <c r="C6" s="642"/>
      <c r="D6" s="1153"/>
      <c r="E6" s="1153"/>
      <c r="F6" s="635"/>
      <c r="G6" s="1517">
        <v>2</v>
      </c>
      <c r="H6" s="1517"/>
      <c r="I6" s="1517"/>
      <c r="J6" s="1517" t="s">
        <v>1592</v>
      </c>
      <c r="K6" s="1518" t="s">
        <v>6989</v>
      </c>
      <c r="L6" s="1518"/>
      <c r="M6" s="635"/>
      <c r="AA6">
        <f>IF(AND('11 Mic'!C6&gt;Tmin, NOT('11 Mic'!$I6="")),'11 Mic'!$I6,0)</f>
        <v>0</v>
      </c>
      <c r="AB6">
        <f>IF(AND('11 Mic'!D6&gt;Tmin, NOT('11 Mic'!$I6="")),'11 Mic'!$I6,0)</f>
        <v>0</v>
      </c>
      <c r="AC6">
        <f>IF(AND('11 Mic'!E6&gt;Tmin, NOT('11 Mic'!$I6="")),'11 Mic'!$I6,0)</f>
        <v>0</v>
      </c>
      <c r="AD6">
        <f>IF(AND('11 Mic'!F6&gt;Tmin, NOT('11 Mic'!$I6="")),'11 Mic'!$I6,0)</f>
        <v>0</v>
      </c>
      <c r="AE6">
        <f>IF(AND('11 Mic'!C6&lt;Tmax, NOT('11 Mic'!$H6="")),'11 Mic'!$H6,4)</f>
        <v>4</v>
      </c>
      <c r="AF6">
        <f>IF(AND('11 Mic'!D6&lt;Tmax, NOT('11 Mic'!$H6="")),'11 Mic'!$H6,4)</f>
        <v>4</v>
      </c>
      <c r="AG6">
        <f>IF(AND('11 Mic'!E6&lt;Tmax, NOT('11 Mic'!$H6="")),'11 Mic'!$H6,4)</f>
        <v>4</v>
      </c>
      <c r="AH6">
        <f>IF(AND('11 Mic'!F6&lt;Tmax, NOT('11 Mic'!$H6="")),'11 Mic'!$H6,4)</f>
        <v>4</v>
      </c>
      <c r="AI6"/>
    </row>
    <row r="7" spans="1:35" ht="22.5" outlineLevel="2" x14ac:dyDescent="0.2">
      <c r="A7" s="601" t="s">
        <v>3466</v>
      </c>
      <c r="B7" s="601" t="s">
        <v>1771</v>
      </c>
      <c r="C7" s="642"/>
      <c r="D7" s="1153"/>
      <c r="E7" s="1153"/>
      <c r="F7" s="635"/>
      <c r="G7" s="1517">
        <v>2</v>
      </c>
      <c r="H7" s="1517"/>
      <c r="I7" s="1517"/>
      <c r="J7" s="1517" t="s">
        <v>1592</v>
      </c>
      <c r="K7" s="1518" t="s">
        <v>6989</v>
      </c>
      <c r="L7" s="1518"/>
      <c r="M7" s="635"/>
      <c r="AA7">
        <f>IF(AND('11 Mic'!C7&gt;Tmin, NOT('11 Mic'!$I7="")),'11 Mic'!$I7,0)</f>
        <v>0</v>
      </c>
      <c r="AB7">
        <f>IF(AND('11 Mic'!D7&gt;Tmin, NOT('11 Mic'!$I7="")),'11 Mic'!$I7,0)</f>
        <v>0</v>
      </c>
      <c r="AC7">
        <f>IF(AND('11 Mic'!E7&gt;Tmin, NOT('11 Mic'!$I7="")),'11 Mic'!$I7,0)</f>
        <v>0</v>
      </c>
      <c r="AD7">
        <f>IF(AND('11 Mic'!F7&gt;Tmin, NOT('11 Mic'!$I7="")),'11 Mic'!$I7,0)</f>
        <v>0</v>
      </c>
      <c r="AE7">
        <f>IF(AND('11 Mic'!C7&lt;Tmax, NOT('11 Mic'!$H7="")),'11 Mic'!$H7,4)</f>
        <v>4</v>
      </c>
      <c r="AF7">
        <f>IF(AND('11 Mic'!D7&lt;Tmax, NOT('11 Mic'!$H7="")),'11 Mic'!$H7,4)</f>
        <v>4</v>
      </c>
      <c r="AG7">
        <f>IF(AND('11 Mic'!E7&lt;Tmax, NOT('11 Mic'!$H7="")),'11 Mic'!$H7,4)</f>
        <v>4</v>
      </c>
      <c r="AH7">
        <f>IF(AND('11 Mic'!F7&lt;Tmax, NOT('11 Mic'!$H7="")),'11 Mic'!$H7,4)</f>
        <v>4</v>
      </c>
      <c r="AI7"/>
    </row>
    <row r="8" spans="1:35" ht="12.75" customHeight="1" outlineLevel="2" x14ac:dyDescent="0.2">
      <c r="A8" s="601" t="s">
        <v>3467</v>
      </c>
      <c r="B8" s="601" t="s">
        <v>1117</v>
      </c>
      <c r="C8" s="642"/>
      <c r="D8" s="1153"/>
      <c r="E8" s="1153"/>
      <c r="F8" s="635"/>
      <c r="G8" s="1517">
        <v>4</v>
      </c>
      <c r="H8" s="1517"/>
      <c r="I8" s="1517"/>
      <c r="J8" s="1517" t="s">
        <v>2329</v>
      </c>
      <c r="K8" s="1518" t="s">
        <v>7161</v>
      </c>
      <c r="L8" s="1518" t="s">
        <v>7327</v>
      </c>
      <c r="M8" s="635"/>
      <c r="AA8">
        <f>IF(AND('11 Mic'!C8&gt;Tmin, NOT('11 Mic'!$I8="")),'11 Mic'!$I8,0)</f>
        <v>0</v>
      </c>
      <c r="AB8">
        <f>IF(AND('11 Mic'!D8&gt;Tmin, NOT('11 Mic'!$I8="")),'11 Mic'!$I8,0)</f>
        <v>0</v>
      </c>
      <c r="AC8">
        <f>IF(AND('11 Mic'!E8&gt;Tmin, NOT('11 Mic'!$I8="")),'11 Mic'!$I8,0)</f>
        <v>0</v>
      </c>
      <c r="AD8">
        <f>IF(AND('11 Mic'!F8&gt;Tmin, NOT('11 Mic'!$I8="")),'11 Mic'!$I8,0)</f>
        <v>0</v>
      </c>
      <c r="AE8">
        <f>IF(AND('11 Mic'!C8&lt;Tmax, NOT('11 Mic'!$H8="")),'11 Mic'!$H8,4)</f>
        <v>4</v>
      </c>
      <c r="AF8">
        <f>IF(AND('11 Mic'!D8&lt;Tmax, NOT('11 Mic'!$H8="")),'11 Mic'!$H8,4)</f>
        <v>4</v>
      </c>
      <c r="AG8">
        <f>IF(AND('11 Mic'!E8&lt;Tmax, NOT('11 Mic'!$H8="")),'11 Mic'!$H8,4)</f>
        <v>4</v>
      </c>
      <c r="AH8">
        <f>IF(AND('11 Mic'!F8&lt;Tmax, NOT('11 Mic'!$H8="")),'11 Mic'!$H8,4)</f>
        <v>4</v>
      </c>
      <c r="AI8"/>
    </row>
    <row r="9" spans="1:35" ht="22.5" outlineLevel="2" x14ac:dyDescent="0.2">
      <c r="A9" s="601" t="s">
        <v>6229</v>
      </c>
      <c r="B9" s="601" t="s">
        <v>6587</v>
      </c>
      <c r="C9" s="642"/>
      <c r="D9" s="1153"/>
      <c r="E9" s="1153"/>
      <c r="F9" s="635"/>
      <c r="G9" s="1517">
        <v>4</v>
      </c>
      <c r="H9" s="1517"/>
      <c r="I9" s="1517"/>
      <c r="J9" s="1517" t="s">
        <v>2329</v>
      </c>
      <c r="K9" s="1518" t="s">
        <v>7161</v>
      </c>
      <c r="L9" s="1518" t="s">
        <v>7327</v>
      </c>
      <c r="M9" s="635"/>
      <c r="AA9">
        <f>IF(AND('11 Mic'!C9&gt;Tmin, NOT('11 Mic'!$I9="")),'11 Mic'!$I9,0)</f>
        <v>0</v>
      </c>
      <c r="AB9">
        <f>IF(AND('11 Mic'!D9&gt;Tmin, NOT('11 Mic'!$I9="")),'11 Mic'!$I9,0)</f>
        <v>0</v>
      </c>
      <c r="AC9">
        <f>IF(AND('11 Mic'!E9&gt;Tmin, NOT('11 Mic'!$I9="")),'11 Mic'!$I9,0)</f>
        <v>0</v>
      </c>
      <c r="AD9">
        <f>IF(AND('11 Mic'!F9&gt;Tmin, NOT('11 Mic'!$I9="")),'11 Mic'!$I9,0)</f>
        <v>0</v>
      </c>
      <c r="AE9">
        <f>IF(AND('11 Mic'!C9&lt;Tmax, NOT('11 Mic'!$H9="")),'11 Mic'!$H9,4)</f>
        <v>4</v>
      </c>
      <c r="AF9">
        <f>IF(AND('11 Mic'!D9&lt;Tmax, NOT('11 Mic'!$H9="")),'11 Mic'!$H9,4)</f>
        <v>4</v>
      </c>
      <c r="AG9">
        <f>IF(AND('11 Mic'!E9&lt;Tmax, NOT('11 Mic'!$H9="")),'11 Mic'!$H9,4)</f>
        <v>4</v>
      </c>
      <c r="AH9">
        <f>IF(AND('11 Mic'!F9&lt;Tmax, NOT('11 Mic'!$H9="")),'11 Mic'!$H9,4)</f>
        <v>4</v>
      </c>
      <c r="AI9"/>
    </row>
    <row r="10" spans="1:35" ht="14.25" customHeight="1" outlineLevel="2" x14ac:dyDescent="0.2">
      <c r="A10" s="601" t="s">
        <v>6230</v>
      </c>
      <c r="B10" s="601" t="s">
        <v>6588</v>
      </c>
      <c r="C10" s="642"/>
      <c r="D10" s="1153"/>
      <c r="E10" s="1153"/>
      <c r="F10" s="635"/>
      <c r="G10" s="1517">
        <v>2</v>
      </c>
      <c r="H10" s="1517"/>
      <c r="I10" s="1517"/>
      <c r="J10" s="1517" t="s">
        <v>1592</v>
      </c>
      <c r="K10" s="1518" t="s">
        <v>7161</v>
      </c>
      <c r="L10" s="1518" t="s">
        <v>7327</v>
      </c>
      <c r="M10" s="635"/>
      <c r="AA10">
        <f>IF(AND('11 Mic'!C10&gt;Tmin, NOT('11 Mic'!$I10="")),'11 Mic'!$I10,0)</f>
        <v>0</v>
      </c>
      <c r="AB10">
        <f>IF(AND('11 Mic'!D10&gt;Tmin, NOT('11 Mic'!$I10="")),'11 Mic'!$I10,0)</f>
        <v>0</v>
      </c>
      <c r="AC10">
        <f>IF(AND('11 Mic'!E10&gt;Tmin, NOT('11 Mic'!$I10="")),'11 Mic'!$I10,0)</f>
        <v>0</v>
      </c>
      <c r="AD10">
        <f>IF(AND('11 Mic'!F10&gt;Tmin, NOT('11 Mic'!$I10="")),'11 Mic'!$I10,0)</f>
        <v>0</v>
      </c>
      <c r="AE10">
        <f>IF(AND('11 Mic'!C10&lt;Tmax, NOT('11 Mic'!$H10="")),'11 Mic'!$H10,4)</f>
        <v>4</v>
      </c>
      <c r="AF10">
        <f>IF(AND('11 Mic'!D10&lt;Tmax, NOT('11 Mic'!$H10="")),'11 Mic'!$H10,4)</f>
        <v>4</v>
      </c>
      <c r="AG10">
        <f>IF(AND('11 Mic'!E10&lt;Tmax, NOT('11 Mic'!$H10="")),'11 Mic'!$H10,4)</f>
        <v>4</v>
      </c>
      <c r="AH10">
        <f>IF(AND('11 Mic'!F10&lt;Tmax, NOT('11 Mic'!$H10="")),'11 Mic'!$H10,4)</f>
        <v>4</v>
      </c>
      <c r="AI10"/>
    </row>
    <row r="11" spans="1:35" outlineLevel="2" x14ac:dyDescent="0.2">
      <c r="A11" s="601" t="s">
        <v>6232</v>
      </c>
      <c r="B11" s="601" t="s">
        <v>6589</v>
      </c>
      <c r="C11" s="642"/>
      <c r="D11" s="1153"/>
      <c r="E11" s="1153"/>
      <c r="F11" s="635"/>
      <c r="G11" s="1517">
        <v>2</v>
      </c>
      <c r="H11" s="1517">
        <v>3</v>
      </c>
      <c r="I11" s="1518"/>
      <c r="J11" s="1518" t="s">
        <v>2109</v>
      </c>
      <c r="K11" s="1518"/>
      <c r="L11" s="1518"/>
      <c r="M11" s="635"/>
      <c r="AA11">
        <f>IF(AND('11 Mic'!C11&gt;Tmin, NOT('11 Mic'!$I11="")),'11 Mic'!$I11,0)</f>
        <v>0</v>
      </c>
      <c r="AB11">
        <f>IF(AND('11 Mic'!D11&gt;Tmin, NOT('11 Mic'!$I11="")),'11 Mic'!$I11,0)</f>
        <v>0</v>
      </c>
      <c r="AC11">
        <f>IF(AND('11 Mic'!E11&gt;Tmin, NOT('11 Mic'!$I11="")),'11 Mic'!$I11,0)</f>
        <v>0</v>
      </c>
      <c r="AD11">
        <f>IF(AND('11 Mic'!F11&gt;Tmin, NOT('11 Mic'!$I11="")),'11 Mic'!$I11,0)</f>
        <v>0</v>
      </c>
      <c r="AE11">
        <f>IF(AND('11 Mic'!C11&lt;Tmax, NOT('11 Mic'!$H11="")),'11 Mic'!$H11,4)</f>
        <v>3</v>
      </c>
      <c r="AF11">
        <f>IF(AND('11 Mic'!D11&lt;Tmax, NOT('11 Mic'!$H11="")),'11 Mic'!$H11,4)</f>
        <v>3</v>
      </c>
      <c r="AG11">
        <f>IF(AND('11 Mic'!E11&lt;Tmax, NOT('11 Mic'!$H11="")),'11 Mic'!$H11,4)</f>
        <v>3</v>
      </c>
      <c r="AH11">
        <f>IF(AND('11 Mic'!F11&lt;Tmax, NOT('11 Mic'!$H11="")),'11 Mic'!$H11,4)</f>
        <v>3</v>
      </c>
      <c r="AI11"/>
    </row>
    <row r="12" spans="1:35" outlineLevel="1" x14ac:dyDescent="0.2">
      <c r="A12" s="677" t="s">
        <v>3229</v>
      </c>
      <c r="B12" s="678" t="s">
        <v>4550</v>
      </c>
      <c r="C12" s="642"/>
      <c r="D12" s="1153"/>
      <c r="E12" s="1153"/>
      <c r="F12" s="635"/>
      <c r="G12" s="1517"/>
      <c r="H12" s="1517"/>
      <c r="I12" s="1517"/>
      <c r="J12" s="1517"/>
      <c r="K12" s="1518"/>
      <c r="L12" s="1518"/>
      <c r="M12" s="635"/>
      <c r="AA12"/>
      <c r="AB12"/>
      <c r="AC12"/>
      <c r="AD12"/>
      <c r="AE12"/>
      <c r="AF12"/>
      <c r="AG12"/>
      <c r="AH12"/>
      <c r="AI12"/>
    </row>
    <row r="13" spans="1:35" ht="22.5" outlineLevel="2" x14ac:dyDescent="0.2">
      <c r="A13" s="601" t="s">
        <v>1402</v>
      </c>
      <c r="B13" s="601" t="s">
        <v>5127</v>
      </c>
      <c r="C13" s="642"/>
      <c r="D13" s="1153"/>
      <c r="E13" s="1153"/>
      <c r="F13" s="635"/>
      <c r="G13" s="1517">
        <v>4</v>
      </c>
      <c r="H13" s="1517"/>
      <c r="I13" s="1517"/>
      <c r="J13" s="1517" t="s">
        <v>1592</v>
      </c>
      <c r="K13" s="1518"/>
      <c r="L13" s="1518"/>
      <c r="M13" s="635"/>
      <c r="AA13">
        <f>IF(AND('11 Mic'!C13&gt;Tmin, NOT('11 Mic'!$I13="")),'11 Mic'!$I13,0)</f>
        <v>0</v>
      </c>
      <c r="AB13">
        <f>IF(AND('11 Mic'!D13&gt;Tmin, NOT('11 Mic'!$I13="")),'11 Mic'!$I13,0)</f>
        <v>0</v>
      </c>
      <c r="AC13">
        <f>IF(AND('11 Mic'!E13&gt;Tmin, NOT('11 Mic'!$I13="")),'11 Mic'!$I13,0)</f>
        <v>0</v>
      </c>
      <c r="AD13">
        <f>IF(AND('11 Mic'!F13&gt;Tmin, NOT('11 Mic'!$I13="")),'11 Mic'!$I13,0)</f>
        <v>0</v>
      </c>
      <c r="AE13">
        <f>IF(AND('11 Mic'!C13&lt;Tmax, NOT('11 Mic'!$H13="")),'11 Mic'!$H13,4)</f>
        <v>4</v>
      </c>
      <c r="AF13">
        <f>IF(AND('11 Mic'!D13&lt;Tmax, NOT('11 Mic'!$H13="")),'11 Mic'!$H13,4)</f>
        <v>4</v>
      </c>
      <c r="AG13">
        <f>IF(AND('11 Mic'!E13&lt;Tmax, NOT('11 Mic'!$H13="")),'11 Mic'!$H13,4)</f>
        <v>4</v>
      </c>
      <c r="AH13">
        <f>IF(AND('11 Mic'!F13&lt;Tmax, NOT('11 Mic'!$H13="")),'11 Mic'!$H13,4)</f>
        <v>4</v>
      </c>
      <c r="AI13"/>
    </row>
    <row r="14" spans="1:35" ht="22.5" outlineLevel="2" x14ac:dyDescent="0.2">
      <c r="A14" s="601" t="s">
        <v>2320</v>
      </c>
      <c r="B14" s="601" t="s">
        <v>5128</v>
      </c>
      <c r="C14" s="642"/>
      <c r="D14" s="1153"/>
      <c r="E14" s="1153"/>
      <c r="F14" s="635"/>
      <c r="G14" s="1517">
        <v>4</v>
      </c>
      <c r="H14" s="1517"/>
      <c r="I14" s="1517"/>
      <c r="J14" s="1517" t="s">
        <v>1592</v>
      </c>
      <c r="K14" s="1518"/>
      <c r="L14" s="1518"/>
      <c r="M14" s="635"/>
      <c r="AA14">
        <f>IF(AND('11 Mic'!C14&gt;Tmin, NOT('11 Mic'!$I14="")),'11 Mic'!$I14,0)</f>
        <v>0</v>
      </c>
      <c r="AB14">
        <f>IF(AND('11 Mic'!D14&gt;Tmin, NOT('11 Mic'!$I14="")),'11 Mic'!$I14,0)</f>
        <v>0</v>
      </c>
      <c r="AC14">
        <f>IF(AND('11 Mic'!E14&gt;Tmin, NOT('11 Mic'!$I14="")),'11 Mic'!$I14,0)</f>
        <v>0</v>
      </c>
      <c r="AD14">
        <f>IF(AND('11 Mic'!F14&gt;Tmin, NOT('11 Mic'!$I14="")),'11 Mic'!$I14,0)</f>
        <v>0</v>
      </c>
      <c r="AE14">
        <f>IF(AND('11 Mic'!C14&lt;Tmax, NOT('11 Mic'!$H14="")),'11 Mic'!$H14,4)</f>
        <v>4</v>
      </c>
      <c r="AF14">
        <f>IF(AND('11 Mic'!D14&lt;Tmax, NOT('11 Mic'!$H14="")),'11 Mic'!$H14,4)</f>
        <v>4</v>
      </c>
      <c r="AG14">
        <f>IF(AND('11 Mic'!E14&lt;Tmax, NOT('11 Mic'!$H14="")),'11 Mic'!$H14,4)</f>
        <v>4</v>
      </c>
      <c r="AH14">
        <f>IF(AND('11 Mic'!F14&lt;Tmax, NOT('11 Mic'!$H14="")),'11 Mic'!$H14,4)</f>
        <v>4</v>
      </c>
      <c r="AI14"/>
    </row>
    <row r="15" spans="1:35" ht="26.25" customHeight="1" outlineLevel="2" x14ac:dyDescent="0.2">
      <c r="A15" s="601" t="s">
        <v>2138</v>
      </c>
      <c r="B15" s="601" t="s">
        <v>2668</v>
      </c>
      <c r="C15" s="642"/>
      <c r="D15" s="1153"/>
      <c r="E15" s="1153"/>
      <c r="F15" s="635"/>
      <c r="G15" s="1517">
        <v>2</v>
      </c>
      <c r="H15" s="1517"/>
      <c r="I15" s="1517"/>
      <c r="J15" s="1517" t="s">
        <v>2107</v>
      </c>
      <c r="K15" s="1518"/>
      <c r="L15" s="1518"/>
      <c r="M15" s="635"/>
      <c r="AA15">
        <f>IF(AND('11 Mic'!C15&gt;Tmin, NOT('11 Mic'!$I15="")),'11 Mic'!$I15,0)</f>
        <v>0</v>
      </c>
      <c r="AB15">
        <f>IF(AND('11 Mic'!D15&gt;Tmin, NOT('11 Mic'!$I15="")),'11 Mic'!$I15,0)</f>
        <v>0</v>
      </c>
      <c r="AC15">
        <f>IF(AND('11 Mic'!E15&gt;Tmin, NOT('11 Mic'!$I15="")),'11 Mic'!$I15,0)</f>
        <v>0</v>
      </c>
      <c r="AD15">
        <f>IF(AND('11 Mic'!F15&gt;Tmin, NOT('11 Mic'!$I15="")),'11 Mic'!$I15,0)</f>
        <v>0</v>
      </c>
      <c r="AE15">
        <f>IF(AND('11 Mic'!C15&lt;Tmax, NOT('11 Mic'!$H15="")),'11 Mic'!$H15,4)</f>
        <v>4</v>
      </c>
      <c r="AF15">
        <f>IF(AND('11 Mic'!D15&lt;Tmax, NOT('11 Mic'!$H15="")),'11 Mic'!$H15,4)</f>
        <v>4</v>
      </c>
      <c r="AG15">
        <f>IF(AND('11 Mic'!E15&lt;Tmax, NOT('11 Mic'!$H15="")),'11 Mic'!$H15,4)</f>
        <v>4</v>
      </c>
      <c r="AH15">
        <f>IF(AND('11 Mic'!F15&lt;Tmax, NOT('11 Mic'!$H15="")),'11 Mic'!$H15,4)</f>
        <v>4</v>
      </c>
      <c r="AI15"/>
    </row>
    <row r="16" spans="1:35" ht="22.5" outlineLevel="2" x14ac:dyDescent="0.2">
      <c r="A16" s="601" t="s">
        <v>2087</v>
      </c>
      <c r="B16" s="601" t="s">
        <v>2669</v>
      </c>
      <c r="C16" s="642"/>
      <c r="D16" s="1153"/>
      <c r="E16" s="1153"/>
      <c r="F16" s="635"/>
      <c r="G16" s="1517">
        <v>4</v>
      </c>
      <c r="H16" s="1517"/>
      <c r="I16" s="1517"/>
      <c r="J16" s="1517" t="s">
        <v>1592</v>
      </c>
      <c r="K16" s="1518"/>
      <c r="L16" s="1518"/>
      <c r="M16" s="635"/>
      <c r="AA16">
        <f>IF(AND('11 Mic'!C16&gt;Tmin, NOT('11 Mic'!$I16="")),'11 Mic'!$I16,0)</f>
        <v>0</v>
      </c>
      <c r="AB16">
        <f>IF(AND('11 Mic'!D16&gt;Tmin, NOT('11 Mic'!$I16="")),'11 Mic'!$I16,0)</f>
        <v>0</v>
      </c>
      <c r="AC16">
        <f>IF(AND('11 Mic'!E16&gt;Tmin, NOT('11 Mic'!$I16="")),'11 Mic'!$I16,0)</f>
        <v>0</v>
      </c>
      <c r="AD16">
        <f>IF(AND('11 Mic'!F16&gt;Tmin, NOT('11 Mic'!$I16="")),'11 Mic'!$I16,0)</f>
        <v>0</v>
      </c>
      <c r="AE16">
        <f>IF(AND('11 Mic'!C16&lt;Tmax, NOT('11 Mic'!$H16="")),'11 Mic'!$H16,4)</f>
        <v>4</v>
      </c>
      <c r="AF16">
        <f>IF(AND('11 Mic'!D16&lt;Tmax, NOT('11 Mic'!$H16="")),'11 Mic'!$H16,4)</f>
        <v>4</v>
      </c>
      <c r="AG16">
        <f>IF(AND('11 Mic'!E16&lt;Tmax, NOT('11 Mic'!$H16="")),'11 Mic'!$H16,4)</f>
        <v>4</v>
      </c>
      <c r="AH16">
        <f>IF(AND('11 Mic'!F16&lt;Tmax, NOT('11 Mic'!$H16="")),'11 Mic'!$H16,4)</f>
        <v>4</v>
      </c>
      <c r="AI16"/>
    </row>
    <row r="17" spans="1:35" ht="22.5" outlineLevel="2" x14ac:dyDescent="0.2">
      <c r="A17" s="601" t="s">
        <v>2088</v>
      </c>
      <c r="B17" s="601" t="s">
        <v>1786</v>
      </c>
      <c r="C17" s="642"/>
      <c r="D17" s="1153"/>
      <c r="E17" s="1153"/>
      <c r="F17" s="635"/>
      <c r="G17" s="1517">
        <v>4</v>
      </c>
      <c r="H17" s="1517">
        <v>2</v>
      </c>
      <c r="I17" s="1517"/>
      <c r="J17" s="1517" t="s">
        <v>2329</v>
      </c>
      <c r="K17" s="1458" t="s">
        <v>7068</v>
      </c>
      <c r="L17" s="1518" t="s">
        <v>4425</v>
      </c>
      <c r="M17" s="635"/>
      <c r="AA17">
        <f>IF(AND('11 Mic'!C17&gt;Tmin, NOT('11 Mic'!$I17="")),'11 Mic'!$I17,0)</f>
        <v>0</v>
      </c>
      <c r="AB17">
        <f>IF(AND('11 Mic'!D17&gt;Tmin, NOT('11 Mic'!$I17="")),'11 Mic'!$I17,0)</f>
        <v>0</v>
      </c>
      <c r="AC17">
        <f>IF(AND('11 Mic'!E17&gt;Tmin, NOT('11 Mic'!$I17="")),'11 Mic'!$I17,0)</f>
        <v>0</v>
      </c>
      <c r="AD17">
        <f>IF(AND('11 Mic'!F17&gt;Tmin, NOT('11 Mic'!$I17="")),'11 Mic'!$I17,0)</f>
        <v>0</v>
      </c>
      <c r="AE17">
        <f>IF(AND('11 Mic'!C17&lt;Tmax, NOT('11 Mic'!$H17="")),'11 Mic'!$H17,4)</f>
        <v>2</v>
      </c>
      <c r="AF17">
        <f>IF(AND('11 Mic'!D17&lt;Tmax, NOT('11 Mic'!$H17="")),'11 Mic'!$H17,4)</f>
        <v>2</v>
      </c>
      <c r="AG17">
        <f>IF(AND('11 Mic'!E17&lt;Tmax, NOT('11 Mic'!$H17="")),'11 Mic'!$H17,4)</f>
        <v>2</v>
      </c>
      <c r="AH17">
        <f>IF(AND('11 Mic'!F17&lt;Tmax, NOT('11 Mic'!$H17="")),'11 Mic'!$H17,4)</f>
        <v>2</v>
      </c>
      <c r="AI17"/>
    </row>
    <row r="18" spans="1:35" ht="22.5" outlineLevel="2" x14ac:dyDescent="0.2">
      <c r="A18" s="601" t="s">
        <v>2089</v>
      </c>
      <c r="B18" s="601" t="s">
        <v>5081</v>
      </c>
      <c r="C18" s="642"/>
      <c r="D18" s="1153"/>
      <c r="E18" s="1153"/>
      <c r="F18" s="635"/>
      <c r="G18" s="1517">
        <v>4</v>
      </c>
      <c r="H18" s="1517">
        <v>2</v>
      </c>
      <c r="I18" s="1517"/>
      <c r="J18" s="1517" t="s">
        <v>2329</v>
      </c>
      <c r="K18" s="1458" t="s">
        <v>7068</v>
      </c>
      <c r="L18" s="1518" t="s">
        <v>4425</v>
      </c>
      <c r="M18" s="635"/>
      <c r="AA18">
        <f>IF(AND('11 Mic'!C18&gt;Tmin, NOT('11 Mic'!$I18="")),'11 Mic'!$I18,0)</f>
        <v>0</v>
      </c>
      <c r="AB18">
        <f>IF(AND('11 Mic'!D18&gt;Tmin, NOT('11 Mic'!$I18="")),'11 Mic'!$I18,0)</f>
        <v>0</v>
      </c>
      <c r="AC18">
        <f>IF(AND('11 Mic'!E18&gt;Tmin, NOT('11 Mic'!$I18="")),'11 Mic'!$I18,0)</f>
        <v>0</v>
      </c>
      <c r="AD18">
        <f>IF(AND('11 Mic'!F18&gt;Tmin, NOT('11 Mic'!$I18="")),'11 Mic'!$I18,0)</f>
        <v>0</v>
      </c>
      <c r="AE18">
        <f>IF(AND('11 Mic'!C18&lt;Tmax, NOT('11 Mic'!$H18="")),'11 Mic'!$H18,4)</f>
        <v>2</v>
      </c>
      <c r="AF18">
        <f>IF(AND('11 Mic'!D18&lt;Tmax, NOT('11 Mic'!$H18="")),'11 Mic'!$H18,4)</f>
        <v>2</v>
      </c>
      <c r="AG18">
        <f>IF(AND('11 Mic'!E18&lt;Tmax, NOT('11 Mic'!$H18="")),'11 Mic'!$H18,4)</f>
        <v>2</v>
      </c>
      <c r="AH18">
        <f>IF(AND('11 Mic'!F18&lt;Tmax, NOT('11 Mic'!$H18="")),'11 Mic'!$H18,4)</f>
        <v>2</v>
      </c>
      <c r="AI18"/>
    </row>
    <row r="19" spans="1:35" outlineLevel="2" x14ac:dyDescent="0.2">
      <c r="A19" s="601" t="s">
        <v>2092</v>
      </c>
      <c r="B19" s="601" t="s">
        <v>1787</v>
      </c>
      <c r="C19" s="642"/>
      <c r="D19" s="1153"/>
      <c r="E19" s="1153"/>
      <c r="F19" s="635"/>
      <c r="G19" s="1517">
        <v>4</v>
      </c>
      <c r="H19" s="1517">
        <v>3</v>
      </c>
      <c r="I19" s="1517"/>
      <c r="J19" s="1517" t="s">
        <v>2329</v>
      </c>
      <c r="K19" s="1518"/>
      <c r="L19" s="1518"/>
      <c r="M19" s="635"/>
      <c r="AA19">
        <f>IF(AND('11 Mic'!C19&gt;Tmin, NOT('11 Mic'!$I19="")),'11 Mic'!$I19,0)</f>
        <v>0</v>
      </c>
      <c r="AB19">
        <f>IF(AND('11 Mic'!D19&gt;Tmin, NOT('11 Mic'!$I19="")),'11 Mic'!$I19,0)</f>
        <v>0</v>
      </c>
      <c r="AC19">
        <f>IF(AND('11 Mic'!E19&gt;Tmin, NOT('11 Mic'!$I19="")),'11 Mic'!$I19,0)</f>
        <v>0</v>
      </c>
      <c r="AD19">
        <f>IF(AND('11 Mic'!F19&gt;Tmin, NOT('11 Mic'!$I19="")),'11 Mic'!$I19,0)</f>
        <v>0</v>
      </c>
      <c r="AE19">
        <f>IF(AND('11 Mic'!C19&lt;Tmax, NOT('11 Mic'!$H19="")),'11 Mic'!$H19,4)</f>
        <v>3</v>
      </c>
      <c r="AF19">
        <f>IF(AND('11 Mic'!D19&lt;Tmax, NOT('11 Mic'!$H19="")),'11 Mic'!$H19,4)</f>
        <v>3</v>
      </c>
      <c r="AG19">
        <f>IF(AND('11 Mic'!E19&lt;Tmax, NOT('11 Mic'!$H19="")),'11 Mic'!$H19,4)</f>
        <v>3</v>
      </c>
      <c r="AH19">
        <f>IF(AND('11 Mic'!F19&lt;Tmax, NOT('11 Mic'!$H19="")),'11 Mic'!$H19,4)</f>
        <v>3</v>
      </c>
      <c r="AI19"/>
    </row>
    <row r="20" spans="1:35" ht="22.5" outlineLevel="2" x14ac:dyDescent="0.2">
      <c r="A20" s="601" t="s">
        <v>1200</v>
      </c>
      <c r="B20" s="601" t="s">
        <v>2707</v>
      </c>
      <c r="C20" s="642"/>
      <c r="D20" s="1153"/>
      <c r="E20" s="1153"/>
      <c r="F20" s="635"/>
      <c r="G20" s="1517">
        <v>2</v>
      </c>
      <c r="H20" s="1517">
        <v>3</v>
      </c>
      <c r="I20" s="1517"/>
      <c r="J20" s="1517" t="s">
        <v>2329</v>
      </c>
      <c r="K20" s="1518"/>
      <c r="L20" s="1518"/>
      <c r="M20" s="635"/>
      <c r="AA20">
        <f>IF(AND('11 Mic'!C20&gt;Tmin, NOT('11 Mic'!$I20="")),'11 Mic'!$I20,0)</f>
        <v>0</v>
      </c>
      <c r="AB20">
        <f>IF(AND('11 Mic'!D20&gt;Tmin, NOT('11 Mic'!$I20="")),'11 Mic'!$I20,0)</f>
        <v>0</v>
      </c>
      <c r="AC20">
        <f>IF(AND('11 Mic'!E20&gt;Tmin, NOT('11 Mic'!$I20="")),'11 Mic'!$I20,0)</f>
        <v>0</v>
      </c>
      <c r="AD20">
        <f>IF(AND('11 Mic'!F20&gt;Tmin, NOT('11 Mic'!$I20="")),'11 Mic'!$I20,0)</f>
        <v>0</v>
      </c>
      <c r="AE20">
        <f>IF(AND('11 Mic'!C20&lt;Tmax, NOT('11 Mic'!$H20="")),'11 Mic'!$H20,4)</f>
        <v>3</v>
      </c>
      <c r="AF20">
        <f>IF(AND('11 Mic'!D20&lt;Tmax, NOT('11 Mic'!$H20="")),'11 Mic'!$H20,4)</f>
        <v>3</v>
      </c>
      <c r="AG20">
        <f>IF(AND('11 Mic'!E20&lt;Tmax, NOT('11 Mic'!$H20="")),'11 Mic'!$H20,4)</f>
        <v>3</v>
      </c>
      <c r="AH20">
        <f>IF(AND('11 Mic'!F20&lt;Tmax, NOT('11 Mic'!$H20="")),'11 Mic'!$H20,4)</f>
        <v>3</v>
      </c>
      <c r="AI20"/>
    </row>
    <row r="21" spans="1:35" outlineLevel="2" x14ac:dyDescent="0.2">
      <c r="A21" s="601" t="s">
        <v>1201</v>
      </c>
      <c r="B21" s="601" t="s">
        <v>2708</v>
      </c>
      <c r="C21" s="642"/>
      <c r="D21" s="1153"/>
      <c r="E21" s="1153"/>
      <c r="F21" s="635"/>
      <c r="G21" s="1517">
        <v>4</v>
      </c>
      <c r="H21" s="1517"/>
      <c r="I21" s="1517"/>
      <c r="J21" s="1517" t="s">
        <v>2109</v>
      </c>
      <c r="K21" s="1518"/>
      <c r="L21" s="1518"/>
      <c r="M21" s="635"/>
      <c r="AA21">
        <f>IF(AND('11 Mic'!C21&gt;Tmin, NOT('11 Mic'!$I21="")),'11 Mic'!$I21,0)</f>
        <v>0</v>
      </c>
      <c r="AB21">
        <f>IF(AND('11 Mic'!D21&gt;Tmin, NOT('11 Mic'!$I21="")),'11 Mic'!$I21,0)</f>
        <v>0</v>
      </c>
      <c r="AC21">
        <f>IF(AND('11 Mic'!E21&gt;Tmin, NOT('11 Mic'!$I21="")),'11 Mic'!$I21,0)</f>
        <v>0</v>
      </c>
      <c r="AD21">
        <f>IF(AND('11 Mic'!F21&gt;Tmin, NOT('11 Mic'!$I21="")),'11 Mic'!$I21,0)</f>
        <v>0</v>
      </c>
      <c r="AE21">
        <f>IF(AND('11 Mic'!C21&lt;Tmax, NOT('11 Mic'!$H21="")),'11 Mic'!$H21,4)</f>
        <v>4</v>
      </c>
      <c r="AF21">
        <f>IF(AND('11 Mic'!D21&lt;Tmax, NOT('11 Mic'!$H21="")),'11 Mic'!$H21,4)</f>
        <v>4</v>
      </c>
      <c r="AG21">
        <f>IF(AND('11 Mic'!E21&lt;Tmax, NOT('11 Mic'!$H21="")),'11 Mic'!$H21,4)</f>
        <v>4</v>
      </c>
      <c r="AH21">
        <f>IF(AND('11 Mic'!F21&lt;Tmax, NOT('11 Mic'!$H21="")),'11 Mic'!$H21,4)</f>
        <v>4</v>
      </c>
      <c r="AI21"/>
    </row>
    <row r="22" spans="1:35" outlineLevel="1" x14ac:dyDescent="0.2">
      <c r="A22" s="677" t="s">
        <v>3231</v>
      </c>
      <c r="B22" s="678" t="s">
        <v>5744</v>
      </c>
      <c r="C22" s="642"/>
      <c r="D22" s="635"/>
      <c r="E22" s="635"/>
      <c r="F22" s="635"/>
      <c r="G22" s="1517"/>
      <c r="H22" s="1517"/>
      <c r="I22" s="1517"/>
      <c r="J22" s="1519"/>
      <c r="K22" s="1520"/>
      <c r="L22" s="1518"/>
      <c r="M22" s="635"/>
      <c r="AA22"/>
      <c r="AB22"/>
      <c r="AC22"/>
      <c r="AD22"/>
      <c r="AE22"/>
      <c r="AF22"/>
      <c r="AG22"/>
      <c r="AH22"/>
      <c r="AI22"/>
    </row>
    <row r="23" spans="1:35" ht="22.5" outlineLevel="2" x14ac:dyDescent="0.2">
      <c r="A23" s="601" t="s">
        <v>2096</v>
      </c>
      <c r="B23" s="601" t="s">
        <v>3940</v>
      </c>
      <c r="C23" s="642"/>
      <c r="D23" s="635"/>
      <c r="E23" s="635"/>
      <c r="F23" s="635"/>
      <c r="G23" s="1517">
        <v>4</v>
      </c>
      <c r="H23" s="1517"/>
      <c r="I23" s="1517"/>
      <c r="J23" s="1517" t="s">
        <v>4246</v>
      </c>
      <c r="K23" s="1518" t="s">
        <v>7058</v>
      </c>
      <c r="L23" s="1518" t="s">
        <v>3941</v>
      </c>
      <c r="M23" s="635"/>
      <c r="AA23">
        <f>IF(AND('11 Mic'!C23&gt;Tmin, NOT('11 Mic'!$I23="")),'11 Mic'!$I23,0)</f>
        <v>0</v>
      </c>
      <c r="AB23">
        <f>IF(AND('11 Mic'!D23&gt;Tmin, NOT('11 Mic'!$I23="")),'11 Mic'!$I23,0)</f>
        <v>0</v>
      </c>
      <c r="AC23">
        <f>IF(AND('11 Mic'!E23&gt;Tmin, NOT('11 Mic'!$I23="")),'11 Mic'!$I23,0)</f>
        <v>0</v>
      </c>
      <c r="AD23">
        <f>IF(AND('11 Mic'!F23&gt;Tmin, NOT('11 Mic'!$I23="")),'11 Mic'!$I23,0)</f>
        <v>0</v>
      </c>
      <c r="AE23">
        <f>IF(AND('11 Mic'!C23&lt;Tmax, NOT('11 Mic'!$H23="")),'11 Mic'!$H23,4)</f>
        <v>4</v>
      </c>
      <c r="AF23">
        <f>IF(AND('11 Mic'!D23&lt;Tmax, NOT('11 Mic'!$H23="")),'11 Mic'!$H23,4)</f>
        <v>4</v>
      </c>
      <c r="AG23">
        <f>IF(AND('11 Mic'!E23&lt;Tmax, NOT('11 Mic'!$H23="")),'11 Mic'!$H23,4)</f>
        <v>4</v>
      </c>
      <c r="AH23">
        <f>IF(AND('11 Mic'!F23&lt;Tmax, NOT('11 Mic'!$H23="")),'11 Mic'!$H23,4)</f>
        <v>4</v>
      </c>
      <c r="AI23"/>
    </row>
    <row r="24" spans="1:35" outlineLevel="2" x14ac:dyDescent="0.2">
      <c r="A24" s="601" t="s">
        <v>2097</v>
      </c>
      <c r="B24" s="601" t="s">
        <v>5642</v>
      </c>
      <c r="C24" s="642"/>
      <c r="D24" s="635"/>
      <c r="E24" s="635"/>
      <c r="F24" s="635"/>
      <c r="G24" s="1517">
        <v>2</v>
      </c>
      <c r="H24" s="1517"/>
      <c r="I24" s="1517"/>
      <c r="J24" s="1517" t="s">
        <v>1592</v>
      </c>
      <c r="K24" s="1518" t="s">
        <v>7058</v>
      </c>
      <c r="L24" s="1518" t="s">
        <v>3941</v>
      </c>
      <c r="M24" s="635"/>
      <c r="AA24">
        <f>IF(AND('11 Mic'!C24&gt;Tmin, NOT('11 Mic'!$I24="")),'11 Mic'!$I24,0)</f>
        <v>0</v>
      </c>
      <c r="AB24">
        <f>IF(AND('11 Mic'!D24&gt;Tmin, NOT('11 Mic'!$I24="")),'11 Mic'!$I24,0)</f>
        <v>0</v>
      </c>
      <c r="AC24">
        <f>IF(AND('11 Mic'!E24&gt;Tmin, NOT('11 Mic'!$I24="")),'11 Mic'!$I24,0)</f>
        <v>0</v>
      </c>
      <c r="AD24">
        <f>IF(AND('11 Mic'!F24&gt;Tmin, NOT('11 Mic'!$I24="")),'11 Mic'!$I24,0)</f>
        <v>0</v>
      </c>
      <c r="AE24">
        <f>IF(AND('11 Mic'!C24&lt;Tmax, NOT('11 Mic'!$H24="")),'11 Mic'!$H24,4)</f>
        <v>4</v>
      </c>
      <c r="AF24">
        <f>IF(AND('11 Mic'!D24&lt;Tmax, NOT('11 Mic'!$H24="")),'11 Mic'!$H24,4)</f>
        <v>4</v>
      </c>
      <c r="AG24">
        <f>IF(AND('11 Mic'!E24&lt;Tmax, NOT('11 Mic'!$H24="")),'11 Mic'!$H24,4)</f>
        <v>4</v>
      </c>
      <c r="AH24">
        <f>IF(AND('11 Mic'!F24&lt;Tmax, NOT('11 Mic'!$H24="")),'11 Mic'!$H24,4)</f>
        <v>4</v>
      </c>
      <c r="AI24"/>
    </row>
    <row r="25" spans="1:35" ht="22.5" outlineLevel="2" x14ac:dyDescent="0.2">
      <c r="A25" s="601" t="s">
        <v>2098</v>
      </c>
      <c r="B25" s="601" t="s">
        <v>4917</v>
      </c>
      <c r="C25" s="642"/>
      <c r="D25" s="635"/>
      <c r="E25" s="635"/>
      <c r="F25" s="635"/>
      <c r="G25" s="1517">
        <v>4</v>
      </c>
      <c r="H25" s="1517">
        <v>2</v>
      </c>
      <c r="I25" s="1517"/>
      <c r="J25" s="1517" t="s">
        <v>1592</v>
      </c>
      <c r="K25" s="1518" t="s">
        <v>7058</v>
      </c>
      <c r="L25" s="1518" t="s">
        <v>3941</v>
      </c>
      <c r="M25" s="635"/>
      <c r="AA25">
        <f>IF(AND('11 Mic'!C25&gt;Tmin, NOT('11 Mic'!$I25="")),'11 Mic'!$I25,0)</f>
        <v>0</v>
      </c>
      <c r="AB25">
        <f>IF(AND('11 Mic'!D25&gt;Tmin, NOT('11 Mic'!$I25="")),'11 Mic'!$I25,0)</f>
        <v>0</v>
      </c>
      <c r="AC25">
        <f>IF(AND('11 Mic'!E25&gt;Tmin, NOT('11 Mic'!$I25="")),'11 Mic'!$I25,0)</f>
        <v>0</v>
      </c>
      <c r="AD25">
        <f>IF(AND('11 Mic'!F25&gt;Tmin, NOT('11 Mic'!$I25="")),'11 Mic'!$I25,0)</f>
        <v>0</v>
      </c>
      <c r="AE25">
        <f>IF(AND('11 Mic'!C25&lt;Tmax, NOT('11 Mic'!$H25="")),'11 Mic'!$H25,4)</f>
        <v>2</v>
      </c>
      <c r="AF25">
        <f>IF(AND('11 Mic'!D25&lt;Tmax, NOT('11 Mic'!$H25="")),'11 Mic'!$H25,4)</f>
        <v>2</v>
      </c>
      <c r="AG25">
        <f>IF(AND('11 Mic'!E25&lt;Tmax, NOT('11 Mic'!$H25="")),'11 Mic'!$H25,4)</f>
        <v>2</v>
      </c>
      <c r="AH25">
        <f>IF(AND('11 Mic'!F25&lt;Tmax, NOT('11 Mic'!$H25="")),'11 Mic'!$H25,4)</f>
        <v>2</v>
      </c>
      <c r="AI25"/>
    </row>
    <row r="26" spans="1:35" outlineLevel="2" x14ac:dyDescent="0.2">
      <c r="A26" s="601" t="s">
        <v>2099</v>
      </c>
      <c r="B26" s="601" t="s">
        <v>1632</v>
      </c>
      <c r="C26" s="642"/>
      <c r="D26" s="635"/>
      <c r="E26" s="635"/>
      <c r="F26" s="635"/>
      <c r="G26" s="1517">
        <v>2</v>
      </c>
      <c r="H26" s="1517"/>
      <c r="I26" s="1517">
        <v>3</v>
      </c>
      <c r="J26" s="1517" t="s">
        <v>2329</v>
      </c>
      <c r="K26" s="1518"/>
      <c r="L26" s="1518"/>
      <c r="M26" s="638"/>
      <c r="AA26">
        <f>IF(AND('11 Mic'!C26&gt;Tmin, NOT('11 Mic'!$I26="")),'11 Mic'!$I26,0)</f>
        <v>0</v>
      </c>
      <c r="AB26">
        <f>IF(AND('11 Mic'!D26&gt;Tmin, NOT('11 Mic'!$I26="")),'11 Mic'!$I26,0)</f>
        <v>0</v>
      </c>
      <c r="AC26">
        <f>IF(AND('11 Mic'!E26&gt;Tmin, NOT('11 Mic'!$I26="")),'11 Mic'!$I26,0)</f>
        <v>0</v>
      </c>
      <c r="AD26">
        <f>IF(AND('11 Mic'!F26&gt;Tmin, NOT('11 Mic'!$I26="")),'11 Mic'!$I26,0)</f>
        <v>0</v>
      </c>
      <c r="AE26">
        <f>IF(AND('11 Mic'!C26&lt;Tmax, NOT('11 Mic'!$H26="")),'11 Mic'!$H26,4)</f>
        <v>4</v>
      </c>
      <c r="AF26">
        <f>IF(AND('11 Mic'!D26&lt;Tmax, NOT('11 Mic'!$H26="")),'11 Mic'!$H26,4)</f>
        <v>4</v>
      </c>
      <c r="AG26">
        <f>IF(AND('11 Mic'!E26&lt;Tmax, NOT('11 Mic'!$H26="")),'11 Mic'!$H26,4)</f>
        <v>4</v>
      </c>
      <c r="AH26">
        <f>IF(AND('11 Mic'!F26&lt;Tmax, NOT('11 Mic'!$H26="")),'11 Mic'!$H26,4)</f>
        <v>4</v>
      </c>
      <c r="AI26"/>
    </row>
    <row r="27" spans="1:35" outlineLevel="2" x14ac:dyDescent="0.2">
      <c r="A27" s="601" t="s">
        <v>2100</v>
      </c>
      <c r="B27" s="601" t="s">
        <v>4848</v>
      </c>
      <c r="C27" s="642"/>
      <c r="D27" s="635"/>
      <c r="E27" s="635"/>
      <c r="F27" s="635"/>
      <c r="G27" s="1517">
        <v>2</v>
      </c>
      <c r="H27" s="1517"/>
      <c r="I27" s="1517">
        <v>3</v>
      </c>
      <c r="J27" s="1517" t="s">
        <v>2109</v>
      </c>
      <c r="K27" s="1518"/>
      <c r="L27" s="1518"/>
      <c r="M27" s="638"/>
      <c r="AA27">
        <f>IF(AND('11 Mic'!C27&gt;Tmin, NOT('11 Mic'!$I27="")),'11 Mic'!$I27,0)</f>
        <v>0</v>
      </c>
      <c r="AB27">
        <f>IF(AND('11 Mic'!D27&gt;Tmin, NOT('11 Mic'!$I27="")),'11 Mic'!$I27,0)</f>
        <v>0</v>
      </c>
      <c r="AC27">
        <f>IF(AND('11 Mic'!E27&gt;Tmin, NOT('11 Mic'!$I27="")),'11 Mic'!$I27,0)</f>
        <v>0</v>
      </c>
      <c r="AD27">
        <f>IF(AND('11 Mic'!F27&gt;Tmin, NOT('11 Mic'!$I27="")),'11 Mic'!$I27,0)</f>
        <v>0</v>
      </c>
      <c r="AE27">
        <f>IF(AND('11 Mic'!C27&lt;Tmax, NOT('11 Mic'!$H27="")),'11 Mic'!$H27,4)</f>
        <v>4</v>
      </c>
      <c r="AF27">
        <f>IF(AND('11 Mic'!D27&lt;Tmax, NOT('11 Mic'!$H27="")),'11 Mic'!$H27,4)</f>
        <v>4</v>
      </c>
      <c r="AG27">
        <f>IF(AND('11 Mic'!E27&lt;Tmax, NOT('11 Mic'!$H27="")),'11 Mic'!$H27,4)</f>
        <v>4</v>
      </c>
      <c r="AH27">
        <f>IF(AND('11 Mic'!F27&lt;Tmax, NOT('11 Mic'!$H27="")),'11 Mic'!$H27,4)</f>
        <v>4</v>
      </c>
      <c r="AI27"/>
    </row>
    <row r="28" spans="1:35" outlineLevel="1" x14ac:dyDescent="0.2">
      <c r="A28" s="677" t="s">
        <v>2170</v>
      </c>
      <c r="B28" s="678" t="s">
        <v>1316</v>
      </c>
      <c r="C28" s="642"/>
      <c r="D28" s="638"/>
      <c r="E28" s="638"/>
      <c r="F28" s="638"/>
      <c r="G28" s="1517"/>
      <c r="H28" s="1518"/>
      <c r="I28" s="1521"/>
      <c r="J28" s="1522"/>
      <c r="K28" s="1520"/>
      <c r="L28" s="1523"/>
      <c r="M28" s="642"/>
      <c r="AA28"/>
      <c r="AB28"/>
      <c r="AC28"/>
      <c r="AD28"/>
      <c r="AE28"/>
      <c r="AF28"/>
      <c r="AG28"/>
      <c r="AH28"/>
      <c r="AI28"/>
    </row>
    <row r="29" spans="1:35" ht="22.5" outlineLevel="2" x14ac:dyDescent="0.2">
      <c r="A29" s="601" t="s">
        <v>1310</v>
      </c>
      <c r="B29" s="601" t="s">
        <v>5845</v>
      </c>
      <c r="C29" s="642"/>
      <c r="D29" s="598"/>
      <c r="E29" s="638"/>
      <c r="F29" s="638"/>
      <c r="G29" s="1517">
        <v>4</v>
      </c>
      <c r="H29" s="1517">
        <v>2</v>
      </c>
      <c r="I29" s="1517"/>
      <c r="J29" s="1517" t="s">
        <v>4246</v>
      </c>
      <c r="K29" s="1518" t="s">
        <v>2672</v>
      </c>
      <c r="L29" s="1518" t="s">
        <v>1369</v>
      </c>
      <c r="M29" s="635"/>
      <c r="AA29">
        <f>IF(AND('11 Mic'!C29&gt;Tmin, NOT('11 Mic'!$I29="")),'11 Mic'!$I29,0)</f>
        <v>0</v>
      </c>
      <c r="AB29">
        <f>IF(AND('11 Mic'!D29&gt;Tmin, NOT('11 Mic'!$I29="")),'11 Mic'!$I29,0)</f>
        <v>0</v>
      </c>
      <c r="AC29">
        <f>IF(AND('11 Mic'!E29&gt;Tmin, NOT('11 Mic'!$I29="")),'11 Mic'!$I29,0)</f>
        <v>0</v>
      </c>
      <c r="AD29">
        <f>IF(AND('11 Mic'!F29&gt;Tmin, NOT('11 Mic'!$I29="")),'11 Mic'!$I29,0)</f>
        <v>0</v>
      </c>
      <c r="AE29">
        <f>IF(AND('11 Mic'!C29&lt;Tmax, NOT('11 Mic'!$H29="")),'11 Mic'!$H29,4)</f>
        <v>2</v>
      </c>
      <c r="AF29">
        <f>IF(AND('11 Mic'!D29&lt;Tmax, NOT('11 Mic'!$H29="")),'11 Mic'!$H29,4)</f>
        <v>2</v>
      </c>
      <c r="AG29">
        <f>IF(AND('11 Mic'!E29&lt;Tmax, NOT('11 Mic'!$H29="")),'11 Mic'!$H29,4)</f>
        <v>2</v>
      </c>
      <c r="AH29">
        <f>IF(AND('11 Mic'!F29&lt;Tmax, NOT('11 Mic'!$H29="")),'11 Mic'!$H29,4)</f>
        <v>2</v>
      </c>
      <c r="AI29"/>
    </row>
    <row r="30" spans="1:35" ht="22.5" outlineLevel="2" x14ac:dyDescent="0.2">
      <c r="A30" s="601" t="s">
        <v>1311</v>
      </c>
      <c r="B30" s="601" t="s">
        <v>3300</v>
      </c>
      <c r="C30" s="642"/>
      <c r="D30" s="598"/>
      <c r="E30" s="638"/>
      <c r="F30" s="638"/>
      <c r="G30" s="1517">
        <v>2</v>
      </c>
      <c r="H30" s="1517"/>
      <c r="I30" s="1517"/>
      <c r="J30" s="1517" t="s">
        <v>2349</v>
      </c>
      <c r="K30" s="1518"/>
      <c r="L30" s="1518"/>
      <c r="M30" s="635"/>
      <c r="AA30">
        <f>IF(AND('11 Mic'!C30&gt;Tmin, NOT('11 Mic'!$I30="")),'11 Mic'!$I30,0)</f>
        <v>0</v>
      </c>
      <c r="AB30">
        <f>IF(AND('11 Mic'!D30&gt;Tmin, NOT('11 Mic'!$I30="")),'11 Mic'!$I30,0)</f>
        <v>0</v>
      </c>
      <c r="AC30">
        <f>IF(AND('11 Mic'!E30&gt;Tmin, NOT('11 Mic'!$I30="")),'11 Mic'!$I30,0)</f>
        <v>0</v>
      </c>
      <c r="AD30">
        <f>IF(AND('11 Mic'!F30&gt;Tmin, NOT('11 Mic'!$I30="")),'11 Mic'!$I30,0)</f>
        <v>0</v>
      </c>
      <c r="AE30">
        <f>IF(AND('11 Mic'!C30&lt;Tmax, NOT('11 Mic'!$H30="")),'11 Mic'!$H30,4)</f>
        <v>4</v>
      </c>
      <c r="AF30">
        <f>IF(AND('11 Mic'!D30&lt;Tmax, NOT('11 Mic'!$H30="")),'11 Mic'!$H30,4)</f>
        <v>4</v>
      </c>
      <c r="AG30">
        <f>IF(AND('11 Mic'!E30&lt;Tmax, NOT('11 Mic'!$H30="")),'11 Mic'!$H30,4)</f>
        <v>4</v>
      </c>
      <c r="AH30">
        <f>IF(AND('11 Mic'!F30&lt;Tmax, NOT('11 Mic'!$H30="")),'11 Mic'!$H30,4)</f>
        <v>4</v>
      </c>
      <c r="AI30"/>
    </row>
    <row r="31" spans="1:35" ht="11.25" customHeight="1" outlineLevel="2" x14ac:dyDescent="0.2">
      <c r="A31" s="601" t="s">
        <v>1312</v>
      </c>
      <c r="B31" s="601" t="s">
        <v>3302</v>
      </c>
      <c r="C31" s="642"/>
      <c r="D31" s="598"/>
      <c r="E31" s="638"/>
      <c r="F31" s="638"/>
      <c r="G31" s="1517">
        <v>4</v>
      </c>
      <c r="H31" s="1517"/>
      <c r="I31" s="1517"/>
      <c r="J31" s="1517" t="s">
        <v>2107</v>
      </c>
      <c r="K31" s="1518"/>
      <c r="L31" s="1518"/>
      <c r="M31" s="635"/>
      <c r="AA31">
        <f>IF(AND('11 Mic'!C31&gt;Tmin, NOT('11 Mic'!$I31="")),'11 Mic'!$I31,0)</f>
        <v>0</v>
      </c>
      <c r="AB31">
        <f>IF(AND('11 Mic'!D31&gt;Tmin, NOT('11 Mic'!$I31="")),'11 Mic'!$I31,0)</f>
        <v>0</v>
      </c>
      <c r="AC31">
        <f>IF(AND('11 Mic'!E31&gt;Tmin, NOT('11 Mic'!$I31="")),'11 Mic'!$I31,0)</f>
        <v>0</v>
      </c>
      <c r="AD31">
        <f>IF(AND('11 Mic'!F31&gt;Tmin, NOT('11 Mic'!$I31="")),'11 Mic'!$I31,0)</f>
        <v>0</v>
      </c>
      <c r="AE31">
        <f>IF(AND('11 Mic'!C31&lt;Tmax, NOT('11 Mic'!$H31="")),'11 Mic'!$H31,4)</f>
        <v>4</v>
      </c>
      <c r="AF31">
        <f>IF(AND('11 Mic'!D31&lt;Tmax, NOT('11 Mic'!$H31="")),'11 Mic'!$H31,4)</f>
        <v>4</v>
      </c>
      <c r="AG31">
        <f>IF(AND('11 Mic'!E31&lt;Tmax, NOT('11 Mic'!$H31="")),'11 Mic'!$H31,4)</f>
        <v>4</v>
      </c>
      <c r="AH31">
        <f>IF(AND('11 Mic'!F31&lt;Tmax, NOT('11 Mic'!$H31="")),'11 Mic'!$H31,4)</f>
        <v>4</v>
      </c>
      <c r="AI31"/>
    </row>
    <row r="32" spans="1:35" ht="22.5" outlineLevel="2" x14ac:dyDescent="0.2">
      <c r="A32" s="601" t="s">
        <v>1313</v>
      </c>
      <c r="B32" s="601" t="s">
        <v>5846</v>
      </c>
      <c r="C32" s="642"/>
      <c r="D32" s="638"/>
      <c r="E32" s="638"/>
      <c r="F32" s="638"/>
      <c r="G32" s="1517">
        <v>4</v>
      </c>
      <c r="H32" s="1517"/>
      <c r="I32" s="1517"/>
      <c r="J32" s="1517" t="s">
        <v>2107</v>
      </c>
      <c r="K32" s="1518"/>
      <c r="L32" s="1518"/>
      <c r="M32" s="635"/>
      <c r="AA32">
        <f>IF(AND('11 Mic'!C32&gt;Tmin, NOT('11 Mic'!$I32="")),'11 Mic'!$I32,0)</f>
        <v>0</v>
      </c>
      <c r="AB32">
        <f>IF(AND('11 Mic'!D32&gt;Tmin, NOT('11 Mic'!$I32="")),'11 Mic'!$I32,0)</f>
        <v>0</v>
      </c>
      <c r="AC32">
        <f>IF(AND('11 Mic'!E32&gt;Tmin, NOT('11 Mic'!$I32="")),'11 Mic'!$I32,0)</f>
        <v>0</v>
      </c>
      <c r="AD32">
        <f>IF(AND('11 Mic'!F32&gt;Tmin, NOT('11 Mic'!$I32="")),'11 Mic'!$I32,0)</f>
        <v>0</v>
      </c>
      <c r="AE32">
        <f>IF(AND('11 Mic'!C32&lt;Tmax, NOT('11 Mic'!$H32="")),'11 Mic'!$H32,4)</f>
        <v>4</v>
      </c>
      <c r="AF32">
        <f>IF(AND('11 Mic'!D32&lt;Tmax, NOT('11 Mic'!$H32="")),'11 Mic'!$H32,4)</f>
        <v>4</v>
      </c>
      <c r="AG32">
        <f>IF(AND('11 Mic'!E32&lt;Tmax, NOT('11 Mic'!$H32="")),'11 Mic'!$H32,4)</f>
        <v>4</v>
      </c>
      <c r="AH32">
        <f>IF(AND('11 Mic'!F32&lt;Tmax, NOT('11 Mic'!$H32="")),'11 Mic'!$H32,4)</f>
        <v>4</v>
      </c>
      <c r="AI32"/>
    </row>
    <row r="33" spans="1:35" ht="22.5" outlineLevel="2" x14ac:dyDescent="0.2">
      <c r="A33" s="601" t="s">
        <v>1314</v>
      </c>
      <c r="B33" s="601" t="s">
        <v>910</v>
      </c>
      <c r="C33" s="642"/>
      <c r="D33" s="638"/>
      <c r="E33" s="638"/>
      <c r="F33" s="638"/>
      <c r="G33" s="1517">
        <v>4</v>
      </c>
      <c r="H33" s="1517"/>
      <c r="I33" s="1517"/>
      <c r="J33" s="1517" t="s">
        <v>1592</v>
      </c>
      <c r="K33" s="1518"/>
      <c r="L33" s="1518"/>
      <c r="M33" s="635"/>
      <c r="AA33">
        <f>IF(AND('11 Mic'!C33&gt;Tmin, NOT('11 Mic'!$I33="")),'11 Mic'!$I33,0)</f>
        <v>0</v>
      </c>
      <c r="AB33">
        <f>IF(AND('11 Mic'!D33&gt;Tmin, NOT('11 Mic'!$I33="")),'11 Mic'!$I33,0)</f>
        <v>0</v>
      </c>
      <c r="AC33">
        <f>IF(AND('11 Mic'!E33&gt;Tmin, NOT('11 Mic'!$I33="")),'11 Mic'!$I33,0)</f>
        <v>0</v>
      </c>
      <c r="AD33">
        <f>IF(AND('11 Mic'!F33&gt;Tmin, NOT('11 Mic'!$I33="")),'11 Mic'!$I33,0)</f>
        <v>0</v>
      </c>
      <c r="AE33">
        <f>IF(AND('11 Mic'!C33&lt;Tmax, NOT('11 Mic'!$H33="")),'11 Mic'!$H33,4)</f>
        <v>4</v>
      </c>
      <c r="AF33">
        <f>IF(AND('11 Mic'!D33&lt;Tmax, NOT('11 Mic'!$H33="")),'11 Mic'!$H33,4)</f>
        <v>4</v>
      </c>
      <c r="AG33">
        <f>IF(AND('11 Mic'!E33&lt;Tmax, NOT('11 Mic'!$H33="")),'11 Mic'!$H33,4)</f>
        <v>4</v>
      </c>
      <c r="AH33">
        <f>IF(AND('11 Mic'!F33&lt;Tmax, NOT('11 Mic'!$H33="")),'11 Mic'!$H33,4)</f>
        <v>4</v>
      </c>
      <c r="AI33"/>
    </row>
    <row r="34" spans="1:35" outlineLevel="2" x14ac:dyDescent="0.2">
      <c r="A34" s="601" t="s">
        <v>1315</v>
      </c>
      <c r="B34" s="601" t="s">
        <v>2180</v>
      </c>
      <c r="C34" s="642"/>
      <c r="D34" s="638"/>
      <c r="E34" s="638"/>
      <c r="F34" s="638"/>
      <c r="G34" s="1517">
        <v>4</v>
      </c>
      <c r="H34" s="1517"/>
      <c r="I34" s="1517"/>
      <c r="J34" s="1517" t="s">
        <v>2109</v>
      </c>
      <c r="K34" s="1518"/>
      <c r="L34" s="1518"/>
      <c r="M34" s="635"/>
      <c r="AA34">
        <f>IF(AND('11 Mic'!C34&gt;Tmin, NOT('11 Mic'!$I34="")),'11 Mic'!$I34,0)</f>
        <v>0</v>
      </c>
      <c r="AB34">
        <f>IF(AND('11 Mic'!D34&gt;Tmin, NOT('11 Mic'!$I34="")),'11 Mic'!$I34,0)</f>
        <v>0</v>
      </c>
      <c r="AC34">
        <f>IF(AND('11 Mic'!E34&gt;Tmin, NOT('11 Mic'!$I34="")),'11 Mic'!$I34,0)</f>
        <v>0</v>
      </c>
      <c r="AD34">
        <f>IF(AND('11 Mic'!F34&gt;Tmin, NOT('11 Mic'!$I34="")),'11 Mic'!$I34,0)</f>
        <v>0</v>
      </c>
      <c r="AE34">
        <f>IF(AND('11 Mic'!C34&lt;Tmax, NOT('11 Mic'!$H34="")),'11 Mic'!$H34,4)</f>
        <v>4</v>
      </c>
      <c r="AF34">
        <f>IF(AND('11 Mic'!D34&lt;Tmax, NOT('11 Mic'!$H34="")),'11 Mic'!$H34,4)</f>
        <v>4</v>
      </c>
      <c r="AG34">
        <f>IF(AND('11 Mic'!E34&lt;Tmax, NOT('11 Mic'!$H34="")),'11 Mic'!$H34,4)</f>
        <v>4</v>
      </c>
      <c r="AH34">
        <f>IF(AND('11 Mic'!F34&lt;Tmax, NOT('11 Mic'!$H34="")),'11 Mic'!$H34,4)</f>
        <v>4</v>
      </c>
      <c r="AI34"/>
    </row>
    <row r="35" spans="1:35" s="643" customFormat="1" ht="13.5" customHeight="1" outlineLevel="2" x14ac:dyDescent="0.2">
      <c r="A35" s="677" t="s">
        <v>3824</v>
      </c>
      <c r="B35" s="678" t="s">
        <v>6557</v>
      </c>
      <c r="C35" s="642"/>
      <c r="D35" s="593"/>
      <c r="E35" s="593"/>
      <c r="F35" s="593"/>
      <c r="G35" s="1517"/>
      <c r="H35" s="1517"/>
      <c r="I35" s="1517"/>
      <c r="J35" s="1517"/>
      <c r="K35" s="1518"/>
      <c r="L35" s="1518"/>
      <c r="M35" s="642"/>
      <c r="N35" s="679"/>
      <c r="O35" s="679"/>
      <c r="P35" s="679"/>
      <c r="Q35" s="679"/>
      <c r="R35" s="679"/>
      <c r="S35" s="679"/>
      <c r="T35" s="679"/>
      <c r="U35" s="679"/>
      <c r="V35" s="679"/>
      <c r="W35" s="679"/>
      <c r="X35" s="679"/>
      <c r="Y35" s="679"/>
      <c r="Z35" s="679"/>
      <c r="AA35"/>
      <c r="AB35"/>
      <c r="AC35"/>
      <c r="AD35"/>
      <c r="AE35"/>
      <c r="AF35"/>
      <c r="AG35"/>
      <c r="AH35"/>
      <c r="AI35"/>
    </row>
    <row r="36" spans="1:35" s="643" customFormat="1" ht="24" customHeight="1" outlineLevel="2" x14ac:dyDescent="0.2">
      <c r="A36" s="601" t="s">
        <v>938</v>
      </c>
      <c r="B36" s="601" t="s">
        <v>3303</v>
      </c>
      <c r="C36" s="642"/>
      <c r="D36" s="593"/>
      <c r="E36" s="593"/>
      <c r="F36" s="593"/>
      <c r="G36" s="1517">
        <v>4</v>
      </c>
      <c r="H36" s="1517"/>
      <c r="I36" s="1517"/>
      <c r="J36" s="1517" t="s">
        <v>2109</v>
      </c>
      <c r="K36" s="1458" t="s">
        <v>5072</v>
      </c>
      <c r="L36" s="1518" t="s">
        <v>7331</v>
      </c>
      <c r="M36" s="642"/>
      <c r="N36" s="679"/>
      <c r="O36" s="679"/>
      <c r="P36" s="679"/>
      <c r="Q36" s="679"/>
      <c r="R36" s="679"/>
      <c r="S36" s="679"/>
      <c r="T36" s="679"/>
      <c r="U36" s="679"/>
      <c r="V36" s="679"/>
      <c r="W36" s="679"/>
      <c r="X36" s="679"/>
      <c r="Y36" s="679"/>
      <c r="Z36" s="679"/>
      <c r="AA36">
        <f>IF(AND('11 Mic'!C36&gt;Tmin, NOT('11 Mic'!$I36="")),'11 Mic'!$I36,0)</f>
        <v>0</v>
      </c>
      <c r="AB36">
        <f>IF(AND('11 Mic'!D36&gt;Tmin, NOT('11 Mic'!$I36="")),'11 Mic'!$I36,0)</f>
        <v>0</v>
      </c>
      <c r="AC36">
        <f>IF(AND('11 Mic'!E36&gt;Tmin, NOT('11 Mic'!$I36="")),'11 Mic'!$I36,0)</f>
        <v>0</v>
      </c>
      <c r="AD36">
        <f>IF(AND('11 Mic'!F36&gt;Tmin, NOT('11 Mic'!$I36="")),'11 Mic'!$I36,0)</f>
        <v>0</v>
      </c>
      <c r="AE36">
        <f>IF(AND('11 Mic'!C36&lt;Tmax, NOT('11 Mic'!$H36="")),'11 Mic'!$H36,4)</f>
        <v>4</v>
      </c>
      <c r="AF36">
        <f>IF(AND('11 Mic'!D36&lt;Tmax, NOT('11 Mic'!$H36="")),'11 Mic'!$H36,4)</f>
        <v>4</v>
      </c>
      <c r="AG36">
        <f>IF(AND('11 Mic'!E36&lt;Tmax, NOT('11 Mic'!$H36="")),'11 Mic'!$H36,4)</f>
        <v>4</v>
      </c>
      <c r="AH36">
        <f>IF(AND('11 Mic'!F36&lt;Tmax, NOT('11 Mic'!$H36="")),'11 Mic'!$H36,4)</f>
        <v>4</v>
      </c>
      <c r="AI36"/>
    </row>
    <row r="37" spans="1:35" s="643" customFormat="1" ht="24" customHeight="1" outlineLevel="2" x14ac:dyDescent="0.2">
      <c r="A37" s="601" t="s">
        <v>939</v>
      </c>
      <c r="B37" s="601" t="s">
        <v>3304</v>
      </c>
      <c r="C37" s="642"/>
      <c r="D37" s="593"/>
      <c r="E37" s="593"/>
      <c r="F37" s="593"/>
      <c r="G37" s="1517">
        <v>2</v>
      </c>
      <c r="H37" s="1517"/>
      <c r="I37" s="1517"/>
      <c r="J37" s="1517" t="s">
        <v>1592</v>
      </c>
      <c r="K37" s="1458" t="s">
        <v>5072</v>
      </c>
      <c r="L37" s="1518" t="s">
        <v>7331</v>
      </c>
      <c r="M37" s="642"/>
      <c r="N37" s="679"/>
      <c r="O37" s="679"/>
      <c r="P37" s="679"/>
      <c r="Q37" s="679"/>
      <c r="R37" s="679"/>
      <c r="S37" s="679"/>
      <c r="T37" s="679"/>
      <c r="U37" s="679"/>
      <c r="V37" s="679"/>
      <c r="W37" s="679"/>
      <c r="X37" s="679"/>
      <c r="Y37" s="679"/>
      <c r="Z37" s="679"/>
      <c r="AA37">
        <f>IF(AND('11 Mic'!C37&gt;Tmin, NOT('11 Mic'!$I37="")),'11 Mic'!$I37,0)</f>
        <v>0</v>
      </c>
      <c r="AB37">
        <f>IF(AND('11 Mic'!D37&gt;Tmin, NOT('11 Mic'!$I37="")),'11 Mic'!$I37,0)</f>
        <v>0</v>
      </c>
      <c r="AC37">
        <f>IF(AND('11 Mic'!E37&gt;Tmin, NOT('11 Mic'!$I37="")),'11 Mic'!$I37,0)</f>
        <v>0</v>
      </c>
      <c r="AD37">
        <f>IF(AND('11 Mic'!F37&gt;Tmin, NOT('11 Mic'!$I37="")),'11 Mic'!$I37,0)</f>
        <v>0</v>
      </c>
      <c r="AE37">
        <f>IF(AND('11 Mic'!C37&lt;Tmax, NOT('11 Mic'!$H37="")),'11 Mic'!$H37,4)</f>
        <v>4</v>
      </c>
      <c r="AF37">
        <f>IF(AND('11 Mic'!D37&lt;Tmax, NOT('11 Mic'!$H37="")),'11 Mic'!$H37,4)</f>
        <v>4</v>
      </c>
      <c r="AG37">
        <f>IF(AND('11 Mic'!E37&lt;Tmax, NOT('11 Mic'!$H37="")),'11 Mic'!$H37,4)</f>
        <v>4</v>
      </c>
      <c r="AH37">
        <f>IF(AND('11 Mic'!F37&lt;Tmax, NOT('11 Mic'!$H37="")),'11 Mic'!$H37,4)</f>
        <v>4</v>
      </c>
      <c r="AI37"/>
    </row>
    <row r="38" spans="1:35" s="643" customFormat="1" outlineLevel="2" x14ac:dyDescent="0.2">
      <c r="A38" s="601" t="s">
        <v>940</v>
      </c>
      <c r="B38" s="601" t="s">
        <v>3305</v>
      </c>
      <c r="C38" s="642"/>
      <c r="D38" s="593"/>
      <c r="E38" s="593"/>
      <c r="F38" s="593"/>
      <c r="G38" s="1517">
        <v>4</v>
      </c>
      <c r="H38" s="1517"/>
      <c r="I38" s="1517"/>
      <c r="J38" s="1517" t="s">
        <v>4246</v>
      </c>
      <c r="K38" s="1458" t="s">
        <v>7137</v>
      </c>
      <c r="L38" s="1518" t="s">
        <v>7332</v>
      </c>
      <c r="M38" s="642"/>
      <c r="N38" s="679"/>
      <c r="O38" s="679"/>
      <c r="P38" s="679"/>
      <c r="Q38" s="679"/>
      <c r="R38" s="679"/>
      <c r="S38" s="679"/>
      <c r="T38" s="679"/>
      <c r="U38" s="679"/>
      <c r="V38" s="679"/>
      <c r="W38" s="679"/>
      <c r="X38" s="679"/>
      <c r="Y38" s="679"/>
      <c r="Z38" s="679"/>
      <c r="AA38">
        <f>IF(AND('11 Mic'!C38&gt;Tmin, NOT('11 Mic'!$I38="")),'11 Mic'!$I38,0)</f>
        <v>0</v>
      </c>
      <c r="AB38">
        <f>IF(AND('11 Mic'!D38&gt;Tmin, NOT('11 Mic'!$I38="")),'11 Mic'!$I38,0)</f>
        <v>0</v>
      </c>
      <c r="AC38">
        <f>IF(AND('11 Mic'!E38&gt;Tmin, NOT('11 Mic'!$I38="")),'11 Mic'!$I38,0)</f>
        <v>0</v>
      </c>
      <c r="AD38">
        <f>IF(AND('11 Mic'!F38&gt;Tmin, NOT('11 Mic'!$I38="")),'11 Mic'!$I38,0)</f>
        <v>0</v>
      </c>
      <c r="AE38">
        <f>IF(AND('11 Mic'!C38&lt;Tmax, NOT('11 Mic'!$H38="")),'11 Mic'!$H38,4)</f>
        <v>4</v>
      </c>
      <c r="AF38">
        <f>IF(AND('11 Mic'!D38&lt;Tmax, NOT('11 Mic'!$H38="")),'11 Mic'!$H38,4)</f>
        <v>4</v>
      </c>
      <c r="AG38">
        <f>IF(AND('11 Mic'!E38&lt;Tmax, NOT('11 Mic'!$H38="")),'11 Mic'!$H38,4)</f>
        <v>4</v>
      </c>
      <c r="AH38">
        <f>IF(AND('11 Mic'!F38&lt;Tmax, NOT('11 Mic'!$H38="")),'11 Mic'!$H38,4)</f>
        <v>4</v>
      </c>
      <c r="AI38"/>
    </row>
    <row r="39" spans="1:35" s="643" customFormat="1" ht="22.5" outlineLevel="2" x14ac:dyDescent="0.2">
      <c r="A39" s="601" t="s">
        <v>941</v>
      </c>
      <c r="B39" s="601" t="s">
        <v>3306</v>
      </c>
      <c r="C39" s="642"/>
      <c r="D39" s="593"/>
      <c r="E39" s="593"/>
      <c r="F39" s="593"/>
      <c r="G39" s="1517">
        <v>4</v>
      </c>
      <c r="H39" s="1517"/>
      <c r="I39" s="1517"/>
      <c r="J39" s="1517" t="s">
        <v>1592</v>
      </c>
      <c r="K39" s="1458" t="s">
        <v>7137</v>
      </c>
      <c r="L39" s="1518" t="s">
        <v>7332</v>
      </c>
      <c r="M39" s="642"/>
      <c r="N39" s="679"/>
      <c r="O39" s="679"/>
      <c r="P39" s="679"/>
      <c r="Q39" s="679"/>
      <c r="R39" s="679"/>
      <c r="S39" s="679"/>
      <c r="T39" s="679"/>
      <c r="U39" s="679"/>
      <c r="V39" s="679"/>
      <c r="W39" s="679"/>
      <c r="X39" s="679"/>
      <c r="Y39" s="679"/>
      <c r="Z39" s="679"/>
      <c r="AA39">
        <f>IF(AND('11 Mic'!C39&gt;Tmin, NOT('11 Mic'!$I39="")),'11 Mic'!$I39,0)</f>
        <v>0</v>
      </c>
      <c r="AB39">
        <f>IF(AND('11 Mic'!D39&gt;Tmin, NOT('11 Mic'!$I39="")),'11 Mic'!$I39,0)</f>
        <v>0</v>
      </c>
      <c r="AC39">
        <f>IF(AND('11 Mic'!E39&gt;Tmin, NOT('11 Mic'!$I39="")),'11 Mic'!$I39,0)</f>
        <v>0</v>
      </c>
      <c r="AD39">
        <f>IF(AND('11 Mic'!F39&gt;Tmin, NOT('11 Mic'!$I39="")),'11 Mic'!$I39,0)</f>
        <v>0</v>
      </c>
      <c r="AE39">
        <f>IF(AND('11 Mic'!C39&lt;Tmax, NOT('11 Mic'!$H39="")),'11 Mic'!$H39,4)</f>
        <v>4</v>
      </c>
      <c r="AF39">
        <f>IF(AND('11 Mic'!D39&lt;Tmax, NOT('11 Mic'!$H39="")),'11 Mic'!$H39,4)</f>
        <v>4</v>
      </c>
      <c r="AG39">
        <f>IF(AND('11 Mic'!E39&lt;Tmax, NOT('11 Mic'!$H39="")),'11 Mic'!$H39,4)</f>
        <v>4</v>
      </c>
      <c r="AH39">
        <f>IF(AND('11 Mic'!F39&lt;Tmax, NOT('11 Mic'!$H39="")),'11 Mic'!$H39,4)</f>
        <v>4</v>
      </c>
      <c r="AI39"/>
    </row>
    <row r="40" spans="1:35" s="643" customFormat="1" ht="12.75" customHeight="1" outlineLevel="2" x14ac:dyDescent="0.2">
      <c r="A40" s="601" t="s">
        <v>942</v>
      </c>
      <c r="B40" s="601" t="s">
        <v>2269</v>
      </c>
      <c r="C40" s="642"/>
      <c r="D40" s="593"/>
      <c r="E40" s="593"/>
      <c r="F40" s="593"/>
      <c r="G40" s="1517">
        <v>2</v>
      </c>
      <c r="H40" s="1517"/>
      <c r="I40" s="1517"/>
      <c r="J40" s="1517" t="s">
        <v>1592</v>
      </c>
      <c r="K40" s="1518" t="s">
        <v>4282</v>
      </c>
      <c r="L40" s="1518" t="s">
        <v>7332</v>
      </c>
      <c r="M40" s="642"/>
      <c r="N40" s="679"/>
      <c r="O40" s="679"/>
      <c r="P40" s="679"/>
      <c r="Q40" s="679"/>
      <c r="R40" s="679"/>
      <c r="S40" s="679"/>
      <c r="T40" s="679"/>
      <c r="U40" s="679"/>
      <c r="V40" s="679"/>
      <c r="W40" s="679"/>
      <c r="X40" s="679"/>
      <c r="Y40" s="679"/>
      <c r="Z40" s="679"/>
      <c r="AA40">
        <f>IF(AND('11 Mic'!C40&gt;Tmin, NOT('11 Mic'!$I40="")),'11 Mic'!$I40,0)</f>
        <v>0</v>
      </c>
      <c r="AB40">
        <f>IF(AND('11 Mic'!D40&gt;Tmin, NOT('11 Mic'!$I40="")),'11 Mic'!$I40,0)</f>
        <v>0</v>
      </c>
      <c r="AC40">
        <f>IF(AND('11 Mic'!E40&gt;Tmin, NOT('11 Mic'!$I40="")),'11 Mic'!$I40,0)</f>
        <v>0</v>
      </c>
      <c r="AD40">
        <f>IF(AND('11 Mic'!F40&gt;Tmin, NOT('11 Mic'!$I40="")),'11 Mic'!$I40,0)</f>
        <v>0</v>
      </c>
      <c r="AE40">
        <f>IF(AND('11 Mic'!C40&lt;Tmax, NOT('11 Mic'!$H40="")),'11 Mic'!$H40,4)</f>
        <v>4</v>
      </c>
      <c r="AF40">
        <f>IF(AND('11 Mic'!D40&lt;Tmax, NOT('11 Mic'!$H40="")),'11 Mic'!$H40,4)</f>
        <v>4</v>
      </c>
      <c r="AG40">
        <f>IF(AND('11 Mic'!E40&lt;Tmax, NOT('11 Mic'!$H40="")),'11 Mic'!$H40,4)</f>
        <v>4</v>
      </c>
      <c r="AH40">
        <f>IF(AND('11 Mic'!F40&lt;Tmax, NOT('11 Mic'!$H40="")),'11 Mic'!$H40,4)</f>
        <v>4</v>
      </c>
      <c r="AI40"/>
    </row>
    <row r="41" spans="1:35" s="643" customFormat="1" ht="22.5" outlineLevel="2" x14ac:dyDescent="0.2">
      <c r="A41" s="601" t="s">
        <v>943</v>
      </c>
      <c r="B41" s="601" t="s">
        <v>2935</v>
      </c>
      <c r="C41" s="642"/>
      <c r="D41" s="593"/>
      <c r="E41" s="593"/>
      <c r="F41" s="593"/>
      <c r="G41" s="1517">
        <v>2</v>
      </c>
      <c r="H41" s="1517"/>
      <c r="I41" s="1517"/>
      <c r="J41" s="1517" t="s">
        <v>2329</v>
      </c>
      <c r="K41" s="1458" t="s">
        <v>4425</v>
      </c>
      <c r="L41" s="1518" t="s">
        <v>7333</v>
      </c>
      <c r="M41" s="642"/>
      <c r="N41" s="679"/>
      <c r="O41" s="679"/>
      <c r="P41" s="679"/>
      <c r="Q41" s="679"/>
      <c r="R41" s="679"/>
      <c r="S41" s="679"/>
      <c r="T41" s="679"/>
      <c r="U41" s="679"/>
      <c r="V41" s="679"/>
      <c r="W41" s="679"/>
      <c r="X41" s="679"/>
      <c r="Y41" s="679"/>
      <c r="Z41" s="679"/>
      <c r="AA41">
        <f>IF(AND('11 Mic'!C41&gt;Tmin, NOT('11 Mic'!$I41="")),'11 Mic'!$I41,0)</f>
        <v>0</v>
      </c>
      <c r="AB41">
        <f>IF(AND('11 Mic'!D41&gt;Tmin, NOT('11 Mic'!$I41="")),'11 Mic'!$I41,0)</f>
        <v>0</v>
      </c>
      <c r="AC41">
        <f>IF(AND('11 Mic'!E41&gt;Tmin, NOT('11 Mic'!$I41="")),'11 Mic'!$I41,0)</f>
        <v>0</v>
      </c>
      <c r="AD41">
        <f>IF(AND('11 Mic'!F41&gt;Tmin, NOT('11 Mic'!$I41="")),'11 Mic'!$I41,0)</f>
        <v>0</v>
      </c>
      <c r="AE41">
        <f>IF(AND('11 Mic'!C41&lt;Tmax, NOT('11 Mic'!$H41="")),'11 Mic'!$H41,4)</f>
        <v>4</v>
      </c>
      <c r="AF41">
        <f>IF(AND('11 Mic'!D41&lt;Tmax, NOT('11 Mic'!$H41="")),'11 Mic'!$H41,4)</f>
        <v>4</v>
      </c>
      <c r="AG41">
        <f>IF(AND('11 Mic'!E41&lt;Tmax, NOT('11 Mic'!$H41="")),'11 Mic'!$H41,4)</f>
        <v>4</v>
      </c>
      <c r="AH41">
        <f>IF(AND('11 Mic'!F41&lt;Tmax, NOT('11 Mic'!$H41="")),'11 Mic'!$H41,4)</f>
        <v>4</v>
      </c>
      <c r="AI41"/>
    </row>
    <row r="42" spans="1:35" s="648" customFormat="1" x14ac:dyDescent="0.2">
      <c r="A42" s="602" t="s">
        <v>5257</v>
      </c>
      <c r="B42" s="602" t="s">
        <v>5847</v>
      </c>
      <c r="C42" s="642"/>
      <c r="D42" s="642"/>
      <c r="E42" s="642"/>
      <c r="F42" s="642"/>
      <c r="G42" s="1514"/>
      <c r="H42" s="1514"/>
      <c r="I42" s="1515"/>
      <c r="J42" s="1515"/>
      <c r="K42" s="1516"/>
      <c r="L42" s="1516"/>
      <c r="M42" s="647"/>
      <c r="N42" s="611"/>
      <c r="O42" s="611"/>
      <c r="P42" s="611"/>
      <c r="Q42" s="611"/>
      <c r="R42" s="611"/>
      <c r="S42" s="611"/>
      <c r="T42" s="611"/>
      <c r="U42" s="611"/>
      <c r="V42" s="611"/>
      <c r="W42" s="611"/>
      <c r="X42" s="611"/>
      <c r="Y42" s="611"/>
      <c r="Z42" s="611"/>
      <c r="AA42"/>
      <c r="AB42"/>
      <c r="AC42"/>
      <c r="AD42"/>
      <c r="AE42"/>
      <c r="AF42"/>
      <c r="AG42"/>
      <c r="AH42"/>
      <c r="AI42"/>
    </row>
    <row r="43" spans="1:35" s="648" customFormat="1" outlineLevel="1" x14ac:dyDescent="0.2">
      <c r="A43" s="677" t="s">
        <v>4148</v>
      </c>
      <c r="B43" s="678" t="s">
        <v>1319</v>
      </c>
      <c r="C43" s="642"/>
      <c r="D43" s="642"/>
      <c r="E43" s="642"/>
      <c r="F43" s="642"/>
      <c r="G43" s="1515"/>
      <c r="H43" s="1515"/>
      <c r="I43" s="1515"/>
      <c r="J43" s="1515"/>
      <c r="K43" s="1516"/>
      <c r="L43" s="1516"/>
      <c r="M43" s="647"/>
      <c r="N43" s="611"/>
      <c r="O43" s="611"/>
      <c r="P43" s="611"/>
      <c r="Q43" s="611"/>
      <c r="R43" s="611"/>
      <c r="S43" s="611"/>
      <c r="T43" s="611"/>
      <c r="U43" s="611"/>
      <c r="V43" s="611"/>
      <c r="W43" s="611"/>
      <c r="X43" s="611"/>
      <c r="Y43" s="611"/>
      <c r="Z43" s="611"/>
      <c r="AA43"/>
      <c r="AB43"/>
      <c r="AC43"/>
      <c r="AD43"/>
      <c r="AE43"/>
      <c r="AF43"/>
      <c r="AG43"/>
      <c r="AH43"/>
      <c r="AI43"/>
    </row>
    <row r="44" spans="1:35" s="648" customFormat="1" ht="22.5" outlineLevel="2" x14ac:dyDescent="0.2">
      <c r="A44" s="601" t="s">
        <v>5258</v>
      </c>
      <c r="B44" s="601" t="s">
        <v>1883</v>
      </c>
      <c r="C44" s="642"/>
      <c r="D44" s="642"/>
      <c r="E44" s="642"/>
      <c r="F44" s="642"/>
      <c r="G44" s="1515">
        <v>4</v>
      </c>
      <c r="H44" s="1515"/>
      <c r="I44" s="1515"/>
      <c r="J44" s="1515" t="s">
        <v>4246</v>
      </c>
      <c r="K44" s="1516"/>
      <c r="L44" s="1516"/>
      <c r="M44" s="647"/>
      <c r="N44" s="611"/>
      <c r="O44" s="611"/>
      <c r="P44" s="611"/>
      <c r="Q44" s="611"/>
      <c r="R44" s="611"/>
      <c r="S44" s="611"/>
      <c r="T44" s="611"/>
      <c r="U44" s="611"/>
      <c r="V44" s="611"/>
      <c r="W44" s="611"/>
      <c r="X44" s="611"/>
      <c r="Y44" s="611"/>
      <c r="Z44" s="611"/>
      <c r="AA44">
        <f>IF(AND('11 Mic'!C44&gt;Tmin, NOT('11 Mic'!$I44="")),'11 Mic'!$I44,0)</f>
        <v>0</v>
      </c>
      <c r="AB44">
        <f>IF(AND('11 Mic'!D44&gt;Tmin, NOT('11 Mic'!$I44="")),'11 Mic'!$I44,0)</f>
        <v>0</v>
      </c>
      <c r="AC44">
        <f>IF(AND('11 Mic'!E44&gt;Tmin, NOT('11 Mic'!$I44="")),'11 Mic'!$I44,0)</f>
        <v>0</v>
      </c>
      <c r="AD44">
        <f>IF(AND('11 Mic'!F44&gt;Tmin, NOT('11 Mic'!$I44="")),'11 Mic'!$I44,0)</f>
        <v>0</v>
      </c>
      <c r="AE44">
        <f>IF(AND('11 Mic'!C44&lt;Tmax, NOT('11 Mic'!$H44="")),'11 Mic'!$H44,4)</f>
        <v>4</v>
      </c>
      <c r="AF44">
        <f>IF(AND('11 Mic'!D44&lt;Tmax, NOT('11 Mic'!$H44="")),'11 Mic'!$H44,4)</f>
        <v>4</v>
      </c>
      <c r="AG44">
        <f>IF(AND('11 Mic'!E44&lt;Tmax, NOT('11 Mic'!$H44="")),'11 Mic'!$H44,4)</f>
        <v>4</v>
      </c>
      <c r="AH44">
        <f>IF(AND('11 Mic'!F44&lt;Tmax, NOT('11 Mic'!$H44="")),'11 Mic'!$H44,4)</f>
        <v>4</v>
      </c>
      <c r="AI44"/>
    </row>
    <row r="45" spans="1:35" s="648" customFormat="1" ht="78.75" outlineLevel="2" x14ac:dyDescent="0.2">
      <c r="A45" s="601" t="s">
        <v>6611</v>
      </c>
      <c r="B45" s="601" t="s">
        <v>5825</v>
      </c>
      <c r="C45" s="642"/>
      <c r="D45" s="642"/>
      <c r="E45" s="642"/>
      <c r="F45" s="642"/>
      <c r="G45" s="1515">
        <v>4</v>
      </c>
      <c r="H45" s="1515"/>
      <c r="I45" s="1516"/>
      <c r="J45" s="1515" t="s">
        <v>4246</v>
      </c>
      <c r="K45" s="1516"/>
      <c r="L45" s="1516" t="s">
        <v>6814</v>
      </c>
      <c r="M45" s="647"/>
      <c r="N45" s="611"/>
      <c r="O45" s="611"/>
      <c r="P45" s="611"/>
      <c r="Q45" s="611"/>
      <c r="R45" s="611"/>
      <c r="S45" s="611"/>
      <c r="T45" s="611"/>
      <c r="U45" s="611"/>
      <c r="V45" s="611"/>
      <c r="W45" s="611"/>
      <c r="X45" s="611"/>
      <c r="Y45" s="611"/>
      <c r="Z45" s="611"/>
      <c r="AA45">
        <f>IF(AND('11 Mic'!C45&gt;Tmin, NOT('11 Mic'!$I45="")),'11 Mic'!$I45,0)</f>
        <v>0</v>
      </c>
      <c r="AB45">
        <f>IF(AND('11 Mic'!D45&gt;Tmin, NOT('11 Mic'!$I45="")),'11 Mic'!$I45,0)</f>
        <v>0</v>
      </c>
      <c r="AC45">
        <f>IF(AND('11 Mic'!E45&gt;Tmin, NOT('11 Mic'!$I45="")),'11 Mic'!$I45,0)</f>
        <v>0</v>
      </c>
      <c r="AD45">
        <f>IF(AND('11 Mic'!F45&gt;Tmin, NOT('11 Mic'!$I45="")),'11 Mic'!$I45,0)</f>
        <v>0</v>
      </c>
      <c r="AE45">
        <f>IF(AND('11 Mic'!C45&lt;Tmax, NOT('11 Mic'!$H45="")),'11 Mic'!$H45,4)</f>
        <v>4</v>
      </c>
      <c r="AF45">
        <f>IF(AND('11 Mic'!D45&lt;Tmax, NOT('11 Mic'!$H45="")),'11 Mic'!$H45,4)</f>
        <v>4</v>
      </c>
      <c r="AG45">
        <f>IF(AND('11 Mic'!E45&lt;Tmax, NOT('11 Mic'!$H45="")),'11 Mic'!$H45,4)</f>
        <v>4</v>
      </c>
      <c r="AH45">
        <f>IF(AND('11 Mic'!F45&lt;Tmax, NOT('11 Mic'!$H45="")),'11 Mic'!$H45,4)</f>
        <v>4</v>
      </c>
      <c r="AI45"/>
    </row>
    <row r="46" spans="1:35" s="648" customFormat="1" ht="45" outlineLevel="2" x14ac:dyDescent="0.2">
      <c r="A46" s="601" t="s">
        <v>6612</v>
      </c>
      <c r="B46" s="601" t="s">
        <v>3774</v>
      </c>
      <c r="C46" s="642"/>
      <c r="D46" s="642"/>
      <c r="E46" s="642"/>
      <c r="F46" s="642"/>
      <c r="G46" s="1515">
        <v>4</v>
      </c>
      <c r="H46" s="1515"/>
      <c r="I46" s="1516"/>
      <c r="J46" s="1515" t="s">
        <v>1592</v>
      </c>
      <c r="K46" s="1516"/>
      <c r="L46" s="1516"/>
      <c r="M46" s="647"/>
      <c r="N46" s="611"/>
      <c r="O46" s="611"/>
      <c r="P46" s="611"/>
      <c r="Q46" s="611"/>
      <c r="R46" s="611"/>
      <c r="S46" s="611"/>
      <c r="T46" s="611"/>
      <c r="U46" s="611"/>
      <c r="V46" s="611"/>
      <c r="W46" s="611"/>
      <c r="X46" s="611"/>
      <c r="Y46" s="611"/>
      <c r="Z46" s="611"/>
      <c r="AA46">
        <f>IF(AND('11 Mic'!C46&gt;Tmin, NOT('11 Mic'!$I46="")),'11 Mic'!$I46,0)</f>
        <v>0</v>
      </c>
      <c r="AB46">
        <f>IF(AND('11 Mic'!D46&gt;Tmin, NOT('11 Mic'!$I46="")),'11 Mic'!$I46,0)</f>
        <v>0</v>
      </c>
      <c r="AC46">
        <f>IF(AND('11 Mic'!E46&gt;Tmin, NOT('11 Mic'!$I46="")),'11 Mic'!$I46,0)</f>
        <v>0</v>
      </c>
      <c r="AD46">
        <f>IF(AND('11 Mic'!F46&gt;Tmin, NOT('11 Mic'!$I46="")),'11 Mic'!$I46,0)</f>
        <v>0</v>
      </c>
      <c r="AE46">
        <f>IF(AND('11 Mic'!C46&lt;Tmax, NOT('11 Mic'!$H46="")),'11 Mic'!$H46,4)</f>
        <v>4</v>
      </c>
      <c r="AF46">
        <f>IF(AND('11 Mic'!D46&lt;Tmax, NOT('11 Mic'!$H46="")),'11 Mic'!$H46,4)</f>
        <v>4</v>
      </c>
      <c r="AG46">
        <f>IF(AND('11 Mic'!E46&lt;Tmax, NOT('11 Mic'!$H46="")),'11 Mic'!$H46,4)</f>
        <v>4</v>
      </c>
      <c r="AH46">
        <f>IF(AND('11 Mic'!F46&lt;Tmax, NOT('11 Mic'!$H46="")),'11 Mic'!$H46,4)</f>
        <v>4</v>
      </c>
      <c r="AI46"/>
    </row>
    <row r="47" spans="1:35" s="648" customFormat="1" outlineLevel="2" x14ac:dyDescent="0.2">
      <c r="A47" s="601" t="s">
        <v>6613</v>
      </c>
      <c r="B47" s="601" t="s">
        <v>5779</v>
      </c>
      <c r="C47" s="642"/>
      <c r="D47" s="642"/>
      <c r="E47" s="642"/>
      <c r="F47" s="642"/>
      <c r="G47" s="1515">
        <v>2</v>
      </c>
      <c r="H47" s="1515"/>
      <c r="I47" s="1516"/>
      <c r="J47" s="1515" t="s">
        <v>1592</v>
      </c>
      <c r="K47" s="1516"/>
      <c r="L47" s="1516"/>
      <c r="M47" s="647"/>
      <c r="N47" s="611"/>
      <c r="O47" s="611"/>
      <c r="P47" s="611"/>
      <c r="Q47" s="611"/>
      <c r="R47" s="611"/>
      <c r="S47" s="611"/>
      <c r="T47" s="611"/>
      <c r="U47" s="611"/>
      <c r="V47" s="611"/>
      <c r="W47" s="611"/>
      <c r="X47" s="611"/>
      <c r="Y47" s="611"/>
      <c r="Z47" s="611"/>
      <c r="AA47">
        <f>IF(AND('11 Mic'!C47&gt;Tmin, NOT('11 Mic'!$I47="")),'11 Mic'!$I47,0)</f>
        <v>0</v>
      </c>
      <c r="AB47">
        <f>IF(AND('11 Mic'!D47&gt;Tmin, NOT('11 Mic'!$I47="")),'11 Mic'!$I47,0)</f>
        <v>0</v>
      </c>
      <c r="AC47">
        <f>IF(AND('11 Mic'!E47&gt;Tmin, NOT('11 Mic'!$I47="")),'11 Mic'!$I47,0)</f>
        <v>0</v>
      </c>
      <c r="AD47">
        <f>IF(AND('11 Mic'!F47&gt;Tmin, NOT('11 Mic'!$I47="")),'11 Mic'!$I47,0)</f>
        <v>0</v>
      </c>
      <c r="AE47">
        <f>IF(AND('11 Mic'!C47&lt;Tmax, NOT('11 Mic'!$H47="")),'11 Mic'!$H47,4)</f>
        <v>4</v>
      </c>
      <c r="AF47">
        <f>IF(AND('11 Mic'!D47&lt;Tmax, NOT('11 Mic'!$H47="")),'11 Mic'!$H47,4)</f>
        <v>4</v>
      </c>
      <c r="AG47">
        <f>IF(AND('11 Mic'!E47&lt;Tmax, NOT('11 Mic'!$H47="")),'11 Mic'!$H47,4)</f>
        <v>4</v>
      </c>
      <c r="AH47">
        <f>IF(AND('11 Mic'!F47&lt;Tmax, NOT('11 Mic'!$H47="")),'11 Mic'!$H47,4)</f>
        <v>4</v>
      </c>
      <c r="AI47"/>
    </row>
    <row r="48" spans="1:35" s="648" customFormat="1" outlineLevel="2" x14ac:dyDescent="0.2">
      <c r="A48" s="601" t="s">
        <v>6614</v>
      </c>
      <c r="B48" s="601" t="s">
        <v>5780</v>
      </c>
      <c r="C48" s="642"/>
      <c r="D48" s="642"/>
      <c r="E48" s="642"/>
      <c r="F48" s="642"/>
      <c r="G48" s="1515">
        <v>2</v>
      </c>
      <c r="H48" s="1515"/>
      <c r="I48" s="1516"/>
      <c r="J48" s="1515" t="s">
        <v>1592</v>
      </c>
      <c r="K48" s="1516"/>
      <c r="L48" s="1516"/>
      <c r="M48" s="647"/>
      <c r="N48" s="611"/>
      <c r="O48" s="611"/>
      <c r="P48" s="611"/>
      <c r="Q48" s="611"/>
      <c r="R48" s="611"/>
      <c r="S48" s="611"/>
      <c r="T48" s="611"/>
      <c r="U48" s="611"/>
      <c r="V48" s="611"/>
      <c r="W48" s="611"/>
      <c r="X48" s="611"/>
      <c r="Y48" s="611"/>
      <c r="Z48" s="611"/>
      <c r="AA48">
        <f>IF(AND('11 Mic'!C48&gt;Tmin, NOT('11 Mic'!$I48="")),'11 Mic'!$I48,0)</f>
        <v>0</v>
      </c>
      <c r="AB48">
        <f>IF(AND('11 Mic'!D48&gt;Tmin, NOT('11 Mic'!$I48="")),'11 Mic'!$I48,0)</f>
        <v>0</v>
      </c>
      <c r="AC48">
        <f>IF(AND('11 Mic'!E48&gt;Tmin, NOT('11 Mic'!$I48="")),'11 Mic'!$I48,0)</f>
        <v>0</v>
      </c>
      <c r="AD48">
        <f>IF(AND('11 Mic'!F48&gt;Tmin, NOT('11 Mic'!$I48="")),'11 Mic'!$I48,0)</f>
        <v>0</v>
      </c>
      <c r="AE48">
        <f>IF(AND('11 Mic'!C48&lt;Tmax, NOT('11 Mic'!$H48="")),'11 Mic'!$H48,4)</f>
        <v>4</v>
      </c>
      <c r="AF48">
        <f>IF(AND('11 Mic'!D48&lt;Tmax, NOT('11 Mic'!$H48="")),'11 Mic'!$H48,4)</f>
        <v>4</v>
      </c>
      <c r="AG48">
        <f>IF(AND('11 Mic'!E48&lt;Tmax, NOT('11 Mic'!$H48="")),'11 Mic'!$H48,4)</f>
        <v>4</v>
      </c>
      <c r="AH48">
        <f>IF(AND('11 Mic'!F48&lt;Tmax, NOT('11 Mic'!$H48="")),'11 Mic'!$H48,4)</f>
        <v>4</v>
      </c>
      <c r="AI48"/>
    </row>
    <row r="49" spans="1:35" s="648" customFormat="1" ht="13.5" customHeight="1" outlineLevel="2" x14ac:dyDescent="0.2">
      <c r="A49" s="601" t="s">
        <v>6615</v>
      </c>
      <c r="B49" s="601" t="s">
        <v>4152</v>
      </c>
      <c r="C49" s="642"/>
      <c r="D49" s="642"/>
      <c r="E49" s="642"/>
      <c r="F49" s="642"/>
      <c r="G49" s="1515">
        <v>2</v>
      </c>
      <c r="H49" s="1515"/>
      <c r="I49" s="1516"/>
      <c r="J49" s="1515" t="s">
        <v>4246</v>
      </c>
      <c r="K49" s="1516"/>
      <c r="L49" s="1516"/>
      <c r="M49" s="647"/>
      <c r="N49" s="611"/>
      <c r="O49" s="611"/>
      <c r="P49" s="611"/>
      <c r="Q49" s="611"/>
      <c r="R49" s="611"/>
      <c r="S49" s="611"/>
      <c r="T49" s="611"/>
      <c r="U49" s="611"/>
      <c r="V49" s="611"/>
      <c r="W49" s="611"/>
      <c r="X49" s="611"/>
      <c r="Y49" s="611"/>
      <c r="Z49" s="611"/>
      <c r="AA49">
        <f>IF(AND('11 Mic'!C49&gt;Tmin, NOT('11 Mic'!$I49="")),'11 Mic'!$I49,0)</f>
        <v>0</v>
      </c>
      <c r="AB49">
        <f>IF(AND('11 Mic'!D49&gt;Tmin, NOT('11 Mic'!$I49="")),'11 Mic'!$I49,0)</f>
        <v>0</v>
      </c>
      <c r="AC49">
        <f>IF(AND('11 Mic'!E49&gt;Tmin, NOT('11 Mic'!$I49="")),'11 Mic'!$I49,0)</f>
        <v>0</v>
      </c>
      <c r="AD49">
        <f>IF(AND('11 Mic'!F49&gt;Tmin, NOT('11 Mic'!$I49="")),'11 Mic'!$I49,0)</f>
        <v>0</v>
      </c>
      <c r="AE49">
        <f>IF(AND('11 Mic'!C49&lt;Tmax, NOT('11 Mic'!$H49="")),'11 Mic'!$H49,4)</f>
        <v>4</v>
      </c>
      <c r="AF49">
        <f>IF(AND('11 Mic'!D49&lt;Tmax, NOT('11 Mic'!$H49="")),'11 Mic'!$H49,4)</f>
        <v>4</v>
      </c>
      <c r="AG49">
        <f>IF(AND('11 Mic'!E49&lt;Tmax, NOT('11 Mic'!$H49="")),'11 Mic'!$H49,4)</f>
        <v>4</v>
      </c>
      <c r="AH49">
        <f>IF(AND('11 Mic'!F49&lt;Tmax, NOT('11 Mic'!$H49="")),'11 Mic'!$H49,4)</f>
        <v>4</v>
      </c>
      <c r="AI49"/>
    </row>
    <row r="50" spans="1:35" s="648" customFormat="1" ht="22.5" outlineLevel="2" x14ac:dyDescent="0.2">
      <c r="A50" s="601" t="s">
        <v>6616</v>
      </c>
      <c r="B50" s="601" t="s">
        <v>6590</v>
      </c>
      <c r="C50" s="642"/>
      <c r="D50" s="642"/>
      <c r="E50" s="642"/>
      <c r="F50" s="642"/>
      <c r="G50" s="1515">
        <v>2</v>
      </c>
      <c r="H50" s="1515"/>
      <c r="I50" s="1516"/>
      <c r="J50" s="1515" t="s">
        <v>1592</v>
      </c>
      <c r="K50" s="1516"/>
      <c r="L50" s="1516"/>
      <c r="M50" s="647"/>
      <c r="N50" s="611"/>
      <c r="O50" s="611"/>
      <c r="P50" s="611"/>
      <c r="Q50" s="611"/>
      <c r="R50" s="611"/>
      <c r="S50" s="611"/>
      <c r="T50" s="611"/>
      <c r="U50" s="611"/>
      <c r="V50" s="611"/>
      <c r="W50" s="611"/>
      <c r="X50" s="611"/>
      <c r="Y50" s="611"/>
      <c r="Z50" s="611"/>
      <c r="AA50">
        <f>IF(AND('11 Mic'!C50&gt;Tmin, NOT('11 Mic'!$I50="")),'11 Mic'!$I50,0)</f>
        <v>0</v>
      </c>
      <c r="AB50">
        <f>IF(AND('11 Mic'!D50&gt;Tmin, NOT('11 Mic'!$I50="")),'11 Mic'!$I50,0)</f>
        <v>0</v>
      </c>
      <c r="AC50">
        <f>IF(AND('11 Mic'!E50&gt;Tmin, NOT('11 Mic'!$I50="")),'11 Mic'!$I50,0)</f>
        <v>0</v>
      </c>
      <c r="AD50">
        <f>IF(AND('11 Mic'!F50&gt;Tmin, NOT('11 Mic'!$I50="")),'11 Mic'!$I50,0)</f>
        <v>0</v>
      </c>
      <c r="AE50">
        <f>IF(AND('11 Mic'!C50&lt;Tmax, NOT('11 Mic'!$H50="")),'11 Mic'!$H50,4)</f>
        <v>4</v>
      </c>
      <c r="AF50">
        <f>IF(AND('11 Mic'!D50&lt;Tmax, NOT('11 Mic'!$H50="")),'11 Mic'!$H50,4)</f>
        <v>4</v>
      </c>
      <c r="AG50">
        <f>IF(AND('11 Mic'!E50&lt;Tmax, NOT('11 Mic'!$H50="")),'11 Mic'!$H50,4)</f>
        <v>4</v>
      </c>
      <c r="AH50">
        <f>IF(AND('11 Mic'!F50&lt;Tmax, NOT('11 Mic'!$H50="")),'11 Mic'!$H50,4)</f>
        <v>4</v>
      </c>
      <c r="AI50"/>
    </row>
    <row r="51" spans="1:35" s="648" customFormat="1" ht="22.5" outlineLevel="2" x14ac:dyDescent="0.2">
      <c r="A51" s="601" t="s">
        <v>6617</v>
      </c>
      <c r="B51" s="601" t="s">
        <v>5864</v>
      </c>
      <c r="C51" s="642"/>
      <c r="D51" s="642"/>
      <c r="E51" s="642"/>
      <c r="F51" s="642"/>
      <c r="G51" s="1515">
        <v>3</v>
      </c>
      <c r="H51" s="1515"/>
      <c r="I51" s="1516"/>
      <c r="J51" s="1515" t="s">
        <v>1592</v>
      </c>
      <c r="K51" s="1516" t="s">
        <v>6882</v>
      </c>
      <c r="L51" s="1516" t="s">
        <v>7256</v>
      </c>
      <c r="M51" s="647"/>
      <c r="N51" s="611"/>
      <c r="O51" s="611"/>
      <c r="P51" s="611"/>
      <c r="Q51" s="611"/>
      <c r="R51" s="611"/>
      <c r="S51" s="611"/>
      <c r="T51" s="611"/>
      <c r="U51" s="611"/>
      <c r="V51" s="611"/>
      <c r="W51" s="611"/>
      <c r="X51" s="611"/>
      <c r="Y51" s="611"/>
      <c r="Z51" s="611"/>
      <c r="AA51">
        <f>IF(AND('11 Mic'!C51&gt;Tmin, NOT('11 Mic'!$I51="")),'11 Mic'!$I51,0)</f>
        <v>0</v>
      </c>
      <c r="AB51">
        <f>IF(AND('11 Mic'!D51&gt;Tmin, NOT('11 Mic'!$I51="")),'11 Mic'!$I51,0)</f>
        <v>0</v>
      </c>
      <c r="AC51">
        <f>IF(AND('11 Mic'!E51&gt;Tmin, NOT('11 Mic'!$I51="")),'11 Mic'!$I51,0)</f>
        <v>0</v>
      </c>
      <c r="AD51">
        <f>IF(AND('11 Mic'!F51&gt;Tmin, NOT('11 Mic'!$I51="")),'11 Mic'!$I51,0)</f>
        <v>0</v>
      </c>
      <c r="AE51">
        <f>IF(AND('11 Mic'!C51&lt;Tmax, NOT('11 Mic'!$H51="")),'11 Mic'!$H51,4)</f>
        <v>4</v>
      </c>
      <c r="AF51">
        <f>IF(AND('11 Mic'!D51&lt;Tmax, NOT('11 Mic'!$H51="")),'11 Mic'!$H51,4)</f>
        <v>4</v>
      </c>
      <c r="AG51">
        <f>IF(AND('11 Mic'!E51&lt;Tmax, NOT('11 Mic'!$H51="")),'11 Mic'!$H51,4)</f>
        <v>4</v>
      </c>
      <c r="AH51">
        <f>IF(AND('11 Mic'!F51&lt;Tmax, NOT('11 Mic'!$H51="")),'11 Mic'!$H51,4)</f>
        <v>4</v>
      </c>
      <c r="AI51"/>
    </row>
    <row r="52" spans="1:35" s="648" customFormat="1" ht="22.5" outlineLevel="2" x14ac:dyDescent="0.2">
      <c r="A52" s="601" t="s">
        <v>2421</v>
      </c>
      <c r="B52" s="601" t="s">
        <v>5041</v>
      </c>
      <c r="C52" s="642"/>
      <c r="D52" s="642"/>
      <c r="E52" s="642"/>
      <c r="F52" s="642"/>
      <c r="G52" s="1515">
        <v>2</v>
      </c>
      <c r="H52" s="1515"/>
      <c r="I52" s="1516"/>
      <c r="J52" s="1515" t="s">
        <v>2349</v>
      </c>
      <c r="K52" s="1516"/>
      <c r="L52" s="1516"/>
      <c r="M52" s="647"/>
      <c r="N52" s="611"/>
      <c r="O52" s="611"/>
      <c r="P52" s="611"/>
      <c r="Q52" s="611"/>
      <c r="R52" s="611"/>
      <c r="S52" s="611"/>
      <c r="T52" s="611"/>
      <c r="U52" s="611"/>
      <c r="V52" s="611"/>
      <c r="W52" s="611"/>
      <c r="X52" s="611"/>
      <c r="Y52" s="611"/>
      <c r="Z52" s="611"/>
      <c r="AA52">
        <f>IF(AND('11 Mic'!C52&gt;Tmin, NOT('11 Mic'!$I52="")),'11 Mic'!$I52,0)</f>
        <v>0</v>
      </c>
      <c r="AB52">
        <f>IF(AND('11 Mic'!D52&gt;Tmin, NOT('11 Mic'!$I52="")),'11 Mic'!$I52,0)</f>
        <v>0</v>
      </c>
      <c r="AC52">
        <f>IF(AND('11 Mic'!E52&gt;Tmin, NOT('11 Mic'!$I52="")),'11 Mic'!$I52,0)</f>
        <v>0</v>
      </c>
      <c r="AD52">
        <f>IF(AND('11 Mic'!F52&gt;Tmin, NOT('11 Mic'!$I52="")),'11 Mic'!$I52,0)</f>
        <v>0</v>
      </c>
      <c r="AE52">
        <f>IF(AND('11 Mic'!C52&lt;Tmax, NOT('11 Mic'!$H52="")),'11 Mic'!$H52,4)</f>
        <v>4</v>
      </c>
      <c r="AF52">
        <f>IF(AND('11 Mic'!D52&lt;Tmax, NOT('11 Mic'!$H52="")),'11 Mic'!$H52,4)</f>
        <v>4</v>
      </c>
      <c r="AG52">
        <f>IF(AND('11 Mic'!E52&lt;Tmax, NOT('11 Mic'!$H52="")),'11 Mic'!$H52,4)</f>
        <v>4</v>
      </c>
      <c r="AH52">
        <f>IF(AND('11 Mic'!F52&lt;Tmax, NOT('11 Mic'!$H52="")),'11 Mic'!$H52,4)</f>
        <v>4</v>
      </c>
      <c r="AI52"/>
    </row>
    <row r="53" spans="1:35" s="648" customFormat="1" outlineLevel="2" x14ac:dyDescent="0.2">
      <c r="A53" s="601" t="s">
        <v>5781</v>
      </c>
      <c r="B53" s="601" t="s">
        <v>6591</v>
      </c>
      <c r="C53" s="642"/>
      <c r="D53" s="642"/>
      <c r="E53" s="642"/>
      <c r="F53" s="642"/>
      <c r="G53" s="1515">
        <v>3</v>
      </c>
      <c r="H53" s="1515"/>
      <c r="I53" s="1516"/>
      <c r="J53" s="1515" t="s">
        <v>2109</v>
      </c>
      <c r="K53" s="1516"/>
      <c r="L53" s="1516"/>
      <c r="M53" s="647"/>
      <c r="N53" s="611"/>
      <c r="O53" s="611"/>
      <c r="P53" s="611"/>
      <c r="Q53" s="611"/>
      <c r="R53" s="611"/>
      <c r="S53" s="611"/>
      <c r="T53" s="611"/>
      <c r="U53" s="611"/>
      <c r="V53" s="611"/>
      <c r="W53" s="611"/>
      <c r="X53" s="611"/>
      <c r="Y53" s="611"/>
      <c r="Z53" s="611"/>
      <c r="AA53">
        <f>IF(AND('11 Mic'!C53&gt;Tmin, NOT('11 Mic'!$I53="")),'11 Mic'!$I53,0)</f>
        <v>0</v>
      </c>
      <c r="AB53">
        <f>IF(AND('11 Mic'!D53&gt;Tmin, NOT('11 Mic'!$I53="")),'11 Mic'!$I53,0)</f>
        <v>0</v>
      </c>
      <c r="AC53">
        <f>IF(AND('11 Mic'!E53&gt;Tmin, NOT('11 Mic'!$I53="")),'11 Mic'!$I53,0)</f>
        <v>0</v>
      </c>
      <c r="AD53">
        <f>IF(AND('11 Mic'!F53&gt;Tmin, NOT('11 Mic'!$I53="")),'11 Mic'!$I53,0)</f>
        <v>0</v>
      </c>
      <c r="AE53">
        <f>IF(AND('11 Mic'!C53&lt;Tmax, NOT('11 Mic'!$H53="")),'11 Mic'!$H53,4)</f>
        <v>4</v>
      </c>
      <c r="AF53">
        <f>IF(AND('11 Mic'!D53&lt;Tmax, NOT('11 Mic'!$H53="")),'11 Mic'!$H53,4)</f>
        <v>4</v>
      </c>
      <c r="AG53">
        <f>IF(AND('11 Mic'!E53&lt;Tmax, NOT('11 Mic'!$H53="")),'11 Mic'!$H53,4)</f>
        <v>4</v>
      </c>
      <c r="AH53">
        <f>IF(AND('11 Mic'!F53&lt;Tmax, NOT('11 Mic'!$H53="")),'11 Mic'!$H53,4)</f>
        <v>4</v>
      </c>
      <c r="AI53"/>
    </row>
    <row r="54" spans="1:35" s="648" customFormat="1" outlineLevel="1" x14ac:dyDescent="0.2">
      <c r="A54" s="677" t="s">
        <v>4149</v>
      </c>
      <c r="B54" s="678" t="s">
        <v>1598</v>
      </c>
      <c r="C54" s="642"/>
      <c r="D54" s="635"/>
      <c r="E54" s="635"/>
      <c r="F54" s="635"/>
      <c r="G54" s="1515"/>
      <c r="H54" s="1515"/>
      <c r="I54" s="1516"/>
      <c r="J54" s="1515"/>
      <c r="K54" s="1516"/>
      <c r="L54" s="1516"/>
      <c r="M54" s="647"/>
      <c r="N54" s="611"/>
      <c r="O54" s="611"/>
      <c r="P54" s="611"/>
      <c r="Q54" s="611"/>
      <c r="R54" s="611"/>
      <c r="S54" s="611"/>
      <c r="T54" s="611"/>
      <c r="U54" s="611"/>
      <c r="V54" s="611"/>
      <c r="W54" s="611"/>
      <c r="X54" s="611"/>
      <c r="Y54" s="611"/>
      <c r="Z54" s="611"/>
      <c r="AA54"/>
      <c r="AB54"/>
      <c r="AC54"/>
      <c r="AD54"/>
      <c r="AE54"/>
      <c r="AF54"/>
      <c r="AG54"/>
      <c r="AH54"/>
      <c r="AI54"/>
    </row>
    <row r="55" spans="1:35" s="648" customFormat="1" ht="56.25" outlineLevel="2" x14ac:dyDescent="0.2">
      <c r="A55" s="601" t="s">
        <v>2422</v>
      </c>
      <c r="B55" s="601" t="s">
        <v>2660</v>
      </c>
      <c r="C55" s="642"/>
      <c r="D55" s="635"/>
      <c r="E55" s="635"/>
      <c r="F55" s="635"/>
      <c r="G55" s="1515">
        <v>4</v>
      </c>
      <c r="H55" s="1515"/>
      <c r="I55" s="1516"/>
      <c r="J55" s="1515" t="s">
        <v>4246</v>
      </c>
      <c r="K55" s="1458" t="s">
        <v>7162</v>
      </c>
      <c r="L55" s="1516" t="s">
        <v>7403</v>
      </c>
      <c r="M55" s="647"/>
      <c r="N55" s="611"/>
      <c r="O55" s="611"/>
      <c r="P55" s="611"/>
      <c r="Q55" s="611"/>
      <c r="R55" s="611"/>
      <c r="S55" s="611"/>
      <c r="T55" s="611"/>
      <c r="U55" s="611"/>
      <c r="V55" s="611"/>
      <c r="W55" s="611"/>
      <c r="X55" s="611"/>
      <c r="Y55" s="611"/>
      <c r="Z55" s="611"/>
      <c r="AA55">
        <f>IF(AND('11 Mic'!C55&gt;Tmin, NOT('11 Mic'!$I55="")),'11 Mic'!$I55,0)</f>
        <v>0</v>
      </c>
      <c r="AB55">
        <f>IF(AND('11 Mic'!D55&gt;Tmin, NOT('11 Mic'!$I55="")),'11 Mic'!$I55,0)</f>
        <v>0</v>
      </c>
      <c r="AC55">
        <f>IF(AND('11 Mic'!E55&gt;Tmin, NOT('11 Mic'!$I55="")),'11 Mic'!$I55,0)</f>
        <v>0</v>
      </c>
      <c r="AD55">
        <f>IF(AND('11 Mic'!F55&gt;Tmin, NOT('11 Mic'!$I55="")),'11 Mic'!$I55,0)</f>
        <v>0</v>
      </c>
      <c r="AE55">
        <f>IF(AND('11 Mic'!C55&lt;Tmax, NOT('11 Mic'!$H55="")),'11 Mic'!$H55,4)</f>
        <v>4</v>
      </c>
      <c r="AF55">
        <f>IF(AND('11 Mic'!D55&lt;Tmax, NOT('11 Mic'!$H55="")),'11 Mic'!$H55,4)</f>
        <v>4</v>
      </c>
      <c r="AG55">
        <f>IF(AND('11 Mic'!E55&lt;Tmax, NOT('11 Mic'!$H55="")),'11 Mic'!$H55,4)</f>
        <v>4</v>
      </c>
      <c r="AH55">
        <f>IF(AND('11 Mic'!F55&lt;Tmax, NOT('11 Mic'!$H55="")),'11 Mic'!$H55,4)</f>
        <v>4</v>
      </c>
      <c r="AI55"/>
    </row>
    <row r="56" spans="1:35" s="648" customFormat="1" ht="67.5" outlineLevel="2" x14ac:dyDescent="0.2">
      <c r="A56" s="601" t="s">
        <v>2423</v>
      </c>
      <c r="B56" s="601" t="s">
        <v>4185</v>
      </c>
      <c r="C56" s="642"/>
      <c r="D56" s="635"/>
      <c r="E56" s="635"/>
      <c r="F56" s="635"/>
      <c r="G56" s="1515">
        <v>4</v>
      </c>
      <c r="H56" s="1515"/>
      <c r="I56" s="1516"/>
      <c r="J56" s="1515" t="s">
        <v>4246</v>
      </c>
      <c r="K56" s="1458" t="s">
        <v>1900</v>
      </c>
      <c r="L56" s="1516" t="s">
        <v>7404</v>
      </c>
      <c r="M56" s="647"/>
      <c r="N56" s="611"/>
      <c r="O56" s="611"/>
      <c r="P56" s="611"/>
      <c r="Q56" s="611"/>
      <c r="R56" s="611"/>
      <c r="S56" s="611"/>
      <c r="T56" s="611"/>
      <c r="U56" s="611"/>
      <c r="V56" s="611"/>
      <c r="W56" s="611"/>
      <c r="X56" s="611"/>
      <c r="Y56" s="611"/>
      <c r="Z56" s="611"/>
      <c r="AA56">
        <f>IF(AND('11 Mic'!C56&gt;Tmin, NOT('11 Mic'!$I56="")),'11 Mic'!$I56,0)</f>
        <v>0</v>
      </c>
      <c r="AB56">
        <f>IF(AND('11 Mic'!D56&gt;Tmin, NOT('11 Mic'!$I56="")),'11 Mic'!$I56,0)</f>
        <v>0</v>
      </c>
      <c r="AC56">
        <f>IF(AND('11 Mic'!E56&gt;Tmin, NOT('11 Mic'!$I56="")),'11 Mic'!$I56,0)</f>
        <v>0</v>
      </c>
      <c r="AD56">
        <f>IF(AND('11 Mic'!F56&gt;Tmin, NOT('11 Mic'!$I56="")),'11 Mic'!$I56,0)</f>
        <v>0</v>
      </c>
      <c r="AE56">
        <f>IF(AND('11 Mic'!C56&lt;Tmax, NOT('11 Mic'!$H56="")),'11 Mic'!$H56,4)</f>
        <v>4</v>
      </c>
      <c r="AF56">
        <f>IF(AND('11 Mic'!D56&lt;Tmax, NOT('11 Mic'!$H56="")),'11 Mic'!$H56,4)</f>
        <v>4</v>
      </c>
      <c r="AG56">
        <f>IF(AND('11 Mic'!E56&lt;Tmax, NOT('11 Mic'!$H56="")),'11 Mic'!$H56,4)</f>
        <v>4</v>
      </c>
      <c r="AH56">
        <f>IF(AND('11 Mic'!F56&lt;Tmax, NOT('11 Mic'!$H56="")),'11 Mic'!$H56,4)</f>
        <v>4</v>
      </c>
      <c r="AI56"/>
    </row>
    <row r="57" spans="1:35" s="648" customFormat="1" ht="22.5" outlineLevel="2" x14ac:dyDescent="0.2">
      <c r="A57" s="601" t="s">
        <v>2424</v>
      </c>
      <c r="B57" s="601" t="s">
        <v>6747</v>
      </c>
      <c r="C57" s="642"/>
      <c r="D57" s="635"/>
      <c r="E57" s="635"/>
      <c r="F57" s="635"/>
      <c r="G57" s="1515">
        <v>4</v>
      </c>
      <c r="H57" s="1515"/>
      <c r="I57" s="1516"/>
      <c r="J57" s="1515" t="s">
        <v>1592</v>
      </c>
      <c r="K57" s="1458" t="s">
        <v>7163</v>
      </c>
      <c r="L57" s="1516" t="s">
        <v>7405</v>
      </c>
      <c r="M57" s="647"/>
      <c r="N57" s="611"/>
      <c r="O57" s="611"/>
      <c r="P57" s="611"/>
      <c r="Q57" s="611"/>
      <c r="R57" s="611"/>
      <c r="S57" s="611"/>
      <c r="T57" s="611"/>
      <c r="U57" s="611"/>
      <c r="V57" s="611"/>
      <c r="W57" s="611"/>
      <c r="X57" s="611"/>
      <c r="Y57" s="611"/>
      <c r="Z57" s="611"/>
      <c r="AA57">
        <f>IF(AND('11 Mic'!C57&gt;Tmin, NOT('11 Mic'!$I57="")),'11 Mic'!$I57,0)</f>
        <v>0</v>
      </c>
      <c r="AB57">
        <f>IF(AND('11 Mic'!D57&gt;Tmin, NOT('11 Mic'!$I57="")),'11 Mic'!$I57,0)</f>
        <v>0</v>
      </c>
      <c r="AC57">
        <f>IF(AND('11 Mic'!E57&gt;Tmin, NOT('11 Mic'!$I57="")),'11 Mic'!$I57,0)</f>
        <v>0</v>
      </c>
      <c r="AD57">
        <f>IF(AND('11 Mic'!F57&gt;Tmin, NOT('11 Mic'!$I57="")),'11 Mic'!$I57,0)</f>
        <v>0</v>
      </c>
      <c r="AE57">
        <f>IF(AND('11 Mic'!C57&lt;Tmax, NOT('11 Mic'!$H57="")),'11 Mic'!$H57,4)</f>
        <v>4</v>
      </c>
      <c r="AF57">
        <f>IF(AND('11 Mic'!D57&lt;Tmax, NOT('11 Mic'!$H57="")),'11 Mic'!$H57,4)</f>
        <v>4</v>
      </c>
      <c r="AG57">
        <f>IF(AND('11 Mic'!E57&lt;Tmax, NOT('11 Mic'!$H57="")),'11 Mic'!$H57,4)</f>
        <v>4</v>
      </c>
      <c r="AH57">
        <f>IF(AND('11 Mic'!F57&lt;Tmax, NOT('11 Mic'!$H57="")),'11 Mic'!$H57,4)</f>
        <v>4</v>
      </c>
      <c r="AI57"/>
    </row>
    <row r="58" spans="1:35" s="648" customFormat="1" ht="45.75" customHeight="1" outlineLevel="2" x14ac:dyDescent="0.2">
      <c r="A58" s="601" t="s">
        <v>2425</v>
      </c>
      <c r="B58" s="601" t="s">
        <v>6222</v>
      </c>
      <c r="C58" s="642"/>
      <c r="D58" s="635"/>
      <c r="E58" s="635"/>
      <c r="F58" s="635"/>
      <c r="G58" s="1515">
        <v>4</v>
      </c>
      <c r="H58" s="1515"/>
      <c r="I58" s="1516"/>
      <c r="J58" s="1515" t="s">
        <v>1592</v>
      </c>
      <c r="K58" s="1516" t="s">
        <v>1900</v>
      </c>
      <c r="L58" s="1516" t="s">
        <v>7405</v>
      </c>
      <c r="M58" s="647"/>
      <c r="N58" s="611"/>
      <c r="O58" s="611"/>
      <c r="P58" s="611"/>
      <c r="Q58" s="611"/>
      <c r="R58" s="611"/>
      <c r="S58" s="611"/>
      <c r="T58" s="611"/>
      <c r="U58" s="611"/>
      <c r="V58" s="611"/>
      <c r="W58" s="611"/>
      <c r="X58" s="611"/>
      <c r="Y58" s="611"/>
      <c r="Z58" s="611"/>
      <c r="AA58">
        <f>IF(AND('11 Mic'!C58&gt;Tmin, NOT('11 Mic'!$I58="")),'11 Mic'!$I58,0)</f>
        <v>0</v>
      </c>
      <c r="AB58">
        <f>IF(AND('11 Mic'!D58&gt;Tmin, NOT('11 Mic'!$I58="")),'11 Mic'!$I58,0)</f>
        <v>0</v>
      </c>
      <c r="AC58">
        <f>IF(AND('11 Mic'!E58&gt;Tmin, NOT('11 Mic'!$I58="")),'11 Mic'!$I58,0)</f>
        <v>0</v>
      </c>
      <c r="AD58">
        <f>IF(AND('11 Mic'!F58&gt;Tmin, NOT('11 Mic'!$I58="")),'11 Mic'!$I58,0)</f>
        <v>0</v>
      </c>
      <c r="AE58">
        <f>IF(AND('11 Mic'!C58&lt;Tmax, NOT('11 Mic'!$H58="")),'11 Mic'!$H58,4)</f>
        <v>4</v>
      </c>
      <c r="AF58">
        <f>IF(AND('11 Mic'!D58&lt;Tmax, NOT('11 Mic'!$H58="")),'11 Mic'!$H58,4)</f>
        <v>4</v>
      </c>
      <c r="AG58">
        <f>IF(AND('11 Mic'!E58&lt;Tmax, NOT('11 Mic'!$H58="")),'11 Mic'!$H58,4)</f>
        <v>4</v>
      </c>
      <c r="AH58">
        <f>IF(AND('11 Mic'!F58&lt;Tmax, NOT('11 Mic'!$H58="")),'11 Mic'!$H58,4)</f>
        <v>4</v>
      </c>
      <c r="AI58"/>
    </row>
    <row r="59" spans="1:35" s="648" customFormat="1" ht="33.75" outlineLevel="2" x14ac:dyDescent="0.2">
      <c r="A59" s="601" t="s">
        <v>2426</v>
      </c>
      <c r="B59" s="601" t="s">
        <v>4469</v>
      </c>
      <c r="C59" s="642"/>
      <c r="D59" s="635"/>
      <c r="E59" s="635"/>
      <c r="F59" s="635"/>
      <c r="G59" s="1515">
        <v>2</v>
      </c>
      <c r="H59" s="1515"/>
      <c r="I59" s="1516"/>
      <c r="J59" s="1515" t="s">
        <v>1592</v>
      </c>
      <c r="K59" s="1516"/>
      <c r="L59" s="1516" t="s">
        <v>7404</v>
      </c>
      <c r="M59" s="647"/>
      <c r="N59" s="611"/>
      <c r="O59" s="611"/>
      <c r="P59" s="611"/>
      <c r="Q59" s="611"/>
      <c r="R59" s="611"/>
      <c r="S59" s="611"/>
      <c r="T59" s="611"/>
      <c r="U59" s="611"/>
      <c r="V59" s="611"/>
      <c r="W59" s="611"/>
      <c r="X59" s="611"/>
      <c r="Y59" s="611"/>
      <c r="Z59" s="611"/>
      <c r="AA59">
        <f>IF(AND('11 Mic'!C59&gt;Tmin, NOT('11 Mic'!$I59="")),'11 Mic'!$I59,0)</f>
        <v>0</v>
      </c>
      <c r="AB59">
        <f>IF(AND('11 Mic'!D59&gt;Tmin, NOT('11 Mic'!$I59="")),'11 Mic'!$I59,0)</f>
        <v>0</v>
      </c>
      <c r="AC59">
        <f>IF(AND('11 Mic'!E59&gt;Tmin, NOT('11 Mic'!$I59="")),'11 Mic'!$I59,0)</f>
        <v>0</v>
      </c>
      <c r="AD59">
        <f>IF(AND('11 Mic'!F59&gt;Tmin, NOT('11 Mic'!$I59="")),'11 Mic'!$I59,0)</f>
        <v>0</v>
      </c>
      <c r="AE59">
        <f>IF(AND('11 Mic'!C59&lt;Tmax, NOT('11 Mic'!$H59="")),'11 Mic'!$H59,4)</f>
        <v>4</v>
      </c>
      <c r="AF59">
        <f>IF(AND('11 Mic'!D59&lt;Tmax, NOT('11 Mic'!$H59="")),'11 Mic'!$H59,4)</f>
        <v>4</v>
      </c>
      <c r="AG59">
        <f>IF(AND('11 Mic'!E59&lt;Tmax, NOT('11 Mic'!$H59="")),'11 Mic'!$H59,4)</f>
        <v>4</v>
      </c>
      <c r="AH59">
        <f>IF(AND('11 Mic'!F59&lt;Tmax, NOT('11 Mic'!$H59="")),'11 Mic'!$H59,4)</f>
        <v>4</v>
      </c>
      <c r="AI59"/>
    </row>
    <row r="60" spans="1:35" s="648" customFormat="1" ht="22.5" outlineLevel="2" x14ac:dyDescent="0.2">
      <c r="A60" s="601" t="s">
        <v>6165</v>
      </c>
      <c r="B60" s="601" t="s">
        <v>4471</v>
      </c>
      <c r="C60" s="642"/>
      <c r="D60" s="635"/>
      <c r="E60" s="635"/>
      <c r="F60" s="635"/>
      <c r="G60" s="1515">
        <v>3</v>
      </c>
      <c r="H60" s="1515"/>
      <c r="I60" s="1516"/>
      <c r="J60" s="1515" t="s">
        <v>2109</v>
      </c>
      <c r="K60" s="1516"/>
      <c r="L60" s="1516"/>
      <c r="M60" s="647"/>
      <c r="N60" s="611"/>
      <c r="O60" s="611"/>
      <c r="P60" s="611"/>
      <c r="Q60" s="611"/>
      <c r="R60" s="611"/>
      <c r="S60" s="611"/>
      <c r="T60" s="611"/>
      <c r="U60" s="611"/>
      <c r="V60" s="611"/>
      <c r="W60" s="611"/>
      <c r="X60" s="611"/>
      <c r="Y60" s="611"/>
      <c r="Z60" s="611"/>
      <c r="AA60">
        <f>IF(AND('11 Mic'!C60&gt;Tmin, NOT('11 Mic'!$I60="")),'11 Mic'!$I60,0)</f>
        <v>0</v>
      </c>
      <c r="AB60">
        <f>IF(AND('11 Mic'!D60&gt;Tmin, NOT('11 Mic'!$I60="")),'11 Mic'!$I60,0)</f>
        <v>0</v>
      </c>
      <c r="AC60">
        <f>IF(AND('11 Mic'!E60&gt;Tmin, NOT('11 Mic'!$I60="")),'11 Mic'!$I60,0)</f>
        <v>0</v>
      </c>
      <c r="AD60">
        <f>IF(AND('11 Mic'!F60&gt;Tmin, NOT('11 Mic'!$I60="")),'11 Mic'!$I60,0)</f>
        <v>0</v>
      </c>
      <c r="AE60">
        <f>IF(AND('11 Mic'!C60&lt;Tmax, NOT('11 Mic'!$H60="")),'11 Mic'!$H60,4)</f>
        <v>4</v>
      </c>
      <c r="AF60">
        <f>IF(AND('11 Mic'!D60&lt;Tmax, NOT('11 Mic'!$H60="")),'11 Mic'!$H60,4)</f>
        <v>4</v>
      </c>
      <c r="AG60">
        <f>IF(AND('11 Mic'!E60&lt;Tmax, NOT('11 Mic'!$H60="")),'11 Mic'!$H60,4)</f>
        <v>4</v>
      </c>
      <c r="AH60">
        <f>IF(AND('11 Mic'!F60&lt;Tmax, NOT('11 Mic'!$H60="")),'11 Mic'!$H60,4)</f>
        <v>4</v>
      </c>
      <c r="AI60"/>
    </row>
    <row r="61" spans="1:35" s="648" customFormat="1" outlineLevel="1" x14ac:dyDescent="0.2">
      <c r="A61" s="677" t="s">
        <v>4150</v>
      </c>
      <c r="B61" s="678" t="s">
        <v>1849</v>
      </c>
      <c r="C61" s="642"/>
      <c r="D61" s="635"/>
      <c r="E61" s="635"/>
      <c r="F61" s="635"/>
      <c r="G61" s="1515"/>
      <c r="H61" s="1515"/>
      <c r="I61" s="1516"/>
      <c r="J61" s="1515"/>
      <c r="K61" s="1516"/>
      <c r="L61" s="1516"/>
      <c r="M61" s="647"/>
      <c r="N61" s="611"/>
      <c r="O61" s="611"/>
      <c r="P61" s="611"/>
      <c r="Q61" s="611"/>
      <c r="R61" s="611"/>
      <c r="S61" s="611"/>
      <c r="T61" s="611"/>
      <c r="U61" s="611"/>
      <c r="V61" s="611"/>
      <c r="W61" s="611"/>
      <c r="X61" s="611"/>
      <c r="Y61" s="611"/>
      <c r="Z61" s="611"/>
      <c r="AA61"/>
      <c r="AB61"/>
      <c r="AC61"/>
      <c r="AD61"/>
      <c r="AE61"/>
      <c r="AF61"/>
      <c r="AG61"/>
      <c r="AH61"/>
      <c r="AI61"/>
    </row>
    <row r="62" spans="1:35" s="648" customFormat="1" ht="22.5" outlineLevel="2" x14ac:dyDescent="0.2">
      <c r="A62" s="601" t="s">
        <v>2427</v>
      </c>
      <c r="B62" s="601" t="s">
        <v>4344</v>
      </c>
      <c r="C62" s="642"/>
      <c r="D62" s="635"/>
      <c r="E62" s="635"/>
      <c r="F62" s="635"/>
      <c r="G62" s="1515">
        <v>4</v>
      </c>
      <c r="H62" s="1515"/>
      <c r="I62" s="1516"/>
      <c r="J62" s="1515" t="s">
        <v>1592</v>
      </c>
      <c r="K62" s="1516"/>
      <c r="L62" s="1516"/>
      <c r="M62" s="647"/>
      <c r="N62" s="611"/>
      <c r="O62" s="611"/>
      <c r="P62" s="611"/>
      <c r="Q62" s="611"/>
      <c r="R62" s="611"/>
      <c r="S62" s="611"/>
      <c r="T62" s="611"/>
      <c r="U62" s="611"/>
      <c r="V62" s="611"/>
      <c r="W62" s="611"/>
      <c r="X62" s="611"/>
      <c r="Y62" s="611"/>
      <c r="Z62" s="611"/>
      <c r="AA62">
        <f>IF(AND('11 Mic'!C62&gt;Tmin, NOT('11 Mic'!$I62="")),'11 Mic'!$I62,0)</f>
        <v>0</v>
      </c>
      <c r="AB62">
        <f>IF(AND('11 Mic'!D62&gt;Tmin, NOT('11 Mic'!$I62="")),'11 Mic'!$I62,0)</f>
        <v>0</v>
      </c>
      <c r="AC62">
        <f>IF(AND('11 Mic'!E62&gt;Tmin, NOT('11 Mic'!$I62="")),'11 Mic'!$I62,0)</f>
        <v>0</v>
      </c>
      <c r="AD62">
        <f>IF(AND('11 Mic'!F62&gt;Tmin, NOT('11 Mic'!$I62="")),'11 Mic'!$I62,0)</f>
        <v>0</v>
      </c>
      <c r="AE62">
        <f>IF(AND('11 Mic'!C62&lt;Tmax, NOT('11 Mic'!$H62="")),'11 Mic'!$H62,4)</f>
        <v>4</v>
      </c>
      <c r="AF62">
        <f>IF(AND('11 Mic'!D62&lt;Tmax, NOT('11 Mic'!$H62="")),'11 Mic'!$H62,4)</f>
        <v>4</v>
      </c>
      <c r="AG62">
        <f>IF(AND('11 Mic'!E62&lt;Tmax, NOT('11 Mic'!$H62="")),'11 Mic'!$H62,4)</f>
        <v>4</v>
      </c>
      <c r="AH62">
        <f>IF(AND('11 Mic'!F62&lt;Tmax, NOT('11 Mic'!$H62="")),'11 Mic'!$H62,4)</f>
        <v>4</v>
      </c>
      <c r="AI62"/>
    </row>
    <row r="63" spans="1:35" s="648" customFormat="1" ht="22.5" outlineLevel="2" x14ac:dyDescent="0.2">
      <c r="A63" s="601" t="s">
        <v>2428</v>
      </c>
      <c r="B63" s="601" t="s">
        <v>5042</v>
      </c>
      <c r="C63" s="642"/>
      <c r="D63" s="635"/>
      <c r="E63" s="635"/>
      <c r="F63" s="635"/>
      <c r="G63" s="1515">
        <v>4</v>
      </c>
      <c r="H63" s="1515"/>
      <c r="I63" s="1516"/>
      <c r="J63" s="1515" t="s">
        <v>1592</v>
      </c>
      <c r="K63" s="1516"/>
      <c r="L63" s="1516"/>
      <c r="M63" s="647"/>
      <c r="N63" s="611"/>
      <c r="O63" s="611"/>
      <c r="P63" s="611"/>
      <c r="Q63" s="611"/>
      <c r="R63" s="611"/>
      <c r="S63" s="611"/>
      <c r="T63" s="611"/>
      <c r="U63" s="611"/>
      <c r="V63" s="611"/>
      <c r="W63" s="611"/>
      <c r="X63" s="611"/>
      <c r="Y63" s="611"/>
      <c r="Z63" s="611"/>
      <c r="AA63">
        <f>IF(AND('11 Mic'!C63&gt;Tmin, NOT('11 Mic'!$I63="")),'11 Mic'!$I63,0)</f>
        <v>0</v>
      </c>
      <c r="AB63">
        <f>IF(AND('11 Mic'!D63&gt;Tmin, NOT('11 Mic'!$I63="")),'11 Mic'!$I63,0)</f>
        <v>0</v>
      </c>
      <c r="AC63">
        <f>IF(AND('11 Mic'!E63&gt;Tmin, NOT('11 Mic'!$I63="")),'11 Mic'!$I63,0)</f>
        <v>0</v>
      </c>
      <c r="AD63">
        <f>IF(AND('11 Mic'!F63&gt;Tmin, NOT('11 Mic'!$I63="")),'11 Mic'!$I63,0)</f>
        <v>0</v>
      </c>
      <c r="AE63">
        <f>IF(AND('11 Mic'!C63&lt;Tmax, NOT('11 Mic'!$H63="")),'11 Mic'!$H63,4)</f>
        <v>4</v>
      </c>
      <c r="AF63">
        <f>IF(AND('11 Mic'!D63&lt;Tmax, NOT('11 Mic'!$H63="")),'11 Mic'!$H63,4)</f>
        <v>4</v>
      </c>
      <c r="AG63">
        <f>IF(AND('11 Mic'!E63&lt;Tmax, NOT('11 Mic'!$H63="")),'11 Mic'!$H63,4)</f>
        <v>4</v>
      </c>
      <c r="AH63">
        <f>IF(AND('11 Mic'!F63&lt;Tmax, NOT('11 Mic'!$H63="")),'11 Mic'!$H63,4)</f>
        <v>4</v>
      </c>
      <c r="AI63"/>
    </row>
    <row r="64" spans="1:35" s="648" customFormat="1" ht="33.75" outlineLevel="2" x14ac:dyDescent="0.2">
      <c r="A64" s="601" t="s">
        <v>2429</v>
      </c>
      <c r="B64" s="601" t="s">
        <v>4505</v>
      </c>
      <c r="C64" s="642"/>
      <c r="D64" s="635"/>
      <c r="E64" s="635"/>
      <c r="F64" s="635"/>
      <c r="G64" s="1515">
        <v>2</v>
      </c>
      <c r="H64" s="1515"/>
      <c r="I64" s="1516"/>
      <c r="J64" s="1515" t="s">
        <v>2964</v>
      </c>
      <c r="K64" s="1516"/>
      <c r="L64" s="1516"/>
      <c r="M64" s="647"/>
      <c r="N64" s="611"/>
      <c r="O64" s="611"/>
      <c r="P64" s="611"/>
      <c r="Q64" s="611"/>
      <c r="R64" s="611"/>
      <c r="S64" s="611"/>
      <c r="T64" s="611"/>
      <c r="U64" s="611"/>
      <c r="V64" s="611"/>
      <c r="W64" s="611"/>
      <c r="X64" s="611"/>
      <c r="Y64" s="611"/>
      <c r="Z64" s="611"/>
      <c r="AA64">
        <f>IF(AND('11 Mic'!C64&gt;Tmin, NOT('11 Mic'!$I64="")),'11 Mic'!$I64,0)</f>
        <v>0</v>
      </c>
      <c r="AB64">
        <f>IF(AND('11 Mic'!D64&gt;Tmin, NOT('11 Mic'!$I64="")),'11 Mic'!$I64,0)</f>
        <v>0</v>
      </c>
      <c r="AC64">
        <f>IF(AND('11 Mic'!E64&gt;Tmin, NOT('11 Mic'!$I64="")),'11 Mic'!$I64,0)</f>
        <v>0</v>
      </c>
      <c r="AD64">
        <f>IF(AND('11 Mic'!F64&gt;Tmin, NOT('11 Mic'!$I64="")),'11 Mic'!$I64,0)</f>
        <v>0</v>
      </c>
      <c r="AE64">
        <f>IF(AND('11 Mic'!C64&lt;Tmax, NOT('11 Mic'!$H64="")),'11 Mic'!$H64,4)</f>
        <v>4</v>
      </c>
      <c r="AF64">
        <f>IF(AND('11 Mic'!D64&lt;Tmax, NOT('11 Mic'!$H64="")),'11 Mic'!$H64,4)</f>
        <v>4</v>
      </c>
      <c r="AG64">
        <f>IF(AND('11 Mic'!E64&lt;Tmax, NOT('11 Mic'!$H64="")),'11 Mic'!$H64,4)</f>
        <v>4</v>
      </c>
      <c r="AH64">
        <f>IF(AND('11 Mic'!F64&lt;Tmax, NOT('11 Mic'!$H64="")),'11 Mic'!$H64,4)</f>
        <v>4</v>
      </c>
      <c r="AI64"/>
    </row>
    <row r="65" spans="1:35" s="648" customFormat="1" ht="33.75" outlineLevel="2" x14ac:dyDescent="0.2">
      <c r="A65" s="601" t="s">
        <v>2430</v>
      </c>
      <c r="B65" s="601" t="s">
        <v>6506</v>
      </c>
      <c r="C65" s="642"/>
      <c r="D65" s="635"/>
      <c r="E65" s="635"/>
      <c r="F65" s="635"/>
      <c r="G65" s="1515">
        <v>2</v>
      </c>
      <c r="H65" s="1515"/>
      <c r="I65" s="1516"/>
      <c r="J65" s="1515" t="s">
        <v>1592</v>
      </c>
      <c r="K65" s="1516" t="s">
        <v>1900</v>
      </c>
      <c r="L65" s="1516" t="s">
        <v>7406</v>
      </c>
      <c r="M65" s="647"/>
      <c r="N65" s="611"/>
      <c r="O65" s="611"/>
      <c r="P65" s="611"/>
      <c r="Q65" s="611"/>
      <c r="R65" s="611"/>
      <c r="S65" s="611"/>
      <c r="T65" s="611"/>
      <c r="U65" s="611"/>
      <c r="V65" s="611"/>
      <c r="W65" s="611"/>
      <c r="X65" s="611"/>
      <c r="Y65" s="611"/>
      <c r="Z65" s="611"/>
      <c r="AA65">
        <f>IF(AND('11 Mic'!C65&gt;Tmin, NOT('11 Mic'!$I65="")),'11 Mic'!$I65,0)</f>
        <v>0</v>
      </c>
      <c r="AB65">
        <f>IF(AND('11 Mic'!D65&gt;Tmin, NOT('11 Mic'!$I65="")),'11 Mic'!$I65,0)</f>
        <v>0</v>
      </c>
      <c r="AC65">
        <f>IF(AND('11 Mic'!E65&gt;Tmin, NOT('11 Mic'!$I65="")),'11 Mic'!$I65,0)</f>
        <v>0</v>
      </c>
      <c r="AD65">
        <f>IF(AND('11 Mic'!F65&gt;Tmin, NOT('11 Mic'!$I65="")),'11 Mic'!$I65,0)</f>
        <v>0</v>
      </c>
      <c r="AE65">
        <f>IF(AND('11 Mic'!C65&lt;Tmax, NOT('11 Mic'!$H65="")),'11 Mic'!$H65,4)</f>
        <v>4</v>
      </c>
      <c r="AF65">
        <f>IF(AND('11 Mic'!D65&lt;Tmax, NOT('11 Mic'!$H65="")),'11 Mic'!$H65,4)</f>
        <v>4</v>
      </c>
      <c r="AG65">
        <f>IF(AND('11 Mic'!E65&lt;Tmax, NOT('11 Mic'!$H65="")),'11 Mic'!$H65,4)</f>
        <v>4</v>
      </c>
      <c r="AH65">
        <f>IF(AND('11 Mic'!F65&lt;Tmax, NOT('11 Mic'!$H65="")),'11 Mic'!$H65,4)</f>
        <v>4</v>
      </c>
      <c r="AI65"/>
    </row>
    <row r="66" spans="1:35" s="648" customFormat="1" ht="22.5" outlineLevel="2" x14ac:dyDescent="0.2">
      <c r="A66" s="601" t="s">
        <v>2431</v>
      </c>
      <c r="B66" s="601" t="s">
        <v>4284</v>
      </c>
      <c r="C66" s="642"/>
      <c r="D66" s="635"/>
      <c r="E66" s="635"/>
      <c r="F66" s="635"/>
      <c r="G66" s="1515">
        <v>2</v>
      </c>
      <c r="H66" s="1515"/>
      <c r="I66" s="1516"/>
      <c r="J66" s="1515" t="s">
        <v>1592</v>
      </c>
      <c r="K66" s="1516"/>
      <c r="L66" s="1516" t="s">
        <v>4345</v>
      </c>
      <c r="M66" s="647"/>
      <c r="N66" s="611"/>
      <c r="O66" s="611"/>
      <c r="P66" s="611"/>
      <c r="Q66" s="611"/>
      <c r="R66" s="611"/>
      <c r="S66" s="611"/>
      <c r="T66" s="611"/>
      <c r="U66" s="611"/>
      <c r="V66" s="611"/>
      <c r="W66" s="611"/>
      <c r="X66" s="611"/>
      <c r="Y66" s="611"/>
      <c r="Z66" s="611"/>
      <c r="AA66">
        <f>IF(AND('11 Mic'!C66&gt;Tmin, NOT('11 Mic'!$I66="")),'11 Mic'!$I66,0)</f>
        <v>0</v>
      </c>
      <c r="AB66">
        <f>IF(AND('11 Mic'!D66&gt;Tmin, NOT('11 Mic'!$I66="")),'11 Mic'!$I66,0)</f>
        <v>0</v>
      </c>
      <c r="AC66">
        <f>IF(AND('11 Mic'!E66&gt;Tmin, NOT('11 Mic'!$I66="")),'11 Mic'!$I66,0)</f>
        <v>0</v>
      </c>
      <c r="AD66">
        <f>IF(AND('11 Mic'!F66&gt;Tmin, NOT('11 Mic'!$I66="")),'11 Mic'!$I66,0)</f>
        <v>0</v>
      </c>
      <c r="AE66">
        <f>IF(AND('11 Mic'!C66&lt;Tmax, NOT('11 Mic'!$H66="")),'11 Mic'!$H66,4)</f>
        <v>4</v>
      </c>
      <c r="AF66">
        <f>IF(AND('11 Mic'!D66&lt;Tmax, NOT('11 Mic'!$H66="")),'11 Mic'!$H66,4)</f>
        <v>4</v>
      </c>
      <c r="AG66">
        <f>IF(AND('11 Mic'!E66&lt;Tmax, NOT('11 Mic'!$H66="")),'11 Mic'!$H66,4)</f>
        <v>4</v>
      </c>
      <c r="AH66">
        <f>IF(AND('11 Mic'!F66&lt;Tmax, NOT('11 Mic'!$H66="")),'11 Mic'!$H66,4)</f>
        <v>4</v>
      </c>
      <c r="AI66"/>
    </row>
    <row r="67" spans="1:35" s="648" customFormat="1" outlineLevel="2" x14ac:dyDescent="0.2">
      <c r="A67" s="601" t="s">
        <v>2432</v>
      </c>
      <c r="B67" s="601" t="s">
        <v>4346</v>
      </c>
      <c r="C67" s="642"/>
      <c r="D67" s="635"/>
      <c r="E67" s="635"/>
      <c r="F67" s="635"/>
      <c r="G67" s="1515">
        <v>2</v>
      </c>
      <c r="H67" s="1515"/>
      <c r="I67" s="1516"/>
      <c r="J67" s="1515" t="s">
        <v>2349</v>
      </c>
      <c r="K67" s="1516"/>
      <c r="L67" s="1516"/>
      <c r="M67" s="647"/>
      <c r="N67" s="611"/>
      <c r="O67" s="611"/>
      <c r="P67" s="611"/>
      <c r="Q67" s="611"/>
      <c r="R67" s="611"/>
      <c r="S67" s="611"/>
      <c r="T67" s="611"/>
      <c r="U67" s="611"/>
      <c r="V67" s="611"/>
      <c r="W67" s="611"/>
      <c r="X67" s="611"/>
      <c r="Y67" s="611"/>
      <c r="Z67" s="611"/>
      <c r="AA67">
        <f>IF(AND('11 Mic'!C67&gt;Tmin, NOT('11 Mic'!$I67="")),'11 Mic'!$I67,0)</f>
        <v>0</v>
      </c>
      <c r="AB67">
        <f>IF(AND('11 Mic'!D67&gt;Tmin, NOT('11 Mic'!$I67="")),'11 Mic'!$I67,0)</f>
        <v>0</v>
      </c>
      <c r="AC67">
        <f>IF(AND('11 Mic'!E67&gt;Tmin, NOT('11 Mic'!$I67="")),'11 Mic'!$I67,0)</f>
        <v>0</v>
      </c>
      <c r="AD67">
        <f>IF(AND('11 Mic'!F67&gt;Tmin, NOT('11 Mic'!$I67="")),'11 Mic'!$I67,0)</f>
        <v>0</v>
      </c>
      <c r="AE67">
        <f>IF(AND('11 Mic'!C67&lt;Tmax, NOT('11 Mic'!$H67="")),'11 Mic'!$H67,4)</f>
        <v>4</v>
      </c>
      <c r="AF67">
        <f>IF(AND('11 Mic'!D67&lt;Tmax, NOT('11 Mic'!$H67="")),'11 Mic'!$H67,4)</f>
        <v>4</v>
      </c>
      <c r="AG67">
        <f>IF(AND('11 Mic'!E67&lt;Tmax, NOT('11 Mic'!$H67="")),'11 Mic'!$H67,4)</f>
        <v>4</v>
      </c>
      <c r="AH67">
        <f>IF(AND('11 Mic'!F67&lt;Tmax, NOT('11 Mic'!$H67="")),'11 Mic'!$H67,4)</f>
        <v>4</v>
      </c>
      <c r="AI67"/>
    </row>
    <row r="68" spans="1:35" s="648" customFormat="1" outlineLevel="2" x14ac:dyDescent="0.2">
      <c r="A68" s="601" t="s">
        <v>2433</v>
      </c>
      <c r="B68" s="601" t="s">
        <v>4347</v>
      </c>
      <c r="C68" s="642"/>
      <c r="D68" s="635"/>
      <c r="E68" s="635"/>
      <c r="F68" s="635"/>
      <c r="G68" s="1515">
        <v>2</v>
      </c>
      <c r="H68" s="1515"/>
      <c r="I68" s="1516"/>
      <c r="J68" s="1515" t="s">
        <v>2109</v>
      </c>
      <c r="K68" s="1516"/>
      <c r="L68" s="1516"/>
      <c r="M68" s="647"/>
      <c r="N68" s="611"/>
      <c r="O68" s="611"/>
      <c r="P68" s="611"/>
      <c r="Q68" s="611"/>
      <c r="R68" s="611"/>
      <c r="S68" s="611"/>
      <c r="T68" s="611"/>
      <c r="U68" s="611"/>
      <c r="V68" s="611"/>
      <c r="W68" s="611"/>
      <c r="X68" s="611"/>
      <c r="Y68" s="611"/>
      <c r="Z68" s="611"/>
      <c r="AA68">
        <f>IF(AND('11 Mic'!C68&gt;Tmin, NOT('11 Mic'!$I68="")),'11 Mic'!$I68,0)</f>
        <v>0</v>
      </c>
      <c r="AB68">
        <f>IF(AND('11 Mic'!D68&gt;Tmin, NOT('11 Mic'!$I68="")),'11 Mic'!$I68,0)</f>
        <v>0</v>
      </c>
      <c r="AC68">
        <f>IF(AND('11 Mic'!E68&gt;Tmin, NOT('11 Mic'!$I68="")),'11 Mic'!$I68,0)</f>
        <v>0</v>
      </c>
      <c r="AD68">
        <f>IF(AND('11 Mic'!F68&gt;Tmin, NOT('11 Mic'!$I68="")),'11 Mic'!$I68,0)</f>
        <v>0</v>
      </c>
      <c r="AE68">
        <f>IF(AND('11 Mic'!C68&lt;Tmax, NOT('11 Mic'!$H68="")),'11 Mic'!$H68,4)</f>
        <v>4</v>
      </c>
      <c r="AF68">
        <f>IF(AND('11 Mic'!D68&lt;Tmax, NOT('11 Mic'!$H68="")),'11 Mic'!$H68,4)</f>
        <v>4</v>
      </c>
      <c r="AG68">
        <f>IF(AND('11 Mic'!E68&lt;Tmax, NOT('11 Mic'!$H68="")),'11 Mic'!$H68,4)</f>
        <v>4</v>
      </c>
      <c r="AH68">
        <f>IF(AND('11 Mic'!F68&lt;Tmax, NOT('11 Mic'!$H68="")),'11 Mic'!$H68,4)</f>
        <v>4</v>
      </c>
      <c r="AI68"/>
    </row>
    <row r="69" spans="1:35" s="648" customFormat="1" x14ac:dyDescent="0.2">
      <c r="A69" s="602" t="s">
        <v>2868</v>
      </c>
      <c r="B69" s="602" t="s">
        <v>4230</v>
      </c>
      <c r="C69" s="642"/>
      <c r="D69" s="642"/>
      <c r="E69" s="642"/>
      <c r="F69" s="642"/>
      <c r="G69" s="1524"/>
      <c r="H69" s="1524"/>
      <c r="I69" s="1516"/>
      <c r="J69" s="1515"/>
      <c r="K69" s="1516"/>
      <c r="L69" s="1516"/>
      <c r="M69" s="647"/>
      <c r="N69" s="611"/>
      <c r="O69" s="611"/>
      <c r="P69" s="611"/>
      <c r="Q69" s="611"/>
      <c r="R69" s="611"/>
      <c r="S69" s="611"/>
      <c r="T69" s="611"/>
      <c r="U69" s="611"/>
      <c r="V69" s="611"/>
      <c r="W69" s="611"/>
      <c r="X69" s="611"/>
      <c r="Y69" s="611"/>
      <c r="Z69" s="611"/>
      <c r="AA69"/>
      <c r="AB69"/>
      <c r="AC69"/>
      <c r="AD69"/>
      <c r="AE69"/>
      <c r="AF69"/>
      <c r="AG69"/>
      <c r="AH69"/>
      <c r="AI69"/>
    </row>
    <row r="70" spans="1:35" s="648" customFormat="1" ht="21" outlineLevel="1" x14ac:dyDescent="0.2">
      <c r="A70" s="677" t="s">
        <v>12</v>
      </c>
      <c r="B70" s="678" t="s">
        <v>5745</v>
      </c>
      <c r="C70" s="642"/>
      <c r="D70" s="642"/>
      <c r="E70" s="642"/>
      <c r="F70" s="642"/>
      <c r="G70" s="1515"/>
      <c r="H70" s="1515"/>
      <c r="I70" s="1516"/>
      <c r="J70" s="1515"/>
      <c r="K70" s="1516"/>
      <c r="L70" s="1516"/>
      <c r="M70" s="647"/>
      <c r="N70" s="611"/>
      <c r="O70" s="611"/>
      <c r="P70" s="611"/>
      <c r="Q70" s="611"/>
      <c r="R70" s="611"/>
      <c r="S70" s="611"/>
      <c r="T70" s="611"/>
      <c r="U70" s="611"/>
      <c r="V70" s="611"/>
      <c r="W70" s="611"/>
      <c r="X70" s="611"/>
      <c r="Y70" s="611"/>
      <c r="Z70" s="611"/>
      <c r="AA70"/>
      <c r="AB70"/>
      <c r="AC70"/>
      <c r="AD70"/>
      <c r="AE70"/>
      <c r="AF70"/>
      <c r="AG70"/>
      <c r="AH70"/>
      <c r="AI70"/>
    </row>
    <row r="71" spans="1:35" s="648" customFormat="1" ht="22.5" outlineLevel="2" x14ac:dyDescent="0.2">
      <c r="A71" s="601" t="s">
        <v>2873</v>
      </c>
      <c r="B71" s="601" t="s">
        <v>5701</v>
      </c>
      <c r="C71" s="642"/>
      <c r="D71" s="642"/>
      <c r="E71" s="642"/>
      <c r="F71" s="642"/>
      <c r="G71" s="1515">
        <v>4</v>
      </c>
      <c r="H71" s="1515"/>
      <c r="I71" s="1516"/>
      <c r="J71" s="1515" t="s">
        <v>1592</v>
      </c>
      <c r="K71" s="1458" t="s">
        <v>7164</v>
      </c>
      <c r="L71" s="1516" t="s">
        <v>7407</v>
      </c>
      <c r="M71" s="647"/>
      <c r="N71" s="611"/>
      <c r="O71" s="611"/>
      <c r="P71" s="611"/>
      <c r="Q71" s="611"/>
      <c r="R71" s="611"/>
      <c r="S71" s="611"/>
      <c r="T71" s="611"/>
      <c r="U71" s="611"/>
      <c r="V71" s="611"/>
      <c r="W71" s="611"/>
      <c r="X71" s="611"/>
      <c r="Y71" s="611"/>
      <c r="Z71" s="611"/>
      <c r="AA71">
        <f>IF(AND('11 Mic'!C71&gt;Tmin, NOT('11 Mic'!$I71="")),'11 Mic'!$I71,0)</f>
        <v>0</v>
      </c>
      <c r="AB71">
        <f>IF(AND('11 Mic'!D71&gt;Tmin, NOT('11 Mic'!$I71="")),'11 Mic'!$I71,0)</f>
        <v>0</v>
      </c>
      <c r="AC71">
        <f>IF(AND('11 Mic'!E71&gt;Tmin, NOT('11 Mic'!$I71="")),'11 Mic'!$I71,0)</f>
        <v>0</v>
      </c>
      <c r="AD71">
        <f>IF(AND('11 Mic'!F71&gt;Tmin, NOT('11 Mic'!$I71="")),'11 Mic'!$I71,0)</f>
        <v>0</v>
      </c>
      <c r="AE71">
        <f>IF(AND('11 Mic'!C71&lt;Tmax, NOT('11 Mic'!$H71="")),'11 Mic'!$H71,4)</f>
        <v>4</v>
      </c>
      <c r="AF71">
        <f>IF(AND('11 Mic'!D71&lt;Tmax, NOT('11 Mic'!$H71="")),'11 Mic'!$H71,4)</f>
        <v>4</v>
      </c>
      <c r="AG71">
        <f>IF(AND('11 Mic'!E71&lt;Tmax, NOT('11 Mic'!$H71="")),'11 Mic'!$H71,4)</f>
        <v>4</v>
      </c>
      <c r="AH71">
        <f>IF(AND('11 Mic'!F71&lt;Tmax, NOT('11 Mic'!$H71="")),'11 Mic'!$H71,4)</f>
        <v>4</v>
      </c>
      <c r="AI71"/>
    </row>
    <row r="72" spans="1:35" s="648" customFormat="1" outlineLevel="2" x14ac:dyDescent="0.2">
      <c r="A72" s="601" t="s">
        <v>1884</v>
      </c>
      <c r="B72" s="601" t="s">
        <v>4231</v>
      </c>
      <c r="C72" s="642"/>
      <c r="D72" s="642"/>
      <c r="E72" s="642"/>
      <c r="F72" s="642"/>
      <c r="G72" s="1515">
        <v>3</v>
      </c>
      <c r="H72" s="1515"/>
      <c r="I72" s="1516"/>
      <c r="J72" s="1515" t="s">
        <v>2329</v>
      </c>
      <c r="K72" s="1516"/>
      <c r="L72" s="1516"/>
      <c r="M72" s="647"/>
      <c r="N72" s="611"/>
      <c r="O72" s="611"/>
      <c r="P72" s="611"/>
      <c r="Q72" s="611"/>
      <c r="R72" s="611"/>
      <c r="S72" s="611"/>
      <c r="T72" s="611"/>
      <c r="U72" s="611"/>
      <c r="V72" s="611"/>
      <c r="W72" s="611"/>
      <c r="X72" s="611"/>
      <c r="Y72" s="611"/>
      <c r="Z72" s="611"/>
      <c r="AA72">
        <f>IF(AND('11 Mic'!C72&gt;Tmin, NOT('11 Mic'!$I72="")),'11 Mic'!$I72,0)</f>
        <v>0</v>
      </c>
      <c r="AB72">
        <f>IF(AND('11 Mic'!D72&gt;Tmin, NOT('11 Mic'!$I72="")),'11 Mic'!$I72,0)</f>
        <v>0</v>
      </c>
      <c r="AC72">
        <f>IF(AND('11 Mic'!E72&gt;Tmin, NOT('11 Mic'!$I72="")),'11 Mic'!$I72,0)</f>
        <v>0</v>
      </c>
      <c r="AD72">
        <f>IF(AND('11 Mic'!F72&gt;Tmin, NOT('11 Mic'!$I72="")),'11 Mic'!$I72,0)</f>
        <v>0</v>
      </c>
      <c r="AE72">
        <f>IF(AND('11 Mic'!C72&lt;Tmax, NOT('11 Mic'!$H72="")),'11 Mic'!$H72,4)</f>
        <v>4</v>
      </c>
      <c r="AF72">
        <f>IF(AND('11 Mic'!D72&lt;Tmax, NOT('11 Mic'!$H72="")),'11 Mic'!$H72,4)</f>
        <v>4</v>
      </c>
      <c r="AG72">
        <f>IF(AND('11 Mic'!E72&lt;Tmax, NOT('11 Mic'!$H72="")),'11 Mic'!$H72,4)</f>
        <v>4</v>
      </c>
      <c r="AH72">
        <f>IF(AND('11 Mic'!F72&lt;Tmax, NOT('11 Mic'!$H72="")),'11 Mic'!$H72,4)</f>
        <v>4</v>
      </c>
      <c r="AI72"/>
    </row>
    <row r="73" spans="1:35" s="648" customFormat="1" ht="22.5" outlineLevel="2" x14ac:dyDescent="0.2">
      <c r="A73" s="601" t="s">
        <v>1885</v>
      </c>
      <c r="B73" s="601" t="s">
        <v>6279</v>
      </c>
      <c r="C73" s="642"/>
      <c r="D73" s="642"/>
      <c r="E73" s="642"/>
      <c r="F73" s="642"/>
      <c r="G73" s="1515">
        <v>4</v>
      </c>
      <c r="H73" s="1515"/>
      <c r="I73" s="1516"/>
      <c r="J73" s="1515" t="s">
        <v>1592</v>
      </c>
      <c r="K73" s="1516"/>
      <c r="L73" s="1516"/>
      <c r="M73" s="647"/>
      <c r="N73" s="611"/>
      <c r="O73" s="611"/>
      <c r="P73" s="611"/>
      <c r="Q73" s="611"/>
      <c r="R73" s="611"/>
      <c r="S73" s="611"/>
      <c r="T73" s="611"/>
      <c r="U73" s="611"/>
      <c r="V73" s="611"/>
      <c r="W73" s="611"/>
      <c r="X73" s="611"/>
      <c r="Y73" s="611"/>
      <c r="Z73" s="611"/>
      <c r="AA73">
        <f>IF(AND('11 Mic'!C73&gt;Tmin, NOT('11 Mic'!$I73="")),'11 Mic'!$I73,0)</f>
        <v>0</v>
      </c>
      <c r="AB73">
        <f>IF(AND('11 Mic'!D73&gt;Tmin, NOT('11 Mic'!$I73="")),'11 Mic'!$I73,0)</f>
        <v>0</v>
      </c>
      <c r="AC73">
        <f>IF(AND('11 Mic'!E73&gt;Tmin, NOT('11 Mic'!$I73="")),'11 Mic'!$I73,0)</f>
        <v>0</v>
      </c>
      <c r="AD73">
        <f>IF(AND('11 Mic'!F73&gt;Tmin, NOT('11 Mic'!$I73="")),'11 Mic'!$I73,0)</f>
        <v>0</v>
      </c>
      <c r="AE73">
        <f>IF(AND('11 Mic'!C73&lt;Tmax, NOT('11 Mic'!$H73="")),'11 Mic'!$H73,4)</f>
        <v>4</v>
      </c>
      <c r="AF73">
        <f>IF(AND('11 Mic'!D73&lt;Tmax, NOT('11 Mic'!$H73="")),'11 Mic'!$H73,4)</f>
        <v>4</v>
      </c>
      <c r="AG73">
        <f>IF(AND('11 Mic'!E73&lt;Tmax, NOT('11 Mic'!$H73="")),'11 Mic'!$H73,4)</f>
        <v>4</v>
      </c>
      <c r="AH73">
        <f>IF(AND('11 Mic'!F73&lt;Tmax, NOT('11 Mic'!$H73="")),'11 Mic'!$H73,4)</f>
        <v>4</v>
      </c>
      <c r="AI73"/>
    </row>
    <row r="74" spans="1:35" s="648" customFormat="1" ht="22.5" outlineLevel="2" x14ac:dyDescent="0.2">
      <c r="A74" s="601" t="s">
        <v>1886</v>
      </c>
      <c r="B74" s="601" t="s">
        <v>3771</v>
      </c>
      <c r="C74" s="642"/>
      <c r="D74" s="642"/>
      <c r="E74" s="642"/>
      <c r="F74" s="642"/>
      <c r="G74" s="1515">
        <v>4</v>
      </c>
      <c r="H74" s="1515"/>
      <c r="I74" s="1516"/>
      <c r="J74" s="1515" t="s">
        <v>1592</v>
      </c>
      <c r="K74" s="1516"/>
      <c r="L74" s="1516"/>
      <c r="M74" s="647"/>
      <c r="N74" s="611"/>
      <c r="O74" s="611"/>
      <c r="P74" s="611"/>
      <c r="Q74" s="611"/>
      <c r="R74" s="611"/>
      <c r="S74" s="611"/>
      <c r="T74" s="611"/>
      <c r="U74" s="611"/>
      <c r="V74" s="611"/>
      <c r="W74" s="611"/>
      <c r="X74" s="611"/>
      <c r="Y74" s="611"/>
      <c r="Z74" s="611"/>
      <c r="AA74">
        <f>IF(AND('11 Mic'!C74&gt;Tmin, NOT('11 Mic'!$I74="")),'11 Mic'!$I74,0)</f>
        <v>0</v>
      </c>
      <c r="AB74">
        <f>IF(AND('11 Mic'!D74&gt;Tmin, NOT('11 Mic'!$I74="")),'11 Mic'!$I74,0)</f>
        <v>0</v>
      </c>
      <c r="AC74">
        <f>IF(AND('11 Mic'!E74&gt;Tmin, NOT('11 Mic'!$I74="")),'11 Mic'!$I74,0)</f>
        <v>0</v>
      </c>
      <c r="AD74">
        <f>IF(AND('11 Mic'!F74&gt;Tmin, NOT('11 Mic'!$I74="")),'11 Mic'!$I74,0)</f>
        <v>0</v>
      </c>
      <c r="AE74">
        <f>IF(AND('11 Mic'!C74&lt;Tmax, NOT('11 Mic'!$H74="")),'11 Mic'!$H74,4)</f>
        <v>4</v>
      </c>
      <c r="AF74">
        <f>IF(AND('11 Mic'!D74&lt;Tmax, NOT('11 Mic'!$H74="")),'11 Mic'!$H74,4)</f>
        <v>4</v>
      </c>
      <c r="AG74">
        <f>IF(AND('11 Mic'!E74&lt;Tmax, NOT('11 Mic'!$H74="")),'11 Mic'!$H74,4)</f>
        <v>4</v>
      </c>
      <c r="AH74">
        <f>IF(AND('11 Mic'!F74&lt;Tmax, NOT('11 Mic'!$H74="")),'11 Mic'!$H74,4)</f>
        <v>4</v>
      </c>
      <c r="AI74"/>
    </row>
    <row r="75" spans="1:35" s="648" customFormat="1" ht="22.5" outlineLevel="2" x14ac:dyDescent="0.2">
      <c r="A75" s="601" t="s">
        <v>4151</v>
      </c>
      <c r="B75" s="601" t="s">
        <v>4232</v>
      </c>
      <c r="C75" s="642"/>
      <c r="D75" s="642"/>
      <c r="E75" s="642"/>
      <c r="F75" s="642"/>
      <c r="G75" s="1515">
        <v>4</v>
      </c>
      <c r="H75" s="1515"/>
      <c r="I75" s="1516"/>
      <c r="J75" s="1515" t="s">
        <v>1592</v>
      </c>
      <c r="K75" s="1516"/>
      <c r="L75" s="1516"/>
      <c r="M75" s="647"/>
      <c r="N75" s="611"/>
      <c r="O75" s="611"/>
      <c r="P75" s="611"/>
      <c r="Q75" s="611"/>
      <c r="R75" s="611"/>
      <c r="S75" s="611"/>
      <c r="T75" s="611"/>
      <c r="U75" s="611"/>
      <c r="V75" s="611"/>
      <c r="W75" s="611"/>
      <c r="X75" s="611"/>
      <c r="Y75" s="611"/>
      <c r="Z75" s="611"/>
      <c r="AA75">
        <f>IF(AND('11 Mic'!C75&gt;Tmin, NOT('11 Mic'!$I75="")),'11 Mic'!$I75,0)</f>
        <v>0</v>
      </c>
      <c r="AB75">
        <f>IF(AND('11 Mic'!D75&gt;Tmin, NOT('11 Mic'!$I75="")),'11 Mic'!$I75,0)</f>
        <v>0</v>
      </c>
      <c r="AC75">
        <f>IF(AND('11 Mic'!E75&gt;Tmin, NOT('11 Mic'!$I75="")),'11 Mic'!$I75,0)</f>
        <v>0</v>
      </c>
      <c r="AD75">
        <f>IF(AND('11 Mic'!F75&gt;Tmin, NOT('11 Mic'!$I75="")),'11 Mic'!$I75,0)</f>
        <v>0</v>
      </c>
      <c r="AE75">
        <f>IF(AND('11 Mic'!C75&lt;Tmax, NOT('11 Mic'!$H75="")),'11 Mic'!$H75,4)</f>
        <v>4</v>
      </c>
      <c r="AF75">
        <f>IF(AND('11 Mic'!D75&lt;Tmax, NOT('11 Mic'!$H75="")),'11 Mic'!$H75,4)</f>
        <v>4</v>
      </c>
      <c r="AG75">
        <f>IF(AND('11 Mic'!E75&lt;Tmax, NOT('11 Mic'!$H75="")),'11 Mic'!$H75,4)</f>
        <v>4</v>
      </c>
      <c r="AH75">
        <f>IF(AND('11 Mic'!F75&lt;Tmax, NOT('11 Mic'!$H75="")),'11 Mic'!$H75,4)</f>
        <v>4</v>
      </c>
      <c r="AI75"/>
    </row>
    <row r="76" spans="1:35" s="648" customFormat="1" ht="22.5" outlineLevel="2" x14ac:dyDescent="0.2">
      <c r="A76" s="601" t="s">
        <v>4153</v>
      </c>
      <c r="B76" s="601" t="s">
        <v>4233</v>
      </c>
      <c r="C76" s="642"/>
      <c r="D76" s="642"/>
      <c r="E76" s="642"/>
      <c r="F76" s="642"/>
      <c r="G76" s="1515">
        <v>2</v>
      </c>
      <c r="H76" s="1515"/>
      <c r="I76" s="1516"/>
      <c r="J76" s="1515" t="s">
        <v>2329</v>
      </c>
      <c r="K76" s="1516"/>
      <c r="L76" s="1516"/>
      <c r="M76" s="647"/>
      <c r="N76" s="611"/>
      <c r="O76" s="611"/>
      <c r="P76" s="611"/>
      <c r="Q76" s="611"/>
      <c r="R76" s="611"/>
      <c r="S76" s="611"/>
      <c r="T76" s="611"/>
      <c r="U76" s="611"/>
      <c r="V76" s="611"/>
      <c r="W76" s="611"/>
      <c r="X76" s="611"/>
      <c r="Y76" s="611"/>
      <c r="Z76" s="611"/>
      <c r="AA76">
        <f>IF(AND('11 Mic'!C76&gt;Tmin, NOT('11 Mic'!$I76="")),'11 Mic'!$I76,0)</f>
        <v>0</v>
      </c>
      <c r="AB76">
        <f>IF(AND('11 Mic'!D76&gt;Tmin, NOT('11 Mic'!$I76="")),'11 Mic'!$I76,0)</f>
        <v>0</v>
      </c>
      <c r="AC76">
        <f>IF(AND('11 Mic'!E76&gt;Tmin, NOT('11 Mic'!$I76="")),'11 Mic'!$I76,0)</f>
        <v>0</v>
      </c>
      <c r="AD76">
        <f>IF(AND('11 Mic'!F76&gt;Tmin, NOT('11 Mic'!$I76="")),'11 Mic'!$I76,0)</f>
        <v>0</v>
      </c>
      <c r="AE76">
        <f>IF(AND('11 Mic'!C76&lt;Tmax, NOT('11 Mic'!$H76="")),'11 Mic'!$H76,4)</f>
        <v>4</v>
      </c>
      <c r="AF76">
        <f>IF(AND('11 Mic'!D76&lt;Tmax, NOT('11 Mic'!$H76="")),'11 Mic'!$H76,4)</f>
        <v>4</v>
      </c>
      <c r="AG76">
        <f>IF(AND('11 Mic'!E76&lt;Tmax, NOT('11 Mic'!$H76="")),'11 Mic'!$H76,4)</f>
        <v>4</v>
      </c>
      <c r="AH76">
        <f>IF(AND('11 Mic'!F76&lt;Tmax, NOT('11 Mic'!$H76="")),'11 Mic'!$H76,4)</f>
        <v>4</v>
      </c>
      <c r="AI76"/>
    </row>
    <row r="77" spans="1:35" s="648" customFormat="1" ht="22.5" outlineLevel="2" x14ac:dyDescent="0.2">
      <c r="A77" s="601" t="s">
        <v>4154</v>
      </c>
      <c r="B77" s="601" t="s">
        <v>4235</v>
      </c>
      <c r="C77" s="642"/>
      <c r="D77" s="642"/>
      <c r="E77" s="642"/>
      <c r="F77" s="642"/>
      <c r="G77" s="1515">
        <v>2</v>
      </c>
      <c r="H77" s="1515"/>
      <c r="I77" s="1516"/>
      <c r="J77" s="1515" t="s">
        <v>2329</v>
      </c>
      <c r="K77" s="1516"/>
      <c r="L77" s="1516"/>
      <c r="M77" s="647"/>
      <c r="N77" s="611"/>
      <c r="O77" s="611"/>
      <c r="P77" s="611"/>
      <c r="Q77" s="611"/>
      <c r="R77" s="611"/>
      <c r="S77" s="611"/>
      <c r="T77" s="611"/>
      <c r="U77" s="611"/>
      <c r="V77" s="611"/>
      <c r="W77" s="611"/>
      <c r="X77" s="611"/>
      <c r="Y77" s="611"/>
      <c r="Z77" s="611"/>
      <c r="AA77">
        <f>IF(AND('11 Mic'!C77&gt;Tmin, NOT('11 Mic'!$I77="")),'11 Mic'!$I77,0)</f>
        <v>0</v>
      </c>
      <c r="AB77">
        <f>IF(AND('11 Mic'!D77&gt;Tmin, NOT('11 Mic'!$I77="")),'11 Mic'!$I77,0)</f>
        <v>0</v>
      </c>
      <c r="AC77">
        <f>IF(AND('11 Mic'!E77&gt;Tmin, NOT('11 Mic'!$I77="")),'11 Mic'!$I77,0)</f>
        <v>0</v>
      </c>
      <c r="AD77">
        <f>IF(AND('11 Mic'!F77&gt;Tmin, NOT('11 Mic'!$I77="")),'11 Mic'!$I77,0)</f>
        <v>0</v>
      </c>
      <c r="AE77">
        <f>IF(AND('11 Mic'!C77&lt;Tmax, NOT('11 Mic'!$H77="")),'11 Mic'!$H77,4)</f>
        <v>4</v>
      </c>
      <c r="AF77">
        <f>IF(AND('11 Mic'!D77&lt;Tmax, NOT('11 Mic'!$H77="")),'11 Mic'!$H77,4)</f>
        <v>4</v>
      </c>
      <c r="AG77">
        <f>IF(AND('11 Mic'!E77&lt;Tmax, NOT('11 Mic'!$H77="")),'11 Mic'!$H77,4)</f>
        <v>4</v>
      </c>
      <c r="AH77">
        <f>IF(AND('11 Mic'!F77&lt;Tmax, NOT('11 Mic'!$H77="")),'11 Mic'!$H77,4)</f>
        <v>4</v>
      </c>
      <c r="AI77"/>
    </row>
    <row r="78" spans="1:35" s="648" customFormat="1" outlineLevel="2" x14ac:dyDescent="0.2">
      <c r="A78" s="601" t="s">
        <v>5865</v>
      </c>
      <c r="B78" s="601" t="s">
        <v>4176</v>
      </c>
      <c r="C78" s="642"/>
      <c r="D78" s="642"/>
      <c r="E78" s="642"/>
      <c r="F78" s="642"/>
      <c r="G78" s="1515">
        <v>3</v>
      </c>
      <c r="H78" s="1515"/>
      <c r="I78" s="1516"/>
      <c r="J78" s="1515" t="s">
        <v>2109</v>
      </c>
      <c r="K78" s="1516"/>
      <c r="L78" s="1516"/>
      <c r="M78" s="647"/>
      <c r="N78" s="611"/>
      <c r="O78" s="611"/>
      <c r="P78" s="611"/>
      <c r="Q78" s="611"/>
      <c r="R78" s="611"/>
      <c r="S78" s="611"/>
      <c r="T78" s="611"/>
      <c r="U78" s="611"/>
      <c r="V78" s="611"/>
      <c r="W78" s="611"/>
      <c r="X78" s="611"/>
      <c r="Y78" s="611"/>
      <c r="Z78" s="611"/>
      <c r="AA78">
        <f>IF(AND('11 Mic'!C78&gt;Tmin, NOT('11 Mic'!$I78="")),'11 Mic'!$I78,0)</f>
        <v>0</v>
      </c>
      <c r="AB78">
        <f>IF(AND('11 Mic'!D78&gt;Tmin, NOT('11 Mic'!$I78="")),'11 Mic'!$I78,0)</f>
        <v>0</v>
      </c>
      <c r="AC78">
        <f>IF(AND('11 Mic'!E78&gt;Tmin, NOT('11 Mic'!$I78="")),'11 Mic'!$I78,0)</f>
        <v>0</v>
      </c>
      <c r="AD78">
        <f>IF(AND('11 Mic'!F78&gt;Tmin, NOT('11 Mic'!$I78="")),'11 Mic'!$I78,0)</f>
        <v>0</v>
      </c>
      <c r="AE78">
        <f>IF(AND('11 Mic'!C78&lt;Tmax, NOT('11 Mic'!$H78="")),'11 Mic'!$H78,4)</f>
        <v>4</v>
      </c>
      <c r="AF78">
        <f>IF(AND('11 Mic'!D78&lt;Tmax, NOT('11 Mic'!$H78="")),'11 Mic'!$H78,4)</f>
        <v>4</v>
      </c>
      <c r="AG78">
        <f>IF(AND('11 Mic'!E78&lt;Tmax, NOT('11 Mic'!$H78="")),'11 Mic'!$H78,4)</f>
        <v>4</v>
      </c>
      <c r="AH78">
        <f>IF(AND('11 Mic'!F78&lt;Tmax, NOT('11 Mic'!$H78="")),'11 Mic'!$H78,4)</f>
        <v>4</v>
      </c>
      <c r="AI78"/>
    </row>
    <row r="79" spans="1:35" s="648" customFormat="1" ht="21" outlineLevel="1" x14ac:dyDescent="0.2">
      <c r="A79" s="677" t="s">
        <v>1320</v>
      </c>
      <c r="B79" s="678" t="s">
        <v>4869</v>
      </c>
      <c r="C79" s="642"/>
      <c r="D79" s="635"/>
      <c r="E79" s="635"/>
      <c r="F79" s="635"/>
      <c r="G79" s="1515"/>
      <c r="H79" s="1515"/>
      <c r="I79" s="1516"/>
      <c r="J79" s="1515"/>
      <c r="K79" s="1516"/>
      <c r="L79" s="1516"/>
      <c r="M79" s="647"/>
      <c r="N79" s="611"/>
      <c r="O79" s="611"/>
      <c r="P79" s="611"/>
      <c r="Q79" s="611"/>
      <c r="R79" s="611"/>
      <c r="S79" s="611"/>
      <c r="T79" s="611"/>
      <c r="U79" s="611"/>
      <c r="V79" s="611"/>
      <c r="W79" s="611"/>
      <c r="X79" s="611"/>
      <c r="Y79" s="611"/>
      <c r="Z79" s="611"/>
      <c r="AA79"/>
      <c r="AB79"/>
      <c r="AC79"/>
      <c r="AD79"/>
      <c r="AE79"/>
      <c r="AF79"/>
      <c r="AG79"/>
      <c r="AH79"/>
      <c r="AI79"/>
    </row>
    <row r="80" spans="1:35" s="648" customFormat="1" outlineLevel="2" x14ac:dyDescent="0.2">
      <c r="A80" s="601" t="s">
        <v>5866</v>
      </c>
      <c r="B80" s="601" t="s">
        <v>4259</v>
      </c>
      <c r="C80" s="642"/>
      <c r="D80" s="635"/>
      <c r="E80" s="635"/>
      <c r="F80" s="635"/>
      <c r="G80" s="1515">
        <v>4</v>
      </c>
      <c r="H80" s="1515"/>
      <c r="I80" s="1516"/>
      <c r="J80" s="1515" t="s">
        <v>1592</v>
      </c>
      <c r="K80" s="1516"/>
      <c r="L80" s="1516"/>
      <c r="M80" s="647"/>
      <c r="N80" s="611"/>
      <c r="O80" s="611"/>
      <c r="P80" s="611"/>
      <c r="Q80" s="611"/>
      <c r="R80" s="611"/>
      <c r="S80" s="611"/>
      <c r="T80" s="611"/>
      <c r="U80" s="611"/>
      <c r="V80" s="611"/>
      <c r="W80" s="611"/>
      <c r="X80" s="611"/>
      <c r="Y80" s="611"/>
      <c r="Z80" s="611"/>
      <c r="AA80">
        <f>IF(AND('11 Mic'!C80&gt;Tmin, NOT('11 Mic'!$I80="")),'11 Mic'!$I80,0)</f>
        <v>0</v>
      </c>
      <c r="AB80">
        <f>IF(AND('11 Mic'!D80&gt;Tmin, NOT('11 Mic'!$I80="")),'11 Mic'!$I80,0)</f>
        <v>0</v>
      </c>
      <c r="AC80">
        <f>IF(AND('11 Mic'!E80&gt;Tmin, NOT('11 Mic'!$I80="")),'11 Mic'!$I80,0)</f>
        <v>0</v>
      </c>
      <c r="AD80">
        <f>IF(AND('11 Mic'!F80&gt;Tmin, NOT('11 Mic'!$I80="")),'11 Mic'!$I80,0)</f>
        <v>0</v>
      </c>
      <c r="AE80">
        <f>IF(AND('11 Mic'!C80&lt;Tmax, NOT('11 Mic'!$H80="")),'11 Mic'!$H80,4)</f>
        <v>4</v>
      </c>
      <c r="AF80">
        <f>IF(AND('11 Mic'!D80&lt;Tmax, NOT('11 Mic'!$H80="")),'11 Mic'!$H80,4)</f>
        <v>4</v>
      </c>
      <c r="AG80">
        <f>IF(AND('11 Mic'!E80&lt;Tmax, NOT('11 Mic'!$H80="")),'11 Mic'!$H80,4)</f>
        <v>4</v>
      </c>
      <c r="AH80">
        <f>IF(AND('11 Mic'!F80&lt;Tmax, NOT('11 Mic'!$H80="")),'11 Mic'!$H80,4)</f>
        <v>4</v>
      </c>
      <c r="AI80"/>
    </row>
    <row r="81" spans="1:35" s="648" customFormat="1" outlineLevel="2" x14ac:dyDescent="0.2">
      <c r="A81" s="601" t="s">
        <v>5702</v>
      </c>
      <c r="B81" s="601" t="s">
        <v>6325</v>
      </c>
      <c r="C81" s="642"/>
      <c r="D81" s="635"/>
      <c r="E81" s="635"/>
      <c r="F81" s="635"/>
      <c r="G81" s="1515">
        <v>4</v>
      </c>
      <c r="H81" s="1515"/>
      <c r="I81" s="1516"/>
      <c r="J81" s="1515" t="s">
        <v>2329</v>
      </c>
      <c r="K81" s="1516"/>
      <c r="L81" s="1516"/>
      <c r="M81" s="647"/>
      <c r="N81" s="611"/>
      <c r="O81" s="611"/>
      <c r="P81" s="611"/>
      <c r="Q81" s="611"/>
      <c r="R81" s="611"/>
      <c r="S81" s="611"/>
      <c r="T81" s="611"/>
      <c r="U81" s="611"/>
      <c r="V81" s="611"/>
      <c r="W81" s="611"/>
      <c r="X81" s="611"/>
      <c r="Y81" s="611"/>
      <c r="Z81" s="611"/>
      <c r="AA81">
        <f>IF(AND('11 Mic'!C81&gt;Tmin, NOT('11 Mic'!$I81="")),'11 Mic'!$I81,0)</f>
        <v>0</v>
      </c>
      <c r="AB81">
        <f>IF(AND('11 Mic'!D81&gt;Tmin, NOT('11 Mic'!$I81="")),'11 Mic'!$I81,0)</f>
        <v>0</v>
      </c>
      <c r="AC81">
        <f>IF(AND('11 Mic'!E81&gt;Tmin, NOT('11 Mic'!$I81="")),'11 Mic'!$I81,0)</f>
        <v>0</v>
      </c>
      <c r="AD81">
        <f>IF(AND('11 Mic'!F81&gt;Tmin, NOT('11 Mic'!$I81="")),'11 Mic'!$I81,0)</f>
        <v>0</v>
      </c>
      <c r="AE81">
        <f>IF(AND('11 Mic'!C81&lt;Tmax, NOT('11 Mic'!$H81="")),'11 Mic'!$H81,4)</f>
        <v>4</v>
      </c>
      <c r="AF81">
        <f>IF(AND('11 Mic'!D81&lt;Tmax, NOT('11 Mic'!$H81="")),'11 Mic'!$H81,4)</f>
        <v>4</v>
      </c>
      <c r="AG81">
        <f>IF(AND('11 Mic'!E81&lt;Tmax, NOT('11 Mic'!$H81="")),'11 Mic'!$H81,4)</f>
        <v>4</v>
      </c>
      <c r="AH81">
        <f>IF(AND('11 Mic'!F81&lt;Tmax, NOT('11 Mic'!$H81="")),'11 Mic'!$H81,4)</f>
        <v>4</v>
      </c>
      <c r="AI81"/>
    </row>
    <row r="82" spans="1:35" s="648" customFormat="1" outlineLevel="2" x14ac:dyDescent="0.2">
      <c r="A82" s="601" t="s">
        <v>6326</v>
      </c>
      <c r="B82" s="601" t="s">
        <v>6371</v>
      </c>
      <c r="C82" s="642"/>
      <c r="D82" s="635"/>
      <c r="E82" s="635"/>
      <c r="F82" s="635"/>
      <c r="G82" s="1515">
        <v>4</v>
      </c>
      <c r="H82" s="1515"/>
      <c r="I82" s="1516"/>
      <c r="J82" s="1515" t="s">
        <v>1592</v>
      </c>
      <c r="K82" s="1516"/>
      <c r="L82" s="1516"/>
      <c r="M82" s="647"/>
      <c r="N82" s="611"/>
      <c r="O82" s="611"/>
      <c r="P82" s="611"/>
      <c r="Q82" s="611"/>
      <c r="R82" s="611"/>
      <c r="S82" s="611"/>
      <c r="T82" s="611"/>
      <c r="U82" s="611"/>
      <c r="V82" s="611"/>
      <c r="W82" s="611"/>
      <c r="X82" s="611"/>
      <c r="Y82" s="611"/>
      <c r="Z82" s="611"/>
      <c r="AA82">
        <f>IF(AND('11 Mic'!C82&gt;Tmin, NOT('11 Mic'!$I82="")),'11 Mic'!$I82,0)</f>
        <v>0</v>
      </c>
      <c r="AB82">
        <f>IF(AND('11 Mic'!D82&gt;Tmin, NOT('11 Mic'!$I82="")),'11 Mic'!$I82,0)</f>
        <v>0</v>
      </c>
      <c r="AC82">
        <f>IF(AND('11 Mic'!E82&gt;Tmin, NOT('11 Mic'!$I82="")),'11 Mic'!$I82,0)</f>
        <v>0</v>
      </c>
      <c r="AD82">
        <f>IF(AND('11 Mic'!F82&gt;Tmin, NOT('11 Mic'!$I82="")),'11 Mic'!$I82,0)</f>
        <v>0</v>
      </c>
      <c r="AE82">
        <f>IF(AND('11 Mic'!C82&lt;Tmax, NOT('11 Mic'!$H82="")),'11 Mic'!$H82,4)</f>
        <v>4</v>
      </c>
      <c r="AF82">
        <f>IF(AND('11 Mic'!D82&lt;Tmax, NOT('11 Mic'!$H82="")),'11 Mic'!$H82,4)</f>
        <v>4</v>
      </c>
      <c r="AG82">
        <f>IF(AND('11 Mic'!E82&lt;Tmax, NOT('11 Mic'!$H82="")),'11 Mic'!$H82,4)</f>
        <v>4</v>
      </c>
      <c r="AH82">
        <f>IF(AND('11 Mic'!F82&lt;Tmax, NOT('11 Mic'!$H82="")),'11 Mic'!$H82,4)</f>
        <v>4</v>
      </c>
      <c r="AI82"/>
    </row>
    <row r="83" spans="1:35" s="648" customFormat="1" outlineLevel="1" x14ac:dyDescent="0.2">
      <c r="A83" s="677" t="s">
        <v>1651</v>
      </c>
      <c r="B83" s="678" t="s">
        <v>1652</v>
      </c>
      <c r="C83" s="642"/>
      <c r="D83" s="642"/>
      <c r="E83" s="642"/>
      <c r="F83" s="642"/>
      <c r="G83" s="1515"/>
      <c r="H83" s="1515"/>
      <c r="I83" s="1516"/>
      <c r="J83" s="1515"/>
      <c r="K83" s="1516"/>
      <c r="L83" s="1516"/>
      <c r="M83" s="647"/>
      <c r="N83" s="611"/>
      <c r="O83" s="611"/>
      <c r="P83" s="611"/>
      <c r="Q83" s="611"/>
      <c r="R83" s="611"/>
      <c r="S83" s="611"/>
      <c r="T83" s="611"/>
      <c r="U83" s="611"/>
      <c r="V83" s="611"/>
      <c r="W83" s="611"/>
      <c r="X83" s="611"/>
      <c r="Y83" s="611"/>
      <c r="Z83" s="611"/>
      <c r="AA83"/>
      <c r="AB83"/>
      <c r="AC83"/>
      <c r="AD83"/>
      <c r="AE83"/>
      <c r="AF83"/>
      <c r="AG83"/>
      <c r="AH83"/>
      <c r="AI83"/>
    </row>
    <row r="84" spans="1:35" s="648" customFormat="1" ht="33.75" outlineLevel="2" x14ac:dyDescent="0.2">
      <c r="A84" s="601" t="s">
        <v>4177</v>
      </c>
      <c r="B84" s="601" t="s">
        <v>4236</v>
      </c>
      <c r="C84" s="642"/>
      <c r="D84" s="635"/>
      <c r="E84" s="635"/>
      <c r="F84" s="635"/>
      <c r="G84" s="1515">
        <v>4</v>
      </c>
      <c r="H84" s="1515"/>
      <c r="I84" s="1516"/>
      <c r="J84" s="1515" t="s">
        <v>1592</v>
      </c>
      <c r="K84" s="1516" t="s">
        <v>6970</v>
      </c>
      <c r="L84" s="1516" t="s">
        <v>6177</v>
      </c>
      <c r="M84" s="647"/>
      <c r="N84" s="611"/>
      <c r="O84" s="611"/>
      <c r="P84" s="611"/>
      <c r="Q84" s="611"/>
      <c r="R84" s="611"/>
      <c r="S84" s="611"/>
      <c r="T84" s="611"/>
      <c r="U84" s="611"/>
      <c r="V84" s="611"/>
      <c r="W84" s="611"/>
      <c r="X84" s="611"/>
      <c r="Y84" s="611"/>
      <c r="Z84" s="611"/>
      <c r="AA84">
        <f>IF(AND('11 Mic'!C84&gt;Tmin, NOT('11 Mic'!$I84="")),'11 Mic'!$I84,0)</f>
        <v>0</v>
      </c>
      <c r="AB84">
        <f>IF(AND('11 Mic'!D84&gt;Tmin, NOT('11 Mic'!$I84="")),'11 Mic'!$I84,0)</f>
        <v>0</v>
      </c>
      <c r="AC84">
        <f>IF(AND('11 Mic'!E84&gt;Tmin, NOT('11 Mic'!$I84="")),'11 Mic'!$I84,0)</f>
        <v>0</v>
      </c>
      <c r="AD84">
        <f>IF(AND('11 Mic'!F84&gt;Tmin, NOT('11 Mic'!$I84="")),'11 Mic'!$I84,0)</f>
        <v>0</v>
      </c>
      <c r="AE84">
        <f>IF(AND('11 Mic'!C84&lt;Tmax, NOT('11 Mic'!$H84="")),'11 Mic'!$H84,4)</f>
        <v>4</v>
      </c>
      <c r="AF84">
        <f>IF(AND('11 Mic'!D84&lt;Tmax, NOT('11 Mic'!$H84="")),'11 Mic'!$H84,4)</f>
        <v>4</v>
      </c>
      <c r="AG84">
        <f>IF(AND('11 Mic'!E84&lt;Tmax, NOT('11 Mic'!$H84="")),'11 Mic'!$H84,4)</f>
        <v>4</v>
      </c>
      <c r="AH84">
        <f>IF(AND('11 Mic'!F84&lt;Tmax, NOT('11 Mic'!$H84="")),'11 Mic'!$H84,4)</f>
        <v>4</v>
      </c>
      <c r="AI84"/>
    </row>
    <row r="85" spans="1:35" s="648" customFormat="1" ht="22.5" outlineLevel="2" x14ac:dyDescent="0.2">
      <c r="A85" s="601" t="s">
        <v>6178</v>
      </c>
      <c r="B85" s="601" t="s">
        <v>5197</v>
      </c>
      <c r="C85" s="642"/>
      <c r="D85" s="635"/>
      <c r="E85" s="635"/>
      <c r="F85" s="635"/>
      <c r="G85" s="1515">
        <v>2</v>
      </c>
      <c r="H85" s="1515"/>
      <c r="I85" s="1516"/>
      <c r="J85" s="1515" t="s">
        <v>1592</v>
      </c>
      <c r="K85" s="1516"/>
      <c r="L85" s="1516"/>
      <c r="M85" s="647"/>
      <c r="N85" s="611"/>
      <c r="O85" s="611"/>
      <c r="P85" s="611"/>
      <c r="Q85" s="611"/>
      <c r="R85" s="611"/>
      <c r="S85" s="611"/>
      <c r="T85" s="611"/>
      <c r="U85" s="611"/>
      <c r="V85" s="611"/>
      <c r="W85" s="611"/>
      <c r="X85" s="611"/>
      <c r="Y85" s="611"/>
      <c r="Z85" s="611"/>
      <c r="AA85">
        <f>IF(AND('11 Mic'!C85&gt;Tmin, NOT('11 Mic'!$I85="")),'11 Mic'!$I85,0)</f>
        <v>0</v>
      </c>
      <c r="AB85">
        <f>IF(AND('11 Mic'!D85&gt;Tmin, NOT('11 Mic'!$I85="")),'11 Mic'!$I85,0)</f>
        <v>0</v>
      </c>
      <c r="AC85">
        <f>IF(AND('11 Mic'!E85&gt;Tmin, NOT('11 Mic'!$I85="")),'11 Mic'!$I85,0)</f>
        <v>0</v>
      </c>
      <c r="AD85">
        <f>IF(AND('11 Mic'!F85&gt;Tmin, NOT('11 Mic'!$I85="")),'11 Mic'!$I85,0)</f>
        <v>0</v>
      </c>
      <c r="AE85">
        <f>IF(AND('11 Mic'!C85&lt;Tmax, NOT('11 Mic'!$H85="")),'11 Mic'!$H85,4)</f>
        <v>4</v>
      </c>
      <c r="AF85">
        <f>IF(AND('11 Mic'!D85&lt;Tmax, NOT('11 Mic'!$H85="")),'11 Mic'!$H85,4)</f>
        <v>4</v>
      </c>
      <c r="AG85">
        <f>IF(AND('11 Mic'!E85&lt;Tmax, NOT('11 Mic'!$H85="")),'11 Mic'!$H85,4)</f>
        <v>4</v>
      </c>
      <c r="AH85">
        <f>IF(AND('11 Mic'!F85&lt;Tmax, NOT('11 Mic'!$H85="")),'11 Mic'!$H85,4)</f>
        <v>4</v>
      </c>
      <c r="AI85"/>
    </row>
    <row r="86" spans="1:35" s="648" customFormat="1" ht="22.5" outlineLevel="2" x14ac:dyDescent="0.2">
      <c r="A86" s="601" t="s">
        <v>6206</v>
      </c>
      <c r="B86" s="601" t="s">
        <v>5199</v>
      </c>
      <c r="C86" s="642"/>
      <c r="D86" s="645"/>
      <c r="E86" s="645"/>
      <c r="F86" s="645"/>
      <c r="G86" s="1515">
        <v>3</v>
      </c>
      <c r="H86" s="1515"/>
      <c r="I86" s="1516"/>
      <c r="J86" s="1515" t="s">
        <v>1592</v>
      </c>
      <c r="K86" s="1516"/>
      <c r="L86" s="1516"/>
      <c r="M86" s="647"/>
      <c r="N86" s="611"/>
      <c r="O86" s="611"/>
      <c r="P86" s="611"/>
      <c r="Q86" s="611"/>
      <c r="R86" s="611"/>
      <c r="S86" s="611"/>
      <c r="T86" s="611"/>
      <c r="U86" s="611"/>
      <c r="V86" s="611"/>
      <c r="W86" s="611"/>
      <c r="X86" s="611"/>
      <c r="Y86" s="611"/>
      <c r="Z86" s="611"/>
      <c r="AA86">
        <f>IF(AND('11 Mic'!C86&gt;Tmin, NOT('11 Mic'!$I86="")),'11 Mic'!$I86,0)</f>
        <v>0</v>
      </c>
      <c r="AB86">
        <f>IF(AND('11 Mic'!D86&gt;Tmin, NOT('11 Mic'!$I86="")),'11 Mic'!$I86,0)</f>
        <v>0</v>
      </c>
      <c r="AC86">
        <f>IF(AND('11 Mic'!E86&gt;Tmin, NOT('11 Mic'!$I86="")),'11 Mic'!$I86,0)</f>
        <v>0</v>
      </c>
      <c r="AD86">
        <f>IF(AND('11 Mic'!F86&gt;Tmin, NOT('11 Mic'!$I86="")),'11 Mic'!$I86,0)</f>
        <v>0</v>
      </c>
      <c r="AE86">
        <f>IF(AND('11 Mic'!C86&lt;Tmax, NOT('11 Mic'!$H86="")),'11 Mic'!$H86,4)</f>
        <v>4</v>
      </c>
      <c r="AF86">
        <f>IF(AND('11 Mic'!D86&lt;Tmax, NOT('11 Mic'!$H86="")),'11 Mic'!$H86,4)</f>
        <v>4</v>
      </c>
      <c r="AG86">
        <f>IF(AND('11 Mic'!E86&lt;Tmax, NOT('11 Mic'!$H86="")),'11 Mic'!$H86,4)</f>
        <v>4</v>
      </c>
      <c r="AH86">
        <f>IF(AND('11 Mic'!F86&lt;Tmax, NOT('11 Mic'!$H86="")),'11 Mic'!$H86,4)</f>
        <v>4</v>
      </c>
      <c r="AI86"/>
    </row>
    <row r="87" spans="1:35" s="648" customFormat="1" ht="22.5" outlineLevel="2" x14ac:dyDescent="0.2">
      <c r="A87" s="601" t="s">
        <v>6207</v>
      </c>
      <c r="B87" s="601" t="s">
        <v>6208</v>
      </c>
      <c r="C87" s="642"/>
      <c r="D87" s="635"/>
      <c r="E87" s="635"/>
      <c r="F87" s="635"/>
      <c r="G87" s="1515">
        <v>3</v>
      </c>
      <c r="H87" s="1515"/>
      <c r="I87" s="1516"/>
      <c r="J87" s="1515" t="s">
        <v>2107</v>
      </c>
      <c r="K87" s="1516"/>
      <c r="L87" s="1516"/>
      <c r="M87" s="647"/>
      <c r="N87" s="611"/>
      <c r="O87" s="611"/>
      <c r="P87" s="611"/>
      <c r="Q87" s="611"/>
      <c r="R87" s="611"/>
      <c r="S87" s="611"/>
      <c r="T87" s="611"/>
      <c r="U87" s="611"/>
      <c r="V87" s="611"/>
      <c r="W87" s="611"/>
      <c r="X87" s="611"/>
      <c r="Y87" s="611"/>
      <c r="Z87" s="611"/>
      <c r="AA87">
        <f>IF(AND('11 Mic'!C87&gt;Tmin, NOT('11 Mic'!$I87="")),'11 Mic'!$I87,0)</f>
        <v>0</v>
      </c>
      <c r="AB87">
        <f>IF(AND('11 Mic'!D87&gt;Tmin, NOT('11 Mic'!$I87="")),'11 Mic'!$I87,0)</f>
        <v>0</v>
      </c>
      <c r="AC87">
        <f>IF(AND('11 Mic'!E87&gt;Tmin, NOT('11 Mic'!$I87="")),'11 Mic'!$I87,0)</f>
        <v>0</v>
      </c>
      <c r="AD87">
        <f>IF(AND('11 Mic'!F87&gt;Tmin, NOT('11 Mic'!$I87="")),'11 Mic'!$I87,0)</f>
        <v>0</v>
      </c>
      <c r="AE87">
        <f>IF(AND('11 Mic'!C87&lt;Tmax, NOT('11 Mic'!$H87="")),'11 Mic'!$H87,4)</f>
        <v>4</v>
      </c>
      <c r="AF87">
        <f>IF(AND('11 Mic'!D87&lt;Tmax, NOT('11 Mic'!$H87="")),'11 Mic'!$H87,4)</f>
        <v>4</v>
      </c>
      <c r="AG87">
        <f>IF(AND('11 Mic'!E87&lt;Tmax, NOT('11 Mic'!$H87="")),'11 Mic'!$H87,4)</f>
        <v>4</v>
      </c>
      <c r="AH87">
        <f>IF(AND('11 Mic'!F87&lt;Tmax, NOT('11 Mic'!$H87="")),'11 Mic'!$H87,4)</f>
        <v>4</v>
      </c>
      <c r="AI87"/>
    </row>
    <row r="88" spans="1:35" s="648" customFormat="1" outlineLevel="2" x14ac:dyDescent="0.2">
      <c r="A88" s="601" t="s">
        <v>6209</v>
      </c>
      <c r="B88" s="601" t="s">
        <v>5202</v>
      </c>
      <c r="C88" s="642"/>
      <c r="D88" s="635"/>
      <c r="E88" s="635"/>
      <c r="F88" s="635"/>
      <c r="G88" s="1515">
        <v>3</v>
      </c>
      <c r="H88" s="1515"/>
      <c r="I88" s="1516"/>
      <c r="J88" s="1515" t="s">
        <v>2964</v>
      </c>
      <c r="K88" s="1516"/>
      <c r="L88" s="1516"/>
      <c r="M88" s="647"/>
      <c r="N88" s="611"/>
      <c r="O88" s="611"/>
      <c r="P88" s="611"/>
      <c r="Q88" s="611"/>
      <c r="R88" s="611"/>
      <c r="S88" s="611"/>
      <c r="T88" s="611"/>
      <c r="U88" s="611"/>
      <c r="V88" s="611"/>
      <c r="W88" s="611"/>
      <c r="X88" s="611"/>
      <c r="Y88" s="611"/>
      <c r="Z88" s="611"/>
      <c r="AA88">
        <f>IF(AND('11 Mic'!C88&gt;Tmin, NOT('11 Mic'!$I88="")),'11 Mic'!$I88,0)</f>
        <v>0</v>
      </c>
      <c r="AB88">
        <f>IF(AND('11 Mic'!D88&gt;Tmin, NOT('11 Mic'!$I88="")),'11 Mic'!$I88,0)</f>
        <v>0</v>
      </c>
      <c r="AC88">
        <f>IF(AND('11 Mic'!E88&gt;Tmin, NOT('11 Mic'!$I88="")),'11 Mic'!$I88,0)</f>
        <v>0</v>
      </c>
      <c r="AD88">
        <f>IF(AND('11 Mic'!F88&gt;Tmin, NOT('11 Mic'!$I88="")),'11 Mic'!$I88,0)</f>
        <v>0</v>
      </c>
      <c r="AE88">
        <f>IF(AND('11 Mic'!C88&lt;Tmax, NOT('11 Mic'!$H88="")),'11 Mic'!$H88,4)</f>
        <v>4</v>
      </c>
      <c r="AF88">
        <f>IF(AND('11 Mic'!D88&lt;Tmax, NOT('11 Mic'!$H88="")),'11 Mic'!$H88,4)</f>
        <v>4</v>
      </c>
      <c r="AG88">
        <f>IF(AND('11 Mic'!E88&lt;Tmax, NOT('11 Mic'!$H88="")),'11 Mic'!$H88,4)</f>
        <v>4</v>
      </c>
      <c r="AH88">
        <f>IF(AND('11 Mic'!F88&lt;Tmax, NOT('11 Mic'!$H88="")),'11 Mic'!$H88,4)</f>
        <v>4</v>
      </c>
      <c r="AI88"/>
    </row>
    <row r="89" spans="1:35" s="648" customFormat="1" ht="21" outlineLevel="1" x14ac:dyDescent="0.2">
      <c r="A89" s="677" t="s">
        <v>1653</v>
      </c>
      <c r="B89" s="678" t="s">
        <v>1596</v>
      </c>
      <c r="C89" s="642"/>
      <c r="D89" s="635"/>
      <c r="E89" s="635"/>
      <c r="F89" s="635"/>
      <c r="G89" s="1515"/>
      <c r="H89" s="1515"/>
      <c r="I89" s="1516"/>
      <c r="J89" s="1515"/>
      <c r="K89" s="1516"/>
      <c r="L89" s="1516"/>
      <c r="M89" s="647"/>
      <c r="N89" s="611"/>
      <c r="O89" s="611"/>
      <c r="P89" s="611"/>
      <c r="Q89" s="611"/>
      <c r="R89" s="611"/>
      <c r="S89" s="611"/>
      <c r="T89" s="611"/>
      <c r="U89" s="611"/>
      <c r="V89" s="611"/>
      <c r="W89" s="611"/>
      <c r="X89" s="611"/>
      <c r="Y89" s="611"/>
      <c r="Z89" s="611"/>
      <c r="AA89"/>
      <c r="AB89"/>
      <c r="AC89"/>
      <c r="AD89"/>
      <c r="AE89"/>
      <c r="AF89"/>
      <c r="AG89"/>
      <c r="AH89"/>
      <c r="AI89"/>
    </row>
    <row r="90" spans="1:35" s="648" customFormat="1" ht="46.5" customHeight="1" outlineLevel="2" x14ac:dyDescent="0.2">
      <c r="A90" s="601" t="s">
        <v>6210</v>
      </c>
      <c r="B90" s="601" t="s">
        <v>3156</v>
      </c>
      <c r="C90" s="642"/>
      <c r="D90" s="635"/>
      <c r="E90" s="635"/>
      <c r="F90" s="635"/>
      <c r="G90" s="1515">
        <v>4</v>
      </c>
      <c r="H90" s="1515"/>
      <c r="I90" s="1516"/>
      <c r="J90" s="1515" t="s">
        <v>1592</v>
      </c>
      <c r="K90" s="1516"/>
      <c r="L90" s="1516"/>
      <c r="M90" s="647"/>
      <c r="N90" s="611"/>
      <c r="O90" s="611"/>
      <c r="P90" s="611"/>
      <c r="Q90" s="611"/>
      <c r="R90" s="611"/>
      <c r="S90" s="611"/>
      <c r="T90" s="611"/>
      <c r="U90" s="611"/>
      <c r="V90" s="611"/>
      <c r="W90" s="611"/>
      <c r="X90" s="611"/>
      <c r="Y90" s="611"/>
      <c r="Z90" s="611"/>
      <c r="AA90">
        <f>IF(AND('11 Mic'!C90&gt;Tmin, NOT('11 Mic'!$I90="")),'11 Mic'!$I90,0)</f>
        <v>0</v>
      </c>
      <c r="AB90">
        <f>IF(AND('11 Mic'!D90&gt;Tmin, NOT('11 Mic'!$I90="")),'11 Mic'!$I90,0)</f>
        <v>0</v>
      </c>
      <c r="AC90">
        <f>IF(AND('11 Mic'!E90&gt;Tmin, NOT('11 Mic'!$I90="")),'11 Mic'!$I90,0)</f>
        <v>0</v>
      </c>
      <c r="AD90">
        <f>IF(AND('11 Mic'!F90&gt;Tmin, NOT('11 Mic'!$I90="")),'11 Mic'!$I90,0)</f>
        <v>0</v>
      </c>
      <c r="AE90">
        <f>IF(AND('11 Mic'!C90&lt;Tmax, NOT('11 Mic'!$H90="")),'11 Mic'!$H90,4)</f>
        <v>4</v>
      </c>
      <c r="AF90">
        <f>IF(AND('11 Mic'!D90&lt;Tmax, NOT('11 Mic'!$H90="")),'11 Mic'!$H90,4)</f>
        <v>4</v>
      </c>
      <c r="AG90">
        <f>IF(AND('11 Mic'!E90&lt;Tmax, NOT('11 Mic'!$H90="")),'11 Mic'!$H90,4)</f>
        <v>4</v>
      </c>
      <c r="AH90">
        <f>IF(AND('11 Mic'!F90&lt;Tmax, NOT('11 Mic'!$H90="")),'11 Mic'!$H90,4)</f>
        <v>4</v>
      </c>
      <c r="AI90"/>
    </row>
    <row r="91" spans="1:35" s="648" customFormat="1" ht="12.75" customHeight="1" outlineLevel="2" x14ac:dyDescent="0.2">
      <c r="A91" s="601" t="s">
        <v>6211</v>
      </c>
      <c r="B91" s="601" t="s">
        <v>4237</v>
      </c>
      <c r="C91" s="642"/>
      <c r="D91" s="635"/>
      <c r="E91" s="635"/>
      <c r="F91" s="635"/>
      <c r="G91" s="1515">
        <v>3</v>
      </c>
      <c r="H91" s="1515"/>
      <c r="I91" s="1516"/>
      <c r="J91" s="1515" t="s">
        <v>2107</v>
      </c>
      <c r="K91" s="1516"/>
      <c r="L91" s="1516"/>
      <c r="M91" s="647"/>
      <c r="N91" s="611"/>
      <c r="O91" s="611"/>
      <c r="P91" s="611"/>
      <c r="Q91" s="611"/>
      <c r="R91" s="611"/>
      <c r="S91" s="611"/>
      <c r="T91" s="611"/>
      <c r="U91" s="611"/>
      <c r="V91" s="611"/>
      <c r="W91" s="611"/>
      <c r="X91" s="611"/>
      <c r="Y91" s="611"/>
      <c r="Z91" s="611"/>
      <c r="AA91">
        <f>IF(AND('11 Mic'!C91&gt;Tmin, NOT('11 Mic'!$I91="")),'11 Mic'!$I91,0)</f>
        <v>0</v>
      </c>
      <c r="AB91">
        <f>IF(AND('11 Mic'!D91&gt;Tmin, NOT('11 Mic'!$I91="")),'11 Mic'!$I91,0)</f>
        <v>0</v>
      </c>
      <c r="AC91">
        <f>IF(AND('11 Mic'!E91&gt;Tmin, NOT('11 Mic'!$I91="")),'11 Mic'!$I91,0)</f>
        <v>0</v>
      </c>
      <c r="AD91">
        <f>IF(AND('11 Mic'!F91&gt;Tmin, NOT('11 Mic'!$I91="")),'11 Mic'!$I91,0)</f>
        <v>0</v>
      </c>
      <c r="AE91">
        <f>IF(AND('11 Mic'!C91&lt;Tmax, NOT('11 Mic'!$H91="")),'11 Mic'!$H91,4)</f>
        <v>4</v>
      </c>
      <c r="AF91">
        <f>IF(AND('11 Mic'!D91&lt;Tmax, NOT('11 Mic'!$H91="")),'11 Mic'!$H91,4)</f>
        <v>4</v>
      </c>
      <c r="AG91">
        <f>IF(AND('11 Mic'!E91&lt;Tmax, NOT('11 Mic'!$H91="")),'11 Mic'!$H91,4)</f>
        <v>4</v>
      </c>
      <c r="AH91">
        <f>IF(AND('11 Mic'!F91&lt;Tmax, NOT('11 Mic'!$H91="")),'11 Mic'!$H91,4)</f>
        <v>4</v>
      </c>
      <c r="AI91"/>
    </row>
    <row r="92" spans="1:35" s="648" customFormat="1" ht="22.5" outlineLevel="2" x14ac:dyDescent="0.2">
      <c r="A92" s="601" t="s">
        <v>6212</v>
      </c>
      <c r="B92" s="601" t="s">
        <v>4238</v>
      </c>
      <c r="C92" s="642"/>
      <c r="D92" s="635"/>
      <c r="E92" s="635"/>
      <c r="F92" s="635"/>
      <c r="G92" s="1515">
        <v>4</v>
      </c>
      <c r="H92" s="1515"/>
      <c r="I92" s="1516"/>
      <c r="J92" s="1515" t="s">
        <v>1592</v>
      </c>
      <c r="K92" s="1516"/>
      <c r="L92" s="1516"/>
      <c r="M92" s="647"/>
      <c r="N92" s="611"/>
      <c r="O92" s="611"/>
      <c r="P92" s="611"/>
      <c r="Q92" s="611"/>
      <c r="R92" s="611"/>
      <c r="S92" s="611"/>
      <c r="T92" s="611"/>
      <c r="U92" s="611"/>
      <c r="V92" s="611"/>
      <c r="W92" s="611"/>
      <c r="X92" s="611"/>
      <c r="Y92" s="611"/>
      <c r="Z92" s="611"/>
      <c r="AA92">
        <f>IF(AND('11 Mic'!C92&gt;Tmin, NOT('11 Mic'!$I92="")),'11 Mic'!$I92,0)</f>
        <v>0</v>
      </c>
      <c r="AB92">
        <f>IF(AND('11 Mic'!D92&gt;Tmin, NOT('11 Mic'!$I92="")),'11 Mic'!$I92,0)</f>
        <v>0</v>
      </c>
      <c r="AC92">
        <f>IF(AND('11 Mic'!E92&gt;Tmin, NOT('11 Mic'!$I92="")),'11 Mic'!$I92,0)</f>
        <v>0</v>
      </c>
      <c r="AD92">
        <f>IF(AND('11 Mic'!F92&gt;Tmin, NOT('11 Mic'!$I92="")),'11 Mic'!$I92,0)</f>
        <v>0</v>
      </c>
      <c r="AE92">
        <f>IF(AND('11 Mic'!C92&lt;Tmax, NOT('11 Mic'!$H92="")),'11 Mic'!$H92,4)</f>
        <v>4</v>
      </c>
      <c r="AF92">
        <f>IF(AND('11 Mic'!D92&lt;Tmax, NOT('11 Mic'!$H92="")),'11 Mic'!$H92,4)</f>
        <v>4</v>
      </c>
      <c r="AG92">
        <f>IF(AND('11 Mic'!E92&lt;Tmax, NOT('11 Mic'!$H92="")),'11 Mic'!$H92,4)</f>
        <v>4</v>
      </c>
      <c r="AH92">
        <f>IF(AND('11 Mic'!F92&lt;Tmax, NOT('11 Mic'!$H92="")),'11 Mic'!$H92,4)</f>
        <v>4</v>
      </c>
      <c r="AI92"/>
    </row>
    <row r="93" spans="1:35" s="648" customFormat="1" ht="22.5" outlineLevel="2" x14ac:dyDescent="0.2">
      <c r="A93" s="601" t="s">
        <v>5636</v>
      </c>
      <c r="B93" s="601" t="s">
        <v>4239</v>
      </c>
      <c r="C93" s="642"/>
      <c r="D93" s="635"/>
      <c r="E93" s="635"/>
      <c r="F93" s="635"/>
      <c r="G93" s="1515">
        <v>4</v>
      </c>
      <c r="H93" s="1515"/>
      <c r="I93" s="1516"/>
      <c r="J93" s="1515" t="s">
        <v>2329</v>
      </c>
      <c r="K93" s="1516"/>
      <c r="L93" s="1516"/>
      <c r="M93" s="647"/>
      <c r="N93" s="611"/>
      <c r="O93" s="611"/>
      <c r="P93" s="611"/>
      <c r="Q93" s="611"/>
      <c r="R93" s="611"/>
      <c r="S93" s="611"/>
      <c r="T93" s="611"/>
      <c r="U93" s="611"/>
      <c r="V93" s="611"/>
      <c r="W93" s="611"/>
      <c r="X93" s="611"/>
      <c r="Y93" s="611"/>
      <c r="Z93" s="611"/>
      <c r="AA93">
        <f>IF(AND('11 Mic'!C93&gt;Tmin, NOT('11 Mic'!$I93="")),'11 Mic'!$I93,0)</f>
        <v>0</v>
      </c>
      <c r="AB93">
        <f>IF(AND('11 Mic'!D93&gt;Tmin, NOT('11 Mic'!$I93="")),'11 Mic'!$I93,0)</f>
        <v>0</v>
      </c>
      <c r="AC93">
        <f>IF(AND('11 Mic'!E93&gt;Tmin, NOT('11 Mic'!$I93="")),'11 Mic'!$I93,0)</f>
        <v>0</v>
      </c>
      <c r="AD93">
        <f>IF(AND('11 Mic'!F93&gt;Tmin, NOT('11 Mic'!$I93="")),'11 Mic'!$I93,0)</f>
        <v>0</v>
      </c>
      <c r="AE93">
        <f>IF(AND('11 Mic'!C93&lt;Tmax, NOT('11 Mic'!$H93="")),'11 Mic'!$H93,4)</f>
        <v>4</v>
      </c>
      <c r="AF93">
        <f>IF(AND('11 Mic'!D93&lt;Tmax, NOT('11 Mic'!$H93="")),'11 Mic'!$H93,4)</f>
        <v>4</v>
      </c>
      <c r="AG93">
        <f>IF(AND('11 Mic'!E93&lt;Tmax, NOT('11 Mic'!$H93="")),'11 Mic'!$H93,4)</f>
        <v>4</v>
      </c>
      <c r="AH93">
        <f>IF(AND('11 Mic'!F93&lt;Tmax, NOT('11 Mic'!$H93="")),'11 Mic'!$H93,4)</f>
        <v>4</v>
      </c>
      <c r="AI93"/>
    </row>
    <row r="94" spans="1:35" s="648" customFormat="1" ht="22.5" outlineLevel="2" x14ac:dyDescent="0.2">
      <c r="A94" s="601" t="s">
        <v>5637</v>
      </c>
      <c r="B94" s="601" t="s">
        <v>5583</v>
      </c>
      <c r="C94" s="642"/>
      <c r="D94" s="635"/>
      <c r="E94" s="635"/>
      <c r="F94" s="635"/>
      <c r="G94" s="1515">
        <v>2</v>
      </c>
      <c r="H94" s="1515"/>
      <c r="I94" s="1516"/>
      <c r="J94" s="1515" t="s">
        <v>1592</v>
      </c>
      <c r="K94" s="1516"/>
      <c r="L94" s="1516"/>
      <c r="M94" s="647"/>
      <c r="N94" s="611"/>
      <c r="O94" s="611"/>
      <c r="P94" s="611"/>
      <c r="Q94" s="611"/>
      <c r="R94" s="611"/>
      <c r="S94" s="611"/>
      <c r="T94" s="611"/>
      <c r="U94" s="611"/>
      <c r="V94" s="611"/>
      <c r="W94" s="611"/>
      <c r="X94" s="611"/>
      <c r="Y94" s="611"/>
      <c r="Z94" s="611"/>
      <c r="AA94">
        <f>IF(AND('11 Mic'!C94&gt;Tmin, NOT('11 Mic'!$I94="")),'11 Mic'!$I94,0)</f>
        <v>0</v>
      </c>
      <c r="AB94">
        <f>IF(AND('11 Mic'!D94&gt;Tmin, NOT('11 Mic'!$I94="")),'11 Mic'!$I94,0)</f>
        <v>0</v>
      </c>
      <c r="AC94">
        <f>IF(AND('11 Mic'!E94&gt;Tmin, NOT('11 Mic'!$I94="")),'11 Mic'!$I94,0)</f>
        <v>0</v>
      </c>
      <c r="AD94">
        <f>IF(AND('11 Mic'!F94&gt;Tmin, NOT('11 Mic'!$I94="")),'11 Mic'!$I94,0)</f>
        <v>0</v>
      </c>
      <c r="AE94">
        <f>IF(AND('11 Mic'!C94&lt;Tmax, NOT('11 Mic'!$H94="")),'11 Mic'!$H94,4)</f>
        <v>4</v>
      </c>
      <c r="AF94">
        <f>IF(AND('11 Mic'!D94&lt;Tmax, NOT('11 Mic'!$H94="")),'11 Mic'!$H94,4)</f>
        <v>4</v>
      </c>
      <c r="AG94">
        <f>IF(AND('11 Mic'!E94&lt;Tmax, NOT('11 Mic'!$H94="")),'11 Mic'!$H94,4)</f>
        <v>4</v>
      </c>
      <c r="AH94">
        <f>IF(AND('11 Mic'!F94&lt;Tmax, NOT('11 Mic'!$H94="")),'11 Mic'!$H94,4)</f>
        <v>4</v>
      </c>
      <c r="AI94"/>
    </row>
    <row r="95" spans="1:35" s="648" customFormat="1" outlineLevel="2" x14ac:dyDescent="0.2">
      <c r="A95" s="601" t="s">
        <v>5584</v>
      </c>
      <c r="B95" s="601" t="s">
        <v>6340</v>
      </c>
      <c r="C95" s="642"/>
      <c r="D95" s="635"/>
      <c r="E95" s="635"/>
      <c r="F95" s="635"/>
      <c r="G95" s="1515">
        <v>3</v>
      </c>
      <c r="H95" s="1515"/>
      <c r="I95" s="1516"/>
      <c r="J95" s="1515" t="s">
        <v>2964</v>
      </c>
      <c r="K95" s="1516"/>
      <c r="L95" s="1516"/>
      <c r="M95" s="647"/>
      <c r="N95" s="611"/>
      <c r="O95" s="611"/>
      <c r="P95" s="611"/>
      <c r="Q95" s="611"/>
      <c r="R95" s="611"/>
      <c r="S95" s="611"/>
      <c r="T95" s="611"/>
      <c r="U95" s="611"/>
      <c r="V95" s="611"/>
      <c r="W95" s="611"/>
      <c r="X95" s="611"/>
      <c r="Y95" s="611"/>
      <c r="Z95" s="611"/>
      <c r="AA95">
        <f>IF(AND('11 Mic'!C95&gt;Tmin, NOT('11 Mic'!$I95="")),'11 Mic'!$I95,0)</f>
        <v>0</v>
      </c>
      <c r="AB95">
        <f>IF(AND('11 Mic'!D95&gt;Tmin, NOT('11 Mic'!$I95="")),'11 Mic'!$I95,0)</f>
        <v>0</v>
      </c>
      <c r="AC95">
        <f>IF(AND('11 Mic'!E95&gt;Tmin, NOT('11 Mic'!$I95="")),'11 Mic'!$I95,0)</f>
        <v>0</v>
      </c>
      <c r="AD95">
        <f>IF(AND('11 Mic'!F95&gt;Tmin, NOT('11 Mic'!$I95="")),'11 Mic'!$I95,0)</f>
        <v>0</v>
      </c>
      <c r="AE95">
        <f>IF(AND('11 Mic'!C95&lt;Tmax, NOT('11 Mic'!$H95="")),'11 Mic'!$H95,4)</f>
        <v>4</v>
      </c>
      <c r="AF95">
        <f>IF(AND('11 Mic'!D95&lt;Tmax, NOT('11 Mic'!$H95="")),'11 Mic'!$H95,4)</f>
        <v>4</v>
      </c>
      <c r="AG95">
        <f>IF(AND('11 Mic'!E95&lt;Tmax, NOT('11 Mic'!$H95="")),'11 Mic'!$H95,4)</f>
        <v>4</v>
      </c>
      <c r="AH95">
        <f>IF(AND('11 Mic'!F95&lt;Tmax, NOT('11 Mic'!$H95="")),'11 Mic'!$H95,4)</f>
        <v>4</v>
      </c>
      <c r="AI95"/>
    </row>
    <row r="96" spans="1:35" s="648" customFormat="1" outlineLevel="1" x14ac:dyDescent="0.2">
      <c r="A96" s="677" t="s">
        <v>1597</v>
      </c>
      <c r="B96" s="678" t="s">
        <v>5746</v>
      </c>
      <c r="C96" s="642"/>
      <c r="D96" s="642"/>
      <c r="E96" s="642"/>
      <c r="F96" s="642"/>
      <c r="G96" s="1515"/>
      <c r="H96" s="1515"/>
      <c r="I96" s="1516"/>
      <c r="J96" s="1515"/>
      <c r="K96" s="1516"/>
      <c r="L96" s="1516"/>
      <c r="M96" s="647"/>
      <c r="N96" s="611"/>
      <c r="O96" s="611"/>
      <c r="P96" s="611"/>
      <c r="Q96" s="611"/>
      <c r="R96" s="611"/>
      <c r="S96" s="611"/>
      <c r="T96" s="611"/>
      <c r="U96" s="611"/>
      <c r="V96" s="611"/>
      <c r="W96" s="611"/>
      <c r="X96" s="611"/>
      <c r="Y96" s="611"/>
      <c r="Z96" s="611"/>
      <c r="AA96"/>
      <c r="AB96"/>
      <c r="AC96"/>
      <c r="AD96"/>
      <c r="AE96"/>
      <c r="AF96"/>
      <c r="AG96"/>
      <c r="AH96"/>
      <c r="AI96"/>
    </row>
    <row r="97" spans="1:35" s="648" customFormat="1" ht="22.5" outlineLevel="2" x14ac:dyDescent="0.2">
      <c r="A97" s="601" t="s">
        <v>6341</v>
      </c>
      <c r="B97" s="601" t="s">
        <v>5853</v>
      </c>
      <c r="C97" s="642"/>
      <c r="D97" s="642"/>
      <c r="E97" s="642"/>
      <c r="F97" s="642"/>
      <c r="G97" s="1515">
        <v>2</v>
      </c>
      <c r="H97" s="1515"/>
      <c r="I97" s="1516"/>
      <c r="J97" s="1515" t="s">
        <v>4246</v>
      </c>
      <c r="K97" s="1516" t="s">
        <v>6458</v>
      </c>
      <c r="L97" s="1516" t="s">
        <v>7408</v>
      </c>
      <c r="M97" s="647"/>
      <c r="N97" s="611"/>
      <c r="O97" s="611"/>
      <c r="P97" s="611"/>
      <c r="Q97" s="611"/>
      <c r="R97" s="611"/>
      <c r="S97" s="611"/>
      <c r="T97" s="611"/>
      <c r="U97" s="611"/>
      <c r="V97" s="611"/>
      <c r="W97" s="611"/>
      <c r="X97" s="611"/>
      <c r="Y97" s="611"/>
      <c r="Z97" s="611"/>
      <c r="AA97">
        <f>IF(AND('11 Mic'!C97&gt;Tmin, NOT('11 Mic'!$I97="")),'11 Mic'!$I97,0)</f>
        <v>0</v>
      </c>
      <c r="AB97">
        <f>IF(AND('11 Mic'!D97&gt;Tmin, NOT('11 Mic'!$I97="")),'11 Mic'!$I97,0)</f>
        <v>0</v>
      </c>
      <c r="AC97">
        <f>IF(AND('11 Mic'!E97&gt;Tmin, NOT('11 Mic'!$I97="")),'11 Mic'!$I97,0)</f>
        <v>0</v>
      </c>
      <c r="AD97">
        <f>IF(AND('11 Mic'!F97&gt;Tmin, NOT('11 Mic'!$I97="")),'11 Mic'!$I97,0)</f>
        <v>0</v>
      </c>
      <c r="AE97">
        <f>IF(AND('11 Mic'!C97&lt;Tmax, NOT('11 Mic'!$H97="")),'11 Mic'!$H97,4)</f>
        <v>4</v>
      </c>
      <c r="AF97">
        <f>IF(AND('11 Mic'!D97&lt;Tmax, NOT('11 Mic'!$H97="")),'11 Mic'!$H97,4)</f>
        <v>4</v>
      </c>
      <c r="AG97">
        <f>IF(AND('11 Mic'!E97&lt;Tmax, NOT('11 Mic'!$H97="")),'11 Mic'!$H97,4)</f>
        <v>4</v>
      </c>
      <c r="AH97">
        <f>IF(AND('11 Mic'!F97&lt;Tmax, NOT('11 Mic'!$H97="")),'11 Mic'!$H97,4)</f>
        <v>4</v>
      </c>
      <c r="AI97"/>
    </row>
    <row r="98" spans="1:35" s="648" customFormat="1" ht="33.75" outlineLevel="2" x14ac:dyDescent="0.2">
      <c r="A98" s="601" t="s">
        <v>6342</v>
      </c>
      <c r="B98" s="601" t="s">
        <v>5854</v>
      </c>
      <c r="C98" s="642"/>
      <c r="D98" s="642"/>
      <c r="E98" s="642"/>
      <c r="F98" s="642"/>
      <c r="G98" s="1515">
        <v>2</v>
      </c>
      <c r="H98" s="1515"/>
      <c r="I98" s="1516"/>
      <c r="J98" s="1515" t="s">
        <v>1592</v>
      </c>
      <c r="K98" s="1516"/>
      <c r="L98" s="1516"/>
      <c r="M98" s="647"/>
      <c r="N98" s="611"/>
      <c r="O98" s="611"/>
      <c r="P98" s="611"/>
      <c r="Q98" s="611"/>
      <c r="R98" s="611"/>
      <c r="S98" s="611"/>
      <c r="T98" s="611"/>
      <c r="U98" s="611"/>
      <c r="V98" s="611"/>
      <c r="W98" s="611"/>
      <c r="X98" s="611"/>
      <c r="Y98" s="611"/>
      <c r="Z98" s="611"/>
      <c r="AA98">
        <f>IF(AND('11 Mic'!C98&gt;Tmin, NOT('11 Mic'!$I98="")),'11 Mic'!$I98,0)</f>
        <v>0</v>
      </c>
      <c r="AB98">
        <f>IF(AND('11 Mic'!D98&gt;Tmin, NOT('11 Mic'!$I98="")),'11 Mic'!$I98,0)</f>
        <v>0</v>
      </c>
      <c r="AC98">
        <f>IF(AND('11 Mic'!E98&gt;Tmin, NOT('11 Mic'!$I98="")),'11 Mic'!$I98,0)</f>
        <v>0</v>
      </c>
      <c r="AD98">
        <f>IF(AND('11 Mic'!F98&gt;Tmin, NOT('11 Mic'!$I98="")),'11 Mic'!$I98,0)</f>
        <v>0</v>
      </c>
      <c r="AE98">
        <f>IF(AND('11 Mic'!C98&lt;Tmax, NOT('11 Mic'!$H98="")),'11 Mic'!$H98,4)</f>
        <v>4</v>
      </c>
      <c r="AF98">
        <f>IF(AND('11 Mic'!D98&lt;Tmax, NOT('11 Mic'!$H98="")),'11 Mic'!$H98,4)</f>
        <v>4</v>
      </c>
      <c r="AG98">
        <f>IF(AND('11 Mic'!E98&lt;Tmax, NOT('11 Mic'!$H98="")),'11 Mic'!$H98,4)</f>
        <v>4</v>
      </c>
      <c r="AH98">
        <f>IF(AND('11 Mic'!F98&lt;Tmax, NOT('11 Mic'!$H98="")),'11 Mic'!$H98,4)</f>
        <v>4</v>
      </c>
      <c r="AI98"/>
    </row>
    <row r="99" spans="1:35" s="648" customFormat="1" ht="22.5" outlineLevel="2" x14ac:dyDescent="0.2">
      <c r="A99" s="601" t="s">
        <v>6343</v>
      </c>
      <c r="B99" s="601" t="s">
        <v>6625</v>
      </c>
      <c r="C99" s="642"/>
      <c r="D99" s="642"/>
      <c r="E99" s="642"/>
      <c r="F99" s="642"/>
      <c r="G99" s="1515">
        <v>3</v>
      </c>
      <c r="H99" s="1515"/>
      <c r="I99" s="1516"/>
      <c r="J99" s="1515" t="s">
        <v>1592</v>
      </c>
      <c r="K99" s="1516"/>
      <c r="L99" s="1516"/>
      <c r="M99" s="647"/>
      <c r="N99" s="611"/>
      <c r="O99" s="611"/>
      <c r="P99" s="611"/>
      <c r="Q99" s="611"/>
      <c r="R99" s="611"/>
      <c r="S99" s="611"/>
      <c r="T99" s="611"/>
      <c r="U99" s="611"/>
      <c r="V99" s="611"/>
      <c r="W99" s="611"/>
      <c r="X99" s="611"/>
      <c r="Y99" s="611"/>
      <c r="Z99" s="611"/>
      <c r="AA99">
        <f>IF(AND('11 Mic'!C99&gt;Tmin, NOT('11 Mic'!$I99="")),'11 Mic'!$I99,0)</f>
        <v>0</v>
      </c>
      <c r="AB99">
        <f>IF(AND('11 Mic'!D99&gt;Tmin, NOT('11 Mic'!$I99="")),'11 Mic'!$I99,0)</f>
        <v>0</v>
      </c>
      <c r="AC99">
        <f>IF(AND('11 Mic'!E99&gt;Tmin, NOT('11 Mic'!$I99="")),'11 Mic'!$I99,0)</f>
        <v>0</v>
      </c>
      <c r="AD99">
        <f>IF(AND('11 Mic'!F99&gt;Tmin, NOT('11 Mic'!$I99="")),'11 Mic'!$I99,0)</f>
        <v>0</v>
      </c>
      <c r="AE99">
        <f>IF(AND('11 Mic'!C99&lt;Tmax, NOT('11 Mic'!$H99="")),'11 Mic'!$H99,4)</f>
        <v>4</v>
      </c>
      <c r="AF99">
        <f>IF(AND('11 Mic'!D99&lt;Tmax, NOT('11 Mic'!$H99="")),'11 Mic'!$H99,4)</f>
        <v>4</v>
      </c>
      <c r="AG99">
        <f>IF(AND('11 Mic'!E99&lt;Tmax, NOT('11 Mic'!$H99="")),'11 Mic'!$H99,4)</f>
        <v>4</v>
      </c>
      <c r="AH99">
        <f>IF(AND('11 Mic'!F99&lt;Tmax, NOT('11 Mic'!$H99="")),'11 Mic'!$H99,4)</f>
        <v>4</v>
      </c>
      <c r="AI99"/>
    </row>
    <row r="100" spans="1:35" s="648" customFormat="1" ht="33.75" outlineLevel="2" x14ac:dyDescent="0.2">
      <c r="A100" s="601" t="s">
        <v>6344</v>
      </c>
      <c r="B100" s="601" t="s">
        <v>5855</v>
      </c>
      <c r="C100" s="642"/>
      <c r="D100" s="642"/>
      <c r="E100" s="642"/>
      <c r="F100" s="642"/>
      <c r="G100" s="1515">
        <v>2</v>
      </c>
      <c r="H100" s="1515"/>
      <c r="I100" s="1516"/>
      <c r="J100" s="1515" t="s">
        <v>4246</v>
      </c>
      <c r="K100" s="1516" t="s">
        <v>6458</v>
      </c>
      <c r="L100" s="1516" t="s">
        <v>7409</v>
      </c>
      <c r="M100" s="647"/>
      <c r="N100" s="611"/>
      <c r="O100" s="611"/>
      <c r="P100" s="611"/>
      <c r="Q100" s="611"/>
      <c r="R100" s="611"/>
      <c r="S100" s="611"/>
      <c r="T100" s="611"/>
      <c r="U100" s="611"/>
      <c r="V100" s="611"/>
      <c r="W100" s="611"/>
      <c r="X100" s="611"/>
      <c r="Y100" s="611"/>
      <c r="Z100" s="611"/>
      <c r="AA100">
        <f>IF(AND('11 Mic'!C100&gt;Tmin, NOT('11 Mic'!$I100="")),'11 Mic'!$I100,0)</f>
        <v>0</v>
      </c>
      <c r="AB100">
        <f>IF(AND('11 Mic'!D100&gt;Tmin, NOT('11 Mic'!$I100="")),'11 Mic'!$I100,0)</f>
        <v>0</v>
      </c>
      <c r="AC100">
        <f>IF(AND('11 Mic'!E100&gt;Tmin, NOT('11 Mic'!$I100="")),'11 Mic'!$I100,0)</f>
        <v>0</v>
      </c>
      <c r="AD100">
        <f>IF(AND('11 Mic'!F100&gt;Tmin, NOT('11 Mic'!$I100="")),'11 Mic'!$I100,0)</f>
        <v>0</v>
      </c>
      <c r="AE100">
        <f>IF(AND('11 Mic'!C100&lt;Tmax, NOT('11 Mic'!$H100="")),'11 Mic'!$H100,4)</f>
        <v>4</v>
      </c>
      <c r="AF100">
        <f>IF(AND('11 Mic'!D100&lt;Tmax, NOT('11 Mic'!$H100="")),'11 Mic'!$H100,4)</f>
        <v>4</v>
      </c>
      <c r="AG100">
        <f>IF(AND('11 Mic'!E100&lt;Tmax, NOT('11 Mic'!$H100="")),'11 Mic'!$H100,4)</f>
        <v>4</v>
      </c>
      <c r="AH100">
        <f>IF(AND('11 Mic'!F100&lt;Tmax, NOT('11 Mic'!$H100="")),'11 Mic'!$H100,4)</f>
        <v>4</v>
      </c>
      <c r="AI100"/>
    </row>
    <row r="101" spans="1:35" s="648" customFormat="1" outlineLevel="2" x14ac:dyDescent="0.2">
      <c r="A101" s="601" t="s">
        <v>4470</v>
      </c>
      <c r="B101" s="601" t="s">
        <v>5856</v>
      </c>
      <c r="C101" s="642"/>
      <c r="D101" s="642"/>
      <c r="E101" s="642"/>
      <c r="F101" s="642"/>
      <c r="G101" s="1515">
        <v>3</v>
      </c>
      <c r="H101" s="1515"/>
      <c r="I101" s="1516"/>
      <c r="J101" s="1515" t="s">
        <v>1592</v>
      </c>
      <c r="K101" s="1516" t="s">
        <v>6458</v>
      </c>
      <c r="L101" s="1516" t="s">
        <v>7408</v>
      </c>
      <c r="M101" s="647"/>
      <c r="N101" s="611"/>
      <c r="O101" s="611"/>
      <c r="P101" s="611"/>
      <c r="Q101" s="611"/>
      <c r="R101" s="611"/>
      <c r="S101" s="611"/>
      <c r="T101" s="611"/>
      <c r="U101" s="611"/>
      <c r="V101" s="611"/>
      <c r="W101" s="611"/>
      <c r="X101" s="611"/>
      <c r="Y101" s="611"/>
      <c r="Z101" s="611"/>
      <c r="AA101">
        <f>IF(AND('11 Mic'!C101&gt;Tmin, NOT('11 Mic'!$I101="")),'11 Mic'!$I101,0)</f>
        <v>0</v>
      </c>
      <c r="AB101">
        <f>IF(AND('11 Mic'!D101&gt;Tmin, NOT('11 Mic'!$I101="")),'11 Mic'!$I101,0)</f>
        <v>0</v>
      </c>
      <c r="AC101">
        <f>IF(AND('11 Mic'!E101&gt;Tmin, NOT('11 Mic'!$I101="")),'11 Mic'!$I101,0)</f>
        <v>0</v>
      </c>
      <c r="AD101">
        <f>IF(AND('11 Mic'!F101&gt;Tmin, NOT('11 Mic'!$I101="")),'11 Mic'!$I101,0)</f>
        <v>0</v>
      </c>
      <c r="AE101">
        <f>IF(AND('11 Mic'!C101&lt;Tmax, NOT('11 Mic'!$H101="")),'11 Mic'!$H101,4)</f>
        <v>4</v>
      </c>
      <c r="AF101">
        <f>IF(AND('11 Mic'!D101&lt;Tmax, NOT('11 Mic'!$H101="")),'11 Mic'!$H101,4)</f>
        <v>4</v>
      </c>
      <c r="AG101">
        <f>IF(AND('11 Mic'!E101&lt;Tmax, NOT('11 Mic'!$H101="")),'11 Mic'!$H101,4)</f>
        <v>4</v>
      </c>
      <c r="AH101">
        <f>IF(AND('11 Mic'!F101&lt;Tmax, NOT('11 Mic'!$H101="")),'11 Mic'!$H101,4)</f>
        <v>4</v>
      </c>
      <c r="AI101"/>
    </row>
    <row r="102" spans="1:35" s="648" customFormat="1" outlineLevel="2" x14ac:dyDescent="0.2">
      <c r="A102" s="601" t="s">
        <v>2434</v>
      </c>
      <c r="B102" s="601" t="s">
        <v>2956</v>
      </c>
      <c r="C102" s="642"/>
      <c r="D102" s="642"/>
      <c r="E102" s="642"/>
      <c r="F102" s="642"/>
      <c r="G102" s="1515">
        <v>3</v>
      </c>
      <c r="H102" s="1515"/>
      <c r="I102" s="1516"/>
      <c r="J102" s="1515" t="s">
        <v>2329</v>
      </c>
      <c r="K102" s="1516" t="s">
        <v>6458</v>
      </c>
      <c r="L102" s="1516" t="s">
        <v>7408</v>
      </c>
      <c r="M102" s="647"/>
      <c r="N102" s="611"/>
      <c r="O102" s="611"/>
      <c r="P102" s="611"/>
      <c r="Q102" s="611"/>
      <c r="R102" s="611"/>
      <c r="S102" s="611"/>
      <c r="T102" s="611"/>
      <c r="U102" s="611"/>
      <c r="V102" s="611"/>
      <c r="W102" s="611"/>
      <c r="X102" s="611"/>
      <c r="Y102" s="611"/>
      <c r="Z102" s="611"/>
      <c r="AA102">
        <f>IF(AND('11 Mic'!C102&gt;Tmin, NOT('11 Mic'!$I102="")),'11 Mic'!$I102,0)</f>
        <v>0</v>
      </c>
      <c r="AB102">
        <f>IF(AND('11 Mic'!D102&gt;Tmin, NOT('11 Mic'!$I102="")),'11 Mic'!$I102,0)</f>
        <v>0</v>
      </c>
      <c r="AC102">
        <f>IF(AND('11 Mic'!E102&gt;Tmin, NOT('11 Mic'!$I102="")),'11 Mic'!$I102,0)</f>
        <v>0</v>
      </c>
      <c r="AD102">
        <f>IF(AND('11 Mic'!F102&gt;Tmin, NOT('11 Mic'!$I102="")),'11 Mic'!$I102,0)</f>
        <v>0</v>
      </c>
      <c r="AE102">
        <f>IF(AND('11 Mic'!C102&lt;Tmax, NOT('11 Mic'!$H102="")),'11 Mic'!$H102,4)</f>
        <v>4</v>
      </c>
      <c r="AF102">
        <f>IF(AND('11 Mic'!D102&lt;Tmax, NOT('11 Mic'!$H102="")),'11 Mic'!$H102,4)</f>
        <v>4</v>
      </c>
      <c r="AG102">
        <f>IF(AND('11 Mic'!E102&lt;Tmax, NOT('11 Mic'!$H102="")),'11 Mic'!$H102,4)</f>
        <v>4</v>
      </c>
      <c r="AH102">
        <f>IF(AND('11 Mic'!F102&lt;Tmax, NOT('11 Mic'!$H102="")),'11 Mic'!$H102,4)</f>
        <v>4</v>
      </c>
      <c r="AI102"/>
    </row>
    <row r="103" spans="1:35" s="648" customFormat="1" ht="33.75" outlineLevel="2" x14ac:dyDescent="0.2">
      <c r="A103" s="601" t="s">
        <v>2435</v>
      </c>
      <c r="B103" s="601" t="s">
        <v>5086</v>
      </c>
      <c r="C103" s="642"/>
      <c r="D103" s="642"/>
      <c r="E103" s="642"/>
      <c r="F103" s="642"/>
      <c r="G103" s="1515">
        <v>3</v>
      </c>
      <c r="H103" s="1515"/>
      <c r="I103" s="1516"/>
      <c r="J103" s="1515" t="s">
        <v>2329</v>
      </c>
      <c r="K103" s="1516"/>
      <c r="L103" s="1516"/>
      <c r="M103" s="647"/>
      <c r="N103" s="611"/>
      <c r="O103" s="611"/>
      <c r="P103" s="611"/>
      <c r="Q103" s="611"/>
      <c r="R103" s="611"/>
      <c r="S103" s="611"/>
      <c r="T103" s="611"/>
      <c r="U103" s="611"/>
      <c r="V103" s="611"/>
      <c r="W103" s="611"/>
      <c r="X103" s="611"/>
      <c r="Y103" s="611"/>
      <c r="Z103" s="611"/>
      <c r="AA103">
        <f>IF(AND('11 Mic'!C103&gt;Tmin, NOT('11 Mic'!$I103="")),'11 Mic'!$I103,0)</f>
        <v>0</v>
      </c>
      <c r="AB103">
        <f>IF(AND('11 Mic'!D103&gt;Tmin, NOT('11 Mic'!$I103="")),'11 Mic'!$I103,0)</f>
        <v>0</v>
      </c>
      <c r="AC103">
        <f>IF(AND('11 Mic'!E103&gt;Tmin, NOT('11 Mic'!$I103="")),'11 Mic'!$I103,0)</f>
        <v>0</v>
      </c>
      <c r="AD103">
        <f>IF(AND('11 Mic'!F103&gt;Tmin, NOT('11 Mic'!$I103="")),'11 Mic'!$I103,0)</f>
        <v>0</v>
      </c>
      <c r="AE103">
        <f>IF(AND('11 Mic'!C103&lt;Tmax, NOT('11 Mic'!$H103="")),'11 Mic'!$H103,4)</f>
        <v>4</v>
      </c>
      <c r="AF103">
        <f>IF(AND('11 Mic'!D103&lt;Tmax, NOT('11 Mic'!$H103="")),'11 Mic'!$H103,4)</f>
        <v>4</v>
      </c>
      <c r="AG103">
        <f>IF(AND('11 Mic'!E103&lt;Tmax, NOT('11 Mic'!$H103="")),'11 Mic'!$H103,4)</f>
        <v>4</v>
      </c>
      <c r="AH103">
        <f>IF(AND('11 Mic'!F103&lt;Tmax, NOT('11 Mic'!$H103="")),'11 Mic'!$H103,4)</f>
        <v>4</v>
      </c>
      <c r="AI103"/>
    </row>
    <row r="104" spans="1:35" s="648" customFormat="1" ht="22.5" outlineLevel="2" x14ac:dyDescent="0.2">
      <c r="A104" s="601" t="s">
        <v>2436</v>
      </c>
      <c r="B104" s="601" t="s">
        <v>5336</v>
      </c>
      <c r="C104" s="642"/>
      <c r="D104" s="642"/>
      <c r="E104" s="642"/>
      <c r="F104" s="642"/>
      <c r="G104" s="1515">
        <v>2</v>
      </c>
      <c r="H104" s="1515"/>
      <c r="I104" s="1515"/>
      <c r="J104" s="1515" t="s">
        <v>2109</v>
      </c>
      <c r="K104" s="1516"/>
      <c r="L104" s="1516"/>
      <c r="M104" s="647"/>
      <c r="N104" s="611"/>
      <c r="O104" s="611"/>
      <c r="P104" s="611"/>
      <c r="Q104" s="611"/>
      <c r="R104" s="611"/>
      <c r="S104" s="611"/>
      <c r="T104" s="611"/>
      <c r="U104" s="611"/>
      <c r="V104" s="611"/>
      <c r="W104" s="611"/>
      <c r="X104" s="611"/>
      <c r="Y104" s="611"/>
      <c r="Z104" s="611"/>
      <c r="AA104">
        <f>IF(AND('11 Mic'!C104&gt;Tmin, NOT('11 Mic'!$I104="")),'11 Mic'!$I104,0)</f>
        <v>0</v>
      </c>
      <c r="AB104">
        <f>IF(AND('11 Mic'!D104&gt;Tmin, NOT('11 Mic'!$I104="")),'11 Mic'!$I104,0)</f>
        <v>0</v>
      </c>
      <c r="AC104">
        <f>IF(AND('11 Mic'!E104&gt;Tmin, NOT('11 Mic'!$I104="")),'11 Mic'!$I104,0)</f>
        <v>0</v>
      </c>
      <c r="AD104">
        <f>IF(AND('11 Mic'!F104&gt;Tmin, NOT('11 Mic'!$I104="")),'11 Mic'!$I104,0)</f>
        <v>0</v>
      </c>
      <c r="AE104">
        <f>IF(AND('11 Mic'!C104&lt;Tmax, NOT('11 Mic'!$H104="")),'11 Mic'!$H104,4)</f>
        <v>4</v>
      </c>
      <c r="AF104">
        <f>IF(AND('11 Mic'!D104&lt;Tmax, NOT('11 Mic'!$H104="")),'11 Mic'!$H104,4)</f>
        <v>4</v>
      </c>
      <c r="AG104">
        <f>IF(AND('11 Mic'!E104&lt;Tmax, NOT('11 Mic'!$H104="")),'11 Mic'!$H104,4)</f>
        <v>4</v>
      </c>
      <c r="AH104">
        <f>IF(AND('11 Mic'!F104&lt;Tmax, NOT('11 Mic'!$H104="")),'11 Mic'!$H104,4)</f>
        <v>4</v>
      </c>
      <c r="AI104"/>
    </row>
    <row r="105" spans="1:35" s="681" customFormat="1" outlineLevel="1" x14ac:dyDescent="0.2">
      <c r="A105" s="677" t="s">
        <v>1599</v>
      </c>
      <c r="B105" s="678" t="s">
        <v>5954</v>
      </c>
      <c r="C105" s="642"/>
      <c r="D105" s="638"/>
      <c r="E105" s="638"/>
      <c r="F105" s="638"/>
      <c r="G105" s="1517"/>
      <c r="H105" s="1517"/>
      <c r="I105" s="1525"/>
      <c r="J105" s="1519"/>
      <c r="K105" s="1520"/>
      <c r="L105" s="1523"/>
      <c r="M105" s="642"/>
      <c r="N105" s="680"/>
      <c r="O105" s="680"/>
      <c r="P105" s="680"/>
      <c r="Q105" s="680"/>
      <c r="R105" s="680"/>
      <c r="S105" s="680"/>
      <c r="T105" s="680"/>
      <c r="U105" s="680"/>
      <c r="V105" s="680"/>
      <c r="W105" s="680"/>
      <c r="X105" s="680"/>
      <c r="Y105" s="680"/>
      <c r="Z105" s="680"/>
      <c r="AA105"/>
      <c r="AB105"/>
      <c r="AC105"/>
      <c r="AD105"/>
      <c r="AE105"/>
      <c r="AF105"/>
      <c r="AG105"/>
      <c r="AH105"/>
      <c r="AI105"/>
    </row>
    <row r="106" spans="1:35" s="681" customFormat="1" outlineLevel="2" x14ac:dyDescent="0.2">
      <c r="A106" s="601" t="s">
        <v>1273</v>
      </c>
      <c r="B106" s="601" t="s">
        <v>6626</v>
      </c>
      <c r="C106" s="642"/>
      <c r="D106" s="638"/>
      <c r="E106" s="638"/>
      <c r="F106" s="638"/>
      <c r="G106" s="1517">
        <v>2</v>
      </c>
      <c r="H106" s="1517"/>
      <c r="I106" s="1525"/>
      <c r="J106" s="1519"/>
      <c r="K106" s="1520"/>
      <c r="L106" s="1523"/>
      <c r="M106" s="642"/>
      <c r="N106" s="680"/>
      <c r="O106" s="680"/>
      <c r="P106" s="680"/>
      <c r="Q106" s="680"/>
      <c r="R106" s="680"/>
      <c r="S106" s="680"/>
      <c r="T106" s="680"/>
      <c r="U106" s="680"/>
      <c r="V106" s="680"/>
      <c r="W106" s="680"/>
      <c r="X106" s="680"/>
      <c r="Y106" s="680"/>
      <c r="Z106" s="680"/>
      <c r="AA106">
        <f>IF(AND('11 Mic'!C106&gt;Tmin, NOT('11 Mic'!$I106="")),'11 Mic'!$I106,0)</f>
        <v>0</v>
      </c>
      <c r="AB106">
        <f>IF(AND('11 Mic'!D106&gt;Tmin, NOT('11 Mic'!$I106="")),'11 Mic'!$I106,0)</f>
        <v>0</v>
      </c>
      <c r="AC106">
        <f>IF(AND('11 Mic'!E106&gt;Tmin, NOT('11 Mic'!$I106="")),'11 Mic'!$I106,0)</f>
        <v>0</v>
      </c>
      <c r="AD106">
        <f>IF(AND('11 Mic'!F106&gt;Tmin, NOT('11 Mic'!$I106="")),'11 Mic'!$I106,0)</f>
        <v>0</v>
      </c>
      <c r="AE106">
        <f>IF(AND('11 Mic'!C106&lt;Tmax, NOT('11 Mic'!$H106="")),'11 Mic'!$H106,4)</f>
        <v>4</v>
      </c>
      <c r="AF106">
        <f>IF(AND('11 Mic'!D106&lt;Tmax, NOT('11 Mic'!$H106="")),'11 Mic'!$H106,4)</f>
        <v>4</v>
      </c>
      <c r="AG106">
        <f>IF(AND('11 Mic'!E106&lt;Tmax, NOT('11 Mic'!$H106="")),'11 Mic'!$H106,4)</f>
        <v>4</v>
      </c>
      <c r="AH106">
        <f>IF(AND('11 Mic'!F106&lt;Tmax, NOT('11 Mic'!$H106="")),'11 Mic'!$H106,4)</f>
        <v>4</v>
      </c>
      <c r="AI106"/>
    </row>
    <row r="107" spans="1:35" s="681" customFormat="1" outlineLevel="2" x14ac:dyDescent="0.2">
      <c r="A107" s="601" t="s">
        <v>1274</v>
      </c>
      <c r="B107" s="601" t="s">
        <v>4741</v>
      </c>
      <c r="C107" s="642"/>
      <c r="D107" s="638"/>
      <c r="E107" s="638"/>
      <c r="F107" s="638"/>
      <c r="G107" s="1517">
        <v>4</v>
      </c>
      <c r="H107" s="1517"/>
      <c r="I107" s="1525"/>
      <c r="J107" s="1519"/>
      <c r="K107" s="1520"/>
      <c r="L107" s="1523"/>
      <c r="M107" s="642"/>
      <c r="N107" s="680"/>
      <c r="O107" s="680"/>
      <c r="P107" s="680"/>
      <c r="Q107" s="680"/>
      <c r="R107" s="680"/>
      <c r="S107" s="680"/>
      <c r="T107" s="680"/>
      <c r="U107" s="680"/>
      <c r="V107" s="680"/>
      <c r="W107" s="680"/>
      <c r="X107" s="680"/>
      <c r="Y107" s="680"/>
      <c r="Z107" s="680"/>
      <c r="AA107">
        <f>IF(AND('11 Mic'!C107&gt;Tmin, NOT('11 Mic'!$I107="")),'11 Mic'!$I107,0)</f>
        <v>0</v>
      </c>
      <c r="AB107">
        <f>IF(AND('11 Mic'!D107&gt;Tmin, NOT('11 Mic'!$I107="")),'11 Mic'!$I107,0)</f>
        <v>0</v>
      </c>
      <c r="AC107">
        <f>IF(AND('11 Mic'!E107&gt;Tmin, NOT('11 Mic'!$I107="")),'11 Mic'!$I107,0)</f>
        <v>0</v>
      </c>
      <c r="AD107">
        <f>IF(AND('11 Mic'!F107&gt;Tmin, NOT('11 Mic'!$I107="")),'11 Mic'!$I107,0)</f>
        <v>0</v>
      </c>
      <c r="AE107">
        <f>IF(AND('11 Mic'!C107&lt;Tmax, NOT('11 Mic'!$H107="")),'11 Mic'!$H107,4)</f>
        <v>4</v>
      </c>
      <c r="AF107">
        <f>IF(AND('11 Mic'!D107&lt;Tmax, NOT('11 Mic'!$H107="")),'11 Mic'!$H107,4)</f>
        <v>4</v>
      </c>
      <c r="AG107">
        <f>IF(AND('11 Mic'!E107&lt;Tmax, NOT('11 Mic'!$H107="")),'11 Mic'!$H107,4)</f>
        <v>4</v>
      </c>
      <c r="AH107">
        <f>IF(AND('11 Mic'!F107&lt;Tmax, NOT('11 Mic'!$H107="")),'11 Mic'!$H107,4)</f>
        <v>4</v>
      </c>
      <c r="AI107"/>
    </row>
    <row r="108" spans="1:35" s="681" customFormat="1" outlineLevel="2" x14ac:dyDescent="0.2">
      <c r="A108" s="601" t="s">
        <v>1275</v>
      </c>
      <c r="B108" s="601" t="s">
        <v>4742</v>
      </c>
      <c r="C108" s="642"/>
      <c r="D108" s="638"/>
      <c r="E108" s="638"/>
      <c r="F108" s="638"/>
      <c r="G108" s="1517">
        <v>4</v>
      </c>
      <c r="H108" s="1517"/>
      <c r="I108" s="1525"/>
      <c r="J108" s="1519"/>
      <c r="K108" s="1520"/>
      <c r="L108" s="1523"/>
      <c r="M108" s="642"/>
      <c r="N108" s="680"/>
      <c r="O108" s="680"/>
      <c r="P108" s="680"/>
      <c r="Q108" s="680"/>
      <c r="R108" s="680"/>
      <c r="S108" s="680"/>
      <c r="T108" s="680"/>
      <c r="U108" s="680"/>
      <c r="V108" s="680"/>
      <c r="W108" s="680"/>
      <c r="X108" s="680"/>
      <c r="Y108" s="680"/>
      <c r="Z108" s="680"/>
      <c r="AA108">
        <f>IF(AND('11 Mic'!C108&gt;Tmin, NOT('11 Mic'!$I108="")),'11 Mic'!$I108,0)</f>
        <v>0</v>
      </c>
      <c r="AB108">
        <f>IF(AND('11 Mic'!D108&gt;Tmin, NOT('11 Mic'!$I108="")),'11 Mic'!$I108,0)</f>
        <v>0</v>
      </c>
      <c r="AC108">
        <f>IF(AND('11 Mic'!E108&gt;Tmin, NOT('11 Mic'!$I108="")),'11 Mic'!$I108,0)</f>
        <v>0</v>
      </c>
      <c r="AD108">
        <f>IF(AND('11 Mic'!F108&gt;Tmin, NOT('11 Mic'!$I108="")),'11 Mic'!$I108,0)</f>
        <v>0</v>
      </c>
      <c r="AE108">
        <f>IF(AND('11 Mic'!C108&lt;Tmax, NOT('11 Mic'!$H108="")),'11 Mic'!$H108,4)</f>
        <v>4</v>
      </c>
      <c r="AF108">
        <f>IF(AND('11 Mic'!D108&lt;Tmax, NOT('11 Mic'!$H108="")),'11 Mic'!$H108,4)</f>
        <v>4</v>
      </c>
      <c r="AG108">
        <f>IF(AND('11 Mic'!E108&lt;Tmax, NOT('11 Mic'!$H108="")),'11 Mic'!$H108,4)</f>
        <v>4</v>
      </c>
      <c r="AH108">
        <f>IF(AND('11 Mic'!F108&lt;Tmax, NOT('11 Mic'!$H108="")),'11 Mic'!$H108,4)</f>
        <v>4</v>
      </c>
      <c r="AI108"/>
    </row>
    <row r="109" spans="1:35" s="681" customFormat="1" outlineLevel="2" x14ac:dyDescent="0.2">
      <c r="A109" s="601" t="s">
        <v>1276</v>
      </c>
      <c r="B109" s="601" t="s">
        <v>6278</v>
      </c>
      <c r="C109" s="642"/>
      <c r="D109" s="638"/>
      <c r="E109" s="638"/>
      <c r="F109" s="638"/>
      <c r="G109" s="1517">
        <v>4</v>
      </c>
      <c r="H109" s="1517"/>
      <c r="I109" s="1525"/>
      <c r="J109" s="1519"/>
      <c r="K109" s="1520"/>
      <c r="L109" s="1523"/>
      <c r="M109" s="642"/>
      <c r="N109" s="680"/>
      <c r="O109" s="680"/>
      <c r="P109" s="680"/>
      <c r="Q109" s="680"/>
      <c r="R109" s="680"/>
      <c r="S109" s="680"/>
      <c r="T109" s="680"/>
      <c r="U109" s="680"/>
      <c r="V109" s="680"/>
      <c r="W109" s="680"/>
      <c r="X109" s="680"/>
      <c r="Y109" s="680"/>
      <c r="Z109" s="680"/>
      <c r="AA109">
        <f>IF(AND('11 Mic'!C109&gt;Tmin, NOT('11 Mic'!$I109="")),'11 Mic'!$I109,0)</f>
        <v>0</v>
      </c>
      <c r="AB109">
        <f>IF(AND('11 Mic'!D109&gt;Tmin, NOT('11 Mic'!$I109="")),'11 Mic'!$I109,0)</f>
        <v>0</v>
      </c>
      <c r="AC109">
        <f>IF(AND('11 Mic'!E109&gt;Tmin, NOT('11 Mic'!$I109="")),'11 Mic'!$I109,0)</f>
        <v>0</v>
      </c>
      <c r="AD109">
        <f>IF(AND('11 Mic'!F109&gt;Tmin, NOT('11 Mic'!$I109="")),'11 Mic'!$I109,0)</f>
        <v>0</v>
      </c>
      <c r="AE109">
        <f>IF(AND('11 Mic'!C109&lt;Tmax, NOT('11 Mic'!$H109="")),'11 Mic'!$H109,4)</f>
        <v>4</v>
      </c>
      <c r="AF109">
        <f>IF(AND('11 Mic'!D109&lt;Tmax, NOT('11 Mic'!$H109="")),'11 Mic'!$H109,4)</f>
        <v>4</v>
      </c>
      <c r="AG109">
        <f>IF(AND('11 Mic'!E109&lt;Tmax, NOT('11 Mic'!$H109="")),'11 Mic'!$H109,4)</f>
        <v>4</v>
      </c>
      <c r="AH109">
        <f>IF(AND('11 Mic'!F109&lt;Tmax, NOT('11 Mic'!$H109="")),'11 Mic'!$H109,4)</f>
        <v>4</v>
      </c>
      <c r="AI109"/>
    </row>
    <row r="110" spans="1:35" s="681" customFormat="1" outlineLevel="2" x14ac:dyDescent="0.2">
      <c r="A110" s="601" t="s">
        <v>1277</v>
      </c>
      <c r="B110" s="601" t="s">
        <v>6624</v>
      </c>
      <c r="C110" s="642"/>
      <c r="D110" s="638"/>
      <c r="E110" s="638"/>
      <c r="F110" s="638"/>
      <c r="G110" s="1517">
        <v>4</v>
      </c>
      <c r="H110" s="1517"/>
      <c r="I110" s="1525"/>
      <c r="J110" s="1519"/>
      <c r="K110" s="1520"/>
      <c r="L110" s="1523"/>
      <c r="M110" s="642"/>
      <c r="N110" s="680"/>
      <c r="O110" s="680"/>
      <c r="P110" s="680"/>
      <c r="Q110" s="680"/>
      <c r="R110" s="680"/>
      <c r="S110" s="680"/>
      <c r="T110" s="680"/>
      <c r="U110" s="680"/>
      <c r="V110" s="680"/>
      <c r="W110" s="680"/>
      <c r="X110" s="680"/>
      <c r="Y110" s="680"/>
      <c r="Z110" s="680"/>
      <c r="AA110">
        <f>IF(AND('11 Mic'!C110&gt;Tmin, NOT('11 Mic'!$I110="")),'11 Mic'!$I110,0)</f>
        <v>0</v>
      </c>
      <c r="AB110">
        <f>IF(AND('11 Mic'!D110&gt;Tmin, NOT('11 Mic'!$I110="")),'11 Mic'!$I110,0)</f>
        <v>0</v>
      </c>
      <c r="AC110">
        <f>IF(AND('11 Mic'!E110&gt;Tmin, NOT('11 Mic'!$I110="")),'11 Mic'!$I110,0)</f>
        <v>0</v>
      </c>
      <c r="AD110">
        <f>IF(AND('11 Mic'!F110&gt;Tmin, NOT('11 Mic'!$I110="")),'11 Mic'!$I110,0)</f>
        <v>0</v>
      </c>
      <c r="AE110">
        <f>IF(AND('11 Mic'!C110&lt;Tmax, NOT('11 Mic'!$H110="")),'11 Mic'!$H110,4)</f>
        <v>4</v>
      </c>
      <c r="AF110">
        <f>IF(AND('11 Mic'!D110&lt;Tmax, NOT('11 Mic'!$H110="")),'11 Mic'!$H110,4)</f>
        <v>4</v>
      </c>
      <c r="AG110">
        <f>IF(AND('11 Mic'!E110&lt;Tmax, NOT('11 Mic'!$H110="")),'11 Mic'!$H110,4)</f>
        <v>4</v>
      </c>
      <c r="AH110">
        <f>IF(AND('11 Mic'!F110&lt;Tmax, NOT('11 Mic'!$H110="")),'11 Mic'!$H110,4)</f>
        <v>4</v>
      </c>
      <c r="AI110"/>
    </row>
    <row r="111" spans="1:35" s="681" customFormat="1" outlineLevel="2" x14ac:dyDescent="0.2">
      <c r="A111" s="601" t="s">
        <v>1278</v>
      </c>
      <c r="B111" s="601" t="s">
        <v>6627</v>
      </c>
      <c r="C111" s="642"/>
      <c r="D111" s="638"/>
      <c r="E111" s="638"/>
      <c r="F111" s="638"/>
      <c r="G111" s="1517">
        <v>2</v>
      </c>
      <c r="H111" s="1517"/>
      <c r="I111" s="1525"/>
      <c r="J111" s="1519"/>
      <c r="K111" s="1520"/>
      <c r="L111" s="1523"/>
      <c r="M111" s="642"/>
      <c r="N111" s="680"/>
      <c r="O111" s="680"/>
      <c r="P111" s="680"/>
      <c r="Q111" s="680"/>
      <c r="R111" s="680"/>
      <c r="S111" s="680"/>
      <c r="T111" s="680"/>
      <c r="U111" s="680"/>
      <c r="V111" s="680"/>
      <c r="W111" s="680"/>
      <c r="X111" s="680"/>
      <c r="Y111" s="680"/>
      <c r="Z111" s="680"/>
      <c r="AA111">
        <f>IF(AND('11 Mic'!C111&gt;Tmin, NOT('11 Mic'!$I111="")),'11 Mic'!$I111,0)</f>
        <v>0</v>
      </c>
      <c r="AB111">
        <f>IF(AND('11 Mic'!D111&gt;Tmin, NOT('11 Mic'!$I111="")),'11 Mic'!$I111,0)</f>
        <v>0</v>
      </c>
      <c r="AC111">
        <f>IF(AND('11 Mic'!E111&gt;Tmin, NOT('11 Mic'!$I111="")),'11 Mic'!$I111,0)</f>
        <v>0</v>
      </c>
      <c r="AD111">
        <f>IF(AND('11 Mic'!F111&gt;Tmin, NOT('11 Mic'!$I111="")),'11 Mic'!$I111,0)</f>
        <v>0</v>
      </c>
      <c r="AE111">
        <f>IF(AND('11 Mic'!C111&lt;Tmax, NOT('11 Mic'!$H111="")),'11 Mic'!$H111,4)</f>
        <v>4</v>
      </c>
      <c r="AF111">
        <f>IF(AND('11 Mic'!D111&lt;Tmax, NOT('11 Mic'!$H111="")),'11 Mic'!$H111,4)</f>
        <v>4</v>
      </c>
      <c r="AG111">
        <f>IF(AND('11 Mic'!E111&lt;Tmax, NOT('11 Mic'!$H111="")),'11 Mic'!$H111,4)</f>
        <v>4</v>
      </c>
      <c r="AH111">
        <f>IF(AND('11 Mic'!F111&lt;Tmax, NOT('11 Mic'!$H111="")),'11 Mic'!$H111,4)</f>
        <v>4</v>
      </c>
      <c r="AI111"/>
    </row>
    <row r="112" spans="1:35" s="648" customFormat="1" x14ac:dyDescent="0.2">
      <c r="A112" s="602" t="s">
        <v>3701</v>
      </c>
      <c r="B112" s="602" t="s">
        <v>3624</v>
      </c>
      <c r="C112" s="642"/>
      <c r="D112" s="635"/>
      <c r="E112" s="635"/>
      <c r="F112" s="635"/>
      <c r="G112" s="1524"/>
      <c r="H112" s="1524"/>
      <c r="I112" s="1515"/>
      <c r="J112" s="1515"/>
      <c r="K112" s="1516"/>
      <c r="L112" s="1516"/>
      <c r="M112" s="647"/>
      <c r="N112" s="611"/>
      <c r="O112" s="611"/>
      <c r="P112" s="611"/>
      <c r="Q112" s="611"/>
      <c r="R112" s="611"/>
      <c r="S112" s="611"/>
      <c r="T112" s="611"/>
      <c r="U112" s="611"/>
      <c r="V112" s="611"/>
      <c r="W112" s="611"/>
      <c r="X112" s="611"/>
      <c r="Y112" s="611"/>
      <c r="Z112" s="611"/>
      <c r="AA112"/>
      <c r="AB112"/>
      <c r="AC112"/>
      <c r="AD112"/>
      <c r="AE112"/>
      <c r="AF112"/>
      <c r="AG112"/>
      <c r="AH112"/>
      <c r="AI112"/>
    </row>
    <row r="113" spans="1:35" s="648" customFormat="1" outlineLevel="1" x14ac:dyDescent="0.2">
      <c r="A113" s="677" t="s">
        <v>1600</v>
      </c>
      <c r="B113" s="678" t="s">
        <v>5944</v>
      </c>
      <c r="C113" s="642"/>
      <c r="D113" s="635"/>
      <c r="E113" s="635"/>
      <c r="F113" s="635"/>
      <c r="G113" s="1515"/>
      <c r="H113" s="1515"/>
      <c r="I113" s="1515"/>
      <c r="J113" s="1515"/>
      <c r="K113" s="1516"/>
      <c r="L113" s="1516"/>
      <c r="M113" s="647"/>
      <c r="N113" s="611"/>
      <c r="O113" s="611"/>
      <c r="P113" s="611"/>
      <c r="Q113" s="611"/>
      <c r="R113" s="611"/>
      <c r="S113" s="611"/>
      <c r="T113" s="611"/>
      <c r="U113" s="611"/>
      <c r="V113" s="611"/>
      <c r="W113" s="611"/>
      <c r="X113" s="611"/>
      <c r="Y113" s="611"/>
      <c r="Z113" s="611"/>
      <c r="AA113"/>
      <c r="AB113"/>
      <c r="AC113"/>
      <c r="AD113"/>
      <c r="AE113"/>
      <c r="AF113"/>
      <c r="AG113"/>
      <c r="AH113"/>
      <c r="AI113"/>
    </row>
    <row r="114" spans="1:35" s="648" customFormat="1" outlineLevel="2" x14ac:dyDescent="0.2">
      <c r="A114" s="601" t="s">
        <v>3625</v>
      </c>
      <c r="B114" s="601" t="s">
        <v>3626</v>
      </c>
      <c r="C114" s="642"/>
      <c r="D114" s="635"/>
      <c r="E114" s="635"/>
      <c r="F114" s="635"/>
      <c r="G114" s="1515">
        <v>2</v>
      </c>
      <c r="H114" s="1515"/>
      <c r="I114" s="1515"/>
      <c r="J114" s="1515" t="s">
        <v>4246</v>
      </c>
      <c r="K114" s="1516" t="s">
        <v>4434</v>
      </c>
      <c r="L114" s="1516" t="s">
        <v>1717</v>
      </c>
      <c r="M114" s="647"/>
      <c r="N114" s="611"/>
      <c r="O114" s="611"/>
      <c r="P114" s="611"/>
      <c r="Q114" s="611"/>
      <c r="R114" s="611"/>
      <c r="S114" s="611"/>
      <c r="T114" s="611"/>
      <c r="U114" s="611"/>
      <c r="V114" s="611"/>
      <c r="W114" s="611"/>
      <c r="X114" s="611"/>
      <c r="Y114" s="611"/>
      <c r="Z114" s="611"/>
      <c r="AA114">
        <f>IF(AND('11 Mic'!C114&gt;Tmin, NOT('11 Mic'!$I114="")),'11 Mic'!$I114,0)</f>
        <v>0</v>
      </c>
      <c r="AB114">
        <f>IF(AND('11 Mic'!D114&gt;Tmin, NOT('11 Mic'!$I114="")),'11 Mic'!$I114,0)</f>
        <v>0</v>
      </c>
      <c r="AC114">
        <f>IF(AND('11 Mic'!E114&gt;Tmin, NOT('11 Mic'!$I114="")),'11 Mic'!$I114,0)</f>
        <v>0</v>
      </c>
      <c r="AD114">
        <f>IF(AND('11 Mic'!F114&gt;Tmin, NOT('11 Mic'!$I114="")),'11 Mic'!$I114,0)</f>
        <v>0</v>
      </c>
      <c r="AE114">
        <f>IF(AND('11 Mic'!C114&lt;Tmax, NOT('11 Mic'!$H114="")),'11 Mic'!$H114,4)</f>
        <v>4</v>
      </c>
      <c r="AF114">
        <f>IF(AND('11 Mic'!D114&lt;Tmax, NOT('11 Mic'!$H114="")),'11 Mic'!$H114,4)</f>
        <v>4</v>
      </c>
      <c r="AG114">
        <f>IF(AND('11 Mic'!E114&lt;Tmax, NOT('11 Mic'!$H114="")),'11 Mic'!$H114,4)</f>
        <v>4</v>
      </c>
      <c r="AH114">
        <f>IF(AND('11 Mic'!F114&lt;Tmax, NOT('11 Mic'!$H114="")),'11 Mic'!$H114,4)</f>
        <v>4</v>
      </c>
      <c r="AI114"/>
    </row>
    <row r="115" spans="1:35" s="648" customFormat="1" ht="22.5" outlineLevel="2" x14ac:dyDescent="0.2">
      <c r="A115" s="601" t="s">
        <v>3627</v>
      </c>
      <c r="B115" s="601" t="s">
        <v>5053</v>
      </c>
      <c r="C115" s="642"/>
      <c r="D115" s="635"/>
      <c r="E115" s="635"/>
      <c r="F115" s="635"/>
      <c r="G115" s="1515">
        <v>2</v>
      </c>
      <c r="H115" s="1515"/>
      <c r="I115" s="1515"/>
      <c r="J115" s="1515" t="s">
        <v>4246</v>
      </c>
      <c r="K115" s="1516"/>
      <c r="L115" s="1516"/>
      <c r="M115" s="647"/>
      <c r="N115" s="611"/>
      <c r="O115" s="611"/>
      <c r="P115" s="611"/>
      <c r="Q115" s="611"/>
      <c r="R115" s="611"/>
      <c r="S115" s="611"/>
      <c r="T115" s="611"/>
      <c r="U115" s="611"/>
      <c r="V115" s="611"/>
      <c r="W115" s="611"/>
      <c r="X115" s="611"/>
      <c r="Y115" s="611"/>
      <c r="Z115" s="611"/>
      <c r="AA115">
        <f>IF(AND('11 Mic'!C115&gt;Tmin, NOT('11 Mic'!$I115="")),'11 Mic'!$I115,0)</f>
        <v>0</v>
      </c>
      <c r="AB115">
        <f>IF(AND('11 Mic'!D115&gt;Tmin, NOT('11 Mic'!$I115="")),'11 Mic'!$I115,0)</f>
        <v>0</v>
      </c>
      <c r="AC115">
        <f>IF(AND('11 Mic'!E115&gt;Tmin, NOT('11 Mic'!$I115="")),'11 Mic'!$I115,0)</f>
        <v>0</v>
      </c>
      <c r="AD115">
        <f>IF(AND('11 Mic'!F115&gt;Tmin, NOT('11 Mic'!$I115="")),'11 Mic'!$I115,0)</f>
        <v>0</v>
      </c>
      <c r="AE115">
        <f>IF(AND('11 Mic'!C115&lt;Tmax, NOT('11 Mic'!$H115="")),'11 Mic'!$H115,4)</f>
        <v>4</v>
      </c>
      <c r="AF115">
        <f>IF(AND('11 Mic'!D115&lt;Tmax, NOT('11 Mic'!$H115="")),'11 Mic'!$H115,4)</f>
        <v>4</v>
      </c>
      <c r="AG115">
        <f>IF(AND('11 Mic'!E115&lt;Tmax, NOT('11 Mic'!$H115="")),'11 Mic'!$H115,4)</f>
        <v>4</v>
      </c>
      <c r="AH115">
        <f>IF(AND('11 Mic'!F115&lt;Tmax, NOT('11 Mic'!$H115="")),'11 Mic'!$H115,4)</f>
        <v>4</v>
      </c>
      <c r="AI115"/>
    </row>
    <row r="116" spans="1:35" s="648" customFormat="1" outlineLevel="2" x14ac:dyDescent="0.2">
      <c r="A116" s="601" t="s">
        <v>3628</v>
      </c>
      <c r="B116" s="601" t="s">
        <v>3629</v>
      </c>
      <c r="C116" s="642"/>
      <c r="D116" s="635"/>
      <c r="E116" s="635"/>
      <c r="F116" s="635"/>
      <c r="G116" s="1515">
        <v>3</v>
      </c>
      <c r="H116" s="1515"/>
      <c r="I116" s="1515"/>
      <c r="J116" s="1515" t="s">
        <v>4246</v>
      </c>
      <c r="K116" s="1516"/>
      <c r="L116" s="1516"/>
      <c r="M116" s="647"/>
      <c r="N116" s="611"/>
      <c r="O116" s="611"/>
      <c r="P116" s="611"/>
      <c r="Q116" s="611"/>
      <c r="R116" s="611"/>
      <c r="S116" s="611"/>
      <c r="T116" s="611"/>
      <c r="U116" s="611"/>
      <c r="V116" s="611"/>
      <c r="W116" s="611"/>
      <c r="X116" s="611"/>
      <c r="Y116" s="611"/>
      <c r="Z116" s="611"/>
      <c r="AA116">
        <f>IF(AND('11 Mic'!C116&gt;Tmin, NOT('11 Mic'!$I116="")),'11 Mic'!$I116,0)</f>
        <v>0</v>
      </c>
      <c r="AB116">
        <f>IF(AND('11 Mic'!D116&gt;Tmin, NOT('11 Mic'!$I116="")),'11 Mic'!$I116,0)</f>
        <v>0</v>
      </c>
      <c r="AC116">
        <f>IF(AND('11 Mic'!E116&gt;Tmin, NOT('11 Mic'!$I116="")),'11 Mic'!$I116,0)</f>
        <v>0</v>
      </c>
      <c r="AD116">
        <f>IF(AND('11 Mic'!F116&gt;Tmin, NOT('11 Mic'!$I116="")),'11 Mic'!$I116,0)</f>
        <v>0</v>
      </c>
      <c r="AE116">
        <f>IF(AND('11 Mic'!C116&lt;Tmax, NOT('11 Mic'!$H116="")),'11 Mic'!$H116,4)</f>
        <v>4</v>
      </c>
      <c r="AF116">
        <f>IF(AND('11 Mic'!D116&lt;Tmax, NOT('11 Mic'!$H116="")),'11 Mic'!$H116,4)</f>
        <v>4</v>
      </c>
      <c r="AG116">
        <f>IF(AND('11 Mic'!E116&lt;Tmax, NOT('11 Mic'!$H116="")),'11 Mic'!$H116,4)</f>
        <v>4</v>
      </c>
      <c r="AH116">
        <f>IF(AND('11 Mic'!F116&lt;Tmax, NOT('11 Mic'!$H116="")),'11 Mic'!$H116,4)</f>
        <v>4</v>
      </c>
      <c r="AI116"/>
    </row>
    <row r="117" spans="1:35" s="648" customFormat="1" ht="22.5" outlineLevel="2" x14ac:dyDescent="0.2">
      <c r="A117" s="601" t="s">
        <v>3630</v>
      </c>
      <c r="B117" s="601" t="s">
        <v>6125</v>
      </c>
      <c r="C117" s="642"/>
      <c r="D117" s="635"/>
      <c r="E117" s="635"/>
      <c r="F117" s="635"/>
      <c r="G117" s="1515">
        <v>2</v>
      </c>
      <c r="H117" s="1515"/>
      <c r="I117" s="1515"/>
      <c r="J117" s="1515" t="s">
        <v>4246</v>
      </c>
      <c r="K117" s="1516"/>
      <c r="L117" s="1516"/>
      <c r="M117" s="647"/>
      <c r="N117" s="611"/>
      <c r="O117" s="611"/>
      <c r="P117" s="611"/>
      <c r="Q117" s="611"/>
      <c r="R117" s="611"/>
      <c r="S117" s="611"/>
      <c r="T117" s="611"/>
      <c r="U117" s="611"/>
      <c r="V117" s="611"/>
      <c r="W117" s="611"/>
      <c r="X117" s="611"/>
      <c r="Y117" s="611"/>
      <c r="Z117" s="611"/>
      <c r="AA117">
        <f>IF(AND('11 Mic'!C117&gt;Tmin, NOT('11 Mic'!$I117="")),'11 Mic'!$I117,0)</f>
        <v>0</v>
      </c>
      <c r="AB117">
        <f>IF(AND('11 Mic'!D117&gt;Tmin, NOT('11 Mic'!$I117="")),'11 Mic'!$I117,0)</f>
        <v>0</v>
      </c>
      <c r="AC117">
        <f>IF(AND('11 Mic'!E117&gt;Tmin, NOT('11 Mic'!$I117="")),'11 Mic'!$I117,0)</f>
        <v>0</v>
      </c>
      <c r="AD117">
        <f>IF(AND('11 Mic'!F117&gt;Tmin, NOT('11 Mic'!$I117="")),'11 Mic'!$I117,0)</f>
        <v>0</v>
      </c>
      <c r="AE117">
        <f>IF(AND('11 Mic'!C117&lt;Tmax, NOT('11 Mic'!$H117="")),'11 Mic'!$H117,4)</f>
        <v>4</v>
      </c>
      <c r="AF117">
        <f>IF(AND('11 Mic'!D117&lt;Tmax, NOT('11 Mic'!$H117="")),'11 Mic'!$H117,4)</f>
        <v>4</v>
      </c>
      <c r="AG117">
        <f>IF(AND('11 Mic'!E117&lt;Tmax, NOT('11 Mic'!$H117="")),'11 Mic'!$H117,4)</f>
        <v>4</v>
      </c>
      <c r="AH117">
        <f>IF(AND('11 Mic'!F117&lt;Tmax, NOT('11 Mic'!$H117="")),'11 Mic'!$H117,4)</f>
        <v>4</v>
      </c>
      <c r="AI117"/>
    </row>
    <row r="118" spans="1:35" s="648" customFormat="1" ht="22.5" outlineLevel="2" x14ac:dyDescent="0.2">
      <c r="A118" s="601" t="s">
        <v>3631</v>
      </c>
      <c r="B118" s="601" t="s">
        <v>6132</v>
      </c>
      <c r="C118" s="642"/>
      <c r="D118" s="635"/>
      <c r="E118" s="635"/>
      <c r="F118" s="635"/>
      <c r="G118" s="1515">
        <v>3</v>
      </c>
      <c r="H118" s="1515"/>
      <c r="I118" s="1515"/>
      <c r="J118" s="1515" t="s">
        <v>2109</v>
      </c>
      <c r="K118" s="1516"/>
      <c r="L118" s="1516"/>
      <c r="M118" s="647"/>
      <c r="N118" s="611"/>
      <c r="O118" s="611"/>
      <c r="P118" s="611"/>
      <c r="Q118" s="611"/>
      <c r="R118" s="611"/>
      <c r="S118" s="611"/>
      <c r="T118" s="611"/>
      <c r="U118" s="611"/>
      <c r="V118" s="611"/>
      <c r="W118" s="611"/>
      <c r="X118" s="611"/>
      <c r="Y118" s="611"/>
      <c r="Z118" s="611"/>
      <c r="AA118">
        <f>IF(AND('11 Mic'!C118&gt;Tmin, NOT('11 Mic'!$I118="")),'11 Mic'!$I118,0)</f>
        <v>0</v>
      </c>
      <c r="AB118">
        <f>IF(AND('11 Mic'!D118&gt;Tmin, NOT('11 Mic'!$I118="")),'11 Mic'!$I118,0)</f>
        <v>0</v>
      </c>
      <c r="AC118">
        <f>IF(AND('11 Mic'!E118&gt;Tmin, NOT('11 Mic'!$I118="")),'11 Mic'!$I118,0)</f>
        <v>0</v>
      </c>
      <c r="AD118">
        <f>IF(AND('11 Mic'!F118&gt;Tmin, NOT('11 Mic'!$I118="")),'11 Mic'!$I118,0)</f>
        <v>0</v>
      </c>
      <c r="AE118">
        <f>IF(AND('11 Mic'!C118&lt;Tmax, NOT('11 Mic'!$H118="")),'11 Mic'!$H118,4)</f>
        <v>4</v>
      </c>
      <c r="AF118">
        <f>IF(AND('11 Mic'!D118&lt;Tmax, NOT('11 Mic'!$H118="")),'11 Mic'!$H118,4)</f>
        <v>4</v>
      </c>
      <c r="AG118">
        <f>IF(AND('11 Mic'!E118&lt;Tmax, NOT('11 Mic'!$H118="")),'11 Mic'!$H118,4)</f>
        <v>4</v>
      </c>
      <c r="AH118">
        <f>IF(AND('11 Mic'!F118&lt;Tmax, NOT('11 Mic'!$H118="")),'11 Mic'!$H118,4)</f>
        <v>4</v>
      </c>
      <c r="AI118"/>
    </row>
    <row r="119" spans="1:35" s="648" customFormat="1" outlineLevel="1" x14ac:dyDescent="0.2">
      <c r="A119" s="677" t="s">
        <v>5945</v>
      </c>
      <c r="B119" s="678" t="s">
        <v>6015</v>
      </c>
      <c r="C119" s="642"/>
      <c r="D119" s="635"/>
      <c r="E119" s="635"/>
      <c r="F119" s="635"/>
      <c r="G119" s="1515"/>
      <c r="H119" s="1515"/>
      <c r="I119" s="1515"/>
      <c r="J119" s="1515"/>
      <c r="K119" s="1516"/>
      <c r="L119" s="1516"/>
      <c r="M119" s="647"/>
      <c r="N119" s="611"/>
      <c r="O119" s="611"/>
      <c r="P119" s="611"/>
      <c r="Q119" s="611"/>
      <c r="R119" s="611"/>
      <c r="S119" s="611"/>
      <c r="T119" s="611"/>
      <c r="U119" s="611"/>
      <c r="V119" s="611"/>
      <c r="W119" s="611"/>
      <c r="X119" s="611"/>
      <c r="Y119" s="611"/>
      <c r="Z119" s="611"/>
      <c r="AA119"/>
      <c r="AB119"/>
      <c r="AC119"/>
      <c r="AD119"/>
      <c r="AE119"/>
      <c r="AF119"/>
      <c r="AG119"/>
      <c r="AH119"/>
      <c r="AI119"/>
    </row>
    <row r="120" spans="1:35" s="648" customFormat="1" outlineLevel="2" x14ac:dyDescent="0.2">
      <c r="A120" s="601" t="s">
        <v>3632</v>
      </c>
      <c r="B120" s="601" t="s">
        <v>3633</v>
      </c>
      <c r="C120" s="642"/>
      <c r="D120" s="635"/>
      <c r="E120" s="635"/>
      <c r="F120" s="635"/>
      <c r="G120" s="1515">
        <v>2</v>
      </c>
      <c r="H120" s="1515"/>
      <c r="I120" s="1515"/>
      <c r="J120" s="1515" t="s">
        <v>4246</v>
      </c>
      <c r="K120" s="1516"/>
      <c r="L120" s="1516"/>
      <c r="M120" s="647"/>
      <c r="N120" s="611"/>
      <c r="O120" s="611"/>
      <c r="P120" s="611"/>
      <c r="Q120" s="611"/>
      <c r="R120" s="611"/>
      <c r="S120" s="611"/>
      <c r="T120" s="611"/>
      <c r="U120" s="611"/>
      <c r="V120" s="611"/>
      <c r="W120" s="611"/>
      <c r="X120" s="611"/>
      <c r="Y120" s="611"/>
      <c r="Z120" s="611"/>
      <c r="AA120">
        <f>IF(AND('11 Mic'!C120&gt;Tmin, NOT('11 Mic'!$I120="")),'11 Mic'!$I120,0)</f>
        <v>0</v>
      </c>
      <c r="AB120">
        <f>IF(AND('11 Mic'!D120&gt;Tmin, NOT('11 Mic'!$I120="")),'11 Mic'!$I120,0)</f>
        <v>0</v>
      </c>
      <c r="AC120">
        <f>IF(AND('11 Mic'!E120&gt;Tmin, NOT('11 Mic'!$I120="")),'11 Mic'!$I120,0)</f>
        <v>0</v>
      </c>
      <c r="AD120">
        <f>IF(AND('11 Mic'!F120&gt;Tmin, NOT('11 Mic'!$I120="")),'11 Mic'!$I120,0)</f>
        <v>0</v>
      </c>
      <c r="AE120">
        <f>IF(AND('11 Mic'!C120&lt;Tmax, NOT('11 Mic'!$H120="")),'11 Mic'!$H120,4)</f>
        <v>4</v>
      </c>
      <c r="AF120">
        <f>IF(AND('11 Mic'!D120&lt;Tmax, NOT('11 Mic'!$H120="")),'11 Mic'!$H120,4)</f>
        <v>4</v>
      </c>
      <c r="AG120">
        <f>IF(AND('11 Mic'!E120&lt;Tmax, NOT('11 Mic'!$H120="")),'11 Mic'!$H120,4)</f>
        <v>4</v>
      </c>
      <c r="AH120">
        <f>IF(AND('11 Mic'!F120&lt;Tmax, NOT('11 Mic'!$H120="")),'11 Mic'!$H120,4)</f>
        <v>4</v>
      </c>
      <c r="AI120"/>
    </row>
    <row r="121" spans="1:35" s="648" customFormat="1" ht="22.5" outlineLevel="2" x14ac:dyDescent="0.2">
      <c r="A121" s="601" t="s">
        <v>3634</v>
      </c>
      <c r="B121" s="601" t="s">
        <v>4728</v>
      </c>
      <c r="C121" s="642"/>
      <c r="D121" s="635"/>
      <c r="E121" s="635"/>
      <c r="F121" s="635"/>
      <c r="G121" s="1515">
        <v>2</v>
      </c>
      <c r="H121" s="1515"/>
      <c r="I121" s="1515"/>
      <c r="J121" s="1515" t="s">
        <v>4246</v>
      </c>
      <c r="K121" s="1516"/>
      <c r="L121" s="1516"/>
      <c r="M121" s="647"/>
      <c r="N121" s="611"/>
      <c r="O121" s="611"/>
      <c r="P121" s="611"/>
      <c r="Q121" s="611"/>
      <c r="R121" s="611"/>
      <c r="S121" s="611"/>
      <c r="T121" s="611"/>
      <c r="U121" s="611"/>
      <c r="V121" s="611"/>
      <c r="W121" s="611"/>
      <c r="X121" s="611"/>
      <c r="Y121" s="611"/>
      <c r="Z121" s="611"/>
      <c r="AA121">
        <f>IF(AND('11 Mic'!C121&gt;Tmin, NOT('11 Mic'!$I121="")),'11 Mic'!$I121,0)</f>
        <v>0</v>
      </c>
      <c r="AB121">
        <f>IF(AND('11 Mic'!D121&gt;Tmin, NOT('11 Mic'!$I121="")),'11 Mic'!$I121,0)</f>
        <v>0</v>
      </c>
      <c r="AC121">
        <f>IF(AND('11 Mic'!E121&gt;Tmin, NOT('11 Mic'!$I121="")),'11 Mic'!$I121,0)</f>
        <v>0</v>
      </c>
      <c r="AD121">
        <f>IF(AND('11 Mic'!F121&gt;Tmin, NOT('11 Mic'!$I121="")),'11 Mic'!$I121,0)</f>
        <v>0</v>
      </c>
      <c r="AE121">
        <f>IF(AND('11 Mic'!C121&lt;Tmax, NOT('11 Mic'!$H121="")),'11 Mic'!$H121,4)</f>
        <v>4</v>
      </c>
      <c r="AF121">
        <f>IF(AND('11 Mic'!D121&lt;Tmax, NOT('11 Mic'!$H121="")),'11 Mic'!$H121,4)</f>
        <v>4</v>
      </c>
      <c r="AG121">
        <f>IF(AND('11 Mic'!E121&lt;Tmax, NOT('11 Mic'!$H121="")),'11 Mic'!$H121,4)</f>
        <v>4</v>
      </c>
      <c r="AH121">
        <f>IF(AND('11 Mic'!F121&lt;Tmax, NOT('11 Mic'!$H121="")),'11 Mic'!$H121,4)</f>
        <v>4</v>
      </c>
      <c r="AI121"/>
    </row>
    <row r="122" spans="1:35" s="648" customFormat="1" ht="22.5" outlineLevel="2" x14ac:dyDescent="0.2">
      <c r="A122" s="601" t="s">
        <v>3635</v>
      </c>
      <c r="B122" s="601" t="s">
        <v>2189</v>
      </c>
      <c r="C122" s="642"/>
      <c r="D122" s="635"/>
      <c r="E122" s="635"/>
      <c r="F122" s="635"/>
      <c r="G122" s="1515">
        <v>2</v>
      </c>
      <c r="H122" s="1515"/>
      <c r="I122" s="1515"/>
      <c r="J122" s="1515" t="s">
        <v>4246</v>
      </c>
      <c r="K122" s="1516"/>
      <c r="L122" s="1516"/>
      <c r="M122" s="647"/>
      <c r="N122" s="611"/>
      <c r="O122" s="611"/>
      <c r="P122" s="611"/>
      <c r="Q122" s="611"/>
      <c r="R122" s="611"/>
      <c r="S122" s="611"/>
      <c r="T122" s="611"/>
      <c r="U122" s="611"/>
      <c r="V122" s="611"/>
      <c r="W122" s="611"/>
      <c r="X122" s="611"/>
      <c r="Y122" s="611"/>
      <c r="Z122" s="611"/>
      <c r="AA122">
        <f>IF(AND('11 Mic'!C122&gt;Tmin, NOT('11 Mic'!$I122="")),'11 Mic'!$I122,0)</f>
        <v>0</v>
      </c>
      <c r="AB122">
        <f>IF(AND('11 Mic'!D122&gt;Tmin, NOT('11 Mic'!$I122="")),'11 Mic'!$I122,0)</f>
        <v>0</v>
      </c>
      <c r="AC122">
        <f>IF(AND('11 Mic'!E122&gt;Tmin, NOT('11 Mic'!$I122="")),'11 Mic'!$I122,0)</f>
        <v>0</v>
      </c>
      <c r="AD122">
        <f>IF(AND('11 Mic'!F122&gt;Tmin, NOT('11 Mic'!$I122="")),'11 Mic'!$I122,0)</f>
        <v>0</v>
      </c>
      <c r="AE122">
        <f>IF(AND('11 Mic'!C122&lt;Tmax, NOT('11 Mic'!$H122="")),'11 Mic'!$H122,4)</f>
        <v>4</v>
      </c>
      <c r="AF122">
        <f>IF(AND('11 Mic'!D122&lt;Tmax, NOT('11 Mic'!$H122="")),'11 Mic'!$H122,4)</f>
        <v>4</v>
      </c>
      <c r="AG122">
        <f>IF(AND('11 Mic'!E122&lt;Tmax, NOT('11 Mic'!$H122="")),'11 Mic'!$H122,4)</f>
        <v>4</v>
      </c>
      <c r="AH122">
        <f>IF(AND('11 Mic'!F122&lt;Tmax, NOT('11 Mic'!$H122="")),'11 Mic'!$H122,4)</f>
        <v>4</v>
      </c>
      <c r="AI122"/>
    </row>
    <row r="123" spans="1:35" s="648" customFormat="1" outlineLevel="2" x14ac:dyDescent="0.2">
      <c r="A123" s="601" t="s">
        <v>2190</v>
      </c>
      <c r="B123" s="601" t="s">
        <v>2573</v>
      </c>
      <c r="C123" s="642"/>
      <c r="D123" s="635"/>
      <c r="E123" s="635"/>
      <c r="F123" s="635"/>
      <c r="G123" s="1515">
        <v>3</v>
      </c>
      <c r="H123" s="1515"/>
      <c r="I123" s="1515"/>
      <c r="J123" s="1515" t="s">
        <v>2109</v>
      </c>
      <c r="K123" s="1516"/>
      <c r="L123" s="1516"/>
      <c r="M123" s="647"/>
      <c r="N123" s="611"/>
      <c r="O123" s="611"/>
      <c r="P123" s="611"/>
      <c r="Q123" s="611"/>
      <c r="R123" s="611"/>
      <c r="S123" s="611"/>
      <c r="T123" s="611"/>
      <c r="U123" s="611"/>
      <c r="V123" s="611"/>
      <c r="W123" s="611"/>
      <c r="X123" s="611"/>
      <c r="Y123" s="611"/>
      <c r="Z123" s="611"/>
      <c r="AA123">
        <f>IF(AND('11 Mic'!C123&gt;Tmin, NOT('11 Mic'!$I123="")),'11 Mic'!$I123,0)</f>
        <v>0</v>
      </c>
      <c r="AB123">
        <f>IF(AND('11 Mic'!D123&gt;Tmin, NOT('11 Mic'!$I123="")),'11 Mic'!$I123,0)</f>
        <v>0</v>
      </c>
      <c r="AC123">
        <f>IF(AND('11 Mic'!E123&gt;Tmin, NOT('11 Mic'!$I123="")),'11 Mic'!$I123,0)</f>
        <v>0</v>
      </c>
      <c r="AD123">
        <f>IF(AND('11 Mic'!F123&gt;Tmin, NOT('11 Mic'!$I123="")),'11 Mic'!$I123,0)</f>
        <v>0</v>
      </c>
      <c r="AE123">
        <f>IF(AND('11 Mic'!C123&lt;Tmax, NOT('11 Mic'!$H123="")),'11 Mic'!$H123,4)</f>
        <v>4</v>
      </c>
      <c r="AF123">
        <f>IF(AND('11 Mic'!D123&lt;Tmax, NOT('11 Mic'!$H123="")),'11 Mic'!$H123,4)</f>
        <v>4</v>
      </c>
      <c r="AG123">
        <f>IF(AND('11 Mic'!E123&lt;Tmax, NOT('11 Mic'!$H123="")),'11 Mic'!$H123,4)</f>
        <v>4</v>
      </c>
      <c r="AH123">
        <f>IF(AND('11 Mic'!F123&lt;Tmax, NOT('11 Mic'!$H123="")),'11 Mic'!$H123,4)</f>
        <v>4</v>
      </c>
      <c r="AI123"/>
    </row>
    <row r="124" spans="1:35" s="648" customFormat="1" outlineLevel="1" x14ac:dyDescent="0.2">
      <c r="A124" s="677" t="s">
        <v>5946</v>
      </c>
      <c r="B124" s="678" t="s">
        <v>5947</v>
      </c>
      <c r="C124" s="642"/>
      <c r="D124" s="635"/>
      <c r="E124" s="635"/>
      <c r="F124" s="635"/>
      <c r="G124" s="1515"/>
      <c r="H124" s="1515"/>
      <c r="I124" s="1515"/>
      <c r="J124" s="1515"/>
      <c r="K124" s="1516"/>
      <c r="L124" s="1516"/>
      <c r="M124" s="647"/>
      <c r="N124" s="611"/>
      <c r="O124" s="611"/>
      <c r="P124" s="611"/>
      <c r="Q124" s="611"/>
      <c r="R124" s="611"/>
      <c r="S124" s="611"/>
      <c r="T124" s="611"/>
      <c r="U124" s="611"/>
      <c r="V124" s="611"/>
      <c r="W124" s="611"/>
      <c r="X124" s="611"/>
      <c r="Y124" s="611"/>
      <c r="Z124" s="611"/>
      <c r="AA124"/>
      <c r="AB124"/>
      <c r="AC124"/>
      <c r="AD124"/>
      <c r="AE124"/>
      <c r="AF124"/>
      <c r="AG124"/>
      <c r="AH124"/>
      <c r="AI124"/>
    </row>
    <row r="125" spans="1:35" outlineLevel="2" x14ac:dyDescent="0.2">
      <c r="A125" s="601" t="s">
        <v>2191</v>
      </c>
      <c r="B125" s="601" t="s">
        <v>6479</v>
      </c>
      <c r="C125" s="642"/>
      <c r="D125" s="635"/>
      <c r="E125" s="635"/>
      <c r="F125" s="635"/>
      <c r="G125" s="1517">
        <v>4</v>
      </c>
      <c r="H125" s="1517"/>
      <c r="I125" s="1517"/>
      <c r="J125" s="1517" t="s">
        <v>4246</v>
      </c>
      <c r="K125" s="1518" t="s">
        <v>978</v>
      </c>
      <c r="L125" s="1518" t="s">
        <v>7313</v>
      </c>
      <c r="M125" s="638"/>
      <c r="AA125">
        <f>IF(AND('11 Mic'!C125&gt;Tmin, NOT('11 Mic'!$I125="")),'11 Mic'!$I125,0)</f>
        <v>0</v>
      </c>
      <c r="AB125">
        <f>IF(AND('11 Mic'!D125&gt;Tmin, NOT('11 Mic'!$I125="")),'11 Mic'!$I125,0)</f>
        <v>0</v>
      </c>
      <c r="AC125">
        <f>IF(AND('11 Mic'!E125&gt;Tmin, NOT('11 Mic'!$I125="")),'11 Mic'!$I125,0)</f>
        <v>0</v>
      </c>
      <c r="AD125">
        <f>IF(AND('11 Mic'!F125&gt;Tmin, NOT('11 Mic'!$I125="")),'11 Mic'!$I125,0)</f>
        <v>0</v>
      </c>
      <c r="AE125">
        <f>IF(AND('11 Mic'!C125&lt;Tmax, NOT('11 Mic'!$H125="")),'11 Mic'!$H125,4)</f>
        <v>4</v>
      </c>
      <c r="AF125">
        <f>IF(AND('11 Mic'!D125&lt;Tmax, NOT('11 Mic'!$H125="")),'11 Mic'!$H125,4)</f>
        <v>4</v>
      </c>
      <c r="AG125">
        <f>IF(AND('11 Mic'!E125&lt;Tmax, NOT('11 Mic'!$H125="")),'11 Mic'!$H125,4)</f>
        <v>4</v>
      </c>
      <c r="AH125">
        <f>IF(AND('11 Mic'!F125&lt;Tmax, NOT('11 Mic'!$H125="")),'11 Mic'!$H125,4)</f>
        <v>4</v>
      </c>
      <c r="AI125"/>
    </row>
    <row r="126" spans="1:35" outlineLevel="2" x14ac:dyDescent="0.2">
      <c r="A126" s="601" t="s">
        <v>2192</v>
      </c>
      <c r="B126" s="601" t="s">
        <v>2281</v>
      </c>
      <c r="C126" s="642"/>
      <c r="D126" s="635"/>
      <c r="E126" s="635"/>
      <c r="F126" s="635"/>
      <c r="G126" s="1517">
        <v>2</v>
      </c>
      <c r="H126" s="1517">
        <v>3</v>
      </c>
      <c r="I126" s="1517"/>
      <c r="J126" s="1517" t="s">
        <v>1592</v>
      </c>
      <c r="K126" s="1518" t="s">
        <v>978</v>
      </c>
      <c r="L126" s="1518" t="s">
        <v>7313</v>
      </c>
      <c r="M126" s="635"/>
      <c r="AA126">
        <f>IF(AND('11 Mic'!C126&gt;Tmin, NOT('11 Mic'!$I126="")),'11 Mic'!$I126,0)</f>
        <v>0</v>
      </c>
      <c r="AB126">
        <f>IF(AND('11 Mic'!D126&gt;Tmin, NOT('11 Mic'!$I126="")),'11 Mic'!$I126,0)</f>
        <v>0</v>
      </c>
      <c r="AC126">
        <f>IF(AND('11 Mic'!E126&gt;Tmin, NOT('11 Mic'!$I126="")),'11 Mic'!$I126,0)</f>
        <v>0</v>
      </c>
      <c r="AD126">
        <f>IF(AND('11 Mic'!F126&gt;Tmin, NOT('11 Mic'!$I126="")),'11 Mic'!$I126,0)</f>
        <v>0</v>
      </c>
      <c r="AE126">
        <f>IF(AND('11 Mic'!C126&lt;Tmax, NOT('11 Mic'!$H126="")),'11 Mic'!$H126,4)</f>
        <v>3</v>
      </c>
      <c r="AF126">
        <f>IF(AND('11 Mic'!D126&lt;Tmax, NOT('11 Mic'!$H126="")),'11 Mic'!$H126,4)</f>
        <v>3</v>
      </c>
      <c r="AG126">
        <f>IF(AND('11 Mic'!E126&lt;Tmax, NOT('11 Mic'!$H126="")),'11 Mic'!$H126,4)</f>
        <v>3</v>
      </c>
      <c r="AH126">
        <f>IF(AND('11 Mic'!F126&lt;Tmax, NOT('11 Mic'!$H126="")),'11 Mic'!$H126,4)</f>
        <v>3</v>
      </c>
      <c r="AI126"/>
    </row>
    <row r="127" spans="1:35" ht="34.5" customHeight="1" outlineLevel="2" x14ac:dyDescent="0.2">
      <c r="A127" s="601" t="s">
        <v>2193</v>
      </c>
      <c r="B127" s="601" t="s">
        <v>962</v>
      </c>
      <c r="C127" s="642"/>
      <c r="D127" s="635"/>
      <c r="E127" s="635"/>
      <c r="F127" s="635"/>
      <c r="G127" s="1517">
        <v>4</v>
      </c>
      <c r="H127" s="1517">
        <v>2</v>
      </c>
      <c r="I127" s="1517"/>
      <c r="J127" s="1517" t="s">
        <v>1592</v>
      </c>
      <c r="K127" s="1518" t="s">
        <v>7140</v>
      </c>
      <c r="L127" s="1518" t="s">
        <v>7366</v>
      </c>
      <c r="M127" s="635"/>
      <c r="AA127">
        <f>IF(AND('11 Mic'!C127&gt;Tmin, NOT('11 Mic'!$I127="")),'11 Mic'!$I127,0)</f>
        <v>0</v>
      </c>
      <c r="AB127">
        <f>IF(AND('11 Mic'!D127&gt;Tmin, NOT('11 Mic'!$I127="")),'11 Mic'!$I127,0)</f>
        <v>0</v>
      </c>
      <c r="AC127">
        <f>IF(AND('11 Mic'!E127&gt;Tmin, NOT('11 Mic'!$I127="")),'11 Mic'!$I127,0)</f>
        <v>0</v>
      </c>
      <c r="AD127">
        <f>IF(AND('11 Mic'!F127&gt;Tmin, NOT('11 Mic'!$I127="")),'11 Mic'!$I127,0)</f>
        <v>0</v>
      </c>
      <c r="AE127">
        <f>IF(AND('11 Mic'!C127&lt;Tmax, NOT('11 Mic'!$H127="")),'11 Mic'!$H127,4)</f>
        <v>2</v>
      </c>
      <c r="AF127">
        <f>IF(AND('11 Mic'!D127&lt;Tmax, NOT('11 Mic'!$H127="")),'11 Mic'!$H127,4)</f>
        <v>2</v>
      </c>
      <c r="AG127">
        <f>IF(AND('11 Mic'!E127&lt;Tmax, NOT('11 Mic'!$H127="")),'11 Mic'!$H127,4)</f>
        <v>2</v>
      </c>
      <c r="AH127">
        <f>IF(AND('11 Mic'!F127&lt;Tmax, NOT('11 Mic'!$H127="")),'11 Mic'!$H127,4)</f>
        <v>2</v>
      </c>
      <c r="AI127"/>
    </row>
    <row r="128" spans="1:35" ht="33.75" outlineLevel="2" x14ac:dyDescent="0.2">
      <c r="A128" s="601" t="s">
        <v>963</v>
      </c>
      <c r="B128" s="601" t="s">
        <v>6016</v>
      </c>
      <c r="C128" s="642"/>
      <c r="D128" s="635"/>
      <c r="E128" s="635"/>
      <c r="F128" s="635"/>
      <c r="G128" s="1517">
        <v>4</v>
      </c>
      <c r="H128" s="1517">
        <v>3</v>
      </c>
      <c r="I128" s="1517"/>
      <c r="J128" s="1517" t="s">
        <v>2349</v>
      </c>
      <c r="K128" s="1518" t="s">
        <v>978</v>
      </c>
      <c r="L128" s="1518" t="s">
        <v>7313</v>
      </c>
      <c r="M128" s="635"/>
      <c r="AA128">
        <f>IF(AND('11 Mic'!C128&gt;Tmin, NOT('11 Mic'!$I128="")),'11 Mic'!$I128,0)</f>
        <v>0</v>
      </c>
      <c r="AB128">
        <f>IF(AND('11 Mic'!D128&gt;Tmin, NOT('11 Mic'!$I128="")),'11 Mic'!$I128,0)</f>
        <v>0</v>
      </c>
      <c r="AC128">
        <f>IF(AND('11 Mic'!E128&gt;Tmin, NOT('11 Mic'!$I128="")),'11 Mic'!$I128,0)</f>
        <v>0</v>
      </c>
      <c r="AD128">
        <f>IF(AND('11 Mic'!F128&gt;Tmin, NOT('11 Mic'!$I128="")),'11 Mic'!$I128,0)</f>
        <v>0</v>
      </c>
      <c r="AE128">
        <f>IF(AND('11 Mic'!C128&lt;Tmax, NOT('11 Mic'!$H128="")),'11 Mic'!$H128,4)</f>
        <v>3</v>
      </c>
      <c r="AF128">
        <f>IF(AND('11 Mic'!D128&lt;Tmax, NOT('11 Mic'!$H128="")),'11 Mic'!$H128,4)</f>
        <v>3</v>
      </c>
      <c r="AG128">
        <f>IF(AND('11 Mic'!E128&lt;Tmax, NOT('11 Mic'!$H128="")),'11 Mic'!$H128,4)</f>
        <v>3</v>
      </c>
      <c r="AH128">
        <f>IF(AND('11 Mic'!F128&lt;Tmax, NOT('11 Mic'!$H128="")),'11 Mic'!$H128,4)</f>
        <v>3</v>
      </c>
      <c r="AI128"/>
    </row>
    <row r="129" spans="1:35" outlineLevel="2" x14ac:dyDescent="0.2">
      <c r="A129" s="601" t="s">
        <v>964</v>
      </c>
      <c r="B129" s="601" t="s">
        <v>1203</v>
      </c>
      <c r="C129" s="642"/>
      <c r="D129" s="635"/>
      <c r="E129" s="635"/>
      <c r="F129" s="635"/>
      <c r="G129" s="1517">
        <v>2</v>
      </c>
      <c r="H129" s="1517">
        <v>3</v>
      </c>
      <c r="I129" s="1517"/>
      <c r="J129" s="1517" t="s">
        <v>2109</v>
      </c>
      <c r="K129" s="1518"/>
      <c r="L129" s="1518"/>
      <c r="M129" s="635"/>
      <c r="AA129">
        <f>IF(AND('11 Mic'!C129&gt;Tmin, NOT('11 Mic'!$I129="")),'11 Mic'!$I129,0)</f>
        <v>0</v>
      </c>
      <c r="AB129">
        <f>IF(AND('11 Mic'!D129&gt;Tmin, NOT('11 Mic'!$I129="")),'11 Mic'!$I129,0)</f>
        <v>0</v>
      </c>
      <c r="AC129">
        <f>IF(AND('11 Mic'!E129&gt;Tmin, NOT('11 Mic'!$I129="")),'11 Mic'!$I129,0)</f>
        <v>0</v>
      </c>
      <c r="AD129">
        <f>IF(AND('11 Mic'!F129&gt;Tmin, NOT('11 Mic'!$I129="")),'11 Mic'!$I129,0)</f>
        <v>0</v>
      </c>
      <c r="AE129">
        <f>IF(AND('11 Mic'!C129&lt;Tmax, NOT('11 Mic'!$H129="")),'11 Mic'!$H129,4)</f>
        <v>3</v>
      </c>
      <c r="AF129">
        <f>IF(AND('11 Mic'!D129&lt;Tmax, NOT('11 Mic'!$H129="")),'11 Mic'!$H129,4)</f>
        <v>3</v>
      </c>
      <c r="AG129">
        <f>IF(AND('11 Mic'!E129&lt;Tmax, NOT('11 Mic'!$H129="")),'11 Mic'!$H129,4)</f>
        <v>3</v>
      </c>
      <c r="AH129">
        <f>IF(AND('11 Mic'!F129&lt;Tmax, NOT('11 Mic'!$H129="")),'11 Mic'!$H129,4)</f>
        <v>3</v>
      </c>
      <c r="AI129"/>
    </row>
    <row r="130" spans="1:35" s="648" customFormat="1" outlineLevel="1" x14ac:dyDescent="0.2">
      <c r="A130" s="677" t="s">
        <v>4440</v>
      </c>
      <c r="B130" s="678" t="s">
        <v>2194</v>
      </c>
      <c r="C130" s="642"/>
      <c r="D130" s="635"/>
      <c r="E130" s="635"/>
      <c r="F130" s="635"/>
      <c r="G130" s="1515"/>
      <c r="H130" s="1515"/>
      <c r="I130" s="1515"/>
      <c r="J130" s="1515"/>
      <c r="K130" s="1516"/>
      <c r="L130" s="1516"/>
      <c r="M130" s="647"/>
      <c r="N130" s="611"/>
      <c r="O130" s="611"/>
      <c r="P130" s="611"/>
      <c r="Q130" s="611"/>
      <c r="R130" s="611"/>
      <c r="S130" s="611"/>
      <c r="T130" s="611"/>
      <c r="U130" s="611"/>
      <c r="V130" s="611"/>
      <c r="W130" s="611"/>
      <c r="X130" s="611"/>
      <c r="Y130" s="611"/>
      <c r="Z130" s="611"/>
      <c r="AA130"/>
      <c r="AB130"/>
      <c r="AC130"/>
      <c r="AD130"/>
      <c r="AE130"/>
      <c r="AF130"/>
      <c r="AG130"/>
      <c r="AH130"/>
      <c r="AI130"/>
    </row>
    <row r="131" spans="1:35" outlineLevel="2" x14ac:dyDescent="0.2">
      <c r="A131" s="601" t="s">
        <v>2195</v>
      </c>
      <c r="B131" s="601" t="s">
        <v>3259</v>
      </c>
      <c r="C131" s="642"/>
      <c r="D131" s="635"/>
      <c r="E131" s="635"/>
      <c r="F131" s="635"/>
      <c r="G131" s="1515">
        <v>4</v>
      </c>
      <c r="H131" s="1515">
        <v>3</v>
      </c>
      <c r="I131" s="1515"/>
      <c r="J131" s="1515" t="s">
        <v>4246</v>
      </c>
      <c r="K131" s="1516" t="s">
        <v>978</v>
      </c>
      <c r="L131" s="1518" t="s">
        <v>7313</v>
      </c>
      <c r="M131" s="647"/>
      <c r="AA131">
        <f>IF(AND('11 Mic'!C131&gt;Tmin, NOT('11 Mic'!$I131="")),'11 Mic'!$I131,0)</f>
        <v>0</v>
      </c>
      <c r="AB131">
        <f>IF(AND('11 Mic'!D131&gt;Tmin, NOT('11 Mic'!$I131="")),'11 Mic'!$I131,0)</f>
        <v>0</v>
      </c>
      <c r="AC131">
        <f>IF(AND('11 Mic'!E131&gt;Tmin, NOT('11 Mic'!$I131="")),'11 Mic'!$I131,0)</f>
        <v>0</v>
      </c>
      <c r="AD131">
        <f>IF(AND('11 Mic'!F131&gt;Tmin, NOT('11 Mic'!$I131="")),'11 Mic'!$I131,0)</f>
        <v>0</v>
      </c>
      <c r="AE131">
        <f>IF(AND('11 Mic'!C131&lt;Tmax, NOT('11 Mic'!$H131="")),'11 Mic'!$H131,4)</f>
        <v>3</v>
      </c>
      <c r="AF131">
        <f>IF(AND('11 Mic'!D131&lt;Tmax, NOT('11 Mic'!$H131="")),'11 Mic'!$H131,4)</f>
        <v>3</v>
      </c>
      <c r="AG131">
        <f>IF(AND('11 Mic'!E131&lt;Tmax, NOT('11 Mic'!$H131="")),'11 Mic'!$H131,4)</f>
        <v>3</v>
      </c>
      <c r="AH131">
        <f>IF(AND('11 Mic'!F131&lt;Tmax, NOT('11 Mic'!$H131="")),'11 Mic'!$H131,4)</f>
        <v>3</v>
      </c>
      <c r="AI131"/>
    </row>
    <row r="132" spans="1:35" outlineLevel="2" x14ac:dyDescent="0.2">
      <c r="A132" s="601" t="s">
        <v>3260</v>
      </c>
      <c r="B132" s="601" t="s">
        <v>3261</v>
      </c>
      <c r="C132" s="642"/>
      <c r="D132" s="635"/>
      <c r="E132" s="635"/>
      <c r="F132" s="635"/>
      <c r="G132" s="1515">
        <v>2</v>
      </c>
      <c r="H132" s="1515"/>
      <c r="I132" s="1515"/>
      <c r="J132" s="1515" t="s">
        <v>4246</v>
      </c>
      <c r="K132" s="1516" t="s">
        <v>978</v>
      </c>
      <c r="L132" s="1518" t="s">
        <v>7313</v>
      </c>
      <c r="M132" s="647"/>
      <c r="AA132">
        <f>IF(AND('11 Mic'!C132&gt;Tmin, NOT('11 Mic'!$I132="")),'11 Mic'!$I132,0)</f>
        <v>0</v>
      </c>
      <c r="AB132">
        <f>IF(AND('11 Mic'!D132&gt;Tmin, NOT('11 Mic'!$I132="")),'11 Mic'!$I132,0)</f>
        <v>0</v>
      </c>
      <c r="AC132">
        <f>IF(AND('11 Mic'!E132&gt;Tmin, NOT('11 Mic'!$I132="")),'11 Mic'!$I132,0)</f>
        <v>0</v>
      </c>
      <c r="AD132">
        <f>IF(AND('11 Mic'!F132&gt;Tmin, NOT('11 Mic'!$I132="")),'11 Mic'!$I132,0)</f>
        <v>0</v>
      </c>
      <c r="AE132">
        <f>IF(AND('11 Mic'!C132&lt;Tmax, NOT('11 Mic'!$H132="")),'11 Mic'!$H132,4)</f>
        <v>4</v>
      </c>
      <c r="AF132">
        <f>IF(AND('11 Mic'!D132&lt;Tmax, NOT('11 Mic'!$H132="")),'11 Mic'!$H132,4)</f>
        <v>4</v>
      </c>
      <c r="AG132">
        <f>IF(AND('11 Mic'!E132&lt;Tmax, NOT('11 Mic'!$H132="")),'11 Mic'!$H132,4)</f>
        <v>4</v>
      </c>
      <c r="AH132">
        <f>IF(AND('11 Mic'!F132&lt;Tmax, NOT('11 Mic'!$H132="")),'11 Mic'!$H132,4)</f>
        <v>4</v>
      </c>
      <c r="AI132"/>
    </row>
    <row r="133" spans="1:35" ht="22.5" outlineLevel="2" x14ac:dyDescent="0.2">
      <c r="A133" s="601" t="s">
        <v>3262</v>
      </c>
      <c r="B133" s="601" t="s">
        <v>5389</v>
      </c>
      <c r="C133" s="642"/>
      <c r="D133" s="635"/>
      <c r="E133" s="635"/>
      <c r="F133" s="635"/>
      <c r="G133" s="1515">
        <v>2</v>
      </c>
      <c r="H133" s="1515"/>
      <c r="I133" s="1515"/>
      <c r="J133" s="1515" t="s">
        <v>1592</v>
      </c>
      <c r="K133" s="1516" t="s">
        <v>978</v>
      </c>
      <c r="L133" s="1518" t="s">
        <v>7313</v>
      </c>
      <c r="M133" s="647"/>
      <c r="AA133">
        <f>IF(AND('11 Mic'!C133&gt;Tmin, NOT('11 Mic'!$I133="")),'11 Mic'!$I133,0)</f>
        <v>0</v>
      </c>
      <c r="AB133">
        <f>IF(AND('11 Mic'!D133&gt;Tmin, NOT('11 Mic'!$I133="")),'11 Mic'!$I133,0)</f>
        <v>0</v>
      </c>
      <c r="AC133">
        <f>IF(AND('11 Mic'!E133&gt;Tmin, NOT('11 Mic'!$I133="")),'11 Mic'!$I133,0)</f>
        <v>0</v>
      </c>
      <c r="AD133">
        <f>IF(AND('11 Mic'!F133&gt;Tmin, NOT('11 Mic'!$I133="")),'11 Mic'!$I133,0)</f>
        <v>0</v>
      </c>
      <c r="AE133">
        <f>IF(AND('11 Mic'!C133&lt;Tmax, NOT('11 Mic'!$H133="")),'11 Mic'!$H133,4)</f>
        <v>4</v>
      </c>
      <c r="AF133">
        <f>IF(AND('11 Mic'!D133&lt;Tmax, NOT('11 Mic'!$H133="")),'11 Mic'!$H133,4)</f>
        <v>4</v>
      </c>
      <c r="AG133">
        <f>IF(AND('11 Mic'!E133&lt;Tmax, NOT('11 Mic'!$H133="")),'11 Mic'!$H133,4)</f>
        <v>4</v>
      </c>
      <c r="AH133">
        <f>IF(AND('11 Mic'!F133&lt;Tmax, NOT('11 Mic'!$H133="")),'11 Mic'!$H133,4)</f>
        <v>4</v>
      </c>
      <c r="AI133"/>
    </row>
    <row r="134" spans="1:35" ht="22.5" outlineLevel="2" x14ac:dyDescent="0.2">
      <c r="A134" s="601" t="s">
        <v>5390</v>
      </c>
      <c r="B134" s="601" t="s">
        <v>5391</v>
      </c>
      <c r="C134" s="642"/>
      <c r="D134" s="635"/>
      <c r="E134" s="635"/>
      <c r="F134" s="635"/>
      <c r="G134" s="1515">
        <v>2</v>
      </c>
      <c r="H134" s="1515"/>
      <c r="I134" s="1515"/>
      <c r="J134" s="1515" t="s">
        <v>1592</v>
      </c>
      <c r="K134" s="1516" t="s">
        <v>978</v>
      </c>
      <c r="L134" s="1518" t="s">
        <v>7313</v>
      </c>
      <c r="M134" s="647"/>
      <c r="AA134">
        <f>IF(AND('11 Mic'!C134&gt;Tmin, NOT('11 Mic'!$I134="")),'11 Mic'!$I134,0)</f>
        <v>0</v>
      </c>
      <c r="AB134">
        <f>IF(AND('11 Mic'!D134&gt;Tmin, NOT('11 Mic'!$I134="")),'11 Mic'!$I134,0)</f>
        <v>0</v>
      </c>
      <c r="AC134">
        <f>IF(AND('11 Mic'!E134&gt;Tmin, NOT('11 Mic'!$I134="")),'11 Mic'!$I134,0)</f>
        <v>0</v>
      </c>
      <c r="AD134">
        <f>IF(AND('11 Mic'!F134&gt;Tmin, NOT('11 Mic'!$I134="")),'11 Mic'!$I134,0)</f>
        <v>0</v>
      </c>
      <c r="AE134">
        <f>IF(AND('11 Mic'!C134&lt;Tmax, NOT('11 Mic'!$H134="")),'11 Mic'!$H134,4)</f>
        <v>4</v>
      </c>
      <c r="AF134">
        <f>IF(AND('11 Mic'!D134&lt;Tmax, NOT('11 Mic'!$H134="")),'11 Mic'!$H134,4)</f>
        <v>4</v>
      </c>
      <c r="AG134">
        <f>IF(AND('11 Mic'!E134&lt;Tmax, NOT('11 Mic'!$H134="")),'11 Mic'!$H134,4)</f>
        <v>4</v>
      </c>
      <c r="AH134">
        <f>IF(AND('11 Mic'!F134&lt;Tmax, NOT('11 Mic'!$H134="")),'11 Mic'!$H134,4)</f>
        <v>4</v>
      </c>
      <c r="AI134"/>
    </row>
    <row r="135" spans="1:35" s="648" customFormat="1" outlineLevel="2" x14ac:dyDescent="0.2">
      <c r="A135" s="601" t="s">
        <v>5392</v>
      </c>
      <c r="B135" s="601" t="s">
        <v>6017</v>
      </c>
      <c r="C135" s="642"/>
      <c r="D135" s="635"/>
      <c r="E135" s="635"/>
      <c r="F135" s="635"/>
      <c r="G135" s="1515">
        <v>3</v>
      </c>
      <c r="H135" s="1515"/>
      <c r="I135" s="1515"/>
      <c r="J135" s="1515" t="s">
        <v>2109</v>
      </c>
      <c r="K135" s="1516"/>
      <c r="L135" s="1516"/>
      <c r="M135" s="647"/>
      <c r="N135" s="611"/>
      <c r="O135" s="611"/>
      <c r="P135" s="611"/>
      <c r="Q135" s="611"/>
      <c r="R135" s="611"/>
      <c r="S135" s="611"/>
      <c r="T135" s="611"/>
      <c r="U135" s="611"/>
      <c r="V135" s="611"/>
      <c r="W135" s="611"/>
      <c r="X135" s="611"/>
      <c r="Y135" s="611"/>
      <c r="Z135" s="611"/>
      <c r="AA135">
        <f>IF(AND('11 Mic'!C135&gt;Tmin, NOT('11 Mic'!$I135="")),'11 Mic'!$I135,0)</f>
        <v>0</v>
      </c>
      <c r="AB135">
        <f>IF(AND('11 Mic'!D135&gt;Tmin, NOT('11 Mic'!$I135="")),'11 Mic'!$I135,0)</f>
        <v>0</v>
      </c>
      <c r="AC135">
        <f>IF(AND('11 Mic'!E135&gt;Tmin, NOT('11 Mic'!$I135="")),'11 Mic'!$I135,0)</f>
        <v>0</v>
      </c>
      <c r="AD135">
        <f>IF(AND('11 Mic'!F135&gt;Tmin, NOT('11 Mic'!$I135="")),'11 Mic'!$I135,0)</f>
        <v>0</v>
      </c>
      <c r="AE135">
        <f>IF(AND('11 Mic'!C135&lt;Tmax, NOT('11 Mic'!$H135="")),'11 Mic'!$H135,4)</f>
        <v>4</v>
      </c>
      <c r="AF135">
        <f>IF(AND('11 Mic'!D135&lt;Tmax, NOT('11 Mic'!$H135="")),'11 Mic'!$H135,4)</f>
        <v>4</v>
      </c>
      <c r="AG135">
        <f>IF(AND('11 Mic'!E135&lt;Tmax, NOT('11 Mic'!$H135="")),'11 Mic'!$H135,4)</f>
        <v>4</v>
      </c>
      <c r="AH135">
        <f>IF(AND('11 Mic'!F135&lt;Tmax, NOT('11 Mic'!$H135="")),'11 Mic'!$H135,4)</f>
        <v>4</v>
      </c>
      <c r="AI135"/>
    </row>
    <row r="136" spans="1:35" s="648" customFormat="1" outlineLevel="1" x14ac:dyDescent="0.2">
      <c r="A136" s="677" t="s">
        <v>5949</v>
      </c>
      <c r="B136" s="678" t="s">
        <v>5352</v>
      </c>
      <c r="C136" s="642"/>
      <c r="D136" s="635"/>
      <c r="E136" s="635"/>
      <c r="F136" s="635"/>
      <c r="G136" s="1515"/>
      <c r="H136" s="1515"/>
      <c r="I136" s="1515"/>
      <c r="J136" s="1515"/>
      <c r="K136" s="1516"/>
      <c r="L136" s="1516"/>
      <c r="M136" s="647"/>
      <c r="N136" s="611"/>
      <c r="O136" s="611"/>
      <c r="P136" s="611"/>
      <c r="Q136" s="611"/>
      <c r="R136" s="611"/>
      <c r="S136" s="611"/>
      <c r="T136" s="611"/>
      <c r="U136" s="611"/>
      <c r="V136" s="611"/>
      <c r="W136" s="611"/>
      <c r="X136" s="611"/>
      <c r="Y136" s="611"/>
      <c r="Z136" s="611"/>
      <c r="AA136"/>
      <c r="AB136"/>
      <c r="AC136"/>
      <c r="AD136"/>
      <c r="AE136"/>
      <c r="AF136"/>
      <c r="AG136"/>
      <c r="AH136"/>
      <c r="AI136"/>
    </row>
    <row r="137" spans="1:35" ht="22.5" outlineLevel="2" x14ac:dyDescent="0.2">
      <c r="A137" s="601" t="s">
        <v>5353</v>
      </c>
      <c r="B137" s="601" t="s">
        <v>6628</v>
      </c>
      <c r="C137" s="642"/>
      <c r="D137" s="635"/>
      <c r="E137" s="635"/>
      <c r="F137" s="635"/>
      <c r="G137" s="1524">
        <v>3</v>
      </c>
      <c r="H137" s="1524"/>
      <c r="I137" s="1515"/>
      <c r="J137" s="1515" t="s">
        <v>4246</v>
      </c>
      <c r="K137" s="1516" t="s">
        <v>7165</v>
      </c>
      <c r="L137" s="1518" t="s">
        <v>7313</v>
      </c>
      <c r="M137" s="647"/>
      <c r="AA137">
        <f>IF(AND('11 Mic'!C137&gt;Tmin, NOT('11 Mic'!$I137="")),'11 Mic'!$I137,0)</f>
        <v>0</v>
      </c>
      <c r="AB137">
        <f>IF(AND('11 Mic'!D137&gt;Tmin, NOT('11 Mic'!$I137="")),'11 Mic'!$I137,0)</f>
        <v>0</v>
      </c>
      <c r="AC137">
        <f>IF(AND('11 Mic'!E137&gt;Tmin, NOT('11 Mic'!$I137="")),'11 Mic'!$I137,0)</f>
        <v>0</v>
      </c>
      <c r="AD137">
        <f>IF(AND('11 Mic'!F137&gt;Tmin, NOT('11 Mic'!$I137="")),'11 Mic'!$I137,0)</f>
        <v>0</v>
      </c>
      <c r="AE137">
        <f>IF(AND('11 Mic'!C137&lt;Tmax, NOT('11 Mic'!$H137="")),'11 Mic'!$H137,4)</f>
        <v>4</v>
      </c>
      <c r="AF137">
        <f>IF(AND('11 Mic'!D137&lt;Tmax, NOT('11 Mic'!$H137="")),'11 Mic'!$H137,4)</f>
        <v>4</v>
      </c>
      <c r="AG137">
        <f>IF(AND('11 Mic'!E137&lt;Tmax, NOT('11 Mic'!$H137="")),'11 Mic'!$H137,4)</f>
        <v>4</v>
      </c>
      <c r="AH137">
        <f>IF(AND('11 Mic'!F137&lt;Tmax, NOT('11 Mic'!$H137="")),'11 Mic'!$H137,4)</f>
        <v>4</v>
      </c>
      <c r="AI137"/>
    </row>
    <row r="138" spans="1:35" ht="22.5" outlineLevel="2" x14ac:dyDescent="0.2">
      <c r="A138" s="601" t="s">
        <v>5354</v>
      </c>
      <c r="B138" s="601" t="s">
        <v>3282</v>
      </c>
      <c r="C138" s="642"/>
      <c r="D138" s="635"/>
      <c r="E138" s="635"/>
      <c r="F138" s="635"/>
      <c r="G138" s="1515">
        <v>4</v>
      </c>
      <c r="H138" s="1515"/>
      <c r="I138" s="1516"/>
      <c r="J138" s="1515" t="s">
        <v>4246</v>
      </c>
      <c r="K138" s="1516" t="s">
        <v>978</v>
      </c>
      <c r="L138" s="1518" t="s">
        <v>7410</v>
      </c>
      <c r="M138" s="647"/>
      <c r="AA138">
        <f>IF(AND('11 Mic'!C138&gt;Tmin, NOT('11 Mic'!$I138="")),'11 Mic'!$I138,0)</f>
        <v>0</v>
      </c>
      <c r="AB138">
        <f>IF(AND('11 Mic'!D138&gt;Tmin, NOT('11 Mic'!$I138="")),'11 Mic'!$I138,0)</f>
        <v>0</v>
      </c>
      <c r="AC138">
        <f>IF(AND('11 Mic'!E138&gt;Tmin, NOT('11 Mic'!$I138="")),'11 Mic'!$I138,0)</f>
        <v>0</v>
      </c>
      <c r="AD138">
        <f>IF(AND('11 Mic'!F138&gt;Tmin, NOT('11 Mic'!$I138="")),'11 Mic'!$I138,0)</f>
        <v>0</v>
      </c>
      <c r="AE138">
        <f>IF(AND('11 Mic'!C138&lt;Tmax, NOT('11 Mic'!$H138="")),'11 Mic'!$H138,4)</f>
        <v>4</v>
      </c>
      <c r="AF138">
        <f>IF(AND('11 Mic'!D138&lt;Tmax, NOT('11 Mic'!$H138="")),'11 Mic'!$H138,4)</f>
        <v>4</v>
      </c>
      <c r="AG138">
        <f>IF(AND('11 Mic'!E138&lt;Tmax, NOT('11 Mic'!$H138="")),'11 Mic'!$H138,4)</f>
        <v>4</v>
      </c>
      <c r="AH138">
        <f>IF(AND('11 Mic'!F138&lt;Tmax, NOT('11 Mic'!$H138="")),'11 Mic'!$H138,4)</f>
        <v>4</v>
      </c>
      <c r="AI138"/>
    </row>
    <row r="139" spans="1:35" outlineLevel="2" x14ac:dyDescent="0.2">
      <c r="A139" s="601" t="s">
        <v>3283</v>
      </c>
      <c r="B139" s="601" t="s">
        <v>4542</v>
      </c>
      <c r="C139" s="642"/>
      <c r="D139" s="635"/>
      <c r="E139" s="635"/>
      <c r="F139" s="635"/>
      <c r="G139" s="1515">
        <v>4</v>
      </c>
      <c r="H139" s="1515"/>
      <c r="I139" s="1515"/>
      <c r="J139" s="1515" t="s">
        <v>4246</v>
      </c>
      <c r="K139" s="1516" t="s">
        <v>978</v>
      </c>
      <c r="L139" s="1518" t="s">
        <v>7313</v>
      </c>
      <c r="M139" s="647"/>
      <c r="AA139">
        <f>IF(AND('11 Mic'!C139&gt;Tmin, NOT('11 Mic'!$I139="")),'11 Mic'!$I139,0)</f>
        <v>0</v>
      </c>
      <c r="AB139">
        <f>IF(AND('11 Mic'!D139&gt;Tmin, NOT('11 Mic'!$I139="")),'11 Mic'!$I139,0)</f>
        <v>0</v>
      </c>
      <c r="AC139">
        <f>IF(AND('11 Mic'!E139&gt;Tmin, NOT('11 Mic'!$I139="")),'11 Mic'!$I139,0)</f>
        <v>0</v>
      </c>
      <c r="AD139">
        <f>IF(AND('11 Mic'!F139&gt;Tmin, NOT('11 Mic'!$I139="")),'11 Mic'!$I139,0)</f>
        <v>0</v>
      </c>
      <c r="AE139">
        <f>IF(AND('11 Mic'!C139&lt;Tmax, NOT('11 Mic'!$H139="")),'11 Mic'!$H139,4)</f>
        <v>4</v>
      </c>
      <c r="AF139">
        <f>IF(AND('11 Mic'!D139&lt;Tmax, NOT('11 Mic'!$H139="")),'11 Mic'!$H139,4)</f>
        <v>4</v>
      </c>
      <c r="AG139">
        <f>IF(AND('11 Mic'!E139&lt;Tmax, NOT('11 Mic'!$H139="")),'11 Mic'!$H139,4)</f>
        <v>4</v>
      </c>
      <c r="AH139">
        <f>IF(AND('11 Mic'!F139&lt;Tmax, NOT('11 Mic'!$H139="")),'11 Mic'!$H139,4)</f>
        <v>4</v>
      </c>
      <c r="AI139"/>
    </row>
    <row r="140" spans="1:35" ht="22.5" outlineLevel="2" x14ac:dyDescent="0.2">
      <c r="A140" s="601" t="s">
        <v>4543</v>
      </c>
      <c r="B140" s="601" t="s">
        <v>5389</v>
      </c>
      <c r="C140" s="642"/>
      <c r="D140" s="635"/>
      <c r="E140" s="635"/>
      <c r="F140" s="635"/>
      <c r="G140" s="1515">
        <v>2</v>
      </c>
      <c r="H140" s="1515"/>
      <c r="I140" s="1515"/>
      <c r="J140" s="1515" t="s">
        <v>1592</v>
      </c>
      <c r="K140" s="1516" t="s">
        <v>978</v>
      </c>
      <c r="L140" s="1518" t="s">
        <v>7313</v>
      </c>
      <c r="M140" s="647"/>
      <c r="AA140">
        <f>IF(AND('11 Mic'!C140&gt;Tmin, NOT('11 Mic'!$I140="")),'11 Mic'!$I140,0)</f>
        <v>0</v>
      </c>
      <c r="AB140">
        <f>IF(AND('11 Mic'!D140&gt;Tmin, NOT('11 Mic'!$I140="")),'11 Mic'!$I140,0)</f>
        <v>0</v>
      </c>
      <c r="AC140">
        <f>IF(AND('11 Mic'!E140&gt;Tmin, NOT('11 Mic'!$I140="")),'11 Mic'!$I140,0)</f>
        <v>0</v>
      </c>
      <c r="AD140">
        <f>IF(AND('11 Mic'!F140&gt;Tmin, NOT('11 Mic'!$I140="")),'11 Mic'!$I140,0)</f>
        <v>0</v>
      </c>
      <c r="AE140">
        <f>IF(AND('11 Mic'!C140&lt;Tmax, NOT('11 Mic'!$H140="")),'11 Mic'!$H140,4)</f>
        <v>4</v>
      </c>
      <c r="AF140">
        <f>IF(AND('11 Mic'!D140&lt;Tmax, NOT('11 Mic'!$H140="")),'11 Mic'!$H140,4)</f>
        <v>4</v>
      </c>
      <c r="AG140">
        <f>IF(AND('11 Mic'!E140&lt;Tmax, NOT('11 Mic'!$H140="")),'11 Mic'!$H140,4)</f>
        <v>4</v>
      </c>
      <c r="AH140">
        <f>IF(AND('11 Mic'!F140&lt;Tmax, NOT('11 Mic'!$H140="")),'11 Mic'!$H140,4)</f>
        <v>4</v>
      </c>
      <c r="AI140"/>
    </row>
    <row r="141" spans="1:35" ht="22.5" outlineLevel="2" x14ac:dyDescent="0.2">
      <c r="A141" s="601" t="s">
        <v>4544</v>
      </c>
      <c r="B141" s="601" t="s">
        <v>5391</v>
      </c>
      <c r="C141" s="642"/>
      <c r="D141" s="635"/>
      <c r="E141" s="635"/>
      <c r="F141" s="635"/>
      <c r="G141" s="1515">
        <v>2</v>
      </c>
      <c r="H141" s="1515"/>
      <c r="I141" s="1515"/>
      <c r="J141" s="1515" t="s">
        <v>1592</v>
      </c>
      <c r="K141" s="1516" t="s">
        <v>978</v>
      </c>
      <c r="L141" s="1518" t="s">
        <v>7313</v>
      </c>
      <c r="M141" s="647"/>
      <c r="AA141">
        <f>IF(AND('11 Mic'!C141&gt;Tmin, NOT('11 Mic'!$I141="")),'11 Mic'!$I141,0)</f>
        <v>0</v>
      </c>
      <c r="AB141">
        <f>IF(AND('11 Mic'!D141&gt;Tmin, NOT('11 Mic'!$I141="")),'11 Mic'!$I141,0)</f>
        <v>0</v>
      </c>
      <c r="AC141">
        <f>IF(AND('11 Mic'!E141&gt;Tmin, NOT('11 Mic'!$I141="")),'11 Mic'!$I141,0)</f>
        <v>0</v>
      </c>
      <c r="AD141">
        <f>IF(AND('11 Mic'!F141&gt;Tmin, NOT('11 Mic'!$I141="")),'11 Mic'!$I141,0)</f>
        <v>0</v>
      </c>
      <c r="AE141">
        <f>IF(AND('11 Mic'!C141&lt;Tmax, NOT('11 Mic'!$H141="")),'11 Mic'!$H141,4)</f>
        <v>4</v>
      </c>
      <c r="AF141">
        <f>IF(AND('11 Mic'!D141&lt;Tmax, NOT('11 Mic'!$H141="")),'11 Mic'!$H141,4)</f>
        <v>4</v>
      </c>
      <c r="AG141">
        <f>IF(AND('11 Mic'!E141&lt;Tmax, NOT('11 Mic'!$H141="")),'11 Mic'!$H141,4)</f>
        <v>4</v>
      </c>
      <c r="AH141">
        <f>IF(AND('11 Mic'!F141&lt;Tmax, NOT('11 Mic'!$H141="")),'11 Mic'!$H141,4)</f>
        <v>4</v>
      </c>
      <c r="AI141"/>
    </row>
    <row r="142" spans="1:35" s="648" customFormat="1" outlineLevel="2" x14ac:dyDescent="0.2">
      <c r="A142" s="601" t="s">
        <v>4545</v>
      </c>
      <c r="B142" s="601" t="s">
        <v>6017</v>
      </c>
      <c r="C142" s="642"/>
      <c r="D142" s="635"/>
      <c r="E142" s="635"/>
      <c r="F142" s="635"/>
      <c r="G142" s="1515">
        <v>3</v>
      </c>
      <c r="H142" s="1515"/>
      <c r="I142" s="1515"/>
      <c r="J142" s="1515" t="s">
        <v>2109</v>
      </c>
      <c r="K142" s="1516"/>
      <c r="L142" s="1516"/>
      <c r="M142" s="647"/>
      <c r="N142" s="611"/>
      <c r="O142" s="611"/>
      <c r="P142" s="611"/>
      <c r="Q142" s="611"/>
      <c r="R142" s="611"/>
      <c r="S142" s="611"/>
      <c r="T142" s="611"/>
      <c r="U142" s="611"/>
      <c r="V142" s="611"/>
      <c r="W142" s="611"/>
      <c r="X142" s="611"/>
      <c r="Y142" s="611"/>
      <c r="Z142" s="611"/>
      <c r="AA142">
        <f>IF(AND('11 Mic'!C142&gt;Tmin, NOT('11 Mic'!$I142="")),'11 Mic'!$I142,0)</f>
        <v>0</v>
      </c>
      <c r="AB142">
        <f>IF(AND('11 Mic'!D142&gt;Tmin, NOT('11 Mic'!$I142="")),'11 Mic'!$I142,0)</f>
        <v>0</v>
      </c>
      <c r="AC142">
        <f>IF(AND('11 Mic'!E142&gt;Tmin, NOT('11 Mic'!$I142="")),'11 Mic'!$I142,0)</f>
        <v>0</v>
      </c>
      <c r="AD142">
        <f>IF(AND('11 Mic'!F142&gt;Tmin, NOT('11 Mic'!$I142="")),'11 Mic'!$I142,0)</f>
        <v>0</v>
      </c>
      <c r="AE142">
        <f>IF(AND('11 Mic'!C142&lt;Tmax, NOT('11 Mic'!$H142="")),'11 Mic'!$H142,4)</f>
        <v>4</v>
      </c>
      <c r="AF142">
        <f>IF(AND('11 Mic'!D142&lt;Tmax, NOT('11 Mic'!$H142="")),'11 Mic'!$H142,4)</f>
        <v>4</v>
      </c>
      <c r="AG142">
        <f>IF(AND('11 Mic'!E142&lt;Tmax, NOT('11 Mic'!$H142="")),'11 Mic'!$H142,4)</f>
        <v>4</v>
      </c>
      <c r="AH142">
        <f>IF(AND('11 Mic'!F142&lt;Tmax, NOT('11 Mic'!$H142="")),'11 Mic'!$H142,4)</f>
        <v>4</v>
      </c>
      <c r="AI142"/>
    </row>
    <row r="143" spans="1:35" s="648" customFormat="1" outlineLevel="1" x14ac:dyDescent="0.2">
      <c r="A143" s="677" t="s">
        <v>3236</v>
      </c>
      <c r="B143" s="678" t="s">
        <v>6629</v>
      </c>
      <c r="C143" s="642"/>
      <c r="D143" s="635"/>
      <c r="E143" s="635"/>
      <c r="F143" s="635"/>
      <c r="G143" s="1515"/>
      <c r="H143" s="1515"/>
      <c r="I143" s="1515"/>
      <c r="J143" s="1515"/>
      <c r="K143" s="1516"/>
      <c r="L143" s="1516"/>
      <c r="M143" s="647"/>
      <c r="N143" s="611"/>
      <c r="O143" s="611"/>
      <c r="P143" s="611"/>
      <c r="Q143" s="611"/>
      <c r="R143" s="611"/>
      <c r="S143" s="611"/>
      <c r="T143" s="611"/>
      <c r="U143" s="611"/>
      <c r="V143" s="611"/>
      <c r="W143" s="611"/>
      <c r="X143" s="611"/>
      <c r="Y143" s="611"/>
      <c r="Z143" s="611"/>
      <c r="AA143"/>
      <c r="AB143"/>
      <c r="AC143"/>
      <c r="AD143"/>
      <c r="AE143"/>
      <c r="AF143"/>
      <c r="AG143"/>
      <c r="AH143"/>
      <c r="AI143"/>
    </row>
    <row r="144" spans="1:35" s="648" customFormat="1" ht="33.75" outlineLevel="2" x14ac:dyDescent="0.2">
      <c r="A144" s="601" t="s">
        <v>4546</v>
      </c>
      <c r="B144" s="601" t="s">
        <v>6018</v>
      </c>
      <c r="C144" s="642"/>
      <c r="D144" s="635"/>
      <c r="E144" s="635"/>
      <c r="F144" s="635"/>
      <c r="G144" s="1515">
        <v>2</v>
      </c>
      <c r="H144" s="1515"/>
      <c r="I144" s="1516"/>
      <c r="J144" s="1515" t="s">
        <v>4246</v>
      </c>
      <c r="K144" s="1516" t="s">
        <v>6100</v>
      </c>
      <c r="L144" s="1516" t="s">
        <v>7367</v>
      </c>
      <c r="M144" s="647"/>
      <c r="N144" s="611"/>
      <c r="O144" s="611"/>
      <c r="P144" s="611"/>
      <c r="Q144" s="611"/>
      <c r="R144" s="611"/>
      <c r="S144" s="611"/>
      <c r="T144" s="611"/>
      <c r="U144" s="611"/>
      <c r="V144" s="611"/>
      <c r="W144" s="611"/>
      <c r="X144" s="611"/>
      <c r="Y144" s="611"/>
      <c r="Z144" s="611"/>
      <c r="AA144">
        <f>IF(AND('11 Mic'!C144&gt;Tmin, NOT('11 Mic'!$I144="")),'11 Mic'!$I144,0)</f>
        <v>0</v>
      </c>
      <c r="AB144">
        <f>IF(AND('11 Mic'!D144&gt;Tmin, NOT('11 Mic'!$I144="")),'11 Mic'!$I144,0)</f>
        <v>0</v>
      </c>
      <c r="AC144">
        <f>IF(AND('11 Mic'!E144&gt;Tmin, NOT('11 Mic'!$I144="")),'11 Mic'!$I144,0)</f>
        <v>0</v>
      </c>
      <c r="AD144">
        <f>IF(AND('11 Mic'!F144&gt;Tmin, NOT('11 Mic'!$I144="")),'11 Mic'!$I144,0)</f>
        <v>0</v>
      </c>
      <c r="AE144">
        <f>IF(AND('11 Mic'!C144&lt;Tmax, NOT('11 Mic'!$H144="")),'11 Mic'!$H144,4)</f>
        <v>4</v>
      </c>
      <c r="AF144">
        <f>IF(AND('11 Mic'!D144&lt;Tmax, NOT('11 Mic'!$H144="")),'11 Mic'!$H144,4)</f>
        <v>4</v>
      </c>
      <c r="AG144">
        <f>IF(AND('11 Mic'!E144&lt;Tmax, NOT('11 Mic'!$H144="")),'11 Mic'!$H144,4)</f>
        <v>4</v>
      </c>
      <c r="AH144">
        <f>IF(AND('11 Mic'!F144&lt;Tmax, NOT('11 Mic'!$H144="")),'11 Mic'!$H144,4)</f>
        <v>4</v>
      </c>
      <c r="AI144"/>
    </row>
    <row r="145" spans="1:35" s="648" customFormat="1" outlineLevel="2" x14ac:dyDescent="0.2">
      <c r="A145" s="601" t="s">
        <v>48</v>
      </c>
      <c r="B145" s="601" t="s">
        <v>6019</v>
      </c>
      <c r="C145" s="642"/>
      <c r="D145" s="635"/>
      <c r="E145" s="635"/>
      <c r="F145" s="635"/>
      <c r="G145" s="1515">
        <v>4</v>
      </c>
      <c r="H145" s="1515"/>
      <c r="I145" s="1515"/>
      <c r="J145" s="1515" t="s">
        <v>4246</v>
      </c>
      <c r="K145" s="1516"/>
      <c r="L145" s="1516"/>
      <c r="M145" s="647"/>
      <c r="N145" s="611"/>
      <c r="O145" s="611"/>
      <c r="P145" s="611"/>
      <c r="Q145" s="611"/>
      <c r="R145" s="611"/>
      <c r="S145" s="611"/>
      <c r="T145" s="611"/>
      <c r="U145" s="611"/>
      <c r="V145" s="611"/>
      <c r="W145" s="611"/>
      <c r="X145" s="611"/>
      <c r="Y145" s="611"/>
      <c r="Z145" s="611"/>
      <c r="AA145">
        <f>IF(AND('11 Mic'!C145&gt;Tmin, NOT('11 Mic'!$I145="")),'11 Mic'!$I145,0)</f>
        <v>0</v>
      </c>
      <c r="AB145">
        <f>IF(AND('11 Mic'!D145&gt;Tmin, NOT('11 Mic'!$I145="")),'11 Mic'!$I145,0)</f>
        <v>0</v>
      </c>
      <c r="AC145">
        <f>IF(AND('11 Mic'!E145&gt;Tmin, NOT('11 Mic'!$I145="")),'11 Mic'!$I145,0)</f>
        <v>0</v>
      </c>
      <c r="AD145">
        <f>IF(AND('11 Mic'!F145&gt;Tmin, NOT('11 Mic'!$I145="")),'11 Mic'!$I145,0)</f>
        <v>0</v>
      </c>
      <c r="AE145">
        <f>IF(AND('11 Mic'!C145&lt;Tmax, NOT('11 Mic'!$H145="")),'11 Mic'!$H145,4)</f>
        <v>4</v>
      </c>
      <c r="AF145">
        <f>IF(AND('11 Mic'!D145&lt;Tmax, NOT('11 Mic'!$H145="")),'11 Mic'!$H145,4)</f>
        <v>4</v>
      </c>
      <c r="AG145">
        <f>IF(AND('11 Mic'!E145&lt;Tmax, NOT('11 Mic'!$H145="")),'11 Mic'!$H145,4)</f>
        <v>4</v>
      </c>
      <c r="AH145">
        <f>IF(AND('11 Mic'!F145&lt;Tmax, NOT('11 Mic'!$H145="")),'11 Mic'!$H145,4)</f>
        <v>4</v>
      </c>
      <c r="AI145"/>
    </row>
    <row r="146" spans="1:35" s="648" customFormat="1" ht="33.75" outlineLevel="2" x14ac:dyDescent="0.2">
      <c r="A146" s="601" t="s">
        <v>49</v>
      </c>
      <c r="B146" s="601" t="s">
        <v>6647</v>
      </c>
      <c r="C146" s="642"/>
      <c r="D146" s="635"/>
      <c r="E146" s="635"/>
      <c r="F146" s="635"/>
      <c r="G146" s="1515">
        <v>2</v>
      </c>
      <c r="H146" s="1515"/>
      <c r="I146" s="1515"/>
      <c r="J146" s="1515" t="s">
        <v>4246</v>
      </c>
      <c r="K146" s="1516"/>
      <c r="L146" s="1516"/>
      <c r="M146" s="647"/>
      <c r="N146" s="611"/>
      <c r="O146" s="611"/>
      <c r="P146" s="611"/>
      <c r="Q146" s="611"/>
      <c r="R146" s="611"/>
      <c r="S146" s="611"/>
      <c r="T146" s="611"/>
      <c r="U146" s="611"/>
      <c r="V146" s="611"/>
      <c r="W146" s="611"/>
      <c r="X146" s="611"/>
      <c r="Y146" s="611"/>
      <c r="Z146" s="611"/>
      <c r="AA146">
        <f>IF(AND('11 Mic'!C146&gt;Tmin, NOT('11 Mic'!$I146="")),'11 Mic'!$I146,0)</f>
        <v>0</v>
      </c>
      <c r="AB146">
        <f>IF(AND('11 Mic'!D146&gt;Tmin, NOT('11 Mic'!$I146="")),'11 Mic'!$I146,0)</f>
        <v>0</v>
      </c>
      <c r="AC146">
        <f>IF(AND('11 Mic'!E146&gt;Tmin, NOT('11 Mic'!$I146="")),'11 Mic'!$I146,0)</f>
        <v>0</v>
      </c>
      <c r="AD146">
        <f>IF(AND('11 Mic'!F146&gt;Tmin, NOT('11 Mic'!$I146="")),'11 Mic'!$I146,0)</f>
        <v>0</v>
      </c>
      <c r="AE146">
        <f>IF(AND('11 Mic'!C146&lt;Tmax, NOT('11 Mic'!$H146="")),'11 Mic'!$H146,4)</f>
        <v>4</v>
      </c>
      <c r="AF146">
        <f>IF(AND('11 Mic'!D146&lt;Tmax, NOT('11 Mic'!$H146="")),'11 Mic'!$H146,4)</f>
        <v>4</v>
      </c>
      <c r="AG146">
        <f>IF(AND('11 Mic'!E146&lt;Tmax, NOT('11 Mic'!$H146="")),'11 Mic'!$H146,4)</f>
        <v>4</v>
      </c>
      <c r="AH146">
        <f>IF(AND('11 Mic'!F146&lt;Tmax, NOT('11 Mic'!$H146="")),'11 Mic'!$H146,4)</f>
        <v>4</v>
      </c>
      <c r="AI146"/>
    </row>
    <row r="147" spans="1:35" s="648" customFormat="1" outlineLevel="2" x14ac:dyDescent="0.2">
      <c r="A147" s="601" t="s">
        <v>50</v>
      </c>
      <c r="B147" s="601" t="s">
        <v>51</v>
      </c>
      <c r="C147" s="642"/>
      <c r="D147" s="635"/>
      <c r="E147" s="635"/>
      <c r="F147" s="635"/>
      <c r="G147" s="1515">
        <v>2</v>
      </c>
      <c r="H147" s="1515"/>
      <c r="I147" s="1515"/>
      <c r="J147" s="1515" t="s">
        <v>1592</v>
      </c>
      <c r="K147" s="1516"/>
      <c r="L147" s="1516"/>
      <c r="M147" s="647"/>
      <c r="N147" s="611"/>
      <c r="O147" s="611"/>
      <c r="P147" s="611"/>
      <c r="Q147" s="611"/>
      <c r="R147" s="611"/>
      <c r="S147" s="611"/>
      <c r="T147" s="611"/>
      <c r="U147" s="611"/>
      <c r="V147" s="611"/>
      <c r="W147" s="611"/>
      <c r="X147" s="611"/>
      <c r="Y147" s="611"/>
      <c r="Z147" s="611"/>
      <c r="AA147">
        <f>IF(AND('11 Mic'!C147&gt;Tmin, NOT('11 Mic'!$I147="")),'11 Mic'!$I147,0)</f>
        <v>0</v>
      </c>
      <c r="AB147">
        <f>IF(AND('11 Mic'!D147&gt;Tmin, NOT('11 Mic'!$I147="")),'11 Mic'!$I147,0)</f>
        <v>0</v>
      </c>
      <c r="AC147">
        <f>IF(AND('11 Mic'!E147&gt;Tmin, NOT('11 Mic'!$I147="")),'11 Mic'!$I147,0)</f>
        <v>0</v>
      </c>
      <c r="AD147">
        <f>IF(AND('11 Mic'!F147&gt;Tmin, NOT('11 Mic'!$I147="")),'11 Mic'!$I147,0)</f>
        <v>0</v>
      </c>
      <c r="AE147">
        <f>IF(AND('11 Mic'!C147&lt;Tmax, NOT('11 Mic'!$H147="")),'11 Mic'!$H147,4)</f>
        <v>4</v>
      </c>
      <c r="AF147">
        <f>IF(AND('11 Mic'!D147&lt;Tmax, NOT('11 Mic'!$H147="")),'11 Mic'!$H147,4)</f>
        <v>4</v>
      </c>
      <c r="AG147">
        <f>IF(AND('11 Mic'!E147&lt;Tmax, NOT('11 Mic'!$H147="")),'11 Mic'!$H147,4)</f>
        <v>4</v>
      </c>
      <c r="AH147">
        <f>IF(AND('11 Mic'!F147&lt;Tmax, NOT('11 Mic'!$H147="")),'11 Mic'!$H147,4)</f>
        <v>4</v>
      </c>
      <c r="AI147"/>
    </row>
    <row r="148" spans="1:35" s="648" customFormat="1" ht="22.5" outlineLevel="2" x14ac:dyDescent="0.2">
      <c r="A148" s="601" t="s">
        <v>52</v>
      </c>
      <c r="B148" s="601" t="s">
        <v>6020</v>
      </c>
      <c r="C148" s="642"/>
      <c r="D148" s="635"/>
      <c r="E148" s="635"/>
      <c r="F148" s="635"/>
      <c r="G148" s="1515">
        <v>3</v>
      </c>
      <c r="H148" s="1515"/>
      <c r="I148" s="1516"/>
      <c r="J148" s="1515" t="s">
        <v>1592</v>
      </c>
      <c r="K148" s="1516" t="s">
        <v>6100</v>
      </c>
      <c r="L148" s="1516" t="s">
        <v>7367</v>
      </c>
      <c r="M148" s="647"/>
      <c r="N148" s="611"/>
      <c r="O148" s="611"/>
      <c r="P148" s="611"/>
      <c r="Q148" s="611"/>
      <c r="R148" s="611"/>
      <c r="S148" s="611"/>
      <c r="T148" s="611"/>
      <c r="U148" s="611"/>
      <c r="V148" s="611"/>
      <c r="W148" s="611"/>
      <c r="X148" s="611"/>
      <c r="Y148" s="611"/>
      <c r="Z148" s="611"/>
      <c r="AA148">
        <f>IF(AND('11 Mic'!C148&gt;Tmin, NOT('11 Mic'!$I148="")),'11 Mic'!$I148,0)</f>
        <v>0</v>
      </c>
      <c r="AB148">
        <f>IF(AND('11 Mic'!D148&gt;Tmin, NOT('11 Mic'!$I148="")),'11 Mic'!$I148,0)</f>
        <v>0</v>
      </c>
      <c r="AC148">
        <f>IF(AND('11 Mic'!E148&gt;Tmin, NOT('11 Mic'!$I148="")),'11 Mic'!$I148,0)</f>
        <v>0</v>
      </c>
      <c r="AD148">
        <f>IF(AND('11 Mic'!F148&gt;Tmin, NOT('11 Mic'!$I148="")),'11 Mic'!$I148,0)</f>
        <v>0</v>
      </c>
      <c r="AE148">
        <f>IF(AND('11 Mic'!C148&lt;Tmax, NOT('11 Mic'!$H148="")),'11 Mic'!$H148,4)</f>
        <v>4</v>
      </c>
      <c r="AF148">
        <f>IF(AND('11 Mic'!D148&lt;Tmax, NOT('11 Mic'!$H148="")),'11 Mic'!$H148,4)</f>
        <v>4</v>
      </c>
      <c r="AG148">
        <f>IF(AND('11 Mic'!E148&lt;Tmax, NOT('11 Mic'!$H148="")),'11 Mic'!$H148,4)</f>
        <v>4</v>
      </c>
      <c r="AH148">
        <f>IF(AND('11 Mic'!F148&lt;Tmax, NOT('11 Mic'!$H148="")),'11 Mic'!$H148,4)</f>
        <v>4</v>
      </c>
      <c r="AI148"/>
    </row>
    <row r="149" spans="1:35" s="648" customFormat="1" ht="22.5" outlineLevel="2" x14ac:dyDescent="0.2">
      <c r="A149" s="601" t="s">
        <v>2182</v>
      </c>
      <c r="B149" s="601" t="s">
        <v>6022</v>
      </c>
      <c r="C149" s="642"/>
      <c r="D149" s="635"/>
      <c r="E149" s="635"/>
      <c r="F149" s="635"/>
      <c r="G149" s="1515">
        <v>2</v>
      </c>
      <c r="H149" s="1515"/>
      <c r="I149" s="1516"/>
      <c r="J149" s="1515" t="s">
        <v>1592</v>
      </c>
      <c r="K149" s="1516"/>
      <c r="L149" s="1516"/>
      <c r="M149" s="647"/>
      <c r="N149" s="611"/>
      <c r="O149" s="611"/>
      <c r="P149" s="611"/>
      <c r="Q149" s="611"/>
      <c r="R149" s="611"/>
      <c r="S149" s="611"/>
      <c r="T149" s="611"/>
      <c r="U149" s="611"/>
      <c r="V149" s="611"/>
      <c r="W149" s="611"/>
      <c r="X149" s="611"/>
      <c r="Y149" s="611"/>
      <c r="Z149" s="611"/>
      <c r="AA149">
        <f>IF(AND('11 Mic'!C149&gt;Tmin, NOT('11 Mic'!$I149="")),'11 Mic'!$I149,0)</f>
        <v>0</v>
      </c>
      <c r="AB149">
        <f>IF(AND('11 Mic'!D149&gt;Tmin, NOT('11 Mic'!$I149="")),'11 Mic'!$I149,0)</f>
        <v>0</v>
      </c>
      <c r="AC149">
        <f>IF(AND('11 Mic'!E149&gt;Tmin, NOT('11 Mic'!$I149="")),'11 Mic'!$I149,0)</f>
        <v>0</v>
      </c>
      <c r="AD149">
        <f>IF(AND('11 Mic'!F149&gt;Tmin, NOT('11 Mic'!$I149="")),'11 Mic'!$I149,0)</f>
        <v>0</v>
      </c>
      <c r="AE149">
        <f>IF(AND('11 Mic'!C149&lt;Tmax, NOT('11 Mic'!$H149="")),'11 Mic'!$H149,4)</f>
        <v>4</v>
      </c>
      <c r="AF149">
        <f>IF(AND('11 Mic'!D149&lt;Tmax, NOT('11 Mic'!$H149="")),'11 Mic'!$H149,4)</f>
        <v>4</v>
      </c>
      <c r="AG149">
        <f>IF(AND('11 Mic'!E149&lt;Tmax, NOT('11 Mic'!$H149="")),'11 Mic'!$H149,4)</f>
        <v>4</v>
      </c>
      <c r="AH149">
        <f>IF(AND('11 Mic'!F149&lt;Tmax, NOT('11 Mic'!$H149="")),'11 Mic'!$H149,4)</f>
        <v>4</v>
      </c>
      <c r="AI149"/>
    </row>
    <row r="150" spans="1:35" s="648" customFormat="1" ht="33.75" outlineLevel="2" x14ac:dyDescent="0.2">
      <c r="A150" s="601" t="s">
        <v>4748</v>
      </c>
      <c r="B150" s="601" t="s">
        <v>1238</v>
      </c>
      <c r="C150" s="642"/>
      <c r="D150" s="635"/>
      <c r="E150" s="635"/>
      <c r="F150" s="635"/>
      <c r="G150" s="1515">
        <v>3</v>
      </c>
      <c r="H150" s="1515"/>
      <c r="I150" s="1516"/>
      <c r="J150" s="1515" t="s">
        <v>1592</v>
      </c>
      <c r="K150" s="1516" t="s">
        <v>6100</v>
      </c>
      <c r="L150" s="1516" t="s">
        <v>7411</v>
      </c>
      <c r="M150" s="647"/>
      <c r="N150" s="611"/>
      <c r="O150" s="611"/>
      <c r="P150" s="611"/>
      <c r="Q150" s="611"/>
      <c r="R150" s="611"/>
      <c r="S150" s="611"/>
      <c r="T150" s="611"/>
      <c r="U150" s="611"/>
      <c r="V150" s="611"/>
      <c r="W150" s="611"/>
      <c r="X150" s="611"/>
      <c r="Y150" s="611"/>
      <c r="Z150" s="611"/>
      <c r="AA150">
        <f>IF(AND('11 Mic'!C150&gt;Tmin, NOT('11 Mic'!$I150="")),'11 Mic'!$I150,0)</f>
        <v>0</v>
      </c>
      <c r="AB150">
        <f>IF(AND('11 Mic'!D150&gt;Tmin, NOT('11 Mic'!$I150="")),'11 Mic'!$I150,0)</f>
        <v>0</v>
      </c>
      <c r="AC150">
        <f>IF(AND('11 Mic'!E150&gt;Tmin, NOT('11 Mic'!$I150="")),'11 Mic'!$I150,0)</f>
        <v>0</v>
      </c>
      <c r="AD150">
        <f>IF(AND('11 Mic'!F150&gt;Tmin, NOT('11 Mic'!$I150="")),'11 Mic'!$I150,0)</f>
        <v>0</v>
      </c>
      <c r="AE150">
        <f>IF(AND('11 Mic'!C150&lt;Tmax, NOT('11 Mic'!$H150="")),'11 Mic'!$H150,4)</f>
        <v>4</v>
      </c>
      <c r="AF150">
        <f>IF(AND('11 Mic'!D150&lt;Tmax, NOT('11 Mic'!$H150="")),'11 Mic'!$H150,4)</f>
        <v>4</v>
      </c>
      <c r="AG150">
        <f>IF(AND('11 Mic'!E150&lt;Tmax, NOT('11 Mic'!$H150="")),'11 Mic'!$H150,4)</f>
        <v>4</v>
      </c>
      <c r="AH150">
        <f>IF(AND('11 Mic'!F150&lt;Tmax, NOT('11 Mic'!$H150="")),'11 Mic'!$H150,4)</f>
        <v>4</v>
      </c>
      <c r="AI150"/>
    </row>
    <row r="151" spans="1:35" s="648" customFormat="1" outlineLevel="2" x14ac:dyDescent="0.2">
      <c r="A151" s="601" t="s">
        <v>1239</v>
      </c>
      <c r="B151" s="601" t="s">
        <v>6023</v>
      </c>
      <c r="C151" s="642"/>
      <c r="D151" s="635"/>
      <c r="E151" s="635"/>
      <c r="F151" s="635"/>
      <c r="G151" s="1515">
        <v>3</v>
      </c>
      <c r="H151" s="1515"/>
      <c r="I151" s="1515"/>
      <c r="J151" s="1515" t="s">
        <v>2109</v>
      </c>
      <c r="K151" s="1516"/>
      <c r="L151" s="1516"/>
      <c r="M151" s="647"/>
      <c r="N151" s="611"/>
      <c r="O151" s="611"/>
      <c r="P151" s="611"/>
      <c r="Q151" s="611"/>
      <c r="R151" s="611"/>
      <c r="S151" s="611"/>
      <c r="T151" s="611"/>
      <c r="U151" s="611"/>
      <c r="V151" s="611"/>
      <c r="W151" s="611"/>
      <c r="X151" s="611"/>
      <c r="Y151" s="611"/>
      <c r="Z151" s="611"/>
      <c r="AA151">
        <f>IF(AND('11 Mic'!C151&gt;Tmin, NOT('11 Mic'!$I151="")),'11 Mic'!$I151,0)</f>
        <v>0</v>
      </c>
      <c r="AB151">
        <f>IF(AND('11 Mic'!D151&gt;Tmin, NOT('11 Mic'!$I151="")),'11 Mic'!$I151,0)</f>
        <v>0</v>
      </c>
      <c r="AC151">
        <f>IF(AND('11 Mic'!E151&gt;Tmin, NOT('11 Mic'!$I151="")),'11 Mic'!$I151,0)</f>
        <v>0</v>
      </c>
      <c r="AD151">
        <f>IF(AND('11 Mic'!F151&gt;Tmin, NOT('11 Mic'!$I151="")),'11 Mic'!$I151,0)</f>
        <v>0</v>
      </c>
      <c r="AE151">
        <f>IF(AND('11 Mic'!C151&lt;Tmax, NOT('11 Mic'!$H151="")),'11 Mic'!$H151,4)</f>
        <v>4</v>
      </c>
      <c r="AF151">
        <f>IF(AND('11 Mic'!D151&lt;Tmax, NOT('11 Mic'!$H151="")),'11 Mic'!$H151,4)</f>
        <v>4</v>
      </c>
      <c r="AG151">
        <f>IF(AND('11 Mic'!E151&lt;Tmax, NOT('11 Mic'!$H151="")),'11 Mic'!$H151,4)</f>
        <v>4</v>
      </c>
      <c r="AH151">
        <f>IF(AND('11 Mic'!F151&lt;Tmax, NOT('11 Mic'!$H151="")),'11 Mic'!$H151,4)</f>
        <v>4</v>
      </c>
      <c r="AI151"/>
    </row>
    <row r="152" spans="1:35" outlineLevel="1" x14ac:dyDescent="0.2">
      <c r="A152" s="677" t="s">
        <v>3237</v>
      </c>
      <c r="B152" s="678" t="s">
        <v>4330</v>
      </c>
      <c r="C152" s="642"/>
      <c r="D152" s="635"/>
      <c r="E152" s="635"/>
      <c r="F152" s="635"/>
      <c r="G152" s="1517"/>
      <c r="H152" s="1517"/>
      <c r="I152" s="1517"/>
      <c r="J152" s="1517"/>
      <c r="K152" s="1518"/>
      <c r="L152" s="1518"/>
      <c r="M152" s="635"/>
      <c r="AA152"/>
      <c r="AB152"/>
      <c r="AC152"/>
      <c r="AD152"/>
      <c r="AE152"/>
      <c r="AF152"/>
      <c r="AG152"/>
      <c r="AH152"/>
      <c r="AI152"/>
    </row>
    <row r="153" spans="1:35" ht="22.5" outlineLevel="2" x14ac:dyDescent="0.2">
      <c r="A153" s="601" t="s">
        <v>965</v>
      </c>
      <c r="B153" s="601" t="s">
        <v>3397</v>
      </c>
      <c r="C153" s="642"/>
      <c r="D153" s="635"/>
      <c r="E153" s="635"/>
      <c r="F153" s="635"/>
      <c r="G153" s="1517">
        <v>4</v>
      </c>
      <c r="H153" s="1517"/>
      <c r="I153" s="1517"/>
      <c r="J153" s="1517" t="s">
        <v>4246</v>
      </c>
      <c r="K153" s="1458" t="s">
        <v>6903</v>
      </c>
      <c r="L153" s="1518" t="s">
        <v>5895</v>
      </c>
      <c r="M153" s="635"/>
      <c r="AA153">
        <f>IF(AND('11 Mic'!C153&gt;Tmin, NOT('11 Mic'!$I153="")),'11 Mic'!$I153,0)</f>
        <v>0</v>
      </c>
      <c r="AB153">
        <f>IF(AND('11 Mic'!D153&gt;Tmin, NOT('11 Mic'!$I153="")),'11 Mic'!$I153,0)</f>
        <v>0</v>
      </c>
      <c r="AC153">
        <f>IF(AND('11 Mic'!E153&gt;Tmin, NOT('11 Mic'!$I153="")),'11 Mic'!$I153,0)</f>
        <v>0</v>
      </c>
      <c r="AD153">
        <f>IF(AND('11 Mic'!F153&gt;Tmin, NOT('11 Mic'!$I153="")),'11 Mic'!$I153,0)</f>
        <v>0</v>
      </c>
      <c r="AE153">
        <f>IF(AND('11 Mic'!C153&lt;Tmax, NOT('11 Mic'!$H153="")),'11 Mic'!$H153,4)</f>
        <v>4</v>
      </c>
      <c r="AF153">
        <f>IF(AND('11 Mic'!D153&lt;Tmax, NOT('11 Mic'!$H153="")),'11 Mic'!$H153,4)</f>
        <v>4</v>
      </c>
      <c r="AG153">
        <f>IF(AND('11 Mic'!E153&lt;Tmax, NOT('11 Mic'!$H153="")),'11 Mic'!$H153,4)</f>
        <v>4</v>
      </c>
      <c r="AH153">
        <f>IF(AND('11 Mic'!F153&lt;Tmax, NOT('11 Mic'!$H153="")),'11 Mic'!$H153,4)</f>
        <v>4</v>
      </c>
      <c r="AI153"/>
    </row>
    <row r="154" spans="1:35" ht="34.5" customHeight="1" outlineLevel="2" x14ac:dyDescent="0.2">
      <c r="A154" s="601" t="s">
        <v>4796</v>
      </c>
      <c r="B154" s="601" t="s">
        <v>5289</v>
      </c>
      <c r="C154" s="642"/>
      <c r="D154" s="635"/>
      <c r="E154" s="635"/>
      <c r="F154" s="635"/>
      <c r="G154" s="1517">
        <v>4</v>
      </c>
      <c r="H154" s="1517">
        <v>2</v>
      </c>
      <c r="I154" s="1517"/>
      <c r="J154" s="1517" t="s">
        <v>1592</v>
      </c>
      <c r="K154" s="1458" t="s">
        <v>6903</v>
      </c>
      <c r="L154" s="1518" t="s">
        <v>5895</v>
      </c>
      <c r="M154" s="635"/>
      <c r="AA154">
        <f>IF(AND('11 Mic'!C154&gt;Tmin, NOT('11 Mic'!$I154="")),'11 Mic'!$I154,0)</f>
        <v>0</v>
      </c>
      <c r="AB154">
        <f>IF(AND('11 Mic'!D154&gt;Tmin, NOT('11 Mic'!$I154="")),'11 Mic'!$I154,0)</f>
        <v>0</v>
      </c>
      <c r="AC154">
        <f>IF(AND('11 Mic'!E154&gt;Tmin, NOT('11 Mic'!$I154="")),'11 Mic'!$I154,0)</f>
        <v>0</v>
      </c>
      <c r="AD154">
        <f>IF(AND('11 Mic'!F154&gt;Tmin, NOT('11 Mic'!$I154="")),'11 Mic'!$I154,0)</f>
        <v>0</v>
      </c>
      <c r="AE154">
        <f>IF(AND('11 Mic'!C154&lt;Tmax, NOT('11 Mic'!$H154="")),'11 Mic'!$H154,4)</f>
        <v>2</v>
      </c>
      <c r="AF154">
        <f>IF(AND('11 Mic'!D154&lt;Tmax, NOT('11 Mic'!$H154="")),'11 Mic'!$H154,4)</f>
        <v>2</v>
      </c>
      <c r="AG154">
        <f>IF(AND('11 Mic'!E154&lt;Tmax, NOT('11 Mic'!$H154="")),'11 Mic'!$H154,4)</f>
        <v>2</v>
      </c>
      <c r="AH154">
        <f>IF(AND('11 Mic'!F154&lt;Tmax, NOT('11 Mic'!$H154="")),'11 Mic'!$H154,4)</f>
        <v>2</v>
      </c>
      <c r="AI154"/>
    </row>
    <row r="155" spans="1:35" ht="22.5" outlineLevel="2" x14ac:dyDescent="0.2">
      <c r="A155" s="601" t="s">
        <v>4797</v>
      </c>
      <c r="B155" s="601" t="s">
        <v>6499</v>
      </c>
      <c r="C155" s="642"/>
      <c r="D155" s="635"/>
      <c r="E155" s="635"/>
      <c r="F155" s="635"/>
      <c r="G155" s="1517">
        <v>4</v>
      </c>
      <c r="H155" s="1517"/>
      <c r="I155" s="1517">
        <v>2</v>
      </c>
      <c r="J155" s="1517" t="s">
        <v>4246</v>
      </c>
      <c r="K155" s="1458" t="s">
        <v>6903</v>
      </c>
      <c r="L155" s="1518" t="s">
        <v>5895</v>
      </c>
      <c r="M155" s="635"/>
      <c r="AA155">
        <f>IF(AND('11 Mic'!C155&gt;Tmin, NOT('11 Mic'!$I155="")),'11 Mic'!$I155,0)</f>
        <v>0</v>
      </c>
      <c r="AB155">
        <f>IF(AND('11 Mic'!D155&gt;Tmin, NOT('11 Mic'!$I155="")),'11 Mic'!$I155,0)</f>
        <v>0</v>
      </c>
      <c r="AC155">
        <f>IF(AND('11 Mic'!E155&gt;Tmin, NOT('11 Mic'!$I155="")),'11 Mic'!$I155,0)</f>
        <v>0</v>
      </c>
      <c r="AD155">
        <f>IF(AND('11 Mic'!F155&gt;Tmin, NOT('11 Mic'!$I155="")),'11 Mic'!$I155,0)</f>
        <v>0</v>
      </c>
      <c r="AE155">
        <f>IF(AND('11 Mic'!C155&lt;Tmax, NOT('11 Mic'!$H155="")),'11 Mic'!$H155,4)</f>
        <v>4</v>
      </c>
      <c r="AF155">
        <f>IF(AND('11 Mic'!D155&lt;Tmax, NOT('11 Mic'!$H155="")),'11 Mic'!$H155,4)</f>
        <v>4</v>
      </c>
      <c r="AG155">
        <f>IF(AND('11 Mic'!E155&lt;Tmax, NOT('11 Mic'!$H155="")),'11 Mic'!$H155,4)</f>
        <v>4</v>
      </c>
      <c r="AH155">
        <f>IF(AND('11 Mic'!F155&lt;Tmax, NOT('11 Mic'!$H155="")),'11 Mic'!$H155,4)</f>
        <v>4</v>
      </c>
      <c r="AI155"/>
    </row>
    <row r="156" spans="1:35" ht="33.75" outlineLevel="2" x14ac:dyDescent="0.2">
      <c r="A156" s="601" t="s">
        <v>4798</v>
      </c>
      <c r="B156" s="601" t="s">
        <v>1206</v>
      </c>
      <c r="C156" s="642"/>
      <c r="D156" s="635"/>
      <c r="E156" s="635"/>
      <c r="F156" s="635"/>
      <c r="G156" s="1517">
        <v>4</v>
      </c>
      <c r="H156" s="1517"/>
      <c r="I156" s="1517"/>
      <c r="J156" s="1517" t="s">
        <v>1592</v>
      </c>
      <c r="K156" s="1458" t="s">
        <v>6903</v>
      </c>
      <c r="L156" s="1518" t="s">
        <v>5895</v>
      </c>
      <c r="M156" s="635"/>
      <c r="AA156">
        <f>IF(AND('11 Mic'!C156&gt;Tmin, NOT('11 Mic'!$I156="")),'11 Mic'!$I156,0)</f>
        <v>0</v>
      </c>
      <c r="AB156">
        <f>IF(AND('11 Mic'!D156&gt;Tmin, NOT('11 Mic'!$I156="")),'11 Mic'!$I156,0)</f>
        <v>0</v>
      </c>
      <c r="AC156">
        <f>IF(AND('11 Mic'!E156&gt;Tmin, NOT('11 Mic'!$I156="")),'11 Mic'!$I156,0)</f>
        <v>0</v>
      </c>
      <c r="AD156">
        <f>IF(AND('11 Mic'!F156&gt;Tmin, NOT('11 Mic'!$I156="")),'11 Mic'!$I156,0)</f>
        <v>0</v>
      </c>
      <c r="AE156">
        <f>IF(AND('11 Mic'!C156&lt;Tmax, NOT('11 Mic'!$H156="")),'11 Mic'!$H156,4)</f>
        <v>4</v>
      </c>
      <c r="AF156">
        <f>IF(AND('11 Mic'!D156&lt;Tmax, NOT('11 Mic'!$H156="")),'11 Mic'!$H156,4)</f>
        <v>4</v>
      </c>
      <c r="AG156">
        <f>IF(AND('11 Mic'!E156&lt;Tmax, NOT('11 Mic'!$H156="")),'11 Mic'!$H156,4)</f>
        <v>4</v>
      </c>
      <c r="AH156">
        <f>IF(AND('11 Mic'!F156&lt;Tmax, NOT('11 Mic'!$H156="")),'11 Mic'!$H156,4)</f>
        <v>4</v>
      </c>
      <c r="AI156"/>
    </row>
    <row r="157" spans="1:35" ht="24" customHeight="1" outlineLevel="2" x14ac:dyDescent="0.2">
      <c r="A157" s="601" t="s">
        <v>4799</v>
      </c>
      <c r="B157" s="601" t="s">
        <v>5827</v>
      </c>
      <c r="C157" s="642"/>
      <c r="D157" s="635"/>
      <c r="E157" s="635"/>
      <c r="F157" s="635"/>
      <c r="G157" s="1517">
        <v>4</v>
      </c>
      <c r="H157" s="1517"/>
      <c r="I157" s="1517"/>
      <c r="J157" s="1517" t="s">
        <v>1592</v>
      </c>
      <c r="K157" s="1458" t="s">
        <v>6903</v>
      </c>
      <c r="L157" s="1518" t="s">
        <v>5895</v>
      </c>
      <c r="M157" s="635"/>
      <c r="AA157">
        <f>IF(AND('11 Mic'!C157&gt;Tmin, NOT('11 Mic'!$I157="")),'11 Mic'!$I157,0)</f>
        <v>0</v>
      </c>
      <c r="AB157">
        <f>IF(AND('11 Mic'!D157&gt;Tmin, NOT('11 Mic'!$I157="")),'11 Mic'!$I157,0)</f>
        <v>0</v>
      </c>
      <c r="AC157">
        <f>IF(AND('11 Mic'!E157&gt;Tmin, NOT('11 Mic'!$I157="")),'11 Mic'!$I157,0)</f>
        <v>0</v>
      </c>
      <c r="AD157">
        <f>IF(AND('11 Mic'!F157&gt;Tmin, NOT('11 Mic'!$I157="")),'11 Mic'!$I157,0)</f>
        <v>0</v>
      </c>
      <c r="AE157">
        <f>IF(AND('11 Mic'!C157&lt;Tmax, NOT('11 Mic'!$H157="")),'11 Mic'!$H157,4)</f>
        <v>4</v>
      </c>
      <c r="AF157">
        <f>IF(AND('11 Mic'!D157&lt;Tmax, NOT('11 Mic'!$H157="")),'11 Mic'!$H157,4)</f>
        <v>4</v>
      </c>
      <c r="AG157">
        <f>IF(AND('11 Mic'!E157&lt;Tmax, NOT('11 Mic'!$H157="")),'11 Mic'!$H157,4)</f>
        <v>4</v>
      </c>
      <c r="AH157">
        <f>IF(AND('11 Mic'!F157&lt;Tmax, NOT('11 Mic'!$H157="")),'11 Mic'!$H157,4)</f>
        <v>4</v>
      </c>
      <c r="AI157"/>
    </row>
    <row r="158" spans="1:35" ht="33.75" outlineLevel="2" x14ac:dyDescent="0.2">
      <c r="A158" s="601" t="s">
        <v>4800</v>
      </c>
      <c r="B158" s="601" t="s">
        <v>1033</v>
      </c>
      <c r="C158" s="642"/>
      <c r="D158" s="635"/>
      <c r="E158" s="635"/>
      <c r="F158" s="635"/>
      <c r="G158" s="1517">
        <v>4</v>
      </c>
      <c r="H158" s="1517"/>
      <c r="I158" s="1517"/>
      <c r="J158" s="1517" t="s">
        <v>4246</v>
      </c>
      <c r="K158" s="1458" t="s">
        <v>6903</v>
      </c>
      <c r="L158" s="1518" t="s">
        <v>5895</v>
      </c>
      <c r="M158" s="635"/>
      <c r="AA158">
        <f>IF(AND('11 Mic'!C158&gt;Tmin, NOT('11 Mic'!$I158="")),'11 Mic'!$I158,0)</f>
        <v>0</v>
      </c>
      <c r="AB158">
        <f>IF(AND('11 Mic'!D158&gt;Tmin, NOT('11 Mic'!$I158="")),'11 Mic'!$I158,0)</f>
        <v>0</v>
      </c>
      <c r="AC158">
        <f>IF(AND('11 Mic'!E158&gt;Tmin, NOT('11 Mic'!$I158="")),'11 Mic'!$I158,0)</f>
        <v>0</v>
      </c>
      <c r="AD158">
        <f>IF(AND('11 Mic'!F158&gt;Tmin, NOT('11 Mic'!$I158="")),'11 Mic'!$I158,0)</f>
        <v>0</v>
      </c>
      <c r="AE158">
        <f>IF(AND('11 Mic'!C158&lt;Tmax, NOT('11 Mic'!$H158="")),'11 Mic'!$H158,4)</f>
        <v>4</v>
      </c>
      <c r="AF158">
        <f>IF(AND('11 Mic'!D158&lt;Tmax, NOT('11 Mic'!$H158="")),'11 Mic'!$H158,4)</f>
        <v>4</v>
      </c>
      <c r="AG158">
        <f>IF(AND('11 Mic'!E158&lt;Tmax, NOT('11 Mic'!$H158="")),'11 Mic'!$H158,4)</f>
        <v>4</v>
      </c>
      <c r="AH158">
        <f>IF(AND('11 Mic'!F158&lt;Tmax, NOT('11 Mic'!$H158="")),'11 Mic'!$H158,4)</f>
        <v>4</v>
      </c>
      <c r="AI158"/>
    </row>
    <row r="159" spans="1:35" outlineLevel="2" x14ac:dyDescent="0.2">
      <c r="A159" s="601" t="s">
        <v>3413</v>
      </c>
      <c r="B159" s="601" t="s">
        <v>6025</v>
      </c>
      <c r="C159" s="642"/>
      <c r="D159" s="635"/>
      <c r="E159" s="635"/>
      <c r="F159" s="635"/>
      <c r="G159" s="1517">
        <v>4</v>
      </c>
      <c r="H159" s="1517">
        <v>2</v>
      </c>
      <c r="I159" s="1517"/>
      <c r="J159" s="1517" t="s">
        <v>1592</v>
      </c>
      <c r="K159" s="1458" t="s">
        <v>6904</v>
      </c>
      <c r="L159" s="1518" t="s">
        <v>7249</v>
      </c>
      <c r="M159" s="635"/>
      <c r="AA159">
        <f>IF(AND('11 Mic'!C159&gt;Tmin, NOT('11 Mic'!$I159="")),'11 Mic'!$I159,0)</f>
        <v>0</v>
      </c>
      <c r="AB159">
        <f>IF(AND('11 Mic'!D159&gt;Tmin, NOT('11 Mic'!$I159="")),'11 Mic'!$I159,0)</f>
        <v>0</v>
      </c>
      <c r="AC159">
        <f>IF(AND('11 Mic'!E159&gt;Tmin, NOT('11 Mic'!$I159="")),'11 Mic'!$I159,0)</f>
        <v>0</v>
      </c>
      <c r="AD159">
        <f>IF(AND('11 Mic'!F159&gt;Tmin, NOT('11 Mic'!$I159="")),'11 Mic'!$I159,0)</f>
        <v>0</v>
      </c>
      <c r="AE159">
        <f>IF(AND('11 Mic'!C159&lt;Tmax, NOT('11 Mic'!$H159="")),'11 Mic'!$H159,4)</f>
        <v>2</v>
      </c>
      <c r="AF159">
        <f>IF(AND('11 Mic'!D159&lt;Tmax, NOT('11 Mic'!$H159="")),'11 Mic'!$H159,4)</f>
        <v>2</v>
      </c>
      <c r="AG159">
        <f>IF(AND('11 Mic'!E159&lt;Tmax, NOT('11 Mic'!$H159="")),'11 Mic'!$H159,4)</f>
        <v>2</v>
      </c>
      <c r="AH159">
        <f>IF(AND('11 Mic'!F159&lt;Tmax, NOT('11 Mic'!$H159="")),'11 Mic'!$H159,4)</f>
        <v>2</v>
      </c>
      <c r="AI159"/>
    </row>
    <row r="160" spans="1:35" ht="56.25" outlineLevel="2" x14ac:dyDescent="0.2">
      <c r="A160" s="601" t="s">
        <v>3414</v>
      </c>
      <c r="B160" s="601" t="s">
        <v>6010</v>
      </c>
      <c r="C160" s="642"/>
      <c r="D160" s="635"/>
      <c r="E160" s="635"/>
      <c r="F160" s="635"/>
      <c r="G160" s="1517">
        <v>4</v>
      </c>
      <c r="H160" s="1517">
        <v>3</v>
      </c>
      <c r="I160" s="1517"/>
      <c r="J160" s="1517" t="s">
        <v>1592</v>
      </c>
      <c r="K160" s="1458" t="s">
        <v>6904</v>
      </c>
      <c r="L160" s="1518" t="s">
        <v>7249</v>
      </c>
      <c r="M160" s="635"/>
      <c r="AA160">
        <f>IF(AND('11 Mic'!C160&gt;Tmin, NOT('11 Mic'!$I160="")),'11 Mic'!$I160,0)</f>
        <v>0</v>
      </c>
      <c r="AB160">
        <f>IF(AND('11 Mic'!D160&gt;Tmin, NOT('11 Mic'!$I160="")),'11 Mic'!$I160,0)</f>
        <v>0</v>
      </c>
      <c r="AC160">
        <f>IF(AND('11 Mic'!E160&gt;Tmin, NOT('11 Mic'!$I160="")),'11 Mic'!$I160,0)</f>
        <v>0</v>
      </c>
      <c r="AD160">
        <f>IF(AND('11 Mic'!F160&gt;Tmin, NOT('11 Mic'!$I160="")),'11 Mic'!$I160,0)</f>
        <v>0</v>
      </c>
      <c r="AE160">
        <f>IF(AND('11 Mic'!C160&lt;Tmax, NOT('11 Mic'!$H160="")),'11 Mic'!$H160,4)</f>
        <v>3</v>
      </c>
      <c r="AF160">
        <f>IF(AND('11 Mic'!D160&lt;Tmax, NOT('11 Mic'!$H160="")),'11 Mic'!$H160,4)</f>
        <v>3</v>
      </c>
      <c r="AG160">
        <f>IF(AND('11 Mic'!E160&lt;Tmax, NOT('11 Mic'!$H160="")),'11 Mic'!$H160,4)</f>
        <v>3</v>
      </c>
      <c r="AH160">
        <f>IF(AND('11 Mic'!F160&lt;Tmax, NOT('11 Mic'!$H160="")),'11 Mic'!$H160,4)</f>
        <v>3</v>
      </c>
      <c r="AI160"/>
    </row>
    <row r="161" spans="1:35" ht="33.75" outlineLevel="2" x14ac:dyDescent="0.2">
      <c r="A161" s="601" t="s">
        <v>3415</v>
      </c>
      <c r="B161" s="601" t="s">
        <v>1588</v>
      </c>
      <c r="C161" s="642"/>
      <c r="D161" s="635"/>
      <c r="E161" s="635"/>
      <c r="F161" s="635"/>
      <c r="G161" s="1517">
        <v>4</v>
      </c>
      <c r="H161" s="1517">
        <v>2</v>
      </c>
      <c r="I161" s="1517"/>
      <c r="J161" s="1517" t="s">
        <v>1592</v>
      </c>
      <c r="K161" s="1518"/>
      <c r="L161" s="1518"/>
      <c r="M161" s="635"/>
      <c r="AA161">
        <f>IF(AND('11 Mic'!C161&gt;Tmin, NOT('11 Mic'!$I161="")),'11 Mic'!$I161,0)</f>
        <v>0</v>
      </c>
      <c r="AB161">
        <f>IF(AND('11 Mic'!D161&gt;Tmin, NOT('11 Mic'!$I161="")),'11 Mic'!$I161,0)</f>
        <v>0</v>
      </c>
      <c r="AC161">
        <f>IF(AND('11 Mic'!E161&gt;Tmin, NOT('11 Mic'!$I161="")),'11 Mic'!$I161,0)</f>
        <v>0</v>
      </c>
      <c r="AD161">
        <f>IF(AND('11 Mic'!F161&gt;Tmin, NOT('11 Mic'!$I161="")),'11 Mic'!$I161,0)</f>
        <v>0</v>
      </c>
      <c r="AE161">
        <f>IF(AND('11 Mic'!C161&lt;Tmax, NOT('11 Mic'!$H161="")),'11 Mic'!$H161,4)</f>
        <v>2</v>
      </c>
      <c r="AF161">
        <f>IF(AND('11 Mic'!D161&lt;Tmax, NOT('11 Mic'!$H161="")),'11 Mic'!$H161,4)</f>
        <v>2</v>
      </c>
      <c r="AG161">
        <f>IF(AND('11 Mic'!E161&lt;Tmax, NOT('11 Mic'!$H161="")),'11 Mic'!$H161,4)</f>
        <v>2</v>
      </c>
      <c r="AH161">
        <f>IF(AND('11 Mic'!F161&lt;Tmax, NOT('11 Mic'!$H161="")),'11 Mic'!$H161,4)</f>
        <v>2</v>
      </c>
      <c r="AI161"/>
    </row>
    <row r="162" spans="1:35" ht="22.5" outlineLevel="2" x14ac:dyDescent="0.2">
      <c r="A162" s="601" t="s">
        <v>3416</v>
      </c>
      <c r="B162" s="601" t="s">
        <v>2464</v>
      </c>
      <c r="C162" s="642"/>
      <c r="D162" s="635"/>
      <c r="E162" s="635"/>
      <c r="F162" s="635"/>
      <c r="G162" s="1517">
        <v>2</v>
      </c>
      <c r="H162" s="1517">
        <v>3</v>
      </c>
      <c r="I162" s="1517"/>
      <c r="J162" s="1517" t="s">
        <v>2109</v>
      </c>
      <c r="K162" s="1518"/>
      <c r="L162" s="1518"/>
      <c r="M162" s="635"/>
      <c r="AA162">
        <f>IF(AND('11 Mic'!C162&gt;Tmin, NOT('11 Mic'!$I162="")),'11 Mic'!$I162,0)</f>
        <v>0</v>
      </c>
      <c r="AB162">
        <f>IF(AND('11 Mic'!D162&gt;Tmin, NOT('11 Mic'!$I162="")),'11 Mic'!$I162,0)</f>
        <v>0</v>
      </c>
      <c r="AC162">
        <f>IF(AND('11 Mic'!E162&gt;Tmin, NOT('11 Mic'!$I162="")),'11 Mic'!$I162,0)</f>
        <v>0</v>
      </c>
      <c r="AD162">
        <f>IF(AND('11 Mic'!F162&gt;Tmin, NOT('11 Mic'!$I162="")),'11 Mic'!$I162,0)</f>
        <v>0</v>
      </c>
      <c r="AE162">
        <f>IF(AND('11 Mic'!C162&lt;Tmax, NOT('11 Mic'!$H162="")),'11 Mic'!$H162,4)</f>
        <v>3</v>
      </c>
      <c r="AF162">
        <f>IF(AND('11 Mic'!D162&lt;Tmax, NOT('11 Mic'!$H162="")),'11 Mic'!$H162,4)</f>
        <v>3</v>
      </c>
      <c r="AG162">
        <f>IF(AND('11 Mic'!E162&lt;Tmax, NOT('11 Mic'!$H162="")),'11 Mic'!$H162,4)</f>
        <v>3</v>
      </c>
      <c r="AH162">
        <f>IF(AND('11 Mic'!F162&lt;Tmax, NOT('11 Mic'!$H162="")),'11 Mic'!$H162,4)</f>
        <v>3</v>
      </c>
      <c r="AI162"/>
    </row>
    <row r="163" spans="1:35" outlineLevel="2" x14ac:dyDescent="0.2">
      <c r="A163" s="601" t="s">
        <v>3417</v>
      </c>
      <c r="B163" s="601" t="s">
        <v>3610</v>
      </c>
      <c r="C163" s="642"/>
      <c r="D163" s="635"/>
      <c r="E163" s="635"/>
      <c r="F163" s="635"/>
      <c r="G163" s="1517">
        <v>2</v>
      </c>
      <c r="H163" s="1517">
        <v>3</v>
      </c>
      <c r="I163" s="1517"/>
      <c r="J163" s="1517" t="s">
        <v>2109</v>
      </c>
      <c r="K163" s="1518"/>
      <c r="L163" s="1518"/>
      <c r="M163" s="635"/>
      <c r="AA163">
        <f>IF(AND('11 Mic'!C163&gt;Tmin, NOT('11 Mic'!$I163="")),'11 Mic'!$I163,0)</f>
        <v>0</v>
      </c>
      <c r="AB163">
        <f>IF(AND('11 Mic'!D163&gt;Tmin, NOT('11 Mic'!$I163="")),'11 Mic'!$I163,0)</f>
        <v>0</v>
      </c>
      <c r="AC163">
        <f>IF(AND('11 Mic'!E163&gt;Tmin, NOT('11 Mic'!$I163="")),'11 Mic'!$I163,0)</f>
        <v>0</v>
      </c>
      <c r="AD163">
        <f>IF(AND('11 Mic'!F163&gt;Tmin, NOT('11 Mic'!$I163="")),'11 Mic'!$I163,0)</f>
        <v>0</v>
      </c>
      <c r="AE163">
        <f>IF(AND('11 Mic'!C163&lt;Tmax, NOT('11 Mic'!$H163="")),'11 Mic'!$H163,4)</f>
        <v>3</v>
      </c>
      <c r="AF163">
        <f>IF(AND('11 Mic'!D163&lt;Tmax, NOT('11 Mic'!$H163="")),'11 Mic'!$H163,4)</f>
        <v>3</v>
      </c>
      <c r="AG163">
        <f>IF(AND('11 Mic'!E163&lt;Tmax, NOT('11 Mic'!$H163="")),'11 Mic'!$H163,4)</f>
        <v>3</v>
      </c>
      <c r="AH163">
        <f>IF(AND('11 Mic'!F163&lt;Tmax, NOT('11 Mic'!$H163="")),'11 Mic'!$H163,4)</f>
        <v>3</v>
      </c>
      <c r="AI163"/>
    </row>
    <row r="164" spans="1:35" outlineLevel="1" x14ac:dyDescent="0.2">
      <c r="A164" s="677" t="s">
        <v>4256</v>
      </c>
      <c r="B164" s="678" t="s">
        <v>1240</v>
      </c>
      <c r="C164" s="642"/>
      <c r="D164" s="635"/>
      <c r="E164" s="635"/>
      <c r="F164" s="635"/>
      <c r="G164" s="1517"/>
      <c r="H164" s="1517"/>
      <c r="I164" s="1517"/>
      <c r="J164" s="1517"/>
      <c r="K164" s="1518"/>
      <c r="L164" s="1518"/>
      <c r="M164" s="635"/>
      <c r="AA164"/>
      <c r="AB164"/>
      <c r="AC164"/>
      <c r="AD164"/>
      <c r="AE164"/>
      <c r="AF164"/>
      <c r="AG164"/>
      <c r="AH164"/>
      <c r="AI164"/>
    </row>
    <row r="165" spans="1:35" outlineLevel="2" x14ac:dyDescent="0.2">
      <c r="A165" s="601" t="s">
        <v>1241</v>
      </c>
      <c r="B165" s="601" t="s">
        <v>1242</v>
      </c>
      <c r="C165" s="642"/>
      <c r="D165" s="635"/>
      <c r="E165" s="635"/>
      <c r="F165" s="635"/>
      <c r="G165" s="1517">
        <v>4</v>
      </c>
      <c r="H165" s="1517">
        <v>3</v>
      </c>
      <c r="I165" s="1517"/>
      <c r="J165" s="1517" t="s">
        <v>4246</v>
      </c>
      <c r="K165" s="1518"/>
      <c r="L165" s="1518"/>
      <c r="M165" s="635"/>
      <c r="AA165">
        <f>IF(AND('11 Mic'!C165&gt;Tmin, NOT('11 Mic'!$I165="")),'11 Mic'!$I165,0)</f>
        <v>0</v>
      </c>
      <c r="AB165">
        <f>IF(AND('11 Mic'!D165&gt;Tmin, NOT('11 Mic'!$I165="")),'11 Mic'!$I165,0)</f>
        <v>0</v>
      </c>
      <c r="AC165">
        <f>IF(AND('11 Mic'!E165&gt;Tmin, NOT('11 Mic'!$I165="")),'11 Mic'!$I165,0)</f>
        <v>0</v>
      </c>
      <c r="AD165">
        <f>IF(AND('11 Mic'!F165&gt;Tmin, NOT('11 Mic'!$I165="")),'11 Mic'!$I165,0)</f>
        <v>0</v>
      </c>
      <c r="AE165">
        <f>IF(AND('11 Mic'!C165&lt;Tmax, NOT('11 Mic'!$H165="")),'11 Mic'!$H165,4)</f>
        <v>3</v>
      </c>
      <c r="AF165">
        <f>IF(AND('11 Mic'!D165&lt;Tmax, NOT('11 Mic'!$H165="")),'11 Mic'!$H165,4)</f>
        <v>3</v>
      </c>
      <c r="AG165">
        <f>IF(AND('11 Mic'!E165&lt;Tmax, NOT('11 Mic'!$H165="")),'11 Mic'!$H165,4)</f>
        <v>3</v>
      </c>
      <c r="AH165">
        <f>IF(AND('11 Mic'!F165&lt;Tmax, NOT('11 Mic'!$H165="")),'11 Mic'!$H165,4)</f>
        <v>3</v>
      </c>
      <c r="AI165"/>
    </row>
    <row r="166" spans="1:35" ht="22.5" outlineLevel="2" x14ac:dyDescent="0.2">
      <c r="A166" s="601" t="s">
        <v>1243</v>
      </c>
      <c r="B166" s="601" t="s">
        <v>1244</v>
      </c>
      <c r="C166" s="642"/>
      <c r="D166" s="635"/>
      <c r="E166" s="635"/>
      <c r="F166" s="635"/>
      <c r="G166" s="1517">
        <v>4</v>
      </c>
      <c r="H166" s="1517">
        <v>3</v>
      </c>
      <c r="I166" s="1517"/>
      <c r="J166" s="1517" t="s">
        <v>4246</v>
      </c>
      <c r="K166" s="1518"/>
      <c r="L166" s="1518"/>
      <c r="M166" s="635"/>
      <c r="AA166">
        <f>IF(AND('11 Mic'!C166&gt;Tmin, NOT('11 Mic'!$I166="")),'11 Mic'!$I166,0)</f>
        <v>0</v>
      </c>
      <c r="AB166">
        <f>IF(AND('11 Mic'!D166&gt;Tmin, NOT('11 Mic'!$I166="")),'11 Mic'!$I166,0)</f>
        <v>0</v>
      </c>
      <c r="AC166">
        <f>IF(AND('11 Mic'!E166&gt;Tmin, NOT('11 Mic'!$I166="")),'11 Mic'!$I166,0)</f>
        <v>0</v>
      </c>
      <c r="AD166">
        <f>IF(AND('11 Mic'!F166&gt;Tmin, NOT('11 Mic'!$I166="")),'11 Mic'!$I166,0)</f>
        <v>0</v>
      </c>
      <c r="AE166">
        <f>IF(AND('11 Mic'!C166&lt;Tmax, NOT('11 Mic'!$H166="")),'11 Mic'!$H166,4)</f>
        <v>3</v>
      </c>
      <c r="AF166">
        <f>IF(AND('11 Mic'!D166&lt;Tmax, NOT('11 Mic'!$H166="")),'11 Mic'!$H166,4)</f>
        <v>3</v>
      </c>
      <c r="AG166">
        <f>IF(AND('11 Mic'!E166&lt;Tmax, NOT('11 Mic'!$H166="")),'11 Mic'!$H166,4)</f>
        <v>3</v>
      </c>
      <c r="AH166">
        <f>IF(AND('11 Mic'!F166&lt;Tmax, NOT('11 Mic'!$H166="")),'11 Mic'!$H166,4)</f>
        <v>3</v>
      </c>
      <c r="AI166"/>
    </row>
    <row r="167" spans="1:35" ht="22.5" outlineLevel="2" x14ac:dyDescent="0.2">
      <c r="A167" s="601" t="s">
        <v>1245</v>
      </c>
      <c r="B167" s="601" t="s">
        <v>2811</v>
      </c>
      <c r="C167" s="642"/>
      <c r="D167" s="635"/>
      <c r="E167" s="635"/>
      <c r="F167" s="635"/>
      <c r="G167" s="1517">
        <v>4</v>
      </c>
      <c r="H167" s="1517">
        <v>3</v>
      </c>
      <c r="I167" s="1517"/>
      <c r="J167" s="1517" t="s">
        <v>1592</v>
      </c>
      <c r="K167" s="1518"/>
      <c r="L167" s="1518"/>
      <c r="M167" s="635"/>
      <c r="AA167">
        <f>IF(AND('11 Mic'!C167&gt;Tmin, NOT('11 Mic'!$I167="")),'11 Mic'!$I167,0)</f>
        <v>0</v>
      </c>
      <c r="AB167">
        <f>IF(AND('11 Mic'!D167&gt;Tmin, NOT('11 Mic'!$I167="")),'11 Mic'!$I167,0)</f>
        <v>0</v>
      </c>
      <c r="AC167">
        <f>IF(AND('11 Mic'!E167&gt;Tmin, NOT('11 Mic'!$I167="")),'11 Mic'!$I167,0)</f>
        <v>0</v>
      </c>
      <c r="AD167">
        <f>IF(AND('11 Mic'!F167&gt;Tmin, NOT('11 Mic'!$I167="")),'11 Mic'!$I167,0)</f>
        <v>0</v>
      </c>
      <c r="AE167">
        <f>IF(AND('11 Mic'!C167&lt;Tmax, NOT('11 Mic'!$H167="")),'11 Mic'!$H167,4)</f>
        <v>3</v>
      </c>
      <c r="AF167">
        <f>IF(AND('11 Mic'!D167&lt;Tmax, NOT('11 Mic'!$H167="")),'11 Mic'!$H167,4)</f>
        <v>3</v>
      </c>
      <c r="AG167">
        <f>IF(AND('11 Mic'!E167&lt;Tmax, NOT('11 Mic'!$H167="")),'11 Mic'!$H167,4)</f>
        <v>3</v>
      </c>
      <c r="AH167">
        <f>IF(AND('11 Mic'!F167&lt;Tmax, NOT('11 Mic'!$H167="")),'11 Mic'!$H167,4)</f>
        <v>3</v>
      </c>
      <c r="AI167"/>
    </row>
    <row r="168" spans="1:35" ht="22.5" outlineLevel="2" x14ac:dyDescent="0.2">
      <c r="A168" s="601" t="s">
        <v>2812</v>
      </c>
      <c r="B168" s="601" t="s">
        <v>4854</v>
      </c>
      <c r="C168" s="642"/>
      <c r="D168" s="635"/>
      <c r="E168" s="635"/>
      <c r="F168" s="635"/>
      <c r="G168" s="1517">
        <v>4</v>
      </c>
      <c r="H168" s="1517">
        <v>3</v>
      </c>
      <c r="I168" s="1517"/>
      <c r="J168" s="1517" t="s">
        <v>1592</v>
      </c>
      <c r="K168" s="1518"/>
      <c r="L168" s="1518"/>
      <c r="M168" s="635"/>
      <c r="AA168">
        <f>IF(AND('11 Mic'!C168&gt;Tmin, NOT('11 Mic'!$I168="")),'11 Mic'!$I168,0)</f>
        <v>0</v>
      </c>
      <c r="AB168">
        <f>IF(AND('11 Mic'!D168&gt;Tmin, NOT('11 Mic'!$I168="")),'11 Mic'!$I168,0)</f>
        <v>0</v>
      </c>
      <c r="AC168">
        <f>IF(AND('11 Mic'!E168&gt;Tmin, NOT('11 Mic'!$I168="")),'11 Mic'!$I168,0)</f>
        <v>0</v>
      </c>
      <c r="AD168">
        <f>IF(AND('11 Mic'!F168&gt;Tmin, NOT('11 Mic'!$I168="")),'11 Mic'!$I168,0)</f>
        <v>0</v>
      </c>
      <c r="AE168">
        <f>IF(AND('11 Mic'!C168&lt;Tmax, NOT('11 Mic'!$H168="")),'11 Mic'!$H168,4)</f>
        <v>3</v>
      </c>
      <c r="AF168">
        <f>IF(AND('11 Mic'!D168&lt;Tmax, NOT('11 Mic'!$H168="")),'11 Mic'!$H168,4)</f>
        <v>3</v>
      </c>
      <c r="AG168">
        <f>IF(AND('11 Mic'!E168&lt;Tmax, NOT('11 Mic'!$H168="")),'11 Mic'!$H168,4)</f>
        <v>3</v>
      </c>
      <c r="AH168">
        <f>IF(AND('11 Mic'!F168&lt;Tmax, NOT('11 Mic'!$H168="")),'11 Mic'!$H168,4)</f>
        <v>3</v>
      </c>
      <c r="AI168"/>
    </row>
    <row r="169" spans="1:35" ht="22.5" outlineLevel="2" x14ac:dyDescent="0.2">
      <c r="A169" s="601" t="s">
        <v>2813</v>
      </c>
      <c r="B169" s="601" t="s">
        <v>1489</v>
      </c>
      <c r="C169" s="642"/>
      <c r="D169" s="635"/>
      <c r="E169" s="635"/>
      <c r="F169" s="635"/>
      <c r="G169" s="1517">
        <v>2</v>
      </c>
      <c r="H169" s="1517">
        <v>3</v>
      </c>
      <c r="I169" s="1517"/>
      <c r="J169" s="1517" t="s">
        <v>1592</v>
      </c>
      <c r="K169" s="1518"/>
      <c r="L169" s="1518"/>
      <c r="M169" s="635"/>
      <c r="AA169">
        <f>IF(AND('11 Mic'!C169&gt;Tmin, NOT('11 Mic'!$I169="")),'11 Mic'!$I169,0)</f>
        <v>0</v>
      </c>
      <c r="AB169">
        <f>IF(AND('11 Mic'!D169&gt;Tmin, NOT('11 Mic'!$I169="")),'11 Mic'!$I169,0)</f>
        <v>0</v>
      </c>
      <c r="AC169">
        <f>IF(AND('11 Mic'!E169&gt;Tmin, NOT('11 Mic'!$I169="")),'11 Mic'!$I169,0)</f>
        <v>0</v>
      </c>
      <c r="AD169">
        <f>IF(AND('11 Mic'!F169&gt;Tmin, NOT('11 Mic'!$I169="")),'11 Mic'!$I169,0)</f>
        <v>0</v>
      </c>
      <c r="AE169">
        <f>IF(AND('11 Mic'!C169&lt;Tmax, NOT('11 Mic'!$H169="")),'11 Mic'!$H169,4)</f>
        <v>3</v>
      </c>
      <c r="AF169">
        <f>IF(AND('11 Mic'!D169&lt;Tmax, NOT('11 Mic'!$H169="")),'11 Mic'!$H169,4)</f>
        <v>3</v>
      </c>
      <c r="AG169">
        <f>IF(AND('11 Mic'!E169&lt;Tmax, NOT('11 Mic'!$H169="")),'11 Mic'!$H169,4)</f>
        <v>3</v>
      </c>
      <c r="AH169">
        <f>IF(AND('11 Mic'!F169&lt;Tmax, NOT('11 Mic'!$H169="")),'11 Mic'!$H169,4)</f>
        <v>3</v>
      </c>
      <c r="AI169"/>
    </row>
    <row r="170" spans="1:35" x14ac:dyDescent="0.2">
      <c r="A170" s="602" t="s">
        <v>3418</v>
      </c>
      <c r="B170" s="602" t="s">
        <v>1026</v>
      </c>
      <c r="C170" s="642"/>
      <c r="D170" s="635"/>
      <c r="E170" s="635"/>
      <c r="F170" s="635"/>
      <c r="G170" s="1526"/>
      <c r="H170" s="1526"/>
      <c r="I170" s="1526"/>
      <c r="J170" s="1526"/>
      <c r="K170" s="1518"/>
      <c r="L170" s="1518"/>
      <c r="M170" s="635"/>
      <c r="AA170"/>
      <c r="AB170"/>
      <c r="AC170"/>
      <c r="AD170"/>
      <c r="AE170"/>
      <c r="AF170"/>
      <c r="AG170"/>
      <c r="AH170"/>
      <c r="AI170"/>
    </row>
    <row r="171" spans="1:35" outlineLevel="1" x14ac:dyDescent="0.2">
      <c r="A171" s="677" t="s">
        <v>947</v>
      </c>
      <c r="B171" s="678" t="s">
        <v>3411</v>
      </c>
      <c r="C171" s="642"/>
      <c r="D171" s="638"/>
      <c r="E171" s="638"/>
      <c r="F171" s="638"/>
      <c r="G171" s="1517"/>
      <c r="H171" s="1518"/>
      <c r="I171" s="1521"/>
      <c r="J171" s="1522"/>
      <c r="K171" s="1520"/>
      <c r="L171" s="1523"/>
      <c r="M171" s="642"/>
      <c r="AA171"/>
      <c r="AB171"/>
      <c r="AC171"/>
      <c r="AD171"/>
      <c r="AE171"/>
      <c r="AF171"/>
      <c r="AG171"/>
      <c r="AH171"/>
      <c r="AI171"/>
    </row>
    <row r="172" spans="1:35" ht="22.5" outlineLevel="2" x14ac:dyDescent="0.2">
      <c r="A172" s="601" t="s">
        <v>3419</v>
      </c>
      <c r="B172" s="601" t="s">
        <v>6011</v>
      </c>
      <c r="C172" s="642"/>
      <c r="D172" s="598"/>
      <c r="E172" s="598"/>
      <c r="F172" s="598"/>
      <c r="G172" s="1517">
        <v>1</v>
      </c>
      <c r="H172" s="1517"/>
      <c r="I172" s="1517"/>
      <c r="J172" s="1517" t="s">
        <v>4246</v>
      </c>
      <c r="K172" s="1458" t="s">
        <v>7141</v>
      </c>
      <c r="L172" s="1518" t="s">
        <v>7368</v>
      </c>
      <c r="M172" s="635"/>
      <c r="AA172">
        <f>IF(AND('11 Mic'!C172&gt;Tmin, NOT('11 Mic'!$I172="")),'11 Mic'!$I172,0)</f>
        <v>0</v>
      </c>
      <c r="AB172">
        <f>IF(AND('11 Mic'!D172&gt;Tmin, NOT('11 Mic'!$I172="")),'11 Mic'!$I172,0)</f>
        <v>0</v>
      </c>
      <c r="AC172">
        <f>IF(AND('11 Mic'!E172&gt;Tmin, NOT('11 Mic'!$I172="")),'11 Mic'!$I172,0)</f>
        <v>0</v>
      </c>
      <c r="AD172">
        <f>IF(AND('11 Mic'!F172&gt;Tmin, NOT('11 Mic'!$I172="")),'11 Mic'!$I172,0)</f>
        <v>0</v>
      </c>
      <c r="AE172">
        <f>IF(AND('11 Mic'!C172&lt;Tmax, NOT('11 Mic'!$H172="")),'11 Mic'!$H172,4)</f>
        <v>4</v>
      </c>
      <c r="AF172">
        <f>IF(AND('11 Mic'!D172&lt;Tmax, NOT('11 Mic'!$H172="")),'11 Mic'!$H172,4)</f>
        <v>4</v>
      </c>
      <c r="AG172">
        <f>IF(AND('11 Mic'!E172&lt;Tmax, NOT('11 Mic'!$H172="")),'11 Mic'!$H172,4)</f>
        <v>4</v>
      </c>
      <c r="AH172">
        <f>IF(AND('11 Mic'!F172&lt;Tmax, NOT('11 Mic'!$H172="")),'11 Mic'!$H172,4)</f>
        <v>4</v>
      </c>
      <c r="AI172"/>
    </row>
    <row r="173" spans="1:35" outlineLevel="2" x14ac:dyDescent="0.2">
      <c r="A173" s="601" t="s">
        <v>3420</v>
      </c>
      <c r="B173" s="601" t="s">
        <v>6089</v>
      </c>
      <c r="C173" s="642"/>
      <c r="D173" s="598"/>
      <c r="E173" s="598"/>
      <c r="F173" s="598"/>
      <c r="G173" s="1517">
        <v>4</v>
      </c>
      <c r="H173" s="1517">
        <v>2</v>
      </c>
      <c r="I173" s="1517"/>
      <c r="J173" s="1517" t="s">
        <v>4246</v>
      </c>
      <c r="K173" s="1518" t="s">
        <v>3952</v>
      </c>
      <c r="L173" s="1518" t="s">
        <v>7341</v>
      </c>
      <c r="M173" s="635"/>
      <c r="AA173">
        <f>IF(AND('11 Mic'!C173&gt;Tmin, NOT('11 Mic'!$I173="")),'11 Mic'!$I173,0)</f>
        <v>0</v>
      </c>
      <c r="AB173">
        <f>IF(AND('11 Mic'!D173&gt;Tmin, NOT('11 Mic'!$I173="")),'11 Mic'!$I173,0)</f>
        <v>0</v>
      </c>
      <c r="AC173">
        <f>IF(AND('11 Mic'!E173&gt;Tmin, NOT('11 Mic'!$I173="")),'11 Mic'!$I173,0)</f>
        <v>0</v>
      </c>
      <c r="AD173">
        <f>IF(AND('11 Mic'!F173&gt;Tmin, NOT('11 Mic'!$I173="")),'11 Mic'!$I173,0)</f>
        <v>0</v>
      </c>
      <c r="AE173">
        <f>IF(AND('11 Mic'!C173&lt;Tmax, NOT('11 Mic'!$H173="")),'11 Mic'!$H173,4)</f>
        <v>2</v>
      </c>
      <c r="AF173">
        <f>IF(AND('11 Mic'!D173&lt;Tmax, NOT('11 Mic'!$H173="")),'11 Mic'!$H173,4)</f>
        <v>2</v>
      </c>
      <c r="AG173">
        <f>IF(AND('11 Mic'!E173&lt;Tmax, NOT('11 Mic'!$H173="")),'11 Mic'!$H173,4)</f>
        <v>2</v>
      </c>
      <c r="AH173">
        <f>IF(AND('11 Mic'!F173&lt;Tmax, NOT('11 Mic'!$H173="")),'11 Mic'!$H173,4)</f>
        <v>2</v>
      </c>
      <c r="AI173"/>
    </row>
    <row r="174" spans="1:35" ht="22.5" outlineLevel="2" x14ac:dyDescent="0.2">
      <c r="A174" s="601" t="s">
        <v>3421</v>
      </c>
      <c r="B174" s="601" t="s">
        <v>6455</v>
      </c>
      <c r="C174" s="642"/>
      <c r="D174" s="598"/>
      <c r="E174" s="598"/>
      <c r="F174" s="598"/>
      <c r="G174" s="1517">
        <v>4</v>
      </c>
      <c r="H174" s="1517">
        <v>2</v>
      </c>
      <c r="I174" s="1517"/>
      <c r="J174" s="1517" t="s">
        <v>1592</v>
      </c>
      <c r="K174" s="1518" t="s">
        <v>3952</v>
      </c>
      <c r="L174" s="1518" t="s">
        <v>7341</v>
      </c>
      <c r="M174" s="635"/>
      <c r="AA174">
        <f>IF(AND('11 Mic'!C174&gt;Tmin, NOT('11 Mic'!$I174="")),'11 Mic'!$I174,0)</f>
        <v>0</v>
      </c>
      <c r="AB174">
        <f>IF(AND('11 Mic'!D174&gt;Tmin, NOT('11 Mic'!$I174="")),'11 Mic'!$I174,0)</f>
        <v>0</v>
      </c>
      <c r="AC174">
        <f>IF(AND('11 Mic'!E174&gt;Tmin, NOT('11 Mic'!$I174="")),'11 Mic'!$I174,0)</f>
        <v>0</v>
      </c>
      <c r="AD174">
        <f>IF(AND('11 Mic'!F174&gt;Tmin, NOT('11 Mic'!$I174="")),'11 Mic'!$I174,0)</f>
        <v>0</v>
      </c>
      <c r="AE174">
        <f>IF(AND('11 Mic'!C174&lt;Tmax, NOT('11 Mic'!$H174="")),'11 Mic'!$H174,4)</f>
        <v>2</v>
      </c>
      <c r="AF174">
        <f>IF(AND('11 Mic'!D174&lt;Tmax, NOT('11 Mic'!$H174="")),'11 Mic'!$H174,4)</f>
        <v>2</v>
      </c>
      <c r="AG174">
        <f>IF(AND('11 Mic'!E174&lt;Tmax, NOT('11 Mic'!$H174="")),'11 Mic'!$H174,4)</f>
        <v>2</v>
      </c>
      <c r="AH174">
        <f>IF(AND('11 Mic'!F174&lt;Tmax, NOT('11 Mic'!$H174="")),'11 Mic'!$H174,4)</f>
        <v>2</v>
      </c>
      <c r="AI174"/>
    </row>
    <row r="175" spans="1:35" outlineLevel="2" x14ac:dyDescent="0.2">
      <c r="A175" s="601" t="s">
        <v>3422</v>
      </c>
      <c r="B175" s="601" t="s">
        <v>6456</v>
      </c>
      <c r="C175" s="642"/>
      <c r="D175" s="598"/>
      <c r="E175" s="598"/>
      <c r="F175" s="598"/>
      <c r="G175" s="1517">
        <v>4</v>
      </c>
      <c r="H175" s="1517">
        <v>2</v>
      </c>
      <c r="I175" s="1517"/>
      <c r="J175" s="1517" t="s">
        <v>1592</v>
      </c>
      <c r="K175" s="1518" t="s">
        <v>3952</v>
      </c>
      <c r="L175" s="1518" t="s">
        <v>7341</v>
      </c>
      <c r="M175" s="635"/>
      <c r="AA175">
        <f>IF(AND('11 Mic'!C175&gt;Tmin, NOT('11 Mic'!$I175="")),'11 Mic'!$I175,0)</f>
        <v>0</v>
      </c>
      <c r="AB175">
        <f>IF(AND('11 Mic'!D175&gt;Tmin, NOT('11 Mic'!$I175="")),'11 Mic'!$I175,0)</f>
        <v>0</v>
      </c>
      <c r="AC175">
        <f>IF(AND('11 Mic'!E175&gt;Tmin, NOT('11 Mic'!$I175="")),'11 Mic'!$I175,0)</f>
        <v>0</v>
      </c>
      <c r="AD175">
        <f>IF(AND('11 Mic'!F175&gt;Tmin, NOT('11 Mic'!$I175="")),'11 Mic'!$I175,0)</f>
        <v>0</v>
      </c>
      <c r="AE175">
        <f>IF(AND('11 Mic'!C175&lt;Tmax, NOT('11 Mic'!$H175="")),'11 Mic'!$H175,4)</f>
        <v>2</v>
      </c>
      <c r="AF175">
        <f>IF(AND('11 Mic'!D175&lt;Tmax, NOT('11 Mic'!$H175="")),'11 Mic'!$H175,4)</f>
        <v>2</v>
      </c>
      <c r="AG175">
        <f>IF(AND('11 Mic'!E175&lt;Tmax, NOT('11 Mic'!$H175="")),'11 Mic'!$H175,4)</f>
        <v>2</v>
      </c>
      <c r="AH175">
        <f>IF(AND('11 Mic'!F175&lt;Tmax, NOT('11 Mic'!$H175="")),'11 Mic'!$H175,4)</f>
        <v>2</v>
      </c>
      <c r="AI175"/>
    </row>
    <row r="176" spans="1:35" ht="45" outlineLevel="2" x14ac:dyDescent="0.2">
      <c r="A176" s="601" t="s">
        <v>3423</v>
      </c>
      <c r="B176" s="601" t="s">
        <v>5793</v>
      </c>
      <c r="C176" s="642"/>
      <c r="D176" s="638"/>
      <c r="E176" s="638"/>
      <c r="F176" s="638"/>
      <c r="G176" s="1517">
        <v>4</v>
      </c>
      <c r="H176" s="1517">
        <v>2</v>
      </c>
      <c r="I176" s="1517">
        <v>3</v>
      </c>
      <c r="J176" s="1517" t="s">
        <v>2349</v>
      </c>
      <c r="K176" s="1458" t="s">
        <v>7122</v>
      </c>
      <c r="L176" s="1518" t="s">
        <v>3579</v>
      </c>
      <c r="M176" s="635"/>
      <c r="AA176">
        <f>IF(AND('11 Mic'!C176&gt;Tmin, NOT('11 Mic'!$I176="")),'11 Mic'!$I176,0)</f>
        <v>0</v>
      </c>
      <c r="AB176">
        <f>IF(AND('11 Mic'!D176&gt;Tmin, NOT('11 Mic'!$I176="")),'11 Mic'!$I176,0)</f>
        <v>0</v>
      </c>
      <c r="AC176">
        <f>IF(AND('11 Mic'!E176&gt;Tmin, NOT('11 Mic'!$I176="")),'11 Mic'!$I176,0)</f>
        <v>0</v>
      </c>
      <c r="AD176">
        <f>IF(AND('11 Mic'!F176&gt;Tmin, NOT('11 Mic'!$I176="")),'11 Mic'!$I176,0)</f>
        <v>0</v>
      </c>
      <c r="AE176">
        <f>IF(AND('11 Mic'!C176&lt;Tmax, NOT('11 Mic'!$H176="")),'11 Mic'!$H176,4)</f>
        <v>2</v>
      </c>
      <c r="AF176">
        <f>IF(AND('11 Mic'!D176&lt;Tmax, NOT('11 Mic'!$H176="")),'11 Mic'!$H176,4)</f>
        <v>2</v>
      </c>
      <c r="AG176">
        <f>IF(AND('11 Mic'!E176&lt;Tmax, NOT('11 Mic'!$H176="")),'11 Mic'!$H176,4)</f>
        <v>2</v>
      </c>
      <c r="AH176">
        <f>IF(AND('11 Mic'!F176&lt;Tmax, NOT('11 Mic'!$H176="")),'11 Mic'!$H176,4)</f>
        <v>2</v>
      </c>
      <c r="AI176"/>
    </row>
    <row r="177" spans="1:35" outlineLevel="2" x14ac:dyDescent="0.2">
      <c r="A177" s="601" t="s">
        <v>3424</v>
      </c>
      <c r="B177" s="601" t="s">
        <v>1374</v>
      </c>
      <c r="C177" s="642"/>
      <c r="D177" s="598"/>
      <c r="E177" s="598"/>
      <c r="F177" s="598"/>
      <c r="G177" s="1517">
        <v>2</v>
      </c>
      <c r="H177" s="1517"/>
      <c r="I177" s="1517"/>
      <c r="J177" s="1517" t="s">
        <v>1592</v>
      </c>
      <c r="K177" s="1518" t="s">
        <v>6477</v>
      </c>
      <c r="L177" s="1518" t="s">
        <v>4434</v>
      </c>
      <c r="M177" s="635"/>
      <c r="AA177">
        <f>IF(AND('11 Mic'!C177&gt;Tmin, NOT('11 Mic'!$I177="")),'11 Mic'!$I177,0)</f>
        <v>0</v>
      </c>
      <c r="AB177">
        <f>IF(AND('11 Mic'!D177&gt;Tmin, NOT('11 Mic'!$I177="")),'11 Mic'!$I177,0)</f>
        <v>0</v>
      </c>
      <c r="AC177">
        <f>IF(AND('11 Mic'!E177&gt;Tmin, NOT('11 Mic'!$I177="")),'11 Mic'!$I177,0)</f>
        <v>0</v>
      </c>
      <c r="AD177">
        <f>IF(AND('11 Mic'!F177&gt;Tmin, NOT('11 Mic'!$I177="")),'11 Mic'!$I177,0)</f>
        <v>0</v>
      </c>
      <c r="AE177">
        <f>IF(AND('11 Mic'!C177&lt;Tmax, NOT('11 Mic'!$H177="")),'11 Mic'!$H177,4)</f>
        <v>4</v>
      </c>
      <c r="AF177">
        <f>IF(AND('11 Mic'!D177&lt;Tmax, NOT('11 Mic'!$H177="")),'11 Mic'!$H177,4)</f>
        <v>4</v>
      </c>
      <c r="AG177">
        <f>IF(AND('11 Mic'!E177&lt;Tmax, NOT('11 Mic'!$H177="")),'11 Mic'!$H177,4)</f>
        <v>4</v>
      </c>
      <c r="AH177">
        <f>IF(AND('11 Mic'!F177&lt;Tmax, NOT('11 Mic'!$H177="")),'11 Mic'!$H177,4)</f>
        <v>4</v>
      </c>
      <c r="AI177"/>
    </row>
    <row r="178" spans="1:35" s="230" customFormat="1" outlineLevel="2" x14ac:dyDescent="0.2">
      <c r="A178" s="601" t="s">
        <v>3425</v>
      </c>
      <c r="B178" s="601" t="s">
        <v>1376</v>
      </c>
      <c r="C178" s="642"/>
      <c r="D178" s="598"/>
      <c r="E178" s="598"/>
      <c r="F178" s="598"/>
      <c r="G178" s="1517">
        <v>1</v>
      </c>
      <c r="H178" s="1517">
        <v>2</v>
      </c>
      <c r="I178" s="1517"/>
      <c r="J178" s="1517" t="s">
        <v>2109</v>
      </c>
      <c r="K178" s="1518" t="s">
        <v>6477</v>
      </c>
      <c r="L178" s="1518" t="s">
        <v>4434</v>
      </c>
      <c r="M178" s="635"/>
      <c r="N178" s="624"/>
      <c r="O178" s="624"/>
      <c r="P178" s="624"/>
      <c r="Q178" s="624"/>
      <c r="R178" s="624"/>
      <c r="S178" s="624"/>
      <c r="T178" s="624"/>
      <c r="U178" s="624"/>
      <c r="V178" s="624"/>
      <c r="W178" s="624"/>
      <c r="X178" s="624"/>
      <c r="Y178" s="624"/>
      <c r="Z178" s="624"/>
      <c r="AA178">
        <f>IF(AND('11 Mic'!C178&gt;Tmin, NOT('11 Mic'!$I178="")),'11 Mic'!$I178,0)</f>
        <v>0</v>
      </c>
      <c r="AB178">
        <f>IF(AND('11 Mic'!D178&gt;Tmin, NOT('11 Mic'!$I178="")),'11 Mic'!$I178,0)</f>
        <v>0</v>
      </c>
      <c r="AC178">
        <f>IF(AND('11 Mic'!E178&gt;Tmin, NOT('11 Mic'!$I178="")),'11 Mic'!$I178,0)</f>
        <v>0</v>
      </c>
      <c r="AD178">
        <f>IF(AND('11 Mic'!F178&gt;Tmin, NOT('11 Mic'!$I178="")),'11 Mic'!$I178,0)</f>
        <v>0</v>
      </c>
      <c r="AE178">
        <f>IF(AND('11 Mic'!C178&lt;Tmax, NOT('11 Mic'!$H178="")),'11 Mic'!$H178,4)</f>
        <v>2</v>
      </c>
      <c r="AF178">
        <f>IF(AND('11 Mic'!D178&lt;Tmax, NOT('11 Mic'!$H178="")),'11 Mic'!$H178,4)</f>
        <v>2</v>
      </c>
      <c r="AG178">
        <f>IF(AND('11 Mic'!E178&lt;Tmax, NOT('11 Mic'!$H178="")),'11 Mic'!$H178,4)</f>
        <v>2</v>
      </c>
      <c r="AH178">
        <f>IF(AND('11 Mic'!F178&lt;Tmax, NOT('11 Mic'!$H178="")),'11 Mic'!$H178,4)</f>
        <v>2</v>
      </c>
      <c r="AI178"/>
    </row>
    <row r="179" spans="1:35" outlineLevel="1" x14ac:dyDescent="0.2">
      <c r="A179" s="677" t="s">
        <v>948</v>
      </c>
      <c r="B179" s="678" t="s">
        <v>1377</v>
      </c>
      <c r="C179" s="642"/>
      <c r="D179" s="598"/>
      <c r="E179" s="598"/>
      <c r="F179" s="598"/>
      <c r="G179" s="1517"/>
      <c r="H179" s="1517"/>
      <c r="I179" s="1517"/>
      <c r="J179" s="1517"/>
      <c r="K179" s="1527"/>
      <c r="L179" s="1518"/>
      <c r="M179" s="635"/>
      <c r="AA179"/>
      <c r="AB179"/>
      <c r="AC179"/>
      <c r="AD179"/>
      <c r="AE179"/>
      <c r="AF179"/>
      <c r="AG179"/>
      <c r="AH179"/>
      <c r="AI179"/>
    </row>
    <row r="180" spans="1:35" outlineLevel="2" x14ac:dyDescent="0.2">
      <c r="A180" s="601" t="s">
        <v>1698</v>
      </c>
      <c r="B180" s="601" t="s">
        <v>959</v>
      </c>
      <c r="C180" s="642"/>
      <c r="D180" s="598"/>
      <c r="E180" s="598"/>
      <c r="F180" s="598"/>
      <c r="G180" s="1517">
        <v>4</v>
      </c>
      <c r="H180" s="1517"/>
      <c r="I180" s="1517">
        <v>4</v>
      </c>
      <c r="J180" s="1528" t="s">
        <v>1592</v>
      </c>
      <c r="K180" s="1529" t="s">
        <v>3952</v>
      </c>
      <c r="L180" s="1530"/>
      <c r="M180" s="635"/>
      <c r="AA180">
        <f>IF(AND('11 Mic'!C180&gt;Tmin, NOT('11 Mic'!$I180="")),'11 Mic'!$I180,0)</f>
        <v>0</v>
      </c>
      <c r="AB180">
        <f>IF(AND('11 Mic'!D180&gt;Tmin, NOT('11 Mic'!$I180="")),'11 Mic'!$I180,0)</f>
        <v>0</v>
      </c>
      <c r="AC180">
        <f>IF(AND('11 Mic'!E180&gt;Tmin, NOT('11 Mic'!$I180="")),'11 Mic'!$I180,0)</f>
        <v>0</v>
      </c>
      <c r="AD180">
        <f>IF(AND('11 Mic'!F180&gt;Tmin, NOT('11 Mic'!$I180="")),'11 Mic'!$I180,0)</f>
        <v>0</v>
      </c>
      <c r="AE180">
        <f>IF(AND('11 Mic'!C180&lt;Tmax, NOT('11 Mic'!$H180="")),'11 Mic'!$H180,4)</f>
        <v>4</v>
      </c>
      <c r="AF180">
        <f>IF(AND('11 Mic'!D180&lt;Tmax, NOT('11 Mic'!$H180="")),'11 Mic'!$H180,4)</f>
        <v>4</v>
      </c>
      <c r="AG180">
        <f>IF(AND('11 Mic'!E180&lt;Tmax, NOT('11 Mic'!$H180="")),'11 Mic'!$H180,4)</f>
        <v>4</v>
      </c>
      <c r="AH180">
        <f>IF(AND('11 Mic'!F180&lt;Tmax, NOT('11 Mic'!$H180="")),'11 Mic'!$H180,4)</f>
        <v>4</v>
      </c>
      <c r="AI180"/>
    </row>
    <row r="181" spans="1:35" ht="45" outlineLevel="2" x14ac:dyDescent="0.2">
      <c r="A181" s="601" t="s">
        <v>1699</v>
      </c>
      <c r="B181" s="601" t="s">
        <v>2181</v>
      </c>
      <c r="C181" s="642"/>
      <c r="D181" s="598"/>
      <c r="E181" s="598"/>
      <c r="F181" s="598"/>
      <c r="G181" s="1517">
        <v>4</v>
      </c>
      <c r="H181" s="1517"/>
      <c r="I181" s="1517">
        <v>4</v>
      </c>
      <c r="J181" s="1528" t="s">
        <v>1592</v>
      </c>
      <c r="K181" s="1529" t="s">
        <v>3952</v>
      </c>
      <c r="L181" s="1530"/>
      <c r="M181" s="635"/>
      <c r="AA181">
        <f>IF(AND('11 Mic'!C181&gt;Tmin, NOT('11 Mic'!$I181="")),'11 Mic'!$I181,0)</f>
        <v>0</v>
      </c>
      <c r="AB181">
        <f>IF(AND('11 Mic'!D181&gt;Tmin, NOT('11 Mic'!$I181="")),'11 Mic'!$I181,0)</f>
        <v>0</v>
      </c>
      <c r="AC181">
        <f>IF(AND('11 Mic'!E181&gt;Tmin, NOT('11 Mic'!$I181="")),'11 Mic'!$I181,0)</f>
        <v>0</v>
      </c>
      <c r="AD181">
        <f>IF(AND('11 Mic'!F181&gt;Tmin, NOT('11 Mic'!$I181="")),'11 Mic'!$I181,0)</f>
        <v>0</v>
      </c>
      <c r="AE181">
        <f>IF(AND('11 Mic'!C181&lt;Tmax, NOT('11 Mic'!$H181="")),'11 Mic'!$H181,4)</f>
        <v>4</v>
      </c>
      <c r="AF181">
        <f>IF(AND('11 Mic'!D181&lt;Tmax, NOT('11 Mic'!$H181="")),'11 Mic'!$H181,4)</f>
        <v>4</v>
      </c>
      <c r="AG181">
        <f>IF(AND('11 Mic'!E181&lt;Tmax, NOT('11 Mic'!$H181="")),'11 Mic'!$H181,4)</f>
        <v>4</v>
      </c>
      <c r="AH181">
        <f>IF(AND('11 Mic'!F181&lt;Tmax, NOT('11 Mic'!$H181="")),'11 Mic'!$H181,4)</f>
        <v>4</v>
      </c>
      <c r="AI181"/>
    </row>
    <row r="182" spans="1:35" ht="45" outlineLevel="2" x14ac:dyDescent="0.2">
      <c r="A182" s="601" t="s">
        <v>1700</v>
      </c>
      <c r="B182" s="601" t="s">
        <v>3402</v>
      </c>
      <c r="C182" s="642"/>
      <c r="D182" s="598"/>
      <c r="E182" s="598"/>
      <c r="F182" s="598"/>
      <c r="G182" s="1517">
        <v>2</v>
      </c>
      <c r="H182" s="1517"/>
      <c r="I182" s="1517"/>
      <c r="J182" s="1528" t="s">
        <v>1592</v>
      </c>
      <c r="K182" s="1529" t="s">
        <v>3952</v>
      </c>
      <c r="L182" s="1530"/>
      <c r="M182" s="635"/>
      <c r="AA182">
        <f>IF(AND('11 Mic'!C182&gt;Tmin, NOT('11 Mic'!$I182="")),'11 Mic'!$I182,0)</f>
        <v>0</v>
      </c>
      <c r="AB182">
        <f>IF(AND('11 Mic'!D182&gt;Tmin, NOT('11 Mic'!$I182="")),'11 Mic'!$I182,0)</f>
        <v>0</v>
      </c>
      <c r="AC182">
        <f>IF(AND('11 Mic'!E182&gt;Tmin, NOT('11 Mic'!$I182="")),'11 Mic'!$I182,0)</f>
        <v>0</v>
      </c>
      <c r="AD182">
        <f>IF(AND('11 Mic'!F182&gt;Tmin, NOT('11 Mic'!$I182="")),'11 Mic'!$I182,0)</f>
        <v>0</v>
      </c>
      <c r="AE182">
        <f>IF(AND('11 Mic'!C182&lt;Tmax, NOT('11 Mic'!$H182="")),'11 Mic'!$H182,4)</f>
        <v>4</v>
      </c>
      <c r="AF182">
        <f>IF(AND('11 Mic'!D182&lt;Tmax, NOT('11 Mic'!$H182="")),'11 Mic'!$H182,4)</f>
        <v>4</v>
      </c>
      <c r="AG182">
        <f>IF(AND('11 Mic'!E182&lt;Tmax, NOT('11 Mic'!$H182="")),'11 Mic'!$H182,4)</f>
        <v>4</v>
      </c>
      <c r="AH182">
        <f>IF(AND('11 Mic'!F182&lt;Tmax, NOT('11 Mic'!$H182="")),'11 Mic'!$H182,4)</f>
        <v>4</v>
      </c>
      <c r="AI182"/>
    </row>
    <row r="183" spans="1:35" ht="22.5" outlineLevel="2" x14ac:dyDescent="0.2">
      <c r="A183" s="601" t="s">
        <v>1701</v>
      </c>
      <c r="B183" s="601" t="s">
        <v>2378</v>
      </c>
      <c r="C183" s="642"/>
      <c r="D183" s="598"/>
      <c r="E183" s="598"/>
      <c r="F183" s="598"/>
      <c r="G183" s="1517">
        <v>4</v>
      </c>
      <c r="H183" s="1517"/>
      <c r="I183" s="1517"/>
      <c r="J183" s="1528" t="s">
        <v>1592</v>
      </c>
      <c r="K183" s="1529" t="s">
        <v>3952</v>
      </c>
      <c r="L183" s="1530"/>
      <c r="M183" s="638"/>
      <c r="AA183">
        <f>IF(AND('11 Mic'!C183&gt;Tmin, NOT('11 Mic'!$I183="")),'11 Mic'!$I183,0)</f>
        <v>0</v>
      </c>
      <c r="AB183">
        <f>IF(AND('11 Mic'!D183&gt;Tmin, NOT('11 Mic'!$I183="")),'11 Mic'!$I183,0)</f>
        <v>0</v>
      </c>
      <c r="AC183">
        <f>IF(AND('11 Mic'!E183&gt;Tmin, NOT('11 Mic'!$I183="")),'11 Mic'!$I183,0)</f>
        <v>0</v>
      </c>
      <c r="AD183">
        <f>IF(AND('11 Mic'!F183&gt;Tmin, NOT('11 Mic'!$I183="")),'11 Mic'!$I183,0)</f>
        <v>0</v>
      </c>
      <c r="AE183">
        <f>IF(AND('11 Mic'!C183&lt;Tmax, NOT('11 Mic'!$H183="")),'11 Mic'!$H183,4)</f>
        <v>4</v>
      </c>
      <c r="AF183">
        <f>IF(AND('11 Mic'!D183&lt;Tmax, NOT('11 Mic'!$H183="")),'11 Mic'!$H183,4)</f>
        <v>4</v>
      </c>
      <c r="AG183">
        <f>IF(AND('11 Mic'!E183&lt;Tmax, NOT('11 Mic'!$H183="")),'11 Mic'!$H183,4)</f>
        <v>4</v>
      </c>
      <c r="AH183">
        <f>IF(AND('11 Mic'!F183&lt;Tmax, NOT('11 Mic'!$H183="")),'11 Mic'!$H183,4)</f>
        <v>4</v>
      </c>
      <c r="AI183"/>
    </row>
    <row r="184" spans="1:35" ht="56.25" outlineLevel="2" x14ac:dyDescent="0.2">
      <c r="A184" s="601" t="s">
        <v>1702</v>
      </c>
      <c r="B184" s="601" t="s">
        <v>1284</v>
      </c>
      <c r="C184" s="642"/>
      <c r="D184" s="598"/>
      <c r="E184" s="598"/>
      <c r="F184" s="598"/>
      <c r="G184" s="1517">
        <v>4</v>
      </c>
      <c r="H184" s="1517">
        <v>2</v>
      </c>
      <c r="I184" s="1517"/>
      <c r="J184" s="1517" t="s">
        <v>2349</v>
      </c>
      <c r="K184" s="1531"/>
      <c r="L184" s="1518"/>
      <c r="M184" s="635"/>
      <c r="AA184">
        <f>IF(AND('11 Mic'!C184&gt;Tmin, NOT('11 Mic'!$I184="")),'11 Mic'!$I184,0)</f>
        <v>0</v>
      </c>
      <c r="AB184">
        <f>IF(AND('11 Mic'!D184&gt;Tmin, NOT('11 Mic'!$I184="")),'11 Mic'!$I184,0)</f>
        <v>0</v>
      </c>
      <c r="AC184">
        <f>IF(AND('11 Mic'!E184&gt;Tmin, NOT('11 Mic'!$I184="")),'11 Mic'!$I184,0)</f>
        <v>0</v>
      </c>
      <c r="AD184">
        <f>IF(AND('11 Mic'!F184&gt;Tmin, NOT('11 Mic'!$I184="")),'11 Mic'!$I184,0)</f>
        <v>0</v>
      </c>
      <c r="AE184">
        <f>IF(AND('11 Mic'!C184&lt;Tmax, NOT('11 Mic'!$H184="")),'11 Mic'!$H184,4)</f>
        <v>2</v>
      </c>
      <c r="AF184">
        <f>IF(AND('11 Mic'!D184&lt;Tmax, NOT('11 Mic'!$H184="")),'11 Mic'!$H184,4)</f>
        <v>2</v>
      </c>
      <c r="AG184">
        <f>IF(AND('11 Mic'!E184&lt;Tmax, NOT('11 Mic'!$H184="")),'11 Mic'!$H184,4)</f>
        <v>2</v>
      </c>
      <c r="AH184">
        <f>IF(AND('11 Mic'!F184&lt;Tmax, NOT('11 Mic'!$H184="")),'11 Mic'!$H184,4)</f>
        <v>2</v>
      </c>
      <c r="AI184"/>
    </row>
    <row r="185" spans="1:35" ht="33.75" outlineLevel="2" x14ac:dyDescent="0.2">
      <c r="A185" s="601" t="s">
        <v>1555</v>
      </c>
      <c r="B185" s="601" t="s">
        <v>3164</v>
      </c>
      <c r="C185" s="642"/>
      <c r="D185" s="598"/>
      <c r="E185" s="598"/>
      <c r="F185" s="598"/>
      <c r="G185" s="1517">
        <v>4</v>
      </c>
      <c r="H185" s="1517">
        <v>3</v>
      </c>
      <c r="I185" s="1517"/>
      <c r="J185" s="1517" t="s">
        <v>2349</v>
      </c>
      <c r="K185" s="1518"/>
      <c r="L185" s="1518"/>
      <c r="M185" s="635"/>
      <c r="AA185">
        <f>IF(AND('11 Mic'!C185&gt;Tmin, NOT('11 Mic'!$I185="")),'11 Mic'!$I185,0)</f>
        <v>0</v>
      </c>
      <c r="AB185">
        <f>IF(AND('11 Mic'!D185&gt;Tmin, NOT('11 Mic'!$I185="")),'11 Mic'!$I185,0)</f>
        <v>0</v>
      </c>
      <c r="AC185">
        <f>IF(AND('11 Mic'!E185&gt;Tmin, NOT('11 Mic'!$I185="")),'11 Mic'!$I185,0)</f>
        <v>0</v>
      </c>
      <c r="AD185">
        <f>IF(AND('11 Mic'!F185&gt;Tmin, NOT('11 Mic'!$I185="")),'11 Mic'!$I185,0)</f>
        <v>0</v>
      </c>
      <c r="AE185">
        <f>IF(AND('11 Mic'!C185&lt;Tmax, NOT('11 Mic'!$H185="")),'11 Mic'!$H185,4)</f>
        <v>3</v>
      </c>
      <c r="AF185">
        <f>IF(AND('11 Mic'!D185&lt;Tmax, NOT('11 Mic'!$H185="")),'11 Mic'!$H185,4)</f>
        <v>3</v>
      </c>
      <c r="AG185">
        <f>IF(AND('11 Mic'!E185&lt;Tmax, NOT('11 Mic'!$H185="")),'11 Mic'!$H185,4)</f>
        <v>3</v>
      </c>
      <c r="AH185">
        <f>IF(AND('11 Mic'!F185&lt;Tmax, NOT('11 Mic'!$H185="")),'11 Mic'!$H185,4)</f>
        <v>3</v>
      </c>
      <c r="AI185"/>
    </row>
    <row r="186" spans="1:35" outlineLevel="2" x14ac:dyDescent="0.2">
      <c r="A186" s="601" t="s">
        <v>946</v>
      </c>
      <c r="B186" s="601" t="s">
        <v>1247</v>
      </c>
      <c r="C186" s="642"/>
      <c r="D186" s="598"/>
      <c r="E186" s="598"/>
      <c r="F186" s="598"/>
      <c r="G186" s="1517">
        <v>4</v>
      </c>
      <c r="H186" s="1517">
        <v>3</v>
      </c>
      <c r="I186" s="1526"/>
      <c r="J186" s="1517" t="s">
        <v>2109</v>
      </c>
      <c r="K186" s="1518"/>
      <c r="L186" s="1518"/>
      <c r="M186" s="635"/>
      <c r="AA186">
        <f>IF(AND('11 Mic'!C186&gt;Tmin, NOT('11 Mic'!$I186="")),'11 Mic'!$I186,0)</f>
        <v>0</v>
      </c>
      <c r="AB186">
        <f>IF(AND('11 Mic'!D186&gt;Tmin, NOT('11 Mic'!$I186="")),'11 Mic'!$I186,0)</f>
        <v>0</v>
      </c>
      <c r="AC186">
        <f>IF(AND('11 Mic'!E186&gt;Tmin, NOT('11 Mic'!$I186="")),'11 Mic'!$I186,0)</f>
        <v>0</v>
      </c>
      <c r="AD186">
        <f>IF(AND('11 Mic'!F186&gt;Tmin, NOT('11 Mic'!$I186="")),'11 Mic'!$I186,0)</f>
        <v>0</v>
      </c>
      <c r="AE186">
        <f>IF(AND('11 Mic'!C186&lt;Tmax, NOT('11 Mic'!$H186="")),'11 Mic'!$H186,4)</f>
        <v>3</v>
      </c>
      <c r="AF186">
        <f>IF(AND('11 Mic'!D186&lt;Tmax, NOT('11 Mic'!$H186="")),'11 Mic'!$H186,4)</f>
        <v>3</v>
      </c>
      <c r="AG186">
        <f>IF(AND('11 Mic'!E186&lt;Tmax, NOT('11 Mic'!$H186="")),'11 Mic'!$H186,4)</f>
        <v>3</v>
      </c>
      <c r="AH186">
        <f>IF(AND('11 Mic'!F186&lt;Tmax, NOT('11 Mic'!$H186="")),'11 Mic'!$H186,4)</f>
        <v>3</v>
      </c>
      <c r="AI186"/>
    </row>
    <row r="187" spans="1:35" outlineLevel="1" x14ac:dyDescent="0.2">
      <c r="A187" s="677" t="s">
        <v>949</v>
      </c>
      <c r="B187" s="678" t="s">
        <v>2504</v>
      </c>
      <c r="C187" s="642"/>
      <c r="D187" s="635"/>
      <c r="E187" s="635"/>
      <c r="F187" s="635"/>
      <c r="G187" s="1517"/>
      <c r="H187" s="1517"/>
      <c r="I187" s="1517"/>
      <c r="J187" s="1517"/>
      <c r="K187" s="1518"/>
      <c r="L187" s="1518"/>
      <c r="M187" s="635"/>
      <c r="AA187"/>
      <c r="AB187"/>
      <c r="AC187"/>
      <c r="AD187"/>
      <c r="AE187"/>
      <c r="AF187"/>
      <c r="AG187"/>
      <c r="AH187"/>
      <c r="AI187"/>
    </row>
    <row r="188" spans="1:35" ht="22.5" outlineLevel="2" x14ac:dyDescent="0.2">
      <c r="A188" s="601" t="s">
        <v>950</v>
      </c>
      <c r="B188" s="601" t="s">
        <v>6706</v>
      </c>
      <c r="C188" s="642"/>
      <c r="D188" s="635"/>
      <c r="E188" s="635"/>
      <c r="F188" s="635"/>
      <c r="G188" s="1517">
        <v>2</v>
      </c>
      <c r="H188" s="1517"/>
      <c r="I188" s="1517"/>
      <c r="J188" s="1517" t="s">
        <v>1592</v>
      </c>
      <c r="K188" s="1532" t="s">
        <v>5650</v>
      </c>
      <c r="L188" s="1518" t="s">
        <v>7343</v>
      </c>
      <c r="M188" s="635"/>
      <c r="AA188">
        <f>IF(AND('11 Mic'!C188&gt;Tmin, NOT('11 Mic'!$I188="")),'11 Mic'!$I188,0)</f>
        <v>0</v>
      </c>
      <c r="AB188">
        <f>IF(AND('11 Mic'!D188&gt;Tmin, NOT('11 Mic'!$I188="")),'11 Mic'!$I188,0)</f>
        <v>0</v>
      </c>
      <c r="AC188">
        <f>IF(AND('11 Mic'!E188&gt;Tmin, NOT('11 Mic'!$I188="")),'11 Mic'!$I188,0)</f>
        <v>0</v>
      </c>
      <c r="AD188">
        <f>IF(AND('11 Mic'!F188&gt;Tmin, NOT('11 Mic'!$I188="")),'11 Mic'!$I188,0)</f>
        <v>0</v>
      </c>
      <c r="AE188">
        <f>IF(AND('11 Mic'!C188&lt;Tmax, NOT('11 Mic'!$H188="")),'11 Mic'!$H188,4)</f>
        <v>4</v>
      </c>
      <c r="AF188">
        <f>IF(AND('11 Mic'!D188&lt;Tmax, NOT('11 Mic'!$H188="")),'11 Mic'!$H188,4)</f>
        <v>4</v>
      </c>
      <c r="AG188">
        <f>IF(AND('11 Mic'!E188&lt;Tmax, NOT('11 Mic'!$H188="")),'11 Mic'!$H188,4)</f>
        <v>4</v>
      </c>
      <c r="AH188">
        <f>IF(AND('11 Mic'!F188&lt;Tmax, NOT('11 Mic'!$H188="")),'11 Mic'!$H188,4)</f>
        <v>4</v>
      </c>
      <c r="AI188"/>
    </row>
    <row r="189" spans="1:35" outlineLevel="2" x14ac:dyDescent="0.2">
      <c r="A189" s="601" t="s">
        <v>951</v>
      </c>
      <c r="B189" s="601" t="s">
        <v>4989</v>
      </c>
      <c r="C189" s="642"/>
      <c r="D189" s="635"/>
      <c r="E189" s="635"/>
      <c r="F189" s="635"/>
      <c r="G189" s="1517">
        <v>4</v>
      </c>
      <c r="H189" s="1517"/>
      <c r="I189" s="1517"/>
      <c r="J189" s="1517" t="s">
        <v>1592</v>
      </c>
      <c r="K189" s="1532" t="s">
        <v>5650</v>
      </c>
      <c r="L189" s="1518" t="s">
        <v>7343</v>
      </c>
      <c r="M189" s="635"/>
      <c r="AA189">
        <f>IF(AND('11 Mic'!C189&gt;Tmin, NOT('11 Mic'!$I189="")),'11 Mic'!$I189,0)</f>
        <v>0</v>
      </c>
      <c r="AB189">
        <f>IF(AND('11 Mic'!D189&gt;Tmin, NOT('11 Mic'!$I189="")),'11 Mic'!$I189,0)</f>
        <v>0</v>
      </c>
      <c r="AC189">
        <f>IF(AND('11 Mic'!E189&gt;Tmin, NOT('11 Mic'!$I189="")),'11 Mic'!$I189,0)</f>
        <v>0</v>
      </c>
      <c r="AD189">
        <f>IF(AND('11 Mic'!F189&gt;Tmin, NOT('11 Mic'!$I189="")),'11 Mic'!$I189,0)</f>
        <v>0</v>
      </c>
      <c r="AE189">
        <f>IF(AND('11 Mic'!C189&lt;Tmax, NOT('11 Mic'!$H189="")),'11 Mic'!$H189,4)</f>
        <v>4</v>
      </c>
      <c r="AF189">
        <f>IF(AND('11 Mic'!D189&lt;Tmax, NOT('11 Mic'!$H189="")),'11 Mic'!$H189,4)</f>
        <v>4</v>
      </c>
      <c r="AG189">
        <f>IF(AND('11 Mic'!E189&lt;Tmax, NOT('11 Mic'!$H189="")),'11 Mic'!$H189,4)</f>
        <v>4</v>
      </c>
      <c r="AH189">
        <f>IF(AND('11 Mic'!F189&lt;Tmax, NOT('11 Mic'!$H189="")),'11 Mic'!$H189,4)</f>
        <v>4</v>
      </c>
      <c r="AI189"/>
    </row>
    <row r="190" spans="1:35" ht="22.5" outlineLevel="2" x14ac:dyDescent="0.2">
      <c r="A190" s="601" t="s">
        <v>952</v>
      </c>
      <c r="B190" s="601" t="s">
        <v>2801</v>
      </c>
      <c r="C190" s="642"/>
      <c r="D190" s="635"/>
      <c r="E190" s="635"/>
      <c r="F190" s="635"/>
      <c r="G190" s="1517">
        <v>4</v>
      </c>
      <c r="H190" s="1517">
        <v>2</v>
      </c>
      <c r="I190" s="1517"/>
      <c r="J190" s="1517" t="s">
        <v>2329</v>
      </c>
      <c r="K190" s="1532" t="s">
        <v>5650</v>
      </c>
      <c r="L190" s="1518" t="s">
        <v>7343</v>
      </c>
      <c r="M190" s="635"/>
      <c r="AA190">
        <f>IF(AND('11 Mic'!C190&gt;Tmin, NOT('11 Mic'!$I190="")),'11 Mic'!$I190,0)</f>
        <v>0</v>
      </c>
      <c r="AB190">
        <f>IF(AND('11 Mic'!D190&gt;Tmin, NOT('11 Mic'!$I190="")),'11 Mic'!$I190,0)</f>
        <v>0</v>
      </c>
      <c r="AC190">
        <f>IF(AND('11 Mic'!E190&gt;Tmin, NOT('11 Mic'!$I190="")),'11 Mic'!$I190,0)</f>
        <v>0</v>
      </c>
      <c r="AD190">
        <f>IF(AND('11 Mic'!F190&gt;Tmin, NOT('11 Mic'!$I190="")),'11 Mic'!$I190,0)</f>
        <v>0</v>
      </c>
      <c r="AE190">
        <f>IF(AND('11 Mic'!C190&lt;Tmax, NOT('11 Mic'!$H190="")),'11 Mic'!$H190,4)</f>
        <v>2</v>
      </c>
      <c r="AF190">
        <f>IF(AND('11 Mic'!D190&lt;Tmax, NOT('11 Mic'!$H190="")),'11 Mic'!$H190,4)</f>
        <v>2</v>
      </c>
      <c r="AG190">
        <f>IF(AND('11 Mic'!E190&lt;Tmax, NOT('11 Mic'!$H190="")),'11 Mic'!$H190,4)</f>
        <v>2</v>
      </c>
      <c r="AH190">
        <f>IF(AND('11 Mic'!F190&lt;Tmax, NOT('11 Mic'!$H190="")),'11 Mic'!$H190,4)</f>
        <v>2</v>
      </c>
      <c r="AI190"/>
    </row>
    <row r="191" spans="1:35" outlineLevel="2" x14ac:dyDescent="0.2">
      <c r="A191" s="601" t="s">
        <v>953</v>
      </c>
      <c r="B191" s="601" t="s">
        <v>2803</v>
      </c>
      <c r="C191" s="642"/>
      <c r="D191" s="635"/>
      <c r="E191" s="635"/>
      <c r="F191" s="635"/>
      <c r="G191" s="1517">
        <v>4</v>
      </c>
      <c r="H191" s="1517"/>
      <c r="I191" s="1517">
        <v>3</v>
      </c>
      <c r="J191" s="1517" t="s">
        <v>2329</v>
      </c>
      <c r="K191" s="1532" t="s">
        <v>5650</v>
      </c>
      <c r="L191" s="1518" t="s">
        <v>7343</v>
      </c>
      <c r="M191" s="635"/>
      <c r="AA191">
        <f>IF(AND('11 Mic'!C191&gt;Tmin, NOT('11 Mic'!$I191="")),'11 Mic'!$I191,0)</f>
        <v>0</v>
      </c>
      <c r="AB191">
        <f>IF(AND('11 Mic'!D191&gt;Tmin, NOT('11 Mic'!$I191="")),'11 Mic'!$I191,0)</f>
        <v>0</v>
      </c>
      <c r="AC191">
        <f>IF(AND('11 Mic'!E191&gt;Tmin, NOT('11 Mic'!$I191="")),'11 Mic'!$I191,0)</f>
        <v>0</v>
      </c>
      <c r="AD191">
        <f>IF(AND('11 Mic'!F191&gt;Tmin, NOT('11 Mic'!$I191="")),'11 Mic'!$I191,0)</f>
        <v>0</v>
      </c>
      <c r="AE191">
        <f>IF(AND('11 Mic'!C191&lt;Tmax, NOT('11 Mic'!$H191="")),'11 Mic'!$H191,4)</f>
        <v>4</v>
      </c>
      <c r="AF191">
        <f>IF(AND('11 Mic'!D191&lt;Tmax, NOT('11 Mic'!$H191="")),'11 Mic'!$H191,4)</f>
        <v>4</v>
      </c>
      <c r="AG191">
        <f>IF(AND('11 Mic'!E191&lt;Tmax, NOT('11 Mic'!$H191="")),'11 Mic'!$H191,4)</f>
        <v>4</v>
      </c>
      <c r="AH191">
        <f>IF(AND('11 Mic'!F191&lt;Tmax, NOT('11 Mic'!$H191="")),'11 Mic'!$H191,4)</f>
        <v>4</v>
      </c>
      <c r="AI191"/>
    </row>
    <row r="192" spans="1:35" ht="22.5" outlineLevel="2" x14ac:dyDescent="0.2">
      <c r="A192" s="601" t="s">
        <v>954</v>
      </c>
      <c r="B192" s="601" t="s">
        <v>2805</v>
      </c>
      <c r="C192" s="642"/>
      <c r="D192" s="635"/>
      <c r="E192" s="635"/>
      <c r="F192" s="635"/>
      <c r="G192" s="1517">
        <v>4</v>
      </c>
      <c r="H192" s="1517">
        <v>2</v>
      </c>
      <c r="I192" s="1517"/>
      <c r="J192" s="1517" t="s">
        <v>2329</v>
      </c>
      <c r="K192" s="1458" t="s">
        <v>5650</v>
      </c>
      <c r="L192" s="1518" t="s">
        <v>7343</v>
      </c>
      <c r="M192" s="635"/>
      <c r="AA192">
        <f>IF(AND('11 Mic'!C192&gt;Tmin, NOT('11 Mic'!$I192="")),'11 Mic'!$I192,0)</f>
        <v>0</v>
      </c>
      <c r="AB192">
        <f>IF(AND('11 Mic'!D192&gt;Tmin, NOT('11 Mic'!$I192="")),'11 Mic'!$I192,0)</f>
        <v>0</v>
      </c>
      <c r="AC192">
        <f>IF(AND('11 Mic'!E192&gt;Tmin, NOT('11 Mic'!$I192="")),'11 Mic'!$I192,0)</f>
        <v>0</v>
      </c>
      <c r="AD192">
        <f>IF(AND('11 Mic'!F192&gt;Tmin, NOT('11 Mic'!$I192="")),'11 Mic'!$I192,0)</f>
        <v>0</v>
      </c>
      <c r="AE192">
        <f>IF(AND('11 Mic'!C192&lt;Tmax, NOT('11 Mic'!$H192="")),'11 Mic'!$H192,4)</f>
        <v>2</v>
      </c>
      <c r="AF192">
        <f>IF(AND('11 Mic'!D192&lt;Tmax, NOT('11 Mic'!$H192="")),'11 Mic'!$H192,4)</f>
        <v>2</v>
      </c>
      <c r="AG192">
        <f>IF(AND('11 Mic'!E192&lt;Tmax, NOT('11 Mic'!$H192="")),'11 Mic'!$H192,4)</f>
        <v>2</v>
      </c>
      <c r="AH192">
        <f>IF(AND('11 Mic'!F192&lt;Tmax, NOT('11 Mic'!$H192="")),'11 Mic'!$H192,4)</f>
        <v>2</v>
      </c>
      <c r="AI192"/>
    </row>
    <row r="193" spans="1:35" ht="22.5" outlineLevel="2" x14ac:dyDescent="0.2">
      <c r="A193" s="601" t="s">
        <v>955</v>
      </c>
      <c r="B193" s="601" t="s">
        <v>6058</v>
      </c>
      <c r="C193" s="642"/>
      <c r="D193" s="635"/>
      <c r="E193" s="635"/>
      <c r="F193" s="635"/>
      <c r="G193" s="1517">
        <v>4</v>
      </c>
      <c r="H193" s="1517"/>
      <c r="I193" s="1517"/>
      <c r="J193" s="1517" t="s">
        <v>2329</v>
      </c>
      <c r="K193" s="1458" t="s">
        <v>5650</v>
      </c>
      <c r="L193" s="1518" t="s">
        <v>7343</v>
      </c>
      <c r="M193" s="635"/>
      <c r="AA193">
        <f>IF(AND('11 Mic'!C193&gt;Tmin, NOT('11 Mic'!$I193="")),'11 Mic'!$I193,0)</f>
        <v>0</v>
      </c>
      <c r="AB193">
        <f>IF(AND('11 Mic'!D193&gt;Tmin, NOT('11 Mic'!$I193="")),'11 Mic'!$I193,0)</f>
        <v>0</v>
      </c>
      <c r="AC193">
        <f>IF(AND('11 Mic'!E193&gt;Tmin, NOT('11 Mic'!$I193="")),'11 Mic'!$I193,0)</f>
        <v>0</v>
      </c>
      <c r="AD193">
        <f>IF(AND('11 Mic'!F193&gt;Tmin, NOT('11 Mic'!$I193="")),'11 Mic'!$I193,0)</f>
        <v>0</v>
      </c>
      <c r="AE193">
        <f>IF(AND('11 Mic'!C193&lt;Tmax, NOT('11 Mic'!$H193="")),'11 Mic'!$H193,4)</f>
        <v>4</v>
      </c>
      <c r="AF193">
        <f>IF(AND('11 Mic'!D193&lt;Tmax, NOT('11 Mic'!$H193="")),'11 Mic'!$H193,4)</f>
        <v>4</v>
      </c>
      <c r="AG193">
        <f>IF(AND('11 Mic'!E193&lt;Tmax, NOT('11 Mic'!$H193="")),'11 Mic'!$H193,4)</f>
        <v>4</v>
      </c>
      <c r="AH193">
        <f>IF(AND('11 Mic'!F193&lt;Tmax, NOT('11 Mic'!$H193="")),'11 Mic'!$H193,4)</f>
        <v>4</v>
      </c>
      <c r="AI193"/>
    </row>
    <row r="194" spans="1:35" outlineLevel="2" x14ac:dyDescent="0.2">
      <c r="A194" s="601" t="s">
        <v>956</v>
      </c>
      <c r="B194" s="601" t="s">
        <v>6733</v>
      </c>
      <c r="C194" s="642"/>
      <c r="D194" s="635"/>
      <c r="E194" s="635"/>
      <c r="F194" s="635"/>
      <c r="G194" s="1517">
        <v>2</v>
      </c>
      <c r="H194" s="1517"/>
      <c r="I194" s="1517"/>
      <c r="J194" s="1517" t="s">
        <v>1592</v>
      </c>
      <c r="K194" s="1458" t="s">
        <v>5650</v>
      </c>
      <c r="L194" s="1518" t="s">
        <v>7343</v>
      </c>
      <c r="M194" s="635"/>
      <c r="AA194">
        <f>IF(AND('11 Mic'!C194&gt;Tmin, NOT('11 Mic'!$I194="")),'11 Mic'!$I194,0)</f>
        <v>0</v>
      </c>
      <c r="AB194">
        <f>IF(AND('11 Mic'!D194&gt;Tmin, NOT('11 Mic'!$I194="")),'11 Mic'!$I194,0)</f>
        <v>0</v>
      </c>
      <c r="AC194">
        <f>IF(AND('11 Mic'!E194&gt;Tmin, NOT('11 Mic'!$I194="")),'11 Mic'!$I194,0)</f>
        <v>0</v>
      </c>
      <c r="AD194">
        <f>IF(AND('11 Mic'!F194&gt;Tmin, NOT('11 Mic'!$I194="")),'11 Mic'!$I194,0)</f>
        <v>0</v>
      </c>
      <c r="AE194">
        <f>IF(AND('11 Mic'!C194&lt;Tmax, NOT('11 Mic'!$H194="")),'11 Mic'!$H194,4)</f>
        <v>4</v>
      </c>
      <c r="AF194">
        <f>IF(AND('11 Mic'!D194&lt;Tmax, NOT('11 Mic'!$H194="")),'11 Mic'!$H194,4)</f>
        <v>4</v>
      </c>
      <c r="AG194">
        <f>IF(AND('11 Mic'!E194&lt;Tmax, NOT('11 Mic'!$H194="")),'11 Mic'!$H194,4)</f>
        <v>4</v>
      </c>
      <c r="AH194">
        <f>IF(AND('11 Mic'!F194&lt;Tmax, NOT('11 Mic'!$H194="")),'11 Mic'!$H194,4)</f>
        <v>4</v>
      </c>
      <c r="AI194"/>
    </row>
    <row r="195" spans="1:35" outlineLevel="2" x14ac:dyDescent="0.2">
      <c r="A195" s="601" t="s">
        <v>957</v>
      </c>
      <c r="B195" s="601" t="s">
        <v>4110</v>
      </c>
      <c r="C195" s="642"/>
      <c r="D195" s="635"/>
      <c r="E195" s="635"/>
      <c r="F195" s="635"/>
      <c r="G195" s="1517">
        <v>2</v>
      </c>
      <c r="H195" s="1517"/>
      <c r="I195" s="1517"/>
      <c r="J195" s="1517" t="s">
        <v>1592</v>
      </c>
      <c r="K195" s="1458" t="s">
        <v>5650</v>
      </c>
      <c r="L195" s="1518" t="s">
        <v>7343</v>
      </c>
      <c r="M195" s="635"/>
      <c r="AA195">
        <f>IF(AND('11 Mic'!C195&gt;Tmin, NOT('11 Mic'!$I195="")),'11 Mic'!$I195,0)</f>
        <v>0</v>
      </c>
      <c r="AB195">
        <f>IF(AND('11 Mic'!D195&gt;Tmin, NOT('11 Mic'!$I195="")),'11 Mic'!$I195,0)</f>
        <v>0</v>
      </c>
      <c r="AC195">
        <f>IF(AND('11 Mic'!E195&gt;Tmin, NOT('11 Mic'!$I195="")),'11 Mic'!$I195,0)</f>
        <v>0</v>
      </c>
      <c r="AD195">
        <f>IF(AND('11 Mic'!F195&gt;Tmin, NOT('11 Mic'!$I195="")),'11 Mic'!$I195,0)</f>
        <v>0</v>
      </c>
      <c r="AE195">
        <f>IF(AND('11 Mic'!C195&lt;Tmax, NOT('11 Mic'!$H195="")),'11 Mic'!$H195,4)</f>
        <v>4</v>
      </c>
      <c r="AF195">
        <f>IF(AND('11 Mic'!D195&lt;Tmax, NOT('11 Mic'!$H195="")),'11 Mic'!$H195,4)</f>
        <v>4</v>
      </c>
      <c r="AG195">
        <f>IF(AND('11 Mic'!E195&lt;Tmax, NOT('11 Mic'!$H195="")),'11 Mic'!$H195,4)</f>
        <v>4</v>
      </c>
      <c r="AH195">
        <f>IF(AND('11 Mic'!F195&lt;Tmax, NOT('11 Mic'!$H195="")),'11 Mic'!$H195,4)</f>
        <v>4</v>
      </c>
      <c r="AI195"/>
    </row>
    <row r="196" spans="1:35" ht="22.5" outlineLevel="2" x14ac:dyDescent="0.2">
      <c r="A196" s="601" t="s">
        <v>958</v>
      </c>
      <c r="B196" s="601" t="s">
        <v>6556</v>
      </c>
      <c r="C196" s="642"/>
      <c r="D196" s="635"/>
      <c r="E196" s="635"/>
      <c r="F196" s="635"/>
      <c r="G196" s="1517">
        <v>2</v>
      </c>
      <c r="H196" s="1517"/>
      <c r="I196" s="1517"/>
      <c r="J196" s="1517" t="s">
        <v>2109</v>
      </c>
      <c r="K196" s="1458" t="s">
        <v>5650</v>
      </c>
      <c r="L196" s="1518" t="s">
        <v>7343</v>
      </c>
      <c r="M196" s="635"/>
      <c r="AA196">
        <f>IF(AND('11 Mic'!C196&gt;Tmin, NOT('11 Mic'!$I196="")),'11 Mic'!$I196,0)</f>
        <v>0</v>
      </c>
      <c r="AB196">
        <f>IF(AND('11 Mic'!D196&gt;Tmin, NOT('11 Mic'!$I196="")),'11 Mic'!$I196,0)</f>
        <v>0</v>
      </c>
      <c r="AC196">
        <f>IF(AND('11 Mic'!E196&gt;Tmin, NOT('11 Mic'!$I196="")),'11 Mic'!$I196,0)</f>
        <v>0</v>
      </c>
      <c r="AD196">
        <f>IF(AND('11 Mic'!F196&gt;Tmin, NOT('11 Mic'!$I196="")),'11 Mic'!$I196,0)</f>
        <v>0</v>
      </c>
      <c r="AE196">
        <f>IF(AND('11 Mic'!C196&lt;Tmax, NOT('11 Mic'!$H196="")),'11 Mic'!$H196,4)</f>
        <v>4</v>
      </c>
      <c r="AF196">
        <f>IF(AND('11 Mic'!D196&lt;Tmax, NOT('11 Mic'!$H196="")),'11 Mic'!$H196,4)</f>
        <v>4</v>
      </c>
      <c r="AG196">
        <f>IF(AND('11 Mic'!E196&lt;Tmax, NOT('11 Mic'!$H196="")),'11 Mic'!$H196,4)</f>
        <v>4</v>
      </c>
      <c r="AH196">
        <f>IF(AND('11 Mic'!F196&lt;Tmax, NOT('11 Mic'!$H196="")),'11 Mic'!$H196,4)</f>
        <v>4</v>
      </c>
      <c r="AI196"/>
    </row>
    <row r="197" spans="1:35" x14ac:dyDescent="0.2">
      <c r="AA197"/>
      <c r="AB197"/>
      <c r="AC197"/>
      <c r="AD197"/>
      <c r="AE197"/>
      <c r="AF197"/>
      <c r="AG197"/>
      <c r="AH197"/>
      <c r="AI197"/>
    </row>
    <row r="198" spans="1:35" ht="12.75" customHeight="1" x14ac:dyDescent="0.2">
      <c r="A198" s="612" t="str">
        <f>C$2</f>
        <v>R-V1</v>
      </c>
      <c r="B198" s="613" t="s">
        <v>7232</v>
      </c>
      <c r="C198" s="612" t="str">
        <f>C$2</f>
        <v>R-V1</v>
      </c>
      <c r="D198" s="612"/>
      <c r="E198" s="612"/>
      <c r="F198" s="612"/>
      <c r="AA198"/>
      <c r="AB198"/>
      <c r="AC198"/>
      <c r="AD198"/>
      <c r="AE198"/>
      <c r="AF198"/>
      <c r="AG198"/>
      <c r="AH198"/>
      <c r="AI198"/>
    </row>
    <row r="199" spans="1:35" ht="12.75" customHeight="1" x14ac:dyDescent="0.2">
      <c r="A199" s="612" t="str">
        <f>C$2</f>
        <v>R-V1</v>
      </c>
      <c r="B199" s="613" t="s">
        <v>7233</v>
      </c>
      <c r="C199" s="612" t="str">
        <f>C$2</f>
        <v>R-V1</v>
      </c>
      <c r="D199" s="612"/>
      <c r="E199" s="612"/>
      <c r="F199" s="612"/>
      <c r="AA199"/>
      <c r="AB199"/>
      <c r="AC199"/>
      <c r="AD199"/>
      <c r="AE199"/>
      <c r="AF199"/>
      <c r="AG199"/>
      <c r="AH199"/>
      <c r="AI199"/>
    </row>
    <row r="200" spans="1:35" ht="12.75" customHeight="1" x14ac:dyDescent="0.2">
      <c r="A200" s="612" t="str">
        <f>C$2</f>
        <v>R-V1</v>
      </c>
      <c r="B200" s="613" t="s">
        <v>7234</v>
      </c>
      <c r="C200" s="612" t="str">
        <f>C$2</f>
        <v>R-V1</v>
      </c>
      <c r="D200" s="612"/>
      <c r="E200" s="612"/>
      <c r="F200" s="612"/>
      <c r="AA200"/>
      <c r="AB200"/>
      <c r="AC200"/>
      <c r="AD200"/>
      <c r="AE200"/>
      <c r="AF200"/>
      <c r="AG200"/>
      <c r="AH200"/>
      <c r="AI200"/>
    </row>
    <row r="201" spans="1:35" ht="12.75" customHeight="1" x14ac:dyDescent="0.2">
      <c r="A201" s="612" t="str">
        <f>C$2</f>
        <v>R-V1</v>
      </c>
      <c r="B201" s="618" t="s">
        <v>7235</v>
      </c>
      <c r="C201" s="612" t="str">
        <f>C$2</f>
        <v>R-V1</v>
      </c>
      <c r="D201" s="612"/>
      <c r="E201" s="612"/>
      <c r="F201" s="612"/>
      <c r="AA201"/>
      <c r="AB201"/>
      <c r="AC201"/>
      <c r="AD201"/>
      <c r="AE201"/>
      <c r="AF201"/>
      <c r="AG201"/>
      <c r="AH201"/>
      <c r="AI201"/>
    </row>
    <row r="202" spans="1:35" ht="12.75" customHeight="1" x14ac:dyDescent="0.2">
      <c r="A202" s="612"/>
      <c r="B202" s="613"/>
      <c r="C202" s="612"/>
      <c r="D202" s="612"/>
      <c r="E202" s="612"/>
      <c r="F202" s="612"/>
      <c r="AA202"/>
      <c r="AB202"/>
      <c r="AC202"/>
      <c r="AD202"/>
      <c r="AE202"/>
      <c r="AF202"/>
      <c r="AG202"/>
      <c r="AH202"/>
      <c r="AI202"/>
    </row>
    <row r="203" spans="1:35" ht="12.75" customHeight="1" x14ac:dyDescent="0.2">
      <c r="A203" s="612" t="str">
        <f>D$2</f>
        <v>R-V2</v>
      </c>
      <c r="B203" s="613" t="s">
        <v>7232</v>
      </c>
      <c r="C203" s="612"/>
      <c r="D203" s="612" t="str">
        <f>D$2</f>
        <v>R-V2</v>
      </c>
      <c r="E203" s="612"/>
      <c r="F203" s="612"/>
      <c r="AA203"/>
      <c r="AB203"/>
      <c r="AC203"/>
      <c r="AD203"/>
      <c r="AE203"/>
      <c r="AF203"/>
      <c r="AG203"/>
      <c r="AH203"/>
      <c r="AI203"/>
    </row>
    <row r="204" spans="1:35" ht="12.75" customHeight="1" x14ac:dyDescent="0.2">
      <c r="A204" s="612" t="str">
        <f>D$2</f>
        <v>R-V2</v>
      </c>
      <c r="B204" s="613" t="s">
        <v>7233</v>
      </c>
      <c r="C204" s="612"/>
      <c r="D204" s="612" t="str">
        <f>D$2</f>
        <v>R-V2</v>
      </c>
      <c r="E204" s="612"/>
      <c r="F204" s="612"/>
      <c r="AA204"/>
      <c r="AB204"/>
      <c r="AC204"/>
      <c r="AD204"/>
      <c r="AE204"/>
      <c r="AF204"/>
      <c r="AG204"/>
      <c r="AH204"/>
      <c r="AI204"/>
    </row>
    <row r="205" spans="1:35" ht="12.75" customHeight="1" x14ac:dyDescent="0.2">
      <c r="A205" s="612" t="str">
        <f>D$2</f>
        <v>R-V2</v>
      </c>
      <c r="B205" s="613" t="s">
        <v>7234</v>
      </c>
      <c r="C205" s="612"/>
      <c r="D205" s="612" t="str">
        <f>D$2</f>
        <v>R-V2</v>
      </c>
      <c r="E205" s="612"/>
      <c r="F205" s="612"/>
      <c r="AA205"/>
      <c r="AB205"/>
      <c r="AC205"/>
      <c r="AD205"/>
      <c r="AE205"/>
      <c r="AF205"/>
      <c r="AG205"/>
      <c r="AH205"/>
      <c r="AI205"/>
    </row>
    <row r="206" spans="1:35" ht="12.75" customHeight="1" x14ac:dyDescent="0.2">
      <c r="A206" s="612" t="str">
        <f>D$2</f>
        <v>R-V2</v>
      </c>
      <c r="B206" s="613" t="s">
        <v>7235</v>
      </c>
      <c r="C206" s="612"/>
      <c r="D206" s="612" t="str">
        <f>D$2</f>
        <v>R-V2</v>
      </c>
      <c r="E206" s="612"/>
      <c r="F206" s="612"/>
      <c r="AA206"/>
      <c r="AB206"/>
      <c r="AC206"/>
      <c r="AD206"/>
      <c r="AE206"/>
      <c r="AF206"/>
      <c r="AG206"/>
      <c r="AH206"/>
      <c r="AI206"/>
    </row>
    <row r="207" spans="1:35" ht="12.75" customHeight="1" x14ac:dyDescent="0.2">
      <c r="A207" s="612"/>
      <c r="B207" s="613"/>
      <c r="C207" s="612"/>
      <c r="D207" s="612"/>
      <c r="E207" s="612"/>
      <c r="F207" s="612"/>
      <c r="AA207"/>
      <c r="AB207"/>
      <c r="AC207"/>
      <c r="AD207"/>
      <c r="AE207"/>
      <c r="AF207"/>
      <c r="AG207"/>
      <c r="AH207"/>
      <c r="AI207"/>
    </row>
    <row r="208" spans="1:35" ht="12.75" customHeight="1" x14ac:dyDescent="0.2">
      <c r="A208" s="612" t="str">
        <f>E$2</f>
        <v>R-V3</v>
      </c>
      <c r="B208" s="613" t="s">
        <v>7232</v>
      </c>
      <c r="C208" s="612"/>
      <c r="D208" s="612"/>
      <c r="E208" s="612" t="str">
        <f>E$2</f>
        <v>R-V3</v>
      </c>
      <c r="F208" s="612"/>
      <c r="AA208"/>
      <c r="AB208"/>
      <c r="AC208"/>
      <c r="AD208"/>
      <c r="AE208"/>
      <c r="AF208"/>
      <c r="AG208"/>
      <c r="AH208"/>
      <c r="AI208"/>
    </row>
    <row r="209" spans="1:35" ht="12.75" customHeight="1" x14ac:dyDescent="0.2">
      <c r="A209" s="612" t="str">
        <f>E$2</f>
        <v>R-V3</v>
      </c>
      <c r="B209" s="613" t="s">
        <v>7233</v>
      </c>
      <c r="C209" s="612"/>
      <c r="D209" s="612"/>
      <c r="E209" s="612" t="str">
        <f>E$2</f>
        <v>R-V3</v>
      </c>
      <c r="F209" s="612"/>
      <c r="AA209"/>
      <c r="AB209"/>
      <c r="AC209"/>
      <c r="AD209"/>
      <c r="AE209"/>
      <c r="AF209"/>
      <c r="AG209"/>
      <c r="AH209"/>
      <c r="AI209"/>
    </row>
    <row r="210" spans="1:35" ht="12.75" customHeight="1" x14ac:dyDescent="0.2">
      <c r="A210" s="612" t="str">
        <f>E$2</f>
        <v>R-V3</v>
      </c>
      <c r="B210" s="613" t="s">
        <v>7234</v>
      </c>
      <c r="C210" s="612"/>
      <c r="D210" s="612"/>
      <c r="E210" s="612" t="str">
        <f>E$2</f>
        <v>R-V3</v>
      </c>
      <c r="F210" s="612"/>
      <c r="AA210"/>
      <c r="AB210"/>
      <c r="AC210"/>
      <c r="AD210"/>
      <c r="AE210"/>
      <c r="AF210"/>
      <c r="AG210"/>
      <c r="AH210"/>
      <c r="AI210"/>
    </row>
    <row r="211" spans="1:35" ht="12.75" customHeight="1" x14ac:dyDescent="0.2">
      <c r="A211" s="612" t="str">
        <f>E$2</f>
        <v>R-V3</v>
      </c>
      <c r="B211" s="613" t="s">
        <v>7235</v>
      </c>
      <c r="C211" s="612"/>
      <c r="D211" s="612"/>
      <c r="E211" s="612" t="str">
        <f>E$2</f>
        <v>R-V3</v>
      </c>
      <c r="F211" s="612"/>
      <c r="AA211"/>
      <c r="AB211"/>
      <c r="AC211"/>
      <c r="AD211"/>
      <c r="AE211"/>
      <c r="AF211"/>
      <c r="AG211"/>
      <c r="AH211"/>
      <c r="AI211"/>
    </row>
    <row r="212" spans="1:35" ht="12.75" customHeight="1" x14ac:dyDescent="0.2">
      <c r="A212" s="612"/>
      <c r="B212" s="613"/>
      <c r="C212" s="612"/>
      <c r="D212" s="612"/>
      <c r="E212" s="612"/>
      <c r="F212" s="612"/>
      <c r="AA212"/>
      <c r="AB212"/>
      <c r="AC212"/>
      <c r="AD212"/>
      <c r="AE212"/>
      <c r="AF212"/>
      <c r="AG212"/>
      <c r="AH212"/>
      <c r="AI212"/>
    </row>
    <row r="213" spans="1:35" ht="12.75" customHeight="1" x14ac:dyDescent="0.2">
      <c r="A213" s="612" t="str">
        <f>F$2</f>
        <v>R-V4</v>
      </c>
      <c r="B213" s="613" t="s">
        <v>7232</v>
      </c>
      <c r="C213" s="612"/>
      <c r="D213" s="612"/>
      <c r="E213" s="612"/>
      <c r="F213" s="612" t="str">
        <f>F$2</f>
        <v>R-V4</v>
      </c>
      <c r="AA213"/>
      <c r="AB213"/>
      <c r="AC213"/>
      <c r="AD213"/>
      <c r="AE213"/>
      <c r="AF213"/>
      <c r="AG213"/>
      <c r="AH213"/>
      <c r="AI213"/>
    </row>
    <row r="214" spans="1:35" ht="12.75" customHeight="1" x14ac:dyDescent="0.2">
      <c r="A214" s="612" t="str">
        <f>F$2</f>
        <v>R-V4</v>
      </c>
      <c r="B214" s="613" t="s">
        <v>7233</v>
      </c>
      <c r="C214" s="612"/>
      <c r="D214" s="612"/>
      <c r="E214" s="612"/>
      <c r="F214" s="612" t="str">
        <f>F$2</f>
        <v>R-V4</v>
      </c>
      <c r="AA214"/>
      <c r="AB214"/>
      <c r="AC214"/>
      <c r="AD214"/>
      <c r="AE214"/>
      <c r="AF214"/>
      <c r="AG214"/>
      <c r="AH214"/>
      <c r="AI214"/>
    </row>
    <row r="215" spans="1:35" ht="12.75" customHeight="1" x14ac:dyDescent="0.2">
      <c r="A215" s="612" t="str">
        <f>F$2</f>
        <v>R-V4</v>
      </c>
      <c r="B215" s="613" t="s">
        <v>7234</v>
      </c>
      <c r="C215" s="612"/>
      <c r="D215" s="612"/>
      <c r="E215" s="612"/>
      <c r="F215" s="612" t="str">
        <f>F$2</f>
        <v>R-V4</v>
      </c>
      <c r="AA215"/>
      <c r="AB215"/>
      <c r="AC215"/>
      <c r="AD215"/>
      <c r="AE215"/>
      <c r="AF215"/>
      <c r="AG215"/>
      <c r="AH215"/>
      <c r="AI215"/>
    </row>
    <row r="216" spans="1:35" ht="12.75" customHeight="1" x14ac:dyDescent="0.2">
      <c r="A216" s="612" t="str">
        <f>F$2</f>
        <v>R-V4</v>
      </c>
      <c r="B216" s="613" t="s">
        <v>7235</v>
      </c>
      <c r="C216" s="612"/>
      <c r="D216" s="612"/>
      <c r="E216" s="612"/>
      <c r="F216" s="612" t="str">
        <f>F$2</f>
        <v>R-V4</v>
      </c>
      <c r="AA216"/>
      <c r="AB216"/>
      <c r="AC216"/>
      <c r="AD216"/>
      <c r="AE216"/>
      <c r="AF216"/>
      <c r="AG216"/>
      <c r="AH216"/>
      <c r="AI216"/>
    </row>
    <row r="217" spans="1:35" x14ac:dyDescent="0.2">
      <c r="C217" s="692"/>
      <c r="D217" s="693"/>
      <c r="E217" s="693"/>
      <c r="F217" s="693"/>
      <c r="AA217"/>
      <c r="AB217"/>
      <c r="AC217"/>
      <c r="AD217"/>
      <c r="AE217"/>
      <c r="AF217"/>
      <c r="AG217"/>
      <c r="AH217"/>
      <c r="AI217"/>
    </row>
    <row r="218" spans="1:35" x14ac:dyDescent="0.2">
      <c r="AA218"/>
      <c r="AB218"/>
      <c r="AC218"/>
      <c r="AD218"/>
      <c r="AE218"/>
      <c r="AF218"/>
      <c r="AG218"/>
      <c r="AH218"/>
      <c r="AI218"/>
    </row>
    <row r="219" spans="1:35" x14ac:dyDescent="0.2">
      <c r="AA219"/>
      <c r="AB219"/>
      <c r="AC219"/>
      <c r="AD219"/>
      <c r="AE219"/>
      <c r="AF219"/>
      <c r="AG219"/>
      <c r="AH219"/>
      <c r="AI219"/>
    </row>
    <row r="220" spans="1:35" x14ac:dyDescent="0.2">
      <c r="AA220"/>
      <c r="AB220"/>
      <c r="AC220"/>
      <c r="AD220"/>
      <c r="AE220"/>
      <c r="AF220"/>
      <c r="AG220"/>
      <c r="AH220"/>
      <c r="AI220"/>
    </row>
    <row r="221" spans="1:35" x14ac:dyDescent="0.2">
      <c r="AA221"/>
      <c r="AB221"/>
      <c r="AC221"/>
      <c r="AD221"/>
      <c r="AE221"/>
      <c r="AF221"/>
      <c r="AG221"/>
      <c r="AH221"/>
      <c r="AI221"/>
    </row>
    <row r="222" spans="1:35" x14ac:dyDescent="0.2">
      <c r="AA222"/>
      <c r="AB222"/>
      <c r="AC222"/>
      <c r="AD222"/>
      <c r="AE222"/>
      <c r="AF222"/>
      <c r="AG222"/>
      <c r="AH222"/>
      <c r="AI222"/>
    </row>
    <row r="223" spans="1:35" x14ac:dyDescent="0.2">
      <c r="AA223"/>
      <c r="AB223"/>
      <c r="AC223"/>
      <c r="AD223"/>
      <c r="AE223"/>
      <c r="AF223"/>
      <c r="AG223"/>
      <c r="AH223"/>
      <c r="AI223"/>
    </row>
    <row r="224" spans="1: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1">
    <mergeCell ref="D1:E1"/>
  </mergeCells>
  <phoneticPr fontId="5" type="noConversion"/>
  <conditionalFormatting sqref="A5:B11 A13:B21 A23:B27 A29:B34 A36:B42 A44:B53 A55:B60 A62:B69 A71:B78 A80:B82 A84:B88 A90:B95 A97:B104 A106:B112 A114:B118 A120:B123 A125:B129 A131:B135 A137:B142 A144:B151 A153:B163 A165:B170 A172:B178 A180:B186 A188:B196">
    <cfRule type="expression" dxfId="134" priority="8" stopIfTrue="1">
      <formula>AND(NOT($K5=""),$K$1=1)</formula>
    </cfRule>
  </conditionalFormatting>
  <conditionalFormatting sqref="C5:M196">
    <cfRule type="expression" dxfId="133" priority="6">
      <formula>AND(NOT($K5=""),$K$1=1)</formula>
    </cfRule>
  </conditionalFormatting>
  <conditionalFormatting sqref="C5:C196">
    <cfRule type="expression" dxfId="132" priority="5">
      <formula>AND(NOT($K5=""),$K$1=1)</formula>
    </cfRule>
  </conditionalFormatting>
  <conditionalFormatting sqref="C5:C196">
    <cfRule type="expression" dxfId="131" priority="4">
      <formula>AND(NOT($K5=""),$K$1=1)</formula>
    </cfRule>
  </conditionalFormatting>
  <conditionalFormatting sqref="C5:C196">
    <cfRule type="expression" dxfId="130" priority="3">
      <formula>AND(NOT($K5=""),$K$1=1)</formula>
    </cfRule>
  </conditionalFormatting>
  <conditionalFormatting sqref="C5:C196">
    <cfRule type="expression" dxfId="129" priority="2" stopIfTrue="1">
      <formula>AND(NOT($K5=""),$K$1=1)</formula>
    </cfRule>
  </conditionalFormatting>
  <conditionalFormatting sqref="C5:C196">
    <cfRule type="expression" dxfId="128" priority="1" stopIfTrue="1">
      <formula>AND(NOT($K5=""),$K$1=1)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3">
    <tabColor indexed="47"/>
  </sheetPr>
  <dimension ref="A1:GR400"/>
  <sheetViews>
    <sheetView workbookViewId="0">
      <pane xSplit="12" ySplit="2" topLeftCell="M3" activePane="bottomRight" state="frozen"/>
      <selection activeCell="I304" sqref="I304"/>
      <selection pane="topRight" activeCell="I304" sqref="I304"/>
      <selection pane="bottomLeft" activeCell="I304" sqref="I304"/>
      <selection pane="bottomRight" sqref="A1:B1"/>
    </sheetView>
  </sheetViews>
  <sheetFormatPr baseColWidth="10" defaultColWidth="11.28515625" defaultRowHeight="12.75" outlineLevelRow="2" outlineLevelCol="1" x14ac:dyDescent="0.2"/>
  <cols>
    <col min="1" max="1" width="10.28515625" style="658" customWidth="1"/>
    <col min="2" max="2" width="87.28515625" style="659" customWidth="1"/>
    <col min="3" max="3" width="4.42578125" style="664" bestFit="1" customWidth="1"/>
    <col min="4" max="4" width="5.28515625" style="1543" customWidth="1"/>
    <col min="5" max="6" width="5.140625" style="664" bestFit="1" customWidth="1"/>
    <col min="7" max="10" width="4.140625" style="659" customWidth="1" outlineLevel="1"/>
    <col min="11" max="11" width="13.85546875" style="662" customWidth="1" outlineLevel="1"/>
    <col min="12" max="12" width="15.140625" style="663" customWidth="1"/>
    <col min="13" max="13" width="21.42578125" style="624" customWidth="1"/>
    <col min="14" max="25" width="11.28515625" style="624"/>
    <col min="26" max="26" width="12.28515625" style="624" customWidth="1"/>
    <col min="27" max="34" width="12.28515625" style="230" hidden="1" customWidth="1"/>
    <col min="35" max="35" width="12.28515625" style="230" customWidth="1"/>
    <col min="36" max="200" width="11.28515625" style="230"/>
    <col min="201" max="16384" width="11.28515625" style="169"/>
  </cols>
  <sheetData>
    <row r="1" spans="1:200" ht="30" customHeight="1" x14ac:dyDescent="0.25">
      <c r="A1" s="1977" t="s">
        <v>7454</v>
      </c>
      <c r="B1" s="1978"/>
      <c r="C1" s="576">
        <v>1</v>
      </c>
      <c r="D1" s="1972" t="str">
        <f>"variante"&amp;IF(C1&gt;1,"s","")</f>
        <v>variante</v>
      </c>
      <c r="E1" s="1972"/>
      <c r="F1" s="576"/>
      <c r="G1" s="621"/>
      <c r="H1" s="621"/>
      <c r="I1" s="621"/>
      <c r="J1" s="622"/>
      <c r="K1" s="579">
        <f>'ISO 27002'!F2</f>
        <v>0</v>
      </c>
      <c r="L1" s="623"/>
      <c r="M1" s="582"/>
    </row>
    <row r="2" spans="1:200" s="626" customFormat="1" ht="12.75" customHeight="1" x14ac:dyDescent="0.2">
      <c r="A2" s="545" t="s">
        <v>3585</v>
      </c>
      <c r="B2" s="625" t="s">
        <v>3189</v>
      </c>
      <c r="C2" s="587" t="s">
        <v>3676</v>
      </c>
      <c r="D2" s="1533" t="s">
        <v>3677</v>
      </c>
      <c r="E2" s="587" t="s">
        <v>3678</v>
      </c>
      <c r="F2" s="587" t="s">
        <v>3679</v>
      </c>
      <c r="G2" s="588" t="s">
        <v>1428</v>
      </c>
      <c r="H2" s="588" t="s">
        <v>3680</v>
      </c>
      <c r="I2" s="588" t="s">
        <v>2054</v>
      </c>
      <c r="J2" s="588" t="s">
        <v>3681</v>
      </c>
      <c r="K2" s="588">
        <v>2013</v>
      </c>
      <c r="L2" s="588">
        <v>2005</v>
      </c>
      <c r="M2" s="588" t="s">
        <v>3682</v>
      </c>
      <c r="N2" s="599"/>
      <c r="O2" s="599"/>
      <c r="P2" s="599"/>
      <c r="Q2" s="599"/>
      <c r="R2" s="599"/>
      <c r="S2" s="599"/>
      <c r="T2" s="599"/>
      <c r="U2" s="599"/>
      <c r="V2" s="599"/>
      <c r="W2" s="599"/>
      <c r="X2" s="599"/>
      <c r="Y2" s="599"/>
      <c r="Z2" s="599"/>
      <c r="AA2" s="600"/>
      <c r="AB2" s="600"/>
      <c r="AC2" s="600"/>
      <c r="AD2" s="600"/>
      <c r="AE2" s="600"/>
      <c r="AF2" s="600"/>
      <c r="AG2" s="600"/>
      <c r="AH2" s="600"/>
      <c r="AI2" s="600"/>
      <c r="AJ2" s="600"/>
      <c r="AK2" s="600"/>
      <c r="AL2" s="600"/>
      <c r="AM2" s="600"/>
      <c r="AN2" s="600"/>
      <c r="AO2" s="600"/>
      <c r="AP2" s="600"/>
      <c r="AQ2" s="600"/>
      <c r="AR2" s="600"/>
      <c r="AS2" s="600"/>
      <c r="AT2" s="600"/>
      <c r="AU2" s="600"/>
      <c r="AV2" s="600"/>
      <c r="AW2" s="600"/>
      <c r="AX2" s="600"/>
      <c r="AY2" s="600"/>
      <c r="AZ2" s="600"/>
      <c r="BA2" s="600"/>
      <c r="BB2" s="600"/>
      <c r="BC2" s="600"/>
      <c r="BD2" s="600"/>
      <c r="BE2" s="600"/>
      <c r="BF2" s="600"/>
      <c r="BG2" s="600"/>
      <c r="BH2" s="600"/>
      <c r="BI2" s="600"/>
      <c r="BJ2" s="600"/>
      <c r="BK2" s="600"/>
      <c r="BL2" s="600"/>
      <c r="BM2" s="600"/>
      <c r="BN2" s="600"/>
      <c r="BO2" s="600"/>
      <c r="BP2" s="600"/>
      <c r="BQ2" s="600"/>
      <c r="BR2" s="600"/>
      <c r="BS2" s="600"/>
      <c r="BT2" s="600"/>
      <c r="BU2" s="600"/>
      <c r="BV2" s="600"/>
      <c r="BW2" s="600"/>
      <c r="BX2" s="600"/>
      <c r="BY2" s="600"/>
      <c r="BZ2" s="600"/>
      <c r="CA2" s="600"/>
      <c r="CB2" s="600"/>
      <c r="CC2" s="600"/>
      <c r="CD2" s="600"/>
      <c r="CE2" s="600"/>
      <c r="CF2" s="600"/>
      <c r="CG2" s="600"/>
      <c r="CH2" s="600"/>
      <c r="CI2" s="600"/>
      <c r="CJ2" s="600"/>
      <c r="CK2" s="600"/>
      <c r="CL2" s="600"/>
      <c r="CM2" s="600"/>
      <c r="CN2" s="600"/>
      <c r="CO2" s="600"/>
      <c r="CP2" s="600"/>
      <c r="CQ2" s="600"/>
      <c r="CR2" s="600"/>
      <c r="CS2" s="600"/>
      <c r="CT2" s="600"/>
      <c r="CU2" s="600"/>
      <c r="CV2" s="600"/>
      <c r="CW2" s="600"/>
      <c r="CX2" s="600"/>
      <c r="CY2" s="600"/>
      <c r="CZ2" s="600"/>
      <c r="DA2" s="600"/>
      <c r="DB2" s="600"/>
      <c r="DC2" s="600"/>
      <c r="DD2" s="600"/>
      <c r="DE2" s="600"/>
      <c r="DF2" s="600"/>
      <c r="DG2" s="600"/>
      <c r="DH2" s="600"/>
      <c r="DI2" s="600"/>
      <c r="DJ2" s="600"/>
      <c r="DK2" s="600"/>
      <c r="DL2" s="600"/>
      <c r="DM2" s="600"/>
      <c r="DN2" s="600"/>
      <c r="DO2" s="600"/>
      <c r="DP2" s="600"/>
      <c r="DQ2" s="600"/>
      <c r="DR2" s="600"/>
      <c r="DS2" s="600"/>
      <c r="DT2" s="600"/>
      <c r="DU2" s="600"/>
      <c r="DV2" s="600"/>
      <c r="DW2" s="600"/>
      <c r="DX2" s="600"/>
      <c r="DY2" s="600"/>
      <c r="DZ2" s="600"/>
      <c r="EA2" s="600"/>
      <c r="EB2" s="600"/>
      <c r="EC2" s="600"/>
      <c r="ED2" s="600"/>
      <c r="EE2" s="600"/>
      <c r="EF2" s="600"/>
      <c r="EG2" s="600"/>
      <c r="EH2" s="600"/>
      <c r="EI2" s="600"/>
      <c r="EJ2" s="600"/>
      <c r="EK2" s="600"/>
      <c r="EL2" s="600"/>
      <c r="EM2" s="600"/>
      <c r="EN2" s="600"/>
      <c r="EO2" s="600"/>
      <c r="EP2" s="600"/>
      <c r="EQ2" s="600"/>
      <c r="ER2" s="600"/>
      <c r="ES2" s="600"/>
      <c r="ET2" s="600"/>
      <c r="EU2" s="600"/>
      <c r="EV2" s="600"/>
      <c r="EW2" s="600"/>
      <c r="EX2" s="600"/>
      <c r="EY2" s="600"/>
      <c r="EZ2" s="600"/>
      <c r="FA2" s="600"/>
      <c r="FB2" s="600"/>
      <c r="FC2" s="600"/>
      <c r="FD2" s="600"/>
      <c r="FE2" s="600"/>
      <c r="FF2" s="600"/>
      <c r="FG2" s="600"/>
      <c r="FH2" s="600"/>
      <c r="FI2" s="600"/>
      <c r="FJ2" s="600"/>
      <c r="FK2" s="600"/>
      <c r="FL2" s="600"/>
      <c r="FM2" s="600"/>
      <c r="FN2" s="600"/>
      <c r="FO2" s="600"/>
      <c r="FP2" s="600"/>
      <c r="FQ2" s="600"/>
      <c r="FR2" s="600"/>
      <c r="FS2" s="600"/>
      <c r="FT2" s="600"/>
      <c r="FU2" s="600"/>
      <c r="FV2" s="600"/>
      <c r="FW2" s="600"/>
      <c r="FX2" s="600"/>
      <c r="FY2" s="600"/>
      <c r="FZ2" s="600"/>
      <c r="GA2" s="600"/>
      <c r="GB2" s="600"/>
      <c r="GC2" s="600"/>
      <c r="GD2" s="600"/>
      <c r="GE2" s="600"/>
      <c r="GF2" s="600"/>
      <c r="GG2" s="600"/>
      <c r="GH2" s="600"/>
      <c r="GI2" s="600"/>
      <c r="GJ2" s="600"/>
      <c r="GK2" s="600"/>
      <c r="GL2" s="600"/>
      <c r="GM2" s="600"/>
      <c r="GN2" s="600"/>
      <c r="GO2" s="600"/>
      <c r="GP2" s="600"/>
      <c r="GQ2" s="600"/>
      <c r="GR2" s="600"/>
    </row>
    <row r="3" spans="1:200" s="632" customFormat="1" x14ac:dyDescent="0.2">
      <c r="A3" s="627" t="s">
        <v>1490</v>
      </c>
      <c r="B3" s="628" t="s">
        <v>2604</v>
      </c>
      <c r="C3" s="629"/>
      <c r="D3" s="1534"/>
      <c r="E3" s="1152"/>
      <c r="F3" s="630"/>
      <c r="G3" s="1545"/>
      <c r="H3" s="1545"/>
      <c r="I3" s="1545"/>
      <c r="J3" s="1531"/>
      <c r="K3" s="1531"/>
      <c r="L3" s="1531"/>
      <c r="M3" s="631"/>
      <c r="N3" s="624"/>
      <c r="O3" s="624"/>
      <c r="P3" s="624"/>
      <c r="Q3" s="624"/>
      <c r="R3" s="624"/>
      <c r="S3" s="624"/>
      <c r="T3" s="624"/>
      <c r="U3" s="624"/>
      <c r="V3" s="624"/>
      <c r="W3" s="624"/>
      <c r="X3" s="624"/>
      <c r="Y3" s="624"/>
      <c r="Z3" s="624"/>
      <c r="AA3" s="230"/>
      <c r="AB3" s="230"/>
      <c r="AC3" s="230"/>
      <c r="AD3" s="230"/>
      <c r="AE3" s="230"/>
      <c r="AF3" s="230"/>
      <c r="AG3" s="230"/>
      <c r="AH3" s="230"/>
      <c r="AI3" s="230"/>
      <c r="AJ3" s="230"/>
      <c r="AK3" s="230"/>
      <c r="AL3" s="230"/>
      <c r="AM3" s="230"/>
      <c r="AN3" s="230"/>
      <c r="AO3" s="230"/>
      <c r="AP3" s="230"/>
      <c r="AQ3" s="230"/>
      <c r="AR3" s="230"/>
      <c r="AS3" s="230"/>
      <c r="AT3" s="230"/>
      <c r="AU3" s="230"/>
      <c r="AV3" s="230"/>
      <c r="AW3" s="230"/>
      <c r="AX3" s="230"/>
      <c r="AY3" s="230"/>
      <c r="AZ3" s="230"/>
      <c r="BA3" s="230"/>
      <c r="BB3" s="230"/>
      <c r="BC3" s="230"/>
      <c r="BD3" s="230"/>
      <c r="BE3" s="230"/>
      <c r="BF3" s="230"/>
      <c r="BG3" s="230"/>
      <c r="BH3" s="230"/>
      <c r="BI3" s="230"/>
      <c r="BJ3" s="230"/>
      <c r="BK3" s="230"/>
      <c r="BL3" s="230"/>
      <c r="BM3" s="230"/>
      <c r="BN3" s="230"/>
      <c r="BO3" s="230"/>
      <c r="BP3" s="230"/>
      <c r="BQ3" s="230"/>
      <c r="BR3" s="230"/>
      <c r="BS3" s="230"/>
      <c r="BT3" s="230"/>
      <c r="BU3" s="230"/>
      <c r="BV3" s="230"/>
      <c r="BW3" s="230"/>
      <c r="BX3" s="230"/>
      <c r="BY3" s="230"/>
      <c r="BZ3" s="230"/>
      <c r="CA3" s="230"/>
      <c r="CB3" s="230"/>
      <c r="CC3" s="230"/>
      <c r="CD3" s="230"/>
      <c r="CE3" s="230"/>
      <c r="CF3" s="230"/>
      <c r="CG3" s="230"/>
      <c r="CH3" s="230"/>
      <c r="CI3" s="230"/>
      <c r="CJ3" s="230"/>
      <c r="CK3" s="230"/>
      <c r="CL3" s="230"/>
      <c r="CM3" s="230"/>
      <c r="CN3" s="230"/>
      <c r="CO3" s="230"/>
      <c r="CP3" s="230"/>
      <c r="CQ3" s="230"/>
      <c r="CR3" s="230"/>
      <c r="CS3" s="230"/>
      <c r="CT3" s="230"/>
      <c r="CU3" s="230"/>
      <c r="CV3" s="230"/>
      <c r="CW3" s="230"/>
      <c r="CX3" s="230"/>
      <c r="CY3" s="230"/>
      <c r="CZ3" s="230"/>
      <c r="DA3" s="230"/>
      <c r="DB3" s="230"/>
      <c r="DC3" s="230"/>
      <c r="DD3" s="230"/>
      <c r="DE3" s="230"/>
      <c r="DF3" s="230"/>
      <c r="DG3" s="230"/>
      <c r="DH3" s="230"/>
      <c r="DI3" s="230"/>
      <c r="DJ3" s="230"/>
      <c r="DK3" s="230"/>
      <c r="DL3" s="230"/>
      <c r="DM3" s="230"/>
      <c r="DN3" s="230"/>
      <c r="DO3" s="230"/>
      <c r="DP3" s="230"/>
      <c r="DQ3" s="230"/>
      <c r="DR3" s="230"/>
      <c r="DS3" s="230"/>
      <c r="DT3" s="230"/>
      <c r="DU3" s="230"/>
      <c r="DV3" s="230"/>
      <c r="DW3" s="230"/>
      <c r="DX3" s="230"/>
      <c r="DY3" s="230"/>
      <c r="DZ3" s="230"/>
      <c r="EA3" s="230"/>
      <c r="EB3" s="230"/>
      <c r="EC3" s="230"/>
      <c r="ED3" s="230"/>
      <c r="EE3" s="230"/>
      <c r="EF3" s="230"/>
      <c r="EG3" s="230"/>
      <c r="EH3" s="230"/>
      <c r="EI3" s="230"/>
      <c r="EJ3" s="230"/>
      <c r="EK3" s="230"/>
      <c r="EL3" s="230"/>
      <c r="EM3" s="230"/>
      <c r="EN3" s="230"/>
      <c r="EO3" s="230"/>
      <c r="EP3" s="230"/>
      <c r="EQ3" s="230"/>
      <c r="ER3" s="230"/>
      <c r="ES3" s="230"/>
      <c r="ET3" s="230"/>
      <c r="EU3" s="230"/>
      <c r="EV3" s="230"/>
      <c r="EW3" s="230"/>
      <c r="EX3" s="230"/>
      <c r="EY3" s="230"/>
      <c r="EZ3" s="230"/>
      <c r="FA3" s="230"/>
      <c r="FB3" s="230"/>
      <c r="FC3" s="230"/>
      <c r="FD3" s="230"/>
      <c r="FE3" s="230"/>
      <c r="FF3" s="230"/>
      <c r="FG3" s="230"/>
      <c r="FH3" s="230"/>
      <c r="FI3" s="230"/>
      <c r="FJ3" s="230"/>
      <c r="FK3" s="230"/>
      <c r="FL3" s="230"/>
      <c r="FM3" s="230"/>
      <c r="FN3" s="230"/>
      <c r="FO3" s="230"/>
      <c r="FP3" s="230"/>
      <c r="FQ3" s="230"/>
      <c r="FR3" s="230"/>
      <c r="FS3" s="230"/>
      <c r="FT3" s="230"/>
      <c r="FU3" s="230"/>
      <c r="FV3" s="230"/>
      <c r="FW3" s="230"/>
      <c r="FX3" s="230"/>
      <c r="FY3" s="230"/>
      <c r="FZ3" s="230"/>
      <c r="GA3" s="230"/>
      <c r="GB3" s="230"/>
      <c r="GC3" s="230"/>
      <c r="GD3" s="230"/>
      <c r="GE3" s="230"/>
      <c r="GF3" s="230"/>
      <c r="GG3" s="230"/>
      <c r="GH3" s="230"/>
      <c r="GI3" s="230"/>
      <c r="GJ3" s="230"/>
      <c r="GK3" s="230"/>
      <c r="GL3" s="230"/>
      <c r="GM3" s="230"/>
      <c r="GN3" s="230"/>
      <c r="GO3" s="230"/>
      <c r="GP3" s="230"/>
      <c r="GQ3" s="230"/>
      <c r="GR3" s="230"/>
    </row>
    <row r="4" spans="1:200" s="632" customFormat="1" ht="14.25" customHeight="1" outlineLevel="1" x14ac:dyDescent="0.2">
      <c r="A4" s="633" t="s">
        <v>3266</v>
      </c>
      <c r="B4" s="634" t="s">
        <v>4529</v>
      </c>
      <c r="C4" s="597"/>
      <c r="D4" s="1535"/>
      <c r="E4" s="1153"/>
      <c r="F4" s="635"/>
      <c r="G4" s="1546"/>
      <c r="H4" s="1546"/>
      <c r="I4" s="1546"/>
      <c r="J4" s="1518"/>
      <c r="K4" s="1518"/>
      <c r="L4" s="1518"/>
      <c r="M4" s="635"/>
      <c r="N4" s="624"/>
      <c r="O4" s="624"/>
      <c r="P4" s="624"/>
      <c r="Q4" s="624"/>
      <c r="R4" s="624"/>
      <c r="S4" s="624"/>
      <c r="T4" s="624"/>
      <c r="U4" s="624"/>
      <c r="V4" s="624"/>
      <c r="W4" s="624"/>
      <c r="X4" s="624"/>
      <c r="Y4" s="624"/>
      <c r="Z4" s="624"/>
      <c r="AA4"/>
      <c r="AB4"/>
      <c r="AC4"/>
      <c r="AD4"/>
      <c r="AE4"/>
      <c r="AF4"/>
      <c r="AG4"/>
      <c r="AH4"/>
      <c r="AI4"/>
      <c r="AJ4" s="230"/>
      <c r="AK4" s="230"/>
      <c r="AL4" s="230"/>
      <c r="AM4" s="230"/>
      <c r="AN4" s="230"/>
      <c r="AO4" s="230"/>
      <c r="AP4" s="230"/>
      <c r="AQ4" s="230"/>
      <c r="AR4" s="230"/>
      <c r="AS4" s="230"/>
      <c r="AT4" s="230"/>
      <c r="AU4" s="230"/>
      <c r="AV4" s="230"/>
      <c r="AW4" s="230"/>
      <c r="AX4" s="230"/>
      <c r="AY4" s="230"/>
      <c r="AZ4" s="230"/>
      <c r="BA4" s="230"/>
      <c r="BB4" s="230"/>
      <c r="BC4" s="230"/>
      <c r="BD4" s="230"/>
      <c r="BE4" s="230"/>
      <c r="BF4" s="230"/>
      <c r="BG4" s="230"/>
      <c r="BH4" s="230"/>
      <c r="BI4" s="230"/>
      <c r="BJ4" s="230"/>
      <c r="BK4" s="230"/>
      <c r="BL4" s="230"/>
      <c r="BM4" s="230"/>
      <c r="BN4" s="230"/>
      <c r="BO4" s="230"/>
      <c r="BP4" s="230"/>
      <c r="BQ4" s="230"/>
      <c r="BR4" s="230"/>
      <c r="BS4" s="230"/>
      <c r="BT4" s="230"/>
      <c r="BU4" s="230"/>
      <c r="BV4" s="230"/>
      <c r="BW4" s="230"/>
      <c r="BX4" s="230"/>
      <c r="BY4" s="230"/>
      <c r="BZ4" s="230"/>
      <c r="CA4" s="230"/>
      <c r="CB4" s="230"/>
      <c r="CC4" s="230"/>
      <c r="CD4" s="230"/>
      <c r="CE4" s="230"/>
      <c r="CF4" s="230"/>
      <c r="CG4" s="230"/>
      <c r="CH4" s="230"/>
      <c r="CI4" s="230"/>
      <c r="CJ4" s="230"/>
      <c r="CK4" s="230"/>
      <c r="CL4" s="230"/>
      <c r="CM4" s="230"/>
      <c r="CN4" s="230"/>
      <c r="CO4" s="230"/>
      <c r="CP4" s="230"/>
      <c r="CQ4" s="230"/>
      <c r="CR4" s="230"/>
      <c r="CS4" s="230"/>
      <c r="CT4" s="230"/>
      <c r="CU4" s="230"/>
      <c r="CV4" s="230"/>
      <c r="CW4" s="230"/>
      <c r="CX4" s="230"/>
      <c r="CY4" s="230"/>
      <c r="CZ4" s="230"/>
      <c r="DA4" s="230"/>
      <c r="DB4" s="230"/>
      <c r="DC4" s="230"/>
      <c r="DD4" s="230"/>
      <c r="DE4" s="230"/>
      <c r="DF4" s="230"/>
      <c r="DG4" s="230"/>
      <c r="DH4" s="230"/>
      <c r="DI4" s="230"/>
      <c r="DJ4" s="230"/>
      <c r="DK4" s="230"/>
      <c r="DL4" s="230"/>
      <c r="DM4" s="230"/>
      <c r="DN4" s="230"/>
      <c r="DO4" s="230"/>
      <c r="DP4" s="230"/>
      <c r="DQ4" s="230"/>
      <c r="DR4" s="230"/>
      <c r="DS4" s="230"/>
      <c r="DT4" s="230"/>
      <c r="DU4" s="230"/>
      <c r="DV4" s="230"/>
      <c r="DW4" s="230"/>
      <c r="DX4" s="230"/>
      <c r="DY4" s="230"/>
      <c r="DZ4" s="230"/>
      <c r="EA4" s="230"/>
      <c r="EB4" s="230"/>
      <c r="EC4" s="230"/>
      <c r="ED4" s="230"/>
      <c r="EE4" s="230"/>
      <c r="EF4" s="230"/>
      <c r="EG4" s="230"/>
      <c r="EH4" s="230"/>
      <c r="EI4" s="230"/>
      <c r="EJ4" s="230"/>
      <c r="EK4" s="230"/>
      <c r="EL4" s="230"/>
      <c r="EM4" s="230"/>
      <c r="EN4" s="230"/>
      <c r="EO4" s="230"/>
      <c r="EP4" s="230"/>
      <c r="EQ4" s="230"/>
      <c r="ER4" s="230"/>
      <c r="ES4" s="230"/>
      <c r="ET4" s="230"/>
      <c r="EU4" s="230"/>
      <c r="EV4" s="230"/>
      <c r="EW4" s="230"/>
      <c r="EX4" s="230"/>
      <c r="EY4" s="230"/>
      <c r="EZ4" s="230"/>
      <c r="FA4" s="230"/>
      <c r="FB4" s="230"/>
      <c r="FC4" s="230"/>
      <c r="FD4" s="230"/>
      <c r="FE4" s="230"/>
      <c r="FF4" s="230"/>
      <c r="FG4" s="230"/>
      <c r="FH4" s="230"/>
      <c r="FI4" s="230"/>
      <c r="FJ4" s="230"/>
      <c r="FK4" s="230"/>
      <c r="FL4" s="230"/>
      <c r="FM4" s="230"/>
      <c r="FN4" s="230"/>
      <c r="FO4" s="230"/>
      <c r="FP4" s="230"/>
      <c r="FQ4" s="230"/>
      <c r="FR4" s="230"/>
      <c r="FS4" s="230"/>
      <c r="FT4" s="230"/>
      <c r="FU4" s="230"/>
      <c r="FV4" s="230"/>
      <c r="FW4" s="230"/>
      <c r="FX4" s="230"/>
      <c r="FY4" s="230"/>
      <c r="FZ4" s="230"/>
      <c r="GA4" s="230"/>
      <c r="GB4" s="230"/>
      <c r="GC4" s="230"/>
      <c r="GD4" s="230"/>
      <c r="GE4" s="230"/>
      <c r="GF4" s="230"/>
      <c r="GG4" s="230"/>
      <c r="GH4" s="230"/>
      <c r="GI4" s="230"/>
      <c r="GJ4" s="230"/>
      <c r="GK4" s="230"/>
      <c r="GL4" s="230"/>
      <c r="GM4" s="230"/>
      <c r="GN4" s="230"/>
      <c r="GO4" s="230"/>
      <c r="GP4" s="230"/>
      <c r="GQ4" s="230"/>
      <c r="GR4" s="230"/>
    </row>
    <row r="5" spans="1:200" s="632" customFormat="1" ht="34.5" customHeight="1" outlineLevel="2" x14ac:dyDescent="0.2">
      <c r="A5" s="636" t="s">
        <v>1491</v>
      </c>
      <c r="B5" s="636" t="s">
        <v>4157</v>
      </c>
      <c r="C5" s="597"/>
      <c r="D5" s="1535"/>
      <c r="E5" s="1153"/>
      <c r="F5" s="635"/>
      <c r="G5" s="1517">
        <v>4</v>
      </c>
      <c r="H5" s="1517"/>
      <c r="I5" s="1517"/>
      <c r="J5" s="1517" t="s">
        <v>4246</v>
      </c>
      <c r="K5" s="1518" t="s">
        <v>2952</v>
      </c>
      <c r="L5" s="1518" t="s">
        <v>3264</v>
      </c>
      <c r="M5" s="635"/>
      <c r="N5" s="624"/>
      <c r="O5" s="624"/>
      <c r="P5" s="624"/>
      <c r="Q5" s="624"/>
      <c r="R5" s="624"/>
      <c r="S5" s="624"/>
      <c r="T5" s="624"/>
      <c r="U5" s="624"/>
      <c r="V5" s="624"/>
      <c r="W5" s="624"/>
      <c r="X5" s="624"/>
      <c r="Y5" s="624"/>
      <c r="Z5" s="624"/>
      <c r="AA5">
        <f>IF(AND('12 Ext'!C5&gt;Tmin, NOT('12 Ext'!$I5="")),'12 Ext'!$I5,0)</f>
        <v>0</v>
      </c>
      <c r="AB5">
        <f>IF(AND('12 Ext'!D5&gt;Tmin, NOT('12 Ext'!$I5="")),'12 Ext'!$I5,0)</f>
        <v>0</v>
      </c>
      <c r="AC5">
        <f>IF(AND('12 Ext'!E5&gt;Tmin, NOT('12 Ext'!$I5="")),'12 Ext'!$I5,0)</f>
        <v>0</v>
      </c>
      <c r="AD5">
        <f>IF(AND('12 Ext'!F5&gt;Tmin, NOT('12 Ext'!$I5="")),'12 Ext'!$I5,0)</f>
        <v>0</v>
      </c>
      <c r="AE5">
        <f>IF(AND('12 Ext'!C5&lt;Tmax, NOT('12 Ext'!$H5="")),'12 Ext'!$H5,4)</f>
        <v>4</v>
      </c>
      <c r="AF5">
        <f>IF(AND('12 Ext'!D5&lt;Tmax, NOT('12 Ext'!$H5="")),'12 Ext'!$H5,4)</f>
        <v>4</v>
      </c>
      <c r="AG5">
        <f>IF(AND('12 Ext'!E5&lt;Tmax, NOT('12 Ext'!$H5="")),'12 Ext'!$H5,4)</f>
        <v>4</v>
      </c>
      <c r="AH5">
        <f>IF(AND('12 Ext'!F5&lt;Tmax, NOT('12 Ext'!$H5="")),'12 Ext'!$H5,4)</f>
        <v>4</v>
      </c>
      <c r="AI5"/>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0"/>
      <c r="BH5" s="230"/>
      <c r="BI5" s="230"/>
      <c r="BJ5" s="230"/>
      <c r="BK5" s="230"/>
      <c r="BL5" s="230"/>
      <c r="BM5" s="230"/>
      <c r="BN5" s="230"/>
      <c r="BO5" s="230"/>
      <c r="BP5" s="230"/>
      <c r="BQ5" s="230"/>
      <c r="BR5" s="230"/>
      <c r="BS5" s="230"/>
      <c r="BT5" s="230"/>
      <c r="BU5" s="230"/>
      <c r="BV5" s="230"/>
      <c r="BW5" s="230"/>
      <c r="BX5" s="230"/>
      <c r="BY5" s="230"/>
      <c r="BZ5" s="230"/>
      <c r="CA5" s="230"/>
      <c r="CB5" s="230"/>
      <c r="CC5" s="230"/>
      <c r="CD5" s="230"/>
      <c r="CE5" s="230"/>
      <c r="CF5" s="230"/>
      <c r="CG5" s="230"/>
      <c r="CH5" s="230"/>
      <c r="CI5" s="230"/>
      <c r="CJ5" s="230"/>
      <c r="CK5" s="230"/>
      <c r="CL5" s="230"/>
      <c r="CM5" s="230"/>
      <c r="CN5" s="230"/>
      <c r="CO5" s="230"/>
      <c r="CP5" s="230"/>
      <c r="CQ5" s="230"/>
      <c r="CR5" s="230"/>
      <c r="CS5" s="230"/>
      <c r="CT5" s="230"/>
      <c r="CU5" s="230"/>
      <c r="CV5" s="230"/>
      <c r="CW5" s="230"/>
      <c r="CX5" s="230"/>
      <c r="CY5" s="230"/>
      <c r="CZ5" s="230"/>
      <c r="DA5" s="230"/>
      <c r="DB5" s="230"/>
      <c r="DC5" s="230"/>
      <c r="DD5" s="230"/>
      <c r="DE5" s="230"/>
      <c r="DF5" s="230"/>
      <c r="DG5" s="230"/>
      <c r="DH5" s="230"/>
      <c r="DI5" s="230"/>
      <c r="DJ5" s="230"/>
      <c r="DK5" s="230"/>
      <c r="DL5" s="230"/>
      <c r="DM5" s="230"/>
      <c r="DN5" s="230"/>
      <c r="DO5" s="230"/>
      <c r="DP5" s="230"/>
      <c r="DQ5" s="230"/>
      <c r="DR5" s="230"/>
      <c r="DS5" s="230"/>
      <c r="DT5" s="230"/>
      <c r="DU5" s="230"/>
      <c r="DV5" s="230"/>
      <c r="DW5" s="230"/>
      <c r="DX5" s="230"/>
      <c r="DY5" s="230"/>
      <c r="DZ5" s="230"/>
      <c r="EA5" s="230"/>
      <c r="EB5" s="230"/>
      <c r="EC5" s="230"/>
      <c r="ED5" s="230"/>
      <c r="EE5" s="230"/>
      <c r="EF5" s="230"/>
      <c r="EG5" s="230"/>
      <c r="EH5" s="230"/>
      <c r="EI5" s="230"/>
      <c r="EJ5" s="230"/>
      <c r="EK5" s="230"/>
      <c r="EL5" s="230"/>
      <c r="EM5" s="230"/>
      <c r="EN5" s="230"/>
      <c r="EO5" s="230"/>
      <c r="EP5" s="230"/>
      <c r="EQ5" s="230"/>
      <c r="ER5" s="230"/>
      <c r="ES5" s="230"/>
      <c r="ET5" s="230"/>
      <c r="EU5" s="230"/>
      <c r="EV5" s="230"/>
      <c r="EW5" s="230"/>
      <c r="EX5" s="230"/>
      <c r="EY5" s="230"/>
      <c r="EZ5" s="230"/>
      <c r="FA5" s="230"/>
      <c r="FB5" s="230"/>
      <c r="FC5" s="230"/>
      <c r="FD5" s="230"/>
      <c r="FE5" s="230"/>
      <c r="FF5" s="230"/>
      <c r="FG5" s="230"/>
      <c r="FH5" s="230"/>
      <c r="FI5" s="230"/>
      <c r="FJ5" s="230"/>
      <c r="FK5" s="230"/>
      <c r="FL5" s="230"/>
      <c r="FM5" s="230"/>
      <c r="FN5" s="230"/>
      <c r="FO5" s="230"/>
      <c r="FP5" s="230"/>
      <c r="FQ5" s="230"/>
      <c r="FR5" s="230"/>
      <c r="FS5" s="230"/>
      <c r="FT5" s="230"/>
      <c r="FU5" s="230"/>
      <c r="FV5" s="230"/>
      <c r="FW5" s="230"/>
      <c r="FX5" s="230"/>
      <c r="FY5" s="230"/>
      <c r="FZ5" s="230"/>
      <c r="GA5" s="230"/>
      <c r="GB5" s="230"/>
      <c r="GC5" s="230"/>
      <c r="GD5" s="230"/>
      <c r="GE5" s="230"/>
      <c r="GF5" s="230"/>
      <c r="GG5" s="230"/>
      <c r="GH5" s="230"/>
      <c r="GI5" s="230"/>
      <c r="GJ5" s="230"/>
      <c r="GK5" s="230"/>
      <c r="GL5" s="230"/>
      <c r="GM5" s="230"/>
      <c r="GN5" s="230"/>
      <c r="GO5" s="230"/>
      <c r="GP5" s="230"/>
      <c r="GQ5" s="230"/>
      <c r="GR5" s="230"/>
    </row>
    <row r="6" spans="1:200" s="632" customFormat="1" ht="22.5" outlineLevel="2" x14ac:dyDescent="0.2">
      <c r="A6" s="636" t="s">
        <v>1492</v>
      </c>
      <c r="B6" s="636" t="s">
        <v>4541</v>
      </c>
      <c r="C6" s="597"/>
      <c r="D6" s="1535"/>
      <c r="E6" s="1153"/>
      <c r="F6" s="635"/>
      <c r="G6" s="1517">
        <v>4</v>
      </c>
      <c r="H6" s="1517"/>
      <c r="I6" s="1517"/>
      <c r="J6" s="1517" t="s">
        <v>1592</v>
      </c>
      <c r="K6" s="1518"/>
      <c r="L6" s="1518"/>
      <c r="M6" s="635"/>
      <c r="N6" s="624"/>
      <c r="O6" s="624"/>
      <c r="P6" s="624"/>
      <c r="Q6" s="624"/>
      <c r="R6" s="624"/>
      <c r="S6" s="624"/>
      <c r="T6" s="624"/>
      <c r="U6" s="624"/>
      <c r="V6" s="624"/>
      <c r="W6" s="624"/>
      <c r="X6" s="624"/>
      <c r="Y6" s="624"/>
      <c r="Z6" s="624"/>
      <c r="AA6">
        <f>IF(AND('12 Ext'!C6&gt;Tmin, NOT('12 Ext'!$I6="")),'12 Ext'!$I6,0)</f>
        <v>0</v>
      </c>
      <c r="AB6">
        <f>IF(AND('12 Ext'!D6&gt;Tmin, NOT('12 Ext'!$I6="")),'12 Ext'!$I6,0)</f>
        <v>0</v>
      </c>
      <c r="AC6">
        <f>IF(AND('12 Ext'!E6&gt;Tmin, NOT('12 Ext'!$I6="")),'12 Ext'!$I6,0)</f>
        <v>0</v>
      </c>
      <c r="AD6">
        <f>IF(AND('12 Ext'!F6&gt;Tmin, NOT('12 Ext'!$I6="")),'12 Ext'!$I6,0)</f>
        <v>0</v>
      </c>
      <c r="AE6">
        <f>IF(AND('12 Ext'!C6&lt;Tmax, NOT('12 Ext'!$H6="")),'12 Ext'!$H6,4)</f>
        <v>4</v>
      </c>
      <c r="AF6">
        <f>IF(AND('12 Ext'!D6&lt;Tmax, NOT('12 Ext'!$H6="")),'12 Ext'!$H6,4)</f>
        <v>4</v>
      </c>
      <c r="AG6">
        <f>IF(AND('12 Ext'!E6&lt;Tmax, NOT('12 Ext'!$H6="")),'12 Ext'!$H6,4)</f>
        <v>4</v>
      </c>
      <c r="AH6">
        <f>IF(AND('12 Ext'!F6&lt;Tmax, NOT('12 Ext'!$H6="")),'12 Ext'!$H6,4)</f>
        <v>4</v>
      </c>
      <c r="AI6"/>
      <c r="AJ6" s="230"/>
      <c r="AK6" s="230"/>
      <c r="AL6" s="230"/>
      <c r="AM6" s="230"/>
      <c r="AN6" s="230"/>
      <c r="AO6" s="230"/>
      <c r="AP6" s="230"/>
      <c r="AQ6" s="230"/>
      <c r="AR6" s="230"/>
      <c r="AS6" s="230"/>
      <c r="AT6" s="230"/>
      <c r="AU6" s="230"/>
      <c r="AV6" s="230"/>
      <c r="AW6" s="230"/>
      <c r="AX6" s="230"/>
      <c r="AY6" s="230"/>
      <c r="AZ6" s="230"/>
      <c r="BA6" s="230"/>
      <c r="BB6" s="230"/>
      <c r="BC6" s="230"/>
      <c r="BD6" s="230"/>
      <c r="BE6" s="230"/>
      <c r="BF6" s="230"/>
      <c r="BG6" s="230"/>
      <c r="BH6" s="230"/>
      <c r="BI6" s="230"/>
      <c r="BJ6" s="230"/>
      <c r="BK6" s="230"/>
      <c r="BL6" s="230"/>
      <c r="BM6" s="230"/>
      <c r="BN6" s="230"/>
      <c r="BO6" s="230"/>
      <c r="BP6" s="230"/>
      <c r="BQ6" s="230"/>
      <c r="BR6" s="230"/>
      <c r="BS6" s="230"/>
      <c r="BT6" s="230"/>
      <c r="BU6" s="230"/>
      <c r="BV6" s="230"/>
      <c r="BW6" s="230"/>
      <c r="BX6" s="230"/>
      <c r="BY6" s="230"/>
      <c r="BZ6" s="230"/>
      <c r="CA6" s="230"/>
      <c r="CB6" s="230"/>
      <c r="CC6" s="230"/>
      <c r="CD6" s="230"/>
      <c r="CE6" s="230"/>
      <c r="CF6" s="230"/>
      <c r="CG6" s="230"/>
      <c r="CH6" s="230"/>
      <c r="CI6" s="230"/>
      <c r="CJ6" s="230"/>
      <c r="CK6" s="230"/>
      <c r="CL6" s="230"/>
      <c r="CM6" s="230"/>
      <c r="CN6" s="230"/>
      <c r="CO6" s="230"/>
      <c r="CP6" s="230"/>
      <c r="CQ6" s="230"/>
      <c r="CR6" s="230"/>
      <c r="CS6" s="230"/>
      <c r="CT6" s="230"/>
      <c r="CU6" s="230"/>
      <c r="CV6" s="230"/>
      <c r="CW6" s="230"/>
      <c r="CX6" s="230"/>
      <c r="CY6" s="230"/>
      <c r="CZ6" s="230"/>
      <c r="DA6" s="230"/>
      <c r="DB6" s="230"/>
      <c r="DC6" s="230"/>
      <c r="DD6" s="230"/>
      <c r="DE6" s="230"/>
      <c r="DF6" s="230"/>
      <c r="DG6" s="230"/>
      <c r="DH6" s="230"/>
      <c r="DI6" s="230"/>
      <c r="DJ6" s="230"/>
      <c r="DK6" s="230"/>
      <c r="DL6" s="230"/>
      <c r="DM6" s="230"/>
      <c r="DN6" s="230"/>
      <c r="DO6" s="230"/>
      <c r="DP6" s="230"/>
      <c r="DQ6" s="230"/>
      <c r="DR6" s="230"/>
      <c r="DS6" s="230"/>
      <c r="DT6" s="230"/>
      <c r="DU6" s="230"/>
      <c r="DV6" s="230"/>
      <c r="DW6" s="230"/>
      <c r="DX6" s="230"/>
      <c r="DY6" s="230"/>
      <c r="DZ6" s="230"/>
      <c r="EA6" s="230"/>
      <c r="EB6" s="230"/>
      <c r="EC6" s="230"/>
      <c r="ED6" s="230"/>
      <c r="EE6" s="230"/>
      <c r="EF6" s="230"/>
      <c r="EG6" s="230"/>
      <c r="EH6" s="230"/>
      <c r="EI6" s="230"/>
      <c r="EJ6" s="230"/>
      <c r="EK6" s="230"/>
      <c r="EL6" s="230"/>
      <c r="EM6" s="230"/>
      <c r="EN6" s="230"/>
      <c r="EO6" s="230"/>
      <c r="EP6" s="230"/>
      <c r="EQ6" s="230"/>
      <c r="ER6" s="230"/>
      <c r="ES6" s="230"/>
      <c r="ET6" s="230"/>
      <c r="EU6" s="230"/>
      <c r="EV6" s="230"/>
      <c r="EW6" s="230"/>
      <c r="EX6" s="230"/>
      <c r="EY6" s="230"/>
      <c r="EZ6" s="230"/>
      <c r="FA6" s="230"/>
      <c r="FB6" s="230"/>
      <c r="FC6" s="230"/>
      <c r="FD6" s="230"/>
      <c r="FE6" s="230"/>
      <c r="FF6" s="230"/>
      <c r="FG6" s="230"/>
      <c r="FH6" s="230"/>
      <c r="FI6" s="230"/>
      <c r="FJ6" s="230"/>
      <c r="FK6" s="230"/>
      <c r="FL6" s="230"/>
      <c r="FM6" s="230"/>
      <c r="FN6" s="230"/>
      <c r="FO6" s="230"/>
      <c r="FP6" s="230"/>
      <c r="FQ6" s="230"/>
      <c r="FR6" s="230"/>
      <c r="FS6" s="230"/>
      <c r="FT6" s="230"/>
      <c r="FU6" s="230"/>
      <c r="FV6" s="230"/>
      <c r="FW6" s="230"/>
      <c r="FX6" s="230"/>
      <c r="FY6" s="230"/>
      <c r="FZ6" s="230"/>
      <c r="GA6" s="230"/>
      <c r="GB6" s="230"/>
      <c r="GC6" s="230"/>
      <c r="GD6" s="230"/>
      <c r="GE6" s="230"/>
      <c r="GF6" s="230"/>
      <c r="GG6" s="230"/>
      <c r="GH6" s="230"/>
      <c r="GI6" s="230"/>
      <c r="GJ6" s="230"/>
      <c r="GK6" s="230"/>
      <c r="GL6" s="230"/>
      <c r="GM6" s="230"/>
      <c r="GN6" s="230"/>
      <c r="GO6" s="230"/>
      <c r="GP6" s="230"/>
      <c r="GQ6" s="230"/>
      <c r="GR6" s="230"/>
    </row>
    <row r="7" spans="1:200" s="632" customFormat="1" ht="24" customHeight="1" outlineLevel="2" x14ac:dyDescent="0.2">
      <c r="A7" s="636" t="s">
        <v>6448</v>
      </c>
      <c r="B7" s="636" t="s">
        <v>4191</v>
      </c>
      <c r="C7" s="597"/>
      <c r="D7" s="1535"/>
      <c r="E7" s="1153"/>
      <c r="F7" s="635"/>
      <c r="G7" s="1517">
        <v>4</v>
      </c>
      <c r="H7" s="1517">
        <v>3</v>
      </c>
      <c r="I7" s="1517"/>
      <c r="J7" s="1517" t="s">
        <v>2329</v>
      </c>
      <c r="K7" s="1518"/>
      <c r="L7" s="1518"/>
      <c r="M7" s="635"/>
      <c r="N7" s="624"/>
      <c r="O7" s="624"/>
      <c r="P7" s="624"/>
      <c r="Q7" s="624"/>
      <c r="R7" s="624"/>
      <c r="S7" s="624"/>
      <c r="T7" s="624"/>
      <c r="U7" s="624"/>
      <c r="V7" s="624"/>
      <c r="W7" s="624"/>
      <c r="X7" s="624"/>
      <c r="Y7" s="624"/>
      <c r="Z7" s="624"/>
      <c r="AA7">
        <f>IF(AND('12 Ext'!C7&gt;Tmin, NOT('12 Ext'!$I7="")),'12 Ext'!$I7,0)</f>
        <v>0</v>
      </c>
      <c r="AB7">
        <f>IF(AND('12 Ext'!D7&gt;Tmin, NOT('12 Ext'!$I7="")),'12 Ext'!$I7,0)</f>
        <v>0</v>
      </c>
      <c r="AC7">
        <f>IF(AND('12 Ext'!E7&gt;Tmin, NOT('12 Ext'!$I7="")),'12 Ext'!$I7,0)</f>
        <v>0</v>
      </c>
      <c r="AD7">
        <f>IF(AND('12 Ext'!F7&gt;Tmin, NOT('12 Ext'!$I7="")),'12 Ext'!$I7,0)</f>
        <v>0</v>
      </c>
      <c r="AE7">
        <f>IF(AND('12 Ext'!C7&lt;Tmax, NOT('12 Ext'!$H7="")),'12 Ext'!$H7,4)</f>
        <v>3</v>
      </c>
      <c r="AF7">
        <f>IF(AND('12 Ext'!D7&lt;Tmax, NOT('12 Ext'!$H7="")),'12 Ext'!$H7,4)</f>
        <v>3</v>
      </c>
      <c r="AG7">
        <f>IF(AND('12 Ext'!E7&lt;Tmax, NOT('12 Ext'!$H7="")),'12 Ext'!$H7,4)</f>
        <v>3</v>
      </c>
      <c r="AH7">
        <f>IF(AND('12 Ext'!F7&lt;Tmax, NOT('12 Ext'!$H7="")),'12 Ext'!$H7,4)</f>
        <v>3</v>
      </c>
      <c r="AI7"/>
      <c r="AJ7" s="230"/>
      <c r="AK7" s="230"/>
      <c r="AL7" s="230"/>
      <c r="AM7" s="230"/>
      <c r="AN7" s="230"/>
      <c r="AO7" s="230"/>
      <c r="AP7" s="230"/>
      <c r="AQ7" s="230"/>
      <c r="AR7" s="230"/>
      <c r="AS7" s="230"/>
      <c r="AT7" s="230"/>
      <c r="AU7" s="230"/>
      <c r="AV7" s="230"/>
      <c r="AW7" s="230"/>
      <c r="AX7" s="230"/>
      <c r="AY7" s="230"/>
      <c r="AZ7" s="230"/>
      <c r="BA7" s="230"/>
      <c r="BB7" s="230"/>
      <c r="BC7" s="230"/>
      <c r="BD7" s="230"/>
      <c r="BE7" s="230"/>
      <c r="BF7" s="230"/>
      <c r="BG7" s="230"/>
      <c r="BH7" s="230"/>
      <c r="BI7" s="230"/>
      <c r="BJ7" s="230"/>
      <c r="BK7" s="230"/>
      <c r="BL7" s="230"/>
      <c r="BM7" s="230"/>
      <c r="BN7" s="230"/>
      <c r="BO7" s="230"/>
      <c r="BP7" s="230"/>
      <c r="BQ7" s="230"/>
      <c r="BR7" s="230"/>
      <c r="BS7" s="230"/>
      <c r="BT7" s="230"/>
      <c r="BU7" s="230"/>
      <c r="BV7" s="230"/>
      <c r="BW7" s="230"/>
      <c r="BX7" s="230"/>
      <c r="BY7" s="230"/>
      <c r="BZ7" s="230"/>
      <c r="CA7" s="230"/>
      <c r="CB7" s="230"/>
      <c r="CC7" s="230"/>
      <c r="CD7" s="230"/>
      <c r="CE7" s="230"/>
      <c r="CF7" s="230"/>
      <c r="CG7" s="230"/>
      <c r="CH7" s="230"/>
      <c r="CI7" s="230"/>
      <c r="CJ7" s="230"/>
      <c r="CK7" s="230"/>
      <c r="CL7" s="230"/>
      <c r="CM7" s="230"/>
      <c r="CN7" s="230"/>
      <c r="CO7" s="230"/>
      <c r="CP7" s="230"/>
      <c r="CQ7" s="230"/>
      <c r="CR7" s="230"/>
      <c r="CS7" s="230"/>
      <c r="CT7" s="230"/>
      <c r="CU7" s="230"/>
      <c r="CV7" s="230"/>
      <c r="CW7" s="230"/>
      <c r="CX7" s="230"/>
      <c r="CY7" s="230"/>
      <c r="CZ7" s="230"/>
      <c r="DA7" s="230"/>
      <c r="DB7" s="230"/>
      <c r="DC7" s="230"/>
      <c r="DD7" s="230"/>
      <c r="DE7" s="230"/>
      <c r="DF7" s="230"/>
      <c r="DG7" s="230"/>
      <c r="DH7" s="230"/>
      <c r="DI7" s="230"/>
      <c r="DJ7" s="230"/>
      <c r="DK7" s="230"/>
      <c r="DL7" s="230"/>
      <c r="DM7" s="230"/>
      <c r="DN7" s="230"/>
      <c r="DO7" s="230"/>
      <c r="DP7" s="230"/>
      <c r="DQ7" s="230"/>
      <c r="DR7" s="230"/>
      <c r="DS7" s="230"/>
      <c r="DT7" s="230"/>
      <c r="DU7" s="230"/>
      <c r="DV7" s="230"/>
      <c r="DW7" s="230"/>
      <c r="DX7" s="230"/>
      <c r="DY7" s="230"/>
      <c r="DZ7" s="230"/>
      <c r="EA7" s="230"/>
      <c r="EB7" s="230"/>
      <c r="EC7" s="230"/>
      <c r="ED7" s="230"/>
      <c r="EE7" s="230"/>
      <c r="EF7" s="230"/>
      <c r="EG7" s="230"/>
      <c r="EH7" s="230"/>
      <c r="EI7" s="230"/>
      <c r="EJ7" s="230"/>
      <c r="EK7" s="230"/>
      <c r="EL7" s="230"/>
      <c r="EM7" s="230"/>
      <c r="EN7" s="230"/>
      <c r="EO7" s="230"/>
      <c r="EP7" s="230"/>
      <c r="EQ7" s="230"/>
      <c r="ER7" s="230"/>
      <c r="ES7" s="230"/>
      <c r="ET7" s="230"/>
      <c r="EU7" s="230"/>
      <c r="EV7" s="230"/>
      <c r="EW7" s="230"/>
      <c r="EX7" s="230"/>
      <c r="EY7" s="230"/>
      <c r="EZ7" s="230"/>
      <c r="FA7" s="230"/>
      <c r="FB7" s="230"/>
      <c r="FC7" s="230"/>
      <c r="FD7" s="230"/>
      <c r="FE7" s="230"/>
      <c r="FF7" s="230"/>
      <c r="FG7" s="230"/>
      <c r="FH7" s="230"/>
      <c r="FI7" s="230"/>
      <c r="FJ7" s="230"/>
      <c r="FK7" s="230"/>
      <c r="FL7" s="230"/>
      <c r="FM7" s="230"/>
      <c r="FN7" s="230"/>
      <c r="FO7" s="230"/>
      <c r="FP7" s="230"/>
      <c r="FQ7" s="230"/>
      <c r="FR7" s="230"/>
      <c r="FS7" s="230"/>
      <c r="FT7" s="230"/>
      <c r="FU7" s="230"/>
      <c r="FV7" s="230"/>
      <c r="FW7" s="230"/>
      <c r="FX7" s="230"/>
      <c r="FY7" s="230"/>
      <c r="FZ7" s="230"/>
      <c r="GA7" s="230"/>
      <c r="GB7" s="230"/>
      <c r="GC7" s="230"/>
      <c r="GD7" s="230"/>
      <c r="GE7" s="230"/>
      <c r="GF7" s="230"/>
      <c r="GG7" s="230"/>
      <c r="GH7" s="230"/>
      <c r="GI7" s="230"/>
      <c r="GJ7" s="230"/>
      <c r="GK7" s="230"/>
      <c r="GL7" s="230"/>
      <c r="GM7" s="230"/>
      <c r="GN7" s="230"/>
      <c r="GO7" s="230"/>
      <c r="GP7" s="230"/>
      <c r="GQ7" s="230"/>
      <c r="GR7" s="230"/>
    </row>
    <row r="8" spans="1:200" s="632" customFormat="1" ht="34.5" customHeight="1" outlineLevel="2" x14ac:dyDescent="0.2">
      <c r="A8" s="636" t="s">
        <v>6449</v>
      </c>
      <c r="B8" s="636" t="s">
        <v>4158</v>
      </c>
      <c r="C8" s="597"/>
      <c r="D8" s="1535"/>
      <c r="E8" s="1153"/>
      <c r="F8" s="635"/>
      <c r="G8" s="1517">
        <v>4</v>
      </c>
      <c r="H8" s="1517">
        <v>3</v>
      </c>
      <c r="I8" s="1517"/>
      <c r="J8" s="1517" t="s">
        <v>1592</v>
      </c>
      <c r="K8" s="1518"/>
      <c r="L8" s="1518"/>
      <c r="M8" s="635"/>
      <c r="N8" s="624"/>
      <c r="O8" s="624"/>
      <c r="P8" s="624"/>
      <c r="Q8" s="624"/>
      <c r="R8" s="624"/>
      <c r="S8" s="624"/>
      <c r="T8" s="624"/>
      <c r="U8" s="624"/>
      <c r="V8" s="624"/>
      <c r="W8" s="624"/>
      <c r="X8" s="624"/>
      <c r="Y8" s="624"/>
      <c r="Z8" s="624"/>
      <c r="AA8">
        <f>IF(AND('12 Ext'!C8&gt;Tmin, NOT('12 Ext'!$I8="")),'12 Ext'!$I8,0)</f>
        <v>0</v>
      </c>
      <c r="AB8">
        <f>IF(AND('12 Ext'!D8&gt;Tmin, NOT('12 Ext'!$I8="")),'12 Ext'!$I8,0)</f>
        <v>0</v>
      </c>
      <c r="AC8">
        <f>IF(AND('12 Ext'!E8&gt;Tmin, NOT('12 Ext'!$I8="")),'12 Ext'!$I8,0)</f>
        <v>0</v>
      </c>
      <c r="AD8">
        <f>IF(AND('12 Ext'!F8&gt;Tmin, NOT('12 Ext'!$I8="")),'12 Ext'!$I8,0)</f>
        <v>0</v>
      </c>
      <c r="AE8">
        <f>IF(AND('12 Ext'!C8&lt;Tmax, NOT('12 Ext'!$H8="")),'12 Ext'!$H8,4)</f>
        <v>3</v>
      </c>
      <c r="AF8">
        <f>IF(AND('12 Ext'!D8&lt;Tmax, NOT('12 Ext'!$H8="")),'12 Ext'!$H8,4)</f>
        <v>3</v>
      </c>
      <c r="AG8">
        <f>IF(AND('12 Ext'!E8&lt;Tmax, NOT('12 Ext'!$H8="")),'12 Ext'!$H8,4)</f>
        <v>3</v>
      </c>
      <c r="AH8">
        <f>IF(AND('12 Ext'!F8&lt;Tmax, NOT('12 Ext'!$H8="")),'12 Ext'!$H8,4)</f>
        <v>3</v>
      </c>
      <c r="AI8"/>
      <c r="AJ8" s="230"/>
      <c r="AK8" s="230"/>
      <c r="AL8" s="230"/>
      <c r="AM8" s="230"/>
      <c r="AN8" s="230"/>
      <c r="AO8" s="230"/>
      <c r="AP8" s="230"/>
      <c r="AQ8" s="230"/>
      <c r="AR8" s="230"/>
      <c r="AS8" s="230"/>
      <c r="AT8" s="230"/>
      <c r="AU8" s="230"/>
      <c r="AV8" s="230"/>
      <c r="AW8" s="230"/>
      <c r="AX8" s="230"/>
      <c r="AY8" s="230"/>
      <c r="AZ8" s="230"/>
      <c r="BA8" s="230"/>
      <c r="BB8" s="230"/>
      <c r="BC8" s="230"/>
      <c r="BD8" s="230"/>
      <c r="BE8" s="230"/>
      <c r="BF8" s="230"/>
      <c r="BG8" s="230"/>
      <c r="BH8" s="230"/>
      <c r="BI8" s="230"/>
      <c r="BJ8" s="230"/>
      <c r="BK8" s="230"/>
      <c r="BL8" s="230"/>
      <c r="BM8" s="230"/>
      <c r="BN8" s="230"/>
      <c r="BO8" s="230"/>
      <c r="BP8" s="230"/>
      <c r="BQ8" s="230"/>
      <c r="BR8" s="230"/>
      <c r="BS8" s="230"/>
      <c r="BT8" s="230"/>
      <c r="BU8" s="230"/>
      <c r="BV8" s="230"/>
      <c r="BW8" s="230"/>
      <c r="BX8" s="230"/>
      <c r="BY8" s="230"/>
      <c r="BZ8" s="230"/>
      <c r="CA8" s="230"/>
      <c r="CB8" s="230"/>
      <c r="CC8" s="230"/>
      <c r="CD8" s="230"/>
      <c r="CE8" s="230"/>
      <c r="CF8" s="230"/>
      <c r="CG8" s="230"/>
      <c r="CH8" s="230"/>
      <c r="CI8" s="230"/>
      <c r="CJ8" s="230"/>
      <c r="CK8" s="230"/>
      <c r="CL8" s="230"/>
      <c r="CM8" s="230"/>
      <c r="CN8" s="230"/>
      <c r="CO8" s="230"/>
      <c r="CP8" s="230"/>
      <c r="CQ8" s="230"/>
      <c r="CR8" s="230"/>
      <c r="CS8" s="230"/>
      <c r="CT8" s="230"/>
      <c r="CU8" s="230"/>
      <c r="CV8" s="230"/>
      <c r="CW8" s="230"/>
      <c r="CX8" s="230"/>
      <c r="CY8" s="230"/>
      <c r="CZ8" s="230"/>
      <c r="DA8" s="230"/>
      <c r="DB8" s="230"/>
      <c r="DC8" s="230"/>
      <c r="DD8" s="230"/>
      <c r="DE8" s="230"/>
      <c r="DF8" s="230"/>
      <c r="DG8" s="230"/>
      <c r="DH8" s="230"/>
      <c r="DI8" s="230"/>
      <c r="DJ8" s="230"/>
      <c r="DK8" s="230"/>
      <c r="DL8" s="230"/>
      <c r="DM8" s="230"/>
      <c r="DN8" s="230"/>
      <c r="DO8" s="230"/>
      <c r="DP8" s="230"/>
      <c r="DQ8" s="230"/>
      <c r="DR8" s="230"/>
      <c r="DS8" s="230"/>
      <c r="DT8" s="230"/>
      <c r="DU8" s="230"/>
      <c r="DV8" s="230"/>
      <c r="DW8" s="230"/>
      <c r="DX8" s="230"/>
      <c r="DY8" s="230"/>
      <c r="DZ8" s="230"/>
      <c r="EA8" s="230"/>
      <c r="EB8" s="230"/>
      <c r="EC8" s="230"/>
      <c r="ED8" s="230"/>
      <c r="EE8" s="230"/>
      <c r="EF8" s="230"/>
      <c r="EG8" s="230"/>
      <c r="EH8" s="230"/>
      <c r="EI8" s="230"/>
      <c r="EJ8" s="230"/>
      <c r="EK8" s="230"/>
      <c r="EL8" s="230"/>
      <c r="EM8" s="230"/>
      <c r="EN8" s="230"/>
      <c r="EO8" s="230"/>
      <c r="EP8" s="230"/>
      <c r="EQ8" s="230"/>
      <c r="ER8" s="230"/>
      <c r="ES8" s="230"/>
      <c r="ET8" s="230"/>
      <c r="EU8" s="230"/>
      <c r="EV8" s="230"/>
      <c r="EW8" s="230"/>
      <c r="EX8" s="230"/>
      <c r="EY8" s="230"/>
      <c r="EZ8" s="230"/>
      <c r="FA8" s="230"/>
      <c r="FB8" s="230"/>
      <c r="FC8" s="230"/>
      <c r="FD8" s="230"/>
      <c r="FE8" s="230"/>
      <c r="FF8" s="230"/>
      <c r="FG8" s="230"/>
      <c r="FH8" s="230"/>
      <c r="FI8" s="230"/>
      <c r="FJ8" s="230"/>
      <c r="FK8" s="230"/>
      <c r="FL8" s="230"/>
      <c r="FM8" s="230"/>
      <c r="FN8" s="230"/>
      <c r="FO8" s="230"/>
      <c r="FP8" s="230"/>
      <c r="FQ8" s="230"/>
      <c r="FR8" s="230"/>
      <c r="FS8" s="230"/>
      <c r="FT8" s="230"/>
      <c r="FU8" s="230"/>
      <c r="FV8" s="230"/>
      <c r="FW8" s="230"/>
      <c r="FX8" s="230"/>
      <c r="FY8" s="230"/>
      <c r="FZ8" s="230"/>
      <c r="GA8" s="230"/>
      <c r="GB8" s="230"/>
      <c r="GC8" s="230"/>
      <c r="GD8" s="230"/>
      <c r="GE8" s="230"/>
      <c r="GF8" s="230"/>
      <c r="GG8" s="230"/>
      <c r="GH8" s="230"/>
      <c r="GI8" s="230"/>
      <c r="GJ8" s="230"/>
      <c r="GK8" s="230"/>
      <c r="GL8" s="230"/>
      <c r="GM8" s="230"/>
      <c r="GN8" s="230"/>
      <c r="GO8" s="230"/>
      <c r="GP8" s="230"/>
      <c r="GQ8" s="230"/>
      <c r="GR8" s="230"/>
    </row>
    <row r="9" spans="1:200" s="632" customFormat="1" ht="45.75" customHeight="1" outlineLevel="2" x14ac:dyDescent="0.2">
      <c r="A9" s="636" t="s">
        <v>4260</v>
      </c>
      <c r="B9" s="636" t="s">
        <v>6024</v>
      </c>
      <c r="C9" s="597"/>
      <c r="D9" s="1535"/>
      <c r="E9" s="1153"/>
      <c r="F9" s="635"/>
      <c r="G9" s="1517">
        <v>4</v>
      </c>
      <c r="H9" s="1517">
        <v>2</v>
      </c>
      <c r="I9" s="1526"/>
      <c r="J9" s="1521" t="s">
        <v>1592</v>
      </c>
      <c r="K9" s="1518"/>
      <c r="L9" s="1518"/>
      <c r="M9" s="635"/>
      <c r="N9" s="624"/>
      <c r="O9" s="624"/>
      <c r="P9" s="624"/>
      <c r="Q9" s="624"/>
      <c r="R9" s="624"/>
      <c r="S9" s="624"/>
      <c r="T9" s="624"/>
      <c r="U9" s="624"/>
      <c r="V9" s="624"/>
      <c r="W9" s="624"/>
      <c r="X9" s="624"/>
      <c r="Y9" s="624"/>
      <c r="Z9" s="624"/>
      <c r="AA9">
        <f>IF(AND('12 Ext'!C9&gt;Tmin, NOT('12 Ext'!$I9="")),'12 Ext'!$I9,0)</f>
        <v>0</v>
      </c>
      <c r="AB9">
        <f>IF(AND('12 Ext'!D9&gt;Tmin, NOT('12 Ext'!$I9="")),'12 Ext'!$I9,0)</f>
        <v>0</v>
      </c>
      <c r="AC9">
        <f>IF(AND('12 Ext'!E9&gt;Tmin, NOT('12 Ext'!$I9="")),'12 Ext'!$I9,0)</f>
        <v>0</v>
      </c>
      <c r="AD9">
        <f>IF(AND('12 Ext'!F9&gt;Tmin, NOT('12 Ext'!$I9="")),'12 Ext'!$I9,0)</f>
        <v>0</v>
      </c>
      <c r="AE9">
        <f>IF(AND('12 Ext'!C9&lt;Tmax, NOT('12 Ext'!$H9="")),'12 Ext'!$H9,4)</f>
        <v>2</v>
      </c>
      <c r="AF9">
        <f>IF(AND('12 Ext'!D9&lt;Tmax, NOT('12 Ext'!$H9="")),'12 Ext'!$H9,4)</f>
        <v>2</v>
      </c>
      <c r="AG9">
        <f>IF(AND('12 Ext'!E9&lt;Tmax, NOT('12 Ext'!$H9="")),'12 Ext'!$H9,4)</f>
        <v>2</v>
      </c>
      <c r="AH9">
        <f>IF(AND('12 Ext'!F9&lt;Tmax, NOT('12 Ext'!$H9="")),'12 Ext'!$H9,4)</f>
        <v>2</v>
      </c>
      <c r="AI9"/>
      <c r="AJ9" s="230"/>
      <c r="AK9" s="230"/>
      <c r="AL9" s="230"/>
      <c r="AM9" s="230"/>
      <c r="AN9" s="230"/>
      <c r="AO9" s="230"/>
      <c r="AP9" s="230"/>
      <c r="AQ9" s="230"/>
      <c r="AR9" s="230"/>
      <c r="AS9" s="230"/>
      <c r="AT9" s="230"/>
      <c r="AU9" s="230"/>
      <c r="AV9" s="230"/>
      <c r="AW9" s="230"/>
      <c r="AX9" s="230"/>
      <c r="AY9" s="230"/>
      <c r="AZ9" s="230"/>
      <c r="BA9" s="230"/>
      <c r="BB9" s="230"/>
      <c r="BC9" s="230"/>
      <c r="BD9" s="230"/>
      <c r="BE9" s="230"/>
      <c r="BF9" s="230"/>
      <c r="BG9" s="230"/>
      <c r="BH9" s="230"/>
      <c r="BI9" s="230"/>
      <c r="BJ9" s="230"/>
      <c r="BK9" s="230"/>
      <c r="BL9" s="230"/>
      <c r="BM9" s="230"/>
      <c r="BN9" s="230"/>
      <c r="BO9" s="230"/>
      <c r="BP9" s="230"/>
      <c r="BQ9" s="230"/>
      <c r="BR9" s="230"/>
      <c r="BS9" s="230"/>
      <c r="BT9" s="230"/>
      <c r="BU9" s="230"/>
      <c r="BV9" s="230"/>
      <c r="BW9" s="230"/>
      <c r="BX9" s="230"/>
      <c r="BY9" s="230"/>
      <c r="BZ9" s="230"/>
      <c r="CA9" s="230"/>
      <c r="CB9" s="230"/>
      <c r="CC9" s="230"/>
      <c r="CD9" s="230"/>
      <c r="CE9" s="230"/>
      <c r="CF9" s="230"/>
      <c r="CG9" s="230"/>
      <c r="CH9" s="230"/>
      <c r="CI9" s="230"/>
      <c r="CJ9" s="230"/>
      <c r="CK9" s="230"/>
      <c r="CL9" s="230"/>
      <c r="CM9" s="230"/>
      <c r="CN9" s="230"/>
      <c r="CO9" s="230"/>
      <c r="CP9" s="230"/>
      <c r="CQ9" s="230"/>
      <c r="CR9" s="230"/>
      <c r="CS9" s="230"/>
      <c r="CT9" s="230"/>
      <c r="CU9" s="230"/>
      <c r="CV9" s="230"/>
      <c r="CW9" s="230"/>
      <c r="CX9" s="230"/>
      <c r="CY9" s="230"/>
      <c r="CZ9" s="230"/>
      <c r="DA9" s="230"/>
      <c r="DB9" s="230"/>
      <c r="DC9" s="230"/>
      <c r="DD9" s="230"/>
      <c r="DE9" s="230"/>
      <c r="DF9" s="230"/>
      <c r="DG9" s="230"/>
      <c r="DH9" s="230"/>
      <c r="DI9" s="230"/>
      <c r="DJ9" s="230"/>
      <c r="DK9" s="230"/>
      <c r="DL9" s="230"/>
      <c r="DM9" s="230"/>
      <c r="DN9" s="230"/>
      <c r="DO9" s="230"/>
      <c r="DP9" s="230"/>
      <c r="DQ9" s="230"/>
      <c r="DR9" s="230"/>
      <c r="DS9" s="230"/>
      <c r="DT9" s="230"/>
      <c r="DU9" s="230"/>
      <c r="DV9" s="230"/>
      <c r="DW9" s="230"/>
      <c r="DX9" s="230"/>
      <c r="DY9" s="230"/>
      <c r="DZ9" s="230"/>
      <c r="EA9" s="230"/>
      <c r="EB9" s="230"/>
      <c r="EC9" s="230"/>
      <c r="ED9" s="230"/>
      <c r="EE9" s="230"/>
      <c r="EF9" s="230"/>
      <c r="EG9" s="230"/>
      <c r="EH9" s="230"/>
      <c r="EI9" s="230"/>
      <c r="EJ9" s="230"/>
      <c r="EK9" s="230"/>
      <c r="EL9" s="230"/>
      <c r="EM9" s="230"/>
      <c r="EN9" s="230"/>
      <c r="EO9" s="230"/>
      <c r="EP9" s="230"/>
      <c r="EQ9" s="230"/>
      <c r="ER9" s="230"/>
      <c r="ES9" s="230"/>
      <c r="ET9" s="230"/>
      <c r="EU9" s="230"/>
      <c r="EV9" s="230"/>
      <c r="EW9" s="230"/>
      <c r="EX9" s="230"/>
      <c r="EY9" s="230"/>
      <c r="EZ9" s="230"/>
      <c r="FA9" s="230"/>
      <c r="FB9" s="230"/>
      <c r="FC9" s="230"/>
      <c r="FD9" s="230"/>
      <c r="FE9" s="230"/>
      <c r="FF9" s="230"/>
      <c r="FG9" s="230"/>
      <c r="FH9" s="230"/>
      <c r="FI9" s="230"/>
      <c r="FJ9" s="230"/>
      <c r="FK9" s="230"/>
      <c r="FL9" s="230"/>
      <c r="FM9" s="230"/>
      <c r="FN9" s="230"/>
      <c r="FO9" s="230"/>
      <c r="FP9" s="230"/>
      <c r="FQ9" s="230"/>
      <c r="FR9" s="230"/>
      <c r="FS9" s="230"/>
      <c r="FT9" s="230"/>
      <c r="FU9" s="230"/>
      <c r="FV9" s="230"/>
      <c r="FW9" s="230"/>
      <c r="FX9" s="230"/>
      <c r="FY9" s="230"/>
      <c r="FZ9" s="230"/>
      <c r="GA9" s="230"/>
      <c r="GB9" s="230"/>
      <c r="GC9" s="230"/>
      <c r="GD9" s="230"/>
      <c r="GE9" s="230"/>
      <c r="GF9" s="230"/>
      <c r="GG9" s="230"/>
      <c r="GH9" s="230"/>
      <c r="GI9" s="230"/>
      <c r="GJ9" s="230"/>
      <c r="GK9" s="230"/>
      <c r="GL9" s="230"/>
      <c r="GM9" s="230"/>
      <c r="GN9" s="230"/>
      <c r="GO9" s="230"/>
      <c r="GP9" s="230"/>
      <c r="GQ9" s="230"/>
      <c r="GR9" s="230"/>
    </row>
    <row r="10" spans="1:200" s="632" customFormat="1" outlineLevel="2" x14ac:dyDescent="0.2">
      <c r="A10" s="636" t="s">
        <v>4261</v>
      </c>
      <c r="B10" s="636" t="s">
        <v>4195</v>
      </c>
      <c r="C10" s="597"/>
      <c r="D10" s="1535"/>
      <c r="E10" s="1153"/>
      <c r="F10" s="635"/>
      <c r="G10" s="1517">
        <v>2</v>
      </c>
      <c r="H10" s="1517"/>
      <c r="I10" s="1517"/>
      <c r="J10" s="1517" t="s">
        <v>1592</v>
      </c>
      <c r="K10" s="1518"/>
      <c r="L10" s="1518"/>
      <c r="M10" s="635"/>
      <c r="N10" s="624"/>
      <c r="O10" s="624"/>
      <c r="P10" s="624"/>
      <c r="Q10" s="624"/>
      <c r="R10" s="624"/>
      <c r="S10" s="624"/>
      <c r="T10" s="624"/>
      <c r="U10" s="624"/>
      <c r="V10" s="624"/>
      <c r="W10" s="624"/>
      <c r="X10" s="624"/>
      <c r="Y10" s="624"/>
      <c r="Z10" s="624"/>
      <c r="AA10">
        <f>IF(AND('12 Ext'!C10&gt;Tmin, NOT('12 Ext'!$I10="")),'12 Ext'!$I10,0)</f>
        <v>0</v>
      </c>
      <c r="AB10">
        <f>IF(AND('12 Ext'!D10&gt;Tmin, NOT('12 Ext'!$I10="")),'12 Ext'!$I10,0)</f>
        <v>0</v>
      </c>
      <c r="AC10">
        <f>IF(AND('12 Ext'!E10&gt;Tmin, NOT('12 Ext'!$I10="")),'12 Ext'!$I10,0)</f>
        <v>0</v>
      </c>
      <c r="AD10">
        <f>IF(AND('12 Ext'!F10&gt;Tmin, NOT('12 Ext'!$I10="")),'12 Ext'!$I10,0)</f>
        <v>0</v>
      </c>
      <c r="AE10">
        <f>IF(AND('12 Ext'!C10&lt;Tmax, NOT('12 Ext'!$H10="")),'12 Ext'!$H10,4)</f>
        <v>4</v>
      </c>
      <c r="AF10">
        <f>IF(AND('12 Ext'!D10&lt;Tmax, NOT('12 Ext'!$H10="")),'12 Ext'!$H10,4)</f>
        <v>4</v>
      </c>
      <c r="AG10">
        <f>IF(AND('12 Ext'!E10&lt;Tmax, NOT('12 Ext'!$H10="")),'12 Ext'!$H10,4)</f>
        <v>4</v>
      </c>
      <c r="AH10">
        <f>IF(AND('12 Ext'!F10&lt;Tmax, NOT('12 Ext'!$H10="")),'12 Ext'!$H10,4)</f>
        <v>4</v>
      </c>
      <c r="AI10"/>
      <c r="AJ10" s="230"/>
      <c r="AK10" s="230"/>
      <c r="AL10" s="230"/>
      <c r="AM10" s="230"/>
      <c r="AN10" s="230"/>
      <c r="AO10" s="230"/>
      <c r="AP10" s="230"/>
      <c r="AQ10" s="230"/>
      <c r="AR10" s="230"/>
      <c r="AS10" s="230"/>
      <c r="AT10" s="230"/>
      <c r="AU10" s="230"/>
      <c r="AV10" s="230"/>
      <c r="AW10" s="230"/>
      <c r="AX10" s="230"/>
      <c r="AY10" s="230"/>
      <c r="AZ10" s="230"/>
      <c r="BA10" s="230"/>
      <c r="BB10" s="230"/>
      <c r="BC10" s="230"/>
      <c r="BD10" s="230"/>
      <c r="BE10" s="230"/>
      <c r="BF10" s="230"/>
      <c r="BG10" s="230"/>
      <c r="BH10" s="230"/>
      <c r="BI10" s="230"/>
      <c r="BJ10" s="230"/>
      <c r="BK10" s="230"/>
      <c r="BL10" s="230"/>
      <c r="BM10" s="230"/>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230"/>
      <c r="CR10" s="230"/>
      <c r="CS10" s="230"/>
      <c r="CT10" s="230"/>
      <c r="CU10" s="230"/>
      <c r="CV10" s="230"/>
      <c r="CW10" s="230"/>
      <c r="CX10" s="230"/>
      <c r="CY10" s="230"/>
      <c r="CZ10" s="230"/>
      <c r="DA10" s="230"/>
      <c r="DB10" s="230"/>
      <c r="DC10" s="230"/>
      <c r="DD10" s="230"/>
      <c r="DE10" s="230"/>
      <c r="DF10" s="230"/>
      <c r="DG10" s="230"/>
      <c r="DH10" s="230"/>
      <c r="DI10" s="230"/>
      <c r="DJ10" s="230"/>
      <c r="DK10" s="230"/>
      <c r="DL10" s="230"/>
      <c r="DM10" s="230"/>
      <c r="DN10" s="230"/>
      <c r="DO10" s="230"/>
      <c r="DP10" s="230"/>
      <c r="DQ10" s="230"/>
      <c r="DR10" s="230"/>
      <c r="DS10" s="230"/>
      <c r="DT10" s="230"/>
      <c r="DU10" s="230"/>
      <c r="DV10" s="230"/>
      <c r="DW10" s="230"/>
      <c r="DX10" s="230"/>
      <c r="DY10" s="230"/>
      <c r="DZ10" s="230"/>
      <c r="EA10" s="230"/>
      <c r="EB10" s="230"/>
      <c r="EC10" s="230"/>
      <c r="ED10" s="230"/>
      <c r="EE10" s="230"/>
      <c r="EF10" s="230"/>
      <c r="EG10" s="230"/>
      <c r="EH10" s="230"/>
      <c r="EI10" s="230"/>
      <c r="EJ10" s="230"/>
      <c r="EK10" s="230"/>
      <c r="EL10" s="230"/>
      <c r="EM10" s="230"/>
      <c r="EN10" s="230"/>
      <c r="EO10" s="230"/>
      <c r="EP10" s="230"/>
      <c r="EQ10" s="230"/>
      <c r="ER10" s="230"/>
      <c r="ES10" s="230"/>
      <c r="ET10" s="230"/>
      <c r="EU10" s="230"/>
      <c r="EV10" s="230"/>
      <c r="EW10" s="230"/>
      <c r="EX10" s="230"/>
      <c r="EY10" s="230"/>
      <c r="EZ10" s="230"/>
      <c r="FA10" s="230"/>
      <c r="FB10" s="230"/>
      <c r="FC10" s="230"/>
      <c r="FD10" s="230"/>
      <c r="FE10" s="230"/>
      <c r="FF10" s="230"/>
      <c r="FG10" s="230"/>
      <c r="FH10" s="230"/>
      <c r="FI10" s="230"/>
      <c r="FJ10" s="230"/>
      <c r="FK10" s="230"/>
      <c r="FL10" s="230"/>
      <c r="FM10" s="230"/>
      <c r="FN10" s="230"/>
      <c r="FO10" s="230"/>
      <c r="FP10" s="230"/>
      <c r="FQ10" s="230"/>
      <c r="FR10" s="230"/>
      <c r="FS10" s="230"/>
      <c r="FT10" s="230"/>
      <c r="FU10" s="230"/>
      <c r="FV10" s="230"/>
      <c r="FW10" s="230"/>
      <c r="FX10" s="230"/>
      <c r="FY10" s="230"/>
      <c r="FZ10" s="230"/>
      <c r="GA10" s="230"/>
      <c r="GB10" s="230"/>
      <c r="GC10" s="230"/>
      <c r="GD10" s="230"/>
      <c r="GE10" s="230"/>
      <c r="GF10" s="230"/>
      <c r="GG10" s="230"/>
      <c r="GH10" s="230"/>
      <c r="GI10" s="230"/>
      <c r="GJ10" s="230"/>
      <c r="GK10" s="230"/>
      <c r="GL10" s="230"/>
      <c r="GM10" s="230"/>
      <c r="GN10" s="230"/>
      <c r="GO10" s="230"/>
      <c r="GP10" s="230"/>
      <c r="GQ10" s="230"/>
      <c r="GR10" s="230"/>
    </row>
    <row r="11" spans="1:200" s="632" customFormat="1" ht="22.5" outlineLevel="2" x14ac:dyDescent="0.2">
      <c r="A11" s="636" t="s">
        <v>4262</v>
      </c>
      <c r="B11" s="636" t="s">
        <v>3154</v>
      </c>
      <c r="C11" s="597"/>
      <c r="D11" s="1535"/>
      <c r="E11" s="1153"/>
      <c r="F11" s="635"/>
      <c r="G11" s="1517">
        <v>2</v>
      </c>
      <c r="H11" s="1517">
        <v>3</v>
      </c>
      <c r="I11" s="1526"/>
      <c r="J11" s="1525" t="s">
        <v>2349</v>
      </c>
      <c r="K11" s="1518"/>
      <c r="L11" s="1518"/>
      <c r="M11" s="635"/>
      <c r="N11" s="624"/>
      <c r="O11" s="624"/>
      <c r="P11" s="624"/>
      <c r="Q11" s="624"/>
      <c r="R11" s="624"/>
      <c r="S11" s="624"/>
      <c r="T11" s="624"/>
      <c r="U11" s="624"/>
      <c r="V11" s="624"/>
      <c r="W11" s="624"/>
      <c r="X11" s="624"/>
      <c r="Y11" s="624"/>
      <c r="Z11" s="624"/>
      <c r="AA11">
        <f>IF(AND('12 Ext'!C11&gt;Tmin, NOT('12 Ext'!$I11="")),'12 Ext'!$I11,0)</f>
        <v>0</v>
      </c>
      <c r="AB11">
        <f>IF(AND('12 Ext'!D11&gt;Tmin, NOT('12 Ext'!$I11="")),'12 Ext'!$I11,0)</f>
        <v>0</v>
      </c>
      <c r="AC11">
        <f>IF(AND('12 Ext'!E11&gt;Tmin, NOT('12 Ext'!$I11="")),'12 Ext'!$I11,0)</f>
        <v>0</v>
      </c>
      <c r="AD11">
        <f>IF(AND('12 Ext'!F11&gt;Tmin, NOT('12 Ext'!$I11="")),'12 Ext'!$I11,0)</f>
        <v>0</v>
      </c>
      <c r="AE11">
        <f>IF(AND('12 Ext'!C11&lt;Tmax, NOT('12 Ext'!$H11="")),'12 Ext'!$H11,4)</f>
        <v>3</v>
      </c>
      <c r="AF11">
        <f>IF(AND('12 Ext'!D11&lt;Tmax, NOT('12 Ext'!$H11="")),'12 Ext'!$H11,4)</f>
        <v>3</v>
      </c>
      <c r="AG11">
        <f>IF(AND('12 Ext'!E11&lt;Tmax, NOT('12 Ext'!$H11="")),'12 Ext'!$H11,4)</f>
        <v>3</v>
      </c>
      <c r="AH11">
        <f>IF(AND('12 Ext'!F11&lt;Tmax, NOT('12 Ext'!$H11="")),'12 Ext'!$H11,4)</f>
        <v>3</v>
      </c>
      <c r="AI11"/>
      <c r="AJ11" s="230"/>
      <c r="AK11" s="230"/>
      <c r="AL11" s="230"/>
      <c r="AM11" s="230"/>
      <c r="AN11" s="230"/>
      <c r="AO11" s="230"/>
      <c r="AP11" s="230"/>
      <c r="AQ11" s="230"/>
      <c r="AR11" s="230"/>
      <c r="AS11" s="230"/>
      <c r="AT11" s="230"/>
      <c r="AU11" s="230"/>
      <c r="AV11" s="230"/>
      <c r="AW11" s="230"/>
      <c r="AX11" s="230"/>
      <c r="AY11" s="230"/>
      <c r="AZ11" s="230"/>
      <c r="BA11" s="230"/>
      <c r="BB11" s="230"/>
      <c r="BC11" s="230"/>
      <c r="BD11" s="230"/>
      <c r="BE11" s="230"/>
      <c r="BF11" s="230"/>
      <c r="BG11" s="230"/>
      <c r="BH11" s="230"/>
      <c r="BI11" s="230"/>
      <c r="BJ11" s="230"/>
      <c r="BK11" s="230"/>
      <c r="BL11" s="230"/>
      <c r="BM11" s="230"/>
      <c r="BN11" s="230"/>
      <c r="BO11" s="230"/>
      <c r="BP11" s="230"/>
      <c r="BQ11" s="230"/>
      <c r="BR11" s="230"/>
      <c r="BS11" s="230"/>
      <c r="BT11" s="230"/>
      <c r="BU11" s="230"/>
      <c r="BV11" s="230"/>
      <c r="BW11" s="230"/>
      <c r="BX11" s="230"/>
      <c r="BY11" s="230"/>
      <c r="BZ11" s="230"/>
      <c r="CA11" s="230"/>
      <c r="CB11" s="230"/>
      <c r="CC11" s="230"/>
      <c r="CD11" s="230"/>
      <c r="CE11" s="230"/>
      <c r="CF11" s="230"/>
      <c r="CG11" s="230"/>
      <c r="CH11" s="230"/>
      <c r="CI11" s="230"/>
      <c r="CJ11" s="230"/>
      <c r="CK11" s="230"/>
      <c r="CL11" s="230"/>
      <c r="CM11" s="230"/>
      <c r="CN11" s="230"/>
      <c r="CO11" s="230"/>
      <c r="CP11" s="230"/>
      <c r="CQ11" s="230"/>
      <c r="CR11" s="230"/>
      <c r="CS11" s="230"/>
      <c r="CT11" s="230"/>
      <c r="CU11" s="230"/>
      <c r="CV11" s="230"/>
      <c r="CW11" s="230"/>
      <c r="CX11" s="230"/>
      <c r="CY11" s="230"/>
      <c r="CZ11" s="230"/>
      <c r="DA11" s="230"/>
      <c r="DB11" s="230"/>
      <c r="DC11" s="230"/>
      <c r="DD11" s="230"/>
      <c r="DE11" s="230"/>
      <c r="DF11" s="230"/>
      <c r="DG11" s="230"/>
      <c r="DH11" s="230"/>
      <c r="DI11" s="230"/>
      <c r="DJ11" s="230"/>
      <c r="DK11" s="230"/>
      <c r="DL11" s="230"/>
      <c r="DM11" s="230"/>
      <c r="DN11" s="230"/>
      <c r="DO11" s="230"/>
      <c r="DP11" s="230"/>
      <c r="DQ11" s="230"/>
      <c r="DR11" s="230"/>
      <c r="DS11" s="230"/>
      <c r="DT11" s="230"/>
      <c r="DU11" s="230"/>
      <c r="DV11" s="230"/>
      <c r="DW11" s="230"/>
      <c r="DX11" s="230"/>
      <c r="DY11" s="230"/>
      <c r="DZ11" s="230"/>
      <c r="EA11" s="230"/>
      <c r="EB11" s="230"/>
      <c r="EC11" s="230"/>
      <c r="ED11" s="230"/>
      <c r="EE11" s="230"/>
      <c r="EF11" s="230"/>
      <c r="EG11" s="230"/>
      <c r="EH11" s="230"/>
      <c r="EI11" s="230"/>
      <c r="EJ11" s="230"/>
      <c r="EK11" s="230"/>
      <c r="EL11" s="230"/>
      <c r="EM11" s="230"/>
      <c r="EN11" s="230"/>
      <c r="EO11" s="230"/>
      <c r="EP11" s="230"/>
      <c r="EQ11" s="230"/>
      <c r="ER11" s="230"/>
      <c r="ES11" s="230"/>
      <c r="ET11" s="230"/>
      <c r="EU11" s="230"/>
      <c r="EV11" s="230"/>
      <c r="EW11" s="230"/>
      <c r="EX11" s="230"/>
      <c r="EY11" s="230"/>
      <c r="EZ11" s="230"/>
      <c r="FA11" s="230"/>
      <c r="FB11" s="230"/>
      <c r="FC11" s="230"/>
      <c r="FD11" s="230"/>
      <c r="FE11" s="230"/>
      <c r="FF11" s="230"/>
      <c r="FG11" s="230"/>
      <c r="FH11" s="230"/>
      <c r="FI11" s="230"/>
      <c r="FJ11" s="230"/>
      <c r="FK11" s="230"/>
      <c r="FL11" s="230"/>
      <c r="FM11" s="230"/>
      <c r="FN11" s="230"/>
      <c r="FO11" s="230"/>
      <c r="FP11" s="230"/>
      <c r="FQ11" s="230"/>
      <c r="FR11" s="230"/>
      <c r="FS11" s="230"/>
      <c r="FT11" s="230"/>
      <c r="FU11" s="230"/>
      <c r="FV11" s="230"/>
      <c r="FW11" s="230"/>
      <c r="FX11" s="230"/>
      <c r="FY11" s="230"/>
      <c r="FZ11" s="230"/>
      <c r="GA11" s="230"/>
      <c r="GB11" s="230"/>
      <c r="GC11" s="230"/>
      <c r="GD11" s="230"/>
      <c r="GE11" s="230"/>
      <c r="GF11" s="230"/>
      <c r="GG11" s="230"/>
      <c r="GH11" s="230"/>
      <c r="GI11" s="230"/>
      <c r="GJ11" s="230"/>
      <c r="GK11" s="230"/>
      <c r="GL11" s="230"/>
      <c r="GM11" s="230"/>
      <c r="GN11" s="230"/>
      <c r="GO11" s="230"/>
      <c r="GP11" s="230"/>
      <c r="GQ11" s="230"/>
      <c r="GR11" s="230"/>
    </row>
    <row r="12" spans="1:200" s="632" customFormat="1" ht="22.5" outlineLevel="2" x14ac:dyDescent="0.2">
      <c r="A12" s="636" t="s">
        <v>4263</v>
      </c>
      <c r="B12" s="636" t="s">
        <v>2709</v>
      </c>
      <c r="C12" s="597"/>
      <c r="D12" s="1535"/>
      <c r="E12" s="1153"/>
      <c r="F12" s="635"/>
      <c r="G12" s="1517">
        <v>2</v>
      </c>
      <c r="H12" s="1517">
        <v>3</v>
      </c>
      <c r="I12" s="1526"/>
      <c r="J12" s="1525" t="s">
        <v>2349</v>
      </c>
      <c r="K12" s="1518"/>
      <c r="L12" s="1518"/>
      <c r="M12" s="635"/>
      <c r="N12" s="624"/>
      <c r="O12" s="624"/>
      <c r="P12" s="624"/>
      <c r="Q12" s="624"/>
      <c r="R12" s="624"/>
      <c r="S12" s="624"/>
      <c r="T12" s="624"/>
      <c r="U12" s="624"/>
      <c r="V12" s="624"/>
      <c r="W12" s="624"/>
      <c r="X12" s="624"/>
      <c r="Y12" s="624"/>
      <c r="Z12" s="624"/>
      <c r="AA12">
        <f>IF(AND('12 Ext'!C12&gt;Tmin, NOT('12 Ext'!$I12="")),'12 Ext'!$I12,0)</f>
        <v>0</v>
      </c>
      <c r="AB12">
        <f>IF(AND('12 Ext'!D12&gt;Tmin, NOT('12 Ext'!$I12="")),'12 Ext'!$I12,0)</f>
        <v>0</v>
      </c>
      <c r="AC12">
        <f>IF(AND('12 Ext'!E12&gt;Tmin, NOT('12 Ext'!$I12="")),'12 Ext'!$I12,0)</f>
        <v>0</v>
      </c>
      <c r="AD12">
        <f>IF(AND('12 Ext'!F12&gt;Tmin, NOT('12 Ext'!$I12="")),'12 Ext'!$I12,0)</f>
        <v>0</v>
      </c>
      <c r="AE12">
        <f>IF(AND('12 Ext'!C12&lt;Tmax, NOT('12 Ext'!$H12="")),'12 Ext'!$H12,4)</f>
        <v>3</v>
      </c>
      <c r="AF12">
        <f>IF(AND('12 Ext'!D12&lt;Tmax, NOT('12 Ext'!$H12="")),'12 Ext'!$H12,4)</f>
        <v>3</v>
      </c>
      <c r="AG12">
        <f>IF(AND('12 Ext'!E12&lt;Tmax, NOT('12 Ext'!$H12="")),'12 Ext'!$H12,4)</f>
        <v>3</v>
      </c>
      <c r="AH12">
        <f>IF(AND('12 Ext'!F12&lt;Tmax, NOT('12 Ext'!$H12="")),'12 Ext'!$H12,4)</f>
        <v>3</v>
      </c>
      <c r="AI12"/>
      <c r="AJ12" s="230"/>
      <c r="AK12" s="230"/>
      <c r="AL12" s="230"/>
      <c r="AM12" s="230"/>
      <c r="AN12" s="230"/>
      <c r="AO12" s="230"/>
      <c r="AP12" s="230"/>
      <c r="AQ12" s="230"/>
      <c r="AR12" s="230"/>
      <c r="AS12" s="230"/>
      <c r="AT12" s="230"/>
      <c r="AU12" s="230"/>
      <c r="AV12" s="230"/>
      <c r="AW12" s="230"/>
      <c r="AX12" s="230"/>
      <c r="AY12" s="230"/>
      <c r="AZ12" s="230"/>
      <c r="BA12" s="230"/>
      <c r="BB12" s="230"/>
      <c r="BC12" s="230"/>
      <c r="BD12" s="230"/>
      <c r="BE12" s="230"/>
      <c r="BF12" s="230"/>
      <c r="BG12" s="230"/>
      <c r="BH12" s="230"/>
      <c r="BI12" s="230"/>
      <c r="BJ12" s="230"/>
      <c r="BK12" s="230"/>
      <c r="BL12" s="230"/>
      <c r="BM12" s="230"/>
      <c r="BN12" s="230"/>
      <c r="BO12" s="230"/>
      <c r="BP12" s="230"/>
      <c r="BQ12" s="230"/>
      <c r="BR12" s="230"/>
      <c r="BS12" s="230"/>
      <c r="BT12" s="230"/>
      <c r="BU12" s="230"/>
      <c r="BV12" s="230"/>
      <c r="BW12" s="230"/>
      <c r="BX12" s="230"/>
      <c r="BY12" s="230"/>
      <c r="BZ12" s="230"/>
      <c r="CA12" s="230"/>
      <c r="CB12" s="230"/>
      <c r="CC12" s="230"/>
      <c r="CD12" s="230"/>
      <c r="CE12" s="230"/>
      <c r="CF12" s="230"/>
      <c r="CG12" s="230"/>
      <c r="CH12" s="230"/>
      <c r="CI12" s="230"/>
      <c r="CJ12" s="230"/>
      <c r="CK12" s="230"/>
      <c r="CL12" s="230"/>
      <c r="CM12" s="230"/>
      <c r="CN12" s="230"/>
      <c r="CO12" s="230"/>
      <c r="CP12" s="230"/>
      <c r="CQ12" s="230"/>
      <c r="CR12" s="230"/>
      <c r="CS12" s="230"/>
      <c r="CT12" s="230"/>
      <c r="CU12" s="230"/>
      <c r="CV12" s="230"/>
      <c r="CW12" s="230"/>
      <c r="CX12" s="230"/>
      <c r="CY12" s="230"/>
      <c r="CZ12" s="230"/>
      <c r="DA12" s="230"/>
      <c r="DB12" s="230"/>
      <c r="DC12" s="230"/>
      <c r="DD12" s="230"/>
      <c r="DE12" s="230"/>
      <c r="DF12" s="230"/>
      <c r="DG12" s="230"/>
      <c r="DH12" s="230"/>
      <c r="DI12" s="230"/>
      <c r="DJ12" s="230"/>
      <c r="DK12" s="230"/>
      <c r="DL12" s="230"/>
      <c r="DM12" s="230"/>
      <c r="DN12" s="230"/>
      <c r="DO12" s="230"/>
      <c r="DP12" s="230"/>
      <c r="DQ12" s="230"/>
      <c r="DR12" s="230"/>
      <c r="DS12" s="230"/>
      <c r="DT12" s="230"/>
      <c r="DU12" s="230"/>
      <c r="DV12" s="230"/>
      <c r="DW12" s="230"/>
      <c r="DX12" s="230"/>
      <c r="DY12" s="230"/>
      <c r="DZ12" s="230"/>
      <c r="EA12" s="230"/>
      <c r="EB12" s="230"/>
      <c r="EC12" s="230"/>
      <c r="ED12" s="230"/>
      <c r="EE12" s="230"/>
      <c r="EF12" s="230"/>
      <c r="EG12" s="230"/>
      <c r="EH12" s="230"/>
      <c r="EI12" s="230"/>
      <c r="EJ12" s="230"/>
      <c r="EK12" s="230"/>
      <c r="EL12" s="230"/>
      <c r="EM12" s="230"/>
      <c r="EN12" s="230"/>
      <c r="EO12" s="230"/>
      <c r="EP12" s="230"/>
      <c r="EQ12" s="230"/>
      <c r="ER12" s="230"/>
      <c r="ES12" s="230"/>
      <c r="ET12" s="230"/>
      <c r="EU12" s="230"/>
      <c r="EV12" s="230"/>
      <c r="EW12" s="230"/>
      <c r="EX12" s="230"/>
      <c r="EY12" s="230"/>
      <c r="EZ12" s="230"/>
      <c r="FA12" s="230"/>
      <c r="FB12" s="230"/>
      <c r="FC12" s="230"/>
      <c r="FD12" s="230"/>
      <c r="FE12" s="230"/>
      <c r="FF12" s="230"/>
      <c r="FG12" s="230"/>
      <c r="FH12" s="230"/>
      <c r="FI12" s="230"/>
      <c r="FJ12" s="230"/>
      <c r="FK12" s="230"/>
      <c r="FL12" s="230"/>
      <c r="FM12" s="230"/>
      <c r="FN12" s="230"/>
      <c r="FO12" s="230"/>
      <c r="FP12" s="230"/>
      <c r="FQ12" s="230"/>
      <c r="FR12" s="230"/>
      <c r="FS12" s="230"/>
      <c r="FT12" s="230"/>
      <c r="FU12" s="230"/>
      <c r="FV12" s="230"/>
      <c r="FW12" s="230"/>
      <c r="FX12" s="230"/>
      <c r="FY12" s="230"/>
      <c r="FZ12" s="230"/>
      <c r="GA12" s="230"/>
      <c r="GB12" s="230"/>
      <c r="GC12" s="230"/>
      <c r="GD12" s="230"/>
      <c r="GE12" s="230"/>
      <c r="GF12" s="230"/>
      <c r="GG12" s="230"/>
      <c r="GH12" s="230"/>
      <c r="GI12" s="230"/>
      <c r="GJ12" s="230"/>
      <c r="GK12" s="230"/>
      <c r="GL12" s="230"/>
      <c r="GM12" s="230"/>
      <c r="GN12" s="230"/>
      <c r="GO12" s="230"/>
      <c r="GP12" s="230"/>
      <c r="GQ12" s="230"/>
      <c r="GR12" s="230"/>
    </row>
    <row r="13" spans="1:200" s="626" customFormat="1" ht="33.75" customHeight="1" outlineLevel="2" x14ac:dyDescent="0.2">
      <c r="A13" s="636" t="s">
        <v>4264</v>
      </c>
      <c r="B13" s="636" t="s">
        <v>5699</v>
      </c>
      <c r="C13" s="597"/>
      <c r="D13" s="1535"/>
      <c r="E13" s="1153"/>
      <c r="F13" s="635"/>
      <c r="G13" s="1517">
        <v>2</v>
      </c>
      <c r="H13" s="1517">
        <v>3</v>
      </c>
      <c r="I13" s="1526"/>
      <c r="J13" s="1525" t="s">
        <v>2109</v>
      </c>
      <c r="K13" s="1518"/>
      <c r="L13" s="1518"/>
      <c r="M13" s="637"/>
      <c r="N13" s="599"/>
      <c r="O13" s="599"/>
      <c r="P13" s="599"/>
      <c r="Q13" s="599"/>
      <c r="R13" s="599"/>
      <c r="S13" s="599"/>
      <c r="T13" s="599"/>
      <c r="U13" s="599"/>
      <c r="V13" s="599"/>
      <c r="W13" s="599"/>
      <c r="X13" s="599"/>
      <c r="Y13" s="599"/>
      <c r="Z13" s="599"/>
      <c r="AA13">
        <f>IF(AND('12 Ext'!C13&gt;Tmin, NOT('12 Ext'!$I13="")),'12 Ext'!$I13,0)</f>
        <v>0</v>
      </c>
      <c r="AB13">
        <f>IF(AND('12 Ext'!D13&gt;Tmin, NOT('12 Ext'!$I13="")),'12 Ext'!$I13,0)</f>
        <v>0</v>
      </c>
      <c r="AC13">
        <f>IF(AND('12 Ext'!E13&gt;Tmin, NOT('12 Ext'!$I13="")),'12 Ext'!$I13,0)</f>
        <v>0</v>
      </c>
      <c r="AD13">
        <f>IF(AND('12 Ext'!F13&gt;Tmin, NOT('12 Ext'!$I13="")),'12 Ext'!$I13,0)</f>
        <v>0</v>
      </c>
      <c r="AE13">
        <f>IF(AND('12 Ext'!C13&lt;Tmax, NOT('12 Ext'!$H13="")),'12 Ext'!$H13,4)</f>
        <v>3</v>
      </c>
      <c r="AF13">
        <f>IF(AND('12 Ext'!D13&lt;Tmax, NOT('12 Ext'!$H13="")),'12 Ext'!$H13,4)</f>
        <v>3</v>
      </c>
      <c r="AG13">
        <f>IF(AND('12 Ext'!E13&lt;Tmax, NOT('12 Ext'!$H13="")),'12 Ext'!$H13,4)</f>
        <v>3</v>
      </c>
      <c r="AH13">
        <f>IF(AND('12 Ext'!F13&lt;Tmax, NOT('12 Ext'!$H13="")),'12 Ext'!$H13,4)</f>
        <v>3</v>
      </c>
      <c r="AI13"/>
      <c r="AJ13" s="600"/>
      <c r="AK13" s="600"/>
      <c r="AL13" s="600"/>
      <c r="AM13" s="600"/>
      <c r="AN13" s="600"/>
      <c r="AO13" s="600"/>
      <c r="AP13" s="600"/>
      <c r="AQ13" s="600"/>
      <c r="AR13" s="600"/>
      <c r="AS13" s="600"/>
      <c r="AT13" s="600"/>
      <c r="AU13" s="600"/>
      <c r="AV13" s="600"/>
      <c r="AW13" s="600"/>
      <c r="AX13" s="600"/>
      <c r="AY13" s="600"/>
      <c r="AZ13" s="600"/>
      <c r="BA13" s="600"/>
      <c r="BB13" s="600"/>
      <c r="BC13" s="600"/>
      <c r="BD13" s="600"/>
      <c r="BE13" s="600"/>
      <c r="BF13" s="600"/>
      <c r="BG13" s="600"/>
      <c r="BH13" s="600"/>
      <c r="BI13" s="600"/>
      <c r="BJ13" s="600"/>
      <c r="BK13" s="600"/>
      <c r="BL13" s="600"/>
      <c r="BM13" s="600"/>
      <c r="BN13" s="600"/>
      <c r="BO13" s="600"/>
      <c r="BP13" s="600"/>
      <c r="BQ13" s="600"/>
      <c r="BR13" s="600"/>
      <c r="BS13" s="600"/>
      <c r="BT13" s="600"/>
      <c r="BU13" s="600"/>
      <c r="BV13" s="600"/>
      <c r="BW13" s="600"/>
      <c r="BX13" s="600"/>
      <c r="BY13" s="600"/>
      <c r="BZ13" s="600"/>
      <c r="CA13" s="600"/>
      <c r="CB13" s="600"/>
      <c r="CC13" s="600"/>
      <c r="CD13" s="600"/>
      <c r="CE13" s="600"/>
      <c r="CF13" s="600"/>
      <c r="CG13" s="600"/>
      <c r="CH13" s="600"/>
      <c r="CI13" s="600"/>
      <c r="CJ13" s="600"/>
      <c r="CK13" s="600"/>
      <c r="CL13" s="600"/>
      <c r="CM13" s="600"/>
      <c r="CN13" s="600"/>
      <c r="CO13" s="600"/>
      <c r="CP13" s="600"/>
      <c r="CQ13" s="600"/>
      <c r="CR13" s="600"/>
      <c r="CS13" s="600"/>
      <c r="CT13" s="600"/>
      <c r="CU13" s="600"/>
      <c r="CV13" s="600"/>
      <c r="CW13" s="600"/>
      <c r="CX13" s="600"/>
      <c r="CY13" s="600"/>
      <c r="CZ13" s="600"/>
      <c r="DA13" s="600"/>
      <c r="DB13" s="600"/>
      <c r="DC13" s="600"/>
      <c r="DD13" s="600"/>
      <c r="DE13" s="600"/>
      <c r="DF13" s="600"/>
      <c r="DG13" s="600"/>
      <c r="DH13" s="600"/>
      <c r="DI13" s="600"/>
      <c r="DJ13" s="600"/>
      <c r="DK13" s="600"/>
      <c r="DL13" s="600"/>
      <c r="DM13" s="600"/>
      <c r="DN13" s="600"/>
      <c r="DO13" s="600"/>
      <c r="DP13" s="600"/>
      <c r="DQ13" s="600"/>
      <c r="DR13" s="600"/>
      <c r="DS13" s="600"/>
      <c r="DT13" s="600"/>
      <c r="DU13" s="600"/>
      <c r="DV13" s="600"/>
      <c r="DW13" s="600"/>
      <c r="DX13" s="600"/>
      <c r="DY13" s="600"/>
      <c r="DZ13" s="600"/>
      <c r="EA13" s="600"/>
      <c r="EB13" s="600"/>
      <c r="EC13" s="600"/>
      <c r="ED13" s="600"/>
      <c r="EE13" s="600"/>
      <c r="EF13" s="600"/>
      <c r="EG13" s="600"/>
      <c r="EH13" s="600"/>
      <c r="EI13" s="600"/>
      <c r="EJ13" s="600"/>
      <c r="EK13" s="600"/>
      <c r="EL13" s="600"/>
      <c r="EM13" s="600"/>
      <c r="EN13" s="600"/>
      <c r="EO13" s="600"/>
      <c r="EP13" s="600"/>
      <c r="EQ13" s="600"/>
      <c r="ER13" s="600"/>
      <c r="ES13" s="600"/>
      <c r="ET13" s="600"/>
      <c r="EU13" s="600"/>
      <c r="EV13" s="600"/>
      <c r="EW13" s="600"/>
      <c r="EX13" s="600"/>
      <c r="EY13" s="600"/>
      <c r="EZ13" s="600"/>
      <c r="FA13" s="600"/>
      <c r="FB13" s="600"/>
      <c r="FC13" s="600"/>
      <c r="FD13" s="600"/>
      <c r="FE13" s="600"/>
      <c r="FF13" s="600"/>
      <c r="FG13" s="600"/>
      <c r="FH13" s="600"/>
      <c r="FI13" s="600"/>
      <c r="FJ13" s="600"/>
      <c r="FK13" s="600"/>
      <c r="FL13" s="600"/>
      <c r="FM13" s="600"/>
      <c r="FN13" s="600"/>
      <c r="FO13" s="600"/>
      <c r="FP13" s="600"/>
      <c r="FQ13" s="600"/>
      <c r="FR13" s="600"/>
      <c r="FS13" s="600"/>
      <c r="FT13" s="600"/>
      <c r="FU13" s="600"/>
      <c r="FV13" s="600"/>
      <c r="FW13" s="600"/>
      <c r="FX13" s="600"/>
      <c r="FY13" s="600"/>
      <c r="FZ13" s="600"/>
      <c r="GA13" s="600"/>
      <c r="GB13" s="600"/>
      <c r="GC13" s="600"/>
      <c r="GD13" s="600"/>
      <c r="GE13" s="600"/>
      <c r="GF13" s="600"/>
      <c r="GG13" s="600"/>
      <c r="GH13" s="600"/>
      <c r="GI13" s="600"/>
      <c r="GJ13" s="600"/>
      <c r="GK13" s="600"/>
      <c r="GL13" s="600"/>
      <c r="GM13" s="600"/>
      <c r="GN13" s="600"/>
      <c r="GO13" s="600"/>
      <c r="GP13" s="600"/>
      <c r="GQ13" s="600"/>
      <c r="GR13" s="600"/>
    </row>
    <row r="14" spans="1:200" s="632" customFormat="1" ht="80.25" customHeight="1" outlineLevel="1" x14ac:dyDescent="0.2">
      <c r="A14" s="633" t="s">
        <v>3267</v>
      </c>
      <c r="B14" s="634" t="s">
        <v>841</v>
      </c>
      <c r="C14" s="597"/>
      <c r="D14" s="1535"/>
      <c r="E14" s="1153"/>
      <c r="F14" s="635"/>
      <c r="G14" s="1517"/>
      <c r="H14" s="1517"/>
      <c r="I14" s="1517"/>
      <c r="J14" s="1517"/>
      <c r="K14" s="1518"/>
      <c r="L14" s="1518"/>
      <c r="M14" s="635"/>
      <c r="N14" s="624"/>
      <c r="O14" s="624"/>
      <c r="P14" s="624"/>
      <c r="Q14" s="624"/>
      <c r="R14" s="624"/>
      <c r="S14" s="624"/>
      <c r="T14" s="624"/>
      <c r="U14" s="624"/>
      <c r="V14" s="624"/>
      <c r="W14" s="624"/>
      <c r="X14" s="624"/>
      <c r="Y14" s="624"/>
      <c r="Z14" s="624"/>
      <c r="AA14"/>
      <c r="AB14"/>
      <c r="AC14"/>
      <c r="AD14"/>
      <c r="AE14"/>
      <c r="AF14"/>
      <c r="AG14"/>
      <c r="AH14"/>
      <c r="AI14"/>
      <c r="AJ14" s="230"/>
      <c r="AK14" s="230"/>
      <c r="AL14" s="230"/>
      <c r="AM14" s="230"/>
      <c r="AN14" s="230"/>
      <c r="AO14" s="230"/>
      <c r="AP14" s="230"/>
      <c r="AQ14" s="230"/>
      <c r="AR14" s="230"/>
      <c r="AS14" s="230"/>
      <c r="AT14" s="230"/>
      <c r="AU14" s="230"/>
      <c r="AV14" s="230"/>
      <c r="AW14" s="230"/>
      <c r="AX14" s="230"/>
      <c r="AY14" s="230"/>
      <c r="AZ14" s="230"/>
      <c r="BA14" s="230"/>
      <c r="BB14" s="230"/>
      <c r="BC14" s="230"/>
      <c r="BD14" s="230"/>
      <c r="BE14" s="230"/>
      <c r="BF14" s="230"/>
      <c r="BG14" s="230"/>
      <c r="BH14" s="230"/>
      <c r="BI14" s="230"/>
      <c r="BJ14" s="230"/>
      <c r="BK14" s="230"/>
      <c r="BL14" s="230"/>
      <c r="BM14" s="230"/>
      <c r="BN14" s="230"/>
      <c r="BO14" s="230"/>
      <c r="BP14" s="230"/>
      <c r="BQ14" s="230"/>
      <c r="BR14" s="230"/>
      <c r="BS14" s="230"/>
      <c r="BT14" s="230"/>
      <c r="BU14" s="230"/>
      <c r="BV14" s="230"/>
      <c r="BW14" s="230"/>
      <c r="BX14" s="230"/>
      <c r="BY14" s="230"/>
      <c r="BZ14" s="230"/>
      <c r="CA14" s="230"/>
      <c r="CB14" s="230"/>
      <c r="CC14" s="230"/>
      <c r="CD14" s="230"/>
      <c r="CE14" s="230"/>
      <c r="CF14" s="230"/>
      <c r="CG14" s="230"/>
      <c r="CH14" s="230"/>
      <c r="CI14" s="230"/>
      <c r="CJ14" s="230"/>
      <c r="CK14" s="230"/>
      <c r="CL14" s="230"/>
      <c r="CM14" s="230"/>
      <c r="CN14" s="230"/>
      <c r="CO14" s="230"/>
      <c r="CP14" s="230"/>
      <c r="CQ14" s="230"/>
      <c r="CR14" s="230"/>
      <c r="CS14" s="230"/>
      <c r="CT14" s="230"/>
      <c r="CU14" s="230"/>
      <c r="CV14" s="230"/>
      <c r="CW14" s="230"/>
      <c r="CX14" s="230"/>
      <c r="CY14" s="230"/>
      <c r="CZ14" s="230"/>
      <c r="DA14" s="230"/>
      <c r="DB14" s="230"/>
      <c r="DC14" s="230"/>
      <c r="DD14" s="230"/>
      <c r="DE14" s="230"/>
      <c r="DF14" s="230"/>
      <c r="DG14" s="230"/>
      <c r="DH14" s="230"/>
      <c r="DI14" s="230"/>
      <c r="DJ14" s="230"/>
      <c r="DK14" s="230"/>
      <c r="DL14" s="230"/>
      <c r="DM14" s="230"/>
      <c r="DN14" s="230"/>
      <c r="DO14" s="230"/>
      <c r="DP14" s="230"/>
      <c r="DQ14" s="230"/>
      <c r="DR14" s="230"/>
      <c r="DS14" s="230"/>
      <c r="DT14" s="230"/>
      <c r="DU14" s="230"/>
      <c r="DV14" s="230"/>
      <c r="DW14" s="230"/>
      <c r="DX14" s="230"/>
      <c r="DY14" s="230"/>
      <c r="DZ14" s="230"/>
      <c r="EA14" s="230"/>
      <c r="EB14" s="230"/>
      <c r="EC14" s="230"/>
      <c r="ED14" s="230"/>
      <c r="EE14" s="230"/>
      <c r="EF14" s="230"/>
      <c r="EG14" s="230"/>
      <c r="EH14" s="230"/>
      <c r="EI14" s="230"/>
      <c r="EJ14" s="230"/>
      <c r="EK14" s="230"/>
      <c r="EL14" s="230"/>
      <c r="EM14" s="230"/>
      <c r="EN14" s="230"/>
      <c r="EO14" s="230"/>
      <c r="EP14" s="230"/>
      <c r="EQ14" s="230"/>
      <c r="ER14" s="230"/>
      <c r="ES14" s="230"/>
      <c r="ET14" s="230"/>
      <c r="EU14" s="230"/>
      <c r="EV14" s="230"/>
      <c r="EW14" s="230"/>
      <c r="EX14" s="230"/>
      <c r="EY14" s="230"/>
      <c r="EZ14" s="230"/>
      <c r="FA14" s="230"/>
      <c r="FB14" s="230"/>
      <c r="FC14" s="230"/>
      <c r="FD14" s="230"/>
      <c r="FE14" s="230"/>
      <c r="FF14" s="230"/>
      <c r="FG14" s="230"/>
      <c r="FH14" s="230"/>
      <c r="FI14" s="230"/>
      <c r="FJ14" s="230"/>
      <c r="FK14" s="230"/>
      <c r="FL14" s="230"/>
      <c r="FM14" s="230"/>
      <c r="FN14" s="230"/>
      <c r="FO14" s="230"/>
      <c r="FP14" s="230"/>
      <c r="FQ14" s="230"/>
      <c r="FR14" s="230"/>
      <c r="FS14" s="230"/>
      <c r="FT14" s="230"/>
      <c r="FU14" s="230"/>
      <c r="FV14" s="230"/>
      <c r="FW14" s="230"/>
      <c r="FX14" s="230"/>
      <c r="FY14" s="230"/>
      <c r="FZ14" s="230"/>
      <c r="GA14" s="230"/>
      <c r="GB14" s="230"/>
      <c r="GC14" s="230"/>
      <c r="GD14" s="230"/>
      <c r="GE14" s="230"/>
      <c r="GF14" s="230"/>
      <c r="GG14" s="230"/>
      <c r="GH14" s="230"/>
      <c r="GI14" s="230"/>
      <c r="GJ14" s="230"/>
      <c r="GK14" s="230"/>
      <c r="GL14" s="230"/>
      <c r="GM14" s="230"/>
      <c r="GN14" s="230"/>
      <c r="GO14" s="230"/>
      <c r="GP14" s="230"/>
      <c r="GQ14" s="230"/>
      <c r="GR14" s="230"/>
    </row>
    <row r="15" spans="1:200" s="632" customFormat="1" ht="26.25" customHeight="1" outlineLevel="2" x14ac:dyDescent="0.2">
      <c r="A15" s="636" t="s">
        <v>3964</v>
      </c>
      <c r="B15" s="636" t="s">
        <v>6657</v>
      </c>
      <c r="C15" s="597"/>
      <c r="D15" s="1535"/>
      <c r="E15" s="1153"/>
      <c r="F15" s="635"/>
      <c r="G15" s="1517">
        <v>4</v>
      </c>
      <c r="H15" s="1517"/>
      <c r="I15" s="1517"/>
      <c r="J15" s="1517" t="s">
        <v>4246</v>
      </c>
      <c r="K15" s="1518" t="s">
        <v>7166</v>
      </c>
      <c r="L15" s="1518" t="s">
        <v>7402</v>
      </c>
      <c r="M15" s="638"/>
      <c r="N15" s="624"/>
      <c r="O15" s="624"/>
      <c r="P15" s="624"/>
      <c r="Q15" s="624"/>
      <c r="R15" s="624"/>
      <c r="S15" s="624"/>
      <c r="T15" s="624"/>
      <c r="U15" s="624"/>
      <c r="V15" s="624"/>
      <c r="W15" s="624"/>
      <c r="X15" s="624"/>
      <c r="Y15" s="624"/>
      <c r="Z15" s="624"/>
      <c r="AA15">
        <f>IF(AND('12 Ext'!C15&gt;Tmin, NOT('12 Ext'!$I15="")),'12 Ext'!$I15,0)</f>
        <v>0</v>
      </c>
      <c r="AB15">
        <f>IF(AND('12 Ext'!D15&gt;Tmin, NOT('12 Ext'!$I15="")),'12 Ext'!$I15,0)</f>
        <v>0</v>
      </c>
      <c r="AC15">
        <f>IF(AND('12 Ext'!E15&gt;Tmin, NOT('12 Ext'!$I15="")),'12 Ext'!$I15,0)</f>
        <v>0</v>
      </c>
      <c r="AD15">
        <f>IF(AND('12 Ext'!F15&gt;Tmin, NOT('12 Ext'!$I15="")),'12 Ext'!$I15,0)</f>
        <v>0</v>
      </c>
      <c r="AE15">
        <f>IF(AND('12 Ext'!C15&lt;Tmax, NOT('12 Ext'!$H15="")),'12 Ext'!$H15,4)</f>
        <v>4</v>
      </c>
      <c r="AF15">
        <f>IF(AND('12 Ext'!D15&lt;Tmax, NOT('12 Ext'!$H15="")),'12 Ext'!$H15,4)</f>
        <v>4</v>
      </c>
      <c r="AG15">
        <f>IF(AND('12 Ext'!E15&lt;Tmax, NOT('12 Ext'!$H15="")),'12 Ext'!$H15,4)</f>
        <v>4</v>
      </c>
      <c r="AH15">
        <f>IF(AND('12 Ext'!F15&lt;Tmax, NOT('12 Ext'!$H15="")),'12 Ext'!$H15,4)</f>
        <v>4</v>
      </c>
      <c r="AI15"/>
      <c r="AJ15" s="230"/>
      <c r="AK15" s="230"/>
      <c r="AL15" s="230"/>
      <c r="AM15" s="230"/>
      <c r="AN15" s="230"/>
      <c r="AO15" s="230"/>
      <c r="AP15" s="230"/>
      <c r="AQ15" s="230"/>
      <c r="AR15" s="230"/>
      <c r="AS15" s="230"/>
      <c r="AT15" s="230"/>
      <c r="AU15" s="230"/>
      <c r="AV15" s="230"/>
      <c r="AW15" s="230"/>
      <c r="AX15" s="230"/>
      <c r="AY15" s="230"/>
      <c r="AZ15" s="230"/>
      <c r="BA15" s="230"/>
      <c r="BB15" s="230"/>
      <c r="BC15" s="230"/>
      <c r="BD15" s="230"/>
      <c r="BE15" s="230"/>
      <c r="BF15" s="230"/>
      <c r="BG15" s="230"/>
      <c r="BH15" s="230"/>
      <c r="BI15" s="230"/>
      <c r="BJ15" s="230"/>
      <c r="BK15" s="230"/>
      <c r="BL15" s="230"/>
      <c r="BM15" s="230"/>
      <c r="BN15" s="230"/>
      <c r="BO15" s="230"/>
      <c r="BP15" s="230"/>
      <c r="BQ15" s="230"/>
      <c r="BR15" s="230"/>
      <c r="BS15" s="230"/>
      <c r="BT15" s="230"/>
      <c r="BU15" s="230"/>
      <c r="BV15" s="230"/>
      <c r="BW15" s="230"/>
      <c r="BX15" s="230"/>
      <c r="BY15" s="230"/>
      <c r="BZ15" s="230"/>
      <c r="CA15" s="230"/>
      <c r="CB15" s="230"/>
      <c r="CC15" s="230"/>
      <c r="CD15" s="230"/>
      <c r="CE15" s="230"/>
      <c r="CF15" s="230"/>
      <c r="CG15" s="230"/>
      <c r="CH15" s="230"/>
      <c r="CI15" s="230"/>
      <c r="CJ15" s="230"/>
      <c r="CK15" s="230"/>
      <c r="CL15" s="230"/>
      <c r="CM15" s="230"/>
      <c r="CN15" s="230"/>
      <c r="CO15" s="230"/>
      <c r="CP15" s="230"/>
      <c r="CQ15" s="230"/>
      <c r="CR15" s="230"/>
      <c r="CS15" s="230"/>
      <c r="CT15" s="230"/>
      <c r="CU15" s="230"/>
      <c r="CV15" s="230"/>
      <c r="CW15" s="230"/>
      <c r="CX15" s="230"/>
      <c r="CY15" s="230"/>
      <c r="CZ15" s="230"/>
      <c r="DA15" s="230"/>
      <c r="DB15" s="230"/>
      <c r="DC15" s="230"/>
      <c r="DD15" s="230"/>
      <c r="DE15" s="230"/>
      <c r="DF15" s="230"/>
      <c r="DG15" s="230"/>
      <c r="DH15" s="230"/>
      <c r="DI15" s="230"/>
      <c r="DJ15" s="230"/>
      <c r="DK15" s="230"/>
      <c r="DL15" s="230"/>
      <c r="DM15" s="230"/>
      <c r="DN15" s="230"/>
      <c r="DO15" s="230"/>
      <c r="DP15" s="230"/>
      <c r="DQ15" s="230"/>
      <c r="DR15" s="230"/>
      <c r="DS15" s="230"/>
      <c r="DT15" s="230"/>
      <c r="DU15" s="230"/>
      <c r="DV15" s="230"/>
      <c r="DW15" s="230"/>
      <c r="DX15" s="230"/>
      <c r="DY15" s="230"/>
      <c r="DZ15" s="230"/>
      <c r="EA15" s="230"/>
      <c r="EB15" s="230"/>
      <c r="EC15" s="230"/>
      <c r="ED15" s="230"/>
      <c r="EE15" s="230"/>
      <c r="EF15" s="230"/>
      <c r="EG15" s="230"/>
      <c r="EH15" s="230"/>
      <c r="EI15" s="230"/>
      <c r="EJ15" s="230"/>
      <c r="EK15" s="230"/>
      <c r="EL15" s="230"/>
      <c r="EM15" s="230"/>
      <c r="EN15" s="230"/>
      <c r="EO15" s="230"/>
      <c r="EP15" s="230"/>
      <c r="EQ15" s="230"/>
      <c r="ER15" s="230"/>
      <c r="ES15" s="230"/>
      <c r="ET15" s="230"/>
      <c r="EU15" s="230"/>
      <c r="EV15" s="230"/>
      <c r="EW15" s="230"/>
      <c r="EX15" s="230"/>
      <c r="EY15" s="230"/>
      <c r="EZ15" s="230"/>
      <c r="FA15" s="230"/>
      <c r="FB15" s="230"/>
      <c r="FC15" s="230"/>
      <c r="FD15" s="230"/>
      <c r="FE15" s="230"/>
      <c r="FF15" s="230"/>
      <c r="FG15" s="230"/>
      <c r="FH15" s="230"/>
      <c r="FI15" s="230"/>
      <c r="FJ15" s="230"/>
      <c r="FK15" s="230"/>
      <c r="FL15" s="230"/>
      <c r="FM15" s="230"/>
      <c r="FN15" s="230"/>
      <c r="FO15" s="230"/>
      <c r="FP15" s="230"/>
      <c r="FQ15" s="230"/>
      <c r="FR15" s="230"/>
      <c r="FS15" s="230"/>
      <c r="FT15" s="230"/>
      <c r="FU15" s="230"/>
      <c r="FV15" s="230"/>
      <c r="FW15" s="230"/>
      <c r="FX15" s="230"/>
      <c r="FY15" s="230"/>
      <c r="FZ15" s="230"/>
      <c r="GA15" s="230"/>
      <c r="GB15" s="230"/>
      <c r="GC15" s="230"/>
      <c r="GD15" s="230"/>
      <c r="GE15" s="230"/>
      <c r="GF15" s="230"/>
      <c r="GG15" s="230"/>
      <c r="GH15" s="230"/>
      <c r="GI15" s="230"/>
      <c r="GJ15" s="230"/>
      <c r="GK15" s="230"/>
      <c r="GL15" s="230"/>
      <c r="GM15" s="230"/>
      <c r="GN15" s="230"/>
      <c r="GO15" s="230"/>
      <c r="GP15" s="230"/>
      <c r="GQ15" s="230"/>
      <c r="GR15" s="230"/>
    </row>
    <row r="16" spans="1:200" s="632" customFormat="1" ht="22.5" outlineLevel="2" x14ac:dyDescent="0.2">
      <c r="A16" s="636" t="s">
        <v>3965</v>
      </c>
      <c r="B16" s="636" t="s">
        <v>5664</v>
      </c>
      <c r="C16" s="597"/>
      <c r="D16" s="1535"/>
      <c r="E16" s="1153"/>
      <c r="F16" s="635"/>
      <c r="G16" s="1517">
        <v>2</v>
      </c>
      <c r="H16" s="1517"/>
      <c r="I16" s="1517"/>
      <c r="J16" s="1517" t="s">
        <v>1592</v>
      </c>
      <c r="K16" s="1518" t="s">
        <v>6977</v>
      </c>
      <c r="L16" s="1518" t="s">
        <v>7325</v>
      </c>
      <c r="M16" s="635"/>
      <c r="N16" s="624"/>
      <c r="O16" s="624"/>
      <c r="P16" s="624"/>
      <c r="Q16" s="624"/>
      <c r="R16" s="624"/>
      <c r="S16" s="624"/>
      <c r="T16" s="624"/>
      <c r="U16" s="624"/>
      <c r="V16" s="624"/>
      <c r="W16" s="624"/>
      <c r="X16" s="624"/>
      <c r="Y16" s="624"/>
      <c r="Z16" s="624"/>
      <c r="AA16">
        <f>IF(AND('12 Ext'!C16&gt;Tmin, NOT('12 Ext'!$I16="")),'12 Ext'!$I16,0)</f>
        <v>0</v>
      </c>
      <c r="AB16">
        <f>IF(AND('12 Ext'!D16&gt;Tmin, NOT('12 Ext'!$I16="")),'12 Ext'!$I16,0)</f>
        <v>0</v>
      </c>
      <c r="AC16">
        <f>IF(AND('12 Ext'!E16&gt;Tmin, NOT('12 Ext'!$I16="")),'12 Ext'!$I16,0)</f>
        <v>0</v>
      </c>
      <c r="AD16">
        <f>IF(AND('12 Ext'!F16&gt;Tmin, NOT('12 Ext'!$I16="")),'12 Ext'!$I16,0)</f>
        <v>0</v>
      </c>
      <c r="AE16">
        <f>IF(AND('12 Ext'!C16&lt;Tmax, NOT('12 Ext'!$H16="")),'12 Ext'!$H16,4)</f>
        <v>4</v>
      </c>
      <c r="AF16">
        <f>IF(AND('12 Ext'!D16&lt;Tmax, NOT('12 Ext'!$H16="")),'12 Ext'!$H16,4)</f>
        <v>4</v>
      </c>
      <c r="AG16">
        <f>IF(AND('12 Ext'!E16&lt;Tmax, NOT('12 Ext'!$H16="")),'12 Ext'!$H16,4)</f>
        <v>4</v>
      </c>
      <c r="AH16">
        <f>IF(AND('12 Ext'!F16&lt;Tmax, NOT('12 Ext'!$H16="")),'12 Ext'!$H16,4)</f>
        <v>4</v>
      </c>
      <c r="AI16"/>
      <c r="AJ16" s="230"/>
      <c r="AK16" s="230"/>
      <c r="AL16" s="230"/>
      <c r="AM16" s="230"/>
      <c r="AN16" s="230"/>
      <c r="AO16" s="230"/>
      <c r="AP16" s="230"/>
      <c r="AQ16" s="230"/>
      <c r="AR16" s="230"/>
      <c r="AS16" s="230"/>
      <c r="AT16" s="230"/>
      <c r="AU16" s="230"/>
      <c r="AV16" s="230"/>
      <c r="AW16" s="230"/>
      <c r="AX16" s="230"/>
      <c r="AY16" s="230"/>
      <c r="AZ16" s="230"/>
      <c r="BA16" s="230"/>
      <c r="BB16" s="230"/>
      <c r="BC16" s="230"/>
      <c r="BD16" s="230"/>
      <c r="BE16" s="230"/>
      <c r="BF16" s="230"/>
      <c r="BG16" s="230"/>
      <c r="BH16" s="230"/>
      <c r="BI16" s="230"/>
      <c r="BJ16" s="230"/>
      <c r="BK16" s="230"/>
      <c r="BL16" s="230"/>
      <c r="BM16" s="230"/>
      <c r="BN16" s="230"/>
      <c r="BO16" s="230"/>
      <c r="BP16" s="230"/>
      <c r="BQ16" s="230"/>
      <c r="BR16" s="230"/>
      <c r="BS16" s="230"/>
      <c r="BT16" s="230"/>
      <c r="BU16" s="230"/>
      <c r="BV16" s="230"/>
      <c r="BW16" s="230"/>
      <c r="BX16" s="230"/>
      <c r="BY16" s="230"/>
      <c r="BZ16" s="230"/>
      <c r="CA16" s="230"/>
      <c r="CB16" s="230"/>
      <c r="CC16" s="230"/>
      <c r="CD16" s="230"/>
      <c r="CE16" s="230"/>
      <c r="CF16" s="230"/>
      <c r="CG16" s="230"/>
      <c r="CH16" s="230"/>
      <c r="CI16" s="230"/>
      <c r="CJ16" s="230"/>
      <c r="CK16" s="230"/>
      <c r="CL16" s="230"/>
      <c r="CM16" s="230"/>
      <c r="CN16" s="230"/>
      <c r="CO16" s="230"/>
      <c r="CP16" s="230"/>
      <c r="CQ16" s="230"/>
      <c r="CR16" s="230"/>
      <c r="CS16" s="230"/>
      <c r="CT16" s="230"/>
      <c r="CU16" s="230"/>
      <c r="CV16" s="230"/>
      <c r="CW16" s="230"/>
      <c r="CX16" s="230"/>
      <c r="CY16" s="230"/>
      <c r="CZ16" s="230"/>
      <c r="DA16" s="230"/>
      <c r="DB16" s="230"/>
      <c r="DC16" s="230"/>
      <c r="DD16" s="230"/>
      <c r="DE16" s="230"/>
      <c r="DF16" s="230"/>
      <c r="DG16" s="230"/>
      <c r="DH16" s="230"/>
      <c r="DI16" s="230"/>
      <c r="DJ16" s="230"/>
      <c r="DK16" s="230"/>
      <c r="DL16" s="230"/>
      <c r="DM16" s="230"/>
      <c r="DN16" s="230"/>
      <c r="DO16" s="230"/>
      <c r="DP16" s="230"/>
      <c r="DQ16" s="230"/>
      <c r="DR16" s="230"/>
      <c r="DS16" s="230"/>
      <c r="DT16" s="230"/>
      <c r="DU16" s="230"/>
      <c r="DV16" s="230"/>
      <c r="DW16" s="230"/>
      <c r="DX16" s="230"/>
      <c r="DY16" s="230"/>
      <c r="DZ16" s="230"/>
      <c r="EA16" s="230"/>
      <c r="EB16" s="230"/>
      <c r="EC16" s="230"/>
      <c r="ED16" s="230"/>
      <c r="EE16" s="230"/>
      <c r="EF16" s="230"/>
      <c r="EG16" s="230"/>
      <c r="EH16" s="230"/>
      <c r="EI16" s="230"/>
      <c r="EJ16" s="230"/>
      <c r="EK16" s="230"/>
      <c r="EL16" s="230"/>
      <c r="EM16" s="230"/>
      <c r="EN16" s="230"/>
      <c r="EO16" s="230"/>
      <c r="EP16" s="230"/>
      <c r="EQ16" s="230"/>
      <c r="ER16" s="230"/>
      <c r="ES16" s="230"/>
      <c r="ET16" s="230"/>
      <c r="EU16" s="230"/>
      <c r="EV16" s="230"/>
      <c r="EW16" s="230"/>
      <c r="EX16" s="230"/>
      <c r="EY16" s="230"/>
      <c r="EZ16" s="230"/>
      <c r="FA16" s="230"/>
      <c r="FB16" s="230"/>
      <c r="FC16" s="230"/>
      <c r="FD16" s="230"/>
      <c r="FE16" s="230"/>
      <c r="FF16" s="230"/>
      <c r="FG16" s="230"/>
      <c r="FH16" s="230"/>
      <c r="FI16" s="230"/>
      <c r="FJ16" s="230"/>
      <c r="FK16" s="230"/>
      <c r="FL16" s="230"/>
      <c r="FM16" s="230"/>
      <c r="FN16" s="230"/>
      <c r="FO16" s="230"/>
      <c r="FP16" s="230"/>
      <c r="FQ16" s="230"/>
      <c r="FR16" s="230"/>
      <c r="FS16" s="230"/>
      <c r="FT16" s="230"/>
      <c r="FU16" s="230"/>
      <c r="FV16" s="230"/>
      <c r="FW16" s="230"/>
      <c r="FX16" s="230"/>
      <c r="FY16" s="230"/>
      <c r="FZ16" s="230"/>
      <c r="GA16" s="230"/>
      <c r="GB16" s="230"/>
      <c r="GC16" s="230"/>
      <c r="GD16" s="230"/>
      <c r="GE16" s="230"/>
      <c r="GF16" s="230"/>
      <c r="GG16" s="230"/>
      <c r="GH16" s="230"/>
      <c r="GI16" s="230"/>
      <c r="GJ16" s="230"/>
      <c r="GK16" s="230"/>
      <c r="GL16" s="230"/>
      <c r="GM16" s="230"/>
      <c r="GN16" s="230"/>
      <c r="GO16" s="230"/>
      <c r="GP16" s="230"/>
      <c r="GQ16" s="230"/>
      <c r="GR16" s="230"/>
    </row>
    <row r="17" spans="1:200" s="632" customFormat="1" ht="36.75" customHeight="1" outlineLevel="2" x14ac:dyDescent="0.2">
      <c r="A17" s="636" t="s">
        <v>3966</v>
      </c>
      <c r="B17" s="636" t="s">
        <v>6658</v>
      </c>
      <c r="C17" s="597"/>
      <c r="D17" s="1535"/>
      <c r="E17" s="1153"/>
      <c r="F17" s="635"/>
      <c r="G17" s="1517">
        <v>2</v>
      </c>
      <c r="H17" s="1517"/>
      <c r="I17" s="1517"/>
      <c r="J17" s="1517" t="s">
        <v>1592</v>
      </c>
      <c r="K17" s="1518" t="s">
        <v>2952</v>
      </c>
      <c r="L17" s="1518" t="s">
        <v>3264</v>
      </c>
      <c r="M17" s="635"/>
      <c r="N17" s="624"/>
      <c r="O17" s="624"/>
      <c r="P17" s="624"/>
      <c r="Q17" s="624"/>
      <c r="R17" s="624"/>
      <c r="S17" s="624"/>
      <c r="T17" s="624"/>
      <c r="U17" s="624"/>
      <c r="V17" s="624"/>
      <c r="W17" s="624"/>
      <c r="X17" s="624"/>
      <c r="Y17" s="624"/>
      <c r="Z17" s="624"/>
      <c r="AA17">
        <f>IF(AND('12 Ext'!C17&gt;Tmin, NOT('12 Ext'!$I17="")),'12 Ext'!$I17,0)</f>
        <v>0</v>
      </c>
      <c r="AB17">
        <f>IF(AND('12 Ext'!D17&gt;Tmin, NOT('12 Ext'!$I17="")),'12 Ext'!$I17,0)</f>
        <v>0</v>
      </c>
      <c r="AC17">
        <f>IF(AND('12 Ext'!E17&gt;Tmin, NOT('12 Ext'!$I17="")),'12 Ext'!$I17,0)</f>
        <v>0</v>
      </c>
      <c r="AD17">
        <f>IF(AND('12 Ext'!F17&gt;Tmin, NOT('12 Ext'!$I17="")),'12 Ext'!$I17,0)</f>
        <v>0</v>
      </c>
      <c r="AE17">
        <f>IF(AND('12 Ext'!C17&lt;Tmax, NOT('12 Ext'!$H17="")),'12 Ext'!$H17,4)</f>
        <v>4</v>
      </c>
      <c r="AF17">
        <f>IF(AND('12 Ext'!D17&lt;Tmax, NOT('12 Ext'!$H17="")),'12 Ext'!$H17,4)</f>
        <v>4</v>
      </c>
      <c r="AG17">
        <f>IF(AND('12 Ext'!E17&lt;Tmax, NOT('12 Ext'!$H17="")),'12 Ext'!$H17,4)</f>
        <v>4</v>
      </c>
      <c r="AH17">
        <f>IF(AND('12 Ext'!F17&lt;Tmax, NOT('12 Ext'!$H17="")),'12 Ext'!$H17,4)</f>
        <v>4</v>
      </c>
      <c r="AI17"/>
      <c r="AJ17" s="230"/>
      <c r="AK17" s="230"/>
      <c r="AL17" s="230"/>
      <c r="AM17" s="230"/>
      <c r="AN17" s="230"/>
      <c r="AO17" s="230"/>
      <c r="AP17" s="230"/>
      <c r="AQ17" s="230"/>
      <c r="AR17" s="230"/>
      <c r="AS17" s="230"/>
      <c r="AT17" s="230"/>
      <c r="AU17" s="230"/>
      <c r="AV17" s="230"/>
      <c r="AW17" s="230"/>
      <c r="AX17" s="230"/>
      <c r="AY17" s="230"/>
      <c r="AZ17" s="230"/>
      <c r="BA17" s="230"/>
      <c r="BB17" s="230"/>
      <c r="BC17" s="230"/>
      <c r="BD17" s="230"/>
      <c r="BE17" s="230"/>
      <c r="BF17" s="230"/>
      <c r="BG17" s="230"/>
      <c r="BH17" s="230"/>
      <c r="BI17" s="230"/>
      <c r="BJ17" s="230"/>
      <c r="BK17" s="230"/>
      <c r="BL17" s="230"/>
      <c r="BM17" s="230"/>
      <c r="BN17" s="230"/>
      <c r="BO17" s="230"/>
      <c r="BP17" s="230"/>
      <c r="BQ17" s="230"/>
      <c r="BR17" s="230"/>
      <c r="BS17" s="230"/>
      <c r="BT17" s="230"/>
      <c r="BU17" s="230"/>
      <c r="BV17" s="230"/>
      <c r="BW17" s="230"/>
      <c r="BX17" s="230"/>
      <c r="BY17" s="230"/>
      <c r="BZ17" s="230"/>
      <c r="CA17" s="230"/>
      <c r="CB17" s="230"/>
      <c r="CC17" s="230"/>
      <c r="CD17" s="230"/>
      <c r="CE17" s="230"/>
      <c r="CF17" s="230"/>
      <c r="CG17" s="230"/>
      <c r="CH17" s="230"/>
      <c r="CI17" s="230"/>
      <c r="CJ17" s="230"/>
      <c r="CK17" s="230"/>
      <c r="CL17" s="230"/>
      <c r="CM17" s="230"/>
      <c r="CN17" s="230"/>
      <c r="CO17" s="230"/>
      <c r="CP17" s="230"/>
      <c r="CQ17" s="230"/>
      <c r="CR17" s="230"/>
      <c r="CS17" s="230"/>
      <c r="CT17" s="230"/>
      <c r="CU17" s="230"/>
      <c r="CV17" s="230"/>
      <c r="CW17" s="230"/>
      <c r="CX17" s="230"/>
      <c r="CY17" s="230"/>
      <c r="CZ17" s="230"/>
      <c r="DA17" s="230"/>
      <c r="DB17" s="230"/>
      <c r="DC17" s="230"/>
      <c r="DD17" s="230"/>
      <c r="DE17" s="230"/>
      <c r="DF17" s="230"/>
      <c r="DG17" s="230"/>
      <c r="DH17" s="230"/>
      <c r="DI17" s="230"/>
      <c r="DJ17" s="230"/>
      <c r="DK17" s="230"/>
      <c r="DL17" s="230"/>
      <c r="DM17" s="230"/>
      <c r="DN17" s="230"/>
      <c r="DO17" s="230"/>
      <c r="DP17" s="230"/>
      <c r="DQ17" s="230"/>
      <c r="DR17" s="230"/>
      <c r="DS17" s="230"/>
      <c r="DT17" s="230"/>
      <c r="DU17" s="230"/>
      <c r="DV17" s="230"/>
      <c r="DW17" s="230"/>
      <c r="DX17" s="230"/>
      <c r="DY17" s="230"/>
      <c r="DZ17" s="230"/>
      <c r="EA17" s="230"/>
      <c r="EB17" s="230"/>
      <c r="EC17" s="230"/>
      <c r="ED17" s="230"/>
      <c r="EE17" s="230"/>
      <c r="EF17" s="230"/>
      <c r="EG17" s="230"/>
      <c r="EH17" s="230"/>
      <c r="EI17" s="230"/>
      <c r="EJ17" s="230"/>
      <c r="EK17" s="230"/>
      <c r="EL17" s="230"/>
      <c r="EM17" s="230"/>
      <c r="EN17" s="230"/>
      <c r="EO17" s="230"/>
      <c r="EP17" s="230"/>
      <c r="EQ17" s="230"/>
      <c r="ER17" s="230"/>
      <c r="ES17" s="230"/>
      <c r="ET17" s="230"/>
      <c r="EU17" s="230"/>
      <c r="EV17" s="230"/>
      <c r="EW17" s="230"/>
      <c r="EX17" s="230"/>
      <c r="EY17" s="230"/>
      <c r="EZ17" s="230"/>
      <c r="FA17" s="230"/>
      <c r="FB17" s="230"/>
      <c r="FC17" s="230"/>
      <c r="FD17" s="230"/>
      <c r="FE17" s="230"/>
      <c r="FF17" s="230"/>
      <c r="FG17" s="230"/>
      <c r="FH17" s="230"/>
      <c r="FI17" s="230"/>
      <c r="FJ17" s="230"/>
      <c r="FK17" s="230"/>
      <c r="FL17" s="230"/>
      <c r="FM17" s="230"/>
      <c r="FN17" s="230"/>
      <c r="FO17" s="230"/>
      <c r="FP17" s="230"/>
      <c r="FQ17" s="230"/>
      <c r="FR17" s="230"/>
      <c r="FS17" s="230"/>
      <c r="FT17" s="230"/>
      <c r="FU17" s="230"/>
      <c r="FV17" s="230"/>
      <c r="FW17" s="230"/>
      <c r="FX17" s="230"/>
      <c r="FY17" s="230"/>
      <c r="FZ17" s="230"/>
      <c r="GA17" s="230"/>
      <c r="GB17" s="230"/>
      <c r="GC17" s="230"/>
      <c r="GD17" s="230"/>
      <c r="GE17" s="230"/>
      <c r="GF17" s="230"/>
      <c r="GG17" s="230"/>
      <c r="GH17" s="230"/>
      <c r="GI17" s="230"/>
      <c r="GJ17" s="230"/>
      <c r="GK17" s="230"/>
      <c r="GL17" s="230"/>
      <c r="GM17" s="230"/>
      <c r="GN17" s="230"/>
      <c r="GO17" s="230"/>
      <c r="GP17" s="230"/>
      <c r="GQ17" s="230"/>
      <c r="GR17" s="230"/>
    </row>
    <row r="18" spans="1:200" s="632" customFormat="1" ht="26.25" customHeight="1" outlineLevel="2" x14ac:dyDescent="0.2">
      <c r="A18" s="636" t="s">
        <v>3967</v>
      </c>
      <c r="B18" s="636" t="s">
        <v>4794</v>
      </c>
      <c r="C18" s="597"/>
      <c r="D18" s="1535"/>
      <c r="E18" s="1153"/>
      <c r="F18" s="635"/>
      <c r="G18" s="1517">
        <v>4</v>
      </c>
      <c r="H18" s="1517">
        <v>2</v>
      </c>
      <c r="I18" s="1517"/>
      <c r="J18" s="1517" t="s">
        <v>1592</v>
      </c>
      <c r="K18" s="1518"/>
      <c r="L18" s="1518"/>
      <c r="M18" s="635"/>
      <c r="N18" s="624"/>
      <c r="O18" s="624"/>
      <c r="P18" s="624"/>
      <c r="Q18" s="624"/>
      <c r="R18" s="624"/>
      <c r="S18" s="624"/>
      <c r="T18" s="624"/>
      <c r="U18" s="624"/>
      <c r="V18" s="624"/>
      <c r="W18" s="624"/>
      <c r="X18" s="624"/>
      <c r="Y18" s="624"/>
      <c r="Z18" s="624"/>
      <c r="AA18">
        <f>IF(AND('12 Ext'!C18&gt;Tmin, NOT('12 Ext'!$I18="")),'12 Ext'!$I18,0)</f>
        <v>0</v>
      </c>
      <c r="AB18">
        <f>IF(AND('12 Ext'!D18&gt;Tmin, NOT('12 Ext'!$I18="")),'12 Ext'!$I18,0)</f>
        <v>0</v>
      </c>
      <c r="AC18">
        <f>IF(AND('12 Ext'!E18&gt;Tmin, NOT('12 Ext'!$I18="")),'12 Ext'!$I18,0)</f>
        <v>0</v>
      </c>
      <c r="AD18">
        <f>IF(AND('12 Ext'!F18&gt;Tmin, NOT('12 Ext'!$I18="")),'12 Ext'!$I18,0)</f>
        <v>0</v>
      </c>
      <c r="AE18">
        <f>IF(AND('12 Ext'!C18&lt;Tmax, NOT('12 Ext'!$H18="")),'12 Ext'!$H18,4)</f>
        <v>2</v>
      </c>
      <c r="AF18">
        <f>IF(AND('12 Ext'!D18&lt;Tmax, NOT('12 Ext'!$H18="")),'12 Ext'!$H18,4)</f>
        <v>2</v>
      </c>
      <c r="AG18">
        <f>IF(AND('12 Ext'!E18&lt;Tmax, NOT('12 Ext'!$H18="")),'12 Ext'!$H18,4)</f>
        <v>2</v>
      </c>
      <c r="AH18">
        <f>IF(AND('12 Ext'!F18&lt;Tmax, NOT('12 Ext'!$H18="")),'12 Ext'!$H18,4)</f>
        <v>2</v>
      </c>
      <c r="AI18"/>
      <c r="AJ18" s="230"/>
      <c r="AK18" s="230"/>
      <c r="AL18" s="230"/>
      <c r="AM18" s="230"/>
      <c r="AN18" s="230"/>
      <c r="AO18" s="230"/>
      <c r="AP18" s="230"/>
      <c r="AQ18" s="230"/>
      <c r="AR18" s="230"/>
      <c r="AS18" s="230"/>
      <c r="AT18" s="230"/>
      <c r="AU18" s="230"/>
      <c r="AV18" s="230"/>
      <c r="AW18" s="230"/>
      <c r="AX18" s="230"/>
      <c r="AY18" s="230"/>
      <c r="AZ18" s="230"/>
      <c r="BA18" s="230"/>
      <c r="BB18" s="230"/>
      <c r="BC18" s="230"/>
      <c r="BD18" s="230"/>
      <c r="BE18" s="230"/>
      <c r="BF18" s="230"/>
      <c r="BG18" s="230"/>
      <c r="BH18" s="230"/>
      <c r="BI18" s="230"/>
      <c r="BJ18" s="230"/>
      <c r="BK18" s="230"/>
      <c r="BL18" s="230"/>
      <c r="BM18" s="230"/>
      <c r="BN18" s="230"/>
      <c r="BO18" s="230"/>
      <c r="BP18" s="230"/>
      <c r="BQ18" s="230"/>
      <c r="BR18" s="230"/>
      <c r="BS18" s="230"/>
      <c r="BT18" s="230"/>
      <c r="BU18" s="230"/>
      <c r="BV18" s="230"/>
      <c r="BW18" s="230"/>
      <c r="BX18" s="230"/>
      <c r="BY18" s="230"/>
      <c r="BZ18" s="230"/>
      <c r="CA18" s="230"/>
      <c r="CB18" s="230"/>
      <c r="CC18" s="230"/>
      <c r="CD18" s="230"/>
      <c r="CE18" s="230"/>
      <c r="CF18" s="230"/>
      <c r="CG18" s="230"/>
      <c r="CH18" s="230"/>
      <c r="CI18" s="230"/>
      <c r="CJ18" s="230"/>
      <c r="CK18" s="230"/>
      <c r="CL18" s="230"/>
      <c r="CM18" s="230"/>
      <c r="CN18" s="230"/>
      <c r="CO18" s="230"/>
      <c r="CP18" s="230"/>
      <c r="CQ18" s="230"/>
      <c r="CR18" s="230"/>
      <c r="CS18" s="230"/>
      <c r="CT18" s="230"/>
      <c r="CU18" s="230"/>
      <c r="CV18" s="230"/>
      <c r="CW18" s="230"/>
      <c r="CX18" s="230"/>
      <c r="CY18" s="230"/>
      <c r="CZ18" s="230"/>
      <c r="DA18" s="230"/>
      <c r="DB18" s="230"/>
      <c r="DC18" s="230"/>
      <c r="DD18" s="230"/>
      <c r="DE18" s="230"/>
      <c r="DF18" s="230"/>
      <c r="DG18" s="230"/>
      <c r="DH18" s="230"/>
      <c r="DI18" s="230"/>
      <c r="DJ18" s="230"/>
      <c r="DK18" s="230"/>
      <c r="DL18" s="230"/>
      <c r="DM18" s="230"/>
      <c r="DN18" s="230"/>
      <c r="DO18" s="230"/>
      <c r="DP18" s="230"/>
      <c r="DQ18" s="230"/>
      <c r="DR18" s="230"/>
      <c r="DS18" s="230"/>
      <c r="DT18" s="230"/>
      <c r="DU18" s="230"/>
      <c r="DV18" s="230"/>
      <c r="DW18" s="230"/>
      <c r="DX18" s="230"/>
      <c r="DY18" s="230"/>
      <c r="DZ18" s="230"/>
      <c r="EA18" s="230"/>
      <c r="EB18" s="230"/>
      <c r="EC18" s="230"/>
      <c r="ED18" s="230"/>
      <c r="EE18" s="230"/>
      <c r="EF18" s="230"/>
      <c r="EG18" s="230"/>
      <c r="EH18" s="230"/>
      <c r="EI18" s="230"/>
      <c r="EJ18" s="230"/>
      <c r="EK18" s="230"/>
      <c r="EL18" s="230"/>
      <c r="EM18" s="230"/>
      <c r="EN18" s="230"/>
      <c r="EO18" s="230"/>
      <c r="EP18" s="230"/>
      <c r="EQ18" s="230"/>
      <c r="ER18" s="230"/>
      <c r="ES18" s="230"/>
      <c r="ET18" s="230"/>
      <c r="EU18" s="230"/>
      <c r="EV18" s="230"/>
      <c r="EW18" s="230"/>
      <c r="EX18" s="230"/>
      <c r="EY18" s="230"/>
      <c r="EZ18" s="230"/>
      <c r="FA18" s="230"/>
      <c r="FB18" s="230"/>
      <c r="FC18" s="230"/>
      <c r="FD18" s="230"/>
      <c r="FE18" s="230"/>
      <c r="FF18" s="230"/>
      <c r="FG18" s="230"/>
      <c r="FH18" s="230"/>
      <c r="FI18" s="230"/>
      <c r="FJ18" s="230"/>
      <c r="FK18" s="230"/>
      <c r="FL18" s="230"/>
      <c r="FM18" s="230"/>
      <c r="FN18" s="230"/>
      <c r="FO18" s="230"/>
      <c r="FP18" s="230"/>
      <c r="FQ18" s="230"/>
      <c r="FR18" s="230"/>
      <c r="FS18" s="230"/>
      <c r="FT18" s="230"/>
      <c r="FU18" s="230"/>
      <c r="FV18" s="230"/>
      <c r="FW18" s="230"/>
      <c r="FX18" s="230"/>
      <c r="FY18" s="230"/>
      <c r="FZ18" s="230"/>
      <c r="GA18" s="230"/>
      <c r="GB18" s="230"/>
      <c r="GC18" s="230"/>
      <c r="GD18" s="230"/>
      <c r="GE18" s="230"/>
      <c r="GF18" s="230"/>
      <c r="GG18" s="230"/>
      <c r="GH18" s="230"/>
      <c r="GI18" s="230"/>
      <c r="GJ18" s="230"/>
      <c r="GK18" s="230"/>
      <c r="GL18" s="230"/>
      <c r="GM18" s="230"/>
      <c r="GN18" s="230"/>
      <c r="GO18" s="230"/>
      <c r="GP18" s="230"/>
      <c r="GQ18" s="230"/>
      <c r="GR18" s="230"/>
    </row>
    <row r="19" spans="1:200" s="632" customFormat="1" ht="22.5" outlineLevel="2" x14ac:dyDescent="0.2">
      <c r="A19" s="636" t="s">
        <v>3968</v>
      </c>
      <c r="B19" s="636" t="s">
        <v>1411</v>
      </c>
      <c r="C19" s="597"/>
      <c r="D19" s="1535"/>
      <c r="E19" s="1153"/>
      <c r="F19" s="635"/>
      <c r="G19" s="1517">
        <v>2</v>
      </c>
      <c r="H19" s="1517"/>
      <c r="I19" s="1517"/>
      <c r="J19" s="1517" t="s">
        <v>1592</v>
      </c>
      <c r="K19" s="1518" t="s">
        <v>7021</v>
      </c>
      <c r="L19" s="1518" t="s">
        <v>7327</v>
      </c>
      <c r="M19" s="635"/>
      <c r="N19" s="624"/>
      <c r="O19" s="624"/>
      <c r="P19" s="624"/>
      <c r="Q19" s="624"/>
      <c r="R19" s="624"/>
      <c r="S19" s="624"/>
      <c r="T19" s="624"/>
      <c r="U19" s="624"/>
      <c r="V19" s="624"/>
      <c r="W19" s="624"/>
      <c r="X19" s="624"/>
      <c r="Y19" s="624"/>
      <c r="Z19" s="624"/>
      <c r="AA19">
        <f>IF(AND('12 Ext'!C19&gt;Tmin, NOT('12 Ext'!$I19="")),'12 Ext'!$I19,0)</f>
        <v>0</v>
      </c>
      <c r="AB19">
        <f>IF(AND('12 Ext'!D19&gt;Tmin, NOT('12 Ext'!$I19="")),'12 Ext'!$I19,0)</f>
        <v>0</v>
      </c>
      <c r="AC19">
        <f>IF(AND('12 Ext'!E19&gt;Tmin, NOT('12 Ext'!$I19="")),'12 Ext'!$I19,0)</f>
        <v>0</v>
      </c>
      <c r="AD19">
        <f>IF(AND('12 Ext'!F19&gt;Tmin, NOT('12 Ext'!$I19="")),'12 Ext'!$I19,0)</f>
        <v>0</v>
      </c>
      <c r="AE19">
        <f>IF(AND('12 Ext'!C19&lt;Tmax, NOT('12 Ext'!$H19="")),'12 Ext'!$H19,4)</f>
        <v>4</v>
      </c>
      <c r="AF19">
        <f>IF(AND('12 Ext'!D19&lt;Tmax, NOT('12 Ext'!$H19="")),'12 Ext'!$H19,4)</f>
        <v>4</v>
      </c>
      <c r="AG19">
        <f>IF(AND('12 Ext'!E19&lt;Tmax, NOT('12 Ext'!$H19="")),'12 Ext'!$H19,4)</f>
        <v>4</v>
      </c>
      <c r="AH19">
        <f>IF(AND('12 Ext'!F19&lt;Tmax, NOT('12 Ext'!$H19="")),'12 Ext'!$H19,4)</f>
        <v>4</v>
      </c>
      <c r="AI19"/>
      <c r="AJ19" s="230"/>
      <c r="AK19" s="230"/>
      <c r="AL19" s="230"/>
      <c r="AM19" s="230"/>
      <c r="AN19" s="230"/>
      <c r="AO19" s="230"/>
      <c r="AP19" s="230"/>
      <c r="AQ19" s="230"/>
      <c r="AR19" s="230"/>
      <c r="AS19" s="230"/>
      <c r="AT19" s="230"/>
      <c r="AU19" s="230"/>
      <c r="AV19" s="230"/>
      <c r="AW19" s="230"/>
      <c r="AX19" s="230"/>
      <c r="AY19" s="230"/>
      <c r="AZ19" s="230"/>
      <c r="BA19" s="230"/>
      <c r="BB19" s="230"/>
      <c r="BC19" s="230"/>
      <c r="BD19" s="230"/>
      <c r="BE19" s="230"/>
      <c r="BF19" s="230"/>
      <c r="BG19" s="230"/>
      <c r="BH19" s="230"/>
      <c r="BI19" s="230"/>
      <c r="BJ19" s="230"/>
      <c r="BK19" s="230"/>
      <c r="BL19" s="230"/>
      <c r="BM19" s="230"/>
      <c r="BN19" s="230"/>
      <c r="BO19" s="230"/>
      <c r="BP19" s="230"/>
      <c r="BQ19" s="230"/>
      <c r="BR19" s="230"/>
      <c r="BS19" s="230"/>
      <c r="BT19" s="230"/>
      <c r="BU19" s="230"/>
      <c r="BV19" s="230"/>
      <c r="BW19" s="230"/>
      <c r="BX19" s="230"/>
      <c r="BY19" s="230"/>
      <c r="BZ19" s="230"/>
      <c r="CA19" s="230"/>
      <c r="CB19" s="230"/>
      <c r="CC19" s="230"/>
      <c r="CD19" s="230"/>
      <c r="CE19" s="230"/>
      <c r="CF19" s="230"/>
      <c r="CG19" s="230"/>
      <c r="CH19" s="230"/>
      <c r="CI19" s="230"/>
      <c r="CJ19" s="230"/>
      <c r="CK19" s="230"/>
      <c r="CL19" s="230"/>
      <c r="CM19" s="230"/>
      <c r="CN19" s="230"/>
      <c r="CO19" s="230"/>
      <c r="CP19" s="230"/>
      <c r="CQ19" s="230"/>
      <c r="CR19" s="230"/>
      <c r="CS19" s="230"/>
      <c r="CT19" s="230"/>
      <c r="CU19" s="230"/>
      <c r="CV19" s="230"/>
      <c r="CW19" s="230"/>
      <c r="CX19" s="230"/>
      <c r="CY19" s="230"/>
      <c r="CZ19" s="230"/>
      <c r="DA19" s="230"/>
      <c r="DB19" s="230"/>
      <c r="DC19" s="230"/>
      <c r="DD19" s="230"/>
      <c r="DE19" s="230"/>
      <c r="DF19" s="230"/>
      <c r="DG19" s="230"/>
      <c r="DH19" s="230"/>
      <c r="DI19" s="230"/>
      <c r="DJ19" s="230"/>
      <c r="DK19" s="230"/>
      <c r="DL19" s="230"/>
      <c r="DM19" s="230"/>
      <c r="DN19" s="230"/>
      <c r="DO19" s="230"/>
      <c r="DP19" s="230"/>
      <c r="DQ19" s="230"/>
      <c r="DR19" s="230"/>
      <c r="DS19" s="230"/>
      <c r="DT19" s="230"/>
      <c r="DU19" s="230"/>
      <c r="DV19" s="230"/>
      <c r="DW19" s="230"/>
      <c r="DX19" s="230"/>
      <c r="DY19" s="230"/>
      <c r="DZ19" s="230"/>
      <c r="EA19" s="230"/>
      <c r="EB19" s="230"/>
      <c r="EC19" s="230"/>
      <c r="ED19" s="230"/>
      <c r="EE19" s="230"/>
      <c r="EF19" s="230"/>
      <c r="EG19" s="230"/>
      <c r="EH19" s="230"/>
      <c r="EI19" s="230"/>
      <c r="EJ19" s="230"/>
      <c r="EK19" s="230"/>
      <c r="EL19" s="230"/>
      <c r="EM19" s="230"/>
      <c r="EN19" s="230"/>
      <c r="EO19" s="230"/>
      <c r="EP19" s="230"/>
      <c r="EQ19" s="230"/>
      <c r="ER19" s="230"/>
      <c r="ES19" s="230"/>
      <c r="ET19" s="230"/>
      <c r="EU19" s="230"/>
      <c r="EV19" s="230"/>
      <c r="EW19" s="230"/>
      <c r="EX19" s="230"/>
      <c r="EY19" s="230"/>
      <c r="EZ19" s="230"/>
      <c r="FA19" s="230"/>
      <c r="FB19" s="230"/>
      <c r="FC19" s="230"/>
      <c r="FD19" s="230"/>
      <c r="FE19" s="230"/>
      <c r="FF19" s="230"/>
      <c r="FG19" s="230"/>
      <c r="FH19" s="230"/>
      <c r="FI19" s="230"/>
      <c r="FJ19" s="230"/>
      <c r="FK19" s="230"/>
      <c r="FL19" s="230"/>
      <c r="FM19" s="230"/>
      <c r="FN19" s="230"/>
      <c r="FO19" s="230"/>
      <c r="FP19" s="230"/>
      <c r="FQ19" s="230"/>
      <c r="FR19" s="230"/>
      <c r="FS19" s="230"/>
      <c r="FT19" s="230"/>
      <c r="FU19" s="230"/>
      <c r="FV19" s="230"/>
      <c r="FW19" s="230"/>
      <c r="FX19" s="230"/>
      <c r="FY19" s="230"/>
      <c r="FZ19" s="230"/>
      <c r="GA19" s="230"/>
      <c r="GB19" s="230"/>
      <c r="GC19" s="230"/>
      <c r="GD19" s="230"/>
      <c r="GE19" s="230"/>
      <c r="GF19" s="230"/>
      <c r="GG19" s="230"/>
      <c r="GH19" s="230"/>
      <c r="GI19" s="230"/>
      <c r="GJ19" s="230"/>
      <c r="GK19" s="230"/>
      <c r="GL19" s="230"/>
      <c r="GM19" s="230"/>
      <c r="GN19" s="230"/>
      <c r="GO19" s="230"/>
      <c r="GP19" s="230"/>
      <c r="GQ19" s="230"/>
      <c r="GR19" s="230"/>
    </row>
    <row r="20" spans="1:200" s="632" customFormat="1" outlineLevel="2" x14ac:dyDescent="0.2">
      <c r="A20" s="636" t="s">
        <v>3969</v>
      </c>
      <c r="B20" s="636" t="s">
        <v>911</v>
      </c>
      <c r="C20" s="597"/>
      <c r="D20" s="1535"/>
      <c r="E20" s="1153"/>
      <c r="F20" s="635"/>
      <c r="G20" s="1517">
        <v>2</v>
      </c>
      <c r="H20" s="1517">
        <v>2</v>
      </c>
      <c r="I20" s="1517"/>
      <c r="J20" s="1517" t="s">
        <v>1592</v>
      </c>
      <c r="K20" s="1518" t="s">
        <v>7021</v>
      </c>
      <c r="L20" s="1518" t="s">
        <v>7327</v>
      </c>
      <c r="M20" s="635"/>
      <c r="N20" s="624"/>
      <c r="O20" s="624"/>
      <c r="P20" s="624"/>
      <c r="Q20" s="624"/>
      <c r="R20" s="624"/>
      <c r="S20" s="624"/>
      <c r="T20" s="624"/>
      <c r="U20" s="624"/>
      <c r="V20" s="624"/>
      <c r="W20" s="624"/>
      <c r="X20" s="624"/>
      <c r="Y20" s="624"/>
      <c r="Z20" s="624"/>
      <c r="AA20">
        <f>IF(AND('12 Ext'!C20&gt;Tmin, NOT('12 Ext'!$I20="")),'12 Ext'!$I20,0)</f>
        <v>0</v>
      </c>
      <c r="AB20">
        <f>IF(AND('12 Ext'!D20&gt;Tmin, NOT('12 Ext'!$I20="")),'12 Ext'!$I20,0)</f>
        <v>0</v>
      </c>
      <c r="AC20">
        <f>IF(AND('12 Ext'!E20&gt;Tmin, NOT('12 Ext'!$I20="")),'12 Ext'!$I20,0)</f>
        <v>0</v>
      </c>
      <c r="AD20">
        <f>IF(AND('12 Ext'!F20&gt;Tmin, NOT('12 Ext'!$I20="")),'12 Ext'!$I20,0)</f>
        <v>0</v>
      </c>
      <c r="AE20">
        <f>IF(AND('12 Ext'!C20&lt;Tmax, NOT('12 Ext'!$H20="")),'12 Ext'!$H20,4)</f>
        <v>2</v>
      </c>
      <c r="AF20">
        <f>IF(AND('12 Ext'!D20&lt;Tmax, NOT('12 Ext'!$H20="")),'12 Ext'!$H20,4)</f>
        <v>2</v>
      </c>
      <c r="AG20">
        <f>IF(AND('12 Ext'!E20&lt;Tmax, NOT('12 Ext'!$H20="")),'12 Ext'!$H20,4)</f>
        <v>2</v>
      </c>
      <c r="AH20">
        <f>IF(AND('12 Ext'!F20&lt;Tmax, NOT('12 Ext'!$H20="")),'12 Ext'!$H20,4)</f>
        <v>2</v>
      </c>
      <c r="AI20"/>
      <c r="AJ20" s="230"/>
      <c r="AK20" s="230"/>
      <c r="AL20" s="230"/>
      <c r="AM20" s="230"/>
      <c r="AN20" s="230"/>
      <c r="AO20" s="230"/>
      <c r="AP20" s="230"/>
      <c r="AQ20" s="230"/>
      <c r="AR20" s="230"/>
      <c r="AS20" s="230"/>
      <c r="AT20" s="230"/>
      <c r="AU20" s="230"/>
      <c r="AV20" s="230"/>
      <c r="AW20" s="230"/>
      <c r="AX20" s="230"/>
      <c r="AY20" s="230"/>
      <c r="AZ20" s="230"/>
      <c r="BA20" s="230"/>
      <c r="BB20" s="230"/>
      <c r="BC20" s="230"/>
      <c r="BD20" s="230"/>
      <c r="BE20" s="230"/>
      <c r="BF20" s="230"/>
      <c r="BG20" s="230"/>
      <c r="BH20" s="230"/>
      <c r="BI20" s="230"/>
      <c r="BJ20" s="230"/>
      <c r="BK20" s="230"/>
      <c r="BL20" s="230"/>
      <c r="BM20" s="230"/>
      <c r="BN20" s="230"/>
      <c r="BO20" s="230"/>
      <c r="BP20" s="230"/>
      <c r="BQ20" s="230"/>
      <c r="BR20" s="230"/>
      <c r="BS20" s="230"/>
      <c r="BT20" s="230"/>
      <c r="BU20" s="230"/>
      <c r="BV20" s="230"/>
      <c r="BW20" s="230"/>
      <c r="BX20" s="230"/>
      <c r="BY20" s="230"/>
      <c r="BZ20" s="230"/>
      <c r="CA20" s="230"/>
      <c r="CB20" s="230"/>
      <c r="CC20" s="230"/>
      <c r="CD20" s="230"/>
      <c r="CE20" s="230"/>
      <c r="CF20" s="230"/>
      <c r="CG20" s="230"/>
      <c r="CH20" s="230"/>
      <c r="CI20" s="230"/>
      <c r="CJ20" s="230"/>
      <c r="CK20" s="230"/>
      <c r="CL20" s="230"/>
      <c r="CM20" s="230"/>
      <c r="CN20" s="230"/>
      <c r="CO20" s="230"/>
      <c r="CP20" s="230"/>
      <c r="CQ20" s="230"/>
      <c r="CR20" s="230"/>
      <c r="CS20" s="230"/>
      <c r="CT20" s="230"/>
      <c r="CU20" s="230"/>
      <c r="CV20" s="230"/>
      <c r="CW20" s="230"/>
      <c r="CX20" s="230"/>
      <c r="CY20" s="230"/>
      <c r="CZ20" s="230"/>
      <c r="DA20" s="230"/>
      <c r="DB20" s="230"/>
      <c r="DC20" s="230"/>
      <c r="DD20" s="230"/>
      <c r="DE20" s="230"/>
      <c r="DF20" s="230"/>
      <c r="DG20" s="230"/>
      <c r="DH20" s="230"/>
      <c r="DI20" s="230"/>
      <c r="DJ20" s="230"/>
      <c r="DK20" s="230"/>
      <c r="DL20" s="230"/>
      <c r="DM20" s="230"/>
      <c r="DN20" s="230"/>
      <c r="DO20" s="230"/>
      <c r="DP20" s="230"/>
      <c r="DQ20" s="230"/>
      <c r="DR20" s="230"/>
      <c r="DS20" s="230"/>
      <c r="DT20" s="230"/>
      <c r="DU20" s="230"/>
      <c r="DV20" s="230"/>
      <c r="DW20" s="230"/>
      <c r="DX20" s="230"/>
      <c r="DY20" s="230"/>
      <c r="DZ20" s="230"/>
      <c r="EA20" s="230"/>
      <c r="EB20" s="230"/>
      <c r="EC20" s="230"/>
      <c r="ED20" s="230"/>
      <c r="EE20" s="230"/>
      <c r="EF20" s="230"/>
      <c r="EG20" s="230"/>
      <c r="EH20" s="230"/>
      <c r="EI20" s="230"/>
      <c r="EJ20" s="230"/>
      <c r="EK20" s="230"/>
      <c r="EL20" s="230"/>
      <c r="EM20" s="230"/>
      <c r="EN20" s="230"/>
      <c r="EO20" s="230"/>
      <c r="EP20" s="230"/>
      <c r="EQ20" s="230"/>
      <c r="ER20" s="230"/>
      <c r="ES20" s="230"/>
      <c r="ET20" s="230"/>
      <c r="EU20" s="230"/>
      <c r="EV20" s="230"/>
      <c r="EW20" s="230"/>
      <c r="EX20" s="230"/>
      <c r="EY20" s="230"/>
      <c r="EZ20" s="230"/>
      <c r="FA20" s="230"/>
      <c r="FB20" s="230"/>
      <c r="FC20" s="230"/>
      <c r="FD20" s="230"/>
      <c r="FE20" s="230"/>
      <c r="FF20" s="230"/>
      <c r="FG20" s="230"/>
      <c r="FH20" s="230"/>
      <c r="FI20" s="230"/>
      <c r="FJ20" s="230"/>
      <c r="FK20" s="230"/>
      <c r="FL20" s="230"/>
      <c r="FM20" s="230"/>
      <c r="FN20" s="230"/>
      <c r="FO20" s="230"/>
      <c r="FP20" s="230"/>
      <c r="FQ20" s="230"/>
      <c r="FR20" s="230"/>
      <c r="FS20" s="230"/>
      <c r="FT20" s="230"/>
      <c r="FU20" s="230"/>
      <c r="FV20" s="230"/>
      <c r="FW20" s="230"/>
      <c r="FX20" s="230"/>
      <c r="FY20" s="230"/>
      <c r="FZ20" s="230"/>
      <c r="GA20" s="230"/>
      <c r="GB20" s="230"/>
      <c r="GC20" s="230"/>
      <c r="GD20" s="230"/>
      <c r="GE20" s="230"/>
      <c r="GF20" s="230"/>
      <c r="GG20" s="230"/>
      <c r="GH20" s="230"/>
      <c r="GI20" s="230"/>
      <c r="GJ20" s="230"/>
      <c r="GK20" s="230"/>
      <c r="GL20" s="230"/>
      <c r="GM20" s="230"/>
      <c r="GN20" s="230"/>
      <c r="GO20" s="230"/>
      <c r="GP20" s="230"/>
      <c r="GQ20" s="230"/>
      <c r="GR20" s="230"/>
    </row>
    <row r="21" spans="1:200" s="632" customFormat="1" ht="22.5" outlineLevel="2" x14ac:dyDescent="0.2">
      <c r="A21" s="636" t="s">
        <v>3970</v>
      </c>
      <c r="B21" s="636" t="s">
        <v>6690</v>
      </c>
      <c r="C21" s="597"/>
      <c r="D21" s="1535"/>
      <c r="E21" s="1153"/>
      <c r="F21" s="635"/>
      <c r="G21" s="1517">
        <v>1</v>
      </c>
      <c r="H21" s="1517"/>
      <c r="I21" s="1517"/>
      <c r="J21" s="1517" t="s">
        <v>2329</v>
      </c>
      <c r="K21" s="1518"/>
      <c r="L21" s="1518"/>
      <c r="M21" s="635"/>
      <c r="N21" s="624"/>
      <c r="O21" s="624"/>
      <c r="P21" s="624"/>
      <c r="Q21" s="624"/>
      <c r="R21" s="624"/>
      <c r="S21" s="624"/>
      <c r="T21" s="624"/>
      <c r="U21" s="624"/>
      <c r="V21" s="624"/>
      <c r="W21" s="624"/>
      <c r="X21" s="624"/>
      <c r="Y21" s="624"/>
      <c r="Z21" s="624"/>
      <c r="AA21">
        <f>IF(AND('12 Ext'!C21&gt;Tmin, NOT('12 Ext'!$I21="")),'12 Ext'!$I21,0)</f>
        <v>0</v>
      </c>
      <c r="AB21">
        <f>IF(AND('12 Ext'!D21&gt;Tmin, NOT('12 Ext'!$I21="")),'12 Ext'!$I21,0)</f>
        <v>0</v>
      </c>
      <c r="AC21">
        <f>IF(AND('12 Ext'!E21&gt;Tmin, NOT('12 Ext'!$I21="")),'12 Ext'!$I21,0)</f>
        <v>0</v>
      </c>
      <c r="AD21">
        <f>IF(AND('12 Ext'!F21&gt;Tmin, NOT('12 Ext'!$I21="")),'12 Ext'!$I21,0)</f>
        <v>0</v>
      </c>
      <c r="AE21">
        <f>IF(AND('12 Ext'!C21&lt;Tmax, NOT('12 Ext'!$H21="")),'12 Ext'!$H21,4)</f>
        <v>4</v>
      </c>
      <c r="AF21">
        <f>IF(AND('12 Ext'!D21&lt;Tmax, NOT('12 Ext'!$H21="")),'12 Ext'!$H21,4)</f>
        <v>4</v>
      </c>
      <c r="AG21">
        <f>IF(AND('12 Ext'!E21&lt;Tmax, NOT('12 Ext'!$H21="")),'12 Ext'!$H21,4)</f>
        <v>4</v>
      </c>
      <c r="AH21">
        <f>IF(AND('12 Ext'!F21&lt;Tmax, NOT('12 Ext'!$H21="")),'12 Ext'!$H21,4)</f>
        <v>4</v>
      </c>
      <c r="AI21"/>
      <c r="AJ21" s="230"/>
      <c r="AK21" s="230"/>
      <c r="AL21" s="230"/>
      <c r="AM21" s="230"/>
      <c r="AN21" s="230"/>
      <c r="AO21" s="230"/>
      <c r="AP21" s="230"/>
      <c r="AQ21" s="230"/>
      <c r="AR21" s="230"/>
      <c r="AS21" s="230"/>
      <c r="AT21" s="230"/>
      <c r="AU21" s="230"/>
      <c r="AV21" s="230"/>
      <c r="AW21" s="230"/>
      <c r="AX21" s="230"/>
      <c r="AY21" s="230"/>
      <c r="AZ21" s="230"/>
      <c r="BA21" s="230"/>
      <c r="BB21" s="230"/>
      <c r="BC21" s="230"/>
      <c r="BD21" s="230"/>
      <c r="BE21" s="230"/>
      <c r="BF21" s="230"/>
      <c r="BG21" s="230"/>
      <c r="BH21" s="230"/>
      <c r="BI21" s="230"/>
      <c r="BJ21" s="230"/>
      <c r="BK21" s="230"/>
      <c r="BL21" s="230"/>
      <c r="BM21" s="230"/>
      <c r="BN21" s="230"/>
      <c r="BO21" s="230"/>
      <c r="BP21" s="230"/>
      <c r="BQ21" s="230"/>
      <c r="BR21" s="230"/>
      <c r="BS21" s="230"/>
      <c r="BT21" s="230"/>
      <c r="BU21" s="230"/>
      <c r="BV21" s="230"/>
      <c r="BW21" s="230"/>
      <c r="BX21" s="230"/>
      <c r="BY21" s="230"/>
      <c r="BZ21" s="230"/>
      <c r="CA21" s="230"/>
      <c r="CB21" s="230"/>
      <c r="CC21" s="230"/>
      <c r="CD21" s="230"/>
      <c r="CE21" s="230"/>
      <c r="CF21" s="230"/>
      <c r="CG21" s="230"/>
      <c r="CH21" s="230"/>
      <c r="CI21" s="230"/>
      <c r="CJ21" s="230"/>
      <c r="CK21" s="230"/>
      <c r="CL21" s="230"/>
      <c r="CM21" s="230"/>
      <c r="CN21" s="230"/>
      <c r="CO21" s="230"/>
      <c r="CP21" s="230"/>
      <c r="CQ21" s="230"/>
      <c r="CR21" s="230"/>
      <c r="CS21" s="230"/>
      <c r="CT21" s="230"/>
      <c r="CU21" s="230"/>
      <c r="CV21" s="230"/>
      <c r="CW21" s="230"/>
      <c r="CX21" s="230"/>
      <c r="CY21" s="230"/>
      <c r="CZ21" s="230"/>
      <c r="DA21" s="230"/>
      <c r="DB21" s="230"/>
      <c r="DC21" s="230"/>
      <c r="DD21" s="230"/>
      <c r="DE21" s="230"/>
      <c r="DF21" s="230"/>
      <c r="DG21" s="230"/>
      <c r="DH21" s="230"/>
      <c r="DI21" s="230"/>
      <c r="DJ21" s="230"/>
      <c r="DK21" s="230"/>
      <c r="DL21" s="230"/>
      <c r="DM21" s="230"/>
      <c r="DN21" s="230"/>
      <c r="DO21" s="230"/>
      <c r="DP21" s="230"/>
      <c r="DQ21" s="230"/>
      <c r="DR21" s="230"/>
      <c r="DS21" s="230"/>
      <c r="DT21" s="230"/>
      <c r="DU21" s="230"/>
      <c r="DV21" s="230"/>
      <c r="DW21" s="230"/>
      <c r="DX21" s="230"/>
      <c r="DY21" s="230"/>
      <c r="DZ21" s="230"/>
      <c r="EA21" s="230"/>
      <c r="EB21" s="230"/>
      <c r="EC21" s="230"/>
      <c r="ED21" s="230"/>
      <c r="EE21" s="230"/>
      <c r="EF21" s="230"/>
      <c r="EG21" s="230"/>
      <c r="EH21" s="230"/>
      <c r="EI21" s="230"/>
      <c r="EJ21" s="230"/>
      <c r="EK21" s="230"/>
      <c r="EL21" s="230"/>
      <c r="EM21" s="230"/>
      <c r="EN21" s="230"/>
      <c r="EO21" s="230"/>
      <c r="EP21" s="230"/>
      <c r="EQ21" s="230"/>
      <c r="ER21" s="230"/>
      <c r="ES21" s="230"/>
      <c r="ET21" s="230"/>
      <c r="EU21" s="230"/>
      <c r="EV21" s="230"/>
      <c r="EW21" s="230"/>
      <c r="EX21" s="230"/>
      <c r="EY21" s="230"/>
      <c r="EZ21" s="230"/>
      <c r="FA21" s="230"/>
      <c r="FB21" s="230"/>
      <c r="FC21" s="230"/>
      <c r="FD21" s="230"/>
      <c r="FE21" s="230"/>
      <c r="FF21" s="230"/>
      <c r="FG21" s="230"/>
      <c r="FH21" s="230"/>
      <c r="FI21" s="230"/>
      <c r="FJ21" s="230"/>
      <c r="FK21" s="230"/>
      <c r="FL21" s="230"/>
      <c r="FM21" s="230"/>
      <c r="FN21" s="230"/>
      <c r="FO21" s="230"/>
      <c r="FP21" s="230"/>
      <c r="FQ21" s="230"/>
      <c r="FR21" s="230"/>
      <c r="FS21" s="230"/>
      <c r="FT21" s="230"/>
      <c r="FU21" s="230"/>
      <c r="FV21" s="230"/>
      <c r="FW21" s="230"/>
      <c r="FX21" s="230"/>
      <c r="FY21" s="230"/>
      <c r="FZ21" s="230"/>
      <c r="GA21" s="230"/>
      <c r="GB21" s="230"/>
      <c r="GC21" s="230"/>
      <c r="GD21" s="230"/>
      <c r="GE21" s="230"/>
      <c r="GF21" s="230"/>
      <c r="GG21" s="230"/>
      <c r="GH21" s="230"/>
      <c r="GI21" s="230"/>
      <c r="GJ21" s="230"/>
      <c r="GK21" s="230"/>
      <c r="GL21" s="230"/>
      <c r="GM21" s="230"/>
      <c r="GN21" s="230"/>
      <c r="GO21" s="230"/>
      <c r="GP21" s="230"/>
      <c r="GQ21" s="230"/>
      <c r="GR21" s="230"/>
    </row>
    <row r="22" spans="1:200" s="632" customFormat="1" outlineLevel="2" x14ac:dyDescent="0.2">
      <c r="A22" s="636" t="s">
        <v>3971</v>
      </c>
      <c r="B22" s="636" t="s">
        <v>915</v>
      </c>
      <c r="C22" s="597"/>
      <c r="D22" s="1536"/>
      <c r="E22" s="635"/>
      <c r="F22" s="635"/>
      <c r="G22" s="1517">
        <v>4</v>
      </c>
      <c r="H22" s="1517"/>
      <c r="I22" s="1517"/>
      <c r="J22" s="1517" t="s">
        <v>2329</v>
      </c>
      <c r="K22" s="1518"/>
      <c r="L22" s="1518"/>
      <c r="M22" s="635"/>
      <c r="N22" s="624"/>
      <c r="O22" s="624"/>
      <c r="P22" s="624"/>
      <c r="Q22" s="624"/>
      <c r="R22" s="624"/>
      <c r="S22" s="624"/>
      <c r="T22" s="624"/>
      <c r="U22" s="624"/>
      <c r="V22" s="624"/>
      <c r="W22" s="624"/>
      <c r="X22" s="624"/>
      <c r="Y22" s="624"/>
      <c r="Z22" s="624"/>
      <c r="AA22">
        <f>IF(AND('12 Ext'!C22&gt;Tmin, NOT('12 Ext'!$I22="")),'12 Ext'!$I22,0)</f>
        <v>0</v>
      </c>
      <c r="AB22">
        <f>IF(AND('12 Ext'!D22&gt;Tmin, NOT('12 Ext'!$I22="")),'12 Ext'!$I22,0)</f>
        <v>0</v>
      </c>
      <c r="AC22">
        <f>IF(AND('12 Ext'!E22&gt;Tmin, NOT('12 Ext'!$I22="")),'12 Ext'!$I22,0)</f>
        <v>0</v>
      </c>
      <c r="AD22">
        <f>IF(AND('12 Ext'!F22&gt;Tmin, NOT('12 Ext'!$I22="")),'12 Ext'!$I22,0)</f>
        <v>0</v>
      </c>
      <c r="AE22">
        <f>IF(AND('12 Ext'!C22&lt;Tmax, NOT('12 Ext'!$H22="")),'12 Ext'!$H22,4)</f>
        <v>4</v>
      </c>
      <c r="AF22">
        <f>IF(AND('12 Ext'!D22&lt;Tmax, NOT('12 Ext'!$H22="")),'12 Ext'!$H22,4)</f>
        <v>4</v>
      </c>
      <c r="AG22">
        <f>IF(AND('12 Ext'!E22&lt;Tmax, NOT('12 Ext'!$H22="")),'12 Ext'!$H22,4)</f>
        <v>4</v>
      </c>
      <c r="AH22">
        <f>IF(AND('12 Ext'!F22&lt;Tmax, NOT('12 Ext'!$H22="")),'12 Ext'!$H22,4)</f>
        <v>4</v>
      </c>
      <c r="AI22"/>
      <c r="AJ22" s="230"/>
      <c r="AK22" s="230"/>
      <c r="AL22" s="230"/>
      <c r="AM22" s="230"/>
      <c r="AN22" s="230"/>
      <c r="AO22" s="230"/>
      <c r="AP22" s="230"/>
      <c r="AQ22" s="230"/>
      <c r="AR22" s="230"/>
      <c r="AS22" s="230"/>
      <c r="AT22" s="230"/>
      <c r="AU22" s="230"/>
      <c r="AV22" s="230"/>
      <c r="AW22" s="230"/>
      <c r="AX22" s="230"/>
      <c r="AY22" s="230"/>
      <c r="AZ22" s="230"/>
      <c r="BA22" s="230"/>
      <c r="BB22" s="230"/>
      <c r="BC22" s="230"/>
      <c r="BD22" s="230"/>
      <c r="BE22" s="230"/>
      <c r="BF22" s="230"/>
      <c r="BG22" s="230"/>
      <c r="BH22" s="230"/>
      <c r="BI22" s="230"/>
      <c r="BJ22" s="230"/>
      <c r="BK22" s="230"/>
      <c r="BL22" s="230"/>
      <c r="BM22" s="230"/>
      <c r="BN22" s="230"/>
      <c r="BO22" s="230"/>
      <c r="BP22" s="230"/>
      <c r="BQ22" s="230"/>
      <c r="BR22" s="230"/>
      <c r="BS22" s="230"/>
      <c r="BT22" s="230"/>
      <c r="BU22" s="230"/>
      <c r="BV22" s="230"/>
      <c r="BW22" s="230"/>
      <c r="BX22" s="230"/>
      <c r="BY22" s="230"/>
      <c r="BZ22" s="230"/>
      <c r="CA22" s="230"/>
      <c r="CB22" s="230"/>
      <c r="CC22" s="230"/>
      <c r="CD22" s="230"/>
      <c r="CE22" s="230"/>
      <c r="CF22" s="230"/>
      <c r="CG22" s="230"/>
      <c r="CH22" s="230"/>
      <c r="CI22" s="230"/>
      <c r="CJ22" s="230"/>
      <c r="CK22" s="230"/>
      <c r="CL22" s="230"/>
      <c r="CM22" s="230"/>
      <c r="CN22" s="230"/>
      <c r="CO22" s="230"/>
      <c r="CP22" s="230"/>
      <c r="CQ22" s="230"/>
      <c r="CR22" s="230"/>
      <c r="CS22" s="230"/>
      <c r="CT22" s="230"/>
      <c r="CU22" s="230"/>
      <c r="CV22" s="230"/>
      <c r="CW22" s="230"/>
      <c r="CX22" s="230"/>
      <c r="CY22" s="230"/>
      <c r="CZ22" s="230"/>
      <c r="DA22" s="230"/>
      <c r="DB22" s="230"/>
      <c r="DC22" s="230"/>
      <c r="DD22" s="230"/>
      <c r="DE22" s="230"/>
      <c r="DF22" s="230"/>
      <c r="DG22" s="230"/>
      <c r="DH22" s="230"/>
      <c r="DI22" s="230"/>
      <c r="DJ22" s="230"/>
      <c r="DK22" s="230"/>
      <c r="DL22" s="230"/>
      <c r="DM22" s="230"/>
      <c r="DN22" s="230"/>
      <c r="DO22" s="230"/>
      <c r="DP22" s="230"/>
      <c r="DQ22" s="230"/>
      <c r="DR22" s="230"/>
      <c r="DS22" s="230"/>
      <c r="DT22" s="230"/>
      <c r="DU22" s="230"/>
      <c r="DV22" s="230"/>
      <c r="DW22" s="230"/>
      <c r="DX22" s="230"/>
      <c r="DY22" s="230"/>
      <c r="DZ22" s="230"/>
      <c r="EA22" s="230"/>
      <c r="EB22" s="230"/>
      <c r="EC22" s="230"/>
      <c r="ED22" s="230"/>
      <c r="EE22" s="230"/>
      <c r="EF22" s="230"/>
      <c r="EG22" s="230"/>
      <c r="EH22" s="230"/>
      <c r="EI22" s="230"/>
      <c r="EJ22" s="230"/>
      <c r="EK22" s="230"/>
      <c r="EL22" s="230"/>
      <c r="EM22" s="230"/>
      <c r="EN22" s="230"/>
      <c r="EO22" s="230"/>
      <c r="EP22" s="230"/>
      <c r="EQ22" s="230"/>
      <c r="ER22" s="230"/>
      <c r="ES22" s="230"/>
      <c r="ET22" s="230"/>
      <c r="EU22" s="230"/>
      <c r="EV22" s="230"/>
      <c r="EW22" s="230"/>
      <c r="EX22" s="230"/>
      <c r="EY22" s="230"/>
      <c r="EZ22" s="230"/>
      <c r="FA22" s="230"/>
      <c r="FB22" s="230"/>
      <c r="FC22" s="230"/>
      <c r="FD22" s="230"/>
      <c r="FE22" s="230"/>
      <c r="FF22" s="230"/>
      <c r="FG22" s="230"/>
      <c r="FH22" s="230"/>
      <c r="FI22" s="230"/>
      <c r="FJ22" s="230"/>
      <c r="FK22" s="230"/>
      <c r="FL22" s="230"/>
      <c r="FM22" s="230"/>
      <c r="FN22" s="230"/>
      <c r="FO22" s="230"/>
      <c r="FP22" s="230"/>
      <c r="FQ22" s="230"/>
      <c r="FR22" s="230"/>
      <c r="FS22" s="230"/>
      <c r="FT22" s="230"/>
      <c r="FU22" s="230"/>
      <c r="FV22" s="230"/>
      <c r="FW22" s="230"/>
      <c r="FX22" s="230"/>
      <c r="FY22" s="230"/>
      <c r="FZ22" s="230"/>
      <c r="GA22" s="230"/>
      <c r="GB22" s="230"/>
      <c r="GC22" s="230"/>
      <c r="GD22" s="230"/>
      <c r="GE22" s="230"/>
      <c r="GF22" s="230"/>
      <c r="GG22" s="230"/>
      <c r="GH22" s="230"/>
      <c r="GI22" s="230"/>
      <c r="GJ22" s="230"/>
      <c r="GK22" s="230"/>
      <c r="GL22" s="230"/>
      <c r="GM22" s="230"/>
      <c r="GN22" s="230"/>
      <c r="GO22" s="230"/>
      <c r="GP22" s="230"/>
      <c r="GQ22" s="230"/>
      <c r="GR22" s="230"/>
    </row>
    <row r="23" spans="1:200" s="632" customFormat="1" ht="23.25" customHeight="1" outlineLevel="2" x14ac:dyDescent="0.2">
      <c r="A23" s="636" t="s">
        <v>3972</v>
      </c>
      <c r="B23" s="636" t="s">
        <v>2455</v>
      </c>
      <c r="C23" s="597"/>
      <c r="D23" s="1536"/>
      <c r="E23" s="635"/>
      <c r="F23" s="635"/>
      <c r="G23" s="1517">
        <v>4</v>
      </c>
      <c r="H23" s="1517">
        <v>2</v>
      </c>
      <c r="I23" s="1517"/>
      <c r="J23" s="1517" t="s">
        <v>2329</v>
      </c>
      <c r="K23" s="1518" t="s">
        <v>7021</v>
      </c>
      <c r="L23" s="1518" t="s">
        <v>7327</v>
      </c>
      <c r="M23" s="635"/>
      <c r="N23" s="624"/>
      <c r="O23" s="624"/>
      <c r="P23" s="624"/>
      <c r="Q23" s="624"/>
      <c r="R23" s="624"/>
      <c r="S23" s="624"/>
      <c r="T23" s="624"/>
      <c r="U23" s="624"/>
      <c r="V23" s="624"/>
      <c r="W23" s="624"/>
      <c r="X23" s="624"/>
      <c r="Y23" s="624"/>
      <c r="Z23" s="624"/>
      <c r="AA23">
        <f>IF(AND('12 Ext'!C23&gt;Tmin, NOT('12 Ext'!$I23="")),'12 Ext'!$I23,0)</f>
        <v>0</v>
      </c>
      <c r="AB23">
        <f>IF(AND('12 Ext'!D23&gt;Tmin, NOT('12 Ext'!$I23="")),'12 Ext'!$I23,0)</f>
        <v>0</v>
      </c>
      <c r="AC23">
        <f>IF(AND('12 Ext'!E23&gt;Tmin, NOT('12 Ext'!$I23="")),'12 Ext'!$I23,0)</f>
        <v>0</v>
      </c>
      <c r="AD23">
        <f>IF(AND('12 Ext'!F23&gt;Tmin, NOT('12 Ext'!$I23="")),'12 Ext'!$I23,0)</f>
        <v>0</v>
      </c>
      <c r="AE23">
        <f>IF(AND('12 Ext'!C23&lt;Tmax, NOT('12 Ext'!$H23="")),'12 Ext'!$H23,4)</f>
        <v>2</v>
      </c>
      <c r="AF23">
        <f>IF(AND('12 Ext'!D23&lt;Tmax, NOT('12 Ext'!$H23="")),'12 Ext'!$H23,4)</f>
        <v>2</v>
      </c>
      <c r="AG23">
        <f>IF(AND('12 Ext'!E23&lt;Tmax, NOT('12 Ext'!$H23="")),'12 Ext'!$H23,4)</f>
        <v>2</v>
      </c>
      <c r="AH23">
        <f>IF(AND('12 Ext'!F23&lt;Tmax, NOT('12 Ext'!$H23="")),'12 Ext'!$H23,4)</f>
        <v>2</v>
      </c>
      <c r="AI23"/>
      <c r="AJ23" s="230"/>
      <c r="AK23" s="230"/>
      <c r="AL23" s="230"/>
      <c r="AM23" s="230"/>
      <c r="AN23" s="230"/>
      <c r="AO23" s="230"/>
      <c r="AP23" s="230"/>
      <c r="AQ23" s="230"/>
      <c r="AR23" s="230"/>
      <c r="AS23" s="230"/>
      <c r="AT23" s="230"/>
      <c r="AU23" s="230"/>
      <c r="AV23" s="230"/>
      <c r="AW23" s="230"/>
      <c r="AX23" s="230"/>
      <c r="AY23" s="230"/>
      <c r="AZ23" s="230"/>
      <c r="BA23" s="230"/>
      <c r="BB23" s="230"/>
      <c r="BC23" s="230"/>
      <c r="BD23" s="230"/>
      <c r="BE23" s="230"/>
      <c r="BF23" s="230"/>
      <c r="BG23" s="230"/>
      <c r="BH23" s="230"/>
      <c r="BI23" s="230"/>
      <c r="BJ23" s="230"/>
      <c r="BK23" s="230"/>
      <c r="BL23" s="230"/>
      <c r="BM23" s="230"/>
      <c r="BN23" s="230"/>
      <c r="BO23" s="230"/>
      <c r="BP23" s="230"/>
      <c r="BQ23" s="230"/>
      <c r="BR23" s="230"/>
      <c r="BS23" s="230"/>
      <c r="BT23" s="230"/>
      <c r="BU23" s="230"/>
      <c r="BV23" s="230"/>
      <c r="BW23" s="230"/>
      <c r="BX23" s="230"/>
      <c r="BY23" s="230"/>
      <c r="BZ23" s="230"/>
      <c r="CA23" s="230"/>
      <c r="CB23" s="230"/>
      <c r="CC23" s="230"/>
      <c r="CD23" s="230"/>
      <c r="CE23" s="230"/>
      <c r="CF23" s="230"/>
      <c r="CG23" s="230"/>
      <c r="CH23" s="230"/>
      <c r="CI23" s="230"/>
      <c r="CJ23" s="230"/>
      <c r="CK23" s="230"/>
      <c r="CL23" s="230"/>
      <c r="CM23" s="230"/>
      <c r="CN23" s="230"/>
      <c r="CO23" s="230"/>
      <c r="CP23" s="230"/>
      <c r="CQ23" s="230"/>
      <c r="CR23" s="230"/>
      <c r="CS23" s="230"/>
      <c r="CT23" s="230"/>
      <c r="CU23" s="230"/>
      <c r="CV23" s="230"/>
      <c r="CW23" s="230"/>
      <c r="CX23" s="230"/>
      <c r="CY23" s="230"/>
      <c r="CZ23" s="230"/>
      <c r="DA23" s="230"/>
      <c r="DB23" s="230"/>
      <c r="DC23" s="230"/>
      <c r="DD23" s="230"/>
      <c r="DE23" s="230"/>
      <c r="DF23" s="230"/>
      <c r="DG23" s="230"/>
      <c r="DH23" s="230"/>
      <c r="DI23" s="230"/>
      <c r="DJ23" s="230"/>
      <c r="DK23" s="230"/>
      <c r="DL23" s="230"/>
      <c r="DM23" s="230"/>
      <c r="DN23" s="230"/>
      <c r="DO23" s="230"/>
      <c r="DP23" s="230"/>
      <c r="DQ23" s="230"/>
      <c r="DR23" s="230"/>
      <c r="DS23" s="230"/>
      <c r="DT23" s="230"/>
      <c r="DU23" s="230"/>
      <c r="DV23" s="230"/>
      <c r="DW23" s="230"/>
      <c r="DX23" s="230"/>
      <c r="DY23" s="230"/>
      <c r="DZ23" s="230"/>
      <c r="EA23" s="230"/>
      <c r="EB23" s="230"/>
      <c r="EC23" s="230"/>
      <c r="ED23" s="230"/>
      <c r="EE23" s="230"/>
      <c r="EF23" s="230"/>
      <c r="EG23" s="230"/>
      <c r="EH23" s="230"/>
      <c r="EI23" s="230"/>
      <c r="EJ23" s="230"/>
      <c r="EK23" s="230"/>
      <c r="EL23" s="230"/>
      <c r="EM23" s="230"/>
      <c r="EN23" s="230"/>
      <c r="EO23" s="230"/>
      <c r="EP23" s="230"/>
      <c r="EQ23" s="230"/>
      <c r="ER23" s="230"/>
      <c r="ES23" s="230"/>
      <c r="ET23" s="230"/>
      <c r="EU23" s="230"/>
      <c r="EV23" s="230"/>
      <c r="EW23" s="230"/>
      <c r="EX23" s="230"/>
      <c r="EY23" s="230"/>
      <c r="EZ23" s="230"/>
      <c r="FA23" s="230"/>
      <c r="FB23" s="230"/>
      <c r="FC23" s="230"/>
      <c r="FD23" s="230"/>
      <c r="FE23" s="230"/>
      <c r="FF23" s="230"/>
      <c r="FG23" s="230"/>
      <c r="FH23" s="230"/>
      <c r="FI23" s="230"/>
      <c r="FJ23" s="230"/>
      <c r="FK23" s="230"/>
      <c r="FL23" s="230"/>
      <c r="FM23" s="230"/>
      <c r="FN23" s="230"/>
      <c r="FO23" s="230"/>
      <c r="FP23" s="230"/>
      <c r="FQ23" s="230"/>
      <c r="FR23" s="230"/>
      <c r="FS23" s="230"/>
      <c r="FT23" s="230"/>
      <c r="FU23" s="230"/>
      <c r="FV23" s="230"/>
      <c r="FW23" s="230"/>
      <c r="FX23" s="230"/>
      <c r="FY23" s="230"/>
      <c r="FZ23" s="230"/>
      <c r="GA23" s="230"/>
      <c r="GB23" s="230"/>
      <c r="GC23" s="230"/>
      <c r="GD23" s="230"/>
      <c r="GE23" s="230"/>
      <c r="GF23" s="230"/>
      <c r="GG23" s="230"/>
      <c r="GH23" s="230"/>
      <c r="GI23" s="230"/>
      <c r="GJ23" s="230"/>
      <c r="GK23" s="230"/>
      <c r="GL23" s="230"/>
      <c r="GM23" s="230"/>
      <c r="GN23" s="230"/>
      <c r="GO23" s="230"/>
      <c r="GP23" s="230"/>
      <c r="GQ23" s="230"/>
      <c r="GR23" s="230"/>
    </row>
    <row r="24" spans="1:200" s="632" customFormat="1" ht="34.5" customHeight="1" outlineLevel="2" x14ac:dyDescent="0.2">
      <c r="A24" s="636" t="s">
        <v>3973</v>
      </c>
      <c r="B24" s="636" t="s">
        <v>3155</v>
      </c>
      <c r="C24" s="597"/>
      <c r="D24" s="1536"/>
      <c r="E24" s="635"/>
      <c r="F24" s="635"/>
      <c r="G24" s="1517">
        <v>4</v>
      </c>
      <c r="H24" s="1517"/>
      <c r="I24" s="1517"/>
      <c r="J24" s="1517" t="s">
        <v>2329</v>
      </c>
      <c r="K24" s="1518" t="s">
        <v>7021</v>
      </c>
      <c r="L24" s="1518" t="s">
        <v>7412</v>
      </c>
      <c r="M24" s="635"/>
      <c r="N24" s="624"/>
      <c r="O24" s="624"/>
      <c r="P24" s="624"/>
      <c r="Q24" s="624"/>
      <c r="R24" s="624"/>
      <c r="S24" s="624"/>
      <c r="T24" s="624"/>
      <c r="U24" s="624"/>
      <c r="V24" s="624"/>
      <c r="W24" s="624"/>
      <c r="X24" s="624"/>
      <c r="Y24" s="624"/>
      <c r="Z24" s="624"/>
      <c r="AA24">
        <f>IF(AND('12 Ext'!C24&gt;Tmin, NOT('12 Ext'!$I24="")),'12 Ext'!$I24,0)</f>
        <v>0</v>
      </c>
      <c r="AB24">
        <f>IF(AND('12 Ext'!D24&gt;Tmin, NOT('12 Ext'!$I24="")),'12 Ext'!$I24,0)</f>
        <v>0</v>
      </c>
      <c r="AC24">
        <f>IF(AND('12 Ext'!E24&gt;Tmin, NOT('12 Ext'!$I24="")),'12 Ext'!$I24,0)</f>
        <v>0</v>
      </c>
      <c r="AD24">
        <f>IF(AND('12 Ext'!F24&gt;Tmin, NOT('12 Ext'!$I24="")),'12 Ext'!$I24,0)</f>
        <v>0</v>
      </c>
      <c r="AE24">
        <f>IF(AND('12 Ext'!C24&lt;Tmax, NOT('12 Ext'!$H24="")),'12 Ext'!$H24,4)</f>
        <v>4</v>
      </c>
      <c r="AF24">
        <f>IF(AND('12 Ext'!D24&lt;Tmax, NOT('12 Ext'!$H24="")),'12 Ext'!$H24,4)</f>
        <v>4</v>
      </c>
      <c r="AG24">
        <f>IF(AND('12 Ext'!E24&lt;Tmax, NOT('12 Ext'!$H24="")),'12 Ext'!$H24,4)</f>
        <v>4</v>
      </c>
      <c r="AH24">
        <f>IF(AND('12 Ext'!F24&lt;Tmax, NOT('12 Ext'!$H24="")),'12 Ext'!$H24,4)</f>
        <v>4</v>
      </c>
      <c r="AI24"/>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c r="FC24" s="230"/>
      <c r="FD24" s="230"/>
      <c r="FE24" s="230"/>
      <c r="FF24" s="230"/>
      <c r="FG24" s="230"/>
      <c r="FH24" s="230"/>
      <c r="FI24" s="230"/>
      <c r="FJ24" s="230"/>
      <c r="FK24" s="230"/>
      <c r="FL24" s="230"/>
      <c r="FM24" s="230"/>
      <c r="FN24" s="230"/>
      <c r="FO24" s="230"/>
      <c r="FP24" s="230"/>
      <c r="FQ24" s="230"/>
      <c r="FR24" s="230"/>
      <c r="FS24" s="230"/>
      <c r="FT24" s="230"/>
      <c r="FU24" s="230"/>
      <c r="FV24" s="230"/>
      <c r="FW24" s="230"/>
      <c r="FX24" s="230"/>
      <c r="FY24" s="230"/>
      <c r="FZ24" s="230"/>
      <c r="GA24" s="230"/>
      <c r="GB24" s="230"/>
      <c r="GC24" s="230"/>
      <c r="GD24" s="230"/>
      <c r="GE24" s="230"/>
      <c r="GF24" s="230"/>
      <c r="GG24" s="230"/>
      <c r="GH24" s="230"/>
      <c r="GI24" s="230"/>
      <c r="GJ24" s="230"/>
      <c r="GK24" s="230"/>
      <c r="GL24" s="230"/>
      <c r="GM24" s="230"/>
      <c r="GN24" s="230"/>
      <c r="GO24" s="230"/>
      <c r="GP24" s="230"/>
      <c r="GQ24" s="230"/>
      <c r="GR24" s="230"/>
    </row>
    <row r="25" spans="1:200" s="632" customFormat="1" ht="26.25" customHeight="1" outlineLevel="2" x14ac:dyDescent="0.2">
      <c r="A25" s="636" t="s">
        <v>4018</v>
      </c>
      <c r="B25" s="636" t="s">
        <v>2526</v>
      </c>
      <c r="C25" s="597"/>
      <c r="D25" s="1536"/>
      <c r="E25" s="635"/>
      <c r="F25" s="635"/>
      <c r="G25" s="1517">
        <v>4</v>
      </c>
      <c r="H25" s="1517"/>
      <c r="I25" s="1517"/>
      <c r="J25" s="1517" t="s">
        <v>2329</v>
      </c>
      <c r="K25" s="1518" t="s">
        <v>7021</v>
      </c>
      <c r="L25" s="1518" t="s">
        <v>7412</v>
      </c>
      <c r="M25" s="635"/>
      <c r="N25" s="624"/>
      <c r="O25" s="624"/>
      <c r="P25" s="624"/>
      <c r="Q25" s="624"/>
      <c r="R25" s="624"/>
      <c r="S25" s="624"/>
      <c r="T25" s="624"/>
      <c r="U25" s="624"/>
      <c r="V25" s="624"/>
      <c r="W25" s="624"/>
      <c r="X25" s="624"/>
      <c r="Y25" s="624"/>
      <c r="Z25" s="624"/>
      <c r="AA25">
        <f>IF(AND('12 Ext'!C25&gt;Tmin, NOT('12 Ext'!$I25="")),'12 Ext'!$I25,0)</f>
        <v>0</v>
      </c>
      <c r="AB25">
        <f>IF(AND('12 Ext'!D25&gt;Tmin, NOT('12 Ext'!$I25="")),'12 Ext'!$I25,0)</f>
        <v>0</v>
      </c>
      <c r="AC25">
        <f>IF(AND('12 Ext'!E25&gt;Tmin, NOT('12 Ext'!$I25="")),'12 Ext'!$I25,0)</f>
        <v>0</v>
      </c>
      <c r="AD25">
        <f>IF(AND('12 Ext'!F25&gt;Tmin, NOT('12 Ext'!$I25="")),'12 Ext'!$I25,0)</f>
        <v>0</v>
      </c>
      <c r="AE25">
        <f>IF(AND('12 Ext'!C25&lt;Tmax, NOT('12 Ext'!$H25="")),'12 Ext'!$H25,4)</f>
        <v>4</v>
      </c>
      <c r="AF25">
        <f>IF(AND('12 Ext'!D25&lt;Tmax, NOT('12 Ext'!$H25="")),'12 Ext'!$H25,4)</f>
        <v>4</v>
      </c>
      <c r="AG25">
        <f>IF(AND('12 Ext'!E25&lt;Tmax, NOT('12 Ext'!$H25="")),'12 Ext'!$H25,4)</f>
        <v>4</v>
      </c>
      <c r="AH25">
        <f>IF(AND('12 Ext'!F25&lt;Tmax, NOT('12 Ext'!$H25="")),'12 Ext'!$H25,4)</f>
        <v>4</v>
      </c>
      <c r="AI25"/>
      <c r="AJ25" s="230"/>
      <c r="AK25" s="230"/>
      <c r="AL25" s="230"/>
      <c r="AM25" s="230"/>
      <c r="AN25" s="230"/>
      <c r="AO25" s="230"/>
      <c r="AP25" s="230"/>
      <c r="AQ25" s="230"/>
      <c r="AR25" s="230"/>
      <c r="AS25" s="230"/>
      <c r="AT25" s="230"/>
      <c r="AU25" s="230"/>
      <c r="AV25" s="230"/>
      <c r="AW25" s="230"/>
      <c r="AX25" s="230"/>
      <c r="AY25" s="230"/>
      <c r="AZ25" s="230"/>
      <c r="BA25" s="230"/>
      <c r="BB25" s="230"/>
      <c r="BC25" s="230"/>
      <c r="BD25" s="230"/>
      <c r="BE25" s="230"/>
      <c r="BF25" s="230"/>
      <c r="BG25" s="230"/>
      <c r="BH25" s="230"/>
      <c r="BI25" s="230"/>
      <c r="BJ25" s="230"/>
      <c r="BK25" s="230"/>
      <c r="BL25" s="230"/>
      <c r="BM25" s="230"/>
      <c r="BN25" s="230"/>
      <c r="BO25" s="230"/>
      <c r="BP25" s="230"/>
      <c r="BQ25" s="230"/>
      <c r="BR25" s="230"/>
      <c r="BS25" s="230"/>
      <c r="BT25" s="230"/>
      <c r="BU25" s="230"/>
      <c r="BV25" s="230"/>
      <c r="BW25" s="230"/>
      <c r="BX25" s="230"/>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c r="DA25" s="230"/>
      <c r="DB25" s="230"/>
      <c r="DC25" s="230"/>
      <c r="DD25" s="230"/>
      <c r="DE25" s="230"/>
      <c r="DF25" s="230"/>
      <c r="DG25" s="230"/>
      <c r="DH25" s="230"/>
      <c r="DI25" s="230"/>
      <c r="DJ25" s="230"/>
      <c r="DK25" s="230"/>
      <c r="DL25" s="230"/>
      <c r="DM25" s="230"/>
      <c r="DN25" s="230"/>
      <c r="DO25" s="230"/>
      <c r="DP25" s="230"/>
      <c r="DQ25" s="230"/>
      <c r="DR25" s="230"/>
      <c r="DS25" s="230"/>
      <c r="DT25" s="230"/>
      <c r="DU25" s="230"/>
      <c r="DV25" s="230"/>
      <c r="DW25" s="230"/>
      <c r="DX25" s="230"/>
      <c r="DY25" s="230"/>
      <c r="DZ25" s="230"/>
      <c r="EA25" s="230"/>
      <c r="EB25" s="230"/>
      <c r="EC25" s="230"/>
      <c r="ED25" s="230"/>
      <c r="EE25" s="230"/>
      <c r="EF25" s="230"/>
      <c r="EG25" s="230"/>
      <c r="EH25" s="230"/>
      <c r="EI25" s="230"/>
      <c r="EJ25" s="230"/>
      <c r="EK25" s="230"/>
      <c r="EL25" s="230"/>
      <c r="EM25" s="230"/>
      <c r="EN25" s="230"/>
      <c r="EO25" s="230"/>
      <c r="EP25" s="230"/>
      <c r="EQ25" s="230"/>
      <c r="ER25" s="230"/>
      <c r="ES25" s="230"/>
      <c r="ET25" s="230"/>
      <c r="EU25" s="230"/>
      <c r="EV25" s="230"/>
      <c r="EW25" s="230"/>
      <c r="EX25" s="230"/>
      <c r="EY25" s="230"/>
      <c r="EZ25" s="230"/>
      <c r="FA25" s="230"/>
      <c r="FB25" s="230"/>
      <c r="FC25" s="230"/>
      <c r="FD25" s="230"/>
      <c r="FE25" s="230"/>
      <c r="FF25" s="230"/>
      <c r="FG25" s="230"/>
      <c r="FH25" s="230"/>
      <c r="FI25" s="230"/>
      <c r="FJ25" s="230"/>
      <c r="FK25" s="230"/>
      <c r="FL25" s="230"/>
      <c r="FM25" s="230"/>
      <c r="FN25" s="230"/>
      <c r="FO25" s="230"/>
      <c r="FP25" s="230"/>
      <c r="FQ25" s="230"/>
      <c r="FR25" s="230"/>
      <c r="FS25" s="230"/>
      <c r="FT25" s="230"/>
      <c r="FU25" s="230"/>
      <c r="FV25" s="230"/>
      <c r="FW25" s="230"/>
      <c r="FX25" s="230"/>
      <c r="FY25" s="230"/>
      <c r="FZ25" s="230"/>
      <c r="GA25" s="230"/>
      <c r="GB25" s="230"/>
      <c r="GC25" s="230"/>
      <c r="GD25" s="230"/>
      <c r="GE25" s="230"/>
      <c r="GF25" s="230"/>
      <c r="GG25" s="230"/>
      <c r="GH25" s="230"/>
      <c r="GI25" s="230"/>
      <c r="GJ25" s="230"/>
      <c r="GK25" s="230"/>
      <c r="GL25" s="230"/>
      <c r="GM25" s="230"/>
      <c r="GN25" s="230"/>
      <c r="GO25" s="230"/>
      <c r="GP25" s="230"/>
      <c r="GQ25" s="230"/>
      <c r="GR25" s="230"/>
    </row>
    <row r="26" spans="1:200" s="632" customFormat="1" ht="14.25" customHeight="1" outlineLevel="2" x14ac:dyDescent="0.2">
      <c r="A26" s="636" t="s">
        <v>4019</v>
      </c>
      <c r="B26" s="636" t="s">
        <v>1368</v>
      </c>
      <c r="C26" s="597"/>
      <c r="D26" s="1536"/>
      <c r="E26" s="635"/>
      <c r="F26" s="635"/>
      <c r="G26" s="1517">
        <v>2</v>
      </c>
      <c r="H26" s="1517"/>
      <c r="I26" s="1517"/>
      <c r="J26" s="1517" t="s">
        <v>1592</v>
      </c>
      <c r="K26" s="1518" t="s">
        <v>7021</v>
      </c>
      <c r="L26" s="1518" t="s">
        <v>7327</v>
      </c>
      <c r="M26" s="635"/>
      <c r="N26" s="624"/>
      <c r="O26" s="624"/>
      <c r="P26" s="624"/>
      <c r="Q26" s="624"/>
      <c r="R26" s="624"/>
      <c r="S26" s="624"/>
      <c r="T26" s="624"/>
      <c r="U26" s="624"/>
      <c r="V26" s="624"/>
      <c r="W26" s="624"/>
      <c r="X26" s="624"/>
      <c r="Y26" s="624"/>
      <c r="Z26" s="624"/>
      <c r="AA26">
        <f>IF(AND('12 Ext'!C26&gt;Tmin, NOT('12 Ext'!$I26="")),'12 Ext'!$I26,0)</f>
        <v>0</v>
      </c>
      <c r="AB26">
        <f>IF(AND('12 Ext'!D26&gt;Tmin, NOT('12 Ext'!$I26="")),'12 Ext'!$I26,0)</f>
        <v>0</v>
      </c>
      <c r="AC26">
        <f>IF(AND('12 Ext'!E26&gt;Tmin, NOT('12 Ext'!$I26="")),'12 Ext'!$I26,0)</f>
        <v>0</v>
      </c>
      <c r="AD26">
        <f>IF(AND('12 Ext'!F26&gt;Tmin, NOT('12 Ext'!$I26="")),'12 Ext'!$I26,0)</f>
        <v>0</v>
      </c>
      <c r="AE26">
        <f>IF(AND('12 Ext'!C26&lt;Tmax, NOT('12 Ext'!$H26="")),'12 Ext'!$H26,4)</f>
        <v>4</v>
      </c>
      <c r="AF26">
        <f>IF(AND('12 Ext'!D26&lt;Tmax, NOT('12 Ext'!$H26="")),'12 Ext'!$H26,4)</f>
        <v>4</v>
      </c>
      <c r="AG26">
        <f>IF(AND('12 Ext'!E26&lt;Tmax, NOT('12 Ext'!$H26="")),'12 Ext'!$H26,4)</f>
        <v>4</v>
      </c>
      <c r="AH26">
        <f>IF(AND('12 Ext'!F26&lt;Tmax, NOT('12 Ext'!$H26="")),'12 Ext'!$H26,4)</f>
        <v>4</v>
      </c>
      <c r="AI26"/>
      <c r="AJ26" s="230"/>
      <c r="AK26" s="230"/>
      <c r="AL26" s="230"/>
      <c r="AM26" s="230"/>
      <c r="AN26" s="230"/>
      <c r="AO26" s="230"/>
      <c r="AP26" s="230"/>
      <c r="AQ26" s="230"/>
      <c r="AR26" s="230"/>
      <c r="AS26" s="230"/>
      <c r="AT26" s="230"/>
      <c r="AU26" s="230"/>
      <c r="AV26" s="230"/>
      <c r="AW26" s="230"/>
      <c r="AX26" s="230"/>
      <c r="AY26" s="230"/>
      <c r="AZ26" s="230"/>
      <c r="BA26" s="230"/>
      <c r="BB26" s="230"/>
      <c r="BC26" s="230"/>
      <c r="BD26" s="230"/>
      <c r="BE26" s="230"/>
      <c r="BF26" s="230"/>
      <c r="BG26" s="230"/>
      <c r="BH26" s="230"/>
      <c r="BI26" s="230"/>
      <c r="BJ26" s="230"/>
      <c r="BK26" s="230"/>
      <c r="BL26" s="230"/>
      <c r="BM26" s="230"/>
      <c r="BN26" s="230"/>
      <c r="BO26" s="230"/>
      <c r="BP26" s="230"/>
      <c r="BQ26" s="230"/>
      <c r="BR26" s="230"/>
      <c r="BS26" s="230"/>
      <c r="BT26" s="230"/>
      <c r="BU26" s="230"/>
      <c r="BV26" s="230"/>
      <c r="BW26" s="230"/>
      <c r="BX26" s="230"/>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c r="DA26" s="230"/>
      <c r="DB26" s="230"/>
      <c r="DC26" s="230"/>
      <c r="DD26" s="230"/>
      <c r="DE26" s="230"/>
      <c r="DF26" s="230"/>
      <c r="DG26" s="230"/>
      <c r="DH26" s="230"/>
      <c r="DI26" s="230"/>
      <c r="DJ26" s="230"/>
      <c r="DK26" s="230"/>
      <c r="DL26" s="230"/>
      <c r="DM26" s="230"/>
      <c r="DN26" s="230"/>
      <c r="DO26" s="230"/>
      <c r="DP26" s="230"/>
      <c r="DQ26" s="230"/>
      <c r="DR26" s="230"/>
      <c r="DS26" s="230"/>
      <c r="DT26" s="230"/>
      <c r="DU26" s="230"/>
      <c r="DV26" s="230"/>
      <c r="DW26" s="230"/>
      <c r="DX26" s="230"/>
      <c r="DY26" s="230"/>
      <c r="DZ26" s="230"/>
      <c r="EA26" s="230"/>
      <c r="EB26" s="230"/>
      <c r="EC26" s="230"/>
      <c r="ED26" s="230"/>
      <c r="EE26" s="230"/>
      <c r="EF26" s="230"/>
      <c r="EG26" s="230"/>
      <c r="EH26" s="230"/>
      <c r="EI26" s="230"/>
      <c r="EJ26" s="230"/>
      <c r="EK26" s="230"/>
      <c r="EL26" s="230"/>
      <c r="EM26" s="230"/>
      <c r="EN26" s="230"/>
      <c r="EO26" s="230"/>
      <c r="EP26" s="230"/>
      <c r="EQ26" s="230"/>
      <c r="ER26" s="230"/>
      <c r="ES26" s="230"/>
      <c r="ET26" s="230"/>
      <c r="EU26" s="230"/>
      <c r="EV26" s="230"/>
      <c r="EW26" s="230"/>
      <c r="EX26" s="230"/>
      <c r="EY26" s="230"/>
      <c r="EZ26" s="230"/>
      <c r="FA26" s="230"/>
      <c r="FB26" s="230"/>
      <c r="FC26" s="230"/>
      <c r="FD26" s="230"/>
      <c r="FE26" s="230"/>
      <c r="FF26" s="230"/>
      <c r="FG26" s="230"/>
      <c r="FH26" s="230"/>
      <c r="FI26" s="230"/>
      <c r="FJ26" s="230"/>
      <c r="FK26" s="230"/>
      <c r="FL26" s="230"/>
      <c r="FM26" s="230"/>
      <c r="FN26" s="230"/>
      <c r="FO26" s="230"/>
      <c r="FP26" s="230"/>
      <c r="FQ26" s="230"/>
      <c r="FR26" s="230"/>
      <c r="FS26" s="230"/>
      <c r="FT26" s="230"/>
      <c r="FU26" s="230"/>
      <c r="FV26" s="230"/>
      <c r="FW26" s="230"/>
      <c r="FX26" s="230"/>
      <c r="FY26" s="230"/>
      <c r="FZ26" s="230"/>
      <c r="GA26" s="230"/>
      <c r="GB26" s="230"/>
      <c r="GC26" s="230"/>
      <c r="GD26" s="230"/>
      <c r="GE26" s="230"/>
      <c r="GF26" s="230"/>
      <c r="GG26" s="230"/>
      <c r="GH26" s="230"/>
      <c r="GI26" s="230"/>
      <c r="GJ26" s="230"/>
      <c r="GK26" s="230"/>
      <c r="GL26" s="230"/>
      <c r="GM26" s="230"/>
      <c r="GN26" s="230"/>
      <c r="GO26" s="230"/>
      <c r="GP26" s="230"/>
      <c r="GQ26" s="230"/>
      <c r="GR26" s="230"/>
    </row>
    <row r="27" spans="1:200" s="632" customFormat="1" ht="22.5" outlineLevel="2" x14ac:dyDescent="0.2">
      <c r="A27" s="636" t="s">
        <v>4020</v>
      </c>
      <c r="B27" s="636" t="s">
        <v>2528</v>
      </c>
      <c r="C27" s="597"/>
      <c r="D27" s="1536"/>
      <c r="E27" s="635"/>
      <c r="F27" s="635"/>
      <c r="G27" s="1517">
        <v>4</v>
      </c>
      <c r="H27" s="1517"/>
      <c r="I27" s="1517"/>
      <c r="J27" s="1517" t="s">
        <v>2349</v>
      </c>
      <c r="K27" s="1518"/>
      <c r="L27" s="1518"/>
      <c r="M27" s="635"/>
      <c r="N27" s="624"/>
      <c r="O27" s="624"/>
      <c r="P27" s="624"/>
      <c r="Q27" s="624"/>
      <c r="R27" s="624"/>
      <c r="S27" s="624"/>
      <c r="T27" s="624"/>
      <c r="U27" s="624"/>
      <c r="V27" s="624"/>
      <c r="W27" s="624"/>
      <c r="X27" s="624"/>
      <c r="Y27" s="624"/>
      <c r="Z27" s="624"/>
      <c r="AA27">
        <f>IF(AND('12 Ext'!C27&gt;Tmin, NOT('12 Ext'!$I27="")),'12 Ext'!$I27,0)</f>
        <v>0</v>
      </c>
      <c r="AB27">
        <f>IF(AND('12 Ext'!D27&gt;Tmin, NOT('12 Ext'!$I27="")),'12 Ext'!$I27,0)</f>
        <v>0</v>
      </c>
      <c r="AC27">
        <f>IF(AND('12 Ext'!E27&gt;Tmin, NOT('12 Ext'!$I27="")),'12 Ext'!$I27,0)</f>
        <v>0</v>
      </c>
      <c r="AD27">
        <f>IF(AND('12 Ext'!F27&gt;Tmin, NOT('12 Ext'!$I27="")),'12 Ext'!$I27,0)</f>
        <v>0</v>
      </c>
      <c r="AE27">
        <f>IF(AND('12 Ext'!C27&lt;Tmax, NOT('12 Ext'!$H27="")),'12 Ext'!$H27,4)</f>
        <v>4</v>
      </c>
      <c r="AF27">
        <f>IF(AND('12 Ext'!D27&lt;Tmax, NOT('12 Ext'!$H27="")),'12 Ext'!$H27,4)</f>
        <v>4</v>
      </c>
      <c r="AG27">
        <f>IF(AND('12 Ext'!E27&lt;Tmax, NOT('12 Ext'!$H27="")),'12 Ext'!$H27,4)</f>
        <v>4</v>
      </c>
      <c r="AH27">
        <f>IF(AND('12 Ext'!F27&lt;Tmax, NOT('12 Ext'!$H27="")),'12 Ext'!$H27,4)</f>
        <v>4</v>
      </c>
      <c r="AI27"/>
      <c r="AJ27" s="230"/>
      <c r="AK27" s="230"/>
      <c r="AL27" s="230"/>
      <c r="AM27" s="230"/>
      <c r="AN27" s="230"/>
      <c r="AO27" s="230"/>
      <c r="AP27" s="230"/>
      <c r="AQ27" s="230"/>
      <c r="AR27" s="230"/>
      <c r="AS27" s="230"/>
      <c r="AT27" s="230"/>
      <c r="AU27" s="230"/>
      <c r="AV27" s="230"/>
      <c r="AW27" s="230"/>
      <c r="AX27" s="230"/>
      <c r="AY27" s="230"/>
      <c r="AZ27" s="230"/>
      <c r="BA27" s="230"/>
      <c r="BB27" s="230"/>
      <c r="BC27" s="230"/>
      <c r="BD27" s="230"/>
      <c r="BE27" s="230"/>
      <c r="BF27" s="230"/>
      <c r="BG27" s="230"/>
      <c r="BH27" s="230"/>
      <c r="BI27" s="230"/>
      <c r="BJ27" s="230"/>
      <c r="BK27" s="230"/>
      <c r="BL27" s="230"/>
      <c r="BM27" s="230"/>
      <c r="BN27" s="230"/>
      <c r="BO27" s="230"/>
      <c r="BP27" s="230"/>
      <c r="BQ27" s="230"/>
      <c r="BR27" s="230"/>
      <c r="BS27" s="230"/>
      <c r="BT27" s="230"/>
      <c r="BU27" s="230"/>
      <c r="BV27" s="230"/>
      <c r="BW27" s="230"/>
      <c r="BX27" s="230"/>
      <c r="BY27" s="230"/>
      <c r="BZ27" s="230"/>
      <c r="CA27" s="230"/>
      <c r="CB27" s="230"/>
      <c r="CC27" s="230"/>
      <c r="CD27" s="230"/>
      <c r="CE27" s="230"/>
      <c r="CF27" s="230"/>
      <c r="CG27" s="230"/>
      <c r="CH27" s="230"/>
      <c r="CI27" s="230"/>
      <c r="CJ27" s="230"/>
      <c r="CK27" s="230"/>
      <c r="CL27" s="230"/>
      <c r="CM27" s="230"/>
      <c r="CN27" s="230"/>
      <c r="CO27" s="230"/>
      <c r="CP27" s="230"/>
      <c r="CQ27" s="230"/>
      <c r="CR27" s="230"/>
      <c r="CS27" s="230"/>
      <c r="CT27" s="230"/>
      <c r="CU27" s="230"/>
      <c r="CV27" s="230"/>
      <c r="CW27" s="230"/>
      <c r="CX27" s="230"/>
      <c r="CY27" s="230"/>
      <c r="CZ27" s="230"/>
      <c r="DA27" s="230"/>
      <c r="DB27" s="230"/>
      <c r="DC27" s="230"/>
      <c r="DD27" s="230"/>
      <c r="DE27" s="230"/>
      <c r="DF27" s="230"/>
      <c r="DG27" s="230"/>
      <c r="DH27" s="230"/>
      <c r="DI27" s="230"/>
      <c r="DJ27" s="230"/>
      <c r="DK27" s="230"/>
      <c r="DL27" s="230"/>
      <c r="DM27" s="230"/>
      <c r="DN27" s="230"/>
      <c r="DO27" s="230"/>
      <c r="DP27" s="230"/>
      <c r="DQ27" s="230"/>
      <c r="DR27" s="230"/>
      <c r="DS27" s="230"/>
      <c r="DT27" s="230"/>
      <c r="DU27" s="230"/>
      <c r="DV27" s="230"/>
      <c r="DW27" s="230"/>
      <c r="DX27" s="230"/>
      <c r="DY27" s="230"/>
      <c r="DZ27" s="230"/>
      <c r="EA27" s="230"/>
      <c r="EB27" s="230"/>
      <c r="EC27" s="230"/>
      <c r="ED27" s="230"/>
      <c r="EE27" s="230"/>
      <c r="EF27" s="230"/>
      <c r="EG27" s="230"/>
      <c r="EH27" s="230"/>
      <c r="EI27" s="230"/>
      <c r="EJ27" s="230"/>
      <c r="EK27" s="230"/>
      <c r="EL27" s="230"/>
      <c r="EM27" s="230"/>
      <c r="EN27" s="230"/>
      <c r="EO27" s="230"/>
      <c r="EP27" s="230"/>
      <c r="EQ27" s="230"/>
      <c r="ER27" s="230"/>
      <c r="ES27" s="230"/>
      <c r="ET27" s="230"/>
      <c r="EU27" s="230"/>
      <c r="EV27" s="230"/>
      <c r="EW27" s="230"/>
      <c r="EX27" s="230"/>
      <c r="EY27" s="230"/>
      <c r="EZ27" s="230"/>
      <c r="FA27" s="230"/>
      <c r="FB27" s="230"/>
      <c r="FC27" s="230"/>
      <c r="FD27" s="230"/>
      <c r="FE27" s="230"/>
      <c r="FF27" s="230"/>
      <c r="FG27" s="230"/>
      <c r="FH27" s="230"/>
      <c r="FI27" s="230"/>
      <c r="FJ27" s="230"/>
      <c r="FK27" s="230"/>
      <c r="FL27" s="230"/>
      <c r="FM27" s="230"/>
      <c r="FN27" s="230"/>
      <c r="FO27" s="230"/>
      <c r="FP27" s="230"/>
      <c r="FQ27" s="230"/>
      <c r="FR27" s="230"/>
      <c r="FS27" s="230"/>
      <c r="FT27" s="230"/>
      <c r="FU27" s="230"/>
      <c r="FV27" s="230"/>
      <c r="FW27" s="230"/>
      <c r="FX27" s="230"/>
      <c r="FY27" s="230"/>
      <c r="FZ27" s="230"/>
      <c r="GA27" s="230"/>
      <c r="GB27" s="230"/>
      <c r="GC27" s="230"/>
      <c r="GD27" s="230"/>
      <c r="GE27" s="230"/>
      <c r="GF27" s="230"/>
      <c r="GG27" s="230"/>
      <c r="GH27" s="230"/>
      <c r="GI27" s="230"/>
      <c r="GJ27" s="230"/>
      <c r="GK27" s="230"/>
      <c r="GL27" s="230"/>
      <c r="GM27" s="230"/>
      <c r="GN27" s="230"/>
      <c r="GO27" s="230"/>
      <c r="GP27" s="230"/>
      <c r="GQ27" s="230"/>
      <c r="GR27" s="230"/>
    </row>
    <row r="28" spans="1:200" s="632" customFormat="1" ht="22.5" outlineLevel="2" x14ac:dyDescent="0.2">
      <c r="A28" s="636" t="s">
        <v>4021</v>
      </c>
      <c r="B28" s="636" t="s">
        <v>2072</v>
      </c>
      <c r="C28" s="597"/>
      <c r="D28" s="649"/>
      <c r="E28" s="638"/>
      <c r="F28" s="638"/>
      <c r="G28" s="1517">
        <v>2</v>
      </c>
      <c r="H28" s="1517">
        <v>2</v>
      </c>
      <c r="I28" s="1517"/>
      <c r="J28" s="1517" t="s">
        <v>2329</v>
      </c>
      <c r="K28" s="1518" t="s">
        <v>2672</v>
      </c>
      <c r="L28" s="1518" t="s">
        <v>7413</v>
      </c>
      <c r="M28" s="635"/>
      <c r="N28" s="624"/>
      <c r="O28" s="624"/>
      <c r="P28" s="624"/>
      <c r="Q28" s="624"/>
      <c r="R28" s="624"/>
      <c r="S28" s="624"/>
      <c r="T28" s="624"/>
      <c r="U28" s="624"/>
      <c r="V28" s="624"/>
      <c r="W28" s="624"/>
      <c r="X28" s="624"/>
      <c r="Y28" s="624"/>
      <c r="Z28" s="624"/>
      <c r="AA28">
        <f>IF(AND('12 Ext'!C28&gt;Tmin, NOT('12 Ext'!$I28="")),'12 Ext'!$I28,0)</f>
        <v>0</v>
      </c>
      <c r="AB28">
        <f>IF(AND('12 Ext'!D28&gt;Tmin, NOT('12 Ext'!$I28="")),'12 Ext'!$I28,0)</f>
        <v>0</v>
      </c>
      <c r="AC28">
        <f>IF(AND('12 Ext'!E28&gt;Tmin, NOT('12 Ext'!$I28="")),'12 Ext'!$I28,0)</f>
        <v>0</v>
      </c>
      <c r="AD28">
        <f>IF(AND('12 Ext'!F28&gt;Tmin, NOT('12 Ext'!$I28="")),'12 Ext'!$I28,0)</f>
        <v>0</v>
      </c>
      <c r="AE28">
        <f>IF(AND('12 Ext'!C28&lt;Tmax, NOT('12 Ext'!$H28="")),'12 Ext'!$H28,4)</f>
        <v>2</v>
      </c>
      <c r="AF28">
        <f>IF(AND('12 Ext'!D28&lt;Tmax, NOT('12 Ext'!$H28="")),'12 Ext'!$H28,4)</f>
        <v>2</v>
      </c>
      <c r="AG28">
        <f>IF(AND('12 Ext'!E28&lt;Tmax, NOT('12 Ext'!$H28="")),'12 Ext'!$H28,4)</f>
        <v>2</v>
      </c>
      <c r="AH28">
        <f>IF(AND('12 Ext'!F28&lt;Tmax, NOT('12 Ext'!$H28="")),'12 Ext'!$H28,4)</f>
        <v>2</v>
      </c>
      <c r="AI28"/>
      <c r="AJ28" s="230"/>
      <c r="AK28" s="230"/>
      <c r="AL28" s="230"/>
      <c r="AM28" s="230"/>
      <c r="AN28" s="230"/>
      <c r="AO28" s="230"/>
      <c r="AP28" s="230"/>
      <c r="AQ28" s="230"/>
      <c r="AR28" s="230"/>
      <c r="AS28" s="230"/>
      <c r="AT28" s="230"/>
      <c r="AU28" s="230"/>
      <c r="AV28" s="230"/>
      <c r="AW28" s="230"/>
      <c r="AX28" s="230"/>
      <c r="AY28" s="230"/>
      <c r="AZ28" s="230"/>
      <c r="BA28" s="230"/>
      <c r="BB28" s="230"/>
      <c r="BC28" s="230"/>
      <c r="BD28" s="230"/>
      <c r="BE28" s="230"/>
      <c r="BF28" s="230"/>
      <c r="BG28" s="230"/>
      <c r="BH28" s="230"/>
      <c r="BI28" s="230"/>
      <c r="BJ28" s="230"/>
      <c r="BK28" s="230"/>
      <c r="BL28" s="230"/>
      <c r="BM28" s="230"/>
      <c r="BN28" s="230"/>
      <c r="BO28" s="230"/>
      <c r="BP28" s="230"/>
      <c r="BQ28" s="230"/>
      <c r="BR28" s="230"/>
      <c r="BS28" s="230"/>
      <c r="BT28" s="230"/>
      <c r="BU28" s="230"/>
      <c r="BV28" s="230"/>
      <c r="BW28" s="230"/>
      <c r="BX28" s="230"/>
      <c r="BY28" s="230"/>
      <c r="BZ28" s="230"/>
      <c r="CA28" s="230"/>
      <c r="CB28" s="230"/>
      <c r="CC28" s="230"/>
      <c r="CD28" s="230"/>
      <c r="CE28" s="230"/>
      <c r="CF28" s="230"/>
      <c r="CG28" s="230"/>
      <c r="CH28" s="230"/>
      <c r="CI28" s="230"/>
      <c r="CJ28" s="230"/>
      <c r="CK28" s="230"/>
      <c r="CL28" s="230"/>
      <c r="CM28" s="230"/>
      <c r="CN28" s="230"/>
      <c r="CO28" s="230"/>
      <c r="CP28" s="230"/>
      <c r="CQ28" s="230"/>
      <c r="CR28" s="230"/>
      <c r="CS28" s="230"/>
      <c r="CT28" s="230"/>
      <c r="CU28" s="230"/>
      <c r="CV28" s="230"/>
      <c r="CW28" s="230"/>
      <c r="CX28" s="230"/>
      <c r="CY28" s="230"/>
      <c r="CZ28" s="230"/>
      <c r="DA28" s="230"/>
      <c r="DB28" s="230"/>
      <c r="DC28" s="230"/>
      <c r="DD28" s="230"/>
      <c r="DE28" s="230"/>
      <c r="DF28" s="230"/>
      <c r="DG28" s="230"/>
      <c r="DH28" s="230"/>
      <c r="DI28" s="230"/>
      <c r="DJ28" s="230"/>
      <c r="DK28" s="230"/>
      <c r="DL28" s="230"/>
      <c r="DM28" s="230"/>
      <c r="DN28" s="230"/>
      <c r="DO28" s="230"/>
      <c r="DP28" s="230"/>
      <c r="DQ28" s="230"/>
      <c r="DR28" s="230"/>
      <c r="DS28" s="230"/>
      <c r="DT28" s="230"/>
      <c r="DU28" s="230"/>
      <c r="DV28" s="230"/>
      <c r="DW28" s="230"/>
      <c r="DX28" s="230"/>
      <c r="DY28" s="230"/>
      <c r="DZ28" s="230"/>
      <c r="EA28" s="230"/>
      <c r="EB28" s="230"/>
      <c r="EC28" s="230"/>
      <c r="ED28" s="230"/>
      <c r="EE28" s="230"/>
      <c r="EF28" s="230"/>
      <c r="EG28" s="230"/>
      <c r="EH28" s="230"/>
      <c r="EI28" s="230"/>
      <c r="EJ28" s="230"/>
      <c r="EK28" s="230"/>
      <c r="EL28" s="230"/>
      <c r="EM28" s="230"/>
      <c r="EN28" s="230"/>
      <c r="EO28" s="230"/>
      <c r="EP28" s="230"/>
      <c r="EQ28" s="230"/>
      <c r="ER28" s="230"/>
      <c r="ES28" s="230"/>
      <c r="ET28" s="230"/>
      <c r="EU28" s="230"/>
      <c r="EV28" s="230"/>
      <c r="EW28" s="230"/>
      <c r="EX28" s="230"/>
      <c r="EY28" s="230"/>
      <c r="EZ28" s="230"/>
      <c r="FA28" s="230"/>
      <c r="FB28" s="230"/>
      <c r="FC28" s="230"/>
      <c r="FD28" s="230"/>
      <c r="FE28" s="230"/>
      <c r="FF28" s="230"/>
      <c r="FG28" s="230"/>
      <c r="FH28" s="230"/>
      <c r="FI28" s="230"/>
      <c r="FJ28" s="230"/>
      <c r="FK28" s="230"/>
      <c r="FL28" s="230"/>
      <c r="FM28" s="230"/>
      <c r="FN28" s="230"/>
      <c r="FO28" s="230"/>
      <c r="FP28" s="230"/>
      <c r="FQ28" s="230"/>
      <c r="FR28" s="230"/>
      <c r="FS28" s="230"/>
      <c r="FT28" s="230"/>
      <c r="FU28" s="230"/>
      <c r="FV28" s="230"/>
      <c r="FW28" s="230"/>
      <c r="FX28" s="230"/>
      <c r="FY28" s="230"/>
      <c r="FZ28" s="230"/>
      <c r="GA28" s="230"/>
      <c r="GB28" s="230"/>
      <c r="GC28" s="230"/>
      <c r="GD28" s="230"/>
      <c r="GE28" s="230"/>
      <c r="GF28" s="230"/>
      <c r="GG28" s="230"/>
      <c r="GH28" s="230"/>
      <c r="GI28" s="230"/>
      <c r="GJ28" s="230"/>
      <c r="GK28" s="230"/>
      <c r="GL28" s="230"/>
      <c r="GM28" s="230"/>
      <c r="GN28" s="230"/>
      <c r="GO28" s="230"/>
      <c r="GP28" s="230"/>
      <c r="GQ28" s="230"/>
      <c r="GR28" s="230"/>
    </row>
    <row r="29" spans="1:200" s="632" customFormat="1" ht="24.75" customHeight="1" outlineLevel="2" x14ac:dyDescent="0.2">
      <c r="A29" s="636" t="s">
        <v>4022</v>
      </c>
      <c r="B29" s="636" t="s">
        <v>3984</v>
      </c>
      <c r="C29" s="597"/>
      <c r="D29" s="1537"/>
      <c r="E29" s="638"/>
      <c r="F29" s="638"/>
      <c r="G29" s="1517">
        <v>2</v>
      </c>
      <c r="H29" s="1517">
        <v>2</v>
      </c>
      <c r="I29" s="1517"/>
      <c r="J29" s="1517" t="s">
        <v>2329</v>
      </c>
      <c r="K29" s="1518" t="s">
        <v>2672</v>
      </c>
      <c r="L29" s="1518" t="s">
        <v>7413</v>
      </c>
      <c r="M29" s="635"/>
      <c r="N29" s="624"/>
      <c r="O29" s="624"/>
      <c r="P29" s="624"/>
      <c r="Q29" s="624"/>
      <c r="R29" s="624"/>
      <c r="S29" s="624"/>
      <c r="T29" s="624"/>
      <c r="U29" s="624"/>
      <c r="V29" s="624"/>
      <c r="W29" s="624"/>
      <c r="X29" s="624"/>
      <c r="Y29" s="624"/>
      <c r="Z29" s="624"/>
      <c r="AA29">
        <f>IF(AND('12 Ext'!C29&gt;Tmin, NOT('12 Ext'!$I29="")),'12 Ext'!$I29,0)</f>
        <v>0</v>
      </c>
      <c r="AB29">
        <f>IF(AND('12 Ext'!D29&gt;Tmin, NOT('12 Ext'!$I29="")),'12 Ext'!$I29,0)</f>
        <v>0</v>
      </c>
      <c r="AC29">
        <f>IF(AND('12 Ext'!E29&gt;Tmin, NOT('12 Ext'!$I29="")),'12 Ext'!$I29,0)</f>
        <v>0</v>
      </c>
      <c r="AD29">
        <f>IF(AND('12 Ext'!F29&gt;Tmin, NOT('12 Ext'!$I29="")),'12 Ext'!$I29,0)</f>
        <v>0</v>
      </c>
      <c r="AE29">
        <f>IF(AND('12 Ext'!C29&lt;Tmax, NOT('12 Ext'!$H29="")),'12 Ext'!$H29,4)</f>
        <v>2</v>
      </c>
      <c r="AF29">
        <f>IF(AND('12 Ext'!D29&lt;Tmax, NOT('12 Ext'!$H29="")),'12 Ext'!$H29,4)</f>
        <v>2</v>
      </c>
      <c r="AG29">
        <f>IF(AND('12 Ext'!E29&lt;Tmax, NOT('12 Ext'!$H29="")),'12 Ext'!$H29,4)</f>
        <v>2</v>
      </c>
      <c r="AH29">
        <f>IF(AND('12 Ext'!F29&lt;Tmax, NOT('12 Ext'!$H29="")),'12 Ext'!$H29,4)</f>
        <v>2</v>
      </c>
      <c r="AI29"/>
      <c r="AJ29" s="230"/>
      <c r="AK29" s="230"/>
      <c r="AL29" s="230"/>
      <c r="AM29" s="230"/>
      <c r="AN29" s="230"/>
      <c r="AO29" s="230"/>
      <c r="AP29" s="230"/>
      <c r="AQ29" s="230"/>
      <c r="AR29" s="230"/>
      <c r="AS29" s="230"/>
      <c r="AT29" s="230"/>
      <c r="AU29" s="230"/>
      <c r="AV29" s="230"/>
      <c r="AW29" s="230"/>
      <c r="AX29" s="230"/>
      <c r="AY29" s="230"/>
      <c r="AZ29" s="230"/>
      <c r="BA29" s="230"/>
      <c r="BB29" s="230"/>
      <c r="BC29" s="230"/>
      <c r="BD29" s="230"/>
      <c r="BE29" s="230"/>
      <c r="BF29" s="230"/>
      <c r="BG29" s="230"/>
      <c r="BH29" s="230"/>
      <c r="BI29" s="230"/>
      <c r="BJ29" s="230"/>
      <c r="BK29" s="230"/>
      <c r="BL29" s="230"/>
      <c r="BM29" s="230"/>
      <c r="BN29" s="230"/>
      <c r="BO29" s="230"/>
      <c r="BP29" s="230"/>
      <c r="BQ29" s="230"/>
      <c r="BR29" s="230"/>
      <c r="BS29" s="230"/>
      <c r="BT29" s="230"/>
      <c r="BU29" s="230"/>
      <c r="BV29" s="230"/>
      <c r="BW29" s="230"/>
      <c r="BX29" s="230"/>
      <c r="BY29" s="230"/>
      <c r="BZ29" s="230"/>
      <c r="CA29" s="230"/>
      <c r="CB29" s="230"/>
      <c r="CC29" s="230"/>
      <c r="CD29" s="230"/>
      <c r="CE29" s="230"/>
      <c r="CF29" s="230"/>
      <c r="CG29" s="230"/>
      <c r="CH29" s="230"/>
      <c r="CI29" s="230"/>
      <c r="CJ29" s="230"/>
      <c r="CK29" s="230"/>
      <c r="CL29" s="230"/>
      <c r="CM29" s="230"/>
      <c r="CN29" s="230"/>
      <c r="CO29" s="230"/>
      <c r="CP29" s="230"/>
      <c r="CQ29" s="230"/>
      <c r="CR29" s="230"/>
      <c r="CS29" s="230"/>
      <c r="CT29" s="230"/>
      <c r="CU29" s="230"/>
      <c r="CV29" s="230"/>
      <c r="CW29" s="230"/>
      <c r="CX29" s="230"/>
      <c r="CY29" s="230"/>
      <c r="CZ29" s="230"/>
      <c r="DA29" s="230"/>
      <c r="DB29" s="230"/>
      <c r="DC29" s="230"/>
      <c r="DD29" s="230"/>
      <c r="DE29" s="230"/>
      <c r="DF29" s="230"/>
      <c r="DG29" s="230"/>
      <c r="DH29" s="230"/>
      <c r="DI29" s="230"/>
      <c r="DJ29" s="230"/>
      <c r="DK29" s="230"/>
      <c r="DL29" s="230"/>
      <c r="DM29" s="230"/>
      <c r="DN29" s="230"/>
      <c r="DO29" s="230"/>
      <c r="DP29" s="230"/>
      <c r="DQ29" s="230"/>
      <c r="DR29" s="230"/>
      <c r="DS29" s="230"/>
      <c r="DT29" s="230"/>
      <c r="DU29" s="230"/>
      <c r="DV29" s="230"/>
      <c r="DW29" s="230"/>
      <c r="DX29" s="230"/>
      <c r="DY29" s="230"/>
      <c r="DZ29" s="230"/>
      <c r="EA29" s="230"/>
      <c r="EB29" s="230"/>
      <c r="EC29" s="230"/>
      <c r="ED29" s="230"/>
      <c r="EE29" s="230"/>
      <c r="EF29" s="230"/>
      <c r="EG29" s="230"/>
      <c r="EH29" s="230"/>
      <c r="EI29" s="230"/>
      <c r="EJ29" s="230"/>
      <c r="EK29" s="230"/>
      <c r="EL29" s="230"/>
      <c r="EM29" s="230"/>
      <c r="EN29" s="230"/>
      <c r="EO29" s="230"/>
      <c r="EP29" s="230"/>
      <c r="EQ29" s="230"/>
      <c r="ER29" s="230"/>
      <c r="ES29" s="230"/>
      <c r="ET29" s="230"/>
      <c r="EU29" s="230"/>
      <c r="EV29" s="230"/>
      <c r="EW29" s="230"/>
      <c r="EX29" s="230"/>
      <c r="EY29" s="230"/>
      <c r="EZ29" s="230"/>
      <c r="FA29" s="230"/>
      <c r="FB29" s="230"/>
      <c r="FC29" s="230"/>
      <c r="FD29" s="230"/>
      <c r="FE29" s="230"/>
      <c r="FF29" s="230"/>
      <c r="FG29" s="230"/>
      <c r="FH29" s="230"/>
      <c r="FI29" s="230"/>
      <c r="FJ29" s="230"/>
      <c r="FK29" s="230"/>
      <c r="FL29" s="230"/>
      <c r="FM29" s="230"/>
      <c r="FN29" s="230"/>
      <c r="FO29" s="230"/>
      <c r="FP29" s="230"/>
      <c r="FQ29" s="230"/>
      <c r="FR29" s="230"/>
      <c r="FS29" s="230"/>
      <c r="FT29" s="230"/>
      <c r="FU29" s="230"/>
      <c r="FV29" s="230"/>
      <c r="FW29" s="230"/>
      <c r="FX29" s="230"/>
      <c r="FY29" s="230"/>
      <c r="FZ29" s="230"/>
      <c r="GA29" s="230"/>
      <c r="GB29" s="230"/>
      <c r="GC29" s="230"/>
      <c r="GD29" s="230"/>
      <c r="GE29" s="230"/>
      <c r="GF29" s="230"/>
      <c r="GG29" s="230"/>
      <c r="GH29" s="230"/>
      <c r="GI29" s="230"/>
      <c r="GJ29" s="230"/>
      <c r="GK29" s="230"/>
      <c r="GL29" s="230"/>
      <c r="GM29" s="230"/>
      <c r="GN29" s="230"/>
      <c r="GO29" s="230"/>
      <c r="GP29" s="230"/>
      <c r="GQ29" s="230"/>
      <c r="GR29" s="230"/>
    </row>
    <row r="30" spans="1:200" s="632" customFormat="1" outlineLevel="2" x14ac:dyDescent="0.2">
      <c r="A30" s="636" t="s">
        <v>4023</v>
      </c>
      <c r="B30" s="636" t="s">
        <v>2496</v>
      </c>
      <c r="C30" s="597"/>
      <c r="D30" s="1537"/>
      <c r="E30" s="638"/>
      <c r="F30" s="638"/>
      <c r="G30" s="1517">
        <v>2</v>
      </c>
      <c r="H30" s="1517">
        <v>3</v>
      </c>
      <c r="I30" s="1518"/>
      <c r="J30" s="1518" t="s">
        <v>2109</v>
      </c>
      <c r="K30" s="1518"/>
      <c r="L30" s="1518"/>
      <c r="M30" s="635"/>
      <c r="N30" s="624"/>
      <c r="O30" s="624"/>
      <c r="P30" s="624"/>
      <c r="Q30" s="624"/>
      <c r="R30" s="624"/>
      <c r="S30" s="624"/>
      <c r="T30" s="624"/>
      <c r="U30" s="624"/>
      <c r="V30" s="624"/>
      <c r="W30" s="624"/>
      <c r="X30" s="624"/>
      <c r="Y30" s="624"/>
      <c r="Z30" s="624"/>
      <c r="AA30">
        <f>IF(AND('12 Ext'!C30&gt;Tmin, NOT('12 Ext'!$I30="")),'12 Ext'!$I30,0)</f>
        <v>0</v>
      </c>
      <c r="AB30">
        <f>IF(AND('12 Ext'!D30&gt;Tmin, NOT('12 Ext'!$I30="")),'12 Ext'!$I30,0)</f>
        <v>0</v>
      </c>
      <c r="AC30">
        <f>IF(AND('12 Ext'!E30&gt;Tmin, NOT('12 Ext'!$I30="")),'12 Ext'!$I30,0)</f>
        <v>0</v>
      </c>
      <c r="AD30">
        <f>IF(AND('12 Ext'!F30&gt;Tmin, NOT('12 Ext'!$I30="")),'12 Ext'!$I30,0)</f>
        <v>0</v>
      </c>
      <c r="AE30">
        <f>IF(AND('12 Ext'!C30&lt;Tmax, NOT('12 Ext'!$H30="")),'12 Ext'!$H30,4)</f>
        <v>3</v>
      </c>
      <c r="AF30">
        <f>IF(AND('12 Ext'!D30&lt;Tmax, NOT('12 Ext'!$H30="")),'12 Ext'!$H30,4)</f>
        <v>3</v>
      </c>
      <c r="AG30">
        <f>IF(AND('12 Ext'!E30&lt;Tmax, NOT('12 Ext'!$H30="")),'12 Ext'!$H30,4)</f>
        <v>3</v>
      </c>
      <c r="AH30">
        <f>IF(AND('12 Ext'!F30&lt;Tmax, NOT('12 Ext'!$H30="")),'12 Ext'!$H30,4)</f>
        <v>3</v>
      </c>
      <c r="AI30"/>
      <c r="AJ30" s="230"/>
      <c r="AK30" s="230"/>
      <c r="AL30" s="230"/>
      <c r="AM30" s="230"/>
      <c r="AN30" s="230"/>
      <c r="AO30" s="230"/>
      <c r="AP30" s="230"/>
      <c r="AQ30" s="230"/>
      <c r="AR30" s="230"/>
      <c r="AS30" s="230"/>
      <c r="AT30" s="230"/>
      <c r="AU30" s="230"/>
      <c r="AV30" s="230"/>
      <c r="AW30" s="230"/>
      <c r="AX30" s="230"/>
      <c r="AY30" s="230"/>
      <c r="AZ30" s="230"/>
      <c r="BA30" s="230"/>
      <c r="BB30" s="230"/>
      <c r="BC30" s="230"/>
      <c r="BD30" s="230"/>
      <c r="BE30" s="230"/>
      <c r="BF30" s="230"/>
      <c r="BG30" s="230"/>
      <c r="BH30" s="230"/>
      <c r="BI30" s="230"/>
      <c r="BJ30" s="230"/>
      <c r="BK30" s="230"/>
      <c r="BL30" s="230"/>
      <c r="BM30" s="230"/>
      <c r="BN30" s="230"/>
      <c r="BO30" s="230"/>
      <c r="BP30" s="230"/>
      <c r="BQ30" s="230"/>
      <c r="BR30" s="230"/>
      <c r="BS30" s="230"/>
      <c r="BT30" s="230"/>
      <c r="BU30" s="230"/>
      <c r="BV30" s="230"/>
      <c r="BW30" s="230"/>
      <c r="BX30" s="230"/>
      <c r="BY30" s="230"/>
      <c r="BZ30" s="230"/>
      <c r="CA30" s="230"/>
      <c r="CB30" s="230"/>
      <c r="CC30" s="230"/>
      <c r="CD30" s="230"/>
      <c r="CE30" s="230"/>
      <c r="CF30" s="230"/>
      <c r="CG30" s="230"/>
      <c r="CH30" s="230"/>
      <c r="CI30" s="230"/>
      <c r="CJ30" s="230"/>
      <c r="CK30" s="230"/>
      <c r="CL30" s="230"/>
      <c r="CM30" s="230"/>
      <c r="CN30" s="230"/>
      <c r="CO30" s="230"/>
      <c r="CP30" s="230"/>
      <c r="CQ30" s="230"/>
      <c r="CR30" s="230"/>
      <c r="CS30" s="230"/>
      <c r="CT30" s="230"/>
      <c r="CU30" s="230"/>
      <c r="CV30" s="230"/>
      <c r="CW30" s="230"/>
      <c r="CX30" s="230"/>
      <c r="CY30" s="230"/>
      <c r="CZ30" s="230"/>
      <c r="DA30" s="230"/>
      <c r="DB30" s="230"/>
      <c r="DC30" s="230"/>
      <c r="DD30" s="230"/>
      <c r="DE30" s="230"/>
      <c r="DF30" s="230"/>
      <c r="DG30" s="230"/>
      <c r="DH30" s="230"/>
      <c r="DI30" s="230"/>
      <c r="DJ30" s="230"/>
      <c r="DK30" s="230"/>
      <c r="DL30" s="230"/>
      <c r="DM30" s="230"/>
      <c r="DN30" s="230"/>
      <c r="DO30" s="230"/>
      <c r="DP30" s="230"/>
      <c r="DQ30" s="230"/>
      <c r="DR30" s="230"/>
      <c r="DS30" s="230"/>
      <c r="DT30" s="230"/>
      <c r="DU30" s="230"/>
      <c r="DV30" s="230"/>
      <c r="DW30" s="230"/>
      <c r="DX30" s="230"/>
      <c r="DY30" s="230"/>
      <c r="DZ30" s="230"/>
      <c r="EA30" s="230"/>
      <c r="EB30" s="230"/>
      <c r="EC30" s="230"/>
      <c r="ED30" s="230"/>
      <c r="EE30" s="230"/>
      <c r="EF30" s="230"/>
      <c r="EG30" s="230"/>
      <c r="EH30" s="230"/>
      <c r="EI30" s="230"/>
      <c r="EJ30" s="230"/>
      <c r="EK30" s="230"/>
      <c r="EL30" s="230"/>
      <c r="EM30" s="230"/>
      <c r="EN30" s="230"/>
      <c r="EO30" s="230"/>
      <c r="EP30" s="230"/>
      <c r="EQ30" s="230"/>
      <c r="ER30" s="230"/>
      <c r="ES30" s="230"/>
      <c r="ET30" s="230"/>
      <c r="EU30" s="230"/>
      <c r="EV30" s="230"/>
      <c r="EW30" s="230"/>
      <c r="EX30" s="230"/>
      <c r="EY30" s="230"/>
      <c r="EZ30" s="230"/>
      <c r="FA30" s="230"/>
      <c r="FB30" s="230"/>
      <c r="FC30" s="230"/>
      <c r="FD30" s="230"/>
      <c r="FE30" s="230"/>
      <c r="FF30" s="230"/>
      <c r="FG30" s="230"/>
      <c r="FH30" s="230"/>
      <c r="FI30" s="230"/>
      <c r="FJ30" s="230"/>
      <c r="FK30" s="230"/>
      <c r="FL30" s="230"/>
      <c r="FM30" s="230"/>
      <c r="FN30" s="230"/>
      <c r="FO30" s="230"/>
      <c r="FP30" s="230"/>
      <c r="FQ30" s="230"/>
      <c r="FR30" s="230"/>
      <c r="FS30" s="230"/>
      <c r="FT30" s="230"/>
      <c r="FU30" s="230"/>
      <c r="FV30" s="230"/>
      <c r="FW30" s="230"/>
      <c r="FX30" s="230"/>
      <c r="FY30" s="230"/>
      <c r="FZ30" s="230"/>
      <c r="GA30" s="230"/>
      <c r="GB30" s="230"/>
      <c r="GC30" s="230"/>
      <c r="GD30" s="230"/>
      <c r="GE30" s="230"/>
      <c r="GF30" s="230"/>
      <c r="GG30" s="230"/>
      <c r="GH30" s="230"/>
      <c r="GI30" s="230"/>
      <c r="GJ30" s="230"/>
      <c r="GK30" s="230"/>
      <c r="GL30" s="230"/>
      <c r="GM30" s="230"/>
      <c r="GN30" s="230"/>
      <c r="GO30" s="230"/>
      <c r="GP30" s="230"/>
      <c r="GQ30" s="230"/>
      <c r="GR30" s="230"/>
    </row>
    <row r="31" spans="1:200" s="641" customFormat="1" outlineLevel="1" x14ac:dyDescent="0.2">
      <c r="A31" s="633" t="s">
        <v>4024</v>
      </c>
      <c r="B31" s="634" t="s">
        <v>4512</v>
      </c>
      <c r="C31" s="597"/>
      <c r="D31" s="1537"/>
      <c r="E31" s="638"/>
      <c r="F31" s="638"/>
      <c r="G31" s="1517"/>
      <c r="H31" s="1517"/>
      <c r="I31" s="1517"/>
      <c r="J31" s="1517"/>
      <c r="K31" s="1518"/>
      <c r="L31" s="1518"/>
      <c r="M31" s="635"/>
      <c r="N31" s="639"/>
      <c r="O31" s="639"/>
      <c r="P31" s="639"/>
      <c r="Q31" s="639"/>
      <c r="R31" s="639"/>
      <c r="S31" s="639"/>
      <c r="T31" s="639"/>
      <c r="U31" s="639"/>
      <c r="V31" s="639"/>
      <c r="W31" s="639"/>
      <c r="X31" s="639"/>
      <c r="Y31" s="639"/>
      <c r="Z31" s="639"/>
      <c r="AA31"/>
      <c r="AB31"/>
      <c r="AC31"/>
      <c r="AD31"/>
      <c r="AE31"/>
      <c r="AF31"/>
      <c r="AG31"/>
      <c r="AH31"/>
      <c r="AI31"/>
      <c r="AJ31" s="640"/>
      <c r="AK31" s="640"/>
      <c r="AL31" s="640"/>
      <c r="AM31" s="640"/>
      <c r="AN31" s="640"/>
      <c r="AO31" s="640"/>
      <c r="AP31" s="640"/>
      <c r="AQ31" s="640"/>
      <c r="AR31" s="640"/>
      <c r="AS31" s="640"/>
      <c r="AT31" s="640"/>
      <c r="AU31" s="640"/>
      <c r="AV31" s="640"/>
      <c r="AW31" s="640"/>
      <c r="AX31" s="640"/>
      <c r="AY31" s="640"/>
      <c r="AZ31" s="640"/>
      <c r="BA31" s="640"/>
      <c r="BB31" s="640"/>
      <c r="BC31" s="640"/>
      <c r="BD31" s="640"/>
      <c r="BE31" s="640"/>
      <c r="BF31" s="640"/>
      <c r="BG31" s="640"/>
      <c r="BH31" s="640"/>
      <c r="BI31" s="640"/>
      <c r="BJ31" s="640"/>
      <c r="BK31" s="640"/>
      <c r="BL31" s="640"/>
      <c r="BM31" s="640"/>
      <c r="BN31" s="640"/>
      <c r="BO31" s="640"/>
      <c r="BP31" s="640"/>
      <c r="BQ31" s="640"/>
      <c r="BR31" s="640"/>
      <c r="BS31" s="640"/>
      <c r="BT31" s="640"/>
      <c r="BU31" s="640"/>
      <c r="BV31" s="640"/>
      <c r="BW31" s="640"/>
      <c r="BX31" s="640"/>
      <c r="BY31" s="640"/>
      <c r="BZ31" s="640"/>
      <c r="CA31" s="640"/>
      <c r="CB31" s="640"/>
      <c r="CC31" s="640"/>
      <c r="CD31" s="640"/>
      <c r="CE31" s="640"/>
      <c r="CF31" s="640"/>
      <c r="CG31" s="640"/>
      <c r="CH31" s="640"/>
      <c r="CI31" s="640"/>
      <c r="CJ31" s="640"/>
      <c r="CK31" s="640"/>
      <c r="CL31" s="640"/>
      <c r="CM31" s="640"/>
      <c r="CN31" s="640"/>
      <c r="CO31" s="640"/>
      <c r="CP31" s="640"/>
      <c r="CQ31" s="640"/>
      <c r="CR31" s="640"/>
      <c r="CS31" s="640"/>
      <c r="CT31" s="640"/>
      <c r="CU31" s="640"/>
      <c r="CV31" s="640"/>
      <c r="CW31" s="640"/>
      <c r="CX31" s="640"/>
      <c r="CY31" s="640"/>
      <c r="CZ31" s="640"/>
      <c r="DA31" s="640"/>
      <c r="DB31" s="640"/>
      <c r="DC31" s="640"/>
      <c r="DD31" s="640"/>
      <c r="DE31" s="640"/>
      <c r="DF31" s="640"/>
      <c r="DG31" s="640"/>
      <c r="DH31" s="640"/>
      <c r="DI31" s="640"/>
      <c r="DJ31" s="640"/>
      <c r="DK31" s="640"/>
      <c r="DL31" s="640"/>
      <c r="DM31" s="640"/>
      <c r="DN31" s="640"/>
      <c r="DO31" s="640"/>
      <c r="DP31" s="640"/>
      <c r="DQ31" s="640"/>
      <c r="DR31" s="640"/>
      <c r="DS31" s="640"/>
      <c r="DT31" s="640"/>
      <c r="DU31" s="640"/>
      <c r="DV31" s="640"/>
      <c r="DW31" s="640"/>
      <c r="DX31" s="640"/>
      <c r="DY31" s="640"/>
      <c r="DZ31" s="640"/>
      <c r="EA31" s="640"/>
      <c r="EB31" s="640"/>
      <c r="EC31" s="640"/>
      <c r="ED31" s="640"/>
      <c r="EE31" s="640"/>
      <c r="EF31" s="640"/>
      <c r="EG31" s="640"/>
      <c r="EH31" s="640"/>
      <c r="EI31" s="640"/>
      <c r="EJ31" s="640"/>
      <c r="EK31" s="640"/>
      <c r="EL31" s="640"/>
      <c r="EM31" s="640"/>
      <c r="EN31" s="640"/>
      <c r="EO31" s="640"/>
      <c r="EP31" s="640"/>
      <c r="EQ31" s="640"/>
      <c r="ER31" s="640"/>
      <c r="ES31" s="640"/>
      <c r="ET31" s="640"/>
      <c r="EU31" s="640"/>
      <c r="EV31" s="640"/>
      <c r="EW31" s="640"/>
      <c r="EX31" s="640"/>
      <c r="EY31" s="640"/>
      <c r="EZ31" s="640"/>
      <c r="FA31" s="640"/>
      <c r="FB31" s="640"/>
      <c r="FC31" s="640"/>
      <c r="FD31" s="640"/>
      <c r="FE31" s="640"/>
      <c r="FF31" s="640"/>
      <c r="FG31" s="640"/>
      <c r="FH31" s="640"/>
      <c r="FI31" s="640"/>
      <c r="FJ31" s="640"/>
      <c r="FK31" s="640"/>
      <c r="FL31" s="640"/>
      <c r="FM31" s="640"/>
      <c r="FN31" s="640"/>
      <c r="FO31" s="640"/>
      <c r="FP31" s="640"/>
      <c r="FQ31" s="640"/>
      <c r="FR31" s="640"/>
      <c r="FS31" s="640"/>
      <c r="FT31" s="640"/>
      <c r="FU31" s="640"/>
      <c r="FV31" s="640"/>
      <c r="FW31" s="640"/>
      <c r="FX31" s="640"/>
      <c r="FY31" s="640"/>
      <c r="FZ31" s="640"/>
      <c r="GA31" s="640"/>
      <c r="GB31" s="640"/>
      <c r="GC31" s="640"/>
      <c r="GD31" s="640"/>
      <c r="GE31" s="640"/>
      <c r="GF31" s="640"/>
      <c r="GG31" s="640"/>
      <c r="GH31" s="640"/>
      <c r="GI31" s="640"/>
      <c r="GJ31" s="640"/>
      <c r="GK31" s="640"/>
      <c r="GL31" s="640"/>
      <c r="GM31" s="640"/>
      <c r="GN31" s="640"/>
      <c r="GO31" s="640"/>
      <c r="GP31" s="640"/>
      <c r="GQ31" s="640"/>
      <c r="GR31" s="640"/>
    </row>
    <row r="32" spans="1:200" s="641" customFormat="1" outlineLevel="2" x14ac:dyDescent="0.2">
      <c r="A32" s="636" t="s">
        <v>4025</v>
      </c>
      <c r="B32" s="636" t="s">
        <v>2498</v>
      </c>
      <c r="C32" s="597"/>
      <c r="D32" s="649"/>
      <c r="E32" s="638"/>
      <c r="F32" s="638"/>
      <c r="G32" s="1517">
        <v>1</v>
      </c>
      <c r="H32" s="1517"/>
      <c r="I32" s="1517"/>
      <c r="J32" s="1517" t="s">
        <v>1592</v>
      </c>
      <c r="K32" s="1518" t="s">
        <v>4434</v>
      </c>
      <c r="L32" s="1518" t="s">
        <v>1717</v>
      </c>
      <c r="M32" s="635"/>
      <c r="N32" s="639"/>
      <c r="O32" s="639"/>
      <c r="P32" s="639"/>
      <c r="Q32" s="639"/>
      <c r="R32" s="639"/>
      <c r="S32" s="639"/>
      <c r="T32" s="639"/>
      <c r="U32" s="639"/>
      <c r="V32" s="639"/>
      <c r="W32" s="639"/>
      <c r="X32" s="639"/>
      <c r="Y32" s="639"/>
      <c r="Z32" s="639"/>
      <c r="AA32">
        <f>IF(AND('12 Ext'!C32&gt;Tmin, NOT('12 Ext'!$I32="")),'12 Ext'!$I32,0)</f>
        <v>0</v>
      </c>
      <c r="AB32">
        <f>IF(AND('12 Ext'!D32&gt;Tmin, NOT('12 Ext'!$I32="")),'12 Ext'!$I32,0)</f>
        <v>0</v>
      </c>
      <c r="AC32">
        <f>IF(AND('12 Ext'!E32&gt;Tmin, NOT('12 Ext'!$I32="")),'12 Ext'!$I32,0)</f>
        <v>0</v>
      </c>
      <c r="AD32">
        <f>IF(AND('12 Ext'!F32&gt;Tmin, NOT('12 Ext'!$I32="")),'12 Ext'!$I32,0)</f>
        <v>0</v>
      </c>
      <c r="AE32">
        <f>IF(AND('12 Ext'!C32&lt;Tmax, NOT('12 Ext'!$H32="")),'12 Ext'!$H32,4)</f>
        <v>4</v>
      </c>
      <c r="AF32">
        <f>IF(AND('12 Ext'!D32&lt;Tmax, NOT('12 Ext'!$H32="")),'12 Ext'!$H32,4)</f>
        <v>4</v>
      </c>
      <c r="AG32">
        <f>IF(AND('12 Ext'!E32&lt;Tmax, NOT('12 Ext'!$H32="")),'12 Ext'!$H32,4)</f>
        <v>4</v>
      </c>
      <c r="AH32">
        <f>IF(AND('12 Ext'!F32&lt;Tmax, NOT('12 Ext'!$H32="")),'12 Ext'!$H32,4)</f>
        <v>4</v>
      </c>
      <c r="AI32"/>
      <c r="AJ32" s="640"/>
      <c r="AK32" s="640"/>
      <c r="AL32" s="640"/>
      <c r="AM32" s="640"/>
      <c r="AN32" s="640"/>
      <c r="AO32" s="640"/>
      <c r="AP32" s="640"/>
      <c r="AQ32" s="640"/>
      <c r="AR32" s="640"/>
      <c r="AS32" s="640"/>
      <c r="AT32" s="640"/>
      <c r="AU32" s="640"/>
      <c r="AV32" s="640"/>
      <c r="AW32" s="640"/>
      <c r="AX32" s="640"/>
      <c r="AY32" s="640"/>
      <c r="AZ32" s="640"/>
      <c r="BA32" s="640"/>
      <c r="BB32" s="640"/>
      <c r="BC32" s="640"/>
      <c r="BD32" s="640"/>
      <c r="BE32" s="640"/>
      <c r="BF32" s="640"/>
      <c r="BG32" s="640"/>
      <c r="BH32" s="640"/>
      <c r="BI32" s="640"/>
      <c r="BJ32" s="640"/>
      <c r="BK32" s="640"/>
      <c r="BL32" s="640"/>
      <c r="BM32" s="640"/>
      <c r="BN32" s="640"/>
      <c r="BO32" s="640"/>
      <c r="BP32" s="640"/>
      <c r="BQ32" s="640"/>
      <c r="BR32" s="640"/>
      <c r="BS32" s="640"/>
      <c r="BT32" s="640"/>
      <c r="BU32" s="640"/>
      <c r="BV32" s="640"/>
      <c r="BW32" s="640"/>
      <c r="BX32" s="640"/>
      <c r="BY32" s="640"/>
      <c r="BZ32" s="640"/>
      <c r="CA32" s="640"/>
      <c r="CB32" s="640"/>
      <c r="CC32" s="640"/>
      <c r="CD32" s="640"/>
      <c r="CE32" s="640"/>
      <c r="CF32" s="640"/>
      <c r="CG32" s="640"/>
      <c r="CH32" s="640"/>
      <c r="CI32" s="640"/>
      <c r="CJ32" s="640"/>
      <c r="CK32" s="640"/>
      <c r="CL32" s="640"/>
      <c r="CM32" s="640"/>
      <c r="CN32" s="640"/>
      <c r="CO32" s="640"/>
      <c r="CP32" s="640"/>
      <c r="CQ32" s="640"/>
      <c r="CR32" s="640"/>
      <c r="CS32" s="640"/>
      <c r="CT32" s="640"/>
      <c r="CU32" s="640"/>
      <c r="CV32" s="640"/>
      <c r="CW32" s="640"/>
      <c r="CX32" s="640"/>
      <c r="CY32" s="640"/>
      <c r="CZ32" s="640"/>
      <c r="DA32" s="640"/>
      <c r="DB32" s="640"/>
      <c r="DC32" s="640"/>
      <c r="DD32" s="640"/>
      <c r="DE32" s="640"/>
      <c r="DF32" s="640"/>
      <c r="DG32" s="640"/>
      <c r="DH32" s="640"/>
      <c r="DI32" s="640"/>
      <c r="DJ32" s="640"/>
      <c r="DK32" s="640"/>
      <c r="DL32" s="640"/>
      <c r="DM32" s="640"/>
      <c r="DN32" s="640"/>
      <c r="DO32" s="640"/>
      <c r="DP32" s="640"/>
      <c r="DQ32" s="640"/>
      <c r="DR32" s="640"/>
      <c r="DS32" s="640"/>
      <c r="DT32" s="640"/>
      <c r="DU32" s="640"/>
      <c r="DV32" s="640"/>
      <c r="DW32" s="640"/>
      <c r="DX32" s="640"/>
      <c r="DY32" s="640"/>
      <c r="DZ32" s="640"/>
      <c r="EA32" s="640"/>
      <c r="EB32" s="640"/>
      <c r="EC32" s="640"/>
      <c r="ED32" s="640"/>
      <c r="EE32" s="640"/>
      <c r="EF32" s="640"/>
      <c r="EG32" s="640"/>
      <c r="EH32" s="640"/>
      <c r="EI32" s="640"/>
      <c r="EJ32" s="640"/>
      <c r="EK32" s="640"/>
      <c r="EL32" s="640"/>
      <c r="EM32" s="640"/>
      <c r="EN32" s="640"/>
      <c r="EO32" s="640"/>
      <c r="EP32" s="640"/>
      <c r="EQ32" s="640"/>
      <c r="ER32" s="640"/>
      <c r="ES32" s="640"/>
      <c r="ET32" s="640"/>
      <c r="EU32" s="640"/>
      <c r="EV32" s="640"/>
      <c r="EW32" s="640"/>
      <c r="EX32" s="640"/>
      <c r="EY32" s="640"/>
      <c r="EZ32" s="640"/>
      <c r="FA32" s="640"/>
      <c r="FB32" s="640"/>
      <c r="FC32" s="640"/>
      <c r="FD32" s="640"/>
      <c r="FE32" s="640"/>
      <c r="FF32" s="640"/>
      <c r="FG32" s="640"/>
      <c r="FH32" s="640"/>
      <c r="FI32" s="640"/>
      <c r="FJ32" s="640"/>
      <c r="FK32" s="640"/>
      <c r="FL32" s="640"/>
      <c r="FM32" s="640"/>
      <c r="FN32" s="640"/>
      <c r="FO32" s="640"/>
      <c r="FP32" s="640"/>
      <c r="FQ32" s="640"/>
      <c r="FR32" s="640"/>
      <c r="FS32" s="640"/>
      <c r="FT32" s="640"/>
      <c r="FU32" s="640"/>
      <c r="FV32" s="640"/>
      <c r="FW32" s="640"/>
      <c r="FX32" s="640"/>
      <c r="FY32" s="640"/>
      <c r="FZ32" s="640"/>
      <c r="GA32" s="640"/>
      <c r="GB32" s="640"/>
      <c r="GC32" s="640"/>
      <c r="GD32" s="640"/>
      <c r="GE32" s="640"/>
      <c r="GF32" s="640"/>
      <c r="GG32" s="640"/>
      <c r="GH32" s="640"/>
      <c r="GI32" s="640"/>
      <c r="GJ32" s="640"/>
      <c r="GK32" s="640"/>
      <c r="GL32" s="640"/>
      <c r="GM32" s="640"/>
      <c r="GN32" s="640"/>
      <c r="GO32" s="640"/>
      <c r="GP32" s="640"/>
      <c r="GQ32" s="640"/>
      <c r="GR32" s="640"/>
    </row>
    <row r="33" spans="1:200" s="641" customFormat="1" ht="25.5" customHeight="1" outlineLevel="2" x14ac:dyDescent="0.2">
      <c r="A33" s="636" t="s">
        <v>4026</v>
      </c>
      <c r="B33" s="636" t="s">
        <v>6691</v>
      </c>
      <c r="C33" s="597"/>
      <c r="D33" s="649"/>
      <c r="E33" s="638"/>
      <c r="F33" s="638"/>
      <c r="G33" s="1517">
        <v>4</v>
      </c>
      <c r="H33" s="1517">
        <v>2</v>
      </c>
      <c r="I33" s="1517"/>
      <c r="J33" s="1517" t="s">
        <v>1592</v>
      </c>
      <c r="K33" s="1518"/>
      <c r="L33" s="1518"/>
      <c r="M33" s="635"/>
      <c r="N33" s="639"/>
      <c r="O33" s="639"/>
      <c r="P33" s="639"/>
      <c r="Q33" s="639"/>
      <c r="R33" s="639"/>
      <c r="S33" s="639"/>
      <c r="T33" s="639"/>
      <c r="U33" s="639"/>
      <c r="V33" s="639"/>
      <c r="W33" s="639"/>
      <c r="X33" s="639"/>
      <c r="Y33" s="639"/>
      <c r="Z33" s="639"/>
      <c r="AA33">
        <f>IF(AND('12 Ext'!C33&gt;Tmin, NOT('12 Ext'!$I33="")),'12 Ext'!$I33,0)</f>
        <v>0</v>
      </c>
      <c r="AB33">
        <f>IF(AND('12 Ext'!D33&gt;Tmin, NOT('12 Ext'!$I33="")),'12 Ext'!$I33,0)</f>
        <v>0</v>
      </c>
      <c r="AC33">
        <f>IF(AND('12 Ext'!E33&gt;Tmin, NOT('12 Ext'!$I33="")),'12 Ext'!$I33,0)</f>
        <v>0</v>
      </c>
      <c r="AD33">
        <f>IF(AND('12 Ext'!F33&gt;Tmin, NOT('12 Ext'!$I33="")),'12 Ext'!$I33,0)</f>
        <v>0</v>
      </c>
      <c r="AE33">
        <f>IF(AND('12 Ext'!C33&lt;Tmax, NOT('12 Ext'!$H33="")),'12 Ext'!$H33,4)</f>
        <v>2</v>
      </c>
      <c r="AF33">
        <f>IF(AND('12 Ext'!D33&lt;Tmax, NOT('12 Ext'!$H33="")),'12 Ext'!$H33,4)</f>
        <v>2</v>
      </c>
      <c r="AG33">
        <f>IF(AND('12 Ext'!E33&lt;Tmax, NOT('12 Ext'!$H33="")),'12 Ext'!$H33,4)</f>
        <v>2</v>
      </c>
      <c r="AH33">
        <f>IF(AND('12 Ext'!F33&lt;Tmax, NOT('12 Ext'!$H33="")),'12 Ext'!$H33,4)</f>
        <v>2</v>
      </c>
      <c r="AI33"/>
      <c r="AJ33" s="640"/>
      <c r="AK33" s="640"/>
      <c r="AL33" s="640"/>
      <c r="AM33" s="640"/>
      <c r="AN33" s="640"/>
      <c r="AO33" s="640"/>
      <c r="AP33" s="640"/>
      <c r="AQ33" s="640"/>
      <c r="AR33" s="640"/>
      <c r="AS33" s="640"/>
      <c r="AT33" s="640"/>
      <c r="AU33" s="640"/>
      <c r="AV33" s="640"/>
      <c r="AW33" s="640"/>
      <c r="AX33" s="640"/>
      <c r="AY33" s="640"/>
      <c r="AZ33" s="640"/>
      <c r="BA33" s="640"/>
      <c r="BB33" s="640"/>
      <c r="BC33" s="640"/>
      <c r="BD33" s="640"/>
      <c r="BE33" s="640"/>
      <c r="BF33" s="640"/>
      <c r="BG33" s="640"/>
      <c r="BH33" s="640"/>
      <c r="BI33" s="640"/>
      <c r="BJ33" s="640"/>
      <c r="BK33" s="640"/>
      <c r="BL33" s="640"/>
      <c r="BM33" s="640"/>
      <c r="BN33" s="640"/>
      <c r="BO33" s="640"/>
      <c r="BP33" s="640"/>
      <c r="BQ33" s="640"/>
      <c r="BR33" s="640"/>
      <c r="BS33" s="640"/>
      <c r="BT33" s="640"/>
      <c r="BU33" s="640"/>
      <c r="BV33" s="640"/>
      <c r="BW33" s="640"/>
      <c r="BX33" s="640"/>
      <c r="BY33" s="640"/>
      <c r="BZ33" s="640"/>
      <c r="CA33" s="640"/>
      <c r="CB33" s="640"/>
      <c r="CC33" s="640"/>
      <c r="CD33" s="640"/>
      <c r="CE33" s="640"/>
      <c r="CF33" s="640"/>
      <c r="CG33" s="640"/>
      <c r="CH33" s="640"/>
      <c r="CI33" s="640"/>
      <c r="CJ33" s="640"/>
      <c r="CK33" s="640"/>
      <c r="CL33" s="640"/>
      <c r="CM33" s="640"/>
      <c r="CN33" s="640"/>
      <c r="CO33" s="640"/>
      <c r="CP33" s="640"/>
      <c r="CQ33" s="640"/>
      <c r="CR33" s="640"/>
      <c r="CS33" s="640"/>
      <c r="CT33" s="640"/>
      <c r="CU33" s="640"/>
      <c r="CV33" s="640"/>
      <c r="CW33" s="640"/>
      <c r="CX33" s="640"/>
      <c r="CY33" s="640"/>
      <c r="CZ33" s="640"/>
      <c r="DA33" s="640"/>
      <c r="DB33" s="640"/>
      <c r="DC33" s="640"/>
      <c r="DD33" s="640"/>
      <c r="DE33" s="640"/>
      <c r="DF33" s="640"/>
      <c r="DG33" s="640"/>
      <c r="DH33" s="640"/>
      <c r="DI33" s="640"/>
      <c r="DJ33" s="640"/>
      <c r="DK33" s="640"/>
      <c r="DL33" s="640"/>
      <c r="DM33" s="640"/>
      <c r="DN33" s="640"/>
      <c r="DO33" s="640"/>
      <c r="DP33" s="640"/>
      <c r="DQ33" s="640"/>
      <c r="DR33" s="640"/>
      <c r="DS33" s="640"/>
      <c r="DT33" s="640"/>
      <c r="DU33" s="640"/>
      <c r="DV33" s="640"/>
      <c r="DW33" s="640"/>
      <c r="DX33" s="640"/>
      <c r="DY33" s="640"/>
      <c r="DZ33" s="640"/>
      <c r="EA33" s="640"/>
      <c r="EB33" s="640"/>
      <c r="EC33" s="640"/>
      <c r="ED33" s="640"/>
      <c r="EE33" s="640"/>
      <c r="EF33" s="640"/>
      <c r="EG33" s="640"/>
      <c r="EH33" s="640"/>
      <c r="EI33" s="640"/>
      <c r="EJ33" s="640"/>
      <c r="EK33" s="640"/>
      <c r="EL33" s="640"/>
      <c r="EM33" s="640"/>
      <c r="EN33" s="640"/>
      <c r="EO33" s="640"/>
      <c r="EP33" s="640"/>
      <c r="EQ33" s="640"/>
      <c r="ER33" s="640"/>
      <c r="ES33" s="640"/>
      <c r="ET33" s="640"/>
      <c r="EU33" s="640"/>
      <c r="EV33" s="640"/>
      <c r="EW33" s="640"/>
      <c r="EX33" s="640"/>
      <c r="EY33" s="640"/>
      <c r="EZ33" s="640"/>
      <c r="FA33" s="640"/>
      <c r="FB33" s="640"/>
      <c r="FC33" s="640"/>
      <c r="FD33" s="640"/>
      <c r="FE33" s="640"/>
      <c r="FF33" s="640"/>
      <c r="FG33" s="640"/>
      <c r="FH33" s="640"/>
      <c r="FI33" s="640"/>
      <c r="FJ33" s="640"/>
      <c r="FK33" s="640"/>
      <c r="FL33" s="640"/>
      <c r="FM33" s="640"/>
      <c r="FN33" s="640"/>
      <c r="FO33" s="640"/>
      <c r="FP33" s="640"/>
      <c r="FQ33" s="640"/>
      <c r="FR33" s="640"/>
      <c r="FS33" s="640"/>
      <c r="FT33" s="640"/>
      <c r="FU33" s="640"/>
      <c r="FV33" s="640"/>
      <c r="FW33" s="640"/>
      <c r="FX33" s="640"/>
      <c r="FY33" s="640"/>
      <c r="FZ33" s="640"/>
      <c r="GA33" s="640"/>
      <c r="GB33" s="640"/>
      <c r="GC33" s="640"/>
      <c r="GD33" s="640"/>
      <c r="GE33" s="640"/>
      <c r="GF33" s="640"/>
      <c r="GG33" s="640"/>
      <c r="GH33" s="640"/>
      <c r="GI33" s="640"/>
      <c r="GJ33" s="640"/>
      <c r="GK33" s="640"/>
      <c r="GL33" s="640"/>
      <c r="GM33" s="640"/>
      <c r="GN33" s="640"/>
      <c r="GO33" s="640"/>
      <c r="GP33" s="640"/>
      <c r="GQ33" s="640"/>
      <c r="GR33" s="640"/>
    </row>
    <row r="34" spans="1:200" s="641" customFormat="1" ht="24.75" customHeight="1" outlineLevel="2" x14ac:dyDescent="0.2">
      <c r="A34" s="636" t="s">
        <v>4027</v>
      </c>
      <c r="B34" s="636" t="s">
        <v>3747</v>
      </c>
      <c r="C34" s="597"/>
      <c r="D34" s="649"/>
      <c r="E34" s="638"/>
      <c r="F34" s="638"/>
      <c r="G34" s="1517">
        <v>4</v>
      </c>
      <c r="H34" s="1517">
        <v>3</v>
      </c>
      <c r="I34" s="1517"/>
      <c r="J34" s="1517" t="s">
        <v>2329</v>
      </c>
      <c r="K34" s="1518"/>
      <c r="L34" s="1518"/>
      <c r="M34" s="635"/>
      <c r="N34" s="639"/>
      <c r="O34" s="639"/>
      <c r="P34" s="639"/>
      <c r="Q34" s="639"/>
      <c r="R34" s="639"/>
      <c r="S34" s="639"/>
      <c r="T34" s="639"/>
      <c r="U34" s="639"/>
      <c r="V34" s="639"/>
      <c r="W34" s="639"/>
      <c r="X34" s="639"/>
      <c r="Y34" s="639"/>
      <c r="Z34" s="639"/>
      <c r="AA34">
        <f>IF(AND('12 Ext'!C34&gt;Tmin, NOT('12 Ext'!$I34="")),'12 Ext'!$I34,0)</f>
        <v>0</v>
      </c>
      <c r="AB34">
        <f>IF(AND('12 Ext'!D34&gt;Tmin, NOT('12 Ext'!$I34="")),'12 Ext'!$I34,0)</f>
        <v>0</v>
      </c>
      <c r="AC34">
        <f>IF(AND('12 Ext'!E34&gt;Tmin, NOT('12 Ext'!$I34="")),'12 Ext'!$I34,0)</f>
        <v>0</v>
      </c>
      <c r="AD34">
        <f>IF(AND('12 Ext'!F34&gt;Tmin, NOT('12 Ext'!$I34="")),'12 Ext'!$I34,0)</f>
        <v>0</v>
      </c>
      <c r="AE34">
        <f>IF(AND('12 Ext'!C34&lt;Tmax, NOT('12 Ext'!$H34="")),'12 Ext'!$H34,4)</f>
        <v>3</v>
      </c>
      <c r="AF34">
        <f>IF(AND('12 Ext'!D34&lt;Tmax, NOT('12 Ext'!$H34="")),'12 Ext'!$H34,4)</f>
        <v>3</v>
      </c>
      <c r="AG34">
        <f>IF(AND('12 Ext'!E34&lt;Tmax, NOT('12 Ext'!$H34="")),'12 Ext'!$H34,4)</f>
        <v>3</v>
      </c>
      <c r="AH34">
        <f>IF(AND('12 Ext'!F34&lt;Tmax, NOT('12 Ext'!$H34="")),'12 Ext'!$H34,4)</f>
        <v>3</v>
      </c>
      <c r="AI34"/>
      <c r="AJ34" s="640"/>
      <c r="AK34" s="640"/>
      <c r="AL34" s="640"/>
      <c r="AM34" s="640"/>
      <c r="AN34" s="640"/>
      <c r="AO34" s="640"/>
      <c r="AP34" s="640"/>
      <c r="AQ34" s="640"/>
      <c r="AR34" s="640"/>
      <c r="AS34" s="640"/>
      <c r="AT34" s="640"/>
      <c r="AU34" s="640"/>
      <c r="AV34" s="640"/>
      <c r="AW34" s="640"/>
      <c r="AX34" s="640"/>
      <c r="AY34" s="640"/>
      <c r="AZ34" s="640"/>
      <c r="BA34" s="640"/>
      <c r="BB34" s="640"/>
      <c r="BC34" s="640"/>
      <c r="BD34" s="640"/>
      <c r="BE34" s="640"/>
      <c r="BF34" s="640"/>
      <c r="BG34" s="640"/>
      <c r="BH34" s="640"/>
      <c r="BI34" s="640"/>
      <c r="BJ34" s="640"/>
      <c r="BK34" s="640"/>
      <c r="BL34" s="640"/>
      <c r="BM34" s="640"/>
      <c r="BN34" s="640"/>
      <c r="BO34" s="640"/>
      <c r="BP34" s="640"/>
      <c r="BQ34" s="640"/>
      <c r="BR34" s="640"/>
      <c r="BS34" s="640"/>
      <c r="BT34" s="640"/>
      <c r="BU34" s="640"/>
      <c r="BV34" s="640"/>
      <c r="BW34" s="640"/>
      <c r="BX34" s="640"/>
      <c r="BY34" s="640"/>
      <c r="BZ34" s="640"/>
      <c r="CA34" s="640"/>
      <c r="CB34" s="640"/>
      <c r="CC34" s="640"/>
      <c r="CD34" s="640"/>
      <c r="CE34" s="640"/>
      <c r="CF34" s="640"/>
      <c r="CG34" s="640"/>
      <c r="CH34" s="640"/>
      <c r="CI34" s="640"/>
      <c r="CJ34" s="640"/>
      <c r="CK34" s="640"/>
      <c r="CL34" s="640"/>
      <c r="CM34" s="640"/>
      <c r="CN34" s="640"/>
      <c r="CO34" s="640"/>
      <c r="CP34" s="640"/>
      <c r="CQ34" s="640"/>
      <c r="CR34" s="640"/>
      <c r="CS34" s="640"/>
      <c r="CT34" s="640"/>
      <c r="CU34" s="640"/>
      <c r="CV34" s="640"/>
      <c r="CW34" s="640"/>
      <c r="CX34" s="640"/>
      <c r="CY34" s="640"/>
      <c r="CZ34" s="640"/>
      <c r="DA34" s="640"/>
      <c r="DB34" s="640"/>
      <c r="DC34" s="640"/>
      <c r="DD34" s="640"/>
      <c r="DE34" s="640"/>
      <c r="DF34" s="640"/>
      <c r="DG34" s="640"/>
      <c r="DH34" s="640"/>
      <c r="DI34" s="640"/>
      <c r="DJ34" s="640"/>
      <c r="DK34" s="640"/>
      <c r="DL34" s="640"/>
      <c r="DM34" s="640"/>
      <c r="DN34" s="640"/>
      <c r="DO34" s="640"/>
      <c r="DP34" s="640"/>
      <c r="DQ34" s="640"/>
      <c r="DR34" s="640"/>
      <c r="DS34" s="640"/>
      <c r="DT34" s="640"/>
      <c r="DU34" s="640"/>
      <c r="DV34" s="640"/>
      <c r="DW34" s="640"/>
      <c r="DX34" s="640"/>
      <c r="DY34" s="640"/>
      <c r="DZ34" s="640"/>
      <c r="EA34" s="640"/>
      <c r="EB34" s="640"/>
      <c r="EC34" s="640"/>
      <c r="ED34" s="640"/>
      <c r="EE34" s="640"/>
      <c r="EF34" s="640"/>
      <c r="EG34" s="640"/>
      <c r="EH34" s="640"/>
      <c r="EI34" s="640"/>
      <c r="EJ34" s="640"/>
      <c r="EK34" s="640"/>
      <c r="EL34" s="640"/>
      <c r="EM34" s="640"/>
      <c r="EN34" s="640"/>
      <c r="EO34" s="640"/>
      <c r="EP34" s="640"/>
      <c r="EQ34" s="640"/>
      <c r="ER34" s="640"/>
      <c r="ES34" s="640"/>
      <c r="ET34" s="640"/>
      <c r="EU34" s="640"/>
      <c r="EV34" s="640"/>
      <c r="EW34" s="640"/>
      <c r="EX34" s="640"/>
      <c r="EY34" s="640"/>
      <c r="EZ34" s="640"/>
      <c r="FA34" s="640"/>
      <c r="FB34" s="640"/>
      <c r="FC34" s="640"/>
      <c r="FD34" s="640"/>
      <c r="FE34" s="640"/>
      <c r="FF34" s="640"/>
      <c r="FG34" s="640"/>
      <c r="FH34" s="640"/>
      <c r="FI34" s="640"/>
      <c r="FJ34" s="640"/>
      <c r="FK34" s="640"/>
      <c r="FL34" s="640"/>
      <c r="FM34" s="640"/>
      <c r="FN34" s="640"/>
      <c r="FO34" s="640"/>
      <c r="FP34" s="640"/>
      <c r="FQ34" s="640"/>
      <c r="FR34" s="640"/>
      <c r="FS34" s="640"/>
      <c r="FT34" s="640"/>
      <c r="FU34" s="640"/>
      <c r="FV34" s="640"/>
      <c r="FW34" s="640"/>
      <c r="FX34" s="640"/>
      <c r="FY34" s="640"/>
      <c r="FZ34" s="640"/>
      <c r="GA34" s="640"/>
      <c r="GB34" s="640"/>
      <c r="GC34" s="640"/>
      <c r="GD34" s="640"/>
      <c r="GE34" s="640"/>
      <c r="GF34" s="640"/>
      <c r="GG34" s="640"/>
      <c r="GH34" s="640"/>
      <c r="GI34" s="640"/>
      <c r="GJ34" s="640"/>
      <c r="GK34" s="640"/>
      <c r="GL34" s="640"/>
      <c r="GM34" s="640"/>
      <c r="GN34" s="640"/>
      <c r="GO34" s="640"/>
      <c r="GP34" s="640"/>
      <c r="GQ34" s="640"/>
      <c r="GR34" s="640"/>
    </row>
    <row r="35" spans="1:200" s="641" customFormat="1" ht="23.25" customHeight="1" outlineLevel="2" x14ac:dyDescent="0.2">
      <c r="A35" s="636" t="s">
        <v>4028</v>
      </c>
      <c r="B35" s="636" t="s">
        <v>4605</v>
      </c>
      <c r="C35" s="597"/>
      <c r="D35" s="1538"/>
      <c r="E35" s="642"/>
      <c r="F35" s="642"/>
      <c r="G35" s="1517">
        <v>4</v>
      </c>
      <c r="H35" s="1517">
        <v>3</v>
      </c>
      <c r="I35" s="1517"/>
      <c r="J35" s="1517" t="s">
        <v>2329</v>
      </c>
      <c r="K35" s="1518"/>
      <c r="L35" s="1518"/>
      <c r="M35" s="635"/>
      <c r="N35" s="639"/>
      <c r="O35" s="639"/>
      <c r="P35" s="639"/>
      <c r="Q35" s="639"/>
      <c r="R35" s="639"/>
      <c r="S35" s="639"/>
      <c r="T35" s="639"/>
      <c r="U35" s="639"/>
      <c r="V35" s="639"/>
      <c r="W35" s="639"/>
      <c r="X35" s="639"/>
      <c r="Y35" s="639"/>
      <c r="Z35" s="639"/>
      <c r="AA35">
        <f>IF(AND('12 Ext'!C35&gt;Tmin, NOT('12 Ext'!$I35="")),'12 Ext'!$I35,0)</f>
        <v>0</v>
      </c>
      <c r="AB35">
        <f>IF(AND('12 Ext'!D35&gt;Tmin, NOT('12 Ext'!$I35="")),'12 Ext'!$I35,0)</f>
        <v>0</v>
      </c>
      <c r="AC35">
        <f>IF(AND('12 Ext'!E35&gt;Tmin, NOT('12 Ext'!$I35="")),'12 Ext'!$I35,0)</f>
        <v>0</v>
      </c>
      <c r="AD35">
        <f>IF(AND('12 Ext'!F35&gt;Tmin, NOT('12 Ext'!$I35="")),'12 Ext'!$I35,0)</f>
        <v>0</v>
      </c>
      <c r="AE35">
        <f>IF(AND('12 Ext'!C35&lt;Tmax, NOT('12 Ext'!$H35="")),'12 Ext'!$H35,4)</f>
        <v>3</v>
      </c>
      <c r="AF35">
        <f>IF(AND('12 Ext'!D35&lt;Tmax, NOT('12 Ext'!$H35="")),'12 Ext'!$H35,4)</f>
        <v>3</v>
      </c>
      <c r="AG35">
        <f>IF(AND('12 Ext'!E35&lt;Tmax, NOT('12 Ext'!$H35="")),'12 Ext'!$H35,4)</f>
        <v>3</v>
      </c>
      <c r="AH35">
        <f>IF(AND('12 Ext'!F35&lt;Tmax, NOT('12 Ext'!$H35="")),'12 Ext'!$H35,4)</f>
        <v>3</v>
      </c>
      <c r="AI35"/>
      <c r="AJ35" s="640"/>
      <c r="AK35" s="640"/>
      <c r="AL35" s="640"/>
      <c r="AM35" s="640"/>
      <c r="AN35" s="640"/>
      <c r="AO35" s="640"/>
      <c r="AP35" s="640"/>
      <c r="AQ35" s="640"/>
      <c r="AR35" s="640"/>
      <c r="AS35" s="640"/>
      <c r="AT35" s="640"/>
      <c r="AU35" s="640"/>
      <c r="AV35" s="640"/>
      <c r="AW35" s="640"/>
      <c r="AX35" s="640"/>
      <c r="AY35" s="640"/>
      <c r="AZ35" s="640"/>
      <c r="BA35" s="640"/>
      <c r="BB35" s="640"/>
      <c r="BC35" s="640"/>
      <c r="BD35" s="640"/>
      <c r="BE35" s="640"/>
      <c r="BF35" s="640"/>
      <c r="BG35" s="640"/>
      <c r="BH35" s="640"/>
      <c r="BI35" s="640"/>
      <c r="BJ35" s="640"/>
      <c r="BK35" s="640"/>
      <c r="BL35" s="640"/>
      <c r="BM35" s="640"/>
      <c r="BN35" s="640"/>
      <c r="BO35" s="640"/>
      <c r="BP35" s="640"/>
      <c r="BQ35" s="640"/>
      <c r="BR35" s="640"/>
      <c r="BS35" s="640"/>
      <c r="BT35" s="640"/>
      <c r="BU35" s="640"/>
      <c r="BV35" s="640"/>
      <c r="BW35" s="640"/>
      <c r="BX35" s="640"/>
      <c r="BY35" s="640"/>
      <c r="BZ35" s="640"/>
      <c r="CA35" s="640"/>
      <c r="CB35" s="640"/>
      <c r="CC35" s="640"/>
      <c r="CD35" s="640"/>
      <c r="CE35" s="640"/>
      <c r="CF35" s="640"/>
      <c r="CG35" s="640"/>
      <c r="CH35" s="640"/>
      <c r="CI35" s="640"/>
      <c r="CJ35" s="640"/>
      <c r="CK35" s="640"/>
      <c r="CL35" s="640"/>
      <c r="CM35" s="640"/>
      <c r="CN35" s="640"/>
      <c r="CO35" s="640"/>
      <c r="CP35" s="640"/>
      <c r="CQ35" s="640"/>
      <c r="CR35" s="640"/>
      <c r="CS35" s="640"/>
      <c r="CT35" s="640"/>
      <c r="CU35" s="640"/>
      <c r="CV35" s="640"/>
      <c r="CW35" s="640"/>
      <c r="CX35" s="640"/>
      <c r="CY35" s="640"/>
      <c r="CZ35" s="640"/>
      <c r="DA35" s="640"/>
      <c r="DB35" s="640"/>
      <c r="DC35" s="640"/>
      <c r="DD35" s="640"/>
      <c r="DE35" s="640"/>
      <c r="DF35" s="640"/>
      <c r="DG35" s="640"/>
      <c r="DH35" s="640"/>
      <c r="DI35" s="640"/>
      <c r="DJ35" s="640"/>
      <c r="DK35" s="640"/>
      <c r="DL35" s="640"/>
      <c r="DM35" s="640"/>
      <c r="DN35" s="640"/>
      <c r="DO35" s="640"/>
      <c r="DP35" s="640"/>
      <c r="DQ35" s="640"/>
      <c r="DR35" s="640"/>
      <c r="DS35" s="640"/>
      <c r="DT35" s="640"/>
      <c r="DU35" s="640"/>
      <c r="DV35" s="640"/>
      <c r="DW35" s="640"/>
      <c r="DX35" s="640"/>
      <c r="DY35" s="640"/>
      <c r="DZ35" s="640"/>
      <c r="EA35" s="640"/>
      <c r="EB35" s="640"/>
      <c r="EC35" s="640"/>
      <c r="ED35" s="640"/>
      <c r="EE35" s="640"/>
      <c r="EF35" s="640"/>
      <c r="EG35" s="640"/>
      <c r="EH35" s="640"/>
      <c r="EI35" s="640"/>
      <c r="EJ35" s="640"/>
      <c r="EK35" s="640"/>
      <c r="EL35" s="640"/>
      <c r="EM35" s="640"/>
      <c r="EN35" s="640"/>
      <c r="EO35" s="640"/>
      <c r="EP35" s="640"/>
      <c r="EQ35" s="640"/>
      <c r="ER35" s="640"/>
      <c r="ES35" s="640"/>
      <c r="ET35" s="640"/>
      <c r="EU35" s="640"/>
      <c r="EV35" s="640"/>
      <c r="EW35" s="640"/>
      <c r="EX35" s="640"/>
      <c r="EY35" s="640"/>
      <c r="EZ35" s="640"/>
      <c r="FA35" s="640"/>
      <c r="FB35" s="640"/>
      <c r="FC35" s="640"/>
      <c r="FD35" s="640"/>
      <c r="FE35" s="640"/>
      <c r="FF35" s="640"/>
      <c r="FG35" s="640"/>
      <c r="FH35" s="640"/>
      <c r="FI35" s="640"/>
      <c r="FJ35" s="640"/>
      <c r="FK35" s="640"/>
      <c r="FL35" s="640"/>
      <c r="FM35" s="640"/>
      <c r="FN35" s="640"/>
      <c r="FO35" s="640"/>
      <c r="FP35" s="640"/>
      <c r="FQ35" s="640"/>
      <c r="FR35" s="640"/>
      <c r="FS35" s="640"/>
      <c r="FT35" s="640"/>
      <c r="FU35" s="640"/>
      <c r="FV35" s="640"/>
      <c r="FW35" s="640"/>
      <c r="FX35" s="640"/>
      <c r="FY35" s="640"/>
      <c r="FZ35" s="640"/>
      <c r="GA35" s="640"/>
      <c r="GB35" s="640"/>
      <c r="GC35" s="640"/>
      <c r="GD35" s="640"/>
      <c r="GE35" s="640"/>
      <c r="GF35" s="640"/>
      <c r="GG35" s="640"/>
      <c r="GH35" s="640"/>
      <c r="GI35" s="640"/>
      <c r="GJ35" s="640"/>
      <c r="GK35" s="640"/>
      <c r="GL35" s="640"/>
      <c r="GM35" s="640"/>
      <c r="GN35" s="640"/>
      <c r="GO35" s="640"/>
      <c r="GP35" s="640"/>
      <c r="GQ35" s="640"/>
      <c r="GR35" s="640"/>
    </row>
    <row r="36" spans="1:200" s="641" customFormat="1" ht="12" customHeight="1" outlineLevel="2" x14ac:dyDescent="0.2">
      <c r="A36" s="636" t="s">
        <v>4029</v>
      </c>
      <c r="B36" s="636" t="s">
        <v>2500</v>
      </c>
      <c r="C36" s="597"/>
      <c r="D36" s="1538"/>
      <c r="E36" s="642"/>
      <c r="F36" s="642"/>
      <c r="G36" s="1517">
        <v>4</v>
      </c>
      <c r="H36" s="1517"/>
      <c r="I36" s="1517"/>
      <c r="J36" s="1517" t="s">
        <v>2329</v>
      </c>
      <c r="K36" s="1518"/>
      <c r="L36" s="1518"/>
      <c r="M36" s="635"/>
      <c r="N36" s="639"/>
      <c r="O36" s="639"/>
      <c r="P36" s="639"/>
      <c r="Q36" s="639"/>
      <c r="R36" s="639"/>
      <c r="S36" s="639"/>
      <c r="T36" s="639"/>
      <c r="U36" s="639"/>
      <c r="V36" s="639"/>
      <c r="W36" s="639"/>
      <c r="X36" s="639"/>
      <c r="Y36" s="639"/>
      <c r="Z36" s="639"/>
      <c r="AA36">
        <f>IF(AND('12 Ext'!C36&gt;Tmin, NOT('12 Ext'!$I36="")),'12 Ext'!$I36,0)</f>
        <v>0</v>
      </c>
      <c r="AB36">
        <f>IF(AND('12 Ext'!D36&gt;Tmin, NOT('12 Ext'!$I36="")),'12 Ext'!$I36,0)</f>
        <v>0</v>
      </c>
      <c r="AC36">
        <f>IF(AND('12 Ext'!E36&gt;Tmin, NOT('12 Ext'!$I36="")),'12 Ext'!$I36,0)</f>
        <v>0</v>
      </c>
      <c r="AD36">
        <f>IF(AND('12 Ext'!F36&gt;Tmin, NOT('12 Ext'!$I36="")),'12 Ext'!$I36,0)</f>
        <v>0</v>
      </c>
      <c r="AE36">
        <f>IF(AND('12 Ext'!C36&lt;Tmax, NOT('12 Ext'!$H36="")),'12 Ext'!$H36,4)</f>
        <v>4</v>
      </c>
      <c r="AF36">
        <f>IF(AND('12 Ext'!D36&lt;Tmax, NOT('12 Ext'!$H36="")),'12 Ext'!$H36,4)</f>
        <v>4</v>
      </c>
      <c r="AG36">
        <f>IF(AND('12 Ext'!E36&lt;Tmax, NOT('12 Ext'!$H36="")),'12 Ext'!$H36,4)</f>
        <v>4</v>
      </c>
      <c r="AH36">
        <f>IF(AND('12 Ext'!F36&lt;Tmax, NOT('12 Ext'!$H36="")),'12 Ext'!$H36,4)</f>
        <v>4</v>
      </c>
      <c r="AI36"/>
      <c r="AJ36" s="640"/>
      <c r="AK36" s="640"/>
      <c r="AL36" s="640"/>
      <c r="AM36" s="640"/>
      <c r="AN36" s="640"/>
      <c r="AO36" s="640"/>
      <c r="AP36" s="640"/>
      <c r="AQ36" s="640"/>
      <c r="AR36" s="640"/>
      <c r="AS36" s="640"/>
      <c r="AT36" s="640"/>
      <c r="AU36" s="640"/>
      <c r="AV36" s="640"/>
      <c r="AW36" s="640"/>
      <c r="AX36" s="640"/>
      <c r="AY36" s="640"/>
      <c r="AZ36" s="640"/>
      <c r="BA36" s="640"/>
      <c r="BB36" s="640"/>
      <c r="BC36" s="640"/>
      <c r="BD36" s="640"/>
      <c r="BE36" s="640"/>
      <c r="BF36" s="640"/>
      <c r="BG36" s="640"/>
      <c r="BH36" s="640"/>
      <c r="BI36" s="640"/>
      <c r="BJ36" s="640"/>
      <c r="BK36" s="640"/>
      <c r="BL36" s="640"/>
      <c r="BM36" s="640"/>
      <c r="BN36" s="640"/>
      <c r="BO36" s="640"/>
      <c r="BP36" s="640"/>
      <c r="BQ36" s="640"/>
      <c r="BR36" s="640"/>
      <c r="BS36" s="640"/>
      <c r="BT36" s="640"/>
      <c r="BU36" s="640"/>
      <c r="BV36" s="640"/>
      <c r="BW36" s="640"/>
      <c r="BX36" s="640"/>
      <c r="BY36" s="640"/>
      <c r="BZ36" s="640"/>
      <c r="CA36" s="640"/>
      <c r="CB36" s="640"/>
      <c r="CC36" s="640"/>
      <c r="CD36" s="640"/>
      <c r="CE36" s="640"/>
      <c r="CF36" s="640"/>
      <c r="CG36" s="640"/>
      <c r="CH36" s="640"/>
      <c r="CI36" s="640"/>
      <c r="CJ36" s="640"/>
      <c r="CK36" s="640"/>
      <c r="CL36" s="640"/>
      <c r="CM36" s="640"/>
      <c r="CN36" s="640"/>
      <c r="CO36" s="640"/>
      <c r="CP36" s="640"/>
      <c r="CQ36" s="640"/>
      <c r="CR36" s="640"/>
      <c r="CS36" s="640"/>
      <c r="CT36" s="640"/>
      <c r="CU36" s="640"/>
      <c r="CV36" s="640"/>
      <c r="CW36" s="640"/>
      <c r="CX36" s="640"/>
      <c r="CY36" s="640"/>
      <c r="CZ36" s="640"/>
      <c r="DA36" s="640"/>
      <c r="DB36" s="640"/>
      <c r="DC36" s="640"/>
      <c r="DD36" s="640"/>
      <c r="DE36" s="640"/>
      <c r="DF36" s="640"/>
      <c r="DG36" s="640"/>
      <c r="DH36" s="640"/>
      <c r="DI36" s="640"/>
      <c r="DJ36" s="640"/>
      <c r="DK36" s="640"/>
      <c r="DL36" s="640"/>
      <c r="DM36" s="640"/>
      <c r="DN36" s="640"/>
      <c r="DO36" s="640"/>
      <c r="DP36" s="640"/>
      <c r="DQ36" s="640"/>
      <c r="DR36" s="640"/>
      <c r="DS36" s="640"/>
      <c r="DT36" s="640"/>
      <c r="DU36" s="640"/>
      <c r="DV36" s="640"/>
      <c r="DW36" s="640"/>
      <c r="DX36" s="640"/>
      <c r="DY36" s="640"/>
      <c r="DZ36" s="640"/>
      <c r="EA36" s="640"/>
      <c r="EB36" s="640"/>
      <c r="EC36" s="640"/>
      <c r="ED36" s="640"/>
      <c r="EE36" s="640"/>
      <c r="EF36" s="640"/>
      <c r="EG36" s="640"/>
      <c r="EH36" s="640"/>
      <c r="EI36" s="640"/>
      <c r="EJ36" s="640"/>
      <c r="EK36" s="640"/>
      <c r="EL36" s="640"/>
      <c r="EM36" s="640"/>
      <c r="EN36" s="640"/>
      <c r="EO36" s="640"/>
      <c r="EP36" s="640"/>
      <c r="EQ36" s="640"/>
      <c r="ER36" s="640"/>
      <c r="ES36" s="640"/>
      <c r="ET36" s="640"/>
      <c r="EU36" s="640"/>
      <c r="EV36" s="640"/>
      <c r="EW36" s="640"/>
      <c r="EX36" s="640"/>
      <c r="EY36" s="640"/>
      <c r="EZ36" s="640"/>
      <c r="FA36" s="640"/>
      <c r="FB36" s="640"/>
      <c r="FC36" s="640"/>
      <c r="FD36" s="640"/>
      <c r="FE36" s="640"/>
      <c r="FF36" s="640"/>
      <c r="FG36" s="640"/>
      <c r="FH36" s="640"/>
      <c r="FI36" s="640"/>
      <c r="FJ36" s="640"/>
      <c r="FK36" s="640"/>
      <c r="FL36" s="640"/>
      <c r="FM36" s="640"/>
      <c r="FN36" s="640"/>
      <c r="FO36" s="640"/>
      <c r="FP36" s="640"/>
      <c r="FQ36" s="640"/>
      <c r="FR36" s="640"/>
      <c r="FS36" s="640"/>
      <c r="FT36" s="640"/>
      <c r="FU36" s="640"/>
      <c r="FV36" s="640"/>
      <c r="FW36" s="640"/>
      <c r="FX36" s="640"/>
      <c r="FY36" s="640"/>
      <c r="FZ36" s="640"/>
      <c r="GA36" s="640"/>
      <c r="GB36" s="640"/>
      <c r="GC36" s="640"/>
      <c r="GD36" s="640"/>
      <c r="GE36" s="640"/>
      <c r="GF36" s="640"/>
      <c r="GG36" s="640"/>
      <c r="GH36" s="640"/>
      <c r="GI36" s="640"/>
      <c r="GJ36" s="640"/>
      <c r="GK36" s="640"/>
      <c r="GL36" s="640"/>
      <c r="GM36" s="640"/>
      <c r="GN36" s="640"/>
      <c r="GO36" s="640"/>
      <c r="GP36" s="640"/>
      <c r="GQ36" s="640"/>
      <c r="GR36" s="640"/>
    </row>
    <row r="37" spans="1:200" s="641" customFormat="1" outlineLevel="2" x14ac:dyDescent="0.2">
      <c r="A37" s="636" t="s">
        <v>4030</v>
      </c>
      <c r="B37" s="636" t="s">
        <v>4607</v>
      </c>
      <c r="C37" s="597"/>
      <c r="D37" s="1538"/>
      <c r="E37" s="642"/>
      <c r="F37" s="642"/>
      <c r="G37" s="1517">
        <v>2</v>
      </c>
      <c r="H37" s="1517">
        <v>3</v>
      </c>
      <c r="I37" s="1517"/>
      <c r="J37" s="1517" t="s">
        <v>2109</v>
      </c>
      <c r="K37" s="1518"/>
      <c r="L37" s="1518"/>
      <c r="M37" s="635"/>
      <c r="N37" s="639"/>
      <c r="O37" s="639"/>
      <c r="P37" s="639"/>
      <c r="Q37" s="639"/>
      <c r="R37" s="639"/>
      <c r="S37" s="639"/>
      <c r="T37" s="639"/>
      <c r="U37" s="639"/>
      <c r="V37" s="639"/>
      <c r="W37" s="639"/>
      <c r="X37" s="639"/>
      <c r="Y37" s="639"/>
      <c r="Z37" s="639"/>
      <c r="AA37">
        <f>IF(AND('12 Ext'!C37&gt;Tmin, NOT('12 Ext'!$I37="")),'12 Ext'!$I37,0)</f>
        <v>0</v>
      </c>
      <c r="AB37">
        <f>IF(AND('12 Ext'!D37&gt;Tmin, NOT('12 Ext'!$I37="")),'12 Ext'!$I37,0)</f>
        <v>0</v>
      </c>
      <c r="AC37">
        <f>IF(AND('12 Ext'!E37&gt;Tmin, NOT('12 Ext'!$I37="")),'12 Ext'!$I37,0)</f>
        <v>0</v>
      </c>
      <c r="AD37">
        <f>IF(AND('12 Ext'!F37&gt;Tmin, NOT('12 Ext'!$I37="")),'12 Ext'!$I37,0)</f>
        <v>0</v>
      </c>
      <c r="AE37">
        <f>IF(AND('12 Ext'!C37&lt;Tmax, NOT('12 Ext'!$H37="")),'12 Ext'!$H37,4)</f>
        <v>3</v>
      </c>
      <c r="AF37">
        <f>IF(AND('12 Ext'!D37&lt;Tmax, NOT('12 Ext'!$H37="")),'12 Ext'!$H37,4)</f>
        <v>3</v>
      </c>
      <c r="AG37">
        <f>IF(AND('12 Ext'!E37&lt;Tmax, NOT('12 Ext'!$H37="")),'12 Ext'!$H37,4)</f>
        <v>3</v>
      </c>
      <c r="AH37">
        <f>IF(AND('12 Ext'!F37&lt;Tmax, NOT('12 Ext'!$H37="")),'12 Ext'!$H37,4)</f>
        <v>3</v>
      </c>
      <c r="AI37"/>
      <c r="AJ37" s="640"/>
      <c r="AK37" s="640"/>
      <c r="AL37" s="640"/>
      <c r="AM37" s="640"/>
      <c r="AN37" s="640"/>
      <c r="AO37" s="640"/>
      <c r="AP37" s="640"/>
      <c r="AQ37" s="640"/>
      <c r="AR37" s="640"/>
      <c r="AS37" s="640"/>
      <c r="AT37" s="640"/>
      <c r="AU37" s="640"/>
      <c r="AV37" s="640"/>
      <c r="AW37" s="640"/>
      <c r="AX37" s="640"/>
      <c r="AY37" s="640"/>
      <c r="AZ37" s="640"/>
      <c r="BA37" s="640"/>
      <c r="BB37" s="640"/>
      <c r="BC37" s="640"/>
      <c r="BD37" s="640"/>
      <c r="BE37" s="640"/>
      <c r="BF37" s="640"/>
      <c r="BG37" s="640"/>
      <c r="BH37" s="640"/>
      <c r="BI37" s="640"/>
      <c r="BJ37" s="640"/>
      <c r="BK37" s="640"/>
      <c r="BL37" s="640"/>
      <c r="BM37" s="640"/>
      <c r="BN37" s="640"/>
      <c r="BO37" s="640"/>
      <c r="BP37" s="640"/>
      <c r="BQ37" s="640"/>
      <c r="BR37" s="640"/>
      <c r="BS37" s="640"/>
      <c r="BT37" s="640"/>
      <c r="BU37" s="640"/>
      <c r="BV37" s="640"/>
      <c r="BW37" s="640"/>
      <c r="BX37" s="640"/>
      <c r="BY37" s="640"/>
      <c r="BZ37" s="640"/>
      <c r="CA37" s="640"/>
      <c r="CB37" s="640"/>
      <c r="CC37" s="640"/>
      <c r="CD37" s="640"/>
      <c r="CE37" s="640"/>
      <c r="CF37" s="640"/>
      <c r="CG37" s="640"/>
      <c r="CH37" s="640"/>
      <c r="CI37" s="640"/>
      <c r="CJ37" s="640"/>
      <c r="CK37" s="640"/>
      <c r="CL37" s="640"/>
      <c r="CM37" s="640"/>
      <c r="CN37" s="640"/>
      <c r="CO37" s="640"/>
      <c r="CP37" s="640"/>
      <c r="CQ37" s="640"/>
      <c r="CR37" s="640"/>
      <c r="CS37" s="640"/>
      <c r="CT37" s="640"/>
      <c r="CU37" s="640"/>
      <c r="CV37" s="640"/>
      <c r="CW37" s="640"/>
      <c r="CX37" s="640"/>
      <c r="CY37" s="640"/>
      <c r="CZ37" s="640"/>
      <c r="DA37" s="640"/>
      <c r="DB37" s="640"/>
      <c r="DC37" s="640"/>
      <c r="DD37" s="640"/>
      <c r="DE37" s="640"/>
      <c r="DF37" s="640"/>
      <c r="DG37" s="640"/>
      <c r="DH37" s="640"/>
      <c r="DI37" s="640"/>
      <c r="DJ37" s="640"/>
      <c r="DK37" s="640"/>
      <c r="DL37" s="640"/>
      <c r="DM37" s="640"/>
      <c r="DN37" s="640"/>
      <c r="DO37" s="640"/>
      <c r="DP37" s="640"/>
      <c r="DQ37" s="640"/>
      <c r="DR37" s="640"/>
      <c r="DS37" s="640"/>
      <c r="DT37" s="640"/>
      <c r="DU37" s="640"/>
      <c r="DV37" s="640"/>
      <c r="DW37" s="640"/>
      <c r="DX37" s="640"/>
      <c r="DY37" s="640"/>
      <c r="DZ37" s="640"/>
      <c r="EA37" s="640"/>
      <c r="EB37" s="640"/>
      <c r="EC37" s="640"/>
      <c r="ED37" s="640"/>
      <c r="EE37" s="640"/>
      <c r="EF37" s="640"/>
      <c r="EG37" s="640"/>
      <c r="EH37" s="640"/>
      <c r="EI37" s="640"/>
      <c r="EJ37" s="640"/>
      <c r="EK37" s="640"/>
      <c r="EL37" s="640"/>
      <c r="EM37" s="640"/>
      <c r="EN37" s="640"/>
      <c r="EO37" s="640"/>
      <c r="EP37" s="640"/>
      <c r="EQ37" s="640"/>
      <c r="ER37" s="640"/>
      <c r="ES37" s="640"/>
      <c r="ET37" s="640"/>
      <c r="EU37" s="640"/>
      <c r="EV37" s="640"/>
      <c r="EW37" s="640"/>
      <c r="EX37" s="640"/>
      <c r="EY37" s="640"/>
      <c r="EZ37" s="640"/>
      <c r="FA37" s="640"/>
      <c r="FB37" s="640"/>
      <c r="FC37" s="640"/>
      <c r="FD37" s="640"/>
      <c r="FE37" s="640"/>
      <c r="FF37" s="640"/>
      <c r="FG37" s="640"/>
      <c r="FH37" s="640"/>
      <c r="FI37" s="640"/>
      <c r="FJ37" s="640"/>
      <c r="FK37" s="640"/>
      <c r="FL37" s="640"/>
      <c r="FM37" s="640"/>
      <c r="FN37" s="640"/>
      <c r="FO37" s="640"/>
      <c r="FP37" s="640"/>
      <c r="FQ37" s="640"/>
      <c r="FR37" s="640"/>
      <c r="FS37" s="640"/>
      <c r="FT37" s="640"/>
      <c r="FU37" s="640"/>
      <c r="FV37" s="640"/>
      <c r="FW37" s="640"/>
      <c r="FX37" s="640"/>
      <c r="FY37" s="640"/>
      <c r="FZ37" s="640"/>
      <c r="GA37" s="640"/>
      <c r="GB37" s="640"/>
      <c r="GC37" s="640"/>
      <c r="GD37" s="640"/>
      <c r="GE37" s="640"/>
      <c r="GF37" s="640"/>
      <c r="GG37" s="640"/>
      <c r="GH37" s="640"/>
      <c r="GI37" s="640"/>
      <c r="GJ37" s="640"/>
      <c r="GK37" s="640"/>
      <c r="GL37" s="640"/>
      <c r="GM37" s="640"/>
      <c r="GN37" s="640"/>
      <c r="GO37" s="640"/>
      <c r="GP37" s="640"/>
      <c r="GQ37" s="640"/>
      <c r="GR37" s="640"/>
    </row>
    <row r="38" spans="1:200" s="641" customFormat="1" outlineLevel="1" x14ac:dyDescent="0.2">
      <c r="A38" s="633" t="s">
        <v>4031</v>
      </c>
      <c r="B38" s="634" t="s">
        <v>3716</v>
      </c>
      <c r="C38" s="597"/>
      <c r="D38" s="1538"/>
      <c r="E38" s="642"/>
      <c r="F38" s="642"/>
      <c r="G38" s="1517"/>
      <c r="H38" s="1517"/>
      <c r="I38" s="1517"/>
      <c r="J38" s="1517"/>
      <c r="K38" s="1518"/>
      <c r="L38" s="1518"/>
      <c r="M38" s="635"/>
      <c r="N38" s="639"/>
      <c r="O38" s="639"/>
      <c r="P38" s="639"/>
      <c r="Q38" s="639"/>
      <c r="R38" s="639"/>
      <c r="S38" s="639"/>
      <c r="T38" s="639"/>
      <c r="U38" s="639"/>
      <c r="V38" s="639"/>
      <c r="W38" s="639"/>
      <c r="X38" s="639"/>
      <c r="Y38" s="639"/>
      <c r="Z38" s="639"/>
      <c r="AA38"/>
      <c r="AB38"/>
      <c r="AC38"/>
      <c r="AD38"/>
      <c r="AE38"/>
      <c r="AF38"/>
      <c r="AG38"/>
      <c r="AH38"/>
      <c r="AI38"/>
      <c r="AJ38" s="640"/>
      <c r="AK38" s="640"/>
      <c r="AL38" s="640"/>
      <c r="AM38" s="640"/>
      <c r="AN38" s="640"/>
      <c r="AO38" s="640"/>
      <c r="AP38" s="640"/>
      <c r="AQ38" s="640"/>
      <c r="AR38" s="640"/>
      <c r="AS38" s="640"/>
      <c r="AT38" s="640"/>
      <c r="AU38" s="640"/>
      <c r="AV38" s="640"/>
      <c r="AW38" s="640"/>
      <c r="AX38" s="640"/>
      <c r="AY38" s="640"/>
      <c r="AZ38" s="640"/>
      <c r="BA38" s="640"/>
      <c r="BB38" s="640"/>
      <c r="BC38" s="640"/>
      <c r="BD38" s="640"/>
      <c r="BE38" s="640"/>
      <c r="BF38" s="640"/>
      <c r="BG38" s="640"/>
      <c r="BH38" s="640"/>
      <c r="BI38" s="640"/>
      <c r="BJ38" s="640"/>
      <c r="BK38" s="640"/>
      <c r="BL38" s="640"/>
      <c r="BM38" s="640"/>
      <c r="BN38" s="640"/>
      <c r="BO38" s="640"/>
      <c r="BP38" s="640"/>
      <c r="BQ38" s="640"/>
      <c r="BR38" s="640"/>
      <c r="BS38" s="640"/>
      <c r="BT38" s="640"/>
      <c r="BU38" s="640"/>
      <c r="BV38" s="640"/>
      <c r="BW38" s="640"/>
      <c r="BX38" s="640"/>
      <c r="BY38" s="640"/>
      <c r="BZ38" s="640"/>
      <c r="CA38" s="640"/>
      <c r="CB38" s="640"/>
      <c r="CC38" s="640"/>
      <c r="CD38" s="640"/>
      <c r="CE38" s="640"/>
      <c r="CF38" s="640"/>
      <c r="CG38" s="640"/>
      <c r="CH38" s="640"/>
      <c r="CI38" s="640"/>
      <c r="CJ38" s="640"/>
      <c r="CK38" s="640"/>
      <c r="CL38" s="640"/>
      <c r="CM38" s="640"/>
      <c r="CN38" s="640"/>
      <c r="CO38" s="640"/>
      <c r="CP38" s="640"/>
      <c r="CQ38" s="640"/>
      <c r="CR38" s="640"/>
      <c r="CS38" s="640"/>
      <c r="CT38" s="640"/>
      <c r="CU38" s="640"/>
      <c r="CV38" s="640"/>
      <c r="CW38" s="640"/>
      <c r="CX38" s="640"/>
      <c r="CY38" s="640"/>
      <c r="CZ38" s="640"/>
      <c r="DA38" s="640"/>
      <c r="DB38" s="640"/>
      <c r="DC38" s="640"/>
      <c r="DD38" s="640"/>
      <c r="DE38" s="640"/>
      <c r="DF38" s="640"/>
      <c r="DG38" s="640"/>
      <c r="DH38" s="640"/>
      <c r="DI38" s="640"/>
      <c r="DJ38" s="640"/>
      <c r="DK38" s="640"/>
      <c r="DL38" s="640"/>
      <c r="DM38" s="640"/>
      <c r="DN38" s="640"/>
      <c r="DO38" s="640"/>
      <c r="DP38" s="640"/>
      <c r="DQ38" s="640"/>
      <c r="DR38" s="640"/>
      <c r="DS38" s="640"/>
      <c r="DT38" s="640"/>
      <c r="DU38" s="640"/>
      <c r="DV38" s="640"/>
      <c r="DW38" s="640"/>
      <c r="DX38" s="640"/>
      <c r="DY38" s="640"/>
      <c r="DZ38" s="640"/>
      <c r="EA38" s="640"/>
      <c r="EB38" s="640"/>
      <c r="EC38" s="640"/>
      <c r="ED38" s="640"/>
      <c r="EE38" s="640"/>
      <c r="EF38" s="640"/>
      <c r="EG38" s="640"/>
      <c r="EH38" s="640"/>
      <c r="EI38" s="640"/>
      <c r="EJ38" s="640"/>
      <c r="EK38" s="640"/>
      <c r="EL38" s="640"/>
      <c r="EM38" s="640"/>
      <c r="EN38" s="640"/>
      <c r="EO38" s="640"/>
      <c r="EP38" s="640"/>
      <c r="EQ38" s="640"/>
      <c r="ER38" s="640"/>
      <c r="ES38" s="640"/>
      <c r="ET38" s="640"/>
      <c r="EU38" s="640"/>
      <c r="EV38" s="640"/>
      <c r="EW38" s="640"/>
      <c r="EX38" s="640"/>
      <c r="EY38" s="640"/>
      <c r="EZ38" s="640"/>
      <c r="FA38" s="640"/>
      <c r="FB38" s="640"/>
      <c r="FC38" s="640"/>
      <c r="FD38" s="640"/>
      <c r="FE38" s="640"/>
      <c r="FF38" s="640"/>
      <c r="FG38" s="640"/>
      <c r="FH38" s="640"/>
      <c r="FI38" s="640"/>
      <c r="FJ38" s="640"/>
      <c r="FK38" s="640"/>
      <c r="FL38" s="640"/>
      <c r="FM38" s="640"/>
      <c r="FN38" s="640"/>
      <c r="FO38" s="640"/>
      <c r="FP38" s="640"/>
      <c r="FQ38" s="640"/>
      <c r="FR38" s="640"/>
      <c r="FS38" s="640"/>
      <c r="FT38" s="640"/>
      <c r="FU38" s="640"/>
      <c r="FV38" s="640"/>
      <c r="FW38" s="640"/>
      <c r="FX38" s="640"/>
      <c r="FY38" s="640"/>
      <c r="FZ38" s="640"/>
      <c r="GA38" s="640"/>
      <c r="GB38" s="640"/>
      <c r="GC38" s="640"/>
      <c r="GD38" s="640"/>
      <c r="GE38" s="640"/>
      <c r="GF38" s="640"/>
      <c r="GG38" s="640"/>
      <c r="GH38" s="640"/>
      <c r="GI38" s="640"/>
      <c r="GJ38" s="640"/>
      <c r="GK38" s="640"/>
      <c r="GL38" s="640"/>
      <c r="GM38" s="640"/>
      <c r="GN38" s="640"/>
      <c r="GO38" s="640"/>
      <c r="GP38" s="640"/>
      <c r="GQ38" s="640"/>
      <c r="GR38" s="640"/>
    </row>
    <row r="39" spans="1:200" s="641" customFormat="1" ht="13.5" customHeight="1" outlineLevel="2" x14ac:dyDescent="0.2">
      <c r="A39" s="636" t="s">
        <v>4032</v>
      </c>
      <c r="B39" s="636" t="s">
        <v>1279</v>
      </c>
      <c r="C39" s="597"/>
      <c r="D39" s="1538"/>
      <c r="E39" s="642"/>
      <c r="F39" s="642"/>
      <c r="G39" s="1517">
        <v>2</v>
      </c>
      <c r="H39" s="1517"/>
      <c r="I39" s="1517">
        <v>2</v>
      </c>
      <c r="J39" s="1517" t="s">
        <v>1592</v>
      </c>
      <c r="K39" s="1518"/>
      <c r="L39" s="1518" t="s">
        <v>7330</v>
      </c>
      <c r="M39" s="635"/>
      <c r="N39" s="639"/>
      <c r="O39" s="639"/>
      <c r="P39" s="639"/>
      <c r="Q39" s="639"/>
      <c r="R39" s="639"/>
      <c r="S39" s="639"/>
      <c r="T39" s="639"/>
      <c r="U39" s="639"/>
      <c r="V39" s="639"/>
      <c r="W39" s="639"/>
      <c r="X39" s="639"/>
      <c r="Y39" s="639"/>
      <c r="Z39" s="639"/>
      <c r="AA39">
        <f>IF(AND('12 Ext'!C39&gt;Tmin, NOT('12 Ext'!$I39="")),'12 Ext'!$I39,0)</f>
        <v>0</v>
      </c>
      <c r="AB39">
        <f>IF(AND('12 Ext'!D39&gt;Tmin, NOT('12 Ext'!$I39="")),'12 Ext'!$I39,0)</f>
        <v>0</v>
      </c>
      <c r="AC39">
        <f>IF(AND('12 Ext'!E39&gt;Tmin, NOT('12 Ext'!$I39="")),'12 Ext'!$I39,0)</f>
        <v>0</v>
      </c>
      <c r="AD39">
        <f>IF(AND('12 Ext'!F39&gt;Tmin, NOT('12 Ext'!$I39="")),'12 Ext'!$I39,0)</f>
        <v>0</v>
      </c>
      <c r="AE39">
        <f>IF(AND('12 Ext'!C39&lt;Tmax, NOT('12 Ext'!$H39="")),'12 Ext'!$H39,4)</f>
        <v>4</v>
      </c>
      <c r="AF39">
        <f>IF(AND('12 Ext'!D39&lt;Tmax, NOT('12 Ext'!$H39="")),'12 Ext'!$H39,4)</f>
        <v>4</v>
      </c>
      <c r="AG39">
        <f>IF(AND('12 Ext'!E39&lt;Tmax, NOT('12 Ext'!$H39="")),'12 Ext'!$H39,4)</f>
        <v>4</v>
      </c>
      <c r="AH39">
        <f>IF(AND('12 Ext'!F39&lt;Tmax, NOT('12 Ext'!$H39="")),'12 Ext'!$H39,4)</f>
        <v>4</v>
      </c>
      <c r="AI39"/>
      <c r="AJ39" s="640"/>
      <c r="AK39" s="640"/>
      <c r="AL39" s="640"/>
      <c r="AM39" s="640"/>
      <c r="AN39" s="640"/>
      <c r="AO39" s="640"/>
      <c r="AP39" s="640"/>
      <c r="AQ39" s="640"/>
      <c r="AR39" s="640"/>
      <c r="AS39" s="640"/>
      <c r="AT39" s="640"/>
      <c r="AU39" s="640"/>
      <c r="AV39" s="640"/>
      <c r="AW39" s="640"/>
      <c r="AX39" s="640"/>
      <c r="AY39" s="640"/>
      <c r="AZ39" s="640"/>
      <c r="BA39" s="640"/>
      <c r="BB39" s="640"/>
      <c r="BC39" s="640"/>
      <c r="BD39" s="640"/>
      <c r="BE39" s="640"/>
      <c r="BF39" s="640"/>
      <c r="BG39" s="640"/>
      <c r="BH39" s="640"/>
      <c r="BI39" s="640"/>
      <c r="BJ39" s="640"/>
      <c r="BK39" s="640"/>
      <c r="BL39" s="640"/>
      <c r="BM39" s="640"/>
      <c r="BN39" s="640"/>
      <c r="BO39" s="640"/>
      <c r="BP39" s="640"/>
      <c r="BQ39" s="640"/>
      <c r="BR39" s="640"/>
      <c r="BS39" s="640"/>
      <c r="BT39" s="640"/>
      <c r="BU39" s="640"/>
      <c r="BV39" s="640"/>
      <c r="BW39" s="640"/>
      <c r="BX39" s="640"/>
      <c r="BY39" s="640"/>
      <c r="BZ39" s="640"/>
      <c r="CA39" s="640"/>
      <c r="CB39" s="640"/>
      <c r="CC39" s="640"/>
      <c r="CD39" s="640"/>
      <c r="CE39" s="640"/>
      <c r="CF39" s="640"/>
      <c r="CG39" s="640"/>
      <c r="CH39" s="640"/>
      <c r="CI39" s="640"/>
      <c r="CJ39" s="640"/>
      <c r="CK39" s="640"/>
      <c r="CL39" s="640"/>
      <c r="CM39" s="640"/>
      <c r="CN39" s="640"/>
      <c r="CO39" s="640"/>
      <c r="CP39" s="640"/>
      <c r="CQ39" s="640"/>
      <c r="CR39" s="640"/>
      <c r="CS39" s="640"/>
      <c r="CT39" s="640"/>
      <c r="CU39" s="640"/>
      <c r="CV39" s="640"/>
      <c r="CW39" s="640"/>
      <c r="CX39" s="640"/>
      <c r="CY39" s="640"/>
      <c r="CZ39" s="640"/>
      <c r="DA39" s="640"/>
      <c r="DB39" s="640"/>
      <c r="DC39" s="640"/>
      <c r="DD39" s="640"/>
      <c r="DE39" s="640"/>
      <c r="DF39" s="640"/>
      <c r="DG39" s="640"/>
      <c r="DH39" s="640"/>
      <c r="DI39" s="640"/>
      <c r="DJ39" s="640"/>
      <c r="DK39" s="640"/>
      <c r="DL39" s="640"/>
      <c r="DM39" s="640"/>
      <c r="DN39" s="640"/>
      <c r="DO39" s="640"/>
      <c r="DP39" s="640"/>
      <c r="DQ39" s="640"/>
      <c r="DR39" s="640"/>
      <c r="DS39" s="640"/>
      <c r="DT39" s="640"/>
      <c r="DU39" s="640"/>
      <c r="DV39" s="640"/>
      <c r="DW39" s="640"/>
      <c r="DX39" s="640"/>
      <c r="DY39" s="640"/>
      <c r="DZ39" s="640"/>
      <c r="EA39" s="640"/>
      <c r="EB39" s="640"/>
      <c r="EC39" s="640"/>
      <c r="ED39" s="640"/>
      <c r="EE39" s="640"/>
      <c r="EF39" s="640"/>
      <c r="EG39" s="640"/>
      <c r="EH39" s="640"/>
      <c r="EI39" s="640"/>
      <c r="EJ39" s="640"/>
      <c r="EK39" s="640"/>
      <c r="EL39" s="640"/>
      <c r="EM39" s="640"/>
      <c r="EN39" s="640"/>
      <c r="EO39" s="640"/>
      <c r="EP39" s="640"/>
      <c r="EQ39" s="640"/>
      <c r="ER39" s="640"/>
      <c r="ES39" s="640"/>
      <c r="ET39" s="640"/>
      <c r="EU39" s="640"/>
      <c r="EV39" s="640"/>
      <c r="EW39" s="640"/>
      <c r="EX39" s="640"/>
      <c r="EY39" s="640"/>
      <c r="EZ39" s="640"/>
      <c r="FA39" s="640"/>
      <c r="FB39" s="640"/>
      <c r="FC39" s="640"/>
      <c r="FD39" s="640"/>
      <c r="FE39" s="640"/>
      <c r="FF39" s="640"/>
      <c r="FG39" s="640"/>
      <c r="FH39" s="640"/>
      <c r="FI39" s="640"/>
      <c r="FJ39" s="640"/>
      <c r="FK39" s="640"/>
      <c r="FL39" s="640"/>
      <c r="FM39" s="640"/>
      <c r="FN39" s="640"/>
      <c r="FO39" s="640"/>
      <c r="FP39" s="640"/>
      <c r="FQ39" s="640"/>
      <c r="FR39" s="640"/>
      <c r="FS39" s="640"/>
      <c r="FT39" s="640"/>
      <c r="FU39" s="640"/>
      <c r="FV39" s="640"/>
      <c r="FW39" s="640"/>
      <c r="FX39" s="640"/>
      <c r="FY39" s="640"/>
      <c r="FZ39" s="640"/>
      <c r="GA39" s="640"/>
      <c r="GB39" s="640"/>
      <c r="GC39" s="640"/>
      <c r="GD39" s="640"/>
      <c r="GE39" s="640"/>
      <c r="GF39" s="640"/>
      <c r="GG39" s="640"/>
      <c r="GH39" s="640"/>
      <c r="GI39" s="640"/>
      <c r="GJ39" s="640"/>
      <c r="GK39" s="640"/>
      <c r="GL39" s="640"/>
      <c r="GM39" s="640"/>
      <c r="GN39" s="640"/>
      <c r="GO39" s="640"/>
      <c r="GP39" s="640"/>
      <c r="GQ39" s="640"/>
      <c r="GR39" s="640"/>
    </row>
    <row r="40" spans="1:200" s="641" customFormat="1" ht="13.5" customHeight="1" outlineLevel="2" x14ac:dyDescent="0.2">
      <c r="A40" s="636" t="s">
        <v>4033</v>
      </c>
      <c r="B40" s="636" t="s">
        <v>1281</v>
      </c>
      <c r="C40" s="597"/>
      <c r="D40" s="1538"/>
      <c r="E40" s="642"/>
      <c r="F40" s="642"/>
      <c r="G40" s="1517">
        <v>4</v>
      </c>
      <c r="H40" s="1517"/>
      <c r="I40" s="1517">
        <v>2</v>
      </c>
      <c r="J40" s="1517" t="s">
        <v>1592</v>
      </c>
      <c r="K40" s="1518"/>
      <c r="L40" s="1518" t="s">
        <v>7330</v>
      </c>
      <c r="M40" s="635"/>
      <c r="N40" s="639"/>
      <c r="O40" s="639"/>
      <c r="P40" s="639"/>
      <c r="Q40" s="639"/>
      <c r="R40" s="639"/>
      <c r="S40" s="639"/>
      <c r="T40" s="639"/>
      <c r="U40" s="639"/>
      <c r="V40" s="639"/>
      <c r="W40" s="639"/>
      <c r="X40" s="639"/>
      <c r="Y40" s="639"/>
      <c r="Z40" s="639"/>
      <c r="AA40">
        <f>IF(AND('12 Ext'!C40&gt;Tmin, NOT('12 Ext'!$I40="")),'12 Ext'!$I40,0)</f>
        <v>0</v>
      </c>
      <c r="AB40">
        <f>IF(AND('12 Ext'!D40&gt;Tmin, NOT('12 Ext'!$I40="")),'12 Ext'!$I40,0)</f>
        <v>0</v>
      </c>
      <c r="AC40">
        <f>IF(AND('12 Ext'!E40&gt;Tmin, NOT('12 Ext'!$I40="")),'12 Ext'!$I40,0)</f>
        <v>0</v>
      </c>
      <c r="AD40">
        <f>IF(AND('12 Ext'!F40&gt;Tmin, NOT('12 Ext'!$I40="")),'12 Ext'!$I40,0)</f>
        <v>0</v>
      </c>
      <c r="AE40">
        <f>IF(AND('12 Ext'!C40&lt;Tmax, NOT('12 Ext'!$H40="")),'12 Ext'!$H40,4)</f>
        <v>4</v>
      </c>
      <c r="AF40">
        <f>IF(AND('12 Ext'!D40&lt;Tmax, NOT('12 Ext'!$H40="")),'12 Ext'!$H40,4)</f>
        <v>4</v>
      </c>
      <c r="AG40">
        <f>IF(AND('12 Ext'!E40&lt;Tmax, NOT('12 Ext'!$H40="")),'12 Ext'!$H40,4)</f>
        <v>4</v>
      </c>
      <c r="AH40">
        <f>IF(AND('12 Ext'!F40&lt;Tmax, NOT('12 Ext'!$H40="")),'12 Ext'!$H40,4)</f>
        <v>4</v>
      </c>
      <c r="AI40"/>
      <c r="AJ40" s="640"/>
      <c r="AK40" s="640"/>
      <c r="AL40" s="640"/>
      <c r="AM40" s="640"/>
      <c r="AN40" s="640"/>
      <c r="AO40" s="640"/>
      <c r="AP40" s="640"/>
      <c r="AQ40" s="640"/>
      <c r="AR40" s="640"/>
      <c r="AS40" s="640"/>
      <c r="AT40" s="640"/>
      <c r="AU40" s="640"/>
      <c r="AV40" s="640"/>
      <c r="AW40" s="640"/>
      <c r="AX40" s="640"/>
      <c r="AY40" s="640"/>
      <c r="AZ40" s="640"/>
      <c r="BA40" s="640"/>
      <c r="BB40" s="640"/>
      <c r="BC40" s="640"/>
      <c r="BD40" s="640"/>
      <c r="BE40" s="640"/>
      <c r="BF40" s="640"/>
      <c r="BG40" s="640"/>
      <c r="BH40" s="640"/>
      <c r="BI40" s="640"/>
      <c r="BJ40" s="640"/>
      <c r="BK40" s="640"/>
      <c r="BL40" s="640"/>
      <c r="BM40" s="640"/>
      <c r="BN40" s="640"/>
      <c r="BO40" s="640"/>
      <c r="BP40" s="640"/>
      <c r="BQ40" s="640"/>
      <c r="BR40" s="640"/>
      <c r="BS40" s="640"/>
      <c r="BT40" s="640"/>
      <c r="BU40" s="640"/>
      <c r="BV40" s="640"/>
      <c r="BW40" s="640"/>
      <c r="BX40" s="640"/>
      <c r="BY40" s="640"/>
      <c r="BZ40" s="640"/>
      <c r="CA40" s="640"/>
      <c r="CB40" s="640"/>
      <c r="CC40" s="640"/>
      <c r="CD40" s="640"/>
      <c r="CE40" s="640"/>
      <c r="CF40" s="640"/>
      <c r="CG40" s="640"/>
      <c r="CH40" s="640"/>
      <c r="CI40" s="640"/>
      <c r="CJ40" s="640"/>
      <c r="CK40" s="640"/>
      <c r="CL40" s="640"/>
      <c r="CM40" s="640"/>
      <c r="CN40" s="640"/>
      <c r="CO40" s="640"/>
      <c r="CP40" s="640"/>
      <c r="CQ40" s="640"/>
      <c r="CR40" s="640"/>
      <c r="CS40" s="640"/>
      <c r="CT40" s="640"/>
      <c r="CU40" s="640"/>
      <c r="CV40" s="640"/>
      <c r="CW40" s="640"/>
      <c r="CX40" s="640"/>
      <c r="CY40" s="640"/>
      <c r="CZ40" s="640"/>
      <c r="DA40" s="640"/>
      <c r="DB40" s="640"/>
      <c r="DC40" s="640"/>
      <c r="DD40" s="640"/>
      <c r="DE40" s="640"/>
      <c r="DF40" s="640"/>
      <c r="DG40" s="640"/>
      <c r="DH40" s="640"/>
      <c r="DI40" s="640"/>
      <c r="DJ40" s="640"/>
      <c r="DK40" s="640"/>
      <c r="DL40" s="640"/>
      <c r="DM40" s="640"/>
      <c r="DN40" s="640"/>
      <c r="DO40" s="640"/>
      <c r="DP40" s="640"/>
      <c r="DQ40" s="640"/>
      <c r="DR40" s="640"/>
      <c r="DS40" s="640"/>
      <c r="DT40" s="640"/>
      <c r="DU40" s="640"/>
      <c r="DV40" s="640"/>
      <c r="DW40" s="640"/>
      <c r="DX40" s="640"/>
      <c r="DY40" s="640"/>
      <c r="DZ40" s="640"/>
      <c r="EA40" s="640"/>
      <c r="EB40" s="640"/>
      <c r="EC40" s="640"/>
      <c r="ED40" s="640"/>
      <c r="EE40" s="640"/>
      <c r="EF40" s="640"/>
      <c r="EG40" s="640"/>
      <c r="EH40" s="640"/>
      <c r="EI40" s="640"/>
      <c r="EJ40" s="640"/>
      <c r="EK40" s="640"/>
      <c r="EL40" s="640"/>
      <c r="EM40" s="640"/>
      <c r="EN40" s="640"/>
      <c r="EO40" s="640"/>
      <c r="EP40" s="640"/>
      <c r="EQ40" s="640"/>
      <c r="ER40" s="640"/>
      <c r="ES40" s="640"/>
      <c r="ET40" s="640"/>
      <c r="EU40" s="640"/>
      <c r="EV40" s="640"/>
      <c r="EW40" s="640"/>
      <c r="EX40" s="640"/>
      <c r="EY40" s="640"/>
      <c r="EZ40" s="640"/>
      <c r="FA40" s="640"/>
      <c r="FB40" s="640"/>
      <c r="FC40" s="640"/>
      <c r="FD40" s="640"/>
      <c r="FE40" s="640"/>
      <c r="FF40" s="640"/>
      <c r="FG40" s="640"/>
      <c r="FH40" s="640"/>
      <c r="FI40" s="640"/>
      <c r="FJ40" s="640"/>
      <c r="FK40" s="640"/>
      <c r="FL40" s="640"/>
      <c r="FM40" s="640"/>
      <c r="FN40" s="640"/>
      <c r="FO40" s="640"/>
      <c r="FP40" s="640"/>
      <c r="FQ40" s="640"/>
      <c r="FR40" s="640"/>
      <c r="FS40" s="640"/>
      <c r="FT40" s="640"/>
      <c r="FU40" s="640"/>
      <c r="FV40" s="640"/>
      <c r="FW40" s="640"/>
      <c r="FX40" s="640"/>
      <c r="FY40" s="640"/>
      <c r="FZ40" s="640"/>
      <c r="GA40" s="640"/>
      <c r="GB40" s="640"/>
      <c r="GC40" s="640"/>
      <c r="GD40" s="640"/>
      <c r="GE40" s="640"/>
      <c r="GF40" s="640"/>
      <c r="GG40" s="640"/>
      <c r="GH40" s="640"/>
      <c r="GI40" s="640"/>
      <c r="GJ40" s="640"/>
      <c r="GK40" s="640"/>
      <c r="GL40" s="640"/>
      <c r="GM40" s="640"/>
      <c r="GN40" s="640"/>
      <c r="GO40" s="640"/>
      <c r="GP40" s="640"/>
      <c r="GQ40" s="640"/>
      <c r="GR40" s="640"/>
    </row>
    <row r="41" spans="1:200" s="641" customFormat="1" ht="22.5" outlineLevel="2" x14ac:dyDescent="0.2">
      <c r="A41" s="636" t="s">
        <v>4034</v>
      </c>
      <c r="B41" s="636" t="s">
        <v>5910</v>
      </c>
      <c r="C41" s="597"/>
      <c r="D41" s="1538"/>
      <c r="E41" s="642"/>
      <c r="F41" s="642"/>
      <c r="G41" s="1517">
        <v>2</v>
      </c>
      <c r="H41" s="1517"/>
      <c r="I41" s="1517"/>
      <c r="J41" s="1517" t="s">
        <v>2329</v>
      </c>
      <c r="K41" s="1518"/>
      <c r="L41" s="1518" t="s">
        <v>7330</v>
      </c>
      <c r="M41" s="635"/>
      <c r="N41" s="639"/>
      <c r="O41" s="639"/>
      <c r="P41" s="639"/>
      <c r="Q41" s="639"/>
      <c r="R41" s="639"/>
      <c r="S41" s="639"/>
      <c r="T41" s="639"/>
      <c r="U41" s="639"/>
      <c r="V41" s="639"/>
      <c r="W41" s="639"/>
      <c r="X41" s="639"/>
      <c r="Y41" s="639"/>
      <c r="Z41" s="639"/>
      <c r="AA41">
        <f>IF(AND('12 Ext'!C41&gt;Tmin, NOT('12 Ext'!$I41="")),'12 Ext'!$I41,0)</f>
        <v>0</v>
      </c>
      <c r="AB41">
        <f>IF(AND('12 Ext'!D41&gt;Tmin, NOT('12 Ext'!$I41="")),'12 Ext'!$I41,0)</f>
        <v>0</v>
      </c>
      <c r="AC41">
        <f>IF(AND('12 Ext'!E41&gt;Tmin, NOT('12 Ext'!$I41="")),'12 Ext'!$I41,0)</f>
        <v>0</v>
      </c>
      <c r="AD41">
        <f>IF(AND('12 Ext'!F41&gt;Tmin, NOT('12 Ext'!$I41="")),'12 Ext'!$I41,0)</f>
        <v>0</v>
      </c>
      <c r="AE41">
        <f>IF(AND('12 Ext'!C41&lt;Tmax, NOT('12 Ext'!$H41="")),'12 Ext'!$H41,4)</f>
        <v>4</v>
      </c>
      <c r="AF41">
        <f>IF(AND('12 Ext'!D41&lt;Tmax, NOT('12 Ext'!$H41="")),'12 Ext'!$H41,4)</f>
        <v>4</v>
      </c>
      <c r="AG41">
        <f>IF(AND('12 Ext'!E41&lt;Tmax, NOT('12 Ext'!$H41="")),'12 Ext'!$H41,4)</f>
        <v>4</v>
      </c>
      <c r="AH41">
        <f>IF(AND('12 Ext'!F41&lt;Tmax, NOT('12 Ext'!$H41="")),'12 Ext'!$H41,4)</f>
        <v>4</v>
      </c>
      <c r="AI41"/>
      <c r="AJ41" s="640"/>
      <c r="AK41" s="640"/>
      <c r="AL41" s="640"/>
      <c r="AM41" s="640"/>
      <c r="AN41" s="640"/>
      <c r="AO41" s="640"/>
      <c r="AP41" s="640"/>
      <c r="AQ41" s="640"/>
      <c r="AR41" s="640"/>
      <c r="AS41" s="640"/>
      <c r="AT41" s="640"/>
      <c r="AU41" s="640"/>
      <c r="AV41" s="640"/>
      <c r="AW41" s="640"/>
      <c r="AX41" s="640"/>
      <c r="AY41" s="640"/>
      <c r="AZ41" s="640"/>
      <c r="BA41" s="640"/>
      <c r="BB41" s="640"/>
      <c r="BC41" s="640"/>
      <c r="BD41" s="640"/>
      <c r="BE41" s="640"/>
      <c r="BF41" s="640"/>
      <c r="BG41" s="640"/>
      <c r="BH41" s="640"/>
      <c r="BI41" s="640"/>
      <c r="BJ41" s="640"/>
      <c r="BK41" s="640"/>
      <c r="BL41" s="640"/>
      <c r="BM41" s="640"/>
      <c r="BN41" s="640"/>
      <c r="BO41" s="640"/>
      <c r="BP41" s="640"/>
      <c r="BQ41" s="640"/>
      <c r="BR41" s="640"/>
      <c r="BS41" s="640"/>
      <c r="BT41" s="640"/>
      <c r="BU41" s="640"/>
      <c r="BV41" s="640"/>
      <c r="BW41" s="640"/>
      <c r="BX41" s="640"/>
      <c r="BY41" s="640"/>
      <c r="BZ41" s="640"/>
      <c r="CA41" s="640"/>
      <c r="CB41" s="640"/>
      <c r="CC41" s="640"/>
      <c r="CD41" s="640"/>
      <c r="CE41" s="640"/>
      <c r="CF41" s="640"/>
      <c r="CG41" s="640"/>
      <c r="CH41" s="640"/>
      <c r="CI41" s="640"/>
      <c r="CJ41" s="640"/>
      <c r="CK41" s="640"/>
      <c r="CL41" s="640"/>
      <c r="CM41" s="640"/>
      <c r="CN41" s="640"/>
      <c r="CO41" s="640"/>
      <c r="CP41" s="640"/>
      <c r="CQ41" s="640"/>
      <c r="CR41" s="640"/>
      <c r="CS41" s="640"/>
      <c r="CT41" s="640"/>
      <c r="CU41" s="640"/>
      <c r="CV41" s="640"/>
      <c r="CW41" s="640"/>
      <c r="CX41" s="640"/>
      <c r="CY41" s="640"/>
      <c r="CZ41" s="640"/>
      <c r="DA41" s="640"/>
      <c r="DB41" s="640"/>
      <c r="DC41" s="640"/>
      <c r="DD41" s="640"/>
      <c r="DE41" s="640"/>
      <c r="DF41" s="640"/>
      <c r="DG41" s="640"/>
      <c r="DH41" s="640"/>
      <c r="DI41" s="640"/>
      <c r="DJ41" s="640"/>
      <c r="DK41" s="640"/>
      <c r="DL41" s="640"/>
      <c r="DM41" s="640"/>
      <c r="DN41" s="640"/>
      <c r="DO41" s="640"/>
      <c r="DP41" s="640"/>
      <c r="DQ41" s="640"/>
      <c r="DR41" s="640"/>
      <c r="DS41" s="640"/>
      <c r="DT41" s="640"/>
      <c r="DU41" s="640"/>
      <c r="DV41" s="640"/>
      <c r="DW41" s="640"/>
      <c r="DX41" s="640"/>
      <c r="DY41" s="640"/>
      <c r="DZ41" s="640"/>
      <c r="EA41" s="640"/>
      <c r="EB41" s="640"/>
      <c r="EC41" s="640"/>
      <c r="ED41" s="640"/>
      <c r="EE41" s="640"/>
      <c r="EF41" s="640"/>
      <c r="EG41" s="640"/>
      <c r="EH41" s="640"/>
      <c r="EI41" s="640"/>
      <c r="EJ41" s="640"/>
      <c r="EK41" s="640"/>
      <c r="EL41" s="640"/>
      <c r="EM41" s="640"/>
      <c r="EN41" s="640"/>
      <c r="EO41" s="640"/>
      <c r="EP41" s="640"/>
      <c r="EQ41" s="640"/>
      <c r="ER41" s="640"/>
      <c r="ES41" s="640"/>
      <c r="ET41" s="640"/>
      <c r="EU41" s="640"/>
      <c r="EV41" s="640"/>
      <c r="EW41" s="640"/>
      <c r="EX41" s="640"/>
      <c r="EY41" s="640"/>
      <c r="EZ41" s="640"/>
      <c r="FA41" s="640"/>
      <c r="FB41" s="640"/>
      <c r="FC41" s="640"/>
      <c r="FD41" s="640"/>
      <c r="FE41" s="640"/>
      <c r="FF41" s="640"/>
      <c r="FG41" s="640"/>
      <c r="FH41" s="640"/>
      <c r="FI41" s="640"/>
      <c r="FJ41" s="640"/>
      <c r="FK41" s="640"/>
      <c r="FL41" s="640"/>
      <c r="FM41" s="640"/>
      <c r="FN41" s="640"/>
      <c r="FO41" s="640"/>
      <c r="FP41" s="640"/>
      <c r="FQ41" s="640"/>
      <c r="FR41" s="640"/>
      <c r="FS41" s="640"/>
      <c r="FT41" s="640"/>
      <c r="FU41" s="640"/>
      <c r="FV41" s="640"/>
      <c r="FW41" s="640"/>
      <c r="FX41" s="640"/>
      <c r="FY41" s="640"/>
      <c r="FZ41" s="640"/>
      <c r="GA41" s="640"/>
      <c r="GB41" s="640"/>
      <c r="GC41" s="640"/>
      <c r="GD41" s="640"/>
      <c r="GE41" s="640"/>
      <c r="GF41" s="640"/>
      <c r="GG41" s="640"/>
      <c r="GH41" s="640"/>
      <c r="GI41" s="640"/>
      <c r="GJ41" s="640"/>
      <c r="GK41" s="640"/>
      <c r="GL41" s="640"/>
      <c r="GM41" s="640"/>
      <c r="GN41" s="640"/>
      <c r="GO41" s="640"/>
      <c r="GP41" s="640"/>
      <c r="GQ41" s="640"/>
      <c r="GR41" s="640"/>
    </row>
    <row r="42" spans="1:200" s="641" customFormat="1" ht="24" customHeight="1" outlineLevel="2" x14ac:dyDescent="0.2">
      <c r="A42" s="636" t="s">
        <v>4035</v>
      </c>
      <c r="B42" s="636" t="s">
        <v>5901</v>
      </c>
      <c r="C42" s="597"/>
      <c r="D42" s="1538"/>
      <c r="E42" s="642"/>
      <c r="F42" s="642"/>
      <c r="G42" s="1517">
        <v>4</v>
      </c>
      <c r="H42" s="1517">
        <v>3</v>
      </c>
      <c r="I42" s="1517"/>
      <c r="J42" s="1517" t="s">
        <v>2329</v>
      </c>
      <c r="K42" s="1518"/>
      <c r="L42" s="1518" t="s">
        <v>7330</v>
      </c>
      <c r="M42" s="635"/>
      <c r="N42" s="639"/>
      <c r="O42" s="639"/>
      <c r="P42" s="639"/>
      <c r="Q42" s="639"/>
      <c r="R42" s="639"/>
      <c r="S42" s="639"/>
      <c r="T42" s="639"/>
      <c r="U42" s="639"/>
      <c r="V42" s="639"/>
      <c r="W42" s="639"/>
      <c r="X42" s="639"/>
      <c r="Y42" s="639"/>
      <c r="Z42" s="639"/>
      <c r="AA42">
        <f>IF(AND('12 Ext'!C42&gt;Tmin, NOT('12 Ext'!$I42="")),'12 Ext'!$I42,0)</f>
        <v>0</v>
      </c>
      <c r="AB42">
        <f>IF(AND('12 Ext'!D42&gt;Tmin, NOT('12 Ext'!$I42="")),'12 Ext'!$I42,0)</f>
        <v>0</v>
      </c>
      <c r="AC42">
        <f>IF(AND('12 Ext'!E42&gt;Tmin, NOT('12 Ext'!$I42="")),'12 Ext'!$I42,0)</f>
        <v>0</v>
      </c>
      <c r="AD42">
        <f>IF(AND('12 Ext'!F42&gt;Tmin, NOT('12 Ext'!$I42="")),'12 Ext'!$I42,0)</f>
        <v>0</v>
      </c>
      <c r="AE42">
        <f>IF(AND('12 Ext'!C42&lt;Tmax, NOT('12 Ext'!$H42="")),'12 Ext'!$H42,4)</f>
        <v>3</v>
      </c>
      <c r="AF42">
        <f>IF(AND('12 Ext'!D42&lt;Tmax, NOT('12 Ext'!$H42="")),'12 Ext'!$H42,4)</f>
        <v>3</v>
      </c>
      <c r="AG42">
        <f>IF(AND('12 Ext'!E42&lt;Tmax, NOT('12 Ext'!$H42="")),'12 Ext'!$H42,4)</f>
        <v>3</v>
      </c>
      <c r="AH42">
        <f>IF(AND('12 Ext'!F42&lt;Tmax, NOT('12 Ext'!$H42="")),'12 Ext'!$H42,4)</f>
        <v>3</v>
      </c>
      <c r="AI42"/>
      <c r="AJ42" s="640"/>
      <c r="AK42" s="640"/>
      <c r="AL42" s="640"/>
      <c r="AM42" s="640"/>
      <c r="AN42" s="640"/>
      <c r="AO42" s="640"/>
      <c r="AP42" s="640"/>
      <c r="AQ42" s="640"/>
      <c r="AR42" s="640"/>
      <c r="AS42" s="640"/>
      <c r="AT42" s="640"/>
      <c r="AU42" s="640"/>
      <c r="AV42" s="640"/>
      <c r="AW42" s="640"/>
      <c r="AX42" s="640"/>
      <c r="AY42" s="640"/>
      <c r="AZ42" s="640"/>
      <c r="BA42" s="640"/>
      <c r="BB42" s="640"/>
      <c r="BC42" s="640"/>
      <c r="BD42" s="640"/>
      <c r="BE42" s="640"/>
      <c r="BF42" s="640"/>
      <c r="BG42" s="640"/>
      <c r="BH42" s="640"/>
      <c r="BI42" s="640"/>
      <c r="BJ42" s="640"/>
      <c r="BK42" s="640"/>
      <c r="BL42" s="640"/>
      <c r="BM42" s="640"/>
      <c r="BN42" s="640"/>
      <c r="BO42" s="640"/>
      <c r="BP42" s="640"/>
      <c r="BQ42" s="640"/>
      <c r="BR42" s="640"/>
      <c r="BS42" s="640"/>
      <c r="BT42" s="640"/>
      <c r="BU42" s="640"/>
      <c r="BV42" s="640"/>
      <c r="BW42" s="640"/>
      <c r="BX42" s="640"/>
      <c r="BY42" s="640"/>
      <c r="BZ42" s="640"/>
      <c r="CA42" s="640"/>
      <c r="CB42" s="640"/>
      <c r="CC42" s="640"/>
      <c r="CD42" s="640"/>
      <c r="CE42" s="640"/>
      <c r="CF42" s="640"/>
      <c r="CG42" s="640"/>
      <c r="CH42" s="640"/>
      <c r="CI42" s="640"/>
      <c r="CJ42" s="640"/>
      <c r="CK42" s="640"/>
      <c r="CL42" s="640"/>
      <c r="CM42" s="640"/>
      <c r="CN42" s="640"/>
      <c r="CO42" s="640"/>
      <c r="CP42" s="640"/>
      <c r="CQ42" s="640"/>
      <c r="CR42" s="640"/>
      <c r="CS42" s="640"/>
      <c r="CT42" s="640"/>
      <c r="CU42" s="640"/>
      <c r="CV42" s="640"/>
      <c r="CW42" s="640"/>
      <c r="CX42" s="640"/>
      <c r="CY42" s="640"/>
      <c r="CZ42" s="640"/>
      <c r="DA42" s="640"/>
      <c r="DB42" s="640"/>
      <c r="DC42" s="640"/>
      <c r="DD42" s="640"/>
      <c r="DE42" s="640"/>
      <c r="DF42" s="640"/>
      <c r="DG42" s="640"/>
      <c r="DH42" s="640"/>
      <c r="DI42" s="640"/>
      <c r="DJ42" s="640"/>
      <c r="DK42" s="640"/>
      <c r="DL42" s="640"/>
      <c r="DM42" s="640"/>
      <c r="DN42" s="640"/>
      <c r="DO42" s="640"/>
      <c r="DP42" s="640"/>
      <c r="DQ42" s="640"/>
      <c r="DR42" s="640"/>
      <c r="DS42" s="640"/>
      <c r="DT42" s="640"/>
      <c r="DU42" s="640"/>
      <c r="DV42" s="640"/>
      <c r="DW42" s="640"/>
      <c r="DX42" s="640"/>
      <c r="DY42" s="640"/>
      <c r="DZ42" s="640"/>
      <c r="EA42" s="640"/>
      <c r="EB42" s="640"/>
      <c r="EC42" s="640"/>
      <c r="ED42" s="640"/>
      <c r="EE42" s="640"/>
      <c r="EF42" s="640"/>
      <c r="EG42" s="640"/>
      <c r="EH42" s="640"/>
      <c r="EI42" s="640"/>
      <c r="EJ42" s="640"/>
      <c r="EK42" s="640"/>
      <c r="EL42" s="640"/>
      <c r="EM42" s="640"/>
      <c r="EN42" s="640"/>
      <c r="EO42" s="640"/>
      <c r="EP42" s="640"/>
      <c r="EQ42" s="640"/>
      <c r="ER42" s="640"/>
      <c r="ES42" s="640"/>
      <c r="ET42" s="640"/>
      <c r="EU42" s="640"/>
      <c r="EV42" s="640"/>
      <c r="EW42" s="640"/>
      <c r="EX42" s="640"/>
      <c r="EY42" s="640"/>
      <c r="EZ42" s="640"/>
      <c r="FA42" s="640"/>
      <c r="FB42" s="640"/>
      <c r="FC42" s="640"/>
      <c r="FD42" s="640"/>
      <c r="FE42" s="640"/>
      <c r="FF42" s="640"/>
      <c r="FG42" s="640"/>
      <c r="FH42" s="640"/>
      <c r="FI42" s="640"/>
      <c r="FJ42" s="640"/>
      <c r="FK42" s="640"/>
      <c r="FL42" s="640"/>
      <c r="FM42" s="640"/>
      <c r="FN42" s="640"/>
      <c r="FO42" s="640"/>
      <c r="FP42" s="640"/>
      <c r="FQ42" s="640"/>
      <c r="FR42" s="640"/>
      <c r="FS42" s="640"/>
      <c r="FT42" s="640"/>
      <c r="FU42" s="640"/>
      <c r="FV42" s="640"/>
      <c r="FW42" s="640"/>
      <c r="FX42" s="640"/>
      <c r="FY42" s="640"/>
      <c r="FZ42" s="640"/>
      <c r="GA42" s="640"/>
      <c r="GB42" s="640"/>
      <c r="GC42" s="640"/>
      <c r="GD42" s="640"/>
      <c r="GE42" s="640"/>
      <c r="GF42" s="640"/>
      <c r="GG42" s="640"/>
      <c r="GH42" s="640"/>
      <c r="GI42" s="640"/>
      <c r="GJ42" s="640"/>
      <c r="GK42" s="640"/>
      <c r="GL42" s="640"/>
      <c r="GM42" s="640"/>
      <c r="GN42" s="640"/>
      <c r="GO42" s="640"/>
      <c r="GP42" s="640"/>
      <c r="GQ42" s="640"/>
      <c r="GR42" s="640"/>
    </row>
    <row r="43" spans="1:200" s="641" customFormat="1" ht="47.25" customHeight="1" outlineLevel="2" x14ac:dyDescent="0.2">
      <c r="A43" s="636" t="s">
        <v>5666</v>
      </c>
      <c r="B43" s="636" t="s">
        <v>2131</v>
      </c>
      <c r="C43" s="597"/>
      <c r="D43" s="1538"/>
      <c r="E43" s="642"/>
      <c r="F43" s="642"/>
      <c r="G43" s="1517">
        <v>4</v>
      </c>
      <c r="H43" s="1517">
        <v>3</v>
      </c>
      <c r="I43" s="1517"/>
      <c r="J43" s="1517" t="s">
        <v>1592</v>
      </c>
      <c r="K43" s="1518"/>
      <c r="L43" s="1518"/>
      <c r="M43" s="635"/>
      <c r="N43" s="639"/>
      <c r="O43" s="639"/>
      <c r="P43" s="639"/>
      <c r="Q43" s="639"/>
      <c r="R43" s="639"/>
      <c r="S43" s="639"/>
      <c r="T43" s="639"/>
      <c r="U43" s="639"/>
      <c r="V43" s="639"/>
      <c r="W43" s="639"/>
      <c r="X43" s="639"/>
      <c r="Y43" s="639"/>
      <c r="Z43" s="639"/>
      <c r="AA43">
        <f>IF(AND('12 Ext'!C43&gt;Tmin, NOT('12 Ext'!$I43="")),'12 Ext'!$I43,0)</f>
        <v>0</v>
      </c>
      <c r="AB43">
        <f>IF(AND('12 Ext'!D43&gt;Tmin, NOT('12 Ext'!$I43="")),'12 Ext'!$I43,0)</f>
        <v>0</v>
      </c>
      <c r="AC43">
        <f>IF(AND('12 Ext'!E43&gt;Tmin, NOT('12 Ext'!$I43="")),'12 Ext'!$I43,0)</f>
        <v>0</v>
      </c>
      <c r="AD43">
        <f>IF(AND('12 Ext'!F43&gt;Tmin, NOT('12 Ext'!$I43="")),'12 Ext'!$I43,0)</f>
        <v>0</v>
      </c>
      <c r="AE43">
        <f>IF(AND('12 Ext'!C43&lt;Tmax, NOT('12 Ext'!$H43="")),'12 Ext'!$H43,4)</f>
        <v>3</v>
      </c>
      <c r="AF43">
        <f>IF(AND('12 Ext'!D43&lt;Tmax, NOT('12 Ext'!$H43="")),'12 Ext'!$H43,4)</f>
        <v>3</v>
      </c>
      <c r="AG43">
        <f>IF(AND('12 Ext'!E43&lt;Tmax, NOT('12 Ext'!$H43="")),'12 Ext'!$H43,4)</f>
        <v>3</v>
      </c>
      <c r="AH43">
        <f>IF(AND('12 Ext'!F43&lt;Tmax, NOT('12 Ext'!$H43="")),'12 Ext'!$H43,4)</f>
        <v>3</v>
      </c>
      <c r="AI43"/>
      <c r="AJ43" s="640"/>
      <c r="AK43" s="640"/>
      <c r="AL43" s="640"/>
      <c r="AM43" s="640"/>
      <c r="AN43" s="640"/>
      <c r="AO43" s="640"/>
      <c r="AP43" s="640"/>
      <c r="AQ43" s="640"/>
      <c r="AR43" s="640"/>
      <c r="AS43" s="640"/>
      <c r="AT43" s="640"/>
      <c r="AU43" s="640"/>
      <c r="AV43" s="640"/>
      <c r="AW43" s="640"/>
      <c r="AX43" s="640"/>
      <c r="AY43" s="640"/>
      <c r="AZ43" s="640"/>
      <c r="BA43" s="640"/>
      <c r="BB43" s="640"/>
      <c r="BC43" s="640"/>
      <c r="BD43" s="640"/>
      <c r="BE43" s="640"/>
      <c r="BF43" s="640"/>
      <c r="BG43" s="640"/>
      <c r="BH43" s="640"/>
      <c r="BI43" s="640"/>
      <c r="BJ43" s="640"/>
      <c r="BK43" s="640"/>
      <c r="BL43" s="640"/>
      <c r="BM43" s="640"/>
      <c r="BN43" s="640"/>
      <c r="BO43" s="640"/>
      <c r="BP43" s="640"/>
      <c r="BQ43" s="640"/>
      <c r="BR43" s="640"/>
      <c r="BS43" s="640"/>
      <c r="BT43" s="640"/>
      <c r="BU43" s="640"/>
      <c r="BV43" s="640"/>
      <c r="BW43" s="640"/>
      <c r="BX43" s="640"/>
      <c r="BY43" s="640"/>
      <c r="BZ43" s="640"/>
      <c r="CA43" s="640"/>
      <c r="CB43" s="640"/>
      <c r="CC43" s="640"/>
      <c r="CD43" s="640"/>
      <c r="CE43" s="640"/>
      <c r="CF43" s="640"/>
      <c r="CG43" s="640"/>
      <c r="CH43" s="640"/>
      <c r="CI43" s="640"/>
      <c r="CJ43" s="640"/>
      <c r="CK43" s="640"/>
      <c r="CL43" s="640"/>
      <c r="CM43" s="640"/>
      <c r="CN43" s="640"/>
      <c r="CO43" s="640"/>
      <c r="CP43" s="640"/>
      <c r="CQ43" s="640"/>
      <c r="CR43" s="640"/>
      <c r="CS43" s="640"/>
      <c r="CT43" s="640"/>
      <c r="CU43" s="640"/>
      <c r="CV43" s="640"/>
      <c r="CW43" s="640"/>
      <c r="CX43" s="640"/>
      <c r="CY43" s="640"/>
      <c r="CZ43" s="640"/>
      <c r="DA43" s="640"/>
      <c r="DB43" s="640"/>
      <c r="DC43" s="640"/>
      <c r="DD43" s="640"/>
      <c r="DE43" s="640"/>
      <c r="DF43" s="640"/>
      <c r="DG43" s="640"/>
      <c r="DH43" s="640"/>
      <c r="DI43" s="640"/>
      <c r="DJ43" s="640"/>
      <c r="DK43" s="640"/>
      <c r="DL43" s="640"/>
      <c r="DM43" s="640"/>
      <c r="DN43" s="640"/>
      <c r="DO43" s="640"/>
      <c r="DP43" s="640"/>
      <c r="DQ43" s="640"/>
      <c r="DR43" s="640"/>
      <c r="DS43" s="640"/>
      <c r="DT43" s="640"/>
      <c r="DU43" s="640"/>
      <c r="DV43" s="640"/>
      <c r="DW43" s="640"/>
      <c r="DX43" s="640"/>
      <c r="DY43" s="640"/>
      <c r="DZ43" s="640"/>
      <c r="EA43" s="640"/>
      <c r="EB43" s="640"/>
      <c r="EC43" s="640"/>
      <c r="ED43" s="640"/>
      <c r="EE43" s="640"/>
      <c r="EF43" s="640"/>
      <c r="EG43" s="640"/>
      <c r="EH43" s="640"/>
      <c r="EI43" s="640"/>
      <c r="EJ43" s="640"/>
      <c r="EK43" s="640"/>
      <c r="EL43" s="640"/>
      <c r="EM43" s="640"/>
      <c r="EN43" s="640"/>
      <c r="EO43" s="640"/>
      <c r="EP43" s="640"/>
      <c r="EQ43" s="640"/>
      <c r="ER43" s="640"/>
      <c r="ES43" s="640"/>
      <c r="ET43" s="640"/>
      <c r="EU43" s="640"/>
      <c r="EV43" s="640"/>
      <c r="EW43" s="640"/>
      <c r="EX43" s="640"/>
      <c r="EY43" s="640"/>
      <c r="EZ43" s="640"/>
      <c r="FA43" s="640"/>
      <c r="FB43" s="640"/>
      <c r="FC43" s="640"/>
      <c r="FD43" s="640"/>
      <c r="FE43" s="640"/>
      <c r="FF43" s="640"/>
      <c r="FG43" s="640"/>
      <c r="FH43" s="640"/>
      <c r="FI43" s="640"/>
      <c r="FJ43" s="640"/>
      <c r="FK43" s="640"/>
      <c r="FL43" s="640"/>
      <c r="FM43" s="640"/>
      <c r="FN43" s="640"/>
      <c r="FO43" s="640"/>
      <c r="FP43" s="640"/>
      <c r="FQ43" s="640"/>
      <c r="FR43" s="640"/>
      <c r="FS43" s="640"/>
      <c r="FT43" s="640"/>
      <c r="FU43" s="640"/>
      <c r="FV43" s="640"/>
      <c r="FW43" s="640"/>
      <c r="FX43" s="640"/>
      <c r="FY43" s="640"/>
      <c r="FZ43" s="640"/>
      <c r="GA43" s="640"/>
      <c r="GB43" s="640"/>
      <c r="GC43" s="640"/>
      <c r="GD43" s="640"/>
      <c r="GE43" s="640"/>
      <c r="GF43" s="640"/>
      <c r="GG43" s="640"/>
      <c r="GH43" s="640"/>
      <c r="GI43" s="640"/>
      <c r="GJ43" s="640"/>
      <c r="GK43" s="640"/>
      <c r="GL43" s="640"/>
      <c r="GM43" s="640"/>
      <c r="GN43" s="640"/>
      <c r="GO43" s="640"/>
      <c r="GP43" s="640"/>
      <c r="GQ43" s="640"/>
      <c r="GR43" s="640"/>
    </row>
    <row r="44" spans="1:200" s="641" customFormat="1" outlineLevel="2" x14ac:dyDescent="0.2">
      <c r="A44" s="636" t="s">
        <v>5667</v>
      </c>
      <c r="B44" s="636" t="s">
        <v>5168</v>
      </c>
      <c r="C44" s="597"/>
      <c r="D44" s="1538"/>
      <c r="E44" s="642"/>
      <c r="F44" s="642"/>
      <c r="G44" s="1517">
        <v>2</v>
      </c>
      <c r="H44" s="1517">
        <v>3</v>
      </c>
      <c r="I44" s="1517"/>
      <c r="J44" s="1517" t="s">
        <v>2109</v>
      </c>
      <c r="K44" s="1518"/>
      <c r="L44" s="1518"/>
      <c r="M44" s="635"/>
      <c r="N44" s="639"/>
      <c r="O44" s="639"/>
      <c r="P44" s="639"/>
      <c r="Q44" s="639"/>
      <c r="R44" s="639"/>
      <c r="S44" s="639"/>
      <c r="T44" s="639"/>
      <c r="U44" s="639"/>
      <c r="V44" s="639"/>
      <c r="W44" s="639"/>
      <c r="X44" s="639"/>
      <c r="Y44" s="639"/>
      <c r="Z44" s="639"/>
      <c r="AA44">
        <f>IF(AND('12 Ext'!C44&gt;Tmin, NOT('12 Ext'!$I44="")),'12 Ext'!$I44,0)</f>
        <v>0</v>
      </c>
      <c r="AB44">
        <f>IF(AND('12 Ext'!D44&gt;Tmin, NOT('12 Ext'!$I44="")),'12 Ext'!$I44,0)</f>
        <v>0</v>
      </c>
      <c r="AC44">
        <f>IF(AND('12 Ext'!E44&gt;Tmin, NOT('12 Ext'!$I44="")),'12 Ext'!$I44,0)</f>
        <v>0</v>
      </c>
      <c r="AD44">
        <f>IF(AND('12 Ext'!F44&gt;Tmin, NOT('12 Ext'!$I44="")),'12 Ext'!$I44,0)</f>
        <v>0</v>
      </c>
      <c r="AE44">
        <f>IF(AND('12 Ext'!C44&lt;Tmax, NOT('12 Ext'!$H44="")),'12 Ext'!$H44,4)</f>
        <v>3</v>
      </c>
      <c r="AF44">
        <f>IF(AND('12 Ext'!D44&lt;Tmax, NOT('12 Ext'!$H44="")),'12 Ext'!$H44,4)</f>
        <v>3</v>
      </c>
      <c r="AG44">
        <f>IF(AND('12 Ext'!E44&lt;Tmax, NOT('12 Ext'!$H44="")),'12 Ext'!$H44,4)</f>
        <v>3</v>
      </c>
      <c r="AH44">
        <f>IF(AND('12 Ext'!F44&lt;Tmax, NOT('12 Ext'!$H44="")),'12 Ext'!$H44,4)</f>
        <v>3</v>
      </c>
      <c r="AI44"/>
      <c r="AJ44" s="640"/>
      <c r="AK44" s="640"/>
      <c r="AL44" s="640"/>
      <c r="AM44" s="640"/>
      <c r="AN44" s="640"/>
      <c r="AO44" s="640"/>
      <c r="AP44" s="640"/>
      <c r="AQ44" s="640"/>
      <c r="AR44" s="640"/>
      <c r="AS44" s="640"/>
      <c r="AT44" s="640"/>
      <c r="AU44" s="640"/>
      <c r="AV44" s="640"/>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640"/>
      <c r="CC44" s="640"/>
      <c r="CD44" s="640"/>
      <c r="CE44" s="640"/>
      <c r="CF44" s="640"/>
      <c r="CG44" s="640"/>
      <c r="CH44" s="640"/>
      <c r="CI44" s="640"/>
      <c r="CJ44" s="640"/>
      <c r="CK44" s="640"/>
      <c r="CL44" s="640"/>
      <c r="CM44" s="640"/>
      <c r="CN44" s="640"/>
      <c r="CO44" s="640"/>
      <c r="CP44" s="640"/>
      <c r="CQ44" s="640"/>
      <c r="CR44" s="640"/>
      <c r="CS44" s="640"/>
      <c r="CT44" s="640"/>
      <c r="CU44" s="640"/>
      <c r="CV44" s="640"/>
      <c r="CW44" s="640"/>
      <c r="CX44" s="640"/>
      <c r="CY44" s="640"/>
      <c r="CZ44" s="640"/>
      <c r="DA44" s="640"/>
      <c r="DB44" s="640"/>
      <c r="DC44" s="640"/>
      <c r="DD44" s="640"/>
      <c r="DE44" s="640"/>
      <c r="DF44" s="640"/>
      <c r="DG44" s="640"/>
      <c r="DH44" s="640"/>
      <c r="DI44" s="640"/>
      <c r="DJ44" s="640"/>
      <c r="DK44" s="640"/>
      <c r="DL44" s="640"/>
      <c r="DM44" s="640"/>
      <c r="DN44" s="640"/>
      <c r="DO44" s="640"/>
      <c r="DP44" s="640"/>
      <c r="DQ44" s="640"/>
      <c r="DR44" s="640"/>
      <c r="DS44" s="640"/>
      <c r="DT44" s="640"/>
      <c r="DU44" s="640"/>
      <c r="DV44" s="640"/>
      <c r="DW44" s="640"/>
      <c r="DX44" s="640"/>
      <c r="DY44" s="640"/>
      <c r="DZ44" s="640"/>
      <c r="EA44" s="640"/>
      <c r="EB44" s="640"/>
      <c r="EC44" s="640"/>
      <c r="ED44" s="640"/>
      <c r="EE44" s="640"/>
      <c r="EF44" s="640"/>
      <c r="EG44" s="640"/>
      <c r="EH44" s="640"/>
      <c r="EI44" s="640"/>
      <c r="EJ44" s="640"/>
      <c r="EK44" s="640"/>
      <c r="EL44" s="640"/>
      <c r="EM44" s="640"/>
      <c r="EN44" s="640"/>
      <c r="EO44" s="640"/>
      <c r="EP44" s="640"/>
      <c r="EQ44" s="640"/>
      <c r="ER44" s="640"/>
      <c r="ES44" s="640"/>
      <c r="ET44" s="640"/>
      <c r="EU44" s="640"/>
      <c r="EV44" s="640"/>
      <c r="EW44" s="640"/>
      <c r="EX44" s="640"/>
      <c r="EY44" s="640"/>
      <c r="EZ44" s="640"/>
      <c r="FA44" s="640"/>
      <c r="FB44" s="640"/>
      <c r="FC44" s="640"/>
      <c r="FD44" s="640"/>
      <c r="FE44" s="640"/>
      <c r="FF44" s="640"/>
      <c r="FG44" s="640"/>
      <c r="FH44" s="640"/>
      <c r="FI44" s="640"/>
      <c r="FJ44" s="640"/>
      <c r="FK44" s="640"/>
      <c r="FL44" s="640"/>
      <c r="FM44" s="640"/>
      <c r="FN44" s="640"/>
      <c r="FO44" s="640"/>
      <c r="FP44" s="640"/>
      <c r="FQ44" s="640"/>
      <c r="FR44" s="640"/>
      <c r="FS44" s="640"/>
      <c r="FT44" s="640"/>
      <c r="FU44" s="640"/>
      <c r="FV44" s="640"/>
      <c r="FW44" s="640"/>
      <c r="FX44" s="640"/>
      <c r="FY44" s="640"/>
      <c r="FZ44" s="640"/>
      <c r="GA44" s="640"/>
      <c r="GB44" s="640"/>
      <c r="GC44" s="640"/>
      <c r="GD44" s="640"/>
      <c r="GE44" s="640"/>
      <c r="GF44" s="640"/>
      <c r="GG44" s="640"/>
      <c r="GH44" s="640"/>
      <c r="GI44" s="640"/>
      <c r="GJ44" s="640"/>
      <c r="GK44" s="640"/>
      <c r="GL44" s="640"/>
      <c r="GM44" s="640"/>
      <c r="GN44" s="640"/>
      <c r="GO44" s="640"/>
      <c r="GP44" s="640"/>
      <c r="GQ44" s="640"/>
      <c r="GR44" s="640"/>
    </row>
    <row r="45" spans="1:200" s="641" customFormat="1" outlineLevel="1" x14ac:dyDescent="0.2">
      <c r="A45" s="633" t="s">
        <v>4307</v>
      </c>
      <c r="B45" s="634" t="s">
        <v>3946</v>
      </c>
      <c r="C45" s="597"/>
      <c r="D45" s="1538"/>
      <c r="E45" s="642"/>
      <c r="F45" s="642"/>
      <c r="G45" s="1517"/>
      <c r="H45" s="1517"/>
      <c r="I45" s="1517"/>
      <c r="J45" s="1517"/>
      <c r="K45" s="1518"/>
      <c r="L45" s="1518"/>
      <c r="M45" s="635"/>
      <c r="N45" s="639"/>
      <c r="O45" s="639"/>
      <c r="P45" s="639"/>
      <c r="Q45" s="639"/>
      <c r="R45" s="639"/>
      <c r="S45" s="639"/>
      <c r="T45" s="639"/>
      <c r="U45" s="639"/>
      <c r="V45" s="639"/>
      <c r="W45" s="639"/>
      <c r="X45" s="639"/>
      <c r="Y45" s="639"/>
      <c r="Z45" s="639"/>
      <c r="AA45"/>
      <c r="AB45"/>
      <c r="AC45"/>
      <c r="AD45"/>
      <c r="AE45"/>
      <c r="AF45"/>
      <c r="AG45"/>
      <c r="AH45"/>
      <c r="AI45"/>
      <c r="AJ45" s="640"/>
      <c r="AK45" s="640"/>
      <c r="AL45" s="640"/>
      <c r="AM45" s="640"/>
      <c r="AN45" s="640"/>
      <c r="AO45" s="640"/>
      <c r="AP45" s="640"/>
      <c r="AQ45" s="640"/>
      <c r="AR45" s="640"/>
      <c r="AS45" s="640"/>
      <c r="AT45" s="640"/>
      <c r="AU45" s="640"/>
      <c r="AV45" s="640"/>
      <c r="AW45" s="640"/>
      <c r="AX45" s="640"/>
      <c r="AY45" s="640"/>
      <c r="AZ45" s="640"/>
      <c r="BA45" s="640"/>
      <c r="BB45" s="640"/>
      <c r="BC45" s="640"/>
      <c r="BD45" s="640"/>
      <c r="BE45" s="640"/>
      <c r="BF45" s="640"/>
      <c r="BG45" s="640"/>
      <c r="BH45" s="640"/>
      <c r="BI45" s="640"/>
      <c r="BJ45" s="640"/>
      <c r="BK45" s="640"/>
      <c r="BL45" s="640"/>
      <c r="BM45" s="640"/>
      <c r="BN45" s="640"/>
      <c r="BO45" s="640"/>
      <c r="BP45" s="640"/>
      <c r="BQ45" s="640"/>
      <c r="BR45" s="640"/>
      <c r="BS45" s="640"/>
      <c r="BT45" s="640"/>
      <c r="BU45" s="640"/>
      <c r="BV45" s="640"/>
      <c r="BW45" s="640"/>
      <c r="BX45" s="640"/>
      <c r="BY45" s="640"/>
      <c r="BZ45" s="640"/>
      <c r="CA45" s="640"/>
      <c r="CB45" s="640"/>
      <c r="CC45" s="640"/>
      <c r="CD45" s="640"/>
      <c r="CE45" s="640"/>
      <c r="CF45" s="640"/>
      <c r="CG45" s="640"/>
      <c r="CH45" s="640"/>
      <c r="CI45" s="640"/>
      <c r="CJ45" s="640"/>
      <c r="CK45" s="640"/>
      <c r="CL45" s="640"/>
      <c r="CM45" s="640"/>
      <c r="CN45" s="640"/>
      <c r="CO45" s="640"/>
      <c r="CP45" s="640"/>
      <c r="CQ45" s="640"/>
      <c r="CR45" s="640"/>
      <c r="CS45" s="640"/>
      <c r="CT45" s="640"/>
      <c r="CU45" s="640"/>
      <c r="CV45" s="640"/>
      <c r="CW45" s="640"/>
      <c r="CX45" s="640"/>
      <c r="CY45" s="640"/>
      <c r="CZ45" s="640"/>
      <c r="DA45" s="640"/>
      <c r="DB45" s="640"/>
      <c r="DC45" s="640"/>
      <c r="DD45" s="640"/>
      <c r="DE45" s="640"/>
      <c r="DF45" s="640"/>
      <c r="DG45" s="640"/>
      <c r="DH45" s="640"/>
      <c r="DI45" s="640"/>
      <c r="DJ45" s="640"/>
      <c r="DK45" s="640"/>
      <c r="DL45" s="640"/>
      <c r="DM45" s="640"/>
      <c r="DN45" s="640"/>
      <c r="DO45" s="640"/>
      <c r="DP45" s="640"/>
      <c r="DQ45" s="640"/>
      <c r="DR45" s="640"/>
      <c r="DS45" s="640"/>
      <c r="DT45" s="640"/>
      <c r="DU45" s="640"/>
      <c r="DV45" s="640"/>
      <c r="DW45" s="640"/>
      <c r="DX45" s="640"/>
      <c r="DY45" s="640"/>
      <c r="DZ45" s="640"/>
      <c r="EA45" s="640"/>
      <c r="EB45" s="640"/>
      <c r="EC45" s="640"/>
      <c r="ED45" s="640"/>
      <c r="EE45" s="640"/>
      <c r="EF45" s="640"/>
      <c r="EG45" s="640"/>
      <c r="EH45" s="640"/>
      <c r="EI45" s="640"/>
      <c r="EJ45" s="640"/>
      <c r="EK45" s="640"/>
      <c r="EL45" s="640"/>
      <c r="EM45" s="640"/>
      <c r="EN45" s="640"/>
      <c r="EO45" s="640"/>
      <c r="EP45" s="640"/>
      <c r="EQ45" s="640"/>
      <c r="ER45" s="640"/>
      <c r="ES45" s="640"/>
      <c r="ET45" s="640"/>
      <c r="EU45" s="640"/>
      <c r="EV45" s="640"/>
      <c r="EW45" s="640"/>
      <c r="EX45" s="640"/>
      <c r="EY45" s="640"/>
      <c r="EZ45" s="640"/>
      <c r="FA45" s="640"/>
      <c r="FB45" s="640"/>
      <c r="FC45" s="640"/>
      <c r="FD45" s="640"/>
      <c r="FE45" s="640"/>
      <c r="FF45" s="640"/>
      <c r="FG45" s="640"/>
      <c r="FH45" s="640"/>
      <c r="FI45" s="640"/>
      <c r="FJ45" s="640"/>
      <c r="FK45" s="640"/>
      <c r="FL45" s="640"/>
      <c r="FM45" s="640"/>
      <c r="FN45" s="640"/>
      <c r="FO45" s="640"/>
      <c r="FP45" s="640"/>
      <c r="FQ45" s="640"/>
      <c r="FR45" s="640"/>
      <c r="FS45" s="640"/>
      <c r="FT45" s="640"/>
      <c r="FU45" s="640"/>
      <c r="FV45" s="640"/>
      <c r="FW45" s="640"/>
      <c r="FX45" s="640"/>
      <c r="FY45" s="640"/>
      <c r="FZ45" s="640"/>
      <c r="GA45" s="640"/>
      <c r="GB45" s="640"/>
      <c r="GC45" s="640"/>
      <c r="GD45" s="640"/>
      <c r="GE45" s="640"/>
      <c r="GF45" s="640"/>
      <c r="GG45" s="640"/>
      <c r="GH45" s="640"/>
      <c r="GI45" s="640"/>
      <c r="GJ45" s="640"/>
      <c r="GK45" s="640"/>
      <c r="GL45" s="640"/>
      <c r="GM45" s="640"/>
      <c r="GN45" s="640"/>
      <c r="GO45" s="640"/>
      <c r="GP45" s="640"/>
      <c r="GQ45" s="640"/>
      <c r="GR45" s="640"/>
    </row>
    <row r="46" spans="1:200" s="641" customFormat="1" ht="22.5" outlineLevel="2" x14ac:dyDescent="0.2">
      <c r="A46" s="636" t="s">
        <v>4308</v>
      </c>
      <c r="B46" s="636" t="s">
        <v>6750</v>
      </c>
      <c r="C46" s="597"/>
      <c r="D46" s="1536"/>
      <c r="E46" s="635"/>
      <c r="F46" s="635"/>
      <c r="G46" s="1517">
        <v>4</v>
      </c>
      <c r="H46" s="1517"/>
      <c r="I46" s="1517"/>
      <c r="J46" s="1517" t="s">
        <v>1592</v>
      </c>
      <c r="K46" s="1518" t="s">
        <v>5908</v>
      </c>
      <c r="L46" s="1518" t="s">
        <v>5882</v>
      </c>
      <c r="M46" s="635"/>
      <c r="N46" s="639"/>
      <c r="O46" s="639"/>
      <c r="P46" s="639"/>
      <c r="Q46" s="639"/>
      <c r="R46" s="639"/>
      <c r="S46" s="639"/>
      <c r="T46" s="639"/>
      <c r="U46" s="639"/>
      <c r="V46" s="639"/>
      <c r="W46" s="639"/>
      <c r="X46" s="639"/>
      <c r="Y46" s="639"/>
      <c r="Z46" s="639"/>
      <c r="AA46">
        <f>IF(AND('12 Ext'!C46&gt;Tmin, NOT('12 Ext'!$I46="")),'12 Ext'!$I46,0)</f>
        <v>0</v>
      </c>
      <c r="AB46">
        <f>IF(AND('12 Ext'!D46&gt;Tmin, NOT('12 Ext'!$I46="")),'12 Ext'!$I46,0)</f>
        <v>0</v>
      </c>
      <c r="AC46">
        <f>IF(AND('12 Ext'!E46&gt;Tmin, NOT('12 Ext'!$I46="")),'12 Ext'!$I46,0)</f>
        <v>0</v>
      </c>
      <c r="AD46">
        <f>IF(AND('12 Ext'!F46&gt;Tmin, NOT('12 Ext'!$I46="")),'12 Ext'!$I46,0)</f>
        <v>0</v>
      </c>
      <c r="AE46">
        <f>IF(AND('12 Ext'!C46&lt;Tmax, NOT('12 Ext'!$H46="")),'12 Ext'!$H46,4)</f>
        <v>4</v>
      </c>
      <c r="AF46">
        <f>IF(AND('12 Ext'!D46&lt;Tmax, NOT('12 Ext'!$H46="")),'12 Ext'!$H46,4)</f>
        <v>4</v>
      </c>
      <c r="AG46">
        <f>IF(AND('12 Ext'!E46&lt;Tmax, NOT('12 Ext'!$H46="")),'12 Ext'!$H46,4)</f>
        <v>4</v>
      </c>
      <c r="AH46">
        <f>IF(AND('12 Ext'!F46&lt;Tmax, NOT('12 Ext'!$H46="")),'12 Ext'!$H46,4)</f>
        <v>4</v>
      </c>
      <c r="AI46"/>
      <c r="AJ46" s="640"/>
      <c r="AK46" s="640"/>
      <c r="AL46" s="640"/>
      <c r="AM46" s="640"/>
      <c r="AN46" s="640"/>
      <c r="AO46" s="640"/>
      <c r="AP46" s="640"/>
      <c r="AQ46" s="640"/>
      <c r="AR46" s="640"/>
      <c r="AS46" s="640"/>
      <c r="AT46" s="640"/>
      <c r="AU46" s="640"/>
      <c r="AV46" s="640"/>
      <c r="AW46" s="640"/>
      <c r="AX46" s="640"/>
      <c r="AY46" s="640"/>
      <c r="AZ46" s="640"/>
      <c r="BA46" s="640"/>
      <c r="BB46" s="640"/>
      <c r="BC46" s="640"/>
      <c r="BD46" s="640"/>
      <c r="BE46" s="640"/>
      <c r="BF46" s="640"/>
      <c r="BG46" s="640"/>
      <c r="BH46" s="640"/>
      <c r="BI46" s="640"/>
      <c r="BJ46" s="640"/>
      <c r="BK46" s="640"/>
      <c r="BL46" s="640"/>
      <c r="BM46" s="640"/>
      <c r="BN46" s="640"/>
      <c r="BO46" s="640"/>
      <c r="BP46" s="640"/>
      <c r="BQ46" s="640"/>
      <c r="BR46" s="640"/>
      <c r="BS46" s="640"/>
      <c r="BT46" s="640"/>
      <c r="BU46" s="640"/>
      <c r="BV46" s="640"/>
      <c r="BW46" s="640"/>
      <c r="BX46" s="640"/>
      <c r="BY46" s="640"/>
      <c r="BZ46" s="640"/>
      <c r="CA46" s="640"/>
      <c r="CB46" s="640"/>
      <c r="CC46" s="640"/>
      <c r="CD46" s="640"/>
      <c r="CE46" s="640"/>
      <c r="CF46" s="640"/>
      <c r="CG46" s="640"/>
      <c r="CH46" s="640"/>
      <c r="CI46" s="640"/>
      <c r="CJ46" s="640"/>
      <c r="CK46" s="640"/>
      <c r="CL46" s="640"/>
      <c r="CM46" s="640"/>
      <c r="CN46" s="640"/>
      <c r="CO46" s="640"/>
      <c r="CP46" s="640"/>
      <c r="CQ46" s="640"/>
      <c r="CR46" s="640"/>
      <c r="CS46" s="640"/>
      <c r="CT46" s="640"/>
      <c r="CU46" s="640"/>
      <c r="CV46" s="640"/>
      <c r="CW46" s="640"/>
      <c r="CX46" s="640"/>
      <c r="CY46" s="640"/>
      <c r="CZ46" s="640"/>
      <c r="DA46" s="640"/>
      <c r="DB46" s="640"/>
      <c r="DC46" s="640"/>
      <c r="DD46" s="640"/>
      <c r="DE46" s="640"/>
      <c r="DF46" s="640"/>
      <c r="DG46" s="640"/>
      <c r="DH46" s="640"/>
      <c r="DI46" s="640"/>
      <c r="DJ46" s="640"/>
      <c r="DK46" s="640"/>
      <c r="DL46" s="640"/>
      <c r="DM46" s="640"/>
      <c r="DN46" s="640"/>
      <c r="DO46" s="640"/>
      <c r="DP46" s="640"/>
      <c r="DQ46" s="640"/>
      <c r="DR46" s="640"/>
      <c r="DS46" s="640"/>
      <c r="DT46" s="640"/>
      <c r="DU46" s="640"/>
      <c r="DV46" s="640"/>
      <c r="DW46" s="640"/>
      <c r="DX46" s="640"/>
      <c r="DY46" s="640"/>
      <c r="DZ46" s="640"/>
      <c r="EA46" s="640"/>
      <c r="EB46" s="640"/>
      <c r="EC46" s="640"/>
      <c r="ED46" s="640"/>
      <c r="EE46" s="640"/>
      <c r="EF46" s="640"/>
      <c r="EG46" s="640"/>
      <c r="EH46" s="640"/>
      <c r="EI46" s="640"/>
      <c r="EJ46" s="640"/>
      <c r="EK46" s="640"/>
      <c r="EL46" s="640"/>
      <c r="EM46" s="640"/>
      <c r="EN46" s="640"/>
      <c r="EO46" s="640"/>
      <c r="EP46" s="640"/>
      <c r="EQ46" s="640"/>
      <c r="ER46" s="640"/>
      <c r="ES46" s="640"/>
      <c r="ET46" s="640"/>
      <c r="EU46" s="640"/>
      <c r="EV46" s="640"/>
      <c r="EW46" s="640"/>
      <c r="EX46" s="640"/>
      <c r="EY46" s="640"/>
      <c r="EZ46" s="640"/>
      <c r="FA46" s="640"/>
      <c r="FB46" s="640"/>
      <c r="FC46" s="640"/>
      <c r="FD46" s="640"/>
      <c r="FE46" s="640"/>
      <c r="FF46" s="640"/>
      <c r="FG46" s="640"/>
      <c r="FH46" s="640"/>
      <c r="FI46" s="640"/>
      <c r="FJ46" s="640"/>
      <c r="FK46" s="640"/>
      <c r="FL46" s="640"/>
      <c r="FM46" s="640"/>
      <c r="FN46" s="640"/>
      <c r="FO46" s="640"/>
      <c r="FP46" s="640"/>
      <c r="FQ46" s="640"/>
      <c r="FR46" s="640"/>
      <c r="FS46" s="640"/>
      <c r="FT46" s="640"/>
      <c r="FU46" s="640"/>
      <c r="FV46" s="640"/>
      <c r="FW46" s="640"/>
      <c r="FX46" s="640"/>
      <c r="FY46" s="640"/>
      <c r="FZ46" s="640"/>
      <c r="GA46" s="640"/>
      <c r="GB46" s="640"/>
      <c r="GC46" s="640"/>
      <c r="GD46" s="640"/>
      <c r="GE46" s="640"/>
      <c r="GF46" s="640"/>
      <c r="GG46" s="640"/>
      <c r="GH46" s="640"/>
      <c r="GI46" s="640"/>
      <c r="GJ46" s="640"/>
      <c r="GK46" s="640"/>
      <c r="GL46" s="640"/>
      <c r="GM46" s="640"/>
      <c r="GN46" s="640"/>
      <c r="GO46" s="640"/>
      <c r="GP46" s="640"/>
      <c r="GQ46" s="640"/>
      <c r="GR46" s="640"/>
    </row>
    <row r="47" spans="1:200" s="641" customFormat="1" outlineLevel="2" x14ac:dyDescent="0.2">
      <c r="A47" s="636" t="s">
        <v>4309</v>
      </c>
      <c r="B47" s="636" t="s">
        <v>3321</v>
      </c>
      <c r="C47" s="597"/>
      <c r="D47" s="1536"/>
      <c r="E47" s="635"/>
      <c r="F47" s="635"/>
      <c r="G47" s="1517">
        <v>4</v>
      </c>
      <c r="H47" s="1517"/>
      <c r="I47" s="1517"/>
      <c r="J47" s="1517" t="s">
        <v>1592</v>
      </c>
      <c r="K47" s="1518" t="s">
        <v>5908</v>
      </c>
      <c r="L47" s="1518" t="s">
        <v>5882</v>
      </c>
      <c r="M47" s="635"/>
      <c r="N47" s="639"/>
      <c r="O47" s="639"/>
      <c r="P47" s="639"/>
      <c r="Q47" s="639"/>
      <c r="R47" s="639"/>
      <c r="S47" s="639"/>
      <c r="T47" s="639"/>
      <c r="U47" s="639"/>
      <c r="V47" s="639"/>
      <c r="W47" s="639"/>
      <c r="X47" s="639"/>
      <c r="Y47" s="639"/>
      <c r="Z47" s="639"/>
      <c r="AA47">
        <f>IF(AND('12 Ext'!C47&gt;Tmin, NOT('12 Ext'!$I47="")),'12 Ext'!$I47,0)</f>
        <v>0</v>
      </c>
      <c r="AB47">
        <f>IF(AND('12 Ext'!D47&gt;Tmin, NOT('12 Ext'!$I47="")),'12 Ext'!$I47,0)</f>
        <v>0</v>
      </c>
      <c r="AC47">
        <f>IF(AND('12 Ext'!E47&gt;Tmin, NOT('12 Ext'!$I47="")),'12 Ext'!$I47,0)</f>
        <v>0</v>
      </c>
      <c r="AD47">
        <f>IF(AND('12 Ext'!F47&gt;Tmin, NOT('12 Ext'!$I47="")),'12 Ext'!$I47,0)</f>
        <v>0</v>
      </c>
      <c r="AE47">
        <f>IF(AND('12 Ext'!C47&lt;Tmax, NOT('12 Ext'!$H47="")),'12 Ext'!$H47,4)</f>
        <v>4</v>
      </c>
      <c r="AF47">
        <f>IF(AND('12 Ext'!D47&lt;Tmax, NOT('12 Ext'!$H47="")),'12 Ext'!$H47,4)</f>
        <v>4</v>
      </c>
      <c r="AG47">
        <f>IF(AND('12 Ext'!E47&lt;Tmax, NOT('12 Ext'!$H47="")),'12 Ext'!$H47,4)</f>
        <v>4</v>
      </c>
      <c r="AH47">
        <f>IF(AND('12 Ext'!F47&lt;Tmax, NOT('12 Ext'!$H47="")),'12 Ext'!$H47,4)</f>
        <v>4</v>
      </c>
      <c r="AI47"/>
      <c r="AJ47" s="640"/>
      <c r="AK47" s="640"/>
      <c r="AL47" s="640"/>
      <c r="AM47" s="640"/>
      <c r="AN47" s="640"/>
      <c r="AO47" s="640"/>
      <c r="AP47" s="640"/>
      <c r="AQ47" s="640"/>
      <c r="AR47" s="640"/>
      <c r="AS47" s="640"/>
      <c r="AT47" s="640"/>
      <c r="AU47" s="640"/>
      <c r="AV47" s="640"/>
      <c r="AW47" s="640"/>
      <c r="AX47" s="640"/>
      <c r="AY47" s="640"/>
      <c r="AZ47" s="640"/>
      <c r="BA47" s="640"/>
      <c r="BB47" s="640"/>
      <c r="BC47" s="640"/>
      <c r="BD47" s="640"/>
      <c r="BE47" s="640"/>
      <c r="BF47" s="640"/>
      <c r="BG47" s="640"/>
      <c r="BH47" s="640"/>
      <c r="BI47" s="640"/>
      <c r="BJ47" s="640"/>
      <c r="BK47" s="640"/>
      <c r="BL47" s="640"/>
      <c r="BM47" s="640"/>
      <c r="BN47" s="640"/>
      <c r="BO47" s="640"/>
      <c r="BP47" s="640"/>
      <c r="BQ47" s="640"/>
      <c r="BR47" s="640"/>
      <c r="BS47" s="640"/>
      <c r="BT47" s="640"/>
      <c r="BU47" s="640"/>
      <c r="BV47" s="640"/>
      <c r="BW47" s="640"/>
      <c r="BX47" s="640"/>
      <c r="BY47" s="640"/>
      <c r="BZ47" s="640"/>
      <c r="CA47" s="640"/>
      <c r="CB47" s="640"/>
      <c r="CC47" s="640"/>
      <c r="CD47" s="640"/>
      <c r="CE47" s="640"/>
      <c r="CF47" s="640"/>
      <c r="CG47" s="640"/>
      <c r="CH47" s="640"/>
      <c r="CI47" s="640"/>
      <c r="CJ47" s="640"/>
      <c r="CK47" s="640"/>
      <c r="CL47" s="640"/>
      <c r="CM47" s="640"/>
      <c r="CN47" s="640"/>
      <c r="CO47" s="640"/>
      <c r="CP47" s="640"/>
      <c r="CQ47" s="640"/>
      <c r="CR47" s="640"/>
      <c r="CS47" s="640"/>
      <c r="CT47" s="640"/>
      <c r="CU47" s="640"/>
      <c r="CV47" s="640"/>
      <c r="CW47" s="640"/>
      <c r="CX47" s="640"/>
      <c r="CY47" s="640"/>
      <c r="CZ47" s="640"/>
      <c r="DA47" s="640"/>
      <c r="DB47" s="640"/>
      <c r="DC47" s="640"/>
      <c r="DD47" s="640"/>
      <c r="DE47" s="640"/>
      <c r="DF47" s="640"/>
      <c r="DG47" s="640"/>
      <c r="DH47" s="640"/>
      <c r="DI47" s="640"/>
      <c r="DJ47" s="640"/>
      <c r="DK47" s="640"/>
      <c r="DL47" s="640"/>
      <c r="DM47" s="640"/>
      <c r="DN47" s="640"/>
      <c r="DO47" s="640"/>
      <c r="DP47" s="640"/>
      <c r="DQ47" s="640"/>
      <c r="DR47" s="640"/>
      <c r="DS47" s="640"/>
      <c r="DT47" s="640"/>
      <c r="DU47" s="640"/>
      <c r="DV47" s="640"/>
      <c r="DW47" s="640"/>
      <c r="DX47" s="640"/>
      <c r="DY47" s="640"/>
      <c r="DZ47" s="640"/>
      <c r="EA47" s="640"/>
      <c r="EB47" s="640"/>
      <c r="EC47" s="640"/>
      <c r="ED47" s="640"/>
      <c r="EE47" s="640"/>
      <c r="EF47" s="640"/>
      <c r="EG47" s="640"/>
      <c r="EH47" s="640"/>
      <c r="EI47" s="640"/>
      <c r="EJ47" s="640"/>
      <c r="EK47" s="640"/>
      <c r="EL47" s="640"/>
      <c r="EM47" s="640"/>
      <c r="EN47" s="640"/>
      <c r="EO47" s="640"/>
      <c r="EP47" s="640"/>
      <c r="EQ47" s="640"/>
      <c r="ER47" s="640"/>
      <c r="ES47" s="640"/>
      <c r="ET47" s="640"/>
      <c r="EU47" s="640"/>
      <c r="EV47" s="640"/>
      <c r="EW47" s="640"/>
      <c r="EX47" s="640"/>
      <c r="EY47" s="640"/>
      <c r="EZ47" s="640"/>
      <c r="FA47" s="640"/>
      <c r="FB47" s="640"/>
      <c r="FC47" s="640"/>
      <c r="FD47" s="640"/>
      <c r="FE47" s="640"/>
      <c r="FF47" s="640"/>
      <c r="FG47" s="640"/>
      <c r="FH47" s="640"/>
      <c r="FI47" s="640"/>
      <c r="FJ47" s="640"/>
      <c r="FK47" s="640"/>
      <c r="FL47" s="640"/>
      <c r="FM47" s="640"/>
      <c r="FN47" s="640"/>
      <c r="FO47" s="640"/>
      <c r="FP47" s="640"/>
      <c r="FQ47" s="640"/>
      <c r="FR47" s="640"/>
      <c r="FS47" s="640"/>
      <c r="FT47" s="640"/>
      <c r="FU47" s="640"/>
      <c r="FV47" s="640"/>
      <c r="FW47" s="640"/>
      <c r="FX47" s="640"/>
      <c r="FY47" s="640"/>
      <c r="FZ47" s="640"/>
      <c r="GA47" s="640"/>
      <c r="GB47" s="640"/>
      <c r="GC47" s="640"/>
      <c r="GD47" s="640"/>
      <c r="GE47" s="640"/>
      <c r="GF47" s="640"/>
      <c r="GG47" s="640"/>
      <c r="GH47" s="640"/>
      <c r="GI47" s="640"/>
      <c r="GJ47" s="640"/>
      <c r="GK47" s="640"/>
      <c r="GL47" s="640"/>
      <c r="GM47" s="640"/>
      <c r="GN47" s="640"/>
      <c r="GO47" s="640"/>
      <c r="GP47" s="640"/>
      <c r="GQ47" s="640"/>
      <c r="GR47" s="640"/>
    </row>
    <row r="48" spans="1:200" s="641" customFormat="1" ht="22.5" outlineLevel="2" x14ac:dyDescent="0.2">
      <c r="A48" s="636" t="s">
        <v>4310</v>
      </c>
      <c r="B48" s="636" t="s">
        <v>6751</v>
      </c>
      <c r="C48" s="597"/>
      <c r="D48" s="1536"/>
      <c r="E48" s="635"/>
      <c r="F48" s="635"/>
      <c r="G48" s="1517">
        <v>4</v>
      </c>
      <c r="H48" s="1517"/>
      <c r="I48" s="1517"/>
      <c r="J48" s="1517" t="s">
        <v>1592</v>
      </c>
      <c r="K48" s="1518" t="s">
        <v>5908</v>
      </c>
      <c r="L48" s="1518" t="s">
        <v>5882</v>
      </c>
      <c r="M48" s="635"/>
      <c r="N48" s="639"/>
      <c r="O48" s="639"/>
      <c r="P48" s="639"/>
      <c r="Q48" s="639"/>
      <c r="R48" s="639"/>
      <c r="S48" s="639"/>
      <c r="T48" s="639"/>
      <c r="U48" s="639"/>
      <c r="V48" s="639"/>
      <c r="W48" s="639"/>
      <c r="X48" s="639"/>
      <c r="Y48" s="639"/>
      <c r="Z48" s="639"/>
      <c r="AA48">
        <f>IF(AND('12 Ext'!C48&gt;Tmin, NOT('12 Ext'!$I48="")),'12 Ext'!$I48,0)</f>
        <v>0</v>
      </c>
      <c r="AB48">
        <f>IF(AND('12 Ext'!D48&gt;Tmin, NOT('12 Ext'!$I48="")),'12 Ext'!$I48,0)</f>
        <v>0</v>
      </c>
      <c r="AC48">
        <f>IF(AND('12 Ext'!E48&gt;Tmin, NOT('12 Ext'!$I48="")),'12 Ext'!$I48,0)</f>
        <v>0</v>
      </c>
      <c r="AD48">
        <f>IF(AND('12 Ext'!F48&gt;Tmin, NOT('12 Ext'!$I48="")),'12 Ext'!$I48,0)</f>
        <v>0</v>
      </c>
      <c r="AE48">
        <f>IF(AND('12 Ext'!C48&lt;Tmax, NOT('12 Ext'!$H48="")),'12 Ext'!$H48,4)</f>
        <v>4</v>
      </c>
      <c r="AF48">
        <f>IF(AND('12 Ext'!D48&lt;Tmax, NOT('12 Ext'!$H48="")),'12 Ext'!$H48,4)</f>
        <v>4</v>
      </c>
      <c r="AG48">
        <f>IF(AND('12 Ext'!E48&lt;Tmax, NOT('12 Ext'!$H48="")),'12 Ext'!$H48,4)</f>
        <v>4</v>
      </c>
      <c r="AH48">
        <f>IF(AND('12 Ext'!F48&lt;Tmax, NOT('12 Ext'!$H48="")),'12 Ext'!$H48,4)</f>
        <v>4</v>
      </c>
      <c r="AI48"/>
      <c r="AJ48" s="640"/>
      <c r="AK48" s="640"/>
      <c r="AL48" s="640"/>
      <c r="AM48" s="640"/>
      <c r="AN48" s="640"/>
      <c r="AO48" s="640"/>
      <c r="AP48" s="640"/>
      <c r="AQ48" s="640"/>
      <c r="AR48" s="640"/>
      <c r="AS48" s="640"/>
      <c r="AT48" s="640"/>
      <c r="AU48" s="640"/>
      <c r="AV48" s="640"/>
      <c r="AW48" s="640"/>
      <c r="AX48" s="640"/>
      <c r="AY48" s="640"/>
      <c r="AZ48" s="640"/>
      <c r="BA48" s="640"/>
      <c r="BB48" s="640"/>
      <c r="BC48" s="640"/>
      <c r="BD48" s="640"/>
      <c r="BE48" s="640"/>
      <c r="BF48" s="640"/>
      <c r="BG48" s="640"/>
      <c r="BH48" s="640"/>
      <c r="BI48" s="640"/>
      <c r="BJ48" s="640"/>
      <c r="BK48" s="640"/>
      <c r="BL48" s="640"/>
      <c r="BM48" s="640"/>
      <c r="BN48" s="640"/>
      <c r="BO48" s="640"/>
      <c r="BP48" s="640"/>
      <c r="BQ48" s="640"/>
      <c r="BR48" s="640"/>
      <c r="BS48" s="640"/>
      <c r="BT48" s="640"/>
      <c r="BU48" s="640"/>
      <c r="BV48" s="640"/>
      <c r="BW48" s="640"/>
      <c r="BX48" s="640"/>
      <c r="BY48" s="640"/>
      <c r="BZ48" s="640"/>
      <c r="CA48" s="640"/>
      <c r="CB48" s="640"/>
      <c r="CC48" s="640"/>
      <c r="CD48" s="640"/>
      <c r="CE48" s="640"/>
      <c r="CF48" s="640"/>
      <c r="CG48" s="640"/>
      <c r="CH48" s="640"/>
      <c r="CI48" s="640"/>
      <c r="CJ48" s="640"/>
      <c r="CK48" s="640"/>
      <c r="CL48" s="640"/>
      <c r="CM48" s="640"/>
      <c r="CN48" s="640"/>
      <c r="CO48" s="640"/>
      <c r="CP48" s="640"/>
      <c r="CQ48" s="640"/>
      <c r="CR48" s="640"/>
      <c r="CS48" s="640"/>
      <c r="CT48" s="640"/>
      <c r="CU48" s="640"/>
      <c r="CV48" s="640"/>
      <c r="CW48" s="640"/>
      <c r="CX48" s="640"/>
      <c r="CY48" s="640"/>
      <c r="CZ48" s="640"/>
      <c r="DA48" s="640"/>
      <c r="DB48" s="640"/>
      <c r="DC48" s="640"/>
      <c r="DD48" s="640"/>
      <c r="DE48" s="640"/>
      <c r="DF48" s="640"/>
      <c r="DG48" s="640"/>
      <c r="DH48" s="640"/>
      <c r="DI48" s="640"/>
      <c r="DJ48" s="640"/>
      <c r="DK48" s="640"/>
      <c r="DL48" s="640"/>
      <c r="DM48" s="640"/>
      <c r="DN48" s="640"/>
      <c r="DO48" s="640"/>
      <c r="DP48" s="640"/>
      <c r="DQ48" s="640"/>
      <c r="DR48" s="640"/>
      <c r="DS48" s="640"/>
      <c r="DT48" s="640"/>
      <c r="DU48" s="640"/>
      <c r="DV48" s="640"/>
      <c r="DW48" s="640"/>
      <c r="DX48" s="640"/>
      <c r="DY48" s="640"/>
      <c r="DZ48" s="640"/>
      <c r="EA48" s="640"/>
      <c r="EB48" s="640"/>
      <c r="EC48" s="640"/>
      <c r="ED48" s="640"/>
      <c r="EE48" s="640"/>
      <c r="EF48" s="640"/>
      <c r="EG48" s="640"/>
      <c r="EH48" s="640"/>
      <c r="EI48" s="640"/>
      <c r="EJ48" s="640"/>
      <c r="EK48" s="640"/>
      <c r="EL48" s="640"/>
      <c r="EM48" s="640"/>
      <c r="EN48" s="640"/>
      <c r="EO48" s="640"/>
      <c r="EP48" s="640"/>
      <c r="EQ48" s="640"/>
      <c r="ER48" s="640"/>
      <c r="ES48" s="640"/>
      <c r="ET48" s="640"/>
      <c r="EU48" s="640"/>
      <c r="EV48" s="640"/>
      <c r="EW48" s="640"/>
      <c r="EX48" s="640"/>
      <c r="EY48" s="640"/>
      <c r="EZ48" s="640"/>
      <c r="FA48" s="640"/>
      <c r="FB48" s="640"/>
      <c r="FC48" s="640"/>
      <c r="FD48" s="640"/>
      <c r="FE48" s="640"/>
      <c r="FF48" s="640"/>
      <c r="FG48" s="640"/>
      <c r="FH48" s="640"/>
      <c r="FI48" s="640"/>
      <c r="FJ48" s="640"/>
      <c r="FK48" s="640"/>
      <c r="FL48" s="640"/>
      <c r="FM48" s="640"/>
      <c r="FN48" s="640"/>
      <c r="FO48" s="640"/>
      <c r="FP48" s="640"/>
      <c r="FQ48" s="640"/>
      <c r="FR48" s="640"/>
      <c r="FS48" s="640"/>
      <c r="FT48" s="640"/>
      <c r="FU48" s="640"/>
      <c r="FV48" s="640"/>
      <c r="FW48" s="640"/>
      <c r="FX48" s="640"/>
      <c r="FY48" s="640"/>
      <c r="FZ48" s="640"/>
      <c r="GA48" s="640"/>
      <c r="GB48" s="640"/>
      <c r="GC48" s="640"/>
      <c r="GD48" s="640"/>
      <c r="GE48" s="640"/>
      <c r="GF48" s="640"/>
      <c r="GG48" s="640"/>
      <c r="GH48" s="640"/>
      <c r="GI48" s="640"/>
      <c r="GJ48" s="640"/>
      <c r="GK48" s="640"/>
      <c r="GL48" s="640"/>
      <c r="GM48" s="640"/>
      <c r="GN48" s="640"/>
      <c r="GO48" s="640"/>
      <c r="GP48" s="640"/>
      <c r="GQ48" s="640"/>
      <c r="GR48" s="640"/>
    </row>
    <row r="49" spans="1:200" s="641" customFormat="1" outlineLevel="2" x14ac:dyDescent="0.2">
      <c r="A49" s="636" t="s">
        <v>4311</v>
      </c>
      <c r="B49" s="636" t="s">
        <v>6101</v>
      </c>
      <c r="C49" s="597"/>
      <c r="D49" s="1536"/>
      <c r="E49" s="635"/>
      <c r="F49" s="635"/>
      <c r="G49" s="1517">
        <v>4</v>
      </c>
      <c r="H49" s="1517"/>
      <c r="I49" s="1517"/>
      <c r="J49" s="1517" t="s">
        <v>1592</v>
      </c>
      <c r="K49" s="1518" t="s">
        <v>5908</v>
      </c>
      <c r="L49" s="1518" t="s">
        <v>5882</v>
      </c>
      <c r="M49" s="635"/>
      <c r="N49" s="639"/>
      <c r="O49" s="639"/>
      <c r="P49" s="639"/>
      <c r="Q49" s="639"/>
      <c r="R49" s="639"/>
      <c r="S49" s="639"/>
      <c r="T49" s="639"/>
      <c r="U49" s="639"/>
      <c r="V49" s="639"/>
      <c r="W49" s="639"/>
      <c r="X49" s="639"/>
      <c r="Y49" s="639"/>
      <c r="Z49" s="639"/>
      <c r="AA49">
        <f>IF(AND('12 Ext'!C49&gt;Tmin, NOT('12 Ext'!$I49="")),'12 Ext'!$I49,0)</f>
        <v>0</v>
      </c>
      <c r="AB49">
        <f>IF(AND('12 Ext'!D49&gt;Tmin, NOT('12 Ext'!$I49="")),'12 Ext'!$I49,0)</f>
        <v>0</v>
      </c>
      <c r="AC49">
        <f>IF(AND('12 Ext'!E49&gt;Tmin, NOT('12 Ext'!$I49="")),'12 Ext'!$I49,0)</f>
        <v>0</v>
      </c>
      <c r="AD49">
        <f>IF(AND('12 Ext'!F49&gt;Tmin, NOT('12 Ext'!$I49="")),'12 Ext'!$I49,0)</f>
        <v>0</v>
      </c>
      <c r="AE49">
        <f>IF(AND('12 Ext'!C49&lt;Tmax, NOT('12 Ext'!$H49="")),'12 Ext'!$H49,4)</f>
        <v>4</v>
      </c>
      <c r="AF49">
        <f>IF(AND('12 Ext'!D49&lt;Tmax, NOT('12 Ext'!$H49="")),'12 Ext'!$H49,4)</f>
        <v>4</v>
      </c>
      <c r="AG49">
        <f>IF(AND('12 Ext'!E49&lt;Tmax, NOT('12 Ext'!$H49="")),'12 Ext'!$H49,4)</f>
        <v>4</v>
      </c>
      <c r="AH49">
        <f>IF(AND('12 Ext'!F49&lt;Tmax, NOT('12 Ext'!$H49="")),'12 Ext'!$H49,4)</f>
        <v>4</v>
      </c>
      <c r="AI49"/>
      <c r="AJ49" s="640"/>
      <c r="AK49" s="640"/>
      <c r="AL49" s="640"/>
      <c r="AM49" s="640"/>
      <c r="AN49" s="640"/>
      <c r="AO49" s="640"/>
      <c r="AP49" s="640"/>
      <c r="AQ49" s="640"/>
      <c r="AR49" s="640"/>
      <c r="AS49" s="640"/>
      <c r="AT49" s="640"/>
      <c r="AU49" s="640"/>
      <c r="AV49" s="640"/>
      <c r="AW49" s="640"/>
      <c r="AX49" s="640"/>
      <c r="AY49" s="640"/>
      <c r="AZ49" s="640"/>
      <c r="BA49" s="640"/>
      <c r="BB49" s="640"/>
      <c r="BC49" s="640"/>
      <c r="BD49" s="640"/>
      <c r="BE49" s="640"/>
      <c r="BF49" s="640"/>
      <c r="BG49" s="640"/>
      <c r="BH49" s="640"/>
      <c r="BI49" s="640"/>
      <c r="BJ49" s="640"/>
      <c r="BK49" s="640"/>
      <c r="BL49" s="640"/>
      <c r="BM49" s="640"/>
      <c r="BN49" s="640"/>
      <c r="BO49" s="640"/>
      <c r="BP49" s="640"/>
      <c r="BQ49" s="640"/>
      <c r="BR49" s="640"/>
      <c r="BS49" s="640"/>
      <c r="BT49" s="640"/>
      <c r="BU49" s="640"/>
      <c r="BV49" s="640"/>
      <c r="BW49" s="640"/>
      <c r="BX49" s="640"/>
      <c r="BY49" s="640"/>
      <c r="BZ49" s="640"/>
      <c r="CA49" s="640"/>
      <c r="CB49" s="640"/>
      <c r="CC49" s="640"/>
      <c r="CD49" s="640"/>
      <c r="CE49" s="640"/>
      <c r="CF49" s="640"/>
      <c r="CG49" s="640"/>
      <c r="CH49" s="640"/>
      <c r="CI49" s="640"/>
      <c r="CJ49" s="640"/>
      <c r="CK49" s="640"/>
      <c r="CL49" s="640"/>
      <c r="CM49" s="640"/>
      <c r="CN49" s="640"/>
      <c r="CO49" s="640"/>
      <c r="CP49" s="640"/>
      <c r="CQ49" s="640"/>
      <c r="CR49" s="640"/>
      <c r="CS49" s="640"/>
      <c r="CT49" s="640"/>
      <c r="CU49" s="640"/>
      <c r="CV49" s="640"/>
      <c r="CW49" s="640"/>
      <c r="CX49" s="640"/>
      <c r="CY49" s="640"/>
      <c r="CZ49" s="640"/>
      <c r="DA49" s="640"/>
      <c r="DB49" s="640"/>
      <c r="DC49" s="640"/>
      <c r="DD49" s="640"/>
      <c r="DE49" s="640"/>
      <c r="DF49" s="640"/>
      <c r="DG49" s="640"/>
      <c r="DH49" s="640"/>
      <c r="DI49" s="640"/>
      <c r="DJ49" s="640"/>
      <c r="DK49" s="640"/>
      <c r="DL49" s="640"/>
      <c r="DM49" s="640"/>
      <c r="DN49" s="640"/>
      <c r="DO49" s="640"/>
      <c r="DP49" s="640"/>
      <c r="DQ49" s="640"/>
      <c r="DR49" s="640"/>
      <c r="DS49" s="640"/>
      <c r="DT49" s="640"/>
      <c r="DU49" s="640"/>
      <c r="DV49" s="640"/>
      <c r="DW49" s="640"/>
      <c r="DX49" s="640"/>
      <c r="DY49" s="640"/>
      <c r="DZ49" s="640"/>
      <c r="EA49" s="640"/>
      <c r="EB49" s="640"/>
      <c r="EC49" s="640"/>
      <c r="ED49" s="640"/>
      <c r="EE49" s="640"/>
      <c r="EF49" s="640"/>
      <c r="EG49" s="640"/>
      <c r="EH49" s="640"/>
      <c r="EI49" s="640"/>
      <c r="EJ49" s="640"/>
      <c r="EK49" s="640"/>
      <c r="EL49" s="640"/>
      <c r="EM49" s="640"/>
      <c r="EN49" s="640"/>
      <c r="EO49" s="640"/>
      <c r="EP49" s="640"/>
      <c r="EQ49" s="640"/>
      <c r="ER49" s="640"/>
      <c r="ES49" s="640"/>
      <c r="ET49" s="640"/>
      <c r="EU49" s="640"/>
      <c r="EV49" s="640"/>
      <c r="EW49" s="640"/>
      <c r="EX49" s="640"/>
      <c r="EY49" s="640"/>
      <c r="EZ49" s="640"/>
      <c r="FA49" s="640"/>
      <c r="FB49" s="640"/>
      <c r="FC49" s="640"/>
      <c r="FD49" s="640"/>
      <c r="FE49" s="640"/>
      <c r="FF49" s="640"/>
      <c r="FG49" s="640"/>
      <c r="FH49" s="640"/>
      <c r="FI49" s="640"/>
      <c r="FJ49" s="640"/>
      <c r="FK49" s="640"/>
      <c r="FL49" s="640"/>
      <c r="FM49" s="640"/>
      <c r="FN49" s="640"/>
      <c r="FO49" s="640"/>
      <c r="FP49" s="640"/>
      <c r="FQ49" s="640"/>
      <c r="FR49" s="640"/>
      <c r="FS49" s="640"/>
      <c r="FT49" s="640"/>
      <c r="FU49" s="640"/>
      <c r="FV49" s="640"/>
      <c r="FW49" s="640"/>
      <c r="FX49" s="640"/>
      <c r="FY49" s="640"/>
      <c r="FZ49" s="640"/>
      <c r="GA49" s="640"/>
      <c r="GB49" s="640"/>
      <c r="GC49" s="640"/>
      <c r="GD49" s="640"/>
      <c r="GE49" s="640"/>
      <c r="GF49" s="640"/>
      <c r="GG49" s="640"/>
      <c r="GH49" s="640"/>
      <c r="GI49" s="640"/>
      <c r="GJ49" s="640"/>
      <c r="GK49" s="640"/>
      <c r="GL49" s="640"/>
      <c r="GM49" s="640"/>
      <c r="GN49" s="640"/>
      <c r="GO49" s="640"/>
      <c r="GP49" s="640"/>
      <c r="GQ49" s="640"/>
      <c r="GR49" s="640"/>
    </row>
    <row r="50" spans="1:200" s="641" customFormat="1" outlineLevel="2" x14ac:dyDescent="0.2">
      <c r="A50" s="636" t="s">
        <v>4312</v>
      </c>
      <c r="B50" s="636" t="s">
        <v>3884</v>
      </c>
      <c r="C50" s="597"/>
      <c r="D50" s="1536"/>
      <c r="E50" s="635"/>
      <c r="F50" s="635"/>
      <c r="G50" s="1517">
        <v>2</v>
      </c>
      <c r="H50" s="1517"/>
      <c r="I50" s="1517"/>
      <c r="J50" s="1517" t="s">
        <v>2349</v>
      </c>
      <c r="K50" s="1518"/>
      <c r="L50" s="1518"/>
      <c r="M50" s="635"/>
      <c r="N50" s="639"/>
      <c r="O50" s="639"/>
      <c r="P50" s="639"/>
      <c r="Q50" s="639"/>
      <c r="R50" s="639"/>
      <c r="S50" s="639"/>
      <c r="T50" s="639"/>
      <c r="U50" s="639"/>
      <c r="V50" s="639"/>
      <c r="W50" s="639"/>
      <c r="X50" s="639"/>
      <c r="Y50" s="639"/>
      <c r="Z50" s="639"/>
      <c r="AA50">
        <f>IF(AND('12 Ext'!C50&gt;Tmin, NOT('12 Ext'!$I50="")),'12 Ext'!$I50,0)</f>
        <v>0</v>
      </c>
      <c r="AB50">
        <f>IF(AND('12 Ext'!D50&gt;Tmin, NOT('12 Ext'!$I50="")),'12 Ext'!$I50,0)</f>
        <v>0</v>
      </c>
      <c r="AC50">
        <f>IF(AND('12 Ext'!E50&gt;Tmin, NOT('12 Ext'!$I50="")),'12 Ext'!$I50,0)</f>
        <v>0</v>
      </c>
      <c r="AD50">
        <f>IF(AND('12 Ext'!F50&gt;Tmin, NOT('12 Ext'!$I50="")),'12 Ext'!$I50,0)</f>
        <v>0</v>
      </c>
      <c r="AE50">
        <f>IF(AND('12 Ext'!C50&lt;Tmax, NOT('12 Ext'!$H50="")),'12 Ext'!$H50,4)</f>
        <v>4</v>
      </c>
      <c r="AF50">
        <f>IF(AND('12 Ext'!D50&lt;Tmax, NOT('12 Ext'!$H50="")),'12 Ext'!$H50,4)</f>
        <v>4</v>
      </c>
      <c r="AG50">
        <f>IF(AND('12 Ext'!E50&lt;Tmax, NOT('12 Ext'!$H50="")),'12 Ext'!$H50,4)</f>
        <v>4</v>
      </c>
      <c r="AH50">
        <f>IF(AND('12 Ext'!F50&lt;Tmax, NOT('12 Ext'!$H50="")),'12 Ext'!$H50,4)</f>
        <v>4</v>
      </c>
      <c r="AI50"/>
      <c r="AJ50" s="640"/>
      <c r="AK50" s="640"/>
      <c r="AL50" s="640"/>
      <c r="AM50" s="640"/>
      <c r="AN50" s="640"/>
      <c r="AO50" s="640"/>
      <c r="AP50" s="640"/>
      <c r="AQ50" s="640"/>
      <c r="AR50" s="640"/>
      <c r="AS50" s="640"/>
      <c r="AT50" s="640"/>
      <c r="AU50" s="640"/>
      <c r="AV50" s="640"/>
      <c r="AW50" s="640"/>
      <c r="AX50" s="640"/>
      <c r="AY50" s="640"/>
      <c r="AZ50" s="640"/>
      <c r="BA50" s="640"/>
      <c r="BB50" s="640"/>
      <c r="BC50" s="640"/>
      <c r="BD50" s="640"/>
      <c r="BE50" s="640"/>
      <c r="BF50" s="640"/>
      <c r="BG50" s="640"/>
      <c r="BH50" s="640"/>
      <c r="BI50" s="640"/>
      <c r="BJ50" s="640"/>
      <c r="BK50" s="640"/>
      <c r="BL50" s="640"/>
      <c r="BM50" s="640"/>
      <c r="BN50" s="640"/>
      <c r="BO50" s="640"/>
      <c r="BP50" s="640"/>
      <c r="BQ50" s="640"/>
      <c r="BR50" s="640"/>
      <c r="BS50" s="640"/>
      <c r="BT50" s="640"/>
      <c r="BU50" s="640"/>
      <c r="BV50" s="640"/>
      <c r="BW50" s="640"/>
      <c r="BX50" s="640"/>
      <c r="BY50" s="640"/>
      <c r="BZ50" s="640"/>
      <c r="CA50" s="640"/>
      <c r="CB50" s="640"/>
      <c r="CC50" s="640"/>
      <c r="CD50" s="640"/>
      <c r="CE50" s="640"/>
      <c r="CF50" s="640"/>
      <c r="CG50" s="640"/>
      <c r="CH50" s="640"/>
      <c r="CI50" s="640"/>
      <c r="CJ50" s="640"/>
      <c r="CK50" s="640"/>
      <c r="CL50" s="640"/>
      <c r="CM50" s="640"/>
      <c r="CN50" s="640"/>
      <c r="CO50" s="640"/>
      <c r="CP50" s="640"/>
      <c r="CQ50" s="640"/>
      <c r="CR50" s="640"/>
      <c r="CS50" s="640"/>
      <c r="CT50" s="640"/>
      <c r="CU50" s="640"/>
      <c r="CV50" s="640"/>
      <c r="CW50" s="640"/>
      <c r="CX50" s="640"/>
      <c r="CY50" s="640"/>
      <c r="CZ50" s="640"/>
      <c r="DA50" s="640"/>
      <c r="DB50" s="640"/>
      <c r="DC50" s="640"/>
      <c r="DD50" s="640"/>
      <c r="DE50" s="640"/>
      <c r="DF50" s="640"/>
      <c r="DG50" s="640"/>
      <c r="DH50" s="640"/>
      <c r="DI50" s="640"/>
      <c r="DJ50" s="640"/>
      <c r="DK50" s="640"/>
      <c r="DL50" s="640"/>
      <c r="DM50" s="640"/>
      <c r="DN50" s="640"/>
      <c r="DO50" s="640"/>
      <c r="DP50" s="640"/>
      <c r="DQ50" s="640"/>
      <c r="DR50" s="640"/>
      <c r="DS50" s="640"/>
      <c r="DT50" s="640"/>
      <c r="DU50" s="640"/>
      <c r="DV50" s="640"/>
      <c r="DW50" s="640"/>
      <c r="DX50" s="640"/>
      <c r="DY50" s="640"/>
      <c r="DZ50" s="640"/>
      <c r="EA50" s="640"/>
      <c r="EB50" s="640"/>
      <c r="EC50" s="640"/>
      <c r="ED50" s="640"/>
      <c r="EE50" s="640"/>
      <c r="EF50" s="640"/>
      <c r="EG50" s="640"/>
      <c r="EH50" s="640"/>
      <c r="EI50" s="640"/>
      <c r="EJ50" s="640"/>
      <c r="EK50" s="640"/>
      <c r="EL50" s="640"/>
      <c r="EM50" s="640"/>
      <c r="EN50" s="640"/>
      <c r="EO50" s="640"/>
      <c r="EP50" s="640"/>
      <c r="EQ50" s="640"/>
      <c r="ER50" s="640"/>
      <c r="ES50" s="640"/>
      <c r="ET50" s="640"/>
      <c r="EU50" s="640"/>
      <c r="EV50" s="640"/>
      <c r="EW50" s="640"/>
      <c r="EX50" s="640"/>
      <c r="EY50" s="640"/>
      <c r="EZ50" s="640"/>
      <c r="FA50" s="640"/>
      <c r="FB50" s="640"/>
      <c r="FC50" s="640"/>
      <c r="FD50" s="640"/>
      <c r="FE50" s="640"/>
      <c r="FF50" s="640"/>
      <c r="FG50" s="640"/>
      <c r="FH50" s="640"/>
      <c r="FI50" s="640"/>
      <c r="FJ50" s="640"/>
      <c r="FK50" s="640"/>
      <c r="FL50" s="640"/>
      <c r="FM50" s="640"/>
      <c r="FN50" s="640"/>
      <c r="FO50" s="640"/>
      <c r="FP50" s="640"/>
      <c r="FQ50" s="640"/>
      <c r="FR50" s="640"/>
      <c r="FS50" s="640"/>
      <c r="FT50" s="640"/>
      <c r="FU50" s="640"/>
      <c r="FV50" s="640"/>
      <c r="FW50" s="640"/>
      <c r="FX50" s="640"/>
      <c r="FY50" s="640"/>
      <c r="FZ50" s="640"/>
      <c r="GA50" s="640"/>
      <c r="GB50" s="640"/>
      <c r="GC50" s="640"/>
      <c r="GD50" s="640"/>
      <c r="GE50" s="640"/>
      <c r="GF50" s="640"/>
      <c r="GG50" s="640"/>
      <c r="GH50" s="640"/>
      <c r="GI50" s="640"/>
      <c r="GJ50" s="640"/>
      <c r="GK50" s="640"/>
      <c r="GL50" s="640"/>
      <c r="GM50" s="640"/>
      <c r="GN50" s="640"/>
      <c r="GO50" s="640"/>
      <c r="GP50" s="640"/>
      <c r="GQ50" s="640"/>
      <c r="GR50" s="640"/>
    </row>
    <row r="51" spans="1:200" s="641" customFormat="1" outlineLevel="2" x14ac:dyDescent="0.2">
      <c r="A51" s="636" t="s">
        <v>4313</v>
      </c>
      <c r="B51" s="636" t="s">
        <v>3886</v>
      </c>
      <c r="C51" s="597"/>
      <c r="D51" s="1536"/>
      <c r="E51" s="635"/>
      <c r="F51" s="635"/>
      <c r="G51" s="1517">
        <v>2</v>
      </c>
      <c r="H51" s="1517"/>
      <c r="I51" s="1517"/>
      <c r="J51" s="1517" t="s">
        <v>2109</v>
      </c>
      <c r="K51" s="1518"/>
      <c r="L51" s="1518"/>
      <c r="M51" s="635"/>
      <c r="N51" s="639"/>
      <c r="O51" s="639"/>
      <c r="P51" s="639"/>
      <c r="Q51" s="639"/>
      <c r="R51" s="639"/>
      <c r="S51" s="639"/>
      <c r="T51" s="639"/>
      <c r="U51" s="639"/>
      <c r="V51" s="639"/>
      <c r="W51" s="639"/>
      <c r="X51" s="639"/>
      <c r="Y51" s="639"/>
      <c r="Z51" s="639"/>
      <c r="AA51">
        <f>IF(AND('12 Ext'!C51&gt;Tmin, NOT('12 Ext'!$I51="")),'12 Ext'!$I51,0)</f>
        <v>0</v>
      </c>
      <c r="AB51">
        <f>IF(AND('12 Ext'!D51&gt;Tmin, NOT('12 Ext'!$I51="")),'12 Ext'!$I51,0)</f>
        <v>0</v>
      </c>
      <c r="AC51">
        <f>IF(AND('12 Ext'!E51&gt;Tmin, NOT('12 Ext'!$I51="")),'12 Ext'!$I51,0)</f>
        <v>0</v>
      </c>
      <c r="AD51">
        <f>IF(AND('12 Ext'!F51&gt;Tmin, NOT('12 Ext'!$I51="")),'12 Ext'!$I51,0)</f>
        <v>0</v>
      </c>
      <c r="AE51">
        <f>IF(AND('12 Ext'!C51&lt;Tmax, NOT('12 Ext'!$H51="")),'12 Ext'!$H51,4)</f>
        <v>4</v>
      </c>
      <c r="AF51">
        <f>IF(AND('12 Ext'!D51&lt;Tmax, NOT('12 Ext'!$H51="")),'12 Ext'!$H51,4)</f>
        <v>4</v>
      </c>
      <c r="AG51">
        <f>IF(AND('12 Ext'!E51&lt;Tmax, NOT('12 Ext'!$H51="")),'12 Ext'!$H51,4)</f>
        <v>4</v>
      </c>
      <c r="AH51">
        <f>IF(AND('12 Ext'!F51&lt;Tmax, NOT('12 Ext'!$H51="")),'12 Ext'!$H51,4)</f>
        <v>4</v>
      </c>
      <c r="AI51"/>
      <c r="AJ51" s="640"/>
      <c r="AK51" s="640"/>
      <c r="AL51" s="640"/>
      <c r="AM51" s="640"/>
      <c r="AN51" s="640"/>
      <c r="AO51" s="640"/>
      <c r="AP51" s="640"/>
      <c r="AQ51" s="640"/>
      <c r="AR51" s="640"/>
      <c r="AS51" s="640"/>
      <c r="AT51" s="640"/>
      <c r="AU51" s="640"/>
      <c r="AV51" s="640"/>
      <c r="AW51" s="640"/>
      <c r="AX51" s="640"/>
      <c r="AY51" s="640"/>
      <c r="AZ51" s="640"/>
      <c r="BA51" s="640"/>
      <c r="BB51" s="640"/>
      <c r="BC51" s="640"/>
      <c r="BD51" s="640"/>
      <c r="BE51" s="640"/>
      <c r="BF51" s="640"/>
      <c r="BG51" s="640"/>
      <c r="BH51" s="640"/>
      <c r="BI51" s="640"/>
      <c r="BJ51" s="640"/>
      <c r="BK51" s="640"/>
      <c r="BL51" s="640"/>
      <c r="BM51" s="640"/>
      <c r="BN51" s="640"/>
      <c r="BO51" s="640"/>
      <c r="BP51" s="640"/>
      <c r="BQ51" s="640"/>
      <c r="BR51" s="640"/>
      <c r="BS51" s="640"/>
      <c r="BT51" s="640"/>
      <c r="BU51" s="640"/>
      <c r="BV51" s="640"/>
      <c r="BW51" s="640"/>
      <c r="BX51" s="640"/>
      <c r="BY51" s="640"/>
      <c r="BZ51" s="640"/>
      <c r="CA51" s="640"/>
      <c r="CB51" s="640"/>
      <c r="CC51" s="640"/>
      <c r="CD51" s="640"/>
      <c r="CE51" s="640"/>
      <c r="CF51" s="640"/>
      <c r="CG51" s="640"/>
      <c r="CH51" s="640"/>
      <c r="CI51" s="640"/>
      <c r="CJ51" s="640"/>
      <c r="CK51" s="640"/>
      <c r="CL51" s="640"/>
      <c r="CM51" s="640"/>
      <c r="CN51" s="640"/>
      <c r="CO51" s="640"/>
      <c r="CP51" s="640"/>
      <c r="CQ51" s="640"/>
      <c r="CR51" s="640"/>
      <c r="CS51" s="640"/>
      <c r="CT51" s="640"/>
      <c r="CU51" s="640"/>
      <c r="CV51" s="640"/>
      <c r="CW51" s="640"/>
      <c r="CX51" s="640"/>
      <c r="CY51" s="640"/>
      <c r="CZ51" s="640"/>
      <c r="DA51" s="640"/>
      <c r="DB51" s="640"/>
      <c r="DC51" s="640"/>
      <c r="DD51" s="640"/>
      <c r="DE51" s="640"/>
      <c r="DF51" s="640"/>
      <c r="DG51" s="640"/>
      <c r="DH51" s="640"/>
      <c r="DI51" s="640"/>
      <c r="DJ51" s="640"/>
      <c r="DK51" s="640"/>
      <c r="DL51" s="640"/>
      <c r="DM51" s="640"/>
      <c r="DN51" s="640"/>
      <c r="DO51" s="640"/>
      <c r="DP51" s="640"/>
      <c r="DQ51" s="640"/>
      <c r="DR51" s="640"/>
      <c r="DS51" s="640"/>
      <c r="DT51" s="640"/>
      <c r="DU51" s="640"/>
      <c r="DV51" s="640"/>
      <c r="DW51" s="640"/>
      <c r="DX51" s="640"/>
      <c r="DY51" s="640"/>
      <c r="DZ51" s="640"/>
      <c r="EA51" s="640"/>
      <c r="EB51" s="640"/>
      <c r="EC51" s="640"/>
      <c r="ED51" s="640"/>
      <c r="EE51" s="640"/>
      <c r="EF51" s="640"/>
      <c r="EG51" s="640"/>
      <c r="EH51" s="640"/>
      <c r="EI51" s="640"/>
      <c r="EJ51" s="640"/>
      <c r="EK51" s="640"/>
      <c r="EL51" s="640"/>
      <c r="EM51" s="640"/>
      <c r="EN51" s="640"/>
      <c r="EO51" s="640"/>
      <c r="EP51" s="640"/>
      <c r="EQ51" s="640"/>
      <c r="ER51" s="640"/>
      <c r="ES51" s="640"/>
      <c r="ET51" s="640"/>
      <c r="EU51" s="640"/>
      <c r="EV51" s="640"/>
      <c r="EW51" s="640"/>
      <c r="EX51" s="640"/>
      <c r="EY51" s="640"/>
      <c r="EZ51" s="640"/>
      <c r="FA51" s="640"/>
      <c r="FB51" s="640"/>
      <c r="FC51" s="640"/>
      <c r="FD51" s="640"/>
      <c r="FE51" s="640"/>
      <c r="FF51" s="640"/>
      <c r="FG51" s="640"/>
      <c r="FH51" s="640"/>
      <c r="FI51" s="640"/>
      <c r="FJ51" s="640"/>
      <c r="FK51" s="640"/>
      <c r="FL51" s="640"/>
      <c r="FM51" s="640"/>
      <c r="FN51" s="640"/>
      <c r="FO51" s="640"/>
      <c r="FP51" s="640"/>
      <c r="FQ51" s="640"/>
      <c r="FR51" s="640"/>
      <c r="FS51" s="640"/>
      <c r="FT51" s="640"/>
      <c r="FU51" s="640"/>
      <c r="FV51" s="640"/>
      <c r="FW51" s="640"/>
      <c r="FX51" s="640"/>
      <c r="FY51" s="640"/>
      <c r="FZ51" s="640"/>
      <c r="GA51" s="640"/>
      <c r="GB51" s="640"/>
      <c r="GC51" s="640"/>
      <c r="GD51" s="640"/>
      <c r="GE51" s="640"/>
      <c r="GF51" s="640"/>
      <c r="GG51" s="640"/>
      <c r="GH51" s="640"/>
      <c r="GI51" s="640"/>
      <c r="GJ51" s="640"/>
      <c r="GK51" s="640"/>
      <c r="GL51" s="640"/>
      <c r="GM51" s="640"/>
      <c r="GN51" s="640"/>
      <c r="GO51" s="640"/>
      <c r="GP51" s="640"/>
      <c r="GQ51" s="640"/>
      <c r="GR51" s="640"/>
    </row>
    <row r="52" spans="1:200" s="643" customFormat="1" outlineLevel="1" x14ac:dyDescent="0.2">
      <c r="A52" s="633" t="s">
        <v>2270</v>
      </c>
      <c r="B52" s="634" t="s">
        <v>2277</v>
      </c>
      <c r="C52" s="597"/>
      <c r="D52" s="1539"/>
      <c r="E52" s="593"/>
      <c r="F52" s="593"/>
      <c r="G52" s="1517"/>
      <c r="H52" s="1517"/>
      <c r="I52" s="1517"/>
      <c r="J52" s="1517"/>
      <c r="K52" s="1518"/>
      <c r="L52" s="1518"/>
      <c r="M52" s="642"/>
      <c r="N52" s="589"/>
      <c r="O52" s="589"/>
      <c r="P52" s="589"/>
      <c r="Q52" s="589"/>
      <c r="R52" s="589"/>
      <c r="S52" s="589"/>
      <c r="T52" s="589"/>
      <c r="U52" s="589"/>
      <c r="V52" s="589"/>
      <c r="W52" s="589"/>
      <c r="X52" s="589"/>
      <c r="Y52" s="589"/>
      <c r="Z52" s="589"/>
      <c r="AA52"/>
      <c r="AB52"/>
      <c r="AC52"/>
      <c r="AD52"/>
      <c r="AE52"/>
      <c r="AF52"/>
      <c r="AG52"/>
      <c r="AH52"/>
      <c r="AI52"/>
      <c r="AJ52" s="590"/>
      <c r="AK52" s="590"/>
      <c r="AL52" s="590"/>
      <c r="AM52" s="590"/>
      <c r="AN52" s="590"/>
      <c r="AO52" s="590"/>
      <c r="AP52" s="590"/>
      <c r="AQ52" s="590"/>
      <c r="AR52" s="590"/>
      <c r="AS52" s="590"/>
      <c r="AT52" s="590"/>
      <c r="AU52" s="590"/>
      <c r="AV52" s="590"/>
      <c r="AW52" s="590"/>
      <c r="AX52" s="590"/>
      <c r="AY52" s="590"/>
      <c r="AZ52" s="590"/>
      <c r="BA52" s="590"/>
      <c r="BB52" s="590"/>
      <c r="BC52" s="590"/>
      <c r="BD52" s="590"/>
      <c r="BE52" s="590"/>
      <c r="BF52" s="590"/>
      <c r="BG52" s="590"/>
      <c r="BH52" s="590"/>
      <c r="BI52" s="590"/>
      <c r="BJ52" s="590"/>
      <c r="BK52" s="590"/>
      <c r="BL52" s="590"/>
      <c r="BM52" s="590"/>
      <c r="BN52" s="590"/>
      <c r="BO52" s="590"/>
      <c r="BP52" s="590"/>
      <c r="BQ52" s="590"/>
      <c r="BR52" s="590"/>
      <c r="BS52" s="590"/>
      <c r="BT52" s="590"/>
      <c r="BU52" s="590"/>
      <c r="BV52" s="590"/>
      <c r="BW52" s="590"/>
      <c r="BX52" s="590"/>
      <c r="BY52" s="590"/>
      <c r="BZ52" s="590"/>
      <c r="CA52" s="590"/>
      <c r="CB52" s="590"/>
      <c r="CC52" s="590"/>
      <c r="CD52" s="590"/>
      <c r="CE52" s="590"/>
      <c r="CF52" s="590"/>
      <c r="CG52" s="590"/>
      <c r="CH52" s="590"/>
      <c r="CI52" s="590"/>
      <c r="CJ52" s="590"/>
      <c r="CK52" s="590"/>
      <c r="CL52" s="590"/>
      <c r="CM52" s="590"/>
      <c r="CN52" s="590"/>
      <c r="CO52" s="590"/>
      <c r="CP52" s="590"/>
      <c r="CQ52" s="590"/>
      <c r="CR52" s="590"/>
      <c r="CS52" s="590"/>
      <c r="CT52" s="590"/>
      <c r="CU52" s="590"/>
      <c r="CV52" s="590"/>
      <c r="CW52" s="590"/>
      <c r="CX52" s="590"/>
      <c r="CY52" s="590"/>
      <c r="CZ52" s="590"/>
      <c r="DA52" s="590"/>
      <c r="DB52" s="590"/>
      <c r="DC52" s="590"/>
      <c r="DD52" s="590"/>
      <c r="DE52" s="590"/>
      <c r="DF52" s="590"/>
      <c r="DG52" s="590"/>
      <c r="DH52" s="590"/>
      <c r="DI52" s="590"/>
      <c r="DJ52" s="590"/>
      <c r="DK52" s="590"/>
      <c r="DL52" s="590"/>
      <c r="DM52" s="590"/>
      <c r="DN52" s="590"/>
      <c r="DO52" s="590"/>
      <c r="DP52" s="590"/>
      <c r="DQ52" s="590"/>
      <c r="DR52" s="590"/>
      <c r="DS52" s="590"/>
      <c r="DT52" s="590"/>
      <c r="DU52" s="590"/>
      <c r="DV52" s="590"/>
      <c r="DW52" s="590"/>
      <c r="DX52" s="590"/>
      <c r="DY52" s="590"/>
      <c r="DZ52" s="590"/>
      <c r="EA52" s="590"/>
      <c r="EB52" s="590"/>
      <c r="EC52" s="590"/>
      <c r="ED52" s="590"/>
      <c r="EE52" s="590"/>
      <c r="EF52" s="590"/>
      <c r="EG52" s="590"/>
      <c r="EH52" s="590"/>
      <c r="EI52" s="590"/>
      <c r="EJ52" s="590"/>
      <c r="EK52" s="590"/>
      <c r="EL52" s="590"/>
      <c r="EM52" s="590"/>
      <c r="EN52" s="590"/>
      <c r="EO52" s="590"/>
      <c r="EP52" s="590"/>
      <c r="EQ52" s="590"/>
      <c r="ER52" s="590"/>
      <c r="ES52" s="590"/>
      <c r="ET52" s="590"/>
      <c r="EU52" s="590"/>
      <c r="EV52" s="590"/>
      <c r="EW52" s="590"/>
      <c r="EX52" s="590"/>
      <c r="EY52" s="590"/>
      <c r="EZ52" s="590"/>
      <c r="FA52" s="590"/>
      <c r="FB52" s="590"/>
      <c r="FC52" s="590"/>
      <c r="FD52" s="590"/>
      <c r="FE52" s="590"/>
      <c r="FF52" s="590"/>
      <c r="FG52" s="590"/>
      <c r="FH52" s="590"/>
      <c r="FI52" s="590"/>
      <c r="FJ52" s="590"/>
      <c r="FK52" s="590"/>
      <c r="FL52" s="590"/>
      <c r="FM52" s="590"/>
      <c r="FN52" s="590"/>
      <c r="FO52" s="590"/>
      <c r="FP52" s="590"/>
      <c r="FQ52" s="590"/>
      <c r="FR52" s="590"/>
      <c r="FS52" s="590"/>
      <c r="FT52" s="590"/>
      <c r="FU52" s="590"/>
      <c r="FV52" s="590"/>
      <c r="FW52" s="590"/>
      <c r="FX52" s="590"/>
      <c r="FY52" s="590"/>
      <c r="FZ52" s="590"/>
      <c r="GA52" s="590"/>
      <c r="GB52" s="590"/>
      <c r="GC52" s="590"/>
      <c r="GD52" s="590"/>
      <c r="GE52" s="590"/>
      <c r="GF52" s="590"/>
      <c r="GG52" s="590"/>
      <c r="GH52" s="590"/>
      <c r="GI52" s="590"/>
      <c r="GJ52" s="590"/>
      <c r="GK52" s="590"/>
      <c r="GL52" s="590"/>
      <c r="GM52" s="590"/>
      <c r="GN52" s="590"/>
      <c r="GO52" s="590"/>
      <c r="GP52" s="590"/>
      <c r="GQ52" s="590"/>
      <c r="GR52" s="590"/>
    </row>
    <row r="53" spans="1:200" s="643" customFormat="1" ht="22.5" outlineLevel="2" x14ac:dyDescent="0.2">
      <c r="A53" s="636" t="s">
        <v>2271</v>
      </c>
      <c r="B53" s="636" t="s">
        <v>2278</v>
      </c>
      <c r="C53" s="597"/>
      <c r="D53" s="1539"/>
      <c r="E53" s="593"/>
      <c r="F53" s="593"/>
      <c r="G53" s="1517">
        <v>4</v>
      </c>
      <c r="H53" s="1517"/>
      <c r="I53" s="1517"/>
      <c r="J53" s="1517" t="s">
        <v>2109</v>
      </c>
      <c r="K53" s="1518"/>
      <c r="L53" s="1518" t="s">
        <v>7331</v>
      </c>
      <c r="M53" s="642"/>
      <c r="N53" s="589"/>
      <c r="O53" s="589"/>
      <c r="P53" s="589"/>
      <c r="Q53" s="589"/>
      <c r="R53" s="589"/>
      <c r="S53" s="589"/>
      <c r="T53" s="589"/>
      <c r="U53" s="589"/>
      <c r="V53" s="589"/>
      <c r="W53" s="589"/>
      <c r="X53" s="589"/>
      <c r="Y53" s="589"/>
      <c r="Z53" s="589"/>
      <c r="AA53">
        <f>IF(AND('12 Ext'!C53&gt;Tmin, NOT('12 Ext'!$I53="")),'12 Ext'!$I53,0)</f>
        <v>0</v>
      </c>
      <c r="AB53">
        <f>IF(AND('12 Ext'!D53&gt;Tmin, NOT('12 Ext'!$I53="")),'12 Ext'!$I53,0)</f>
        <v>0</v>
      </c>
      <c r="AC53">
        <f>IF(AND('12 Ext'!E53&gt;Tmin, NOT('12 Ext'!$I53="")),'12 Ext'!$I53,0)</f>
        <v>0</v>
      </c>
      <c r="AD53">
        <f>IF(AND('12 Ext'!F53&gt;Tmin, NOT('12 Ext'!$I53="")),'12 Ext'!$I53,0)</f>
        <v>0</v>
      </c>
      <c r="AE53">
        <f>IF(AND('12 Ext'!C53&lt;Tmax, NOT('12 Ext'!$H53="")),'12 Ext'!$H53,4)</f>
        <v>4</v>
      </c>
      <c r="AF53">
        <f>IF(AND('12 Ext'!D53&lt;Tmax, NOT('12 Ext'!$H53="")),'12 Ext'!$H53,4)</f>
        <v>4</v>
      </c>
      <c r="AG53">
        <f>IF(AND('12 Ext'!E53&lt;Tmax, NOT('12 Ext'!$H53="")),'12 Ext'!$H53,4)</f>
        <v>4</v>
      </c>
      <c r="AH53">
        <f>IF(AND('12 Ext'!F53&lt;Tmax, NOT('12 Ext'!$H53="")),'12 Ext'!$H53,4)</f>
        <v>4</v>
      </c>
      <c r="AI53"/>
      <c r="AJ53" s="590"/>
      <c r="AK53" s="590"/>
      <c r="AL53" s="590"/>
      <c r="AM53" s="590"/>
      <c r="AN53" s="590"/>
      <c r="AO53" s="590"/>
      <c r="AP53" s="590"/>
      <c r="AQ53" s="590"/>
      <c r="AR53" s="590"/>
      <c r="AS53" s="590"/>
      <c r="AT53" s="590"/>
      <c r="AU53" s="590"/>
      <c r="AV53" s="590"/>
      <c r="AW53" s="590"/>
      <c r="AX53" s="590"/>
      <c r="AY53" s="590"/>
      <c r="AZ53" s="590"/>
      <c r="BA53" s="590"/>
      <c r="BB53" s="590"/>
      <c r="BC53" s="590"/>
      <c r="BD53" s="590"/>
      <c r="BE53" s="590"/>
      <c r="BF53" s="590"/>
      <c r="BG53" s="590"/>
      <c r="BH53" s="590"/>
      <c r="BI53" s="590"/>
      <c r="BJ53" s="590"/>
      <c r="BK53" s="590"/>
      <c r="BL53" s="590"/>
      <c r="BM53" s="590"/>
      <c r="BN53" s="590"/>
      <c r="BO53" s="590"/>
      <c r="BP53" s="590"/>
      <c r="BQ53" s="590"/>
      <c r="BR53" s="590"/>
      <c r="BS53" s="590"/>
      <c r="BT53" s="590"/>
      <c r="BU53" s="590"/>
      <c r="BV53" s="590"/>
      <c r="BW53" s="590"/>
      <c r="BX53" s="590"/>
      <c r="BY53" s="590"/>
      <c r="BZ53" s="590"/>
      <c r="CA53" s="590"/>
      <c r="CB53" s="590"/>
      <c r="CC53" s="590"/>
      <c r="CD53" s="590"/>
      <c r="CE53" s="590"/>
      <c r="CF53" s="590"/>
      <c r="CG53" s="590"/>
      <c r="CH53" s="590"/>
      <c r="CI53" s="590"/>
      <c r="CJ53" s="590"/>
      <c r="CK53" s="590"/>
      <c r="CL53" s="590"/>
      <c r="CM53" s="590"/>
      <c r="CN53" s="590"/>
      <c r="CO53" s="590"/>
      <c r="CP53" s="590"/>
      <c r="CQ53" s="590"/>
      <c r="CR53" s="590"/>
      <c r="CS53" s="590"/>
      <c r="CT53" s="590"/>
      <c r="CU53" s="590"/>
      <c r="CV53" s="590"/>
      <c r="CW53" s="590"/>
      <c r="CX53" s="590"/>
      <c r="CY53" s="590"/>
      <c r="CZ53" s="590"/>
      <c r="DA53" s="590"/>
      <c r="DB53" s="590"/>
      <c r="DC53" s="590"/>
      <c r="DD53" s="590"/>
      <c r="DE53" s="590"/>
      <c r="DF53" s="590"/>
      <c r="DG53" s="590"/>
      <c r="DH53" s="590"/>
      <c r="DI53" s="590"/>
      <c r="DJ53" s="590"/>
      <c r="DK53" s="590"/>
      <c r="DL53" s="590"/>
      <c r="DM53" s="590"/>
      <c r="DN53" s="590"/>
      <c r="DO53" s="590"/>
      <c r="DP53" s="590"/>
      <c r="DQ53" s="590"/>
      <c r="DR53" s="590"/>
      <c r="DS53" s="590"/>
      <c r="DT53" s="590"/>
      <c r="DU53" s="590"/>
      <c r="DV53" s="590"/>
      <c r="DW53" s="590"/>
      <c r="DX53" s="590"/>
      <c r="DY53" s="590"/>
      <c r="DZ53" s="590"/>
      <c r="EA53" s="590"/>
      <c r="EB53" s="590"/>
      <c r="EC53" s="590"/>
      <c r="ED53" s="590"/>
      <c r="EE53" s="590"/>
      <c r="EF53" s="590"/>
      <c r="EG53" s="590"/>
      <c r="EH53" s="590"/>
      <c r="EI53" s="590"/>
      <c r="EJ53" s="590"/>
      <c r="EK53" s="590"/>
      <c r="EL53" s="590"/>
      <c r="EM53" s="590"/>
      <c r="EN53" s="590"/>
      <c r="EO53" s="590"/>
      <c r="EP53" s="590"/>
      <c r="EQ53" s="590"/>
      <c r="ER53" s="590"/>
      <c r="ES53" s="590"/>
      <c r="ET53" s="590"/>
      <c r="EU53" s="590"/>
      <c r="EV53" s="590"/>
      <c r="EW53" s="590"/>
      <c r="EX53" s="590"/>
      <c r="EY53" s="590"/>
      <c r="EZ53" s="590"/>
      <c r="FA53" s="590"/>
      <c r="FB53" s="590"/>
      <c r="FC53" s="590"/>
      <c r="FD53" s="590"/>
      <c r="FE53" s="590"/>
      <c r="FF53" s="590"/>
      <c r="FG53" s="590"/>
      <c r="FH53" s="590"/>
      <c r="FI53" s="590"/>
      <c r="FJ53" s="590"/>
      <c r="FK53" s="590"/>
      <c r="FL53" s="590"/>
      <c r="FM53" s="590"/>
      <c r="FN53" s="590"/>
      <c r="FO53" s="590"/>
      <c r="FP53" s="590"/>
      <c r="FQ53" s="590"/>
      <c r="FR53" s="590"/>
      <c r="FS53" s="590"/>
      <c r="FT53" s="590"/>
      <c r="FU53" s="590"/>
      <c r="FV53" s="590"/>
      <c r="FW53" s="590"/>
      <c r="FX53" s="590"/>
      <c r="FY53" s="590"/>
      <c r="FZ53" s="590"/>
      <c r="GA53" s="590"/>
      <c r="GB53" s="590"/>
      <c r="GC53" s="590"/>
      <c r="GD53" s="590"/>
      <c r="GE53" s="590"/>
      <c r="GF53" s="590"/>
      <c r="GG53" s="590"/>
      <c r="GH53" s="590"/>
      <c r="GI53" s="590"/>
      <c r="GJ53" s="590"/>
      <c r="GK53" s="590"/>
      <c r="GL53" s="590"/>
      <c r="GM53" s="590"/>
      <c r="GN53" s="590"/>
      <c r="GO53" s="590"/>
      <c r="GP53" s="590"/>
      <c r="GQ53" s="590"/>
      <c r="GR53" s="590"/>
    </row>
    <row r="54" spans="1:200" s="643" customFormat="1" ht="22.5" outlineLevel="2" x14ac:dyDescent="0.2">
      <c r="A54" s="636" t="s">
        <v>2272</v>
      </c>
      <c r="B54" s="636" t="s">
        <v>2279</v>
      </c>
      <c r="C54" s="597"/>
      <c r="D54" s="1539"/>
      <c r="E54" s="593"/>
      <c r="F54" s="593"/>
      <c r="G54" s="1517">
        <v>2</v>
      </c>
      <c r="H54" s="1517"/>
      <c r="I54" s="1517"/>
      <c r="J54" s="1517" t="s">
        <v>1592</v>
      </c>
      <c r="K54" s="1518"/>
      <c r="L54" s="1518" t="s">
        <v>7331</v>
      </c>
      <c r="M54" s="642"/>
      <c r="N54" s="589"/>
      <c r="O54" s="589"/>
      <c r="P54" s="589"/>
      <c r="Q54" s="589"/>
      <c r="R54" s="589"/>
      <c r="S54" s="589"/>
      <c r="T54" s="589"/>
      <c r="U54" s="589"/>
      <c r="V54" s="589"/>
      <c r="W54" s="589"/>
      <c r="X54" s="589"/>
      <c r="Y54" s="589"/>
      <c r="Z54" s="589"/>
      <c r="AA54">
        <f>IF(AND('12 Ext'!C54&gt;Tmin, NOT('12 Ext'!$I54="")),'12 Ext'!$I54,0)</f>
        <v>0</v>
      </c>
      <c r="AB54">
        <f>IF(AND('12 Ext'!D54&gt;Tmin, NOT('12 Ext'!$I54="")),'12 Ext'!$I54,0)</f>
        <v>0</v>
      </c>
      <c r="AC54">
        <f>IF(AND('12 Ext'!E54&gt;Tmin, NOT('12 Ext'!$I54="")),'12 Ext'!$I54,0)</f>
        <v>0</v>
      </c>
      <c r="AD54">
        <f>IF(AND('12 Ext'!F54&gt;Tmin, NOT('12 Ext'!$I54="")),'12 Ext'!$I54,0)</f>
        <v>0</v>
      </c>
      <c r="AE54">
        <f>IF(AND('12 Ext'!C54&lt;Tmax, NOT('12 Ext'!$H54="")),'12 Ext'!$H54,4)</f>
        <v>4</v>
      </c>
      <c r="AF54">
        <f>IF(AND('12 Ext'!D54&lt;Tmax, NOT('12 Ext'!$H54="")),'12 Ext'!$H54,4)</f>
        <v>4</v>
      </c>
      <c r="AG54">
        <f>IF(AND('12 Ext'!E54&lt;Tmax, NOT('12 Ext'!$H54="")),'12 Ext'!$H54,4)</f>
        <v>4</v>
      </c>
      <c r="AH54">
        <f>IF(AND('12 Ext'!F54&lt;Tmax, NOT('12 Ext'!$H54="")),'12 Ext'!$H54,4)</f>
        <v>4</v>
      </c>
      <c r="AI54"/>
      <c r="AJ54" s="590"/>
      <c r="AK54" s="590"/>
      <c r="AL54" s="590"/>
      <c r="AM54" s="590"/>
      <c r="AN54" s="590"/>
      <c r="AO54" s="590"/>
      <c r="AP54" s="590"/>
      <c r="AQ54" s="590"/>
      <c r="AR54" s="590"/>
      <c r="AS54" s="590"/>
      <c r="AT54" s="590"/>
      <c r="AU54" s="590"/>
      <c r="AV54" s="590"/>
      <c r="AW54" s="590"/>
      <c r="AX54" s="590"/>
      <c r="AY54" s="590"/>
      <c r="AZ54" s="590"/>
      <c r="BA54" s="590"/>
      <c r="BB54" s="590"/>
      <c r="BC54" s="590"/>
      <c r="BD54" s="590"/>
      <c r="BE54" s="590"/>
      <c r="BF54" s="590"/>
      <c r="BG54" s="590"/>
      <c r="BH54" s="590"/>
      <c r="BI54" s="590"/>
      <c r="BJ54" s="590"/>
      <c r="BK54" s="590"/>
      <c r="BL54" s="590"/>
      <c r="BM54" s="590"/>
      <c r="BN54" s="590"/>
      <c r="BO54" s="590"/>
      <c r="BP54" s="590"/>
      <c r="BQ54" s="590"/>
      <c r="BR54" s="590"/>
      <c r="BS54" s="590"/>
      <c r="BT54" s="590"/>
      <c r="BU54" s="590"/>
      <c r="BV54" s="590"/>
      <c r="BW54" s="590"/>
      <c r="BX54" s="590"/>
      <c r="BY54" s="590"/>
      <c r="BZ54" s="590"/>
      <c r="CA54" s="590"/>
      <c r="CB54" s="590"/>
      <c r="CC54" s="590"/>
      <c r="CD54" s="590"/>
      <c r="CE54" s="590"/>
      <c r="CF54" s="590"/>
      <c r="CG54" s="590"/>
      <c r="CH54" s="590"/>
      <c r="CI54" s="590"/>
      <c r="CJ54" s="590"/>
      <c r="CK54" s="590"/>
      <c r="CL54" s="590"/>
      <c r="CM54" s="590"/>
      <c r="CN54" s="590"/>
      <c r="CO54" s="590"/>
      <c r="CP54" s="590"/>
      <c r="CQ54" s="590"/>
      <c r="CR54" s="590"/>
      <c r="CS54" s="590"/>
      <c r="CT54" s="590"/>
      <c r="CU54" s="590"/>
      <c r="CV54" s="590"/>
      <c r="CW54" s="590"/>
      <c r="CX54" s="590"/>
      <c r="CY54" s="590"/>
      <c r="CZ54" s="590"/>
      <c r="DA54" s="590"/>
      <c r="DB54" s="590"/>
      <c r="DC54" s="590"/>
      <c r="DD54" s="590"/>
      <c r="DE54" s="590"/>
      <c r="DF54" s="590"/>
      <c r="DG54" s="590"/>
      <c r="DH54" s="590"/>
      <c r="DI54" s="590"/>
      <c r="DJ54" s="590"/>
      <c r="DK54" s="590"/>
      <c r="DL54" s="590"/>
      <c r="DM54" s="590"/>
      <c r="DN54" s="590"/>
      <c r="DO54" s="590"/>
      <c r="DP54" s="590"/>
      <c r="DQ54" s="590"/>
      <c r="DR54" s="590"/>
      <c r="DS54" s="590"/>
      <c r="DT54" s="590"/>
      <c r="DU54" s="590"/>
      <c r="DV54" s="590"/>
      <c r="DW54" s="590"/>
      <c r="DX54" s="590"/>
      <c r="DY54" s="590"/>
      <c r="DZ54" s="590"/>
      <c r="EA54" s="590"/>
      <c r="EB54" s="590"/>
      <c r="EC54" s="590"/>
      <c r="ED54" s="590"/>
      <c r="EE54" s="590"/>
      <c r="EF54" s="590"/>
      <c r="EG54" s="590"/>
      <c r="EH54" s="590"/>
      <c r="EI54" s="590"/>
      <c r="EJ54" s="590"/>
      <c r="EK54" s="590"/>
      <c r="EL54" s="590"/>
      <c r="EM54" s="590"/>
      <c r="EN54" s="590"/>
      <c r="EO54" s="590"/>
      <c r="EP54" s="590"/>
      <c r="EQ54" s="590"/>
      <c r="ER54" s="590"/>
      <c r="ES54" s="590"/>
      <c r="ET54" s="590"/>
      <c r="EU54" s="590"/>
      <c r="EV54" s="590"/>
      <c r="EW54" s="590"/>
      <c r="EX54" s="590"/>
      <c r="EY54" s="590"/>
      <c r="EZ54" s="590"/>
      <c r="FA54" s="590"/>
      <c r="FB54" s="590"/>
      <c r="FC54" s="590"/>
      <c r="FD54" s="590"/>
      <c r="FE54" s="590"/>
      <c r="FF54" s="590"/>
      <c r="FG54" s="590"/>
      <c r="FH54" s="590"/>
      <c r="FI54" s="590"/>
      <c r="FJ54" s="590"/>
      <c r="FK54" s="590"/>
      <c r="FL54" s="590"/>
      <c r="FM54" s="590"/>
      <c r="FN54" s="590"/>
      <c r="FO54" s="590"/>
      <c r="FP54" s="590"/>
      <c r="FQ54" s="590"/>
      <c r="FR54" s="590"/>
      <c r="FS54" s="590"/>
      <c r="FT54" s="590"/>
      <c r="FU54" s="590"/>
      <c r="FV54" s="590"/>
      <c r="FW54" s="590"/>
      <c r="FX54" s="590"/>
      <c r="FY54" s="590"/>
      <c r="FZ54" s="590"/>
      <c r="GA54" s="590"/>
      <c r="GB54" s="590"/>
      <c r="GC54" s="590"/>
      <c r="GD54" s="590"/>
      <c r="GE54" s="590"/>
      <c r="GF54" s="590"/>
      <c r="GG54" s="590"/>
      <c r="GH54" s="590"/>
      <c r="GI54" s="590"/>
      <c r="GJ54" s="590"/>
      <c r="GK54" s="590"/>
      <c r="GL54" s="590"/>
      <c r="GM54" s="590"/>
      <c r="GN54" s="590"/>
      <c r="GO54" s="590"/>
      <c r="GP54" s="590"/>
      <c r="GQ54" s="590"/>
      <c r="GR54" s="590"/>
    </row>
    <row r="55" spans="1:200" s="643" customFormat="1" outlineLevel="2" x14ac:dyDescent="0.2">
      <c r="A55" s="636" t="s">
        <v>2273</v>
      </c>
      <c r="B55" s="636" t="s">
        <v>3305</v>
      </c>
      <c r="C55" s="597"/>
      <c r="D55" s="1539"/>
      <c r="E55" s="593"/>
      <c r="F55" s="593"/>
      <c r="G55" s="1517">
        <v>4</v>
      </c>
      <c r="H55" s="1517"/>
      <c r="I55" s="1517"/>
      <c r="J55" s="1517" t="s">
        <v>4246</v>
      </c>
      <c r="K55" s="1518" t="s">
        <v>4282</v>
      </c>
      <c r="L55" s="1518" t="s">
        <v>7332</v>
      </c>
      <c r="M55" s="642"/>
      <c r="N55" s="589"/>
      <c r="O55" s="589"/>
      <c r="P55" s="589"/>
      <c r="Q55" s="589"/>
      <c r="R55" s="589"/>
      <c r="S55" s="589"/>
      <c r="T55" s="589"/>
      <c r="U55" s="589"/>
      <c r="V55" s="589"/>
      <c r="W55" s="589"/>
      <c r="X55" s="589"/>
      <c r="Y55" s="589"/>
      <c r="Z55" s="589"/>
      <c r="AA55">
        <f>IF(AND('12 Ext'!C55&gt;Tmin, NOT('12 Ext'!$I55="")),'12 Ext'!$I55,0)</f>
        <v>0</v>
      </c>
      <c r="AB55">
        <f>IF(AND('12 Ext'!D55&gt;Tmin, NOT('12 Ext'!$I55="")),'12 Ext'!$I55,0)</f>
        <v>0</v>
      </c>
      <c r="AC55">
        <f>IF(AND('12 Ext'!E55&gt;Tmin, NOT('12 Ext'!$I55="")),'12 Ext'!$I55,0)</f>
        <v>0</v>
      </c>
      <c r="AD55">
        <f>IF(AND('12 Ext'!F55&gt;Tmin, NOT('12 Ext'!$I55="")),'12 Ext'!$I55,0)</f>
        <v>0</v>
      </c>
      <c r="AE55">
        <f>IF(AND('12 Ext'!C55&lt;Tmax, NOT('12 Ext'!$H55="")),'12 Ext'!$H55,4)</f>
        <v>4</v>
      </c>
      <c r="AF55">
        <f>IF(AND('12 Ext'!D55&lt;Tmax, NOT('12 Ext'!$H55="")),'12 Ext'!$H55,4)</f>
        <v>4</v>
      </c>
      <c r="AG55">
        <f>IF(AND('12 Ext'!E55&lt;Tmax, NOT('12 Ext'!$H55="")),'12 Ext'!$H55,4)</f>
        <v>4</v>
      </c>
      <c r="AH55">
        <f>IF(AND('12 Ext'!F55&lt;Tmax, NOT('12 Ext'!$H55="")),'12 Ext'!$H55,4)</f>
        <v>4</v>
      </c>
      <c r="AI55"/>
      <c r="AJ55" s="590"/>
      <c r="AK55" s="590"/>
      <c r="AL55" s="590"/>
      <c r="AM55" s="590"/>
      <c r="AN55" s="590"/>
      <c r="AO55" s="590"/>
      <c r="AP55" s="590"/>
      <c r="AQ55" s="590"/>
      <c r="AR55" s="590"/>
      <c r="AS55" s="590"/>
      <c r="AT55" s="590"/>
      <c r="AU55" s="590"/>
      <c r="AV55" s="590"/>
      <c r="AW55" s="590"/>
      <c r="AX55" s="590"/>
      <c r="AY55" s="590"/>
      <c r="AZ55" s="590"/>
      <c r="BA55" s="590"/>
      <c r="BB55" s="590"/>
      <c r="BC55" s="590"/>
      <c r="BD55" s="590"/>
      <c r="BE55" s="590"/>
      <c r="BF55" s="590"/>
      <c r="BG55" s="590"/>
      <c r="BH55" s="590"/>
      <c r="BI55" s="590"/>
      <c r="BJ55" s="590"/>
      <c r="BK55" s="590"/>
      <c r="BL55" s="590"/>
      <c r="BM55" s="590"/>
      <c r="BN55" s="590"/>
      <c r="BO55" s="590"/>
      <c r="BP55" s="590"/>
      <c r="BQ55" s="590"/>
      <c r="BR55" s="590"/>
      <c r="BS55" s="590"/>
      <c r="BT55" s="590"/>
      <c r="BU55" s="590"/>
      <c r="BV55" s="590"/>
      <c r="BW55" s="590"/>
      <c r="BX55" s="590"/>
      <c r="BY55" s="590"/>
      <c r="BZ55" s="590"/>
      <c r="CA55" s="590"/>
      <c r="CB55" s="590"/>
      <c r="CC55" s="590"/>
      <c r="CD55" s="590"/>
      <c r="CE55" s="590"/>
      <c r="CF55" s="590"/>
      <c r="CG55" s="590"/>
      <c r="CH55" s="590"/>
      <c r="CI55" s="590"/>
      <c r="CJ55" s="590"/>
      <c r="CK55" s="590"/>
      <c r="CL55" s="590"/>
      <c r="CM55" s="590"/>
      <c r="CN55" s="590"/>
      <c r="CO55" s="590"/>
      <c r="CP55" s="590"/>
      <c r="CQ55" s="590"/>
      <c r="CR55" s="590"/>
      <c r="CS55" s="590"/>
      <c r="CT55" s="590"/>
      <c r="CU55" s="590"/>
      <c r="CV55" s="590"/>
      <c r="CW55" s="590"/>
      <c r="CX55" s="590"/>
      <c r="CY55" s="590"/>
      <c r="CZ55" s="590"/>
      <c r="DA55" s="590"/>
      <c r="DB55" s="590"/>
      <c r="DC55" s="590"/>
      <c r="DD55" s="590"/>
      <c r="DE55" s="590"/>
      <c r="DF55" s="590"/>
      <c r="DG55" s="590"/>
      <c r="DH55" s="590"/>
      <c r="DI55" s="590"/>
      <c r="DJ55" s="590"/>
      <c r="DK55" s="590"/>
      <c r="DL55" s="590"/>
      <c r="DM55" s="590"/>
      <c r="DN55" s="590"/>
      <c r="DO55" s="590"/>
      <c r="DP55" s="590"/>
      <c r="DQ55" s="590"/>
      <c r="DR55" s="590"/>
      <c r="DS55" s="590"/>
      <c r="DT55" s="590"/>
      <c r="DU55" s="590"/>
      <c r="DV55" s="590"/>
      <c r="DW55" s="590"/>
      <c r="DX55" s="590"/>
      <c r="DY55" s="590"/>
      <c r="DZ55" s="590"/>
      <c r="EA55" s="590"/>
      <c r="EB55" s="590"/>
      <c r="EC55" s="590"/>
      <c r="ED55" s="590"/>
      <c r="EE55" s="590"/>
      <c r="EF55" s="590"/>
      <c r="EG55" s="590"/>
      <c r="EH55" s="590"/>
      <c r="EI55" s="590"/>
      <c r="EJ55" s="590"/>
      <c r="EK55" s="590"/>
      <c r="EL55" s="590"/>
      <c r="EM55" s="590"/>
      <c r="EN55" s="590"/>
      <c r="EO55" s="590"/>
      <c r="EP55" s="590"/>
      <c r="EQ55" s="590"/>
      <c r="ER55" s="590"/>
      <c r="ES55" s="590"/>
      <c r="ET55" s="590"/>
      <c r="EU55" s="590"/>
      <c r="EV55" s="590"/>
      <c r="EW55" s="590"/>
      <c r="EX55" s="590"/>
      <c r="EY55" s="590"/>
      <c r="EZ55" s="590"/>
      <c r="FA55" s="590"/>
      <c r="FB55" s="590"/>
      <c r="FC55" s="590"/>
      <c r="FD55" s="590"/>
      <c r="FE55" s="590"/>
      <c r="FF55" s="590"/>
      <c r="FG55" s="590"/>
      <c r="FH55" s="590"/>
      <c r="FI55" s="590"/>
      <c r="FJ55" s="590"/>
      <c r="FK55" s="590"/>
      <c r="FL55" s="590"/>
      <c r="FM55" s="590"/>
      <c r="FN55" s="590"/>
      <c r="FO55" s="590"/>
      <c r="FP55" s="590"/>
      <c r="FQ55" s="590"/>
      <c r="FR55" s="590"/>
      <c r="FS55" s="590"/>
      <c r="FT55" s="590"/>
      <c r="FU55" s="590"/>
      <c r="FV55" s="590"/>
      <c r="FW55" s="590"/>
      <c r="FX55" s="590"/>
      <c r="FY55" s="590"/>
      <c r="FZ55" s="590"/>
      <c r="GA55" s="590"/>
      <c r="GB55" s="590"/>
      <c r="GC55" s="590"/>
      <c r="GD55" s="590"/>
      <c r="GE55" s="590"/>
      <c r="GF55" s="590"/>
      <c r="GG55" s="590"/>
      <c r="GH55" s="590"/>
      <c r="GI55" s="590"/>
      <c r="GJ55" s="590"/>
      <c r="GK55" s="590"/>
      <c r="GL55" s="590"/>
      <c r="GM55" s="590"/>
      <c r="GN55" s="590"/>
      <c r="GO55" s="590"/>
      <c r="GP55" s="590"/>
      <c r="GQ55" s="590"/>
      <c r="GR55" s="590"/>
    </row>
    <row r="56" spans="1:200" s="643" customFormat="1" ht="22.5" outlineLevel="2" x14ac:dyDescent="0.2">
      <c r="A56" s="636" t="s">
        <v>2274</v>
      </c>
      <c r="B56" s="636" t="s">
        <v>2228</v>
      </c>
      <c r="C56" s="597"/>
      <c r="D56" s="1539"/>
      <c r="E56" s="593"/>
      <c r="F56" s="593"/>
      <c r="G56" s="1517">
        <v>4</v>
      </c>
      <c r="H56" s="1517"/>
      <c r="I56" s="1517"/>
      <c r="J56" s="1517" t="s">
        <v>1592</v>
      </c>
      <c r="K56" s="1518" t="s">
        <v>4282</v>
      </c>
      <c r="L56" s="1518" t="s">
        <v>7332</v>
      </c>
      <c r="M56" s="642"/>
      <c r="N56" s="589"/>
      <c r="O56" s="589"/>
      <c r="P56" s="589"/>
      <c r="Q56" s="589"/>
      <c r="R56" s="589"/>
      <c r="S56" s="589"/>
      <c r="T56" s="589"/>
      <c r="U56" s="589"/>
      <c r="V56" s="589"/>
      <c r="W56" s="589"/>
      <c r="X56" s="589"/>
      <c r="Y56" s="589"/>
      <c r="Z56" s="589"/>
      <c r="AA56">
        <f>IF(AND('12 Ext'!C56&gt;Tmin, NOT('12 Ext'!$I56="")),'12 Ext'!$I56,0)</f>
        <v>0</v>
      </c>
      <c r="AB56">
        <f>IF(AND('12 Ext'!D56&gt;Tmin, NOT('12 Ext'!$I56="")),'12 Ext'!$I56,0)</f>
        <v>0</v>
      </c>
      <c r="AC56">
        <f>IF(AND('12 Ext'!E56&gt;Tmin, NOT('12 Ext'!$I56="")),'12 Ext'!$I56,0)</f>
        <v>0</v>
      </c>
      <c r="AD56">
        <f>IF(AND('12 Ext'!F56&gt;Tmin, NOT('12 Ext'!$I56="")),'12 Ext'!$I56,0)</f>
        <v>0</v>
      </c>
      <c r="AE56">
        <f>IF(AND('12 Ext'!C56&lt;Tmax, NOT('12 Ext'!$H56="")),'12 Ext'!$H56,4)</f>
        <v>4</v>
      </c>
      <c r="AF56">
        <f>IF(AND('12 Ext'!D56&lt;Tmax, NOT('12 Ext'!$H56="")),'12 Ext'!$H56,4)</f>
        <v>4</v>
      </c>
      <c r="AG56">
        <f>IF(AND('12 Ext'!E56&lt;Tmax, NOT('12 Ext'!$H56="")),'12 Ext'!$H56,4)</f>
        <v>4</v>
      </c>
      <c r="AH56">
        <f>IF(AND('12 Ext'!F56&lt;Tmax, NOT('12 Ext'!$H56="")),'12 Ext'!$H56,4)</f>
        <v>4</v>
      </c>
      <c r="AI56"/>
      <c r="AJ56" s="590"/>
      <c r="AK56" s="590"/>
      <c r="AL56" s="590"/>
      <c r="AM56" s="590"/>
      <c r="AN56" s="590"/>
      <c r="AO56" s="590"/>
      <c r="AP56" s="590"/>
      <c r="AQ56" s="590"/>
      <c r="AR56" s="590"/>
      <c r="AS56" s="590"/>
      <c r="AT56" s="590"/>
      <c r="AU56" s="590"/>
      <c r="AV56" s="590"/>
      <c r="AW56" s="590"/>
      <c r="AX56" s="590"/>
      <c r="AY56" s="590"/>
      <c r="AZ56" s="590"/>
      <c r="BA56" s="590"/>
      <c r="BB56" s="590"/>
      <c r="BC56" s="590"/>
      <c r="BD56" s="590"/>
      <c r="BE56" s="590"/>
      <c r="BF56" s="590"/>
      <c r="BG56" s="590"/>
      <c r="BH56" s="590"/>
      <c r="BI56" s="590"/>
      <c r="BJ56" s="590"/>
      <c r="BK56" s="590"/>
      <c r="BL56" s="590"/>
      <c r="BM56" s="590"/>
      <c r="BN56" s="590"/>
      <c r="BO56" s="590"/>
      <c r="BP56" s="590"/>
      <c r="BQ56" s="590"/>
      <c r="BR56" s="590"/>
      <c r="BS56" s="590"/>
      <c r="BT56" s="590"/>
      <c r="BU56" s="590"/>
      <c r="BV56" s="590"/>
      <c r="BW56" s="590"/>
      <c r="BX56" s="590"/>
      <c r="BY56" s="590"/>
      <c r="BZ56" s="590"/>
      <c r="CA56" s="590"/>
      <c r="CB56" s="590"/>
      <c r="CC56" s="590"/>
      <c r="CD56" s="590"/>
      <c r="CE56" s="590"/>
      <c r="CF56" s="590"/>
      <c r="CG56" s="590"/>
      <c r="CH56" s="590"/>
      <c r="CI56" s="590"/>
      <c r="CJ56" s="590"/>
      <c r="CK56" s="590"/>
      <c r="CL56" s="590"/>
      <c r="CM56" s="590"/>
      <c r="CN56" s="590"/>
      <c r="CO56" s="590"/>
      <c r="CP56" s="590"/>
      <c r="CQ56" s="590"/>
      <c r="CR56" s="590"/>
      <c r="CS56" s="590"/>
      <c r="CT56" s="590"/>
      <c r="CU56" s="590"/>
      <c r="CV56" s="590"/>
      <c r="CW56" s="590"/>
      <c r="CX56" s="590"/>
      <c r="CY56" s="590"/>
      <c r="CZ56" s="590"/>
      <c r="DA56" s="590"/>
      <c r="DB56" s="590"/>
      <c r="DC56" s="590"/>
      <c r="DD56" s="590"/>
      <c r="DE56" s="590"/>
      <c r="DF56" s="590"/>
      <c r="DG56" s="590"/>
      <c r="DH56" s="590"/>
      <c r="DI56" s="590"/>
      <c r="DJ56" s="590"/>
      <c r="DK56" s="590"/>
      <c r="DL56" s="590"/>
      <c r="DM56" s="590"/>
      <c r="DN56" s="590"/>
      <c r="DO56" s="590"/>
      <c r="DP56" s="590"/>
      <c r="DQ56" s="590"/>
      <c r="DR56" s="590"/>
      <c r="DS56" s="590"/>
      <c r="DT56" s="590"/>
      <c r="DU56" s="590"/>
      <c r="DV56" s="590"/>
      <c r="DW56" s="590"/>
      <c r="DX56" s="590"/>
      <c r="DY56" s="590"/>
      <c r="DZ56" s="590"/>
      <c r="EA56" s="590"/>
      <c r="EB56" s="590"/>
      <c r="EC56" s="590"/>
      <c r="ED56" s="590"/>
      <c r="EE56" s="590"/>
      <c r="EF56" s="590"/>
      <c r="EG56" s="590"/>
      <c r="EH56" s="590"/>
      <c r="EI56" s="590"/>
      <c r="EJ56" s="590"/>
      <c r="EK56" s="590"/>
      <c r="EL56" s="590"/>
      <c r="EM56" s="590"/>
      <c r="EN56" s="590"/>
      <c r="EO56" s="590"/>
      <c r="EP56" s="590"/>
      <c r="EQ56" s="590"/>
      <c r="ER56" s="590"/>
      <c r="ES56" s="590"/>
      <c r="ET56" s="590"/>
      <c r="EU56" s="590"/>
      <c r="EV56" s="590"/>
      <c r="EW56" s="590"/>
      <c r="EX56" s="590"/>
      <c r="EY56" s="590"/>
      <c r="EZ56" s="590"/>
      <c r="FA56" s="590"/>
      <c r="FB56" s="590"/>
      <c r="FC56" s="590"/>
      <c r="FD56" s="590"/>
      <c r="FE56" s="590"/>
      <c r="FF56" s="590"/>
      <c r="FG56" s="590"/>
      <c r="FH56" s="590"/>
      <c r="FI56" s="590"/>
      <c r="FJ56" s="590"/>
      <c r="FK56" s="590"/>
      <c r="FL56" s="590"/>
      <c r="FM56" s="590"/>
      <c r="FN56" s="590"/>
      <c r="FO56" s="590"/>
      <c r="FP56" s="590"/>
      <c r="FQ56" s="590"/>
      <c r="FR56" s="590"/>
      <c r="FS56" s="590"/>
      <c r="FT56" s="590"/>
      <c r="FU56" s="590"/>
      <c r="FV56" s="590"/>
      <c r="FW56" s="590"/>
      <c r="FX56" s="590"/>
      <c r="FY56" s="590"/>
      <c r="FZ56" s="590"/>
      <c r="GA56" s="590"/>
      <c r="GB56" s="590"/>
      <c r="GC56" s="590"/>
      <c r="GD56" s="590"/>
      <c r="GE56" s="590"/>
      <c r="GF56" s="590"/>
      <c r="GG56" s="590"/>
      <c r="GH56" s="590"/>
      <c r="GI56" s="590"/>
      <c r="GJ56" s="590"/>
      <c r="GK56" s="590"/>
      <c r="GL56" s="590"/>
      <c r="GM56" s="590"/>
      <c r="GN56" s="590"/>
      <c r="GO56" s="590"/>
      <c r="GP56" s="590"/>
      <c r="GQ56" s="590"/>
      <c r="GR56" s="590"/>
    </row>
    <row r="57" spans="1:200" s="643" customFormat="1" ht="12.75" customHeight="1" outlineLevel="2" x14ac:dyDescent="0.2">
      <c r="A57" s="636" t="s">
        <v>2275</v>
      </c>
      <c r="B57" s="636" t="s">
        <v>2269</v>
      </c>
      <c r="C57" s="597"/>
      <c r="D57" s="1539"/>
      <c r="E57" s="593"/>
      <c r="F57" s="593"/>
      <c r="G57" s="1517">
        <v>2</v>
      </c>
      <c r="H57" s="1517"/>
      <c r="I57" s="1517"/>
      <c r="J57" s="1517" t="s">
        <v>1592</v>
      </c>
      <c r="K57" s="1518" t="s">
        <v>4282</v>
      </c>
      <c r="L57" s="1518" t="s">
        <v>7332</v>
      </c>
      <c r="M57" s="642"/>
      <c r="N57" s="589"/>
      <c r="O57" s="589"/>
      <c r="P57" s="589"/>
      <c r="Q57" s="589"/>
      <c r="R57" s="589"/>
      <c r="S57" s="589"/>
      <c r="T57" s="589"/>
      <c r="U57" s="589"/>
      <c r="V57" s="589"/>
      <c r="W57" s="589"/>
      <c r="X57" s="589"/>
      <c r="Y57" s="589"/>
      <c r="Z57" s="589"/>
      <c r="AA57">
        <f>IF(AND('12 Ext'!C57&gt;Tmin, NOT('12 Ext'!$I57="")),'12 Ext'!$I57,0)</f>
        <v>0</v>
      </c>
      <c r="AB57">
        <f>IF(AND('12 Ext'!D57&gt;Tmin, NOT('12 Ext'!$I57="")),'12 Ext'!$I57,0)</f>
        <v>0</v>
      </c>
      <c r="AC57">
        <f>IF(AND('12 Ext'!E57&gt;Tmin, NOT('12 Ext'!$I57="")),'12 Ext'!$I57,0)</f>
        <v>0</v>
      </c>
      <c r="AD57">
        <f>IF(AND('12 Ext'!F57&gt;Tmin, NOT('12 Ext'!$I57="")),'12 Ext'!$I57,0)</f>
        <v>0</v>
      </c>
      <c r="AE57">
        <f>IF(AND('12 Ext'!C57&lt;Tmax, NOT('12 Ext'!$H57="")),'12 Ext'!$H57,4)</f>
        <v>4</v>
      </c>
      <c r="AF57">
        <f>IF(AND('12 Ext'!D57&lt;Tmax, NOT('12 Ext'!$H57="")),'12 Ext'!$H57,4)</f>
        <v>4</v>
      </c>
      <c r="AG57">
        <f>IF(AND('12 Ext'!E57&lt;Tmax, NOT('12 Ext'!$H57="")),'12 Ext'!$H57,4)</f>
        <v>4</v>
      </c>
      <c r="AH57">
        <f>IF(AND('12 Ext'!F57&lt;Tmax, NOT('12 Ext'!$H57="")),'12 Ext'!$H57,4)</f>
        <v>4</v>
      </c>
      <c r="AI57"/>
      <c r="AJ57" s="590"/>
      <c r="AK57" s="590"/>
      <c r="AL57" s="590"/>
      <c r="AM57" s="590"/>
      <c r="AN57" s="590"/>
      <c r="AO57" s="590"/>
      <c r="AP57" s="590"/>
      <c r="AQ57" s="590"/>
      <c r="AR57" s="590"/>
      <c r="AS57" s="590"/>
      <c r="AT57" s="590"/>
      <c r="AU57" s="590"/>
      <c r="AV57" s="590"/>
      <c r="AW57" s="590"/>
      <c r="AX57" s="590"/>
      <c r="AY57" s="590"/>
      <c r="AZ57" s="590"/>
      <c r="BA57" s="590"/>
      <c r="BB57" s="590"/>
      <c r="BC57" s="590"/>
      <c r="BD57" s="590"/>
      <c r="BE57" s="590"/>
      <c r="BF57" s="590"/>
      <c r="BG57" s="590"/>
      <c r="BH57" s="590"/>
      <c r="BI57" s="590"/>
      <c r="BJ57" s="590"/>
      <c r="BK57" s="590"/>
      <c r="BL57" s="590"/>
      <c r="BM57" s="590"/>
      <c r="BN57" s="590"/>
      <c r="BO57" s="590"/>
      <c r="BP57" s="590"/>
      <c r="BQ57" s="590"/>
      <c r="BR57" s="590"/>
      <c r="BS57" s="590"/>
      <c r="BT57" s="590"/>
      <c r="BU57" s="590"/>
      <c r="BV57" s="590"/>
      <c r="BW57" s="590"/>
      <c r="BX57" s="590"/>
      <c r="BY57" s="590"/>
      <c r="BZ57" s="590"/>
      <c r="CA57" s="590"/>
      <c r="CB57" s="590"/>
      <c r="CC57" s="590"/>
      <c r="CD57" s="590"/>
      <c r="CE57" s="590"/>
      <c r="CF57" s="590"/>
      <c r="CG57" s="590"/>
      <c r="CH57" s="590"/>
      <c r="CI57" s="590"/>
      <c r="CJ57" s="590"/>
      <c r="CK57" s="590"/>
      <c r="CL57" s="590"/>
      <c r="CM57" s="590"/>
      <c r="CN57" s="590"/>
      <c r="CO57" s="590"/>
      <c r="CP57" s="590"/>
      <c r="CQ57" s="590"/>
      <c r="CR57" s="590"/>
      <c r="CS57" s="590"/>
      <c r="CT57" s="590"/>
      <c r="CU57" s="590"/>
      <c r="CV57" s="590"/>
      <c r="CW57" s="590"/>
      <c r="CX57" s="590"/>
      <c r="CY57" s="590"/>
      <c r="CZ57" s="590"/>
      <c r="DA57" s="590"/>
      <c r="DB57" s="590"/>
      <c r="DC57" s="590"/>
      <c r="DD57" s="590"/>
      <c r="DE57" s="590"/>
      <c r="DF57" s="590"/>
      <c r="DG57" s="590"/>
      <c r="DH57" s="590"/>
      <c r="DI57" s="590"/>
      <c r="DJ57" s="590"/>
      <c r="DK57" s="590"/>
      <c r="DL57" s="590"/>
      <c r="DM57" s="590"/>
      <c r="DN57" s="590"/>
      <c r="DO57" s="590"/>
      <c r="DP57" s="590"/>
      <c r="DQ57" s="590"/>
      <c r="DR57" s="590"/>
      <c r="DS57" s="590"/>
      <c r="DT57" s="590"/>
      <c r="DU57" s="590"/>
      <c r="DV57" s="590"/>
      <c r="DW57" s="590"/>
      <c r="DX57" s="590"/>
      <c r="DY57" s="590"/>
      <c r="DZ57" s="590"/>
      <c r="EA57" s="590"/>
      <c r="EB57" s="590"/>
      <c r="EC57" s="590"/>
      <c r="ED57" s="590"/>
      <c r="EE57" s="590"/>
      <c r="EF57" s="590"/>
      <c r="EG57" s="590"/>
      <c r="EH57" s="590"/>
      <c r="EI57" s="590"/>
      <c r="EJ57" s="590"/>
      <c r="EK57" s="590"/>
      <c r="EL57" s="590"/>
      <c r="EM57" s="590"/>
      <c r="EN57" s="590"/>
      <c r="EO57" s="590"/>
      <c r="EP57" s="590"/>
      <c r="EQ57" s="590"/>
      <c r="ER57" s="590"/>
      <c r="ES57" s="590"/>
      <c r="ET57" s="590"/>
      <c r="EU57" s="590"/>
      <c r="EV57" s="590"/>
      <c r="EW57" s="590"/>
      <c r="EX57" s="590"/>
      <c r="EY57" s="590"/>
      <c r="EZ57" s="590"/>
      <c r="FA57" s="590"/>
      <c r="FB57" s="590"/>
      <c r="FC57" s="590"/>
      <c r="FD57" s="590"/>
      <c r="FE57" s="590"/>
      <c r="FF57" s="590"/>
      <c r="FG57" s="590"/>
      <c r="FH57" s="590"/>
      <c r="FI57" s="590"/>
      <c r="FJ57" s="590"/>
      <c r="FK57" s="590"/>
      <c r="FL57" s="590"/>
      <c r="FM57" s="590"/>
      <c r="FN57" s="590"/>
      <c r="FO57" s="590"/>
      <c r="FP57" s="590"/>
      <c r="FQ57" s="590"/>
      <c r="FR57" s="590"/>
      <c r="FS57" s="590"/>
      <c r="FT57" s="590"/>
      <c r="FU57" s="590"/>
      <c r="FV57" s="590"/>
      <c r="FW57" s="590"/>
      <c r="FX57" s="590"/>
      <c r="FY57" s="590"/>
      <c r="FZ57" s="590"/>
      <c r="GA57" s="590"/>
      <c r="GB57" s="590"/>
      <c r="GC57" s="590"/>
      <c r="GD57" s="590"/>
      <c r="GE57" s="590"/>
      <c r="GF57" s="590"/>
      <c r="GG57" s="590"/>
      <c r="GH57" s="590"/>
      <c r="GI57" s="590"/>
      <c r="GJ57" s="590"/>
      <c r="GK57" s="590"/>
      <c r="GL57" s="590"/>
      <c r="GM57" s="590"/>
      <c r="GN57" s="590"/>
      <c r="GO57" s="590"/>
      <c r="GP57" s="590"/>
      <c r="GQ57" s="590"/>
      <c r="GR57" s="590"/>
    </row>
    <row r="58" spans="1:200" s="643" customFormat="1" ht="22.5" outlineLevel="2" x14ac:dyDescent="0.2">
      <c r="A58" s="636" t="s">
        <v>2276</v>
      </c>
      <c r="B58" s="636" t="s">
        <v>2935</v>
      </c>
      <c r="C58" s="597"/>
      <c r="D58" s="1539"/>
      <c r="E58" s="593"/>
      <c r="F58" s="593"/>
      <c r="G58" s="1517">
        <v>2</v>
      </c>
      <c r="H58" s="1517"/>
      <c r="I58" s="1517"/>
      <c r="J58" s="1517" t="s">
        <v>2329</v>
      </c>
      <c r="K58" s="1518" t="s">
        <v>4425</v>
      </c>
      <c r="L58" s="1518" t="s">
        <v>7333</v>
      </c>
      <c r="M58" s="642"/>
      <c r="N58" s="589"/>
      <c r="O58" s="589"/>
      <c r="P58" s="589"/>
      <c r="Q58" s="589"/>
      <c r="R58" s="589"/>
      <c r="S58" s="589"/>
      <c r="T58" s="589"/>
      <c r="U58" s="589"/>
      <c r="V58" s="589"/>
      <c r="W58" s="589"/>
      <c r="X58" s="589"/>
      <c r="Y58" s="589"/>
      <c r="Z58" s="589"/>
      <c r="AA58">
        <f>IF(AND('12 Ext'!C58&gt;Tmin, NOT('12 Ext'!$I58="")),'12 Ext'!$I58,0)</f>
        <v>0</v>
      </c>
      <c r="AB58">
        <f>IF(AND('12 Ext'!D58&gt;Tmin, NOT('12 Ext'!$I58="")),'12 Ext'!$I58,0)</f>
        <v>0</v>
      </c>
      <c r="AC58">
        <f>IF(AND('12 Ext'!E58&gt;Tmin, NOT('12 Ext'!$I58="")),'12 Ext'!$I58,0)</f>
        <v>0</v>
      </c>
      <c r="AD58">
        <f>IF(AND('12 Ext'!F58&gt;Tmin, NOT('12 Ext'!$I58="")),'12 Ext'!$I58,0)</f>
        <v>0</v>
      </c>
      <c r="AE58">
        <f>IF(AND('12 Ext'!C58&lt;Tmax, NOT('12 Ext'!$H58="")),'12 Ext'!$H58,4)</f>
        <v>4</v>
      </c>
      <c r="AF58">
        <f>IF(AND('12 Ext'!D58&lt;Tmax, NOT('12 Ext'!$H58="")),'12 Ext'!$H58,4)</f>
        <v>4</v>
      </c>
      <c r="AG58">
        <f>IF(AND('12 Ext'!E58&lt;Tmax, NOT('12 Ext'!$H58="")),'12 Ext'!$H58,4)</f>
        <v>4</v>
      </c>
      <c r="AH58">
        <f>IF(AND('12 Ext'!F58&lt;Tmax, NOT('12 Ext'!$H58="")),'12 Ext'!$H58,4)</f>
        <v>4</v>
      </c>
      <c r="AI58"/>
      <c r="AJ58" s="590"/>
      <c r="AK58" s="590"/>
      <c r="AL58" s="590"/>
      <c r="AM58" s="590"/>
      <c r="AN58" s="590"/>
      <c r="AO58" s="590"/>
      <c r="AP58" s="590"/>
      <c r="AQ58" s="590"/>
      <c r="AR58" s="590"/>
      <c r="AS58" s="590"/>
      <c r="AT58" s="590"/>
      <c r="AU58" s="590"/>
      <c r="AV58" s="590"/>
      <c r="AW58" s="590"/>
      <c r="AX58" s="590"/>
      <c r="AY58" s="590"/>
      <c r="AZ58" s="590"/>
      <c r="BA58" s="590"/>
      <c r="BB58" s="590"/>
      <c r="BC58" s="590"/>
      <c r="BD58" s="590"/>
      <c r="BE58" s="590"/>
      <c r="BF58" s="590"/>
      <c r="BG58" s="590"/>
      <c r="BH58" s="590"/>
      <c r="BI58" s="590"/>
      <c r="BJ58" s="590"/>
      <c r="BK58" s="590"/>
      <c r="BL58" s="590"/>
      <c r="BM58" s="590"/>
      <c r="BN58" s="590"/>
      <c r="BO58" s="590"/>
      <c r="BP58" s="590"/>
      <c r="BQ58" s="590"/>
      <c r="BR58" s="590"/>
      <c r="BS58" s="590"/>
      <c r="BT58" s="590"/>
      <c r="BU58" s="590"/>
      <c r="BV58" s="590"/>
      <c r="BW58" s="590"/>
      <c r="BX58" s="590"/>
      <c r="BY58" s="590"/>
      <c r="BZ58" s="590"/>
      <c r="CA58" s="590"/>
      <c r="CB58" s="590"/>
      <c r="CC58" s="590"/>
      <c r="CD58" s="590"/>
      <c r="CE58" s="590"/>
      <c r="CF58" s="590"/>
      <c r="CG58" s="590"/>
      <c r="CH58" s="590"/>
      <c r="CI58" s="590"/>
      <c r="CJ58" s="590"/>
      <c r="CK58" s="590"/>
      <c r="CL58" s="590"/>
      <c r="CM58" s="590"/>
      <c r="CN58" s="590"/>
      <c r="CO58" s="590"/>
      <c r="CP58" s="590"/>
      <c r="CQ58" s="590"/>
      <c r="CR58" s="590"/>
      <c r="CS58" s="590"/>
      <c r="CT58" s="590"/>
      <c r="CU58" s="590"/>
      <c r="CV58" s="590"/>
      <c r="CW58" s="590"/>
      <c r="CX58" s="590"/>
      <c r="CY58" s="590"/>
      <c r="CZ58" s="590"/>
      <c r="DA58" s="590"/>
      <c r="DB58" s="590"/>
      <c r="DC58" s="590"/>
      <c r="DD58" s="590"/>
      <c r="DE58" s="590"/>
      <c r="DF58" s="590"/>
      <c r="DG58" s="590"/>
      <c r="DH58" s="590"/>
      <c r="DI58" s="590"/>
      <c r="DJ58" s="590"/>
      <c r="DK58" s="590"/>
      <c r="DL58" s="590"/>
      <c r="DM58" s="590"/>
      <c r="DN58" s="590"/>
      <c r="DO58" s="590"/>
      <c r="DP58" s="590"/>
      <c r="DQ58" s="590"/>
      <c r="DR58" s="590"/>
      <c r="DS58" s="590"/>
      <c r="DT58" s="590"/>
      <c r="DU58" s="590"/>
      <c r="DV58" s="590"/>
      <c r="DW58" s="590"/>
      <c r="DX58" s="590"/>
      <c r="DY58" s="590"/>
      <c r="DZ58" s="590"/>
      <c r="EA58" s="590"/>
      <c r="EB58" s="590"/>
      <c r="EC58" s="590"/>
      <c r="ED58" s="590"/>
      <c r="EE58" s="590"/>
      <c r="EF58" s="590"/>
      <c r="EG58" s="590"/>
      <c r="EH58" s="590"/>
      <c r="EI58" s="590"/>
      <c r="EJ58" s="590"/>
      <c r="EK58" s="590"/>
      <c r="EL58" s="590"/>
      <c r="EM58" s="590"/>
      <c r="EN58" s="590"/>
      <c r="EO58" s="590"/>
      <c r="EP58" s="590"/>
      <c r="EQ58" s="590"/>
      <c r="ER58" s="590"/>
      <c r="ES58" s="590"/>
      <c r="ET58" s="590"/>
      <c r="EU58" s="590"/>
      <c r="EV58" s="590"/>
      <c r="EW58" s="590"/>
      <c r="EX58" s="590"/>
      <c r="EY58" s="590"/>
      <c r="EZ58" s="590"/>
      <c r="FA58" s="590"/>
      <c r="FB58" s="590"/>
      <c r="FC58" s="590"/>
      <c r="FD58" s="590"/>
      <c r="FE58" s="590"/>
      <c r="FF58" s="590"/>
      <c r="FG58" s="590"/>
      <c r="FH58" s="590"/>
      <c r="FI58" s="590"/>
      <c r="FJ58" s="590"/>
      <c r="FK58" s="590"/>
      <c r="FL58" s="590"/>
      <c r="FM58" s="590"/>
      <c r="FN58" s="590"/>
      <c r="FO58" s="590"/>
      <c r="FP58" s="590"/>
      <c r="FQ58" s="590"/>
      <c r="FR58" s="590"/>
      <c r="FS58" s="590"/>
      <c r="FT58" s="590"/>
      <c r="FU58" s="590"/>
      <c r="FV58" s="590"/>
      <c r="FW58" s="590"/>
      <c r="FX58" s="590"/>
      <c r="FY58" s="590"/>
      <c r="FZ58" s="590"/>
      <c r="GA58" s="590"/>
      <c r="GB58" s="590"/>
      <c r="GC58" s="590"/>
      <c r="GD58" s="590"/>
      <c r="GE58" s="590"/>
      <c r="GF58" s="590"/>
      <c r="GG58" s="590"/>
      <c r="GH58" s="590"/>
      <c r="GI58" s="590"/>
      <c r="GJ58" s="590"/>
      <c r="GK58" s="590"/>
      <c r="GL58" s="590"/>
      <c r="GM58" s="590"/>
      <c r="GN58" s="590"/>
      <c r="GO58" s="590"/>
      <c r="GP58" s="590"/>
      <c r="GQ58" s="590"/>
      <c r="GR58" s="590"/>
    </row>
    <row r="59" spans="1:200" s="632" customFormat="1" x14ac:dyDescent="0.2">
      <c r="A59" s="644" t="s">
        <v>2814</v>
      </c>
      <c r="B59" s="644" t="s">
        <v>6721</v>
      </c>
      <c r="C59" s="597"/>
      <c r="D59" s="1536"/>
      <c r="E59" s="635"/>
      <c r="F59" s="635"/>
      <c r="G59" s="1518"/>
      <c r="H59" s="1518"/>
      <c r="I59" s="1518"/>
      <c r="J59" s="1518"/>
      <c r="K59" s="1518"/>
      <c r="L59" s="1518"/>
      <c r="M59" s="635"/>
      <c r="N59" s="624"/>
      <c r="O59" s="624"/>
      <c r="P59" s="624"/>
      <c r="Q59" s="624"/>
      <c r="R59" s="624"/>
      <c r="S59" s="624"/>
      <c r="T59" s="624"/>
      <c r="U59" s="624"/>
      <c r="V59" s="624"/>
      <c r="W59" s="624"/>
      <c r="X59" s="624"/>
      <c r="Y59" s="624"/>
      <c r="Z59" s="624"/>
      <c r="AA59"/>
      <c r="AB59"/>
      <c r="AC59"/>
      <c r="AD59"/>
      <c r="AE59"/>
      <c r="AF59"/>
      <c r="AG59"/>
      <c r="AH59"/>
      <c r="AI59"/>
      <c r="AJ59" s="230"/>
      <c r="AK59" s="230"/>
      <c r="AL59" s="230"/>
      <c r="AM59" s="230"/>
      <c r="AN59" s="230"/>
      <c r="AO59" s="230"/>
      <c r="AP59" s="230"/>
      <c r="AQ59" s="230"/>
      <c r="AR59" s="230"/>
      <c r="AS59" s="230"/>
      <c r="AT59" s="230"/>
      <c r="AU59" s="230"/>
      <c r="AV59" s="230"/>
      <c r="AW59" s="230"/>
      <c r="AX59" s="230"/>
      <c r="AY59" s="230"/>
      <c r="AZ59" s="230"/>
      <c r="BA59" s="230"/>
      <c r="BB59" s="230"/>
      <c r="BC59" s="230"/>
      <c r="BD59" s="230"/>
      <c r="BE59" s="230"/>
      <c r="BF59" s="230"/>
      <c r="BG59" s="230"/>
      <c r="BH59" s="230"/>
      <c r="BI59" s="230"/>
      <c r="BJ59" s="230"/>
      <c r="BK59" s="230"/>
      <c r="BL59" s="230"/>
      <c r="BM59" s="230"/>
      <c r="BN59" s="230"/>
      <c r="BO59" s="230"/>
      <c r="BP59" s="230"/>
      <c r="BQ59" s="230"/>
      <c r="BR59" s="230"/>
      <c r="BS59" s="230"/>
      <c r="BT59" s="230"/>
      <c r="BU59" s="230"/>
      <c r="BV59" s="230"/>
      <c r="BW59" s="230"/>
      <c r="BX59" s="230"/>
      <c r="BY59" s="230"/>
      <c r="BZ59" s="230"/>
      <c r="CA59" s="230"/>
      <c r="CB59" s="230"/>
      <c r="CC59" s="230"/>
      <c r="CD59" s="230"/>
      <c r="CE59" s="230"/>
      <c r="CF59" s="230"/>
      <c r="CG59" s="230"/>
      <c r="CH59" s="230"/>
      <c r="CI59" s="230"/>
      <c r="CJ59" s="230"/>
      <c r="CK59" s="230"/>
      <c r="CL59" s="230"/>
      <c r="CM59" s="230"/>
      <c r="CN59" s="230"/>
      <c r="CO59" s="230"/>
      <c r="CP59" s="230"/>
      <c r="CQ59" s="230"/>
      <c r="CR59" s="230"/>
      <c r="CS59" s="230"/>
      <c r="CT59" s="230"/>
      <c r="CU59" s="230"/>
      <c r="CV59" s="230"/>
      <c r="CW59" s="230"/>
      <c r="CX59" s="230"/>
      <c r="CY59" s="230"/>
      <c r="CZ59" s="230"/>
      <c r="DA59" s="230"/>
      <c r="DB59" s="230"/>
      <c r="DC59" s="230"/>
      <c r="DD59" s="230"/>
      <c r="DE59" s="230"/>
      <c r="DF59" s="230"/>
      <c r="DG59" s="230"/>
      <c r="DH59" s="230"/>
      <c r="DI59" s="230"/>
      <c r="DJ59" s="230"/>
      <c r="DK59" s="230"/>
      <c r="DL59" s="230"/>
      <c r="DM59" s="230"/>
      <c r="DN59" s="230"/>
      <c r="DO59" s="230"/>
      <c r="DP59" s="230"/>
      <c r="DQ59" s="230"/>
      <c r="DR59" s="230"/>
      <c r="DS59" s="230"/>
      <c r="DT59" s="230"/>
      <c r="DU59" s="230"/>
      <c r="DV59" s="230"/>
      <c r="DW59" s="230"/>
      <c r="DX59" s="230"/>
      <c r="DY59" s="230"/>
      <c r="DZ59" s="230"/>
      <c r="EA59" s="230"/>
      <c r="EB59" s="230"/>
      <c r="EC59" s="230"/>
      <c r="ED59" s="230"/>
      <c r="EE59" s="230"/>
      <c r="EF59" s="230"/>
      <c r="EG59" s="230"/>
      <c r="EH59" s="230"/>
      <c r="EI59" s="230"/>
      <c r="EJ59" s="230"/>
      <c r="EK59" s="230"/>
      <c r="EL59" s="230"/>
      <c r="EM59" s="230"/>
      <c r="EN59" s="230"/>
      <c r="EO59" s="230"/>
      <c r="EP59" s="230"/>
      <c r="EQ59" s="230"/>
      <c r="ER59" s="230"/>
      <c r="ES59" s="230"/>
      <c r="ET59" s="230"/>
      <c r="EU59" s="230"/>
      <c r="EV59" s="230"/>
      <c r="EW59" s="230"/>
      <c r="EX59" s="230"/>
      <c r="EY59" s="230"/>
      <c r="EZ59" s="230"/>
      <c r="FA59" s="230"/>
      <c r="FB59" s="230"/>
      <c r="FC59" s="230"/>
      <c r="FD59" s="230"/>
      <c r="FE59" s="230"/>
      <c r="FF59" s="230"/>
      <c r="FG59" s="230"/>
      <c r="FH59" s="230"/>
      <c r="FI59" s="230"/>
      <c r="FJ59" s="230"/>
      <c r="FK59" s="230"/>
      <c r="FL59" s="230"/>
      <c r="FM59" s="230"/>
      <c r="FN59" s="230"/>
      <c r="FO59" s="230"/>
      <c r="FP59" s="230"/>
      <c r="FQ59" s="230"/>
      <c r="FR59" s="230"/>
      <c r="FS59" s="230"/>
      <c r="FT59" s="230"/>
      <c r="FU59" s="230"/>
      <c r="FV59" s="230"/>
      <c r="FW59" s="230"/>
      <c r="FX59" s="230"/>
      <c r="FY59" s="230"/>
      <c r="FZ59" s="230"/>
      <c r="GA59" s="230"/>
      <c r="GB59" s="230"/>
      <c r="GC59" s="230"/>
      <c r="GD59" s="230"/>
      <c r="GE59" s="230"/>
      <c r="GF59" s="230"/>
      <c r="GG59" s="230"/>
      <c r="GH59" s="230"/>
      <c r="GI59" s="230"/>
      <c r="GJ59" s="230"/>
      <c r="GK59" s="230"/>
      <c r="GL59" s="230"/>
      <c r="GM59" s="230"/>
      <c r="GN59" s="230"/>
      <c r="GO59" s="230"/>
      <c r="GP59" s="230"/>
      <c r="GQ59" s="230"/>
      <c r="GR59" s="230"/>
    </row>
    <row r="60" spans="1:200" s="632" customFormat="1" ht="13.5" customHeight="1" outlineLevel="1" x14ac:dyDescent="0.2">
      <c r="A60" s="633" t="s">
        <v>3268</v>
      </c>
      <c r="B60" s="634" t="s">
        <v>2984</v>
      </c>
      <c r="C60" s="597"/>
      <c r="D60" s="1536"/>
      <c r="E60" s="635"/>
      <c r="F60" s="635"/>
      <c r="G60" s="1517"/>
      <c r="H60" s="1517"/>
      <c r="I60" s="1517"/>
      <c r="J60" s="1517"/>
      <c r="K60" s="1518"/>
      <c r="L60" s="1518"/>
      <c r="M60" s="635"/>
      <c r="N60" s="624"/>
      <c r="O60" s="624"/>
      <c r="P60" s="624"/>
      <c r="Q60" s="624"/>
      <c r="R60" s="624"/>
      <c r="S60" s="624"/>
      <c r="T60" s="624"/>
      <c r="U60" s="624"/>
      <c r="V60" s="624"/>
      <c r="W60" s="624"/>
      <c r="X60" s="624"/>
      <c r="Y60" s="624"/>
      <c r="Z60" s="624"/>
      <c r="AA60"/>
      <c r="AB60"/>
      <c r="AC60"/>
      <c r="AD60"/>
      <c r="AE60"/>
      <c r="AF60"/>
      <c r="AG60"/>
      <c r="AH60"/>
      <c r="AI60"/>
      <c r="AJ60" s="230"/>
      <c r="AK60" s="230"/>
      <c r="AL60" s="230"/>
      <c r="AM60" s="230"/>
      <c r="AN60" s="230"/>
      <c r="AO60" s="230"/>
      <c r="AP60" s="230"/>
      <c r="AQ60" s="230"/>
      <c r="AR60" s="230"/>
      <c r="AS60" s="230"/>
      <c r="AT60" s="230"/>
      <c r="AU60" s="230"/>
      <c r="AV60" s="230"/>
      <c r="AW60" s="230"/>
      <c r="AX60" s="230"/>
      <c r="AY60" s="230"/>
      <c r="AZ60" s="230"/>
      <c r="BA60" s="230"/>
      <c r="BB60" s="230"/>
      <c r="BC60" s="230"/>
      <c r="BD60" s="230"/>
      <c r="BE60" s="230"/>
      <c r="BF60" s="230"/>
      <c r="BG60" s="230"/>
      <c r="BH60" s="230"/>
      <c r="BI60" s="230"/>
      <c r="BJ60" s="230"/>
      <c r="BK60" s="230"/>
      <c r="BL60" s="230"/>
      <c r="BM60" s="230"/>
      <c r="BN60" s="230"/>
      <c r="BO60" s="230"/>
      <c r="BP60" s="230"/>
      <c r="BQ60" s="230"/>
      <c r="BR60" s="230"/>
      <c r="BS60" s="230"/>
      <c r="BT60" s="230"/>
      <c r="BU60" s="230"/>
      <c r="BV60" s="230"/>
      <c r="BW60" s="230"/>
      <c r="BX60" s="230"/>
      <c r="BY60" s="230"/>
      <c r="BZ60" s="230"/>
      <c r="CA60" s="230"/>
      <c r="CB60" s="230"/>
      <c r="CC60" s="230"/>
      <c r="CD60" s="230"/>
      <c r="CE60" s="230"/>
      <c r="CF60" s="230"/>
      <c r="CG60" s="230"/>
      <c r="CH60" s="230"/>
      <c r="CI60" s="230"/>
      <c r="CJ60" s="230"/>
      <c r="CK60" s="230"/>
      <c r="CL60" s="230"/>
      <c r="CM60" s="230"/>
      <c r="CN60" s="230"/>
      <c r="CO60" s="230"/>
      <c r="CP60" s="230"/>
      <c r="CQ60" s="230"/>
      <c r="CR60" s="230"/>
      <c r="CS60" s="230"/>
      <c r="CT60" s="230"/>
      <c r="CU60" s="230"/>
      <c r="CV60" s="230"/>
      <c r="CW60" s="230"/>
      <c r="CX60" s="230"/>
      <c r="CY60" s="230"/>
      <c r="CZ60" s="230"/>
      <c r="DA60" s="230"/>
      <c r="DB60" s="230"/>
      <c r="DC60" s="230"/>
      <c r="DD60" s="230"/>
      <c r="DE60" s="230"/>
      <c r="DF60" s="230"/>
      <c r="DG60" s="230"/>
      <c r="DH60" s="230"/>
      <c r="DI60" s="230"/>
      <c r="DJ60" s="230"/>
      <c r="DK60" s="230"/>
      <c r="DL60" s="230"/>
      <c r="DM60" s="230"/>
      <c r="DN60" s="230"/>
      <c r="DO60" s="230"/>
      <c r="DP60" s="230"/>
      <c r="DQ60" s="230"/>
      <c r="DR60" s="230"/>
      <c r="DS60" s="230"/>
      <c r="DT60" s="230"/>
      <c r="DU60" s="230"/>
      <c r="DV60" s="230"/>
      <c r="DW60" s="230"/>
      <c r="DX60" s="230"/>
      <c r="DY60" s="230"/>
      <c r="DZ60" s="230"/>
      <c r="EA60" s="230"/>
      <c r="EB60" s="230"/>
      <c r="EC60" s="230"/>
      <c r="ED60" s="230"/>
      <c r="EE60" s="230"/>
      <c r="EF60" s="230"/>
      <c r="EG60" s="230"/>
      <c r="EH60" s="230"/>
      <c r="EI60" s="230"/>
      <c r="EJ60" s="230"/>
      <c r="EK60" s="230"/>
      <c r="EL60" s="230"/>
      <c r="EM60" s="230"/>
      <c r="EN60" s="230"/>
      <c r="EO60" s="230"/>
      <c r="EP60" s="230"/>
      <c r="EQ60" s="230"/>
      <c r="ER60" s="230"/>
      <c r="ES60" s="230"/>
      <c r="ET60" s="230"/>
      <c r="EU60" s="230"/>
      <c r="EV60" s="230"/>
      <c r="EW60" s="230"/>
      <c r="EX60" s="230"/>
      <c r="EY60" s="230"/>
      <c r="EZ60" s="230"/>
      <c r="FA60" s="230"/>
      <c r="FB60" s="230"/>
      <c r="FC60" s="230"/>
      <c r="FD60" s="230"/>
      <c r="FE60" s="230"/>
      <c r="FF60" s="230"/>
      <c r="FG60" s="230"/>
      <c r="FH60" s="230"/>
      <c r="FI60" s="230"/>
      <c r="FJ60" s="230"/>
      <c r="FK60" s="230"/>
      <c r="FL60" s="230"/>
      <c r="FM60" s="230"/>
      <c r="FN60" s="230"/>
      <c r="FO60" s="230"/>
      <c r="FP60" s="230"/>
      <c r="FQ60" s="230"/>
      <c r="FR60" s="230"/>
      <c r="FS60" s="230"/>
      <c r="FT60" s="230"/>
      <c r="FU60" s="230"/>
      <c r="FV60" s="230"/>
      <c r="FW60" s="230"/>
      <c r="FX60" s="230"/>
      <c r="FY60" s="230"/>
      <c r="FZ60" s="230"/>
      <c r="GA60" s="230"/>
      <c r="GB60" s="230"/>
      <c r="GC60" s="230"/>
      <c r="GD60" s="230"/>
      <c r="GE60" s="230"/>
      <c r="GF60" s="230"/>
      <c r="GG60" s="230"/>
      <c r="GH60" s="230"/>
      <c r="GI60" s="230"/>
      <c r="GJ60" s="230"/>
      <c r="GK60" s="230"/>
      <c r="GL60" s="230"/>
      <c r="GM60" s="230"/>
      <c r="GN60" s="230"/>
      <c r="GO60" s="230"/>
      <c r="GP60" s="230"/>
      <c r="GQ60" s="230"/>
      <c r="GR60" s="230"/>
    </row>
    <row r="61" spans="1:200" s="632" customFormat="1" ht="33.75" customHeight="1" outlineLevel="2" x14ac:dyDescent="0.2">
      <c r="A61" s="636" t="s">
        <v>2816</v>
      </c>
      <c r="B61" s="636" t="s">
        <v>6752</v>
      </c>
      <c r="C61" s="597"/>
      <c r="D61" s="1536"/>
      <c r="E61" s="635"/>
      <c r="F61" s="635"/>
      <c r="G61" s="1517">
        <v>2</v>
      </c>
      <c r="H61" s="1517"/>
      <c r="I61" s="1517"/>
      <c r="J61" s="1517" t="s">
        <v>1592</v>
      </c>
      <c r="K61" s="1518"/>
      <c r="L61" s="1518"/>
      <c r="M61" s="635"/>
      <c r="N61" s="624"/>
      <c r="O61" s="624"/>
      <c r="P61" s="624"/>
      <c r="Q61" s="624"/>
      <c r="R61" s="624"/>
      <c r="S61" s="624"/>
      <c r="T61" s="624"/>
      <c r="U61" s="624"/>
      <c r="V61" s="624"/>
      <c r="W61" s="624"/>
      <c r="X61" s="624"/>
      <c r="Y61" s="624"/>
      <c r="Z61" s="624"/>
      <c r="AA61">
        <f>IF(AND('12 Ext'!C61&gt;Tmin, NOT('12 Ext'!$I61="")),'12 Ext'!$I61,0)</f>
        <v>0</v>
      </c>
      <c r="AB61">
        <f>IF(AND('12 Ext'!D61&gt;Tmin, NOT('12 Ext'!$I61="")),'12 Ext'!$I61,0)</f>
        <v>0</v>
      </c>
      <c r="AC61">
        <f>IF(AND('12 Ext'!E61&gt;Tmin, NOT('12 Ext'!$I61="")),'12 Ext'!$I61,0)</f>
        <v>0</v>
      </c>
      <c r="AD61">
        <f>IF(AND('12 Ext'!F61&gt;Tmin, NOT('12 Ext'!$I61="")),'12 Ext'!$I61,0)</f>
        <v>0</v>
      </c>
      <c r="AE61">
        <f>IF(AND('12 Ext'!C61&lt;Tmax, NOT('12 Ext'!$H61="")),'12 Ext'!$H61,4)</f>
        <v>4</v>
      </c>
      <c r="AF61">
        <f>IF(AND('12 Ext'!D61&lt;Tmax, NOT('12 Ext'!$H61="")),'12 Ext'!$H61,4)</f>
        <v>4</v>
      </c>
      <c r="AG61">
        <f>IF(AND('12 Ext'!E61&lt;Tmax, NOT('12 Ext'!$H61="")),'12 Ext'!$H61,4)</f>
        <v>4</v>
      </c>
      <c r="AH61">
        <f>IF(AND('12 Ext'!F61&lt;Tmax, NOT('12 Ext'!$H61="")),'12 Ext'!$H61,4)</f>
        <v>4</v>
      </c>
      <c r="AI61"/>
      <c r="AJ61" s="230"/>
      <c r="AK61" s="230"/>
      <c r="AL61" s="230"/>
      <c r="AM61" s="230"/>
      <c r="AN61" s="230"/>
      <c r="AO61" s="230"/>
      <c r="AP61" s="230"/>
      <c r="AQ61" s="230"/>
      <c r="AR61" s="230"/>
      <c r="AS61" s="230"/>
      <c r="AT61" s="230"/>
      <c r="AU61" s="230"/>
      <c r="AV61" s="230"/>
      <c r="AW61" s="230"/>
      <c r="AX61" s="230"/>
      <c r="AY61" s="230"/>
      <c r="AZ61" s="230"/>
      <c r="BA61" s="230"/>
      <c r="BB61" s="230"/>
      <c r="BC61" s="230"/>
      <c r="BD61" s="230"/>
      <c r="BE61" s="230"/>
      <c r="BF61" s="230"/>
      <c r="BG61" s="230"/>
      <c r="BH61" s="230"/>
      <c r="BI61" s="230"/>
      <c r="BJ61" s="230"/>
      <c r="BK61" s="230"/>
      <c r="BL61" s="230"/>
      <c r="BM61" s="230"/>
      <c r="BN61" s="230"/>
      <c r="BO61" s="230"/>
      <c r="BP61" s="230"/>
      <c r="BQ61" s="230"/>
      <c r="BR61" s="230"/>
      <c r="BS61" s="230"/>
      <c r="BT61" s="230"/>
      <c r="BU61" s="230"/>
      <c r="BV61" s="230"/>
      <c r="BW61" s="230"/>
      <c r="BX61" s="230"/>
      <c r="BY61" s="230"/>
      <c r="BZ61" s="230"/>
      <c r="CA61" s="230"/>
      <c r="CB61" s="230"/>
      <c r="CC61" s="230"/>
      <c r="CD61" s="230"/>
      <c r="CE61" s="230"/>
      <c r="CF61" s="230"/>
      <c r="CG61" s="230"/>
      <c r="CH61" s="230"/>
      <c r="CI61" s="230"/>
      <c r="CJ61" s="230"/>
      <c r="CK61" s="230"/>
      <c r="CL61" s="230"/>
      <c r="CM61" s="230"/>
      <c r="CN61" s="230"/>
      <c r="CO61" s="230"/>
      <c r="CP61" s="230"/>
      <c r="CQ61" s="230"/>
      <c r="CR61" s="230"/>
      <c r="CS61" s="230"/>
      <c r="CT61" s="230"/>
      <c r="CU61" s="230"/>
      <c r="CV61" s="230"/>
      <c r="CW61" s="230"/>
      <c r="CX61" s="230"/>
      <c r="CY61" s="230"/>
      <c r="CZ61" s="230"/>
      <c r="DA61" s="230"/>
      <c r="DB61" s="230"/>
      <c r="DC61" s="230"/>
      <c r="DD61" s="230"/>
      <c r="DE61" s="230"/>
      <c r="DF61" s="230"/>
      <c r="DG61" s="230"/>
      <c r="DH61" s="230"/>
      <c r="DI61" s="230"/>
      <c r="DJ61" s="230"/>
      <c r="DK61" s="230"/>
      <c r="DL61" s="230"/>
      <c r="DM61" s="230"/>
      <c r="DN61" s="230"/>
      <c r="DO61" s="230"/>
      <c r="DP61" s="230"/>
      <c r="DQ61" s="230"/>
      <c r="DR61" s="230"/>
      <c r="DS61" s="230"/>
      <c r="DT61" s="230"/>
      <c r="DU61" s="230"/>
      <c r="DV61" s="230"/>
      <c r="DW61" s="230"/>
      <c r="DX61" s="230"/>
      <c r="DY61" s="230"/>
      <c r="DZ61" s="230"/>
      <c r="EA61" s="230"/>
      <c r="EB61" s="230"/>
      <c r="EC61" s="230"/>
      <c r="ED61" s="230"/>
      <c r="EE61" s="230"/>
      <c r="EF61" s="230"/>
      <c r="EG61" s="230"/>
      <c r="EH61" s="230"/>
      <c r="EI61" s="230"/>
      <c r="EJ61" s="230"/>
      <c r="EK61" s="230"/>
      <c r="EL61" s="230"/>
      <c r="EM61" s="230"/>
      <c r="EN61" s="230"/>
      <c r="EO61" s="230"/>
      <c r="EP61" s="230"/>
      <c r="EQ61" s="230"/>
      <c r="ER61" s="230"/>
      <c r="ES61" s="230"/>
      <c r="ET61" s="230"/>
      <c r="EU61" s="230"/>
      <c r="EV61" s="230"/>
      <c r="EW61" s="230"/>
      <c r="EX61" s="230"/>
      <c r="EY61" s="230"/>
      <c r="EZ61" s="230"/>
      <c r="FA61" s="230"/>
      <c r="FB61" s="230"/>
      <c r="FC61" s="230"/>
      <c r="FD61" s="230"/>
      <c r="FE61" s="230"/>
      <c r="FF61" s="230"/>
      <c r="FG61" s="230"/>
      <c r="FH61" s="230"/>
      <c r="FI61" s="230"/>
      <c r="FJ61" s="230"/>
      <c r="FK61" s="230"/>
      <c r="FL61" s="230"/>
      <c r="FM61" s="230"/>
      <c r="FN61" s="230"/>
      <c r="FO61" s="230"/>
      <c r="FP61" s="230"/>
      <c r="FQ61" s="230"/>
      <c r="FR61" s="230"/>
      <c r="FS61" s="230"/>
      <c r="FT61" s="230"/>
      <c r="FU61" s="230"/>
      <c r="FV61" s="230"/>
      <c r="FW61" s="230"/>
      <c r="FX61" s="230"/>
      <c r="FY61" s="230"/>
      <c r="FZ61" s="230"/>
      <c r="GA61" s="230"/>
      <c r="GB61" s="230"/>
      <c r="GC61" s="230"/>
      <c r="GD61" s="230"/>
      <c r="GE61" s="230"/>
      <c r="GF61" s="230"/>
      <c r="GG61" s="230"/>
      <c r="GH61" s="230"/>
      <c r="GI61" s="230"/>
      <c r="GJ61" s="230"/>
      <c r="GK61" s="230"/>
      <c r="GL61" s="230"/>
      <c r="GM61" s="230"/>
      <c r="GN61" s="230"/>
      <c r="GO61" s="230"/>
      <c r="GP61" s="230"/>
      <c r="GQ61" s="230"/>
      <c r="GR61" s="230"/>
    </row>
    <row r="62" spans="1:200" s="632" customFormat="1" ht="46.5" customHeight="1" outlineLevel="2" x14ac:dyDescent="0.2">
      <c r="A62" s="636" t="s">
        <v>2817</v>
      </c>
      <c r="B62" s="636" t="s">
        <v>6753</v>
      </c>
      <c r="C62" s="597"/>
      <c r="D62" s="1536"/>
      <c r="E62" s="635"/>
      <c r="F62" s="635"/>
      <c r="G62" s="1517">
        <v>4</v>
      </c>
      <c r="H62" s="1517">
        <v>2</v>
      </c>
      <c r="I62" s="1517"/>
      <c r="J62" s="1517" t="s">
        <v>4246</v>
      </c>
      <c r="K62" s="1518"/>
      <c r="L62" s="1518"/>
      <c r="M62" s="635"/>
      <c r="N62" s="624"/>
      <c r="O62" s="624"/>
      <c r="P62" s="624"/>
      <c r="Q62" s="624"/>
      <c r="R62" s="624"/>
      <c r="S62" s="624"/>
      <c r="T62" s="624"/>
      <c r="U62" s="624"/>
      <c r="V62" s="624"/>
      <c r="W62" s="624"/>
      <c r="X62" s="624"/>
      <c r="Y62" s="624"/>
      <c r="Z62" s="624"/>
      <c r="AA62">
        <f>IF(AND('12 Ext'!C62&gt;Tmin, NOT('12 Ext'!$I62="")),'12 Ext'!$I62,0)</f>
        <v>0</v>
      </c>
      <c r="AB62">
        <f>IF(AND('12 Ext'!D62&gt;Tmin, NOT('12 Ext'!$I62="")),'12 Ext'!$I62,0)</f>
        <v>0</v>
      </c>
      <c r="AC62">
        <f>IF(AND('12 Ext'!E62&gt;Tmin, NOT('12 Ext'!$I62="")),'12 Ext'!$I62,0)</f>
        <v>0</v>
      </c>
      <c r="AD62">
        <f>IF(AND('12 Ext'!F62&gt;Tmin, NOT('12 Ext'!$I62="")),'12 Ext'!$I62,0)</f>
        <v>0</v>
      </c>
      <c r="AE62">
        <f>IF(AND('12 Ext'!C62&lt;Tmax, NOT('12 Ext'!$H62="")),'12 Ext'!$H62,4)</f>
        <v>2</v>
      </c>
      <c r="AF62">
        <f>IF(AND('12 Ext'!D62&lt;Tmax, NOT('12 Ext'!$H62="")),'12 Ext'!$H62,4)</f>
        <v>2</v>
      </c>
      <c r="AG62">
        <f>IF(AND('12 Ext'!E62&lt;Tmax, NOT('12 Ext'!$H62="")),'12 Ext'!$H62,4)</f>
        <v>2</v>
      </c>
      <c r="AH62">
        <f>IF(AND('12 Ext'!F62&lt;Tmax, NOT('12 Ext'!$H62="")),'12 Ext'!$H62,4)</f>
        <v>2</v>
      </c>
      <c r="AI62"/>
      <c r="AJ62" s="230"/>
      <c r="AK62" s="230"/>
      <c r="AL62" s="230"/>
      <c r="AM62" s="230"/>
      <c r="AN62" s="230"/>
      <c r="AO62" s="230"/>
      <c r="AP62" s="230"/>
      <c r="AQ62" s="230"/>
      <c r="AR62" s="230"/>
      <c r="AS62" s="230"/>
      <c r="AT62" s="230"/>
      <c r="AU62" s="230"/>
      <c r="AV62" s="230"/>
      <c r="AW62" s="230"/>
      <c r="AX62" s="230"/>
      <c r="AY62" s="230"/>
      <c r="AZ62" s="230"/>
      <c r="BA62" s="230"/>
      <c r="BB62" s="230"/>
      <c r="BC62" s="230"/>
      <c r="BD62" s="230"/>
      <c r="BE62" s="230"/>
      <c r="BF62" s="230"/>
      <c r="BG62" s="230"/>
      <c r="BH62" s="230"/>
      <c r="BI62" s="230"/>
      <c r="BJ62" s="230"/>
      <c r="BK62" s="230"/>
      <c r="BL62" s="230"/>
      <c r="BM62" s="230"/>
      <c r="BN62" s="230"/>
      <c r="BO62" s="230"/>
      <c r="BP62" s="230"/>
      <c r="BQ62" s="230"/>
      <c r="BR62" s="230"/>
      <c r="BS62" s="230"/>
      <c r="BT62" s="230"/>
      <c r="BU62" s="230"/>
      <c r="BV62" s="230"/>
      <c r="BW62" s="230"/>
      <c r="BX62" s="230"/>
      <c r="BY62" s="230"/>
      <c r="BZ62" s="230"/>
      <c r="CA62" s="230"/>
      <c r="CB62" s="230"/>
      <c r="CC62" s="230"/>
      <c r="CD62" s="230"/>
      <c r="CE62" s="230"/>
      <c r="CF62" s="230"/>
      <c r="CG62" s="230"/>
      <c r="CH62" s="230"/>
      <c r="CI62" s="230"/>
      <c r="CJ62" s="230"/>
      <c r="CK62" s="230"/>
      <c r="CL62" s="230"/>
      <c r="CM62" s="230"/>
      <c r="CN62" s="230"/>
      <c r="CO62" s="230"/>
      <c r="CP62" s="230"/>
      <c r="CQ62" s="230"/>
      <c r="CR62" s="230"/>
      <c r="CS62" s="230"/>
      <c r="CT62" s="230"/>
      <c r="CU62" s="230"/>
      <c r="CV62" s="230"/>
      <c r="CW62" s="230"/>
      <c r="CX62" s="230"/>
      <c r="CY62" s="230"/>
      <c r="CZ62" s="230"/>
      <c r="DA62" s="230"/>
      <c r="DB62" s="230"/>
      <c r="DC62" s="230"/>
      <c r="DD62" s="230"/>
      <c r="DE62" s="230"/>
      <c r="DF62" s="230"/>
      <c r="DG62" s="230"/>
      <c r="DH62" s="230"/>
      <c r="DI62" s="230"/>
      <c r="DJ62" s="230"/>
      <c r="DK62" s="230"/>
      <c r="DL62" s="230"/>
      <c r="DM62" s="230"/>
      <c r="DN62" s="230"/>
      <c r="DO62" s="230"/>
      <c r="DP62" s="230"/>
      <c r="DQ62" s="230"/>
      <c r="DR62" s="230"/>
      <c r="DS62" s="230"/>
      <c r="DT62" s="230"/>
      <c r="DU62" s="230"/>
      <c r="DV62" s="230"/>
      <c r="DW62" s="230"/>
      <c r="DX62" s="230"/>
      <c r="DY62" s="230"/>
      <c r="DZ62" s="230"/>
      <c r="EA62" s="230"/>
      <c r="EB62" s="230"/>
      <c r="EC62" s="230"/>
      <c r="ED62" s="230"/>
      <c r="EE62" s="230"/>
      <c r="EF62" s="230"/>
      <c r="EG62" s="230"/>
      <c r="EH62" s="230"/>
      <c r="EI62" s="230"/>
      <c r="EJ62" s="230"/>
      <c r="EK62" s="230"/>
      <c r="EL62" s="230"/>
      <c r="EM62" s="230"/>
      <c r="EN62" s="230"/>
      <c r="EO62" s="230"/>
      <c r="EP62" s="230"/>
      <c r="EQ62" s="230"/>
      <c r="ER62" s="230"/>
      <c r="ES62" s="230"/>
      <c r="ET62" s="230"/>
      <c r="EU62" s="230"/>
      <c r="EV62" s="230"/>
      <c r="EW62" s="230"/>
      <c r="EX62" s="230"/>
      <c r="EY62" s="230"/>
      <c r="EZ62" s="230"/>
      <c r="FA62" s="230"/>
      <c r="FB62" s="230"/>
      <c r="FC62" s="230"/>
      <c r="FD62" s="230"/>
      <c r="FE62" s="230"/>
      <c r="FF62" s="230"/>
      <c r="FG62" s="230"/>
      <c r="FH62" s="230"/>
      <c r="FI62" s="230"/>
      <c r="FJ62" s="230"/>
      <c r="FK62" s="230"/>
      <c r="FL62" s="230"/>
      <c r="FM62" s="230"/>
      <c r="FN62" s="230"/>
      <c r="FO62" s="230"/>
      <c r="FP62" s="230"/>
      <c r="FQ62" s="230"/>
      <c r="FR62" s="230"/>
      <c r="FS62" s="230"/>
      <c r="FT62" s="230"/>
      <c r="FU62" s="230"/>
      <c r="FV62" s="230"/>
      <c r="FW62" s="230"/>
      <c r="FX62" s="230"/>
      <c r="FY62" s="230"/>
      <c r="FZ62" s="230"/>
      <c r="GA62" s="230"/>
      <c r="GB62" s="230"/>
      <c r="GC62" s="230"/>
      <c r="GD62" s="230"/>
      <c r="GE62" s="230"/>
      <c r="GF62" s="230"/>
      <c r="GG62" s="230"/>
      <c r="GH62" s="230"/>
      <c r="GI62" s="230"/>
      <c r="GJ62" s="230"/>
      <c r="GK62" s="230"/>
      <c r="GL62" s="230"/>
      <c r="GM62" s="230"/>
      <c r="GN62" s="230"/>
      <c r="GO62" s="230"/>
      <c r="GP62" s="230"/>
      <c r="GQ62" s="230"/>
      <c r="GR62" s="230"/>
    </row>
    <row r="63" spans="1:200" s="632" customFormat="1" ht="15" customHeight="1" outlineLevel="2" x14ac:dyDescent="0.2">
      <c r="A63" s="636" t="s">
        <v>2818</v>
      </c>
      <c r="B63" s="636" t="s">
        <v>1945</v>
      </c>
      <c r="C63" s="597"/>
      <c r="D63" s="1536"/>
      <c r="E63" s="635"/>
      <c r="F63" s="635"/>
      <c r="G63" s="1517">
        <v>4</v>
      </c>
      <c r="H63" s="1517">
        <v>2</v>
      </c>
      <c r="I63" s="1517"/>
      <c r="J63" s="1517" t="s">
        <v>1592</v>
      </c>
      <c r="K63" s="1518"/>
      <c r="L63" s="1518" t="s">
        <v>7330</v>
      </c>
      <c r="M63" s="635"/>
      <c r="N63" s="624"/>
      <c r="O63" s="624"/>
      <c r="P63" s="624"/>
      <c r="Q63" s="624"/>
      <c r="R63" s="624"/>
      <c r="S63" s="624"/>
      <c r="T63" s="624"/>
      <c r="U63" s="624"/>
      <c r="V63" s="624"/>
      <c r="W63" s="624"/>
      <c r="X63" s="624"/>
      <c r="Y63" s="624"/>
      <c r="Z63" s="624"/>
      <c r="AA63">
        <f>IF(AND('12 Ext'!C63&gt;Tmin, NOT('12 Ext'!$I63="")),'12 Ext'!$I63,0)</f>
        <v>0</v>
      </c>
      <c r="AB63">
        <f>IF(AND('12 Ext'!D63&gt;Tmin, NOT('12 Ext'!$I63="")),'12 Ext'!$I63,0)</f>
        <v>0</v>
      </c>
      <c r="AC63">
        <f>IF(AND('12 Ext'!E63&gt;Tmin, NOT('12 Ext'!$I63="")),'12 Ext'!$I63,0)</f>
        <v>0</v>
      </c>
      <c r="AD63">
        <f>IF(AND('12 Ext'!F63&gt;Tmin, NOT('12 Ext'!$I63="")),'12 Ext'!$I63,0)</f>
        <v>0</v>
      </c>
      <c r="AE63">
        <f>IF(AND('12 Ext'!C63&lt;Tmax, NOT('12 Ext'!$H63="")),'12 Ext'!$H63,4)</f>
        <v>2</v>
      </c>
      <c r="AF63">
        <f>IF(AND('12 Ext'!D63&lt;Tmax, NOT('12 Ext'!$H63="")),'12 Ext'!$H63,4)</f>
        <v>2</v>
      </c>
      <c r="AG63">
        <f>IF(AND('12 Ext'!E63&lt;Tmax, NOT('12 Ext'!$H63="")),'12 Ext'!$H63,4)</f>
        <v>2</v>
      </c>
      <c r="AH63">
        <f>IF(AND('12 Ext'!F63&lt;Tmax, NOT('12 Ext'!$H63="")),'12 Ext'!$H63,4)</f>
        <v>2</v>
      </c>
      <c r="AI63"/>
      <c r="AJ63" s="230"/>
      <c r="AK63" s="230"/>
      <c r="AL63" s="230"/>
      <c r="AM63" s="230"/>
      <c r="AN63" s="230"/>
      <c r="AO63" s="230"/>
      <c r="AP63" s="230"/>
      <c r="AQ63" s="230"/>
      <c r="AR63" s="230"/>
      <c r="AS63" s="230"/>
      <c r="AT63" s="230"/>
      <c r="AU63" s="230"/>
      <c r="AV63" s="230"/>
      <c r="AW63" s="230"/>
      <c r="AX63" s="230"/>
      <c r="AY63" s="230"/>
      <c r="AZ63" s="230"/>
      <c r="BA63" s="230"/>
      <c r="BB63" s="230"/>
      <c r="BC63" s="230"/>
      <c r="BD63" s="230"/>
      <c r="BE63" s="230"/>
      <c r="BF63" s="230"/>
      <c r="BG63" s="230"/>
      <c r="BH63" s="230"/>
      <c r="BI63" s="230"/>
      <c r="BJ63" s="230"/>
      <c r="BK63" s="230"/>
      <c r="BL63" s="230"/>
      <c r="BM63" s="230"/>
      <c r="BN63" s="230"/>
      <c r="BO63" s="230"/>
      <c r="BP63" s="230"/>
      <c r="BQ63" s="230"/>
      <c r="BR63" s="230"/>
      <c r="BS63" s="230"/>
      <c r="BT63" s="230"/>
      <c r="BU63" s="230"/>
      <c r="BV63" s="230"/>
      <c r="BW63" s="230"/>
      <c r="BX63" s="230"/>
      <c r="BY63" s="230"/>
      <c r="BZ63" s="230"/>
      <c r="CA63" s="230"/>
      <c r="CB63" s="230"/>
      <c r="CC63" s="230"/>
      <c r="CD63" s="230"/>
      <c r="CE63" s="230"/>
      <c r="CF63" s="230"/>
      <c r="CG63" s="230"/>
      <c r="CH63" s="230"/>
      <c r="CI63" s="230"/>
      <c r="CJ63" s="230"/>
      <c r="CK63" s="230"/>
      <c r="CL63" s="230"/>
      <c r="CM63" s="230"/>
      <c r="CN63" s="230"/>
      <c r="CO63" s="230"/>
      <c r="CP63" s="230"/>
      <c r="CQ63" s="230"/>
      <c r="CR63" s="230"/>
      <c r="CS63" s="230"/>
      <c r="CT63" s="230"/>
      <c r="CU63" s="230"/>
      <c r="CV63" s="230"/>
      <c r="CW63" s="230"/>
      <c r="CX63" s="230"/>
      <c r="CY63" s="230"/>
      <c r="CZ63" s="230"/>
      <c r="DA63" s="230"/>
      <c r="DB63" s="230"/>
      <c r="DC63" s="230"/>
      <c r="DD63" s="230"/>
      <c r="DE63" s="230"/>
      <c r="DF63" s="230"/>
      <c r="DG63" s="230"/>
      <c r="DH63" s="230"/>
      <c r="DI63" s="230"/>
      <c r="DJ63" s="230"/>
      <c r="DK63" s="230"/>
      <c r="DL63" s="230"/>
      <c r="DM63" s="230"/>
      <c r="DN63" s="230"/>
      <c r="DO63" s="230"/>
      <c r="DP63" s="230"/>
      <c r="DQ63" s="230"/>
      <c r="DR63" s="230"/>
      <c r="DS63" s="230"/>
      <c r="DT63" s="230"/>
      <c r="DU63" s="230"/>
      <c r="DV63" s="230"/>
      <c r="DW63" s="230"/>
      <c r="DX63" s="230"/>
      <c r="DY63" s="230"/>
      <c r="DZ63" s="230"/>
      <c r="EA63" s="230"/>
      <c r="EB63" s="230"/>
      <c r="EC63" s="230"/>
      <c r="ED63" s="230"/>
      <c r="EE63" s="230"/>
      <c r="EF63" s="230"/>
      <c r="EG63" s="230"/>
      <c r="EH63" s="230"/>
      <c r="EI63" s="230"/>
      <c r="EJ63" s="230"/>
      <c r="EK63" s="230"/>
      <c r="EL63" s="230"/>
      <c r="EM63" s="230"/>
      <c r="EN63" s="230"/>
      <c r="EO63" s="230"/>
      <c r="EP63" s="230"/>
      <c r="EQ63" s="230"/>
      <c r="ER63" s="230"/>
      <c r="ES63" s="230"/>
      <c r="ET63" s="230"/>
      <c r="EU63" s="230"/>
      <c r="EV63" s="230"/>
      <c r="EW63" s="230"/>
      <c r="EX63" s="230"/>
      <c r="EY63" s="230"/>
      <c r="EZ63" s="230"/>
      <c r="FA63" s="230"/>
      <c r="FB63" s="230"/>
      <c r="FC63" s="230"/>
      <c r="FD63" s="230"/>
      <c r="FE63" s="230"/>
      <c r="FF63" s="230"/>
      <c r="FG63" s="230"/>
      <c r="FH63" s="230"/>
      <c r="FI63" s="230"/>
      <c r="FJ63" s="230"/>
      <c r="FK63" s="230"/>
      <c r="FL63" s="230"/>
      <c r="FM63" s="230"/>
      <c r="FN63" s="230"/>
      <c r="FO63" s="230"/>
      <c r="FP63" s="230"/>
      <c r="FQ63" s="230"/>
      <c r="FR63" s="230"/>
      <c r="FS63" s="230"/>
      <c r="FT63" s="230"/>
      <c r="FU63" s="230"/>
      <c r="FV63" s="230"/>
      <c r="FW63" s="230"/>
      <c r="FX63" s="230"/>
      <c r="FY63" s="230"/>
      <c r="FZ63" s="230"/>
      <c r="GA63" s="230"/>
      <c r="GB63" s="230"/>
      <c r="GC63" s="230"/>
      <c r="GD63" s="230"/>
      <c r="GE63" s="230"/>
      <c r="GF63" s="230"/>
      <c r="GG63" s="230"/>
      <c r="GH63" s="230"/>
      <c r="GI63" s="230"/>
      <c r="GJ63" s="230"/>
      <c r="GK63" s="230"/>
      <c r="GL63" s="230"/>
      <c r="GM63" s="230"/>
      <c r="GN63" s="230"/>
      <c r="GO63" s="230"/>
      <c r="GP63" s="230"/>
      <c r="GQ63" s="230"/>
      <c r="GR63" s="230"/>
    </row>
    <row r="64" spans="1:200" s="632" customFormat="1" ht="44.25" customHeight="1" outlineLevel="2" x14ac:dyDescent="0.2">
      <c r="A64" s="636" t="s">
        <v>2819</v>
      </c>
      <c r="B64" s="636" t="s">
        <v>6646</v>
      </c>
      <c r="C64" s="597"/>
      <c r="D64" s="1536"/>
      <c r="E64" s="635"/>
      <c r="F64" s="635"/>
      <c r="G64" s="1517">
        <v>2</v>
      </c>
      <c r="H64" s="1517">
        <v>3</v>
      </c>
      <c r="I64" s="1517"/>
      <c r="J64" s="1517" t="s">
        <v>1592</v>
      </c>
      <c r="K64" s="1518" t="s">
        <v>5723</v>
      </c>
      <c r="L64" s="1518" t="s">
        <v>7361</v>
      </c>
      <c r="M64" s="635"/>
      <c r="N64" s="624"/>
      <c r="O64" s="624"/>
      <c r="P64" s="624"/>
      <c r="Q64" s="624"/>
      <c r="R64" s="624"/>
      <c r="S64" s="624"/>
      <c r="T64" s="624"/>
      <c r="U64" s="624"/>
      <c r="V64" s="624"/>
      <c r="W64" s="624"/>
      <c r="X64" s="624"/>
      <c r="Y64" s="624"/>
      <c r="Z64" s="624"/>
      <c r="AA64">
        <f>IF(AND('12 Ext'!C64&gt;Tmin, NOT('12 Ext'!$I64="")),'12 Ext'!$I64,0)</f>
        <v>0</v>
      </c>
      <c r="AB64">
        <f>IF(AND('12 Ext'!D64&gt;Tmin, NOT('12 Ext'!$I64="")),'12 Ext'!$I64,0)</f>
        <v>0</v>
      </c>
      <c r="AC64">
        <f>IF(AND('12 Ext'!E64&gt;Tmin, NOT('12 Ext'!$I64="")),'12 Ext'!$I64,0)</f>
        <v>0</v>
      </c>
      <c r="AD64">
        <f>IF(AND('12 Ext'!F64&gt;Tmin, NOT('12 Ext'!$I64="")),'12 Ext'!$I64,0)</f>
        <v>0</v>
      </c>
      <c r="AE64">
        <f>IF(AND('12 Ext'!C64&lt;Tmax, NOT('12 Ext'!$H64="")),'12 Ext'!$H64,4)</f>
        <v>3</v>
      </c>
      <c r="AF64">
        <f>IF(AND('12 Ext'!D64&lt;Tmax, NOT('12 Ext'!$H64="")),'12 Ext'!$H64,4)</f>
        <v>3</v>
      </c>
      <c r="AG64">
        <f>IF(AND('12 Ext'!E64&lt;Tmax, NOT('12 Ext'!$H64="")),'12 Ext'!$H64,4)</f>
        <v>3</v>
      </c>
      <c r="AH64">
        <f>IF(AND('12 Ext'!F64&lt;Tmax, NOT('12 Ext'!$H64="")),'12 Ext'!$H64,4)</f>
        <v>3</v>
      </c>
      <c r="AI64"/>
      <c r="AJ64" s="230"/>
      <c r="AK64" s="230"/>
      <c r="AL64" s="230"/>
      <c r="AM64" s="230"/>
      <c r="AN64" s="230"/>
      <c r="AO64" s="230"/>
      <c r="AP64" s="230"/>
      <c r="AQ64" s="230"/>
      <c r="AR64" s="230"/>
      <c r="AS64" s="230"/>
      <c r="AT64" s="230"/>
      <c r="AU64" s="230"/>
      <c r="AV64" s="230"/>
      <c r="AW64" s="230"/>
      <c r="AX64" s="230"/>
      <c r="AY64" s="230"/>
      <c r="AZ64" s="230"/>
      <c r="BA64" s="230"/>
      <c r="BB64" s="230"/>
      <c r="BC64" s="230"/>
      <c r="BD64" s="230"/>
      <c r="BE64" s="230"/>
      <c r="BF64" s="230"/>
      <c r="BG64" s="230"/>
      <c r="BH64" s="230"/>
      <c r="BI64" s="230"/>
      <c r="BJ64" s="230"/>
      <c r="BK64" s="230"/>
      <c r="BL64" s="230"/>
      <c r="BM64" s="230"/>
      <c r="BN64" s="230"/>
      <c r="BO64" s="230"/>
      <c r="BP64" s="230"/>
      <c r="BQ64" s="230"/>
      <c r="BR64" s="230"/>
      <c r="BS64" s="230"/>
      <c r="BT64" s="230"/>
      <c r="BU64" s="230"/>
      <c r="BV64" s="230"/>
      <c r="BW64" s="230"/>
      <c r="BX64" s="230"/>
      <c r="BY64" s="230"/>
      <c r="BZ64" s="230"/>
      <c r="CA64" s="230"/>
      <c r="CB64" s="230"/>
      <c r="CC64" s="230"/>
      <c r="CD64" s="230"/>
      <c r="CE64" s="230"/>
      <c r="CF64" s="230"/>
      <c r="CG64" s="230"/>
      <c r="CH64" s="230"/>
      <c r="CI64" s="230"/>
      <c r="CJ64" s="230"/>
      <c r="CK64" s="230"/>
      <c r="CL64" s="230"/>
      <c r="CM64" s="230"/>
      <c r="CN64" s="230"/>
      <c r="CO64" s="230"/>
      <c r="CP64" s="230"/>
      <c r="CQ64" s="230"/>
      <c r="CR64" s="230"/>
      <c r="CS64" s="230"/>
      <c r="CT64" s="230"/>
      <c r="CU64" s="230"/>
      <c r="CV64" s="230"/>
      <c r="CW64" s="230"/>
      <c r="CX64" s="230"/>
      <c r="CY64" s="230"/>
      <c r="CZ64" s="230"/>
      <c r="DA64" s="230"/>
      <c r="DB64" s="230"/>
      <c r="DC64" s="230"/>
      <c r="DD64" s="230"/>
      <c r="DE64" s="230"/>
      <c r="DF64" s="230"/>
      <c r="DG64" s="230"/>
      <c r="DH64" s="230"/>
      <c r="DI64" s="230"/>
      <c r="DJ64" s="230"/>
      <c r="DK64" s="230"/>
      <c r="DL64" s="230"/>
      <c r="DM64" s="230"/>
      <c r="DN64" s="230"/>
      <c r="DO64" s="230"/>
      <c r="DP64" s="230"/>
      <c r="DQ64" s="230"/>
      <c r="DR64" s="230"/>
      <c r="DS64" s="230"/>
      <c r="DT64" s="230"/>
      <c r="DU64" s="230"/>
      <c r="DV64" s="230"/>
      <c r="DW64" s="230"/>
      <c r="DX64" s="230"/>
      <c r="DY64" s="230"/>
      <c r="DZ64" s="230"/>
      <c r="EA64" s="230"/>
      <c r="EB64" s="230"/>
      <c r="EC64" s="230"/>
      <c r="ED64" s="230"/>
      <c r="EE64" s="230"/>
      <c r="EF64" s="230"/>
      <c r="EG64" s="230"/>
      <c r="EH64" s="230"/>
      <c r="EI64" s="230"/>
      <c r="EJ64" s="230"/>
      <c r="EK64" s="230"/>
      <c r="EL64" s="230"/>
      <c r="EM64" s="230"/>
      <c r="EN64" s="230"/>
      <c r="EO64" s="230"/>
      <c r="EP64" s="230"/>
      <c r="EQ64" s="230"/>
      <c r="ER64" s="230"/>
      <c r="ES64" s="230"/>
      <c r="ET64" s="230"/>
      <c r="EU64" s="230"/>
      <c r="EV64" s="230"/>
      <c r="EW64" s="230"/>
      <c r="EX64" s="230"/>
      <c r="EY64" s="230"/>
      <c r="EZ64" s="230"/>
      <c r="FA64" s="230"/>
      <c r="FB64" s="230"/>
      <c r="FC64" s="230"/>
      <c r="FD64" s="230"/>
      <c r="FE64" s="230"/>
      <c r="FF64" s="230"/>
      <c r="FG64" s="230"/>
      <c r="FH64" s="230"/>
      <c r="FI64" s="230"/>
      <c r="FJ64" s="230"/>
      <c r="FK64" s="230"/>
      <c r="FL64" s="230"/>
      <c r="FM64" s="230"/>
      <c r="FN64" s="230"/>
      <c r="FO64" s="230"/>
      <c r="FP64" s="230"/>
      <c r="FQ64" s="230"/>
      <c r="FR64" s="230"/>
      <c r="FS64" s="230"/>
      <c r="FT64" s="230"/>
      <c r="FU64" s="230"/>
      <c r="FV64" s="230"/>
      <c r="FW64" s="230"/>
      <c r="FX64" s="230"/>
      <c r="FY64" s="230"/>
      <c r="FZ64" s="230"/>
      <c r="GA64" s="230"/>
      <c r="GB64" s="230"/>
      <c r="GC64" s="230"/>
      <c r="GD64" s="230"/>
      <c r="GE64" s="230"/>
      <c r="GF64" s="230"/>
      <c r="GG64" s="230"/>
      <c r="GH64" s="230"/>
      <c r="GI64" s="230"/>
      <c r="GJ64" s="230"/>
      <c r="GK64" s="230"/>
      <c r="GL64" s="230"/>
      <c r="GM64" s="230"/>
      <c r="GN64" s="230"/>
      <c r="GO64" s="230"/>
      <c r="GP64" s="230"/>
      <c r="GQ64" s="230"/>
      <c r="GR64" s="230"/>
    </row>
    <row r="65" spans="1:200" s="632" customFormat="1" ht="25.5" customHeight="1" outlineLevel="2" x14ac:dyDescent="0.2">
      <c r="A65" s="636" t="s">
        <v>3976</v>
      </c>
      <c r="B65" s="636" t="s">
        <v>6754</v>
      </c>
      <c r="C65" s="597"/>
      <c r="D65" s="1536"/>
      <c r="E65" s="635"/>
      <c r="F65" s="635"/>
      <c r="G65" s="1517">
        <v>4</v>
      </c>
      <c r="H65" s="1517"/>
      <c r="I65" s="1517"/>
      <c r="J65" s="1517" t="s">
        <v>2329</v>
      </c>
      <c r="K65" s="1518" t="s">
        <v>6986</v>
      </c>
      <c r="L65" s="1518" t="s">
        <v>7336</v>
      </c>
      <c r="M65" s="635"/>
      <c r="N65" s="624"/>
      <c r="O65" s="624"/>
      <c r="P65" s="624"/>
      <c r="Q65" s="624"/>
      <c r="R65" s="624"/>
      <c r="S65" s="624"/>
      <c r="T65" s="624"/>
      <c r="U65" s="624"/>
      <c r="V65" s="624"/>
      <c r="W65" s="624"/>
      <c r="X65" s="624"/>
      <c r="Y65" s="624"/>
      <c r="Z65" s="624"/>
      <c r="AA65">
        <f>IF(AND('12 Ext'!C65&gt;Tmin, NOT('12 Ext'!$I65="")),'12 Ext'!$I65,0)</f>
        <v>0</v>
      </c>
      <c r="AB65">
        <f>IF(AND('12 Ext'!D65&gt;Tmin, NOT('12 Ext'!$I65="")),'12 Ext'!$I65,0)</f>
        <v>0</v>
      </c>
      <c r="AC65">
        <f>IF(AND('12 Ext'!E65&gt;Tmin, NOT('12 Ext'!$I65="")),'12 Ext'!$I65,0)</f>
        <v>0</v>
      </c>
      <c r="AD65">
        <f>IF(AND('12 Ext'!F65&gt;Tmin, NOT('12 Ext'!$I65="")),'12 Ext'!$I65,0)</f>
        <v>0</v>
      </c>
      <c r="AE65">
        <f>IF(AND('12 Ext'!C65&lt;Tmax, NOT('12 Ext'!$H65="")),'12 Ext'!$H65,4)</f>
        <v>4</v>
      </c>
      <c r="AF65">
        <f>IF(AND('12 Ext'!D65&lt;Tmax, NOT('12 Ext'!$H65="")),'12 Ext'!$H65,4)</f>
        <v>4</v>
      </c>
      <c r="AG65">
        <f>IF(AND('12 Ext'!E65&lt;Tmax, NOT('12 Ext'!$H65="")),'12 Ext'!$H65,4)</f>
        <v>4</v>
      </c>
      <c r="AH65">
        <f>IF(AND('12 Ext'!F65&lt;Tmax, NOT('12 Ext'!$H65="")),'12 Ext'!$H65,4)</f>
        <v>4</v>
      </c>
      <c r="AI65"/>
      <c r="AJ65" s="230"/>
      <c r="AK65" s="230"/>
      <c r="AL65" s="230"/>
      <c r="AM65" s="230"/>
      <c r="AN65" s="230"/>
      <c r="AO65" s="230"/>
      <c r="AP65" s="230"/>
      <c r="AQ65" s="230"/>
      <c r="AR65" s="230"/>
      <c r="AS65" s="230"/>
      <c r="AT65" s="230"/>
      <c r="AU65" s="230"/>
      <c r="AV65" s="230"/>
      <c r="AW65" s="230"/>
      <c r="AX65" s="230"/>
      <c r="AY65" s="230"/>
      <c r="AZ65" s="230"/>
      <c r="BA65" s="230"/>
      <c r="BB65" s="230"/>
      <c r="BC65" s="230"/>
      <c r="BD65" s="230"/>
      <c r="BE65" s="230"/>
      <c r="BF65" s="230"/>
      <c r="BG65" s="230"/>
      <c r="BH65" s="230"/>
      <c r="BI65" s="230"/>
      <c r="BJ65" s="230"/>
      <c r="BK65" s="230"/>
      <c r="BL65" s="230"/>
      <c r="BM65" s="230"/>
      <c r="BN65" s="230"/>
      <c r="BO65" s="230"/>
      <c r="BP65" s="230"/>
      <c r="BQ65" s="230"/>
      <c r="BR65" s="230"/>
      <c r="BS65" s="230"/>
      <c r="BT65" s="230"/>
      <c r="BU65" s="230"/>
      <c r="BV65" s="230"/>
      <c r="BW65" s="230"/>
      <c r="BX65" s="230"/>
      <c r="BY65" s="230"/>
      <c r="BZ65" s="230"/>
      <c r="CA65" s="230"/>
      <c r="CB65" s="230"/>
      <c r="CC65" s="230"/>
      <c r="CD65" s="230"/>
      <c r="CE65" s="230"/>
      <c r="CF65" s="230"/>
      <c r="CG65" s="230"/>
      <c r="CH65" s="230"/>
      <c r="CI65" s="230"/>
      <c r="CJ65" s="230"/>
      <c r="CK65" s="230"/>
      <c r="CL65" s="230"/>
      <c r="CM65" s="230"/>
      <c r="CN65" s="230"/>
      <c r="CO65" s="230"/>
      <c r="CP65" s="230"/>
      <c r="CQ65" s="230"/>
      <c r="CR65" s="230"/>
      <c r="CS65" s="230"/>
      <c r="CT65" s="230"/>
      <c r="CU65" s="230"/>
      <c r="CV65" s="230"/>
      <c r="CW65" s="230"/>
      <c r="CX65" s="230"/>
      <c r="CY65" s="230"/>
      <c r="CZ65" s="230"/>
      <c r="DA65" s="230"/>
      <c r="DB65" s="230"/>
      <c r="DC65" s="230"/>
      <c r="DD65" s="230"/>
      <c r="DE65" s="230"/>
      <c r="DF65" s="230"/>
      <c r="DG65" s="230"/>
      <c r="DH65" s="230"/>
      <c r="DI65" s="230"/>
      <c r="DJ65" s="230"/>
      <c r="DK65" s="230"/>
      <c r="DL65" s="230"/>
      <c r="DM65" s="230"/>
      <c r="DN65" s="230"/>
      <c r="DO65" s="230"/>
      <c r="DP65" s="230"/>
      <c r="DQ65" s="230"/>
      <c r="DR65" s="230"/>
      <c r="DS65" s="230"/>
      <c r="DT65" s="230"/>
      <c r="DU65" s="230"/>
      <c r="DV65" s="230"/>
      <c r="DW65" s="230"/>
      <c r="DX65" s="230"/>
      <c r="DY65" s="230"/>
      <c r="DZ65" s="230"/>
      <c r="EA65" s="230"/>
      <c r="EB65" s="230"/>
      <c r="EC65" s="230"/>
      <c r="ED65" s="230"/>
      <c r="EE65" s="230"/>
      <c r="EF65" s="230"/>
      <c r="EG65" s="230"/>
      <c r="EH65" s="230"/>
      <c r="EI65" s="230"/>
      <c r="EJ65" s="230"/>
      <c r="EK65" s="230"/>
      <c r="EL65" s="230"/>
      <c r="EM65" s="230"/>
      <c r="EN65" s="230"/>
      <c r="EO65" s="230"/>
      <c r="EP65" s="230"/>
      <c r="EQ65" s="230"/>
      <c r="ER65" s="230"/>
      <c r="ES65" s="230"/>
      <c r="ET65" s="230"/>
      <c r="EU65" s="230"/>
      <c r="EV65" s="230"/>
      <c r="EW65" s="230"/>
      <c r="EX65" s="230"/>
      <c r="EY65" s="230"/>
      <c r="EZ65" s="230"/>
      <c r="FA65" s="230"/>
      <c r="FB65" s="230"/>
      <c r="FC65" s="230"/>
      <c r="FD65" s="230"/>
      <c r="FE65" s="230"/>
      <c r="FF65" s="230"/>
      <c r="FG65" s="230"/>
      <c r="FH65" s="230"/>
      <c r="FI65" s="230"/>
      <c r="FJ65" s="230"/>
      <c r="FK65" s="230"/>
      <c r="FL65" s="230"/>
      <c r="FM65" s="230"/>
      <c r="FN65" s="230"/>
      <c r="FO65" s="230"/>
      <c r="FP65" s="230"/>
      <c r="FQ65" s="230"/>
      <c r="FR65" s="230"/>
      <c r="FS65" s="230"/>
      <c r="FT65" s="230"/>
      <c r="FU65" s="230"/>
      <c r="FV65" s="230"/>
      <c r="FW65" s="230"/>
      <c r="FX65" s="230"/>
      <c r="FY65" s="230"/>
      <c r="FZ65" s="230"/>
      <c r="GA65" s="230"/>
      <c r="GB65" s="230"/>
      <c r="GC65" s="230"/>
      <c r="GD65" s="230"/>
      <c r="GE65" s="230"/>
      <c r="GF65" s="230"/>
      <c r="GG65" s="230"/>
      <c r="GH65" s="230"/>
      <c r="GI65" s="230"/>
      <c r="GJ65" s="230"/>
      <c r="GK65" s="230"/>
      <c r="GL65" s="230"/>
      <c r="GM65" s="230"/>
      <c r="GN65" s="230"/>
      <c r="GO65" s="230"/>
      <c r="GP65" s="230"/>
      <c r="GQ65" s="230"/>
      <c r="GR65" s="230"/>
    </row>
    <row r="66" spans="1:200" s="632" customFormat="1" outlineLevel="2" x14ac:dyDescent="0.2">
      <c r="A66" s="636" t="s">
        <v>3977</v>
      </c>
      <c r="B66" s="636" t="s">
        <v>6727</v>
      </c>
      <c r="C66" s="597"/>
      <c r="D66" s="1536"/>
      <c r="E66" s="635"/>
      <c r="F66" s="635"/>
      <c r="G66" s="1517">
        <v>2</v>
      </c>
      <c r="H66" s="1517">
        <v>3</v>
      </c>
      <c r="I66" s="1517"/>
      <c r="J66" s="1517" t="s">
        <v>2349</v>
      </c>
      <c r="K66" s="1518"/>
      <c r="L66" s="1518" t="s">
        <v>7360</v>
      </c>
      <c r="M66" s="638"/>
      <c r="N66" s="624"/>
      <c r="O66" s="624"/>
      <c r="P66" s="624"/>
      <c r="Q66" s="624"/>
      <c r="R66" s="624"/>
      <c r="S66" s="624"/>
      <c r="T66" s="624"/>
      <c r="U66" s="624"/>
      <c r="V66" s="624"/>
      <c r="W66" s="624"/>
      <c r="X66" s="624"/>
      <c r="Y66" s="624"/>
      <c r="Z66" s="624"/>
      <c r="AA66">
        <f>IF(AND('12 Ext'!C66&gt;Tmin, NOT('12 Ext'!$I66="")),'12 Ext'!$I66,0)</f>
        <v>0</v>
      </c>
      <c r="AB66">
        <f>IF(AND('12 Ext'!D66&gt;Tmin, NOT('12 Ext'!$I66="")),'12 Ext'!$I66,0)</f>
        <v>0</v>
      </c>
      <c r="AC66">
        <f>IF(AND('12 Ext'!E66&gt;Tmin, NOT('12 Ext'!$I66="")),'12 Ext'!$I66,0)</f>
        <v>0</v>
      </c>
      <c r="AD66">
        <f>IF(AND('12 Ext'!F66&gt;Tmin, NOT('12 Ext'!$I66="")),'12 Ext'!$I66,0)</f>
        <v>0</v>
      </c>
      <c r="AE66">
        <f>IF(AND('12 Ext'!C66&lt;Tmax, NOT('12 Ext'!$H66="")),'12 Ext'!$H66,4)</f>
        <v>3</v>
      </c>
      <c r="AF66">
        <f>IF(AND('12 Ext'!D66&lt;Tmax, NOT('12 Ext'!$H66="")),'12 Ext'!$H66,4)</f>
        <v>3</v>
      </c>
      <c r="AG66">
        <f>IF(AND('12 Ext'!E66&lt;Tmax, NOT('12 Ext'!$H66="")),'12 Ext'!$H66,4)</f>
        <v>3</v>
      </c>
      <c r="AH66">
        <f>IF(AND('12 Ext'!F66&lt;Tmax, NOT('12 Ext'!$H66="")),'12 Ext'!$H66,4)</f>
        <v>3</v>
      </c>
      <c r="AI66"/>
      <c r="AJ66" s="230"/>
      <c r="AK66" s="230"/>
      <c r="AL66" s="230"/>
      <c r="AM66" s="230"/>
      <c r="AN66" s="230"/>
      <c r="AO66" s="230"/>
      <c r="AP66" s="230"/>
      <c r="AQ66" s="230"/>
      <c r="AR66" s="230"/>
      <c r="AS66" s="230"/>
      <c r="AT66" s="230"/>
      <c r="AU66" s="230"/>
      <c r="AV66" s="230"/>
      <c r="AW66" s="230"/>
      <c r="AX66" s="230"/>
      <c r="AY66" s="230"/>
      <c r="AZ66" s="230"/>
      <c r="BA66" s="230"/>
      <c r="BB66" s="230"/>
      <c r="BC66" s="230"/>
      <c r="BD66" s="230"/>
      <c r="BE66" s="230"/>
      <c r="BF66" s="230"/>
      <c r="BG66" s="230"/>
      <c r="BH66" s="230"/>
      <c r="BI66" s="230"/>
      <c r="BJ66" s="230"/>
      <c r="BK66" s="230"/>
      <c r="BL66" s="230"/>
      <c r="BM66" s="230"/>
      <c r="BN66" s="230"/>
      <c r="BO66" s="230"/>
      <c r="BP66" s="230"/>
      <c r="BQ66" s="230"/>
      <c r="BR66" s="230"/>
      <c r="BS66" s="230"/>
      <c r="BT66" s="230"/>
      <c r="BU66" s="230"/>
      <c r="BV66" s="230"/>
      <c r="BW66" s="230"/>
      <c r="BX66" s="230"/>
      <c r="BY66" s="230"/>
      <c r="BZ66" s="230"/>
      <c r="CA66" s="230"/>
      <c r="CB66" s="230"/>
      <c r="CC66" s="230"/>
      <c r="CD66" s="230"/>
      <c r="CE66" s="230"/>
      <c r="CF66" s="230"/>
      <c r="CG66" s="230"/>
      <c r="CH66" s="230"/>
      <c r="CI66" s="230"/>
      <c r="CJ66" s="230"/>
      <c r="CK66" s="230"/>
      <c r="CL66" s="230"/>
      <c r="CM66" s="230"/>
      <c r="CN66" s="230"/>
      <c r="CO66" s="230"/>
      <c r="CP66" s="230"/>
      <c r="CQ66" s="230"/>
      <c r="CR66" s="230"/>
      <c r="CS66" s="230"/>
      <c r="CT66" s="230"/>
      <c r="CU66" s="230"/>
      <c r="CV66" s="230"/>
      <c r="CW66" s="230"/>
      <c r="CX66" s="230"/>
      <c r="CY66" s="230"/>
      <c r="CZ66" s="230"/>
      <c r="DA66" s="230"/>
      <c r="DB66" s="230"/>
      <c r="DC66" s="230"/>
      <c r="DD66" s="230"/>
      <c r="DE66" s="230"/>
      <c r="DF66" s="230"/>
      <c r="DG66" s="230"/>
      <c r="DH66" s="230"/>
      <c r="DI66" s="230"/>
      <c r="DJ66" s="230"/>
      <c r="DK66" s="230"/>
      <c r="DL66" s="230"/>
      <c r="DM66" s="230"/>
      <c r="DN66" s="230"/>
      <c r="DO66" s="230"/>
      <c r="DP66" s="230"/>
      <c r="DQ66" s="230"/>
      <c r="DR66" s="230"/>
      <c r="DS66" s="230"/>
      <c r="DT66" s="230"/>
      <c r="DU66" s="230"/>
      <c r="DV66" s="230"/>
      <c r="DW66" s="230"/>
      <c r="DX66" s="230"/>
      <c r="DY66" s="230"/>
      <c r="DZ66" s="230"/>
      <c r="EA66" s="230"/>
      <c r="EB66" s="230"/>
      <c r="EC66" s="230"/>
      <c r="ED66" s="230"/>
      <c r="EE66" s="230"/>
      <c r="EF66" s="230"/>
      <c r="EG66" s="230"/>
      <c r="EH66" s="230"/>
      <c r="EI66" s="230"/>
      <c r="EJ66" s="230"/>
      <c r="EK66" s="230"/>
      <c r="EL66" s="230"/>
      <c r="EM66" s="230"/>
      <c r="EN66" s="230"/>
      <c r="EO66" s="230"/>
      <c r="EP66" s="230"/>
      <c r="EQ66" s="230"/>
      <c r="ER66" s="230"/>
      <c r="ES66" s="230"/>
      <c r="ET66" s="230"/>
      <c r="EU66" s="230"/>
      <c r="EV66" s="230"/>
      <c r="EW66" s="230"/>
      <c r="EX66" s="230"/>
      <c r="EY66" s="230"/>
      <c r="EZ66" s="230"/>
      <c r="FA66" s="230"/>
      <c r="FB66" s="230"/>
      <c r="FC66" s="230"/>
      <c r="FD66" s="230"/>
      <c r="FE66" s="230"/>
      <c r="FF66" s="230"/>
      <c r="FG66" s="230"/>
      <c r="FH66" s="230"/>
      <c r="FI66" s="230"/>
      <c r="FJ66" s="230"/>
      <c r="FK66" s="230"/>
      <c r="FL66" s="230"/>
      <c r="FM66" s="230"/>
      <c r="FN66" s="230"/>
      <c r="FO66" s="230"/>
      <c r="FP66" s="230"/>
      <c r="FQ66" s="230"/>
      <c r="FR66" s="230"/>
      <c r="FS66" s="230"/>
      <c r="FT66" s="230"/>
      <c r="FU66" s="230"/>
      <c r="FV66" s="230"/>
      <c r="FW66" s="230"/>
      <c r="FX66" s="230"/>
      <c r="FY66" s="230"/>
      <c r="FZ66" s="230"/>
      <c r="GA66" s="230"/>
      <c r="GB66" s="230"/>
      <c r="GC66" s="230"/>
      <c r="GD66" s="230"/>
      <c r="GE66" s="230"/>
      <c r="GF66" s="230"/>
      <c r="GG66" s="230"/>
      <c r="GH66" s="230"/>
      <c r="GI66" s="230"/>
      <c r="GJ66" s="230"/>
      <c r="GK66" s="230"/>
      <c r="GL66" s="230"/>
      <c r="GM66" s="230"/>
      <c r="GN66" s="230"/>
      <c r="GO66" s="230"/>
      <c r="GP66" s="230"/>
      <c r="GQ66" s="230"/>
      <c r="GR66" s="230"/>
    </row>
    <row r="67" spans="1:200" s="632" customFormat="1" ht="24.75" customHeight="1" outlineLevel="2" x14ac:dyDescent="0.2">
      <c r="A67" s="636" t="s">
        <v>3978</v>
      </c>
      <c r="B67" s="636" t="s">
        <v>6135</v>
      </c>
      <c r="C67" s="597"/>
      <c r="D67" s="1536"/>
      <c r="E67" s="635"/>
      <c r="F67" s="635"/>
      <c r="G67" s="1517">
        <v>4</v>
      </c>
      <c r="H67" s="1517">
        <v>2</v>
      </c>
      <c r="I67" s="1517"/>
      <c r="J67" s="1517" t="s">
        <v>2329</v>
      </c>
      <c r="K67" s="1458" t="s">
        <v>7068</v>
      </c>
      <c r="L67" s="1518" t="s">
        <v>4425</v>
      </c>
      <c r="M67" s="635"/>
      <c r="N67" s="624"/>
      <c r="O67" s="624"/>
      <c r="P67" s="624"/>
      <c r="Q67" s="624"/>
      <c r="R67" s="624"/>
      <c r="S67" s="624"/>
      <c r="T67" s="624"/>
      <c r="U67" s="624"/>
      <c r="V67" s="624"/>
      <c r="W67" s="624"/>
      <c r="X67" s="624"/>
      <c r="Y67" s="624"/>
      <c r="Z67" s="624"/>
      <c r="AA67">
        <f>IF(AND('12 Ext'!C67&gt;Tmin, NOT('12 Ext'!$I67="")),'12 Ext'!$I67,0)</f>
        <v>0</v>
      </c>
      <c r="AB67">
        <f>IF(AND('12 Ext'!D67&gt;Tmin, NOT('12 Ext'!$I67="")),'12 Ext'!$I67,0)</f>
        <v>0</v>
      </c>
      <c r="AC67">
        <f>IF(AND('12 Ext'!E67&gt;Tmin, NOT('12 Ext'!$I67="")),'12 Ext'!$I67,0)</f>
        <v>0</v>
      </c>
      <c r="AD67">
        <f>IF(AND('12 Ext'!F67&gt;Tmin, NOT('12 Ext'!$I67="")),'12 Ext'!$I67,0)</f>
        <v>0</v>
      </c>
      <c r="AE67">
        <f>IF(AND('12 Ext'!C67&lt;Tmax, NOT('12 Ext'!$H67="")),'12 Ext'!$H67,4)</f>
        <v>2</v>
      </c>
      <c r="AF67">
        <f>IF(AND('12 Ext'!D67&lt;Tmax, NOT('12 Ext'!$H67="")),'12 Ext'!$H67,4)</f>
        <v>2</v>
      </c>
      <c r="AG67">
        <f>IF(AND('12 Ext'!E67&lt;Tmax, NOT('12 Ext'!$H67="")),'12 Ext'!$H67,4)</f>
        <v>2</v>
      </c>
      <c r="AH67">
        <f>IF(AND('12 Ext'!F67&lt;Tmax, NOT('12 Ext'!$H67="")),'12 Ext'!$H67,4)</f>
        <v>2</v>
      </c>
      <c r="AI67"/>
      <c r="AJ67" s="230"/>
      <c r="AK67" s="230"/>
      <c r="AL67" s="230"/>
      <c r="AM67" s="230"/>
      <c r="AN67" s="230"/>
      <c r="AO67" s="230"/>
      <c r="AP67" s="230"/>
      <c r="AQ67" s="230"/>
      <c r="AR67" s="230"/>
      <c r="AS67" s="230"/>
      <c r="AT67" s="230"/>
      <c r="AU67" s="230"/>
      <c r="AV67" s="230"/>
      <c r="AW67" s="230"/>
      <c r="AX67" s="230"/>
      <c r="AY67" s="230"/>
      <c r="AZ67" s="230"/>
      <c r="BA67" s="230"/>
      <c r="BB67" s="230"/>
      <c r="BC67" s="230"/>
      <c r="BD67" s="230"/>
      <c r="BE67" s="230"/>
      <c r="BF67" s="230"/>
      <c r="BG67" s="230"/>
      <c r="BH67" s="230"/>
      <c r="BI67" s="230"/>
      <c r="BJ67" s="230"/>
      <c r="BK67" s="230"/>
      <c r="BL67" s="230"/>
      <c r="BM67" s="230"/>
      <c r="BN67" s="230"/>
      <c r="BO67" s="230"/>
      <c r="BP67" s="230"/>
      <c r="BQ67" s="230"/>
      <c r="BR67" s="230"/>
      <c r="BS67" s="230"/>
      <c r="BT67" s="230"/>
      <c r="BU67" s="230"/>
      <c r="BV67" s="230"/>
      <c r="BW67" s="230"/>
      <c r="BX67" s="230"/>
      <c r="BY67" s="230"/>
      <c r="BZ67" s="230"/>
      <c r="CA67" s="230"/>
      <c r="CB67" s="230"/>
      <c r="CC67" s="230"/>
      <c r="CD67" s="230"/>
      <c r="CE67" s="230"/>
      <c r="CF67" s="230"/>
      <c r="CG67" s="230"/>
      <c r="CH67" s="230"/>
      <c r="CI67" s="230"/>
      <c r="CJ67" s="230"/>
      <c r="CK67" s="230"/>
      <c r="CL67" s="230"/>
      <c r="CM67" s="230"/>
      <c r="CN67" s="230"/>
      <c r="CO67" s="230"/>
      <c r="CP67" s="230"/>
      <c r="CQ67" s="230"/>
      <c r="CR67" s="230"/>
      <c r="CS67" s="230"/>
      <c r="CT67" s="230"/>
      <c r="CU67" s="230"/>
      <c r="CV67" s="230"/>
      <c r="CW67" s="230"/>
      <c r="CX67" s="230"/>
      <c r="CY67" s="230"/>
      <c r="CZ67" s="230"/>
      <c r="DA67" s="230"/>
      <c r="DB67" s="230"/>
      <c r="DC67" s="230"/>
      <c r="DD67" s="230"/>
      <c r="DE67" s="230"/>
      <c r="DF67" s="230"/>
      <c r="DG67" s="230"/>
      <c r="DH67" s="230"/>
      <c r="DI67" s="230"/>
      <c r="DJ67" s="230"/>
      <c r="DK67" s="230"/>
      <c r="DL67" s="230"/>
      <c r="DM67" s="230"/>
      <c r="DN67" s="230"/>
      <c r="DO67" s="230"/>
      <c r="DP67" s="230"/>
      <c r="DQ67" s="230"/>
      <c r="DR67" s="230"/>
      <c r="DS67" s="230"/>
      <c r="DT67" s="230"/>
      <c r="DU67" s="230"/>
      <c r="DV67" s="230"/>
      <c r="DW67" s="230"/>
      <c r="DX67" s="230"/>
      <c r="DY67" s="230"/>
      <c r="DZ67" s="230"/>
      <c r="EA67" s="230"/>
      <c r="EB67" s="230"/>
      <c r="EC67" s="230"/>
      <c r="ED67" s="230"/>
      <c r="EE67" s="230"/>
      <c r="EF67" s="230"/>
      <c r="EG67" s="230"/>
      <c r="EH67" s="230"/>
      <c r="EI67" s="230"/>
      <c r="EJ67" s="230"/>
      <c r="EK67" s="230"/>
      <c r="EL67" s="230"/>
      <c r="EM67" s="230"/>
      <c r="EN67" s="230"/>
      <c r="EO67" s="230"/>
      <c r="EP67" s="230"/>
      <c r="EQ67" s="230"/>
      <c r="ER67" s="230"/>
      <c r="ES67" s="230"/>
      <c r="ET67" s="230"/>
      <c r="EU67" s="230"/>
      <c r="EV67" s="230"/>
      <c r="EW67" s="230"/>
      <c r="EX67" s="230"/>
      <c r="EY67" s="230"/>
      <c r="EZ67" s="230"/>
      <c r="FA67" s="230"/>
      <c r="FB67" s="230"/>
      <c r="FC67" s="230"/>
      <c r="FD67" s="230"/>
      <c r="FE67" s="230"/>
      <c r="FF67" s="230"/>
      <c r="FG67" s="230"/>
      <c r="FH67" s="230"/>
      <c r="FI67" s="230"/>
      <c r="FJ67" s="230"/>
      <c r="FK67" s="230"/>
      <c r="FL67" s="230"/>
      <c r="FM67" s="230"/>
      <c r="FN67" s="230"/>
      <c r="FO67" s="230"/>
      <c r="FP67" s="230"/>
      <c r="FQ67" s="230"/>
      <c r="FR67" s="230"/>
      <c r="FS67" s="230"/>
      <c r="FT67" s="230"/>
      <c r="FU67" s="230"/>
      <c r="FV67" s="230"/>
      <c r="FW67" s="230"/>
      <c r="FX67" s="230"/>
      <c r="FY67" s="230"/>
      <c r="FZ67" s="230"/>
      <c r="GA67" s="230"/>
      <c r="GB67" s="230"/>
      <c r="GC67" s="230"/>
      <c r="GD67" s="230"/>
      <c r="GE67" s="230"/>
      <c r="GF67" s="230"/>
      <c r="GG67" s="230"/>
      <c r="GH67" s="230"/>
      <c r="GI67" s="230"/>
      <c r="GJ67" s="230"/>
      <c r="GK67" s="230"/>
      <c r="GL67" s="230"/>
      <c r="GM67" s="230"/>
      <c r="GN67" s="230"/>
      <c r="GO67" s="230"/>
      <c r="GP67" s="230"/>
      <c r="GQ67" s="230"/>
      <c r="GR67" s="230"/>
    </row>
    <row r="68" spans="1:200" s="632" customFormat="1" ht="15.75" customHeight="1" outlineLevel="2" x14ac:dyDescent="0.2">
      <c r="A68" s="636" t="s">
        <v>2985</v>
      </c>
      <c r="B68" s="636" t="s">
        <v>6755</v>
      </c>
      <c r="C68" s="597"/>
      <c r="D68" s="1538"/>
      <c r="E68" s="642"/>
      <c r="F68" s="642"/>
      <c r="G68" s="1517">
        <v>2</v>
      </c>
      <c r="H68" s="1517"/>
      <c r="I68" s="1517"/>
      <c r="J68" s="1517" t="s">
        <v>2349</v>
      </c>
      <c r="K68" s="1458" t="s">
        <v>7068</v>
      </c>
      <c r="L68" s="1518" t="s">
        <v>4425</v>
      </c>
      <c r="M68" s="635"/>
      <c r="N68" s="624"/>
      <c r="O68" s="624"/>
      <c r="P68" s="624"/>
      <c r="Q68" s="624"/>
      <c r="R68" s="624"/>
      <c r="S68" s="624"/>
      <c r="T68" s="624"/>
      <c r="U68" s="624"/>
      <c r="V68" s="624"/>
      <c r="W68" s="624"/>
      <c r="X68" s="624"/>
      <c r="Y68" s="624"/>
      <c r="Z68" s="624"/>
      <c r="AA68">
        <f>IF(AND('12 Ext'!C68&gt;Tmin, NOT('12 Ext'!$I68="")),'12 Ext'!$I68,0)</f>
        <v>0</v>
      </c>
      <c r="AB68">
        <f>IF(AND('12 Ext'!D68&gt;Tmin, NOT('12 Ext'!$I68="")),'12 Ext'!$I68,0)</f>
        <v>0</v>
      </c>
      <c r="AC68">
        <f>IF(AND('12 Ext'!E68&gt;Tmin, NOT('12 Ext'!$I68="")),'12 Ext'!$I68,0)</f>
        <v>0</v>
      </c>
      <c r="AD68">
        <f>IF(AND('12 Ext'!F68&gt;Tmin, NOT('12 Ext'!$I68="")),'12 Ext'!$I68,0)</f>
        <v>0</v>
      </c>
      <c r="AE68">
        <f>IF(AND('12 Ext'!C68&lt;Tmax, NOT('12 Ext'!$H68="")),'12 Ext'!$H68,4)</f>
        <v>4</v>
      </c>
      <c r="AF68">
        <f>IF(AND('12 Ext'!D68&lt;Tmax, NOT('12 Ext'!$H68="")),'12 Ext'!$H68,4)</f>
        <v>4</v>
      </c>
      <c r="AG68">
        <f>IF(AND('12 Ext'!E68&lt;Tmax, NOT('12 Ext'!$H68="")),'12 Ext'!$H68,4)</f>
        <v>4</v>
      </c>
      <c r="AH68">
        <f>IF(AND('12 Ext'!F68&lt;Tmax, NOT('12 Ext'!$H68="")),'12 Ext'!$H68,4)</f>
        <v>4</v>
      </c>
      <c r="AI68"/>
      <c r="AJ68" s="230"/>
      <c r="AK68" s="230"/>
      <c r="AL68" s="230"/>
      <c r="AM68" s="230"/>
      <c r="AN68" s="230"/>
      <c r="AO68" s="230"/>
      <c r="AP68" s="230"/>
      <c r="AQ68" s="230"/>
      <c r="AR68" s="230"/>
      <c r="AS68" s="230"/>
      <c r="AT68" s="230"/>
      <c r="AU68" s="230"/>
      <c r="AV68" s="230"/>
      <c r="AW68" s="230"/>
      <c r="AX68" s="230"/>
      <c r="AY68" s="230"/>
      <c r="AZ68" s="230"/>
      <c r="BA68" s="230"/>
      <c r="BB68" s="230"/>
      <c r="BC68" s="230"/>
      <c r="BD68" s="230"/>
      <c r="BE68" s="230"/>
      <c r="BF68" s="230"/>
      <c r="BG68" s="230"/>
      <c r="BH68" s="230"/>
      <c r="BI68" s="230"/>
      <c r="BJ68" s="230"/>
      <c r="BK68" s="230"/>
      <c r="BL68" s="230"/>
      <c r="BM68" s="230"/>
      <c r="BN68" s="230"/>
      <c r="BO68" s="230"/>
      <c r="BP68" s="230"/>
      <c r="BQ68" s="230"/>
      <c r="BR68" s="230"/>
      <c r="BS68" s="230"/>
      <c r="BT68" s="230"/>
      <c r="BU68" s="230"/>
      <c r="BV68" s="230"/>
      <c r="BW68" s="230"/>
      <c r="BX68" s="230"/>
      <c r="BY68" s="230"/>
      <c r="BZ68" s="230"/>
      <c r="CA68" s="230"/>
      <c r="CB68" s="230"/>
      <c r="CC68" s="230"/>
      <c r="CD68" s="230"/>
      <c r="CE68" s="230"/>
      <c r="CF68" s="230"/>
      <c r="CG68" s="230"/>
      <c r="CH68" s="230"/>
      <c r="CI68" s="230"/>
      <c r="CJ68" s="230"/>
      <c r="CK68" s="230"/>
      <c r="CL68" s="230"/>
      <c r="CM68" s="230"/>
      <c r="CN68" s="230"/>
      <c r="CO68" s="230"/>
      <c r="CP68" s="230"/>
      <c r="CQ68" s="230"/>
      <c r="CR68" s="230"/>
      <c r="CS68" s="230"/>
      <c r="CT68" s="230"/>
      <c r="CU68" s="230"/>
      <c r="CV68" s="230"/>
      <c r="CW68" s="230"/>
      <c r="CX68" s="230"/>
      <c r="CY68" s="230"/>
      <c r="CZ68" s="230"/>
      <c r="DA68" s="230"/>
      <c r="DB68" s="230"/>
      <c r="DC68" s="230"/>
      <c r="DD68" s="230"/>
      <c r="DE68" s="230"/>
      <c r="DF68" s="230"/>
      <c r="DG68" s="230"/>
      <c r="DH68" s="230"/>
      <c r="DI68" s="230"/>
      <c r="DJ68" s="230"/>
      <c r="DK68" s="230"/>
      <c r="DL68" s="230"/>
      <c r="DM68" s="230"/>
      <c r="DN68" s="230"/>
      <c r="DO68" s="230"/>
      <c r="DP68" s="230"/>
      <c r="DQ68" s="230"/>
      <c r="DR68" s="230"/>
      <c r="DS68" s="230"/>
      <c r="DT68" s="230"/>
      <c r="DU68" s="230"/>
      <c r="DV68" s="230"/>
      <c r="DW68" s="230"/>
      <c r="DX68" s="230"/>
      <c r="DY68" s="230"/>
      <c r="DZ68" s="230"/>
      <c r="EA68" s="230"/>
      <c r="EB68" s="230"/>
      <c r="EC68" s="230"/>
      <c r="ED68" s="230"/>
      <c r="EE68" s="230"/>
      <c r="EF68" s="230"/>
      <c r="EG68" s="230"/>
      <c r="EH68" s="230"/>
      <c r="EI68" s="230"/>
      <c r="EJ68" s="230"/>
      <c r="EK68" s="230"/>
      <c r="EL68" s="230"/>
      <c r="EM68" s="230"/>
      <c r="EN68" s="230"/>
      <c r="EO68" s="230"/>
      <c r="EP68" s="230"/>
      <c r="EQ68" s="230"/>
      <c r="ER68" s="230"/>
      <c r="ES68" s="230"/>
      <c r="ET68" s="230"/>
      <c r="EU68" s="230"/>
      <c r="EV68" s="230"/>
      <c r="EW68" s="230"/>
      <c r="EX68" s="230"/>
      <c r="EY68" s="230"/>
      <c r="EZ68" s="230"/>
      <c r="FA68" s="230"/>
      <c r="FB68" s="230"/>
      <c r="FC68" s="230"/>
      <c r="FD68" s="230"/>
      <c r="FE68" s="230"/>
      <c r="FF68" s="230"/>
      <c r="FG68" s="230"/>
      <c r="FH68" s="230"/>
      <c r="FI68" s="230"/>
      <c r="FJ68" s="230"/>
      <c r="FK68" s="230"/>
      <c r="FL68" s="230"/>
      <c r="FM68" s="230"/>
      <c r="FN68" s="230"/>
      <c r="FO68" s="230"/>
      <c r="FP68" s="230"/>
      <c r="FQ68" s="230"/>
      <c r="FR68" s="230"/>
      <c r="FS68" s="230"/>
      <c r="FT68" s="230"/>
      <c r="FU68" s="230"/>
      <c r="FV68" s="230"/>
      <c r="FW68" s="230"/>
      <c r="FX68" s="230"/>
      <c r="FY68" s="230"/>
      <c r="FZ68" s="230"/>
      <c r="GA68" s="230"/>
      <c r="GB68" s="230"/>
      <c r="GC68" s="230"/>
      <c r="GD68" s="230"/>
      <c r="GE68" s="230"/>
      <c r="GF68" s="230"/>
      <c r="GG68" s="230"/>
      <c r="GH68" s="230"/>
      <c r="GI68" s="230"/>
      <c r="GJ68" s="230"/>
      <c r="GK68" s="230"/>
      <c r="GL68" s="230"/>
      <c r="GM68" s="230"/>
      <c r="GN68" s="230"/>
      <c r="GO68" s="230"/>
      <c r="GP68" s="230"/>
      <c r="GQ68" s="230"/>
      <c r="GR68" s="230"/>
    </row>
    <row r="69" spans="1:200" s="632" customFormat="1" ht="22.5" customHeight="1" outlineLevel="2" x14ac:dyDescent="0.2">
      <c r="A69" s="636" t="s">
        <v>2986</v>
      </c>
      <c r="B69" s="636" t="s">
        <v>4090</v>
      </c>
      <c r="C69" s="597"/>
      <c r="D69" s="1538"/>
      <c r="E69" s="642"/>
      <c r="F69" s="642"/>
      <c r="G69" s="1517">
        <v>2</v>
      </c>
      <c r="H69" s="1517"/>
      <c r="I69" s="1517"/>
      <c r="J69" s="1517" t="s">
        <v>2349</v>
      </c>
      <c r="K69" s="1458" t="s">
        <v>7068</v>
      </c>
      <c r="L69" s="1518" t="s">
        <v>4425</v>
      </c>
      <c r="M69" s="635"/>
      <c r="N69" s="624"/>
      <c r="O69" s="624"/>
      <c r="P69" s="624"/>
      <c r="Q69" s="624"/>
      <c r="R69" s="624"/>
      <c r="S69" s="624"/>
      <c r="T69" s="624"/>
      <c r="U69" s="624"/>
      <c r="V69" s="624"/>
      <c r="W69" s="624"/>
      <c r="X69" s="624"/>
      <c r="Y69" s="624"/>
      <c r="Z69" s="624"/>
      <c r="AA69">
        <f>IF(AND('12 Ext'!C69&gt;Tmin, NOT('12 Ext'!$I69="")),'12 Ext'!$I69,0)</f>
        <v>0</v>
      </c>
      <c r="AB69">
        <f>IF(AND('12 Ext'!D69&gt;Tmin, NOT('12 Ext'!$I69="")),'12 Ext'!$I69,0)</f>
        <v>0</v>
      </c>
      <c r="AC69">
        <f>IF(AND('12 Ext'!E69&gt;Tmin, NOT('12 Ext'!$I69="")),'12 Ext'!$I69,0)</f>
        <v>0</v>
      </c>
      <c r="AD69">
        <f>IF(AND('12 Ext'!F69&gt;Tmin, NOT('12 Ext'!$I69="")),'12 Ext'!$I69,0)</f>
        <v>0</v>
      </c>
      <c r="AE69">
        <f>IF(AND('12 Ext'!C69&lt;Tmax, NOT('12 Ext'!$H69="")),'12 Ext'!$H69,4)</f>
        <v>4</v>
      </c>
      <c r="AF69">
        <f>IF(AND('12 Ext'!D69&lt;Tmax, NOT('12 Ext'!$H69="")),'12 Ext'!$H69,4)</f>
        <v>4</v>
      </c>
      <c r="AG69">
        <f>IF(AND('12 Ext'!E69&lt;Tmax, NOT('12 Ext'!$H69="")),'12 Ext'!$H69,4)</f>
        <v>4</v>
      </c>
      <c r="AH69">
        <f>IF(AND('12 Ext'!F69&lt;Tmax, NOT('12 Ext'!$H69="")),'12 Ext'!$H69,4)</f>
        <v>4</v>
      </c>
      <c r="AI69"/>
      <c r="AJ69" s="230"/>
      <c r="AK69" s="230"/>
      <c r="AL69" s="230"/>
      <c r="AM69" s="230"/>
      <c r="AN69" s="230"/>
      <c r="AO69" s="230"/>
      <c r="AP69" s="230"/>
      <c r="AQ69" s="230"/>
      <c r="AR69" s="230"/>
      <c r="AS69" s="230"/>
      <c r="AT69" s="230"/>
      <c r="AU69" s="230"/>
      <c r="AV69" s="230"/>
      <c r="AW69" s="230"/>
      <c r="AX69" s="230"/>
      <c r="AY69" s="230"/>
      <c r="AZ69" s="230"/>
      <c r="BA69" s="230"/>
      <c r="BB69" s="230"/>
      <c r="BC69" s="230"/>
      <c r="BD69" s="230"/>
      <c r="BE69" s="230"/>
      <c r="BF69" s="230"/>
      <c r="BG69" s="230"/>
      <c r="BH69" s="230"/>
      <c r="BI69" s="230"/>
      <c r="BJ69" s="230"/>
      <c r="BK69" s="230"/>
      <c r="BL69" s="230"/>
      <c r="BM69" s="230"/>
      <c r="BN69" s="230"/>
      <c r="BO69" s="230"/>
      <c r="BP69" s="230"/>
      <c r="BQ69" s="230"/>
      <c r="BR69" s="230"/>
      <c r="BS69" s="230"/>
      <c r="BT69" s="230"/>
      <c r="BU69" s="230"/>
      <c r="BV69" s="230"/>
      <c r="BW69" s="230"/>
      <c r="BX69" s="230"/>
      <c r="BY69" s="230"/>
      <c r="BZ69" s="230"/>
      <c r="CA69" s="230"/>
      <c r="CB69" s="230"/>
      <c r="CC69" s="230"/>
      <c r="CD69" s="230"/>
      <c r="CE69" s="230"/>
      <c r="CF69" s="230"/>
      <c r="CG69" s="230"/>
      <c r="CH69" s="230"/>
      <c r="CI69" s="230"/>
      <c r="CJ69" s="230"/>
      <c r="CK69" s="230"/>
      <c r="CL69" s="230"/>
      <c r="CM69" s="230"/>
      <c r="CN69" s="230"/>
      <c r="CO69" s="230"/>
      <c r="CP69" s="230"/>
      <c r="CQ69" s="230"/>
      <c r="CR69" s="230"/>
      <c r="CS69" s="230"/>
      <c r="CT69" s="230"/>
      <c r="CU69" s="230"/>
      <c r="CV69" s="230"/>
      <c r="CW69" s="230"/>
      <c r="CX69" s="230"/>
      <c r="CY69" s="230"/>
      <c r="CZ69" s="230"/>
      <c r="DA69" s="230"/>
      <c r="DB69" s="230"/>
      <c r="DC69" s="230"/>
      <c r="DD69" s="230"/>
      <c r="DE69" s="230"/>
      <c r="DF69" s="230"/>
      <c r="DG69" s="230"/>
      <c r="DH69" s="230"/>
      <c r="DI69" s="230"/>
      <c r="DJ69" s="230"/>
      <c r="DK69" s="230"/>
      <c r="DL69" s="230"/>
      <c r="DM69" s="230"/>
      <c r="DN69" s="230"/>
      <c r="DO69" s="230"/>
      <c r="DP69" s="230"/>
      <c r="DQ69" s="230"/>
      <c r="DR69" s="230"/>
      <c r="DS69" s="230"/>
      <c r="DT69" s="230"/>
      <c r="DU69" s="230"/>
      <c r="DV69" s="230"/>
      <c r="DW69" s="230"/>
      <c r="DX69" s="230"/>
      <c r="DY69" s="230"/>
      <c r="DZ69" s="230"/>
      <c r="EA69" s="230"/>
      <c r="EB69" s="230"/>
      <c r="EC69" s="230"/>
      <c r="ED69" s="230"/>
      <c r="EE69" s="230"/>
      <c r="EF69" s="230"/>
      <c r="EG69" s="230"/>
      <c r="EH69" s="230"/>
      <c r="EI69" s="230"/>
      <c r="EJ69" s="230"/>
      <c r="EK69" s="230"/>
      <c r="EL69" s="230"/>
      <c r="EM69" s="230"/>
      <c r="EN69" s="230"/>
      <c r="EO69" s="230"/>
      <c r="EP69" s="230"/>
      <c r="EQ69" s="230"/>
      <c r="ER69" s="230"/>
      <c r="ES69" s="230"/>
      <c r="ET69" s="230"/>
      <c r="EU69" s="230"/>
      <c r="EV69" s="230"/>
      <c r="EW69" s="230"/>
      <c r="EX69" s="230"/>
      <c r="EY69" s="230"/>
      <c r="EZ69" s="230"/>
      <c r="FA69" s="230"/>
      <c r="FB69" s="230"/>
      <c r="FC69" s="230"/>
      <c r="FD69" s="230"/>
      <c r="FE69" s="230"/>
      <c r="FF69" s="230"/>
      <c r="FG69" s="230"/>
      <c r="FH69" s="230"/>
      <c r="FI69" s="230"/>
      <c r="FJ69" s="230"/>
      <c r="FK69" s="230"/>
      <c r="FL69" s="230"/>
      <c r="FM69" s="230"/>
      <c r="FN69" s="230"/>
      <c r="FO69" s="230"/>
      <c r="FP69" s="230"/>
      <c r="FQ69" s="230"/>
      <c r="FR69" s="230"/>
      <c r="FS69" s="230"/>
      <c r="FT69" s="230"/>
      <c r="FU69" s="230"/>
      <c r="FV69" s="230"/>
      <c r="FW69" s="230"/>
      <c r="FX69" s="230"/>
      <c r="FY69" s="230"/>
      <c r="FZ69" s="230"/>
      <c r="GA69" s="230"/>
      <c r="GB69" s="230"/>
      <c r="GC69" s="230"/>
      <c r="GD69" s="230"/>
      <c r="GE69" s="230"/>
      <c r="GF69" s="230"/>
      <c r="GG69" s="230"/>
      <c r="GH69" s="230"/>
      <c r="GI69" s="230"/>
      <c r="GJ69" s="230"/>
      <c r="GK69" s="230"/>
      <c r="GL69" s="230"/>
      <c r="GM69" s="230"/>
      <c r="GN69" s="230"/>
      <c r="GO69" s="230"/>
      <c r="GP69" s="230"/>
      <c r="GQ69" s="230"/>
      <c r="GR69" s="230"/>
    </row>
    <row r="70" spans="1:200" s="632" customFormat="1" outlineLevel="2" x14ac:dyDescent="0.2">
      <c r="A70" s="636" t="s">
        <v>4102</v>
      </c>
      <c r="B70" s="636" t="s">
        <v>6140</v>
      </c>
      <c r="C70" s="597"/>
      <c r="D70" s="1538"/>
      <c r="E70" s="642"/>
      <c r="F70" s="642"/>
      <c r="G70" s="1517">
        <v>1</v>
      </c>
      <c r="H70" s="1517"/>
      <c r="I70" s="1517"/>
      <c r="J70" s="1517" t="s">
        <v>2109</v>
      </c>
      <c r="K70" s="1518"/>
      <c r="L70" s="1518"/>
      <c r="M70" s="635"/>
      <c r="N70" s="624"/>
      <c r="O70" s="624"/>
      <c r="P70" s="624"/>
      <c r="Q70" s="624"/>
      <c r="R70" s="624"/>
      <c r="S70" s="624"/>
      <c r="T70" s="624"/>
      <c r="U70" s="624"/>
      <c r="V70" s="624"/>
      <c r="W70" s="624"/>
      <c r="X70" s="624"/>
      <c r="Y70" s="624"/>
      <c r="Z70" s="624"/>
      <c r="AA70">
        <f>IF(AND('12 Ext'!C70&gt;Tmin, NOT('12 Ext'!$I70="")),'12 Ext'!$I70,0)</f>
        <v>0</v>
      </c>
      <c r="AB70">
        <f>IF(AND('12 Ext'!D70&gt;Tmin, NOT('12 Ext'!$I70="")),'12 Ext'!$I70,0)</f>
        <v>0</v>
      </c>
      <c r="AC70">
        <f>IF(AND('12 Ext'!E70&gt;Tmin, NOT('12 Ext'!$I70="")),'12 Ext'!$I70,0)</f>
        <v>0</v>
      </c>
      <c r="AD70">
        <f>IF(AND('12 Ext'!F70&gt;Tmin, NOT('12 Ext'!$I70="")),'12 Ext'!$I70,0)</f>
        <v>0</v>
      </c>
      <c r="AE70">
        <f>IF(AND('12 Ext'!C70&lt;Tmax, NOT('12 Ext'!$H70="")),'12 Ext'!$H70,4)</f>
        <v>4</v>
      </c>
      <c r="AF70">
        <f>IF(AND('12 Ext'!D70&lt;Tmax, NOT('12 Ext'!$H70="")),'12 Ext'!$H70,4)</f>
        <v>4</v>
      </c>
      <c r="AG70">
        <f>IF(AND('12 Ext'!E70&lt;Tmax, NOT('12 Ext'!$H70="")),'12 Ext'!$H70,4)</f>
        <v>4</v>
      </c>
      <c r="AH70">
        <f>IF(AND('12 Ext'!F70&lt;Tmax, NOT('12 Ext'!$H70="")),'12 Ext'!$H70,4)</f>
        <v>4</v>
      </c>
      <c r="AI70"/>
      <c r="AJ70" s="230"/>
      <c r="AK70" s="230"/>
      <c r="AL70" s="230"/>
      <c r="AM70" s="230"/>
      <c r="AN70" s="230"/>
      <c r="AO70" s="230"/>
      <c r="AP70" s="230"/>
      <c r="AQ70" s="230"/>
      <c r="AR70" s="230"/>
      <c r="AS70" s="230"/>
      <c r="AT70" s="230"/>
      <c r="AU70" s="230"/>
      <c r="AV70" s="230"/>
      <c r="AW70" s="230"/>
      <c r="AX70" s="230"/>
      <c r="AY70" s="230"/>
      <c r="AZ70" s="230"/>
      <c r="BA70" s="230"/>
      <c r="BB70" s="230"/>
      <c r="BC70" s="230"/>
      <c r="BD70" s="230"/>
      <c r="BE70" s="230"/>
      <c r="BF70" s="230"/>
      <c r="BG70" s="230"/>
      <c r="BH70" s="230"/>
      <c r="BI70" s="230"/>
      <c r="BJ70" s="230"/>
      <c r="BK70" s="230"/>
      <c r="BL70" s="230"/>
      <c r="BM70" s="230"/>
      <c r="BN70" s="230"/>
      <c r="BO70" s="230"/>
      <c r="BP70" s="230"/>
      <c r="BQ70" s="230"/>
      <c r="BR70" s="230"/>
      <c r="BS70" s="230"/>
      <c r="BT70" s="230"/>
      <c r="BU70" s="230"/>
      <c r="BV70" s="230"/>
      <c r="BW70" s="230"/>
      <c r="BX70" s="230"/>
      <c r="BY70" s="230"/>
      <c r="BZ70" s="230"/>
      <c r="CA70" s="230"/>
      <c r="CB70" s="230"/>
      <c r="CC70" s="230"/>
      <c r="CD70" s="230"/>
      <c r="CE70" s="230"/>
      <c r="CF70" s="230"/>
      <c r="CG70" s="230"/>
      <c r="CH70" s="230"/>
      <c r="CI70" s="230"/>
      <c r="CJ70" s="230"/>
      <c r="CK70" s="230"/>
      <c r="CL70" s="230"/>
      <c r="CM70" s="230"/>
      <c r="CN70" s="230"/>
      <c r="CO70" s="230"/>
      <c r="CP70" s="230"/>
      <c r="CQ70" s="230"/>
      <c r="CR70" s="230"/>
      <c r="CS70" s="230"/>
      <c r="CT70" s="230"/>
      <c r="CU70" s="230"/>
      <c r="CV70" s="230"/>
      <c r="CW70" s="230"/>
      <c r="CX70" s="230"/>
      <c r="CY70" s="230"/>
      <c r="CZ70" s="230"/>
      <c r="DA70" s="230"/>
      <c r="DB70" s="230"/>
      <c r="DC70" s="230"/>
      <c r="DD70" s="230"/>
      <c r="DE70" s="230"/>
      <c r="DF70" s="230"/>
      <c r="DG70" s="230"/>
      <c r="DH70" s="230"/>
      <c r="DI70" s="230"/>
      <c r="DJ70" s="230"/>
      <c r="DK70" s="230"/>
      <c r="DL70" s="230"/>
      <c r="DM70" s="230"/>
      <c r="DN70" s="230"/>
      <c r="DO70" s="230"/>
      <c r="DP70" s="230"/>
      <c r="DQ70" s="230"/>
      <c r="DR70" s="230"/>
      <c r="DS70" s="230"/>
      <c r="DT70" s="230"/>
      <c r="DU70" s="230"/>
      <c r="DV70" s="230"/>
      <c r="DW70" s="230"/>
      <c r="DX70" s="230"/>
      <c r="DY70" s="230"/>
      <c r="DZ70" s="230"/>
      <c r="EA70" s="230"/>
      <c r="EB70" s="230"/>
      <c r="EC70" s="230"/>
      <c r="ED70" s="230"/>
      <c r="EE70" s="230"/>
      <c r="EF70" s="230"/>
      <c r="EG70" s="230"/>
      <c r="EH70" s="230"/>
      <c r="EI70" s="230"/>
      <c r="EJ70" s="230"/>
      <c r="EK70" s="230"/>
      <c r="EL70" s="230"/>
      <c r="EM70" s="230"/>
      <c r="EN70" s="230"/>
      <c r="EO70" s="230"/>
      <c r="EP70" s="230"/>
      <c r="EQ70" s="230"/>
      <c r="ER70" s="230"/>
      <c r="ES70" s="230"/>
      <c r="ET70" s="230"/>
      <c r="EU70" s="230"/>
      <c r="EV70" s="230"/>
      <c r="EW70" s="230"/>
      <c r="EX70" s="230"/>
      <c r="EY70" s="230"/>
      <c r="EZ70" s="230"/>
      <c r="FA70" s="230"/>
      <c r="FB70" s="230"/>
      <c r="FC70" s="230"/>
      <c r="FD70" s="230"/>
      <c r="FE70" s="230"/>
      <c r="FF70" s="230"/>
      <c r="FG70" s="230"/>
      <c r="FH70" s="230"/>
      <c r="FI70" s="230"/>
      <c r="FJ70" s="230"/>
      <c r="FK70" s="230"/>
      <c r="FL70" s="230"/>
      <c r="FM70" s="230"/>
      <c r="FN70" s="230"/>
      <c r="FO70" s="230"/>
      <c r="FP70" s="230"/>
      <c r="FQ70" s="230"/>
      <c r="FR70" s="230"/>
      <c r="FS70" s="230"/>
      <c r="FT70" s="230"/>
      <c r="FU70" s="230"/>
      <c r="FV70" s="230"/>
      <c r="FW70" s="230"/>
      <c r="FX70" s="230"/>
      <c r="FY70" s="230"/>
      <c r="FZ70" s="230"/>
      <c r="GA70" s="230"/>
      <c r="GB70" s="230"/>
      <c r="GC70" s="230"/>
      <c r="GD70" s="230"/>
      <c r="GE70" s="230"/>
      <c r="GF70" s="230"/>
      <c r="GG70" s="230"/>
      <c r="GH70" s="230"/>
      <c r="GI70" s="230"/>
      <c r="GJ70" s="230"/>
      <c r="GK70" s="230"/>
      <c r="GL70" s="230"/>
      <c r="GM70" s="230"/>
      <c r="GN70" s="230"/>
      <c r="GO70" s="230"/>
      <c r="GP70" s="230"/>
      <c r="GQ70" s="230"/>
      <c r="GR70" s="230"/>
    </row>
    <row r="71" spans="1:200" s="632" customFormat="1" outlineLevel="2" x14ac:dyDescent="0.2">
      <c r="A71" s="636" t="s">
        <v>1197</v>
      </c>
      <c r="B71" s="636" t="s">
        <v>4103</v>
      </c>
      <c r="C71" s="597"/>
      <c r="D71" s="1538"/>
      <c r="E71" s="642"/>
      <c r="F71" s="642"/>
      <c r="G71" s="1517">
        <v>2</v>
      </c>
      <c r="H71" s="1517">
        <v>2</v>
      </c>
      <c r="I71" s="1517"/>
      <c r="J71" s="1517" t="s">
        <v>2107</v>
      </c>
      <c r="K71" s="1518"/>
      <c r="L71" s="1518"/>
      <c r="M71" s="635"/>
      <c r="N71" s="624"/>
      <c r="O71" s="624"/>
      <c r="P71" s="624"/>
      <c r="Q71" s="624"/>
      <c r="R71" s="624"/>
      <c r="S71" s="624"/>
      <c r="T71" s="624"/>
      <c r="U71" s="624"/>
      <c r="V71" s="624"/>
      <c r="W71" s="624"/>
      <c r="X71" s="624"/>
      <c r="Y71" s="624"/>
      <c r="Z71" s="624"/>
      <c r="AA71">
        <f>IF(AND('12 Ext'!C71&gt;Tmin, NOT('12 Ext'!$I71="")),'12 Ext'!$I71,0)</f>
        <v>0</v>
      </c>
      <c r="AB71">
        <f>IF(AND('12 Ext'!D71&gt;Tmin, NOT('12 Ext'!$I71="")),'12 Ext'!$I71,0)</f>
        <v>0</v>
      </c>
      <c r="AC71">
        <f>IF(AND('12 Ext'!E71&gt;Tmin, NOT('12 Ext'!$I71="")),'12 Ext'!$I71,0)</f>
        <v>0</v>
      </c>
      <c r="AD71">
        <f>IF(AND('12 Ext'!F71&gt;Tmin, NOT('12 Ext'!$I71="")),'12 Ext'!$I71,0)</f>
        <v>0</v>
      </c>
      <c r="AE71">
        <f>IF(AND('12 Ext'!C71&lt;Tmax, NOT('12 Ext'!$H71="")),'12 Ext'!$H71,4)</f>
        <v>2</v>
      </c>
      <c r="AF71">
        <f>IF(AND('12 Ext'!D71&lt;Tmax, NOT('12 Ext'!$H71="")),'12 Ext'!$H71,4)</f>
        <v>2</v>
      </c>
      <c r="AG71">
        <f>IF(AND('12 Ext'!E71&lt;Tmax, NOT('12 Ext'!$H71="")),'12 Ext'!$H71,4)</f>
        <v>2</v>
      </c>
      <c r="AH71">
        <f>IF(AND('12 Ext'!F71&lt;Tmax, NOT('12 Ext'!$H71="")),'12 Ext'!$H71,4)</f>
        <v>2</v>
      </c>
      <c r="AI71"/>
      <c r="AJ71" s="230"/>
      <c r="AK71" s="230"/>
      <c r="AL71" s="230"/>
      <c r="AM71" s="230"/>
      <c r="AN71" s="230"/>
      <c r="AO71" s="230"/>
      <c r="AP71" s="230"/>
      <c r="AQ71" s="230"/>
      <c r="AR71" s="230"/>
      <c r="AS71" s="230"/>
      <c r="AT71" s="230"/>
      <c r="AU71" s="230"/>
      <c r="AV71" s="230"/>
      <c r="AW71" s="230"/>
      <c r="AX71" s="230"/>
      <c r="AY71" s="230"/>
      <c r="AZ71" s="230"/>
      <c r="BA71" s="230"/>
      <c r="BB71" s="230"/>
      <c r="BC71" s="230"/>
      <c r="BD71" s="230"/>
      <c r="BE71" s="230"/>
      <c r="BF71" s="230"/>
      <c r="BG71" s="230"/>
      <c r="BH71" s="230"/>
      <c r="BI71" s="230"/>
      <c r="BJ71" s="230"/>
      <c r="BK71" s="230"/>
      <c r="BL71" s="230"/>
      <c r="BM71" s="230"/>
      <c r="BN71" s="230"/>
      <c r="BO71" s="230"/>
      <c r="BP71" s="230"/>
      <c r="BQ71" s="230"/>
      <c r="BR71" s="230"/>
      <c r="BS71" s="230"/>
      <c r="BT71" s="230"/>
      <c r="BU71" s="230"/>
      <c r="BV71" s="230"/>
      <c r="BW71" s="230"/>
      <c r="BX71" s="230"/>
      <c r="BY71" s="230"/>
      <c r="BZ71" s="230"/>
      <c r="CA71" s="230"/>
      <c r="CB71" s="230"/>
      <c r="CC71" s="230"/>
      <c r="CD71" s="230"/>
      <c r="CE71" s="230"/>
      <c r="CF71" s="230"/>
      <c r="CG71" s="230"/>
      <c r="CH71" s="230"/>
      <c r="CI71" s="230"/>
      <c r="CJ71" s="230"/>
      <c r="CK71" s="230"/>
      <c r="CL71" s="230"/>
      <c r="CM71" s="230"/>
      <c r="CN71" s="230"/>
      <c r="CO71" s="230"/>
      <c r="CP71" s="230"/>
      <c r="CQ71" s="230"/>
      <c r="CR71" s="230"/>
      <c r="CS71" s="230"/>
      <c r="CT71" s="230"/>
      <c r="CU71" s="230"/>
      <c r="CV71" s="230"/>
      <c r="CW71" s="230"/>
      <c r="CX71" s="230"/>
      <c r="CY71" s="230"/>
      <c r="CZ71" s="230"/>
      <c r="DA71" s="230"/>
      <c r="DB71" s="230"/>
      <c r="DC71" s="230"/>
      <c r="DD71" s="230"/>
      <c r="DE71" s="230"/>
      <c r="DF71" s="230"/>
      <c r="DG71" s="230"/>
      <c r="DH71" s="230"/>
      <c r="DI71" s="230"/>
      <c r="DJ71" s="230"/>
      <c r="DK71" s="230"/>
      <c r="DL71" s="230"/>
      <c r="DM71" s="230"/>
      <c r="DN71" s="230"/>
      <c r="DO71" s="230"/>
      <c r="DP71" s="230"/>
      <c r="DQ71" s="230"/>
      <c r="DR71" s="230"/>
      <c r="DS71" s="230"/>
      <c r="DT71" s="230"/>
      <c r="DU71" s="230"/>
      <c r="DV71" s="230"/>
      <c r="DW71" s="230"/>
      <c r="DX71" s="230"/>
      <c r="DY71" s="230"/>
      <c r="DZ71" s="230"/>
      <c r="EA71" s="230"/>
      <c r="EB71" s="230"/>
      <c r="EC71" s="230"/>
      <c r="ED71" s="230"/>
      <c r="EE71" s="230"/>
      <c r="EF71" s="230"/>
      <c r="EG71" s="230"/>
      <c r="EH71" s="230"/>
      <c r="EI71" s="230"/>
      <c r="EJ71" s="230"/>
      <c r="EK71" s="230"/>
      <c r="EL71" s="230"/>
      <c r="EM71" s="230"/>
      <c r="EN71" s="230"/>
      <c r="EO71" s="230"/>
      <c r="EP71" s="230"/>
      <c r="EQ71" s="230"/>
      <c r="ER71" s="230"/>
      <c r="ES71" s="230"/>
      <c r="ET71" s="230"/>
      <c r="EU71" s="230"/>
      <c r="EV71" s="230"/>
      <c r="EW71" s="230"/>
      <c r="EX71" s="230"/>
      <c r="EY71" s="230"/>
      <c r="EZ71" s="230"/>
      <c r="FA71" s="230"/>
      <c r="FB71" s="230"/>
      <c r="FC71" s="230"/>
      <c r="FD71" s="230"/>
      <c r="FE71" s="230"/>
      <c r="FF71" s="230"/>
      <c r="FG71" s="230"/>
      <c r="FH71" s="230"/>
      <c r="FI71" s="230"/>
      <c r="FJ71" s="230"/>
      <c r="FK71" s="230"/>
      <c r="FL71" s="230"/>
      <c r="FM71" s="230"/>
      <c r="FN71" s="230"/>
      <c r="FO71" s="230"/>
      <c r="FP71" s="230"/>
      <c r="FQ71" s="230"/>
      <c r="FR71" s="230"/>
      <c r="FS71" s="230"/>
      <c r="FT71" s="230"/>
      <c r="FU71" s="230"/>
      <c r="FV71" s="230"/>
      <c r="FW71" s="230"/>
      <c r="FX71" s="230"/>
      <c r="FY71" s="230"/>
      <c r="FZ71" s="230"/>
      <c r="GA71" s="230"/>
      <c r="GB71" s="230"/>
      <c r="GC71" s="230"/>
      <c r="GD71" s="230"/>
      <c r="GE71" s="230"/>
      <c r="GF71" s="230"/>
      <c r="GG71" s="230"/>
      <c r="GH71" s="230"/>
      <c r="GI71" s="230"/>
      <c r="GJ71" s="230"/>
      <c r="GK71" s="230"/>
      <c r="GL71" s="230"/>
      <c r="GM71" s="230"/>
      <c r="GN71" s="230"/>
      <c r="GO71" s="230"/>
      <c r="GP71" s="230"/>
      <c r="GQ71" s="230"/>
      <c r="GR71" s="230"/>
    </row>
    <row r="72" spans="1:200" s="632" customFormat="1" outlineLevel="1" x14ac:dyDescent="0.2">
      <c r="A72" s="633" t="s">
        <v>2987</v>
      </c>
      <c r="B72" s="634" t="s">
        <v>1198</v>
      </c>
      <c r="C72" s="597"/>
      <c r="D72" s="1538"/>
      <c r="E72" s="642"/>
      <c r="F72" s="642"/>
      <c r="G72" s="1517"/>
      <c r="H72" s="1517"/>
      <c r="I72" s="1517"/>
      <c r="J72" s="1517"/>
      <c r="K72" s="1518"/>
      <c r="L72" s="1518"/>
      <c r="M72" s="635"/>
      <c r="N72" s="624"/>
      <c r="O72" s="624"/>
      <c r="P72" s="624"/>
      <c r="Q72" s="624"/>
      <c r="R72" s="624"/>
      <c r="S72" s="624"/>
      <c r="T72" s="624"/>
      <c r="U72" s="624"/>
      <c r="V72" s="624"/>
      <c r="W72" s="624"/>
      <c r="X72" s="624"/>
      <c r="Y72" s="624"/>
      <c r="Z72" s="624"/>
      <c r="AA72"/>
      <c r="AB72"/>
      <c r="AC72"/>
      <c r="AD72"/>
      <c r="AE72"/>
      <c r="AF72"/>
      <c r="AG72"/>
      <c r="AH72"/>
      <c r="AI72"/>
      <c r="AJ72" s="230"/>
      <c r="AK72" s="230"/>
      <c r="AL72" s="230"/>
      <c r="AM72" s="230"/>
      <c r="AN72" s="230"/>
      <c r="AO72" s="230"/>
      <c r="AP72" s="230"/>
      <c r="AQ72" s="230"/>
      <c r="AR72" s="230"/>
      <c r="AS72" s="230"/>
      <c r="AT72" s="230"/>
      <c r="AU72" s="230"/>
      <c r="AV72" s="230"/>
      <c r="AW72" s="230"/>
      <c r="AX72" s="230"/>
      <c r="AY72" s="230"/>
      <c r="AZ72" s="230"/>
      <c r="BA72" s="230"/>
      <c r="BB72" s="230"/>
      <c r="BC72" s="230"/>
      <c r="BD72" s="230"/>
      <c r="BE72" s="230"/>
      <c r="BF72" s="230"/>
      <c r="BG72" s="230"/>
      <c r="BH72" s="230"/>
      <c r="BI72" s="230"/>
      <c r="BJ72" s="230"/>
      <c r="BK72" s="230"/>
      <c r="BL72" s="230"/>
      <c r="BM72" s="230"/>
      <c r="BN72" s="230"/>
      <c r="BO72" s="230"/>
      <c r="BP72" s="230"/>
      <c r="BQ72" s="230"/>
      <c r="BR72" s="230"/>
      <c r="BS72" s="230"/>
      <c r="BT72" s="230"/>
      <c r="BU72" s="230"/>
      <c r="BV72" s="230"/>
      <c r="BW72" s="230"/>
      <c r="BX72" s="230"/>
      <c r="BY72" s="230"/>
      <c r="BZ72" s="230"/>
      <c r="CA72" s="230"/>
      <c r="CB72" s="230"/>
      <c r="CC72" s="230"/>
      <c r="CD72" s="230"/>
      <c r="CE72" s="230"/>
      <c r="CF72" s="230"/>
      <c r="CG72" s="230"/>
      <c r="CH72" s="230"/>
      <c r="CI72" s="230"/>
      <c r="CJ72" s="230"/>
      <c r="CK72" s="230"/>
      <c r="CL72" s="230"/>
      <c r="CM72" s="230"/>
      <c r="CN72" s="230"/>
      <c r="CO72" s="230"/>
      <c r="CP72" s="230"/>
      <c r="CQ72" s="230"/>
      <c r="CR72" s="230"/>
      <c r="CS72" s="230"/>
      <c r="CT72" s="230"/>
      <c r="CU72" s="230"/>
      <c r="CV72" s="230"/>
      <c r="CW72" s="230"/>
      <c r="CX72" s="230"/>
      <c r="CY72" s="230"/>
      <c r="CZ72" s="230"/>
      <c r="DA72" s="230"/>
      <c r="DB72" s="230"/>
      <c r="DC72" s="230"/>
      <c r="DD72" s="230"/>
      <c r="DE72" s="230"/>
      <c r="DF72" s="230"/>
      <c r="DG72" s="230"/>
      <c r="DH72" s="230"/>
      <c r="DI72" s="230"/>
      <c r="DJ72" s="230"/>
      <c r="DK72" s="230"/>
      <c r="DL72" s="230"/>
      <c r="DM72" s="230"/>
      <c r="DN72" s="230"/>
      <c r="DO72" s="230"/>
      <c r="DP72" s="230"/>
      <c r="DQ72" s="230"/>
      <c r="DR72" s="230"/>
      <c r="DS72" s="230"/>
      <c r="DT72" s="230"/>
      <c r="DU72" s="230"/>
      <c r="DV72" s="230"/>
      <c r="DW72" s="230"/>
      <c r="DX72" s="230"/>
      <c r="DY72" s="230"/>
      <c r="DZ72" s="230"/>
      <c r="EA72" s="230"/>
      <c r="EB72" s="230"/>
      <c r="EC72" s="230"/>
      <c r="ED72" s="230"/>
      <c r="EE72" s="230"/>
      <c r="EF72" s="230"/>
      <c r="EG72" s="230"/>
      <c r="EH72" s="230"/>
      <c r="EI72" s="230"/>
      <c r="EJ72" s="230"/>
      <c r="EK72" s="230"/>
      <c r="EL72" s="230"/>
      <c r="EM72" s="230"/>
      <c r="EN72" s="230"/>
      <c r="EO72" s="230"/>
      <c r="EP72" s="230"/>
      <c r="EQ72" s="230"/>
      <c r="ER72" s="230"/>
      <c r="ES72" s="230"/>
      <c r="ET72" s="230"/>
      <c r="EU72" s="230"/>
      <c r="EV72" s="230"/>
      <c r="EW72" s="230"/>
      <c r="EX72" s="230"/>
      <c r="EY72" s="230"/>
      <c r="EZ72" s="230"/>
      <c r="FA72" s="230"/>
      <c r="FB72" s="230"/>
      <c r="FC72" s="230"/>
      <c r="FD72" s="230"/>
      <c r="FE72" s="230"/>
      <c r="FF72" s="230"/>
      <c r="FG72" s="230"/>
      <c r="FH72" s="230"/>
      <c r="FI72" s="230"/>
      <c r="FJ72" s="230"/>
      <c r="FK72" s="230"/>
      <c r="FL72" s="230"/>
      <c r="FM72" s="230"/>
      <c r="FN72" s="230"/>
      <c r="FO72" s="230"/>
      <c r="FP72" s="230"/>
      <c r="FQ72" s="230"/>
      <c r="FR72" s="230"/>
      <c r="FS72" s="230"/>
      <c r="FT72" s="230"/>
      <c r="FU72" s="230"/>
      <c r="FV72" s="230"/>
      <c r="FW72" s="230"/>
      <c r="FX72" s="230"/>
      <c r="FY72" s="230"/>
      <c r="FZ72" s="230"/>
      <c r="GA72" s="230"/>
      <c r="GB72" s="230"/>
      <c r="GC72" s="230"/>
      <c r="GD72" s="230"/>
      <c r="GE72" s="230"/>
      <c r="GF72" s="230"/>
      <c r="GG72" s="230"/>
      <c r="GH72" s="230"/>
      <c r="GI72" s="230"/>
      <c r="GJ72" s="230"/>
      <c r="GK72" s="230"/>
      <c r="GL72" s="230"/>
      <c r="GM72" s="230"/>
      <c r="GN72" s="230"/>
      <c r="GO72" s="230"/>
      <c r="GP72" s="230"/>
      <c r="GQ72" s="230"/>
      <c r="GR72" s="230"/>
    </row>
    <row r="73" spans="1:200" s="632" customFormat="1" ht="12.75" customHeight="1" outlineLevel="2" x14ac:dyDescent="0.2">
      <c r="A73" s="636" t="s">
        <v>2988</v>
      </c>
      <c r="B73" s="636" t="s">
        <v>6156</v>
      </c>
      <c r="C73" s="597"/>
      <c r="D73" s="1538"/>
      <c r="E73" s="642"/>
      <c r="F73" s="642"/>
      <c r="G73" s="1517">
        <v>4</v>
      </c>
      <c r="H73" s="1517">
        <v>2</v>
      </c>
      <c r="I73" s="1517"/>
      <c r="J73" s="1517" t="s">
        <v>4246</v>
      </c>
      <c r="K73" s="1518"/>
      <c r="L73" s="1518"/>
      <c r="M73" s="635"/>
      <c r="N73" s="624"/>
      <c r="O73" s="624"/>
      <c r="P73" s="624"/>
      <c r="Q73" s="624"/>
      <c r="R73" s="624"/>
      <c r="S73" s="624"/>
      <c r="T73" s="624"/>
      <c r="U73" s="624"/>
      <c r="V73" s="624"/>
      <c r="W73" s="624"/>
      <c r="X73" s="624"/>
      <c r="Y73" s="624"/>
      <c r="Z73" s="624"/>
      <c r="AA73">
        <f>IF(AND('12 Ext'!C73&gt;Tmin, NOT('12 Ext'!$I73="")),'12 Ext'!$I73,0)</f>
        <v>0</v>
      </c>
      <c r="AB73">
        <f>IF(AND('12 Ext'!D73&gt;Tmin, NOT('12 Ext'!$I73="")),'12 Ext'!$I73,0)</f>
        <v>0</v>
      </c>
      <c r="AC73">
        <f>IF(AND('12 Ext'!E73&gt;Tmin, NOT('12 Ext'!$I73="")),'12 Ext'!$I73,0)</f>
        <v>0</v>
      </c>
      <c r="AD73">
        <f>IF(AND('12 Ext'!F73&gt;Tmin, NOT('12 Ext'!$I73="")),'12 Ext'!$I73,0)</f>
        <v>0</v>
      </c>
      <c r="AE73">
        <f>IF(AND('12 Ext'!C73&lt;Tmax, NOT('12 Ext'!$H73="")),'12 Ext'!$H73,4)</f>
        <v>2</v>
      </c>
      <c r="AF73">
        <f>IF(AND('12 Ext'!D73&lt;Tmax, NOT('12 Ext'!$H73="")),'12 Ext'!$H73,4)</f>
        <v>2</v>
      </c>
      <c r="AG73">
        <f>IF(AND('12 Ext'!E73&lt;Tmax, NOT('12 Ext'!$H73="")),'12 Ext'!$H73,4)</f>
        <v>2</v>
      </c>
      <c r="AH73">
        <f>IF(AND('12 Ext'!F73&lt;Tmax, NOT('12 Ext'!$H73="")),'12 Ext'!$H73,4)</f>
        <v>2</v>
      </c>
      <c r="AI73"/>
      <c r="AJ73" s="230"/>
      <c r="AK73" s="230"/>
      <c r="AL73" s="230"/>
      <c r="AM73" s="230"/>
      <c r="AN73" s="230"/>
      <c r="AO73" s="230"/>
      <c r="AP73" s="230"/>
      <c r="AQ73" s="230"/>
      <c r="AR73" s="230"/>
      <c r="AS73" s="230"/>
      <c r="AT73" s="230"/>
      <c r="AU73" s="230"/>
      <c r="AV73" s="230"/>
      <c r="AW73" s="230"/>
      <c r="AX73" s="230"/>
      <c r="AY73" s="230"/>
      <c r="AZ73" s="230"/>
      <c r="BA73" s="230"/>
      <c r="BB73" s="230"/>
      <c r="BC73" s="230"/>
      <c r="BD73" s="230"/>
      <c r="BE73" s="230"/>
      <c r="BF73" s="230"/>
      <c r="BG73" s="230"/>
      <c r="BH73" s="230"/>
      <c r="BI73" s="230"/>
      <c r="BJ73" s="230"/>
      <c r="BK73" s="230"/>
      <c r="BL73" s="230"/>
      <c r="BM73" s="230"/>
      <c r="BN73" s="230"/>
      <c r="BO73" s="230"/>
      <c r="BP73" s="230"/>
      <c r="BQ73" s="230"/>
      <c r="BR73" s="230"/>
      <c r="BS73" s="230"/>
      <c r="BT73" s="230"/>
      <c r="BU73" s="230"/>
      <c r="BV73" s="230"/>
      <c r="BW73" s="230"/>
      <c r="BX73" s="230"/>
      <c r="BY73" s="230"/>
      <c r="BZ73" s="230"/>
      <c r="CA73" s="230"/>
      <c r="CB73" s="230"/>
      <c r="CC73" s="230"/>
      <c r="CD73" s="230"/>
      <c r="CE73" s="230"/>
      <c r="CF73" s="230"/>
      <c r="CG73" s="230"/>
      <c r="CH73" s="230"/>
      <c r="CI73" s="230"/>
      <c r="CJ73" s="230"/>
      <c r="CK73" s="230"/>
      <c r="CL73" s="230"/>
      <c r="CM73" s="230"/>
      <c r="CN73" s="230"/>
      <c r="CO73" s="230"/>
      <c r="CP73" s="230"/>
      <c r="CQ73" s="230"/>
      <c r="CR73" s="230"/>
      <c r="CS73" s="230"/>
      <c r="CT73" s="230"/>
      <c r="CU73" s="230"/>
      <c r="CV73" s="230"/>
      <c r="CW73" s="230"/>
      <c r="CX73" s="230"/>
      <c r="CY73" s="230"/>
      <c r="CZ73" s="230"/>
      <c r="DA73" s="230"/>
      <c r="DB73" s="230"/>
      <c r="DC73" s="230"/>
      <c r="DD73" s="230"/>
      <c r="DE73" s="230"/>
      <c r="DF73" s="230"/>
      <c r="DG73" s="230"/>
      <c r="DH73" s="230"/>
      <c r="DI73" s="230"/>
      <c r="DJ73" s="230"/>
      <c r="DK73" s="230"/>
      <c r="DL73" s="230"/>
      <c r="DM73" s="230"/>
      <c r="DN73" s="230"/>
      <c r="DO73" s="230"/>
      <c r="DP73" s="230"/>
      <c r="DQ73" s="230"/>
      <c r="DR73" s="230"/>
      <c r="DS73" s="230"/>
      <c r="DT73" s="230"/>
      <c r="DU73" s="230"/>
      <c r="DV73" s="230"/>
      <c r="DW73" s="230"/>
      <c r="DX73" s="230"/>
      <c r="DY73" s="230"/>
      <c r="DZ73" s="230"/>
      <c r="EA73" s="230"/>
      <c r="EB73" s="230"/>
      <c r="EC73" s="230"/>
      <c r="ED73" s="230"/>
      <c r="EE73" s="230"/>
      <c r="EF73" s="230"/>
      <c r="EG73" s="230"/>
      <c r="EH73" s="230"/>
      <c r="EI73" s="230"/>
      <c r="EJ73" s="230"/>
      <c r="EK73" s="230"/>
      <c r="EL73" s="230"/>
      <c r="EM73" s="230"/>
      <c r="EN73" s="230"/>
      <c r="EO73" s="230"/>
      <c r="EP73" s="230"/>
      <c r="EQ73" s="230"/>
      <c r="ER73" s="230"/>
      <c r="ES73" s="230"/>
      <c r="ET73" s="230"/>
      <c r="EU73" s="230"/>
      <c r="EV73" s="230"/>
      <c r="EW73" s="230"/>
      <c r="EX73" s="230"/>
      <c r="EY73" s="230"/>
      <c r="EZ73" s="230"/>
      <c r="FA73" s="230"/>
      <c r="FB73" s="230"/>
      <c r="FC73" s="230"/>
      <c r="FD73" s="230"/>
      <c r="FE73" s="230"/>
      <c r="FF73" s="230"/>
      <c r="FG73" s="230"/>
      <c r="FH73" s="230"/>
      <c r="FI73" s="230"/>
      <c r="FJ73" s="230"/>
      <c r="FK73" s="230"/>
      <c r="FL73" s="230"/>
      <c r="FM73" s="230"/>
      <c r="FN73" s="230"/>
      <c r="FO73" s="230"/>
      <c r="FP73" s="230"/>
      <c r="FQ73" s="230"/>
      <c r="FR73" s="230"/>
      <c r="FS73" s="230"/>
      <c r="FT73" s="230"/>
      <c r="FU73" s="230"/>
      <c r="FV73" s="230"/>
      <c r="FW73" s="230"/>
      <c r="FX73" s="230"/>
      <c r="FY73" s="230"/>
      <c r="FZ73" s="230"/>
      <c r="GA73" s="230"/>
      <c r="GB73" s="230"/>
      <c r="GC73" s="230"/>
      <c r="GD73" s="230"/>
      <c r="GE73" s="230"/>
      <c r="GF73" s="230"/>
      <c r="GG73" s="230"/>
      <c r="GH73" s="230"/>
      <c r="GI73" s="230"/>
      <c r="GJ73" s="230"/>
      <c r="GK73" s="230"/>
      <c r="GL73" s="230"/>
      <c r="GM73" s="230"/>
      <c r="GN73" s="230"/>
      <c r="GO73" s="230"/>
      <c r="GP73" s="230"/>
      <c r="GQ73" s="230"/>
      <c r="GR73" s="230"/>
    </row>
    <row r="74" spans="1:200" s="632" customFormat="1" ht="22.5" outlineLevel="2" x14ac:dyDescent="0.2">
      <c r="A74" s="636" t="s">
        <v>2989</v>
      </c>
      <c r="B74" s="636" t="s">
        <v>3300</v>
      </c>
      <c r="C74" s="597"/>
      <c r="D74" s="1538"/>
      <c r="E74" s="642"/>
      <c r="F74" s="642"/>
      <c r="G74" s="1517">
        <v>2</v>
      </c>
      <c r="H74" s="1517"/>
      <c r="I74" s="1517"/>
      <c r="J74" s="1517" t="s">
        <v>2349</v>
      </c>
      <c r="K74" s="1518"/>
      <c r="L74" s="1518"/>
      <c r="M74" s="635"/>
      <c r="N74" s="624"/>
      <c r="O74" s="624"/>
      <c r="P74" s="624"/>
      <c r="Q74" s="624"/>
      <c r="R74" s="624"/>
      <c r="S74" s="624"/>
      <c r="T74" s="624"/>
      <c r="U74" s="624"/>
      <c r="V74" s="624"/>
      <c r="W74" s="624"/>
      <c r="X74" s="624"/>
      <c r="Y74" s="624"/>
      <c r="Z74" s="624"/>
      <c r="AA74">
        <f>IF(AND('12 Ext'!C74&gt;Tmin, NOT('12 Ext'!$I74="")),'12 Ext'!$I74,0)</f>
        <v>0</v>
      </c>
      <c r="AB74">
        <f>IF(AND('12 Ext'!D74&gt;Tmin, NOT('12 Ext'!$I74="")),'12 Ext'!$I74,0)</f>
        <v>0</v>
      </c>
      <c r="AC74">
        <f>IF(AND('12 Ext'!E74&gt;Tmin, NOT('12 Ext'!$I74="")),'12 Ext'!$I74,0)</f>
        <v>0</v>
      </c>
      <c r="AD74">
        <f>IF(AND('12 Ext'!F74&gt;Tmin, NOT('12 Ext'!$I74="")),'12 Ext'!$I74,0)</f>
        <v>0</v>
      </c>
      <c r="AE74">
        <f>IF(AND('12 Ext'!C74&lt;Tmax, NOT('12 Ext'!$H74="")),'12 Ext'!$H74,4)</f>
        <v>4</v>
      </c>
      <c r="AF74">
        <f>IF(AND('12 Ext'!D74&lt;Tmax, NOT('12 Ext'!$H74="")),'12 Ext'!$H74,4)</f>
        <v>4</v>
      </c>
      <c r="AG74">
        <f>IF(AND('12 Ext'!E74&lt;Tmax, NOT('12 Ext'!$H74="")),'12 Ext'!$H74,4)</f>
        <v>4</v>
      </c>
      <c r="AH74">
        <f>IF(AND('12 Ext'!F74&lt;Tmax, NOT('12 Ext'!$H74="")),'12 Ext'!$H74,4)</f>
        <v>4</v>
      </c>
      <c r="AI74"/>
      <c r="AJ74" s="230"/>
      <c r="AK74" s="230"/>
      <c r="AL74" s="230"/>
      <c r="AM74" s="230"/>
      <c r="AN74" s="230"/>
      <c r="AO74" s="230"/>
      <c r="AP74" s="230"/>
      <c r="AQ74" s="230"/>
      <c r="AR74" s="230"/>
      <c r="AS74" s="230"/>
      <c r="AT74" s="230"/>
      <c r="AU74" s="230"/>
      <c r="AV74" s="230"/>
      <c r="AW74" s="230"/>
      <c r="AX74" s="230"/>
      <c r="AY74" s="230"/>
      <c r="AZ74" s="230"/>
      <c r="BA74" s="230"/>
      <c r="BB74" s="230"/>
      <c r="BC74" s="230"/>
      <c r="BD74" s="230"/>
      <c r="BE74" s="230"/>
      <c r="BF74" s="230"/>
      <c r="BG74" s="230"/>
      <c r="BH74" s="230"/>
      <c r="BI74" s="230"/>
      <c r="BJ74" s="230"/>
      <c r="BK74" s="230"/>
      <c r="BL74" s="230"/>
      <c r="BM74" s="230"/>
      <c r="BN74" s="230"/>
      <c r="BO74" s="230"/>
      <c r="BP74" s="230"/>
      <c r="BQ74" s="230"/>
      <c r="BR74" s="230"/>
      <c r="BS74" s="230"/>
      <c r="BT74" s="230"/>
      <c r="BU74" s="230"/>
      <c r="BV74" s="230"/>
      <c r="BW74" s="230"/>
      <c r="BX74" s="230"/>
      <c r="BY74" s="230"/>
      <c r="BZ74" s="230"/>
      <c r="CA74" s="230"/>
      <c r="CB74" s="230"/>
      <c r="CC74" s="230"/>
      <c r="CD74" s="230"/>
      <c r="CE74" s="230"/>
      <c r="CF74" s="230"/>
      <c r="CG74" s="230"/>
      <c r="CH74" s="230"/>
      <c r="CI74" s="230"/>
      <c r="CJ74" s="230"/>
      <c r="CK74" s="230"/>
      <c r="CL74" s="230"/>
      <c r="CM74" s="230"/>
      <c r="CN74" s="230"/>
      <c r="CO74" s="230"/>
      <c r="CP74" s="230"/>
      <c r="CQ74" s="230"/>
      <c r="CR74" s="230"/>
      <c r="CS74" s="230"/>
      <c r="CT74" s="230"/>
      <c r="CU74" s="230"/>
      <c r="CV74" s="230"/>
      <c r="CW74" s="230"/>
      <c r="CX74" s="230"/>
      <c r="CY74" s="230"/>
      <c r="CZ74" s="230"/>
      <c r="DA74" s="230"/>
      <c r="DB74" s="230"/>
      <c r="DC74" s="230"/>
      <c r="DD74" s="230"/>
      <c r="DE74" s="230"/>
      <c r="DF74" s="230"/>
      <c r="DG74" s="230"/>
      <c r="DH74" s="230"/>
      <c r="DI74" s="230"/>
      <c r="DJ74" s="230"/>
      <c r="DK74" s="230"/>
      <c r="DL74" s="230"/>
      <c r="DM74" s="230"/>
      <c r="DN74" s="230"/>
      <c r="DO74" s="230"/>
      <c r="DP74" s="230"/>
      <c r="DQ74" s="230"/>
      <c r="DR74" s="230"/>
      <c r="DS74" s="230"/>
      <c r="DT74" s="230"/>
      <c r="DU74" s="230"/>
      <c r="DV74" s="230"/>
      <c r="DW74" s="230"/>
      <c r="DX74" s="230"/>
      <c r="DY74" s="230"/>
      <c r="DZ74" s="230"/>
      <c r="EA74" s="230"/>
      <c r="EB74" s="230"/>
      <c r="EC74" s="230"/>
      <c r="ED74" s="230"/>
      <c r="EE74" s="230"/>
      <c r="EF74" s="230"/>
      <c r="EG74" s="230"/>
      <c r="EH74" s="230"/>
      <c r="EI74" s="230"/>
      <c r="EJ74" s="230"/>
      <c r="EK74" s="230"/>
      <c r="EL74" s="230"/>
      <c r="EM74" s="230"/>
      <c r="EN74" s="230"/>
      <c r="EO74" s="230"/>
      <c r="EP74" s="230"/>
      <c r="EQ74" s="230"/>
      <c r="ER74" s="230"/>
      <c r="ES74" s="230"/>
      <c r="ET74" s="230"/>
      <c r="EU74" s="230"/>
      <c r="EV74" s="230"/>
      <c r="EW74" s="230"/>
      <c r="EX74" s="230"/>
      <c r="EY74" s="230"/>
      <c r="EZ74" s="230"/>
      <c r="FA74" s="230"/>
      <c r="FB74" s="230"/>
      <c r="FC74" s="230"/>
      <c r="FD74" s="230"/>
      <c r="FE74" s="230"/>
      <c r="FF74" s="230"/>
      <c r="FG74" s="230"/>
      <c r="FH74" s="230"/>
      <c r="FI74" s="230"/>
      <c r="FJ74" s="230"/>
      <c r="FK74" s="230"/>
      <c r="FL74" s="230"/>
      <c r="FM74" s="230"/>
      <c r="FN74" s="230"/>
      <c r="FO74" s="230"/>
      <c r="FP74" s="230"/>
      <c r="FQ74" s="230"/>
      <c r="FR74" s="230"/>
      <c r="FS74" s="230"/>
      <c r="FT74" s="230"/>
      <c r="FU74" s="230"/>
      <c r="FV74" s="230"/>
      <c r="FW74" s="230"/>
      <c r="FX74" s="230"/>
      <c r="FY74" s="230"/>
      <c r="FZ74" s="230"/>
      <c r="GA74" s="230"/>
      <c r="GB74" s="230"/>
      <c r="GC74" s="230"/>
      <c r="GD74" s="230"/>
      <c r="GE74" s="230"/>
      <c r="GF74" s="230"/>
      <c r="GG74" s="230"/>
      <c r="GH74" s="230"/>
      <c r="GI74" s="230"/>
      <c r="GJ74" s="230"/>
      <c r="GK74" s="230"/>
      <c r="GL74" s="230"/>
      <c r="GM74" s="230"/>
      <c r="GN74" s="230"/>
      <c r="GO74" s="230"/>
      <c r="GP74" s="230"/>
      <c r="GQ74" s="230"/>
      <c r="GR74" s="230"/>
    </row>
    <row r="75" spans="1:200" s="632" customFormat="1" ht="13.5" customHeight="1" outlineLevel="2" x14ac:dyDescent="0.2">
      <c r="A75" s="636" t="s">
        <v>2990</v>
      </c>
      <c r="B75" s="636" t="s">
        <v>3302</v>
      </c>
      <c r="C75" s="597"/>
      <c r="D75" s="1538"/>
      <c r="E75" s="642"/>
      <c r="F75" s="642"/>
      <c r="G75" s="1517">
        <v>4</v>
      </c>
      <c r="H75" s="1517"/>
      <c r="I75" s="1517"/>
      <c r="J75" s="1517" t="s">
        <v>2107</v>
      </c>
      <c r="K75" s="1518"/>
      <c r="L75" s="1518"/>
      <c r="M75" s="635"/>
      <c r="N75" s="624"/>
      <c r="O75" s="624"/>
      <c r="P75" s="624"/>
      <c r="Q75" s="624"/>
      <c r="R75" s="624"/>
      <c r="S75" s="624"/>
      <c r="T75" s="624"/>
      <c r="U75" s="624"/>
      <c r="V75" s="624"/>
      <c r="W75" s="624"/>
      <c r="X75" s="624"/>
      <c r="Y75" s="624"/>
      <c r="Z75" s="624"/>
      <c r="AA75">
        <f>IF(AND('12 Ext'!C75&gt;Tmin, NOT('12 Ext'!$I75="")),'12 Ext'!$I75,0)</f>
        <v>0</v>
      </c>
      <c r="AB75">
        <f>IF(AND('12 Ext'!D75&gt;Tmin, NOT('12 Ext'!$I75="")),'12 Ext'!$I75,0)</f>
        <v>0</v>
      </c>
      <c r="AC75">
        <f>IF(AND('12 Ext'!E75&gt;Tmin, NOT('12 Ext'!$I75="")),'12 Ext'!$I75,0)</f>
        <v>0</v>
      </c>
      <c r="AD75">
        <f>IF(AND('12 Ext'!F75&gt;Tmin, NOT('12 Ext'!$I75="")),'12 Ext'!$I75,0)</f>
        <v>0</v>
      </c>
      <c r="AE75">
        <f>IF(AND('12 Ext'!C75&lt;Tmax, NOT('12 Ext'!$H75="")),'12 Ext'!$H75,4)</f>
        <v>4</v>
      </c>
      <c r="AF75">
        <f>IF(AND('12 Ext'!D75&lt;Tmax, NOT('12 Ext'!$H75="")),'12 Ext'!$H75,4)</f>
        <v>4</v>
      </c>
      <c r="AG75">
        <f>IF(AND('12 Ext'!E75&lt;Tmax, NOT('12 Ext'!$H75="")),'12 Ext'!$H75,4)</f>
        <v>4</v>
      </c>
      <c r="AH75">
        <f>IF(AND('12 Ext'!F75&lt;Tmax, NOT('12 Ext'!$H75="")),'12 Ext'!$H75,4)</f>
        <v>4</v>
      </c>
      <c r="AI75"/>
      <c r="AJ75" s="230"/>
      <c r="AK75" s="230"/>
      <c r="AL75" s="230"/>
      <c r="AM75" s="230"/>
      <c r="AN75" s="230"/>
      <c r="AO75" s="230"/>
      <c r="AP75" s="230"/>
      <c r="AQ75" s="230"/>
      <c r="AR75" s="230"/>
      <c r="AS75" s="230"/>
      <c r="AT75" s="230"/>
      <c r="AU75" s="230"/>
      <c r="AV75" s="230"/>
      <c r="AW75" s="230"/>
      <c r="AX75" s="230"/>
      <c r="AY75" s="230"/>
      <c r="AZ75" s="230"/>
      <c r="BA75" s="230"/>
      <c r="BB75" s="230"/>
      <c r="BC75" s="230"/>
      <c r="BD75" s="230"/>
      <c r="BE75" s="230"/>
      <c r="BF75" s="230"/>
      <c r="BG75" s="230"/>
      <c r="BH75" s="230"/>
      <c r="BI75" s="230"/>
      <c r="BJ75" s="230"/>
      <c r="BK75" s="230"/>
      <c r="BL75" s="230"/>
      <c r="BM75" s="230"/>
      <c r="BN75" s="230"/>
      <c r="BO75" s="230"/>
      <c r="BP75" s="230"/>
      <c r="BQ75" s="230"/>
      <c r="BR75" s="230"/>
      <c r="BS75" s="230"/>
      <c r="BT75" s="230"/>
      <c r="BU75" s="230"/>
      <c r="BV75" s="230"/>
      <c r="BW75" s="230"/>
      <c r="BX75" s="230"/>
      <c r="BY75" s="230"/>
      <c r="BZ75" s="230"/>
      <c r="CA75" s="230"/>
      <c r="CB75" s="230"/>
      <c r="CC75" s="230"/>
      <c r="CD75" s="230"/>
      <c r="CE75" s="230"/>
      <c r="CF75" s="230"/>
      <c r="CG75" s="230"/>
      <c r="CH75" s="230"/>
      <c r="CI75" s="230"/>
      <c r="CJ75" s="230"/>
      <c r="CK75" s="230"/>
      <c r="CL75" s="230"/>
      <c r="CM75" s="230"/>
      <c r="CN75" s="230"/>
      <c r="CO75" s="230"/>
      <c r="CP75" s="230"/>
      <c r="CQ75" s="230"/>
      <c r="CR75" s="230"/>
      <c r="CS75" s="230"/>
      <c r="CT75" s="230"/>
      <c r="CU75" s="230"/>
      <c r="CV75" s="230"/>
      <c r="CW75" s="230"/>
      <c r="CX75" s="230"/>
      <c r="CY75" s="230"/>
      <c r="CZ75" s="230"/>
      <c r="DA75" s="230"/>
      <c r="DB75" s="230"/>
      <c r="DC75" s="230"/>
      <c r="DD75" s="230"/>
      <c r="DE75" s="230"/>
      <c r="DF75" s="230"/>
      <c r="DG75" s="230"/>
      <c r="DH75" s="230"/>
      <c r="DI75" s="230"/>
      <c r="DJ75" s="230"/>
      <c r="DK75" s="230"/>
      <c r="DL75" s="230"/>
      <c r="DM75" s="230"/>
      <c r="DN75" s="230"/>
      <c r="DO75" s="230"/>
      <c r="DP75" s="230"/>
      <c r="DQ75" s="230"/>
      <c r="DR75" s="230"/>
      <c r="DS75" s="230"/>
      <c r="DT75" s="230"/>
      <c r="DU75" s="230"/>
      <c r="DV75" s="230"/>
      <c r="DW75" s="230"/>
      <c r="DX75" s="230"/>
      <c r="DY75" s="230"/>
      <c r="DZ75" s="230"/>
      <c r="EA75" s="230"/>
      <c r="EB75" s="230"/>
      <c r="EC75" s="230"/>
      <c r="ED75" s="230"/>
      <c r="EE75" s="230"/>
      <c r="EF75" s="230"/>
      <c r="EG75" s="230"/>
      <c r="EH75" s="230"/>
      <c r="EI75" s="230"/>
      <c r="EJ75" s="230"/>
      <c r="EK75" s="230"/>
      <c r="EL75" s="230"/>
      <c r="EM75" s="230"/>
      <c r="EN75" s="230"/>
      <c r="EO75" s="230"/>
      <c r="EP75" s="230"/>
      <c r="EQ75" s="230"/>
      <c r="ER75" s="230"/>
      <c r="ES75" s="230"/>
      <c r="ET75" s="230"/>
      <c r="EU75" s="230"/>
      <c r="EV75" s="230"/>
      <c r="EW75" s="230"/>
      <c r="EX75" s="230"/>
      <c r="EY75" s="230"/>
      <c r="EZ75" s="230"/>
      <c r="FA75" s="230"/>
      <c r="FB75" s="230"/>
      <c r="FC75" s="230"/>
      <c r="FD75" s="230"/>
      <c r="FE75" s="230"/>
      <c r="FF75" s="230"/>
      <c r="FG75" s="230"/>
      <c r="FH75" s="230"/>
      <c r="FI75" s="230"/>
      <c r="FJ75" s="230"/>
      <c r="FK75" s="230"/>
      <c r="FL75" s="230"/>
      <c r="FM75" s="230"/>
      <c r="FN75" s="230"/>
      <c r="FO75" s="230"/>
      <c r="FP75" s="230"/>
      <c r="FQ75" s="230"/>
      <c r="FR75" s="230"/>
      <c r="FS75" s="230"/>
      <c r="FT75" s="230"/>
      <c r="FU75" s="230"/>
      <c r="FV75" s="230"/>
      <c r="FW75" s="230"/>
      <c r="FX75" s="230"/>
      <c r="FY75" s="230"/>
      <c r="FZ75" s="230"/>
      <c r="GA75" s="230"/>
      <c r="GB75" s="230"/>
      <c r="GC75" s="230"/>
      <c r="GD75" s="230"/>
      <c r="GE75" s="230"/>
      <c r="GF75" s="230"/>
      <c r="GG75" s="230"/>
      <c r="GH75" s="230"/>
      <c r="GI75" s="230"/>
      <c r="GJ75" s="230"/>
      <c r="GK75" s="230"/>
      <c r="GL75" s="230"/>
      <c r="GM75" s="230"/>
      <c r="GN75" s="230"/>
      <c r="GO75" s="230"/>
      <c r="GP75" s="230"/>
      <c r="GQ75" s="230"/>
      <c r="GR75" s="230"/>
    </row>
    <row r="76" spans="1:200" s="632" customFormat="1" ht="12.75" customHeight="1" outlineLevel="2" x14ac:dyDescent="0.2">
      <c r="A76" s="636" t="s">
        <v>2991</v>
      </c>
      <c r="B76" s="636" t="s">
        <v>4248</v>
      </c>
      <c r="C76" s="597"/>
      <c r="D76" s="1538"/>
      <c r="E76" s="642"/>
      <c r="F76" s="642"/>
      <c r="G76" s="1517">
        <v>4</v>
      </c>
      <c r="H76" s="1517"/>
      <c r="I76" s="1517"/>
      <c r="J76" s="1517" t="s">
        <v>2107</v>
      </c>
      <c r="K76" s="1518"/>
      <c r="L76" s="1518"/>
      <c r="M76" s="635"/>
      <c r="N76" s="624"/>
      <c r="O76" s="624"/>
      <c r="P76" s="624"/>
      <c r="Q76" s="624"/>
      <c r="R76" s="624"/>
      <c r="S76" s="624"/>
      <c r="T76" s="624"/>
      <c r="U76" s="624"/>
      <c r="V76" s="624"/>
      <c r="W76" s="624"/>
      <c r="X76" s="624"/>
      <c r="Y76" s="624"/>
      <c r="Z76" s="624"/>
      <c r="AA76">
        <f>IF(AND('12 Ext'!C76&gt;Tmin, NOT('12 Ext'!$I76="")),'12 Ext'!$I76,0)</f>
        <v>0</v>
      </c>
      <c r="AB76">
        <f>IF(AND('12 Ext'!D76&gt;Tmin, NOT('12 Ext'!$I76="")),'12 Ext'!$I76,0)</f>
        <v>0</v>
      </c>
      <c r="AC76">
        <f>IF(AND('12 Ext'!E76&gt;Tmin, NOT('12 Ext'!$I76="")),'12 Ext'!$I76,0)</f>
        <v>0</v>
      </c>
      <c r="AD76">
        <f>IF(AND('12 Ext'!F76&gt;Tmin, NOT('12 Ext'!$I76="")),'12 Ext'!$I76,0)</f>
        <v>0</v>
      </c>
      <c r="AE76">
        <f>IF(AND('12 Ext'!C76&lt;Tmax, NOT('12 Ext'!$H76="")),'12 Ext'!$H76,4)</f>
        <v>4</v>
      </c>
      <c r="AF76">
        <f>IF(AND('12 Ext'!D76&lt;Tmax, NOT('12 Ext'!$H76="")),'12 Ext'!$H76,4)</f>
        <v>4</v>
      </c>
      <c r="AG76">
        <f>IF(AND('12 Ext'!E76&lt;Tmax, NOT('12 Ext'!$H76="")),'12 Ext'!$H76,4)</f>
        <v>4</v>
      </c>
      <c r="AH76">
        <f>IF(AND('12 Ext'!F76&lt;Tmax, NOT('12 Ext'!$H76="")),'12 Ext'!$H76,4)</f>
        <v>4</v>
      </c>
      <c r="AI76"/>
      <c r="AJ76" s="230"/>
      <c r="AK76" s="230"/>
      <c r="AL76" s="230"/>
      <c r="AM76" s="230"/>
      <c r="AN76" s="230"/>
      <c r="AO76" s="230"/>
      <c r="AP76" s="230"/>
      <c r="AQ76" s="230"/>
      <c r="AR76" s="230"/>
      <c r="AS76" s="230"/>
      <c r="AT76" s="230"/>
      <c r="AU76" s="230"/>
      <c r="AV76" s="230"/>
      <c r="AW76" s="230"/>
      <c r="AX76" s="230"/>
      <c r="AY76" s="230"/>
      <c r="AZ76" s="230"/>
      <c r="BA76" s="230"/>
      <c r="BB76" s="230"/>
      <c r="BC76" s="230"/>
      <c r="BD76" s="230"/>
      <c r="BE76" s="230"/>
      <c r="BF76" s="230"/>
      <c r="BG76" s="230"/>
      <c r="BH76" s="230"/>
      <c r="BI76" s="230"/>
      <c r="BJ76" s="230"/>
      <c r="BK76" s="230"/>
      <c r="BL76" s="230"/>
      <c r="BM76" s="230"/>
      <c r="BN76" s="230"/>
      <c r="BO76" s="230"/>
      <c r="BP76" s="230"/>
      <c r="BQ76" s="230"/>
      <c r="BR76" s="230"/>
      <c r="BS76" s="230"/>
      <c r="BT76" s="230"/>
      <c r="BU76" s="230"/>
      <c r="BV76" s="230"/>
      <c r="BW76" s="230"/>
      <c r="BX76" s="230"/>
      <c r="BY76" s="230"/>
      <c r="BZ76" s="230"/>
      <c r="CA76" s="230"/>
      <c r="CB76" s="230"/>
      <c r="CC76" s="230"/>
      <c r="CD76" s="230"/>
      <c r="CE76" s="230"/>
      <c r="CF76" s="230"/>
      <c r="CG76" s="230"/>
      <c r="CH76" s="230"/>
      <c r="CI76" s="230"/>
      <c r="CJ76" s="230"/>
      <c r="CK76" s="230"/>
      <c r="CL76" s="230"/>
      <c r="CM76" s="230"/>
      <c r="CN76" s="230"/>
      <c r="CO76" s="230"/>
      <c r="CP76" s="230"/>
      <c r="CQ76" s="230"/>
      <c r="CR76" s="230"/>
      <c r="CS76" s="230"/>
      <c r="CT76" s="230"/>
      <c r="CU76" s="230"/>
      <c r="CV76" s="230"/>
      <c r="CW76" s="230"/>
      <c r="CX76" s="230"/>
      <c r="CY76" s="230"/>
      <c r="CZ76" s="230"/>
      <c r="DA76" s="230"/>
      <c r="DB76" s="230"/>
      <c r="DC76" s="230"/>
      <c r="DD76" s="230"/>
      <c r="DE76" s="230"/>
      <c r="DF76" s="230"/>
      <c r="DG76" s="230"/>
      <c r="DH76" s="230"/>
      <c r="DI76" s="230"/>
      <c r="DJ76" s="230"/>
      <c r="DK76" s="230"/>
      <c r="DL76" s="230"/>
      <c r="DM76" s="230"/>
      <c r="DN76" s="230"/>
      <c r="DO76" s="230"/>
      <c r="DP76" s="230"/>
      <c r="DQ76" s="230"/>
      <c r="DR76" s="230"/>
      <c r="DS76" s="230"/>
      <c r="DT76" s="230"/>
      <c r="DU76" s="230"/>
      <c r="DV76" s="230"/>
      <c r="DW76" s="230"/>
      <c r="DX76" s="230"/>
      <c r="DY76" s="230"/>
      <c r="DZ76" s="230"/>
      <c r="EA76" s="230"/>
      <c r="EB76" s="230"/>
      <c r="EC76" s="230"/>
      <c r="ED76" s="230"/>
      <c r="EE76" s="230"/>
      <c r="EF76" s="230"/>
      <c r="EG76" s="230"/>
      <c r="EH76" s="230"/>
      <c r="EI76" s="230"/>
      <c r="EJ76" s="230"/>
      <c r="EK76" s="230"/>
      <c r="EL76" s="230"/>
      <c r="EM76" s="230"/>
      <c r="EN76" s="230"/>
      <c r="EO76" s="230"/>
      <c r="EP76" s="230"/>
      <c r="EQ76" s="230"/>
      <c r="ER76" s="230"/>
      <c r="ES76" s="230"/>
      <c r="ET76" s="230"/>
      <c r="EU76" s="230"/>
      <c r="EV76" s="230"/>
      <c r="EW76" s="230"/>
      <c r="EX76" s="230"/>
      <c r="EY76" s="230"/>
      <c r="EZ76" s="230"/>
      <c r="FA76" s="230"/>
      <c r="FB76" s="230"/>
      <c r="FC76" s="230"/>
      <c r="FD76" s="230"/>
      <c r="FE76" s="230"/>
      <c r="FF76" s="230"/>
      <c r="FG76" s="230"/>
      <c r="FH76" s="230"/>
      <c r="FI76" s="230"/>
      <c r="FJ76" s="230"/>
      <c r="FK76" s="230"/>
      <c r="FL76" s="230"/>
      <c r="FM76" s="230"/>
      <c r="FN76" s="230"/>
      <c r="FO76" s="230"/>
      <c r="FP76" s="230"/>
      <c r="FQ76" s="230"/>
      <c r="FR76" s="230"/>
      <c r="FS76" s="230"/>
      <c r="FT76" s="230"/>
      <c r="FU76" s="230"/>
      <c r="FV76" s="230"/>
      <c r="FW76" s="230"/>
      <c r="FX76" s="230"/>
      <c r="FY76" s="230"/>
      <c r="FZ76" s="230"/>
      <c r="GA76" s="230"/>
      <c r="GB76" s="230"/>
      <c r="GC76" s="230"/>
      <c r="GD76" s="230"/>
      <c r="GE76" s="230"/>
      <c r="GF76" s="230"/>
      <c r="GG76" s="230"/>
      <c r="GH76" s="230"/>
      <c r="GI76" s="230"/>
      <c r="GJ76" s="230"/>
      <c r="GK76" s="230"/>
      <c r="GL76" s="230"/>
      <c r="GM76" s="230"/>
      <c r="GN76" s="230"/>
      <c r="GO76" s="230"/>
      <c r="GP76" s="230"/>
      <c r="GQ76" s="230"/>
      <c r="GR76" s="230"/>
    </row>
    <row r="77" spans="1:200" s="632" customFormat="1" ht="25.5" customHeight="1" outlineLevel="2" x14ac:dyDescent="0.2">
      <c r="A77" s="636" t="s">
        <v>2992</v>
      </c>
      <c r="B77" s="636" t="s">
        <v>2174</v>
      </c>
      <c r="C77" s="597"/>
      <c r="D77" s="1538"/>
      <c r="E77" s="642"/>
      <c r="F77" s="642"/>
      <c r="G77" s="1517">
        <v>4</v>
      </c>
      <c r="H77" s="1517"/>
      <c r="I77" s="1517"/>
      <c r="J77" s="1517" t="s">
        <v>1592</v>
      </c>
      <c r="K77" s="1518"/>
      <c r="L77" s="1518"/>
      <c r="M77" s="635"/>
      <c r="N77" s="624"/>
      <c r="O77" s="624"/>
      <c r="P77" s="624"/>
      <c r="Q77" s="624"/>
      <c r="R77" s="624"/>
      <c r="S77" s="624"/>
      <c r="T77" s="624"/>
      <c r="U77" s="624"/>
      <c r="V77" s="624"/>
      <c r="W77" s="624"/>
      <c r="X77" s="624"/>
      <c r="Y77" s="624"/>
      <c r="Z77" s="624"/>
      <c r="AA77">
        <f>IF(AND('12 Ext'!C77&gt;Tmin, NOT('12 Ext'!$I77="")),'12 Ext'!$I77,0)</f>
        <v>0</v>
      </c>
      <c r="AB77">
        <f>IF(AND('12 Ext'!D77&gt;Tmin, NOT('12 Ext'!$I77="")),'12 Ext'!$I77,0)</f>
        <v>0</v>
      </c>
      <c r="AC77">
        <f>IF(AND('12 Ext'!E77&gt;Tmin, NOT('12 Ext'!$I77="")),'12 Ext'!$I77,0)</f>
        <v>0</v>
      </c>
      <c r="AD77">
        <f>IF(AND('12 Ext'!F77&gt;Tmin, NOT('12 Ext'!$I77="")),'12 Ext'!$I77,0)</f>
        <v>0</v>
      </c>
      <c r="AE77">
        <f>IF(AND('12 Ext'!C77&lt;Tmax, NOT('12 Ext'!$H77="")),'12 Ext'!$H77,4)</f>
        <v>4</v>
      </c>
      <c r="AF77">
        <f>IF(AND('12 Ext'!D77&lt;Tmax, NOT('12 Ext'!$H77="")),'12 Ext'!$H77,4)</f>
        <v>4</v>
      </c>
      <c r="AG77">
        <f>IF(AND('12 Ext'!E77&lt;Tmax, NOT('12 Ext'!$H77="")),'12 Ext'!$H77,4)</f>
        <v>4</v>
      </c>
      <c r="AH77">
        <f>IF(AND('12 Ext'!F77&lt;Tmax, NOT('12 Ext'!$H77="")),'12 Ext'!$H77,4)</f>
        <v>4</v>
      </c>
      <c r="AI77"/>
      <c r="AJ77" s="230"/>
      <c r="AK77" s="230"/>
      <c r="AL77" s="230"/>
      <c r="AM77" s="230"/>
      <c r="AN77" s="230"/>
      <c r="AO77" s="230"/>
      <c r="AP77" s="230"/>
      <c r="AQ77" s="230"/>
      <c r="AR77" s="230"/>
      <c r="AS77" s="230"/>
      <c r="AT77" s="230"/>
      <c r="AU77" s="230"/>
      <c r="AV77" s="230"/>
      <c r="AW77" s="230"/>
      <c r="AX77" s="230"/>
      <c r="AY77" s="230"/>
      <c r="AZ77" s="230"/>
      <c r="BA77" s="230"/>
      <c r="BB77" s="230"/>
      <c r="BC77" s="230"/>
      <c r="BD77" s="230"/>
      <c r="BE77" s="230"/>
      <c r="BF77" s="230"/>
      <c r="BG77" s="230"/>
      <c r="BH77" s="230"/>
      <c r="BI77" s="230"/>
      <c r="BJ77" s="230"/>
      <c r="BK77" s="230"/>
      <c r="BL77" s="230"/>
      <c r="BM77" s="230"/>
      <c r="BN77" s="230"/>
      <c r="BO77" s="230"/>
      <c r="BP77" s="230"/>
      <c r="BQ77" s="230"/>
      <c r="BR77" s="230"/>
      <c r="BS77" s="230"/>
      <c r="BT77" s="230"/>
      <c r="BU77" s="230"/>
      <c r="BV77" s="230"/>
      <c r="BW77" s="230"/>
      <c r="BX77" s="230"/>
      <c r="BY77" s="230"/>
      <c r="BZ77" s="230"/>
      <c r="CA77" s="230"/>
      <c r="CB77" s="230"/>
      <c r="CC77" s="230"/>
      <c r="CD77" s="230"/>
      <c r="CE77" s="230"/>
      <c r="CF77" s="230"/>
      <c r="CG77" s="230"/>
      <c r="CH77" s="230"/>
      <c r="CI77" s="230"/>
      <c r="CJ77" s="230"/>
      <c r="CK77" s="230"/>
      <c r="CL77" s="230"/>
      <c r="CM77" s="230"/>
      <c r="CN77" s="230"/>
      <c r="CO77" s="230"/>
      <c r="CP77" s="230"/>
      <c r="CQ77" s="230"/>
      <c r="CR77" s="230"/>
      <c r="CS77" s="230"/>
      <c r="CT77" s="230"/>
      <c r="CU77" s="230"/>
      <c r="CV77" s="230"/>
      <c r="CW77" s="230"/>
      <c r="CX77" s="230"/>
      <c r="CY77" s="230"/>
      <c r="CZ77" s="230"/>
      <c r="DA77" s="230"/>
      <c r="DB77" s="230"/>
      <c r="DC77" s="230"/>
      <c r="DD77" s="230"/>
      <c r="DE77" s="230"/>
      <c r="DF77" s="230"/>
      <c r="DG77" s="230"/>
      <c r="DH77" s="230"/>
      <c r="DI77" s="230"/>
      <c r="DJ77" s="230"/>
      <c r="DK77" s="230"/>
      <c r="DL77" s="230"/>
      <c r="DM77" s="230"/>
      <c r="DN77" s="230"/>
      <c r="DO77" s="230"/>
      <c r="DP77" s="230"/>
      <c r="DQ77" s="230"/>
      <c r="DR77" s="230"/>
      <c r="DS77" s="230"/>
      <c r="DT77" s="230"/>
      <c r="DU77" s="230"/>
      <c r="DV77" s="230"/>
      <c r="DW77" s="230"/>
      <c r="DX77" s="230"/>
      <c r="DY77" s="230"/>
      <c r="DZ77" s="230"/>
      <c r="EA77" s="230"/>
      <c r="EB77" s="230"/>
      <c r="EC77" s="230"/>
      <c r="ED77" s="230"/>
      <c r="EE77" s="230"/>
      <c r="EF77" s="230"/>
      <c r="EG77" s="230"/>
      <c r="EH77" s="230"/>
      <c r="EI77" s="230"/>
      <c r="EJ77" s="230"/>
      <c r="EK77" s="230"/>
      <c r="EL77" s="230"/>
      <c r="EM77" s="230"/>
      <c r="EN77" s="230"/>
      <c r="EO77" s="230"/>
      <c r="EP77" s="230"/>
      <c r="EQ77" s="230"/>
      <c r="ER77" s="230"/>
      <c r="ES77" s="230"/>
      <c r="ET77" s="230"/>
      <c r="EU77" s="230"/>
      <c r="EV77" s="230"/>
      <c r="EW77" s="230"/>
      <c r="EX77" s="230"/>
      <c r="EY77" s="230"/>
      <c r="EZ77" s="230"/>
      <c r="FA77" s="230"/>
      <c r="FB77" s="230"/>
      <c r="FC77" s="230"/>
      <c r="FD77" s="230"/>
      <c r="FE77" s="230"/>
      <c r="FF77" s="230"/>
      <c r="FG77" s="230"/>
      <c r="FH77" s="230"/>
      <c r="FI77" s="230"/>
      <c r="FJ77" s="230"/>
      <c r="FK77" s="230"/>
      <c r="FL77" s="230"/>
      <c r="FM77" s="230"/>
      <c r="FN77" s="230"/>
      <c r="FO77" s="230"/>
      <c r="FP77" s="230"/>
      <c r="FQ77" s="230"/>
      <c r="FR77" s="230"/>
      <c r="FS77" s="230"/>
      <c r="FT77" s="230"/>
      <c r="FU77" s="230"/>
      <c r="FV77" s="230"/>
      <c r="FW77" s="230"/>
      <c r="FX77" s="230"/>
      <c r="FY77" s="230"/>
      <c r="FZ77" s="230"/>
      <c r="GA77" s="230"/>
      <c r="GB77" s="230"/>
      <c r="GC77" s="230"/>
      <c r="GD77" s="230"/>
      <c r="GE77" s="230"/>
      <c r="GF77" s="230"/>
      <c r="GG77" s="230"/>
      <c r="GH77" s="230"/>
      <c r="GI77" s="230"/>
      <c r="GJ77" s="230"/>
      <c r="GK77" s="230"/>
      <c r="GL77" s="230"/>
      <c r="GM77" s="230"/>
      <c r="GN77" s="230"/>
      <c r="GO77" s="230"/>
      <c r="GP77" s="230"/>
      <c r="GQ77" s="230"/>
      <c r="GR77" s="230"/>
    </row>
    <row r="78" spans="1:200" s="632" customFormat="1" outlineLevel="2" x14ac:dyDescent="0.2">
      <c r="A78" s="636" t="s">
        <v>2993</v>
      </c>
      <c r="B78" s="636" t="s">
        <v>2176</v>
      </c>
      <c r="C78" s="597"/>
      <c r="D78" s="1538"/>
      <c r="E78" s="642"/>
      <c r="F78" s="642"/>
      <c r="G78" s="1517">
        <v>4</v>
      </c>
      <c r="H78" s="1517"/>
      <c r="I78" s="1517"/>
      <c r="J78" s="1517" t="s">
        <v>2107</v>
      </c>
      <c r="K78" s="1518"/>
      <c r="L78" s="1518"/>
      <c r="M78" s="635"/>
      <c r="N78" s="624"/>
      <c r="O78" s="624"/>
      <c r="P78" s="624"/>
      <c r="Q78" s="624"/>
      <c r="R78" s="624"/>
      <c r="S78" s="624"/>
      <c r="T78" s="624"/>
      <c r="U78" s="624"/>
      <c r="V78" s="624"/>
      <c r="W78" s="624"/>
      <c r="X78" s="624"/>
      <c r="Y78" s="624"/>
      <c r="Z78" s="624"/>
      <c r="AA78">
        <f>IF(AND('12 Ext'!C78&gt;Tmin, NOT('12 Ext'!$I78="")),'12 Ext'!$I78,0)</f>
        <v>0</v>
      </c>
      <c r="AB78">
        <f>IF(AND('12 Ext'!D78&gt;Tmin, NOT('12 Ext'!$I78="")),'12 Ext'!$I78,0)</f>
        <v>0</v>
      </c>
      <c r="AC78">
        <f>IF(AND('12 Ext'!E78&gt;Tmin, NOT('12 Ext'!$I78="")),'12 Ext'!$I78,0)</f>
        <v>0</v>
      </c>
      <c r="AD78">
        <f>IF(AND('12 Ext'!F78&gt;Tmin, NOT('12 Ext'!$I78="")),'12 Ext'!$I78,0)</f>
        <v>0</v>
      </c>
      <c r="AE78">
        <f>IF(AND('12 Ext'!C78&lt;Tmax, NOT('12 Ext'!$H78="")),'12 Ext'!$H78,4)</f>
        <v>4</v>
      </c>
      <c r="AF78">
        <f>IF(AND('12 Ext'!D78&lt;Tmax, NOT('12 Ext'!$H78="")),'12 Ext'!$H78,4)</f>
        <v>4</v>
      </c>
      <c r="AG78">
        <f>IF(AND('12 Ext'!E78&lt;Tmax, NOT('12 Ext'!$H78="")),'12 Ext'!$H78,4)</f>
        <v>4</v>
      </c>
      <c r="AH78">
        <f>IF(AND('12 Ext'!F78&lt;Tmax, NOT('12 Ext'!$H78="")),'12 Ext'!$H78,4)</f>
        <v>4</v>
      </c>
      <c r="AI78"/>
      <c r="AJ78" s="230"/>
      <c r="AK78" s="230"/>
      <c r="AL78" s="230"/>
      <c r="AM78" s="230"/>
      <c r="AN78" s="230"/>
      <c r="AO78" s="230"/>
      <c r="AP78" s="230"/>
      <c r="AQ78" s="230"/>
      <c r="AR78" s="230"/>
      <c r="AS78" s="230"/>
      <c r="AT78" s="230"/>
      <c r="AU78" s="230"/>
      <c r="AV78" s="230"/>
      <c r="AW78" s="230"/>
      <c r="AX78" s="230"/>
      <c r="AY78" s="230"/>
      <c r="AZ78" s="230"/>
      <c r="BA78" s="230"/>
      <c r="BB78" s="230"/>
      <c r="BC78" s="230"/>
      <c r="BD78" s="230"/>
      <c r="BE78" s="230"/>
      <c r="BF78" s="230"/>
      <c r="BG78" s="230"/>
      <c r="BH78" s="230"/>
      <c r="BI78" s="230"/>
      <c r="BJ78" s="230"/>
      <c r="BK78" s="230"/>
      <c r="BL78" s="230"/>
      <c r="BM78" s="230"/>
      <c r="BN78" s="230"/>
      <c r="BO78" s="230"/>
      <c r="BP78" s="230"/>
      <c r="BQ78" s="230"/>
      <c r="BR78" s="230"/>
      <c r="BS78" s="230"/>
      <c r="BT78" s="230"/>
      <c r="BU78" s="230"/>
      <c r="BV78" s="230"/>
      <c r="BW78" s="230"/>
      <c r="BX78" s="230"/>
      <c r="BY78" s="230"/>
      <c r="BZ78" s="230"/>
      <c r="CA78" s="230"/>
      <c r="CB78" s="230"/>
      <c r="CC78" s="230"/>
      <c r="CD78" s="230"/>
      <c r="CE78" s="230"/>
      <c r="CF78" s="230"/>
      <c r="CG78" s="230"/>
      <c r="CH78" s="230"/>
      <c r="CI78" s="230"/>
      <c r="CJ78" s="230"/>
      <c r="CK78" s="230"/>
      <c r="CL78" s="230"/>
      <c r="CM78" s="230"/>
      <c r="CN78" s="230"/>
      <c r="CO78" s="230"/>
      <c r="CP78" s="230"/>
      <c r="CQ78" s="230"/>
      <c r="CR78" s="230"/>
      <c r="CS78" s="230"/>
      <c r="CT78" s="230"/>
      <c r="CU78" s="230"/>
      <c r="CV78" s="230"/>
      <c r="CW78" s="230"/>
      <c r="CX78" s="230"/>
      <c r="CY78" s="230"/>
      <c r="CZ78" s="230"/>
      <c r="DA78" s="230"/>
      <c r="DB78" s="230"/>
      <c r="DC78" s="230"/>
      <c r="DD78" s="230"/>
      <c r="DE78" s="230"/>
      <c r="DF78" s="230"/>
      <c r="DG78" s="230"/>
      <c r="DH78" s="230"/>
      <c r="DI78" s="230"/>
      <c r="DJ78" s="230"/>
      <c r="DK78" s="230"/>
      <c r="DL78" s="230"/>
      <c r="DM78" s="230"/>
      <c r="DN78" s="230"/>
      <c r="DO78" s="230"/>
      <c r="DP78" s="230"/>
      <c r="DQ78" s="230"/>
      <c r="DR78" s="230"/>
      <c r="DS78" s="230"/>
      <c r="DT78" s="230"/>
      <c r="DU78" s="230"/>
      <c r="DV78" s="230"/>
      <c r="DW78" s="230"/>
      <c r="DX78" s="230"/>
      <c r="DY78" s="230"/>
      <c r="DZ78" s="230"/>
      <c r="EA78" s="230"/>
      <c r="EB78" s="230"/>
      <c r="EC78" s="230"/>
      <c r="ED78" s="230"/>
      <c r="EE78" s="230"/>
      <c r="EF78" s="230"/>
      <c r="EG78" s="230"/>
      <c r="EH78" s="230"/>
      <c r="EI78" s="230"/>
      <c r="EJ78" s="230"/>
      <c r="EK78" s="230"/>
      <c r="EL78" s="230"/>
      <c r="EM78" s="230"/>
      <c r="EN78" s="230"/>
      <c r="EO78" s="230"/>
      <c r="EP78" s="230"/>
      <c r="EQ78" s="230"/>
      <c r="ER78" s="230"/>
      <c r="ES78" s="230"/>
      <c r="ET78" s="230"/>
      <c r="EU78" s="230"/>
      <c r="EV78" s="230"/>
      <c r="EW78" s="230"/>
      <c r="EX78" s="230"/>
      <c r="EY78" s="230"/>
      <c r="EZ78" s="230"/>
      <c r="FA78" s="230"/>
      <c r="FB78" s="230"/>
      <c r="FC78" s="230"/>
      <c r="FD78" s="230"/>
      <c r="FE78" s="230"/>
      <c r="FF78" s="230"/>
      <c r="FG78" s="230"/>
      <c r="FH78" s="230"/>
      <c r="FI78" s="230"/>
      <c r="FJ78" s="230"/>
      <c r="FK78" s="230"/>
      <c r="FL78" s="230"/>
      <c r="FM78" s="230"/>
      <c r="FN78" s="230"/>
      <c r="FO78" s="230"/>
      <c r="FP78" s="230"/>
      <c r="FQ78" s="230"/>
      <c r="FR78" s="230"/>
      <c r="FS78" s="230"/>
      <c r="FT78" s="230"/>
      <c r="FU78" s="230"/>
      <c r="FV78" s="230"/>
      <c r="FW78" s="230"/>
      <c r="FX78" s="230"/>
      <c r="FY78" s="230"/>
      <c r="FZ78" s="230"/>
      <c r="GA78" s="230"/>
      <c r="GB78" s="230"/>
      <c r="GC78" s="230"/>
      <c r="GD78" s="230"/>
      <c r="GE78" s="230"/>
      <c r="GF78" s="230"/>
      <c r="GG78" s="230"/>
      <c r="GH78" s="230"/>
      <c r="GI78" s="230"/>
      <c r="GJ78" s="230"/>
      <c r="GK78" s="230"/>
      <c r="GL78" s="230"/>
      <c r="GM78" s="230"/>
      <c r="GN78" s="230"/>
      <c r="GO78" s="230"/>
      <c r="GP78" s="230"/>
      <c r="GQ78" s="230"/>
      <c r="GR78" s="230"/>
    </row>
    <row r="79" spans="1:200" s="632" customFormat="1" ht="22.5" outlineLevel="2" x14ac:dyDescent="0.2">
      <c r="A79" s="636" t="s">
        <v>2994</v>
      </c>
      <c r="B79" s="636" t="s">
        <v>2178</v>
      </c>
      <c r="C79" s="597"/>
      <c r="D79" s="1536"/>
      <c r="E79" s="635"/>
      <c r="F79" s="635"/>
      <c r="G79" s="1517">
        <v>4</v>
      </c>
      <c r="H79" s="1517"/>
      <c r="I79" s="1517"/>
      <c r="J79" s="1517" t="s">
        <v>2329</v>
      </c>
      <c r="K79" s="1518"/>
      <c r="L79" s="1518"/>
      <c r="M79" s="635"/>
      <c r="N79" s="624"/>
      <c r="O79" s="624"/>
      <c r="P79" s="624"/>
      <c r="Q79" s="624"/>
      <c r="R79" s="624"/>
      <c r="S79" s="624"/>
      <c r="T79" s="624"/>
      <c r="U79" s="624"/>
      <c r="V79" s="624"/>
      <c r="W79" s="624"/>
      <c r="X79" s="624"/>
      <c r="Y79" s="624"/>
      <c r="Z79" s="624"/>
      <c r="AA79">
        <f>IF(AND('12 Ext'!C79&gt;Tmin, NOT('12 Ext'!$I79="")),'12 Ext'!$I79,0)</f>
        <v>0</v>
      </c>
      <c r="AB79">
        <f>IF(AND('12 Ext'!D79&gt;Tmin, NOT('12 Ext'!$I79="")),'12 Ext'!$I79,0)</f>
        <v>0</v>
      </c>
      <c r="AC79">
        <f>IF(AND('12 Ext'!E79&gt;Tmin, NOT('12 Ext'!$I79="")),'12 Ext'!$I79,0)</f>
        <v>0</v>
      </c>
      <c r="AD79">
        <f>IF(AND('12 Ext'!F79&gt;Tmin, NOT('12 Ext'!$I79="")),'12 Ext'!$I79,0)</f>
        <v>0</v>
      </c>
      <c r="AE79">
        <f>IF(AND('12 Ext'!C79&lt;Tmax, NOT('12 Ext'!$H79="")),'12 Ext'!$H79,4)</f>
        <v>4</v>
      </c>
      <c r="AF79">
        <f>IF(AND('12 Ext'!D79&lt;Tmax, NOT('12 Ext'!$H79="")),'12 Ext'!$H79,4)</f>
        <v>4</v>
      </c>
      <c r="AG79">
        <f>IF(AND('12 Ext'!E79&lt;Tmax, NOT('12 Ext'!$H79="")),'12 Ext'!$H79,4)</f>
        <v>4</v>
      </c>
      <c r="AH79">
        <f>IF(AND('12 Ext'!F79&lt;Tmax, NOT('12 Ext'!$H79="")),'12 Ext'!$H79,4)</f>
        <v>4</v>
      </c>
      <c r="AI79"/>
      <c r="AJ79" s="230"/>
      <c r="AK79" s="230"/>
      <c r="AL79" s="230"/>
      <c r="AM79" s="230"/>
      <c r="AN79" s="230"/>
      <c r="AO79" s="230"/>
      <c r="AP79" s="230"/>
      <c r="AQ79" s="230"/>
      <c r="AR79" s="230"/>
      <c r="AS79" s="230"/>
      <c r="AT79" s="230"/>
      <c r="AU79" s="230"/>
      <c r="AV79" s="230"/>
      <c r="AW79" s="230"/>
      <c r="AX79" s="230"/>
      <c r="AY79" s="230"/>
      <c r="AZ79" s="230"/>
      <c r="BA79" s="230"/>
      <c r="BB79" s="230"/>
      <c r="BC79" s="230"/>
      <c r="BD79" s="230"/>
      <c r="BE79" s="230"/>
      <c r="BF79" s="230"/>
      <c r="BG79" s="230"/>
      <c r="BH79" s="230"/>
      <c r="BI79" s="230"/>
      <c r="BJ79" s="230"/>
      <c r="BK79" s="230"/>
      <c r="BL79" s="230"/>
      <c r="BM79" s="230"/>
      <c r="BN79" s="230"/>
      <c r="BO79" s="230"/>
      <c r="BP79" s="230"/>
      <c r="BQ79" s="230"/>
      <c r="BR79" s="230"/>
      <c r="BS79" s="230"/>
      <c r="BT79" s="230"/>
      <c r="BU79" s="230"/>
      <c r="BV79" s="230"/>
      <c r="BW79" s="230"/>
      <c r="BX79" s="230"/>
      <c r="BY79" s="230"/>
      <c r="BZ79" s="230"/>
      <c r="CA79" s="230"/>
      <c r="CB79" s="230"/>
      <c r="CC79" s="230"/>
      <c r="CD79" s="230"/>
      <c r="CE79" s="230"/>
      <c r="CF79" s="230"/>
      <c r="CG79" s="230"/>
      <c r="CH79" s="230"/>
      <c r="CI79" s="230"/>
      <c r="CJ79" s="230"/>
      <c r="CK79" s="230"/>
      <c r="CL79" s="230"/>
      <c r="CM79" s="230"/>
      <c r="CN79" s="230"/>
      <c r="CO79" s="230"/>
      <c r="CP79" s="230"/>
      <c r="CQ79" s="230"/>
      <c r="CR79" s="230"/>
      <c r="CS79" s="230"/>
      <c r="CT79" s="230"/>
      <c r="CU79" s="230"/>
      <c r="CV79" s="230"/>
      <c r="CW79" s="230"/>
      <c r="CX79" s="230"/>
      <c r="CY79" s="230"/>
      <c r="CZ79" s="230"/>
      <c r="DA79" s="230"/>
      <c r="DB79" s="230"/>
      <c r="DC79" s="230"/>
      <c r="DD79" s="230"/>
      <c r="DE79" s="230"/>
      <c r="DF79" s="230"/>
      <c r="DG79" s="230"/>
      <c r="DH79" s="230"/>
      <c r="DI79" s="230"/>
      <c r="DJ79" s="230"/>
      <c r="DK79" s="230"/>
      <c r="DL79" s="230"/>
      <c r="DM79" s="230"/>
      <c r="DN79" s="230"/>
      <c r="DO79" s="230"/>
      <c r="DP79" s="230"/>
      <c r="DQ79" s="230"/>
      <c r="DR79" s="230"/>
      <c r="DS79" s="230"/>
      <c r="DT79" s="230"/>
      <c r="DU79" s="230"/>
      <c r="DV79" s="230"/>
      <c r="DW79" s="230"/>
      <c r="DX79" s="230"/>
      <c r="DY79" s="230"/>
      <c r="DZ79" s="230"/>
      <c r="EA79" s="230"/>
      <c r="EB79" s="230"/>
      <c r="EC79" s="230"/>
      <c r="ED79" s="230"/>
      <c r="EE79" s="230"/>
      <c r="EF79" s="230"/>
      <c r="EG79" s="230"/>
      <c r="EH79" s="230"/>
      <c r="EI79" s="230"/>
      <c r="EJ79" s="230"/>
      <c r="EK79" s="230"/>
      <c r="EL79" s="230"/>
      <c r="EM79" s="230"/>
      <c r="EN79" s="230"/>
      <c r="EO79" s="230"/>
      <c r="EP79" s="230"/>
      <c r="EQ79" s="230"/>
      <c r="ER79" s="230"/>
      <c r="ES79" s="230"/>
      <c r="ET79" s="230"/>
      <c r="EU79" s="230"/>
      <c r="EV79" s="230"/>
      <c r="EW79" s="230"/>
      <c r="EX79" s="230"/>
      <c r="EY79" s="230"/>
      <c r="EZ79" s="230"/>
      <c r="FA79" s="230"/>
      <c r="FB79" s="230"/>
      <c r="FC79" s="230"/>
      <c r="FD79" s="230"/>
      <c r="FE79" s="230"/>
      <c r="FF79" s="230"/>
      <c r="FG79" s="230"/>
      <c r="FH79" s="230"/>
      <c r="FI79" s="230"/>
      <c r="FJ79" s="230"/>
      <c r="FK79" s="230"/>
      <c r="FL79" s="230"/>
      <c r="FM79" s="230"/>
      <c r="FN79" s="230"/>
      <c r="FO79" s="230"/>
      <c r="FP79" s="230"/>
      <c r="FQ79" s="230"/>
      <c r="FR79" s="230"/>
      <c r="FS79" s="230"/>
      <c r="FT79" s="230"/>
      <c r="FU79" s="230"/>
      <c r="FV79" s="230"/>
      <c r="FW79" s="230"/>
      <c r="FX79" s="230"/>
      <c r="FY79" s="230"/>
      <c r="FZ79" s="230"/>
      <c r="GA79" s="230"/>
      <c r="GB79" s="230"/>
      <c r="GC79" s="230"/>
      <c r="GD79" s="230"/>
      <c r="GE79" s="230"/>
      <c r="GF79" s="230"/>
      <c r="GG79" s="230"/>
      <c r="GH79" s="230"/>
      <c r="GI79" s="230"/>
      <c r="GJ79" s="230"/>
      <c r="GK79" s="230"/>
      <c r="GL79" s="230"/>
      <c r="GM79" s="230"/>
      <c r="GN79" s="230"/>
      <c r="GO79" s="230"/>
      <c r="GP79" s="230"/>
      <c r="GQ79" s="230"/>
      <c r="GR79" s="230"/>
    </row>
    <row r="80" spans="1:200" s="632" customFormat="1" outlineLevel="2" x14ac:dyDescent="0.2">
      <c r="A80" s="636" t="s">
        <v>2995</v>
      </c>
      <c r="B80" s="636" t="s">
        <v>2180</v>
      </c>
      <c r="C80" s="597"/>
      <c r="D80" s="1536"/>
      <c r="E80" s="635"/>
      <c r="F80" s="635"/>
      <c r="G80" s="1517">
        <v>4</v>
      </c>
      <c r="H80" s="1517"/>
      <c r="I80" s="1517"/>
      <c r="J80" s="1517" t="s">
        <v>2109</v>
      </c>
      <c r="K80" s="1518"/>
      <c r="L80" s="1518"/>
      <c r="M80" s="635"/>
      <c r="N80" s="624"/>
      <c r="O80" s="624"/>
      <c r="P80" s="624"/>
      <c r="Q80" s="624"/>
      <c r="R80" s="624"/>
      <c r="S80" s="624"/>
      <c r="T80" s="624"/>
      <c r="U80" s="624"/>
      <c r="V80" s="624"/>
      <c r="W80" s="624"/>
      <c r="X80" s="624"/>
      <c r="Y80" s="624"/>
      <c r="Z80" s="624"/>
      <c r="AA80">
        <f>IF(AND('12 Ext'!C80&gt;Tmin, NOT('12 Ext'!$I80="")),'12 Ext'!$I80,0)</f>
        <v>0</v>
      </c>
      <c r="AB80">
        <f>IF(AND('12 Ext'!D80&gt;Tmin, NOT('12 Ext'!$I80="")),'12 Ext'!$I80,0)</f>
        <v>0</v>
      </c>
      <c r="AC80">
        <f>IF(AND('12 Ext'!E80&gt;Tmin, NOT('12 Ext'!$I80="")),'12 Ext'!$I80,0)</f>
        <v>0</v>
      </c>
      <c r="AD80">
        <f>IF(AND('12 Ext'!F80&gt;Tmin, NOT('12 Ext'!$I80="")),'12 Ext'!$I80,0)</f>
        <v>0</v>
      </c>
      <c r="AE80">
        <f>IF(AND('12 Ext'!C80&lt;Tmax, NOT('12 Ext'!$H80="")),'12 Ext'!$H80,4)</f>
        <v>4</v>
      </c>
      <c r="AF80">
        <f>IF(AND('12 Ext'!D80&lt;Tmax, NOT('12 Ext'!$H80="")),'12 Ext'!$H80,4)</f>
        <v>4</v>
      </c>
      <c r="AG80">
        <f>IF(AND('12 Ext'!E80&lt;Tmax, NOT('12 Ext'!$H80="")),'12 Ext'!$H80,4)</f>
        <v>4</v>
      </c>
      <c r="AH80">
        <f>IF(AND('12 Ext'!F80&lt;Tmax, NOT('12 Ext'!$H80="")),'12 Ext'!$H80,4)</f>
        <v>4</v>
      </c>
      <c r="AI80"/>
      <c r="AJ80" s="230"/>
      <c r="AK80" s="230"/>
      <c r="AL80" s="230"/>
      <c r="AM80" s="230"/>
      <c r="AN80" s="230"/>
      <c r="AO80" s="230"/>
      <c r="AP80" s="230"/>
      <c r="AQ80" s="230"/>
      <c r="AR80" s="230"/>
      <c r="AS80" s="230"/>
      <c r="AT80" s="230"/>
      <c r="AU80" s="230"/>
      <c r="AV80" s="230"/>
      <c r="AW80" s="230"/>
      <c r="AX80" s="230"/>
      <c r="AY80" s="230"/>
      <c r="AZ80" s="230"/>
      <c r="BA80" s="230"/>
      <c r="BB80" s="230"/>
      <c r="BC80" s="230"/>
      <c r="BD80" s="230"/>
      <c r="BE80" s="230"/>
      <c r="BF80" s="230"/>
      <c r="BG80" s="230"/>
      <c r="BH80" s="230"/>
      <c r="BI80" s="230"/>
      <c r="BJ80" s="230"/>
      <c r="BK80" s="230"/>
      <c r="BL80" s="230"/>
      <c r="BM80" s="230"/>
      <c r="BN80" s="230"/>
      <c r="BO80" s="230"/>
      <c r="BP80" s="230"/>
      <c r="BQ80" s="230"/>
      <c r="BR80" s="230"/>
      <c r="BS80" s="230"/>
      <c r="BT80" s="230"/>
      <c r="BU80" s="230"/>
      <c r="BV80" s="230"/>
      <c r="BW80" s="230"/>
      <c r="BX80" s="230"/>
      <c r="BY80" s="230"/>
      <c r="BZ80" s="230"/>
      <c r="CA80" s="230"/>
      <c r="CB80" s="230"/>
      <c r="CC80" s="230"/>
      <c r="CD80" s="230"/>
      <c r="CE80" s="230"/>
      <c r="CF80" s="230"/>
      <c r="CG80" s="230"/>
      <c r="CH80" s="230"/>
      <c r="CI80" s="230"/>
      <c r="CJ80" s="230"/>
      <c r="CK80" s="230"/>
      <c r="CL80" s="230"/>
      <c r="CM80" s="230"/>
      <c r="CN80" s="230"/>
      <c r="CO80" s="230"/>
      <c r="CP80" s="230"/>
      <c r="CQ80" s="230"/>
      <c r="CR80" s="230"/>
      <c r="CS80" s="230"/>
      <c r="CT80" s="230"/>
      <c r="CU80" s="230"/>
      <c r="CV80" s="230"/>
      <c r="CW80" s="230"/>
      <c r="CX80" s="230"/>
      <c r="CY80" s="230"/>
      <c r="CZ80" s="230"/>
      <c r="DA80" s="230"/>
      <c r="DB80" s="230"/>
      <c r="DC80" s="230"/>
      <c r="DD80" s="230"/>
      <c r="DE80" s="230"/>
      <c r="DF80" s="230"/>
      <c r="DG80" s="230"/>
      <c r="DH80" s="230"/>
      <c r="DI80" s="230"/>
      <c r="DJ80" s="230"/>
      <c r="DK80" s="230"/>
      <c r="DL80" s="230"/>
      <c r="DM80" s="230"/>
      <c r="DN80" s="230"/>
      <c r="DO80" s="230"/>
      <c r="DP80" s="230"/>
      <c r="DQ80" s="230"/>
      <c r="DR80" s="230"/>
      <c r="DS80" s="230"/>
      <c r="DT80" s="230"/>
      <c r="DU80" s="230"/>
      <c r="DV80" s="230"/>
      <c r="DW80" s="230"/>
      <c r="DX80" s="230"/>
      <c r="DY80" s="230"/>
      <c r="DZ80" s="230"/>
      <c r="EA80" s="230"/>
      <c r="EB80" s="230"/>
      <c r="EC80" s="230"/>
      <c r="ED80" s="230"/>
      <c r="EE80" s="230"/>
      <c r="EF80" s="230"/>
      <c r="EG80" s="230"/>
      <c r="EH80" s="230"/>
      <c r="EI80" s="230"/>
      <c r="EJ80" s="230"/>
      <c r="EK80" s="230"/>
      <c r="EL80" s="230"/>
      <c r="EM80" s="230"/>
      <c r="EN80" s="230"/>
      <c r="EO80" s="230"/>
      <c r="EP80" s="230"/>
      <c r="EQ80" s="230"/>
      <c r="ER80" s="230"/>
      <c r="ES80" s="230"/>
      <c r="ET80" s="230"/>
      <c r="EU80" s="230"/>
      <c r="EV80" s="230"/>
      <c r="EW80" s="230"/>
      <c r="EX80" s="230"/>
      <c r="EY80" s="230"/>
      <c r="EZ80" s="230"/>
      <c r="FA80" s="230"/>
      <c r="FB80" s="230"/>
      <c r="FC80" s="230"/>
      <c r="FD80" s="230"/>
      <c r="FE80" s="230"/>
      <c r="FF80" s="230"/>
      <c r="FG80" s="230"/>
      <c r="FH80" s="230"/>
      <c r="FI80" s="230"/>
      <c r="FJ80" s="230"/>
      <c r="FK80" s="230"/>
      <c r="FL80" s="230"/>
      <c r="FM80" s="230"/>
      <c r="FN80" s="230"/>
      <c r="FO80" s="230"/>
      <c r="FP80" s="230"/>
      <c r="FQ80" s="230"/>
      <c r="FR80" s="230"/>
      <c r="FS80" s="230"/>
      <c r="FT80" s="230"/>
      <c r="FU80" s="230"/>
      <c r="FV80" s="230"/>
      <c r="FW80" s="230"/>
      <c r="FX80" s="230"/>
      <c r="FY80" s="230"/>
      <c r="FZ80" s="230"/>
      <c r="GA80" s="230"/>
      <c r="GB80" s="230"/>
      <c r="GC80" s="230"/>
      <c r="GD80" s="230"/>
      <c r="GE80" s="230"/>
      <c r="GF80" s="230"/>
      <c r="GG80" s="230"/>
      <c r="GH80" s="230"/>
      <c r="GI80" s="230"/>
      <c r="GJ80" s="230"/>
      <c r="GK80" s="230"/>
      <c r="GL80" s="230"/>
      <c r="GM80" s="230"/>
      <c r="GN80" s="230"/>
      <c r="GO80" s="230"/>
      <c r="GP80" s="230"/>
      <c r="GQ80" s="230"/>
      <c r="GR80" s="230"/>
    </row>
    <row r="81" spans="1:200" s="632" customFormat="1" ht="15" customHeight="1" x14ac:dyDescent="0.2">
      <c r="A81" s="644" t="s">
        <v>3979</v>
      </c>
      <c r="B81" s="644" t="s">
        <v>5049</v>
      </c>
      <c r="C81" s="597"/>
      <c r="D81" s="1536"/>
      <c r="E81" s="635"/>
      <c r="F81" s="635"/>
      <c r="G81" s="1517"/>
      <c r="H81" s="1517"/>
      <c r="I81" s="1517"/>
      <c r="J81" s="1517"/>
      <c r="K81" s="1518"/>
      <c r="L81" s="1518"/>
      <c r="M81" s="635"/>
      <c r="N81" s="624"/>
      <c r="O81" s="624"/>
      <c r="P81" s="624"/>
      <c r="Q81" s="624"/>
      <c r="R81" s="624"/>
      <c r="S81" s="624"/>
      <c r="T81" s="624"/>
      <c r="U81" s="624"/>
      <c r="V81" s="624"/>
      <c r="W81" s="624"/>
      <c r="X81" s="624"/>
      <c r="Y81" s="624"/>
      <c r="Z81" s="624"/>
      <c r="AA81"/>
      <c r="AB81"/>
      <c r="AC81"/>
      <c r="AD81"/>
      <c r="AE81"/>
      <c r="AF81"/>
      <c r="AG81"/>
      <c r="AH81"/>
      <c r="AI81"/>
      <c r="AJ81" s="230"/>
      <c r="AK81" s="230"/>
      <c r="AL81" s="230"/>
      <c r="AM81" s="230"/>
      <c r="AN81" s="230"/>
      <c r="AO81" s="230"/>
      <c r="AP81" s="230"/>
      <c r="AQ81" s="230"/>
      <c r="AR81" s="230"/>
      <c r="AS81" s="230"/>
      <c r="AT81" s="230"/>
      <c r="AU81" s="230"/>
      <c r="AV81" s="230"/>
      <c r="AW81" s="230"/>
      <c r="AX81" s="230"/>
      <c r="AY81" s="230"/>
      <c r="AZ81" s="230"/>
      <c r="BA81" s="230"/>
      <c r="BB81" s="230"/>
      <c r="BC81" s="230"/>
      <c r="BD81" s="230"/>
      <c r="BE81" s="230"/>
      <c r="BF81" s="230"/>
      <c r="BG81" s="230"/>
      <c r="BH81" s="230"/>
      <c r="BI81" s="230"/>
      <c r="BJ81" s="230"/>
      <c r="BK81" s="230"/>
      <c r="BL81" s="230"/>
      <c r="BM81" s="230"/>
      <c r="BN81" s="230"/>
      <c r="BO81" s="230"/>
      <c r="BP81" s="230"/>
      <c r="BQ81" s="230"/>
      <c r="BR81" s="230"/>
      <c r="BS81" s="230"/>
      <c r="BT81" s="230"/>
      <c r="BU81" s="230"/>
      <c r="BV81" s="230"/>
      <c r="BW81" s="230"/>
      <c r="BX81" s="230"/>
      <c r="BY81" s="230"/>
      <c r="BZ81" s="230"/>
      <c r="CA81" s="230"/>
      <c r="CB81" s="230"/>
      <c r="CC81" s="230"/>
      <c r="CD81" s="230"/>
      <c r="CE81" s="230"/>
      <c r="CF81" s="230"/>
      <c r="CG81" s="230"/>
      <c r="CH81" s="230"/>
      <c r="CI81" s="230"/>
      <c r="CJ81" s="230"/>
      <c r="CK81" s="230"/>
      <c r="CL81" s="230"/>
      <c r="CM81" s="230"/>
      <c r="CN81" s="230"/>
      <c r="CO81" s="230"/>
      <c r="CP81" s="230"/>
      <c r="CQ81" s="230"/>
      <c r="CR81" s="230"/>
      <c r="CS81" s="230"/>
      <c r="CT81" s="230"/>
      <c r="CU81" s="230"/>
      <c r="CV81" s="230"/>
      <c r="CW81" s="230"/>
      <c r="CX81" s="230"/>
      <c r="CY81" s="230"/>
      <c r="CZ81" s="230"/>
      <c r="DA81" s="230"/>
      <c r="DB81" s="230"/>
      <c r="DC81" s="230"/>
      <c r="DD81" s="230"/>
      <c r="DE81" s="230"/>
      <c r="DF81" s="230"/>
      <c r="DG81" s="230"/>
      <c r="DH81" s="230"/>
      <c r="DI81" s="230"/>
      <c r="DJ81" s="230"/>
      <c r="DK81" s="230"/>
      <c r="DL81" s="230"/>
      <c r="DM81" s="230"/>
      <c r="DN81" s="230"/>
      <c r="DO81" s="230"/>
      <c r="DP81" s="230"/>
      <c r="DQ81" s="230"/>
      <c r="DR81" s="230"/>
      <c r="DS81" s="230"/>
      <c r="DT81" s="230"/>
      <c r="DU81" s="230"/>
      <c r="DV81" s="230"/>
      <c r="DW81" s="230"/>
      <c r="DX81" s="230"/>
      <c r="DY81" s="230"/>
      <c r="DZ81" s="230"/>
      <c r="EA81" s="230"/>
      <c r="EB81" s="230"/>
      <c r="EC81" s="230"/>
      <c r="ED81" s="230"/>
      <c r="EE81" s="230"/>
      <c r="EF81" s="230"/>
      <c r="EG81" s="230"/>
      <c r="EH81" s="230"/>
      <c r="EI81" s="230"/>
      <c r="EJ81" s="230"/>
      <c r="EK81" s="230"/>
      <c r="EL81" s="230"/>
      <c r="EM81" s="230"/>
      <c r="EN81" s="230"/>
      <c r="EO81" s="230"/>
      <c r="EP81" s="230"/>
      <c r="EQ81" s="230"/>
      <c r="ER81" s="230"/>
      <c r="ES81" s="230"/>
      <c r="ET81" s="230"/>
      <c r="EU81" s="230"/>
      <c r="EV81" s="230"/>
      <c r="EW81" s="230"/>
      <c r="EX81" s="230"/>
      <c r="EY81" s="230"/>
      <c r="EZ81" s="230"/>
      <c r="FA81" s="230"/>
      <c r="FB81" s="230"/>
      <c r="FC81" s="230"/>
      <c r="FD81" s="230"/>
      <c r="FE81" s="230"/>
      <c r="FF81" s="230"/>
      <c r="FG81" s="230"/>
      <c r="FH81" s="230"/>
      <c r="FI81" s="230"/>
      <c r="FJ81" s="230"/>
      <c r="FK81" s="230"/>
      <c r="FL81" s="230"/>
      <c r="FM81" s="230"/>
      <c r="FN81" s="230"/>
      <c r="FO81" s="230"/>
      <c r="FP81" s="230"/>
      <c r="FQ81" s="230"/>
      <c r="FR81" s="230"/>
      <c r="FS81" s="230"/>
      <c r="FT81" s="230"/>
      <c r="FU81" s="230"/>
      <c r="FV81" s="230"/>
      <c r="FW81" s="230"/>
      <c r="FX81" s="230"/>
      <c r="FY81" s="230"/>
      <c r="FZ81" s="230"/>
      <c r="GA81" s="230"/>
      <c r="GB81" s="230"/>
      <c r="GC81" s="230"/>
      <c r="GD81" s="230"/>
      <c r="GE81" s="230"/>
      <c r="GF81" s="230"/>
      <c r="GG81" s="230"/>
      <c r="GH81" s="230"/>
      <c r="GI81" s="230"/>
      <c r="GJ81" s="230"/>
      <c r="GK81" s="230"/>
      <c r="GL81" s="230"/>
      <c r="GM81" s="230"/>
      <c r="GN81" s="230"/>
      <c r="GO81" s="230"/>
      <c r="GP81" s="230"/>
      <c r="GQ81" s="230"/>
      <c r="GR81" s="230"/>
    </row>
    <row r="82" spans="1:200" s="632" customFormat="1" outlineLevel="1" x14ac:dyDescent="0.2">
      <c r="A82" s="633" t="s">
        <v>3269</v>
      </c>
      <c r="B82" s="634" t="s">
        <v>4897</v>
      </c>
      <c r="C82" s="597"/>
      <c r="D82" s="1536"/>
      <c r="E82" s="635"/>
      <c r="F82" s="635"/>
      <c r="G82" s="1517"/>
      <c r="H82" s="1517"/>
      <c r="I82" s="1517"/>
      <c r="J82" s="1517"/>
      <c r="K82" s="1518"/>
      <c r="L82" s="1518"/>
      <c r="M82" s="635"/>
      <c r="N82" s="624"/>
      <c r="O82" s="624"/>
      <c r="P82" s="624"/>
      <c r="Q82" s="624"/>
      <c r="R82" s="624"/>
      <c r="S82" s="624"/>
      <c r="T82" s="624"/>
      <c r="U82" s="624"/>
      <c r="V82" s="624"/>
      <c r="W82" s="624"/>
      <c r="X82" s="624"/>
      <c r="Y82" s="624"/>
      <c r="Z82" s="624"/>
      <c r="AA82"/>
      <c r="AB82"/>
      <c r="AC82"/>
      <c r="AD82"/>
      <c r="AE82"/>
      <c r="AF82"/>
      <c r="AG82"/>
      <c r="AH82"/>
      <c r="AI82"/>
      <c r="AJ82" s="230"/>
      <c r="AK82" s="230"/>
      <c r="AL82" s="230"/>
      <c r="AM82" s="230"/>
      <c r="AN82" s="230"/>
      <c r="AO82" s="230"/>
      <c r="AP82" s="230"/>
      <c r="AQ82" s="230"/>
      <c r="AR82" s="230"/>
      <c r="AS82" s="230"/>
      <c r="AT82" s="230"/>
      <c r="AU82" s="230"/>
      <c r="AV82" s="230"/>
      <c r="AW82" s="230"/>
      <c r="AX82" s="230"/>
      <c r="AY82" s="230"/>
      <c r="AZ82" s="230"/>
      <c r="BA82" s="230"/>
      <c r="BB82" s="230"/>
      <c r="BC82" s="230"/>
      <c r="BD82" s="230"/>
      <c r="BE82" s="230"/>
      <c r="BF82" s="230"/>
      <c r="BG82" s="230"/>
      <c r="BH82" s="230"/>
      <c r="BI82" s="230"/>
      <c r="BJ82" s="230"/>
      <c r="BK82" s="230"/>
      <c r="BL82" s="230"/>
      <c r="BM82" s="230"/>
      <c r="BN82" s="230"/>
      <c r="BO82" s="230"/>
      <c r="BP82" s="230"/>
      <c r="BQ82" s="230"/>
      <c r="BR82" s="230"/>
      <c r="BS82" s="230"/>
      <c r="BT82" s="230"/>
      <c r="BU82" s="230"/>
      <c r="BV82" s="230"/>
      <c r="BW82" s="230"/>
      <c r="BX82" s="230"/>
      <c r="BY82" s="230"/>
      <c r="BZ82" s="230"/>
      <c r="CA82" s="230"/>
      <c r="CB82" s="230"/>
      <c r="CC82" s="230"/>
      <c r="CD82" s="230"/>
      <c r="CE82" s="230"/>
      <c r="CF82" s="230"/>
      <c r="CG82" s="230"/>
      <c r="CH82" s="230"/>
      <c r="CI82" s="230"/>
      <c r="CJ82" s="230"/>
      <c r="CK82" s="230"/>
      <c r="CL82" s="230"/>
      <c r="CM82" s="230"/>
      <c r="CN82" s="230"/>
      <c r="CO82" s="230"/>
      <c r="CP82" s="230"/>
      <c r="CQ82" s="230"/>
      <c r="CR82" s="230"/>
      <c r="CS82" s="230"/>
      <c r="CT82" s="230"/>
      <c r="CU82" s="230"/>
      <c r="CV82" s="230"/>
      <c r="CW82" s="230"/>
      <c r="CX82" s="230"/>
      <c r="CY82" s="230"/>
      <c r="CZ82" s="230"/>
      <c r="DA82" s="230"/>
      <c r="DB82" s="230"/>
      <c r="DC82" s="230"/>
      <c r="DD82" s="230"/>
      <c r="DE82" s="230"/>
      <c r="DF82" s="230"/>
      <c r="DG82" s="230"/>
      <c r="DH82" s="230"/>
      <c r="DI82" s="230"/>
      <c r="DJ82" s="230"/>
      <c r="DK82" s="230"/>
      <c r="DL82" s="230"/>
      <c r="DM82" s="230"/>
      <c r="DN82" s="230"/>
      <c r="DO82" s="230"/>
      <c r="DP82" s="230"/>
      <c r="DQ82" s="230"/>
      <c r="DR82" s="230"/>
      <c r="DS82" s="230"/>
      <c r="DT82" s="230"/>
      <c r="DU82" s="230"/>
      <c r="DV82" s="230"/>
      <c r="DW82" s="230"/>
      <c r="DX82" s="230"/>
      <c r="DY82" s="230"/>
      <c r="DZ82" s="230"/>
      <c r="EA82" s="230"/>
      <c r="EB82" s="230"/>
      <c r="EC82" s="230"/>
      <c r="ED82" s="230"/>
      <c r="EE82" s="230"/>
      <c r="EF82" s="230"/>
      <c r="EG82" s="230"/>
      <c r="EH82" s="230"/>
      <c r="EI82" s="230"/>
      <c r="EJ82" s="230"/>
      <c r="EK82" s="230"/>
      <c r="EL82" s="230"/>
      <c r="EM82" s="230"/>
      <c r="EN82" s="230"/>
      <c r="EO82" s="230"/>
      <c r="EP82" s="230"/>
      <c r="EQ82" s="230"/>
      <c r="ER82" s="230"/>
      <c r="ES82" s="230"/>
      <c r="ET82" s="230"/>
      <c r="EU82" s="230"/>
      <c r="EV82" s="230"/>
      <c r="EW82" s="230"/>
      <c r="EX82" s="230"/>
      <c r="EY82" s="230"/>
      <c r="EZ82" s="230"/>
      <c r="FA82" s="230"/>
      <c r="FB82" s="230"/>
      <c r="FC82" s="230"/>
      <c r="FD82" s="230"/>
      <c r="FE82" s="230"/>
      <c r="FF82" s="230"/>
      <c r="FG82" s="230"/>
      <c r="FH82" s="230"/>
      <c r="FI82" s="230"/>
      <c r="FJ82" s="230"/>
      <c r="FK82" s="230"/>
      <c r="FL82" s="230"/>
      <c r="FM82" s="230"/>
      <c r="FN82" s="230"/>
      <c r="FO82" s="230"/>
      <c r="FP82" s="230"/>
      <c r="FQ82" s="230"/>
      <c r="FR82" s="230"/>
      <c r="FS82" s="230"/>
      <c r="FT82" s="230"/>
      <c r="FU82" s="230"/>
      <c r="FV82" s="230"/>
      <c r="FW82" s="230"/>
      <c r="FX82" s="230"/>
      <c r="FY82" s="230"/>
      <c r="FZ82" s="230"/>
      <c r="GA82" s="230"/>
      <c r="GB82" s="230"/>
      <c r="GC82" s="230"/>
      <c r="GD82" s="230"/>
      <c r="GE82" s="230"/>
      <c r="GF82" s="230"/>
      <c r="GG82" s="230"/>
      <c r="GH82" s="230"/>
      <c r="GI82" s="230"/>
      <c r="GJ82" s="230"/>
      <c r="GK82" s="230"/>
      <c r="GL82" s="230"/>
      <c r="GM82" s="230"/>
      <c r="GN82" s="230"/>
      <c r="GO82" s="230"/>
      <c r="GP82" s="230"/>
      <c r="GQ82" s="230"/>
      <c r="GR82" s="230"/>
    </row>
    <row r="83" spans="1:200" s="632" customFormat="1" outlineLevel="2" x14ac:dyDescent="0.2">
      <c r="A83" s="636" t="s">
        <v>3980</v>
      </c>
      <c r="B83" s="636" t="s">
        <v>2025</v>
      </c>
      <c r="C83" s="597"/>
      <c r="D83" s="1538"/>
      <c r="E83" s="642"/>
      <c r="F83" s="642"/>
      <c r="G83" s="1517">
        <v>2</v>
      </c>
      <c r="H83" s="1517"/>
      <c r="I83" s="1517"/>
      <c r="J83" s="1517" t="s">
        <v>4246</v>
      </c>
      <c r="K83" s="1518" t="s">
        <v>4434</v>
      </c>
      <c r="L83" s="1518" t="s">
        <v>1717</v>
      </c>
      <c r="M83" s="635"/>
      <c r="N83" s="624"/>
      <c r="O83" s="624"/>
      <c r="P83" s="624"/>
      <c r="Q83" s="624"/>
      <c r="R83" s="624"/>
      <c r="S83" s="624"/>
      <c r="T83" s="624"/>
      <c r="U83" s="624"/>
      <c r="V83" s="624"/>
      <c r="W83" s="624"/>
      <c r="X83" s="624"/>
      <c r="Y83" s="624"/>
      <c r="Z83" s="624"/>
      <c r="AA83">
        <f>IF(AND('12 Ext'!C83&gt;Tmin, NOT('12 Ext'!$I83="")),'12 Ext'!$I83,0)</f>
        <v>0</v>
      </c>
      <c r="AB83">
        <f>IF(AND('12 Ext'!D83&gt;Tmin, NOT('12 Ext'!$I83="")),'12 Ext'!$I83,0)</f>
        <v>0</v>
      </c>
      <c r="AC83">
        <f>IF(AND('12 Ext'!E83&gt;Tmin, NOT('12 Ext'!$I83="")),'12 Ext'!$I83,0)</f>
        <v>0</v>
      </c>
      <c r="AD83">
        <f>IF(AND('12 Ext'!F83&gt;Tmin, NOT('12 Ext'!$I83="")),'12 Ext'!$I83,0)</f>
        <v>0</v>
      </c>
      <c r="AE83">
        <f>IF(AND('12 Ext'!C83&lt;Tmax, NOT('12 Ext'!$H83="")),'12 Ext'!$H83,4)</f>
        <v>4</v>
      </c>
      <c r="AF83">
        <f>IF(AND('12 Ext'!D83&lt;Tmax, NOT('12 Ext'!$H83="")),'12 Ext'!$H83,4)</f>
        <v>4</v>
      </c>
      <c r="AG83">
        <f>IF(AND('12 Ext'!E83&lt;Tmax, NOT('12 Ext'!$H83="")),'12 Ext'!$H83,4)</f>
        <v>4</v>
      </c>
      <c r="AH83">
        <f>IF(AND('12 Ext'!F83&lt;Tmax, NOT('12 Ext'!$H83="")),'12 Ext'!$H83,4)</f>
        <v>4</v>
      </c>
      <c r="AI83"/>
      <c r="AJ83" s="230"/>
      <c r="AK83" s="230"/>
      <c r="AL83" s="230"/>
      <c r="AM83" s="230"/>
      <c r="AN83" s="230"/>
      <c r="AO83" s="230"/>
      <c r="AP83" s="230"/>
      <c r="AQ83" s="230"/>
      <c r="AR83" s="230"/>
      <c r="AS83" s="230"/>
      <c r="AT83" s="230"/>
      <c r="AU83" s="230"/>
      <c r="AV83" s="230"/>
      <c r="AW83" s="230"/>
      <c r="AX83" s="230"/>
      <c r="AY83" s="230"/>
      <c r="AZ83" s="230"/>
      <c r="BA83" s="230"/>
      <c r="BB83" s="230"/>
      <c r="BC83" s="230"/>
      <c r="BD83" s="230"/>
      <c r="BE83" s="230"/>
      <c r="BF83" s="230"/>
      <c r="BG83" s="230"/>
      <c r="BH83" s="230"/>
      <c r="BI83" s="230"/>
      <c r="BJ83" s="230"/>
      <c r="BK83" s="230"/>
      <c r="BL83" s="230"/>
      <c r="BM83" s="230"/>
      <c r="BN83" s="230"/>
      <c r="BO83" s="230"/>
      <c r="BP83" s="230"/>
      <c r="BQ83" s="230"/>
      <c r="BR83" s="230"/>
      <c r="BS83" s="230"/>
      <c r="BT83" s="230"/>
      <c r="BU83" s="230"/>
      <c r="BV83" s="230"/>
      <c r="BW83" s="230"/>
      <c r="BX83" s="230"/>
      <c r="BY83" s="230"/>
      <c r="BZ83" s="230"/>
      <c r="CA83" s="230"/>
      <c r="CB83" s="230"/>
      <c r="CC83" s="230"/>
      <c r="CD83" s="230"/>
      <c r="CE83" s="230"/>
      <c r="CF83" s="230"/>
      <c r="CG83" s="230"/>
      <c r="CH83" s="230"/>
      <c r="CI83" s="230"/>
      <c r="CJ83" s="230"/>
      <c r="CK83" s="230"/>
      <c r="CL83" s="230"/>
      <c r="CM83" s="230"/>
      <c r="CN83" s="230"/>
      <c r="CO83" s="230"/>
      <c r="CP83" s="230"/>
      <c r="CQ83" s="230"/>
      <c r="CR83" s="230"/>
      <c r="CS83" s="230"/>
      <c r="CT83" s="230"/>
      <c r="CU83" s="230"/>
      <c r="CV83" s="230"/>
      <c r="CW83" s="230"/>
      <c r="CX83" s="230"/>
      <c r="CY83" s="230"/>
      <c r="CZ83" s="230"/>
      <c r="DA83" s="230"/>
      <c r="DB83" s="230"/>
      <c r="DC83" s="230"/>
      <c r="DD83" s="230"/>
      <c r="DE83" s="230"/>
      <c r="DF83" s="230"/>
      <c r="DG83" s="230"/>
      <c r="DH83" s="230"/>
      <c r="DI83" s="230"/>
      <c r="DJ83" s="230"/>
      <c r="DK83" s="230"/>
      <c r="DL83" s="230"/>
      <c r="DM83" s="230"/>
      <c r="DN83" s="230"/>
      <c r="DO83" s="230"/>
      <c r="DP83" s="230"/>
      <c r="DQ83" s="230"/>
      <c r="DR83" s="230"/>
      <c r="DS83" s="230"/>
      <c r="DT83" s="230"/>
      <c r="DU83" s="230"/>
      <c r="DV83" s="230"/>
      <c r="DW83" s="230"/>
      <c r="DX83" s="230"/>
      <c r="DY83" s="230"/>
      <c r="DZ83" s="230"/>
      <c r="EA83" s="230"/>
      <c r="EB83" s="230"/>
      <c r="EC83" s="230"/>
      <c r="ED83" s="230"/>
      <c r="EE83" s="230"/>
      <c r="EF83" s="230"/>
      <c r="EG83" s="230"/>
      <c r="EH83" s="230"/>
      <c r="EI83" s="230"/>
      <c r="EJ83" s="230"/>
      <c r="EK83" s="230"/>
      <c r="EL83" s="230"/>
      <c r="EM83" s="230"/>
      <c r="EN83" s="230"/>
      <c r="EO83" s="230"/>
      <c r="EP83" s="230"/>
      <c r="EQ83" s="230"/>
      <c r="ER83" s="230"/>
      <c r="ES83" s="230"/>
      <c r="ET83" s="230"/>
      <c r="EU83" s="230"/>
      <c r="EV83" s="230"/>
      <c r="EW83" s="230"/>
      <c r="EX83" s="230"/>
      <c r="EY83" s="230"/>
      <c r="EZ83" s="230"/>
      <c r="FA83" s="230"/>
      <c r="FB83" s="230"/>
      <c r="FC83" s="230"/>
      <c r="FD83" s="230"/>
      <c r="FE83" s="230"/>
      <c r="FF83" s="230"/>
      <c r="FG83" s="230"/>
      <c r="FH83" s="230"/>
      <c r="FI83" s="230"/>
      <c r="FJ83" s="230"/>
      <c r="FK83" s="230"/>
      <c r="FL83" s="230"/>
      <c r="FM83" s="230"/>
      <c r="FN83" s="230"/>
      <c r="FO83" s="230"/>
      <c r="FP83" s="230"/>
      <c r="FQ83" s="230"/>
      <c r="FR83" s="230"/>
      <c r="FS83" s="230"/>
      <c r="FT83" s="230"/>
      <c r="FU83" s="230"/>
      <c r="FV83" s="230"/>
      <c r="FW83" s="230"/>
      <c r="FX83" s="230"/>
      <c r="FY83" s="230"/>
      <c r="FZ83" s="230"/>
      <c r="GA83" s="230"/>
      <c r="GB83" s="230"/>
      <c r="GC83" s="230"/>
      <c r="GD83" s="230"/>
      <c r="GE83" s="230"/>
      <c r="GF83" s="230"/>
      <c r="GG83" s="230"/>
      <c r="GH83" s="230"/>
      <c r="GI83" s="230"/>
      <c r="GJ83" s="230"/>
      <c r="GK83" s="230"/>
      <c r="GL83" s="230"/>
      <c r="GM83" s="230"/>
      <c r="GN83" s="230"/>
      <c r="GO83" s="230"/>
      <c r="GP83" s="230"/>
      <c r="GQ83" s="230"/>
      <c r="GR83" s="230"/>
    </row>
    <row r="84" spans="1:200" s="632" customFormat="1" ht="22.5" outlineLevel="2" x14ac:dyDescent="0.2">
      <c r="A84" s="636" t="s">
        <v>4942</v>
      </c>
      <c r="B84" s="636" t="s">
        <v>4896</v>
      </c>
      <c r="C84" s="597"/>
      <c r="D84" s="1536"/>
      <c r="E84" s="635"/>
      <c r="F84" s="635"/>
      <c r="G84" s="1517">
        <v>4</v>
      </c>
      <c r="H84" s="1517"/>
      <c r="I84" s="1517"/>
      <c r="J84" s="1517" t="s">
        <v>1592</v>
      </c>
      <c r="K84" s="1518"/>
      <c r="L84" s="1518"/>
      <c r="M84" s="635"/>
      <c r="N84" s="624"/>
      <c r="O84" s="624"/>
      <c r="P84" s="624"/>
      <c r="Q84" s="624"/>
      <c r="R84" s="624"/>
      <c r="S84" s="624"/>
      <c r="T84" s="624"/>
      <c r="U84" s="624"/>
      <c r="V84" s="624"/>
      <c r="W84" s="624"/>
      <c r="X84" s="624"/>
      <c r="Y84" s="624"/>
      <c r="Z84" s="624"/>
      <c r="AA84">
        <f>IF(AND('12 Ext'!C84&gt;Tmin, NOT('12 Ext'!$I84="")),'12 Ext'!$I84,0)</f>
        <v>0</v>
      </c>
      <c r="AB84">
        <f>IF(AND('12 Ext'!D84&gt;Tmin, NOT('12 Ext'!$I84="")),'12 Ext'!$I84,0)</f>
        <v>0</v>
      </c>
      <c r="AC84">
        <f>IF(AND('12 Ext'!E84&gt;Tmin, NOT('12 Ext'!$I84="")),'12 Ext'!$I84,0)</f>
        <v>0</v>
      </c>
      <c r="AD84">
        <f>IF(AND('12 Ext'!F84&gt;Tmin, NOT('12 Ext'!$I84="")),'12 Ext'!$I84,0)</f>
        <v>0</v>
      </c>
      <c r="AE84">
        <f>IF(AND('12 Ext'!C84&lt;Tmax, NOT('12 Ext'!$H84="")),'12 Ext'!$H84,4)</f>
        <v>4</v>
      </c>
      <c r="AF84">
        <f>IF(AND('12 Ext'!D84&lt;Tmax, NOT('12 Ext'!$H84="")),'12 Ext'!$H84,4)</f>
        <v>4</v>
      </c>
      <c r="AG84">
        <f>IF(AND('12 Ext'!E84&lt;Tmax, NOT('12 Ext'!$H84="")),'12 Ext'!$H84,4)</f>
        <v>4</v>
      </c>
      <c r="AH84">
        <f>IF(AND('12 Ext'!F84&lt;Tmax, NOT('12 Ext'!$H84="")),'12 Ext'!$H84,4)</f>
        <v>4</v>
      </c>
      <c r="AI84"/>
      <c r="AJ84" s="230"/>
      <c r="AK84" s="230"/>
      <c r="AL84" s="230"/>
      <c r="AM84" s="230"/>
      <c r="AN84" s="230"/>
      <c r="AO84" s="230"/>
      <c r="AP84" s="230"/>
      <c r="AQ84" s="230"/>
      <c r="AR84" s="230"/>
      <c r="AS84" s="230"/>
      <c r="AT84" s="230"/>
      <c r="AU84" s="230"/>
      <c r="AV84" s="230"/>
      <c r="AW84" s="230"/>
      <c r="AX84" s="230"/>
      <c r="AY84" s="230"/>
      <c r="AZ84" s="230"/>
      <c r="BA84" s="230"/>
      <c r="BB84" s="230"/>
      <c r="BC84" s="230"/>
      <c r="BD84" s="230"/>
      <c r="BE84" s="230"/>
      <c r="BF84" s="230"/>
      <c r="BG84" s="230"/>
      <c r="BH84" s="230"/>
      <c r="BI84" s="230"/>
      <c r="BJ84" s="230"/>
      <c r="BK84" s="230"/>
      <c r="BL84" s="230"/>
      <c r="BM84" s="230"/>
      <c r="BN84" s="230"/>
      <c r="BO84" s="230"/>
      <c r="BP84" s="230"/>
      <c r="BQ84" s="230"/>
      <c r="BR84" s="230"/>
      <c r="BS84" s="230"/>
      <c r="BT84" s="230"/>
      <c r="BU84" s="230"/>
      <c r="BV84" s="230"/>
      <c r="BW84" s="230"/>
      <c r="BX84" s="230"/>
      <c r="BY84" s="230"/>
      <c r="BZ84" s="230"/>
      <c r="CA84" s="230"/>
      <c r="CB84" s="230"/>
      <c r="CC84" s="230"/>
      <c r="CD84" s="230"/>
      <c r="CE84" s="230"/>
      <c r="CF84" s="230"/>
      <c r="CG84" s="230"/>
      <c r="CH84" s="230"/>
      <c r="CI84" s="230"/>
      <c r="CJ84" s="230"/>
      <c r="CK84" s="230"/>
      <c r="CL84" s="230"/>
      <c r="CM84" s="230"/>
      <c r="CN84" s="230"/>
      <c r="CO84" s="230"/>
      <c r="CP84" s="230"/>
      <c r="CQ84" s="230"/>
      <c r="CR84" s="230"/>
      <c r="CS84" s="230"/>
      <c r="CT84" s="230"/>
      <c r="CU84" s="230"/>
      <c r="CV84" s="230"/>
      <c r="CW84" s="230"/>
      <c r="CX84" s="230"/>
      <c r="CY84" s="230"/>
      <c r="CZ84" s="230"/>
      <c r="DA84" s="230"/>
      <c r="DB84" s="230"/>
      <c r="DC84" s="230"/>
      <c r="DD84" s="230"/>
      <c r="DE84" s="230"/>
      <c r="DF84" s="230"/>
      <c r="DG84" s="230"/>
      <c r="DH84" s="230"/>
      <c r="DI84" s="230"/>
      <c r="DJ84" s="230"/>
      <c r="DK84" s="230"/>
      <c r="DL84" s="230"/>
      <c r="DM84" s="230"/>
      <c r="DN84" s="230"/>
      <c r="DO84" s="230"/>
      <c r="DP84" s="230"/>
      <c r="DQ84" s="230"/>
      <c r="DR84" s="230"/>
      <c r="DS84" s="230"/>
      <c r="DT84" s="230"/>
      <c r="DU84" s="230"/>
      <c r="DV84" s="230"/>
      <c r="DW84" s="230"/>
      <c r="DX84" s="230"/>
      <c r="DY84" s="230"/>
      <c r="DZ84" s="230"/>
      <c r="EA84" s="230"/>
      <c r="EB84" s="230"/>
      <c r="EC84" s="230"/>
      <c r="ED84" s="230"/>
      <c r="EE84" s="230"/>
      <c r="EF84" s="230"/>
      <c r="EG84" s="230"/>
      <c r="EH84" s="230"/>
      <c r="EI84" s="230"/>
      <c r="EJ84" s="230"/>
      <c r="EK84" s="230"/>
      <c r="EL84" s="230"/>
      <c r="EM84" s="230"/>
      <c r="EN84" s="230"/>
      <c r="EO84" s="230"/>
      <c r="EP84" s="230"/>
      <c r="EQ84" s="230"/>
      <c r="ER84" s="230"/>
      <c r="ES84" s="230"/>
      <c r="ET84" s="230"/>
      <c r="EU84" s="230"/>
      <c r="EV84" s="230"/>
      <c r="EW84" s="230"/>
      <c r="EX84" s="230"/>
      <c r="EY84" s="230"/>
      <c r="EZ84" s="230"/>
      <c r="FA84" s="230"/>
      <c r="FB84" s="230"/>
      <c r="FC84" s="230"/>
      <c r="FD84" s="230"/>
      <c r="FE84" s="230"/>
      <c r="FF84" s="230"/>
      <c r="FG84" s="230"/>
      <c r="FH84" s="230"/>
      <c r="FI84" s="230"/>
      <c r="FJ84" s="230"/>
      <c r="FK84" s="230"/>
      <c r="FL84" s="230"/>
      <c r="FM84" s="230"/>
      <c r="FN84" s="230"/>
      <c r="FO84" s="230"/>
      <c r="FP84" s="230"/>
      <c r="FQ84" s="230"/>
      <c r="FR84" s="230"/>
      <c r="FS84" s="230"/>
      <c r="FT84" s="230"/>
      <c r="FU84" s="230"/>
      <c r="FV84" s="230"/>
      <c r="FW84" s="230"/>
      <c r="FX84" s="230"/>
      <c r="FY84" s="230"/>
      <c r="FZ84" s="230"/>
      <c r="GA84" s="230"/>
      <c r="GB84" s="230"/>
      <c r="GC84" s="230"/>
      <c r="GD84" s="230"/>
      <c r="GE84" s="230"/>
      <c r="GF84" s="230"/>
      <c r="GG84" s="230"/>
      <c r="GH84" s="230"/>
      <c r="GI84" s="230"/>
      <c r="GJ84" s="230"/>
      <c r="GK84" s="230"/>
      <c r="GL84" s="230"/>
      <c r="GM84" s="230"/>
      <c r="GN84" s="230"/>
      <c r="GO84" s="230"/>
      <c r="GP84" s="230"/>
      <c r="GQ84" s="230"/>
      <c r="GR84" s="230"/>
    </row>
    <row r="85" spans="1:200" s="632" customFormat="1" ht="24" customHeight="1" outlineLevel="2" x14ac:dyDescent="0.2">
      <c r="A85" s="636" t="s">
        <v>4943</v>
      </c>
      <c r="B85" s="636" t="s">
        <v>6125</v>
      </c>
      <c r="C85" s="597"/>
      <c r="D85" s="1536"/>
      <c r="E85" s="635"/>
      <c r="F85" s="635"/>
      <c r="G85" s="1517">
        <v>4</v>
      </c>
      <c r="H85" s="1517">
        <v>2</v>
      </c>
      <c r="I85" s="1517"/>
      <c r="J85" s="1517" t="s">
        <v>1592</v>
      </c>
      <c r="K85" s="1518"/>
      <c r="L85" s="1518"/>
      <c r="M85" s="635"/>
      <c r="N85" s="624"/>
      <c r="O85" s="624"/>
      <c r="P85" s="624"/>
      <c r="Q85" s="624"/>
      <c r="R85" s="624"/>
      <c r="S85" s="624"/>
      <c r="T85" s="624"/>
      <c r="U85" s="624"/>
      <c r="V85" s="624"/>
      <c r="W85" s="624"/>
      <c r="X85" s="624"/>
      <c r="Y85" s="624"/>
      <c r="Z85" s="624"/>
      <c r="AA85">
        <f>IF(AND('12 Ext'!C85&gt;Tmin, NOT('12 Ext'!$I85="")),'12 Ext'!$I85,0)</f>
        <v>0</v>
      </c>
      <c r="AB85">
        <f>IF(AND('12 Ext'!D85&gt;Tmin, NOT('12 Ext'!$I85="")),'12 Ext'!$I85,0)</f>
        <v>0</v>
      </c>
      <c r="AC85">
        <f>IF(AND('12 Ext'!E85&gt;Tmin, NOT('12 Ext'!$I85="")),'12 Ext'!$I85,0)</f>
        <v>0</v>
      </c>
      <c r="AD85">
        <f>IF(AND('12 Ext'!F85&gt;Tmin, NOT('12 Ext'!$I85="")),'12 Ext'!$I85,0)</f>
        <v>0</v>
      </c>
      <c r="AE85">
        <f>IF(AND('12 Ext'!C85&lt;Tmax, NOT('12 Ext'!$H85="")),'12 Ext'!$H85,4)</f>
        <v>2</v>
      </c>
      <c r="AF85">
        <f>IF(AND('12 Ext'!D85&lt;Tmax, NOT('12 Ext'!$H85="")),'12 Ext'!$H85,4)</f>
        <v>2</v>
      </c>
      <c r="AG85">
        <f>IF(AND('12 Ext'!E85&lt;Tmax, NOT('12 Ext'!$H85="")),'12 Ext'!$H85,4)</f>
        <v>2</v>
      </c>
      <c r="AH85">
        <f>IF(AND('12 Ext'!F85&lt;Tmax, NOT('12 Ext'!$H85="")),'12 Ext'!$H85,4)</f>
        <v>2</v>
      </c>
      <c r="AI85"/>
      <c r="AJ85" s="230"/>
      <c r="AK85" s="230"/>
      <c r="AL85" s="230"/>
      <c r="AM85" s="230"/>
      <c r="AN85" s="230"/>
      <c r="AO85" s="230"/>
      <c r="AP85" s="230"/>
      <c r="AQ85" s="230"/>
      <c r="AR85" s="230"/>
      <c r="AS85" s="230"/>
      <c r="AT85" s="230"/>
      <c r="AU85" s="230"/>
      <c r="AV85" s="230"/>
      <c r="AW85" s="230"/>
      <c r="AX85" s="230"/>
      <c r="AY85" s="230"/>
      <c r="AZ85" s="230"/>
      <c r="BA85" s="230"/>
      <c r="BB85" s="230"/>
      <c r="BC85" s="230"/>
      <c r="BD85" s="230"/>
      <c r="BE85" s="230"/>
      <c r="BF85" s="230"/>
      <c r="BG85" s="230"/>
      <c r="BH85" s="230"/>
      <c r="BI85" s="230"/>
      <c r="BJ85" s="230"/>
      <c r="BK85" s="230"/>
      <c r="BL85" s="230"/>
      <c r="BM85" s="230"/>
      <c r="BN85" s="230"/>
      <c r="BO85" s="230"/>
      <c r="BP85" s="230"/>
      <c r="BQ85" s="230"/>
      <c r="BR85" s="230"/>
      <c r="BS85" s="230"/>
      <c r="BT85" s="230"/>
      <c r="BU85" s="230"/>
      <c r="BV85" s="230"/>
      <c r="BW85" s="230"/>
      <c r="BX85" s="230"/>
      <c r="BY85" s="230"/>
      <c r="BZ85" s="230"/>
      <c r="CA85" s="230"/>
      <c r="CB85" s="230"/>
      <c r="CC85" s="230"/>
      <c r="CD85" s="230"/>
      <c r="CE85" s="230"/>
      <c r="CF85" s="230"/>
      <c r="CG85" s="230"/>
      <c r="CH85" s="230"/>
      <c r="CI85" s="230"/>
      <c r="CJ85" s="230"/>
      <c r="CK85" s="230"/>
      <c r="CL85" s="230"/>
      <c r="CM85" s="230"/>
      <c r="CN85" s="230"/>
      <c r="CO85" s="230"/>
      <c r="CP85" s="230"/>
      <c r="CQ85" s="230"/>
      <c r="CR85" s="230"/>
      <c r="CS85" s="230"/>
      <c r="CT85" s="230"/>
      <c r="CU85" s="230"/>
      <c r="CV85" s="230"/>
      <c r="CW85" s="230"/>
      <c r="CX85" s="230"/>
      <c r="CY85" s="230"/>
      <c r="CZ85" s="230"/>
      <c r="DA85" s="230"/>
      <c r="DB85" s="230"/>
      <c r="DC85" s="230"/>
      <c r="DD85" s="230"/>
      <c r="DE85" s="230"/>
      <c r="DF85" s="230"/>
      <c r="DG85" s="230"/>
      <c r="DH85" s="230"/>
      <c r="DI85" s="230"/>
      <c r="DJ85" s="230"/>
      <c r="DK85" s="230"/>
      <c r="DL85" s="230"/>
      <c r="DM85" s="230"/>
      <c r="DN85" s="230"/>
      <c r="DO85" s="230"/>
      <c r="DP85" s="230"/>
      <c r="DQ85" s="230"/>
      <c r="DR85" s="230"/>
      <c r="DS85" s="230"/>
      <c r="DT85" s="230"/>
      <c r="DU85" s="230"/>
      <c r="DV85" s="230"/>
      <c r="DW85" s="230"/>
      <c r="DX85" s="230"/>
      <c r="DY85" s="230"/>
      <c r="DZ85" s="230"/>
      <c r="EA85" s="230"/>
      <c r="EB85" s="230"/>
      <c r="EC85" s="230"/>
      <c r="ED85" s="230"/>
      <c r="EE85" s="230"/>
      <c r="EF85" s="230"/>
      <c r="EG85" s="230"/>
      <c r="EH85" s="230"/>
      <c r="EI85" s="230"/>
      <c r="EJ85" s="230"/>
      <c r="EK85" s="230"/>
      <c r="EL85" s="230"/>
      <c r="EM85" s="230"/>
      <c r="EN85" s="230"/>
      <c r="EO85" s="230"/>
      <c r="EP85" s="230"/>
      <c r="EQ85" s="230"/>
      <c r="ER85" s="230"/>
      <c r="ES85" s="230"/>
      <c r="ET85" s="230"/>
      <c r="EU85" s="230"/>
      <c r="EV85" s="230"/>
      <c r="EW85" s="230"/>
      <c r="EX85" s="230"/>
      <c r="EY85" s="230"/>
      <c r="EZ85" s="230"/>
      <c r="FA85" s="230"/>
      <c r="FB85" s="230"/>
      <c r="FC85" s="230"/>
      <c r="FD85" s="230"/>
      <c r="FE85" s="230"/>
      <c r="FF85" s="230"/>
      <c r="FG85" s="230"/>
      <c r="FH85" s="230"/>
      <c r="FI85" s="230"/>
      <c r="FJ85" s="230"/>
      <c r="FK85" s="230"/>
      <c r="FL85" s="230"/>
      <c r="FM85" s="230"/>
      <c r="FN85" s="230"/>
      <c r="FO85" s="230"/>
      <c r="FP85" s="230"/>
      <c r="FQ85" s="230"/>
      <c r="FR85" s="230"/>
      <c r="FS85" s="230"/>
      <c r="FT85" s="230"/>
      <c r="FU85" s="230"/>
      <c r="FV85" s="230"/>
      <c r="FW85" s="230"/>
      <c r="FX85" s="230"/>
      <c r="FY85" s="230"/>
      <c r="FZ85" s="230"/>
      <c r="GA85" s="230"/>
      <c r="GB85" s="230"/>
      <c r="GC85" s="230"/>
      <c r="GD85" s="230"/>
      <c r="GE85" s="230"/>
      <c r="GF85" s="230"/>
      <c r="GG85" s="230"/>
      <c r="GH85" s="230"/>
      <c r="GI85" s="230"/>
      <c r="GJ85" s="230"/>
      <c r="GK85" s="230"/>
      <c r="GL85" s="230"/>
      <c r="GM85" s="230"/>
      <c r="GN85" s="230"/>
      <c r="GO85" s="230"/>
      <c r="GP85" s="230"/>
      <c r="GQ85" s="230"/>
      <c r="GR85" s="230"/>
    </row>
    <row r="86" spans="1:200" s="632" customFormat="1" ht="22.5" outlineLevel="2" x14ac:dyDescent="0.2">
      <c r="A86" s="636" t="s">
        <v>3894</v>
      </c>
      <c r="B86" s="636" t="s">
        <v>6127</v>
      </c>
      <c r="C86" s="597"/>
      <c r="D86" s="1540"/>
      <c r="E86" s="645"/>
      <c r="F86" s="645"/>
      <c r="G86" s="1517">
        <v>4</v>
      </c>
      <c r="H86" s="1517">
        <v>2</v>
      </c>
      <c r="I86" s="1517"/>
      <c r="J86" s="1517" t="s">
        <v>2329</v>
      </c>
      <c r="K86" s="1518"/>
      <c r="L86" s="1518"/>
      <c r="M86" s="635"/>
      <c r="N86" s="624"/>
      <c r="O86" s="624"/>
      <c r="P86" s="624"/>
      <c r="Q86" s="624"/>
      <c r="R86" s="624"/>
      <c r="S86" s="624"/>
      <c r="T86" s="624"/>
      <c r="U86" s="624"/>
      <c r="V86" s="624"/>
      <c r="W86" s="624"/>
      <c r="X86" s="624"/>
      <c r="Y86" s="624"/>
      <c r="Z86" s="624"/>
      <c r="AA86">
        <f>IF(AND('12 Ext'!C86&gt;Tmin, NOT('12 Ext'!$I86="")),'12 Ext'!$I86,0)</f>
        <v>0</v>
      </c>
      <c r="AB86">
        <f>IF(AND('12 Ext'!D86&gt;Tmin, NOT('12 Ext'!$I86="")),'12 Ext'!$I86,0)</f>
        <v>0</v>
      </c>
      <c r="AC86">
        <f>IF(AND('12 Ext'!E86&gt;Tmin, NOT('12 Ext'!$I86="")),'12 Ext'!$I86,0)</f>
        <v>0</v>
      </c>
      <c r="AD86">
        <f>IF(AND('12 Ext'!F86&gt;Tmin, NOT('12 Ext'!$I86="")),'12 Ext'!$I86,0)</f>
        <v>0</v>
      </c>
      <c r="AE86">
        <f>IF(AND('12 Ext'!C86&lt;Tmax, NOT('12 Ext'!$H86="")),'12 Ext'!$H86,4)</f>
        <v>2</v>
      </c>
      <c r="AF86">
        <f>IF(AND('12 Ext'!D86&lt;Tmax, NOT('12 Ext'!$H86="")),'12 Ext'!$H86,4)</f>
        <v>2</v>
      </c>
      <c r="AG86">
        <f>IF(AND('12 Ext'!E86&lt;Tmax, NOT('12 Ext'!$H86="")),'12 Ext'!$H86,4)</f>
        <v>2</v>
      </c>
      <c r="AH86">
        <f>IF(AND('12 Ext'!F86&lt;Tmax, NOT('12 Ext'!$H86="")),'12 Ext'!$H86,4)</f>
        <v>2</v>
      </c>
      <c r="AI86"/>
      <c r="AJ86" s="230"/>
      <c r="AK86" s="230"/>
      <c r="AL86" s="230"/>
      <c r="AM86" s="230"/>
      <c r="AN86" s="230"/>
      <c r="AO86" s="230"/>
      <c r="AP86" s="230"/>
      <c r="AQ86" s="230"/>
      <c r="AR86" s="230"/>
      <c r="AS86" s="230"/>
      <c r="AT86" s="230"/>
      <c r="AU86" s="230"/>
      <c r="AV86" s="230"/>
      <c r="AW86" s="230"/>
      <c r="AX86" s="230"/>
      <c r="AY86" s="230"/>
      <c r="AZ86" s="230"/>
      <c r="BA86" s="230"/>
      <c r="BB86" s="230"/>
      <c r="BC86" s="230"/>
      <c r="BD86" s="230"/>
      <c r="BE86" s="230"/>
      <c r="BF86" s="230"/>
      <c r="BG86" s="230"/>
      <c r="BH86" s="230"/>
      <c r="BI86" s="230"/>
      <c r="BJ86" s="230"/>
      <c r="BK86" s="230"/>
      <c r="BL86" s="230"/>
      <c r="BM86" s="230"/>
      <c r="BN86" s="230"/>
      <c r="BO86" s="230"/>
      <c r="BP86" s="230"/>
      <c r="BQ86" s="230"/>
      <c r="BR86" s="230"/>
      <c r="BS86" s="230"/>
      <c r="BT86" s="230"/>
      <c r="BU86" s="230"/>
      <c r="BV86" s="230"/>
      <c r="BW86" s="230"/>
      <c r="BX86" s="230"/>
      <c r="BY86" s="230"/>
      <c r="BZ86" s="230"/>
      <c r="CA86" s="230"/>
      <c r="CB86" s="230"/>
      <c r="CC86" s="230"/>
      <c r="CD86" s="230"/>
      <c r="CE86" s="230"/>
      <c r="CF86" s="230"/>
      <c r="CG86" s="230"/>
      <c r="CH86" s="230"/>
      <c r="CI86" s="230"/>
      <c r="CJ86" s="230"/>
      <c r="CK86" s="230"/>
      <c r="CL86" s="230"/>
      <c r="CM86" s="230"/>
      <c r="CN86" s="230"/>
      <c r="CO86" s="230"/>
      <c r="CP86" s="230"/>
      <c r="CQ86" s="230"/>
      <c r="CR86" s="230"/>
      <c r="CS86" s="230"/>
      <c r="CT86" s="230"/>
      <c r="CU86" s="230"/>
      <c r="CV86" s="230"/>
      <c r="CW86" s="230"/>
      <c r="CX86" s="230"/>
      <c r="CY86" s="230"/>
      <c r="CZ86" s="230"/>
      <c r="DA86" s="230"/>
      <c r="DB86" s="230"/>
      <c r="DC86" s="230"/>
      <c r="DD86" s="230"/>
      <c r="DE86" s="230"/>
      <c r="DF86" s="230"/>
      <c r="DG86" s="230"/>
      <c r="DH86" s="230"/>
      <c r="DI86" s="230"/>
      <c r="DJ86" s="230"/>
      <c r="DK86" s="230"/>
      <c r="DL86" s="230"/>
      <c r="DM86" s="230"/>
      <c r="DN86" s="230"/>
      <c r="DO86" s="230"/>
      <c r="DP86" s="230"/>
      <c r="DQ86" s="230"/>
      <c r="DR86" s="230"/>
      <c r="DS86" s="230"/>
      <c r="DT86" s="230"/>
      <c r="DU86" s="230"/>
      <c r="DV86" s="230"/>
      <c r="DW86" s="230"/>
      <c r="DX86" s="230"/>
      <c r="DY86" s="230"/>
      <c r="DZ86" s="230"/>
      <c r="EA86" s="230"/>
      <c r="EB86" s="230"/>
      <c r="EC86" s="230"/>
      <c r="ED86" s="230"/>
      <c r="EE86" s="230"/>
      <c r="EF86" s="230"/>
      <c r="EG86" s="230"/>
      <c r="EH86" s="230"/>
      <c r="EI86" s="230"/>
      <c r="EJ86" s="230"/>
      <c r="EK86" s="230"/>
      <c r="EL86" s="230"/>
      <c r="EM86" s="230"/>
      <c r="EN86" s="230"/>
      <c r="EO86" s="230"/>
      <c r="EP86" s="230"/>
      <c r="EQ86" s="230"/>
      <c r="ER86" s="230"/>
      <c r="ES86" s="230"/>
      <c r="ET86" s="230"/>
      <c r="EU86" s="230"/>
      <c r="EV86" s="230"/>
      <c r="EW86" s="230"/>
      <c r="EX86" s="230"/>
      <c r="EY86" s="230"/>
      <c r="EZ86" s="230"/>
      <c r="FA86" s="230"/>
      <c r="FB86" s="230"/>
      <c r="FC86" s="230"/>
      <c r="FD86" s="230"/>
      <c r="FE86" s="230"/>
      <c r="FF86" s="230"/>
      <c r="FG86" s="230"/>
      <c r="FH86" s="230"/>
      <c r="FI86" s="230"/>
      <c r="FJ86" s="230"/>
      <c r="FK86" s="230"/>
      <c r="FL86" s="230"/>
      <c r="FM86" s="230"/>
      <c r="FN86" s="230"/>
      <c r="FO86" s="230"/>
      <c r="FP86" s="230"/>
      <c r="FQ86" s="230"/>
      <c r="FR86" s="230"/>
      <c r="FS86" s="230"/>
      <c r="FT86" s="230"/>
      <c r="FU86" s="230"/>
      <c r="FV86" s="230"/>
      <c r="FW86" s="230"/>
      <c r="FX86" s="230"/>
      <c r="FY86" s="230"/>
      <c r="FZ86" s="230"/>
      <c r="GA86" s="230"/>
      <c r="GB86" s="230"/>
      <c r="GC86" s="230"/>
      <c r="GD86" s="230"/>
      <c r="GE86" s="230"/>
      <c r="GF86" s="230"/>
      <c r="GG86" s="230"/>
      <c r="GH86" s="230"/>
      <c r="GI86" s="230"/>
      <c r="GJ86" s="230"/>
      <c r="GK86" s="230"/>
      <c r="GL86" s="230"/>
      <c r="GM86" s="230"/>
      <c r="GN86" s="230"/>
      <c r="GO86" s="230"/>
      <c r="GP86" s="230"/>
      <c r="GQ86" s="230"/>
      <c r="GR86" s="230"/>
    </row>
    <row r="87" spans="1:200" s="632" customFormat="1" ht="15.75" customHeight="1" outlineLevel="2" x14ac:dyDescent="0.2">
      <c r="A87" s="636" t="s">
        <v>2886</v>
      </c>
      <c r="B87" s="636" t="s">
        <v>3380</v>
      </c>
      <c r="C87" s="597"/>
      <c r="D87" s="1536"/>
      <c r="E87" s="635"/>
      <c r="F87" s="635"/>
      <c r="G87" s="1517">
        <v>4</v>
      </c>
      <c r="H87" s="1517">
        <v>3</v>
      </c>
      <c r="I87" s="1517"/>
      <c r="J87" s="1517" t="s">
        <v>2349</v>
      </c>
      <c r="K87" s="1518"/>
      <c r="L87" s="1518"/>
      <c r="M87" s="635"/>
      <c r="N87" s="624"/>
      <c r="O87" s="624"/>
      <c r="P87" s="624"/>
      <c r="Q87" s="624"/>
      <c r="R87" s="624"/>
      <c r="S87" s="624"/>
      <c r="T87" s="624"/>
      <c r="U87" s="624"/>
      <c r="V87" s="624"/>
      <c r="W87" s="624"/>
      <c r="X87" s="624"/>
      <c r="Y87" s="624"/>
      <c r="Z87" s="624"/>
      <c r="AA87">
        <f>IF(AND('12 Ext'!C87&gt;Tmin, NOT('12 Ext'!$I87="")),'12 Ext'!$I87,0)</f>
        <v>0</v>
      </c>
      <c r="AB87">
        <f>IF(AND('12 Ext'!D87&gt;Tmin, NOT('12 Ext'!$I87="")),'12 Ext'!$I87,0)</f>
        <v>0</v>
      </c>
      <c r="AC87">
        <f>IF(AND('12 Ext'!E87&gt;Tmin, NOT('12 Ext'!$I87="")),'12 Ext'!$I87,0)</f>
        <v>0</v>
      </c>
      <c r="AD87">
        <f>IF(AND('12 Ext'!F87&gt;Tmin, NOT('12 Ext'!$I87="")),'12 Ext'!$I87,0)</f>
        <v>0</v>
      </c>
      <c r="AE87">
        <f>IF(AND('12 Ext'!C87&lt;Tmax, NOT('12 Ext'!$H87="")),'12 Ext'!$H87,4)</f>
        <v>3</v>
      </c>
      <c r="AF87">
        <f>IF(AND('12 Ext'!D87&lt;Tmax, NOT('12 Ext'!$H87="")),'12 Ext'!$H87,4)</f>
        <v>3</v>
      </c>
      <c r="AG87">
        <f>IF(AND('12 Ext'!E87&lt;Tmax, NOT('12 Ext'!$H87="")),'12 Ext'!$H87,4)</f>
        <v>3</v>
      </c>
      <c r="AH87">
        <f>IF(AND('12 Ext'!F87&lt;Tmax, NOT('12 Ext'!$H87="")),'12 Ext'!$H87,4)</f>
        <v>3</v>
      </c>
      <c r="AI87"/>
      <c r="AJ87" s="230"/>
      <c r="AK87" s="230"/>
      <c r="AL87" s="230"/>
      <c r="AM87" s="230"/>
      <c r="AN87" s="230"/>
      <c r="AO87" s="230"/>
      <c r="AP87" s="230"/>
      <c r="AQ87" s="230"/>
      <c r="AR87" s="230"/>
      <c r="AS87" s="230"/>
      <c r="AT87" s="230"/>
      <c r="AU87" s="230"/>
      <c r="AV87" s="230"/>
      <c r="AW87" s="230"/>
      <c r="AX87" s="230"/>
      <c r="AY87" s="230"/>
      <c r="AZ87" s="230"/>
      <c r="BA87" s="230"/>
      <c r="BB87" s="230"/>
      <c r="BC87" s="230"/>
      <c r="BD87" s="230"/>
      <c r="BE87" s="230"/>
      <c r="BF87" s="230"/>
      <c r="BG87" s="230"/>
      <c r="BH87" s="230"/>
      <c r="BI87" s="230"/>
      <c r="BJ87" s="230"/>
      <c r="BK87" s="230"/>
      <c r="BL87" s="230"/>
      <c r="BM87" s="230"/>
      <c r="BN87" s="230"/>
      <c r="BO87" s="230"/>
      <c r="BP87" s="230"/>
      <c r="BQ87" s="230"/>
      <c r="BR87" s="230"/>
      <c r="BS87" s="230"/>
      <c r="BT87" s="230"/>
      <c r="BU87" s="230"/>
      <c r="BV87" s="230"/>
      <c r="BW87" s="230"/>
      <c r="BX87" s="230"/>
      <c r="BY87" s="230"/>
      <c r="BZ87" s="230"/>
      <c r="CA87" s="230"/>
      <c r="CB87" s="230"/>
      <c r="CC87" s="230"/>
      <c r="CD87" s="230"/>
      <c r="CE87" s="230"/>
      <c r="CF87" s="230"/>
      <c r="CG87" s="230"/>
      <c r="CH87" s="230"/>
      <c r="CI87" s="230"/>
      <c r="CJ87" s="230"/>
      <c r="CK87" s="230"/>
      <c r="CL87" s="230"/>
      <c r="CM87" s="230"/>
      <c r="CN87" s="230"/>
      <c r="CO87" s="230"/>
      <c r="CP87" s="230"/>
      <c r="CQ87" s="230"/>
      <c r="CR87" s="230"/>
      <c r="CS87" s="230"/>
      <c r="CT87" s="230"/>
      <c r="CU87" s="230"/>
      <c r="CV87" s="230"/>
      <c r="CW87" s="230"/>
      <c r="CX87" s="230"/>
      <c r="CY87" s="230"/>
      <c r="CZ87" s="230"/>
      <c r="DA87" s="230"/>
      <c r="DB87" s="230"/>
      <c r="DC87" s="230"/>
      <c r="DD87" s="230"/>
      <c r="DE87" s="230"/>
      <c r="DF87" s="230"/>
      <c r="DG87" s="230"/>
      <c r="DH87" s="230"/>
      <c r="DI87" s="230"/>
      <c r="DJ87" s="230"/>
      <c r="DK87" s="230"/>
      <c r="DL87" s="230"/>
      <c r="DM87" s="230"/>
      <c r="DN87" s="230"/>
      <c r="DO87" s="230"/>
      <c r="DP87" s="230"/>
      <c r="DQ87" s="230"/>
      <c r="DR87" s="230"/>
      <c r="DS87" s="230"/>
      <c r="DT87" s="230"/>
      <c r="DU87" s="230"/>
      <c r="DV87" s="230"/>
      <c r="DW87" s="230"/>
      <c r="DX87" s="230"/>
      <c r="DY87" s="230"/>
      <c r="DZ87" s="230"/>
      <c r="EA87" s="230"/>
      <c r="EB87" s="230"/>
      <c r="EC87" s="230"/>
      <c r="ED87" s="230"/>
      <c r="EE87" s="230"/>
      <c r="EF87" s="230"/>
      <c r="EG87" s="230"/>
      <c r="EH87" s="230"/>
      <c r="EI87" s="230"/>
      <c r="EJ87" s="230"/>
      <c r="EK87" s="230"/>
      <c r="EL87" s="230"/>
      <c r="EM87" s="230"/>
      <c r="EN87" s="230"/>
      <c r="EO87" s="230"/>
      <c r="EP87" s="230"/>
      <c r="EQ87" s="230"/>
      <c r="ER87" s="230"/>
      <c r="ES87" s="230"/>
      <c r="ET87" s="230"/>
      <c r="EU87" s="230"/>
      <c r="EV87" s="230"/>
      <c r="EW87" s="230"/>
      <c r="EX87" s="230"/>
      <c r="EY87" s="230"/>
      <c r="EZ87" s="230"/>
      <c r="FA87" s="230"/>
      <c r="FB87" s="230"/>
      <c r="FC87" s="230"/>
      <c r="FD87" s="230"/>
      <c r="FE87" s="230"/>
      <c r="FF87" s="230"/>
      <c r="FG87" s="230"/>
      <c r="FH87" s="230"/>
      <c r="FI87" s="230"/>
      <c r="FJ87" s="230"/>
      <c r="FK87" s="230"/>
      <c r="FL87" s="230"/>
      <c r="FM87" s="230"/>
      <c r="FN87" s="230"/>
      <c r="FO87" s="230"/>
      <c r="FP87" s="230"/>
      <c r="FQ87" s="230"/>
      <c r="FR87" s="230"/>
      <c r="FS87" s="230"/>
      <c r="FT87" s="230"/>
      <c r="FU87" s="230"/>
      <c r="FV87" s="230"/>
      <c r="FW87" s="230"/>
      <c r="FX87" s="230"/>
      <c r="FY87" s="230"/>
      <c r="FZ87" s="230"/>
      <c r="GA87" s="230"/>
      <c r="GB87" s="230"/>
      <c r="GC87" s="230"/>
      <c r="GD87" s="230"/>
      <c r="GE87" s="230"/>
      <c r="GF87" s="230"/>
      <c r="GG87" s="230"/>
      <c r="GH87" s="230"/>
      <c r="GI87" s="230"/>
      <c r="GJ87" s="230"/>
      <c r="GK87" s="230"/>
      <c r="GL87" s="230"/>
      <c r="GM87" s="230"/>
      <c r="GN87" s="230"/>
      <c r="GO87" s="230"/>
      <c r="GP87" s="230"/>
      <c r="GQ87" s="230"/>
      <c r="GR87" s="230"/>
    </row>
    <row r="88" spans="1:200" s="632" customFormat="1" ht="45.75" customHeight="1" outlineLevel="2" x14ac:dyDescent="0.2">
      <c r="A88" s="636" t="s">
        <v>2887</v>
      </c>
      <c r="B88" s="636" t="s">
        <v>6781</v>
      </c>
      <c r="C88" s="597"/>
      <c r="D88" s="1536"/>
      <c r="E88" s="635"/>
      <c r="F88" s="635"/>
      <c r="G88" s="1517">
        <v>4</v>
      </c>
      <c r="H88" s="1517">
        <v>3</v>
      </c>
      <c r="I88" s="1517"/>
      <c r="J88" s="1517" t="s">
        <v>2329</v>
      </c>
      <c r="K88" s="1518"/>
      <c r="L88" s="1518"/>
      <c r="M88" s="635"/>
      <c r="N88" s="624"/>
      <c r="O88" s="624"/>
      <c r="P88" s="624"/>
      <c r="Q88" s="624"/>
      <c r="R88" s="624"/>
      <c r="S88" s="624"/>
      <c r="T88" s="624"/>
      <c r="U88" s="624"/>
      <c r="V88" s="624"/>
      <c r="W88" s="624"/>
      <c r="X88" s="624"/>
      <c r="Y88" s="624"/>
      <c r="Z88" s="624"/>
      <c r="AA88">
        <f>IF(AND('12 Ext'!C88&gt;Tmin, NOT('12 Ext'!$I88="")),'12 Ext'!$I88,0)</f>
        <v>0</v>
      </c>
      <c r="AB88">
        <f>IF(AND('12 Ext'!D88&gt;Tmin, NOT('12 Ext'!$I88="")),'12 Ext'!$I88,0)</f>
        <v>0</v>
      </c>
      <c r="AC88">
        <f>IF(AND('12 Ext'!E88&gt;Tmin, NOT('12 Ext'!$I88="")),'12 Ext'!$I88,0)</f>
        <v>0</v>
      </c>
      <c r="AD88">
        <f>IF(AND('12 Ext'!F88&gt;Tmin, NOT('12 Ext'!$I88="")),'12 Ext'!$I88,0)</f>
        <v>0</v>
      </c>
      <c r="AE88">
        <f>IF(AND('12 Ext'!C88&lt;Tmax, NOT('12 Ext'!$H88="")),'12 Ext'!$H88,4)</f>
        <v>3</v>
      </c>
      <c r="AF88">
        <f>IF(AND('12 Ext'!D88&lt;Tmax, NOT('12 Ext'!$H88="")),'12 Ext'!$H88,4)</f>
        <v>3</v>
      </c>
      <c r="AG88">
        <f>IF(AND('12 Ext'!E88&lt;Tmax, NOT('12 Ext'!$H88="")),'12 Ext'!$H88,4)</f>
        <v>3</v>
      </c>
      <c r="AH88">
        <f>IF(AND('12 Ext'!F88&lt;Tmax, NOT('12 Ext'!$H88="")),'12 Ext'!$H88,4)</f>
        <v>3</v>
      </c>
      <c r="AI88"/>
      <c r="AJ88" s="230"/>
      <c r="AK88" s="230"/>
      <c r="AL88" s="230"/>
      <c r="AM88" s="230"/>
      <c r="AN88" s="230"/>
      <c r="AO88" s="230"/>
      <c r="AP88" s="230"/>
      <c r="AQ88" s="230"/>
      <c r="AR88" s="230"/>
      <c r="AS88" s="230"/>
      <c r="AT88" s="230"/>
      <c r="AU88" s="230"/>
      <c r="AV88" s="230"/>
      <c r="AW88" s="230"/>
      <c r="AX88" s="230"/>
      <c r="AY88" s="230"/>
      <c r="AZ88" s="230"/>
      <c r="BA88" s="230"/>
      <c r="BB88" s="230"/>
      <c r="BC88" s="230"/>
      <c r="BD88" s="230"/>
      <c r="BE88" s="230"/>
      <c r="BF88" s="230"/>
      <c r="BG88" s="230"/>
      <c r="BH88" s="230"/>
      <c r="BI88" s="230"/>
      <c r="BJ88" s="230"/>
      <c r="BK88" s="230"/>
      <c r="BL88" s="230"/>
      <c r="BM88" s="230"/>
      <c r="BN88" s="230"/>
      <c r="BO88" s="230"/>
      <c r="BP88" s="230"/>
      <c r="BQ88" s="230"/>
      <c r="BR88" s="230"/>
      <c r="BS88" s="230"/>
      <c r="BT88" s="230"/>
      <c r="BU88" s="230"/>
      <c r="BV88" s="230"/>
      <c r="BW88" s="230"/>
      <c r="BX88" s="230"/>
      <c r="BY88" s="230"/>
      <c r="BZ88" s="230"/>
      <c r="CA88" s="230"/>
      <c r="CB88" s="230"/>
      <c r="CC88" s="230"/>
      <c r="CD88" s="230"/>
      <c r="CE88" s="230"/>
      <c r="CF88" s="230"/>
      <c r="CG88" s="230"/>
      <c r="CH88" s="230"/>
      <c r="CI88" s="230"/>
      <c r="CJ88" s="230"/>
      <c r="CK88" s="230"/>
      <c r="CL88" s="230"/>
      <c r="CM88" s="230"/>
      <c r="CN88" s="230"/>
      <c r="CO88" s="230"/>
      <c r="CP88" s="230"/>
      <c r="CQ88" s="230"/>
      <c r="CR88" s="230"/>
      <c r="CS88" s="230"/>
      <c r="CT88" s="230"/>
      <c r="CU88" s="230"/>
      <c r="CV88" s="230"/>
      <c r="CW88" s="230"/>
      <c r="CX88" s="230"/>
      <c r="CY88" s="230"/>
      <c r="CZ88" s="230"/>
      <c r="DA88" s="230"/>
      <c r="DB88" s="230"/>
      <c r="DC88" s="230"/>
      <c r="DD88" s="230"/>
      <c r="DE88" s="230"/>
      <c r="DF88" s="230"/>
      <c r="DG88" s="230"/>
      <c r="DH88" s="230"/>
      <c r="DI88" s="230"/>
      <c r="DJ88" s="230"/>
      <c r="DK88" s="230"/>
      <c r="DL88" s="230"/>
      <c r="DM88" s="230"/>
      <c r="DN88" s="230"/>
      <c r="DO88" s="230"/>
      <c r="DP88" s="230"/>
      <c r="DQ88" s="230"/>
      <c r="DR88" s="230"/>
      <c r="DS88" s="230"/>
      <c r="DT88" s="230"/>
      <c r="DU88" s="230"/>
      <c r="DV88" s="230"/>
      <c r="DW88" s="230"/>
      <c r="DX88" s="230"/>
      <c r="DY88" s="230"/>
      <c r="DZ88" s="230"/>
      <c r="EA88" s="230"/>
      <c r="EB88" s="230"/>
      <c r="EC88" s="230"/>
      <c r="ED88" s="230"/>
      <c r="EE88" s="230"/>
      <c r="EF88" s="230"/>
      <c r="EG88" s="230"/>
      <c r="EH88" s="230"/>
      <c r="EI88" s="230"/>
      <c r="EJ88" s="230"/>
      <c r="EK88" s="230"/>
      <c r="EL88" s="230"/>
      <c r="EM88" s="230"/>
      <c r="EN88" s="230"/>
      <c r="EO88" s="230"/>
      <c r="EP88" s="230"/>
      <c r="EQ88" s="230"/>
      <c r="ER88" s="230"/>
      <c r="ES88" s="230"/>
      <c r="ET88" s="230"/>
      <c r="EU88" s="230"/>
      <c r="EV88" s="230"/>
      <c r="EW88" s="230"/>
      <c r="EX88" s="230"/>
      <c r="EY88" s="230"/>
      <c r="EZ88" s="230"/>
      <c r="FA88" s="230"/>
      <c r="FB88" s="230"/>
      <c r="FC88" s="230"/>
      <c r="FD88" s="230"/>
      <c r="FE88" s="230"/>
      <c r="FF88" s="230"/>
      <c r="FG88" s="230"/>
      <c r="FH88" s="230"/>
      <c r="FI88" s="230"/>
      <c r="FJ88" s="230"/>
      <c r="FK88" s="230"/>
      <c r="FL88" s="230"/>
      <c r="FM88" s="230"/>
      <c r="FN88" s="230"/>
      <c r="FO88" s="230"/>
      <c r="FP88" s="230"/>
      <c r="FQ88" s="230"/>
      <c r="FR88" s="230"/>
      <c r="FS88" s="230"/>
      <c r="FT88" s="230"/>
      <c r="FU88" s="230"/>
      <c r="FV88" s="230"/>
      <c r="FW88" s="230"/>
      <c r="FX88" s="230"/>
      <c r="FY88" s="230"/>
      <c r="FZ88" s="230"/>
      <c r="GA88" s="230"/>
      <c r="GB88" s="230"/>
      <c r="GC88" s="230"/>
      <c r="GD88" s="230"/>
      <c r="GE88" s="230"/>
      <c r="GF88" s="230"/>
      <c r="GG88" s="230"/>
      <c r="GH88" s="230"/>
      <c r="GI88" s="230"/>
      <c r="GJ88" s="230"/>
      <c r="GK88" s="230"/>
      <c r="GL88" s="230"/>
      <c r="GM88" s="230"/>
      <c r="GN88" s="230"/>
      <c r="GO88" s="230"/>
      <c r="GP88" s="230"/>
      <c r="GQ88" s="230"/>
      <c r="GR88" s="230"/>
    </row>
    <row r="89" spans="1:200" s="632" customFormat="1" ht="33.75" outlineLevel="2" x14ac:dyDescent="0.2">
      <c r="A89" s="636" t="s">
        <v>1922</v>
      </c>
      <c r="B89" s="636" t="s">
        <v>6157</v>
      </c>
      <c r="C89" s="597"/>
      <c r="D89" s="1536"/>
      <c r="E89" s="635"/>
      <c r="F89" s="635"/>
      <c r="G89" s="1517">
        <v>4</v>
      </c>
      <c r="H89" s="1517"/>
      <c r="I89" s="1517"/>
      <c r="J89" s="1517" t="s">
        <v>2329</v>
      </c>
      <c r="K89" s="1518"/>
      <c r="L89" s="1518"/>
      <c r="M89" s="635"/>
      <c r="N89" s="624"/>
      <c r="O89" s="624"/>
      <c r="P89" s="624"/>
      <c r="Q89" s="624"/>
      <c r="R89" s="624"/>
      <c r="S89" s="624"/>
      <c r="T89" s="624"/>
      <c r="U89" s="624"/>
      <c r="V89" s="624"/>
      <c r="W89" s="624"/>
      <c r="X89" s="624"/>
      <c r="Y89" s="624"/>
      <c r="Z89" s="624"/>
      <c r="AA89">
        <f>IF(AND('12 Ext'!C89&gt;Tmin, NOT('12 Ext'!$I89="")),'12 Ext'!$I89,0)</f>
        <v>0</v>
      </c>
      <c r="AB89">
        <f>IF(AND('12 Ext'!D89&gt;Tmin, NOT('12 Ext'!$I89="")),'12 Ext'!$I89,0)</f>
        <v>0</v>
      </c>
      <c r="AC89">
        <f>IF(AND('12 Ext'!E89&gt;Tmin, NOT('12 Ext'!$I89="")),'12 Ext'!$I89,0)</f>
        <v>0</v>
      </c>
      <c r="AD89">
        <f>IF(AND('12 Ext'!F89&gt;Tmin, NOT('12 Ext'!$I89="")),'12 Ext'!$I89,0)</f>
        <v>0</v>
      </c>
      <c r="AE89">
        <f>IF(AND('12 Ext'!C89&lt;Tmax, NOT('12 Ext'!$H89="")),'12 Ext'!$H89,4)</f>
        <v>4</v>
      </c>
      <c r="AF89">
        <f>IF(AND('12 Ext'!D89&lt;Tmax, NOT('12 Ext'!$H89="")),'12 Ext'!$H89,4)</f>
        <v>4</v>
      </c>
      <c r="AG89">
        <f>IF(AND('12 Ext'!E89&lt;Tmax, NOT('12 Ext'!$H89="")),'12 Ext'!$H89,4)</f>
        <v>4</v>
      </c>
      <c r="AH89">
        <f>IF(AND('12 Ext'!F89&lt;Tmax, NOT('12 Ext'!$H89="")),'12 Ext'!$H89,4)</f>
        <v>4</v>
      </c>
      <c r="AI89"/>
      <c r="AJ89" s="230"/>
      <c r="AK89" s="230"/>
      <c r="AL89" s="230"/>
      <c r="AM89" s="230"/>
      <c r="AN89" s="230"/>
      <c r="AO89" s="230"/>
      <c r="AP89" s="230"/>
      <c r="AQ89" s="230"/>
      <c r="AR89" s="230"/>
      <c r="AS89" s="230"/>
      <c r="AT89" s="230"/>
      <c r="AU89" s="230"/>
      <c r="AV89" s="230"/>
      <c r="AW89" s="230"/>
      <c r="AX89" s="230"/>
      <c r="AY89" s="230"/>
      <c r="AZ89" s="230"/>
      <c r="BA89" s="230"/>
      <c r="BB89" s="230"/>
      <c r="BC89" s="230"/>
      <c r="BD89" s="230"/>
      <c r="BE89" s="230"/>
      <c r="BF89" s="230"/>
      <c r="BG89" s="230"/>
      <c r="BH89" s="230"/>
      <c r="BI89" s="230"/>
      <c r="BJ89" s="230"/>
      <c r="BK89" s="230"/>
      <c r="BL89" s="230"/>
      <c r="BM89" s="230"/>
      <c r="BN89" s="230"/>
      <c r="BO89" s="230"/>
      <c r="BP89" s="230"/>
      <c r="BQ89" s="230"/>
      <c r="BR89" s="230"/>
      <c r="BS89" s="230"/>
      <c r="BT89" s="230"/>
      <c r="BU89" s="230"/>
      <c r="BV89" s="230"/>
      <c r="BW89" s="230"/>
      <c r="BX89" s="230"/>
      <c r="BY89" s="230"/>
      <c r="BZ89" s="230"/>
      <c r="CA89" s="230"/>
      <c r="CB89" s="230"/>
      <c r="CC89" s="230"/>
      <c r="CD89" s="230"/>
      <c r="CE89" s="230"/>
      <c r="CF89" s="230"/>
      <c r="CG89" s="230"/>
      <c r="CH89" s="230"/>
      <c r="CI89" s="230"/>
      <c r="CJ89" s="230"/>
      <c r="CK89" s="230"/>
      <c r="CL89" s="230"/>
      <c r="CM89" s="230"/>
      <c r="CN89" s="230"/>
      <c r="CO89" s="230"/>
      <c r="CP89" s="230"/>
      <c r="CQ89" s="230"/>
      <c r="CR89" s="230"/>
      <c r="CS89" s="230"/>
      <c r="CT89" s="230"/>
      <c r="CU89" s="230"/>
      <c r="CV89" s="230"/>
      <c r="CW89" s="230"/>
      <c r="CX89" s="230"/>
      <c r="CY89" s="230"/>
      <c r="CZ89" s="230"/>
      <c r="DA89" s="230"/>
      <c r="DB89" s="230"/>
      <c r="DC89" s="230"/>
      <c r="DD89" s="230"/>
      <c r="DE89" s="230"/>
      <c r="DF89" s="230"/>
      <c r="DG89" s="230"/>
      <c r="DH89" s="230"/>
      <c r="DI89" s="230"/>
      <c r="DJ89" s="230"/>
      <c r="DK89" s="230"/>
      <c r="DL89" s="230"/>
      <c r="DM89" s="230"/>
      <c r="DN89" s="230"/>
      <c r="DO89" s="230"/>
      <c r="DP89" s="230"/>
      <c r="DQ89" s="230"/>
      <c r="DR89" s="230"/>
      <c r="DS89" s="230"/>
      <c r="DT89" s="230"/>
      <c r="DU89" s="230"/>
      <c r="DV89" s="230"/>
      <c r="DW89" s="230"/>
      <c r="DX89" s="230"/>
      <c r="DY89" s="230"/>
      <c r="DZ89" s="230"/>
      <c r="EA89" s="230"/>
      <c r="EB89" s="230"/>
      <c r="EC89" s="230"/>
      <c r="ED89" s="230"/>
      <c r="EE89" s="230"/>
      <c r="EF89" s="230"/>
      <c r="EG89" s="230"/>
      <c r="EH89" s="230"/>
      <c r="EI89" s="230"/>
      <c r="EJ89" s="230"/>
      <c r="EK89" s="230"/>
      <c r="EL89" s="230"/>
      <c r="EM89" s="230"/>
      <c r="EN89" s="230"/>
      <c r="EO89" s="230"/>
      <c r="EP89" s="230"/>
      <c r="EQ89" s="230"/>
      <c r="ER89" s="230"/>
      <c r="ES89" s="230"/>
      <c r="ET89" s="230"/>
      <c r="EU89" s="230"/>
      <c r="EV89" s="230"/>
      <c r="EW89" s="230"/>
      <c r="EX89" s="230"/>
      <c r="EY89" s="230"/>
      <c r="EZ89" s="230"/>
      <c r="FA89" s="230"/>
      <c r="FB89" s="230"/>
      <c r="FC89" s="230"/>
      <c r="FD89" s="230"/>
      <c r="FE89" s="230"/>
      <c r="FF89" s="230"/>
      <c r="FG89" s="230"/>
      <c r="FH89" s="230"/>
      <c r="FI89" s="230"/>
      <c r="FJ89" s="230"/>
      <c r="FK89" s="230"/>
      <c r="FL89" s="230"/>
      <c r="FM89" s="230"/>
      <c r="FN89" s="230"/>
      <c r="FO89" s="230"/>
      <c r="FP89" s="230"/>
      <c r="FQ89" s="230"/>
      <c r="FR89" s="230"/>
      <c r="FS89" s="230"/>
      <c r="FT89" s="230"/>
      <c r="FU89" s="230"/>
      <c r="FV89" s="230"/>
      <c r="FW89" s="230"/>
      <c r="FX89" s="230"/>
      <c r="FY89" s="230"/>
      <c r="FZ89" s="230"/>
      <c r="GA89" s="230"/>
      <c r="GB89" s="230"/>
      <c r="GC89" s="230"/>
      <c r="GD89" s="230"/>
      <c r="GE89" s="230"/>
      <c r="GF89" s="230"/>
      <c r="GG89" s="230"/>
      <c r="GH89" s="230"/>
      <c r="GI89" s="230"/>
      <c r="GJ89" s="230"/>
      <c r="GK89" s="230"/>
      <c r="GL89" s="230"/>
      <c r="GM89" s="230"/>
      <c r="GN89" s="230"/>
      <c r="GO89" s="230"/>
      <c r="GP89" s="230"/>
      <c r="GQ89" s="230"/>
      <c r="GR89" s="230"/>
    </row>
    <row r="90" spans="1:200" s="632" customFormat="1" ht="22.5" outlineLevel="2" x14ac:dyDescent="0.2">
      <c r="A90" s="636" t="s">
        <v>2996</v>
      </c>
      <c r="B90" s="636" t="s">
        <v>6132</v>
      </c>
      <c r="C90" s="597"/>
      <c r="D90" s="1536"/>
      <c r="E90" s="635"/>
      <c r="F90" s="635"/>
      <c r="G90" s="1517">
        <v>2</v>
      </c>
      <c r="H90" s="1517">
        <v>3</v>
      </c>
      <c r="I90" s="1517"/>
      <c r="J90" s="1517" t="s">
        <v>2109</v>
      </c>
      <c r="K90" s="1518"/>
      <c r="L90" s="1518"/>
      <c r="M90" s="635"/>
      <c r="N90" s="624"/>
      <c r="O90" s="624"/>
      <c r="P90" s="624"/>
      <c r="Q90" s="624"/>
      <c r="R90" s="624"/>
      <c r="S90" s="624"/>
      <c r="T90" s="624"/>
      <c r="U90" s="624"/>
      <c r="V90" s="624"/>
      <c r="W90" s="624"/>
      <c r="X90" s="624"/>
      <c r="Y90" s="624"/>
      <c r="Z90" s="624"/>
      <c r="AA90">
        <f>IF(AND('12 Ext'!C90&gt;Tmin, NOT('12 Ext'!$I90="")),'12 Ext'!$I90,0)</f>
        <v>0</v>
      </c>
      <c r="AB90">
        <f>IF(AND('12 Ext'!D90&gt;Tmin, NOT('12 Ext'!$I90="")),'12 Ext'!$I90,0)</f>
        <v>0</v>
      </c>
      <c r="AC90">
        <f>IF(AND('12 Ext'!E90&gt;Tmin, NOT('12 Ext'!$I90="")),'12 Ext'!$I90,0)</f>
        <v>0</v>
      </c>
      <c r="AD90">
        <f>IF(AND('12 Ext'!F90&gt;Tmin, NOT('12 Ext'!$I90="")),'12 Ext'!$I90,0)</f>
        <v>0</v>
      </c>
      <c r="AE90">
        <f>IF(AND('12 Ext'!C90&lt;Tmax, NOT('12 Ext'!$H90="")),'12 Ext'!$H90,4)</f>
        <v>3</v>
      </c>
      <c r="AF90">
        <f>IF(AND('12 Ext'!D90&lt;Tmax, NOT('12 Ext'!$H90="")),'12 Ext'!$H90,4)</f>
        <v>3</v>
      </c>
      <c r="AG90">
        <f>IF(AND('12 Ext'!E90&lt;Tmax, NOT('12 Ext'!$H90="")),'12 Ext'!$H90,4)</f>
        <v>3</v>
      </c>
      <c r="AH90">
        <f>IF(AND('12 Ext'!F90&lt;Tmax, NOT('12 Ext'!$H90="")),'12 Ext'!$H90,4)</f>
        <v>3</v>
      </c>
      <c r="AI90"/>
      <c r="AJ90" s="230"/>
      <c r="AK90" s="230"/>
      <c r="AL90" s="230"/>
      <c r="AM90" s="230"/>
      <c r="AN90" s="230"/>
      <c r="AO90" s="230"/>
      <c r="AP90" s="230"/>
      <c r="AQ90" s="230"/>
      <c r="AR90" s="230"/>
      <c r="AS90" s="230"/>
      <c r="AT90" s="230"/>
      <c r="AU90" s="230"/>
      <c r="AV90" s="230"/>
      <c r="AW90" s="230"/>
      <c r="AX90" s="230"/>
      <c r="AY90" s="230"/>
      <c r="AZ90" s="230"/>
      <c r="BA90" s="230"/>
      <c r="BB90" s="230"/>
      <c r="BC90" s="230"/>
      <c r="BD90" s="230"/>
      <c r="BE90" s="230"/>
      <c r="BF90" s="230"/>
      <c r="BG90" s="230"/>
      <c r="BH90" s="230"/>
      <c r="BI90" s="230"/>
      <c r="BJ90" s="230"/>
      <c r="BK90" s="230"/>
      <c r="BL90" s="230"/>
      <c r="BM90" s="230"/>
      <c r="BN90" s="230"/>
      <c r="BO90" s="230"/>
      <c r="BP90" s="230"/>
      <c r="BQ90" s="230"/>
      <c r="BR90" s="230"/>
      <c r="BS90" s="230"/>
      <c r="BT90" s="230"/>
      <c r="BU90" s="230"/>
      <c r="BV90" s="230"/>
      <c r="BW90" s="230"/>
      <c r="BX90" s="230"/>
      <c r="BY90" s="230"/>
      <c r="BZ90" s="230"/>
      <c r="CA90" s="230"/>
      <c r="CB90" s="230"/>
      <c r="CC90" s="230"/>
      <c r="CD90" s="230"/>
      <c r="CE90" s="230"/>
      <c r="CF90" s="230"/>
      <c r="CG90" s="230"/>
      <c r="CH90" s="230"/>
      <c r="CI90" s="230"/>
      <c r="CJ90" s="230"/>
      <c r="CK90" s="230"/>
      <c r="CL90" s="230"/>
      <c r="CM90" s="230"/>
      <c r="CN90" s="230"/>
      <c r="CO90" s="230"/>
      <c r="CP90" s="230"/>
      <c r="CQ90" s="230"/>
      <c r="CR90" s="230"/>
      <c r="CS90" s="230"/>
      <c r="CT90" s="230"/>
      <c r="CU90" s="230"/>
      <c r="CV90" s="230"/>
      <c r="CW90" s="230"/>
      <c r="CX90" s="230"/>
      <c r="CY90" s="230"/>
      <c r="CZ90" s="230"/>
      <c r="DA90" s="230"/>
      <c r="DB90" s="230"/>
      <c r="DC90" s="230"/>
      <c r="DD90" s="230"/>
      <c r="DE90" s="230"/>
      <c r="DF90" s="230"/>
      <c r="DG90" s="230"/>
      <c r="DH90" s="230"/>
      <c r="DI90" s="230"/>
      <c r="DJ90" s="230"/>
      <c r="DK90" s="230"/>
      <c r="DL90" s="230"/>
      <c r="DM90" s="230"/>
      <c r="DN90" s="230"/>
      <c r="DO90" s="230"/>
      <c r="DP90" s="230"/>
      <c r="DQ90" s="230"/>
      <c r="DR90" s="230"/>
      <c r="DS90" s="230"/>
      <c r="DT90" s="230"/>
      <c r="DU90" s="230"/>
      <c r="DV90" s="230"/>
      <c r="DW90" s="230"/>
      <c r="DX90" s="230"/>
      <c r="DY90" s="230"/>
      <c r="DZ90" s="230"/>
      <c r="EA90" s="230"/>
      <c r="EB90" s="230"/>
      <c r="EC90" s="230"/>
      <c r="ED90" s="230"/>
      <c r="EE90" s="230"/>
      <c r="EF90" s="230"/>
      <c r="EG90" s="230"/>
      <c r="EH90" s="230"/>
      <c r="EI90" s="230"/>
      <c r="EJ90" s="230"/>
      <c r="EK90" s="230"/>
      <c r="EL90" s="230"/>
      <c r="EM90" s="230"/>
      <c r="EN90" s="230"/>
      <c r="EO90" s="230"/>
      <c r="EP90" s="230"/>
      <c r="EQ90" s="230"/>
      <c r="ER90" s="230"/>
      <c r="ES90" s="230"/>
      <c r="ET90" s="230"/>
      <c r="EU90" s="230"/>
      <c r="EV90" s="230"/>
      <c r="EW90" s="230"/>
      <c r="EX90" s="230"/>
      <c r="EY90" s="230"/>
      <c r="EZ90" s="230"/>
      <c r="FA90" s="230"/>
      <c r="FB90" s="230"/>
      <c r="FC90" s="230"/>
      <c r="FD90" s="230"/>
      <c r="FE90" s="230"/>
      <c r="FF90" s="230"/>
      <c r="FG90" s="230"/>
      <c r="FH90" s="230"/>
      <c r="FI90" s="230"/>
      <c r="FJ90" s="230"/>
      <c r="FK90" s="230"/>
      <c r="FL90" s="230"/>
      <c r="FM90" s="230"/>
      <c r="FN90" s="230"/>
      <c r="FO90" s="230"/>
      <c r="FP90" s="230"/>
      <c r="FQ90" s="230"/>
      <c r="FR90" s="230"/>
      <c r="FS90" s="230"/>
      <c r="FT90" s="230"/>
      <c r="FU90" s="230"/>
      <c r="FV90" s="230"/>
      <c r="FW90" s="230"/>
      <c r="FX90" s="230"/>
      <c r="FY90" s="230"/>
      <c r="FZ90" s="230"/>
      <c r="GA90" s="230"/>
      <c r="GB90" s="230"/>
      <c r="GC90" s="230"/>
      <c r="GD90" s="230"/>
      <c r="GE90" s="230"/>
      <c r="GF90" s="230"/>
      <c r="GG90" s="230"/>
      <c r="GH90" s="230"/>
      <c r="GI90" s="230"/>
      <c r="GJ90" s="230"/>
      <c r="GK90" s="230"/>
      <c r="GL90" s="230"/>
      <c r="GM90" s="230"/>
      <c r="GN90" s="230"/>
      <c r="GO90" s="230"/>
      <c r="GP90" s="230"/>
      <c r="GQ90" s="230"/>
      <c r="GR90" s="230"/>
    </row>
    <row r="91" spans="1:200" s="632" customFormat="1" outlineLevel="1" x14ac:dyDescent="0.2">
      <c r="A91" s="633" t="s">
        <v>2997</v>
      </c>
      <c r="B91" s="634" t="s">
        <v>6333</v>
      </c>
      <c r="C91" s="597"/>
      <c r="D91" s="1536"/>
      <c r="E91" s="635"/>
      <c r="F91" s="635"/>
      <c r="G91" s="1517"/>
      <c r="H91" s="1517"/>
      <c r="I91" s="1517"/>
      <c r="J91" s="1517"/>
      <c r="K91" s="1518"/>
      <c r="L91" s="1518"/>
      <c r="M91" s="635"/>
      <c r="N91" s="624"/>
      <c r="O91" s="624"/>
      <c r="P91" s="624"/>
      <c r="Q91" s="624"/>
      <c r="R91" s="624"/>
      <c r="S91" s="624"/>
      <c r="T91" s="624"/>
      <c r="U91" s="624"/>
      <c r="V91" s="624"/>
      <c r="W91" s="624"/>
      <c r="X91" s="624"/>
      <c r="Y91" s="624"/>
      <c r="Z91" s="624"/>
      <c r="AA91"/>
      <c r="AB91"/>
      <c r="AC91"/>
      <c r="AD91"/>
      <c r="AE91"/>
      <c r="AF91"/>
      <c r="AG91"/>
      <c r="AH91"/>
      <c r="AI91"/>
      <c r="AJ91" s="230"/>
      <c r="AK91" s="230"/>
      <c r="AL91" s="230"/>
      <c r="AM91" s="230"/>
      <c r="AN91" s="230"/>
      <c r="AO91" s="230"/>
      <c r="AP91" s="230"/>
      <c r="AQ91" s="230"/>
      <c r="AR91" s="230"/>
      <c r="AS91" s="230"/>
      <c r="AT91" s="230"/>
      <c r="AU91" s="230"/>
      <c r="AV91" s="230"/>
      <c r="AW91" s="230"/>
      <c r="AX91" s="230"/>
      <c r="AY91" s="230"/>
      <c r="AZ91" s="230"/>
      <c r="BA91" s="230"/>
      <c r="BB91" s="230"/>
      <c r="BC91" s="230"/>
      <c r="BD91" s="230"/>
      <c r="BE91" s="230"/>
      <c r="BF91" s="230"/>
      <c r="BG91" s="230"/>
      <c r="BH91" s="230"/>
      <c r="BI91" s="230"/>
      <c r="BJ91" s="230"/>
      <c r="BK91" s="230"/>
      <c r="BL91" s="230"/>
      <c r="BM91" s="230"/>
      <c r="BN91" s="230"/>
      <c r="BO91" s="230"/>
      <c r="BP91" s="230"/>
      <c r="BQ91" s="230"/>
      <c r="BR91" s="230"/>
      <c r="BS91" s="230"/>
      <c r="BT91" s="230"/>
      <c r="BU91" s="230"/>
      <c r="BV91" s="230"/>
      <c r="BW91" s="230"/>
      <c r="BX91" s="230"/>
      <c r="BY91" s="230"/>
      <c r="BZ91" s="230"/>
      <c r="CA91" s="230"/>
      <c r="CB91" s="230"/>
      <c r="CC91" s="230"/>
      <c r="CD91" s="230"/>
      <c r="CE91" s="230"/>
      <c r="CF91" s="230"/>
      <c r="CG91" s="230"/>
      <c r="CH91" s="230"/>
      <c r="CI91" s="230"/>
      <c r="CJ91" s="230"/>
      <c r="CK91" s="230"/>
      <c r="CL91" s="230"/>
      <c r="CM91" s="230"/>
      <c r="CN91" s="230"/>
      <c r="CO91" s="230"/>
      <c r="CP91" s="230"/>
      <c r="CQ91" s="230"/>
      <c r="CR91" s="230"/>
      <c r="CS91" s="230"/>
      <c r="CT91" s="230"/>
      <c r="CU91" s="230"/>
      <c r="CV91" s="230"/>
      <c r="CW91" s="230"/>
      <c r="CX91" s="230"/>
      <c r="CY91" s="230"/>
      <c r="CZ91" s="230"/>
      <c r="DA91" s="230"/>
      <c r="DB91" s="230"/>
      <c r="DC91" s="230"/>
      <c r="DD91" s="230"/>
      <c r="DE91" s="230"/>
      <c r="DF91" s="230"/>
      <c r="DG91" s="230"/>
      <c r="DH91" s="230"/>
      <c r="DI91" s="230"/>
      <c r="DJ91" s="230"/>
      <c r="DK91" s="230"/>
      <c r="DL91" s="230"/>
      <c r="DM91" s="230"/>
      <c r="DN91" s="230"/>
      <c r="DO91" s="230"/>
      <c r="DP91" s="230"/>
      <c r="DQ91" s="230"/>
      <c r="DR91" s="230"/>
      <c r="DS91" s="230"/>
      <c r="DT91" s="230"/>
      <c r="DU91" s="230"/>
      <c r="DV91" s="230"/>
      <c r="DW91" s="230"/>
      <c r="DX91" s="230"/>
      <c r="DY91" s="230"/>
      <c r="DZ91" s="230"/>
      <c r="EA91" s="230"/>
      <c r="EB91" s="230"/>
      <c r="EC91" s="230"/>
      <c r="ED91" s="230"/>
      <c r="EE91" s="230"/>
      <c r="EF91" s="230"/>
      <c r="EG91" s="230"/>
      <c r="EH91" s="230"/>
      <c r="EI91" s="230"/>
      <c r="EJ91" s="230"/>
      <c r="EK91" s="230"/>
      <c r="EL91" s="230"/>
      <c r="EM91" s="230"/>
      <c r="EN91" s="230"/>
      <c r="EO91" s="230"/>
      <c r="EP91" s="230"/>
      <c r="EQ91" s="230"/>
      <c r="ER91" s="230"/>
      <c r="ES91" s="230"/>
      <c r="ET91" s="230"/>
      <c r="EU91" s="230"/>
      <c r="EV91" s="230"/>
      <c r="EW91" s="230"/>
      <c r="EX91" s="230"/>
      <c r="EY91" s="230"/>
      <c r="EZ91" s="230"/>
      <c r="FA91" s="230"/>
      <c r="FB91" s="230"/>
      <c r="FC91" s="230"/>
      <c r="FD91" s="230"/>
      <c r="FE91" s="230"/>
      <c r="FF91" s="230"/>
      <c r="FG91" s="230"/>
      <c r="FH91" s="230"/>
      <c r="FI91" s="230"/>
      <c r="FJ91" s="230"/>
      <c r="FK91" s="230"/>
      <c r="FL91" s="230"/>
      <c r="FM91" s="230"/>
      <c r="FN91" s="230"/>
      <c r="FO91" s="230"/>
      <c r="FP91" s="230"/>
      <c r="FQ91" s="230"/>
      <c r="FR91" s="230"/>
      <c r="FS91" s="230"/>
      <c r="FT91" s="230"/>
      <c r="FU91" s="230"/>
      <c r="FV91" s="230"/>
      <c r="FW91" s="230"/>
      <c r="FX91" s="230"/>
      <c r="FY91" s="230"/>
      <c r="FZ91" s="230"/>
      <c r="GA91" s="230"/>
      <c r="GB91" s="230"/>
      <c r="GC91" s="230"/>
      <c r="GD91" s="230"/>
      <c r="GE91" s="230"/>
      <c r="GF91" s="230"/>
      <c r="GG91" s="230"/>
      <c r="GH91" s="230"/>
      <c r="GI91" s="230"/>
      <c r="GJ91" s="230"/>
      <c r="GK91" s="230"/>
      <c r="GL91" s="230"/>
      <c r="GM91" s="230"/>
      <c r="GN91" s="230"/>
      <c r="GO91" s="230"/>
      <c r="GP91" s="230"/>
      <c r="GQ91" s="230"/>
      <c r="GR91" s="230"/>
    </row>
    <row r="92" spans="1:200" s="632" customFormat="1" ht="24.75" customHeight="1" outlineLevel="2" x14ac:dyDescent="0.2">
      <c r="A92" s="636" t="s">
        <v>4874</v>
      </c>
      <c r="B92" s="636" t="s">
        <v>4234</v>
      </c>
      <c r="C92" s="597"/>
      <c r="D92" s="1536"/>
      <c r="E92" s="635"/>
      <c r="F92" s="635"/>
      <c r="G92" s="1517">
        <v>4</v>
      </c>
      <c r="H92" s="1517"/>
      <c r="I92" s="1517"/>
      <c r="J92" s="1517" t="s">
        <v>4246</v>
      </c>
      <c r="K92" s="1518"/>
      <c r="L92" s="1518"/>
      <c r="M92" s="635"/>
      <c r="N92" s="624"/>
      <c r="O92" s="624"/>
      <c r="P92" s="624"/>
      <c r="Q92" s="624"/>
      <c r="R92" s="624"/>
      <c r="S92" s="624"/>
      <c r="T92" s="624"/>
      <c r="U92" s="624"/>
      <c r="V92" s="624"/>
      <c r="W92" s="624"/>
      <c r="X92" s="624"/>
      <c r="Y92" s="624"/>
      <c r="Z92" s="624"/>
      <c r="AA92">
        <f>IF(AND('12 Ext'!C92&gt;Tmin, NOT('12 Ext'!$I92="")),'12 Ext'!$I92,0)</f>
        <v>0</v>
      </c>
      <c r="AB92">
        <f>IF(AND('12 Ext'!D92&gt;Tmin, NOT('12 Ext'!$I92="")),'12 Ext'!$I92,0)</f>
        <v>0</v>
      </c>
      <c r="AC92">
        <f>IF(AND('12 Ext'!E92&gt;Tmin, NOT('12 Ext'!$I92="")),'12 Ext'!$I92,0)</f>
        <v>0</v>
      </c>
      <c r="AD92">
        <f>IF(AND('12 Ext'!F92&gt;Tmin, NOT('12 Ext'!$I92="")),'12 Ext'!$I92,0)</f>
        <v>0</v>
      </c>
      <c r="AE92">
        <f>IF(AND('12 Ext'!C92&lt;Tmax, NOT('12 Ext'!$H92="")),'12 Ext'!$H92,4)</f>
        <v>4</v>
      </c>
      <c r="AF92">
        <f>IF(AND('12 Ext'!D92&lt;Tmax, NOT('12 Ext'!$H92="")),'12 Ext'!$H92,4)</f>
        <v>4</v>
      </c>
      <c r="AG92">
        <f>IF(AND('12 Ext'!E92&lt;Tmax, NOT('12 Ext'!$H92="")),'12 Ext'!$H92,4)</f>
        <v>4</v>
      </c>
      <c r="AH92">
        <f>IF(AND('12 Ext'!F92&lt;Tmax, NOT('12 Ext'!$H92="")),'12 Ext'!$H92,4)</f>
        <v>4</v>
      </c>
      <c r="AI92"/>
      <c r="AJ92" s="230"/>
      <c r="AK92" s="230"/>
      <c r="AL92" s="230"/>
      <c r="AM92" s="230"/>
      <c r="AN92" s="230"/>
      <c r="AO92" s="230"/>
      <c r="AP92" s="230"/>
      <c r="AQ92" s="230"/>
      <c r="AR92" s="230"/>
      <c r="AS92" s="230"/>
      <c r="AT92" s="230"/>
      <c r="AU92" s="230"/>
      <c r="AV92" s="230"/>
      <c r="AW92" s="230"/>
      <c r="AX92" s="230"/>
      <c r="AY92" s="230"/>
      <c r="AZ92" s="230"/>
      <c r="BA92" s="230"/>
      <c r="BB92" s="230"/>
      <c r="BC92" s="230"/>
      <c r="BD92" s="230"/>
      <c r="BE92" s="230"/>
      <c r="BF92" s="230"/>
      <c r="BG92" s="230"/>
      <c r="BH92" s="230"/>
      <c r="BI92" s="230"/>
      <c r="BJ92" s="230"/>
      <c r="BK92" s="230"/>
      <c r="BL92" s="230"/>
      <c r="BM92" s="230"/>
      <c r="BN92" s="230"/>
      <c r="BO92" s="230"/>
      <c r="BP92" s="230"/>
      <c r="BQ92" s="230"/>
      <c r="BR92" s="230"/>
      <c r="BS92" s="230"/>
      <c r="BT92" s="230"/>
      <c r="BU92" s="230"/>
      <c r="BV92" s="230"/>
      <c r="BW92" s="230"/>
      <c r="BX92" s="230"/>
      <c r="BY92" s="230"/>
      <c r="BZ92" s="230"/>
      <c r="CA92" s="230"/>
      <c r="CB92" s="230"/>
      <c r="CC92" s="230"/>
      <c r="CD92" s="230"/>
      <c r="CE92" s="230"/>
      <c r="CF92" s="230"/>
      <c r="CG92" s="230"/>
      <c r="CH92" s="230"/>
      <c r="CI92" s="230"/>
      <c r="CJ92" s="230"/>
      <c r="CK92" s="230"/>
      <c r="CL92" s="230"/>
      <c r="CM92" s="230"/>
      <c r="CN92" s="230"/>
      <c r="CO92" s="230"/>
      <c r="CP92" s="230"/>
      <c r="CQ92" s="230"/>
      <c r="CR92" s="230"/>
      <c r="CS92" s="230"/>
      <c r="CT92" s="230"/>
      <c r="CU92" s="230"/>
      <c r="CV92" s="230"/>
      <c r="CW92" s="230"/>
      <c r="CX92" s="230"/>
      <c r="CY92" s="230"/>
      <c r="CZ92" s="230"/>
      <c r="DA92" s="230"/>
      <c r="DB92" s="230"/>
      <c r="DC92" s="230"/>
      <c r="DD92" s="230"/>
      <c r="DE92" s="230"/>
      <c r="DF92" s="230"/>
      <c r="DG92" s="230"/>
      <c r="DH92" s="230"/>
      <c r="DI92" s="230"/>
      <c r="DJ92" s="230"/>
      <c r="DK92" s="230"/>
      <c r="DL92" s="230"/>
      <c r="DM92" s="230"/>
      <c r="DN92" s="230"/>
      <c r="DO92" s="230"/>
      <c r="DP92" s="230"/>
      <c r="DQ92" s="230"/>
      <c r="DR92" s="230"/>
      <c r="DS92" s="230"/>
      <c r="DT92" s="230"/>
      <c r="DU92" s="230"/>
      <c r="DV92" s="230"/>
      <c r="DW92" s="230"/>
      <c r="DX92" s="230"/>
      <c r="DY92" s="230"/>
      <c r="DZ92" s="230"/>
      <c r="EA92" s="230"/>
      <c r="EB92" s="230"/>
      <c r="EC92" s="230"/>
      <c r="ED92" s="230"/>
      <c r="EE92" s="230"/>
      <c r="EF92" s="230"/>
      <c r="EG92" s="230"/>
      <c r="EH92" s="230"/>
      <c r="EI92" s="230"/>
      <c r="EJ92" s="230"/>
      <c r="EK92" s="230"/>
      <c r="EL92" s="230"/>
      <c r="EM92" s="230"/>
      <c r="EN92" s="230"/>
      <c r="EO92" s="230"/>
      <c r="EP92" s="230"/>
      <c r="EQ92" s="230"/>
      <c r="ER92" s="230"/>
      <c r="ES92" s="230"/>
      <c r="ET92" s="230"/>
      <c r="EU92" s="230"/>
      <c r="EV92" s="230"/>
      <c r="EW92" s="230"/>
      <c r="EX92" s="230"/>
      <c r="EY92" s="230"/>
      <c r="EZ92" s="230"/>
      <c r="FA92" s="230"/>
      <c r="FB92" s="230"/>
      <c r="FC92" s="230"/>
      <c r="FD92" s="230"/>
      <c r="FE92" s="230"/>
      <c r="FF92" s="230"/>
      <c r="FG92" s="230"/>
      <c r="FH92" s="230"/>
      <c r="FI92" s="230"/>
      <c r="FJ92" s="230"/>
      <c r="FK92" s="230"/>
      <c r="FL92" s="230"/>
      <c r="FM92" s="230"/>
      <c r="FN92" s="230"/>
      <c r="FO92" s="230"/>
      <c r="FP92" s="230"/>
      <c r="FQ92" s="230"/>
      <c r="FR92" s="230"/>
      <c r="FS92" s="230"/>
      <c r="FT92" s="230"/>
      <c r="FU92" s="230"/>
      <c r="FV92" s="230"/>
      <c r="FW92" s="230"/>
      <c r="FX92" s="230"/>
      <c r="FY92" s="230"/>
      <c r="FZ92" s="230"/>
      <c r="GA92" s="230"/>
      <c r="GB92" s="230"/>
      <c r="GC92" s="230"/>
      <c r="GD92" s="230"/>
      <c r="GE92" s="230"/>
      <c r="GF92" s="230"/>
      <c r="GG92" s="230"/>
      <c r="GH92" s="230"/>
      <c r="GI92" s="230"/>
      <c r="GJ92" s="230"/>
      <c r="GK92" s="230"/>
      <c r="GL92" s="230"/>
      <c r="GM92" s="230"/>
      <c r="GN92" s="230"/>
      <c r="GO92" s="230"/>
      <c r="GP92" s="230"/>
      <c r="GQ92" s="230"/>
      <c r="GR92" s="230"/>
    </row>
    <row r="93" spans="1:200" s="632" customFormat="1" ht="22.5" outlineLevel="2" x14ac:dyDescent="0.2">
      <c r="A93" s="636" t="s">
        <v>4875</v>
      </c>
      <c r="B93" s="636" t="s">
        <v>4316</v>
      </c>
      <c r="C93" s="597"/>
      <c r="D93" s="1536"/>
      <c r="E93" s="635"/>
      <c r="F93" s="635"/>
      <c r="G93" s="1517">
        <v>2</v>
      </c>
      <c r="H93" s="1517"/>
      <c r="I93" s="1517"/>
      <c r="J93" s="1517" t="s">
        <v>1592</v>
      </c>
      <c r="K93" s="1518"/>
      <c r="L93" s="1518"/>
      <c r="M93" s="635"/>
      <c r="N93" s="624"/>
      <c r="O93" s="624"/>
      <c r="P93" s="624"/>
      <c r="Q93" s="624"/>
      <c r="R93" s="624"/>
      <c r="S93" s="624"/>
      <c r="T93" s="624"/>
      <c r="U93" s="624"/>
      <c r="V93" s="624"/>
      <c r="W93" s="624"/>
      <c r="X93" s="624"/>
      <c r="Y93" s="624"/>
      <c r="Z93" s="624"/>
      <c r="AA93">
        <f>IF(AND('12 Ext'!C93&gt;Tmin, NOT('12 Ext'!$I93="")),'12 Ext'!$I93,0)</f>
        <v>0</v>
      </c>
      <c r="AB93">
        <f>IF(AND('12 Ext'!D93&gt;Tmin, NOT('12 Ext'!$I93="")),'12 Ext'!$I93,0)</f>
        <v>0</v>
      </c>
      <c r="AC93">
        <f>IF(AND('12 Ext'!E93&gt;Tmin, NOT('12 Ext'!$I93="")),'12 Ext'!$I93,0)</f>
        <v>0</v>
      </c>
      <c r="AD93">
        <f>IF(AND('12 Ext'!F93&gt;Tmin, NOT('12 Ext'!$I93="")),'12 Ext'!$I93,0)</f>
        <v>0</v>
      </c>
      <c r="AE93">
        <f>IF(AND('12 Ext'!C93&lt;Tmax, NOT('12 Ext'!$H93="")),'12 Ext'!$H93,4)</f>
        <v>4</v>
      </c>
      <c r="AF93">
        <f>IF(AND('12 Ext'!D93&lt;Tmax, NOT('12 Ext'!$H93="")),'12 Ext'!$H93,4)</f>
        <v>4</v>
      </c>
      <c r="AG93">
        <f>IF(AND('12 Ext'!E93&lt;Tmax, NOT('12 Ext'!$H93="")),'12 Ext'!$H93,4)</f>
        <v>4</v>
      </c>
      <c r="AH93">
        <f>IF(AND('12 Ext'!F93&lt;Tmax, NOT('12 Ext'!$H93="")),'12 Ext'!$H93,4)</f>
        <v>4</v>
      </c>
      <c r="AI93"/>
      <c r="AJ93" s="230"/>
      <c r="AK93" s="230"/>
      <c r="AL93" s="230"/>
      <c r="AM93" s="230"/>
      <c r="AN93" s="230"/>
      <c r="AO93" s="230"/>
      <c r="AP93" s="230"/>
      <c r="AQ93" s="230"/>
      <c r="AR93" s="230"/>
      <c r="AS93" s="230"/>
      <c r="AT93" s="230"/>
      <c r="AU93" s="230"/>
      <c r="AV93" s="230"/>
      <c r="AW93" s="230"/>
      <c r="AX93" s="230"/>
      <c r="AY93" s="230"/>
      <c r="AZ93" s="230"/>
      <c r="BA93" s="230"/>
      <c r="BB93" s="230"/>
      <c r="BC93" s="230"/>
      <c r="BD93" s="230"/>
      <c r="BE93" s="230"/>
      <c r="BF93" s="230"/>
      <c r="BG93" s="230"/>
      <c r="BH93" s="230"/>
      <c r="BI93" s="230"/>
      <c r="BJ93" s="230"/>
      <c r="BK93" s="230"/>
      <c r="BL93" s="230"/>
      <c r="BM93" s="230"/>
      <c r="BN93" s="230"/>
      <c r="BO93" s="230"/>
      <c r="BP93" s="230"/>
      <c r="BQ93" s="230"/>
      <c r="BR93" s="230"/>
      <c r="BS93" s="230"/>
      <c r="BT93" s="230"/>
      <c r="BU93" s="230"/>
      <c r="BV93" s="230"/>
      <c r="BW93" s="230"/>
      <c r="BX93" s="230"/>
      <c r="BY93" s="230"/>
      <c r="BZ93" s="230"/>
      <c r="CA93" s="230"/>
      <c r="CB93" s="230"/>
      <c r="CC93" s="230"/>
      <c r="CD93" s="230"/>
      <c r="CE93" s="230"/>
      <c r="CF93" s="230"/>
      <c r="CG93" s="230"/>
      <c r="CH93" s="230"/>
      <c r="CI93" s="230"/>
      <c r="CJ93" s="230"/>
      <c r="CK93" s="230"/>
      <c r="CL93" s="230"/>
      <c r="CM93" s="230"/>
      <c r="CN93" s="230"/>
      <c r="CO93" s="230"/>
      <c r="CP93" s="230"/>
      <c r="CQ93" s="230"/>
      <c r="CR93" s="230"/>
      <c r="CS93" s="230"/>
      <c r="CT93" s="230"/>
      <c r="CU93" s="230"/>
      <c r="CV93" s="230"/>
      <c r="CW93" s="230"/>
      <c r="CX93" s="230"/>
      <c r="CY93" s="230"/>
      <c r="CZ93" s="230"/>
      <c r="DA93" s="230"/>
      <c r="DB93" s="230"/>
      <c r="DC93" s="230"/>
      <c r="DD93" s="230"/>
      <c r="DE93" s="230"/>
      <c r="DF93" s="230"/>
      <c r="DG93" s="230"/>
      <c r="DH93" s="230"/>
      <c r="DI93" s="230"/>
      <c r="DJ93" s="230"/>
      <c r="DK93" s="230"/>
      <c r="DL93" s="230"/>
      <c r="DM93" s="230"/>
      <c r="DN93" s="230"/>
      <c r="DO93" s="230"/>
      <c r="DP93" s="230"/>
      <c r="DQ93" s="230"/>
      <c r="DR93" s="230"/>
      <c r="DS93" s="230"/>
      <c r="DT93" s="230"/>
      <c r="DU93" s="230"/>
      <c r="DV93" s="230"/>
      <c r="DW93" s="230"/>
      <c r="DX93" s="230"/>
      <c r="DY93" s="230"/>
      <c r="DZ93" s="230"/>
      <c r="EA93" s="230"/>
      <c r="EB93" s="230"/>
      <c r="EC93" s="230"/>
      <c r="ED93" s="230"/>
      <c r="EE93" s="230"/>
      <c r="EF93" s="230"/>
      <c r="EG93" s="230"/>
      <c r="EH93" s="230"/>
      <c r="EI93" s="230"/>
      <c r="EJ93" s="230"/>
      <c r="EK93" s="230"/>
      <c r="EL93" s="230"/>
      <c r="EM93" s="230"/>
      <c r="EN93" s="230"/>
      <c r="EO93" s="230"/>
      <c r="EP93" s="230"/>
      <c r="EQ93" s="230"/>
      <c r="ER93" s="230"/>
      <c r="ES93" s="230"/>
      <c r="ET93" s="230"/>
      <c r="EU93" s="230"/>
      <c r="EV93" s="230"/>
      <c r="EW93" s="230"/>
      <c r="EX93" s="230"/>
      <c r="EY93" s="230"/>
      <c r="EZ93" s="230"/>
      <c r="FA93" s="230"/>
      <c r="FB93" s="230"/>
      <c r="FC93" s="230"/>
      <c r="FD93" s="230"/>
      <c r="FE93" s="230"/>
      <c r="FF93" s="230"/>
      <c r="FG93" s="230"/>
      <c r="FH93" s="230"/>
      <c r="FI93" s="230"/>
      <c r="FJ93" s="230"/>
      <c r="FK93" s="230"/>
      <c r="FL93" s="230"/>
      <c r="FM93" s="230"/>
      <c r="FN93" s="230"/>
      <c r="FO93" s="230"/>
      <c r="FP93" s="230"/>
      <c r="FQ93" s="230"/>
      <c r="FR93" s="230"/>
      <c r="FS93" s="230"/>
      <c r="FT93" s="230"/>
      <c r="FU93" s="230"/>
      <c r="FV93" s="230"/>
      <c r="FW93" s="230"/>
      <c r="FX93" s="230"/>
      <c r="FY93" s="230"/>
      <c r="FZ93" s="230"/>
      <c r="GA93" s="230"/>
      <c r="GB93" s="230"/>
      <c r="GC93" s="230"/>
      <c r="GD93" s="230"/>
      <c r="GE93" s="230"/>
      <c r="GF93" s="230"/>
      <c r="GG93" s="230"/>
      <c r="GH93" s="230"/>
      <c r="GI93" s="230"/>
      <c r="GJ93" s="230"/>
      <c r="GK93" s="230"/>
      <c r="GL93" s="230"/>
      <c r="GM93" s="230"/>
      <c r="GN93" s="230"/>
      <c r="GO93" s="230"/>
      <c r="GP93" s="230"/>
      <c r="GQ93" s="230"/>
      <c r="GR93" s="230"/>
    </row>
    <row r="94" spans="1:200" s="632" customFormat="1" ht="24.75" customHeight="1" outlineLevel="2" x14ac:dyDescent="0.2">
      <c r="A94" s="636" t="s">
        <v>4876</v>
      </c>
      <c r="B94" s="636" t="s">
        <v>4402</v>
      </c>
      <c r="C94" s="597"/>
      <c r="D94" s="1536"/>
      <c r="E94" s="635"/>
      <c r="F94" s="635"/>
      <c r="G94" s="1517">
        <v>4</v>
      </c>
      <c r="H94" s="1517"/>
      <c r="I94" s="1517"/>
      <c r="J94" s="1517" t="s">
        <v>1592</v>
      </c>
      <c r="K94" s="1518"/>
      <c r="L94" s="1518"/>
      <c r="M94" s="635"/>
      <c r="N94" s="624"/>
      <c r="O94" s="624"/>
      <c r="P94" s="624"/>
      <c r="Q94" s="624"/>
      <c r="R94" s="624"/>
      <c r="S94" s="624"/>
      <c r="T94" s="624"/>
      <c r="U94" s="624"/>
      <c r="V94" s="624"/>
      <c r="W94" s="624"/>
      <c r="X94" s="624"/>
      <c r="Y94" s="624"/>
      <c r="Z94" s="624"/>
      <c r="AA94">
        <f>IF(AND('12 Ext'!C94&gt;Tmin, NOT('12 Ext'!$I94="")),'12 Ext'!$I94,0)</f>
        <v>0</v>
      </c>
      <c r="AB94">
        <f>IF(AND('12 Ext'!D94&gt;Tmin, NOT('12 Ext'!$I94="")),'12 Ext'!$I94,0)</f>
        <v>0</v>
      </c>
      <c r="AC94">
        <f>IF(AND('12 Ext'!E94&gt;Tmin, NOT('12 Ext'!$I94="")),'12 Ext'!$I94,0)</f>
        <v>0</v>
      </c>
      <c r="AD94">
        <f>IF(AND('12 Ext'!F94&gt;Tmin, NOT('12 Ext'!$I94="")),'12 Ext'!$I94,0)</f>
        <v>0</v>
      </c>
      <c r="AE94">
        <f>IF(AND('12 Ext'!C94&lt;Tmax, NOT('12 Ext'!$H94="")),'12 Ext'!$H94,4)</f>
        <v>4</v>
      </c>
      <c r="AF94">
        <f>IF(AND('12 Ext'!D94&lt;Tmax, NOT('12 Ext'!$H94="")),'12 Ext'!$H94,4)</f>
        <v>4</v>
      </c>
      <c r="AG94">
        <f>IF(AND('12 Ext'!E94&lt;Tmax, NOT('12 Ext'!$H94="")),'12 Ext'!$H94,4)</f>
        <v>4</v>
      </c>
      <c r="AH94">
        <f>IF(AND('12 Ext'!F94&lt;Tmax, NOT('12 Ext'!$H94="")),'12 Ext'!$H94,4)</f>
        <v>4</v>
      </c>
      <c r="AI94"/>
      <c r="AJ94" s="230"/>
      <c r="AK94" s="230"/>
      <c r="AL94" s="230"/>
      <c r="AM94" s="230"/>
      <c r="AN94" s="230"/>
      <c r="AO94" s="230"/>
      <c r="AP94" s="230"/>
      <c r="AQ94" s="230"/>
      <c r="AR94" s="230"/>
      <c r="AS94" s="230"/>
      <c r="AT94" s="230"/>
      <c r="AU94" s="230"/>
      <c r="AV94" s="230"/>
      <c r="AW94" s="230"/>
      <c r="AX94" s="230"/>
      <c r="AY94" s="230"/>
      <c r="AZ94" s="230"/>
      <c r="BA94" s="230"/>
      <c r="BB94" s="230"/>
      <c r="BC94" s="230"/>
      <c r="BD94" s="230"/>
      <c r="BE94" s="230"/>
      <c r="BF94" s="230"/>
      <c r="BG94" s="230"/>
      <c r="BH94" s="230"/>
      <c r="BI94" s="230"/>
      <c r="BJ94" s="230"/>
      <c r="BK94" s="230"/>
      <c r="BL94" s="230"/>
      <c r="BM94" s="230"/>
      <c r="BN94" s="230"/>
      <c r="BO94" s="230"/>
      <c r="BP94" s="230"/>
      <c r="BQ94" s="230"/>
      <c r="BR94" s="230"/>
      <c r="BS94" s="230"/>
      <c r="BT94" s="230"/>
      <c r="BU94" s="230"/>
      <c r="BV94" s="230"/>
      <c r="BW94" s="230"/>
      <c r="BX94" s="230"/>
      <c r="BY94" s="230"/>
      <c r="BZ94" s="230"/>
      <c r="CA94" s="230"/>
      <c r="CB94" s="230"/>
      <c r="CC94" s="230"/>
      <c r="CD94" s="230"/>
      <c r="CE94" s="230"/>
      <c r="CF94" s="230"/>
      <c r="CG94" s="230"/>
      <c r="CH94" s="230"/>
      <c r="CI94" s="230"/>
      <c r="CJ94" s="230"/>
      <c r="CK94" s="230"/>
      <c r="CL94" s="230"/>
      <c r="CM94" s="230"/>
      <c r="CN94" s="230"/>
      <c r="CO94" s="230"/>
      <c r="CP94" s="230"/>
      <c r="CQ94" s="230"/>
      <c r="CR94" s="230"/>
      <c r="CS94" s="230"/>
      <c r="CT94" s="230"/>
      <c r="CU94" s="230"/>
      <c r="CV94" s="230"/>
      <c r="CW94" s="230"/>
      <c r="CX94" s="230"/>
      <c r="CY94" s="230"/>
      <c r="CZ94" s="230"/>
      <c r="DA94" s="230"/>
      <c r="DB94" s="230"/>
      <c r="DC94" s="230"/>
      <c r="DD94" s="230"/>
      <c r="DE94" s="230"/>
      <c r="DF94" s="230"/>
      <c r="DG94" s="230"/>
      <c r="DH94" s="230"/>
      <c r="DI94" s="230"/>
      <c r="DJ94" s="230"/>
      <c r="DK94" s="230"/>
      <c r="DL94" s="230"/>
      <c r="DM94" s="230"/>
      <c r="DN94" s="230"/>
      <c r="DO94" s="230"/>
      <c r="DP94" s="230"/>
      <c r="DQ94" s="230"/>
      <c r="DR94" s="230"/>
      <c r="DS94" s="230"/>
      <c r="DT94" s="230"/>
      <c r="DU94" s="230"/>
      <c r="DV94" s="230"/>
      <c r="DW94" s="230"/>
      <c r="DX94" s="230"/>
      <c r="DY94" s="230"/>
      <c r="DZ94" s="230"/>
      <c r="EA94" s="230"/>
      <c r="EB94" s="230"/>
      <c r="EC94" s="230"/>
      <c r="ED94" s="230"/>
      <c r="EE94" s="230"/>
      <c r="EF94" s="230"/>
      <c r="EG94" s="230"/>
      <c r="EH94" s="230"/>
      <c r="EI94" s="230"/>
      <c r="EJ94" s="230"/>
      <c r="EK94" s="230"/>
      <c r="EL94" s="230"/>
      <c r="EM94" s="230"/>
      <c r="EN94" s="230"/>
      <c r="EO94" s="230"/>
      <c r="EP94" s="230"/>
      <c r="EQ94" s="230"/>
      <c r="ER94" s="230"/>
      <c r="ES94" s="230"/>
      <c r="ET94" s="230"/>
      <c r="EU94" s="230"/>
      <c r="EV94" s="230"/>
      <c r="EW94" s="230"/>
      <c r="EX94" s="230"/>
      <c r="EY94" s="230"/>
      <c r="EZ94" s="230"/>
      <c r="FA94" s="230"/>
      <c r="FB94" s="230"/>
      <c r="FC94" s="230"/>
      <c r="FD94" s="230"/>
      <c r="FE94" s="230"/>
      <c r="FF94" s="230"/>
      <c r="FG94" s="230"/>
      <c r="FH94" s="230"/>
      <c r="FI94" s="230"/>
      <c r="FJ94" s="230"/>
      <c r="FK94" s="230"/>
      <c r="FL94" s="230"/>
      <c r="FM94" s="230"/>
      <c r="FN94" s="230"/>
      <c r="FO94" s="230"/>
      <c r="FP94" s="230"/>
      <c r="FQ94" s="230"/>
      <c r="FR94" s="230"/>
      <c r="FS94" s="230"/>
      <c r="FT94" s="230"/>
      <c r="FU94" s="230"/>
      <c r="FV94" s="230"/>
      <c r="FW94" s="230"/>
      <c r="FX94" s="230"/>
      <c r="FY94" s="230"/>
      <c r="FZ94" s="230"/>
      <c r="GA94" s="230"/>
      <c r="GB94" s="230"/>
      <c r="GC94" s="230"/>
      <c r="GD94" s="230"/>
      <c r="GE94" s="230"/>
      <c r="GF94" s="230"/>
      <c r="GG94" s="230"/>
      <c r="GH94" s="230"/>
      <c r="GI94" s="230"/>
      <c r="GJ94" s="230"/>
      <c r="GK94" s="230"/>
      <c r="GL94" s="230"/>
      <c r="GM94" s="230"/>
      <c r="GN94" s="230"/>
      <c r="GO94" s="230"/>
      <c r="GP94" s="230"/>
      <c r="GQ94" s="230"/>
      <c r="GR94" s="230"/>
    </row>
    <row r="95" spans="1:200" s="632" customFormat="1" ht="24" customHeight="1" outlineLevel="2" x14ac:dyDescent="0.2">
      <c r="A95" s="636" t="s">
        <v>4877</v>
      </c>
      <c r="B95" s="636" t="s">
        <v>3377</v>
      </c>
      <c r="C95" s="597"/>
      <c r="D95" s="1536"/>
      <c r="E95" s="635"/>
      <c r="F95" s="635"/>
      <c r="G95" s="1517">
        <v>4</v>
      </c>
      <c r="H95" s="1517">
        <v>2</v>
      </c>
      <c r="I95" s="1517"/>
      <c r="J95" s="1517" t="s">
        <v>1592</v>
      </c>
      <c r="K95" s="1518"/>
      <c r="L95" s="1518"/>
      <c r="M95" s="635"/>
      <c r="N95" s="624"/>
      <c r="O95" s="624"/>
      <c r="P95" s="624"/>
      <c r="Q95" s="624"/>
      <c r="R95" s="624"/>
      <c r="S95" s="624"/>
      <c r="T95" s="624"/>
      <c r="U95" s="624"/>
      <c r="V95" s="624"/>
      <c r="W95" s="624"/>
      <c r="X95" s="624"/>
      <c r="Y95" s="624"/>
      <c r="Z95" s="624"/>
      <c r="AA95">
        <f>IF(AND('12 Ext'!C95&gt;Tmin, NOT('12 Ext'!$I95="")),'12 Ext'!$I95,0)</f>
        <v>0</v>
      </c>
      <c r="AB95">
        <f>IF(AND('12 Ext'!D95&gt;Tmin, NOT('12 Ext'!$I95="")),'12 Ext'!$I95,0)</f>
        <v>0</v>
      </c>
      <c r="AC95">
        <f>IF(AND('12 Ext'!E95&gt;Tmin, NOT('12 Ext'!$I95="")),'12 Ext'!$I95,0)</f>
        <v>0</v>
      </c>
      <c r="AD95">
        <f>IF(AND('12 Ext'!F95&gt;Tmin, NOT('12 Ext'!$I95="")),'12 Ext'!$I95,0)</f>
        <v>0</v>
      </c>
      <c r="AE95">
        <f>IF(AND('12 Ext'!C95&lt;Tmax, NOT('12 Ext'!$H95="")),'12 Ext'!$H95,4)</f>
        <v>2</v>
      </c>
      <c r="AF95">
        <f>IF(AND('12 Ext'!D95&lt;Tmax, NOT('12 Ext'!$H95="")),'12 Ext'!$H95,4)</f>
        <v>2</v>
      </c>
      <c r="AG95">
        <f>IF(AND('12 Ext'!E95&lt;Tmax, NOT('12 Ext'!$H95="")),'12 Ext'!$H95,4)</f>
        <v>2</v>
      </c>
      <c r="AH95">
        <f>IF(AND('12 Ext'!F95&lt;Tmax, NOT('12 Ext'!$H95="")),'12 Ext'!$H95,4)</f>
        <v>2</v>
      </c>
      <c r="AI95"/>
      <c r="AJ95" s="230"/>
      <c r="AK95" s="230"/>
      <c r="AL95" s="230"/>
      <c r="AM95" s="230"/>
      <c r="AN95" s="230"/>
      <c r="AO95" s="230"/>
      <c r="AP95" s="230"/>
      <c r="AQ95" s="230"/>
      <c r="AR95" s="230"/>
      <c r="AS95" s="230"/>
      <c r="AT95" s="230"/>
      <c r="AU95" s="230"/>
      <c r="AV95" s="230"/>
      <c r="AW95" s="230"/>
      <c r="AX95" s="230"/>
      <c r="AY95" s="230"/>
      <c r="AZ95" s="230"/>
      <c r="BA95" s="230"/>
      <c r="BB95" s="230"/>
      <c r="BC95" s="230"/>
      <c r="BD95" s="230"/>
      <c r="BE95" s="230"/>
      <c r="BF95" s="230"/>
      <c r="BG95" s="230"/>
      <c r="BH95" s="230"/>
      <c r="BI95" s="230"/>
      <c r="BJ95" s="230"/>
      <c r="BK95" s="230"/>
      <c r="BL95" s="230"/>
      <c r="BM95" s="230"/>
      <c r="BN95" s="230"/>
      <c r="BO95" s="230"/>
      <c r="BP95" s="230"/>
      <c r="BQ95" s="230"/>
      <c r="BR95" s="230"/>
      <c r="BS95" s="230"/>
      <c r="BT95" s="230"/>
      <c r="BU95" s="230"/>
      <c r="BV95" s="230"/>
      <c r="BW95" s="230"/>
      <c r="BX95" s="230"/>
      <c r="BY95" s="230"/>
      <c r="BZ95" s="230"/>
      <c r="CA95" s="230"/>
      <c r="CB95" s="230"/>
      <c r="CC95" s="230"/>
      <c r="CD95" s="230"/>
      <c r="CE95" s="230"/>
      <c r="CF95" s="230"/>
      <c r="CG95" s="230"/>
      <c r="CH95" s="230"/>
      <c r="CI95" s="230"/>
      <c r="CJ95" s="230"/>
      <c r="CK95" s="230"/>
      <c r="CL95" s="230"/>
      <c r="CM95" s="230"/>
      <c r="CN95" s="230"/>
      <c r="CO95" s="230"/>
      <c r="CP95" s="230"/>
      <c r="CQ95" s="230"/>
      <c r="CR95" s="230"/>
      <c r="CS95" s="230"/>
      <c r="CT95" s="230"/>
      <c r="CU95" s="230"/>
      <c r="CV95" s="230"/>
      <c r="CW95" s="230"/>
      <c r="CX95" s="230"/>
      <c r="CY95" s="230"/>
      <c r="CZ95" s="230"/>
      <c r="DA95" s="230"/>
      <c r="DB95" s="230"/>
      <c r="DC95" s="230"/>
      <c r="DD95" s="230"/>
      <c r="DE95" s="230"/>
      <c r="DF95" s="230"/>
      <c r="DG95" s="230"/>
      <c r="DH95" s="230"/>
      <c r="DI95" s="230"/>
      <c r="DJ95" s="230"/>
      <c r="DK95" s="230"/>
      <c r="DL95" s="230"/>
      <c r="DM95" s="230"/>
      <c r="DN95" s="230"/>
      <c r="DO95" s="230"/>
      <c r="DP95" s="230"/>
      <c r="DQ95" s="230"/>
      <c r="DR95" s="230"/>
      <c r="DS95" s="230"/>
      <c r="DT95" s="230"/>
      <c r="DU95" s="230"/>
      <c r="DV95" s="230"/>
      <c r="DW95" s="230"/>
      <c r="DX95" s="230"/>
      <c r="DY95" s="230"/>
      <c r="DZ95" s="230"/>
      <c r="EA95" s="230"/>
      <c r="EB95" s="230"/>
      <c r="EC95" s="230"/>
      <c r="ED95" s="230"/>
      <c r="EE95" s="230"/>
      <c r="EF95" s="230"/>
      <c r="EG95" s="230"/>
      <c r="EH95" s="230"/>
      <c r="EI95" s="230"/>
      <c r="EJ95" s="230"/>
      <c r="EK95" s="230"/>
      <c r="EL95" s="230"/>
      <c r="EM95" s="230"/>
      <c r="EN95" s="230"/>
      <c r="EO95" s="230"/>
      <c r="EP95" s="230"/>
      <c r="EQ95" s="230"/>
      <c r="ER95" s="230"/>
      <c r="ES95" s="230"/>
      <c r="ET95" s="230"/>
      <c r="EU95" s="230"/>
      <c r="EV95" s="230"/>
      <c r="EW95" s="230"/>
      <c r="EX95" s="230"/>
      <c r="EY95" s="230"/>
      <c r="EZ95" s="230"/>
      <c r="FA95" s="230"/>
      <c r="FB95" s="230"/>
      <c r="FC95" s="230"/>
      <c r="FD95" s="230"/>
      <c r="FE95" s="230"/>
      <c r="FF95" s="230"/>
      <c r="FG95" s="230"/>
      <c r="FH95" s="230"/>
      <c r="FI95" s="230"/>
      <c r="FJ95" s="230"/>
      <c r="FK95" s="230"/>
      <c r="FL95" s="230"/>
      <c r="FM95" s="230"/>
      <c r="FN95" s="230"/>
      <c r="FO95" s="230"/>
      <c r="FP95" s="230"/>
      <c r="FQ95" s="230"/>
      <c r="FR95" s="230"/>
      <c r="FS95" s="230"/>
      <c r="FT95" s="230"/>
      <c r="FU95" s="230"/>
      <c r="FV95" s="230"/>
      <c r="FW95" s="230"/>
      <c r="FX95" s="230"/>
      <c r="FY95" s="230"/>
      <c r="FZ95" s="230"/>
      <c r="GA95" s="230"/>
      <c r="GB95" s="230"/>
      <c r="GC95" s="230"/>
      <c r="GD95" s="230"/>
      <c r="GE95" s="230"/>
      <c r="GF95" s="230"/>
      <c r="GG95" s="230"/>
      <c r="GH95" s="230"/>
      <c r="GI95" s="230"/>
      <c r="GJ95" s="230"/>
      <c r="GK95" s="230"/>
      <c r="GL95" s="230"/>
      <c r="GM95" s="230"/>
      <c r="GN95" s="230"/>
      <c r="GO95" s="230"/>
      <c r="GP95" s="230"/>
      <c r="GQ95" s="230"/>
      <c r="GR95" s="230"/>
    </row>
    <row r="96" spans="1:200" s="632" customFormat="1" ht="26.25" customHeight="1" outlineLevel="2" x14ac:dyDescent="0.2">
      <c r="A96" s="636" t="s">
        <v>4878</v>
      </c>
      <c r="B96" s="636" t="s">
        <v>6127</v>
      </c>
      <c r="C96" s="597"/>
      <c r="D96" s="1538"/>
      <c r="E96" s="642"/>
      <c r="F96" s="642"/>
      <c r="G96" s="1517">
        <v>4</v>
      </c>
      <c r="H96" s="1517">
        <v>2</v>
      </c>
      <c r="I96" s="1517"/>
      <c r="J96" s="1517" t="s">
        <v>2329</v>
      </c>
      <c r="K96" s="1518"/>
      <c r="L96" s="1518"/>
      <c r="M96" s="635"/>
      <c r="N96" s="624"/>
      <c r="O96" s="624"/>
      <c r="P96" s="624"/>
      <c r="Q96" s="624"/>
      <c r="R96" s="624"/>
      <c r="S96" s="624"/>
      <c r="T96" s="624"/>
      <c r="U96" s="624"/>
      <c r="V96" s="624"/>
      <c r="W96" s="624"/>
      <c r="X96" s="624"/>
      <c r="Y96" s="624"/>
      <c r="Z96" s="624"/>
      <c r="AA96">
        <f>IF(AND('12 Ext'!C96&gt;Tmin, NOT('12 Ext'!$I96="")),'12 Ext'!$I96,0)</f>
        <v>0</v>
      </c>
      <c r="AB96">
        <f>IF(AND('12 Ext'!D96&gt;Tmin, NOT('12 Ext'!$I96="")),'12 Ext'!$I96,0)</f>
        <v>0</v>
      </c>
      <c r="AC96">
        <f>IF(AND('12 Ext'!E96&gt;Tmin, NOT('12 Ext'!$I96="")),'12 Ext'!$I96,0)</f>
        <v>0</v>
      </c>
      <c r="AD96">
        <f>IF(AND('12 Ext'!F96&gt;Tmin, NOT('12 Ext'!$I96="")),'12 Ext'!$I96,0)</f>
        <v>0</v>
      </c>
      <c r="AE96">
        <f>IF(AND('12 Ext'!C96&lt;Tmax, NOT('12 Ext'!$H96="")),'12 Ext'!$H96,4)</f>
        <v>2</v>
      </c>
      <c r="AF96">
        <f>IF(AND('12 Ext'!D96&lt;Tmax, NOT('12 Ext'!$H96="")),'12 Ext'!$H96,4)</f>
        <v>2</v>
      </c>
      <c r="AG96">
        <f>IF(AND('12 Ext'!E96&lt;Tmax, NOT('12 Ext'!$H96="")),'12 Ext'!$H96,4)</f>
        <v>2</v>
      </c>
      <c r="AH96">
        <f>IF(AND('12 Ext'!F96&lt;Tmax, NOT('12 Ext'!$H96="")),'12 Ext'!$H96,4)</f>
        <v>2</v>
      </c>
      <c r="AI96"/>
      <c r="AJ96" s="230"/>
      <c r="AK96" s="230"/>
      <c r="AL96" s="230"/>
      <c r="AM96" s="230"/>
      <c r="AN96" s="230"/>
      <c r="AO96" s="230"/>
      <c r="AP96" s="230"/>
      <c r="AQ96" s="230"/>
      <c r="AR96" s="230"/>
      <c r="AS96" s="230"/>
      <c r="AT96" s="230"/>
      <c r="AU96" s="230"/>
      <c r="AV96" s="230"/>
      <c r="AW96" s="230"/>
      <c r="AX96" s="230"/>
      <c r="AY96" s="230"/>
      <c r="AZ96" s="230"/>
      <c r="BA96" s="230"/>
      <c r="BB96" s="230"/>
      <c r="BC96" s="230"/>
      <c r="BD96" s="230"/>
      <c r="BE96" s="230"/>
      <c r="BF96" s="230"/>
      <c r="BG96" s="230"/>
      <c r="BH96" s="230"/>
      <c r="BI96" s="230"/>
      <c r="BJ96" s="230"/>
      <c r="BK96" s="230"/>
      <c r="BL96" s="230"/>
      <c r="BM96" s="230"/>
      <c r="BN96" s="230"/>
      <c r="BO96" s="230"/>
      <c r="BP96" s="230"/>
      <c r="BQ96" s="230"/>
      <c r="BR96" s="230"/>
      <c r="BS96" s="230"/>
      <c r="BT96" s="230"/>
      <c r="BU96" s="230"/>
      <c r="BV96" s="230"/>
      <c r="BW96" s="230"/>
      <c r="BX96" s="230"/>
      <c r="BY96" s="230"/>
      <c r="BZ96" s="230"/>
      <c r="CA96" s="230"/>
      <c r="CB96" s="230"/>
      <c r="CC96" s="230"/>
      <c r="CD96" s="230"/>
      <c r="CE96" s="230"/>
      <c r="CF96" s="230"/>
      <c r="CG96" s="230"/>
      <c r="CH96" s="230"/>
      <c r="CI96" s="230"/>
      <c r="CJ96" s="230"/>
      <c r="CK96" s="230"/>
      <c r="CL96" s="230"/>
      <c r="CM96" s="230"/>
      <c r="CN96" s="230"/>
      <c r="CO96" s="230"/>
      <c r="CP96" s="230"/>
      <c r="CQ96" s="230"/>
      <c r="CR96" s="230"/>
      <c r="CS96" s="230"/>
      <c r="CT96" s="230"/>
      <c r="CU96" s="230"/>
      <c r="CV96" s="230"/>
      <c r="CW96" s="230"/>
      <c r="CX96" s="230"/>
      <c r="CY96" s="230"/>
      <c r="CZ96" s="230"/>
      <c r="DA96" s="230"/>
      <c r="DB96" s="230"/>
      <c r="DC96" s="230"/>
      <c r="DD96" s="230"/>
      <c r="DE96" s="230"/>
      <c r="DF96" s="230"/>
      <c r="DG96" s="230"/>
      <c r="DH96" s="230"/>
      <c r="DI96" s="230"/>
      <c r="DJ96" s="230"/>
      <c r="DK96" s="230"/>
      <c r="DL96" s="230"/>
      <c r="DM96" s="230"/>
      <c r="DN96" s="230"/>
      <c r="DO96" s="230"/>
      <c r="DP96" s="230"/>
      <c r="DQ96" s="230"/>
      <c r="DR96" s="230"/>
      <c r="DS96" s="230"/>
      <c r="DT96" s="230"/>
      <c r="DU96" s="230"/>
      <c r="DV96" s="230"/>
      <c r="DW96" s="230"/>
      <c r="DX96" s="230"/>
      <c r="DY96" s="230"/>
      <c r="DZ96" s="230"/>
      <c r="EA96" s="230"/>
      <c r="EB96" s="230"/>
      <c r="EC96" s="230"/>
      <c r="ED96" s="230"/>
      <c r="EE96" s="230"/>
      <c r="EF96" s="230"/>
      <c r="EG96" s="230"/>
      <c r="EH96" s="230"/>
      <c r="EI96" s="230"/>
      <c r="EJ96" s="230"/>
      <c r="EK96" s="230"/>
      <c r="EL96" s="230"/>
      <c r="EM96" s="230"/>
      <c r="EN96" s="230"/>
      <c r="EO96" s="230"/>
      <c r="EP96" s="230"/>
      <c r="EQ96" s="230"/>
      <c r="ER96" s="230"/>
      <c r="ES96" s="230"/>
      <c r="ET96" s="230"/>
      <c r="EU96" s="230"/>
      <c r="EV96" s="230"/>
      <c r="EW96" s="230"/>
      <c r="EX96" s="230"/>
      <c r="EY96" s="230"/>
      <c r="EZ96" s="230"/>
      <c r="FA96" s="230"/>
      <c r="FB96" s="230"/>
      <c r="FC96" s="230"/>
      <c r="FD96" s="230"/>
      <c r="FE96" s="230"/>
      <c r="FF96" s="230"/>
      <c r="FG96" s="230"/>
      <c r="FH96" s="230"/>
      <c r="FI96" s="230"/>
      <c r="FJ96" s="230"/>
      <c r="FK96" s="230"/>
      <c r="FL96" s="230"/>
      <c r="FM96" s="230"/>
      <c r="FN96" s="230"/>
      <c r="FO96" s="230"/>
      <c r="FP96" s="230"/>
      <c r="FQ96" s="230"/>
      <c r="FR96" s="230"/>
      <c r="FS96" s="230"/>
      <c r="FT96" s="230"/>
      <c r="FU96" s="230"/>
      <c r="FV96" s="230"/>
      <c r="FW96" s="230"/>
      <c r="FX96" s="230"/>
      <c r="FY96" s="230"/>
      <c r="FZ96" s="230"/>
      <c r="GA96" s="230"/>
      <c r="GB96" s="230"/>
      <c r="GC96" s="230"/>
      <c r="GD96" s="230"/>
      <c r="GE96" s="230"/>
      <c r="GF96" s="230"/>
      <c r="GG96" s="230"/>
      <c r="GH96" s="230"/>
      <c r="GI96" s="230"/>
      <c r="GJ96" s="230"/>
      <c r="GK96" s="230"/>
      <c r="GL96" s="230"/>
      <c r="GM96" s="230"/>
      <c r="GN96" s="230"/>
      <c r="GO96" s="230"/>
      <c r="GP96" s="230"/>
      <c r="GQ96" s="230"/>
      <c r="GR96" s="230"/>
    </row>
    <row r="97" spans="1:200" s="632" customFormat="1" outlineLevel="2" x14ac:dyDescent="0.2">
      <c r="A97" s="636" t="s">
        <v>4879</v>
      </c>
      <c r="B97" s="636" t="s">
        <v>3380</v>
      </c>
      <c r="C97" s="597"/>
      <c r="D97" s="1538"/>
      <c r="E97" s="642"/>
      <c r="F97" s="642"/>
      <c r="G97" s="1517">
        <v>4</v>
      </c>
      <c r="H97" s="1517">
        <v>3</v>
      </c>
      <c r="I97" s="1517"/>
      <c r="J97" s="1517" t="s">
        <v>2349</v>
      </c>
      <c r="K97" s="1518"/>
      <c r="L97" s="1518"/>
      <c r="M97" s="635"/>
      <c r="N97" s="624"/>
      <c r="O97" s="624"/>
      <c r="P97" s="624"/>
      <c r="Q97" s="624"/>
      <c r="R97" s="624"/>
      <c r="S97" s="624"/>
      <c r="T97" s="624"/>
      <c r="U97" s="624"/>
      <c r="V97" s="624"/>
      <c r="W97" s="624"/>
      <c r="X97" s="624"/>
      <c r="Y97" s="624"/>
      <c r="Z97" s="624"/>
      <c r="AA97">
        <f>IF(AND('12 Ext'!C97&gt;Tmin, NOT('12 Ext'!$I97="")),'12 Ext'!$I97,0)</f>
        <v>0</v>
      </c>
      <c r="AB97">
        <f>IF(AND('12 Ext'!D97&gt;Tmin, NOT('12 Ext'!$I97="")),'12 Ext'!$I97,0)</f>
        <v>0</v>
      </c>
      <c r="AC97">
        <f>IF(AND('12 Ext'!E97&gt;Tmin, NOT('12 Ext'!$I97="")),'12 Ext'!$I97,0)</f>
        <v>0</v>
      </c>
      <c r="AD97">
        <f>IF(AND('12 Ext'!F97&gt;Tmin, NOT('12 Ext'!$I97="")),'12 Ext'!$I97,0)</f>
        <v>0</v>
      </c>
      <c r="AE97">
        <f>IF(AND('12 Ext'!C97&lt;Tmax, NOT('12 Ext'!$H97="")),'12 Ext'!$H97,4)</f>
        <v>3</v>
      </c>
      <c r="AF97">
        <f>IF(AND('12 Ext'!D97&lt;Tmax, NOT('12 Ext'!$H97="")),'12 Ext'!$H97,4)</f>
        <v>3</v>
      </c>
      <c r="AG97">
        <f>IF(AND('12 Ext'!E97&lt;Tmax, NOT('12 Ext'!$H97="")),'12 Ext'!$H97,4)</f>
        <v>3</v>
      </c>
      <c r="AH97">
        <f>IF(AND('12 Ext'!F97&lt;Tmax, NOT('12 Ext'!$H97="")),'12 Ext'!$H97,4)</f>
        <v>3</v>
      </c>
      <c r="AI97"/>
      <c r="AJ97" s="230"/>
      <c r="AK97" s="230"/>
      <c r="AL97" s="230"/>
      <c r="AM97" s="230"/>
      <c r="AN97" s="230"/>
      <c r="AO97" s="230"/>
      <c r="AP97" s="230"/>
      <c r="AQ97" s="230"/>
      <c r="AR97" s="230"/>
      <c r="AS97" s="230"/>
      <c r="AT97" s="230"/>
      <c r="AU97" s="230"/>
      <c r="AV97" s="230"/>
      <c r="AW97" s="230"/>
      <c r="AX97" s="230"/>
      <c r="AY97" s="230"/>
      <c r="AZ97" s="230"/>
      <c r="BA97" s="230"/>
      <c r="BB97" s="230"/>
      <c r="BC97" s="230"/>
      <c r="BD97" s="230"/>
      <c r="BE97" s="230"/>
      <c r="BF97" s="230"/>
      <c r="BG97" s="230"/>
      <c r="BH97" s="230"/>
      <c r="BI97" s="230"/>
      <c r="BJ97" s="230"/>
      <c r="BK97" s="230"/>
      <c r="BL97" s="230"/>
      <c r="BM97" s="230"/>
      <c r="BN97" s="230"/>
      <c r="BO97" s="230"/>
      <c r="BP97" s="230"/>
      <c r="BQ97" s="230"/>
      <c r="BR97" s="230"/>
      <c r="BS97" s="230"/>
      <c r="BT97" s="230"/>
      <c r="BU97" s="230"/>
      <c r="BV97" s="230"/>
      <c r="BW97" s="230"/>
      <c r="BX97" s="230"/>
      <c r="BY97" s="230"/>
      <c r="BZ97" s="230"/>
      <c r="CA97" s="230"/>
      <c r="CB97" s="230"/>
      <c r="CC97" s="230"/>
      <c r="CD97" s="230"/>
      <c r="CE97" s="230"/>
      <c r="CF97" s="230"/>
      <c r="CG97" s="230"/>
      <c r="CH97" s="230"/>
      <c r="CI97" s="230"/>
      <c r="CJ97" s="230"/>
      <c r="CK97" s="230"/>
      <c r="CL97" s="230"/>
      <c r="CM97" s="230"/>
      <c r="CN97" s="230"/>
      <c r="CO97" s="230"/>
      <c r="CP97" s="230"/>
      <c r="CQ97" s="230"/>
      <c r="CR97" s="230"/>
      <c r="CS97" s="230"/>
      <c r="CT97" s="230"/>
      <c r="CU97" s="230"/>
      <c r="CV97" s="230"/>
      <c r="CW97" s="230"/>
      <c r="CX97" s="230"/>
      <c r="CY97" s="230"/>
      <c r="CZ97" s="230"/>
      <c r="DA97" s="230"/>
      <c r="DB97" s="230"/>
      <c r="DC97" s="230"/>
      <c r="DD97" s="230"/>
      <c r="DE97" s="230"/>
      <c r="DF97" s="230"/>
      <c r="DG97" s="230"/>
      <c r="DH97" s="230"/>
      <c r="DI97" s="230"/>
      <c r="DJ97" s="230"/>
      <c r="DK97" s="230"/>
      <c r="DL97" s="230"/>
      <c r="DM97" s="230"/>
      <c r="DN97" s="230"/>
      <c r="DO97" s="230"/>
      <c r="DP97" s="230"/>
      <c r="DQ97" s="230"/>
      <c r="DR97" s="230"/>
      <c r="DS97" s="230"/>
      <c r="DT97" s="230"/>
      <c r="DU97" s="230"/>
      <c r="DV97" s="230"/>
      <c r="DW97" s="230"/>
      <c r="DX97" s="230"/>
      <c r="DY97" s="230"/>
      <c r="DZ97" s="230"/>
      <c r="EA97" s="230"/>
      <c r="EB97" s="230"/>
      <c r="EC97" s="230"/>
      <c r="ED97" s="230"/>
      <c r="EE97" s="230"/>
      <c r="EF97" s="230"/>
      <c r="EG97" s="230"/>
      <c r="EH97" s="230"/>
      <c r="EI97" s="230"/>
      <c r="EJ97" s="230"/>
      <c r="EK97" s="230"/>
      <c r="EL97" s="230"/>
      <c r="EM97" s="230"/>
      <c r="EN97" s="230"/>
      <c r="EO97" s="230"/>
      <c r="EP97" s="230"/>
      <c r="EQ97" s="230"/>
      <c r="ER97" s="230"/>
      <c r="ES97" s="230"/>
      <c r="ET97" s="230"/>
      <c r="EU97" s="230"/>
      <c r="EV97" s="230"/>
      <c r="EW97" s="230"/>
      <c r="EX97" s="230"/>
      <c r="EY97" s="230"/>
      <c r="EZ97" s="230"/>
      <c r="FA97" s="230"/>
      <c r="FB97" s="230"/>
      <c r="FC97" s="230"/>
      <c r="FD97" s="230"/>
      <c r="FE97" s="230"/>
      <c r="FF97" s="230"/>
      <c r="FG97" s="230"/>
      <c r="FH97" s="230"/>
      <c r="FI97" s="230"/>
      <c r="FJ97" s="230"/>
      <c r="FK97" s="230"/>
      <c r="FL97" s="230"/>
      <c r="FM97" s="230"/>
      <c r="FN97" s="230"/>
      <c r="FO97" s="230"/>
      <c r="FP97" s="230"/>
      <c r="FQ97" s="230"/>
      <c r="FR97" s="230"/>
      <c r="FS97" s="230"/>
      <c r="FT97" s="230"/>
      <c r="FU97" s="230"/>
      <c r="FV97" s="230"/>
      <c r="FW97" s="230"/>
      <c r="FX97" s="230"/>
      <c r="FY97" s="230"/>
      <c r="FZ97" s="230"/>
      <c r="GA97" s="230"/>
      <c r="GB97" s="230"/>
      <c r="GC97" s="230"/>
      <c r="GD97" s="230"/>
      <c r="GE97" s="230"/>
      <c r="GF97" s="230"/>
      <c r="GG97" s="230"/>
      <c r="GH97" s="230"/>
      <c r="GI97" s="230"/>
      <c r="GJ97" s="230"/>
      <c r="GK97" s="230"/>
      <c r="GL97" s="230"/>
      <c r="GM97" s="230"/>
      <c r="GN97" s="230"/>
      <c r="GO97" s="230"/>
      <c r="GP97" s="230"/>
      <c r="GQ97" s="230"/>
      <c r="GR97" s="230"/>
    </row>
    <row r="98" spans="1:200" s="632" customFormat="1" ht="47.25" customHeight="1" outlineLevel="2" x14ac:dyDescent="0.2">
      <c r="A98" s="636" t="s">
        <v>4880</v>
      </c>
      <c r="B98" s="636" t="s">
        <v>6781</v>
      </c>
      <c r="C98" s="597"/>
      <c r="D98" s="1538"/>
      <c r="E98" s="642"/>
      <c r="F98" s="642"/>
      <c r="G98" s="1517">
        <v>4</v>
      </c>
      <c r="H98" s="1517">
        <v>3</v>
      </c>
      <c r="I98" s="1517"/>
      <c r="J98" s="1517" t="s">
        <v>2329</v>
      </c>
      <c r="K98" s="1518"/>
      <c r="L98" s="1518"/>
      <c r="M98" s="635"/>
      <c r="N98" s="624"/>
      <c r="O98" s="624"/>
      <c r="P98" s="624"/>
      <c r="Q98" s="624"/>
      <c r="R98" s="624"/>
      <c r="S98" s="624"/>
      <c r="T98" s="624"/>
      <c r="U98" s="624"/>
      <c r="V98" s="624"/>
      <c r="W98" s="624"/>
      <c r="X98" s="624"/>
      <c r="Y98" s="624"/>
      <c r="Z98" s="624"/>
      <c r="AA98">
        <f>IF(AND('12 Ext'!C98&gt;Tmin, NOT('12 Ext'!$I98="")),'12 Ext'!$I98,0)</f>
        <v>0</v>
      </c>
      <c r="AB98">
        <f>IF(AND('12 Ext'!D98&gt;Tmin, NOT('12 Ext'!$I98="")),'12 Ext'!$I98,0)</f>
        <v>0</v>
      </c>
      <c r="AC98">
        <f>IF(AND('12 Ext'!E98&gt;Tmin, NOT('12 Ext'!$I98="")),'12 Ext'!$I98,0)</f>
        <v>0</v>
      </c>
      <c r="AD98">
        <f>IF(AND('12 Ext'!F98&gt;Tmin, NOT('12 Ext'!$I98="")),'12 Ext'!$I98,0)</f>
        <v>0</v>
      </c>
      <c r="AE98">
        <f>IF(AND('12 Ext'!C98&lt;Tmax, NOT('12 Ext'!$H98="")),'12 Ext'!$H98,4)</f>
        <v>3</v>
      </c>
      <c r="AF98">
        <f>IF(AND('12 Ext'!D98&lt;Tmax, NOT('12 Ext'!$H98="")),'12 Ext'!$H98,4)</f>
        <v>3</v>
      </c>
      <c r="AG98">
        <f>IF(AND('12 Ext'!E98&lt;Tmax, NOT('12 Ext'!$H98="")),'12 Ext'!$H98,4)</f>
        <v>3</v>
      </c>
      <c r="AH98">
        <f>IF(AND('12 Ext'!F98&lt;Tmax, NOT('12 Ext'!$H98="")),'12 Ext'!$H98,4)</f>
        <v>3</v>
      </c>
      <c r="AI98"/>
      <c r="AJ98" s="230"/>
      <c r="AK98" s="230"/>
      <c r="AL98" s="230"/>
      <c r="AM98" s="230"/>
      <c r="AN98" s="230"/>
      <c r="AO98" s="230"/>
      <c r="AP98" s="230"/>
      <c r="AQ98" s="230"/>
      <c r="AR98" s="230"/>
      <c r="AS98" s="230"/>
      <c r="AT98" s="230"/>
      <c r="AU98" s="230"/>
      <c r="AV98" s="230"/>
      <c r="AW98" s="230"/>
      <c r="AX98" s="230"/>
      <c r="AY98" s="230"/>
      <c r="AZ98" s="230"/>
      <c r="BA98" s="230"/>
      <c r="BB98" s="230"/>
      <c r="BC98" s="230"/>
      <c r="BD98" s="230"/>
      <c r="BE98" s="230"/>
      <c r="BF98" s="230"/>
      <c r="BG98" s="230"/>
      <c r="BH98" s="230"/>
      <c r="BI98" s="230"/>
      <c r="BJ98" s="230"/>
      <c r="BK98" s="230"/>
      <c r="BL98" s="230"/>
      <c r="BM98" s="230"/>
      <c r="BN98" s="230"/>
      <c r="BO98" s="230"/>
      <c r="BP98" s="230"/>
      <c r="BQ98" s="230"/>
      <c r="BR98" s="230"/>
      <c r="BS98" s="230"/>
      <c r="BT98" s="230"/>
      <c r="BU98" s="230"/>
      <c r="BV98" s="230"/>
      <c r="BW98" s="230"/>
      <c r="BX98" s="230"/>
      <c r="BY98" s="230"/>
      <c r="BZ98" s="230"/>
      <c r="CA98" s="230"/>
      <c r="CB98" s="230"/>
      <c r="CC98" s="230"/>
      <c r="CD98" s="230"/>
      <c r="CE98" s="230"/>
      <c r="CF98" s="230"/>
      <c r="CG98" s="230"/>
      <c r="CH98" s="230"/>
      <c r="CI98" s="230"/>
      <c r="CJ98" s="230"/>
      <c r="CK98" s="230"/>
      <c r="CL98" s="230"/>
      <c r="CM98" s="230"/>
      <c r="CN98" s="230"/>
      <c r="CO98" s="230"/>
      <c r="CP98" s="230"/>
      <c r="CQ98" s="230"/>
      <c r="CR98" s="230"/>
      <c r="CS98" s="230"/>
      <c r="CT98" s="230"/>
      <c r="CU98" s="230"/>
      <c r="CV98" s="230"/>
      <c r="CW98" s="230"/>
      <c r="CX98" s="230"/>
      <c r="CY98" s="230"/>
      <c r="CZ98" s="230"/>
      <c r="DA98" s="230"/>
      <c r="DB98" s="230"/>
      <c r="DC98" s="230"/>
      <c r="DD98" s="230"/>
      <c r="DE98" s="230"/>
      <c r="DF98" s="230"/>
      <c r="DG98" s="230"/>
      <c r="DH98" s="230"/>
      <c r="DI98" s="230"/>
      <c r="DJ98" s="230"/>
      <c r="DK98" s="230"/>
      <c r="DL98" s="230"/>
      <c r="DM98" s="230"/>
      <c r="DN98" s="230"/>
      <c r="DO98" s="230"/>
      <c r="DP98" s="230"/>
      <c r="DQ98" s="230"/>
      <c r="DR98" s="230"/>
      <c r="DS98" s="230"/>
      <c r="DT98" s="230"/>
      <c r="DU98" s="230"/>
      <c r="DV98" s="230"/>
      <c r="DW98" s="230"/>
      <c r="DX98" s="230"/>
      <c r="DY98" s="230"/>
      <c r="DZ98" s="230"/>
      <c r="EA98" s="230"/>
      <c r="EB98" s="230"/>
      <c r="EC98" s="230"/>
      <c r="ED98" s="230"/>
      <c r="EE98" s="230"/>
      <c r="EF98" s="230"/>
      <c r="EG98" s="230"/>
      <c r="EH98" s="230"/>
      <c r="EI98" s="230"/>
      <c r="EJ98" s="230"/>
      <c r="EK98" s="230"/>
      <c r="EL98" s="230"/>
      <c r="EM98" s="230"/>
      <c r="EN98" s="230"/>
      <c r="EO98" s="230"/>
      <c r="EP98" s="230"/>
      <c r="EQ98" s="230"/>
      <c r="ER98" s="230"/>
      <c r="ES98" s="230"/>
      <c r="ET98" s="230"/>
      <c r="EU98" s="230"/>
      <c r="EV98" s="230"/>
      <c r="EW98" s="230"/>
      <c r="EX98" s="230"/>
      <c r="EY98" s="230"/>
      <c r="EZ98" s="230"/>
      <c r="FA98" s="230"/>
      <c r="FB98" s="230"/>
      <c r="FC98" s="230"/>
      <c r="FD98" s="230"/>
      <c r="FE98" s="230"/>
      <c r="FF98" s="230"/>
      <c r="FG98" s="230"/>
      <c r="FH98" s="230"/>
      <c r="FI98" s="230"/>
      <c r="FJ98" s="230"/>
      <c r="FK98" s="230"/>
      <c r="FL98" s="230"/>
      <c r="FM98" s="230"/>
      <c r="FN98" s="230"/>
      <c r="FO98" s="230"/>
      <c r="FP98" s="230"/>
      <c r="FQ98" s="230"/>
      <c r="FR98" s="230"/>
      <c r="FS98" s="230"/>
      <c r="FT98" s="230"/>
      <c r="FU98" s="230"/>
      <c r="FV98" s="230"/>
      <c r="FW98" s="230"/>
      <c r="FX98" s="230"/>
      <c r="FY98" s="230"/>
      <c r="FZ98" s="230"/>
      <c r="GA98" s="230"/>
      <c r="GB98" s="230"/>
      <c r="GC98" s="230"/>
      <c r="GD98" s="230"/>
      <c r="GE98" s="230"/>
      <c r="GF98" s="230"/>
      <c r="GG98" s="230"/>
      <c r="GH98" s="230"/>
      <c r="GI98" s="230"/>
      <c r="GJ98" s="230"/>
      <c r="GK98" s="230"/>
      <c r="GL98" s="230"/>
      <c r="GM98" s="230"/>
      <c r="GN98" s="230"/>
      <c r="GO98" s="230"/>
      <c r="GP98" s="230"/>
      <c r="GQ98" s="230"/>
      <c r="GR98" s="230"/>
    </row>
    <row r="99" spans="1:200" s="632" customFormat="1" ht="22.5" outlineLevel="2" x14ac:dyDescent="0.2">
      <c r="A99" s="636" t="s">
        <v>4881</v>
      </c>
      <c r="B99" s="636" t="s">
        <v>6132</v>
      </c>
      <c r="C99" s="597"/>
      <c r="D99" s="1538"/>
      <c r="E99" s="642"/>
      <c r="F99" s="642"/>
      <c r="G99" s="1517">
        <v>2</v>
      </c>
      <c r="H99" s="1517">
        <v>3</v>
      </c>
      <c r="I99" s="1517"/>
      <c r="J99" s="1517" t="s">
        <v>2109</v>
      </c>
      <c r="K99" s="1518"/>
      <c r="L99" s="1518"/>
      <c r="M99" s="635"/>
      <c r="N99" s="624"/>
      <c r="O99" s="624"/>
      <c r="P99" s="624"/>
      <c r="Q99" s="624"/>
      <c r="R99" s="624"/>
      <c r="S99" s="624"/>
      <c r="T99" s="624"/>
      <c r="U99" s="624"/>
      <c r="V99" s="624"/>
      <c r="W99" s="624"/>
      <c r="X99" s="624"/>
      <c r="Y99" s="624"/>
      <c r="Z99" s="624"/>
      <c r="AA99">
        <f>IF(AND('12 Ext'!C99&gt;Tmin, NOT('12 Ext'!$I99="")),'12 Ext'!$I99,0)</f>
        <v>0</v>
      </c>
      <c r="AB99">
        <f>IF(AND('12 Ext'!D99&gt;Tmin, NOT('12 Ext'!$I99="")),'12 Ext'!$I99,0)</f>
        <v>0</v>
      </c>
      <c r="AC99">
        <f>IF(AND('12 Ext'!E99&gt;Tmin, NOT('12 Ext'!$I99="")),'12 Ext'!$I99,0)</f>
        <v>0</v>
      </c>
      <c r="AD99">
        <f>IF(AND('12 Ext'!F99&gt;Tmin, NOT('12 Ext'!$I99="")),'12 Ext'!$I99,0)</f>
        <v>0</v>
      </c>
      <c r="AE99">
        <f>IF(AND('12 Ext'!C99&lt;Tmax, NOT('12 Ext'!$H99="")),'12 Ext'!$H99,4)</f>
        <v>3</v>
      </c>
      <c r="AF99">
        <f>IF(AND('12 Ext'!D99&lt;Tmax, NOT('12 Ext'!$H99="")),'12 Ext'!$H99,4)</f>
        <v>3</v>
      </c>
      <c r="AG99">
        <f>IF(AND('12 Ext'!E99&lt;Tmax, NOT('12 Ext'!$H99="")),'12 Ext'!$H99,4)</f>
        <v>3</v>
      </c>
      <c r="AH99">
        <f>IF(AND('12 Ext'!F99&lt;Tmax, NOT('12 Ext'!$H99="")),'12 Ext'!$H99,4)</f>
        <v>3</v>
      </c>
      <c r="AI99"/>
      <c r="AJ99" s="230"/>
      <c r="AK99" s="230"/>
      <c r="AL99" s="230"/>
      <c r="AM99" s="230"/>
      <c r="AN99" s="230"/>
      <c r="AO99" s="230"/>
      <c r="AP99" s="230"/>
      <c r="AQ99" s="230"/>
      <c r="AR99" s="230"/>
      <c r="AS99" s="230"/>
      <c r="AT99" s="230"/>
      <c r="AU99" s="230"/>
      <c r="AV99" s="230"/>
      <c r="AW99" s="230"/>
      <c r="AX99" s="230"/>
      <c r="AY99" s="230"/>
      <c r="AZ99" s="230"/>
      <c r="BA99" s="230"/>
      <c r="BB99" s="230"/>
      <c r="BC99" s="230"/>
      <c r="BD99" s="230"/>
      <c r="BE99" s="230"/>
      <c r="BF99" s="230"/>
      <c r="BG99" s="230"/>
      <c r="BH99" s="230"/>
      <c r="BI99" s="230"/>
      <c r="BJ99" s="230"/>
      <c r="BK99" s="230"/>
      <c r="BL99" s="230"/>
      <c r="BM99" s="230"/>
      <c r="BN99" s="230"/>
      <c r="BO99" s="230"/>
      <c r="BP99" s="230"/>
      <c r="BQ99" s="230"/>
      <c r="BR99" s="230"/>
      <c r="BS99" s="230"/>
      <c r="BT99" s="230"/>
      <c r="BU99" s="230"/>
      <c r="BV99" s="230"/>
      <c r="BW99" s="230"/>
      <c r="BX99" s="230"/>
      <c r="BY99" s="230"/>
      <c r="BZ99" s="230"/>
      <c r="CA99" s="230"/>
      <c r="CB99" s="230"/>
      <c r="CC99" s="230"/>
      <c r="CD99" s="230"/>
      <c r="CE99" s="230"/>
      <c r="CF99" s="230"/>
      <c r="CG99" s="230"/>
      <c r="CH99" s="230"/>
      <c r="CI99" s="230"/>
      <c r="CJ99" s="230"/>
      <c r="CK99" s="230"/>
      <c r="CL99" s="230"/>
      <c r="CM99" s="230"/>
      <c r="CN99" s="230"/>
      <c r="CO99" s="230"/>
      <c r="CP99" s="230"/>
      <c r="CQ99" s="230"/>
      <c r="CR99" s="230"/>
      <c r="CS99" s="230"/>
      <c r="CT99" s="230"/>
      <c r="CU99" s="230"/>
      <c r="CV99" s="230"/>
      <c r="CW99" s="230"/>
      <c r="CX99" s="230"/>
      <c r="CY99" s="230"/>
      <c r="CZ99" s="230"/>
      <c r="DA99" s="230"/>
      <c r="DB99" s="230"/>
      <c r="DC99" s="230"/>
      <c r="DD99" s="230"/>
      <c r="DE99" s="230"/>
      <c r="DF99" s="230"/>
      <c r="DG99" s="230"/>
      <c r="DH99" s="230"/>
      <c r="DI99" s="230"/>
      <c r="DJ99" s="230"/>
      <c r="DK99" s="230"/>
      <c r="DL99" s="230"/>
      <c r="DM99" s="230"/>
      <c r="DN99" s="230"/>
      <c r="DO99" s="230"/>
      <c r="DP99" s="230"/>
      <c r="DQ99" s="230"/>
      <c r="DR99" s="230"/>
      <c r="DS99" s="230"/>
      <c r="DT99" s="230"/>
      <c r="DU99" s="230"/>
      <c r="DV99" s="230"/>
      <c r="DW99" s="230"/>
      <c r="DX99" s="230"/>
      <c r="DY99" s="230"/>
      <c r="DZ99" s="230"/>
      <c r="EA99" s="230"/>
      <c r="EB99" s="230"/>
      <c r="EC99" s="230"/>
      <c r="ED99" s="230"/>
      <c r="EE99" s="230"/>
      <c r="EF99" s="230"/>
      <c r="EG99" s="230"/>
      <c r="EH99" s="230"/>
      <c r="EI99" s="230"/>
      <c r="EJ99" s="230"/>
      <c r="EK99" s="230"/>
      <c r="EL99" s="230"/>
      <c r="EM99" s="230"/>
      <c r="EN99" s="230"/>
      <c r="EO99" s="230"/>
      <c r="EP99" s="230"/>
      <c r="EQ99" s="230"/>
      <c r="ER99" s="230"/>
      <c r="ES99" s="230"/>
      <c r="ET99" s="230"/>
      <c r="EU99" s="230"/>
      <c r="EV99" s="230"/>
      <c r="EW99" s="230"/>
      <c r="EX99" s="230"/>
      <c r="EY99" s="230"/>
      <c r="EZ99" s="230"/>
      <c r="FA99" s="230"/>
      <c r="FB99" s="230"/>
      <c r="FC99" s="230"/>
      <c r="FD99" s="230"/>
      <c r="FE99" s="230"/>
      <c r="FF99" s="230"/>
      <c r="FG99" s="230"/>
      <c r="FH99" s="230"/>
      <c r="FI99" s="230"/>
      <c r="FJ99" s="230"/>
      <c r="FK99" s="230"/>
      <c r="FL99" s="230"/>
      <c r="FM99" s="230"/>
      <c r="FN99" s="230"/>
      <c r="FO99" s="230"/>
      <c r="FP99" s="230"/>
      <c r="FQ99" s="230"/>
      <c r="FR99" s="230"/>
      <c r="FS99" s="230"/>
      <c r="FT99" s="230"/>
      <c r="FU99" s="230"/>
      <c r="FV99" s="230"/>
      <c r="FW99" s="230"/>
      <c r="FX99" s="230"/>
      <c r="FY99" s="230"/>
      <c r="FZ99" s="230"/>
      <c r="GA99" s="230"/>
      <c r="GB99" s="230"/>
      <c r="GC99" s="230"/>
      <c r="GD99" s="230"/>
      <c r="GE99" s="230"/>
      <c r="GF99" s="230"/>
      <c r="GG99" s="230"/>
      <c r="GH99" s="230"/>
      <c r="GI99" s="230"/>
      <c r="GJ99" s="230"/>
      <c r="GK99" s="230"/>
      <c r="GL99" s="230"/>
      <c r="GM99" s="230"/>
      <c r="GN99" s="230"/>
      <c r="GO99" s="230"/>
      <c r="GP99" s="230"/>
      <c r="GQ99" s="230"/>
      <c r="GR99" s="230"/>
    </row>
    <row r="100" spans="1:200" s="632" customFormat="1" ht="12.75" customHeight="1" outlineLevel="1" x14ac:dyDescent="0.2">
      <c r="A100" s="633" t="s">
        <v>4882</v>
      </c>
      <c r="B100" s="634" t="s">
        <v>1410</v>
      </c>
      <c r="C100" s="597"/>
      <c r="D100" s="1539"/>
      <c r="E100" s="646"/>
      <c r="F100" s="646"/>
      <c r="G100" s="1517"/>
      <c r="H100" s="1517"/>
      <c r="I100" s="1517"/>
      <c r="J100" s="1517"/>
      <c r="K100" s="1518"/>
      <c r="L100" s="1518"/>
      <c r="M100" s="635"/>
      <c r="N100" s="624"/>
      <c r="O100" s="624"/>
      <c r="P100" s="624"/>
      <c r="Q100" s="624"/>
      <c r="R100" s="624"/>
      <c r="S100" s="624"/>
      <c r="T100" s="624"/>
      <c r="U100" s="624"/>
      <c r="V100" s="624"/>
      <c r="W100" s="624"/>
      <c r="X100" s="624"/>
      <c r="Y100" s="624"/>
      <c r="Z100" s="624"/>
      <c r="AA100"/>
      <c r="AB100"/>
      <c r="AC100"/>
      <c r="AD100"/>
      <c r="AE100"/>
      <c r="AF100"/>
      <c r="AG100"/>
      <c r="AH100"/>
      <c r="AI100"/>
      <c r="AJ100" s="230"/>
      <c r="AK100" s="230"/>
      <c r="AL100" s="230"/>
      <c r="AM100" s="230"/>
      <c r="AN100" s="230"/>
      <c r="AO100" s="230"/>
      <c r="AP100" s="230"/>
      <c r="AQ100" s="230"/>
      <c r="AR100" s="230"/>
      <c r="AS100" s="230"/>
      <c r="AT100" s="230"/>
      <c r="AU100" s="230"/>
      <c r="AV100" s="230"/>
      <c r="AW100" s="230"/>
      <c r="AX100" s="230"/>
      <c r="AY100" s="230"/>
      <c r="AZ100" s="230"/>
      <c r="BA100" s="230"/>
      <c r="BB100" s="230"/>
      <c r="BC100" s="230"/>
      <c r="BD100" s="230"/>
      <c r="BE100" s="230"/>
      <c r="BF100" s="230"/>
      <c r="BG100" s="230"/>
      <c r="BH100" s="230"/>
      <c r="BI100" s="230"/>
      <c r="BJ100" s="230"/>
      <c r="BK100" s="230"/>
      <c r="BL100" s="230"/>
      <c r="BM100" s="230"/>
      <c r="BN100" s="230"/>
      <c r="BO100" s="230"/>
      <c r="BP100" s="230"/>
      <c r="BQ100" s="230"/>
      <c r="BR100" s="230"/>
      <c r="BS100" s="230"/>
      <c r="BT100" s="230"/>
      <c r="BU100" s="230"/>
      <c r="BV100" s="230"/>
      <c r="BW100" s="230"/>
      <c r="BX100" s="230"/>
      <c r="BY100" s="230"/>
      <c r="BZ100" s="230"/>
      <c r="CA100" s="230"/>
      <c r="CB100" s="230"/>
      <c r="CC100" s="230"/>
      <c r="CD100" s="230"/>
      <c r="CE100" s="230"/>
      <c r="CF100" s="230"/>
      <c r="CG100" s="230"/>
      <c r="CH100" s="230"/>
      <c r="CI100" s="230"/>
      <c r="CJ100" s="230"/>
      <c r="CK100" s="230"/>
      <c r="CL100" s="230"/>
      <c r="CM100" s="230"/>
      <c r="CN100" s="230"/>
      <c r="CO100" s="230"/>
      <c r="CP100" s="230"/>
      <c r="CQ100" s="230"/>
      <c r="CR100" s="230"/>
      <c r="CS100" s="230"/>
      <c r="CT100" s="230"/>
      <c r="CU100" s="230"/>
      <c r="CV100" s="230"/>
      <c r="CW100" s="230"/>
      <c r="CX100" s="230"/>
      <c r="CY100" s="230"/>
      <c r="CZ100" s="230"/>
      <c r="DA100" s="230"/>
      <c r="DB100" s="230"/>
      <c r="DC100" s="230"/>
      <c r="DD100" s="230"/>
      <c r="DE100" s="230"/>
      <c r="DF100" s="230"/>
      <c r="DG100" s="230"/>
      <c r="DH100" s="230"/>
      <c r="DI100" s="230"/>
      <c r="DJ100" s="230"/>
      <c r="DK100" s="230"/>
      <c r="DL100" s="230"/>
      <c r="DM100" s="230"/>
      <c r="DN100" s="230"/>
      <c r="DO100" s="230"/>
      <c r="DP100" s="230"/>
      <c r="DQ100" s="230"/>
      <c r="DR100" s="230"/>
      <c r="DS100" s="230"/>
      <c r="DT100" s="230"/>
      <c r="DU100" s="230"/>
      <c r="DV100" s="230"/>
      <c r="DW100" s="230"/>
      <c r="DX100" s="230"/>
      <c r="DY100" s="230"/>
      <c r="DZ100" s="230"/>
      <c r="EA100" s="230"/>
      <c r="EB100" s="230"/>
      <c r="EC100" s="230"/>
      <c r="ED100" s="230"/>
      <c r="EE100" s="230"/>
      <c r="EF100" s="230"/>
      <c r="EG100" s="230"/>
      <c r="EH100" s="230"/>
      <c r="EI100" s="230"/>
      <c r="EJ100" s="230"/>
      <c r="EK100" s="230"/>
      <c r="EL100" s="230"/>
      <c r="EM100" s="230"/>
      <c r="EN100" s="230"/>
      <c r="EO100" s="230"/>
      <c r="EP100" s="230"/>
      <c r="EQ100" s="230"/>
      <c r="ER100" s="230"/>
      <c r="ES100" s="230"/>
      <c r="ET100" s="230"/>
      <c r="EU100" s="230"/>
      <c r="EV100" s="230"/>
      <c r="EW100" s="230"/>
      <c r="EX100" s="230"/>
      <c r="EY100" s="230"/>
      <c r="EZ100" s="230"/>
      <c r="FA100" s="230"/>
      <c r="FB100" s="230"/>
      <c r="FC100" s="230"/>
      <c r="FD100" s="230"/>
      <c r="FE100" s="230"/>
      <c r="FF100" s="230"/>
      <c r="FG100" s="230"/>
      <c r="FH100" s="230"/>
      <c r="FI100" s="230"/>
      <c r="FJ100" s="230"/>
      <c r="FK100" s="230"/>
      <c r="FL100" s="230"/>
      <c r="FM100" s="230"/>
      <c r="FN100" s="230"/>
      <c r="FO100" s="230"/>
      <c r="FP100" s="230"/>
      <c r="FQ100" s="230"/>
      <c r="FR100" s="230"/>
      <c r="FS100" s="230"/>
      <c r="FT100" s="230"/>
      <c r="FU100" s="230"/>
      <c r="FV100" s="230"/>
      <c r="FW100" s="230"/>
      <c r="FX100" s="230"/>
      <c r="FY100" s="230"/>
      <c r="FZ100" s="230"/>
      <c r="GA100" s="230"/>
      <c r="GB100" s="230"/>
      <c r="GC100" s="230"/>
      <c r="GD100" s="230"/>
      <c r="GE100" s="230"/>
      <c r="GF100" s="230"/>
      <c r="GG100" s="230"/>
      <c r="GH100" s="230"/>
      <c r="GI100" s="230"/>
      <c r="GJ100" s="230"/>
      <c r="GK100" s="230"/>
      <c r="GL100" s="230"/>
      <c r="GM100" s="230"/>
      <c r="GN100" s="230"/>
      <c r="GO100" s="230"/>
      <c r="GP100" s="230"/>
      <c r="GQ100" s="230"/>
      <c r="GR100" s="230"/>
    </row>
    <row r="101" spans="1:200" s="632" customFormat="1" ht="13.5" customHeight="1" outlineLevel="2" x14ac:dyDescent="0.2">
      <c r="A101" s="636" t="s">
        <v>4883</v>
      </c>
      <c r="B101" s="636" t="s">
        <v>6237</v>
      </c>
      <c r="C101" s="597"/>
      <c r="D101" s="1539"/>
      <c r="E101" s="646"/>
      <c r="F101" s="646"/>
      <c r="G101" s="1517">
        <v>4</v>
      </c>
      <c r="H101" s="1517"/>
      <c r="I101" s="1517"/>
      <c r="J101" s="1517" t="s">
        <v>4246</v>
      </c>
      <c r="K101" s="1518" t="s">
        <v>978</v>
      </c>
      <c r="L101" s="1518" t="s">
        <v>7313</v>
      </c>
      <c r="M101" s="638"/>
      <c r="N101" s="624"/>
      <c r="O101" s="624"/>
      <c r="P101" s="624"/>
      <c r="Q101" s="624"/>
      <c r="R101" s="624"/>
      <c r="S101" s="624"/>
      <c r="T101" s="624"/>
      <c r="U101" s="624"/>
      <c r="V101" s="624"/>
      <c r="W101" s="624"/>
      <c r="X101" s="624"/>
      <c r="Y101" s="624"/>
      <c r="Z101" s="624"/>
      <c r="AA101">
        <f>IF(AND('12 Ext'!C101&gt;Tmin, NOT('12 Ext'!$I101="")),'12 Ext'!$I101,0)</f>
        <v>0</v>
      </c>
      <c r="AB101">
        <f>IF(AND('12 Ext'!D101&gt;Tmin, NOT('12 Ext'!$I101="")),'12 Ext'!$I101,0)</f>
        <v>0</v>
      </c>
      <c r="AC101">
        <f>IF(AND('12 Ext'!E101&gt;Tmin, NOT('12 Ext'!$I101="")),'12 Ext'!$I101,0)</f>
        <v>0</v>
      </c>
      <c r="AD101">
        <f>IF(AND('12 Ext'!F101&gt;Tmin, NOT('12 Ext'!$I101="")),'12 Ext'!$I101,0)</f>
        <v>0</v>
      </c>
      <c r="AE101">
        <f>IF(AND('12 Ext'!C101&lt;Tmax, NOT('12 Ext'!$H101="")),'12 Ext'!$H101,4)</f>
        <v>4</v>
      </c>
      <c r="AF101">
        <f>IF(AND('12 Ext'!D101&lt;Tmax, NOT('12 Ext'!$H101="")),'12 Ext'!$H101,4)</f>
        <v>4</v>
      </c>
      <c r="AG101">
        <f>IF(AND('12 Ext'!E101&lt;Tmax, NOT('12 Ext'!$H101="")),'12 Ext'!$H101,4)</f>
        <v>4</v>
      </c>
      <c r="AH101">
        <f>IF(AND('12 Ext'!F101&lt;Tmax, NOT('12 Ext'!$H101="")),'12 Ext'!$H101,4)</f>
        <v>4</v>
      </c>
      <c r="AI101"/>
      <c r="AJ101" s="230"/>
      <c r="AK101" s="230"/>
      <c r="AL101" s="230"/>
      <c r="AM101" s="230"/>
      <c r="AN101" s="230"/>
      <c r="AO101" s="230"/>
      <c r="AP101" s="230"/>
      <c r="AQ101" s="230"/>
      <c r="AR101" s="230"/>
      <c r="AS101" s="230"/>
      <c r="AT101" s="230"/>
      <c r="AU101" s="230"/>
      <c r="AV101" s="230"/>
      <c r="AW101" s="230"/>
      <c r="AX101" s="230"/>
      <c r="AY101" s="230"/>
      <c r="AZ101" s="230"/>
      <c r="BA101" s="230"/>
      <c r="BB101" s="230"/>
      <c r="BC101" s="230"/>
      <c r="BD101" s="230"/>
      <c r="BE101" s="230"/>
      <c r="BF101" s="230"/>
      <c r="BG101" s="230"/>
      <c r="BH101" s="230"/>
      <c r="BI101" s="230"/>
      <c r="BJ101" s="230"/>
      <c r="BK101" s="230"/>
      <c r="BL101" s="230"/>
      <c r="BM101" s="230"/>
      <c r="BN101" s="230"/>
      <c r="BO101" s="230"/>
      <c r="BP101" s="230"/>
      <c r="BQ101" s="230"/>
      <c r="BR101" s="230"/>
      <c r="BS101" s="230"/>
      <c r="BT101" s="230"/>
      <c r="BU101" s="230"/>
      <c r="BV101" s="230"/>
      <c r="BW101" s="230"/>
      <c r="BX101" s="230"/>
      <c r="BY101" s="230"/>
      <c r="BZ101" s="230"/>
      <c r="CA101" s="230"/>
      <c r="CB101" s="230"/>
      <c r="CC101" s="230"/>
      <c r="CD101" s="230"/>
      <c r="CE101" s="230"/>
      <c r="CF101" s="230"/>
      <c r="CG101" s="230"/>
      <c r="CH101" s="230"/>
      <c r="CI101" s="230"/>
      <c r="CJ101" s="230"/>
      <c r="CK101" s="230"/>
      <c r="CL101" s="230"/>
      <c r="CM101" s="230"/>
      <c r="CN101" s="230"/>
      <c r="CO101" s="230"/>
      <c r="CP101" s="230"/>
      <c r="CQ101" s="230"/>
      <c r="CR101" s="230"/>
      <c r="CS101" s="230"/>
      <c r="CT101" s="230"/>
      <c r="CU101" s="230"/>
      <c r="CV101" s="230"/>
      <c r="CW101" s="230"/>
      <c r="CX101" s="230"/>
      <c r="CY101" s="230"/>
      <c r="CZ101" s="230"/>
      <c r="DA101" s="230"/>
      <c r="DB101" s="230"/>
      <c r="DC101" s="230"/>
      <c r="DD101" s="230"/>
      <c r="DE101" s="230"/>
      <c r="DF101" s="230"/>
      <c r="DG101" s="230"/>
      <c r="DH101" s="230"/>
      <c r="DI101" s="230"/>
      <c r="DJ101" s="230"/>
      <c r="DK101" s="230"/>
      <c r="DL101" s="230"/>
      <c r="DM101" s="230"/>
      <c r="DN101" s="230"/>
      <c r="DO101" s="230"/>
      <c r="DP101" s="230"/>
      <c r="DQ101" s="230"/>
      <c r="DR101" s="230"/>
      <c r="DS101" s="230"/>
      <c r="DT101" s="230"/>
      <c r="DU101" s="230"/>
      <c r="DV101" s="230"/>
      <c r="DW101" s="230"/>
      <c r="DX101" s="230"/>
      <c r="DY101" s="230"/>
      <c r="DZ101" s="230"/>
      <c r="EA101" s="230"/>
      <c r="EB101" s="230"/>
      <c r="EC101" s="230"/>
      <c r="ED101" s="230"/>
      <c r="EE101" s="230"/>
      <c r="EF101" s="230"/>
      <c r="EG101" s="230"/>
      <c r="EH101" s="230"/>
      <c r="EI101" s="230"/>
      <c r="EJ101" s="230"/>
      <c r="EK101" s="230"/>
      <c r="EL101" s="230"/>
      <c r="EM101" s="230"/>
      <c r="EN101" s="230"/>
      <c r="EO101" s="230"/>
      <c r="EP101" s="230"/>
      <c r="EQ101" s="230"/>
      <c r="ER101" s="230"/>
      <c r="ES101" s="230"/>
      <c r="ET101" s="230"/>
      <c r="EU101" s="230"/>
      <c r="EV101" s="230"/>
      <c r="EW101" s="230"/>
      <c r="EX101" s="230"/>
      <c r="EY101" s="230"/>
      <c r="EZ101" s="230"/>
      <c r="FA101" s="230"/>
      <c r="FB101" s="230"/>
      <c r="FC101" s="230"/>
      <c r="FD101" s="230"/>
      <c r="FE101" s="230"/>
      <c r="FF101" s="230"/>
      <c r="FG101" s="230"/>
      <c r="FH101" s="230"/>
      <c r="FI101" s="230"/>
      <c r="FJ101" s="230"/>
      <c r="FK101" s="230"/>
      <c r="FL101" s="230"/>
      <c r="FM101" s="230"/>
      <c r="FN101" s="230"/>
      <c r="FO101" s="230"/>
      <c r="FP101" s="230"/>
      <c r="FQ101" s="230"/>
      <c r="FR101" s="230"/>
      <c r="FS101" s="230"/>
      <c r="FT101" s="230"/>
      <c r="FU101" s="230"/>
      <c r="FV101" s="230"/>
      <c r="FW101" s="230"/>
      <c r="FX101" s="230"/>
      <c r="FY101" s="230"/>
      <c r="FZ101" s="230"/>
      <c r="GA101" s="230"/>
      <c r="GB101" s="230"/>
      <c r="GC101" s="230"/>
      <c r="GD101" s="230"/>
      <c r="GE101" s="230"/>
      <c r="GF101" s="230"/>
      <c r="GG101" s="230"/>
      <c r="GH101" s="230"/>
      <c r="GI101" s="230"/>
      <c r="GJ101" s="230"/>
      <c r="GK101" s="230"/>
      <c r="GL101" s="230"/>
      <c r="GM101" s="230"/>
      <c r="GN101" s="230"/>
      <c r="GO101" s="230"/>
      <c r="GP101" s="230"/>
      <c r="GQ101" s="230"/>
      <c r="GR101" s="230"/>
    </row>
    <row r="102" spans="1:200" s="632" customFormat="1" outlineLevel="2" x14ac:dyDescent="0.2">
      <c r="A102" s="636" t="s">
        <v>4884</v>
      </c>
      <c r="B102" s="636" t="s">
        <v>6238</v>
      </c>
      <c r="C102" s="597"/>
      <c r="D102" s="1539"/>
      <c r="E102" s="646"/>
      <c r="F102" s="646"/>
      <c r="G102" s="1517">
        <v>4</v>
      </c>
      <c r="H102" s="1517">
        <v>3</v>
      </c>
      <c r="I102" s="1517"/>
      <c r="J102" s="1517" t="s">
        <v>1592</v>
      </c>
      <c r="K102" s="1518" t="s">
        <v>978</v>
      </c>
      <c r="L102" s="1518" t="s">
        <v>7313</v>
      </c>
      <c r="M102" s="635"/>
      <c r="N102" s="624"/>
      <c r="O102" s="624"/>
      <c r="P102" s="624"/>
      <c r="Q102" s="624"/>
      <c r="R102" s="624"/>
      <c r="S102" s="624"/>
      <c r="T102" s="624"/>
      <c r="U102" s="624"/>
      <c r="V102" s="624"/>
      <c r="W102" s="624"/>
      <c r="X102" s="624"/>
      <c r="Y102" s="624"/>
      <c r="Z102" s="624"/>
      <c r="AA102">
        <f>IF(AND('12 Ext'!C102&gt;Tmin, NOT('12 Ext'!$I102="")),'12 Ext'!$I102,0)</f>
        <v>0</v>
      </c>
      <c r="AB102">
        <f>IF(AND('12 Ext'!D102&gt;Tmin, NOT('12 Ext'!$I102="")),'12 Ext'!$I102,0)</f>
        <v>0</v>
      </c>
      <c r="AC102">
        <f>IF(AND('12 Ext'!E102&gt;Tmin, NOT('12 Ext'!$I102="")),'12 Ext'!$I102,0)</f>
        <v>0</v>
      </c>
      <c r="AD102">
        <f>IF(AND('12 Ext'!F102&gt;Tmin, NOT('12 Ext'!$I102="")),'12 Ext'!$I102,0)</f>
        <v>0</v>
      </c>
      <c r="AE102">
        <f>IF(AND('12 Ext'!C102&lt;Tmax, NOT('12 Ext'!$H102="")),'12 Ext'!$H102,4)</f>
        <v>3</v>
      </c>
      <c r="AF102">
        <f>IF(AND('12 Ext'!D102&lt;Tmax, NOT('12 Ext'!$H102="")),'12 Ext'!$H102,4)</f>
        <v>3</v>
      </c>
      <c r="AG102">
        <f>IF(AND('12 Ext'!E102&lt;Tmax, NOT('12 Ext'!$H102="")),'12 Ext'!$H102,4)</f>
        <v>3</v>
      </c>
      <c r="AH102">
        <f>IF(AND('12 Ext'!F102&lt;Tmax, NOT('12 Ext'!$H102="")),'12 Ext'!$H102,4)</f>
        <v>3</v>
      </c>
      <c r="AI102"/>
      <c r="AJ102" s="230"/>
      <c r="AK102" s="230"/>
      <c r="AL102" s="230"/>
      <c r="AM102" s="230"/>
      <c r="AN102" s="230"/>
      <c r="AO102" s="230"/>
      <c r="AP102" s="230"/>
      <c r="AQ102" s="230"/>
      <c r="AR102" s="230"/>
      <c r="AS102" s="230"/>
      <c r="AT102" s="230"/>
      <c r="AU102" s="230"/>
      <c r="AV102" s="230"/>
      <c r="AW102" s="230"/>
      <c r="AX102" s="230"/>
      <c r="AY102" s="230"/>
      <c r="AZ102" s="230"/>
      <c r="BA102" s="230"/>
      <c r="BB102" s="230"/>
      <c r="BC102" s="230"/>
      <c r="BD102" s="230"/>
      <c r="BE102" s="230"/>
      <c r="BF102" s="230"/>
      <c r="BG102" s="230"/>
      <c r="BH102" s="230"/>
      <c r="BI102" s="230"/>
      <c r="BJ102" s="230"/>
      <c r="BK102" s="230"/>
      <c r="BL102" s="230"/>
      <c r="BM102" s="230"/>
      <c r="BN102" s="230"/>
      <c r="BO102" s="230"/>
      <c r="BP102" s="230"/>
      <c r="BQ102" s="230"/>
      <c r="BR102" s="230"/>
      <c r="BS102" s="230"/>
      <c r="BT102" s="230"/>
      <c r="BU102" s="230"/>
      <c r="BV102" s="230"/>
      <c r="BW102" s="230"/>
      <c r="BX102" s="230"/>
      <c r="BY102" s="230"/>
      <c r="BZ102" s="230"/>
      <c r="CA102" s="230"/>
      <c r="CB102" s="230"/>
      <c r="CC102" s="230"/>
      <c r="CD102" s="230"/>
      <c r="CE102" s="230"/>
      <c r="CF102" s="230"/>
      <c r="CG102" s="230"/>
      <c r="CH102" s="230"/>
      <c r="CI102" s="230"/>
      <c r="CJ102" s="230"/>
      <c r="CK102" s="230"/>
      <c r="CL102" s="230"/>
      <c r="CM102" s="230"/>
      <c r="CN102" s="230"/>
      <c r="CO102" s="230"/>
      <c r="CP102" s="230"/>
      <c r="CQ102" s="230"/>
      <c r="CR102" s="230"/>
      <c r="CS102" s="230"/>
      <c r="CT102" s="230"/>
      <c r="CU102" s="230"/>
      <c r="CV102" s="230"/>
      <c r="CW102" s="230"/>
      <c r="CX102" s="230"/>
      <c r="CY102" s="230"/>
      <c r="CZ102" s="230"/>
      <c r="DA102" s="230"/>
      <c r="DB102" s="230"/>
      <c r="DC102" s="230"/>
      <c r="DD102" s="230"/>
      <c r="DE102" s="230"/>
      <c r="DF102" s="230"/>
      <c r="DG102" s="230"/>
      <c r="DH102" s="230"/>
      <c r="DI102" s="230"/>
      <c r="DJ102" s="230"/>
      <c r="DK102" s="230"/>
      <c r="DL102" s="230"/>
      <c r="DM102" s="230"/>
      <c r="DN102" s="230"/>
      <c r="DO102" s="230"/>
      <c r="DP102" s="230"/>
      <c r="DQ102" s="230"/>
      <c r="DR102" s="230"/>
      <c r="DS102" s="230"/>
      <c r="DT102" s="230"/>
      <c r="DU102" s="230"/>
      <c r="DV102" s="230"/>
      <c r="DW102" s="230"/>
      <c r="DX102" s="230"/>
      <c r="DY102" s="230"/>
      <c r="DZ102" s="230"/>
      <c r="EA102" s="230"/>
      <c r="EB102" s="230"/>
      <c r="EC102" s="230"/>
      <c r="ED102" s="230"/>
      <c r="EE102" s="230"/>
      <c r="EF102" s="230"/>
      <c r="EG102" s="230"/>
      <c r="EH102" s="230"/>
      <c r="EI102" s="230"/>
      <c r="EJ102" s="230"/>
      <c r="EK102" s="230"/>
      <c r="EL102" s="230"/>
      <c r="EM102" s="230"/>
      <c r="EN102" s="230"/>
      <c r="EO102" s="230"/>
      <c r="EP102" s="230"/>
      <c r="EQ102" s="230"/>
      <c r="ER102" s="230"/>
      <c r="ES102" s="230"/>
      <c r="ET102" s="230"/>
      <c r="EU102" s="230"/>
      <c r="EV102" s="230"/>
      <c r="EW102" s="230"/>
      <c r="EX102" s="230"/>
      <c r="EY102" s="230"/>
      <c r="EZ102" s="230"/>
      <c r="FA102" s="230"/>
      <c r="FB102" s="230"/>
      <c r="FC102" s="230"/>
      <c r="FD102" s="230"/>
      <c r="FE102" s="230"/>
      <c r="FF102" s="230"/>
      <c r="FG102" s="230"/>
      <c r="FH102" s="230"/>
      <c r="FI102" s="230"/>
      <c r="FJ102" s="230"/>
      <c r="FK102" s="230"/>
      <c r="FL102" s="230"/>
      <c r="FM102" s="230"/>
      <c r="FN102" s="230"/>
      <c r="FO102" s="230"/>
      <c r="FP102" s="230"/>
      <c r="FQ102" s="230"/>
      <c r="FR102" s="230"/>
      <c r="FS102" s="230"/>
      <c r="FT102" s="230"/>
      <c r="FU102" s="230"/>
      <c r="FV102" s="230"/>
      <c r="FW102" s="230"/>
      <c r="FX102" s="230"/>
      <c r="FY102" s="230"/>
      <c r="FZ102" s="230"/>
      <c r="GA102" s="230"/>
      <c r="GB102" s="230"/>
      <c r="GC102" s="230"/>
      <c r="GD102" s="230"/>
      <c r="GE102" s="230"/>
      <c r="GF102" s="230"/>
      <c r="GG102" s="230"/>
      <c r="GH102" s="230"/>
      <c r="GI102" s="230"/>
      <c r="GJ102" s="230"/>
      <c r="GK102" s="230"/>
      <c r="GL102" s="230"/>
      <c r="GM102" s="230"/>
      <c r="GN102" s="230"/>
      <c r="GO102" s="230"/>
      <c r="GP102" s="230"/>
      <c r="GQ102" s="230"/>
      <c r="GR102" s="230"/>
    </row>
    <row r="103" spans="1:200" s="632" customFormat="1" outlineLevel="2" x14ac:dyDescent="0.2">
      <c r="A103" s="636" t="s">
        <v>4885</v>
      </c>
      <c r="B103" s="636" t="s">
        <v>2281</v>
      </c>
      <c r="C103" s="597"/>
      <c r="D103" s="1539"/>
      <c r="E103" s="646"/>
      <c r="F103" s="646"/>
      <c r="G103" s="1517">
        <v>2</v>
      </c>
      <c r="H103" s="1517">
        <v>3</v>
      </c>
      <c r="I103" s="1517"/>
      <c r="J103" s="1517" t="s">
        <v>1592</v>
      </c>
      <c r="K103" s="1518" t="s">
        <v>978</v>
      </c>
      <c r="L103" s="1518" t="s">
        <v>7313</v>
      </c>
      <c r="M103" s="635"/>
      <c r="N103" s="624"/>
      <c r="O103" s="624"/>
      <c r="P103" s="624"/>
      <c r="Q103" s="624"/>
      <c r="R103" s="624"/>
      <c r="S103" s="624"/>
      <c r="T103" s="624"/>
      <c r="U103" s="624"/>
      <c r="V103" s="624"/>
      <c r="W103" s="624"/>
      <c r="X103" s="624"/>
      <c r="Y103" s="624"/>
      <c r="Z103" s="624"/>
      <c r="AA103">
        <f>IF(AND('12 Ext'!C103&gt;Tmin, NOT('12 Ext'!$I103="")),'12 Ext'!$I103,0)</f>
        <v>0</v>
      </c>
      <c r="AB103">
        <f>IF(AND('12 Ext'!D103&gt;Tmin, NOT('12 Ext'!$I103="")),'12 Ext'!$I103,0)</f>
        <v>0</v>
      </c>
      <c r="AC103">
        <f>IF(AND('12 Ext'!E103&gt;Tmin, NOT('12 Ext'!$I103="")),'12 Ext'!$I103,0)</f>
        <v>0</v>
      </c>
      <c r="AD103">
        <f>IF(AND('12 Ext'!F103&gt;Tmin, NOT('12 Ext'!$I103="")),'12 Ext'!$I103,0)</f>
        <v>0</v>
      </c>
      <c r="AE103">
        <f>IF(AND('12 Ext'!C103&lt;Tmax, NOT('12 Ext'!$H103="")),'12 Ext'!$H103,4)</f>
        <v>3</v>
      </c>
      <c r="AF103">
        <f>IF(AND('12 Ext'!D103&lt;Tmax, NOT('12 Ext'!$H103="")),'12 Ext'!$H103,4)</f>
        <v>3</v>
      </c>
      <c r="AG103">
        <f>IF(AND('12 Ext'!E103&lt;Tmax, NOT('12 Ext'!$H103="")),'12 Ext'!$H103,4)</f>
        <v>3</v>
      </c>
      <c r="AH103">
        <f>IF(AND('12 Ext'!F103&lt;Tmax, NOT('12 Ext'!$H103="")),'12 Ext'!$H103,4)</f>
        <v>3</v>
      </c>
      <c r="AI103"/>
      <c r="AJ103" s="230"/>
      <c r="AK103" s="230"/>
      <c r="AL103" s="230"/>
      <c r="AM103" s="230"/>
      <c r="AN103" s="230"/>
      <c r="AO103" s="230"/>
      <c r="AP103" s="230"/>
      <c r="AQ103" s="230"/>
      <c r="AR103" s="230"/>
      <c r="AS103" s="230"/>
      <c r="AT103" s="230"/>
      <c r="AU103" s="230"/>
      <c r="AV103" s="230"/>
      <c r="AW103" s="230"/>
      <c r="AX103" s="230"/>
      <c r="AY103" s="230"/>
      <c r="AZ103" s="230"/>
      <c r="BA103" s="230"/>
      <c r="BB103" s="230"/>
      <c r="BC103" s="230"/>
      <c r="BD103" s="230"/>
      <c r="BE103" s="230"/>
      <c r="BF103" s="230"/>
      <c r="BG103" s="230"/>
      <c r="BH103" s="230"/>
      <c r="BI103" s="230"/>
      <c r="BJ103" s="230"/>
      <c r="BK103" s="230"/>
      <c r="BL103" s="230"/>
      <c r="BM103" s="230"/>
      <c r="BN103" s="230"/>
      <c r="BO103" s="230"/>
      <c r="BP103" s="230"/>
      <c r="BQ103" s="230"/>
      <c r="BR103" s="230"/>
      <c r="BS103" s="230"/>
      <c r="BT103" s="230"/>
      <c r="BU103" s="230"/>
      <c r="BV103" s="230"/>
      <c r="BW103" s="230"/>
      <c r="BX103" s="230"/>
      <c r="BY103" s="230"/>
      <c r="BZ103" s="230"/>
      <c r="CA103" s="230"/>
      <c r="CB103" s="230"/>
      <c r="CC103" s="230"/>
      <c r="CD103" s="230"/>
      <c r="CE103" s="230"/>
      <c r="CF103" s="230"/>
      <c r="CG103" s="230"/>
      <c r="CH103" s="230"/>
      <c r="CI103" s="230"/>
      <c r="CJ103" s="230"/>
      <c r="CK103" s="230"/>
      <c r="CL103" s="230"/>
      <c r="CM103" s="230"/>
      <c r="CN103" s="230"/>
      <c r="CO103" s="230"/>
      <c r="CP103" s="230"/>
      <c r="CQ103" s="230"/>
      <c r="CR103" s="230"/>
      <c r="CS103" s="230"/>
      <c r="CT103" s="230"/>
      <c r="CU103" s="230"/>
      <c r="CV103" s="230"/>
      <c r="CW103" s="230"/>
      <c r="CX103" s="230"/>
      <c r="CY103" s="230"/>
      <c r="CZ103" s="230"/>
      <c r="DA103" s="230"/>
      <c r="DB103" s="230"/>
      <c r="DC103" s="230"/>
      <c r="DD103" s="230"/>
      <c r="DE103" s="230"/>
      <c r="DF103" s="230"/>
      <c r="DG103" s="230"/>
      <c r="DH103" s="230"/>
      <c r="DI103" s="230"/>
      <c r="DJ103" s="230"/>
      <c r="DK103" s="230"/>
      <c r="DL103" s="230"/>
      <c r="DM103" s="230"/>
      <c r="DN103" s="230"/>
      <c r="DO103" s="230"/>
      <c r="DP103" s="230"/>
      <c r="DQ103" s="230"/>
      <c r="DR103" s="230"/>
      <c r="DS103" s="230"/>
      <c r="DT103" s="230"/>
      <c r="DU103" s="230"/>
      <c r="DV103" s="230"/>
      <c r="DW103" s="230"/>
      <c r="DX103" s="230"/>
      <c r="DY103" s="230"/>
      <c r="DZ103" s="230"/>
      <c r="EA103" s="230"/>
      <c r="EB103" s="230"/>
      <c r="EC103" s="230"/>
      <c r="ED103" s="230"/>
      <c r="EE103" s="230"/>
      <c r="EF103" s="230"/>
      <c r="EG103" s="230"/>
      <c r="EH103" s="230"/>
      <c r="EI103" s="230"/>
      <c r="EJ103" s="230"/>
      <c r="EK103" s="230"/>
      <c r="EL103" s="230"/>
      <c r="EM103" s="230"/>
      <c r="EN103" s="230"/>
      <c r="EO103" s="230"/>
      <c r="EP103" s="230"/>
      <c r="EQ103" s="230"/>
      <c r="ER103" s="230"/>
      <c r="ES103" s="230"/>
      <c r="ET103" s="230"/>
      <c r="EU103" s="230"/>
      <c r="EV103" s="230"/>
      <c r="EW103" s="230"/>
      <c r="EX103" s="230"/>
      <c r="EY103" s="230"/>
      <c r="EZ103" s="230"/>
      <c r="FA103" s="230"/>
      <c r="FB103" s="230"/>
      <c r="FC103" s="230"/>
      <c r="FD103" s="230"/>
      <c r="FE103" s="230"/>
      <c r="FF103" s="230"/>
      <c r="FG103" s="230"/>
      <c r="FH103" s="230"/>
      <c r="FI103" s="230"/>
      <c r="FJ103" s="230"/>
      <c r="FK103" s="230"/>
      <c r="FL103" s="230"/>
      <c r="FM103" s="230"/>
      <c r="FN103" s="230"/>
      <c r="FO103" s="230"/>
      <c r="FP103" s="230"/>
      <c r="FQ103" s="230"/>
      <c r="FR103" s="230"/>
      <c r="FS103" s="230"/>
      <c r="FT103" s="230"/>
      <c r="FU103" s="230"/>
      <c r="FV103" s="230"/>
      <c r="FW103" s="230"/>
      <c r="FX103" s="230"/>
      <c r="FY103" s="230"/>
      <c r="FZ103" s="230"/>
      <c r="GA103" s="230"/>
      <c r="GB103" s="230"/>
      <c r="GC103" s="230"/>
      <c r="GD103" s="230"/>
      <c r="GE103" s="230"/>
      <c r="GF103" s="230"/>
      <c r="GG103" s="230"/>
      <c r="GH103" s="230"/>
      <c r="GI103" s="230"/>
      <c r="GJ103" s="230"/>
      <c r="GK103" s="230"/>
      <c r="GL103" s="230"/>
      <c r="GM103" s="230"/>
      <c r="GN103" s="230"/>
      <c r="GO103" s="230"/>
      <c r="GP103" s="230"/>
      <c r="GQ103" s="230"/>
      <c r="GR103" s="230"/>
    </row>
    <row r="104" spans="1:200" s="632" customFormat="1" ht="47.25" customHeight="1" outlineLevel="2" x14ac:dyDescent="0.2">
      <c r="A104" s="636" t="s">
        <v>4886</v>
      </c>
      <c r="B104" s="636" t="s">
        <v>2132</v>
      </c>
      <c r="C104" s="597"/>
      <c r="D104" s="1539"/>
      <c r="E104" s="646"/>
      <c r="F104" s="646"/>
      <c r="G104" s="1517">
        <v>4</v>
      </c>
      <c r="H104" s="1517">
        <v>2</v>
      </c>
      <c r="I104" s="1517"/>
      <c r="J104" s="1517" t="s">
        <v>1592</v>
      </c>
      <c r="K104" s="1518" t="s">
        <v>7140</v>
      </c>
      <c r="L104" s="1518" t="s">
        <v>7366</v>
      </c>
      <c r="M104" s="635"/>
      <c r="N104" s="624"/>
      <c r="O104" s="624"/>
      <c r="P104" s="624"/>
      <c r="Q104" s="624"/>
      <c r="R104" s="624"/>
      <c r="S104" s="624"/>
      <c r="T104" s="624"/>
      <c r="U104" s="624"/>
      <c r="V104" s="624"/>
      <c r="W104" s="624"/>
      <c r="X104" s="624"/>
      <c r="Y104" s="624"/>
      <c r="Z104" s="624"/>
      <c r="AA104">
        <f>IF(AND('12 Ext'!C104&gt;Tmin, NOT('12 Ext'!$I104="")),'12 Ext'!$I104,0)</f>
        <v>0</v>
      </c>
      <c r="AB104">
        <f>IF(AND('12 Ext'!D104&gt;Tmin, NOT('12 Ext'!$I104="")),'12 Ext'!$I104,0)</f>
        <v>0</v>
      </c>
      <c r="AC104">
        <f>IF(AND('12 Ext'!E104&gt;Tmin, NOT('12 Ext'!$I104="")),'12 Ext'!$I104,0)</f>
        <v>0</v>
      </c>
      <c r="AD104">
        <f>IF(AND('12 Ext'!F104&gt;Tmin, NOT('12 Ext'!$I104="")),'12 Ext'!$I104,0)</f>
        <v>0</v>
      </c>
      <c r="AE104">
        <f>IF(AND('12 Ext'!C104&lt;Tmax, NOT('12 Ext'!$H104="")),'12 Ext'!$H104,4)</f>
        <v>2</v>
      </c>
      <c r="AF104">
        <f>IF(AND('12 Ext'!D104&lt;Tmax, NOT('12 Ext'!$H104="")),'12 Ext'!$H104,4)</f>
        <v>2</v>
      </c>
      <c r="AG104">
        <f>IF(AND('12 Ext'!E104&lt;Tmax, NOT('12 Ext'!$H104="")),'12 Ext'!$H104,4)</f>
        <v>2</v>
      </c>
      <c r="AH104">
        <f>IF(AND('12 Ext'!F104&lt;Tmax, NOT('12 Ext'!$H104="")),'12 Ext'!$H104,4)</f>
        <v>2</v>
      </c>
      <c r="AI104"/>
      <c r="AJ104" s="230"/>
      <c r="AK104" s="230"/>
      <c r="AL104" s="230"/>
      <c r="AM104" s="230"/>
      <c r="AN104" s="230"/>
      <c r="AO104" s="230"/>
      <c r="AP104" s="230"/>
      <c r="AQ104" s="230"/>
      <c r="AR104" s="230"/>
      <c r="AS104" s="230"/>
      <c r="AT104" s="230"/>
      <c r="AU104" s="230"/>
      <c r="AV104" s="230"/>
      <c r="AW104" s="230"/>
      <c r="AX104" s="230"/>
      <c r="AY104" s="230"/>
      <c r="AZ104" s="230"/>
      <c r="BA104" s="230"/>
      <c r="BB104" s="230"/>
      <c r="BC104" s="230"/>
      <c r="BD104" s="230"/>
      <c r="BE104" s="230"/>
      <c r="BF104" s="230"/>
      <c r="BG104" s="230"/>
      <c r="BH104" s="230"/>
      <c r="BI104" s="230"/>
      <c r="BJ104" s="230"/>
      <c r="BK104" s="230"/>
      <c r="BL104" s="230"/>
      <c r="BM104" s="230"/>
      <c r="BN104" s="230"/>
      <c r="BO104" s="230"/>
      <c r="BP104" s="230"/>
      <c r="BQ104" s="230"/>
      <c r="BR104" s="230"/>
      <c r="BS104" s="230"/>
      <c r="BT104" s="230"/>
      <c r="BU104" s="230"/>
      <c r="BV104" s="230"/>
      <c r="BW104" s="230"/>
      <c r="BX104" s="230"/>
      <c r="BY104" s="230"/>
      <c r="BZ104" s="230"/>
      <c r="CA104" s="230"/>
      <c r="CB104" s="230"/>
      <c r="CC104" s="230"/>
      <c r="CD104" s="230"/>
      <c r="CE104" s="230"/>
      <c r="CF104" s="230"/>
      <c r="CG104" s="230"/>
      <c r="CH104" s="230"/>
      <c r="CI104" s="230"/>
      <c r="CJ104" s="230"/>
      <c r="CK104" s="230"/>
      <c r="CL104" s="230"/>
      <c r="CM104" s="230"/>
      <c r="CN104" s="230"/>
      <c r="CO104" s="230"/>
      <c r="CP104" s="230"/>
      <c r="CQ104" s="230"/>
      <c r="CR104" s="230"/>
      <c r="CS104" s="230"/>
      <c r="CT104" s="230"/>
      <c r="CU104" s="230"/>
      <c r="CV104" s="230"/>
      <c r="CW104" s="230"/>
      <c r="CX104" s="230"/>
      <c r="CY104" s="230"/>
      <c r="CZ104" s="230"/>
      <c r="DA104" s="230"/>
      <c r="DB104" s="230"/>
      <c r="DC104" s="230"/>
      <c r="DD104" s="230"/>
      <c r="DE104" s="230"/>
      <c r="DF104" s="230"/>
      <c r="DG104" s="230"/>
      <c r="DH104" s="230"/>
      <c r="DI104" s="230"/>
      <c r="DJ104" s="230"/>
      <c r="DK104" s="230"/>
      <c r="DL104" s="230"/>
      <c r="DM104" s="230"/>
      <c r="DN104" s="230"/>
      <c r="DO104" s="230"/>
      <c r="DP104" s="230"/>
      <c r="DQ104" s="230"/>
      <c r="DR104" s="230"/>
      <c r="DS104" s="230"/>
      <c r="DT104" s="230"/>
      <c r="DU104" s="230"/>
      <c r="DV104" s="230"/>
      <c r="DW104" s="230"/>
      <c r="DX104" s="230"/>
      <c r="DY104" s="230"/>
      <c r="DZ104" s="230"/>
      <c r="EA104" s="230"/>
      <c r="EB104" s="230"/>
      <c r="EC104" s="230"/>
      <c r="ED104" s="230"/>
      <c r="EE104" s="230"/>
      <c r="EF104" s="230"/>
      <c r="EG104" s="230"/>
      <c r="EH104" s="230"/>
      <c r="EI104" s="230"/>
      <c r="EJ104" s="230"/>
      <c r="EK104" s="230"/>
      <c r="EL104" s="230"/>
      <c r="EM104" s="230"/>
      <c r="EN104" s="230"/>
      <c r="EO104" s="230"/>
      <c r="EP104" s="230"/>
      <c r="EQ104" s="230"/>
      <c r="ER104" s="230"/>
      <c r="ES104" s="230"/>
      <c r="ET104" s="230"/>
      <c r="EU104" s="230"/>
      <c r="EV104" s="230"/>
      <c r="EW104" s="230"/>
      <c r="EX104" s="230"/>
      <c r="EY104" s="230"/>
      <c r="EZ104" s="230"/>
      <c r="FA104" s="230"/>
      <c r="FB104" s="230"/>
      <c r="FC104" s="230"/>
      <c r="FD104" s="230"/>
      <c r="FE104" s="230"/>
      <c r="FF104" s="230"/>
      <c r="FG104" s="230"/>
      <c r="FH104" s="230"/>
      <c r="FI104" s="230"/>
      <c r="FJ104" s="230"/>
      <c r="FK104" s="230"/>
      <c r="FL104" s="230"/>
      <c r="FM104" s="230"/>
      <c r="FN104" s="230"/>
      <c r="FO104" s="230"/>
      <c r="FP104" s="230"/>
      <c r="FQ104" s="230"/>
      <c r="FR104" s="230"/>
      <c r="FS104" s="230"/>
      <c r="FT104" s="230"/>
      <c r="FU104" s="230"/>
      <c r="FV104" s="230"/>
      <c r="FW104" s="230"/>
      <c r="FX104" s="230"/>
      <c r="FY104" s="230"/>
      <c r="FZ104" s="230"/>
      <c r="GA104" s="230"/>
      <c r="GB104" s="230"/>
      <c r="GC104" s="230"/>
      <c r="GD104" s="230"/>
      <c r="GE104" s="230"/>
      <c r="GF104" s="230"/>
      <c r="GG104" s="230"/>
      <c r="GH104" s="230"/>
      <c r="GI104" s="230"/>
      <c r="GJ104" s="230"/>
      <c r="GK104" s="230"/>
      <c r="GL104" s="230"/>
      <c r="GM104" s="230"/>
      <c r="GN104" s="230"/>
      <c r="GO104" s="230"/>
      <c r="GP104" s="230"/>
      <c r="GQ104" s="230"/>
      <c r="GR104" s="230"/>
    </row>
    <row r="105" spans="1:200" s="632" customFormat="1" ht="25.5" customHeight="1" outlineLevel="2" x14ac:dyDescent="0.2">
      <c r="A105" s="636" t="s">
        <v>4887</v>
      </c>
      <c r="B105" s="636" t="s">
        <v>2761</v>
      </c>
      <c r="C105" s="597"/>
      <c r="D105" s="1539"/>
      <c r="E105" s="646"/>
      <c r="F105" s="646"/>
      <c r="G105" s="1517">
        <v>4</v>
      </c>
      <c r="H105" s="1517">
        <v>3</v>
      </c>
      <c r="I105" s="1517"/>
      <c r="J105" s="1517" t="s">
        <v>2349</v>
      </c>
      <c r="K105" s="1518" t="s">
        <v>978</v>
      </c>
      <c r="L105" s="1518" t="s">
        <v>7313</v>
      </c>
      <c r="M105" s="635"/>
      <c r="N105" s="624"/>
      <c r="O105" s="624"/>
      <c r="P105" s="624"/>
      <c r="Q105" s="624"/>
      <c r="R105" s="624"/>
      <c r="S105" s="624"/>
      <c r="T105" s="624"/>
      <c r="U105" s="624"/>
      <c r="V105" s="624"/>
      <c r="W105" s="624"/>
      <c r="X105" s="624"/>
      <c r="Y105" s="624"/>
      <c r="Z105" s="624"/>
      <c r="AA105">
        <f>IF(AND('12 Ext'!C105&gt;Tmin, NOT('12 Ext'!$I105="")),'12 Ext'!$I105,0)</f>
        <v>0</v>
      </c>
      <c r="AB105">
        <f>IF(AND('12 Ext'!D105&gt;Tmin, NOT('12 Ext'!$I105="")),'12 Ext'!$I105,0)</f>
        <v>0</v>
      </c>
      <c r="AC105">
        <f>IF(AND('12 Ext'!E105&gt;Tmin, NOT('12 Ext'!$I105="")),'12 Ext'!$I105,0)</f>
        <v>0</v>
      </c>
      <c r="AD105">
        <f>IF(AND('12 Ext'!F105&gt;Tmin, NOT('12 Ext'!$I105="")),'12 Ext'!$I105,0)</f>
        <v>0</v>
      </c>
      <c r="AE105">
        <f>IF(AND('12 Ext'!C105&lt;Tmax, NOT('12 Ext'!$H105="")),'12 Ext'!$H105,4)</f>
        <v>3</v>
      </c>
      <c r="AF105">
        <f>IF(AND('12 Ext'!D105&lt;Tmax, NOT('12 Ext'!$H105="")),'12 Ext'!$H105,4)</f>
        <v>3</v>
      </c>
      <c r="AG105">
        <f>IF(AND('12 Ext'!E105&lt;Tmax, NOT('12 Ext'!$H105="")),'12 Ext'!$H105,4)</f>
        <v>3</v>
      </c>
      <c r="AH105">
        <f>IF(AND('12 Ext'!F105&lt;Tmax, NOT('12 Ext'!$H105="")),'12 Ext'!$H105,4)</f>
        <v>3</v>
      </c>
      <c r="AI105"/>
      <c r="AJ105" s="230"/>
      <c r="AK105" s="230"/>
      <c r="AL105" s="230"/>
      <c r="AM105" s="230"/>
      <c r="AN105" s="230"/>
      <c r="AO105" s="230"/>
      <c r="AP105" s="230"/>
      <c r="AQ105" s="230"/>
      <c r="AR105" s="230"/>
      <c r="AS105" s="230"/>
      <c r="AT105" s="230"/>
      <c r="AU105" s="230"/>
      <c r="AV105" s="230"/>
      <c r="AW105" s="230"/>
      <c r="AX105" s="230"/>
      <c r="AY105" s="230"/>
      <c r="AZ105" s="230"/>
      <c r="BA105" s="230"/>
      <c r="BB105" s="230"/>
      <c r="BC105" s="230"/>
      <c r="BD105" s="230"/>
      <c r="BE105" s="230"/>
      <c r="BF105" s="230"/>
      <c r="BG105" s="230"/>
      <c r="BH105" s="230"/>
      <c r="BI105" s="230"/>
      <c r="BJ105" s="230"/>
      <c r="BK105" s="230"/>
      <c r="BL105" s="230"/>
      <c r="BM105" s="230"/>
      <c r="BN105" s="230"/>
      <c r="BO105" s="230"/>
      <c r="BP105" s="230"/>
      <c r="BQ105" s="230"/>
      <c r="BR105" s="230"/>
      <c r="BS105" s="230"/>
      <c r="BT105" s="230"/>
      <c r="BU105" s="230"/>
      <c r="BV105" s="230"/>
      <c r="BW105" s="230"/>
      <c r="BX105" s="230"/>
      <c r="BY105" s="230"/>
      <c r="BZ105" s="230"/>
      <c r="CA105" s="230"/>
      <c r="CB105" s="230"/>
      <c r="CC105" s="230"/>
      <c r="CD105" s="230"/>
      <c r="CE105" s="230"/>
      <c r="CF105" s="230"/>
      <c r="CG105" s="230"/>
      <c r="CH105" s="230"/>
      <c r="CI105" s="230"/>
      <c r="CJ105" s="230"/>
      <c r="CK105" s="230"/>
      <c r="CL105" s="230"/>
      <c r="CM105" s="230"/>
      <c r="CN105" s="230"/>
      <c r="CO105" s="230"/>
      <c r="CP105" s="230"/>
      <c r="CQ105" s="230"/>
      <c r="CR105" s="230"/>
      <c r="CS105" s="230"/>
      <c r="CT105" s="230"/>
      <c r="CU105" s="230"/>
      <c r="CV105" s="230"/>
      <c r="CW105" s="230"/>
      <c r="CX105" s="230"/>
      <c r="CY105" s="230"/>
      <c r="CZ105" s="230"/>
      <c r="DA105" s="230"/>
      <c r="DB105" s="230"/>
      <c r="DC105" s="230"/>
      <c r="DD105" s="230"/>
      <c r="DE105" s="230"/>
      <c r="DF105" s="230"/>
      <c r="DG105" s="230"/>
      <c r="DH105" s="230"/>
      <c r="DI105" s="230"/>
      <c r="DJ105" s="230"/>
      <c r="DK105" s="230"/>
      <c r="DL105" s="230"/>
      <c r="DM105" s="230"/>
      <c r="DN105" s="230"/>
      <c r="DO105" s="230"/>
      <c r="DP105" s="230"/>
      <c r="DQ105" s="230"/>
      <c r="DR105" s="230"/>
      <c r="DS105" s="230"/>
      <c r="DT105" s="230"/>
      <c r="DU105" s="230"/>
      <c r="DV105" s="230"/>
      <c r="DW105" s="230"/>
      <c r="DX105" s="230"/>
      <c r="DY105" s="230"/>
      <c r="DZ105" s="230"/>
      <c r="EA105" s="230"/>
      <c r="EB105" s="230"/>
      <c r="EC105" s="230"/>
      <c r="ED105" s="230"/>
      <c r="EE105" s="230"/>
      <c r="EF105" s="230"/>
      <c r="EG105" s="230"/>
      <c r="EH105" s="230"/>
      <c r="EI105" s="230"/>
      <c r="EJ105" s="230"/>
      <c r="EK105" s="230"/>
      <c r="EL105" s="230"/>
      <c r="EM105" s="230"/>
      <c r="EN105" s="230"/>
      <c r="EO105" s="230"/>
      <c r="EP105" s="230"/>
      <c r="EQ105" s="230"/>
      <c r="ER105" s="230"/>
      <c r="ES105" s="230"/>
      <c r="ET105" s="230"/>
      <c r="EU105" s="230"/>
      <c r="EV105" s="230"/>
      <c r="EW105" s="230"/>
      <c r="EX105" s="230"/>
      <c r="EY105" s="230"/>
      <c r="EZ105" s="230"/>
      <c r="FA105" s="230"/>
      <c r="FB105" s="230"/>
      <c r="FC105" s="230"/>
      <c r="FD105" s="230"/>
      <c r="FE105" s="230"/>
      <c r="FF105" s="230"/>
      <c r="FG105" s="230"/>
      <c r="FH105" s="230"/>
      <c r="FI105" s="230"/>
      <c r="FJ105" s="230"/>
      <c r="FK105" s="230"/>
      <c r="FL105" s="230"/>
      <c r="FM105" s="230"/>
      <c r="FN105" s="230"/>
      <c r="FO105" s="230"/>
      <c r="FP105" s="230"/>
      <c r="FQ105" s="230"/>
      <c r="FR105" s="230"/>
      <c r="FS105" s="230"/>
      <c r="FT105" s="230"/>
      <c r="FU105" s="230"/>
      <c r="FV105" s="230"/>
      <c r="FW105" s="230"/>
      <c r="FX105" s="230"/>
      <c r="FY105" s="230"/>
      <c r="FZ105" s="230"/>
      <c r="GA105" s="230"/>
      <c r="GB105" s="230"/>
      <c r="GC105" s="230"/>
      <c r="GD105" s="230"/>
      <c r="GE105" s="230"/>
      <c r="GF105" s="230"/>
      <c r="GG105" s="230"/>
      <c r="GH105" s="230"/>
      <c r="GI105" s="230"/>
      <c r="GJ105" s="230"/>
      <c r="GK105" s="230"/>
      <c r="GL105" s="230"/>
      <c r="GM105" s="230"/>
      <c r="GN105" s="230"/>
      <c r="GO105" s="230"/>
      <c r="GP105" s="230"/>
      <c r="GQ105" s="230"/>
      <c r="GR105" s="230"/>
    </row>
    <row r="106" spans="1:200" s="632" customFormat="1" outlineLevel="2" x14ac:dyDescent="0.2">
      <c r="A106" s="636" t="s">
        <v>4888</v>
      </c>
      <c r="B106" s="636" t="s">
        <v>2444</v>
      </c>
      <c r="C106" s="597"/>
      <c r="D106" s="1539"/>
      <c r="E106" s="646"/>
      <c r="F106" s="646"/>
      <c r="G106" s="1517">
        <v>2</v>
      </c>
      <c r="H106" s="1517">
        <v>3</v>
      </c>
      <c r="I106" s="1517"/>
      <c r="J106" s="1517" t="s">
        <v>2107</v>
      </c>
      <c r="K106" s="1518" t="s">
        <v>978</v>
      </c>
      <c r="L106" s="1518" t="s">
        <v>7313</v>
      </c>
      <c r="M106" s="635"/>
      <c r="N106" s="624"/>
      <c r="O106" s="624"/>
      <c r="P106" s="624"/>
      <c r="Q106" s="624"/>
      <c r="R106" s="624"/>
      <c r="S106" s="624"/>
      <c r="T106" s="624"/>
      <c r="U106" s="624"/>
      <c r="V106" s="624"/>
      <c r="W106" s="624"/>
      <c r="X106" s="624"/>
      <c r="Y106" s="624"/>
      <c r="Z106" s="624"/>
      <c r="AA106">
        <f>IF(AND('12 Ext'!C106&gt;Tmin, NOT('12 Ext'!$I106="")),'12 Ext'!$I106,0)</f>
        <v>0</v>
      </c>
      <c r="AB106">
        <f>IF(AND('12 Ext'!D106&gt;Tmin, NOT('12 Ext'!$I106="")),'12 Ext'!$I106,0)</f>
        <v>0</v>
      </c>
      <c r="AC106">
        <f>IF(AND('12 Ext'!E106&gt;Tmin, NOT('12 Ext'!$I106="")),'12 Ext'!$I106,0)</f>
        <v>0</v>
      </c>
      <c r="AD106">
        <f>IF(AND('12 Ext'!F106&gt;Tmin, NOT('12 Ext'!$I106="")),'12 Ext'!$I106,0)</f>
        <v>0</v>
      </c>
      <c r="AE106">
        <f>IF(AND('12 Ext'!C106&lt;Tmax, NOT('12 Ext'!$H106="")),'12 Ext'!$H106,4)</f>
        <v>3</v>
      </c>
      <c r="AF106">
        <f>IF(AND('12 Ext'!D106&lt;Tmax, NOT('12 Ext'!$H106="")),'12 Ext'!$H106,4)</f>
        <v>3</v>
      </c>
      <c r="AG106">
        <f>IF(AND('12 Ext'!E106&lt;Tmax, NOT('12 Ext'!$H106="")),'12 Ext'!$H106,4)</f>
        <v>3</v>
      </c>
      <c r="AH106">
        <f>IF(AND('12 Ext'!F106&lt;Tmax, NOT('12 Ext'!$H106="")),'12 Ext'!$H106,4)</f>
        <v>3</v>
      </c>
      <c r="AI106"/>
      <c r="AJ106" s="230"/>
      <c r="AK106" s="230"/>
      <c r="AL106" s="230"/>
      <c r="AM106" s="230"/>
      <c r="AN106" s="230"/>
      <c r="AO106" s="230"/>
      <c r="AP106" s="230"/>
      <c r="AQ106" s="230"/>
      <c r="AR106" s="230"/>
      <c r="AS106" s="230"/>
      <c r="AT106" s="230"/>
      <c r="AU106" s="230"/>
      <c r="AV106" s="230"/>
      <c r="AW106" s="230"/>
      <c r="AX106" s="230"/>
      <c r="AY106" s="230"/>
      <c r="AZ106" s="230"/>
      <c r="BA106" s="230"/>
      <c r="BB106" s="230"/>
      <c r="BC106" s="230"/>
      <c r="BD106" s="230"/>
      <c r="BE106" s="230"/>
      <c r="BF106" s="230"/>
      <c r="BG106" s="230"/>
      <c r="BH106" s="230"/>
      <c r="BI106" s="230"/>
      <c r="BJ106" s="230"/>
      <c r="BK106" s="230"/>
      <c r="BL106" s="230"/>
      <c r="BM106" s="230"/>
      <c r="BN106" s="230"/>
      <c r="BO106" s="230"/>
      <c r="BP106" s="230"/>
      <c r="BQ106" s="230"/>
      <c r="BR106" s="230"/>
      <c r="BS106" s="230"/>
      <c r="BT106" s="230"/>
      <c r="BU106" s="230"/>
      <c r="BV106" s="230"/>
      <c r="BW106" s="230"/>
      <c r="BX106" s="230"/>
      <c r="BY106" s="230"/>
      <c r="BZ106" s="230"/>
      <c r="CA106" s="230"/>
      <c r="CB106" s="230"/>
      <c r="CC106" s="230"/>
      <c r="CD106" s="230"/>
      <c r="CE106" s="230"/>
      <c r="CF106" s="230"/>
      <c r="CG106" s="230"/>
      <c r="CH106" s="230"/>
      <c r="CI106" s="230"/>
      <c r="CJ106" s="230"/>
      <c r="CK106" s="230"/>
      <c r="CL106" s="230"/>
      <c r="CM106" s="230"/>
      <c r="CN106" s="230"/>
      <c r="CO106" s="230"/>
      <c r="CP106" s="230"/>
      <c r="CQ106" s="230"/>
      <c r="CR106" s="230"/>
      <c r="CS106" s="230"/>
      <c r="CT106" s="230"/>
      <c r="CU106" s="230"/>
      <c r="CV106" s="230"/>
      <c r="CW106" s="230"/>
      <c r="CX106" s="230"/>
      <c r="CY106" s="230"/>
      <c r="CZ106" s="230"/>
      <c r="DA106" s="230"/>
      <c r="DB106" s="230"/>
      <c r="DC106" s="230"/>
      <c r="DD106" s="230"/>
      <c r="DE106" s="230"/>
      <c r="DF106" s="230"/>
      <c r="DG106" s="230"/>
      <c r="DH106" s="230"/>
      <c r="DI106" s="230"/>
      <c r="DJ106" s="230"/>
      <c r="DK106" s="230"/>
      <c r="DL106" s="230"/>
      <c r="DM106" s="230"/>
      <c r="DN106" s="230"/>
      <c r="DO106" s="230"/>
      <c r="DP106" s="230"/>
      <c r="DQ106" s="230"/>
      <c r="DR106" s="230"/>
      <c r="DS106" s="230"/>
      <c r="DT106" s="230"/>
      <c r="DU106" s="230"/>
      <c r="DV106" s="230"/>
      <c r="DW106" s="230"/>
      <c r="DX106" s="230"/>
      <c r="DY106" s="230"/>
      <c r="DZ106" s="230"/>
      <c r="EA106" s="230"/>
      <c r="EB106" s="230"/>
      <c r="EC106" s="230"/>
      <c r="ED106" s="230"/>
      <c r="EE106" s="230"/>
      <c r="EF106" s="230"/>
      <c r="EG106" s="230"/>
      <c r="EH106" s="230"/>
      <c r="EI106" s="230"/>
      <c r="EJ106" s="230"/>
      <c r="EK106" s="230"/>
      <c r="EL106" s="230"/>
      <c r="EM106" s="230"/>
      <c r="EN106" s="230"/>
      <c r="EO106" s="230"/>
      <c r="EP106" s="230"/>
      <c r="EQ106" s="230"/>
      <c r="ER106" s="230"/>
      <c r="ES106" s="230"/>
      <c r="ET106" s="230"/>
      <c r="EU106" s="230"/>
      <c r="EV106" s="230"/>
      <c r="EW106" s="230"/>
      <c r="EX106" s="230"/>
      <c r="EY106" s="230"/>
      <c r="EZ106" s="230"/>
      <c r="FA106" s="230"/>
      <c r="FB106" s="230"/>
      <c r="FC106" s="230"/>
      <c r="FD106" s="230"/>
      <c r="FE106" s="230"/>
      <c r="FF106" s="230"/>
      <c r="FG106" s="230"/>
      <c r="FH106" s="230"/>
      <c r="FI106" s="230"/>
      <c r="FJ106" s="230"/>
      <c r="FK106" s="230"/>
      <c r="FL106" s="230"/>
      <c r="FM106" s="230"/>
      <c r="FN106" s="230"/>
      <c r="FO106" s="230"/>
      <c r="FP106" s="230"/>
      <c r="FQ106" s="230"/>
      <c r="FR106" s="230"/>
      <c r="FS106" s="230"/>
      <c r="FT106" s="230"/>
      <c r="FU106" s="230"/>
      <c r="FV106" s="230"/>
      <c r="FW106" s="230"/>
      <c r="FX106" s="230"/>
      <c r="FY106" s="230"/>
      <c r="FZ106" s="230"/>
      <c r="GA106" s="230"/>
      <c r="GB106" s="230"/>
      <c r="GC106" s="230"/>
      <c r="GD106" s="230"/>
      <c r="GE106" s="230"/>
      <c r="GF106" s="230"/>
      <c r="GG106" s="230"/>
      <c r="GH106" s="230"/>
      <c r="GI106" s="230"/>
      <c r="GJ106" s="230"/>
      <c r="GK106" s="230"/>
      <c r="GL106" s="230"/>
      <c r="GM106" s="230"/>
      <c r="GN106" s="230"/>
      <c r="GO106" s="230"/>
      <c r="GP106" s="230"/>
      <c r="GQ106" s="230"/>
      <c r="GR106" s="230"/>
    </row>
    <row r="107" spans="1:200" s="632" customFormat="1" outlineLevel="2" x14ac:dyDescent="0.2">
      <c r="A107" s="636" t="s">
        <v>4889</v>
      </c>
      <c r="B107" s="636" t="s">
        <v>1203</v>
      </c>
      <c r="C107" s="597"/>
      <c r="D107" s="1539"/>
      <c r="E107" s="646"/>
      <c r="F107" s="646"/>
      <c r="G107" s="1517">
        <v>2</v>
      </c>
      <c r="H107" s="1517">
        <v>3</v>
      </c>
      <c r="I107" s="1517"/>
      <c r="J107" s="1517" t="s">
        <v>2109</v>
      </c>
      <c r="K107" s="1518"/>
      <c r="L107" s="1518"/>
      <c r="M107" s="635"/>
      <c r="N107" s="624"/>
      <c r="O107" s="624"/>
      <c r="P107" s="624"/>
      <c r="Q107" s="624"/>
      <c r="R107" s="624"/>
      <c r="S107" s="624"/>
      <c r="T107" s="624"/>
      <c r="U107" s="624"/>
      <c r="V107" s="624"/>
      <c r="W107" s="624"/>
      <c r="X107" s="624"/>
      <c r="Y107" s="624"/>
      <c r="Z107" s="624"/>
      <c r="AA107">
        <f>IF(AND('12 Ext'!C107&gt;Tmin, NOT('12 Ext'!$I107="")),'12 Ext'!$I107,0)</f>
        <v>0</v>
      </c>
      <c r="AB107">
        <f>IF(AND('12 Ext'!D107&gt;Tmin, NOT('12 Ext'!$I107="")),'12 Ext'!$I107,0)</f>
        <v>0</v>
      </c>
      <c r="AC107">
        <f>IF(AND('12 Ext'!E107&gt;Tmin, NOT('12 Ext'!$I107="")),'12 Ext'!$I107,0)</f>
        <v>0</v>
      </c>
      <c r="AD107">
        <f>IF(AND('12 Ext'!F107&gt;Tmin, NOT('12 Ext'!$I107="")),'12 Ext'!$I107,0)</f>
        <v>0</v>
      </c>
      <c r="AE107">
        <f>IF(AND('12 Ext'!C107&lt;Tmax, NOT('12 Ext'!$H107="")),'12 Ext'!$H107,4)</f>
        <v>3</v>
      </c>
      <c r="AF107">
        <f>IF(AND('12 Ext'!D107&lt;Tmax, NOT('12 Ext'!$H107="")),'12 Ext'!$H107,4)</f>
        <v>3</v>
      </c>
      <c r="AG107">
        <f>IF(AND('12 Ext'!E107&lt;Tmax, NOT('12 Ext'!$H107="")),'12 Ext'!$H107,4)</f>
        <v>3</v>
      </c>
      <c r="AH107">
        <f>IF(AND('12 Ext'!F107&lt;Tmax, NOT('12 Ext'!$H107="")),'12 Ext'!$H107,4)</f>
        <v>3</v>
      </c>
      <c r="AI107"/>
      <c r="AJ107" s="230"/>
      <c r="AK107" s="230"/>
      <c r="AL107" s="230"/>
      <c r="AM107" s="230"/>
      <c r="AN107" s="230"/>
      <c r="AO107" s="230"/>
      <c r="AP107" s="230"/>
      <c r="AQ107" s="230"/>
      <c r="AR107" s="230"/>
      <c r="AS107" s="230"/>
      <c r="AT107" s="230"/>
      <c r="AU107" s="230"/>
      <c r="AV107" s="230"/>
      <c r="AW107" s="230"/>
      <c r="AX107" s="230"/>
      <c r="AY107" s="230"/>
      <c r="AZ107" s="230"/>
      <c r="BA107" s="230"/>
      <c r="BB107" s="230"/>
      <c r="BC107" s="230"/>
      <c r="BD107" s="230"/>
      <c r="BE107" s="230"/>
      <c r="BF107" s="230"/>
      <c r="BG107" s="230"/>
      <c r="BH107" s="230"/>
      <c r="BI107" s="230"/>
      <c r="BJ107" s="230"/>
      <c r="BK107" s="230"/>
      <c r="BL107" s="230"/>
      <c r="BM107" s="230"/>
      <c r="BN107" s="230"/>
      <c r="BO107" s="230"/>
      <c r="BP107" s="230"/>
      <c r="BQ107" s="230"/>
      <c r="BR107" s="230"/>
      <c r="BS107" s="230"/>
      <c r="BT107" s="230"/>
      <c r="BU107" s="230"/>
      <c r="BV107" s="230"/>
      <c r="BW107" s="230"/>
      <c r="BX107" s="230"/>
      <c r="BY107" s="230"/>
      <c r="BZ107" s="230"/>
      <c r="CA107" s="230"/>
      <c r="CB107" s="230"/>
      <c r="CC107" s="230"/>
      <c r="CD107" s="230"/>
      <c r="CE107" s="230"/>
      <c r="CF107" s="230"/>
      <c r="CG107" s="230"/>
      <c r="CH107" s="230"/>
      <c r="CI107" s="230"/>
      <c r="CJ107" s="230"/>
      <c r="CK107" s="230"/>
      <c r="CL107" s="230"/>
      <c r="CM107" s="230"/>
      <c r="CN107" s="230"/>
      <c r="CO107" s="230"/>
      <c r="CP107" s="230"/>
      <c r="CQ107" s="230"/>
      <c r="CR107" s="230"/>
      <c r="CS107" s="230"/>
      <c r="CT107" s="230"/>
      <c r="CU107" s="230"/>
      <c r="CV107" s="230"/>
      <c r="CW107" s="230"/>
      <c r="CX107" s="230"/>
      <c r="CY107" s="230"/>
      <c r="CZ107" s="230"/>
      <c r="DA107" s="230"/>
      <c r="DB107" s="230"/>
      <c r="DC107" s="230"/>
      <c r="DD107" s="230"/>
      <c r="DE107" s="230"/>
      <c r="DF107" s="230"/>
      <c r="DG107" s="230"/>
      <c r="DH107" s="230"/>
      <c r="DI107" s="230"/>
      <c r="DJ107" s="230"/>
      <c r="DK107" s="230"/>
      <c r="DL107" s="230"/>
      <c r="DM107" s="230"/>
      <c r="DN107" s="230"/>
      <c r="DO107" s="230"/>
      <c r="DP107" s="230"/>
      <c r="DQ107" s="230"/>
      <c r="DR107" s="230"/>
      <c r="DS107" s="230"/>
      <c r="DT107" s="230"/>
      <c r="DU107" s="230"/>
      <c r="DV107" s="230"/>
      <c r="DW107" s="230"/>
      <c r="DX107" s="230"/>
      <c r="DY107" s="230"/>
      <c r="DZ107" s="230"/>
      <c r="EA107" s="230"/>
      <c r="EB107" s="230"/>
      <c r="EC107" s="230"/>
      <c r="ED107" s="230"/>
      <c r="EE107" s="230"/>
      <c r="EF107" s="230"/>
      <c r="EG107" s="230"/>
      <c r="EH107" s="230"/>
      <c r="EI107" s="230"/>
      <c r="EJ107" s="230"/>
      <c r="EK107" s="230"/>
      <c r="EL107" s="230"/>
      <c r="EM107" s="230"/>
      <c r="EN107" s="230"/>
      <c r="EO107" s="230"/>
      <c r="EP107" s="230"/>
      <c r="EQ107" s="230"/>
      <c r="ER107" s="230"/>
      <c r="ES107" s="230"/>
      <c r="ET107" s="230"/>
      <c r="EU107" s="230"/>
      <c r="EV107" s="230"/>
      <c r="EW107" s="230"/>
      <c r="EX107" s="230"/>
      <c r="EY107" s="230"/>
      <c r="EZ107" s="230"/>
      <c r="FA107" s="230"/>
      <c r="FB107" s="230"/>
      <c r="FC107" s="230"/>
      <c r="FD107" s="230"/>
      <c r="FE107" s="230"/>
      <c r="FF107" s="230"/>
      <c r="FG107" s="230"/>
      <c r="FH107" s="230"/>
      <c r="FI107" s="230"/>
      <c r="FJ107" s="230"/>
      <c r="FK107" s="230"/>
      <c r="FL107" s="230"/>
      <c r="FM107" s="230"/>
      <c r="FN107" s="230"/>
      <c r="FO107" s="230"/>
      <c r="FP107" s="230"/>
      <c r="FQ107" s="230"/>
      <c r="FR107" s="230"/>
      <c r="FS107" s="230"/>
      <c r="FT107" s="230"/>
      <c r="FU107" s="230"/>
      <c r="FV107" s="230"/>
      <c r="FW107" s="230"/>
      <c r="FX107" s="230"/>
      <c r="FY107" s="230"/>
      <c r="FZ107" s="230"/>
      <c r="GA107" s="230"/>
      <c r="GB107" s="230"/>
      <c r="GC107" s="230"/>
      <c r="GD107" s="230"/>
      <c r="GE107" s="230"/>
      <c r="GF107" s="230"/>
      <c r="GG107" s="230"/>
      <c r="GH107" s="230"/>
      <c r="GI107" s="230"/>
      <c r="GJ107" s="230"/>
      <c r="GK107" s="230"/>
      <c r="GL107" s="230"/>
      <c r="GM107" s="230"/>
      <c r="GN107" s="230"/>
      <c r="GO107" s="230"/>
      <c r="GP107" s="230"/>
      <c r="GQ107" s="230"/>
      <c r="GR107" s="230"/>
    </row>
    <row r="108" spans="1:200" s="632" customFormat="1" outlineLevel="1" x14ac:dyDescent="0.2">
      <c r="A108" s="633" t="s">
        <v>4890</v>
      </c>
      <c r="B108" s="634" t="s">
        <v>5966</v>
      </c>
      <c r="C108" s="597"/>
      <c r="D108" s="1538"/>
      <c r="E108" s="642"/>
      <c r="F108" s="642"/>
      <c r="G108" s="1517"/>
      <c r="H108" s="1517"/>
      <c r="I108" s="1517"/>
      <c r="J108" s="1517"/>
      <c r="K108" s="1518"/>
      <c r="L108" s="1518"/>
      <c r="M108" s="635"/>
      <c r="N108" s="624"/>
      <c r="O108" s="624"/>
      <c r="P108" s="624"/>
      <c r="Q108" s="624"/>
      <c r="R108" s="624"/>
      <c r="S108" s="624"/>
      <c r="T108" s="624"/>
      <c r="U108" s="624"/>
      <c r="V108" s="624"/>
      <c r="W108" s="624"/>
      <c r="X108" s="624"/>
      <c r="Y108" s="624"/>
      <c r="Z108" s="624"/>
      <c r="AA108"/>
      <c r="AB108"/>
      <c r="AC108"/>
      <c r="AD108"/>
      <c r="AE108"/>
      <c r="AF108"/>
      <c r="AG108"/>
      <c r="AH108"/>
      <c r="AI108"/>
      <c r="AJ108" s="230"/>
      <c r="AK108" s="230"/>
      <c r="AL108" s="230"/>
      <c r="AM108" s="230"/>
      <c r="AN108" s="230"/>
      <c r="AO108" s="230"/>
      <c r="AP108" s="230"/>
      <c r="AQ108" s="230"/>
      <c r="AR108" s="230"/>
      <c r="AS108" s="230"/>
      <c r="AT108" s="230"/>
      <c r="AU108" s="230"/>
      <c r="AV108" s="230"/>
      <c r="AW108" s="230"/>
      <c r="AX108" s="230"/>
      <c r="AY108" s="230"/>
      <c r="AZ108" s="230"/>
      <c r="BA108" s="230"/>
      <c r="BB108" s="230"/>
      <c r="BC108" s="230"/>
      <c r="BD108" s="230"/>
      <c r="BE108" s="230"/>
      <c r="BF108" s="230"/>
      <c r="BG108" s="230"/>
      <c r="BH108" s="230"/>
      <c r="BI108" s="230"/>
      <c r="BJ108" s="230"/>
      <c r="BK108" s="230"/>
      <c r="BL108" s="230"/>
      <c r="BM108" s="230"/>
      <c r="BN108" s="230"/>
      <c r="BO108" s="230"/>
      <c r="BP108" s="230"/>
      <c r="BQ108" s="230"/>
      <c r="BR108" s="230"/>
      <c r="BS108" s="230"/>
      <c r="BT108" s="230"/>
      <c r="BU108" s="230"/>
      <c r="BV108" s="230"/>
      <c r="BW108" s="230"/>
      <c r="BX108" s="230"/>
      <c r="BY108" s="230"/>
      <c r="BZ108" s="230"/>
      <c r="CA108" s="230"/>
      <c r="CB108" s="230"/>
      <c r="CC108" s="230"/>
      <c r="CD108" s="230"/>
      <c r="CE108" s="230"/>
      <c r="CF108" s="230"/>
      <c r="CG108" s="230"/>
      <c r="CH108" s="230"/>
      <c r="CI108" s="230"/>
      <c r="CJ108" s="230"/>
      <c r="CK108" s="230"/>
      <c r="CL108" s="230"/>
      <c r="CM108" s="230"/>
      <c r="CN108" s="230"/>
      <c r="CO108" s="230"/>
      <c r="CP108" s="230"/>
      <c r="CQ108" s="230"/>
      <c r="CR108" s="230"/>
      <c r="CS108" s="230"/>
      <c r="CT108" s="230"/>
      <c r="CU108" s="230"/>
      <c r="CV108" s="230"/>
      <c r="CW108" s="230"/>
      <c r="CX108" s="230"/>
      <c r="CY108" s="230"/>
      <c r="CZ108" s="230"/>
      <c r="DA108" s="230"/>
      <c r="DB108" s="230"/>
      <c r="DC108" s="230"/>
      <c r="DD108" s="230"/>
      <c r="DE108" s="230"/>
      <c r="DF108" s="230"/>
      <c r="DG108" s="230"/>
      <c r="DH108" s="230"/>
      <c r="DI108" s="230"/>
      <c r="DJ108" s="230"/>
      <c r="DK108" s="230"/>
      <c r="DL108" s="230"/>
      <c r="DM108" s="230"/>
      <c r="DN108" s="230"/>
      <c r="DO108" s="230"/>
      <c r="DP108" s="230"/>
      <c r="DQ108" s="230"/>
      <c r="DR108" s="230"/>
      <c r="DS108" s="230"/>
      <c r="DT108" s="230"/>
      <c r="DU108" s="230"/>
      <c r="DV108" s="230"/>
      <c r="DW108" s="230"/>
      <c r="DX108" s="230"/>
      <c r="DY108" s="230"/>
      <c r="DZ108" s="230"/>
      <c r="EA108" s="230"/>
      <c r="EB108" s="230"/>
      <c r="EC108" s="230"/>
      <c r="ED108" s="230"/>
      <c r="EE108" s="230"/>
      <c r="EF108" s="230"/>
      <c r="EG108" s="230"/>
      <c r="EH108" s="230"/>
      <c r="EI108" s="230"/>
      <c r="EJ108" s="230"/>
      <c r="EK108" s="230"/>
      <c r="EL108" s="230"/>
      <c r="EM108" s="230"/>
      <c r="EN108" s="230"/>
      <c r="EO108" s="230"/>
      <c r="EP108" s="230"/>
      <c r="EQ108" s="230"/>
      <c r="ER108" s="230"/>
      <c r="ES108" s="230"/>
      <c r="ET108" s="230"/>
      <c r="EU108" s="230"/>
      <c r="EV108" s="230"/>
      <c r="EW108" s="230"/>
      <c r="EX108" s="230"/>
      <c r="EY108" s="230"/>
      <c r="EZ108" s="230"/>
      <c r="FA108" s="230"/>
      <c r="FB108" s="230"/>
      <c r="FC108" s="230"/>
      <c r="FD108" s="230"/>
      <c r="FE108" s="230"/>
      <c r="FF108" s="230"/>
      <c r="FG108" s="230"/>
      <c r="FH108" s="230"/>
      <c r="FI108" s="230"/>
      <c r="FJ108" s="230"/>
      <c r="FK108" s="230"/>
      <c r="FL108" s="230"/>
      <c r="FM108" s="230"/>
      <c r="FN108" s="230"/>
      <c r="FO108" s="230"/>
      <c r="FP108" s="230"/>
      <c r="FQ108" s="230"/>
      <c r="FR108" s="230"/>
      <c r="FS108" s="230"/>
      <c r="FT108" s="230"/>
      <c r="FU108" s="230"/>
      <c r="FV108" s="230"/>
      <c r="FW108" s="230"/>
      <c r="FX108" s="230"/>
      <c r="FY108" s="230"/>
      <c r="FZ108" s="230"/>
      <c r="GA108" s="230"/>
      <c r="GB108" s="230"/>
      <c r="GC108" s="230"/>
      <c r="GD108" s="230"/>
      <c r="GE108" s="230"/>
      <c r="GF108" s="230"/>
      <c r="GG108" s="230"/>
      <c r="GH108" s="230"/>
      <c r="GI108" s="230"/>
      <c r="GJ108" s="230"/>
      <c r="GK108" s="230"/>
      <c r="GL108" s="230"/>
      <c r="GM108" s="230"/>
      <c r="GN108" s="230"/>
      <c r="GO108" s="230"/>
      <c r="GP108" s="230"/>
      <c r="GQ108" s="230"/>
      <c r="GR108" s="230"/>
    </row>
    <row r="109" spans="1:200" s="632" customFormat="1" ht="36" customHeight="1" outlineLevel="2" x14ac:dyDescent="0.2">
      <c r="A109" s="636" t="s">
        <v>4891</v>
      </c>
      <c r="B109" s="636" t="s">
        <v>6707</v>
      </c>
      <c r="C109" s="597"/>
      <c r="D109" s="1538"/>
      <c r="E109" s="642"/>
      <c r="F109" s="642"/>
      <c r="G109" s="1517">
        <v>4</v>
      </c>
      <c r="H109" s="1517"/>
      <c r="I109" s="1517"/>
      <c r="J109" s="1517" t="s">
        <v>4246</v>
      </c>
      <c r="K109" s="1458" t="s">
        <v>6903</v>
      </c>
      <c r="L109" s="1518" t="s">
        <v>5895</v>
      </c>
      <c r="M109" s="635"/>
      <c r="N109" s="624"/>
      <c r="O109" s="624"/>
      <c r="P109" s="624"/>
      <c r="Q109" s="624"/>
      <c r="R109" s="624"/>
      <c r="S109" s="624"/>
      <c r="T109" s="624"/>
      <c r="U109" s="624"/>
      <c r="V109" s="624"/>
      <c r="W109" s="624"/>
      <c r="X109" s="624"/>
      <c r="Y109" s="624"/>
      <c r="Z109" s="624"/>
      <c r="AA109">
        <f>IF(AND('12 Ext'!C109&gt;Tmin, NOT('12 Ext'!$I109="")),'12 Ext'!$I109,0)</f>
        <v>0</v>
      </c>
      <c r="AB109">
        <f>IF(AND('12 Ext'!D109&gt;Tmin, NOT('12 Ext'!$I109="")),'12 Ext'!$I109,0)</f>
        <v>0</v>
      </c>
      <c r="AC109">
        <f>IF(AND('12 Ext'!E109&gt;Tmin, NOT('12 Ext'!$I109="")),'12 Ext'!$I109,0)</f>
        <v>0</v>
      </c>
      <c r="AD109">
        <f>IF(AND('12 Ext'!F109&gt;Tmin, NOT('12 Ext'!$I109="")),'12 Ext'!$I109,0)</f>
        <v>0</v>
      </c>
      <c r="AE109">
        <f>IF(AND('12 Ext'!C109&lt;Tmax, NOT('12 Ext'!$H109="")),'12 Ext'!$H109,4)</f>
        <v>4</v>
      </c>
      <c r="AF109">
        <f>IF(AND('12 Ext'!D109&lt;Tmax, NOT('12 Ext'!$H109="")),'12 Ext'!$H109,4)</f>
        <v>4</v>
      </c>
      <c r="AG109">
        <f>IF(AND('12 Ext'!E109&lt;Tmax, NOT('12 Ext'!$H109="")),'12 Ext'!$H109,4)</f>
        <v>4</v>
      </c>
      <c r="AH109">
        <f>IF(AND('12 Ext'!F109&lt;Tmax, NOT('12 Ext'!$H109="")),'12 Ext'!$H109,4)</f>
        <v>4</v>
      </c>
      <c r="AI109"/>
      <c r="AJ109" s="230"/>
      <c r="AK109" s="230"/>
      <c r="AL109" s="230"/>
      <c r="AM109" s="230"/>
      <c r="AN109" s="230"/>
      <c r="AO109" s="230"/>
      <c r="AP109" s="230"/>
      <c r="AQ109" s="230"/>
      <c r="AR109" s="230"/>
      <c r="AS109" s="230"/>
      <c r="AT109" s="230"/>
      <c r="AU109" s="230"/>
      <c r="AV109" s="230"/>
      <c r="AW109" s="230"/>
      <c r="AX109" s="230"/>
      <c r="AY109" s="230"/>
      <c r="AZ109" s="230"/>
      <c r="BA109" s="230"/>
      <c r="BB109" s="230"/>
      <c r="BC109" s="230"/>
      <c r="BD109" s="230"/>
      <c r="BE109" s="230"/>
      <c r="BF109" s="230"/>
      <c r="BG109" s="230"/>
      <c r="BH109" s="230"/>
      <c r="BI109" s="230"/>
      <c r="BJ109" s="230"/>
      <c r="BK109" s="230"/>
      <c r="BL109" s="230"/>
      <c r="BM109" s="230"/>
      <c r="BN109" s="230"/>
      <c r="BO109" s="230"/>
      <c r="BP109" s="230"/>
      <c r="BQ109" s="230"/>
      <c r="BR109" s="230"/>
      <c r="BS109" s="230"/>
      <c r="BT109" s="230"/>
      <c r="BU109" s="230"/>
      <c r="BV109" s="230"/>
      <c r="BW109" s="230"/>
      <c r="BX109" s="230"/>
      <c r="BY109" s="230"/>
      <c r="BZ109" s="230"/>
      <c r="CA109" s="230"/>
      <c r="CB109" s="230"/>
      <c r="CC109" s="230"/>
      <c r="CD109" s="230"/>
      <c r="CE109" s="230"/>
      <c r="CF109" s="230"/>
      <c r="CG109" s="230"/>
      <c r="CH109" s="230"/>
      <c r="CI109" s="230"/>
      <c r="CJ109" s="230"/>
      <c r="CK109" s="230"/>
      <c r="CL109" s="230"/>
      <c r="CM109" s="230"/>
      <c r="CN109" s="230"/>
      <c r="CO109" s="230"/>
      <c r="CP109" s="230"/>
      <c r="CQ109" s="230"/>
      <c r="CR109" s="230"/>
      <c r="CS109" s="230"/>
      <c r="CT109" s="230"/>
      <c r="CU109" s="230"/>
      <c r="CV109" s="230"/>
      <c r="CW109" s="230"/>
      <c r="CX109" s="230"/>
      <c r="CY109" s="230"/>
      <c r="CZ109" s="230"/>
      <c r="DA109" s="230"/>
      <c r="DB109" s="230"/>
      <c r="DC109" s="230"/>
      <c r="DD109" s="230"/>
      <c r="DE109" s="230"/>
      <c r="DF109" s="230"/>
      <c r="DG109" s="230"/>
      <c r="DH109" s="230"/>
      <c r="DI109" s="230"/>
      <c r="DJ109" s="230"/>
      <c r="DK109" s="230"/>
      <c r="DL109" s="230"/>
      <c r="DM109" s="230"/>
      <c r="DN109" s="230"/>
      <c r="DO109" s="230"/>
      <c r="DP109" s="230"/>
      <c r="DQ109" s="230"/>
      <c r="DR109" s="230"/>
      <c r="DS109" s="230"/>
      <c r="DT109" s="230"/>
      <c r="DU109" s="230"/>
      <c r="DV109" s="230"/>
      <c r="DW109" s="230"/>
      <c r="DX109" s="230"/>
      <c r="DY109" s="230"/>
      <c r="DZ109" s="230"/>
      <c r="EA109" s="230"/>
      <c r="EB109" s="230"/>
      <c r="EC109" s="230"/>
      <c r="ED109" s="230"/>
      <c r="EE109" s="230"/>
      <c r="EF109" s="230"/>
      <c r="EG109" s="230"/>
      <c r="EH109" s="230"/>
      <c r="EI109" s="230"/>
      <c r="EJ109" s="230"/>
      <c r="EK109" s="230"/>
      <c r="EL109" s="230"/>
      <c r="EM109" s="230"/>
      <c r="EN109" s="230"/>
      <c r="EO109" s="230"/>
      <c r="EP109" s="230"/>
      <c r="EQ109" s="230"/>
      <c r="ER109" s="230"/>
      <c r="ES109" s="230"/>
      <c r="ET109" s="230"/>
      <c r="EU109" s="230"/>
      <c r="EV109" s="230"/>
      <c r="EW109" s="230"/>
      <c r="EX109" s="230"/>
      <c r="EY109" s="230"/>
      <c r="EZ109" s="230"/>
      <c r="FA109" s="230"/>
      <c r="FB109" s="230"/>
      <c r="FC109" s="230"/>
      <c r="FD109" s="230"/>
      <c r="FE109" s="230"/>
      <c r="FF109" s="230"/>
      <c r="FG109" s="230"/>
      <c r="FH109" s="230"/>
      <c r="FI109" s="230"/>
      <c r="FJ109" s="230"/>
      <c r="FK109" s="230"/>
      <c r="FL109" s="230"/>
      <c r="FM109" s="230"/>
      <c r="FN109" s="230"/>
      <c r="FO109" s="230"/>
      <c r="FP109" s="230"/>
      <c r="FQ109" s="230"/>
      <c r="FR109" s="230"/>
      <c r="FS109" s="230"/>
      <c r="FT109" s="230"/>
      <c r="FU109" s="230"/>
      <c r="FV109" s="230"/>
      <c r="FW109" s="230"/>
      <c r="FX109" s="230"/>
      <c r="FY109" s="230"/>
      <c r="FZ109" s="230"/>
      <c r="GA109" s="230"/>
      <c r="GB109" s="230"/>
      <c r="GC109" s="230"/>
      <c r="GD109" s="230"/>
      <c r="GE109" s="230"/>
      <c r="GF109" s="230"/>
      <c r="GG109" s="230"/>
      <c r="GH109" s="230"/>
      <c r="GI109" s="230"/>
      <c r="GJ109" s="230"/>
      <c r="GK109" s="230"/>
      <c r="GL109" s="230"/>
      <c r="GM109" s="230"/>
      <c r="GN109" s="230"/>
      <c r="GO109" s="230"/>
      <c r="GP109" s="230"/>
      <c r="GQ109" s="230"/>
      <c r="GR109" s="230"/>
    </row>
    <row r="110" spans="1:200" s="632" customFormat="1" ht="47.25" customHeight="1" outlineLevel="2" x14ac:dyDescent="0.2">
      <c r="A110" s="636" t="s">
        <v>4892</v>
      </c>
      <c r="B110" s="636" t="s">
        <v>1205</v>
      </c>
      <c r="C110" s="597"/>
      <c r="D110" s="1538"/>
      <c r="E110" s="642"/>
      <c r="F110" s="642"/>
      <c r="G110" s="1517">
        <v>4</v>
      </c>
      <c r="H110" s="1517">
        <v>2</v>
      </c>
      <c r="I110" s="1517"/>
      <c r="J110" s="1517" t="s">
        <v>1592</v>
      </c>
      <c r="K110" s="1458" t="s">
        <v>6903</v>
      </c>
      <c r="L110" s="1518" t="s">
        <v>5895</v>
      </c>
      <c r="M110" s="635"/>
      <c r="N110" s="624"/>
      <c r="O110" s="624"/>
      <c r="P110" s="624"/>
      <c r="Q110" s="624"/>
      <c r="R110" s="624"/>
      <c r="S110" s="624"/>
      <c r="T110" s="624"/>
      <c r="U110" s="624"/>
      <c r="V110" s="624"/>
      <c r="W110" s="624"/>
      <c r="X110" s="624"/>
      <c r="Y110" s="624"/>
      <c r="Z110" s="624"/>
      <c r="AA110">
        <f>IF(AND('12 Ext'!C110&gt;Tmin, NOT('12 Ext'!$I110="")),'12 Ext'!$I110,0)</f>
        <v>0</v>
      </c>
      <c r="AB110">
        <f>IF(AND('12 Ext'!D110&gt;Tmin, NOT('12 Ext'!$I110="")),'12 Ext'!$I110,0)</f>
        <v>0</v>
      </c>
      <c r="AC110">
        <f>IF(AND('12 Ext'!E110&gt;Tmin, NOT('12 Ext'!$I110="")),'12 Ext'!$I110,0)</f>
        <v>0</v>
      </c>
      <c r="AD110">
        <f>IF(AND('12 Ext'!F110&gt;Tmin, NOT('12 Ext'!$I110="")),'12 Ext'!$I110,0)</f>
        <v>0</v>
      </c>
      <c r="AE110">
        <f>IF(AND('12 Ext'!C110&lt;Tmax, NOT('12 Ext'!$H110="")),'12 Ext'!$H110,4)</f>
        <v>2</v>
      </c>
      <c r="AF110">
        <f>IF(AND('12 Ext'!D110&lt;Tmax, NOT('12 Ext'!$H110="")),'12 Ext'!$H110,4)</f>
        <v>2</v>
      </c>
      <c r="AG110">
        <f>IF(AND('12 Ext'!E110&lt;Tmax, NOT('12 Ext'!$H110="")),'12 Ext'!$H110,4)</f>
        <v>2</v>
      </c>
      <c r="AH110">
        <f>IF(AND('12 Ext'!F110&lt;Tmax, NOT('12 Ext'!$H110="")),'12 Ext'!$H110,4)</f>
        <v>2</v>
      </c>
      <c r="AI110"/>
      <c r="AJ110" s="230"/>
      <c r="AK110" s="230"/>
      <c r="AL110" s="230"/>
      <c r="AM110" s="230"/>
      <c r="AN110" s="230"/>
      <c r="AO110" s="230"/>
      <c r="AP110" s="230"/>
      <c r="AQ110" s="230"/>
      <c r="AR110" s="230"/>
      <c r="AS110" s="230"/>
      <c r="AT110" s="230"/>
      <c r="AU110" s="230"/>
      <c r="AV110" s="230"/>
      <c r="AW110" s="230"/>
      <c r="AX110" s="230"/>
      <c r="AY110" s="230"/>
      <c r="AZ110" s="230"/>
      <c r="BA110" s="230"/>
      <c r="BB110" s="230"/>
      <c r="BC110" s="230"/>
      <c r="BD110" s="230"/>
      <c r="BE110" s="230"/>
      <c r="BF110" s="230"/>
      <c r="BG110" s="230"/>
      <c r="BH110" s="230"/>
      <c r="BI110" s="230"/>
      <c r="BJ110" s="230"/>
      <c r="BK110" s="230"/>
      <c r="BL110" s="230"/>
      <c r="BM110" s="230"/>
      <c r="BN110" s="230"/>
      <c r="BO110" s="230"/>
      <c r="BP110" s="230"/>
      <c r="BQ110" s="230"/>
      <c r="BR110" s="230"/>
      <c r="BS110" s="230"/>
      <c r="BT110" s="230"/>
      <c r="BU110" s="230"/>
      <c r="BV110" s="230"/>
      <c r="BW110" s="230"/>
      <c r="BX110" s="230"/>
      <c r="BY110" s="230"/>
      <c r="BZ110" s="230"/>
      <c r="CA110" s="230"/>
      <c r="CB110" s="230"/>
      <c r="CC110" s="230"/>
      <c r="CD110" s="230"/>
      <c r="CE110" s="230"/>
      <c r="CF110" s="230"/>
      <c r="CG110" s="230"/>
      <c r="CH110" s="230"/>
      <c r="CI110" s="230"/>
      <c r="CJ110" s="230"/>
      <c r="CK110" s="230"/>
      <c r="CL110" s="230"/>
      <c r="CM110" s="230"/>
      <c r="CN110" s="230"/>
      <c r="CO110" s="230"/>
      <c r="CP110" s="230"/>
      <c r="CQ110" s="230"/>
      <c r="CR110" s="230"/>
      <c r="CS110" s="230"/>
      <c r="CT110" s="230"/>
      <c r="CU110" s="230"/>
      <c r="CV110" s="230"/>
      <c r="CW110" s="230"/>
      <c r="CX110" s="230"/>
      <c r="CY110" s="230"/>
      <c r="CZ110" s="230"/>
      <c r="DA110" s="230"/>
      <c r="DB110" s="230"/>
      <c r="DC110" s="230"/>
      <c r="DD110" s="230"/>
      <c r="DE110" s="230"/>
      <c r="DF110" s="230"/>
      <c r="DG110" s="230"/>
      <c r="DH110" s="230"/>
      <c r="DI110" s="230"/>
      <c r="DJ110" s="230"/>
      <c r="DK110" s="230"/>
      <c r="DL110" s="230"/>
      <c r="DM110" s="230"/>
      <c r="DN110" s="230"/>
      <c r="DO110" s="230"/>
      <c r="DP110" s="230"/>
      <c r="DQ110" s="230"/>
      <c r="DR110" s="230"/>
      <c r="DS110" s="230"/>
      <c r="DT110" s="230"/>
      <c r="DU110" s="230"/>
      <c r="DV110" s="230"/>
      <c r="DW110" s="230"/>
      <c r="DX110" s="230"/>
      <c r="DY110" s="230"/>
      <c r="DZ110" s="230"/>
      <c r="EA110" s="230"/>
      <c r="EB110" s="230"/>
      <c r="EC110" s="230"/>
      <c r="ED110" s="230"/>
      <c r="EE110" s="230"/>
      <c r="EF110" s="230"/>
      <c r="EG110" s="230"/>
      <c r="EH110" s="230"/>
      <c r="EI110" s="230"/>
      <c r="EJ110" s="230"/>
      <c r="EK110" s="230"/>
      <c r="EL110" s="230"/>
      <c r="EM110" s="230"/>
      <c r="EN110" s="230"/>
      <c r="EO110" s="230"/>
      <c r="EP110" s="230"/>
      <c r="EQ110" s="230"/>
      <c r="ER110" s="230"/>
      <c r="ES110" s="230"/>
      <c r="ET110" s="230"/>
      <c r="EU110" s="230"/>
      <c r="EV110" s="230"/>
      <c r="EW110" s="230"/>
      <c r="EX110" s="230"/>
      <c r="EY110" s="230"/>
      <c r="EZ110" s="230"/>
      <c r="FA110" s="230"/>
      <c r="FB110" s="230"/>
      <c r="FC110" s="230"/>
      <c r="FD110" s="230"/>
      <c r="FE110" s="230"/>
      <c r="FF110" s="230"/>
      <c r="FG110" s="230"/>
      <c r="FH110" s="230"/>
      <c r="FI110" s="230"/>
      <c r="FJ110" s="230"/>
      <c r="FK110" s="230"/>
      <c r="FL110" s="230"/>
      <c r="FM110" s="230"/>
      <c r="FN110" s="230"/>
      <c r="FO110" s="230"/>
      <c r="FP110" s="230"/>
      <c r="FQ110" s="230"/>
      <c r="FR110" s="230"/>
      <c r="FS110" s="230"/>
      <c r="FT110" s="230"/>
      <c r="FU110" s="230"/>
      <c r="FV110" s="230"/>
      <c r="FW110" s="230"/>
      <c r="FX110" s="230"/>
      <c r="FY110" s="230"/>
      <c r="FZ110" s="230"/>
      <c r="GA110" s="230"/>
      <c r="GB110" s="230"/>
      <c r="GC110" s="230"/>
      <c r="GD110" s="230"/>
      <c r="GE110" s="230"/>
      <c r="GF110" s="230"/>
      <c r="GG110" s="230"/>
      <c r="GH110" s="230"/>
      <c r="GI110" s="230"/>
      <c r="GJ110" s="230"/>
      <c r="GK110" s="230"/>
      <c r="GL110" s="230"/>
      <c r="GM110" s="230"/>
      <c r="GN110" s="230"/>
      <c r="GO110" s="230"/>
      <c r="GP110" s="230"/>
      <c r="GQ110" s="230"/>
      <c r="GR110" s="230"/>
    </row>
    <row r="111" spans="1:200" s="632" customFormat="1" ht="23.25" customHeight="1" outlineLevel="2" x14ac:dyDescent="0.2">
      <c r="A111" s="636" t="s">
        <v>4893</v>
      </c>
      <c r="B111" s="636" t="s">
        <v>6499</v>
      </c>
      <c r="C111" s="597"/>
      <c r="D111" s="1538"/>
      <c r="E111" s="642"/>
      <c r="F111" s="642"/>
      <c r="G111" s="1517">
        <v>4</v>
      </c>
      <c r="H111" s="1517"/>
      <c r="I111" s="1517">
        <v>2</v>
      </c>
      <c r="J111" s="1517" t="s">
        <v>4246</v>
      </c>
      <c r="K111" s="1458" t="s">
        <v>6903</v>
      </c>
      <c r="L111" s="1518" t="s">
        <v>5895</v>
      </c>
      <c r="M111" s="635"/>
      <c r="N111" s="624"/>
      <c r="O111" s="624"/>
      <c r="P111" s="624"/>
      <c r="Q111" s="624"/>
      <c r="R111" s="624"/>
      <c r="S111" s="624"/>
      <c r="T111" s="624"/>
      <c r="U111" s="624"/>
      <c r="V111" s="624"/>
      <c r="W111" s="624"/>
      <c r="X111" s="624"/>
      <c r="Y111" s="624"/>
      <c r="Z111" s="624"/>
      <c r="AA111">
        <f>IF(AND('12 Ext'!C111&gt;Tmin, NOT('12 Ext'!$I111="")),'12 Ext'!$I111,0)</f>
        <v>0</v>
      </c>
      <c r="AB111">
        <f>IF(AND('12 Ext'!D111&gt;Tmin, NOT('12 Ext'!$I111="")),'12 Ext'!$I111,0)</f>
        <v>0</v>
      </c>
      <c r="AC111">
        <f>IF(AND('12 Ext'!E111&gt;Tmin, NOT('12 Ext'!$I111="")),'12 Ext'!$I111,0)</f>
        <v>0</v>
      </c>
      <c r="AD111">
        <f>IF(AND('12 Ext'!F111&gt;Tmin, NOT('12 Ext'!$I111="")),'12 Ext'!$I111,0)</f>
        <v>0</v>
      </c>
      <c r="AE111">
        <f>IF(AND('12 Ext'!C111&lt;Tmax, NOT('12 Ext'!$H111="")),'12 Ext'!$H111,4)</f>
        <v>4</v>
      </c>
      <c r="AF111">
        <f>IF(AND('12 Ext'!D111&lt;Tmax, NOT('12 Ext'!$H111="")),'12 Ext'!$H111,4)</f>
        <v>4</v>
      </c>
      <c r="AG111">
        <f>IF(AND('12 Ext'!E111&lt;Tmax, NOT('12 Ext'!$H111="")),'12 Ext'!$H111,4)</f>
        <v>4</v>
      </c>
      <c r="AH111">
        <f>IF(AND('12 Ext'!F111&lt;Tmax, NOT('12 Ext'!$H111="")),'12 Ext'!$H111,4)</f>
        <v>4</v>
      </c>
      <c r="AI111"/>
      <c r="AJ111" s="230"/>
      <c r="AK111" s="230"/>
      <c r="AL111" s="230"/>
      <c r="AM111" s="230"/>
      <c r="AN111" s="230"/>
      <c r="AO111" s="230"/>
      <c r="AP111" s="230"/>
      <c r="AQ111" s="230"/>
      <c r="AR111" s="230"/>
      <c r="AS111" s="230"/>
      <c r="AT111" s="230"/>
      <c r="AU111" s="230"/>
      <c r="AV111" s="230"/>
      <c r="AW111" s="230"/>
      <c r="AX111" s="230"/>
      <c r="AY111" s="230"/>
      <c r="AZ111" s="230"/>
      <c r="BA111" s="230"/>
      <c r="BB111" s="230"/>
      <c r="BC111" s="230"/>
      <c r="BD111" s="230"/>
      <c r="BE111" s="230"/>
      <c r="BF111" s="230"/>
      <c r="BG111" s="230"/>
      <c r="BH111" s="230"/>
      <c r="BI111" s="230"/>
      <c r="BJ111" s="230"/>
      <c r="BK111" s="230"/>
      <c r="BL111" s="230"/>
      <c r="BM111" s="230"/>
      <c r="BN111" s="230"/>
      <c r="BO111" s="230"/>
      <c r="BP111" s="230"/>
      <c r="BQ111" s="230"/>
      <c r="BR111" s="230"/>
      <c r="BS111" s="230"/>
      <c r="BT111" s="230"/>
      <c r="BU111" s="230"/>
      <c r="BV111" s="230"/>
      <c r="BW111" s="230"/>
      <c r="BX111" s="230"/>
      <c r="BY111" s="230"/>
      <c r="BZ111" s="230"/>
      <c r="CA111" s="230"/>
      <c r="CB111" s="230"/>
      <c r="CC111" s="230"/>
      <c r="CD111" s="230"/>
      <c r="CE111" s="230"/>
      <c r="CF111" s="230"/>
      <c r="CG111" s="230"/>
      <c r="CH111" s="230"/>
      <c r="CI111" s="230"/>
      <c r="CJ111" s="230"/>
      <c r="CK111" s="230"/>
      <c r="CL111" s="230"/>
      <c r="CM111" s="230"/>
      <c r="CN111" s="230"/>
      <c r="CO111" s="230"/>
      <c r="CP111" s="230"/>
      <c r="CQ111" s="230"/>
      <c r="CR111" s="230"/>
      <c r="CS111" s="230"/>
      <c r="CT111" s="230"/>
      <c r="CU111" s="230"/>
      <c r="CV111" s="230"/>
      <c r="CW111" s="230"/>
      <c r="CX111" s="230"/>
      <c r="CY111" s="230"/>
      <c r="CZ111" s="230"/>
      <c r="DA111" s="230"/>
      <c r="DB111" s="230"/>
      <c r="DC111" s="230"/>
      <c r="DD111" s="230"/>
      <c r="DE111" s="230"/>
      <c r="DF111" s="230"/>
      <c r="DG111" s="230"/>
      <c r="DH111" s="230"/>
      <c r="DI111" s="230"/>
      <c r="DJ111" s="230"/>
      <c r="DK111" s="230"/>
      <c r="DL111" s="230"/>
      <c r="DM111" s="230"/>
      <c r="DN111" s="230"/>
      <c r="DO111" s="230"/>
      <c r="DP111" s="230"/>
      <c r="DQ111" s="230"/>
      <c r="DR111" s="230"/>
      <c r="DS111" s="230"/>
      <c r="DT111" s="230"/>
      <c r="DU111" s="230"/>
      <c r="DV111" s="230"/>
      <c r="DW111" s="230"/>
      <c r="DX111" s="230"/>
      <c r="DY111" s="230"/>
      <c r="DZ111" s="230"/>
      <c r="EA111" s="230"/>
      <c r="EB111" s="230"/>
      <c r="EC111" s="230"/>
      <c r="ED111" s="230"/>
      <c r="EE111" s="230"/>
      <c r="EF111" s="230"/>
      <c r="EG111" s="230"/>
      <c r="EH111" s="230"/>
      <c r="EI111" s="230"/>
      <c r="EJ111" s="230"/>
      <c r="EK111" s="230"/>
      <c r="EL111" s="230"/>
      <c r="EM111" s="230"/>
      <c r="EN111" s="230"/>
      <c r="EO111" s="230"/>
      <c r="EP111" s="230"/>
      <c r="EQ111" s="230"/>
      <c r="ER111" s="230"/>
      <c r="ES111" s="230"/>
      <c r="ET111" s="230"/>
      <c r="EU111" s="230"/>
      <c r="EV111" s="230"/>
      <c r="EW111" s="230"/>
      <c r="EX111" s="230"/>
      <c r="EY111" s="230"/>
      <c r="EZ111" s="230"/>
      <c r="FA111" s="230"/>
      <c r="FB111" s="230"/>
      <c r="FC111" s="230"/>
      <c r="FD111" s="230"/>
      <c r="FE111" s="230"/>
      <c r="FF111" s="230"/>
      <c r="FG111" s="230"/>
      <c r="FH111" s="230"/>
      <c r="FI111" s="230"/>
      <c r="FJ111" s="230"/>
      <c r="FK111" s="230"/>
      <c r="FL111" s="230"/>
      <c r="FM111" s="230"/>
      <c r="FN111" s="230"/>
      <c r="FO111" s="230"/>
      <c r="FP111" s="230"/>
      <c r="FQ111" s="230"/>
      <c r="FR111" s="230"/>
      <c r="FS111" s="230"/>
      <c r="FT111" s="230"/>
      <c r="FU111" s="230"/>
      <c r="FV111" s="230"/>
      <c r="FW111" s="230"/>
      <c r="FX111" s="230"/>
      <c r="FY111" s="230"/>
      <c r="FZ111" s="230"/>
      <c r="GA111" s="230"/>
      <c r="GB111" s="230"/>
      <c r="GC111" s="230"/>
      <c r="GD111" s="230"/>
      <c r="GE111" s="230"/>
      <c r="GF111" s="230"/>
      <c r="GG111" s="230"/>
      <c r="GH111" s="230"/>
      <c r="GI111" s="230"/>
      <c r="GJ111" s="230"/>
      <c r="GK111" s="230"/>
      <c r="GL111" s="230"/>
      <c r="GM111" s="230"/>
      <c r="GN111" s="230"/>
      <c r="GO111" s="230"/>
      <c r="GP111" s="230"/>
      <c r="GQ111" s="230"/>
      <c r="GR111" s="230"/>
    </row>
    <row r="112" spans="1:200" s="632" customFormat="1" ht="36.75" customHeight="1" outlineLevel="2" x14ac:dyDescent="0.2">
      <c r="A112" s="636" t="s">
        <v>4894</v>
      </c>
      <c r="B112" s="636" t="s">
        <v>1206</v>
      </c>
      <c r="C112" s="597"/>
      <c r="D112" s="1538"/>
      <c r="E112" s="642"/>
      <c r="F112" s="642"/>
      <c r="G112" s="1517">
        <v>4</v>
      </c>
      <c r="H112" s="1517"/>
      <c r="I112" s="1517"/>
      <c r="J112" s="1517" t="s">
        <v>1592</v>
      </c>
      <c r="K112" s="1458" t="s">
        <v>6903</v>
      </c>
      <c r="L112" s="1518" t="s">
        <v>5895</v>
      </c>
      <c r="M112" s="635"/>
      <c r="N112" s="624"/>
      <c r="O112" s="624"/>
      <c r="P112" s="624"/>
      <c r="Q112" s="624"/>
      <c r="R112" s="624"/>
      <c r="S112" s="624"/>
      <c r="T112" s="624"/>
      <c r="U112" s="624"/>
      <c r="V112" s="624"/>
      <c r="W112" s="624"/>
      <c r="X112" s="624"/>
      <c r="Y112" s="624"/>
      <c r="Z112" s="624"/>
      <c r="AA112">
        <f>IF(AND('12 Ext'!C112&gt;Tmin, NOT('12 Ext'!$I112="")),'12 Ext'!$I112,0)</f>
        <v>0</v>
      </c>
      <c r="AB112">
        <f>IF(AND('12 Ext'!D112&gt;Tmin, NOT('12 Ext'!$I112="")),'12 Ext'!$I112,0)</f>
        <v>0</v>
      </c>
      <c r="AC112">
        <f>IF(AND('12 Ext'!E112&gt;Tmin, NOT('12 Ext'!$I112="")),'12 Ext'!$I112,0)</f>
        <v>0</v>
      </c>
      <c r="AD112">
        <f>IF(AND('12 Ext'!F112&gt;Tmin, NOT('12 Ext'!$I112="")),'12 Ext'!$I112,0)</f>
        <v>0</v>
      </c>
      <c r="AE112">
        <f>IF(AND('12 Ext'!C112&lt;Tmax, NOT('12 Ext'!$H112="")),'12 Ext'!$H112,4)</f>
        <v>4</v>
      </c>
      <c r="AF112">
        <f>IF(AND('12 Ext'!D112&lt;Tmax, NOT('12 Ext'!$H112="")),'12 Ext'!$H112,4)</f>
        <v>4</v>
      </c>
      <c r="AG112">
        <f>IF(AND('12 Ext'!E112&lt;Tmax, NOT('12 Ext'!$H112="")),'12 Ext'!$H112,4)</f>
        <v>4</v>
      </c>
      <c r="AH112">
        <f>IF(AND('12 Ext'!F112&lt;Tmax, NOT('12 Ext'!$H112="")),'12 Ext'!$H112,4)</f>
        <v>4</v>
      </c>
      <c r="AI112"/>
      <c r="AJ112" s="230"/>
      <c r="AK112" s="230"/>
      <c r="AL112" s="230"/>
      <c r="AM112" s="230"/>
      <c r="AN112" s="230"/>
      <c r="AO112" s="230"/>
      <c r="AP112" s="230"/>
      <c r="AQ112" s="230"/>
      <c r="AR112" s="230"/>
      <c r="AS112" s="230"/>
      <c r="AT112" s="230"/>
      <c r="AU112" s="230"/>
      <c r="AV112" s="230"/>
      <c r="AW112" s="230"/>
      <c r="AX112" s="230"/>
      <c r="AY112" s="230"/>
      <c r="AZ112" s="230"/>
      <c r="BA112" s="230"/>
      <c r="BB112" s="230"/>
      <c r="BC112" s="230"/>
      <c r="BD112" s="230"/>
      <c r="BE112" s="230"/>
      <c r="BF112" s="230"/>
      <c r="BG112" s="230"/>
      <c r="BH112" s="230"/>
      <c r="BI112" s="230"/>
      <c r="BJ112" s="230"/>
      <c r="BK112" s="230"/>
      <c r="BL112" s="230"/>
      <c r="BM112" s="230"/>
      <c r="BN112" s="230"/>
      <c r="BO112" s="230"/>
      <c r="BP112" s="230"/>
      <c r="BQ112" s="230"/>
      <c r="BR112" s="230"/>
      <c r="BS112" s="230"/>
      <c r="BT112" s="230"/>
      <c r="BU112" s="230"/>
      <c r="BV112" s="230"/>
      <c r="BW112" s="230"/>
      <c r="BX112" s="230"/>
      <c r="BY112" s="230"/>
      <c r="BZ112" s="230"/>
      <c r="CA112" s="230"/>
      <c r="CB112" s="230"/>
      <c r="CC112" s="230"/>
      <c r="CD112" s="230"/>
      <c r="CE112" s="230"/>
      <c r="CF112" s="230"/>
      <c r="CG112" s="230"/>
      <c r="CH112" s="230"/>
      <c r="CI112" s="230"/>
      <c r="CJ112" s="230"/>
      <c r="CK112" s="230"/>
      <c r="CL112" s="230"/>
      <c r="CM112" s="230"/>
      <c r="CN112" s="230"/>
      <c r="CO112" s="230"/>
      <c r="CP112" s="230"/>
      <c r="CQ112" s="230"/>
      <c r="CR112" s="230"/>
      <c r="CS112" s="230"/>
      <c r="CT112" s="230"/>
      <c r="CU112" s="230"/>
      <c r="CV112" s="230"/>
      <c r="CW112" s="230"/>
      <c r="CX112" s="230"/>
      <c r="CY112" s="230"/>
      <c r="CZ112" s="230"/>
      <c r="DA112" s="230"/>
      <c r="DB112" s="230"/>
      <c r="DC112" s="230"/>
      <c r="DD112" s="230"/>
      <c r="DE112" s="230"/>
      <c r="DF112" s="230"/>
      <c r="DG112" s="230"/>
      <c r="DH112" s="230"/>
      <c r="DI112" s="230"/>
      <c r="DJ112" s="230"/>
      <c r="DK112" s="230"/>
      <c r="DL112" s="230"/>
      <c r="DM112" s="230"/>
      <c r="DN112" s="230"/>
      <c r="DO112" s="230"/>
      <c r="DP112" s="230"/>
      <c r="DQ112" s="230"/>
      <c r="DR112" s="230"/>
      <c r="DS112" s="230"/>
      <c r="DT112" s="230"/>
      <c r="DU112" s="230"/>
      <c r="DV112" s="230"/>
      <c r="DW112" s="230"/>
      <c r="DX112" s="230"/>
      <c r="DY112" s="230"/>
      <c r="DZ112" s="230"/>
      <c r="EA112" s="230"/>
      <c r="EB112" s="230"/>
      <c r="EC112" s="230"/>
      <c r="ED112" s="230"/>
      <c r="EE112" s="230"/>
      <c r="EF112" s="230"/>
      <c r="EG112" s="230"/>
      <c r="EH112" s="230"/>
      <c r="EI112" s="230"/>
      <c r="EJ112" s="230"/>
      <c r="EK112" s="230"/>
      <c r="EL112" s="230"/>
      <c r="EM112" s="230"/>
      <c r="EN112" s="230"/>
      <c r="EO112" s="230"/>
      <c r="EP112" s="230"/>
      <c r="EQ112" s="230"/>
      <c r="ER112" s="230"/>
      <c r="ES112" s="230"/>
      <c r="ET112" s="230"/>
      <c r="EU112" s="230"/>
      <c r="EV112" s="230"/>
      <c r="EW112" s="230"/>
      <c r="EX112" s="230"/>
      <c r="EY112" s="230"/>
      <c r="EZ112" s="230"/>
      <c r="FA112" s="230"/>
      <c r="FB112" s="230"/>
      <c r="FC112" s="230"/>
      <c r="FD112" s="230"/>
      <c r="FE112" s="230"/>
      <c r="FF112" s="230"/>
      <c r="FG112" s="230"/>
      <c r="FH112" s="230"/>
      <c r="FI112" s="230"/>
      <c r="FJ112" s="230"/>
      <c r="FK112" s="230"/>
      <c r="FL112" s="230"/>
      <c r="FM112" s="230"/>
      <c r="FN112" s="230"/>
      <c r="FO112" s="230"/>
      <c r="FP112" s="230"/>
      <c r="FQ112" s="230"/>
      <c r="FR112" s="230"/>
      <c r="FS112" s="230"/>
      <c r="FT112" s="230"/>
      <c r="FU112" s="230"/>
      <c r="FV112" s="230"/>
      <c r="FW112" s="230"/>
      <c r="FX112" s="230"/>
      <c r="FY112" s="230"/>
      <c r="FZ112" s="230"/>
      <c r="GA112" s="230"/>
      <c r="GB112" s="230"/>
      <c r="GC112" s="230"/>
      <c r="GD112" s="230"/>
      <c r="GE112" s="230"/>
      <c r="GF112" s="230"/>
      <c r="GG112" s="230"/>
      <c r="GH112" s="230"/>
      <c r="GI112" s="230"/>
      <c r="GJ112" s="230"/>
      <c r="GK112" s="230"/>
      <c r="GL112" s="230"/>
      <c r="GM112" s="230"/>
      <c r="GN112" s="230"/>
      <c r="GO112" s="230"/>
      <c r="GP112" s="230"/>
      <c r="GQ112" s="230"/>
      <c r="GR112" s="230"/>
    </row>
    <row r="113" spans="1:200" s="632" customFormat="1" ht="36" customHeight="1" outlineLevel="2" x14ac:dyDescent="0.2">
      <c r="A113" s="636" t="s">
        <v>4895</v>
      </c>
      <c r="B113" s="636" t="s">
        <v>5827</v>
      </c>
      <c r="C113" s="597"/>
      <c r="D113" s="649"/>
      <c r="E113" s="638"/>
      <c r="F113" s="638"/>
      <c r="G113" s="1517">
        <v>4</v>
      </c>
      <c r="H113" s="1517"/>
      <c r="I113" s="1517"/>
      <c r="J113" s="1517" t="s">
        <v>1592</v>
      </c>
      <c r="K113" s="1458" t="s">
        <v>6903</v>
      </c>
      <c r="L113" s="1518" t="s">
        <v>5895</v>
      </c>
      <c r="M113" s="635"/>
      <c r="N113" s="624"/>
      <c r="O113" s="624"/>
      <c r="P113" s="624"/>
      <c r="Q113" s="624"/>
      <c r="R113" s="624"/>
      <c r="S113" s="624"/>
      <c r="T113" s="624"/>
      <c r="U113" s="624"/>
      <c r="V113" s="624"/>
      <c r="W113" s="624"/>
      <c r="X113" s="624"/>
      <c r="Y113" s="624"/>
      <c r="Z113" s="624"/>
      <c r="AA113">
        <f>IF(AND('12 Ext'!C113&gt;Tmin, NOT('12 Ext'!$I113="")),'12 Ext'!$I113,0)</f>
        <v>0</v>
      </c>
      <c r="AB113">
        <f>IF(AND('12 Ext'!D113&gt;Tmin, NOT('12 Ext'!$I113="")),'12 Ext'!$I113,0)</f>
        <v>0</v>
      </c>
      <c r="AC113">
        <f>IF(AND('12 Ext'!E113&gt;Tmin, NOT('12 Ext'!$I113="")),'12 Ext'!$I113,0)</f>
        <v>0</v>
      </c>
      <c r="AD113">
        <f>IF(AND('12 Ext'!F113&gt;Tmin, NOT('12 Ext'!$I113="")),'12 Ext'!$I113,0)</f>
        <v>0</v>
      </c>
      <c r="AE113">
        <f>IF(AND('12 Ext'!C113&lt;Tmax, NOT('12 Ext'!$H113="")),'12 Ext'!$H113,4)</f>
        <v>4</v>
      </c>
      <c r="AF113">
        <f>IF(AND('12 Ext'!D113&lt;Tmax, NOT('12 Ext'!$H113="")),'12 Ext'!$H113,4)</f>
        <v>4</v>
      </c>
      <c r="AG113">
        <f>IF(AND('12 Ext'!E113&lt;Tmax, NOT('12 Ext'!$H113="")),'12 Ext'!$H113,4)</f>
        <v>4</v>
      </c>
      <c r="AH113">
        <f>IF(AND('12 Ext'!F113&lt;Tmax, NOT('12 Ext'!$H113="")),'12 Ext'!$H113,4)</f>
        <v>4</v>
      </c>
      <c r="AI113"/>
      <c r="AJ113" s="230"/>
      <c r="AK113" s="230"/>
      <c r="AL113" s="230"/>
      <c r="AM113" s="230"/>
      <c r="AN113" s="230"/>
      <c r="AO113" s="230"/>
      <c r="AP113" s="230"/>
      <c r="AQ113" s="230"/>
      <c r="AR113" s="230"/>
      <c r="AS113" s="230"/>
      <c r="AT113" s="230"/>
      <c r="AU113" s="230"/>
      <c r="AV113" s="230"/>
      <c r="AW113" s="230"/>
      <c r="AX113" s="230"/>
      <c r="AY113" s="230"/>
      <c r="AZ113" s="230"/>
      <c r="BA113" s="230"/>
      <c r="BB113" s="230"/>
      <c r="BC113" s="230"/>
      <c r="BD113" s="230"/>
      <c r="BE113" s="230"/>
      <c r="BF113" s="230"/>
      <c r="BG113" s="230"/>
      <c r="BH113" s="230"/>
      <c r="BI113" s="230"/>
      <c r="BJ113" s="230"/>
      <c r="BK113" s="230"/>
      <c r="BL113" s="230"/>
      <c r="BM113" s="230"/>
      <c r="BN113" s="230"/>
      <c r="BO113" s="230"/>
      <c r="BP113" s="230"/>
      <c r="BQ113" s="230"/>
      <c r="BR113" s="230"/>
      <c r="BS113" s="230"/>
      <c r="BT113" s="230"/>
      <c r="BU113" s="230"/>
      <c r="BV113" s="230"/>
      <c r="BW113" s="230"/>
      <c r="BX113" s="230"/>
      <c r="BY113" s="230"/>
      <c r="BZ113" s="230"/>
      <c r="CA113" s="230"/>
      <c r="CB113" s="230"/>
      <c r="CC113" s="230"/>
      <c r="CD113" s="230"/>
      <c r="CE113" s="230"/>
      <c r="CF113" s="230"/>
      <c r="CG113" s="230"/>
      <c r="CH113" s="230"/>
      <c r="CI113" s="230"/>
      <c r="CJ113" s="230"/>
      <c r="CK113" s="230"/>
      <c r="CL113" s="230"/>
      <c r="CM113" s="230"/>
      <c r="CN113" s="230"/>
      <c r="CO113" s="230"/>
      <c r="CP113" s="230"/>
      <c r="CQ113" s="230"/>
      <c r="CR113" s="230"/>
      <c r="CS113" s="230"/>
      <c r="CT113" s="230"/>
      <c r="CU113" s="230"/>
      <c r="CV113" s="230"/>
      <c r="CW113" s="230"/>
      <c r="CX113" s="230"/>
      <c r="CY113" s="230"/>
      <c r="CZ113" s="230"/>
      <c r="DA113" s="230"/>
      <c r="DB113" s="230"/>
      <c r="DC113" s="230"/>
      <c r="DD113" s="230"/>
      <c r="DE113" s="230"/>
      <c r="DF113" s="230"/>
      <c r="DG113" s="230"/>
      <c r="DH113" s="230"/>
      <c r="DI113" s="230"/>
      <c r="DJ113" s="230"/>
      <c r="DK113" s="230"/>
      <c r="DL113" s="230"/>
      <c r="DM113" s="230"/>
      <c r="DN113" s="230"/>
      <c r="DO113" s="230"/>
      <c r="DP113" s="230"/>
      <c r="DQ113" s="230"/>
      <c r="DR113" s="230"/>
      <c r="DS113" s="230"/>
      <c r="DT113" s="230"/>
      <c r="DU113" s="230"/>
      <c r="DV113" s="230"/>
      <c r="DW113" s="230"/>
      <c r="DX113" s="230"/>
      <c r="DY113" s="230"/>
      <c r="DZ113" s="230"/>
      <c r="EA113" s="230"/>
      <c r="EB113" s="230"/>
      <c r="EC113" s="230"/>
      <c r="ED113" s="230"/>
      <c r="EE113" s="230"/>
      <c r="EF113" s="230"/>
      <c r="EG113" s="230"/>
      <c r="EH113" s="230"/>
      <c r="EI113" s="230"/>
      <c r="EJ113" s="230"/>
      <c r="EK113" s="230"/>
      <c r="EL113" s="230"/>
      <c r="EM113" s="230"/>
      <c r="EN113" s="230"/>
      <c r="EO113" s="230"/>
      <c r="EP113" s="230"/>
      <c r="EQ113" s="230"/>
      <c r="ER113" s="230"/>
      <c r="ES113" s="230"/>
      <c r="ET113" s="230"/>
      <c r="EU113" s="230"/>
      <c r="EV113" s="230"/>
      <c r="EW113" s="230"/>
      <c r="EX113" s="230"/>
      <c r="EY113" s="230"/>
      <c r="EZ113" s="230"/>
      <c r="FA113" s="230"/>
      <c r="FB113" s="230"/>
      <c r="FC113" s="230"/>
      <c r="FD113" s="230"/>
      <c r="FE113" s="230"/>
      <c r="FF113" s="230"/>
      <c r="FG113" s="230"/>
      <c r="FH113" s="230"/>
      <c r="FI113" s="230"/>
      <c r="FJ113" s="230"/>
      <c r="FK113" s="230"/>
      <c r="FL113" s="230"/>
      <c r="FM113" s="230"/>
      <c r="FN113" s="230"/>
      <c r="FO113" s="230"/>
      <c r="FP113" s="230"/>
      <c r="FQ113" s="230"/>
      <c r="FR113" s="230"/>
      <c r="FS113" s="230"/>
      <c r="FT113" s="230"/>
      <c r="FU113" s="230"/>
      <c r="FV113" s="230"/>
      <c r="FW113" s="230"/>
      <c r="FX113" s="230"/>
      <c r="FY113" s="230"/>
      <c r="FZ113" s="230"/>
      <c r="GA113" s="230"/>
      <c r="GB113" s="230"/>
      <c r="GC113" s="230"/>
      <c r="GD113" s="230"/>
      <c r="GE113" s="230"/>
      <c r="GF113" s="230"/>
      <c r="GG113" s="230"/>
      <c r="GH113" s="230"/>
      <c r="GI113" s="230"/>
      <c r="GJ113" s="230"/>
      <c r="GK113" s="230"/>
      <c r="GL113" s="230"/>
      <c r="GM113" s="230"/>
      <c r="GN113" s="230"/>
      <c r="GO113" s="230"/>
      <c r="GP113" s="230"/>
      <c r="GQ113" s="230"/>
      <c r="GR113" s="230"/>
    </row>
    <row r="114" spans="1:200" s="632" customFormat="1" ht="26.25" customHeight="1" outlineLevel="2" x14ac:dyDescent="0.2">
      <c r="A114" s="636" t="s">
        <v>6239</v>
      </c>
      <c r="B114" s="636" t="s">
        <v>6435</v>
      </c>
      <c r="C114" s="597"/>
      <c r="D114" s="649"/>
      <c r="E114" s="638"/>
      <c r="F114" s="638"/>
      <c r="G114" s="1517">
        <v>4</v>
      </c>
      <c r="H114" s="1517"/>
      <c r="I114" s="1517"/>
      <c r="J114" s="1517" t="s">
        <v>4246</v>
      </c>
      <c r="K114" s="1458" t="s">
        <v>6903</v>
      </c>
      <c r="L114" s="1518" t="s">
        <v>5895</v>
      </c>
      <c r="M114" s="635"/>
      <c r="N114" s="624"/>
      <c r="O114" s="624"/>
      <c r="P114" s="624"/>
      <c r="Q114" s="624"/>
      <c r="R114" s="624"/>
      <c r="S114" s="624"/>
      <c r="T114" s="624"/>
      <c r="U114" s="624"/>
      <c r="V114" s="624"/>
      <c r="W114" s="624"/>
      <c r="X114" s="624"/>
      <c r="Y114" s="624"/>
      <c r="Z114" s="624"/>
      <c r="AA114">
        <f>IF(AND('12 Ext'!C114&gt;Tmin, NOT('12 Ext'!$I114="")),'12 Ext'!$I114,0)</f>
        <v>0</v>
      </c>
      <c r="AB114">
        <f>IF(AND('12 Ext'!D114&gt;Tmin, NOT('12 Ext'!$I114="")),'12 Ext'!$I114,0)</f>
        <v>0</v>
      </c>
      <c r="AC114">
        <f>IF(AND('12 Ext'!E114&gt;Tmin, NOT('12 Ext'!$I114="")),'12 Ext'!$I114,0)</f>
        <v>0</v>
      </c>
      <c r="AD114">
        <f>IF(AND('12 Ext'!F114&gt;Tmin, NOT('12 Ext'!$I114="")),'12 Ext'!$I114,0)</f>
        <v>0</v>
      </c>
      <c r="AE114">
        <f>IF(AND('12 Ext'!C114&lt;Tmax, NOT('12 Ext'!$H114="")),'12 Ext'!$H114,4)</f>
        <v>4</v>
      </c>
      <c r="AF114">
        <f>IF(AND('12 Ext'!D114&lt;Tmax, NOT('12 Ext'!$H114="")),'12 Ext'!$H114,4)</f>
        <v>4</v>
      </c>
      <c r="AG114">
        <f>IF(AND('12 Ext'!E114&lt;Tmax, NOT('12 Ext'!$H114="")),'12 Ext'!$H114,4)</f>
        <v>4</v>
      </c>
      <c r="AH114">
        <f>IF(AND('12 Ext'!F114&lt;Tmax, NOT('12 Ext'!$H114="")),'12 Ext'!$H114,4)</f>
        <v>4</v>
      </c>
      <c r="AI114"/>
      <c r="AJ114" s="230"/>
      <c r="AK114" s="230"/>
      <c r="AL114" s="230"/>
      <c r="AM114" s="230"/>
      <c r="AN114" s="230"/>
      <c r="AO114" s="230"/>
      <c r="AP114" s="230"/>
      <c r="AQ114" s="230"/>
      <c r="AR114" s="230"/>
      <c r="AS114" s="230"/>
      <c r="AT114" s="230"/>
      <c r="AU114" s="230"/>
      <c r="AV114" s="230"/>
      <c r="AW114" s="230"/>
      <c r="AX114" s="230"/>
      <c r="AY114" s="230"/>
      <c r="AZ114" s="230"/>
      <c r="BA114" s="230"/>
      <c r="BB114" s="230"/>
      <c r="BC114" s="230"/>
      <c r="BD114" s="230"/>
      <c r="BE114" s="230"/>
      <c r="BF114" s="230"/>
      <c r="BG114" s="230"/>
      <c r="BH114" s="230"/>
      <c r="BI114" s="230"/>
      <c r="BJ114" s="230"/>
      <c r="BK114" s="230"/>
      <c r="BL114" s="230"/>
      <c r="BM114" s="230"/>
      <c r="BN114" s="230"/>
      <c r="BO114" s="230"/>
      <c r="BP114" s="230"/>
      <c r="BQ114" s="230"/>
      <c r="BR114" s="230"/>
      <c r="BS114" s="230"/>
      <c r="BT114" s="230"/>
      <c r="BU114" s="230"/>
      <c r="BV114" s="230"/>
      <c r="BW114" s="230"/>
      <c r="BX114" s="230"/>
      <c r="BY114" s="230"/>
      <c r="BZ114" s="230"/>
      <c r="CA114" s="230"/>
      <c r="CB114" s="230"/>
      <c r="CC114" s="230"/>
      <c r="CD114" s="230"/>
      <c r="CE114" s="230"/>
      <c r="CF114" s="230"/>
      <c r="CG114" s="230"/>
      <c r="CH114" s="230"/>
      <c r="CI114" s="230"/>
      <c r="CJ114" s="230"/>
      <c r="CK114" s="230"/>
      <c r="CL114" s="230"/>
      <c r="CM114" s="230"/>
      <c r="CN114" s="230"/>
      <c r="CO114" s="230"/>
      <c r="CP114" s="230"/>
      <c r="CQ114" s="230"/>
      <c r="CR114" s="230"/>
      <c r="CS114" s="230"/>
      <c r="CT114" s="230"/>
      <c r="CU114" s="230"/>
      <c r="CV114" s="230"/>
      <c r="CW114" s="230"/>
      <c r="CX114" s="230"/>
      <c r="CY114" s="230"/>
      <c r="CZ114" s="230"/>
      <c r="DA114" s="230"/>
      <c r="DB114" s="230"/>
      <c r="DC114" s="230"/>
      <c r="DD114" s="230"/>
      <c r="DE114" s="230"/>
      <c r="DF114" s="230"/>
      <c r="DG114" s="230"/>
      <c r="DH114" s="230"/>
      <c r="DI114" s="230"/>
      <c r="DJ114" s="230"/>
      <c r="DK114" s="230"/>
      <c r="DL114" s="230"/>
      <c r="DM114" s="230"/>
      <c r="DN114" s="230"/>
      <c r="DO114" s="230"/>
      <c r="DP114" s="230"/>
      <c r="DQ114" s="230"/>
      <c r="DR114" s="230"/>
      <c r="DS114" s="230"/>
      <c r="DT114" s="230"/>
      <c r="DU114" s="230"/>
      <c r="DV114" s="230"/>
      <c r="DW114" s="230"/>
      <c r="DX114" s="230"/>
      <c r="DY114" s="230"/>
      <c r="DZ114" s="230"/>
      <c r="EA114" s="230"/>
      <c r="EB114" s="230"/>
      <c r="EC114" s="230"/>
      <c r="ED114" s="230"/>
      <c r="EE114" s="230"/>
      <c r="EF114" s="230"/>
      <c r="EG114" s="230"/>
      <c r="EH114" s="230"/>
      <c r="EI114" s="230"/>
      <c r="EJ114" s="230"/>
      <c r="EK114" s="230"/>
      <c r="EL114" s="230"/>
      <c r="EM114" s="230"/>
      <c r="EN114" s="230"/>
      <c r="EO114" s="230"/>
      <c r="EP114" s="230"/>
      <c r="EQ114" s="230"/>
      <c r="ER114" s="230"/>
      <c r="ES114" s="230"/>
      <c r="ET114" s="230"/>
      <c r="EU114" s="230"/>
      <c r="EV114" s="230"/>
      <c r="EW114" s="230"/>
      <c r="EX114" s="230"/>
      <c r="EY114" s="230"/>
      <c r="EZ114" s="230"/>
      <c r="FA114" s="230"/>
      <c r="FB114" s="230"/>
      <c r="FC114" s="230"/>
      <c r="FD114" s="230"/>
      <c r="FE114" s="230"/>
      <c r="FF114" s="230"/>
      <c r="FG114" s="230"/>
      <c r="FH114" s="230"/>
      <c r="FI114" s="230"/>
      <c r="FJ114" s="230"/>
      <c r="FK114" s="230"/>
      <c r="FL114" s="230"/>
      <c r="FM114" s="230"/>
      <c r="FN114" s="230"/>
      <c r="FO114" s="230"/>
      <c r="FP114" s="230"/>
      <c r="FQ114" s="230"/>
      <c r="FR114" s="230"/>
      <c r="FS114" s="230"/>
      <c r="FT114" s="230"/>
      <c r="FU114" s="230"/>
      <c r="FV114" s="230"/>
      <c r="FW114" s="230"/>
      <c r="FX114" s="230"/>
      <c r="FY114" s="230"/>
      <c r="FZ114" s="230"/>
      <c r="GA114" s="230"/>
      <c r="GB114" s="230"/>
      <c r="GC114" s="230"/>
      <c r="GD114" s="230"/>
      <c r="GE114" s="230"/>
      <c r="GF114" s="230"/>
      <c r="GG114" s="230"/>
      <c r="GH114" s="230"/>
      <c r="GI114" s="230"/>
      <c r="GJ114" s="230"/>
      <c r="GK114" s="230"/>
      <c r="GL114" s="230"/>
      <c r="GM114" s="230"/>
      <c r="GN114" s="230"/>
      <c r="GO114" s="230"/>
      <c r="GP114" s="230"/>
      <c r="GQ114" s="230"/>
      <c r="GR114" s="230"/>
    </row>
    <row r="115" spans="1:200" s="632" customFormat="1" outlineLevel="2" x14ac:dyDescent="0.2">
      <c r="A115" s="636" t="s">
        <v>6240</v>
      </c>
      <c r="B115" s="636" t="s">
        <v>6025</v>
      </c>
      <c r="C115" s="597"/>
      <c r="D115" s="649"/>
      <c r="E115" s="638"/>
      <c r="F115" s="638"/>
      <c r="G115" s="1517">
        <v>4</v>
      </c>
      <c r="H115" s="1517">
        <v>2</v>
      </c>
      <c r="I115" s="1517"/>
      <c r="J115" s="1517" t="s">
        <v>1592</v>
      </c>
      <c r="K115" s="1458" t="s">
        <v>6904</v>
      </c>
      <c r="L115" s="1518" t="s">
        <v>7249</v>
      </c>
      <c r="M115" s="635"/>
      <c r="N115" s="624"/>
      <c r="O115" s="624"/>
      <c r="P115" s="624"/>
      <c r="Q115" s="624"/>
      <c r="R115" s="624"/>
      <c r="S115" s="624"/>
      <c r="T115" s="624"/>
      <c r="U115" s="624"/>
      <c r="V115" s="624"/>
      <c r="W115" s="624"/>
      <c r="X115" s="624"/>
      <c r="Y115" s="624"/>
      <c r="Z115" s="624"/>
      <c r="AA115">
        <f>IF(AND('12 Ext'!C115&gt;Tmin, NOT('12 Ext'!$I115="")),'12 Ext'!$I115,0)</f>
        <v>0</v>
      </c>
      <c r="AB115">
        <f>IF(AND('12 Ext'!D115&gt;Tmin, NOT('12 Ext'!$I115="")),'12 Ext'!$I115,0)</f>
        <v>0</v>
      </c>
      <c r="AC115">
        <f>IF(AND('12 Ext'!E115&gt;Tmin, NOT('12 Ext'!$I115="")),'12 Ext'!$I115,0)</f>
        <v>0</v>
      </c>
      <c r="AD115">
        <f>IF(AND('12 Ext'!F115&gt;Tmin, NOT('12 Ext'!$I115="")),'12 Ext'!$I115,0)</f>
        <v>0</v>
      </c>
      <c r="AE115">
        <f>IF(AND('12 Ext'!C115&lt;Tmax, NOT('12 Ext'!$H115="")),'12 Ext'!$H115,4)</f>
        <v>2</v>
      </c>
      <c r="AF115">
        <f>IF(AND('12 Ext'!D115&lt;Tmax, NOT('12 Ext'!$H115="")),'12 Ext'!$H115,4)</f>
        <v>2</v>
      </c>
      <c r="AG115">
        <f>IF(AND('12 Ext'!E115&lt;Tmax, NOT('12 Ext'!$H115="")),'12 Ext'!$H115,4)</f>
        <v>2</v>
      </c>
      <c r="AH115">
        <f>IF(AND('12 Ext'!F115&lt;Tmax, NOT('12 Ext'!$H115="")),'12 Ext'!$H115,4)</f>
        <v>2</v>
      </c>
      <c r="AI115"/>
      <c r="AJ115" s="230"/>
      <c r="AK115" s="230"/>
      <c r="AL115" s="230"/>
      <c r="AM115" s="230"/>
      <c r="AN115" s="230"/>
      <c r="AO115" s="230"/>
      <c r="AP115" s="230"/>
      <c r="AQ115" s="230"/>
      <c r="AR115" s="230"/>
      <c r="AS115" s="230"/>
      <c r="AT115" s="230"/>
      <c r="AU115" s="230"/>
      <c r="AV115" s="230"/>
      <c r="AW115" s="230"/>
      <c r="AX115" s="230"/>
      <c r="AY115" s="230"/>
      <c r="AZ115" s="230"/>
      <c r="BA115" s="230"/>
      <c r="BB115" s="230"/>
      <c r="BC115" s="230"/>
      <c r="BD115" s="230"/>
      <c r="BE115" s="230"/>
      <c r="BF115" s="230"/>
      <c r="BG115" s="230"/>
      <c r="BH115" s="230"/>
      <c r="BI115" s="230"/>
      <c r="BJ115" s="230"/>
      <c r="BK115" s="230"/>
      <c r="BL115" s="230"/>
      <c r="BM115" s="230"/>
      <c r="BN115" s="230"/>
      <c r="BO115" s="230"/>
      <c r="BP115" s="230"/>
      <c r="BQ115" s="230"/>
      <c r="BR115" s="230"/>
      <c r="BS115" s="230"/>
      <c r="BT115" s="230"/>
      <c r="BU115" s="230"/>
      <c r="BV115" s="230"/>
      <c r="BW115" s="230"/>
      <c r="BX115" s="230"/>
      <c r="BY115" s="230"/>
      <c r="BZ115" s="230"/>
      <c r="CA115" s="230"/>
      <c r="CB115" s="230"/>
      <c r="CC115" s="230"/>
      <c r="CD115" s="230"/>
      <c r="CE115" s="230"/>
      <c r="CF115" s="230"/>
      <c r="CG115" s="230"/>
      <c r="CH115" s="230"/>
      <c r="CI115" s="230"/>
      <c r="CJ115" s="230"/>
      <c r="CK115" s="230"/>
      <c r="CL115" s="230"/>
      <c r="CM115" s="230"/>
      <c r="CN115" s="230"/>
      <c r="CO115" s="230"/>
      <c r="CP115" s="230"/>
      <c r="CQ115" s="230"/>
      <c r="CR115" s="230"/>
      <c r="CS115" s="230"/>
      <c r="CT115" s="230"/>
      <c r="CU115" s="230"/>
      <c r="CV115" s="230"/>
      <c r="CW115" s="230"/>
      <c r="CX115" s="230"/>
      <c r="CY115" s="230"/>
      <c r="CZ115" s="230"/>
      <c r="DA115" s="230"/>
      <c r="DB115" s="230"/>
      <c r="DC115" s="230"/>
      <c r="DD115" s="230"/>
      <c r="DE115" s="230"/>
      <c r="DF115" s="230"/>
      <c r="DG115" s="230"/>
      <c r="DH115" s="230"/>
      <c r="DI115" s="230"/>
      <c r="DJ115" s="230"/>
      <c r="DK115" s="230"/>
      <c r="DL115" s="230"/>
      <c r="DM115" s="230"/>
      <c r="DN115" s="230"/>
      <c r="DO115" s="230"/>
      <c r="DP115" s="230"/>
      <c r="DQ115" s="230"/>
      <c r="DR115" s="230"/>
      <c r="DS115" s="230"/>
      <c r="DT115" s="230"/>
      <c r="DU115" s="230"/>
      <c r="DV115" s="230"/>
      <c r="DW115" s="230"/>
      <c r="DX115" s="230"/>
      <c r="DY115" s="230"/>
      <c r="DZ115" s="230"/>
      <c r="EA115" s="230"/>
      <c r="EB115" s="230"/>
      <c r="EC115" s="230"/>
      <c r="ED115" s="230"/>
      <c r="EE115" s="230"/>
      <c r="EF115" s="230"/>
      <c r="EG115" s="230"/>
      <c r="EH115" s="230"/>
      <c r="EI115" s="230"/>
      <c r="EJ115" s="230"/>
      <c r="EK115" s="230"/>
      <c r="EL115" s="230"/>
      <c r="EM115" s="230"/>
      <c r="EN115" s="230"/>
      <c r="EO115" s="230"/>
      <c r="EP115" s="230"/>
      <c r="EQ115" s="230"/>
      <c r="ER115" s="230"/>
      <c r="ES115" s="230"/>
      <c r="ET115" s="230"/>
      <c r="EU115" s="230"/>
      <c r="EV115" s="230"/>
      <c r="EW115" s="230"/>
      <c r="EX115" s="230"/>
      <c r="EY115" s="230"/>
      <c r="EZ115" s="230"/>
      <c r="FA115" s="230"/>
      <c r="FB115" s="230"/>
      <c r="FC115" s="230"/>
      <c r="FD115" s="230"/>
      <c r="FE115" s="230"/>
      <c r="FF115" s="230"/>
      <c r="FG115" s="230"/>
      <c r="FH115" s="230"/>
      <c r="FI115" s="230"/>
      <c r="FJ115" s="230"/>
      <c r="FK115" s="230"/>
      <c r="FL115" s="230"/>
      <c r="FM115" s="230"/>
      <c r="FN115" s="230"/>
      <c r="FO115" s="230"/>
      <c r="FP115" s="230"/>
      <c r="FQ115" s="230"/>
      <c r="FR115" s="230"/>
      <c r="FS115" s="230"/>
      <c r="FT115" s="230"/>
      <c r="FU115" s="230"/>
      <c r="FV115" s="230"/>
      <c r="FW115" s="230"/>
      <c r="FX115" s="230"/>
      <c r="FY115" s="230"/>
      <c r="FZ115" s="230"/>
      <c r="GA115" s="230"/>
      <c r="GB115" s="230"/>
      <c r="GC115" s="230"/>
      <c r="GD115" s="230"/>
      <c r="GE115" s="230"/>
      <c r="GF115" s="230"/>
      <c r="GG115" s="230"/>
      <c r="GH115" s="230"/>
      <c r="GI115" s="230"/>
      <c r="GJ115" s="230"/>
      <c r="GK115" s="230"/>
      <c r="GL115" s="230"/>
      <c r="GM115" s="230"/>
      <c r="GN115" s="230"/>
      <c r="GO115" s="230"/>
      <c r="GP115" s="230"/>
      <c r="GQ115" s="230"/>
      <c r="GR115" s="230"/>
    </row>
    <row r="116" spans="1:200" s="632" customFormat="1" ht="57" customHeight="1" outlineLevel="2" x14ac:dyDescent="0.2">
      <c r="A116" s="636" t="s">
        <v>6241</v>
      </c>
      <c r="B116" s="636" t="s">
        <v>6774</v>
      </c>
      <c r="C116" s="597"/>
      <c r="D116" s="649"/>
      <c r="E116" s="638"/>
      <c r="F116" s="638"/>
      <c r="G116" s="1517">
        <v>4</v>
      </c>
      <c r="H116" s="1517">
        <v>3</v>
      </c>
      <c r="I116" s="1517"/>
      <c r="J116" s="1517" t="s">
        <v>1592</v>
      </c>
      <c r="K116" s="1458" t="s">
        <v>6904</v>
      </c>
      <c r="L116" s="1518" t="s">
        <v>7249</v>
      </c>
      <c r="M116" s="635"/>
      <c r="N116" s="624"/>
      <c r="O116" s="624"/>
      <c r="P116" s="624"/>
      <c r="Q116" s="624"/>
      <c r="R116" s="624"/>
      <c r="S116" s="624"/>
      <c r="T116" s="624"/>
      <c r="U116" s="624"/>
      <c r="V116" s="624"/>
      <c r="W116" s="624"/>
      <c r="X116" s="624"/>
      <c r="Y116" s="624"/>
      <c r="Z116" s="624"/>
      <c r="AA116">
        <f>IF(AND('12 Ext'!C116&gt;Tmin, NOT('12 Ext'!$I116="")),'12 Ext'!$I116,0)</f>
        <v>0</v>
      </c>
      <c r="AB116">
        <f>IF(AND('12 Ext'!D116&gt;Tmin, NOT('12 Ext'!$I116="")),'12 Ext'!$I116,0)</f>
        <v>0</v>
      </c>
      <c r="AC116">
        <f>IF(AND('12 Ext'!E116&gt;Tmin, NOT('12 Ext'!$I116="")),'12 Ext'!$I116,0)</f>
        <v>0</v>
      </c>
      <c r="AD116">
        <f>IF(AND('12 Ext'!F116&gt;Tmin, NOT('12 Ext'!$I116="")),'12 Ext'!$I116,0)</f>
        <v>0</v>
      </c>
      <c r="AE116">
        <f>IF(AND('12 Ext'!C116&lt;Tmax, NOT('12 Ext'!$H116="")),'12 Ext'!$H116,4)</f>
        <v>3</v>
      </c>
      <c r="AF116">
        <f>IF(AND('12 Ext'!D116&lt;Tmax, NOT('12 Ext'!$H116="")),'12 Ext'!$H116,4)</f>
        <v>3</v>
      </c>
      <c r="AG116">
        <f>IF(AND('12 Ext'!E116&lt;Tmax, NOT('12 Ext'!$H116="")),'12 Ext'!$H116,4)</f>
        <v>3</v>
      </c>
      <c r="AH116">
        <f>IF(AND('12 Ext'!F116&lt;Tmax, NOT('12 Ext'!$H116="")),'12 Ext'!$H116,4)</f>
        <v>3</v>
      </c>
      <c r="AI116"/>
      <c r="AJ116" s="230"/>
      <c r="AK116" s="230"/>
      <c r="AL116" s="230"/>
      <c r="AM116" s="230"/>
      <c r="AN116" s="230"/>
      <c r="AO116" s="230"/>
      <c r="AP116" s="230"/>
      <c r="AQ116" s="230"/>
      <c r="AR116" s="230"/>
      <c r="AS116" s="230"/>
      <c r="AT116" s="230"/>
      <c r="AU116" s="230"/>
      <c r="AV116" s="230"/>
      <c r="AW116" s="230"/>
      <c r="AX116" s="230"/>
      <c r="AY116" s="230"/>
      <c r="AZ116" s="230"/>
      <c r="BA116" s="230"/>
      <c r="BB116" s="230"/>
      <c r="BC116" s="230"/>
      <c r="BD116" s="230"/>
      <c r="BE116" s="230"/>
      <c r="BF116" s="230"/>
      <c r="BG116" s="230"/>
      <c r="BH116" s="230"/>
      <c r="BI116" s="230"/>
      <c r="BJ116" s="230"/>
      <c r="BK116" s="230"/>
      <c r="BL116" s="230"/>
      <c r="BM116" s="230"/>
      <c r="BN116" s="230"/>
      <c r="BO116" s="230"/>
      <c r="BP116" s="230"/>
      <c r="BQ116" s="230"/>
      <c r="BR116" s="230"/>
      <c r="BS116" s="230"/>
      <c r="BT116" s="230"/>
      <c r="BU116" s="230"/>
      <c r="BV116" s="230"/>
      <c r="BW116" s="230"/>
      <c r="BX116" s="230"/>
      <c r="BY116" s="230"/>
      <c r="BZ116" s="230"/>
      <c r="CA116" s="230"/>
      <c r="CB116" s="230"/>
      <c r="CC116" s="230"/>
      <c r="CD116" s="230"/>
      <c r="CE116" s="230"/>
      <c r="CF116" s="230"/>
      <c r="CG116" s="230"/>
      <c r="CH116" s="230"/>
      <c r="CI116" s="230"/>
      <c r="CJ116" s="230"/>
      <c r="CK116" s="230"/>
      <c r="CL116" s="230"/>
      <c r="CM116" s="230"/>
      <c r="CN116" s="230"/>
      <c r="CO116" s="230"/>
      <c r="CP116" s="230"/>
      <c r="CQ116" s="230"/>
      <c r="CR116" s="230"/>
      <c r="CS116" s="230"/>
      <c r="CT116" s="230"/>
      <c r="CU116" s="230"/>
      <c r="CV116" s="230"/>
      <c r="CW116" s="230"/>
      <c r="CX116" s="230"/>
      <c r="CY116" s="230"/>
      <c r="CZ116" s="230"/>
      <c r="DA116" s="230"/>
      <c r="DB116" s="230"/>
      <c r="DC116" s="230"/>
      <c r="DD116" s="230"/>
      <c r="DE116" s="230"/>
      <c r="DF116" s="230"/>
      <c r="DG116" s="230"/>
      <c r="DH116" s="230"/>
      <c r="DI116" s="230"/>
      <c r="DJ116" s="230"/>
      <c r="DK116" s="230"/>
      <c r="DL116" s="230"/>
      <c r="DM116" s="230"/>
      <c r="DN116" s="230"/>
      <c r="DO116" s="230"/>
      <c r="DP116" s="230"/>
      <c r="DQ116" s="230"/>
      <c r="DR116" s="230"/>
      <c r="DS116" s="230"/>
      <c r="DT116" s="230"/>
      <c r="DU116" s="230"/>
      <c r="DV116" s="230"/>
      <c r="DW116" s="230"/>
      <c r="DX116" s="230"/>
      <c r="DY116" s="230"/>
      <c r="DZ116" s="230"/>
      <c r="EA116" s="230"/>
      <c r="EB116" s="230"/>
      <c r="EC116" s="230"/>
      <c r="ED116" s="230"/>
      <c r="EE116" s="230"/>
      <c r="EF116" s="230"/>
      <c r="EG116" s="230"/>
      <c r="EH116" s="230"/>
      <c r="EI116" s="230"/>
      <c r="EJ116" s="230"/>
      <c r="EK116" s="230"/>
      <c r="EL116" s="230"/>
      <c r="EM116" s="230"/>
      <c r="EN116" s="230"/>
      <c r="EO116" s="230"/>
      <c r="EP116" s="230"/>
      <c r="EQ116" s="230"/>
      <c r="ER116" s="230"/>
      <c r="ES116" s="230"/>
      <c r="ET116" s="230"/>
      <c r="EU116" s="230"/>
      <c r="EV116" s="230"/>
      <c r="EW116" s="230"/>
      <c r="EX116" s="230"/>
      <c r="EY116" s="230"/>
      <c r="EZ116" s="230"/>
      <c r="FA116" s="230"/>
      <c r="FB116" s="230"/>
      <c r="FC116" s="230"/>
      <c r="FD116" s="230"/>
      <c r="FE116" s="230"/>
      <c r="FF116" s="230"/>
      <c r="FG116" s="230"/>
      <c r="FH116" s="230"/>
      <c r="FI116" s="230"/>
      <c r="FJ116" s="230"/>
      <c r="FK116" s="230"/>
      <c r="FL116" s="230"/>
      <c r="FM116" s="230"/>
      <c r="FN116" s="230"/>
      <c r="FO116" s="230"/>
      <c r="FP116" s="230"/>
      <c r="FQ116" s="230"/>
      <c r="FR116" s="230"/>
      <c r="FS116" s="230"/>
      <c r="FT116" s="230"/>
      <c r="FU116" s="230"/>
      <c r="FV116" s="230"/>
      <c r="FW116" s="230"/>
      <c r="FX116" s="230"/>
      <c r="FY116" s="230"/>
      <c r="FZ116" s="230"/>
      <c r="GA116" s="230"/>
      <c r="GB116" s="230"/>
      <c r="GC116" s="230"/>
      <c r="GD116" s="230"/>
      <c r="GE116" s="230"/>
      <c r="GF116" s="230"/>
      <c r="GG116" s="230"/>
      <c r="GH116" s="230"/>
      <c r="GI116" s="230"/>
      <c r="GJ116" s="230"/>
      <c r="GK116" s="230"/>
      <c r="GL116" s="230"/>
      <c r="GM116" s="230"/>
      <c r="GN116" s="230"/>
      <c r="GO116" s="230"/>
      <c r="GP116" s="230"/>
      <c r="GQ116" s="230"/>
      <c r="GR116" s="230"/>
    </row>
    <row r="117" spans="1:200" s="632" customFormat="1" ht="33.75" outlineLevel="2" x14ac:dyDescent="0.2">
      <c r="A117" s="636" t="s">
        <v>6242</v>
      </c>
      <c r="B117" s="636" t="s">
        <v>4680</v>
      </c>
      <c r="C117" s="597"/>
      <c r="D117" s="649"/>
      <c r="E117" s="638"/>
      <c r="F117" s="638"/>
      <c r="G117" s="1517">
        <v>4</v>
      </c>
      <c r="H117" s="1517">
        <v>2</v>
      </c>
      <c r="I117" s="1517"/>
      <c r="J117" s="1517" t="s">
        <v>1592</v>
      </c>
      <c r="K117" s="1518"/>
      <c r="L117" s="1518"/>
      <c r="M117" s="635"/>
      <c r="N117" s="624"/>
      <c r="O117" s="624"/>
      <c r="P117" s="624"/>
      <c r="Q117" s="624"/>
      <c r="R117" s="624"/>
      <c r="S117" s="624"/>
      <c r="T117" s="624"/>
      <c r="U117" s="624"/>
      <c r="V117" s="624"/>
      <c r="W117" s="624"/>
      <c r="X117" s="624"/>
      <c r="Y117" s="624"/>
      <c r="Z117" s="624"/>
      <c r="AA117">
        <f>IF(AND('12 Ext'!C117&gt;Tmin, NOT('12 Ext'!$I117="")),'12 Ext'!$I117,0)</f>
        <v>0</v>
      </c>
      <c r="AB117">
        <f>IF(AND('12 Ext'!D117&gt;Tmin, NOT('12 Ext'!$I117="")),'12 Ext'!$I117,0)</f>
        <v>0</v>
      </c>
      <c r="AC117">
        <f>IF(AND('12 Ext'!E117&gt;Tmin, NOT('12 Ext'!$I117="")),'12 Ext'!$I117,0)</f>
        <v>0</v>
      </c>
      <c r="AD117">
        <f>IF(AND('12 Ext'!F117&gt;Tmin, NOT('12 Ext'!$I117="")),'12 Ext'!$I117,0)</f>
        <v>0</v>
      </c>
      <c r="AE117">
        <f>IF(AND('12 Ext'!C117&lt;Tmax, NOT('12 Ext'!$H117="")),'12 Ext'!$H117,4)</f>
        <v>2</v>
      </c>
      <c r="AF117">
        <f>IF(AND('12 Ext'!D117&lt;Tmax, NOT('12 Ext'!$H117="")),'12 Ext'!$H117,4)</f>
        <v>2</v>
      </c>
      <c r="AG117">
        <f>IF(AND('12 Ext'!E117&lt;Tmax, NOT('12 Ext'!$H117="")),'12 Ext'!$H117,4)</f>
        <v>2</v>
      </c>
      <c r="AH117">
        <f>IF(AND('12 Ext'!F117&lt;Tmax, NOT('12 Ext'!$H117="")),'12 Ext'!$H117,4)</f>
        <v>2</v>
      </c>
      <c r="AI117"/>
      <c r="AJ117" s="230"/>
      <c r="AK117" s="230"/>
      <c r="AL117" s="230"/>
      <c r="AM117" s="230"/>
      <c r="AN117" s="230"/>
      <c r="AO117" s="230"/>
      <c r="AP117" s="230"/>
      <c r="AQ117" s="230"/>
      <c r="AR117" s="230"/>
      <c r="AS117" s="230"/>
      <c r="AT117" s="230"/>
      <c r="AU117" s="230"/>
      <c r="AV117" s="230"/>
      <c r="AW117" s="230"/>
      <c r="AX117" s="230"/>
      <c r="AY117" s="230"/>
      <c r="AZ117" s="230"/>
      <c r="BA117" s="230"/>
      <c r="BB117" s="230"/>
      <c r="BC117" s="230"/>
      <c r="BD117" s="230"/>
      <c r="BE117" s="230"/>
      <c r="BF117" s="230"/>
      <c r="BG117" s="230"/>
      <c r="BH117" s="230"/>
      <c r="BI117" s="230"/>
      <c r="BJ117" s="230"/>
      <c r="BK117" s="230"/>
      <c r="BL117" s="230"/>
      <c r="BM117" s="230"/>
      <c r="BN117" s="230"/>
      <c r="BO117" s="230"/>
      <c r="BP117" s="230"/>
      <c r="BQ117" s="230"/>
      <c r="BR117" s="230"/>
      <c r="BS117" s="230"/>
      <c r="BT117" s="230"/>
      <c r="BU117" s="230"/>
      <c r="BV117" s="230"/>
      <c r="BW117" s="230"/>
      <c r="BX117" s="230"/>
      <c r="BY117" s="230"/>
      <c r="BZ117" s="230"/>
      <c r="CA117" s="230"/>
      <c r="CB117" s="230"/>
      <c r="CC117" s="230"/>
      <c r="CD117" s="230"/>
      <c r="CE117" s="230"/>
      <c r="CF117" s="230"/>
      <c r="CG117" s="230"/>
      <c r="CH117" s="230"/>
      <c r="CI117" s="230"/>
      <c r="CJ117" s="230"/>
      <c r="CK117" s="230"/>
      <c r="CL117" s="230"/>
      <c r="CM117" s="230"/>
      <c r="CN117" s="230"/>
      <c r="CO117" s="230"/>
      <c r="CP117" s="230"/>
      <c r="CQ117" s="230"/>
      <c r="CR117" s="230"/>
      <c r="CS117" s="230"/>
      <c r="CT117" s="230"/>
      <c r="CU117" s="230"/>
      <c r="CV117" s="230"/>
      <c r="CW117" s="230"/>
      <c r="CX117" s="230"/>
      <c r="CY117" s="230"/>
      <c r="CZ117" s="230"/>
      <c r="DA117" s="230"/>
      <c r="DB117" s="230"/>
      <c r="DC117" s="230"/>
      <c r="DD117" s="230"/>
      <c r="DE117" s="230"/>
      <c r="DF117" s="230"/>
      <c r="DG117" s="230"/>
      <c r="DH117" s="230"/>
      <c r="DI117" s="230"/>
      <c r="DJ117" s="230"/>
      <c r="DK117" s="230"/>
      <c r="DL117" s="230"/>
      <c r="DM117" s="230"/>
      <c r="DN117" s="230"/>
      <c r="DO117" s="230"/>
      <c r="DP117" s="230"/>
      <c r="DQ117" s="230"/>
      <c r="DR117" s="230"/>
      <c r="DS117" s="230"/>
      <c r="DT117" s="230"/>
      <c r="DU117" s="230"/>
      <c r="DV117" s="230"/>
      <c r="DW117" s="230"/>
      <c r="DX117" s="230"/>
      <c r="DY117" s="230"/>
      <c r="DZ117" s="230"/>
      <c r="EA117" s="230"/>
      <c r="EB117" s="230"/>
      <c r="EC117" s="230"/>
      <c r="ED117" s="230"/>
      <c r="EE117" s="230"/>
      <c r="EF117" s="230"/>
      <c r="EG117" s="230"/>
      <c r="EH117" s="230"/>
      <c r="EI117" s="230"/>
      <c r="EJ117" s="230"/>
      <c r="EK117" s="230"/>
      <c r="EL117" s="230"/>
      <c r="EM117" s="230"/>
      <c r="EN117" s="230"/>
      <c r="EO117" s="230"/>
      <c r="EP117" s="230"/>
      <c r="EQ117" s="230"/>
      <c r="ER117" s="230"/>
      <c r="ES117" s="230"/>
      <c r="ET117" s="230"/>
      <c r="EU117" s="230"/>
      <c r="EV117" s="230"/>
      <c r="EW117" s="230"/>
      <c r="EX117" s="230"/>
      <c r="EY117" s="230"/>
      <c r="EZ117" s="230"/>
      <c r="FA117" s="230"/>
      <c r="FB117" s="230"/>
      <c r="FC117" s="230"/>
      <c r="FD117" s="230"/>
      <c r="FE117" s="230"/>
      <c r="FF117" s="230"/>
      <c r="FG117" s="230"/>
      <c r="FH117" s="230"/>
      <c r="FI117" s="230"/>
      <c r="FJ117" s="230"/>
      <c r="FK117" s="230"/>
      <c r="FL117" s="230"/>
      <c r="FM117" s="230"/>
      <c r="FN117" s="230"/>
      <c r="FO117" s="230"/>
      <c r="FP117" s="230"/>
      <c r="FQ117" s="230"/>
      <c r="FR117" s="230"/>
      <c r="FS117" s="230"/>
      <c r="FT117" s="230"/>
      <c r="FU117" s="230"/>
      <c r="FV117" s="230"/>
      <c r="FW117" s="230"/>
      <c r="FX117" s="230"/>
      <c r="FY117" s="230"/>
      <c r="FZ117" s="230"/>
      <c r="GA117" s="230"/>
      <c r="GB117" s="230"/>
      <c r="GC117" s="230"/>
      <c r="GD117" s="230"/>
      <c r="GE117" s="230"/>
      <c r="GF117" s="230"/>
      <c r="GG117" s="230"/>
      <c r="GH117" s="230"/>
      <c r="GI117" s="230"/>
      <c r="GJ117" s="230"/>
      <c r="GK117" s="230"/>
      <c r="GL117" s="230"/>
      <c r="GM117" s="230"/>
      <c r="GN117" s="230"/>
      <c r="GO117" s="230"/>
      <c r="GP117" s="230"/>
      <c r="GQ117" s="230"/>
      <c r="GR117" s="230"/>
    </row>
    <row r="118" spans="1:200" s="632" customFormat="1" ht="22.5" outlineLevel="2" x14ac:dyDescent="0.2">
      <c r="A118" s="636" t="s">
        <v>6243</v>
      </c>
      <c r="B118" s="636" t="s">
        <v>4682</v>
      </c>
      <c r="C118" s="597"/>
      <c r="D118" s="649"/>
      <c r="E118" s="638"/>
      <c r="F118" s="638"/>
      <c r="G118" s="1517">
        <v>2</v>
      </c>
      <c r="H118" s="1517">
        <v>3</v>
      </c>
      <c r="I118" s="1517"/>
      <c r="J118" s="1517" t="s">
        <v>1592</v>
      </c>
      <c r="K118" s="1518"/>
      <c r="L118" s="1518"/>
      <c r="M118" s="635"/>
      <c r="N118" s="624"/>
      <c r="O118" s="624"/>
      <c r="P118" s="624"/>
      <c r="Q118" s="624"/>
      <c r="R118" s="624"/>
      <c r="S118" s="624"/>
      <c r="T118" s="624"/>
      <c r="U118" s="624"/>
      <c r="V118" s="624"/>
      <c r="W118" s="624"/>
      <c r="X118" s="624"/>
      <c r="Y118" s="624"/>
      <c r="Z118" s="624"/>
      <c r="AA118">
        <f>IF(AND('12 Ext'!C118&gt;Tmin, NOT('12 Ext'!$I118="")),'12 Ext'!$I118,0)</f>
        <v>0</v>
      </c>
      <c r="AB118">
        <f>IF(AND('12 Ext'!D118&gt;Tmin, NOT('12 Ext'!$I118="")),'12 Ext'!$I118,0)</f>
        <v>0</v>
      </c>
      <c r="AC118">
        <f>IF(AND('12 Ext'!E118&gt;Tmin, NOT('12 Ext'!$I118="")),'12 Ext'!$I118,0)</f>
        <v>0</v>
      </c>
      <c r="AD118">
        <f>IF(AND('12 Ext'!F118&gt;Tmin, NOT('12 Ext'!$I118="")),'12 Ext'!$I118,0)</f>
        <v>0</v>
      </c>
      <c r="AE118">
        <f>IF(AND('12 Ext'!C118&lt;Tmax, NOT('12 Ext'!$H118="")),'12 Ext'!$H118,4)</f>
        <v>3</v>
      </c>
      <c r="AF118">
        <f>IF(AND('12 Ext'!D118&lt;Tmax, NOT('12 Ext'!$H118="")),'12 Ext'!$H118,4)</f>
        <v>3</v>
      </c>
      <c r="AG118">
        <f>IF(AND('12 Ext'!E118&lt;Tmax, NOT('12 Ext'!$H118="")),'12 Ext'!$H118,4)</f>
        <v>3</v>
      </c>
      <c r="AH118">
        <f>IF(AND('12 Ext'!F118&lt;Tmax, NOT('12 Ext'!$H118="")),'12 Ext'!$H118,4)</f>
        <v>3</v>
      </c>
      <c r="AI118"/>
      <c r="AJ118" s="230"/>
      <c r="AK118" s="230"/>
      <c r="AL118" s="230"/>
      <c r="AM118" s="230"/>
      <c r="AN118" s="230"/>
      <c r="AO118" s="230"/>
      <c r="AP118" s="230"/>
      <c r="AQ118" s="230"/>
      <c r="AR118" s="230"/>
      <c r="AS118" s="230"/>
      <c r="AT118" s="230"/>
      <c r="AU118" s="230"/>
      <c r="AV118" s="230"/>
      <c r="AW118" s="230"/>
      <c r="AX118" s="230"/>
      <c r="AY118" s="230"/>
      <c r="AZ118" s="230"/>
      <c r="BA118" s="230"/>
      <c r="BB118" s="230"/>
      <c r="BC118" s="230"/>
      <c r="BD118" s="230"/>
      <c r="BE118" s="230"/>
      <c r="BF118" s="230"/>
      <c r="BG118" s="230"/>
      <c r="BH118" s="230"/>
      <c r="BI118" s="230"/>
      <c r="BJ118" s="230"/>
      <c r="BK118" s="230"/>
      <c r="BL118" s="230"/>
      <c r="BM118" s="230"/>
      <c r="BN118" s="230"/>
      <c r="BO118" s="230"/>
      <c r="BP118" s="230"/>
      <c r="BQ118" s="230"/>
      <c r="BR118" s="230"/>
      <c r="BS118" s="230"/>
      <c r="BT118" s="230"/>
      <c r="BU118" s="230"/>
      <c r="BV118" s="230"/>
      <c r="BW118" s="230"/>
      <c r="BX118" s="230"/>
      <c r="BY118" s="230"/>
      <c r="BZ118" s="230"/>
      <c r="CA118" s="230"/>
      <c r="CB118" s="230"/>
      <c r="CC118" s="230"/>
      <c r="CD118" s="230"/>
      <c r="CE118" s="230"/>
      <c r="CF118" s="230"/>
      <c r="CG118" s="230"/>
      <c r="CH118" s="230"/>
      <c r="CI118" s="230"/>
      <c r="CJ118" s="230"/>
      <c r="CK118" s="230"/>
      <c r="CL118" s="230"/>
      <c r="CM118" s="230"/>
      <c r="CN118" s="230"/>
      <c r="CO118" s="230"/>
      <c r="CP118" s="230"/>
      <c r="CQ118" s="230"/>
      <c r="CR118" s="230"/>
      <c r="CS118" s="230"/>
      <c r="CT118" s="230"/>
      <c r="CU118" s="230"/>
      <c r="CV118" s="230"/>
      <c r="CW118" s="230"/>
      <c r="CX118" s="230"/>
      <c r="CY118" s="230"/>
      <c r="CZ118" s="230"/>
      <c r="DA118" s="230"/>
      <c r="DB118" s="230"/>
      <c r="DC118" s="230"/>
      <c r="DD118" s="230"/>
      <c r="DE118" s="230"/>
      <c r="DF118" s="230"/>
      <c r="DG118" s="230"/>
      <c r="DH118" s="230"/>
      <c r="DI118" s="230"/>
      <c r="DJ118" s="230"/>
      <c r="DK118" s="230"/>
      <c r="DL118" s="230"/>
      <c r="DM118" s="230"/>
      <c r="DN118" s="230"/>
      <c r="DO118" s="230"/>
      <c r="DP118" s="230"/>
      <c r="DQ118" s="230"/>
      <c r="DR118" s="230"/>
      <c r="DS118" s="230"/>
      <c r="DT118" s="230"/>
      <c r="DU118" s="230"/>
      <c r="DV118" s="230"/>
      <c r="DW118" s="230"/>
      <c r="DX118" s="230"/>
      <c r="DY118" s="230"/>
      <c r="DZ118" s="230"/>
      <c r="EA118" s="230"/>
      <c r="EB118" s="230"/>
      <c r="EC118" s="230"/>
      <c r="ED118" s="230"/>
      <c r="EE118" s="230"/>
      <c r="EF118" s="230"/>
      <c r="EG118" s="230"/>
      <c r="EH118" s="230"/>
      <c r="EI118" s="230"/>
      <c r="EJ118" s="230"/>
      <c r="EK118" s="230"/>
      <c r="EL118" s="230"/>
      <c r="EM118" s="230"/>
      <c r="EN118" s="230"/>
      <c r="EO118" s="230"/>
      <c r="EP118" s="230"/>
      <c r="EQ118" s="230"/>
      <c r="ER118" s="230"/>
      <c r="ES118" s="230"/>
      <c r="ET118" s="230"/>
      <c r="EU118" s="230"/>
      <c r="EV118" s="230"/>
      <c r="EW118" s="230"/>
      <c r="EX118" s="230"/>
      <c r="EY118" s="230"/>
      <c r="EZ118" s="230"/>
      <c r="FA118" s="230"/>
      <c r="FB118" s="230"/>
      <c r="FC118" s="230"/>
      <c r="FD118" s="230"/>
      <c r="FE118" s="230"/>
      <c r="FF118" s="230"/>
      <c r="FG118" s="230"/>
      <c r="FH118" s="230"/>
      <c r="FI118" s="230"/>
      <c r="FJ118" s="230"/>
      <c r="FK118" s="230"/>
      <c r="FL118" s="230"/>
      <c r="FM118" s="230"/>
      <c r="FN118" s="230"/>
      <c r="FO118" s="230"/>
      <c r="FP118" s="230"/>
      <c r="FQ118" s="230"/>
      <c r="FR118" s="230"/>
      <c r="FS118" s="230"/>
      <c r="FT118" s="230"/>
      <c r="FU118" s="230"/>
      <c r="FV118" s="230"/>
      <c r="FW118" s="230"/>
      <c r="FX118" s="230"/>
      <c r="FY118" s="230"/>
      <c r="FZ118" s="230"/>
      <c r="GA118" s="230"/>
      <c r="GB118" s="230"/>
      <c r="GC118" s="230"/>
      <c r="GD118" s="230"/>
      <c r="GE118" s="230"/>
      <c r="GF118" s="230"/>
      <c r="GG118" s="230"/>
      <c r="GH118" s="230"/>
      <c r="GI118" s="230"/>
      <c r="GJ118" s="230"/>
      <c r="GK118" s="230"/>
      <c r="GL118" s="230"/>
      <c r="GM118" s="230"/>
      <c r="GN118" s="230"/>
      <c r="GO118" s="230"/>
      <c r="GP118" s="230"/>
      <c r="GQ118" s="230"/>
      <c r="GR118" s="230"/>
    </row>
    <row r="119" spans="1:200" s="632" customFormat="1" outlineLevel="2" x14ac:dyDescent="0.2">
      <c r="A119" s="636" t="s">
        <v>6244</v>
      </c>
      <c r="B119" s="636" t="s">
        <v>4684</v>
      </c>
      <c r="C119" s="597"/>
      <c r="D119" s="649"/>
      <c r="E119" s="638"/>
      <c r="F119" s="638"/>
      <c r="G119" s="1517">
        <v>2</v>
      </c>
      <c r="H119" s="1517">
        <v>3</v>
      </c>
      <c r="I119" s="1517"/>
      <c r="J119" s="1517" t="s">
        <v>2329</v>
      </c>
      <c r="K119" s="1518"/>
      <c r="L119" s="1518"/>
      <c r="M119" s="635"/>
      <c r="N119" s="624"/>
      <c r="O119" s="624"/>
      <c r="P119" s="624"/>
      <c r="Q119" s="624"/>
      <c r="R119" s="624"/>
      <c r="S119" s="624"/>
      <c r="T119" s="624"/>
      <c r="U119" s="624"/>
      <c r="V119" s="624"/>
      <c r="W119" s="624"/>
      <c r="X119" s="624"/>
      <c r="Y119" s="624"/>
      <c r="Z119" s="624"/>
      <c r="AA119">
        <f>IF(AND('12 Ext'!C119&gt;Tmin, NOT('12 Ext'!$I119="")),'12 Ext'!$I119,0)</f>
        <v>0</v>
      </c>
      <c r="AB119">
        <f>IF(AND('12 Ext'!D119&gt;Tmin, NOT('12 Ext'!$I119="")),'12 Ext'!$I119,0)</f>
        <v>0</v>
      </c>
      <c r="AC119">
        <f>IF(AND('12 Ext'!E119&gt;Tmin, NOT('12 Ext'!$I119="")),'12 Ext'!$I119,0)</f>
        <v>0</v>
      </c>
      <c r="AD119">
        <f>IF(AND('12 Ext'!F119&gt;Tmin, NOT('12 Ext'!$I119="")),'12 Ext'!$I119,0)</f>
        <v>0</v>
      </c>
      <c r="AE119">
        <f>IF(AND('12 Ext'!C119&lt;Tmax, NOT('12 Ext'!$H119="")),'12 Ext'!$H119,4)</f>
        <v>3</v>
      </c>
      <c r="AF119">
        <f>IF(AND('12 Ext'!D119&lt;Tmax, NOT('12 Ext'!$H119="")),'12 Ext'!$H119,4)</f>
        <v>3</v>
      </c>
      <c r="AG119">
        <f>IF(AND('12 Ext'!E119&lt;Tmax, NOT('12 Ext'!$H119="")),'12 Ext'!$H119,4)</f>
        <v>3</v>
      </c>
      <c r="AH119">
        <f>IF(AND('12 Ext'!F119&lt;Tmax, NOT('12 Ext'!$H119="")),'12 Ext'!$H119,4)</f>
        <v>3</v>
      </c>
      <c r="AI119"/>
      <c r="AJ119" s="230"/>
      <c r="AK119" s="230"/>
      <c r="AL119" s="230"/>
      <c r="AM119" s="230"/>
      <c r="AN119" s="230"/>
      <c r="AO119" s="230"/>
      <c r="AP119" s="230"/>
      <c r="AQ119" s="230"/>
      <c r="AR119" s="230"/>
      <c r="AS119" s="230"/>
      <c r="AT119" s="230"/>
      <c r="AU119" s="230"/>
      <c r="AV119" s="230"/>
      <c r="AW119" s="230"/>
      <c r="AX119" s="230"/>
      <c r="AY119" s="230"/>
      <c r="AZ119" s="230"/>
      <c r="BA119" s="230"/>
      <c r="BB119" s="230"/>
      <c r="BC119" s="230"/>
      <c r="BD119" s="230"/>
      <c r="BE119" s="230"/>
      <c r="BF119" s="230"/>
      <c r="BG119" s="230"/>
      <c r="BH119" s="230"/>
      <c r="BI119" s="230"/>
      <c r="BJ119" s="230"/>
      <c r="BK119" s="230"/>
      <c r="BL119" s="230"/>
      <c r="BM119" s="230"/>
      <c r="BN119" s="230"/>
      <c r="BO119" s="230"/>
      <c r="BP119" s="230"/>
      <c r="BQ119" s="230"/>
      <c r="BR119" s="230"/>
      <c r="BS119" s="230"/>
      <c r="BT119" s="230"/>
      <c r="BU119" s="230"/>
      <c r="BV119" s="230"/>
      <c r="BW119" s="230"/>
      <c r="BX119" s="230"/>
      <c r="BY119" s="230"/>
      <c r="BZ119" s="230"/>
      <c r="CA119" s="230"/>
      <c r="CB119" s="230"/>
      <c r="CC119" s="230"/>
      <c r="CD119" s="230"/>
      <c r="CE119" s="230"/>
      <c r="CF119" s="230"/>
      <c r="CG119" s="230"/>
      <c r="CH119" s="230"/>
      <c r="CI119" s="230"/>
      <c r="CJ119" s="230"/>
      <c r="CK119" s="230"/>
      <c r="CL119" s="230"/>
      <c r="CM119" s="230"/>
      <c r="CN119" s="230"/>
      <c r="CO119" s="230"/>
      <c r="CP119" s="230"/>
      <c r="CQ119" s="230"/>
      <c r="CR119" s="230"/>
      <c r="CS119" s="230"/>
      <c r="CT119" s="230"/>
      <c r="CU119" s="230"/>
      <c r="CV119" s="230"/>
      <c r="CW119" s="230"/>
      <c r="CX119" s="230"/>
      <c r="CY119" s="230"/>
      <c r="CZ119" s="230"/>
      <c r="DA119" s="230"/>
      <c r="DB119" s="230"/>
      <c r="DC119" s="230"/>
      <c r="DD119" s="230"/>
      <c r="DE119" s="230"/>
      <c r="DF119" s="230"/>
      <c r="DG119" s="230"/>
      <c r="DH119" s="230"/>
      <c r="DI119" s="230"/>
      <c r="DJ119" s="230"/>
      <c r="DK119" s="230"/>
      <c r="DL119" s="230"/>
      <c r="DM119" s="230"/>
      <c r="DN119" s="230"/>
      <c r="DO119" s="230"/>
      <c r="DP119" s="230"/>
      <c r="DQ119" s="230"/>
      <c r="DR119" s="230"/>
      <c r="DS119" s="230"/>
      <c r="DT119" s="230"/>
      <c r="DU119" s="230"/>
      <c r="DV119" s="230"/>
      <c r="DW119" s="230"/>
      <c r="DX119" s="230"/>
      <c r="DY119" s="230"/>
      <c r="DZ119" s="230"/>
      <c r="EA119" s="230"/>
      <c r="EB119" s="230"/>
      <c r="EC119" s="230"/>
      <c r="ED119" s="230"/>
      <c r="EE119" s="230"/>
      <c r="EF119" s="230"/>
      <c r="EG119" s="230"/>
      <c r="EH119" s="230"/>
      <c r="EI119" s="230"/>
      <c r="EJ119" s="230"/>
      <c r="EK119" s="230"/>
      <c r="EL119" s="230"/>
      <c r="EM119" s="230"/>
      <c r="EN119" s="230"/>
      <c r="EO119" s="230"/>
      <c r="EP119" s="230"/>
      <c r="EQ119" s="230"/>
      <c r="ER119" s="230"/>
      <c r="ES119" s="230"/>
      <c r="ET119" s="230"/>
      <c r="EU119" s="230"/>
      <c r="EV119" s="230"/>
      <c r="EW119" s="230"/>
      <c r="EX119" s="230"/>
      <c r="EY119" s="230"/>
      <c r="EZ119" s="230"/>
      <c r="FA119" s="230"/>
      <c r="FB119" s="230"/>
      <c r="FC119" s="230"/>
      <c r="FD119" s="230"/>
      <c r="FE119" s="230"/>
      <c r="FF119" s="230"/>
      <c r="FG119" s="230"/>
      <c r="FH119" s="230"/>
      <c r="FI119" s="230"/>
      <c r="FJ119" s="230"/>
      <c r="FK119" s="230"/>
      <c r="FL119" s="230"/>
      <c r="FM119" s="230"/>
      <c r="FN119" s="230"/>
      <c r="FO119" s="230"/>
      <c r="FP119" s="230"/>
      <c r="FQ119" s="230"/>
      <c r="FR119" s="230"/>
      <c r="FS119" s="230"/>
      <c r="FT119" s="230"/>
      <c r="FU119" s="230"/>
      <c r="FV119" s="230"/>
      <c r="FW119" s="230"/>
      <c r="FX119" s="230"/>
      <c r="FY119" s="230"/>
      <c r="FZ119" s="230"/>
      <c r="GA119" s="230"/>
      <c r="GB119" s="230"/>
      <c r="GC119" s="230"/>
      <c r="GD119" s="230"/>
      <c r="GE119" s="230"/>
      <c r="GF119" s="230"/>
      <c r="GG119" s="230"/>
      <c r="GH119" s="230"/>
      <c r="GI119" s="230"/>
      <c r="GJ119" s="230"/>
      <c r="GK119" s="230"/>
      <c r="GL119" s="230"/>
      <c r="GM119" s="230"/>
      <c r="GN119" s="230"/>
      <c r="GO119" s="230"/>
      <c r="GP119" s="230"/>
      <c r="GQ119" s="230"/>
      <c r="GR119" s="230"/>
    </row>
    <row r="120" spans="1:200" s="632" customFormat="1" ht="22.5" outlineLevel="2" x14ac:dyDescent="0.2">
      <c r="A120" s="636" t="s">
        <v>6245</v>
      </c>
      <c r="B120" s="636" t="s">
        <v>123</v>
      </c>
      <c r="C120" s="597"/>
      <c r="D120" s="1536"/>
      <c r="E120" s="635"/>
      <c r="F120" s="635"/>
      <c r="G120" s="1517">
        <v>2</v>
      </c>
      <c r="H120" s="1517">
        <v>3</v>
      </c>
      <c r="I120" s="1517"/>
      <c r="J120" s="1517" t="s">
        <v>2329</v>
      </c>
      <c r="K120" s="1518"/>
      <c r="L120" s="1518"/>
      <c r="M120" s="635"/>
      <c r="N120" s="624"/>
      <c r="O120" s="624"/>
      <c r="P120" s="624"/>
      <c r="Q120" s="624"/>
      <c r="R120" s="624"/>
      <c r="S120" s="624"/>
      <c r="T120" s="624"/>
      <c r="U120" s="624"/>
      <c r="V120" s="624"/>
      <c r="W120" s="624"/>
      <c r="X120" s="624"/>
      <c r="Y120" s="624"/>
      <c r="Z120" s="624"/>
      <c r="AA120">
        <f>IF(AND('12 Ext'!C120&gt;Tmin, NOT('12 Ext'!$I120="")),'12 Ext'!$I120,0)</f>
        <v>0</v>
      </c>
      <c r="AB120">
        <f>IF(AND('12 Ext'!D120&gt;Tmin, NOT('12 Ext'!$I120="")),'12 Ext'!$I120,0)</f>
        <v>0</v>
      </c>
      <c r="AC120">
        <f>IF(AND('12 Ext'!E120&gt;Tmin, NOT('12 Ext'!$I120="")),'12 Ext'!$I120,0)</f>
        <v>0</v>
      </c>
      <c r="AD120">
        <f>IF(AND('12 Ext'!F120&gt;Tmin, NOT('12 Ext'!$I120="")),'12 Ext'!$I120,0)</f>
        <v>0</v>
      </c>
      <c r="AE120">
        <f>IF(AND('12 Ext'!C120&lt;Tmax, NOT('12 Ext'!$H120="")),'12 Ext'!$H120,4)</f>
        <v>3</v>
      </c>
      <c r="AF120">
        <f>IF(AND('12 Ext'!D120&lt;Tmax, NOT('12 Ext'!$H120="")),'12 Ext'!$H120,4)</f>
        <v>3</v>
      </c>
      <c r="AG120">
        <f>IF(AND('12 Ext'!E120&lt;Tmax, NOT('12 Ext'!$H120="")),'12 Ext'!$H120,4)</f>
        <v>3</v>
      </c>
      <c r="AH120">
        <f>IF(AND('12 Ext'!F120&lt;Tmax, NOT('12 Ext'!$H120="")),'12 Ext'!$H120,4)</f>
        <v>3</v>
      </c>
      <c r="AI120"/>
      <c r="AJ120" s="230"/>
      <c r="AK120" s="230"/>
      <c r="AL120" s="230"/>
      <c r="AM120" s="230"/>
      <c r="AN120" s="230"/>
      <c r="AO120" s="230"/>
      <c r="AP120" s="230"/>
      <c r="AQ120" s="230"/>
      <c r="AR120" s="230"/>
      <c r="AS120" s="230"/>
      <c r="AT120" s="230"/>
      <c r="AU120" s="230"/>
      <c r="AV120" s="230"/>
      <c r="AW120" s="230"/>
      <c r="AX120" s="230"/>
      <c r="AY120" s="230"/>
      <c r="AZ120" s="230"/>
      <c r="BA120" s="230"/>
      <c r="BB120" s="230"/>
      <c r="BC120" s="230"/>
      <c r="BD120" s="230"/>
      <c r="BE120" s="230"/>
      <c r="BF120" s="230"/>
      <c r="BG120" s="230"/>
      <c r="BH120" s="230"/>
      <c r="BI120" s="230"/>
      <c r="BJ120" s="230"/>
      <c r="BK120" s="230"/>
      <c r="BL120" s="230"/>
      <c r="BM120" s="230"/>
      <c r="BN120" s="230"/>
      <c r="BO120" s="230"/>
      <c r="BP120" s="230"/>
      <c r="BQ120" s="230"/>
      <c r="BR120" s="230"/>
      <c r="BS120" s="230"/>
      <c r="BT120" s="230"/>
      <c r="BU120" s="230"/>
      <c r="BV120" s="230"/>
      <c r="BW120" s="230"/>
      <c r="BX120" s="230"/>
      <c r="BY120" s="230"/>
      <c r="BZ120" s="230"/>
      <c r="CA120" s="230"/>
      <c r="CB120" s="230"/>
      <c r="CC120" s="230"/>
      <c r="CD120" s="230"/>
      <c r="CE120" s="230"/>
      <c r="CF120" s="230"/>
      <c r="CG120" s="230"/>
      <c r="CH120" s="230"/>
      <c r="CI120" s="230"/>
      <c r="CJ120" s="230"/>
      <c r="CK120" s="230"/>
      <c r="CL120" s="230"/>
      <c r="CM120" s="230"/>
      <c r="CN120" s="230"/>
      <c r="CO120" s="230"/>
      <c r="CP120" s="230"/>
      <c r="CQ120" s="230"/>
      <c r="CR120" s="230"/>
      <c r="CS120" s="230"/>
      <c r="CT120" s="230"/>
      <c r="CU120" s="230"/>
      <c r="CV120" s="230"/>
      <c r="CW120" s="230"/>
      <c r="CX120" s="230"/>
      <c r="CY120" s="230"/>
      <c r="CZ120" s="230"/>
      <c r="DA120" s="230"/>
      <c r="DB120" s="230"/>
      <c r="DC120" s="230"/>
      <c r="DD120" s="230"/>
      <c r="DE120" s="230"/>
      <c r="DF120" s="230"/>
      <c r="DG120" s="230"/>
      <c r="DH120" s="230"/>
      <c r="DI120" s="230"/>
      <c r="DJ120" s="230"/>
      <c r="DK120" s="230"/>
      <c r="DL120" s="230"/>
      <c r="DM120" s="230"/>
      <c r="DN120" s="230"/>
      <c r="DO120" s="230"/>
      <c r="DP120" s="230"/>
      <c r="DQ120" s="230"/>
      <c r="DR120" s="230"/>
      <c r="DS120" s="230"/>
      <c r="DT120" s="230"/>
      <c r="DU120" s="230"/>
      <c r="DV120" s="230"/>
      <c r="DW120" s="230"/>
      <c r="DX120" s="230"/>
      <c r="DY120" s="230"/>
      <c r="DZ120" s="230"/>
      <c r="EA120" s="230"/>
      <c r="EB120" s="230"/>
      <c r="EC120" s="230"/>
      <c r="ED120" s="230"/>
      <c r="EE120" s="230"/>
      <c r="EF120" s="230"/>
      <c r="EG120" s="230"/>
      <c r="EH120" s="230"/>
      <c r="EI120" s="230"/>
      <c r="EJ120" s="230"/>
      <c r="EK120" s="230"/>
      <c r="EL120" s="230"/>
      <c r="EM120" s="230"/>
      <c r="EN120" s="230"/>
      <c r="EO120" s="230"/>
      <c r="EP120" s="230"/>
      <c r="EQ120" s="230"/>
      <c r="ER120" s="230"/>
      <c r="ES120" s="230"/>
      <c r="ET120" s="230"/>
      <c r="EU120" s="230"/>
      <c r="EV120" s="230"/>
      <c r="EW120" s="230"/>
      <c r="EX120" s="230"/>
      <c r="EY120" s="230"/>
      <c r="EZ120" s="230"/>
      <c r="FA120" s="230"/>
      <c r="FB120" s="230"/>
      <c r="FC120" s="230"/>
      <c r="FD120" s="230"/>
      <c r="FE120" s="230"/>
      <c r="FF120" s="230"/>
      <c r="FG120" s="230"/>
      <c r="FH120" s="230"/>
      <c r="FI120" s="230"/>
      <c r="FJ120" s="230"/>
      <c r="FK120" s="230"/>
      <c r="FL120" s="230"/>
      <c r="FM120" s="230"/>
      <c r="FN120" s="230"/>
      <c r="FO120" s="230"/>
      <c r="FP120" s="230"/>
      <c r="FQ120" s="230"/>
      <c r="FR120" s="230"/>
      <c r="FS120" s="230"/>
      <c r="FT120" s="230"/>
      <c r="FU120" s="230"/>
      <c r="FV120" s="230"/>
      <c r="FW120" s="230"/>
      <c r="FX120" s="230"/>
      <c r="FY120" s="230"/>
      <c r="FZ120" s="230"/>
      <c r="GA120" s="230"/>
      <c r="GB120" s="230"/>
      <c r="GC120" s="230"/>
      <c r="GD120" s="230"/>
      <c r="GE120" s="230"/>
      <c r="GF120" s="230"/>
      <c r="GG120" s="230"/>
      <c r="GH120" s="230"/>
      <c r="GI120" s="230"/>
      <c r="GJ120" s="230"/>
      <c r="GK120" s="230"/>
      <c r="GL120" s="230"/>
      <c r="GM120" s="230"/>
      <c r="GN120" s="230"/>
      <c r="GO120" s="230"/>
      <c r="GP120" s="230"/>
      <c r="GQ120" s="230"/>
      <c r="GR120" s="230"/>
    </row>
    <row r="121" spans="1:200" s="632" customFormat="1" outlineLevel="2" x14ac:dyDescent="0.2">
      <c r="A121" s="636" t="s">
        <v>6246</v>
      </c>
      <c r="B121" s="636" t="s">
        <v>124</v>
      </c>
      <c r="C121" s="597"/>
      <c r="D121" s="1536"/>
      <c r="E121" s="635"/>
      <c r="F121" s="635"/>
      <c r="G121" s="1517">
        <v>2</v>
      </c>
      <c r="H121" s="1517">
        <v>3</v>
      </c>
      <c r="I121" s="1517"/>
      <c r="J121" s="1517" t="s">
        <v>2109</v>
      </c>
      <c r="K121" s="1518"/>
      <c r="L121" s="1518"/>
      <c r="M121" s="635"/>
      <c r="N121" s="624"/>
      <c r="O121" s="624"/>
      <c r="P121" s="624"/>
      <c r="Q121" s="624"/>
      <c r="R121" s="624"/>
      <c r="S121" s="624"/>
      <c r="T121" s="624"/>
      <c r="U121" s="624"/>
      <c r="V121" s="624"/>
      <c r="W121" s="624"/>
      <c r="X121" s="624"/>
      <c r="Y121" s="624"/>
      <c r="Z121" s="624"/>
      <c r="AA121">
        <f>IF(AND('12 Ext'!C121&gt;Tmin, NOT('12 Ext'!$I121="")),'12 Ext'!$I121,0)</f>
        <v>0</v>
      </c>
      <c r="AB121">
        <f>IF(AND('12 Ext'!D121&gt;Tmin, NOT('12 Ext'!$I121="")),'12 Ext'!$I121,0)</f>
        <v>0</v>
      </c>
      <c r="AC121">
        <f>IF(AND('12 Ext'!E121&gt;Tmin, NOT('12 Ext'!$I121="")),'12 Ext'!$I121,0)</f>
        <v>0</v>
      </c>
      <c r="AD121">
        <f>IF(AND('12 Ext'!F121&gt;Tmin, NOT('12 Ext'!$I121="")),'12 Ext'!$I121,0)</f>
        <v>0</v>
      </c>
      <c r="AE121">
        <f>IF(AND('12 Ext'!C121&lt;Tmax, NOT('12 Ext'!$H121="")),'12 Ext'!$H121,4)</f>
        <v>3</v>
      </c>
      <c r="AF121">
        <f>IF(AND('12 Ext'!D121&lt;Tmax, NOT('12 Ext'!$H121="")),'12 Ext'!$H121,4)</f>
        <v>3</v>
      </c>
      <c r="AG121">
        <f>IF(AND('12 Ext'!E121&lt;Tmax, NOT('12 Ext'!$H121="")),'12 Ext'!$H121,4)</f>
        <v>3</v>
      </c>
      <c r="AH121">
        <f>IF(AND('12 Ext'!F121&lt;Tmax, NOT('12 Ext'!$H121="")),'12 Ext'!$H121,4)</f>
        <v>3</v>
      </c>
      <c r="AI121"/>
      <c r="AJ121" s="230"/>
      <c r="AK121" s="230"/>
      <c r="AL121" s="230"/>
      <c r="AM121" s="230"/>
      <c r="AN121" s="230"/>
      <c r="AO121" s="230"/>
      <c r="AP121" s="230"/>
      <c r="AQ121" s="230"/>
      <c r="AR121" s="230"/>
      <c r="AS121" s="230"/>
      <c r="AT121" s="230"/>
      <c r="AU121" s="230"/>
      <c r="AV121" s="230"/>
      <c r="AW121" s="230"/>
      <c r="AX121" s="230"/>
      <c r="AY121" s="230"/>
      <c r="AZ121" s="230"/>
      <c r="BA121" s="230"/>
      <c r="BB121" s="230"/>
      <c r="BC121" s="230"/>
      <c r="BD121" s="230"/>
      <c r="BE121" s="230"/>
      <c r="BF121" s="230"/>
      <c r="BG121" s="230"/>
      <c r="BH121" s="230"/>
      <c r="BI121" s="230"/>
      <c r="BJ121" s="230"/>
      <c r="BK121" s="230"/>
      <c r="BL121" s="230"/>
      <c r="BM121" s="230"/>
      <c r="BN121" s="230"/>
      <c r="BO121" s="230"/>
      <c r="BP121" s="230"/>
      <c r="BQ121" s="230"/>
      <c r="BR121" s="230"/>
      <c r="BS121" s="230"/>
      <c r="BT121" s="230"/>
      <c r="BU121" s="230"/>
      <c r="BV121" s="230"/>
      <c r="BW121" s="230"/>
      <c r="BX121" s="230"/>
      <c r="BY121" s="230"/>
      <c r="BZ121" s="230"/>
      <c r="CA121" s="230"/>
      <c r="CB121" s="230"/>
      <c r="CC121" s="230"/>
      <c r="CD121" s="230"/>
      <c r="CE121" s="230"/>
      <c r="CF121" s="230"/>
      <c r="CG121" s="230"/>
      <c r="CH121" s="230"/>
      <c r="CI121" s="230"/>
      <c r="CJ121" s="230"/>
      <c r="CK121" s="230"/>
      <c r="CL121" s="230"/>
      <c r="CM121" s="230"/>
      <c r="CN121" s="230"/>
      <c r="CO121" s="230"/>
      <c r="CP121" s="230"/>
      <c r="CQ121" s="230"/>
      <c r="CR121" s="230"/>
      <c r="CS121" s="230"/>
      <c r="CT121" s="230"/>
      <c r="CU121" s="230"/>
      <c r="CV121" s="230"/>
      <c r="CW121" s="230"/>
      <c r="CX121" s="230"/>
      <c r="CY121" s="230"/>
      <c r="CZ121" s="230"/>
      <c r="DA121" s="230"/>
      <c r="DB121" s="230"/>
      <c r="DC121" s="230"/>
      <c r="DD121" s="230"/>
      <c r="DE121" s="230"/>
      <c r="DF121" s="230"/>
      <c r="DG121" s="230"/>
      <c r="DH121" s="230"/>
      <c r="DI121" s="230"/>
      <c r="DJ121" s="230"/>
      <c r="DK121" s="230"/>
      <c r="DL121" s="230"/>
      <c r="DM121" s="230"/>
      <c r="DN121" s="230"/>
      <c r="DO121" s="230"/>
      <c r="DP121" s="230"/>
      <c r="DQ121" s="230"/>
      <c r="DR121" s="230"/>
      <c r="DS121" s="230"/>
      <c r="DT121" s="230"/>
      <c r="DU121" s="230"/>
      <c r="DV121" s="230"/>
      <c r="DW121" s="230"/>
      <c r="DX121" s="230"/>
      <c r="DY121" s="230"/>
      <c r="DZ121" s="230"/>
      <c r="EA121" s="230"/>
      <c r="EB121" s="230"/>
      <c r="EC121" s="230"/>
      <c r="ED121" s="230"/>
      <c r="EE121" s="230"/>
      <c r="EF121" s="230"/>
      <c r="EG121" s="230"/>
      <c r="EH121" s="230"/>
      <c r="EI121" s="230"/>
      <c r="EJ121" s="230"/>
      <c r="EK121" s="230"/>
      <c r="EL121" s="230"/>
      <c r="EM121" s="230"/>
      <c r="EN121" s="230"/>
      <c r="EO121" s="230"/>
      <c r="EP121" s="230"/>
      <c r="EQ121" s="230"/>
      <c r="ER121" s="230"/>
      <c r="ES121" s="230"/>
      <c r="ET121" s="230"/>
      <c r="EU121" s="230"/>
      <c r="EV121" s="230"/>
      <c r="EW121" s="230"/>
      <c r="EX121" s="230"/>
      <c r="EY121" s="230"/>
      <c r="EZ121" s="230"/>
      <c r="FA121" s="230"/>
      <c r="FB121" s="230"/>
      <c r="FC121" s="230"/>
      <c r="FD121" s="230"/>
      <c r="FE121" s="230"/>
      <c r="FF121" s="230"/>
      <c r="FG121" s="230"/>
      <c r="FH121" s="230"/>
      <c r="FI121" s="230"/>
      <c r="FJ121" s="230"/>
      <c r="FK121" s="230"/>
      <c r="FL121" s="230"/>
      <c r="FM121" s="230"/>
      <c r="FN121" s="230"/>
      <c r="FO121" s="230"/>
      <c r="FP121" s="230"/>
      <c r="FQ121" s="230"/>
      <c r="FR121" s="230"/>
      <c r="FS121" s="230"/>
      <c r="FT121" s="230"/>
      <c r="FU121" s="230"/>
      <c r="FV121" s="230"/>
      <c r="FW121" s="230"/>
      <c r="FX121" s="230"/>
      <c r="FY121" s="230"/>
      <c r="FZ121" s="230"/>
      <c r="GA121" s="230"/>
      <c r="GB121" s="230"/>
      <c r="GC121" s="230"/>
      <c r="GD121" s="230"/>
      <c r="GE121" s="230"/>
      <c r="GF121" s="230"/>
      <c r="GG121" s="230"/>
      <c r="GH121" s="230"/>
      <c r="GI121" s="230"/>
      <c r="GJ121" s="230"/>
      <c r="GK121" s="230"/>
      <c r="GL121" s="230"/>
      <c r="GM121" s="230"/>
      <c r="GN121" s="230"/>
      <c r="GO121" s="230"/>
      <c r="GP121" s="230"/>
      <c r="GQ121" s="230"/>
      <c r="GR121" s="230"/>
    </row>
    <row r="122" spans="1:200" s="632" customFormat="1" outlineLevel="2" x14ac:dyDescent="0.2">
      <c r="A122" s="636" t="s">
        <v>6247</v>
      </c>
      <c r="B122" s="636" t="s">
        <v>3768</v>
      </c>
      <c r="C122" s="597"/>
      <c r="D122" s="1536"/>
      <c r="E122" s="635"/>
      <c r="F122" s="635"/>
      <c r="G122" s="1517">
        <v>2</v>
      </c>
      <c r="H122" s="1517">
        <v>3</v>
      </c>
      <c r="I122" s="1517"/>
      <c r="J122" s="1517" t="s">
        <v>2109</v>
      </c>
      <c r="K122" s="1518"/>
      <c r="L122" s="1518"/>
      <c r="M122" s="635"/>
      <c r="N122" s="624"/>
      <c r="O122" s="624"/>
      <c r="P122" s="624"/>
      <c r="Q122" s="624"/>
      <c r="R122" s="624"/>
      <c r="S122" s="624"/>
      <c r="T122" s="624"/>
      <c r="U122" s="624"/>
      <c r="V122" s="624"/>
      <c r="W122" s="624"/>
      <c r="X122" s="624"/>
      <c r="Y122" s="624"/>
      <c r="Z122" s="624"/>
      <c r="AA122">
        <f>IF(AND('12 Ext'!C122&gt;Tmin, NOT('12 Ext'!$I122="")),'12 Ext'!$I122,0)</f>
        <v>0</v>
      </c>
      <c r="AB122">
        <f>IF(AND('12 Ext'!D122&gt;Tmin, NOT('12 Ext'!$I122="")),'12 Ext'!$I122,0)</f>
        <v>0</v>
      </c>
      <c r="AC122">
        <f>IF(AND('12 Ext'!E122&gt;Tmin, NOT('12 Ext'!$I122="")),'12 Ext'!$I122,0)</f>
        <v>0</v>
      </c>
      <c r="AD122">
        <f>IF(AND('12 Ext'!F122&gt;Tmin, NOT('12 Ext'!$I122="")),'12 Ext'!$I122,0)</f>
        <v>0</v>
      </c>
      <c r="AE122">
        <f>IF(AND('12 Ext'!C122&lt;Tmax, NOT('12 Ext'!$H122="")),'12 Ext'!$H122,4)</f>
        <v>3</v>
      </c>
      <c r="AF122">
        <f>IF(AND('12 Ext'!D122&lt;Tmax, NOT('12 Ext'!$H122="")),'12 Ext'!$H122,4)</f>
        <v>3</v>
      </c>
      <c r="AG122">
        <f>IF(AND('12 Ext'!E122&lt;Tmax, NOT('12 Ext'!$H122="")),'12 Ext'!$H122,4)</f>
        <v>3</v>
      </c>
      <c r="AH122">
        <f>IF(AND('12 Ext'!F122&lt;Tmax, NOT('12 Ext'!$H122="")),'12 Ext'!$H122,4)</f>
        <v>3</v>
      </c>
      <c r="AI122"/>
      <c r="AJ122" s="230"/>
      <c r="AK122" s="230"/>
      <c r="AL122" s="230"/>
      <c r="AM122" s="230"/>
      <c r="AN122" s="230"/>
      <c r="AO122" s="230"/>
      <c r="AP122" s="230"/>
      <c r="AQ122" s="230"/>
      <c r="AR122" s="230"/>
      <c r="AS122" s="230"/>
      <c r="AT122" s="230"/>
      <c r="AU122" s="230"/>
      <c r="AV122" s="230"/>
      <c r="AW122" s="230"/>
      <c r="AX122" s="230"/>
      <c r="AY122" s="230"/>
      <c r="AZ122" s="230"/>
      <c r="BA122" s="230"/>
      <c r="BB122" s="230"/>
      <c r="BC122" s="230"/>
      <c r="BD122" s="230"/>
      <c r="BE122" s="230"/>
      <c r="BF122" s="230"/>
      <c r="BG122" s="230"/>
      <c r="BH122" s="230"/>
      <c r="BI122" s="230"/>
      <c r="BJ122" s="230"/>
      <c r="BK122" s="230"/>
      <c r="BL122" s="230"/>
      <c r="BM122" s="230"/>
      <c r="BN122" s="230"/>
      <c r="BO122" s="230"/>
      <c r="BP122" s="230"/>
      <c r="BQ122" s="230"/>
      <c r="BR122" s="230"/>
      <c r="BS122" s="230"/>
      <c r="BT122" s="230"/>
      <c r="BU122" s="230"/>
      <c r="BV122" s="230"/>
      <c r="BW122" s="230"/>
      <c r="BX122" s="230"/>
      <c r="BY122" s="230"/>
      <c r="BZ122" s="230"/>
      <c r="CA122" s="230"/>
      <c r="CB122" s="230"/>
      <c r="CC122" s="230"/>
      <c r="CD122" s="230"/>
      <c r="CE122" s="230"/>
      <c r="CF122" s="230"/>
      <c r="CG122" s="230"/>
      <c r="CH122" s="230"/>
      <c r="CI122" s="230"/>
      <c r="CJ122" s="230"/>
      <c r="CK122" s="230"/>
      <c r="CL122" s="230"/>
      <c r="CM122" s="230"/>
      <c r="CN122" s="230"/>
      <c r="CO122" s="230"/>
      <c r="CP122" s="230"/>
      <c r="CQ122" s="230"/>
      <c r="CR122" s="230"/>
      <c r="CS122" s="230"/>
      <c r="CT122" s="230"/>
      <c r="CU122" s="230"/>
      <c r="CV122" s="230"/>
      <c r="CW122" s="230"/>
      <c r="CX122" s="230"/>
      <c r="CY122" s="230"/>
      <c r="CZ122" s="230"/>
      <c r="DA122" s="230"/>
      <c r="DB122" s="230"/>
      <c r="DC122" s="230"/>
      <c r="DD122" s="230"/>
      <c r="DE122" s="230"/>
      <c r="DF122" s="230"/>
      <c r="DG122" s="230"/>
      <c r="DH122" s="230"/>
      <c r="DI122" s="230"/>
      <c r="DJ122" s="230"/>
      <c r="DK122" s="230"/>
      <c r="DL122" s="230"/>
      <c r="DM122" s="230"/>
      <c r="DN122" s="230"/>
      <c r="DO122" s="230"/>
      <c r="DP122" s="230"/>
      <c r="DQ122" s="230"/>
      <c r="DR122" s="230"/>
      <c r="DS122" s="230"/>
      <c r="DT122" s="230"/>
      <c r="DU122" s="230"/>
      <c r="DV122" s="230"/>
      <c r="DW122" s="230"/>
      <c r="DX122" s="230"/>
      <c r="DY122" s="230"/>
      <c r="DZ122" s="230"/>
      <c r="EA122" s="230"/>
      <c r="EB122" s="230"/>
      <c r="EC122" s="230"/>
      <c r="ED122" s="230"/>
      <c r="EE122" s="230"/>
      <c r="EF122" s="230"/>
      <c r="EG122" s="230"/>
      <c r="EH122" s="230"/>
      <c r="EI122" s="230"/>
      <c r="EJ122" s="230"/>
      <c r="EK122" s="230"/>
      <c r="EL122" s="230"/>
      <c r="EM122" s="230"/>
      <c r="EN122" s="230"/>
      <c r="EO122" s="230"/>
      <c r="EP122" s="230"/>
      <c r="EQ122" s="230"/>
      <c r="ER122" s="230"/>
      <c r="ES122" s="230"/>
      <c r="ET122" s="230"/>
      <c r="EU122" s="230"/>
      <c r="EV122" s="230"/>
      <c r="EW122" s="230"/>
      <c r="EX122" s="230"/>
      <c r="EY122" s="230"/>
      <c r="EZ122" s="230"/>
      <c r="FA122" s="230"/>
      <c r="FB122" s="230"/>
      <c r="FC122" s="230"/>
      <c r="FD122" s="230"/>
      <c r="FE122" s="230"/>
      <c r="FF122" s="230"/>
      <c r="FG122" s="230"/>
      <c r="FH122" s="230"/>
      <c r="FI122" s="230"/>
      <c r="FJ122" s="230"/>
      <c r="FK122" s="230"/>
      <c r="FL122" s="230"/>
      <c r="FM122" s="230"/>
      <c r="FN122" s="230"/>
      <c r="FO122" s="230"/>
      <c r="FP122" s="230"/>
      <c r="FQ122" s="230"/>
      <c r="FR122" s="230"/>
      <c r="FS122" s="230"/>
      <c r="FT122" s="230"/>
      <c r="FU122" s="230"/>
      <c r="FV122" s="230"/>
      <c r="FW122" s="230"/>
      <c r="FX122" s="230"/>
      <c r="FY122" s="230"/>
      <c r="FZ122" s="230"/>
      <c r="GA122" s="230"/>
      <c r="GB122" s="230"/>
      <c r="GC122" s="230"/>
      <c r="GD122" s="230"/>
      <c r="GE122" s="230"/>
      <c r="GF122" s="230"/>
      <c r="GG122" s="230"/>
      <c r="GH122" s="230"/>
      <c r="GI122" s="230"/>
      <c r="GJ122" s="230"/>
      <c r="GK122" s="230"/>
      <c r="GL122" s="230"/>
      <c r="GM122" s="230"/>
      <c r="GN122" s="230"/>
      <c r="GO122" s="230"/>
      <c r="GP122" s="230"/>
      <c r="GQ122" s="230"/>
      <c r="GR122" s="230"/>
    </row>
    <row r="123" spans="1:200" s="632" customFormat="1" outlineLevel="1" x14ac:dyDescent="0.2">
      <c r="A123" s="633" t="s">
        <v>6248</v>
      </c>
      <c r="B123" s="634" t="s">
        <v>4076</v>
      </c>
      <c r="C123" s="597"/>
      <c r="D123" s="1536"/>
      <c r="E123" s="635"/>
      <c r="F123" s="635"/>
      <c r="G123" s="1517"/>
      <c r="H123" s="1517"/>
      <c r="I123" s="1517"/>
      <c r="J123" s="1517"/>
      <c r="K123" s="1518"/>
      <c r="L123" s="1518"/>
      <c r="M123" s="635"/>
      <c r="N123" s="624"/>
      <c r="O123" s="624"/>
      <c r="P123" s="624"/>
      <c r="Q123" s="624"/>
      <c r="R123" s="624"/>
      <c r="S123" s="624"/>
      <c r="T123" s="624"/>
      <c r="U123" s="624"/>
      <c r="V123" s="624"/>
      <c r="W123" s="624"/>
      <c r="X123" s="624"/>
      <c r="Y123" s="624"/>
      <c r="Z123" s="624"/>
      <c r="AA123"/>
      <c r="AB123"/>
      <c r="AC123"/>
      <c r="AD123"/>
      <c r="AE123"/>
      <c r="AF123"/>
      <c r="AG123"/>
      <c r="AH123"/>
      <c r="AI123"/>
      <c r="AJ123" s="230"/>
      <c r="AK123" s="230"/>
      <c r="AL123" s="230"/>
      <c r="AM123" s="230"/>
      <c r="AN123" s="230"/>
      <c r="AO123" s="230"/>
      <c r="AP123" s="230"/>
      <c r="AQ123" s="230"/>
      <c r="AR123" s="230"/>
      <c r="AS123" s="230"/>
      <c r="AT123" s="230"/>
      <c r="AU123" s="230"/>
      <c r="AV123" s="230"/>
      <c r="AW123" s="230"/>
      <c r="AX123" s="230"/>
      <c r="AY123" s="230"/>
      <c r="AZ123" s="230"/>
      <c r="BA123" s="230"/>
      <c r="BB123" s="230"/>
      <c r="BC123" s="230"/>
      <c r="BD123" s="230"/>
      <c r="BE123" s="230"/>
      <c r="BF123" s="230"/>
      <c r="BG123" s="230"/>
      <c r="BH123" s="230"/>
      <c r="BI123" s="230"/>
      <c r="BJ123" s="230"/>
      <c r="BK123" s="230"/>
      <c r="BL123" s="230"/>
      <c r="BM123" s="230"/>
      <c r="BN123" s="230"/>
      <c r="BO123" s="230"/>
      <c r="BP123" s="230"/>
      <c r="BQ123" s="230"/>
      <c r="BR123" s="230"/>
      <c r="BS123" s="230"/>
      <c r="BT123" s="230"/>
      <c r="BU123" s="230"/>
      <c r="BV123" s="230"/>
      <c r="BW123" s="230"/>
      <c r="BX123" s="230"/>
      <c r="BY123" s="230"/>
      <c r="BZ123" s="230"/>
      <c r="CA123" s="230"/>
      <c r="CB123" s="230"/>
      <c r="CC123" s="230"/>
      <c r="CD123" s="230"/>
      <c r="CE123" s="230"/>
      <c r="CF123" s="230"/>
      <c r="CG123" s="230"/>
      <c r="CH123" s="230"/>
      <c r="CI123" s="230"/>
      <c r="CJ123" s="230"/>
      <c r="CK123" s="230"/>
      <c r="CL123" s="230"/>
      <c r="CM123" s="230"/>
      <c r="CN123" s="230"/>
      <c r="CO123" s="230"/>
      <c r="CP123" s="230"/>
      <c r="CQ123" s="230"/>
      <c r="CR123" s="230"/>
      <c r="CS123" s="230"/>
      <c r="CT123" s="230"/>
      <c r="CU123" s="230"/>
      <c r="CV123" s="230"/>
      <c r="CW123" s="230"/>
      <c r="CX123" s="230"/>
      <c r="CY123" s="230"/>
      <c r="CZ123" s="230"/>
      <c r="DA123" s="230"/>
      <c r="DB123" s="230"/>
      <c r="DC123" s="230"/>
      <c r="DD123" s="230"/>
      <c r="DE123" s="230"/>
      <c r="DF123" s="230"/>
      <c r="DG123" s="230"/>
      <c r="DH123" s="230"/>
      <c r="DI123" s="230"/>
      <c r="DJ123" s="230"/>
      <c r="DK123" s="230"/>
      <c r="DL123" s="230"/>
      <c r="DM123" s="230"/>
      <c r="DN123" s="230"/>
      <c r="DO123" s="230"/>
      <c r="DP123" s="230"/>
      <c r="DQ123" s="230"/>
      <c r="DR123" s="230"/>
      <c r="DS123" s="230"/>
      <c r="DT123" s="230"/>
      <c r="DU123" s="230"/>
      <c r="DV123" s="230"/>
      <c r="DW123" s="230"/>
      <c r="DX123" s="230"/>
      <c r="DY123" s="230"/>
      <c r="DZ123" s="230"/>
      <c r="EA123" s="230"/>
      <c r="EB123" s="230"/>
      <c r="EC123" s="230"/>
      <c r="ED123" s="230"/>
      <c r="EE123" s="230"/>
      <c r="EF123" s="230"/>
      <c r="EG123" s="230"/>
      <c r="EH123" s="230"/>
      <c r="EI123" s="230"/>
      <c r="EJ123" s="230"/>
      <c r="EK123" s="230"/>
      <c r="EL123" s="230"/>
      <c r="EM123" s="230"/>
      <c r="EN123" s="230"/>
      <c r="EO123" s="230"/>
      <c r="EP123" s="230"/>
      <c r="EQ123" s="230"/>
      <c r="ER123" s="230"/>
      <c r="ES123" s="230"/>
      <c r="ET123" s="230"/>
      <c r="EU123" s="230"/>
      <c r="EV123" s="230"/>
      <c r="EW123" s="230"/>
      <c r="EX123" s="230"/>
      <c r="EY123" s="230"/>
      <c r="EZ123" s="230"/>
      <c r="FA123" s="230"/>
      <c r="FB123" s="230"/>
      <c r="FC123" s="230"/>
      <c r="FD123" s="230"/>
      <c r="FE123" s="230"/>
      <c r="FF123" s="230"/>
      <c r="FG123" s="230"/>
      <c r="FH123" s="230"/>
      <c r="FI123" s="230"/>
      <c r="FJ123" s="230"/>
      <c r="FK123" s="230"/>
      <c r="FL123" s="230"/>
      <c r="FM123" s="230"/>
      <c r="FN123" s="230"/>
      <c r="FO123" s="230"/>
      <c r="FP123" s="230"/>
      <c r="FQ123" s="230"/>
      <c r="FR123" s="230"/>
      <c r="FS123" s="230"/>
      <c r="FT123" s="230"/>
      <c r="FU123" s="230"/>
      <c r="FV123" s="230"/>
      <c r="FW123" s="230"/>
      <c r="FX123" s="230"/>
      <c r="FY123" s="230"/>
      <c r="FZ123" s="230"/>
      <c r="GA123" s="230"/>
      <c r="GB123" s="230"/>
      <c r="GC123" s="230"/>
      <c r="GD123" s="230"/>
      <c r="GE123" s="230"/>
      <c r="GF123" s="230"/>
      <c r="GG123" s="230"/>
      <c r="GH123" s="230"/>
      <c r="GI123" s="230"/>
      <c r="GJ123" s="230"/>
      <c r="GK123" s="230"/>
      <c r="GL123" s="230"/>
      <c r="GM123" s="230"/>
      <c r="GN123" s="230"/>
      <c r="GO123" s="230"/>
      <c r="GP123" s="230"/>
      <c r="GQ123" s="230"/>
      <c r="GR123" s="230"/>
    </row>
    <row r="124" spans="1:200" s="632" customFormat="1" ht="33.75" outlineLevel="2" x14ac:dyDescent="0.2">
      <c r="A124" s="636" t="s">
        <v>6249</v>
      </c>
      <c r="B124" s="636" t="s">
        <v>6775</v>
      </c>
      <c r="C124" s="597"/>
      <c r="D124" s="1536"/>
      <c r="E124" s="635"/>
      <c r="F124" s="635"/>
      <c r="G124" s="1517">
        <v>2</v>
      </c>
      <c r="H124" s="1517"/>
      <c r="I124" s="1517"/>
      <c r="J124" s="1517" t="s">
        <v>1592</v>
      </c>
      <c r="K124" s="1518"/>
      <c r="L124" s="1518"/>
      <c r="M124" s="635"/>
      <c r="N124" s="624"/>
      <c r="O124" s="624"/>
      <c r="P124" s="624"/>
      <c r="Q124" s="624"/>
      <c r="R124" s="624"/>
      <c r="S124" s="624"/>
      <c r="T124" s="624"/>
      <c r="U124" s="624"/>
      <c r="V124" s="624"/>
      <c r="W124" s="624"/>
      <c r="X124" s="624"/>
      <c r="Y124" s="624"/>
      <c r="Z124" s="624"/>
      <c r="AA124">
        <f>IF(AND('12 Ext'!C124&gt;Tmin, NOT('12 Ext'!$I124="")),'12 Ext'!$I124,0)</f>
        <v>0</v>
      </c>
      <c r="AB124">
        <f>IF(AND('12 Ext'!D124&gt;Tmin, NOT('12 Ext'!$I124="")),'12 Ext'!$I124,0)</f>
        <v>0</v>
      </c>
      <c r="AC124">
        <f>IF(AND('12 Ext'!E124&gt;Tmin, NOT('12 Ext'!$I124="")),'12 Ext'!$I124,0)</f>
        <v>0</v>
      </c>
      <c r="AD124">
        <f>IF(AND('12 Ext'!F124&gt;Tmin, NOT('12 Ext'!$I124="")),'12 Ext'!$I124,0)</f>
        <v>0</v>
      </c>
      <c r="AE124">
        <f>IF(AND('12 Ext'!C124&lt;Tmax, NOT('12 Ext'!$H124="")),'12 Ext'!$H124,4)</f>
        <v>4</v>
      </c>
      <c r="AF124">
        <f>IF(AND('12 Ext'!D124&lt;Tmax, NOT('12 Ext'!$H124="")),'12 Ext'!$H124,4)</f>
        <v>4</v>
      </c>
      <c r="AG124">
        <f>IF(AND('12 Ext'!E124&lt;Tmax, NOT('12 Ext'!$H124="")),'12 Ext'!$H124,4)</f>
        <v>4</v>
      </c>
      <c r="AH124">
        <f>IF(AND('12 Ext'!F124&lt;Tmax, NOT('12 Ext'!$H124="")),'12 Ext'!$H124,4)</f>
        <v>4</v>
      </c>
      <c r="AI124"/>
      <c r="AJ124" s="230"/>
      <c r="AK124" s="230"/>
      <c r="AL124" s="230"/>
      <c r="AM124" s="230"/>
      <c r="AN124" s="230"/>
      <c r="AO124" s="230"/>
      <c r="AP124" s="230"/>
      <c r="AQ124" s="230"/>
      <c r="AR124" s="230"/>
      <c r="AS124" s="230"/>
      <c r="AT124" s="230"/>
      <c r="AU124" s="230"/>
      <c r="AV124" s="230"/>
      <c r="AW124" s="230"/>
      <c r="AX124" s="230"/>
      <c r="AY124" s="230"/>
      <c r="AZ124" s="230"/>
      <c r="BA124" s="230"/>
      <c r="BB124" s="230"/>
      <c r="BC124" s="230"/>
      <c r="BD124" s="230"/>
      <c r="BE124" s="230"/>
      <c r="BF124" s="230"/>
      <c r="BG124" s="230"/>
      <c r="BH124" s="230"/>
      <c r="BI124" s="230"/>
      <c r="BJ124" s="230"/>
      <c r="BK124" s="230"/>
      <c r="BL124" s="230"/>
      <c r="BM124" s="230"/>
      <c r="BN124" s="230"/>
      <c r="BO124" s="230"/>
      <c r="BP124" s="230"/>
      <c r="BQ124" s="230"/>
      <c r="BR124" s="230"/>
      <c r="BS124" s="230"/>
      <c r="BT124" s="230"/>
      <c r="BU124" s="230"/>
      <c r="BV124" s="230"/>
      <c r="BW124" s="230"/>
      <c r="BX124" s="230"/>
      <c r="BY124" s="230"/>
      <c r="BZ124" s="230"/>
      <c r="CA124" s="230"/>
      <c r="CB124" s="230"/>
      <c r="CC124" s="230"/>
      <c r="CD124" s="230"/>
      <c r="CE124" s="230"/>
      <c r="CF124" s="230"/>
      <c r="CG124" s="230"/>
      <c r="CH124" s="230"/>
      <c r="CI124" s="230"/>
      <c r="CJ124" s="230"/>
      <c r="CK124" s="230"/>
      <c r="CL124" s="230"/>
      <c r="CM124" s="230"/>
      <c r="CN124" s="230"/>
      <c r="CO124" s="230"/>
      <c r="CP124" s="230"/>
      <c r="CQ124" s="230"/>
      <c r="CR124" s="230"/>
      <c r="CS124" s="230"/>
      <c r="CT124" s="230"/>
      <c r="CU124" s="230"/>
      <c r="CV124" s="230"/>
      <c r="CW124" s="230"/>
      <c r="CX124" s="230"/>
      <c r="CY124" s="230"/>
      <c r="CZ124" s="230"/>
      <c r="DA124" s="230"/>
      <c r="DB124" s="230"/>
      <c r="DC124" s="230"/>
      <c r="DD124" s="230"/>
      <c r="DE124" s="230"/>
      <c r="DF124" s="230"/>
      <c r="DG124" s="230"/>
      <c r="DH124" s="230"/>
      <c r="DI124" s="230"/>
      <c r="DJ124" s="230"/>
      <c r="DK124" s="230"/>
      <c r="DL124" s="230"/>
      <c r="DM124" s="230"/>
      <c r="DN124" s="230"/>
      <c r="DO124" s="230"/>
      <c r="DP124" s="230"/>
      <c r="DQ124" s="230"/>
      <c r="DR124" s="230"/>
      <c r="DS124" s="230"/>
      <c r="DT124" s="230"/>
      <c r="DU124" s="230"/>
      <c r="DV124" s="230"/>
      <c r="DW124" s="230"/>
      <c r="DX124" s="230"/>
      <c r="DY124" s="230"/>
      <c r="DZ124" s="230"/>
      <c r="EA124" s="230"/>
      <c r="EB124" s="230"/>
      <c r="EC124" s="230"/>
      <c r="ED124" s="230"/>
      <c r="EE124" s="230"/>
      <c r="EF124" s="230"/>
      <c r="EG124" s="230"/>
      <c r="EH124" s="230"/>
      <c r="EI124" s="230"/>
      <c r="EJ124" s="230"/>
      <c r="EK124" s="230"/>
      <c r="EL124" s="230"/>
      <c r="EM124" s="230"/>
      <c r="EN124" s="230"/>
      <c r="EO124" s="230"/>
      <c r="EP124" s="230"/>
      <c r="EQ124" s="230"/>
      <c r="ER124" s="230"/>
      <c r="ES124" s="230"/>
      <c r="ET124" s="230"/>
      <c r="EU124" s="230"/>
      <c r="EV124" s="230"/>
      <c r="EW124" s="230"/>
      <c r="EX124" s="230"/>
      <c r="EY124" s="230"/>
      <c r="EZ124" s="230"/>
      <c r="FA124" s="230"/>
      <c r="FB124" s="230"/>
      <c r="FC124" s="230"/>
      <c r="FD124" s="230"/>
      <c r="FE124" s="230"/>
      <c r="FF124" s="230"/>
      <c r="FG124" s="230"/>
      <c r="FH124" s="230"/>
      <c r="FI124" s="230"/>
      <c r="FJ124" s="230"/>
      <c r="FK124" s="230"/>
      <c r="FL124" s="230"/>
      <c r="FM124" s="230"/>
      <c r="FN124" s="230"/>
      <c r="FO124" s="230"/>
      <c r="FP124" s="230"/>
      <c r="FQ124" s="230"/>
      <c r="FR124" s="230"/>
      <c r="FS124" s="230"/>
      <c r="FT124" s="230"/>
      <c r="FU124" s="230"/>
      <c r="FV124" s="230"/>
      <c r="FW124" s="230"/>
      <c r="FX124" s="230"/>
      <c r="FY124" s="230"/>
      <c r="FZ124" s="230"/>
      <c r="GA124" s="230"/>
      <c r="GB124" s="230"/>
      <c r="GC124" s="230"/>
      <c r="GD124" s="230"/>
      <c r="GE124" s="230"/>
      <c r="GF124" s="230"/>
      <c r="GG124" s="230"/>
      <c r="GH124" s="230"/>
      <c r="GI124" s="230"/>
      <c r="GJ124" s="230"/>
      <c r="GK124" s="230"/>
      <c r="GL124" s="230"/>
      <c r="GM124" s="230"/>
      <c r="GN124" s="230"/>
      <c r="GO124" s="230"/>
      <c r="GP124" s="230"/>
      <c r="GQ124" s="230"/>
      <c r="GR124" s="230"/>
    </row>
    <row r="125" spans="1:200" s="632" customFormat="1" ht="27" customHeight="1" outlineLevel="2" x14ac:dyDescent="0.2">
      <c r="A125" s="636" t="s">
        <v>6170</v>
      </c>
      <c r="B125" s="636" t="s">
        <v>4079</v>
      </c>
      <c r="C125" s="597"/>
      <c r="D125" s="1536"/>
      <c r="E125" s="635"/>
      <c r="F125" s="635"/>
      <c r="G125" s="1517">
        <v>2</v>
      </c>
      <c r="H125" s="1517"/>
      <c r="I125" s="1517"/>
      <c r="J125" s="1517" t="s">
        <v>1592</v>
      </c>
      <c r="K125" s="1518"/>
      <c r="L125" s="1518"/>
      <c r="M125" s="635"/>
      <c r="N125" s="624"/>
      <c r="O125" s="624"/>
      <c r="P125" s="624"/>
      <c r="Q125" s="624"/>
      <c r="R125" s="624"/>
      <c r="S125" s="624"/>
      <c r="T125" s="624"/>
      <c r="U125" s="624"/>
      <c r="V125" s="624"/>
      <c r="W125" s="624"/>
      <c r="X125" s="624"/>
      <c r="Y125" s="624"/>
      <c r="Z125" s="624"/>
      <c r="AA125">
        <f>IF(AND('12 Ext'!C125&gt;Tmin, NOT('12 Ext'!$I125="")),'12 Ext'!$I125,0)</f>
        <v>0</v>
      </c>
      <c r="AB125">
        <f>IF(AND('12 Ext'!D125&gt;Tmin, NOT('12 Ext'!$I125="")),'12 Ext'!$I125,0)</f>
        <v>0</v>
      </c>
      <c r="AC125">
        <f>IF(AND('12 Ext'!E125&gt;Tmin, NOT('12 Ext'!$I125="")),'12 Ext'!$I125,0)</f>
        <v>0</v>
      </c>
      <c r="AD125">
        <f>IF(AND('12 Ext'!F125&gt;Tmin, NOT('12 Ext'!$I125="")),'12 Ext'!$I125,0)</f>
        <v>0</v>
      </c>
      <c r="AE125">
        <f>IF(AND('12 Ext'!C125&lt;Tmax, NOT('12 Ext'!$H125="")),'12 Ext'!$H125,4)</f>
        <v>4</v>
      </c>
      <c r="AF125">
        <f>IF(AND('12 Ext'!D125&lt;Tmax, NOT('12 Ext'!$H125="")),'12 Ext'!$H125,4)</f>
        <v>4</v>
      </c>
      <c r="AG125">
        <f>IF(AND('12 Ext'!E125&lt;Tmax, NOT('12 Ext'!$H125="")),'12 Ext'!$H125,4)</f>
        <v>4</v>
      </c>
      <c r="AH125">
        <f>IF(AND('12 Ext'!F125&lt;Tmax, NOT('12 Ext'!$H125="")),'12 Ext'!$H125,4)</f>
        <v>4</v>
      </c>
      <c r="AI125"/>
      <c r="AJ125" s="230"/>
      <c r="AK125" s="230"/>
      <c r="AL125" s="230"/>
      <c r="AM125" s="230"/>
      <c r="AN125" s="230"/>
      <c r="AO125" s="230"/>
      <c r="AP125" s="230"/>
      <c r="AQ125" s="230"/>
      <c r="AR125" s="230"/>
      <c r="AS125" s="230"/>
      <c r="AT125" s="230"/>
      <c r="AU125" s="230"/>
      <c r="AV125" s="230"/>
      <c r="AW125" s="230"/>
      <c r="AX125" s="230"/>
      <c r="AY125" s="230"/>
      <c r="AZ125" s="230"/>
      <c r="BA125" s="230"/>
      <c r="BB125" s="230"/>
      <c r="BC125" s="230"/>
      <c r="BD125" s="230"/>
      <c r="BE125" s="230"/>
      <c r="BF125" s="230"/>
      <c r="BG125" s="230"/>
      <c r="BH125" s="230"/>
      <c r="BI125" s="230"/>
      <c r="BJ125" s="230"/>
      <c r="BK125" s="230"/>
      <c r="BL125" s="230"/>
      <c r="BM125" s="230"/>
      <c r="BN125" s="230"/>
      <c r="BO125" s="230"/>
      <c r="BP125" s="230"/>
      <c r="BQ125" s="230"/>
      <c r="BR125" s="230"/>
      <c r="BS125" s="230"/>
      <c r="BT125" s="230"/>
      <c r="BU125" s="230"/>
      <c r="BV125" s="230"/>
      <c r="BW125" s="230"/>
      <c r="BX125" s="230"/>
      <c r="BY125" s="230"/>
      <c r="BZ125" s="230"/>
      <c r="CA125" s="230"/>
      <c r="CB125" s="230"/>
      <c r="CC125" s="230"/>
      <c r="CD125" s="230"/>
      <c r="CE125" s="230"/>
      <c r="CF125" s="230"/>
      <c r="CG125" s="230"/>
      <c r="CH125" s="230"/>
      <c r="CI125" s="230"/>
      <c r="CJ125" s="230"/>
      <c r="CK125" s="230"/>
      <c r="CL125" s="230"/>
      <c r="CM125" s="230"/>
      <c r="CN125" s="230"/>
      <c r="CO125" s="230"/>
      <c r="CP125" s="230"/>
      <c r="CQ125" s="230"/>
      <c r="CR125" s="230"/>
      <c r="CS125" s="230"/>
      <c r="CT125" s="230"/>
      <c r="CU125" s="230"/>
      <c r="CV125" s="230"/>
      <c r="CW125" s="230"/>
      <c r="CX125" s="230"/>
      <c r="CY125" s="230"/>
      <c r="CZ125" s="230"/>
      <c r="DA125" s="230"/>
      <c r="DB125" s="230"/>
      <c r="DC125" s="230"/>
      <c r="DD125" s="230"/>
      <c r="DE125" s="230"/>
      <c r="DF125" s="230"/>
      <c r="DG125" s="230"/>
      <c r="DH125" s="230"/>
      <c r="DI125" s="230"/>
      <c r="DJ125" s="230"/>
      <c r="DK125" s="230"/>
      <c r="DL125" s="230"/>
      <c r="DM125" s="230"/>
      <c r="DN125" s="230"/>
      <c r="DO125" s="230"/>
      <c r="DP125" s="230"/>
      <c r="DQ125" s="230"/>
      <c r="DR125" s="230"/>
      <c r="DS125" s="230"/>
      <c r="DT125" s="230"/>
      <c r="DU125" s="230"/>
      <c r="DV125" s="230"/>
      <c r="DW125" s="230"/>
      <c r="DX125" s="230"/>
      <c r="DY125" s="230"/>
      <c r="DZ125" s="230"/>
      <c r="EA125" s="230"/>
      <c r="EB125" s="230"/>
      <c r="EC125" s="230"/>
      <c r="ED125" s="230"/>
      <c r="EE125" s="230"/>
      <c r="EF125" s="230"/>
      <c r="EG125" s="230"/>
      <c r="EH125" s="230"/>
      <c r="EI125" s="230"/>
      <c r="EJ125" s="230"/>
      <c r="EK125" s="230"/>
      <c r="EL125" s="230"/>
      <c r="EM125" s="230"/>
      <c r="EN125" s="230"/>
      <c r="EO125" s="230"/>
      <c r="EP125" s="230"/>
      <c r="EQ125" s="230"/>
      <c r="ER125" s="230"/>
      <c r="ES125" s="230"/>
      <c r="ET125" s="230"/>
      <c r="EU125" s="230"/>
      <c r="EV125" s="230"/>
      <c r="EW125" s="230"/>
      <c r="EX125" s="230"/>
      <c r="EY125" s="230"/>
      <c r="EZ125" s="230"/>
      <c r="FA125" s="230"/>
      <c r="FB125" s="230"/>
      <c r="FC125" s="230"/>
      <c r="FD125" s="230"/>
      <c r="FE125" s="230"/>
      <c r="FF125" s="230"/>
      <c r="FG125" s="230"/>
      <c r="FH125" s="230"/>
      <c r="FI125" s="230"/>
      <c r="FJ125" s="230"/>
      <c r="FK125" s="230"/>
      <c r="FL125" s="230"/>
      <c r="FM125" s="230"/>
      <c r="FN125" s="230"/>
      <c r="FO125" s="230"/>
      <c r="FP125" s="230"/>
      <c r="FQ125" s="230"/>
      <c r="FR125" s="230"/>
      <c r="FS125" s="230"/>
      <c r="FT125" s="230"/>
      <c r="FU125" s="230"/>
      <c r="FV125" s="230"/>
      <c r="FW125" s="230"/>
      <c r="FX125" s="230"/>
      <c r="FY125" s="230"/>
      <c r="FZ125" s="230"/>
      <c r="GA125" s="230"/>
      <c r="GB125" s="230"/>
      <c r="GC125" s="230"/>
      <c r="GD125" s="230"/>
      <c r="GE125" s="230"/>
      <c r="GF125" s="230"/>
      <c r="GG125" s="230"/>
      <c r="GH125" s="230"/>
      <c r="GI125" s="230"/>
      <c r="GJ125" s="230"/>
      <c r="GK125" s="230"/>
      <c r="GL125" s="230"/>
      <c r="GM125" s="230"/>
      <c r="GN125" s="230"/>
      <c r="GO125" s="230"/>
      <c r="GP125" s="230"/>
      <c r="GQ125" s="230"/>
      <c r="GR125" s="230"/>
    </row>
    <row r="126" spans="1:200" s="632" customFormat="1" ht="22.5" outlineLevel="2" x14ac:dyDescent="0.2">
      <c r="A126" s="636" t="s">
        <v>6171</v>
      </c>
      <c r="B126" s="636" t="s">
        <v>6609</v>
      </c>
      <c r="C126" s="597"/>
      <c r="D126" s="1536"/>
      <c r="E126" s="635"/>
      <c r="F126" s="635"/>
      <c r="G126" s="1517">
        <v>2</v>
      </c>
      <c r="H126" s="1517">
        <v>2</v>
      </c>
      <c r="I126" s="1517"/>
      <c r="J126" s="1517" t="s">
        <v>1592</v>
      </c>
      <c r="K126" s="1518"/>
      <c r="L126" s="1518"/>
      <c r="M126" s="635"/>
      <c r="N126" s="624"/>
      <c r="O126" s="624"/>
      <c r="P126" s="624"/>
      <c r="Q126" s="624"/>
      <c r="R126" s="624"/>
      <c r="S126" s="624"/>
      <c r="T126" s="624"/>
      <c r="U126" s="624"/>
      <c r="V126" s="624"/>
      <c r="W126" s="624"/>
      <c r="X126" s="624"/>
      <c r="Y126" s="624"/>
      <c r="Z126" s="624"/>
      <c r="AA126">
        <f>IF(AND('12 Ext'!C126&gt;Tmin, NOT('12 Ext'!$I126="")),'12 Ext'!$I126,0)</f>
        <v>0</v>
      </c>
      <c r="AB126">
        <f>IF(AND('12 Ext'!D126&gt;Tmin, NOT('12 Ext'!$I126="")),'12 Ext'!$I126,0)</f>
        <v>0</v>
      </c>
      <c r="AC126">
        <f>IF(AND('12 Ext'!E126&gt;Tmin, NOT('12 Ext'!$I126="")),'12 Ext'!$I126,0)</f>
        <v>0</v>
      </c>
      <c r="AD126">
        <f>IF(AND('12 Ext'!F126&gt;Tmin, NOT('12 Ext'!$I126="")),'12 Ext'!$I126,0)</f>
        <v>0</v>
      </c>
      <c r="AE126">
        <f>IF(AND('12 Ext'!C126&lt;Tmax, NOT('12 Ext'!$H126="")),'12 Ext'!$H126,4)</f>
        <v>2</v>
      </c>
      <c r="AF126">
        <f>IF(AND('12 Ext'!D126&lt;Tmax, NOT('12 Ext'!$H126="")),'12 Ext'!$H126,4)</f>
        <v>2</v>
      </c>
      <c r="AG126">
        <f>IF(AND('12 Ext'!E126&lt;Tmax, NOT('12 Ext'!$H126="")),'12 Ext'!$H126,4)</f>
        <v>2</v>
      </c>
      <c r="AH126">
        <f>IF(AND('12 Ext'!F126&lt;Tmax, NOT('12 Ext'!$H126="")),'12 Ext'!$H126,4)</f>
        <v>2</v>
      </c>
      <c r="AI126"/>
      <c r="AJ126" s="230"/>
      <c r="AK126" s="230"/>
      <c r="AL126" s="230"/>
      <c r="AM126" s="230"/>
      <c r="AN126" s="230"/>
      <c r="AO126" s="230"/>
      <c r="AP126" s="230"/>
      <c r="AQ126" s="230"/>
      <c r="AR126" s="230"/>
      <c r="AS126" s="230"/>
      <c r="AT126" s="230"/>
      <c r="AU126" s="230"/>
      <c r="AV126" s="230"/>
      <c r="AW126" s="230"/>
      <c r="AX126" s="230"/>
      <c r="AY126" s="230"/>
      <c r="AZ126" s="230"/>
      <c r="BA126" s="230"/>
      <c r="BB126" s="230"/>
      <c r="BC126" s="230"/>
      <c r="BD126" s="230"/>
      <c r="BE126" s="230"/>
      <c r="BF126" s="230"/>
      <c r="BG126" s="230"/>
      <c r="BH126" s="230"/>
      <c r="BI126" s="230"/>
      <c r="BJ126" s="230"/>
      <c r="BK126" s="230"/>
      <c r="BL126" s="230"/>
      <c r="BM126" s="230"/>
      <c r="BN126" s="230"/>
      <c r="BO126" s="230"/>
      <c r="BP126" s="230"/>
      <c r="BQ126" s="230"/>
      <c r="BR126" s="230"/>
      <c r="BS126" s="230"/>
      <c r="BT126" s="230"/>
      <c r="BU126" s="230"/>
      <c r="BV126" s="230"/>
      <c r="BW126" s="230"/>
      <c r="BX126" s="230"/>
      <c r="BY126" s="230"/>
      <c r="BZ126" s="230"/>
      <c r="CA126" s="230"/>
      <c r="CB126" s="230"/>
      <c r="CC126" s="230"/>
      <c r="CD126" s="230"/>
      <c r="CE126" s="230"/>
      <c r="CF126" s="230"/>
      <c r="CG126" s="230"/>
      <c r="CH126" s="230"/>
      <c r="CI126" s="230"/>
      <c r="CJ126" s="230"/>
      <c r="CK126" s="230"/>
      <c r="CL126" s="230"/>
      <c r="CM126" s="230"/>
      <c r="CN126" s="230"/>
      <c r="CO126" s="230"/>
      <c r="CP126" s="230"/>
      <c r="CQ126" s="230"/>
      <c r="CR126" s="230"/>
      <c r="CS126" s="230"/>
      <c r="CT126" s="230"/>
      <c r="CU126" s="230"/>
      <c r="CV126" s="230"/>
      <c r="CW126" s="230"/>
      <c r="CX126" s="230"/>
      <c r="CY126" s="230"/>
      <c r="CZ126" s="230"/>
      <c r="DA126" s="230"/>
      <c r="DB126" s="230"/>
      <c r="DC126" s="230"/>
      <c r="DD126" s="230"/>
      <c r="DE126" s="230"/>
      <c r="DF126" s="230"/>
      <c r="DG126" s="230"/>
      <c r="DH126" s="230"/>
      <c r="DI126" s="230"/>
      <c r="DJ126" s="230"/>
      <c r="DK126" s="230"/>
      <c r="DL126" s="230"/>
      <c r="DM126" s="230"/>
      <c r="DN126" s="230"/>
      <c r="DO126" s="230"/>
      <c r="DP126" s="230"/>
      <c r="DQ126" s="230"/>
      <c r="DR126" s="230"/>
      <c r="DS126" s="230"/>
      <c r="DT126" s="230"/>
      <c r="DU126" s="230"/>
      <c r="DV126" s="230"/>
      <c r="DW126" s="230"/>
      <c r="DX126" s="230"/>
      <c r="DY126" s="230"/>
      <c r="DZ126" s="230"/>
      <c r="EA126" s="230"/>
      <c r="EB126" s="230"/>
      <c r="EC126" s="230"/>
      <c r="ED126" s="230"/>
      <c r="EE126" s="230"/>
      <c r="EF126" s="230"/>
      <c r="EG126" s="230"/>
      <c r="EH126" s="230"/>
      <c r="EI126" s="230"/>
      <c r="EJ126" s="230"/>
      <c r="EK126" s="230"/>
      <c r="EL126" s="230"/>
      <c r="EM126" s="230"/>
      <c r="EN126" s="230"/>
      <c r="EO126" s="230"/>
      <c r="EP126" s="230"/>
      <c r="EQ126" s="230"/>
      <c r="ER126" s="230"/>
      <c r="ES126" s="230"/>
      <c r="ET126" s="230"/>
      <c r="EU126" s="230"/>
      <c r="EV126" s="230"/>
      <c r="EW126" s="230"/>
      <c r="EX126" s="230"/>
      <c r="EY126" s="230"/>
      <c r="EZ126" s="230"/>
      <c r="FA126" s="230"/>
      <c r="FB126" s="230"/>
      <c r="FC126" s="230"/>
      <c r="FD126" s="230"/>
      <c r="FE126" s="230"/>
      <c r="FF126" s="230"/>
      <c r="FG126" s="230"/>
      <c r="FH126" s="230"/>
      <c r="FI126" s="230"/>
      <c r="FJ126" s="230"/>
      <c r="FK126" s="230"/>
      <c r="FL126" s="230"/>
      <c r="FM126" s="230"/>
      <c r="FN126" s="230"/>
      <c r="FO126" s="230"/>
      <c r="FP126" s="230"/>
      <c r="FQ126" s="230"/>
      <c r="FR126" s="230"/>
      <c r="FS126" s="230"/>
      <c r="FT126" s="230"/>
      <c r="FU126" s="230"/>
      <c r="FV126" s="230"/>
      <c r="FW126" s="230"/>
      <c r="FX126" s="230"/>
      <c r="FY126" s="230"/>
      <c r="FZ126" s="230"/>
      <c r="GA126" s="230"/>
      <c r="GB126" s="230"/>
      <c r="GC126" s="230"/>
      <c r="GD126" s="230"/>
      <c r="GE126" s="230"/>
      <c r="GF126" s="230"/>
      <c r="GG126" s="230"/>
      <c r="GH126" s="230"/>
      <c r="GI126" s="230"/>
      <c r="GJ126" s="230"/>
      <c r="GK126" s="230"/>
      <c r="GL126" s="230"/>
      <c r="GM126" s="230"/>
      <c r="GN126" s="230"/>
      <c r="GO126" s="230"/>
      <c r="GP126" s="230"/>
      <c r="GQ126" s="230"/>
      <c r="GR126" s="230"/>
    </row>
    <row r="127" spans="1:200" s="632" customFormat="1" ht="12.75" customHeight="1" outlineLevel="2" x14ac:dyDescent="0.2">
      <c r="A127" s="636" t="s">
        <v>6172</v>
      </c>
      <c r="B127" s="636" t="s">
        <v>6610</v>
      </c>
      <c r="C127" s="597"/>
      <c r="D127" s="1536"/>
      <c r="E127" s="635"/>
      <c r="F127" s="635"/>
      <c r="G127" s="1517">
        <v>2</v>
      </c>
      <c r="H127" s="1517">
        <v>3</v>
      </c>
      <c r="I127" s="1517"/>
      <c r="J127" s="1517" t="s">
        <v>2329</v>
      </c>
      <c r="K127" s="1518"/>
      <c r="L127" s="1518"/>
      <c r="M127" s="635"/>
      <c r="N127" s="624"/>
      <c r="O127" s="624"/>
      <c r="P127" s="624"/>
      <c r="Q127" s="624"/>
      <c r="R127" s="624"/>
      <c r="S127" s="624"/>
      <c r="T127" s="624"/>
      <c r="U127" s="624"/>
      <c r="V127" s="624"/>
      <c r="W127" s="624"/>
      <c r="X127" s="624"/>
      <c r="Y127" s="624"/>
      <c r="Z127" s="624"/>
      <c r="AA127">
        <f>IF(AND('12 Ext'!C127&gt;Tmin, NOT('12 Ext'!$I127="")),'12 Ext'!$I127,0)</f>
        <v>0</v>
      </c>
      <c r="AB127">
        <f>IF(AND('12 Ext'!D127&gt;Tmin, NOT('12 Ext'!$I127="")),'12 Ext'!$I127,0)</f>
        <v>0</v>
      </c>
      <c r="AC127">
        <f>IF(AND('12 Ext'!E127&gt;Tmin, NOT('12 Ext'!$I127="")),'12 Ext'!$I127,0)</f>
        <v>0</v>
      </c>
      <c r="AD127">
        <f>IF(AND('12 Ext'!F127&gt;Tmin, NOT('12 Ext'!$I127="")),'12 Ext'!$I127,0)</f>
        <v>0</v>
      </c>
      <c r="AE127">
        <f>IF(AND('12 Ext'!C127&lt;Tmax, NOT('12 Ext'!$H127="")),'12 Ext'!$H127,4)</f>
        <v>3</v>
      </c>
      <c r="AF127">
        <f>IF(AND('12 Ext'!D127&lt;Tmax, NOT('12 Ext'!$H127="")),'12 Ext'!$H127,4)</f>
        <v>3</v>
      </c>
      <c r="AG127">
        <f>IF(AND('12 Ext'!E127&lt;Tmax, NOT('12 Ext'!$H127="")),'12 Ext'!$H127,4)</f>
        <v>3</v>
      </c>
      <c r="AH127">
        <f>IF(AND('12 Ext'!F127&lt;Tmax, NOT('12 Ext'!$H127="")),'12 Ext'!$H127,4)</f>
        <v>3</v>
      </c>
      <c r="AI127"/>
      <c r="AJ127" s="230"/>
      <c r="AK127" s="230"/>
      <c r="AL127" s="230"/>
      <c r="AM127" s="230"/>
      <c r="AN127" s="230"/>
      <c r="AO127" s="230"/>
      <c r="AP127" s="230"/>
      <c r="AQ127" s="230"/>
      <c r="AR127" s="230"/>
      <c r="AS127" s="230"/>
      <c r="AT127" s="230"/>
      <c r="AU127" s="230"/>
      <c r="AV127" s="230"/>
      <c r="AW127" s="230"/>
      <c r="AX127" s="230"/>
      <c r="AY127" s="230"/>
      <c r="AZ127" s="230"/>
      <c r="BA127" s="230"/>
      <c r="BB127" s="230"/>
      <c r="BC127" s="230"/>
      <c r="BD127" s="230"/>
      <c r="BE127" s="230"/>
      <c r="BF127" s="230"/>
      <c r="BG127" s="230"/>
      <c r="BH127" s="230"/>
      <c r="BI127" s="230"/>
      <c r="BJ127" s="230"/>
      <c r="BK127" s="230"/>
      <c r="BL127" s="230"/>
      <c r="BM127" s="230"/>
      <c r="BN127" s="230"/>
      <c r="BO127" s="230"/>
      <c r="BP127" s="230"/>
      <c r="BQ127" s="230"/>
      <c r="BR127" s="230"/>
      <c r="BS127" s="230"/>
      <c r="BT127" s="230"/>
      <c r="BU127" s="230"/>
      <c r="BV127" s="230"/>
      <c r="BW127" s="230"/>
      <c r="BX127" s="230"/>
      <c r="BY127" s="230"/>
      <c r="BZ127" s="230"/>
      <c r="CA127" s="230"/>
      <c r="CB127" s="230"/>
      <c r="CC127" s="230"/>
      <c r="CD127" s="230"/>
      <c r="CE127" s="230"/>
      <c r="CF127" s="230"/>
      <c r="CG127" s="230"/>
      <c r="CH127" s="230"/>
      <c r="CI127" s="230"/>
      <c r="CJ127" s="230"/>
      <c r="CK127" s="230"/>
      <c r="CL127" s="230"/>
      <c r="CM127" s="230"/>
      <c r="CN127" s="230"/>
      <c r="CO127" s="230"/>
      <c r="CP127" s="230"/>
      <c r="CQ127" s="230"/>
      <c r="CR127" s="230"/>
      <c r="CS127" s="230"/>
      <c r="CT127" s="230"/>
      <c r="CU127" s="230"/>
      <c r="CV127" s="230"/>
      <c r="CW127" s="230"/>
      <c r="CX127" s="230"/>
      <c r="CY127" s="230"/>
      <c r="CZ127" s="230"/>
      <c r="DA127" s="230"/>
      <c r="DB127" s="230"/>
      <c r="DC127" s="230"/>
      <c r="DD127" s="230"/>
      <c r="DE127" s="230"/>
      <c r="DF127" s="230"/>
      <c r="DG127" s="230"/>
      <c r="DH127" s="230"/>
      <c r="DI127" s="230"/>
      <c r="DJ127" s="230"/>
      <c r="DK127" s="230"/>
      <c r="DL127" s="230"/>
      <c r="DM127" s="230"/>
      <c r="DN127" s="230"/>
      <c r="DO127" s="230"/>
      <c r="DP127" s="230"/>
      <c r="DQ127" s="230"/>
      <c r="DR127" s="230"/>
      <c r="DS127" s="230"/>
      <c r="DT127" s="230"/>
      <c r="DU127" s="230"/>
      <c r="DV127" s="230"/>
      <c r="DW127" s="230"/>
      <c r="DX127" s="230"/>
      <c r="DY127" s="230"/>
      <c r="DZ127" s="230"/>
      <c r="EA127" s="230"/>
      <c r="EB127" s="230"/>
      <c r="EC127" s="230"/>
      <c r="ED127" s="230"/>
      <c r="EE127" s="230"/>
      <c r="EF127" s="230"/>
      <c r="EG127" s="230"/>
      <c r="EH127" s="230"/>
      <c r="EI127" s="230"/>
      <c r="EJ127" s="230"/>
      <c r="EK127" s="230"/>
      <c r="EL127" s="230"/>
      <c r="EM127" s="230"/>
      <c r="EN127" s="230"/>
      <c r="EO127" s="230"/>
      <c r="EP127" s="230"/>
      <c r="EQ127" s="230"/>
      <c r="ER127" s="230"/>
      <c r="ES127" s="230"/>
      <c r="ET127" s="230"/>
      <c r="EU127" s="230"/>
      <c r="EV127" s="230"/>
      <c r="EW127" s="230"/>
      <c r="EX127" s="230"/>
      <c r="EY127" s="230"/>
      <c r="EZ127" s="230"/>
      <c r="FA127" s="230"/>
      <c r="FB127" s="230"/>
      <c r="FC127" s="230"/>
      <c r="FD127" s="230"/>
      <c r="FE127" s="230"/>
      <c r="FF127" s="230"/>
      <c r="FG127" s="230"/>
      <c r="FH127" s="230"/>
      <c r="FI127" s="230"/>
      <c r="FJ127" s="230"/>
      <c r="FK127" s="230"/>
      <c r="FL127" s="230"/>
      <c r="FM127" s="230"/>
      <c r="FN127" s="230"/>
      <c r="FO127" s="230"/>
      <c r="FP127" s="230"/>
      <c r="FQ127" s="230"/>
      <c r="FR127" s="230"/>
      <c r="FS127" s="230"/>
      <c r="FT127" s="230"/>
      <c r="FU127" s="230"/>
      <c r="FV127" s="230"/>
      <c r="FW127" s="230"/>
      <c r="FX127" s="230"/>
      <c r="FY127" s="230"/>
      <c r="FZ127" s="230"/>
      <c r="GA127" s="230"/>
      <c r="GB127" s="230"/>
      <c r="GC127" s="230"/>
      <c r="GD127" s="230"/>
      <c r="GE127" s="230"/>
      <c r="GF127" s="230"/>
      <c r="GG127" s="230"/>
      <c r="GH127" s="230"/>
      <c r="GI127" s="230"/>
      <c r="GJ127" s="230"/>
      <c r="GK127" s="230"/>
      <c r="GL127" s="230"/>
      <c r="GM127" s="230"/>
      <c r="GN127" s="230"/>
      <c r="GO127" s="230"/>
      <c r="GP127" s="230"/>
      <c r="GQ127" s="230"/>
      <c r="GR127" s="230"/>
    </row>
    <row r="128" spans="1:200" s="632" customFormat="1" outlineLevel="2" x14ac:dyDescent="0.2">
      <c r="A128" s="636" t="s">
        <v>6173</v>
      </c>
      <c r="B128" s="636" t="s">
        <v>4083</v>
      </c>
      <c r="C128" s="597"/>
      <c r="D128" s="1536"/>
      <c r="E128" s="635"/>
      <c r="F128" s="635"/>
      <c r="G128" s="1517">
        <v>2</v>
      </c>
      <c r="H128" s="1517">
        <v>3</v>
      </c>
      <c r="I128" s="1517"/>
      <c r="J128" s="1517" t="s">
        <v>2109</v>
      </c>
      <c r="K128" s="1518"/>
      <c r="L128" s="1518"/>
      <c r="M128" s="635"/>
      <c r="N128" s="624"/>
      <c r="O128" s="624"/>
      <c r="P128" s="624"/>
      <c r="Q128" s="624"/>
      <c r="R128" s="624"/>
      <c r="S128" s="624"/>
      <c r="T128" s="624"/>
      <c r="U128" s="624"/>
      <c r="V128" s="624"/>
      <c r="W128" s="624"/>
      <c r="X128" s="624"/>
      <c r="Y128" s="624"/>
      <c r="Z128" s="624"/>
      <c r="AA128">
        <f>IF(AND('12 Ext'!C128&gt;Tmin, NOT('12 Ext'!$I128="")),'12 Ext'!$I128,0)</f>
        <v>0</v>
      </c>
      <c r="AB128">
        <f>IF(AND('12 Ext'!D128&gt;Tmin, NOT('12 Ext'!$I128="")),'12 Ext'!$I128,0)</f>
        <v>0</v>
      </c>
      <c r="AC128">
        <f>IF(AND('12 Ext'!E128&gt;Tmin, NOT('12 Ext'!$I128="")),'12 Ext'!$I128,0)</f>
        <v>0</v>
      </c>
      <c r="AD128">
        <f>IF(AND('12 Ext'!F128&gt;Tmin, NOT('12 Ext'!$I128="")),'12 Ext'!$I128,0)</f>
        <v>0</v>
      </c>
      <c r="AE128">
        <f>IF(AND('12 Ext'!C128&lt;Tmax, NOT('12 Ext'!$H128="")),'12 Ext'!$H128,4)</f>
        <v>3</v>
      </c>
      <c r="AF128">
        <f>IF(AND('12 Ext'!D128&lt;Tmax, NOT('12 Ext'!$H128="")),'12 Ext'!$H128,4)</f>
        <v>3</v>
      </c>
      <c r="AG128">
        <f>IF(AND('12 Ext'!E128&lt;Tmax, NOT('12 Ext'!$H128="")),'12 Ext'!$H128,4)</f>
        <v>3</v>
      </c>
      <c r="AH128">
        <f>IF(AND('12 Ext'!F128&lt;Tmax, NOT('12 Ext'!$H128="")),'12 Ext'!$H128,4)</f>
        <v>3</v>
      </c>
      <c r="AI128"/>
      <c r="AJ128" s="230"/>
      <c r="AK128" s="230"/>
      <c r="AL128" s="230"/>
      <c r="AM128" s="230"/>
      <c r="AN128" s="230"/>
      <c r="AO128" s="230"/>
      <c r="AP128" s="230"/>
      <c r="AQ128" s="230"/>
      <c r="AR128" s="230"/>
      <c r="AS128" s="230"/>
      <c r="AT128" s="230"/>
      <c r="AU128" s="230"/>
      <c r="AV128" s="230"/>
      <c r="AW128" s="230"/>
      <c r="AX128" s="230"/>
      <c r="AY128" s="230"/>
      <c r="AZ128" s="230"/>
      <c r="BA128" s="230"/>
      <c r="BB128" s="230"/>
      <c r="BC128" s="230"/>
      <c r="BD128" s="230"/>
      <c r="BE128" s="230"/>
      <c r="BF128" s="230"/>
      <c r="BG128" s="230"/>
      <c r="BH128" s="230"/>
      <c r="BI128" s="230"/>
      <c r="BJ128" s="230"/>
      <c r="BK128" s="230"/>
      <c r="BL128" s="230"/>
      <c r="BM128" s="230"/>
      <c r="BN128" s="230"/>
      <c r="BO128" s="230"/>
      <c r="BP128" s="230"/>
      <c r="BQ128" s="230"/>
      <c r="BR128" s="230"/>
      <c r="BS128" s="230"/>
      <c r="BT128" s="230"/>
      <c r="BU128" s="230"/>
      <c r="BV128" s="230"/>
      <c r="BW128" s="230"/>
      <c r="BX128" s="230"/>
      <c r="BY128" s="230"/>
      <c r="BZ128" s="230"/>
      <c r="CA128" s="230"/>
      <c r="CB128" s="230"/>
      <c r="CC128" s="230"/>
      <c r="CD128" s="230"/>
      <c r="CE128" s="230"/>
      <c r="CF128" s="230"/>
      <c r="CG128" s="230"/>
      <c r="CH128" s="230"/>
      <c r="CI128" s="230"/>
      <c r="CJ128" s="230"/>
      <c r="CK128" s="230"/>
      <c r="CL128" s="230"/>
      <c r="CM128" s="230"/>
      <c r="CN128" s="230"/>
      <c r="CO128" s="230"/>
      <c r="CP128" s="230"/>
      <c r="CQ128" s="230"/>
      <c r="CR128" s="230"/>
      <c r="CS128" s="230"/>
      <c r="CT128" s="230"/>
      <c r="CU128" s="230"/>
      <c r="CV128" s="230"/>
      <c r="CW128" s="230"/>
      <c r="CX128" s="230"/>
      <c r="CY128" s="230"/>
      <c r="CZ128" s="230"/>
      <c r="DA128" s="230"/>
      <c r="DB128" s="230"/>
      <c r="DC128" s="230"/>
      <c r="DD128" s="230"/>
      <c r="DE128" s="230"/>
      <c r="DF128" s="230"/>
      <c r="DG128" s="230"/>
      <c r="DH128" s="230"/>
      <c r="DI128" s="230"/>
      <c r="DJ128" s="230"/>
      <c r="DK128" s="230"/>
      <c r="DL128" s="230"/>
      <c r="DM128" s="230"/>
      <c r="DN128" s="230"/>
      <c r="DO128" s="230"/>
      <c r="DP128" s="230"/>
      <c r="DQ128" s="230"/>
      <c r="DR128" s="230"/>
      <c r="DS128" s="230"/>
      <c r="DT128" s="230"/>
      <c r="DU128" s="230"/>
      <c r="DV128" s="230"/>
      <c r="DW128" s="230"/>
      <c r="DX128" s="230"/>
      <c r="DY128" s="230"/>
      <c r="DZ128" s="230"/>
      <c r="EA128" s="230"/>
      <c r="EB128" s="230"/>
      <c r="EC128" s="230"/>
      <c r="ED128" s="230"/>
      <c r="EE128" s="230"/>
      <c r="EF128" s="230"/>
      <c r="EG128" s="230"/>
      <c r="EH128" s="230"/>
      <c r="EI128" s="230"/>
      <c r="EJ128" s="230"/>
      <c r="EK128" s="230"/>
      <c r="EL128" s="230"/>
      <c r="EM128" s="230"/>
      <c r="EN128" s="230"/>
      <c r="EO128" s="230"/>
      <c r="EP128" s="230"/>
      <c r="EQ128" s="230"/>
      <c r="ER128" s="230"/>
      <c r="ES128" s="230"/>
      <c r="ET128" s="230"/>
      <c r="EU128" s="230"/>
      <c r="EV128" s="230"/>
      <c r="EW128" s="230"/>
      <c r="EX128" s="230"/>
      <c r="EY128" s="230"/>
      <c r="EZ128" s="230"/>
      <c r="FA128" s="230"/>
      <c r="FB128" s="230"/>
      <c r="FC128" s="230"/>
      <c r="FD128" s="230"/>
      <c r="FE128" s="230"/>
      <c r="FF128" s="230"/>
      <c r="FG128" s="230"/>
      <c r="FH128" s="230"/>
      <c r="FI128" s="230"/>
      <c r="FJ128" s="230"/>
      <c r="FK128" s="230"/>
      <c r="FL128" s="230"/>
      <c r="FM128" s="230"/>
      <c r="FN128" s="230"/>
      <c r="FO128" s="230"/>
      <c r="FP128" s="230"/>
      <c r="FQ128" s="230"/>
      <c r="FR128" s="230"/>
      <c r="FS128" s="230"/>
      <c r="FT128" s="230"/>
      <c r="FU128" s="230"/>
      <c r="FV128" s="230"/>
      <c r="FW128" s="230"/>
      <c r="FX128" s="230"/>
      <c r="FY128" s="230"/>
      <c r="FZ128" s="230"/>
      <c r="GA128" s="230"/>
      <c r="GB128" s="230"/>
      <c r="GC128" s="230"/>
      <c r="GD128" s="230"/>
      <c r="GE128" s="230"/>
      <c r="GF128" s="230"/>
      <c r="GG128" s="230"/>
      <c r="GH128" s="230"/>
      <c r="GI128" s="230"/>
      <c r="GJ128" s="230"/>
      <c r="GK128" s="230"/>
      <c r="GL128" s="230"/>
      <c r="GM128" s="230"/>
      <c r="GN128" s="230"/>
      <c r="GO128" s="230"/>
      <c r="GP128" s="230"/>
      <c r="GQ128" s="230"/>
      <c r="GR128" s="230"/>
    </row>
    <row r="129" spans="1:200" s="648" customFormat="1" x14ac:dyDescent="0.2">
      <c r="A129" s="644" t="s">
        <v>6445</v>
      </c>
      <c r="B129" s="644" t="s">
        <v>2028</v>
      </c>
      <c r="C129" s="597"/>
      <c r="D129" s="1536"/>
      <c r="E129" s="635"/>
      <c r="F129" s="635"/>
      <c r="G129" s="1515"/>
      <c r="H129" s="1515"/>
      <c r="I129" s="1515"/>
      <c r="J129" s="1515"/>
      <c r="K129" s="1516"/>
      <c r="L129" s="1516"/>
      <c r="M129" s="647"/>
      <c r="N129" s="599"/>
      <c r="O129" s="599"/>
      <c r="P129" s="599"/>
      <c r="Q129" s="599"/>
      <c r="R129" s="599"/>
      <c r="S129" s="599"/>
      <c r="T129" s="599"/>
      <c r="U129" s="599"/>
      <c r="V129" s="599"/>
      <c r="W129" s="599"/>
      <c r="X129" s="599"/>
      <c r="Y129" s="599"/>
      <c r="Z129" s="599"/>
      <c r="AA129"/>
      <c r="AB129"/>
      <c r="AC129"/>
      <c r="AD129"/>
      <c r="AE129"/>
      <c r="AF129"/>
      <c r="AG129"/>
      <c r="AH129"/>
      <c r="AI129"/>
      <c r="AJ129" s="600"/>
      <c r="AK129" s="600"/>
      <c r="AL129" s="600"/>
      <c r="AM129" s="600"/>
      <c r="AN129" s="600"/>
      <c r="AO129" s="600"/>
      <c r="AP129" s="600"/>
      <c r="AQ129" s="600"/>
      <c r="AR129" s="600"/>
      <c r="AS129" s="600"/>
      <c r="AT129" s="600"/>
      <c r="AU129" s="600"/>
      <c r="AV129" s="600"/>
      <c r="AW129" s="600"/>
      <c r="AX129" s="600"/>
      <c r="AY129" s="600"/>
      <c r="AZ129" s="600"/>
      <c r="BA129" s="600"/>
      <c r="BB129" s="600"/>
      <c r="BC129" s="600"/>
      <c r="BD129" s="600"/>
      <c r="BE129" s="600"/>
      <c r="BF129" s="600"/>
      <c r="BG129" s="600"/>
      <c r="BH129" s="600"/>
      <c r="BI129" s="600"/>
      <c r="BJ129" s="600"/>
      <c r="BK129" s="600"/>
      <c r="BL129" s="600"/>
      <c r="BM129" s="600"/>
      <c r="BN129" s="600"/>
      <c r="BO129" s="600"/>
      <c r="BP129" s="600"/>
      <c r="BQ129" s="600"/>
      <c r="BR129" s="600"/>
      <c r="BS129" s="600"/>
      <c r="BT129" s="600"/>
      <c r="BU129" s="600"/>
      <c r="BV129" s="600"/>
      <c r="BW129" s="600"/>
      <c r="BX129" s="600"/>
      <c r="BY129" s="600"/>
      <c r="BZ129" s="600"/>
      <c r="CA129" s="600"/>
      <c r="CB129" s="600"/>
      <c r="CC129" s="600"/>
      <c r="CD129" s="600"/>
      <c r="CE129" s="600"/>
      <c r="CF129" s="600"/>
      <c r="CG129" s="600"/>
      <c r="CH129" s="600"/>
      <c r="CI129" s="600"/>
      <c r="CJ129" s="600"/>
      <c r="CK129" s="600"/>
      <c r="CL129" s="600"/>
      <c r="CM129" s="600"/>
      <c r="CN129" s="600"/>
      <c r="CO129" s="600"/>
      <c r="CP129" s="600"/>
      <c r="CQ129" s="600"/>
      <c r="CR129" s="600"/>
      <c r="CS129" s="600"/>
      <c r="CT129" s="600"/>
      <c r="CU129" s="600"/>
      <c r="CV129" s="600"/>
      <c r="CW129" s="600"/>
      <c r="CX129" s="600"/>
      <c r="CY129" s="600"/>
      <c r="CZ129" s="600"/>
      <c r="DA129" s="600"/>
      <c r="DB129" s="600"/>
      <c r="DC129" s="600"/>
      <c r="DD129" s="600"/>
      <c r="DE129" s="600"/>
      <c r="DF129" s="600"/>
      <c r="DG129" s="600"/>
      <c r="DH129" s="600"/>
      <c r="DI129" s="600"/>
      <c r="DJ129" s="600"/>
      <c r="DK129" s="600"/>
      <c r="DL129" s="600"/>
      <c r="DM129" s="600"/>
      <c r="DN129" s="600"/>
      <c r="DO129" s="600"/>
      <c r="DP129" s="600"/>
      <c r="DQ129" s="600"/>
      <c r="DR129" s="600"/>
      <c r="DS129" s="600"/>
      <c r="DT129" s="600"/>
      <c r="DU129" s="600"/>
      <c r="DV129" s="600"/>
      <c r="DW129" s="600"/>
      <c r="DX129" s="600"/>
      <c r="DY129" s="600"/>
      <c r="DZ129" s="600"/>
      <c r="EA129" s="600"/>
      <c r="EB129" s="600"/>
      <c r="EC129" s="600"/>
      <c r="ED129" s="600"/>
      <c r="EE129" s="600"/>
      <c r="EF129" s="600"/>
      <c r="EG129" s="600"/>
      <c r="EH129" s="600"/>
      <c r="EI129" s="600"/>
      <c r="EJ129" s="600"/>
      <c r="EK129" s="600"/>
      <c r="EL129" s="600"/>
      <c r="EM129" s="600"/>
      <c r="EN129" s="600"/>
      <c r="EO129" s="600"/>
      <c r="EP129" s="600"/>
      <c r="EQ129" s="600"/>
      <c r="ER129" s="600"/>
      <c r="ES129" s="600"/>
      <c r="ET129" s="600"/>
      <c r="EU129" s="600"/>
      <c r="EV129" s="600"/>
      <c r="EW129" s="600"/>
      <c r="EX129" s="600"/>
      <c r="EY129" s="600"/>
      <c r="EZ129" s="600"/>
      <c r="FA129" s="600"/>
      <c r="FB129" s="600"/>
      <c r="FC129" s="600"/>
      <c r="FD129" s="600"/>
      <c r="FE129" s="600"/>
      <c r="FF129" s="600"/>
      <c r="FG129" s="600"/>
      <c r="FH129" s="600"/>
      <c r="FI129" s="600"/>
      <c r="FJ129" s="600"/>
      <c r="FK129" s="600"/>
      <c r="FL129" s="600"/>
      <c r="FM129" s="600"/>
      <c r="FN129" s="600"/>
      <c r="FO129" s="600"/>
      <c r="FP129" s="600"/>
      <c r="FQ129" s="600"/>
      <c r="FR129" s="600"/>
      <c r="FS129" s="600"/>
      <c r="FT129" s="600"/>
      <c r="FU129" s="600"/>
      <c r="FV129" s="600"/>
      <c r="FW129" s="600"/>
      <c r="FX129" s="600"/>
      <c r="FY129" s="600"/>
      <c r="FZ129" s="600"/>
      <c r="GA129" s="600"/>
      <c r="GB129" s="600"/>
      <c r="GC129" s="600"/>
      <c r="GD129" s="600"/>
      <c r="GE129" s="600"/>
      <c r="GF129" s="600"/>
      <c r="GG129" s="600"/>
      <c r="GH129" s="600"/>
      <c r="GI129" s="600"/>
      <c r="GJ129" s="600"/>
      <c r="GK129" s="600"/>
      <c r="GL129" s="600"/>
      <c r="GM129" s="600"/>
      <c r="GN129" s="600"/>
      <c r="GO129" s="600"/>
      <c r="GP129" s="600"/>
      <c r="GQ129" s="600"/>
      <c r="GR129" s="600"/>
    </row>
    <row r="130" spans="1:200" s="648" customFormat="1" outlineLevel="1" x14ac:dyDescent="0.2">
      <c r="A130" s="633" t="s">
        <v>2047</v>
      </c>
      <c r="B130" s="634" t="s">
        <v>2040</v>
      </c>
      <c r="C130" s="597"/>
      <c r="D130" s="1536"/>
      <c r="E130" s="635"/>
      <c r="F130" s="635"/>
      <c r="G130" s="1515"/>
      <c r="H130" s="1515"/>
      <c r="I130" s="1515"/>
      <c r="J130" s="1515"/>
      <c r="K130" s="1516"/>
      <c r="L130" s="1516"/>
      <c r="M130" s="647"/>
      <c r="N130" s="599"/>
      <c r="O130" s="599"/>
      <c r="P130" s="599"/>
      <c r="Q130" s="599"/>
      <c r="R130" s="599"/>
      <c r="S130" s="599"/>
      <c r="T130" s="599"/>
      <c r="U130" s="599"/>
      <c r="V130" s="599"/>
      <c r="W130" s="599"/>
      <c r="X130" s="599"/>
      <c r="Y130" s="599"/>
      <c r="Z130" s="599"/>
      <c r="AA130"/>
      <c r="AB130"/>
      <c r="AC130"/>
      <c r="AD130"/>
      <c r="AE130"/>
      <c r="AF130"/>
      <c r="AG130"/>
      <c r="AH130"/>
      <c r="AI130"/>
      <c r="AJ130" s="600"/>
      <c r="AK130" s="600"/>
      <c r="AL130" s="600"/>
      <c r="AM130" s="600"/>
      <c r="AN130" s="600"/>
      <c r="AO130" s="600"/>
      <c r="AP130" s="600"/>
      <c r="AQ130" s="600"/>
      <c r="AR130" s="600"/>
      <c r="AS130" s="600"/>
      <c r="AT130" s="600"/>
      <c r="AU130" s="600"/>
      <c r="AV130" s="600"/>
      <c r="AW130" s="600"/>
      <c r="AX130" s="600"/>
      <c r="AY130" s="600"/>
      <c r="AZ130" s="600"/>
      <c r="BA130" s="600"/>
      <c r="BB130" s="600"/>
      <c r="BC130" s="600"/>
      <c r="BD130" s="600"/>
      <c r="BE130" s="600"/>
      <c r="BF130" s="600"/>
      <c r="BG130" s="600"/>
      <c r="BH130" s="600"/>
      <c r="BI130" s="600"/>
      <c r="BJ130" s="600"/>
      <c r="BK130" s="600"/>
      <c r="BL130" s="600"/>
      <c r="BM130" s="600"/>
      <c r="BN130" s="600"/>
      <c r="BO130" s="600"/>
      <c r="BP130" s="600"/>
      <c r="BQ130" s="600"/>
      <c r="BR130" s="600"/>
      <c r="BS130" s="600"/>
      <c r="BT130" s="600"/>
      <c r="BU130" s="600"/>
      <c r="BV130" s="600"/>
      <c r="BW130" s="600"/>
      <c r="BX130" s="600"/>
      <c r="BY130" s="600"/>
      <c r="BZ130" s="600"/>
      <c r="CA130" s="600"/>
      <c r="CB130" s="600"/>
      <c r="CC130" s="600"/>
      <c r="CD130" s="600"/>
      <c r="CE130" s="600"/>
      <c r="CF130" s="600"/>
      <c r="CG130" s="600"/>
      <c r="CH130" s="600"/>
      <c r="CI130" s="600"/>
      <c r="CJ130" s="600"/>
      <c r="CK130" s="600"/>
      <c r="CL130" s="600"/>
      <c r="CM130" s="600"/>
      <c r="CN130" s="600"/>
      <c r="CO130" s="600"/>
      <c r="CP130" s="600"/>
      <c r="CQ130" s="600"/>
      <c r="CR130" s="600"/>
      <c r="CS130" s="600"/>
      <c r="CT130" s="600"/>
      <c r="CU130" s="600"/>
      <c r="CV130" s="600"/>
      <c r="CW130" s="600"/>
      <c r="CX130" s="600"/>
      <c r="CY130" s="600"/>
      <c r="CZ130" s="600"/>
      <c r="DA130" s="600"/>
      <c r="DB130" s="600"/>
      <c r="DC130" s="600"/>
      <c r="DD130" s="600"/>
      <c r="DE130" s="600"/>
      <c r="DF130" s="600"/>
      <c r="DG130" s="600"/>
      <c r="DH130" s="600"/>
      <c r="DI130" s="600"/>
      <c r="DJ130" s="600"/>
      <c r="DK130" s="600"/>
      <c r="DL130" s="600"/>
      <c r="DM130" s="600"/>
      <c r="DN130" s="600"/>
      <c r="DO130" s="600"/>
      <c r="DP130" s="600"/>
      <c r="DQ130" s="600"/>
      <c r="DR130" s="600"/>
      <c r="DS130" s="600"/>
      <c r="DT130" s="600"/>
      <c r="DU130" s="600"/>
      <c r="DV130" s="600"/>
      <c r="DW130" s="600"/>
      <c r="DX130" s="600"/>
      <c r="DY130" s="600"/>
      <c r="DZ130" s="600"/>
      <c r="EA130" s="600"/>
      <c r="EB130" s="600"/>
      <c r="EC130" s="600"/>
      <c r="ED130" s="600"/>
      <c r="EE130" s="600"/>
      <c r="EF130" s="600"/>
      <c r="EG130" s="600"/>
      <c r="EH130" s="600"/>
      <c r="EI130" s="600"/>
      <c r="EJ130" s="600"/>
      <c r="EK130" s="600"/>
      <c r="EL130" s="600"/>
      <c r="EM130" s="600"/>
      <c r="EN130" s="600"/>
      <c r="EO130" s="600"/>
      <c r="EP130" s="600"/>
      <c r="EQ130" s="600"/>
      <c r="ER130" s="600"/>
      <c r="ES130" s="600"/>
      <c r="ET130" s="600"/>
      <c r="EU130" s="600"/>
      <c r="EV130" s="600"/>
      <c r="EW130" s="600"/>
      <c r="EX130" s="600"/>
      <c r="EY130" s="600"/>
      <c r="EZ130" s="600"/>
      <c r="FA130" s="600"/>
      <c r="FB130" s="600"/>
      <c r="FC130" s="600"/>
      <c r="FD130" s="600"/>
      <c r="FE130" s="600"/>
      <c r="FF130" s="600"/>
      <c r="FG130" s="600"/>
      <c r="FH130" s="600"/>
      <c r="FI130" s="600"/>
      <c r="FJ130" s="600"/>
      <c r="FK130" s="600"/>
      <c r="FL130" s="600"/>
      <c r="FM130" s="600"/>
      <c r="FN130" s="600"/>
      <c r="FO130" s="600"/>
      <c r="FP130" s="600"/>
      <c r="FQ130" s="600"/>
      <c r="FR130" s="600"/>
      <c r="FS130" s="600"/>
      <c r="FT130" s="600"/>
      <c r="FU130" s="600"/>
      <c r="FV130" s="600"/>
      <c r="FW130" s="600"/>
      <c r="FX130" s="600"/>
      <c r="FY130" s="600"/>
      <c r="FZ130" s="600"/>
      <c r="GA130" s="600"/>
      <c r="GB130" s="600"/>
      <c r="GC130" s="600"/>
      <c r="GD130" s="600"/>
      <c r="GE130" s="600"/>
      <c r="GF130" s="600"/>
      <c r="GG130" s="600"/>
      <c r="GH130" s="600"/>
      <c r="GI130" s="600"/>
      <c r="GJ130" s="600"/>
      <c r="GK130" s="600"/>
      <c r="GL130" s="600"/>
      <c r="GM130" s="600"/>
      <c r="GN130" s="600"/>
      <c r="GO130" s="600"/>
      <c r="GP130" s="600"/>
      <c r="GQ130" s="600"/>
      <c r="GR130" s="600"/>
    </row>
    <row r="131" spans="1:200" ht="22.5" outlineLevel="2" x14ac:dyDescent="0.2">
      <c r="A131" s="636" t="s">
        <v>1233</v>
      </c>
      <c r="B131" s="636" t="s">
        <v>5080</v>
      </c>
      <c r="C131" s="597"/>
      <c r="D131" s="1536"/>
      <c r="E131" s="635"/>
      <c r="F131" s="635"/>
      <c r="G131" s="1517">
        <v>4</v>
      </c>
      <c r="H131" s="1517"/>
      <c r="I131" s="1517"/>
      <c r="J131" s="1517" t="s">
        <v>1592</v>
      </c>
      <c r="K131" s="1518"/>
      <c r="L131" s="1518"/>
      <c r="M131" s="635"/>
      <c r="AA131">
        <f>IF(AND('12 Ext'!C131&gt;Tmin, NOT('12 Ext'!$I131="")),'12 Ext'!$I131,0)</f>
        <v>0</v>
      </c>
      <c r="AB131">
        <f>IF(AND('12 Ext'!D131&gt;Tmin, NOT('12 Ext'!$I131="")),'12 Ext'!$I131,0)</f>
        <v>0</v>
      </c>
      <c r="AC131">
        <f>IF(AND('12 Ext'!E131&gt;Tmin, NOT('12 Ext'!$I131="")),'12 Ext'!$I131,0)</f>
        <v>0</v>
      </c>
      <c r="AD131">
        <f>IF(AND('12 Ext'!F131&gt;Tmin, NOT('12 Ext'!$I131="")),'12 Ext'!$I131,0)</f>
        <v>0</v>
      </c>
      <c r="AE131">
        <f>IF(AND('12 Ext'!C131&lt;Tmax, NOT('12 Ext'!$H131="")),'12 Ext'!$H131,4)</f>
        <v>4</v>
      </c>
      <c r="AF131">
        <f>IF(AND('12 Ext'!D131&lt;Tmax, NOT('12 Ext'!$H131="")),'12 Ext'!$H131,4)</f>
        <v>4</v>
      </c>
      <c r="AG131">
        <f>IF(AND('12 Ext'!E131&lt;Tmax, NOT('12 Ext'!$H131="")),'12 Ext'!$H131,4)</f>
        <v>4</v>
      </c>
      <c r="AH131">
        <f>IF(AND('12 Ext'!F131&lt;Tmax, NOT('12 Ext'!$H131="")),'12 Ext'!$H131,4)</f>
        <v>4</v>
      </c>
      <c r="AI131"/>
    </row>
    <row r="132" spans="1:200" ht="16.5" customHeight="1" outlineLevel="2" x14ac:dyDescent="0.2">
      <c r="A132" s="636" t="s">
        <v>6825</v>
      </c>
      <c r="B132" s="636" t="s">
        <v>2668</v>
      </c>
      <c r="C132" s="597"/>
      <c r="D132" s="1536"/>
      <c r="E132" s="635"/>
      <c r="F132" s="635"/>
      <c r="G132" s="1517">
        <v>2</v>
      </c>
      <c r="H132" s="1517"/>
      <c r="I132" s="1517"/>
      <c r="J132" s="1517" t="s">
        <v>2107</v>
      </c>
      <c r="K132" s="1518"/>
      <c r="L132" s="1518"/>
      <c r="M132" s="635"/>
      <c r="AA132">
        <f>IF(AND('12 Ext'!C132&gt;Tmin, NOT('12 Ext'!$I132="")),'12 Ext'!$I132,0)</f>
        <v>0</v>
      </c>
      <c r="AB132">
        <f>IF(AND('12 Ext'!D132&gt;Tmin, NOT('12 Ext'!$I132="")),'12 Ext'!$I132,0)</f>
        <v>0</v>
      </c>
      <c r="AC132">
        <f>IF(AND('12 Ext'!E132&gt;Tmin, NOT('12 Ext'!$I132="")),'12 Ext'!$I132,0)</f>
        <v>0</v>
      </c>
      <c r="AD132">
        <f>IF(AND('12 Ext'!F132&gt;Tmin, NOT('12 Ext'!$I132="")),'12 Ext'!$I132,0)</f>
        <v>0</v>
      </c>
      <c r="AE132">
        <f>IF(AND('12 Ext'!C132&lt;Tmax, NOT('12 Ext'!$H132="")),'12 Ext'!$H132,4)</f>
        <v>4</v>
      </c>
      <c r="AF132">
        <f>IF(AND('12 Ext'!D132&lt;Tmax, NOT('12 Ext'!$H132="")),'12 Ext'!$H132,4)</f>
        <v>4</v>
      </c>
      <c r="AG132">
        <f>IF(AND('12 Ext'!E132&lt;Tmax, NOT('12 Ext'!$H132="")),'12 Ext'!$H132,4)</f>
        <v>4</v>
      </c>
      <c r="AH132">
        <f>IF(AND('12 Ext'!F132&lt;Tmax, NOT('12 Ext'!$H132="")),'12 Ext'!$H132,4)</f>
        <v>4</v>
      </c>
      <c r="AI132"/>
    </row>
    <row r="133" spans="1:200" s="648" customFormat="1" ht="22.5" outlineLevel="2" x14ac:dyDescent="0.2">
      <c r="A133" s="636" t="s">
        <v>6826</v>
      </c>
      <c r="B133" s="636" t="s">
        <v>5077</v>
      </c>
      <c r="C133" s="597"/>
      <c r="D133" s="1536"/>
      <c r="E133" s="635"/>
      <c r="F133" s="635"/>
      <c r="G133" s="1515">
        <v>4</v>
      </c>
      <c r="H133" s="1515"/>
      <c r="I133" s="1515"/>
      <c r="J133" s="1515" t="s">
        <v>1592</v>
      </c>
      <c r="K133" s="1516"/>
      <c r="L133" s="1516"/>
      <c r="M133" s="647"/>
      <c r="N133" s="599"/>
      <c r="O133" s="599"/>
      <c r="P133" s="599"/>
      <c r="Q133" s="599"/>
      <c r="R133" s="599"/>
      <c r="S133" s="599"/>
      <c r="T133" s="599"/>
      <c r="U133" s="599"/>
      <c r="V133" s="599"/>
      <c r="W133" s="599"/>
      <c r="X133" s="599"/>
      <c r="Y133" s="599"/>
      <c r="Z133" s="599"/>
      <c r="AA133">
        <f>IF(AND('12 Ext'!C133&gt;Tmin, NOT('12 Ext'!$I133="")),'12 Ext'!$I133,0)</f>
        <v>0</v>
      </c>
      <c r="AB133">
        <f>IF(AND('12 Ext'!D133&gt;Tmin, NOT('12 Ext'!$I133="")),'12 Ext'!$I133,0)</f>
        <v>0</v>
      </c>
      <c r="AC133">
        <f>IF(AND('12 Ext'!E133&gt;Tmin, NOT('12 Ext'!$I133="")),'12 Ext'!$I133,0)</f>
        <v>0</v>
      </c>
      <c r="AD133">
        <f>IF(AND('12 Ext'!F133&gt;Tmin, NOT('12 Ext'!$I133="")),'12 Ext'!$I133,0)</f>
        <v>0</v>
      </c>
      <c r="AE133">
        <f>IF(AND('12 Ext'!C133&lt;Tmax, NOT('12 Ext'!$H133="")),'12 Ext'!$H133,4)</f>
        <v>4</v>
      </c>
      <c r="AF133">
        <f>IF(AND('12 Ext'!D133&lt;Tmax, NOT('12 Ext'!$H133="")),'12 Ext'!$H133,4)</f>
        <v>4</v>
      </c>
      <c r="AG133">
        <f>IF(AND('12 Ext'!E133&lt;Tmax, NOT('12 Ext'!$H133="")),'12 Ext'!$H133,4)</f>
        <v>4</v>
      </c>
      <c r="AH133">
        <f>IF(AND('12 Ext'!F133&lt;Tmax, NOT('12 Ext'!$H133="")),'12 Ext'!$H133,4)</f>
        <v>4</v>
      </c>
      <c r="AI133"/>
      <c r="AJ133" s="600"/>
      <c r="AK133" s="600"/>
      <c r="AL133" s="600"/>
      <c r="AM133" s="600"/>
      <c r="AN133" s="600"/>
      <c r="AO133" s="600"/>
      <c r="AP133" s="600"/>
      <c r="AQ133" s="600"/>
      <c r="AR133" s="600"/>
      <c r="AS133" s="600"/>
      <c r="AT133" s="600"/>
      <c r="AU133" s="600"/>
      <c r="AV133" s="600"/>
      <c r="AW133" s="600"/>
      <c r="AX133" s="600"/>
      <c r="AY133" s="600"/>
      <c r="AZ133" s="600"/>
      <c r="BA133" s="600"/>
      <c r="BB133" s="600"/>
      <c r="BC133" s="600"/>
      <c r="BD133" s="600"/>
      <c r="BE133" s="600"/>
      <c r="BF133" s="600"/>
      <c r="BG133" s="600"/>
      <c r="BH133" s="600"/>
      <c r="BI133" s="600"/>
      <c r="BJ133" s="600"/>
      <c r="BK133" s="600"/>
      <c r="BL133" s="600"/>
      <c r="BM133" s="600"/>
      <c r="BN133" s="600"/>
      <c r="BO133" s="600"/>
      <c r="BP133" s="600"/>
      <c r="BQ133" s="600"/>
      <c r="BR133" s="600"/>
      <c r="BS133" s="600"/>
      <c r="BT133" s="600"/>
      <c r="BU133" s="600"/>
      <c r="BV133" s="600"/>
      <c r="BW133" s="600"/>
      <c r="BX133" s="600"/>
      <c r="BY133" s="600"/>
      <c r="BZ133" s="600"/>
      <c r="CA133" s="600"/>
      <c r="CB133" s="600"/>
      <c r="CC133" s="600"/>
      <c r="CD133" s="600"/>
      <c r="CE133" s="600"/>
      <c r="CF133" s="600"/>
      <c r="CG133" s="600"/>
      <c r="CH133" s="600"/>
      <c r="CI133" s="600"/>
      <c r="CJ133" s="600"/>
      <c r="CK133" s="600"/>
      <c r="CL133" s="600"/>
      <c r="CM133" s="600"/>
      <c r="CN133" s="600"/>
      <c r="CO133" s="600"/>
      <c r="CP133" s="600"/>
      <c r="CQ133" s="600"/>
      <c r="CR133" s="600"/>
      <c r="CS133" s="600"/>
      <c r="CT133" s="600"/>
      <c r="CU133" s="600"/>
      <c r="CV133" s="600"/>
      <c r="CW133" s="600"/>
      <c r="CX133" s="600"/>
      <c r="CY133" s="600"/>
      <c r="CZ133" s="600"/>
      <c r="DA133" s="600"/>
      <c r="DB133" s="600"/>
      <c r="DC133" s="600"/>
      <c r="DD133" s="600"/>
      <c r="DE133" s="600"/>
      <c r="DF133" s="600"/>
      <c r="DG133" s="600"/>
      <c r="DH133" s="600"/>
      <c r="DI133" s="600"/>
      <c r="DJ133" s="600"/>
      <c r="DK133" s="600"/>
      <c r="DL133" s="600"/>
      <c r="DM133" s="600"/>
      <c r="DN133" s="600"/>
      <c r="DO133" s="600"/>
      <c r="DP133" s="600"/>
      <c r="DQ133" s="600"/>
      <c r="DR133" s="600"/>
      <c r="DS133" s="600"/>
      <c r="DT133" s="600"/>
      <c r="DU133" s="600"/>
      <c r="DV133" s="600"/>
      <c r="DW133" s="600"/>
      <c r="DX133" s="600"/>
      <c r="DY133" s="600"/>
      <c r="DZ133" s="600"/>
      <c r="EA133" s="600"/>
      <c r="EB133" s="600"/>
      <c r="EC133" s="600"/>
      <c r="ED133" s="600"/>
      <c r="EE133" s="600"/>
      <c r="EF133" s="600"/>
      <c r="EG133" s="600"/>
      <c r="EH133" s="600"/>
      <c r="EI133" s="600"/>
      <c r="EJ133" s="600"/>
      <c r="EK133" s="600"/>
      <c r="EL133" s="600"/>
      <c r="EM133" s="600"/>
      <c r="EN133" s="600"/>
      <c r="EO133" s="600"/>
      <c r="EP133" s="600"/>
      <c r="EQ133" s="600"/>
      <c r="ER133" s="600"/>
      <c r="ES133" s="600"/>
      <c r="ET133" s="600"/>
      <c r="EU133" s="600"/>
      <c r="EV133" s="600"/>
      <c r="EW133" s="600"/>
      <c r="EX133" s="600"/>
      <c r="EY133" s="600"/>
      <c r="EZ133" s="600"/>
      <c r="FA133" s="600"/>
      <c r="FB133" s="600"/>
      <c r="FC133" s="600"/>
      <c r="FD133" s="600"/>
      <c r="FE133" s="600"/>
      <c r="FF133" s="600"/>
      <c r="FG133" s="600"/>
      <c r="FH133" s="600"/>
      <c r="FI133" s="600"/>
      <c r="FJ133" s="600"/>
      <c r="FK133" s="600"/>
      <c r="FL133" s="600"/>
      <c r="FM133" s="600"/>
      <c r="FN133" s="600"/>
      <c r="FO133" s="600"/>
      <c r="FP133" s="600"/>
      <c r="FQ133" s="600"/>
      <c r="FR133" s="600"/>
      <c r="FS133" s="600"/>
      <c r="FT133" s="600"/>
      <c r="FU133" s="600"/>
      <c r="FV133" s="600"/>
      <c r="FW133" s="600"/>
      <c r="FX133" s="600"/>
      <c r="FY133" s="600"/>
      <c r="FZ133" s="600"/>
      <c r="GA133" s="600"/>
      <c r="GB133" s="600"/>
      <c r="GC133" s="600"/>
      <c r="GD133" s="600"/>
      <c r="GE133" s="600"/>
      <c r="GF133" s="600"/>
      <c r="GG133" s="600"/>
      <c r="GH133" s="600"/>
      <c r="GI133" s="600"/>
      <c r="GJ133" s="600"/>
      <c r="GK133" s="600"/>
      <c r="GL133" s="600"/>
      <c r="GM133" s="600"/>
      <c r="GN133" s="600"/>
      <c r="GO133" s="600"/>
      <c r="GP133" s="600"/>
      <c r="GQ133" s="600"/>
      <c r="GR133" s="600"/>
    </row>
    <row r="134" spans="1:200" ht="15" customHeight="1" outlineLevel="2" x14ac:dyDescent="0.2">
      <c r="A134" s="636" t="s">
        <v>6827</v>
      </c>
      <c r="B134" s="636" t="s">
        <v>990</v>
      </c>
      <c r="C134" s="597"/>
      <c r="D134" s="1536"/>
      <c r="E134" s="635"/>
      <c r="F134" s="635"/>
      <c r="G134" s="1517">
        <v>4</v>
      </c>
      <c r="H134" s="1517">
        <v>2</v>
      </c>
      <c r="I134" s="1517"/>
      <c r="J134" s="1517" t="s">
        <v>2109</v>
      </c>
      <c r="K134" s="1518"/>
      <c r="L134" s="1518"/>
      <c r="M134" s="635"/>
      <c r="AA134">
        <f>IF(AND('12 Ext'!C134&gt;Tmin, NOT('12 Ext'!$I134="")),'12 Ext'!$I134,0)</f>
        <v>0</v>
      </c>
      <c r="AB134">
        <f>IF(AND('12 Ext'!D134&gt;Tmin, NOT('12 Ext'!$I134="")),'12 Ext'!$I134,0)</f>
        <v>0</v>
      </c>
      <c r="AC134">
        <f>IF(AND('12 Ext'!E134&gt;Tmin, NOT('12 Ext'!$I134="")),'12 Ext'!$I134,0)</f>
        <v>0</v>
      </c>
      <c r="AD134">
        <f>IF(AND('12 Ext'!F134&gt;Tmin, NOT('12 Ext'!$I134="")),'12 Ext'!$I134,0)</f>
        <v>0</v>
      </c>
      <c r="AE134">
        <f>IF(AND('12 Ext'!C134&lt;Tmax, NOT('12 Ext'!$H134="")),'12 Ext'!$H134,4)</f>
        <v>2</v>
      </c>
      <c r="AF134">
        <f>IF(AND('12 Ext'!D134&lt;Tmax, NOT('12 Ext'!$H134="")),'12 Ext'!$H134,4)</f>
        <v>2</v>
      </c>
      <c r="AG134">
        <f>IF(AND('12 Ext'!E134&lt;Tmax, NOT('12 Ext'!$H134="")),'12 Ext'!$H134,4)</f>
        <v>2</v>
      </c>
      <c r="AH134">
        <f>IF(AND('12 Ext'!F134&lt;Tmax, NOT('12 Ext'!$H134="")),'12 Ext'!$H134,4)</f>
        <v>2</v>
      </c>
      <c r="AI134"/>
    </row>
    <row r="135" spans="1:200" outlineLevel="2" x14ac:dyDescent="0.2">
      <c r="A135" s="636" t="s">
        <v>5760</v>
      </c>
      <c r="B135" s="636" t="s">
        <v>1787</v>
      </c>
      <c r="C135" s="597"/>
      <c r="D135" s="1536"/>
      <c r="E135" s="635"/>
      <c r="F135" s="635"/>
      <c r="G135" s="1517">
        <v>4</v>
      </c>
      <c r="H135" s="1517">
        <v>3</v>
      </c>
      <c r="I135" s="1517"/>
      <c r="J135" s="1517" t="s">
        <v>2964</v>
      </c>
      <c r="K135" s="1518"/>
      <c r="L135" s="1518"/>
      <c r="M135" s="635"/>
      <c r="AA135">
        <f>IF(AND('12 Ext'!C135&gt;Tmin, NOT('12 Ext'!$I135="")),'12 Ext'!$I135,0)</f>
        <v>0</v>
      </c>
      <c r="AB135">
        <f>IF(AND('12 Ext'!D135&gt;Tmin, NOT('12 Ext'!$I135="")),'12 Ext'!$I135,0)</f>
        <v>0</v>
      </c>
      <c r="AC135">
        <f>IF(AND('12 Ext'!E135&gt;Tmin, NOT('12 Ext'!$I135="")),'12 Ext'!$I135,0)</f>
        <v>0</v>
      </c>
      <c r="AD135">
        <f>IF(AND('12 Ext'!F135&gt;Tmin, NOT('12 Ext'!$I135="")),'12 Ext'!$I135,0)</f>
        <v>0</v>
      </c>
      <c r="AE135">
        <f>IF(AND('12 Ext'!C135&lt;Tmax, NOT('12 Ext'!$H135="")),'12 Ext'!$H135,4)</f>
        <v>3</v>
      </c>
      <c r="AF135">
        <f>IF(AND('12 Ext'!D135&lt;Tmax, NOT('12 Ext'!$H135="")),'12 Ext'!$H135,4)</f>
        <v>3</v>
      </c>
      <c r="AG135">
        <f>IF(AND('12 Ext'!E135&lt;Tmax, NOT('12 Ext'!$H135="")),'12 Ext'!$H135,4)</f>
        <v>3</v>
      </c>
      <c r="AH135">
        <f>IF(AND('12 Ext'!F135&lt;Tmax, NOT('12 Ext'!$H135="")),'12 Ext'!$H135,4)</f>
        <v>3</v>
      </c>
      <c r="AI135"/>
    </row>
    <row r="136" spans="1:200" outlineLevel="2" x14ac:dyDescent="0.2">
      <c r="A136" s="636" t="s">
        <v>5761</v>
      </c>
      <c r="B136" s="636" t="s">
        <v>2708</v>
      </c>
      <c r="C136" s="597"/>
      <c r="D136" s="1536"/>
      <c r="E136" s="635"/>
      <c r="F136" s="635"/>
      <c r="G136" s="1517">
        <v>4</v>
      </c>
      <c r="H136" s="1517"/>
      <c r="I136" s="1517"/>
      <c r="J136" s="1517" t="s">
        <v>2109</v>
      </c>
      <c r="K136" s="1518"/>
      <c r="L136" s="1518"/>
      <c r="M136" s="635"/>
      <c r="AA136">
        <f>IF(AND('12 Ext'!C136&gt;Tmin, NOT('12 Ext'!$I136="")),'12 Ext'!$I136,0)</f>
        <v>0</v>
      </c>
      <c r="AB136">
        <f>IF(AND('12 Ext'!D136&gt;Tmin, NOT('12 Ext'!$I136="")),'12 Ext'!$I136,0)</f>
        <v>0</v>
      </c>
      <c r="AC136">
        <f>IF(AND('12 Ext'!E136&gt;Tmin, NOT('12 Ext'!$I136="")),'12 Ext'!$I136,0)</f>
        <v>0</v>
      </c>
      <c r="AD136">
        <f>IF(AND('12 Ext'!F136&gt;Tmin, NOT('12 Ext'!$I136="")),'12 Ext'!$I136,0)</f>
        <v>0</v>
      </c>
      <c r="AE136">
        <f>IF(AND('12 Ext'!C136&lt;Tmax, NOT('12 Ext'!$H136="")),'12 Ext'!$H136,4)</f>
        <v>4</v>
      </c>
      <c r="AF136">
        <f>IF(AND('12 Ext'!D136&lt;Tmax, NOT('12 Ext'!$H136="")),'12 Ext'!$H136,4)</f>
        <v>4</v>
      </c>
      <c r="AG136">
        <f>IF(AND('12 Ext'!E136&lt;Tmax, NOT('12 Ext'!$H136="")),'12 Ext'!$H136,4)</f>
        <v>4</v>
      </c>
      <c r="AH136">
        <f>IF(AND('12 Ext'!F136&lt;Tmax, NOT('12 Ext'!$H136="")),'12 Ext'!$H136,4)</f>
        <v>4</v>
      </c>
      <c r="AI136"/>
    </row>
    <row r="137" spans="1:200" s="648" customFormat="1" outlineLevel="1" x14ac:dyDescent="0.2">
      <c r="A137" s="633" t="s">
        <v>5762</v>
      </c>
      <c r="B137" s="634" t="s">
        <v>2029</v>
      </c>
      <c r="C137" s="597"/>
      <c r="D137" s="1536"/>
      <c r="E137" s="635"/>
      <c r="F137" s="635"/>
      <c r="G137" s="1515"/>
      <c r="H137" s="1515"/>
      <c r="I137" s="1515"/>
      <c r="J137" s="1515"/>
      <c r="K137" s="1516"/>
      <c r="L137" s="1516"/>
      <c r="M137" s="647"/>
      <c r="N137" s="599"/>
      <c r="O137" s="599"/>
      <c r="P137" s="599"/>
      <c r="Q137" s="599"/>
      <c r="R137" s="599"/>
      <c r="S137" s="599"/>
      <c r="T137" s="599"/>
      <c r="U137" s="599"/>
      <c r="V137" s="599"/>
      <c r="W137" s="599"/>
      <c r="X137" s="599"/>
      <c r="Y137" s="599"/>
      <c r="Z137" s="599"/>
      <c r="AA137"/>
      <c r="AB137"/>
      <c r="AC137"/>
      <c r="AD137"/>
      <c r="AE137"/>
      <c r="AF137"/>
      <c r="AG137"/>
      <c r="AH137"/>
      <c r="AI137"/>
      <c r="AJ137" s="600"/>
      <c r="AK137" s="600"/>
      <c r="AL137" s="600"/>
      <c r="AM137" s="600"/>
      <c r="AN137" s="600"/>
      <c r="AO137" s="600"/>
      <c r="AP137" s="600"/>
      <c r="AQ137" s="600"/>
      <c r="AR137" s="600"/>
      <c r="AS137" s="600"/>
      <c r="AT137" s="600"/>
      <c r="AU137" s="600"/>
      <c r="AV137" s="600"/>
      <c r="AW137" s="600"/>
      <c r="AX137" s="600"/>
      <c r="AY137" s="600"/>
      <c r="AZ137" s="600"/>
      <c r="BA137" s="600"/>
      <c r="BB137" s="600"/>
      <c r="BC137" s="600"/>
      <c r="BD137" s="600"/>
      <c r="BE137" s="600"/>
      <c r="BF137" s="600"/>
      <c r="BG137" s="600"/>
      <c r="BH137" s="600"/>
      <c r="BI137" s="600"/>
      <c r="BJ137" s="600"/>
      <c r="BK137" s="600"/>
      <c r="BL137" s="600"/>
      <c r="BM137" s="600"/>
      <c r="BN137" s="600"/>
      <c r="BO137" s="600"/>
      <c r="BP137" s="600"/>
      <c r="BQ137" s="600"/>
      <c r="BR137" s="600"/>
      <c r="BS137" s="600"/>
      <c r="BT137" s="600"/>
      <c r="BU137" s="600"/>
      <c r="BV137" s="600"/>
      <c r="BW137" s="600"/>
      <c r="BX137" s="600"/>
      <c r="BY137" s="600"/>
      <c r="BZ137" s="600"/>
      <c r="CA137" s="600"/>
      <c r="CB137" s="600"/>
      <c r="CC137" s="600"/>
      <c r="CD137" s="600"/>
      <c r="CE137" s="600"/>
      <c r="CF137" s="600"/>
      <c r="CG137" s="600"/>
      <c r="CH137" s="600"/>
      <c r="CI137" s="600"/>
      <c r="CJ137" s="600"/>
      <c r="CK137" s="600"/>
      <c r="CL137" s="600"/>
      <c r="CM137" s="600"/>
      <c r="CN137" s="600"/>
      <c r="CO137" s="600"/>
      <c r="CP137" s="600"/>
      <c r="CQ137" s="600"/>
      <c r="CR137" s="600"/>
      <c r="CS137" s="600"/>
      <c r="CT137" s="600"/>
      <c r="CU137" s="600"/>
      <c r="CV137" s="600"/>
      <c r="CW137" s="600"/>
      <c r="CX137" s="600"/>
      <c r="CY137" s="600"/>
      <c r="CZ137" s="600"/>
      <c r="DA137" s="600"/>
      <c r="DB137" s="600"/>
      <c r="DC137" s="600"/>
      <c r="DD137" s="600"/>
      <c r="DE137" s="600"/>
      <c r="DF137" s="600"/>
      <c r="DG137" s="600"/>
      <c r="DH137" s="600"/>
      <c r="DI137" s="600"/>
      <c r="DJ137" s="600"/>
      <c r="DK137" s="600"/>
      <c r="DL137" s="600"/>
      <c r="DM137" s="600"/>
      <c r="DN137" s="600"/>
      <c r="DO137" s="600"/>
      <c r="DP137" s="600"/>
      <c r="DQ137" s="600"/>
      <c r="DR137" s="600"/>
      <c r="DS137" s="600"/>
      <c r="DT137" s="600"/>
      <c r="DU137" s="600"/>
      <c r="DV137" s="600"/>
      <c r="DW137" s="600"/>
      <c r="DX137" s="600"/>
      <c r="DY137" s="600"/>
      <c r="DZ137" s="600"/>
      <c r="EA137" s="600"/>
      <c r="EB137" s="600"/>
      <c r="EC137" s="600"/>
      <c r="ED137" s="600"/>
      <c r="EE137" s="600"/>
      <c r="EF137" s="600"/>
      <c r="EG137" s="600"/>
      <c r="EH137" s="600"/>
      <c r="EI137" s="600"/>
      <c r="EJ137" s="600"/>
      <c r="EK137" s="600"/>
      <c r="EL137" s="600"/>
      <c r="EM137" s="600"/>
      <c r="EN137" s="600"/>
      <c r="EO137" s="600"/>
      <c r="EP137" s="600"/>
      <c r="EQ137" s="600"/>
      <c r="ER137" s="600"/>
      <c r="ES137" s="600"/>
      <c r="ET137" s="600"/>
      <c r="EU137" s="600"/>
      <c r="EV137" s="600"/>
      <c r="EW137" s="600"/>
      <c r="EX137" s="600"/>
      <c r="EY137" s="600"/>
      <c r="EZ137" s="600"/>
      <c r="FA137" s="600"/>
      <c r="FB137" s="600"/>
      <c r="FC137" s="600"/>
      <c r="FD137" s="600"/>
      <c r="FE137" s="600"/>
      <c r="FF137" s="600"/>
      <c r="FG137" s="600"/>
      <c r="FH137" s="600"/>
      <c r="FI137" s="600"/>
      <c r="FJ137" s="600"/>
      <c r="FK137" s="600"/>
      <c r="FL137" s="600"/>
      <c r="FM137" s="600"/>
      <c r="FN137" s="600"/>
      <c r="FO137" s="600"/>
      <c r="FP137" s="600"/>
      <c r="FQ137" s="600"/>
      <c r="FR137" s="600"/>
      <c r="FS137" s="600"/>
      <c r="FT137" s="600"/>
      <c r="FU137" s="600"/>
      <c r="FV137" s="600"/>
      <c r="FW137" s="600"/>
      <c r="FX137" s="600"/>
      <c r="FY137" s="600"/>
      <c r="FZ137" s="600"/>
      <c r="GA137" s="600"/>
      <c r="GB137" s="600"/>
      <c r="GC137" s="600"/>
      <c r="GD137" s="600"/>
      <c r="GE137" s="600"/>
      <c r="GF137" s="600"/>
      <c r="GG137" s="600"/>
      <c r="GH137" s="600"/>
      <c r="GI137" s="600"/>
      <c r="GJ137" s="600"/>
      <c r="GK137" s="600"/>
      <c r="GL137" s="600"/>
      <c r="GM137" s="600"/>
      <c r="GN137" s="600"/>
      <c r="GO137" s="600"/>
      <c r="GP137" s="600"/>
      <c r="GQ137" s="600"/>
      <c r="GR137" s="600"/>
    </row>
    <row r="138" spans="1:200" s="648" customFormat="1" ht="12.75" customHeight="1" outlineLevel="2" x14ac:dyDescent="0.2">
      <c r="A138" s="636" t="s">
        <v>5763</v>
      </c>
      <c r="B138" s="636" t="s">
        <v>991</v>
      </c>
      <c r="C138" s="597"/>
      <c r="D138" s="1536"/>
      <c r="E138" s="635"/>
      <c r="F138" s="635"/>
      <c r="G138" s="1515">
        <v>4</v>
      </c>
      <c r="H138" s="1515"/>
      <c r="I138" s="1515"/>
      <c r="J138" s="1515" t="s">
        <v>4246</v>
      </c>
      <c r="K138" s="1516"/>
      <c r="L138" s="1516"/>
      <c r="M138" s="647"/>
      <c r="N138" s="599"/>
      <c r="O138" s="599"/>
      <c r="P138" s="599"/>
      <c r="Q138" s="599"/>
      <c r="R138" s="599"/>
      <c r="S138" s="599"/>
      <c r="T138" s="599"/>
      <c r="U138" s="599"/>
      <c r="V138" s="599"/>
      <c r="W138" s="599"/>
      <c r="X138" s="599"/>
      <c r="Y138" s="599"/>
      <c r="Z138" s="599"/>
      <c r="AA138">
        <f>IF(AND('12 Ext'!C138&gt;Tmin, NOT('12 Ext'!$I138="")),'12 Ext'!$I138,0)</f>
        <v>0</v>
      </c>
      <c r="AB138">
        <f>IF(AND('12 Ext'!D138&gt;Tmin, NOT('12 Ext'!$I138="")),'12 Ext'!$I138,0)</f>
        <v>0</v>
      </c>
      <c r="AC138">
        <f>IF(AND('12 Ext'!E138&gt;Tmin, NOT('12 Ext'!$I138="")),'12 Ext'!$I138,0)</f>
        <v>0</v>
      </c>
      <c r="AD138">
        <f>IF(AND('12 Ext'!F138&gt;Tmin, NOT('12 Ext'!$I138="")),'12 Ext'!$I138,0)</f>
        <v>0</v>
      </c>
      <c r="AE138">
        <f>IF(AND('12 Ext'!C138&lt;Tmax, NOT('12 Ext'!$H138="")),'12 Ext'!$H138,4)</f>
        <v>4</v>
      </c>
      <c r="AF138">
        <f>IF(AND('12 Ext'!D138&lt;Tmax, NOT('12 Ext'!$H138="")),'12 Ext'!$H138,4)</f>
        <v>4</v>
      </c>
      <c r="AG138">
        <f>IF(AND('12 Ext'!E138&lt;Tmax, NOT('12 Ext'!$H138="")),'12 Ext'!$H138,4)</f>
        <v>4</v>
      </c>
      <c r="AH138">
        <f>IF(AND('12 Ext'!F138&lt;Tmax, NOT('12 Ext'!$H138="")),'12 Ext'!$H138,4)</f>
        <v>4</v>
      </c>
      <c r="AI138"/>
      <c r="AJ138" s="600"/>
      <c r="AK138" s="600"/>
      <c r="AL138" s="600"/>
      <c r="AM138" s="600"/>
      <c r="AN138" s="600"/>
      <c r="AO138" s="600"/>
      <c r="AP138" s="600"/>
      <c r="AQ138" s="600"/>
      <c r="AR138" s="600"/>
      <c r="AS138" s="600"/>
      <c r="AT138" s="600"/>
      <c r="AU138" s="600"/>
      <c r="AV138" s="600"/>
      <c r="AW138" s="600"/>
      <c r="AX138" s="600"/>
      <c r="AY138" s="600"/>
      <c r="AZ138" s="600"/>
      <c r="BA138" s="600"/>
      <c r="BB138" s="600"/>
      <c r="BC138" s="600"/>
      <c r="BD138" s="600"/>
      <c r="BE138" s="600"/>
      <c r="BF138" s="600"/>
      <c r="BG138" s="600"/>
      <c r="BH138" s="600"/>
      <c r="BI138" s="600"/>
      <c r="BJ138" s="600"/>
      <c r="BK138" s="600"/>
      <c r="BL138" s="600"/>
      <c r="BM138" s="600"/>
      <c r="BN138" s="600"/>
      <c r="BO138" s="600"/>
      <c r="BP138" s="600"/>
      <c r="BQ138" s="600"/>
      <c r="BR138" s="600"/>
      <c r="BS138" s="600"/>
      <c r="BT138" s="600"/>
      <c r="BU138" s="600"/>
      <c r="BV138" s="600"/>
      <c r="BW138" s="600"/>
      <c r="BX138" s="600"/>
      <c r="BY138" s="600"/>
      <c r="BZ138" s="600"/>
      <c r="CA138" s="600"/>
      <c r="CB138" s="600"/>
      <c r="CC138" s="600"/>
      <c r="CD138" s="600"/>
      <c r="CE138" s="600"/>
      <c r="CF138" s="600"/>
      <c r="CG138" s="600"/>
      <c r="CH138" s="600"/>
      <c r="CI138" s="600"/>
      <c r="CJ138" s="600"/>
      <c r="CK138" s="600"/>
      <c r="CL138" s="600"/>
      <c r="CM138" s="600"/>
      <c r="CN138" s="600"/>
      <c r="CO138" s="600"/>
      <c r="CP138" s="600"/>
      <c r="CQ138" s="600"/>
      <c r="CR138" s="600"/>
      <c r="CS138" s="600"/>
      <c r="CT138" s="600"/>
      <c r="CU138" s="600"/>
      <c r="CV138" s="600"/>
      <c r="CW138" s="600"/>
      <c r="CX138" s="600"/>
      <c r="CY138" s="600"/>
      <c r="CZ138" s="600"/>
      <c r="DA138" s="600"/>
      <c r="DB138" s="600"/>
      <c r="DC138" s="600"/>
      <c r="DD138" s="600"/>
      <c r="DE138" s="600"/>
      <c r="DF138" s="600"/>
      <c r="DG138" s="600"/>
      <c r="DH138" s="600"/>
      <c r="DI138" s="600"/>
      <c r="DJ138" s="600"/>
      <c r="DK138" s="600"/>
      <c r="DL138" s="600"/>
      <c r="DM138" s="600"/>
      <c r="DN138" s="600"/>
      <c r="DO138" s="600"/>
      <c r="DP138" s="600"/>
      <c r="DQ138" s="600"/>
      <c r="DR138" s="600"/>
      <c r="DS138" s="600"/>
      <c r="DT138" s="600"/>
      <c r="DU138" s="600"/>
      <c r="DV138" s="600"/>
      <c r="DW138" s="600"/>
      <c r="DX138" s="600"/>
      <c r="DY138" s="600"/>
      <c r="DZ138" s="600"/>
      <c r="EA138" s="600"/>
      <c r="EB138" s="600"/>
      <c r="EC138" s="600"/>
      <c r="ED138" s="600"/>
      <c r="EE138" s="600"/>
      <c r="EF138" s="600"/>
      <c r="EG138" s="600"/>
      <c r="EH138" s="600"/>
      <c r="EI138" s="600"/>
      <c r="EJ138" s="600"/>
      <c r="EK138" s="600"/>
      <c r="EL138" s="600"/>
      <c r="EM138" s="600"/>
      <c r="EN138" s="600"/>
      <c r="EO138" s="600"/>
      <c r="EP138" s="600"/>
      <c r="EQ138" s="600"/>
      <c r="ER138" s="600"/>
      <c r="ES138" s="600"/>
      <c r="ET138" s="600"/>
      <c r="EU138" s="600"/>
      <c r="EV138" s="600"/>
      <c r="EW138" s="600"/>
      <c r="EX138" s="600"/>
      <c r="EY138" s="600"/>
      <c r="EZ138" s="600"/>
      <c r="FA138" s="600"/>
      <c r="FB138" s="600"/>
      <c r="FC138" s="600"/>
      <c r="FD138" s="600"/>
      <c r="FE138" s="600"/>
      <c r="FF138" s="600"/>
      <c r="FG138" s="600"/>
      <c r="FH138" s="600"/>
      <c r="FI138" s="600"/>
      <c r="FJ138" s="600"/>
      <c r="FK138" s="600"/>
      <c r="FL138" s="600"/>
      <c r="FM138" s="600"/>
      <c r="FN138" s="600"/>
      <c r="FO138" s="600"/>
      <c r="FP138" s="600"/>
      <c r="FQ138" s="600"/>
      <c r="FR138" s="600"/>
      <c r="FS138" s="600"/>
      <c r="FT138" s="600"/>
      <c r="FU138" s="600"/>
      <c r="FV138" s="600"/>
      <c r="FW138" s="600"/>
      <c r="FX138" s="600"/>
      <c r="FY138" s="600"/>
      <c r="FZ138" s="600"/>
      <c r="GA138" s="600"/>
      <c r="GB138" s="600"/>
      <c r="GC138" s="600"/>
      <c r="GD138" s="600"/>
      <c r="GE138" s="600"/>
      <c r="GF138" s="600"/>
      <c r="GG138" s="600"/>
      <c r="GH138" s="600"/>
      <c r="GI138" s="600"/>
      <c r="GJ138" s="600"/>
      <c r="GK138" s="600"/>
      <c r="GL138" s="600"/>
      <c r="GM138" s="600"/>
      <c r="GN138" s="600"/>
      <c r="GO138" s="600"/>
      <c r="GP138" s="600"/>
      <c r="GQ138" s="600"/>
      <c r="GR138" s="600"/>
    </row>
    <row r="139" spans="1:200" s="648" customFormat="1" ht="33.75" outlineLevel="2" x14ac:dyDescent="0.2">
      <c r="A139" s="636" t="s">
        <v>5764</v>
      </c>
      <c r="B139" s="636" t="s">
        <v>5736</v>
      </c>
      <c r="C139" s="597"/>
      <c r="D139" s="1536"/>
      <c r="E139" s="635"/>
      <c r="F139" s="635"/>
      <c r="G139" s="1515">
        <v>4</v>
      </c>
      <c r="H139" s="1515"/>
      <c r="I139" s="1515"/>
      <c r="J139" s="1515" t="s">
        <v>1592</v>
      </c>
      <c r="K139" s="1516"/>
      <c r="L139" s="1516"/>
      <c r="M139" s="647"/>
      <c r="N139" s="599"/>
      <c r="O139" s="599"/>
      <c r="P139" s="599"/>
      <c r="Q139" s="599"/>
      <c r="R139" s="599"/>
      <c r="S139" s="599"/>
      <c r="T139" s="599"/>
      <c r="U139" s="599"/>
      <c r="V139" s="599"/>
      <c r="W139" s="599"/>
      <c r="X139" s="599"/>
      <c r="Y139" s="599"/>
      <c r="Z139" s="599"/>
      <c r="AA139">
        <f>IF(AND('12 Ext'!C139&gt;Tmin, NOT('12 Ext'!$I139="")),'12 Ext'!$I139,0)</f>
        <v>0</v>
      </c>
      <c r="AB139">
        <f>IF(AND('12 Ext'!D139&gt;Tmin, NOT('12 Ext'!$I139="")),'12 Ext'!$I139,0)</f>
        <v>0</v>
      </c>
      <c r="AC139">
        <f>IF(AND('12 Ext'!E139&gt;Tmin, NOT('12 Ext'!$I139="")),'12 Ext'!$I139,0)</f>
        <v>0</v>
      </c>
      <c r="AD139">
        <f>IF(AND('12 Ext'!F139&gt;Tmin, NOT('12 Ext'!$I139="")),'12 Ext'!$I139,0)</f>
        <v>0</v>
      </c>
      <c r="AE139">
        <f>IF(AND('12 Ext'!C139&lt;Tmax, NOT('12 Ext'!$H139="")),'12 Ext'!$H139,4)</f>
        <v>4</v>
      </c>
      <c r="AF139">
        <f>IF(AND('12 Ext'!D139&lt;Tmax, NOT('12 Ext'!$H139="")),'12 Ext'!$H139,4)</f>
        <v>4</v>
      </c>
      <c r="AG139">
        <f>IF(AND('12 Ext'!E139&lt;Tmax, NOT('12 Ext'!$H139="")),'12 Ext'!$H139,4)</f>
        <v>4</v>
      </c>
      <c r="AH139">
        <f>IF(AND('12 Ext'!F139&lt;Tmax, NOT('12 Ext'!$H139="")),'12 Ext'!$H139,4)</f>
        <v>4</v>
      </c>
      <c r="AI139"/>
      <c r="AJ139" s="600"/>
      <c r="AK139" s="600"/>
      <c r="AL139" s="600"/>
      <c r="AM139" s="600"/>
      <c r="AN139" s="600"/>
      <c r="AO139" s="600"/>
      <c r="AP139" s="600"/>
      <c r="AQ139" s="600"/>
      <c r="AR139" s="600"/>
      <c r="AS139" s="600"/>
      <c r="AT139" s="600"/>
      <c r="AU139" s="600"/>
      <c r="AV139" s="600"/>
      <c r="AW139" s="600"/>
      <c r="AX139" s="600"/>
      <c r="AY139" s="600"/>
      <c r="AZ139" s="600"/>
      <c r="BA139" s="600"/>
      <c r="BB139" s="600"/>
      <c r="BC139" s="600"/>
      <c r="BD139" s="600"/>
      <c r="BE139" s="600"/>
      <c r="BF139" s="600"/>
      <c r="BG139" s="600"/>
      <c r="BH139" s="600"/>
      <c r="BI139" s="600"/>
      <c r="BJ139" s="600"/>
      <c r="BK139" s="600"/>
      <c r="BL139" s="600"/>
      <c r="BM139" s="600"/>
      <c r="BN139" s="600"/>
      <c r="BO139" s="600"/>
      <c r="BP139" s="600"/>
      <c r="BQ139" s="600"/>
      <c r="BR139" s="600"/>
      <c r="BS139" s="600"/>
      <c r="BT139" s="600"/>
      <c r="BU139" s="600"/>
      <c r="BV139" s="600"/>
      <c r="BW139" s="600"/>
      <c r="BX139" s="600"/>
      <c r="BY139" s="600"/>
      <c r="BZ139" s="600"/>
      <c r="CA139" s="600"/>
      <c r="CB139" s="600"/>
      <c r="CC139" s="600"/>
      <c r="CD139" s="600"/>
      <c r="CE139" s="600"/>
      <c r="CF139" s="600"/>
      <c r="CG139" s="600"/>
      <c r="CH139" s="600"/>
      <c r="CI139" s="600"/>
      <c r="CJ139" s="600"/>
      <c r="CK139" s="600"/>
      <c r="CL139" s="600"/>
      <c r="CM139" s="600"/>
      <c r="CN139" s="600"/>
      <c r="CO139" s="600"/>
      <c r="CP139" s="600"/>
      <c r="CQ139" s="600"/>
      <c r="CR139" s="600"/>
      <c r="CS139" s="600"/>
      <c r="CT139" s="600"/>
      <c r="CU139" s="600"/>
      <c r="CV139" s="600"/>
      <c r="CW139" s="600"/>
      <c r="CX139" s="600"/>
      <c r="CY139" s="600"/>
      <c r="CZ139" s="600"/>
      <c r="DA139" s="600"/>
      <c r="DB139" s="600"/>
      <c r="DC139" s="600"/>
      <c r="DD139" s="600"/>
      <c r="DE139" s="600"/>
      <c r="DF139" s="600"/>
      <c r="DG139" s="600"/>
      <c r="DH139" s="600"/>
      <c r="DI139" s="600"/>
      <c r="DJ139" s="600"/>
      <c r="DK139" s="600"/>
      <c r="DL139" s="600"/>
      <c r="DM139" s="600"/>
      <c r="DN139" s="600"/>
      <c r="DO139" s="600"/>
      <c r="DP139" s="600"/>
      <c r="DQ139" s="600"/>
      <c r="DR139" s="600"/>
      <c r="DS139" s="600"/>
      <c r="DT139" s="600"/>
      <c r="DU139" s="600"/>
      <c r="DV139" s="600"/>
      <c r="DW139" s="600"/>
      <c r="DX139" s="600"/>
      <c r="DY139" s="600"/>
      <c r="DZ139" s="600"/>
      <c r="EA139" s="600"/>
      <c r="EB139" s="600"/>
      <c r="EC139" s="600"/>
      <c r="ED139" s="600"/>
      <c r="EE139" s="600"/>
      <c r="EF139" s="600"/>
      <c r="EG139" s="600"/>
      <c r="EH139" s="600"/>
      <c r="EI139" s="600"/>
      <c r="EJ139" s="600"/>
      <c r="EK139" s="600"/>
      <c r="EL139" s="600"/>
      <c r="EM139" s="600"/>
      <c r="EN139" s="600"/>
      <c r="EO139" s="600"/>
      <c r="EP139" s="600"/>
      <c r="EQ139" s="600"/>
      <c r="ER139" s="600"/>
      <c r="ES139" s="600"/>
      <c r="ET139" s="600"/>
      <c r="EU139" s="600"/>
      <c r="EV139" s="600"/>
      <c r="EW139" s="600"/>
      <c r="EX139" s="600"/>
      <c r="EY139" s="600"/>
      <c r="EZ139" s="600"/>
      <c r="FA139" s="600"/>
      <c r="FB139" s="600"/>
      <c r="FC139" s="600"/>
      <c r="FD139" s="600"/>
      <c r="FE139" s="600"/>
      <c r="FF139" s="600"/>
      <c r="FG139" s="600"/>
      <c r="FH139" s="600"/>
      <c r="FI139" s="600"/>
      <c r="FJ139" s="600"/>
      <c r="FK139" s="600"/>
      <c r="FL139" s="600"/>
      <c r="FM139" s="600"/>
      <c r="FN139" s="600"/>
      <c r="FO139" s="600"/>
      <c r="FP139" s="600"/>
      <c r="FQ139" s="600"/>
      <c r="FR139" s="600"/>
      <c r="FS139" s="600"/>
      <c r="FT139" s="600"/>
      <c r="FU139" s="600"/>
      <c r="FV139" s="600"/>
      <c r="FW139" s="600"/>
      <c r="FX139" s="600"/>
      <c r="FY139" s="600"/>
      <c r="FZ139" s="600"/>
      <c r="GA139" s="600"/>
      <c r="GB139" s="600"/>
      <c r="GC139" s="600"/>
      <c r="GD139" s="600"/>
      <c r="GE139" s="600"/>
      <c r="GF139" s="600"/>
      <c r="GG139" s="600"/>
      <c r="GH139" s="600"/>
      <c r="GI139" s="600"/>
      <c r="GJ139" s="600"/>
      <c r="GK139" s="600"/>
      <c r="GL139" s="600"/>
      <c r="GM139" s="600"/>
      <c r="GN139" s="600"/>
      <c r="GO139" s="600"/>
      <c r="GP139" s="600"/>
      <c r="GQ139" s="600"/>
      <c r="GR139" s="600"/>
    </row>
    <row r="140" spans="1:200" ht="22.5" outlineLevel="2" x14ac:dyDescent="0.2">
      <c r="A140" s="636" t="s">
        <v>5765</v>
      </c>
      <c r="B140" s="636" t="s">
        <v>2030</v>
      </c>
      <c r="C140" s="597"/>
      <c r="D140" s="1536"/>
      <c r="E140" s="635"/>
      <c r="F140" s="635"/>
      <c r="G140" s="1521">
        <v>2</v>
      </c>
      <c r="H140" s="1521"/>
      <c r="I140" s="1521"/>
      <c r="J140" s="1515" t="s">
        <v>1592</v>
      </c>
      <c r="K140" s="1516"/>
      <c r="L140" s="1518"/>
      <c r="M140" s="635"/>
      <c r="AA140">
        <f>IF(AND('12 Ext'!C140&gt;Tmin, NOT('12 Ext'!$I140="")),'12 Ext'!$I140,0)</f>
        <v>0</v>
      </c>
      <c r="AB140">
        <f>IF(AND('12 Ext'!D140&gt;Tmin, NOT('12 Ext'!$I140="")),'12 Ext'!$I140,0)</f>
        <v>0</v>
      </c>
      <c r="AC140">
        <f>IF(AND('12 Ext'!E140&gt;Tmin, NOT('12 Ext'!$I140="")),'12 Ext'!$I140,0)</f>
        <v>0</v>
      </c>
      <c r="AD140">
        <f>IF(AND('12 Ext'!F140&gt;Tmin, NOT('12 Ext'!$I140="")),'12 Ext'!$I140,0)</f>
        <v>0</v>
      </c>
      <c r="AE140">
        <f>IF(AND('12 Ext'!C140&lt;Tmax, NOT('12 Ext'!$H140="")),'12 Ext'!$H140,4)</f>
        <v>4</v>
      </c>
      <c r="AF140">
        <f>IF(AND('12 Ext'!D140&lt;Tmax, NOT('12 Ext'!$H140="")),'12 Ext'!$H140,4)</f>
        <v>4</v>
      </c>
      <c r="AG140">
        <f>IF(AND('12 Ext'!E140&lt;Tmax, NOT('12 Ext'!$H140="")),'12 Ext'!$H140,4)</f>
        <v>4</v>
      </c>
      <c r="AH140">
        <f>IF(AND('12 Ext'!F140&lt;Tmax, NOT('12 Ext'!$H140="")),'12 Ext'!$H140,4)</f>
        <v>4</v>
      </c>
      <c r="AI140"/>
    </row>
    <row r="141" spans="1:200" outlineLevel="2" x14ac:dyDescent="0.2">
      <c r="A141" s="636" t="s">
        <v>5766</v>
      </c>
      <c r="B141" s="636" t="s">
        <v>992</v>
      </c>
      <c r="C141" s="597"/>
      <c r="D141" s="1536"/>
      <c r="E141" s="635"/>
      <c r="F141" s="635"/>
      <c r="G141" s="1521">
        <v>4</v>
      </c>
      <c r="H141" s="1521"/>
      <c r="I141" s="1521"/>
      <c r="J141" s="1515" t="s">
        <v>1592</v>
      </c>
      <c r="K141" s="1516"/>
      <c r="L141" s="1518"/>
      <c r="M141" s="635"/>
      <c r="AA141">
        <f>IF(AND('12 Ext'!C141&gt;Tmin, NOT('12 Ext'!$I141="")),'12 Ext'!$I141,0)</f>
        <v>0</v>
      </c>
      <c r="AB141">
        <f>IF(AND('12 Ext'!D141&gt;Tmin, NOT('12 Ext'!$I141="")),'12 Ext'!$I141,0)</f>
        <v>0</v>
      </c>
      <c r="AC141">
        <f>IF(AND('12 Ext'!E141&gt;Tmin, NOT('12 Ext'!$I141="")),'12 Ext'!$I141,0)</f>
        <v>0</v>
      </c>
      <c r="AD141">
        <f>IF(AND('12 Ext'!F141&gt;Tmin, NOT('12 Ext'!$I141="")),'12 Ext'!$I141,0)</f>
        <v>0</v>
      </c>
      <c r="AE141">
        <f>IF(AND('12 Ext'!C141&lt;Tmax, NOT('12 Ext'!$H141="")),'12 Ext'!$H141,4)</f>
        <v>4</v>
      </c>
      <c r="AF141">
        <f>IF(AND('12 Ext'!D141&lt;Tmax, NOT('12 Ext'!$H141="")),'12 Ext'!$H141,4)</f>
        <v>4</v>
      </c>
      <c r="AG141">
        <f>IF(AND('12 Ext'!E141&lt;Tmax, NOT('12 Ext'!$H141="")),'12 Ext'!$H141,4)</f>
        <v>4</v>
      </c>
      <c r="AH141">
        <f>IF(AND('12 Ext'!F141&lt;Tmax, NOT('12 Ext'!$H141="")),'12 Ext'!$H141,4)</f>
        <v>4</v>
      </c>
      <c r="AI141"/>
    </row>
    <row r="142" spans="1:200" outlineLevel="2" x14ac:dyDescent="0.2">
      <c r="A142" s="636" t="s">
        <v>5767</v>
      </c>
      <c r="B142" s="636" t="s">
        <v>993</v>
      </c>
      <c r="C142" s="597"/>
      <c r="D142" s="1536"/>
      <c r="E142" s="635"/>
      <c r="F142" s="635"/>
      <c r="G142" s="1521">
        <v>4</v>
      </c>
      <c r="H142" s="1521">
        <v>3</v>
      </c>
      <c r="I142" s="1521"/>
      <c r="J142" s="1515" t="s">
        <v>1592</v>
      </c>
      <c r="K142" s="1516"/>
      <c r="L142" s="1518"/>
      <c r="M142" s="635"/>
      <c r="AA142">
        <f>IF(AND('12 Ext'!C142&gt;Tmin, NOT('12 Ext'!$I142="")),'12 Ext'!$I142,0)</f>
        <v>0</v>
      </c>
      <c r="AB142">
        <f>IF(AND('12 Ext'!D142&gt;Tmin, NOT('12 Ext'!$I142="")),'12 Ext'!$I142,0)</f>
        <v>0</v>
      </c>
      <c r="AC142">
        <f>IF(AND('12 Ext'!E142&gt;Tmin, NOT('12 Ext'!$I142="")),'12 Ext'!$I142,0)</f>
        <v>0</v>
      </c>
      <c r="AD142">
        <f>IF(AND('12 Ext'!F142&gt;Tmin, NOT('12 Ext'!$I142="")),'12 Ext'!$I142,0)</f>
        <v>0</v>
      </c>
      <c r="AE142">
        <f>IF(AND('12 Ext'!C142&lt;Tmax, NOT('12 Ext'!$H142="")),'12 Ext'!$H142,4)</f>
        <v>3</v>
      </c>
      <c r="AF142">
        <f>IF(AND('12 Ext'!D142&lt;Tmax, NOT('12 Ext'!$H142="")),'12 Ext'!$H142,4)</f>
        <v>3</v>
      </c>
      <c r="AG142">
        <f>IF(AND('12 Ext'!E142&lt;Tmax, NOT('12 Ext'!$H142="")),'12 Ext'!$H142,4)</f>
        <v>3</v>
      </c>
      <c r="AH142">
        <f>IF(AND('12 Ext'!F142&lt;Tmax, NOT('12 Ext'!$H142="")),'12 Ext'!$H142,4)</f>
        <v>3</v>
      </c>
      <c r="AI142"/>
    </row>
    <row r="143" spans="1:200" s="648" customFormat="1" outlineLevel="1" x14ac:dyDescent="0.2">
      <c r="A143" s="633" t="s">
        <v>5768</v>
      </c>
      <c r="B143" s="634" t="s">
        <v>994</v>
      </c>
      <c r="C143" s="597"/>
      <c r="D143" s="1536"/>
      <c r="E143" s="635"/>
      <c r="F143" s="635"/>
      <c r="G143" s="1515"/>
      <c r="H143" s="1515"/>
      <c r="I143" s="1515"/>
      <c r="J143" s="1515"/>
      <c r="K143" s="1516"/>
      <c r="L143" s="1516"/>
      <c r="M143" s="647"/>
      <c r="N143" s="599"/>
      <c r="O143" s="599"/>
      <c r="P143" s="599"/>
      <c r="Q143" s="599"/>
      <c r="R143" s="599"/>
      <c r="S143" s="599"/>
      <c r="T143" s="599"/>
      <c r="U143" s="599"/>
      <c r="V143" s="599"/>
      <c r="W143" s="599"/>
      <c r="X143" s="599"/>
      <c r="Y143" s="599"/>
      <c r="Z143" s="599"/>
      <c r="AA143"/>
      <c r="AB143"/>
      <c r="AC143"/>
      <c r="AD143"/>
      <c r="AE143"/>
      <c r="AF143"/>
      <c r="AG143"/>
      <c r="AH143"/>
      <c r="AI143"/>
      <c r="AJ143" s="600"/>
      <c r="AK143" s="600"/>
      <c r="AL143" s="600"/>
      <c r="AM143" s="600"/>
      <c r="AN143" s="600"/>
      <c r="AO143" s="600"/>
      <c r="AP143" s="600"/>
      <c r="AQ143" s="600"/>
      <c r="AR143" s="600"/>
      <c r="AS143" s="600"/>
      <c r="AT143" s="600"/>
      <c r="AU143" s="600"/>
      <c r="AV143" s="600"/>
      <c r="AW143" s="600"/>
      <c r="AX143" s="600"/>
      <c r="AY143" s="600"/>
      <c r="AZ143" s="600"/>
      <c r="BA143" s="600"/>
      <c r="BB143" s="600"/>
      <c r="BC143" s="600"/>
      <c r="BD143" s="600"/>
      <c r="BE143" s="600"/>
      <c r="BF143" s="600"/>
      <c r="BG143" s="600"/>
      <c r="BH143" s="600"/>
      <c r="BI143" s="600"/>
      <c r="BJ143" s="600"/>
      <c r="BK143" s="600"/>
      <c r="BL143" s="600"/>
      <c r="BM143" s="600"/>
      <c r="BN143" s="600"/>
      <c r="BO143" s="600"/>
      <c r="BP143" s="600"/>
      <c r="BQ143" s="600"/>
      <c r="BR143" s="600"/>
      <c r="BS143" s="600"/>
      <c r="BT143" s="600"/>
      <c r="BU143" s="600"/>
      <c r="BV143" s="600"/>
      <c r="BW143" s="600"/>
      <c r="BX143" s="600"/>
      <c r="BY143" s="600"/>
      <c r="BZ143" s="600"/>
      <c r="CA143" s="600"/>
      <c r="CB143" s="600"/>
      <c r="CC143" s="600"/>
      <c r="CD143" s="600"/>
      <c r="CE143" s="600"/>
      <c r="CF143" s="600"/>
      <c r="CG143" s="600"/>
      <c r="CH143" s="600"/>
      <c r="CI143" s="600"/>
      <c r="CJ143" s="600"/>
      <c r="CK143" s="600"/>
      <c r="CL143" s="600"/>
      <c r="CM143" s="600"/>
      <c r="CN143" s="600"/>
      <c r="CO143" s="600"/>
      <c r="CP143" s="600"/>
      <c r="CQ143" s="600"/>
      <c r="CR143" s="600"/>
      <c r="CS143" s="600"/>
      <c r="CT143" s="600"/>
      <c r="CU143" s="600"/>
      <c r="CV143" s="600"/>
      <c r="CW143" s="600"/>
      <c r="CX143" s="600"/>
      <c r="CY143" s="600"/>
      <c r="CZ143" s="600"/>
      <c r="DA143" s="600"/>
      <c r="DB143" s="600"/>
      <c r="DC143" s="600"/>
      <c r="DD143" s="600"/>
      <c r="DE143" s="600"/>
      <c r="DF143" s="600"/>
      <c r="DG143" s="600"/>
      <c r="DH143" s="600"/>
      <c r="DI143" s="600"/>
      <c r="DJ143" s="600"/>
      <c r="DK143" s="600"/>
      <c r="DL143" s="600"/>
      <c r="DM143" s="600"/>
      <c r="DN143" s="600"/>
      <c r="DO143" s="600"/>
      <c r="DP143" s="600"/>
      <c r="DQ143" s="600"/>
      <c r="DR143" s="600"/>
      <c r="DS143" s="600"/>
      <c r="DT143" s="600"/>
      <c r="DU143" s="600"/>
      <c r="DV143" s="600"/>
      <c r="DW143" s="600"/>
      <c r="DX143" s="600"/>
      <c r="DY143" s="600"/>
      <c r="DZ143" s="600"/>
      <c r="EA143" s="600"/>
      <c r="EB143" s="600"/>
      <c r="EC143" s="600"/>
      <c r="ED143" s="600"/>
      <c r="EE143" s="600"/>
      <c r="EF143" s="600"/>
      <c r="EG143" s="600"/>
      <c r="EH143" s="600"/>
      <c r="EI143" s="600"/>
      <c r="EJ143" s="600"/>
      <c r="EK143" s="600"/>
      <c r="EL143" s="600"/>
      <c r="EM143" s="600"/>
      <c r="EN143" s="600"/>
      <c r="EO143" s="600"/>
      <c r="EP143" s="600"/>
      <c r="EQ143" s="600"/>
      <c r="ER143" s="600"/>
      <c r="ES143" s="600"/>
      <c r="ET143" s="600"/>
      <c r="EU143" s="600"/>
      <c r="EV143" s="600"/>
      <c r="EW143" s="600"/>
      <c r="EX143" s="600"/>
      <c r="EY143" s="600"/>
      <c r="EZ143" s="600"/>
      <c r="FA143" s="600"/>
      <c r="FB143" s="600"/>
      <c r="FC143" s="600"/>
      <c r="FD143" s="600"/>
      <c r="FE143" s="600"/>
      <c r="FF143" s="600"/>
      <c r="FG143" s="600"/>
      <c r="FH143" s="600"/>
      <c r="FI143" s="600"/>
      <c r="FJ143" s="600"/>
      <c r="FK143" s="600"/>
      <c r="FL143" s="600"/>
      <c r="FM143" s="600"/>
      <c r="FN143" s="600"/>
      <c r="FO143" s="600"/>
      <c r="FP143" s="600"/>
      <c r="FQ143" s="600"/>
      <c r="FR143" s="600"/>
      <c r="FS143" s="600"/>
      <c r="FT143" s="600"/>
      <c r="FU143" s="600"/>
      <c r="FV143" s="600"/>
      <c r="FW143" s="600"/>
      <c r="FX143" s="600"/>
      <c r="FY143" s="600"/>
      <c r="FZ143" s="600"/>
      <c r="GA143" s="600"/>
      <c r="GB143" s="600"/>
      <c r="GC143" s="600"/>
      <c r="GD143" s="600"/>
      <c r="GE143" s="600"/>
      <c r="GF143" s="600"/>
      <c r="GG143" s="600"/>
      <c r="GH143" s="600"/>
      <c r="GI143" s="600"/>
      <c r="GJ143" s="600"/>
      <c r="GK143" s="600"/>
      <c r="GL143" s="600"/>
      <c r="GM143" s="600"/>
      <c r="GN143" s="600"/>
      <c r="GO143" s="600"/>
      <c r="GP143" s="600"/>
      <c r="GQ143" s="600"/>
      <c r="GR143" s="600"/>
    </row>
    <row r="144" spans="1:200" ht="12.75" customHeight="1" outlineLevel="2" x14ac:dyDescent="0.2">
      <c r="A144" s="636" t="s">
        <v>5769</v>
      </c>
      <c r="B144" s="636" t="s">
        <v>2031</v>
      </c>
      <c r="C144" s="597"/>
      <c r="D144" s="1536"/>
      <c r="E144" s="635"/>
      <c r="F144" s="635"/>
      <c r="G144" s="1521">
        <v>4</v>
      </c>
      <c r="H144" s="1547"/>
      <c r="I144" s="1547"/>
      <c r="J144" s="1515" t="s">
        <v>1592</v>
      </c>
      <c r="K144" s="1516"/>
      <c r="L144" s="1518"/>
      <c r="M144" s="635"/>
      <c r="AA144">
        <f>IF(AND('12 Ext'!C144&gt;Tmin, NOT('12 Ext'!$I144="")),'12 Ext'!$I144,0)</f>
        <v>0</v>
      </c>
      <c r="AB144">
        <f>IF(AND('12 Ext'!D144&gt;Tmin, NOT('12 Ext'!$I144="")),'12 Ext'!$I144,0)</f>
        <v>0</v>
      </c>
      <c r="AC144">
        <f>IF(AND('12 Ext'!E144&gt;Tmin, NOT('12 Ext'!$I144="")),'12 Ext'!$I144,0)</f>
        <v>0</v>
      </c>
      <c r="AD144">
        <f>IF(AND('12 Ext'!F144&gt;Tmin, NOT('12 Ext'!$I144="")),'12 Ext'!$I144,0)</f>
        <v>0</v>
      </c>
      <c r="AE144">
        <f>IF(AND('12 Ext'!C144&lt;Tmax, NOT('12 Ext'!$H144="")),'12 Ext'!$H144,4)</f>
        <v>4</v>
      </c>
      <c r="AF144">
        <f>IF(AND('12 Ext'!D144&lt;Tmax, NOT('12 Ext'!$H144="")),'12 Ext'!$H144,4)</f>
        <v>4</v>
      </c>
      <c r="AG144">
        <f>IF(AND('12 Ext'!E144&lt;Tmax, NOT('12 Ext'!$H144="")),'12 Ext'!$H144,4)</f>
        <v>4</v>
      </c>
      <c r="AH144">
        <f>IF(AND('12 Ext'!F144&lt;Tmax, NOT('12 Ext'!$H144="")),'12 Ext'!$H144,4)</f>
        <v>4</v>
      </c>
      <c r="AI144"/>
    </row>
    <row r="145" spans="1:200" outlineLevel="2" x14ac:dyDescent="0.2">
      <c r="A145" s="636" t="s">
        <v>5770</v>
      </c>
      <c r="B145" s="636" t="s">
        <v>995</v>
      </c>
      <c r="C145" s="597"/>
      <c r="D145" s="1536"/>
      <c r="E145" s="635"/>
      <c r="F145" s="635"/>
      <c r="G145" s="1521">
        <v>4</v>
      </c>
      <c r="H145" s="1547"/>
      <c r="I145" s="1547"/>
      <c r="J145" s="1515" t="s">
        <v>1592</v>
      </c>
      <c r="K145" s="1516"/>
      <c r="L145" s="1518"/>
      <c r="M145" s="635"/>
      <c r="AA145">
        <f>IF(AND('12 Ext'!C145&gt;Tmin, NOT('12 Ext'!$I145="")),'12 Ext'!$I145,0)</f>
        <v>0</v>
      </c>
      <c r="AB145">
        <f>IF(AND('12 Ext'!D145&gt;Tmin, NOT('12 Ext'!$I145="")),'12 Ext'!$I145,0)</f>
        <v>0</v>
      </c>
      <c r="AC145">
        <f>IF(AND('12 Ext'!E145&gt;Tmin, NOT('12 Ext'!$I145="")),'12 Ext'!$I145,0)</f>
        <v>0</v>
      </c>
      <c r="AD145">
        <f>IF(AND('12 Ext'!F145&gt;Tmin, NOT('12 Ext'!$I145="")),'12 Ext'!$I145,0)</f>
        <v>0</v>
      </c>
      <c r="AE145">
        <f>IF(AND('12 Ext'!C145&lt;Tmax, NOT('12 Ext'!$H145="")),'12 Ext'!$H145,4)</f>
        <v>4</v>
      </c>
      <c r="AF145">
        <f>IF(AND('12 Ext'!D145&lt;Tmax, NOT('12 Ext'!$H145="")),'12 Ext'!$H145,4)</f>
        <v>4</v>
      </c>
      <c r="AG145">
        <f>IF(AND('12 Ext'!E145&lt;Tmax, NOT('12 Ext'!$H145="")),'12 Ext'!$H145,4)</f>
        <v>4</v>
      </c>
      <c r="AH145">
        <f>IF(AND('12 Ext'!F145&lt;Tmax, NOT('12 Ext'!$H145="")),'12 Ext'!$H145,4)</f>
        <v>4</v>
      </c>
      <c r="AI145"/>
    </row>
    <row r="146" spans="1:200" outlineLevel="2" x14ac:dyDescent="0.2">
      <c r="A146" s="636" t="s">
        <v>5771</v>
      </c>
      <c r="B146" s="636" t="s">
        <v>996</v>
      </c>
      <c r="C146" s="597"/>
      <c r="D146" s="1536"/>
      <c r="E146" s="635"/>
      <c r="F146" s="635"/>
      <c r="G146" s="1521">
        <v>4</v>
      </c>
      <c r="H146" s="1521">
        <v>3</v>
      </c>
      <c r="I146" s="1547"/>
      <c r="J146" s="1515" t="s">
        <v>1592</v>
      </c>
      <c r="K146" s="1516"/>
      <c r="L146" s="1518"/>
      <c r="M146" s="635"/>
      <c r="AA146">
        <f>IF(AND('12 Ext'!C146&gt;Tmin, NOT('12 Ext'!$I146="")),'12 Ext'!$I146,0)</f>
        <v>0</v>
      </c>
      <c r="AB146">
        <f>IF(AND('12 Ext'!D146&gt;Tmin, NOT('12 Ext'!$I146="")),'12 Ext'!$I146,0)</f>
        <v>0</v>
      </c>
      <c r="AC146">
        <f>IF(AND('12 Ext'!E146&gt;Tmin, NOT('12 Ext'!$I146="")),'12 Ext'!$I146,0)</f>
        <v>0</v>
      </c>
      <c r="AD146">
        <f>IF(AND('12 Ext'!F146&gt;Tmin, NOT('12 Ext'!$I146="")),'12 Ext'!$I146,0)</f>
        <v>0</v>
      </c>
      <c r="AE146">
        <f>IF(AND('12 Ext'!C146&lt;Tmax, NOT('12 Ext'!$H146="")),'12 Ext'!$H146,4)</f>
        <v>3</v>
      </c>
      <c r="AF146">
        <f>IF(AND('12 Ext'!D146&lt;Tmax, NOT('12 Ext'!$H146="")),'12 Ext'!$H146,4)</f>
        <v>3</v>
      </c>
      <c r="AG146">
        <f>IF(AND('12 Ext'!E146&lt;Tmax, NOT('12 Ext'!$H146="")),'12 Ext'!$H146,4)</f>
        <v>3</v>
      </c>
      <c r="AH146">
        <f>IF(AND('12 Ext'!F146&lt;Tmax, NOT('12 Ext'!$H146="")),'12 Ext'!$H146,4)</f>
        <v>3</v>
      </c>
      <c r="AI146"/>
    </row>
    <row r="147" spans="1:200" outlineLevel="2" x14ac:dyDescent="0.2">
      <c r="A147" s="636" t="s">
        <v>5772</v>
      </c>
      <c r="B147" s="636" t="s">
        <v>997</v>
      </c>
      <c r="C147" s="597"/>
      <c r="D147" s="1536"/>
      <c r="E147" s="635"/>
      <c r="F147" s="635"/>
      <c r="G147" s="1521">
        <v>4</v>
      </c>
      <c r="H147" s="1521">
        <v>3</v>
      </c>
      <c r="I147" s="1547"/>
      <c r="J147" s="1515" t="s">
        <v>1592</v>
      </c>
      <c r="K147" s="1516"/>
      <c r="L147" s="1518"/>
      <c r="M147" s="635"/>
      <c r="AA147">
        <f>IF(AND('12 Ext'!C147&gt;Tmin, NOT('12 Ext'!$I147="")),'12 Ext'!$I147,0)</f>
        <v>0</v>
      </c>
      <c r="AB147">
        <f>IF(AND('12 Ext'!D147&gt;Tmin, NOT('12 Ext'!$I147="")),'12 Ext'!$I147,0)</f>
        <v>0</v>
      </c>
      <c r="AC147">
        <f>IF(AND('12 Ext'!E147&gt;Tmin, NOT('12 Ext'!$I147="")),'12 Ext'!$I147,0)</f>
        <v>0</v>
      </c>
      <c r="AD147">
        <f>IF(AND('12 Ext'!F147&gt;Tmin, NOT('12 Ext'!$I147="")),'12 Ext'!$I147,0)</f>
        <v>0</v>
      </c>
      <c r="AE147">
        <f>IF(AND('12 Ext'!C147&lt;Tmax, NOT('12 Ext'!$H147="")),'12 Ext'!$H147,4)</f>
        <v>3</v>
      </c>
      <c r="AF147">
        <f>IF(AND('12 Ext'!D147&lt;Tmax, NOT('12 Ext'!$H147="")),'12 Ext'!$H147,4)</f>
        <v>3</v>
      </c>
      <c r="AG147">
        <f>IF(AND('12 Ext'!E147&lt;Tmax, NOT('12 Ext'!$H147="")),'12 Ext'!$H147,4)</f>
        <v>3</v>
      </c>
      <c r="AH147">
        <f>IF(AND('12 Ext'!F147&lt;Tmax, NOT('12 Ext'!$H147="")),'12 Ext'!$H147,4)</f>
        <v>3</v>
      </c>
      <c r="AI147"/>
    </row>
    <row r="148" spans="1:200" s="632" customFormat="1" ht="15" customHeight="1" x14ac:dyDescent="0.2">
      <c r="A148" s="644" t="s">
        <v>3035</v>
      </c>
      <c r="B148" s="644" t="s">
        <v>1026</v>
      </c>
      <c r="C148" s="597"/>
      <c r="D148" s="1536"/>
      <c r="E148" s="635"/>
      <c r="F148" s="635"/>
      <c r="G148" s="1526"/>
      <c r="H148" s="1526"/>
      <c r="I148" s="1526"/>
      <c r="J148" s="1526"/>
      <c r="K148" s="1518"/>
      <c r="L148" s="1518"/>
      <c r="M148" s="635"/>
      <c r="N148" s="624"/>
      <c r="O148" s="624"/>
      <c r="P148" s="624"/>
      <c r="Q148" s="624"/>
      <c r="R148" s="624"/>
      <c r="S148" s="624"/>
      <c r="T148" s="624"/>
      <c r="U148" s="624"/>
      <c r="V148" s="624"/>
      <c r="W148" s="624"/>
      <c r="X148" s="624"/>
      <c r="Y148" s="624"/>
      <c r="Z148" s="624"/>
      <c r="AA148"/>
      <c r="AB148"/>
      <c r="AC148"/>
      <c r="AD148"/>
      <c r="AE148"/>
      <c r="AF148"/>
      <c r="AG148"/>
      <c r="AH148"/>
      <c r="AI148"/>
      <c r="AJ148" s="230"/>
      <c r="AK148" s="230"/>
      <c r="AL148" s="230"/>
      <c r="AM148" s="230"/>
      <c r="AN148" s="230"/>
      <c r="AO148" s="230"/>
      <c r="AP148" s="230"/>
      <c r="AQ148" s="230"/>
      <c r="AR148" s="230"/>
      <c r="AS148" s="230"/>
      <c r="AT148" s="230"/>
      <c r="AU148" s="230"/>
      <c r="AV148" s="230"/>
      <c r="AW148" s="230"/>
      <c r="AX148" s="230"/>
      <c r="AY148" s="230"/>
      <c r="AZ148" s="230"/>
      <c r="BA148" s="230"/>
      <c r="BB148" s="230"/>
      <c r="BC148" s="230"/>
      <c r="BD148" s="230"/>
      <c r="BE148" s="230"/>
      <c r="BF148" s="230"/>
      <c r="BG148" s="230"/>
      <c r="BH148" s="230"/>
      <c r="BI148" s="230"/>
      <c r="BJ148" s="230"/>
      <c r="BK148" s="230"/>
      <c r="BL148" s="230"/>
      <c r="BM148" s="230"/>
      <c r="BN148" s="230"/>
      <c r="BO148" s="230"/>
      <c r="BP148" s="230"/>
      <c r="BQ148" s="230"/>
      <c r="BR148" s="230"/>
      <c r="BS148" s="230"/>
      <c r="BT148" s="230"/>
      <c r="BU148" s="230"/>
      <c r="BV148" s="230"/>
      <c r="BW148" s="230"/>
      <c r="BX148" s="230"/>
      <c r="BY148" s="230"/>
      <c r="BZ148" s="230"/>
      <c r="CA148" s="230"/>
      <c r="CB148" s="230"/>
      <c r="CC148" s="230"/>
      <c r="CD148" s="230"/>
      <c r="CE148" s="230"/>
      <c r="CF148" s="230"/>
      <c r="CG148" s="230"/>
      <c r="CH148" s="230"/>
      <c r="CI148" s="230"/>
      <c r="CJ148" s="230"/>
      <c r="CK148" s="230"/>
      <c r="CL148" s="230"/>
      <c r="CM148" s="230"/>
      <c r="CN148" s="230"/>
      <c r="CO148" s="230"/>
      <c r="CP148" s="230"/>
      <c r="CQ148" s="230"/>
      <c r="CR148" s="230"/>
      <c r="CS148" s="230"/>
      <c r="CT148" s="230"/>
      <c r="CU148" s="230"/>
      <c r="CV148" s="230"/>
      <c r="CW148" s="230"/>
      <c r="CX148" s="230"/>
      <c r="CY148" s="230"/>
      <c r="CZ148" s="230"/>
      <c r="DA148" s="230"/>
      <c r="DB148" s="230"/>
      <c r="DC148" s="230"/>
      <c r="DD148" s="230"/>
      <c r="DE148" s="230"/>
      <c r="DF148" s="230"/>
      <c r="DG148" s="230"/>
      <c r="DH148" s="230"/>
      <c r="DI148" s="230"/>
      <c r="DJ148" s="230"/>
      <c r="DK148" s="230"/>
      <c r="DL148" s="230"/>
      <c r="DM148" s="230"/>
      <c r="DN148" s="230"/>
      <c r="DO148" s="230"/>
      <c r="DP148" s="230"/>
      <c r="DQ148" s="230"/>
      <c r="DR148" s="230"/>
      <c r="DS148" s="230"/>
      <c r="DT148" s="230"/>
      <c r="DU148" s="230"/>
      <c r="DV148" s="230"/>
      <c r="DW148" s="230"/>
      <c r="DX148" s="230"/>
      <c r="DY148" s="230"/>
      <c r="DZ148" s="230"/>
      <c r="EA148" s="230"/>
      <c r="EB148" s="230"/>
      <c r="EC148" s="230"/>
      <c r="ED148" s="230"/>
      <c r="EE148" s="230"/>
      <c r="EF148" s="230"/>
      <c r="EG148" s="230"/>
      <c r="EH148" s="230"/>
      <c r="EI148" s="230"/>
      <c r="EJ148" s="230"/>
      <c r="EK148" s="230"/>
      <c r="EL148" s="230"/>
      <c r="EM148" s="230"/>
      <c r="EN148" s="230"/>
      <c r="EO148" s="230"/>
      <c r="EP148" s="230"/>
      <c r="EQ148" s="230"/>
      <c r="ER148" s="230"/>
      <c r="ES148" s="230"/>
      <c r="ET148" s="230"/>
      <c r="EU148" s="230"/>
      <c r="EV148" s="230"/>
      <c r="EW148" s="230"/>
      <c r="EX148" s="230"/>
      <c r="EY148" s="230"/>
      <c r="EZ148" s="230"/>
      <c r="FA148" s="230"/>
      <c r="FB148" s="230"/>
      <c r="FC148" s="230"/>
      <c r="FD148" s="230"/>
      <c r="FE148" s="230"/>
      <c r="FF148" s="230"/>
      <c r="FG148" s="230"/>
      <c r="FH148" s="230"/>
      <c r="FI148" s="230"/>
      <c r="FJ148" s="230"/>
      <c r="FK148" s="230"/>
      <c r="FL148" s="230"/>
      <c r="FM148" s="230"/>
      <c r="FN148" s="230"/>
      <c r="FO148" s="230"/>
      <c r="FP148" s="230"/>
      <c r="FQ148" s="230"/>
      <c r="FR148" s="230"/>
      <c r="FS148" s="230"/>
      <c r="FT148" s="230"/>
      <c r="FU148" s="230"/>
      <c r="FV148" s="230"/>
      <c r="FW148" s="230"/>
      <c r="FX148" s="230"/>
      <c r="FY148" s="230"/>
      <c r="FZ148" s="230"/>
      <c r="GA148" s="230"/>
      <c r="GB148" s="230"/>
      <c r="GC148" s="230"/>
      <c r="GD148" s="230"/>
      <c r="GE148" s="230"/>
      <c r="GF148" s="230"/>
      <c r="GG148" s="230"/>
      <c r="GH148" s="230"/>
      <c r="GI148" s="230"/>
      <c r="GJ148" s="230"/>
      <c r="GK148" s="230"/>
      <c r="GL148" s="230"/>
      <c r="GM148" s="230"/>
      <c r="GN148" s="230"/>
      <c r="GO148" s="230"/>
      <c r="GP148" s="230"/>
      <c r="GQ148" s="230"/>
      <c r="GR148" s="230"/>
    </row>
    <row r="149" spans="1:200" s="632" customFormat="1" ht="12.75" customHeight="1" outlineLevel="1" x14ac:dyDescent="0.2">
      <c r="A149" s="633" t="s">
        <v>2048</v>
      </c>
      <c r="B149" s="634" t="s">
        <v>5737</v>
      </c>
      <c r="C149" s="597"/>
      <c r="D149" s="1536"/>
      <c r="E149" s="635"/>
      <c r="F149" s="635"/>
      <c r="G149" s="1517"/>
      <c r="H149" s="1517"/>
      <c r="I149" s="1517"/>
      <c r="J149" s="1517"/>
      <c r="K149" s="1518"/>
      <c r="L149" s="1518"/>
      <c r="M149" s="635"/>
      <c r="N149" s="624"/>
      <c r="O149" s="624"/>
      <c r="P149" s="624"/>
      <c r="Q149" s="624"/>
      <c r="R149" s="624"/>
      <c r="S149" s="624"/>
      <c r="T149" s="624"/>
      <c r="U149" s="624"/>
      <c r="V149" s="624"/>
      <c r="W149" s="624"/>
      <c r="X149" s="624"/>
      <c r="Y149" s="624"/>
      <c r="Z149" s="624"/>
      <c r="AA149"/>
      <c r="AB149"/>
      <c r="AC149"/>
      <c r="AD149"/>
      <c r="AE149"/>
      <c r="AF149"/>
      <c r="AG149"/>
      <c r="AH149"/>
      <c r="AI149"/>
      <c r="AJ149" s="230"/>
      <c r="AK149" s="230"/>
      <c r="AL149" s="230"/>
      <c r="AM149" s="230"/>
      <c r="AN149" s="230"/>
      <c r="AO149" s="230"/>
      <c r="AP149" s="230"/>
      <c r="AQ149" s="230"/>
      <c r="AR149" s="230"/>
      <c r="AS149" s="230"/>
      <c r="AT149" s="230"/>
      <c r="AU149" s="230"/>
      <c r="AV149" s="230"/>
      <c r="AW149" s="230"/>
      <c r="AX149" s="230"/>
      <c r="AY149" s="230"/>
      <c r="AZ149" s="230"/>
      <c r="BA149" s="230"/>
      <c r="BB149" s="230"/>
      <c r="BC149" s="230"/>
      <c r="BD149" s="230"/>
      <c r="BE149" s="230"/>
      <c r="BF149" s="230"/>
      <c r="BG149" s="230"/>
      <c r="BH149" s="230"/>
      <c r="BI149" s="230"/>
      <c r="BJ149" s="230"/>
      <c r="BK149" s="230"/>
      <c r="BL149" s="230"/>
      <c r="BM149" s="230"/>
      <c r="BN149" s="230"/>
      <c r="BO149" s="230"/>
      <c r="BP149" s="230"/>
      <c r="BQ149" s="230"/>
      <c r="BR149" s="230"/>
      <c r="BS149" s="230"/>
      <c r="BT149" s="230"/>
      <c r="BU149" s="230"/>
      <c r="BV149" s="230"/>
      <c r="BW149" s="230"/>
      <c r="BX149" s="230"/>
      <c r="BY149" s="230"/>
      <c r="BZ149" s="230"/>
      <c r="CA149" s="230"/>
      <c r="CB149" s="230"/>
      <c r="CC149" s="230"/>
      <c r="CD149" s="230"/>
      <c r="CE149" s="230"/>
      <c r="CF149" s="230"/>
      <c r="CG149" s="230"/>
      <c r="CH149" s="230"/>
      <c r="CI149" s="230"/>
      <c r="CJ149" s="230"/>
      <c r="CK149" s="230"/>
      <c r="CL149" s="230"/>
      <c r="CM149" s="230"/>
      <c r="CN149" s="230"/>
      <c r="CO149" s="230"/>
      <c r="CP149" s="230"/>
      <c r="CQ149" s="230"/>
      <c r="CR149" s="230"/>
      <c r="CS149" s="230"/>
      <c r="CT149" s="230"/>
      <c r="CU149" s="230"/>
      <c r="CV149" s="230"/>
      <c r="CW149" s="230"/>
      <c r="CX149" s="230"/>
      <c r="CY149" s="230"/>
      <c r="CZ149" s="230"/>
      <c r="DA149" s="230"/>
      <c r="DB149" s="230"/>
      <c r="DC149" s="230"/>
      <c r="DD149" s="230"/>
      <c r="DE149" s="230"/>
      <c r="DF149" s="230"/>
      <c r="DG149" s="230"/>
      <c r="DH149" s="230"/>
      <c r="DI149" s="230"/>
      <c r="DJ149" s="230"/>
      <c r="DK149" s="230"/>
      <c r="DL149" s="230"/>
      <c r="DM149" s="230"/>
      <c r="DN149" s="230"/>
      <c r="DO149" s="230"/>
      <c r="DP149" s="230"/>
      <c r="DQ149" s="230"/>
      <c r="DR149" s="230"/>
      <c r="DS149" s="230"/>
      <c r="DT149" s="230"/>
      <c r="DU149" s="230"/>
      <c r="DV149" s="230"/>
      <c r="DW149" s="230"/>
      <c r="DX149" s="230"/>
      <c r="DY149" s="230"/>
      <c r="DZ149" s="230"/>
      <c r="EA149" s="230"/>
      <c r="EB149" s="230"/>
      <c r="EC149" s="230"/>
      <c r="ED149" s="230"/>
      <c r="EE149" s="230"/>
      <c r="EF149" s="230"/>
      <c r="EG149" s="230"/>
      <c r="EH149" s="230"/>
      <c r="EI149" s="230"/>
      <c r="EJ149" s="230"/>
      <c r="EK149" s="230"/>
      <c r="EL149" s="230"/>
      <c r="EM149" s="230"/>
      <c r="EN149" s="230"/>
      <c r="EO149" s="230"/>
      <c r="EP149" s="230"/>
      <c r="EQ149" s="230"/>
      <c r="ER149" s="230"/>
      <c r="ES149" s="230"/>
      <c r="ET149" s="230"/>
      <c r="EU149" s="230"/>
      <c r="EV149" s="230"/>
      <c r="EW149" s="230"/>
      <c r="EX149" s="230"/>
      <c r="EY149" s="230"/>
      <c r="EZ149" s="230"/>
      <c r="FA149" s="230"/>
      <c r="FB149" s="230"/>
      <c r="FC149" s="230"/>
      <c r="FD149" s="230"/>
      <c r="FE149" s="230"/>
      <c r="FF149" s="230"/>
      <c r="FG149" s="230"/>
      <c r="FH149" s="230"/>
      <c r="FI149" s="230"/>
      <c r="FJ149" s="230"/>
      <c r="FK149" s="230"/>
      <c r="FL149" s="230"/>
      <c r="FM149" s="230"/>
      <c r="FN149" s="230"/>
      <c r="FO149" s="230"/>
      <c r="FP149" s="230"/>
      <c r="FQ149" s="230"/>
      <c r="FR149" s="230"/>
      <c r="FS149" s="230"/>
      <c r="FT149" s="230"/>
      <c r="FU149" s="230"/>
      <c r="FV149" s="230"/>
      <c r="FW149" s="230"/>
      <c r="FX149" s="230"/>
      <c r="FY149" s="230"/>
      <c r="FZ149" s="230"/>
      <c r="GA149" s="230"/>
      <c r="GB149" s="230"/>
      <c r="GC149" s="230"/>
      <c r="GD149" s="230"/>
      <c r="GE149" s="230"/>
      <c r="GF149" s="230"/>
      <c r="GG149" s="230"/>
      <c r="GH149" s="230"/>
      <c r="GI149" s="230"/>
      <c r="GJ149" s="230"/>
      <c r="GK149" s="230"/>
      <c r="GL149" s="230"/>
      <c r="GM149" s="230"/>
      <c r="GN149" s="230"/>
      <c r="GO149" s="230"/>
      <c r="GP149" s="230"/>
      <c r="GQ149" s="230"/>
      <c r="GR149" s="230"/>
    </row>
    <row r="150" spans="1:200" s="632" customFormat="1" ht="33.75" outlineLevel="2" x14ac:dyDescent="0.2">
      <c r="A150" s="636" t="s">
        <v>3036</v>
      </c>
      <c r="B150" s="636" t="s">
        <v>4692</v>
      </c>
      <c r="C150" s="597"/>
      <c r="D150" s="1536"/>
      <c r="E150" s="635"/>
      <c r="F150" s="635"/>
      <c r="G150" s="1517">
        <v>1</v>
      </c>
      <c r="H150" s="1517"/>
      <c r="I150" s="1517"/>
      <c r="J150" s="1517" t="s">
        <v>4246</v>
      </c>
      <c r="K150" s="1458" t="s">
        <v>7141</v>
      </c>
      <c r="L150" s="1518" t="s">
        <v>7368</v>
      </c>
      <c r="M150" s="635"/>
      <c r="N150" s="624"/>
      <c r="O150" s="624"/>
      <c r="P150" s="624"/>
      <c r="Q150" s="624"/>
      <c r="R150" s="624"/>
      <c r="S150" s="624"/>
      <c r="T150" s="624"/>
      <c r="U150" s="624"/>
      <c r="V150" s="624"/>
      <c r="W150" s="624"/>
      <c r="X150" s="624"/>
      <c r="Y150" s="624"/>
      <c r="Z150" s="624"/>
      <c r="AA150">
        <f>IF(AND('12 Ext'!C150&gt;Tmin, NOT('12 Ext'!$I150="")),'12 Ext'!$I150,0)</f>
        <v>0</v>
      </c>
      <c r="AB150">
        <f>IF(AND('12 Ext'!D150&gt;Tmin, NOT('12 Ext'!$I150="")),'12 Ext'!$I150,0)</f>
        <v>0</v>
      </c>
      <c r="AC150">
        <f>IF(AND('12 Ext'!E150&gt;Tmin, NOT('12 Ext'!$I150="")),'12 Ext'!$I150,0)</f>
        <v>0</v>
      </c>
      <c r="AD150">
        <f>IF(AND('12 Ext'!F150&gt;Tmin, NOT('12 Ext'!$I150="")),'12 Ext'!$I150,0)</f>
        <v>0</v>
      </c>
      <c r="AE150">
        <f>IF(AND('12 Ext'!C150&lt;Tmax, NOT('12 Ext'!$H150="")),'12 Ext'!$H150,4)</f>
        <v>4</v>
      </c>
      <c r="AF150">
        <f>IF(AND('12 Ext'!D150&lt;Tmax, NOT('12 Ext'!$H150="")),'12 Ext'!$H150,4)</f>
        <v>4</v>
      </c>
      <c r="AG150">
        <f>IF(AND('12 Ext'!E150&lt;Tmax, NOT('12 Ext'!$H150="")),'12 Ext'!$H150,4)</f>
        <v>4</v>
      </c>
      <c r="AH150">
        <f>IF(AND('12 Ext'!F150&lt;Tmax, NOT('12 Ext'!$H150="")),'12 Ext'!$H150,4)</f>
        <v>4</v>
      </c>
      <c r="AI150"/>
      <c r="AJ150" s="230"/>
      <c r="AK150" s="230"/>
      <c r="AL150" s="230"/>
      <c r="AM150" s="230"/>
      <c r="AN150" s="230"/>
      <c r="AO150" s="230"/>
      <c r="AP150" s="230"/>
      <c r="AQ150" s="230"/>
      <c r="AR150" s="230"/>
      <c r="AS150" s="230"/>
      <c r="AT150" s="230"/>
      <c r="AU150" s="230"/>
      <c r="AV150" s="230"/>
      <c r="AW150" s="230"/>
      <c r="AX150" s="230"/>
      <c r="AY150" s="230"/>
      <c r="AZ150" s="230"/>
      <c r="BA150" s="230"/>
      <c r="BB150" s="230"/>
      <c r="BC150" s="230"/>
      <c r="BD150" s="230"/>
      <c r="BE150" s="230"/>
      <c r="BF150" s="230"/>
      <c r="BG150" s="230"/>
      <c r="BH150" s="230"/>
      <c r="BI150" s="230"/>
      <c r="BJ150" s="230"/>
      <c r="BK150" s="230"/>
      <c r="BL150" s="230"/>
      <c r="BM150" s="230"/>
      <c r="BN150" s="230"/>
      <c r="BO150" s="230"/>
      <c r="BP150" s="230"/>
      <c r="BQ150" s="230"/>
      <c r="BR150" s="230"/>
      <c r="BS150" s="230"/>
      <c r="BT150" s="230"/>
      <c r="BU150" s="230"/>
      <c r="BV150" s="230"/>
      <c r="BW150" s="230"/>
      <c r="BX150" s="230"/>
      <c r="BY150" s="230"/>
      <c r="BZ150" s="230"/>
      <c r="CA150" s="230"/>
      <c r="CB150" s="230"/>
      <c r="CC150" s="230"/>
      <c r="CD150" s="230"/>
      <c r="CE150" s="230"/>
      <c r="CF150" s="230"/>
      <c r="CG150" s="230"/>
      <c r="CH150" s="230"/>
      <c r="CI150" s="230"/>
      <c r="CJ150" s="230"/>
      <c r="CK150" s="230"/>
      <c r="CL150" s="230"/>
      <c r="CM150" s="230"/>
      <c r="CN150" s="230"/>
      <c r="CO150" s="230"/>
      <c r="CP150" s="230"/>
      <c r="CQ150" s="230"/>
      <c r="CR150" s="230"/>
      <c r="CS150" s="230"/>
      <c r="CT150" s="230"/>
      <c r="CU150" s="230"/>
      <c r="CV150" s="230"/>
      <c r="CW150" s="230"/>
      <c r="CX150" s="230"/>
      <c r="CY150" s="230"/>
      <c r="CZ150" s="230"/>
      <c r="DA150" s="230"/>
      <c r="DB150" s="230"/>
      <c r="DC150" s="230"/>
      <c r="DD150" s="230"/>
      <c r="DE150" s="230"/>
      <c r="DF150" s="230"/>
      <c r="DG150" s="230"/>
      <c r="DH150" s="230"/>
      <c r="DI150" s="230"/>
      <c r="DJ150" s="230"/>
      <c r="DK150" s="230"/>
      <c r="DL150" s="230"/>
      <c r="DM150" s="230"/>
      <c r="DN150" s="230"/>
      <c r="DO150" s="230"/>
      <c r="DP150" s="230"/>
      <c r="DQ150" s="230"/>
      <c r="DR150" s="230"/>
      <c r="DS150" s="230"/>
      <c r="DT150" s="230"/>
      <c r="DU150" s="230"/>
      <c r="DV150" s="230"/>
      <c r="DW150" s="230"/>
      <c r="DX150" s="230"/>
      <c r="DY150" s="230"/>
      <c r="DZ150" s="230"/>
      <c r="EA150" s="230"/>
      <c r="EB150" s="230"/>
      <c r="EC150" s="230"/>
      <c r="ED150" s="230"/>
      <c r="EE150" s="230"/>
      <c r="EF150" s="230"/>
      <c r="EG150" s="230"/>
      <c r="EH150" s="230"/>
      <c r="EI150" s="230"/>
      <c r="EJ150" s="230"/>
      <c r="EK150" s="230"/>
      <c r="EL150" s="230"/>
      <c r="EM150" s="230"/>
      <c r="EN150" s="230"/>
      <c r="EO150" s="230"/>
      <c r="EP150" s="230"/>
      <c r="EQ150" s="230"/>
      <c r="ER150" s="230"/>
      <c r="ES150" s="230"/>
      <c r="ET150" s="230"/>
      <c r="EU150" s="230"/>
      <c r="EV150" s="230"/>
      <c r="EW150" s="230"/>
      <c r="EX150" s="230"/>
      <c r="EY150" s="230"/>
      <c r="EZ150" s="230"/>
      <c r="FA150" s="230"/>
      <c r="FB150" s="230"/>
      <c r="FC150" s="230"/>
      <c r="FD150" s="230"/>
      <c r="FE150" s="230"/>
      <c r="FF150" s="230"/>
      <c r="FG150" s="230"/>
      <c r="FH150" s="230"/>
      <c r="FI150" s="230"/>
      <c r="FJ150" s="230"/>
      <c r="FK150" s="230"/>
      <c r="FL150" s="230"/>
      <c r="FM150" s="230"/>
      <c r="FN150" s="230"/>
      <c r="FO150" s="230"/>
      <c r="FP150" s="230"/>
      <c r="FQ150" s="230"/>
      <c r="FR150" s="230"/>
      <c r="FS150" s="230"/>
      <c r="FT150" s="230"/>
      <c r="FU150" s="230"/>
      <c r="FV150" s="230"/>
      <c r="FW150" s="230"/>
      <c r="FX150" s="230"/>
      <c r="FY150" s="230"/>
      <c r="FZ150" s="230"/>
      <c r="GA150" s="230"/>
      <c r="GB150" s="230"/>
      <c r="GC150" s="230"/>
      <c r="GD150" s="230"/>
      <c r="GE150" s="230"/>
      <c r="GF150" s="230"/>
      <c r="GG150" s="230"/>
      <c r="GH150" s="230"/>
      <c r="GI150" s="230"/>
      <c r="GJ150" s="230"/>
      <c r="GK150" s="230"/>
      <c r="GL150" s="230"/>
      <c r="GM150" s="230"/>
      <c r="GN150" s="230"/>
      <c r="GO150" s="230"/>
      <c r="GP150" s="230"/>
      <c r="GQ150" s="230"/>
      <c r="GR150" s="230"/>
    </row>
    <row r="151" spans="1:200" s="632" customFormat="1" outlineLevel="2" x14ac:dyDescent="0.2">
      <c r="A151" s="636" t="s">
        <v>3037</v>
      </c>
      <c r="B151" s="636" t="s">
        <v>6089</v>
      </c>
      <c r="C151" s="597"/>
      <c r="D151" s="1536"/>
      <c r="E151" s="635"/>
      <c r="F151" s="635"/>
      <c r="G151" s="1517">
        <v>4</v>
      </c>
      <c r="H151" s="1517">
        <v>2</v>
      </c>
      <c r="I151" s="1517"/>
      <c r="J151" s="1517" t="s">
        <v>4246</v>
      </c>
      <c r="K151" s="1518" t="s">
        <v>3952</v>
      </c>
      <c r="L151" s="1518" t="s">
        <v>7341</v>
      </c>
      <c r="M151" s="635"/>
      <c r="N151" s="624"/>
      <c r="O151" s="624"/>
      <c r="P151" s="624"/>
      <c r="Q151" s="624"/>
      <c r="R151" s="624"/>
      <c r="S151" s="624"/>
      <c r="T151" s="624"/>
      <c r="U151" s="624"/>
      <c r="V151" s="624"/>
      <c r="W151" s="624"/>
      <c r="X151" s="624"/>
      <c r="Y151" s="624"/>
      <c r="Z151" s="624"/>
      <c r="AA151">
        <f>IF(AND('12 Ext'!C151&gt;Tmin, NOT('12 Ext'!$I151="")),'12 Ext'!$I151,0)</f>
        <v>0</v>
      </c>
      <c r="AB151">
        <f>IF(AND('12 Ext'!D151&gt;Tmin, NOT('12 Ext'!$I151="")),'12 Ext'!$I151,0)</f>
        <v>0</v>
      </c>
      <c r="AC151">
        <f>IF(AND('12 Ext'!E151&gt;Tmin, NOT('12 Ext'!$I151="")),'12 Ext'!$I151,0)</f>
        <v>0</v>
      </c>
      <c r="AD151">
        <f>IF(AND('12 Ext'!F151&gt;Tmin, NOT('12 Ext'!$I151="")),'12 Ext'!$I151,0)</f>
        <v>0</v>
      </c>
      <c r="AE151">
        <f>IF(AND('12 Ext'!C151&lt;Tmax, NOT('12 Ext'!$H151="")),'12 Ext'!$H151,4)</f>
        <v>2</v>
      </c>
      <c r="AF151">
        <f>IF(AND('12 Ext'!D151&lt;Tmax, NOT('12 Ext'!$H151="")),'12 Ext'!$H151,4)</f>
        <v>2</v>
      </c>
      <c r="AG151">
        <f>IF(AND('12 Ext'!E151&lt;Tmax, NOT('12 Ext'!$H151="")),'12 Ext'!$H151,4)</f>
        <v>2</v>
      </c>
      <c r="AH151">
        <f>IF(AND('12 Ext'!F151&lt;Tmax, NOT('12 Ext'!$H151="")),'12 Ext'!$H151,4)</f>
        <v>2</v>
      </c>
      <c r="AI151"/>
      <c r="AJ151" s="230"/>
      <c r="AK151" s="230"/>
      <c r="AL151" s="230"/>
      <c r="AM151" s="230"/>
      <c r="AN151" s="230"/>
      <c r="AO151" s="230"/>
      <c r="AP151" s="230"/>
      <c r="AQ151" s="230"/>
      <c r="AR151" s="230"/>
      <c r="AS151" s="230"/>
      <c r="AT151" s="230"/>
      <c r="AU151" s="230"/>
      <c r="AV151" s="230"/>
      <c r="AW151" s="230"/>
      <c r="AX151" s="230"/>
      <c r="AY151" s="230"/>
      <c r="AZ151" s="230"/>
      <c r="BA151" s="230"/>
      <c r="BB151" s="230"/>
      <c r="BC151" s="230"/>
      <c r="BD151" s="230"/>
      <c r="BE151" s="230"/>
      <c r="BF151" s="230"/>
      <c r="BG151" s="230"/>
      <c r="BH151" s="230"/>
      <c r="BI151" s="230"/>
      <c r="BJ151" s="230"/>
      <c r="BK151" s="230"/>
      <c r="BL151" s="230"/>
      <c r="BM151" s="230"/>
      <c r="BN151" s="230"/>
      <c r="BO151" s="230"/>
      <c r="BP151" s="230"/>
      <c r="BQ151" s="230"/>
      <c r="BR151" s="230"/>
      <c r="BS151" s="230"/>
      <c r="BT151" s="230"/>
      <c r="BU151" s="230"/>
      <c r="BV151" s="230"/>
      <c r="BW151" s="230"/>
      <c r="BX151" s="230"/>
      <c r="BY151" s="230"/>
      <c r="BZ151" s="230"/>
      <c r="CA151" s="230"/>
      <c r="CB151" s="230"/>
      <c r="CC151" s="230"/>
      <c r="CD151" s="230"/>
      <c r="CE151" s="230"/>
      <c r="CF151" s="230"/>
      <c r="CG151" s="230"/>
      <c r="CH151" s="230"/>
      <c r="CI151" s="230"/>
      <c r="CJ151" s="230"/>
      <c r="CK151" s="230"/>
      <c r="CL151" s="230"/>
      <c r="CM151" s="230"/>
      <c r="CN151" s="230"/>
      <c r="CO151" s="230"/>
      <c r="CP151" s="230"/>
      <c r="CQ151" s="230"/>
      <c r="CR151" s="230"/>
      <c r="CS151" s="230"/>
      <c r="CT151" s="230"/>
      <c r="CU151" s="230"/>
      <c r="CV151" s="230"/>
      <c r="CW151" s="230"/>
      <c r="CX151" s="230"/>
      <c r="CY151" s="230"/>
      <c r="CZ151" s="230"/>
      <c r="DA151" s="230"/>
      <c r="DB151" s="230"/>
      <c r="DC151" s="230"/>
      <c r="DD151" s="230"/>
      <c r="DE151" s="230"/>
      <c r="DF151" s="230"/>
      <c r="DG151" s="230"/>
      <c r="DH151" s="230"/>
      <c r="DI151" s="230"/>
      <c r="DJ151" s="230"/>
      <c r="DK151" s="230"/>
      <c r="DL151" s="230"/>
      <c r="DM151" s="230"/>
      <c r="DN151" s="230"/>
      <c r="DO151" s="230"/>
      <c r="DP151" s="230"/>
      <c r="DQ151" s="230"/>
      <c r="DR151" s="230"/>
      <c r="DS151" s="230"/>
      <c r="DT151" s="230"/>
      <c r="DU151" s="230"/>
      <c r="DV151" s="230"/>
      <c r="DW151" s="230"/>
      <c r="DX151" s="230"/>
      <c r="DY151" s="230"/>
      <c r="DZ151" s="230"/>
      <c r="EA151" s="230"/>
      <c r="EB151" s="230"/>
      <c r="EC151" s="230"/>
      <c r="ED151" s="230"/>
      <c r="EE151" s="230"/>
      <c r="EF151" s="230"/>
      <c r="EG151" s="230"/>
      <c r="EH151" s="230"/>
      <c r="EI151" s="230"/>
      <c r="EJ151" s="230"/>
      <c r="EK151" s="230"/>
      <c r="EL151" s="230"/>
      <c r="EM151" s="230"/>
      <c r="EN151" s="230"/>
      <c r="EO151" s="230"/>
      <c r="EP151" s="230"/>
      <c r="EQ151" s="230"/>
      <c r="ER151" s="230"/>
      <c r="ES151" s="230"/>
      <c r="ET151" s="230"/>
      <c r="EU151" s="230"/>
      <c r="EV151" s="230"/>
      <c r="EW151" s="230"/>
      <c r="EX151" s="230"/>
      <c r="EY151" s="230"/>
      <c r="EZ151" s="230"/>
      <c r="FA151" s="230"/>
      <c r="FB151" s="230"/>
      <c r="FC151" s="230"/>
      <c r="FD151" s="230"/>
      <c r="FE151" s="230"/>
      <c r="FF151" s="230"/>
      <c r="FG151" s="230"/>
      <c r="FH151" s="230"/>
      <c r="FI151" s="230"/>
      <c r="FJ151" s="230"/>
      <c r="FK151" s="230"/>
      <c r="FL151" s="230"/>
      <c r="FM151" s="230"/>
      <c r="FN151" s="230"/>
      <c r="FO151" s="230"/>
      <c r="FP151" s="230"/>
      <c r="FQ151" s="230"/>
      <c r="FR151" s="230"/>
      <c r="FS151" s="230"/>
      <c r="FT151" s="230"/>
      <c r="FU151" s="230"/>
      <c r="FV151" s="230"/>
      <c r="FW151" s="230"/>
      <c r="FX151" s="230"/>
      <c r="FY151" s="230"/>
      <c r="FZ151" s="230"/>
      <c r="GA151" s="230"/>
      <c r="GB151" s="230"/>
      <c r="GC151" s="230"/>
      <c r="GD151" s="230"/>
      <c r="GE151" s="230"/>
      <c r="GF151" s="230"/>
      <c r="GG151" s="230"/>
      <c r="GH151" s="230"/>
      <c r="GI151" s="230"/>
      <c r="GJ151" s="230"/>
      <c r="GK151" s="230"/>
      <c r="GL151" s="230"/>
      <c r="GM151" s="230"/>
      <c r="GN151" s="230"/>
      <c r="GO151" s="230"/>
      <c r="GP151" s="230"/>
      <c r="GQ151" s="230"/>
      <c r="GR151" s="230"/>
    </row>
    <row r="152" spans="1:200" s="632" customFormat="1" ht="22.5" outlineLevel="2" x14ac:dyDescent="0.2">
      <c r="A152" s="636" t="s">
        <v>3038</v>
      </c>
      <c r="B152" s="636" t="s">
        <v>6455</v>
      </c>
      <c r="C152" s="597"/>
      <c r="D152" s="1536"/>
      <c r="E152" s="635"/>
      <c r="F152" s="635"/>
      <c r="G152" s="1517">
        <v>4</v>
      </c>
      <c r="H152" s="1517">
        <v>2</v>
      </c>
      <c r="I152" s="1517"/>
      <c r="J152" s="1517" t="s">
        <v>1592</v>
      </c>
      <c r="K152" s="1518" t="s">
        <v>3952</v>
      </c>
      <c r="L152" s="1518" t="s">
        <v>7341</v>
      </c>
      <c r="M152" s="635"/>
      <c r="N152" s="624"/>
      <c r="O152" s="624"/>
      <c r="P152" s="624"/>
      <c r="Q152" s="624"/>
      <c r="R152" s="624"/>
      <c r="S152" s="624"/>
      <c r="T152" s="624"/>
      <c r="U152" s="624"/>
      <c r="V152" s="624"/>
      <c r="W152" s="624"/>
      <c r="X152" s="624"/>
      <c r="Y152" s="624"/>
      <c r="Z152" s="624"/>
      <c r="AA152">
        <f>IF(AND('12 Ext'!C152&gt;Tmin, NOT('12 Ext'!$I152="")),'12 Ext'!$I152,0)</f>
        <v>0</v>
      </c>
      <c r="AB152">
        <f>IF(AND('12 Ext'!D152&gt;Tmin, NOT('12 Ext'!$I152="")),'12 Ext'!$I152,0)</f>
        <v>0</v>
      </c>
      <c r="AC152">
        <f>IF(AND('12 Ext'!E152&gt;Tmin, NOT('12 Ext'!$I152="")),'12 Ext'!$I152,0)</f>
        <v>0</v>
      </c>
      <c r="AD152">
        <f>IF(AND('12 Ext'!F152&gt;Tmin, NOT('12 Ext'!$I152="")),'12 Ext'!$I152,0)</f>
        <v>0</v>
      </c>
      <c r="AE152">
        <f>IF(AND('12 Ext'!C152&lt;Tmax, NOT('12 Ext'!$H152="")),'12 Ext'!$H152,4)</f>
        <v>2</v>
      </c>
      <c r="AF152">
        <f>IF(AND('12 Ext'!D152&lt;Tmax, NOT('12 Ext'!$H152="")),'12 Ext'!$H152,4)</f>
        <v>2</v>
      </c>
      <c r="AG152">
        <f>IF(AND('12 Ext'!E152&lt;Tmax, NOT('12 Ext'!$H152="")),'12 Ext'!$H152,4)</f>
        <v>2</v>
      </c>
      <c r="AH152">
        <f>IF(AND('12 Ext'!F152&lt;Tmax, NOT('12 Ext'!$H152="")),'12 Ext'!$H152,4)</f>
        <v>2</v>
      </c>
      <c r="AI152"/>
      <c r="AJ152" s="230"/>
      <c r="AK152" s="230"/>
      <c r="AL152" s="230"/>
      <c r="AM152" s="230"/>
      <c r="AN152" s="230"/>
      <c r="AO152" s="230"/>
      <c r="AP152" s="230"/>
      <c r="AQ152" s="230"/>
      <c r="AR152" s="230"/>
      <c r="AS152" s="230"/>
      <c r="AT152" s="230"/>
      <c r="AU152" s="230"/>
      <c r="AV152" s="230"/>
      <c r="AW152" s="230"/>
      <c r="AX152" s="230"/>
      <c r="AY152" s="230"/>
      <c r="AZ152" s="230"/>
      <c r="BA152" s="230"/>
      <c r="BB152" s="230"/>
      <c r="BC152" s="230"/>
      <c r="BD152" s="230"/>
      <c r="BE152" s="230"/>
      <c r="BF152" s="230"/>
      <c r="BG152" s="230"/>
      <c r="BH152" s="230"/>
      <c r="BI152" s="230"/>
      <c r="BJ152" s="230"/>
      <c r="BK152" s="230"/>
      <c r="BL152" s="230"/>
      <c r="BM152" s="230"/>
      <c r="BN152" s="230"/>
      <c r="BO152" s="230"/>
      <c r="BP152" s="230"/>
      <c r="BQ152" s="230"/>
      <c r="BR152" s="230"/>
      <c r="BS152" s="230"/>
      <c r="BT152" s="230"/>
      <c r="BU152" s="230"/>
      <c r="BV152" s="230"/>
      <c r="BW152" s="230"/>
      <c r="BX152" s="230"/>
      <c r="BY152" s="230"/>
      <c r="BZ152" s="230"/>
      <c r="CA152" s="230"/>
      <c r="CB152" s="230"/>
      <c r="CC152" s="230"/>
      <c r="CD152" s="230"/>
      <c r="CE152" s="230"/>
      <c r="CF152" s="230"/>
      <c r="CG152" s="230"/>
      <c r="CH152" s="230"/>
      <c r="CI152" s="230"/>
      <c r="CJ152" s="230"/>
      <c r="CK152" s="230"/>
      <c r="CL152" s="230"/>
      <c r="CM152" s="230"/>
      <c r="CN152" s="230"/>
      <c r="CO152" s="230"/>
      <c r="CP152" s="230"/>
      <c r="CQ152" s="230"/>
      <c r="CR152" s="230"/>
      <c r="CS152" s="230"/>
      <c r="CT152" s="230"/>
      <c r="CU152" s="230"/>
      <c r="CV152" s="230"/>
      <c r="CW152" s="230"/>
      <c r="CX152" s="230"/>
      <c r="CY152" s="230"/>
      <c r="CZ152" s="230"/>
      <c r="DA152" s="230"/>
      <c r="DB152" s="230"/>
      <c r="DC152" s="230"/>
      <c r="DD152" s="230"/>
      <c r="DE152" s="230"/>
      <c r="DF152" s="230"/>
      <c r="DG152" s="230"/>
      <c r="DH152" s="230"/>
      <c r="DI152" s="230"/>
      <c r="DJ152" s="230"/>
      <c r="DK152" s="230"/>
      <c r="DL152" s="230"/>
      <c r="DM152" s="230"/>
      <c r="DN152" s="230"/>
      <c r="DO152" s="230"/>
      <c r="DP152" s="230"/>
      <c r="DQ152" s="230"/>
      <c r="DR152" s="230"/>
      <c r="DS152" s="230"/>
      <c r="DT152" s="230"/>
      <c r="DU152" s="230"/>
      <c r="DV152" s="230"/>
      <c r="DW152" s="230"/>
      <c r="DX152" s="230"/>
      <c r="DY152" s="230"/>
      <c r="DZ152" s="230"/>
      <c r="EA152" s="230"/>
      <c r="EB152" s="230"/>
      <c r="EC152" s="230"/>
      <c r="ED152" s="230"/>
      <c r="EE152" s="230"/>
      <c r="EF152" s="230"/>
      <c r="EG152" s="230"/>
      <c r="EH152" s="230"/>
      <c r="EI152" s="230"/>
      <c r="EJ152" s="230"/>
      <c r="EK152" s="230"/>
      <c r="EL152" s="230"/>
      <c r="EM152" s="230"/>
      <c r="EN152" s="230"/>
      <c r="EO152" s="230"/>
      <c r="EP152" s="230"/>
      <c r="EQ152" s="230"/>
      <c r="ER152" s="230"/>
      <c r="ES152" s="230"/>
      <c r="ET152" s="230"/>
      <c r="EU152" s="230"/>
      <c r="EV152" s="230"/>
      <c r="EW152" s="230"/>
      <c r="EX152" s="230"/>
      <c r="EY152" s="230"/>
      <c r="EZ152" s="230"/>
      <c r="FA152" s="230"/>
      <c r="FB152" s="230"/>
      <c r="FC152" s="230"/>
      <c r="FD152" s="230"/>
      <c r="FE152" s="230"/>
      <c r="FF152" s="230"/>
      <c r="FG152" s="230"/>
      <c r="FH152" s="230"/>
      <c r="FI152" s="230"/>
      <c r="FJ152" s="230"/>
      <c r="FK152" s="230"/>
      <c r="FL152" s="230"/>
      <c r="FM152" s="230"/>
      <c r="FN152" s="230"/>
      <c r="FO152" s="230"/>
      <c r="FP152" s="230"/>
      <c r="FQ152" s="230"/>
      <c r="FR152" s="230"/>
      <c r="FS152" s="230"/>
      <c r="FT152" s="230"/>
      <c r="FU152" s="230"/>
      <c r="FV152" s="230"/>
      <c r="FW152" s="230"/>
      <c r="FX152" s="230"/>
      <c r="FY152" s="230"/>
      <c r="FZ152" s="230"/>
      <c r="GA152" s="230"/>
      <c r="GB152" s="230"/>
      <c r="GC152" s="230"/>
      <c r="GD152" s="230"/>
      <c r="GE152" s="230"/>
      <c r="GF152" s="230"/>
      <c r="GG152" s="230"/>
      <c r="GH152" s="230"/>
      <c r="GI152" s="230"/>
      <c r="GJ152" s="230"/>
      <c r="GK152" s="230"/>
      <c r="GL152" s="230"/>
      <c r="GM152" s="230"/>
      <c r="GN152" s="230"/>
      <c r="GO152" s="230"/>
      <c r="GP152" s="230"/>
      <c r="GQ152" s="230"/>
      <c r="GR152" s="230"/>
    </row>
    <row r="153" spans="1:200" s="632" customFormat="1" outlineLevel="2" x14ac:dyDescent="0.2">
      <c r="A153" s="636" t="s">
        <v>3039</v>
      </c>
      <c r="B153" s="636" t="s">
        <v>6456</v>
      </c>
      <c r="C153" s="597"/>
      <c r="D153" s="1536"/>
      <c r="E153" s="635"/>
      <c r="F153" s="635"/>
      <c r="G153" s="1517">
        <v>4</v>
      </c>
      <c r="H153" s="1517">
        <v>2</v>
      </c>
      <c r="I153" s="1517"/>
      <c r="J153" s="1517" t="s">
        <v>1592</v>
      </c>
      <c r="K153" s="1518" t="s">
        <v>3952</v>
      </c>
      <c r="L153" s="1518" t="s">
        <v>7341</v>
      </c>
      <c r="M153" s="635"/>
      <c r="N153" s="624"/>
      <c r="O153" s="624"/>
      <c r="P153" s="624"/>
      <c r="Q153" s="624"/>
      <c r="R153" s="624"/>
      <c r="S153" s="624"/>
      <c r="T153" s="624"/>
      <c r="U153" s="624"/>
      <c r="V153" s="624"/>
      <c r="W153" s="624"/>
      <c r="X153" s="624"/>
      <c r="Y153" s="624"/>
      <c r="Z153" s="624"/>
      <c r="AA153">
        <f>IF(AND('12 Ext'!C153&gt;Tmin, NOT('12 Ext'!$I153="")),'12 Ext'!$I153,0)</f>
        <v>0</v>
      </c>
      <c r="AB153">
        <f>IF(AND('12 Ext'!D153&gt;Tmin, NOT('12 Ext'!$I153="")),'12 Ext'!$I153,0)</f>
        <v>0</v>
      </c>
      <c r="AC153">
        <f>IF(AND('12 Ext'!E153&gt;Tmin, NOT('12 Ext'!$I153="")),'12 Ext'!$I153,0)</f>
        <v>0</v>
      </c>
      <c r="AD153">
        <f>IF(AND('12 Ext'!F153&gt;Tmin, NOT('12 Ext'!$I153="")),'12 Ext'!$I153,0)</f>
        <v>0</v>
      </c>
      <c r="AE153">
        <f>IF(AND('12 Ext'!C153&lt;Tmax, NOT('12 Ext'!$H153="")),'12 Ext'!$H153,4)</f>
        <v>2</v>
      </c>
      <c r="AF153">
        <f>IF(AND('12 Ext'!D153&lt;Tmax, NOT('12 Ext'!$H153="")),'12 Ext'!$H153,4)</f>
        <v>2</v>
      </c>
      <c r="AG153">
        <f>IF(AND('12 Ext'!E153&lt;Tmax, NOT('12 Ext'!$H153="")),'12 Ext'!$H153,4)</f>
        <v>2</v>
      </c>
      <c r="AH153">
        <f>IF(AND('12 Ext'!F153&lt;Tmax, NOT('12 Ext'!$H153="")),'12 Ext'!$H153,4)</f>
        <v>2</v>
      </c>
      <c r="AI153"/>
      <c r="AJ153" s="230"/>
      <c r="AK153" s="230"/>
      <c r="AL153" s="230"/>
      <c r="AM153" s="230"/>
      <c r="AN153" s="230"/>
      <c r="AO153" s="230"/>
      <c r="AP153" s="230"/>
      <c r="AQ153" s="230"/>
      <c r="AR153" s="230"/>
      <c r="AS153" s="230"/>
      <c r="AT153" s="230"/>
      <c r="AU153" s="230"/>
      <c r="AV153" s="230"/>
      <c r="AW153" s="230"/>
      <c r="AX153" s="230"/>
      <c r="AY153" s="230"/>
      <c r="AZ153" s="230"/>
      <c r="BA153" s="230"/>
      <c r="BB153" s="230"/>
      <c r="BC153" s="230"/>
      <c r="BD153" s="230"/>
      <c r="BE153" s="230"/>
      <c r="BF153" s="230"/>
      <c r="BG153" s="230"/>
      <c r="BH153" s="230"/>
      <c r="BI153" s="230"/>
      <c r="BJ153" s="230"/>
      <c r="BK153" s="230"/>
      <c r="BL153" s="230"/>
      <c r="BM153" s="230"/>
      <c r="BN153" s="230"/>
      <c r="BO153" s="230"/>
      <c r="BP153" s="230"/>
      <c r="BQ153" s="230"/>
      <c r="BR153" s="230"/>
      <c r="BS153" s="230"/>
      <c r="BT153" s="230"/>
      <c r="BU153" s="230"/>
      <c r="BV153" s="230"/>
      <c r="BW153" s="230"/>
      <c r="BX153" s="230"/>
      <c r="BY153" s="230"/>
      <c r="BZ153" s="230"/>
      <c r="CA153" s="230"/>
      <c r="CB153" s="230"/>
      <c r="CC153" s="230"/>
      <c r="CD153" s="230"/>
      <c r="CE153" s="230"/>
      <c r="CF153" s="230"/>
      <c r="CG153" s="230"/>
      <c r="CH153" s="230"/>
      <c r="CI153" s="230"/>
      <c r="CJ153" s="230"/>
      <c r="CK153" s="230"/>
      <c r="CL153" s="230"/>
      <c r="CM153" s="230"/>
      <c r="CN153" s="230"/>
      <c r="CO153" s="230"/>
      <c r="CP153" s="230"/>
      <c r="CQ153" s="230"/>
      <c r="CR153" s="230"/>
      <c r="CS153" s="230"/>
      <c r="CT153" s="230"/>
      <c r="CU153" s="230"/>
      <c r="CV153" s="230"/>
      <c r="CW153" s="230"/>
      <c r="CX153" s="230"/>
      <c r="CY153" s="230"/>
      <c r="CZ153" s="230"/>
      <c r="DA153" s="230"/>
      <c r="DB153" s="230"/>
      <c r="DC153" s="230"/>
      <c r="DD153" s="230"/>
      <c r="DE153" s="230"/>
      <c r="DF153" s="230"/>
      <c r="DG153" s="230"/>
      <c r="DH153" s="230"/>
      <c r="DI153" s="230"/>
      <c r="DJ153" s="230"/>
      <c r="DK153" s="230"/>
      <c r="DL153" s="230"/>
      <c r="DM153" s="230"/>
      <c r="DN153" s="230"/>
      <c r="DO153" s="230"/>
      <c r="DP153" s="230"/>
      <c r="DQ153" s="230"/>
      <c r="DR153" s="230"/>
      <c r="DS153" s="230"/>
      <c r="DT153" s="230"/>
      <c r="DU153" s="230"/>
      <c r="DV153" s="230"/>
      <c r="DW153" s="230"/>
      <c r="DX153" s="230"/>
      <c r="DY153" s="230"/>
      <c r="DZ153" s="230"/>
      <c r="EA153" s="230"/>
      <c r="EB153" s="230"/>
      <c r="EC153" s="230"/>
      <c r="ED153" s="230"/>
      <c r="EE153" s="230"/>
      <c r="EF153" s="230"/>
      <c r="EG153" s="230"/>
      <c r="EH153" s="230"/>
      <c r="EI153" s="230"/>
      <c r="EJ153" s="230"/>
      <c r="EK153" s="230"/>
      <c r="EL153" s="230"/>
      <c r="EM153" s="230"/>
      <c r="EN153" s="230"/>
      <c r="EO153" s="230"/>
      <c r="EP153" s="230"/>
      <c r="EQ153" s="230"/>
      <c r="ER153" s="230"/>
      <c r="ES153" s="230"/>
      <c r="ET153" s="230"/>
      <c r="EU153" s="230"/>
      <c r="EV153" s="230"/>
      <c r="EW153" s="230"/>
      <c r="EX153" s="230"/>
      <c r="EY153" s="230"/>
      <c r="EZ153" s="230"/>
      <c r="FA153" s="230"/>
      <c r="FB153" s="230"/>
      <c r="FC153" s="230"/>
      <c r="FD153" s="230"/>
      <c r="FE153" s="230"/>
      <c r="FF153" s="230"/>
      <c r="FG153" s="230"/>
      <c r="FH153" s="230"/>
      <c r="FI153" s="230"/>
      <c r="FJ153" s="230"/>
      <c r="FK153" s="230"/>
      <c r="FL153" s="230"/>
      <c r="FM153" s="230"/>
      <c r="FN153" s="230"/>
      <c r="FO153" s="230"/>
      <c r="FP153" s="230"/>
      <c r="FQ153" s="230"/>
      <c r="FR153" s="230"/>
      <c r="FS153" s="230"/>
      <c r="FT153" s="230"/>
      <c r="FU153" s="230"/>
      <c r="FV153" s="230"/>
      <c r="FW153" s="230"/>
      <c r="FX153" s="230"/>
      <c r="FY153" s="230"/>
      <c r="FZ153" s="230"/>
      <c r="GA153" s="230"/>
      <c r="GB153" s="230"/>
      <c r="GC153" s="230"/>
      <c r="GD153" s="230"/>
      <c r="GE153" s="230"/>
      <c r="GF153" s="230"/>
      <c r="GG153" s="230"/>
      <c r="GH153" s="230"/>
      <c r="GI153" s="230"/>
      <c r="GJ153" s="230"/>
      <c r="GK153" s="230"/>
      <c r="GL153" s="230"/>
      <c r="GM153" s="230"/>
      <c r="GN153" s="230"/>
      <c r="GO153" s="230"/>
      <c r="GP153" s="230"/>
      <c r="GQ153" s="230"/>
      <c r="GR153" s="230"/>
    </row>
    <row r="154" spans="1:200" s="632" customFormat="1" ht="43.35" customHeight="1" outlineLevel="2" x14ac:dyDescent="0.2">
      <c r="A154" s="636" t="s">
        <v>3040</v>
      </c>
      <c r="B154" s="636" t="s">
        <v>5793</v>
      </c>
      <c r="C154" s="597"/>
      <c r="D154" s="1536"/>
      <c r="E154" s="635"/>
      <c r="F154" s="635"/>
      <c r="G154" s="1517">
        <v>4</v>
      </c>
      <c r="H154" s="1517">
        <v>2</v>
      </c>
      <c r="I154" s="1517">
        <v>3</v>
      </c>
      <c r="J154" s="1517" t="s">
        <v>2349</v>
      </c>
      <c r="K154" s="1458" t="s">
        <v>7122</v>
      </c>
      <c r="L154" s="1518" t="s">
        <v>3579</v>
      </c>
      <c r="M154" s="635"/>
      <c r="N154" s="624"/>
      <c r="O154" s="624"/>
      <c r="P154" s="624"/>
      <c r="Q154" s="624"/>
      <c r="R154" s="624"/>
      <c r="S154" s="624"/>
      <c r="T154" s="624"/>
      <c r="U154" s="624"/>
      <c r="V154" s="624"/>
      <c r="W154" s="624"/>
      <c r="X154" s="624"/>
      <c r="Y154" s="624"/>
      <c r="Z154" s="624"/>
      <c r="AA154">
        <f>IF(AND('12 Ext'!C154&gt;Tmin, NOT('12 Ext'!$I154="")),'12 Ext'!$I154,0)</f>
        <v>0</v>
      </c>
      <c r="AB154">
        <f>IF(AND('12 Ext'!D154&gt;Tmin, NOT('12 Ext'!$I154="")),'12 Ext'!$I154,0)</f>
        <v>0</v>
      </c>
      <c r="AC154">
        <f>IF(AND('12 Ext'!E154&gt;Tmin, NOT('12 Ext'!$I154="")),'12 Ext'!$I154,0)</f>
        <v>0</v>
      </c>
      <c r="AD154">
        <f>IF(AND('12 Ext'!F154&gt;Tmin, NOT('12 Ext'!$I154="")),'12 Ext'!$I154,0)</f>
        <v>0</v>
      </c>
      <c r="AE154">
        <f>IF(AND('12 Ext'!C154&lt;Tmax, NOT('12 Ext'!$H154="")),'12 Ext'!$H154,4)</f>
        <v>2</v>
      </c>
      <c r="AF154">
        <f>IF(AND('12 Ext'!D154&lt;Tmax, NOT('12 Ext'!$H154="")),'12 Ext'!$H154,4)</f>
        <v>2</v>
      </c>
      <c r="AG154">
        <f>IF(AND('12 Ext'!E154&lt;Tmax, NOT('12 Ext'!$H154="")),'12 Ext'!$H154,4)</f>
        <v>2</v>
      </c>
      <c r="AH154">
        <f>IF(AND('12 Ext'!F154&lt;Tmax, NOT('12 Ext'!$H154="")),'12 Ext'!$H154,4)</f>
        <v>2</v>
      </c>
      <c r="AI154"/>
      <c r="AJ154" s="230"/>
      <c r="AK154" s="230"/>
      <c r="AL154" s="230"/>
      <c r="AM154" s="230"/>
      <c r="AN154" s="230"/>
      <c r="AO154" s="230"/>
      <c r="AP154" s="230"/>
      <c r="AQ154" s="230"/>
      <c r="AR154" s="230"/>
      <c r="AS154" s="230"/>
      <c r="AT154" s="230"/>
      <c r="AU154" s="230"/>
      <c r="AV154" s="230"/>
      <c r="AW154" s="230"/>
      <c r="AX154" s="230"/>
      <c r="AY154" s="230"/>
      <c r="AZ154" s="230"/>
      <c r="BA154" s="230"/>
      <c r="BB154" s="230"/>
      <c r="BC154" s="230"/>
      <c r="BD154" s="230"/>
      <c r="BE154" s="230"/>
      <c r="BF154" s="230"/>
      <c r="BG154" s="230"/>
      <c r="BH154" s="230"/>
      <c r="BI154" s="230"/>
      <c r="BJ154" s="230"/>
      <c r="BK154" s="230"/>
      <c r="BL154" s="230"/>
      <c r="BM154" s="230"/>
      <c r="BN154" s="230"/>
      <c r="BO154" s="230"/>
      <c r="BP154" s="230"/>
      <c r="BQ154" s="230"/>
      <c r="BR154" s="230"/>
      <c r="BS154" s="230"/>
      <c r="BT154" s="230"/>
      <c r="BU154" s="230"/>
      <c r="BV154" s="230"/>
      <c r="BW154" s="230"/>
      <c r="BX154" s="230"/>
      <c r="BY154" s="230"/>
      <c r="BZ154" s="230"/>
      <c r="CA154" s="230"/>
      <c r="CB154" s="230"/>
      <c r="CC154" s="230"/>
      <c r="CD154" s="230"/>
      <c r="CE154" s="230"/>
      <c r="CF154" s="230"/>
      <c r="CG154" s="230"/>
      <c r="CH154" s="230"/>
      <c r="CI154" s="230"/>
      <c r="CJ154" s="230"/>
      <c r="CK154" s="230"/>
      <c r="CL154" s="230"/>
      <c r="CM154" s="230"/>
      <c r="CN154" s="230"/>
      <c r="CO154" s="230"/>
      <c r="CP154" s="230"/>
      <c r="CQ154" s="230"/>
      <c r="CR154" s="230"/>
      <c r="CS154" s="230"/>
      <c r="CT154" s="230"/>
      <c r="CU154" s="230"/>
      <c r="CV154" s="230"/>
      <c r="CW154" s="230"/>
      <c r="CX154" s="230"/>
      <c r="CY154" s="230"/>
      <c r="CZ154" s="230"/>
      <c r="DA154" s="230"/>
      <c r="DB154" s="230"/>
      <c r="DC154" s="230"/>
      <c r="DD154" s="230"/>
      <c r="DE154" s="230"/>
      <c r="DF154" s="230"/>
      <c r="DG154" s="230"/>
      <c r="DH154" s="230"/>
      <c r="DI154" s="230"/>
      <c r="DJ154" s="230"/>
      <c r="DK154" s="230"/>
      <c r="DL154" s="230"/>
      <c r="DM154" s="230"/>
      <c r="DN154" s="230"/>
      <c r="DO154" s="230"/>
      <c r="DP154" s="230"/>
      <c r="DQ154" s="230"/>
      <c r="DR154" s="230"/>
      <c r="DS154" s="230"/>
      <c r="DT154" s="230"/>
      <c r="DU154" s="230"/>
      <c r="DV154" s="230"/>
      <c r="DW154" s="230"/>
      <c r="DX154" s="230"/>
      <c r="DY154" s="230"/>
      <c r="DZ154" s="230"/>
      <c r="EA154" s="230"/>
      <c r="EB154" s="230"/>
      <c r="EC154" s="230"/>
      <c r="ED154" s="230"/>
      <c r="EE154" s="230"/>
      <c r="EF154" s="230"/>
      <c r="EG154" s="230"/>
      <c r="EH154" s="230"/>
      <c r="EI154" s="230"/>
      <c r="EJ154" s="230"/>
      <c r="EK154" s="230"/>
      <c r="EL154" s="230"/>
      <c r="EM154" s="230"/>
      <c r="EN154" s="230"/>
      <c r="EO154" s="230"/>
      <c r="EP154" s="230"/>
      <c r="EQ154" s="230"/>
      <c r="ER154" s="230"/>
      <c r="ES154" s="230"/>
      <c r="ET154" s="230"/>
      <c r="EU154" s="230"/>
      <c r="EV154" s="230"/>
      <c r="EW154" s="230"/>
      <c r="EX154" s="230"/>
      <c r="EY154" s="230"/>
      <c r="EZ154" s="230"/>
      <c r="FA154" s="230"/>
      <c r="FB154" s="230"/>
      <c r="FC154" s="230"/>
      <c r="FD154" s="230"/>
      <c r="FE154" s="230"/>
      <c r="FF154" s="230"/>
      <c r="FG154" s="230"/>
      <c r="FH154" s="230"/>
      <c r="FI154" s="230"/>
      <c r="FJ154" s="230"/>
      <c r="FK154" s="230"/>
      <c r="FL154" s="230"/>
      <c r="FM154" s="230"/>
      <c r="FN154" s="230"/>
      <c r="FO154" s="230"/>
      <c r="FP154" s="230"/>
      <c r="FQ154" s="230"/>
      <c r="FR154" s="230"/>
      <c r="FS154" s="230"/>
      <c r="FT154" s="230"/>
      <c r="FU154" s="230"/>
      <c r="FV154" s="230"/>
      <c r="FW154" s="230"/>
      <c r="FX154" s="230"/>
      <c r="FY154" s="230"/>
      <c r="FZ154" s="230"/>
      <c r="GA154" s="230"/>
      <c r="GB154" s="230"/>
      <c r="GC154" s="230"/>
      <c r="GD154" s="230"/>
      <c r="GE154" s="230"/>
      <c r="GF154" s="230"/>
      <c r="GG154" s="230"/>
      <c r="GH154" s="230"/>
      <c r="GI154" s="230"/>
      <c r="GJ154" s="230"/>
      <c r="GK154" s="230"/>
      <c r="GL154" s="230"/>
      <c r="GM154" s="230"/>
      <c r="GN154" s="230"/>
      <c r="GO154" s="230"/>
      <c r="GP154" s="230"/>
      <c r="GQ154" s="230"/>
      <c r="GR154" s="230"/>
    </row>
    <row r="155" spans="1:200" s="632" customFormat="1" outlineLevel="2" x14ac:dyDescent="0.2">
      <c r="A155" s="636" t="s">
        <v>3041</v>
      </c>
      <c r="B155" s="636" t="s">
        <v>5395</v>
      </c>
      <c r="C155" s="597"/>
      <c r="D155" s="1536"/>
      <c r="E155" s="635"/>
      <c r="F155" s="635"/>
      <c r="G155" s="1517">
        <v>2</v>
      </c>
      <c r="H155" s="1517"/>
      <c r="I155" s="1517"/>
      <c r="J155" s="1517" t="s">
        <v>1592</v>
      </c>
      <c r="K155" s="1518" t="s">
        <v>6477</v>
      </c>
      <c r="L155" s="1518" t="s">
        <v>4434</v>
      </c>
      <c r="M155" s="635"/>
      <c r="N155" s="624"/>
      <c r="O155" s="624"/>
      <c r="P155" s="624"/>
      <c r="Q155" s="624"/>
      <c r="R155" s="624"/>
      <c r="S155" s="624"/>
      <c r="T155" s="624"/>
      <c r="U155" s="624"/>
      <c r="V155" s="624"/>
      <c r="W155" s="624"/>
      <c r="X155" s="624"/>
      <c r="Y155" s="624"/>
      <c r="Z155" s="624"/>
      <c r="AA155">
        <f>IF(AND('12 Ext'!C155&gt;Tmin, NOT('12 Ext'!$I155="")),'12 Ext'!$I155,0)</f>
        <v>0</v>
      </c>
      <c r="AB155">
        <f>IF(AND('12 Ext'!D155&gt;Tmin, NOT('12 Ext'!$I155="")),'12 Ext'!$I155,0)</f>
        <v>0</v>
      </c>
      <c r="AC155">
        <f>IF(AND('12 Ext'!E155&gt;Tmin, NOT('12 Ext'!$I155="")),'12 Ext'!$I155,0)</f>
        <v>0</v>
      </c>
      <c r="AD155">
        <f>IF(AND('12 Ext'!F155&gt;Tmin, NOT('12 Ext'!$I155="")),'12 Ext'!$I155,0)</f>
        <v>0</v>
      </c>
      <c r="AE155">
        <f>IF(AND('12 Ext'!C155&lt;Tmax, NOT('12 Ext'!$H155="")),'12 Ext'!$H155,4)</f>
        <v>4</v>
      </c>
      <c r="AF155">
        <f>IF(AND('12 Ext'!D155&lt;Tmax, NOT('12 Ext'!$H155="")),'12 Ext'!$H155,4)</f>
        <v>4</v>
      </c>
      <c r="AG155">
        <f>IF(AND('12 Ext'!E155&lt;Tmax, NOT('12 Ext'!$H155="")),'12 Ext'!$H155,4)</f>
        <v>4</v>
      </c>
      <c r="AH155">
        <f>IF(AND('12 Ext'!F155&lt;Tmax, NOT('12 Ext'!$H155="")),'12 Ext'!$H155,4)</f>
        <v>4</v>
      </c>
      <c r="AI155"/>
      <c r="AJ155" s="230"/>
      <c r="AK155" s="230"/>
      <c r="AL155" s="230"/>
      <c r="AM155" s="230"/>
      <c r="AN155" s="230"/>
      <c r="AO155" s="230"/>
      <c r="AP155" s="230"/>
      <c r="AQ155" s="230"/>
      <c r="AR155" s="230"/>
      <c r="AS155" s="230"/>
      <c r="AT155" s="230"/>
      <c r="AU155" s="230"/>
      <c r="AV155" s="230"/>
      <c r="AW155" s="230"/>
      <c r="AX155" s="230"/>
      <c r="AY155" s="230"/>
      <c r="AZ155" s="230"/>
      <c r="BA155" s="230"/>
      <c r="BB155" s="230"/>
      <c r="BC155" s="230"/>
      <c r="BD155" s="230"/>
      <c r="BE155" s="230"/>
      <c r="BF155" s="230"/>
      <c r="BG155" s="230"/>
      <c r="BH155" s="230"/>
      <c r="BI155" s="230"/>
      <c r="BJ155" s="230"/>
      <c r="BK155" s="230"/>
      <c r="BL155" s="230"/>
      <c r="BM155" s="230"/>
      <c r="BN155" s="230"/>
      <c r="BO155" s="230"/>
      <c r="BP155" s="230"/>
      <c r="BQ155" s="230"/>
      <c r="BR155" s="230"/>
      <c r="BS155" s="230"/>
      <c r="BT155" s="230"/>
      <c r="BU155" s="230"/>
      <c r="BV155" s="230"/>
      <c r="BW155" s="230"/>
      <c r="BX155" s="230"/>
      <c r="BY155" s="230"/>
      <c r="BZ155" s="230"/>
      <c r="CA155" s="230"/>
      <c r="CB155" s="230"/>
      <c r="CC155" s="230"/>
      <c r="CD155" s="230"/>
      <c r="CE155" s="230"/>
      <c r="CF155" s="230"/>
      <c r="CG155" s="230"/>
      <c r="CH155" s="230"/>
      <c r="CI155" s="230"/>
      <c r="CJ155" s="230"/>
      <c r="CK155" s="230"/>
      <c r="CL155" s="230"/>
      <c r="CM155" s="230"/>
      <c r="CN155" s="230"/>
      <c r="CO155" s="230"/>
      <c r="CP155" s="230"/>
      <c r="CQ155" s="230"/>
      <c r="CR155" s="230"/>
      <c r="CS155" s="230"/>
      <c r="CT155" s="230"/>
      <c r="CU155" s="230"/>
      <c r="CV155" s="230"/>
      <c r="CW155" s="230"/>
      <c r="CX155" s="230"/>
      <c r="CY155" s="230"/>
      <c r="CZ155" s="230"/>
      <c r="DA155" s="230"/>
      <c r="DB155" s="230"/>
      <c r="DC155" s="230"/>
      <c r="DD155" s="230"/>
      <c r="DE155" s="230"/>
      <c r="DF155" s="230"/>
      <c r="DG155" s="230"/>
      <c r="DH155" s="230"/>
      <c r="DI155" s="230"/>
      <c r="DJ155" s="230"/>
      <c r="DK155" s="230"/>
      <c r="DL155" s="230"/>
      <c r="DM155" s="230"/>
      <c r="DN155" s="230"/>
      <c r="DO155" s="230"/>
      <c r="DP155" s="230"/>
      <c r="DQ155" s="230"/>
      <c r="DR155" s="230"/>
      <c r="DS155" s="230"/>
      <c r="DT155" s="230"/>
      <c r="DU155" s="230"/>
      <c r="DV155" s="230"/>
      <c r="DW155" s="230"/>
      <c r="DX155" s="230"/>
      <c r="DY155" s="230"/>
      <c r="DZ155" s="230"/>
      <c r="EA155" s="230"/>
      <c r="EB155" s="230"/>
      <c r="EC155" s="230"/>
      <c r="ED155" s="230"/>
      <c r="EE155" s="230"/>
      <c r="EF155" s="230"/>
      <c r="EG155" s="230"/>
      <c r="EH155" s="230"/>
      <c r="EI155" s="230"/>
      <c r="EJ155" s="230"/>
      <c r="EK155" s="230"/>
      <c r="EL155" s="230"/>
      <c r="EM155" s="230"/>
      <c r="EN155" s="230"/>
      <c r="EO155" s="230"/>
      <c r="EP155" s="230"/>
      <c r="EQ155" s="230"/>
      <c r="ER155" s="230"/>
      <c r="ES155" s="230"/>
      <c r="ET155" s="230"/>
      <c r="EU155" s="230"/>
      <c r="EV155" s="230"/>
      <c r="EW155" s="230"/>
      <c r="EX155" s="230"/>
      <c r="EY155" s="230"/>
      <c r="EZ155" s="230"/>
      <c r="FA155" s="230"/>
      <c r="FB155" s="230"/>
      <c r="FC155" s="230"/>
      <c r="FD155" s="230"/>
      <c r="FE155" s="230"/>
      <c r="FF155" s="230"/>
      <c r="FG155" s="230"/>
      <c r="FH155" s="230"/>
      <c r="FI155" s="230"/>
      <c r="FJ155" s="230"/>
      <c r="FK155" s="230"/>
      <c r="FL155" s="230"/>
      <c r="FM155" s="230"/>
      <c r="FN155" s="230"/>
      <c r="FO155" s="230"/>
      <c r="FP155" s="230"/>
      <c r="FQ155" s="230"/>
      <c r="FR155" s="230"/>
      <c r="FS155" s="230"/>
      <c r="FT155" s="230"/>
      <c r="FU155" s="230"/>
      <c r="FV155" s="230"/>
      <c r="FW155" s="230"/>
      <c r="FX155" s="230"/>
      <c r="FY155" s="230"/>
      <c r="FZ155" s="230"/>
      <c r="GA155" s="230"/>
      <c r="GB155" s="230"/>
      <c r="GC155" s="230"/>
      <c r="GD155" s="230"/>
      <c r="GE155" s="230"/>
      <c r="GF155" s="230"/>
      <c r="GG155" s="230"/>
      <c r="GH155" s="230"/>
      <c r="GI155" s="230"/>
      <c r="GJ155" s="230"/>
      <c r="GK155" s="230"/>
      <c r="GL155" s="230"/>
      <c r="GM155" s="230"/>
      <c r="GN155" s="230"/>
      <c r="GO155" s="230"/>
      <c r="GP155" s="230"/>
      <c r="GQ155" s="230"/>
      <c r="GR155" s="230"/>
    </row>
    <row r="156" spans="1:200" s="632" customFormat="1" ht="22.5" outlineLevel="2" x14ac:dyDescent="0.2">
      <c r="A156" s="636" t="s">
        <v>3042</v>
      </c>
      <c r="B156" s="636" t="s">
        <v>5088</v>
      </c>
      <c r="C156" s="597"/>
      <c r="D156" s="1536"/>
      <c r="E156" s="635"/>
      <c r="F156" s="635"/>
      <c r="G156" s="1517">
        <v>2</v>
      </c>
      <c r="H156" s="1517"/>
      <c r="I156" s="1517"/>
      <c r="J156" s="1517" t="s">
        <v>1592</v>
      </c>
      <c r="K156" s="1518" t="s">
        <v>6477</v>
      </c>
      <c r="L156" s="1518" t="s">
        <v>4434</v>
      </c>
      <c r="M156" s="635"/>
      <c r="N156" s="624"/>
      <c r="O156" s="624"/>
      <c r="P156" s="624"/>
      <c r="Q156" s="624"/>
      <c r="R156" s="624"/>
      <c r="S156" s="624"/>
      <c r="T156" s="624"/>
      <c r="U156" s="624"/>
      <c r="V156" s="624"/>
      <c r="W156" s="624"/>
      <c r="X156" s="624"/>
      <c r="Y156" s="624"/>
      <c r="Z156" s="624"/>
      <c r="AA156">
        <f>IF(AND('12 Ext'!C156&gt;Tmin, NOT('12 Ext'!$I156="")),'12 Ext'!$I156,0)</f>
        <v>0</v>
      </c>
      <c r="AB156">
        <f>IF(AND('12 Ext'!D156&gt;Tmin, NOT('12 Ext'!$I156="")),'12 Ext'!$I156,0)</f>
        <v>0</v>
      </c>
      <c r="AC156">
        <f>IF(AND('12 Ext'!E156&gt;Tmin, NOT('12 Ext'!$I156="")),'12 Ext'!$I156,0)</f>
        <v>0</v>
      </c>
      <c r="AD156">
        <f>IF(AND('12 Ext'!F156&gt;Tmin, NOT('12 Ext'!$I156="")),'12 Ext'!$I156,0)</f>
        <v>0</v>
      </c>
      <c r="AE156">
        <f>IF(AND('12 Ext'!C156&lt;Tmax, NOT('12 Ext'!$H156="")),'12 Ext'!$H156,4)</f>
        <v>4</v>
      </c>
      <c r="AF156">
        <f>IF(AND('12 Ext'!D156&lt;Tmax, NOT('12 Ext'!$H156="")),'12 Ext'!$H156,4)</f>
        <v>4</v>
      </c>
      <c r="AG156">
        <f>IF(AND('12 Ext'!E156&lt;Tmax, NOT('12 Ext'!$H156="")),'12 Ext'!$H156,4)</f>
        <v>4</v>
      </c>
      <c r="AH156">
        <f>IF(AND('12 Ext'!F156&lt;Tmax, NOT('12 Ext'!$H156="")),'12 Ext'!$H156,4)</f>
        <v>4</v>
      </c>
      <c r="AI156"/>
      <c r="AJ156" s="230"/>
      <c r="AK156" s="230"/>
      <c r="AL156" s="230"/>
      <c r="AM156" s="230"/>
      <c r="AN156" s="230"/>
      <c r="AO156" s="230"/>
      <c r="AP156" s="230"/>
      <c r="AQ156" s="230"/>
      <c r="AR156" s="230"/>
      <c r="AS156" s="230"/>
      <c r="AT156" s="230"/>
      <c r="AU156" s="230"/>
      <c r="AV156" s="230"/>
      <c r="AW156" s="230"/>
      <c r="AX156" s="230"/>
      <c r="AY156" s="230"/>
      <c r="AZ156" s="230"/>
      <c r="BA156" s="230"/>
      <c r="BB156" s="230"/>
      <c r="BC156" s="230"/>
      <c r="BD156" s="230"/>
      <c r="BE156" s="230"/>
      <c r="BF156" s="230"/>
      <c r="BG156" s="230"/>
      <c r="BH156" s="230"/>
      <c r="BI156" s="230"/>
      <c r="BJ156" s="230"/>
      <c r="BK156" s="230"/>
      <c r="BL156" s="230"/>
      <c r="BM156" s="230"/>
      <c r="BN156" s="230"/>
      <c r="BO156" s="230"/>
      <c r="BP156" s="230"/>
      <c r="BQ156" s="230"/>
      <c r="BR156" s="230"/>
      <c r="BS156" s="230"/>
      <c r="BT156" s="230"/>
      <c r="BU156" s="230"/>
      <c r="BV156" s="230"/>
      <c r="BW156" s="230"/>
      <c r="BX156" s="230"/>
      <c r="BY156" s="230"/>
      <c r="BZ156" s="230"/>
      <c r="CA156" s="230"/>
      <c r="CB156" s="230"/>
      <c r="CC156" s="230"/>
      <c r="CD156" s="230"/>
      <c r="CE156" s="230"/>
      <c r="CF156" s="230"/>
      <c r="CG156" s="230"/>
      <c r="CH156" s="230"/>
      <c r="CI156" s="230"/>
      <c r="CJ156" s="230"/>
      <c r="CK156" s="230"/>
      <c r="CL156" s="230"/>
      <c r="CM156" s="230"/>
      <c r="CN156" s="230"/>
      <c r="CO156" s="230"/>
      <c r="CP156" s="230"/>
      <c r="CQ156" s="230"/>
      <c r="CR156" s="230"/>
      <c r="CS156" s="230"/>
      <c r="CT156" s="230"/>
      <c r="CU156" s="230"/>
      <c r="CV156" s="230"/>
      <c r="CW156" s="230"/>
      <c r="CX156" s="230"/>
      <c r="CY156" s="230"/>
      <c r="CZ156" s="230"/>
      <c r="DA156" s="230"/>
      <c r="DB156" s="230"/>
      <c r="DC156" s="230"/>
      <c r="DD156" s="230"/>
      <c r="DE156" s="230"/>
      <c r="DF156" s="230"/>
      <c r="DG156" s="230"/>
      <c r="DH156" s="230"/>
      <c r="DI156" s="230"/>
      <c r="DJ156" s="230"/>
      <c r="DK156" s="230"/>
      <c r="DL156" s="230"/>
      <c r="DM156" s="230"/>
      <c r="DN156" s="230"/>
      <c r="DO156" s="230"/>
      <c r="DP156" s="230"/>
      <c r="DQ156" s="230"/>
      <c r="DR156" s="230"/>
      <c r="DS156" s="230"/>
      <c r="DT156" s="230"/>
      <c r="DU156" s="230"/>
      <c r="DV156" s="230"/>
      <c r="DW156" s="230"/>
      <c r="DX156" s="230"/>
      <c r="DY156" s="230"/>
      <c r="DZ156" s="230"/>
      <c r="EA156" s="230"/>
      <c r="EB156" s="230"/>
      <c r="EC156" s="230"/>
      <c r="ED156" s="230"/>
      <c r="EE156" s="230"/>
      <c r="EF156" s="230"/>
      <c r="EG156" s="230"/>
      <c r="EH156" s="230"/>
      <c r="EI156" s="230"/>
      <c r="EJ156" s="230"/>
      <c r="EK156" s="230"/>
      <c r="EL156" s="230"/>
      <c r="EM156" s="230"/>
      <c r="EN156" s="230"/>
      <c r="EO156" s="230"/>
      <c r="EP156" s="230"/>
      <c r="EQ156" s="230"/>
      <c r="ER156" s="230"/>
      <c r="ES156" s="230"/>
      <c r="ET156" s="230"/>
      <c r="EU156" s="230"/>
      <c r="EV156" s="230"/>
      <c r="EW156" s="230"/>
      <c r="EX156" s="230"/>
      <c r="EY156" s="230"/>
      <c r="EZ156" s="230"/>
      <c r="FA156" s="230"/>
      <c r="FB156" s="230"/>
      <c r="FC156" s="230"/>
      <c r="FD156" s="230"/>
      <c r="FE156" s="230"/>
      <c r="FF156" s="230"/>
      <c r="FG156" s="230"/>
      <c r="FH156" s="230"/>
      <c r="FI156" s="230"/>
      <c r="FJ156" s="230"/>
      <c r="FK156" s="230"/>
      <c r="FL156" s="230"/>
      <c r="FM156" s="230"/>
      <c r="FN156" s="230"/>
      <c r="FO156" s="230"/>
      <c r="FP156" s="230"/>
      <c r="FQ156" s="230"/>
      <c r="FR156" s="230"/>
      <c r="FS156" s="230"/>
      <c r="FT156" s="230"/>
      <c r="FU156" s="230"/>
      <c r="FV156" s="230"/>
      <c r="FW156" s="230"/>
      <c r="FX156" s="230"/>
      <c r="FY156" s="230"/>
      <c r="FZ156" s="230"/>
      <c r="GA156" s="230"/>
      <c r="GB156" s="230"/>
      <c r="GC156" s="230"/>
      <c r="GD156" s="230"/>
      <c r="GE156" s="230"/>
      <c r="GF156" s="230"/>
      <c r="GG156" s="230"/>
      <c r="GH156" s="230"/>
      <c r="GI156" s="230"/>
      <c r="GJ156" s="230"/>
      <c r="GK156" s="230"/>
      <c r="GL156" s="230"/>
      <c r="GM156" s="230"/>
      <c r="GN156" s="230"/>
      <c r="GO156" s="230"/>
      <c r="GP156" s="230"/>
      <c r="GQ156" s="230"/>
      <c r="GR156" s="230"/>
    </row>
    <row r="157" spans="1:200" s="632" customFormat="1" ht="13.5" customHeight="1" outlineLevel="2" x14ac:dyDescent="0.2">
      <c r="A157" s="636" t="s">
        <v>5778</v>
      </c>
      <c r="B157" s="636" t="s">
        <v>1376</v>
      </c>
      <c r="C157" s="597"/>
      <c r="D157" s="1536"/>
      <c r="E157" s="635"/>
      <c r="F157" s="635"/>
      <c r="G157" s="1517">
        <v>1</v>
      </c>
      <c r="H157" s="1517">
        <v>2</v>
      </c>
      <c r="I157" s="1517"/>
      <c r="J157" s="1517" t="s">
        <v>2109</v>
      </c>
      <c r="K157" s="1518" t="s">
        <v>6477</v>
      </c>
      <c r="L157" s="1518" t="s">
        <v>4434</v>
      </c>
      <c r="M157" s="635"/>
      <c r="N157" s="624"/>
      <c r="O157" s="624"/>
      <c r="P157" s="624"/>
      <c r="Q157" s="624"/>
      <c r="R157" s="624"/>
      <c r="S157" s="624"/>
      <c r="T157" s="624"/>
      <c r="U157" s="624"/>
      <c r="V157" s="624"/>
      <c r="W157" s="624"/>
      <c r="X157" s="624"/>
      <c r="Y157" s="624"/>
      <c r="Z157" s="624"/>
      <c r="AA157">
        <f>IF(AND('12 Ext'!C157&gt;Tmin, NOT('12 Ext'!$I157="")),'12 Ext'!$I157,0)</f>
        <v>0</v>
      </c>
      <c r="AB157">
        <f>IF(AND('12 Ext'!D157&gt;Tmin, NOT('12 Ext'!$I157="")),'12 Ext'!$I157,0)</f>
        <v>0</v>
      </c>
      <c r="AC157">
        <f>IF(AND('12 Ext'!E157&gt;Tmin, NOT('12 Ext'!$I157="")),'12 Ext'!$I157,0)</f>
        <v>0</v>
      </c>
      <c r="AD157">
        <f>IF(AND('12 Ext'!F157&gt;Tmin, NOT('12 Ext'!$I157="")),'12 Ext'!$I157,0)</f>
        <v>0</v>
      </c>
      <c r="AE157">
        <f>IF(AND('12 Ext'!C157&lt;Tmax, NOT('12 Ext'!$H157="")),'12 Ext'!$H157,4)</f>
        <v>2</v>
      </c>
      <c r="AF157">
        <f>IF(AND('12 Ext'!D157&lt;Tmax, NOT('12 Ext'!$H157="")),'12 Ext'!$H157,4)</f>
        <v>2</v>
      </c>
      <c r="AG157">
        <f>IF(AND('12 Ext'!E157&lt;Tmax, NOT('12 Ext'!$H157="")),'12 Ext'!$H157,4)</f>
        <v>2</v>
      </c>
      <c r="AH157">
        <f>IF(AND('12 Ext'!F157&lt;Tmax, NOT('12 Ext'!$H157="")),'12 Ext'!$H157,4)</f>
        <v>2</v>
      </c>
      <c r="AI157"/>
      <c r="AJ157" s="230"/>
      <c r="AK157" s="230"/>
      <c r="AL157" s="230"/>
      <c r="AM157" s="230"/>
      <c r="AN157" s="230"/>
      <c r="AO157" s="230"/>
      <c r="AP157" s="230"/>
      <c r="AQ157" s="230"/>
      <c r="AR157" s="230"/>
      <c r="AS157" s="230"/>
      <c r="AT157" s="230"/>
      <c r="AU157" s="230"/>
      <c r="AV157" s="230"/>
      <c r="AW157" s="230"/>
      <c r="AX157" s="230"/>
      <c r="AY157" s="230"/>
      <c r="AZ157" s="230"/>
      <c r="BA157" s="230"/>
      <c r="BB157" s="230"/>
      <c r="BC157" s="230"/>
      <c r="BD157" s="230"/>
      <c r="BE157" s="230"/>
      <c r="BF157" s="230"/>
      <c r="BG157" s="230"/>
      <c r="BH157" s="230"/>
      <c r="BI157" s="230"/>
      <c r="BJ157" s="230"/>
      <c r="BK157" s="230"/>
      <c r="BL157" s="230"/>
      <c r="BM157" s="230"/>
      <c r="BN157" s="230"/>
      <c r="BO157" s="230"/>
      <c r="BP157" s="230"/>
      <c r="BQ157" s="230"/>
      <c r="BR157" s="230"/>
      <c r="BS157" s="230"/>
      <c r="BT157" s="230"/>
      <c r="BU157" s="230"/>
      <c r="BV157" s="230"/>
      <c r="BW157" s="230"/>
      <c r="BX157" s="230"/>
      <c r="BY157" s="230"/>
      <c r="BZ157" s="230"/>
      <c r="CA157" s="230"/>
      <c r="CB157" s="230"/>
      <c r="CC157" s="230"/>
      <c r="CD157" s="230"/>
      <c r="CE157" s="230"/>
      <c r="CF157" s="230"/>
      <c r="CG157" s="230"/>
      <c r="CH157" s="230"/>
      <c r="CI157" s="230"/>
      <c r="CJ157" s="230"/>
      <c r="CK157" s="230"/>
      <c r="CL157" s="230"/>
      <c r="CM157" s="230"/>
      <c r="CN157" s="230"/>
      <c r="CO157" s="230"/>
      <c r="CP157" s="230"/>
      <c r="CQ157" s="230"/>
      <c r="CR157" s="230"/>
      <c r="CS157" s="230"/>
      <c r="CT157" s="230"/>
      <c r="CU157" s="230"/>
      <c r="CV157" s="230"/>
      <c r="CW157" s="230"/>
      <c r="CX157" s="230"/>
      <c r="CY157" s="230"/>
      <c r="CZ157" s="230"/>
      <c r="DA157" s="230"/>
      <c r="DB157" s="230"/>
      <c r="DC157" s="230"/>
      <c r="DD157" s="230"/>
      <c r="DE157" s="230"/>
      <c r="DF157" s="230"/>
      <c r="DG157" s="230"/>
      <c r="DH157" s="230"/>
      <c r="DI157" s="230"/>
      <c r="DJ157" s="230"/>
      <c r="DK157" s="230"/>
      <c r="DL157" s="230"/>
      <c r="DM157" s="230"/>
      <c r="DN157" s="230"/>
      <c r="DO157" s="230"/>
      <c r="DP157" s="230"/>
      <c r="DQ157" s="230"/>
      <c r="DR157" s="230"/>
      <c r="DS157" s="230"/>
      <c r="DT157" s="230"/>
      <c r="DU157" s="230"/>
      <c r="DV157" s="230"/>
      <c r="DW157" s="230"/>
      <c r="DX157" s="230"/>
      <c r="DY157" s="230"/>
      <c r="DZ157" s="230"/>
      <c r="EA157" s="230"/>
      <c r="EB157" s="230"/>
      <c r="EC157" s="230"/>
      <c r="ED157" s="230"/>
      <c r="EE157" s="230"/>
      <c r="EF157" s="230"/>
      <c r="EG157" s="230"/>
      <c r="EH157" s="230"/>
      <c r="EI157" s="230"/>
      <c r="EJ157" s="230"/>
      <c r="EK157" s="230"/>
      <c r="EL157" s="230"/>
      <c r="EM157" s="230"/>
      <c r="EN157" s="230"/>
      <c r="EO157" s="230"/>
      <c r="EP157" s="230"/>
      <c r="EQ157" s="230"/>
      <c r="ER157" s="230"/>
      <c r="ES157" s="230"/>
      <c r="ET157" s="230"/>
      <c r="EU157" s="230"/>
      <c r="EV157" s="230"/>
      <c r="EW157" s="230"/>
      <c r="EX157" s="230"/>
      <c r="EY157" s="230"/>
      <c r="EZ157" s="230"/>
      <c r="FA157" s="230"/>
      <c r="FB157" s="230"/>
      <c r="FC157" s="230"/>
      <c r="FD157" s="230"/>
      <c r="FE157" s="230"/>
      <c r="FF157" s="230"/>
      <c r="FG157" s="230"/>
      <c r="FH157" s="230"/>
      <c r="FI157" s="230"/>
      <c r="FJ157" s="230"/>
      <c r="FK157" s="230"/>
      <c r="FL157" s="230"/>
      <c r="FM157" s="230"/>
      <c r="FN157" s="230"/>
      <c r="FO157" s="230"/>
      <c r="FP157" s="230"/>
      <c r="FQ157" s="230"/>
      <c r="FR157" s="230"/>
      <c r="FS157" s="230"/>
      <c r="FT157" s="230"/>
      <c r="FU157" s="230"/>
      <c r="FV157" s="230"/>
      <c r="FW157" s="230"/>
      <c r="FX157" s="230"/>
      <c r="FY157" s="230"/>
      <c r="FZ157" s="230"/>
      <c r="GA157" s="230"/>
      <c r="GB157" s="230"/>
      <c r="GC157" s="230"/>
      <c r="GD157" s="230"/>
      <c r="GE157" s="230"/>
      <c r="GF157" s="230"/>
      <c r="GG157" s="230"/>
      <c r="GH157" s="230"/>
      <c r="GI157" s="230"/>
      <c r="GJ157" s="230"/>
      <c r="GK157" s="230"/>
      <c r="GL157" s="230"/>
      <c r="GM157" s="230"/>
      <c r="GN157" s="230"/>
      <c r="GO157" s="230"/>
      <c r="GP157" s="230"/>
      <c r="GQ157" s="230"/>
      <c r="GR157" s="230"/>
    </row>
    <row r="158" spans="1:200" s="632" customFormat="1" outlineLevel="1" x14ac:dyDescent="0.2">
      <c r="A158" s="633" t="s">
        <v>2050</v>
      </c>
      <c r="B158" s="634" t="s">
        <v>1377</v>
      </c>
      <c r="C158" s="597"/>
      <c r="D158" s="1536"/>
      <c r="E158" s="635"/>
      <c r="F158" s="635"/>
      <c r="G158" s="1517"/>
      <c r="H158" s="1517"/>
      <c r="I158" s="1517"/>
      <c r="J158" s="1517"/>
      <c r="K158" s="1518"/>
      <c r="L158" s="1518"/>
      <c r="M158" s="635"/>
      <c r="N158" s="624"/>
      <c r="O158" s="624"/>
      <c r="P158" s="624"/>
      <c r="Q158" s="624"/>
      <c r="R158" s="624"/>
      <c r="S158" s="624"/>
      <c r="T158" s="624"/>
      <c r="U158" s="624"/>
      <c r="V158" s="624"/>
      <c r="W158" s="624"/>
      <c r="X158" s="624"/>
      <c r="Y158" s="624"/>
      <c r="Z158" s="624"/>
      <c r="AA158"/>
      <c r="AB158"/>
      <c r="AC158"/>
      <c r="AD158"/>
      <c r="AE158"/>
      <c r="AF158"/>
      <c r="AG158"/>
      <c r="AH158"/>
      <c r="AI158"/>
      <c r="AJ158" s="230"/>
      <c r="AK158" s="230"/>
      <c r="AL158" s="230"/>
      <c r="AM158" s="230"/>
      <c r="AN158" s="230"/>
      <c r="AO158" s="230"/>
      <c r="AP158" s="230"/>
      <c r="AQ158" s="230"/>
      <c r="AR158" s="230"/>
      <c r="AS158" s="230"/>
      <c r="AT158" s="230"/>
      <c r="AU158" s="230"/>
      <c r="AV158" s="230"/>
      <c r="AW158" s="230"/>
      <c r="AX158" s="230"/>
      <c r="AY158" s="230"/>
      <c r="AZ158" s="230"/>
      <c r="BA158" s="230"/>
      <c r="BB158" s="230"/>
      <c r="BC158" s="230"/>
      <c r="BD158" s="230"/>
      <c r="BE158" s="230"/>
      <c r="BF158" s="230"/>
      <c r="BG158" s="230"/>
      <c r="BH158" s="230"/>
      <c r="BI158" s="230"/>
      <c r="BJ158" s="230"/>
      <c r="BK158" s="230"/>
      <c r="BL158" s="230"/>
      <c r="BM158" s="230"/>
      <c r="BN158" s="230"/>
      <c r="BO158" s="230"/>
      <c r="BP158" s="230"/>
      <c r="BQ158" s="230"/>
      <c r="BR158" s="230"/>
      <c r="BS158" s="230"/>
      <c r="BT158" s="230"/>
      <c r="BU158" s="230"/>
      <c r="BV158" s="230"/>
      <c r="BW158" s="230"/>
      <c r="BX158" s="230"/>
      <c r="BY158" s="230"/>
      <c r="BZ158" s="230"/>
      <c r="CA158" s="230"/>
      <c r="CB158" s="230"/>
      <c r="CC158" s="230"/>
      <c r="CD158" s="230"/>
      <c r="CE158" s="230"/>
      <c r="CF158" s="230"/>
      <c r="CG158" s="230"/>
      <c r="CH158" s="230"/>
      <c r="CI158" s="230"/>
      <c r="CJ158" s="230"/>
      <c r="CK158" s="230"/>
      <c r="CL158" s="230"/>
      <c r="CM158" s="230"/>
      <c r="CN158" s="230"/>
      <c r="CO158" s="230"/>
      <c r="CP158" s="230"/>
      <c r="CQ158" s="230"/>
      <c r="CR158" s="230"/>
      <c r="CS158" s="230"/>
      <c r="CT158" s="230"/>
      <c r="CU158" s="230"/>
      <c r="CV158" s="230"/>
      <c r="CW158" s="230"/>
      <c r="CX158" s="230"/>
      <c r="CY158" s="230"/>
      <c r="CZ158" s="230"/>
      <c r="DA158" s="230"/>
      <c r="DB158" s="230"/>
      <c r="DC158" s="230"/>
      <c r="DD158" s="230"/>
      <c r="DE158" s="230"/>
      <c r="DF158" s="230"/>
      <c r="DG158" s="230"/>
      <c r="DH158" s="230"/>
      <c r="DI158" s="230"/>
      <c r="DJ158" s="230"/>
      <c r="DK158" s="230"/>
      <c r="DL158" s="230"/>
      <c r="DM158" s="230"/>
      <c r="DN158" s="230"/>
      <c r="DO158" s="230"/>
      <c r="DP158" s="230"/>
      <c r="DQ158" s="230"/>
      <c r="DR158" s="230"/>
      <c r="DS158" s="230"/>
      <c r="DT158" s="230"/>
      <c r="DU158" s="230"/>
      <c r="DV158" s="230"/>
      <c r="DW158" s="230"/>
      <c r="DX158" s="230"/>
      <c r="DY158" s="230"/>
      <c r="DZ158" s="230"/>
      <c r="EA158" s="230"/>
      <c r="EB158" s="230"/>
      <c r="EC158" s="230"/>
      <c r="ED158" s="230"/>
      <c r="EE158" s="230"/>
      <c r="EF158" s="230"/>
      <c r="EG158" s="230"/>
      <c r="EH158" s="230"/>
      <c r="EI158" s="230"/>
      <c r="EJ158" s="230"/>
      <c r="EK158" s="230"/>
      <c r="EL158" s="230"/>
      <c r="EM158" s="230"/>
      <c r="EN158" s="230"/>
      <c r="EO158" s="230"/>
      <c r="EP158" s="230"/>
      <c r="EQ158" s="230"/>
      <c r="ER158" s="230"/>
      <c r="ES158" s="230"/>
      <c r="ET158" s="230"/>
      <c r="EU158" s="230"/>
      <c r="EV158" s="230"/>
      <c r="EW158" s="230"/>
      <c r="EX158" s="230"/>
      <c r="EY158" s="230"/>
      <c r="EZ158" s="230"/>
      <c r="FA158" s="230"/>
      <c r="FB158" s="230"/>
      <c r="FC158" s="230"/>
      <c r="FD158" s="230"/>
      <c r="FE158" s="230"/>
      <c r="FF158" s="230"/>
      <c r="FG158" s="230"/>
      <c r="FH158" s="230"/>
      <c r="FI158" s="230"/>
      <c r="FJ158" s="230"/>
      <c r="FK158" s="230"/>
      <c r="FL158" s="230"/>
      <c r="FM158" s="230"/>
      <c r="FN158" s="230"/>
      <c r="FO158" s="230"/>
      <c r="FP158" s="230"/>
      <c r="FQ158" s="230"/>
      <c r="FR158" s="230"/>
      <c r="FS158" s="230"/>
      <c r="FT158" s="230"/>
      <c r="FU158" s="230"/>
      <c r="FV158" s="230"/>
      <c r="FW158" s="230"/>
      <c r="FX158" s="230"/>
      <c r="FY158" s="230"/>
      <c r="FZ158" s="230"/>
      <c r="GA158" s="230"/>
      <c r="GB158" s="230"/>
      <c r="GC158" s="230"/>
      <c r="GD158" s="230"/>
      <c r="GE158" s="230"/>
      <c r="GF158" s="230"/>
      <c r="GG158" s="230"/>
      <c r="GH158" s="230"/>
      <c r="GI158" s="230"/>
      <c r="GJ158" s="230"/>
      <c r="GK158" s="230"/>
      <c r="GL158" s="230"/>
      <c r="GM158" s="230"/>
      <c r="GN158" s="230"/>
      <c r="GO158" s="230"/>
      <c r="GP158" s="230"/>
      <c r="GQ158" s="230"/>
      <c r="GR158" s="230"/>
    </row>
    <row r="159" spans="1:200" s="632" customFormat="1" ht="47.25" customHeight="1" outlineLevel="2" x14ac:dyDescent="0.2">
      <c r="A159" s="636" t="s">
        <v>3043</v>
      </c>
      <c r="B159" s="636" t="s">
        <v>2181</v>
      </c>
      <c r="C159" s="597"/>
      <c r="D159" s="1536"/>
      <c r="E159" s="635"/>
      <c r="F159" s="635"/>
      <c r="G159" s="1517">
        <v>4</v>
      </c>
      <c r="H159" s="1517"/>
      <c r="I159" s="1517">
        <v>4</v>
      </c>
      <c r="J159" s="1517" t="s">
        <v>1592</v>
      </c>
      <c r="K159" s="1532" t="s">
        <v>3952</v>
      </c>
      <c r="L159" s="1518"/>
      <c r="M159" s="635"/>
      <c r="N159" s="624"/>
      <c r="O159" s="624"/>
      <c r="P159" s="624"/>
      <c r="Q159" s="624"/>
      <c r="R159" s="624"/>
      <c r="S159" s="624"/>
      <c r="T159" s="624"/>
      <c r="U159" s="624"/>
      <c r="V159" s="624"/>
      <c r="W159" s="624"/>
      <c r="X159" s="624"/>
      <c r="Y159" s="624"/>
      <c r="Z159" s="624"/>
      <c r="AA159">
        <f>IF(AND('12 Ext'!C159&gt;Tmin, NOT('12 Ext'!$I159="")),'12 Ext'!$I159,0)</f>
        <v>0</v>
      </c>
      <c r="AB159">
        <f>IF(AND('12 Ext'!D159&gt;Tmin, NOT('12 Ext'!$I159="")),'12 Ext'!$I159,0)</f>
        <v>0</v>
      </c>
      <c r="AC159">
        <f>IF(AND('12 Ext'!E159&gt;Tmin, NOT('12 Ext'!$I159="")),'12 Ext'!$I159,0)</f>
        <v>0</v>
      </c>
      <c r="AD159">
        <f>IF(AND('12 Ext'!F159&gt;Tmin, NOT('12 Ext'!$I159="")),'12 Ext'!$I159,0)</f>
        <v>0</v>
      </c>
      <c r="AE159">
        <f>IF(AND('12 Ext'!C159&lt;Tmax, NOT('12 Ext'!$H159="")),'12 Ext'!$H159,4)</f>
        <v>4</v>
      </c>
      <c r="AF159">
        <f>IF(AND('12 Ext'!D159&lt;Tmax, NOT('12 Ext'!$H159="")),'12 Ext'!$H159,4)</f>
        <v>4</v>
      </c>
      <c r="AG159">
        <f>IF(AND('12 Ext'!E159&lt;Tmax, NOT('12 Ext'!$H159="")),'12 Ext'!$H159,4)</f>
        <v>4</v>
      </c>
      <c r="AH159">
        <f>IF(AND('12 Ext'!F159&lt;Tmax, NOT('12 Ext'!$H159="")),'12 Ext'!$H159,4)</f>
        <v>4</v>
      </c>
      <c r="AI159"/>
      <c r="AJ159" s="230"/>
      <c r="AK159" s="230"/>
      <c r="AL159" s="230"/>
      <c r="AM159" s="230"/>
      <c r="AN159" s="230"/>
      <c r="AO159" s="230"/>
      <c r="AP159" s="230"/>
      <c r="AQ159" s="230"/>
      <c r="AR159" s="230"/>
      <c r="AS159" s="230"/>
      <c r="AT159" s="230"/>
      <c r="AU159" s="230"/>
      <c r="AV159" s="230"/>
      <c r="AW159" s="230"/>
      <c r="AX159" s="230"/>
      <c r="AY159" s="230"/>
      <c r="AZ159" s="230"/>
      <c r="BA159" s="230"/>
      <c r="BB159" s="230"/>
      <c r="BC159" s="230"/>
      <c r="BD159" s="230"/>
      <c r="BE159" s="230"/>
      <c r="BF159" s="230"/>
      <c r="BG159" s="230"/>
      <c r="BH159" s="230"/>
      <c r="BI159" s="230"/>
      <c r="BJ159" s="230"/>
      <c r="BK159" s="230"/>
      <c r="BL159" s="230"/>
      <c r="BM159" s="230"/>
      <c r="BN159" s="230"/>
      <c r="BO159" s="230"/>
      <c r="BP159" s="230"/>
      <c r="BQ159" s="230"/>
      <c r="BR159" s="230"/>
      <c r="BS159" s="230"/>
      <c r="BT159" s="230"/>
      <c r="BU159" s="230"/>
      <c r="BV159" s="230"/>
      <c r="BW159" s="230"/>
      <c r="BX159" s="230"/>
      <c r="BY159" s="230"/>
      <c r="BZ159" s="230"/>
      <c r="CA159" s="230"/>
      <c r="CB159" s="230"/>
      <c r="CC159" s="230"/>
      <c r="CD159" s="230"/>
      <c r="CE159" s="230"/>
      <c r="CF159" s="230"/>
      <c r="CG159" s="230"/>
      <c r="CH159" s="230"/>
      <c r="CI159" s="230"/>
      <c r="CJ159" s="230"/>
      <c r="CK159" s="230"/>
      <c r="CL159" s="230"/>
      <c r="CM159" s="230"/>
      <c r="CN159" s="230"/>
      <c r="CO159" s="230"/>
      <c r="CP159" s="230"/>
      <c r="CQ159" s="230"/>
      <c r="CR159" s="230"/>
      <c r="CS159" s="230"/>
      <c r="CT159" s="230"/>
      <c r="CU159" s="230"/>
      <c r="CV159" s="230"/>
      <c r="CW159" s="230"/>
      <c r="CX159" s="230"/>
      <c r="CY159" s="230"/>
      <c r="CZ159" s="230"/>
      <c r="DA159" s="230"/>
      <c r="DB159" s="230"/>
      <c r="DC159" s="230"/>
      <c r="DD159" s="230"/>
      <c r="DE159" s="230"/>
      <c r="DF159" s="230"/>
      <c r="DG159" s="230"/>
      <c r="DH159" s="230"/>
      <c r="DI159" s="230"/>
      <c r="DJ159" s="230"/>
      <c r="DK159" s="230"/>
      <c r="DL159" s="230"/>
      <c r="DM159" s="230"/>
      <c r="DN159" s="230"/>
      <c r="DO159" s="230"/>
      <c r="DP159" s="230"/>
      <c r="DQ159" s="230"/>
      <c r="DR159" s="230"/>
      <c r="DS159" s="230"/>
      <c r="DT159" s="230"/>
      <c r="DU159" s="230"/>
      <c r="DV159" s="230"/>
      <c r="DW159" s="230"/>
      <c r="DX159" s="230"/>
      <c r="DY159" s="230"/>
      <c r="DZ159" s="230"/>
      <c r="EA159" s="230"/>
      <c r="EB159" s="230"/>
      <c r="EC159" s="230"/>
      <c r="ED159" s="230"/>
      <c r="EE159" s="230"/>
      <c r="EF159" s="230"/>
      <c r="EG159" s="230"/>
      <c r="EH159" s="230"/>
      <c r="EI159" s="230"/>
      <c r="EJ159" s="230"/>
      <c r="EK159" s="230"/>
      <c r="EL159" s="230"/>
      <c r="EM159" s="230"/>
      <c r="EN159" s="230"/>
      <c r="EO159" s="230"/>
      <c r="EP159" s="230"/>
      <c r="EQ159" s="230"/>
      <c r="ER159" s="230"/>
      <c r="ES159" s="230"/>
      <c r="ET159" s="230"/>
      <c r="EU159" s="230"/>
      <c r="EV159" s="230"/>
      <c r="EW159" s="230"/>
      <c r="EX159" s="230"/>
      <c r="EY159" s="230"/>
      <c r="EZ159" s="230"/>
      <c r="FA159" s="230"/>
      <c r="FB159" s="230"/>
      <c r="FC159" s="230"/>
      <c r="FD159" s="230"/>
      <c r="FE159" s="230"/>
      <c r="FF159" s="230"/>
      <c r="FG159" s="230"/>
      <c r="FH159" s="230"/>
      <c r="FI159" s="230"/>
      <c r="FJ159" s="230"/>
      <c r="FK159" s="230"/>
      <c r="FL159" s="230"/>
      <c r="FM159" s="230"/>
      <c r="FN159" s="230"/>
      <c r="FO159" s="230"/>
      <c r="FP159" s="230"/>
      <c r="FQ159" s="230"/>
      <c r="FR159" s="230"/>
      <c r="FS159" s="230"/>
      <c r="FT159" s="230"/>
      <c r="FU159" s="230"/>
      <c r="FV159" s="230"/>
      <c r="FW159" s="230"/>
      <c r="FX159" s="230"/>
      <c r="FY159" s="230"/>
      <c r="FZ159" s="230"/>
      <c r="GA159" s="230"/>
      <c r="GB159" s="230"/>
      <c r="GC159" s="230"/>
      <c r="GD159" s="230"/>
      <c r="GE159" s="230"/>
      <c r="GF159" s="230"/>
      <c r="GG159" s="230"/>
      <c r="GH159" s="230"/>
      <c r="GI159" s="230"/>
      <c r="GJ159" s="230"/>
      <c r="GK159" s="230"/>
      <c r="GL159" s="230"/>
      <c r="GM159" s="230"/>
      <c r="GN159" s="230"/>
      <c r="GO159" s="230"/>
      <c r="GP159" s="230"/>
      <c r="GQ159" s="230"/>
      <c r="GR159" s="230"/>
    </row>
    <row r="160" spans="1:200" s="632" customFormat="1" ht="45" customHeight="1" outlineLevel="2" x14ac:dyDescent="0.2">
      <c r="A160" s="636" t="s">
        <v>3044</v>
      </c>
      <c r="B160" s="636" t="s">
        <v>4132</v>
      </c>
      <c r="C160" s="597"/>
      <c r="D160" s="1536"/>
      <c r="E160" s="635"/>
      <c r="F160" s="635"/>
      <c r="G160" s="1517">
        <v>2</v>
      </c>
      <c r="H160" s="1517"/>
      <c r="I160" s="1517"/>
      <c r="J160" s="1517" t="s">
        <v>1592</v>
      </c>
      <c r="K160" s="1532" t="s">
        <v>3952</v>
      </c>
      <c r="L160" s="1518"/>
      <c r="M160" s="635"/>
      <c r="N160" s="624"/>
      <c r="O160" s="624"/>
      <c r="P160" s="624"/>
      <c r="Q160" s="624"/>
      <c r="R160" s="624"/>
      <c r="S160" s="624"/>
      <c r="T160" s="624"/>
      <c r="U160" s="624"/>
      <c r="V160" s="624"/>
      <c r="W160" s="624"/>
      <c r="X160" s="624"/>
      <c r="Y160" s="624"/>
      <c r="Z160" s="624"/>
      <c r="AA160">
        <f>IF(AND('12 Ext'!C160&gt;Tmin, NOT('12 Ext'!$I160="")),'12 Ext'!$I160,0)</f>
        <v>0</v>
      </c>
      <c r="AB160">
        <f>IF(AND('12 Ext'!D160&gt;Tmin, NOT('12 Ext'!$I160="")),'12 Ext'!$I160,0)</f>
        <v>0</v>
      </c>
      <c r="AC160">
        <f>IF(AND('12 Ext'!E160&gt;Tmin, NOT('12 Ext'!$I160="")),'12 Ext'!$I160,0)</f>
        <v>0</v>
      </c>
      <c r="AD160">
        <f>IF(AND('12 Ext'!F160&gt;Tmin, NOT('12 Ext'!$I160="")),'12 Ext'!$I160,0)</f>
        <v>0</v>
      </c>
      <c r="AE160">
        <f>IF(AND('12 Ext'!C160&lt;Tmax, NOT('12 Ext'!$H160="")),'12 Ext'!$H160,4)</f>
        <v>4</v>
      </c>
      <c r="AF160">
        <f>IF(AND('12 Ext'!D160&lt;Tmax, NOT('12 Ext'!$H160="")),'12 Ext'!$H160,4)</f>
        <v>4</v>
      </c>
      <c r="AG160">
        <f>IF(AND('12 Ext'!E160&lt;Tmax, NOT('12 Ext'!$H160="")),'12 Ext'!$H160,4)</f>
        <v>4</v>
      </c>
      <c r="AH160">
        <f>IF(AND('12 Ext'!F160&lt;Tmax, NOT('12 Ext'!$H160="")),'12 Ext'!$H160,4)</f>
        <v>4</v>
      </c>
      <c r="AI160"/>
      <c r="AJ160" s="230"/>
      <c r="AK160" s="230"/>
      <c r="AL160" s="230"/>
      <c r="AM160" s="230"/>
      <c r="AN160" s="230"/>
      <c r="AO160" s="230"/>
      <c r="AP160" s="230"/>
      <c r="AQ160" s="230"/>
      <c r="AR160" s="230"/>
      <c r="AS160" s="230"/>
      <c r="AT160" s="230"/>
      <c r="AU160" s="230"/>
      <c r="AV160" s="230"/>
      <c r="AW160" s="230"/>
      <c r="AX160" s="230"/>
      <c r="AY160" s="230"/>
      <c r="AZ160" s="230"/>
      <c r="BA160" s="230"/>
      <c r="BB160" s="230"/>
      <c r="BC160" s="230"/>
      <c r="BD160" s="230"/>
      <c r="BE160" s="230"/>
      <c r="BF160" s="230"/>
      <c r="BG160" s="230"/>
      <c r="BH160" s="230"/>
      <c r="BI160" s="230"/>
      <c r="BJ160" s="230"/>
      <c r="BK160" s="230"/>
      <c r="BL160" s="230"/>
      <c r="BM160" s="230"/>
      <c r="BN160" s="230"/>
      <c r="BO160" s="230"/>
      <c r="BP160" s="230"/>
      <c r="BQ160" s="230"/>
      <c r="BR160" s="230"/>
      <c r="BS160" s="230"/>
      <c r="BT160" s="230"/>
      <c r="BU160" s="230"/>
      <c r="BV160" s="230"/>
      <c r="BW160" s="230"/>
      <c r="BX160" s="230"/>
      <c r="BY160" s="230"/>
      <c r="BZ160" s="230"/>
      <c r="CA160" s="230"/>
      <c r="CB160" s="230"/>
      <c r="CC160" s="230"/>
      <c r="CD160" s="230"/>
      <c r="CE160" s="230"/>
      <c r="CF160" s="230"/>
      <c r="CG160" s="230"/>
      <c r="CH160" s="230"/>
      <c r="CI160" s="230"/>
      <c r="CJ160" s="230"/>
      <c r="CK160" s="230"/>
      <c r="CL160" s="230"/>
      <c r="CM160" s="230"/>
      <c r="CN160" s="230"/>
      <c r="CO160" s="230"/>
      <c r="CP160" s="230"/>
      <c r="CQ160" s="230"/>
      <c r="CR160" s="230"/>
      <c r="CS160" s="230"/>
      <c r="CT160" s="230"/>
      <c r="CU160" s="230"/>
      <c r="CV160" s="230"/>
      <c r="CW160" s="230"/>
      <c r="CX160" s="230"/>
      <c r="CY160" s="230"/>
      <c r="CZ160" s="230"/>
      <c r="DA160" s="230"/>
      <c r="DB160" s="230"/>
      <c r="DC160" s="230"/>
      <c r="DD160" s="230"/>
      <c r="DE160" s="230"/>
      <c r="DF160" s="230"/>
      <c r="DG160" s="230"/>
      <c r="DH160" s="230"/>
      <c r="DI160" s="230"/>
      <c r="DJ160" s="230"/>
      <c r="DK160" s="230"/>
      <c r="DL160" s="230"/>
      <c r="DM160" s="230"/>
      <c r="DN160" s="230"/>
      <c r="DO160" s="230"/>
      <c r="DP160" s="230"/>
      <c r="DQ160" s="230"/>
      <c r="DR160" s="230"/>
      <c r="DS160" s="230"/>
      <c r="DT160" s="230"/>
      <c r="DU160" s="230"/>
      <c r="DV160" s="230"/>
      <c r="DW160" s="230"/>
      <c r="DX160" s="230"/>
      <c r="DY160" s="230"/>
      <c r="DZ160" s="230"/>
      <c r="EA160" s="230"/>
      <c r="EB160" s="230"/>
      <c r="EC160" s="230"/>
      <c r="ED160" s="230"/>
      <c r="EE160" s="230"/>
      <c r="EF160" s="230"/>
      <c r="EG160" s="230"/>
      <c r="EH160" s="230"/>
      <c r="EI160" s="230"/>
      <c r="EJ160" s="230"/>
      <c r="EK160" s="230"/>
      <c r="EL160" s="230"/>
      <c r="EM160" s="230"/>
      <c r="EN160" s="230"/>
      <c r="EO160" s="230"/>
      <c r="EP160" s="230"/>
      <c r="EQ160" s="230"/>
      <c r="ER160" s="230"/>
      <c r="ES160" s="230"/>
      <c r="ET160" s="230"/>
      <c r="EU160" s="230"/>
      <c r="EV160" s="230"/>
      <c r="EW160" s="230"/>
      <c r="EX160" s="230"/>
      <c r="EY160" s="230"/>
      <c r="EZ160" s="230"/>
      <c r="FA160" s="230"/>
      <c r="FB160" s="230"/>
      <c r="FC160" s="230"/>
      <c r="FD160" s="230"/>
      <c r="FE160" s="230"/>
      <c r="FF160" s="230"/>
      <c r="FG160" s="230"/>
      <c r="FH160" s="230"/>
      <c r="FI160" s="230"/>
      <c r="FJ160" s="230"/>
      <c r="FK160" s="230"/>
      <c r="FL160" s="230"/>
      <c r="FM160" s="230"/>
      <c r="FN160" s="230"/>
      <c r="FO160" s="230"/>
      <c r="FP160" s="230"/>
      <c r="FQ160" s="230"/>
      <c r="FR160" s="230"/>
      <c r="FS160" s="230"/>
      <c r="FT160" s="230"/>
      <c r="FU160" s="230"/>
      <c r="FV160" s="230"/>
      <c r="FW160" s="230"/>
      <c r="FX160" s="230"/>
      <c r="FY160" s="230"/>
      <c r="FZ160" s="230"/>
      <c r="GA160" s="230"/>
      <c r="GB160" s="230"/>
      <c r="GC160" s="230"/>
      <c r="GD160" s="230"/>
      <c r="GE160" s="230"/>
      <c r="GF160" s="230"/>
      <c r="GG160" s="230"/>
      <c r="GH160" s="230"/>
      <c r="GI160" s="230"/>
      <c r="GJ160" s="230"/>
      <c r="GK160" s="230"/>
      <c r="GL160" s="230"/>
      <c r="GM160" s="230"/>
      <c r="GN160" s="230"/>
      <c r="GO160" s="230"/>
      <c r="GP160" s="230"/>
      <c r="GQ160" s="230"/>
      <c r="GR160" s="230"/>
    </row>
    <row r="161" spans="1:200" s="632" customFormat="1" ht="24" customHeight="1" outlineLevel="2" x14ac:dyDescent="0.2">
      <c r="A161" s="636" t="s">
        <v>3045</v>
      </c>
      <c r="B161" s="636" t="s">
        <v>2378</v>
      </c>
      <c r="C161" s="597"/>
      <c r="D161" s="1536"/>
      <c r="E161" s="635"/>
      <c r="F161" s="635"/>
      <c r="G161" s="1517">
        <v>4</v>
      </c>
      <c r="H161" s="1517"/>
      <c r="I161" s="1517"/>
      <c r="J161" s="1517" t="s">
        <v>1592</v>
      </c>
      <c r="K161" s="1532" t="s">
        <v>3952</v>
      </c>
      <c r="L161" s="1518"/>
      <c r="M161" s="638"/>
      <c r="N161" s="624"/>
      <c r="O161" s="624"/>
      <c r="P161" s="624"/>
      <c r="Q161" s="624"/>
      <c r="R161" s="624"/>
      <c r="S161" s="624"/>
      <c r="T161" s="624"/>
      <c r="U161" s="624"/>
      <c r="V161" s="624"/>
      <c r="W161" s="624"/>
      <c r="X161" s="624"/>
      <c r="Y161" s="624"/>
      <c r="Z161" s="624"/>
      <c r="AA161">
        <f>IF(AND('12 Ext'!C161&gt;Tmin, NOT('12 Ext'!$I161="")),'12 Ext'!$I161,0)</f>
        <v>0</v>
      </c>
      <c r="AB161">
        <f>IF(AND('12 Ext'!D161&gt;Tmin, NOT('12 Ext'!$I161="")),'12 Ext'!$I161,0)</f>
        <v>0</v>
      </c>
      <c r="AC161">
        <f>IF(AND('12 Ext'!E161&gt;Tmin, NOT('12 Ext'!$I161="")),'12 Ext'!$I161,0)</f>
        <v>0</v>
      </c>
      <c r="AD161">
        <f>IF(AND('12 Ext'!F161&gt;Tmin, NOT('12 Ext'!$I161="")),'12 Ext'!$I161,0)</f>
        <v>0</v>
      </c>
      <c r="AE161">
        <f>IF(AND('12 Ext'!C161&lt;Tmax, NOT('12 Ext'!$H161="")),'12 Ext'!$H161,4)</f>
        <v>4</v>
      </c>
      <c r="AF161">
        <f>IF(AND('12 Ext'!D161&lt;Tmax, NOT('12 Ext'!$H161="")),'12 Ext'!$H161,4)</f>
        <v>4</v>
      </c>
      <c r="AG161">
        <f>IF(AND('12 Ext'!E161&lt;Tmax, NOT('12 Ext'!$H161="")),'12 Ext'!$H161,4)</f>
        <v>4</v>
      </c>
      <c r="AH161">
        <f>IF(AND('12 Ext'!F161&lt;Tmax, NOT('12 Ext'!$H161="")),'12 Ext'!$H161,4)</f>
        <v>4</v>
      </c>
      <c r="AI161"/>
      <c r="AJ161" s="230"/>
      <c r="AK161" s="230"/>
      <c r="AL161" s="230"/>
      <c r="AM161" s="230"/>
      <c r="AN161" s="230"/>
      <c r="AO161" s="230"/>
      <c r="AP161" s="230"/>
      <c r="AQ161" s="230"/>
      <c r="AR161" s="230"/>
      <c r="AS161" s="230"/>
      <c r="AT161" s="230"/>
      <c r="AU161" s="230"/>
      <c r="AV161" s="230"/>
      <c r="AW161" s="230"/>
      <c r="AX161" s="230"/>
      <c r="AY161" s="230"/>
      <c r="AZ161" s="230"/>
      <c r="BA161" s="230"/>
      <c r="BB161" s="230"/>
      <c r="BC161" s="230"/>
      <c r="BD161" s="230"/>
      <c r="BE161" s="230"/>
      <c r="BF161" s="230"/>
      <c r="BG161" s="230"/>
      <c r="BH161" s="230"/>
      <c r="BI161" s="230"/>
      <c r="BJ161" s="230"/>
      <c r="BK161" s="230"/>
      <c r="BL161" s="230"/>
      <c r="BM161" s="230"/>
      <c r="BN161" s="230"/>
      <c r="BO161" s="230"/>
      <c r="BP161" s="230"/>
      <c r="BQ161" s="230"/>
      <c r="BR161" s="230"/>
      <c r="BS161" s="230"/>
      <c r="BT161" s="230"/>
      <c r="BU161" s="230"/>
      <c r="BV161" s="230"/>
      <c r="BW161" s="230"/>
      <c r="BX161" s="230"/>
      <c r="BY161" s="230"/>
      <c r="BZ161" s="230"/>
      <c r="CA161" s="230"/>
      <c r="CB161" s="230"/>
      <c r="CC161" s="230"/>
      <c r="CD161" s="230"/>
      <c r="CE161" s="230"/>
      <c r="CF161" s="230"/>
      <c r="CG161" s="230"/>
      <c r="CH161" s="230"/>
      <c r="CI161" s="230"/>
      <c r="CJ161" s="230"/>
      <c r="CK161" s="230"/>
      <c r="CL161" s="230"/>
      <c r="CM161" s="230"/>
      <c r="CN161" s="230"/>
      <c r="CO161" s="230"/>
      <c r="CP161" s="230"/>
      <c r="CQ161" s="230"/>
      <c r="CR161" s="230"/>
      <c r="CS161" s="230"/>
      <c r="CT161" s="230"/>
      <c r="CU161" s="230"/>
      <c r="CV161" s="230"/>
      <c r="CW161" s="230"/>
      <c r="CX161" s="230"/>
      <c r="CY161" s="230"/>
      <c r="CZ161" s="230"/>
      <c r="DA161" s="230"/>
      <c r="DB161" s="230"/>
      <c r="DC161" s="230"/>
      <c r="DD161" s="230"/>
      <c r="DE161" s="230"/>
      <c r="DF161" s="230"/>
      <c r="DG161" s="230"/>
      <c r="DH161" s="230"/>
      <c r="DI161" s="230"/>
      <c r="DJ161" s="230"/>
      <c r="DK161" s="230"/>
      <c r="DL161" s="230"/>
      <c r="DM161" s="230"/>
      <c r="DN161" s="230"/>
      <c r="DO161" s="230"/>
      <c r="DP161" s="230"/>
      <c r="DQ161" s="230"/>
      <c r="DR161" s="230"/>
      <c r="DS161" s="230"/>
      <c r="DT161" s="230"/>
      <c r="DU161" s="230"/>
      <c r="DV161" s="230"/>
      <c r="DW161" s="230"/>
      <c r="DX161" s="230"/>
      <c r="DY161" s="230"/>
      <c r="DZ161" s="230"/>
      <c r="EA161" s="230"/>
      <c r="EB161" s="230"/>
      <c r="EC161" s="230"/>
      <c r="ED161" s="230"/>
      <c r="EE161" s="230"/>
      <c r="EF161" s="230"/>
      <c r="EG161" s="230"/>
      <c r="EH161" s="230"/>
      <c r="EI161" s="230"/>
      <c r="EJ161" s="230"/>
      <c r="EK161" s="230"/>
      <c r="EL161" s="230"/>
      <c r="EM161" s="230"/>
      <c r="EN161" s="230"/>
      <c r="EO161" s="230"/>
      <c r="EP161" s="230"/>
      <c r="EQ161" s="230"/>
      <c r="ER161" s="230"/>
      <c r="ES161" s="230"/>
      <c r="ET161" s="230"/>
      <c r="EU161" s="230"/>
      <c r="EV161" s="230"/>
      <c r="EW161" s="230"/>
      <c r="EX161" s="230"/>
      <c r="EY161" s="230"/>
      <c r="EZ161" s="230"/>
      <c r="FA161" s="230"/>
      <c r="FB161" s="230"/>
      <c r="FC161" s="230"/>
      <c r="FD161" s="230"/>
      <c r="FE161" s="230"/>
      <c r="FF161" s="230"/>
      <c r="FG161" s="230"/>
      <c r="FH161" s="230"/>
      <c r="FI161" s="230"/>
      <c r="FJ161" s="230"/>
      <c r="FK161" s="230"/>
      <c r="FL161" s="230"/>
      <c r="FM161" s="230"/>
      <c r="FN161" s="230"/>
      <c r="FO161" s="230"/>
      <c r="FP161" s="230"/>
      <c r="FQ161" s="230"/>
      <c r="FR161" s="230"/>
      <c r="FS161" s="230"/>
      <c r="FT161" s="230"/>
      <c r="FU161" s="230"/>
      <c r="FV161" s="230"/>
      <c r="FW161" s="230"/>
      <c r="FX161" s="230"/>
      <c r="FY161" s="230"/>
      <c r="FZ161" s="230"/>
      <c r="GA161" s="230"/>
      <c r="GB161" s="230"/>
      <c r="GC161" s="230"/>
      <c r="GD161" s="230"/>
      <c r="GE161" s="230"/>
      <c r="GF161" s="230"/>
      <c r="GG161" s="230"/>
      <c r="GH161" s="230"/>
      <c r="GI161" s="230"/>
      <c r="GJ161" s="230"/>
      <c r="GK161" s="230"/>
      <c r="GL161" s="230"/>
      <c r="GM161" s="230"/>
      <c r="GN161" s="230"/>
      <c r="GO161" s="230"/>
      <c r="GP161" s="230"/>
      <c r="GQ161" s="230"/>
      <c r="GR161" s="230"/>
    </row>
    <row r="162" spans="1:200" s="632" customFormat="1" ht="60" customHeight="1" outlineLevel="2" x14ac:dyDescent="0.2">
      <c r="A162" s="636" t="s">
        <v>3046</v>
      </c>
      <c r="B162" s="636" t="s">
        <v>1284</v>
      </c>
      <c r="C162" s="597"/>
      <c r="D162" s="1536"/>
      <c r="E162" s="635"/>
      <c r="F162" s="635"/>
      <c r="G162" s="1517">
        <v>4</v>
      </c>
      <c r="H162" s="1517">
        <v>2</v>
      </c>
      <c r="I162" s="1517"/>
      <c r="J162" s="1517" t="s">
        <v>2349</v>
      </c>
      <c r="K162" s="1532" t="s">
        <v>3952</v>
      </c>
      <c r="L162" s="1518"/>
      <c r="M162" s="635"/>
      <c r="N162" s="624"/>
      <c r="O162" s="624"/>
      <c r="P162" s="624"/>
      <c r="Q162" s="624"/>
      <c r="R162" s="624"/>
      <c r="S162" s="624"/>
      <c r="T162" s="624"/>
      <c r="U162" s="624"/>
      <c r="V162" s="624"/>
      <c r="W162" s="624"/>
      <c r="X162" s="624"/>
      <c r="Y162" s="624"/>
      <c r="Z162" s="624"/>
      <c r="AA162">
        <f>IF(AND('12 Ext'!C162&gt;Tmin, NOT('12 Ext'!$I162="")),'12 Ext'!$I162,0)</f>
        <v>0</v>
      </c>
      <c r="AB162">
        <f>IF(AND('12 Ext'!D162&gt;Tmin, NOT('12 Ext'!$I162="")),'12 Ext'!$I162,0)</f>
        <v>0</v>
      </c>
      <c r="AC162">
        <f>IF(AND('12 Ext'!E162&gt;Tmin, NOT('12 Ext'!$I162="")),'12 Ext'!$I162,0)</f>
        <v>0</v>
      </c>
      <c r="AD162">
        <f>IF(AND('12 Ext'!F162&gt;Tmin, NOT('12 Ext'!$I162="")),'12 Ext'!$I162,0)</f>
        <v>0</v>
      </c>
      <c r="AE162">
        <f>IF(AND('12 Ext'!C162&lt;Tmax, NOT('12 Ext'!$H162="")),'12 Ext'!$H162,4)</f>
        <v>2</v>
      </c>
      <c r="AF162">
        <f>IF(AND('12 Ext'!D162&lt;Tmax, NOT('12 Ext'!$H162="")),'12 Ext'!$H162,4)</f>
        <v>2</v>
      </c>
      <c r="AG162">
        <f>IF(AND('12 Ext'!E162&lt;Tmax, NOT('12 Ext'!$H162="")),'12 Ext'!$H162,4)</f>
        <v>2</v>
      </c>
      <c r="AH162">
        <f>IF(AND('12 Ext'!F162&lt;Tmax, NOT('12 Ext'!$H162="")),'12 Ext'!$H162,4)</f>
        <v>2</v>
      </c>
      <c r="AI162"/>
      <c r="AJ162" s="230"/>
      <c r="AK162" s="230"/>
      <c r="AL162" s="230"/>
      <c r="AM162" s="230"/>
      <c r="AN162" s="230"/>
      <c r="AO162" s="230"/>
      <c r="AP162" s="230"/>
      <c r="AQ162" s="230"/>
      <c r="AR162" s="230"/>
      <c r="AS162" s="230"/>
      <c r="AT162" s="230"/>
      <c r="AU162" s="230"/>
      <c r="AV162" s="230"/>
      <c r="AW162" s="230"/>
      <c r="AX162" s="230"/>
      <c r="AY162" s="230"/>
      <c r="AZ162" s="230"/>
      <c r="BA162" s="230"/>
      <c r="BB162" s="230"/>
      <c r="BC162" s="230"/>
      <c r="BD162" s="230"/>
      <c r="BE162" s="230"/>
      <c r="BF162" s="230"/>
      <c r="BG162" s="230"/>
      <c r="BH162" s="230"/>
      <c r="BI162" s="230"/>
      <c r="BJ162" s="230"/>
      <c r="BK162" s="230"/>
      <c r="BL162" s="230"/>
      <c r="BM162" s="230"/>
      <c r="BN162" s="230"/>
      <c r="BO162" s="230"/>
      <c r="BP162" s="230"/>
      <c r="BQ162" s="230"/>
      <c r="BR162" s="230"/>
      <c r="BS162" s="230"/>
      <c r="BT162" s="230"/>
      <c r="BU162" s="230"/>
      <c r="BV162" s="230"/>
      <c r="BW162" s="230"/>
      <c r="BX162" s="230"/>
      <c r="BY162" s="230"/>
      <c r="BZ162" s="230"/>
      <c r="CA162" s="230"/>
      <c r="CB162" s="230"/>
      <c r="CC162" s="230"/>
      <c r="CD162" s="230"/>
      <c r="CE162" s="230"/>
      <c r="CF162" s="230"/>
      <c r="CG162" s="230"/>
      <c r="CH162" s="230"/>
      <c r="CI162" s="230"/>
      <c r="CJ162" s="230"/>
      <c r="CK162" s="230"/>
      <c r="CL162" s="230"/>
      <c r="CM162" s="230"/>
      <c r="CN162" s="230"/>
      <c r="CO162" s="230"/>
      <c r="CP162" s="230"/>
      <c r="CQ162" s="230"/>
      <c r="CR162" s="230"/>
      <c r="CS162" s="230"/>
      <c r="CT162" s="230"/>
      <c r="CU162" s="230"/>
      <c r="CV162" s="230"/>
      <c r="CW162" s="230"/>
      <c r="CX162" s="230"/>
      <c r="CY162" s="230"/>
      <c r="CZ162" s="230"/>
      <c r="DA162" s="230"/>
      <c r="DB162" s="230"/>
      <c r="DC162" s="230"/>
      <c r="DD162" s="230"/>
      <c r="DE162" s="230"/>
      <c r="DF162" s="230"/>
      <c r="DG162" s="230"/>
      <c r="DH162" s="230"/>
      <c r="DI162" s="230"/>
      <c r="DJ162" s="230"/>
      <c r="DK162" s="230"/>
      <c r="DL162" s="230"/>
      <c r="DM162" s="230"/>
      <c r="DN162" s="230"/>
      <c r="DO162" s="230"/>
      <c r="DP162" s="230"/>
      <c r="DQ162" s="230"/>
      <c r="DR162" s="230"/>
      <c r="DS162" s="230"/>
      <c r="DT162" s="230"/>
      <c r="DU162" s="230"/>
      <c r="DV162" s="230"/>
      <c r="DW162" s="230"/>
      <c r="DX162" s="230"/>
      <c r="DY162" s="230"/>
      <c r="DZ162" s="230"/>
      <c r="EA162" s="230"/>
      <c r="EB162" s="230"/>
      <c r="EC162" s="230"/>
      <c r="ED162" s="230"/>
      <c r="EE162" s="230"/>
      <c r="EF162" s="230"/>
      <c r="EG162" s="230"/>
      <c r="EH162" s="230"/>
      <c r="EI162" s="230"/>
      <c r="EJ162" s="230"/>
      <c r="EK162" s="230"/>
      <c r="EL162" s="230"/>
      <c r="EM162" s="230"/>
      <c r="EN162" s="230"/>
      <c r="EO162" s="230"/>
      <c r="EP162" s="230"/>
      <c r="EQ162" s="230"/>
      <c r="ER162" s="230"/>
      <c r="ES162" s="230"/>
      <c r="ET162" s="230"/>
      <c r="EU162" s="230"/>
      <c r="EV162" s="230"/>
      <c r="EW162" s="230"/>
      <c r="EX162" s="230"/>
      <c r="EY162" s="230"/>
      <c r="EZ162" s="230"/>
      <c r="FA162" s="230"/>
      <c r="FB162" s="230"/>
      <c r="FC162" s="230"/>
      <c r="FD162" s="230"/>
      <c r="FE162" s="230"/>
      <c r="FF162" s="230"/>
      <c r="FG162" s="230"/>
      <c r="FH162" s="230"/>
      <c r="FI162" s="230"/>
      <c r="FJ162" s="230"/>
      <c r="FK162" s="230"/>
      <c r="FL162" s="230"/>
      <c r="FM162" s="230"/>
      <c r="FN162" s="230"/>
      <c r="FO162" s="230"/>
      <c r="FP162" s="230"/>
      <c r="FQ162" s="230"/>
      <c r="FR162" s="230"/>
      <c r="FS162" s="230"/>
      <c r="FT162" s="230"/>
      <c r="FU162" s="230"/>
      <c r="FV162" s="230"/>
      <c r="FW162" s="230"/>
      <c r="FX162" s="230"/>
      <c r="FY162" s="230"/>
      <c r="FZ162" s="230"/>
      <c r="GA162" s="230"/>
      <c r="GB162" s="230"/>
      <c r="GC162" s="230"/>
      <c r="GD162" s="230"/>
      <c r="GE162" s="230"/>
      <c r="GF162" s="230"/>
      <c r="GG162" s="230"/>
      <c r="GH162" s="230"/>
      <c r="GI162" s="230"/>
      <c r="GJ162" s="230"/>
      <c r="GK162" s="230"/>
      <c r="GL162" s="230"/>
      <c r="GM162" s="230"/>
      <c r="GN162" s="230"/>
      <c r="GO162" s="230"/>
      <c r="GP162" s="230"/>
      <c r="GQ162" s="230"/>
      <c r="GR162" s="230"/>
    </row>
    <row r="163" spans="1:200" s="632" customFormat="1" ht="39" customHeight="1" outlineLevel="2" x14ac:dyDescent="0.2">
      <c r="A163" s="636" t="s">
        <v>3047</v>
      </c>
      <c r="B163" s="636" t="s">
        <v>3164</v>
      </c>
      <c r="C163" s="597"/>
      <c r="D163" s="1536"/>
      <c r="E163" s="635"/>
      <c r="F163" s="635"/>
      <c r="G163" s="1517">
        <v>4</v>
      </c>
      <c r="H163" s="1517">
        <v>3</v>
      </c>
      <c r="I163" s="1517"/>
      <c r="J163" s="1517" t="s">
        <v>2349</v>
      </c>
      <c r="K163" s="1518"/>
      <c r="L163" s="1518"/>
      <c r="M163" s="635"/>
      <c r="N163" s="624"/>
      <c r="O163" s="624"/>
      <c r="P163" s="624"/>
      <c r="Q163" s="624"/>
      <c r="R163" s="624"/>
      <c r="S163" s="624"/>
      <c r="T163" s="624"/>
      <c r="U163" s="624"/>
      <c r="V163" s="624"/>
      <c r="W163" s="624"/>
      <c r="X163" s="624"/>
      <c r="Y163" s="624"/>
      <c r="Z163" s="624"/>
      <c r="AA163">
        <f>IF(AND('12 Ext'!C163&gt;Tmin, NOT('12 Ext'!$I163="")),'12 Ext'!$I163,0)</f>
        <v>0</v>
      </c>
      <c r="AB163">
        <f>IF(AND('12 Ext'!D163&gt;Tmin, NOT('12 Ext'!$I163="")),'12 Ext'!$I163,0)</f>
        <v>0</v>
      </c>
      <c r="AC163">
        <f>IF(AND('12 Ext'!E163&gt;Tmin, NOT('12 Ext'!$I163="")),'12 Ext'!$I163,0)</f>
        <v>0</v>
      </c>
      <c r="AD163">
        <f>IF(AND('12 Ext'!F163&gt;Tmin, NOT('12 Ext'!$I163="")),'12 Ext'!$I163,0)</f>
        <v>0</v>
      </c>
      <c r="AE163">
        <f>IF(AND('12 Ext'!C163&lt;Tmax, NOT('12 Ext'!$H163="")),'12 Ext'!$H163,4)</f>
        <v>3</v>
      </c>
      <c r="AF163">
        <f>IF(AND('12 Ext'!D163&lt;Tmax, NOT('12 Ext'!$H163="")),'12 Ext'!$H163,4)</f>
        <v>3</v>
      </c>
      <c r="AG163">
        <f>IF(AND('12 Ext'!E163&lt;Tmax, NOT('12 Ext'!$H163="")),'12 Ext'!$H163,4)</f>
        <v>3</v>
      </c>
      <c r="AH163">
        <f>IF(AND('12 Ext'!F163&lt;Tmax, NOT('12 Ext'!$H163="")),'12 Ext'!$H163,4)</f>
        <v>3</v>
      </c>
      <c r="AI163"/>
      <c r="AJ163" s="230"/>
      <c r="AK163" s="230"/>
      <c r="AL163" s="230"/>
      <c r="AM163" s="230"/>
      <c r="AN163" s="230"/>
      <c r="AO163" s="230"/>
      <c r="AP163" s="230"/>
      <c r="AQ163" s="230"/>
      <c r="AR163" s="230"/>
      <c r="AS163" s="230"/>
      <c r="AT163" s="230"/>
      <c r="AU163" s="230"/>
      <c r="AV163" s="230"/>
      <c r="AW163" s="230"/>
      <c r="AX163" s="230"/>
      <c r="AY163" s="230"/>
      <c r="AZ163" s="230"/>
      <c r="BA163" s="230"/>
      <c r="BB163" s="230"/>
      <c r="BC163" s="230"/>
      <c r="BD163" s="230"/>
      <c r="BE163" s="230"/>
      <c r="BF163" s="230"/>
      <c r="BG163" s="230"/>
      <c r="BH163" s="230"/>
      <c r="BI163" s="230"/>
      <c r="BJ163" s="230"/>
      <c r="BK163" s="230"/>
      <c r="BL163" s="230"/>
      <c r="BM163" s="230"/>
      <c r="BN163" s="230"/>
      <c r="BO163" s="230"/>
      <c r="BP163" s="230"/>
      <c r="BQ163" s="230"/>
      <c r="BR163" s="230"/>
      <c r="BS163" s="230"/>
      <c r="BT163" s="230"/>
      <c r="BU163" s="230"/>
      <c r="BV163" s="230"/>
      <c r="BW163" s="230"/>
      <c r="BX163" s="230"/>
      <c r="BY163" s="230"/>
      <c r="BZ163" s="230"/>
      <c r="CA163" s="230"/>
      <c r="CB163" s="230"/>
      <c r="CC163" s="230"/>
      <c r="CD163" s="230"/>
      <c r="CE163" s="230"/>
      <c r="CF163" s="230"/>
      <c r="CG163" s="230"/>
      <c r="CH163" s="230"/>
      <c r="CI163" s="230"/>
      <c r="CJ163" s="230"/>
      <c r="CK163" s="230"/>
      <c r="CL163" s="230"/>
      <c r="CM163" s="230"/>
      <c r="CN163" s="230"/>
      <c r="CO163" s="230"/>
      <c r="CP163" s="230"/>
      <c r="CQ163" s="230"/>
      <c r="CR163" s="230"/>
      <c r="CS163" s="230"/>
      <c r="CT163" s="230"/>
      <c r="CU163" s="230"/>
      <c r="CV163" s="230"/>
      <c r="CW163" s="230"/>
      <c r="CX163" s="230"/>
      <c r="CY163" s="230"/>
      <c r="CZ163" s="230"/>
      <c r="DA163" s="230"/>
      <c r="DB163" s="230"/>
      <c r="DC163" s="230"/>
      <c r="DD163" s="230"/>
      <c r="DE163" s="230"/>
      <c r="DF163" s="230"/>
      <c r="DG163" s="230"/>
      <c r="DH163" s="230"/>
      <c r="DI163" s="230"/>
      <c r="DJ163" s="230"/>
      <c r="DK163" s="230"/>
      <c r="DL163" s="230"/>
      <c r="DM163" s="230"/>
      <c r="DN163" s="230"/>
      <c r="DO163" s="230"/>
      <c r="DP163" s="230"/>
      <c r="DQ163" s="230"/>
      <c r="DR163" s="230"/>
      <c r="DS163" s="230"/>
      <c r="DT163" s="230"/>
      <c r="DU163" s="230"/>
      <c r="DV163" s="230"/>
      <c r="DW163" s="230"/>
      <c r="DX163" s="230"/>
      <c r="DY163" s="230"/>
      <c r="DZ163" s="230"/>
      <c r="EA163" s="230"/>
      <c r="EB163" s="230"/>
      <c r="EC163" s="230"/>
      <c r="ED163" s="230"/>
      <c r="EE163" s="230"/>
      <c r="EF163" s="230"/>
      <c r="EG163" s="230"/>
      <c r="EH163" s="230"/>
      <c r="EI163" s="230"/>
      <c r="EJ163" s="230"/>
      <c r="EK163" s="230"/>
      <c r="EL163" s="230"/>
      <c r="EM163" s="230"/>
      <c r="EN163" s="230"/>
      <c r="EO163" s="230"/>
      <c r="EP163" s="230"/>
      <c r="EQ163" s="230"/>
      <c r="ER163" s="230"/>
      <c r="ES163" s="230"/>
      <c r="ET163" s="230"/>
      <c r="EU163" s="230"/>
      <c r="EV163" s="230"/>
      <c r="EW163" s="230"/>
      <c r="EX163" s="230"/>
      <c r="EY163" s="230"/>
      <c r="EZ163" s="230"/>
      <c r="FA163" s="230"/>
      <c r="FB163" s="230"/>
      <c r="FC163" s="230"/>
      <c r="FD163" s="230"/>
      <c r="FE163" s="230"/>
      <c r="FF163" s="230"/>
      <c r="FG163" s="230"/>
      <c r="FH163" s="230"/>
      <c r="FI163" s="230"/>
      <c r="FJ163" s="230"/>
      <c r="FK163" s="230"/>
      <c r="FL163" s="230"/>
      <c r="FM163" s="230"/>
      <c r="FN163" s="230"/>
      <c r="FO163" s="230"/>
      <c r="FP163" s="230"/>
      <c r="FQ163" s="230"/>
      <c r="FR163" s="230"/>
      <c r="FS163" s="230"/>
      <c r="FT163" s="230"/>
      <c r="FU163" s="230"/>
      <c r="FV163" s="230"/>
      <c r="FW163" s="230"/>
      <c r="FX163" s="230"/>
      <c r="FY163" s="230"/>
      <c r="FZ163" s="230"/>
      <c r="GA163" s="230"/>
      <c r="GB163" s="230"/>
      <c r="GC163" s="230"/>
      <c r="GD163" s="230"/>
      <c r="GE163" s="230"/>
      <c r="GF163" s="230"/>
      <c r="GG163" s="230"/>
      <c r="GH163" s="230"/>
      <c r="GI163" s="230"/>
      <c r="GJ163" s="230"/>
      <c r="GK163" s="230"/>
      <c r="GL163" s="230"/>
      <c r="GM163" s="230"/>
      <c r="GN163" s="230"/>
      <c r="GO163" s="230"/>
      <c r="GP163" s="230"/>
      <c r="GQ163" s="230"/>
      <c r="GR163" s="230"/>
    </row>
    <row r="164" spans="1:200" s="632" customFormat="1" ht="14.25" customHeight="1" outlineLevel="2" x14ac:dyDescent="0.2">
      <c r="A164" s="636" t="s">
        <v>3048</v>
      </c>
      <c r="B164" s="636" t="s">
        <v>1247</v>
      </c>
      <c r="C164" s="597"/>
      <c r="D164" s="1536"/>
      <c r="E164" s="635"/>
      <c r="F164" s="635"/>
      <c r="G164" s="1517">
        <v>4</v>
      </c>
      <c r="H164" s="1517">
        <v>3</v>
      </c>
      <c r="I164" s="1526"/>
      <c r="J164" s="1517" t="s">
        <v>2109</v>
      </c>
      <c r="K164" s="1518"/>
      <c r="L164" s="1518"/>
      <c r="M164" s="635"/>
      <c r="N164" s="624"/>
      <c r="O164" s="624"/>
      <c r="P164" s="624"/>
      <c r="Q164" s="624"/>
      <c r="R164" s="624"/>
      <c r="S164" s="624"/>
      <c r="T164" s="624"/>
      <c r="U164" s="624"/>
      <c r="V164" s="624"/>
      <c r="W164" s="624"/>
      <c r="X164" s="624"/>
      <c r="Y164" s="624"/>
      <c r="Z164" s="624"/>
      <c r="AA164">
        <f>IF(AND('12 Ext'!C164&gt;Tmin, NOT('12 Ext'!$I164="")),'12 Ext'!$I164,0)</f>
        <v>0</v>
      </c>
      <c r="AB164">
        <f>IF(AND('12 Ext'!D164&gt;Tmin, NOT('12 Ext'!$I164="")),'12 Ext'!$I164,0)</f>
        <v>0</v>
      </c>
      <c r="AC164">
        <f>IF(AND('12 Ext'!E164&gt;Tmin, NOT('12 Ext'!$I164="")),'12 Ext'!$I164,0)</f>
        <v>0</v>
      </c>
      <c r="AD164">
        <f>IF(AND('12 Ext'!F164&gt;Tmin, NOT('12 Ext'!$I164="")),'12 Ext'!$I164,0)</f>
        <v>0</v>
      </c>
      <c r="AE164">
        <f>IF(AND('12 Ext'!C164&lt;Tmax, NOT('12 Ext'!$H164="")),'12 Ext'!$H164,4)</f>
        <v>3</v>
      </c>
      <c r="AF164">
        <f>IF(AND('12 Ext'!D164&lt;Tmax, NOT('12 Ext'!$H164="")),'12 Ext'!$H164,4)</f>
        <v>3</v>
      </c>
      <c r="AG164">
        <f>IF(AND('12 Ext'!E164&lt;Tmax, NOT('12 Ext'!$H164="")),'12 Ext'!$H164,4)</f>
        <v>3</v>
      </c>
      <c r="AH164">
        <f>IF(AND('12 Ext'!F164&lt;Tmax, NOT('12 Ext'!$H164="")),'12 Ext'!$H164,4)</f>
        <v>3</v>
      </c>
      <c r="AI164"/>
      <c r="AJ164" s="230"/>
      <c r="AK164" s="230"/>
      <c r="AL164" s="230"/>
      <c r="AM164" s="230"/>
      <c r="AN164" s="230"/>
      <c r="AO164" s="230"/>
      <c r="AP164" s="230"/>
      <c r="AQ164" s="230"/>
      <c r="AR164" s="230"/>
      <c r="AS164" s="230"/>
      <c r="AT164" s="230"/>
      <c r="AU164" s="230"/>
      <c r="AV164" s="230"/>
      <c r="AW164" s="230"/>
      <c r="AX164" s="230"/>
      <c r="AY164" s="230"/>
      <c r="AZ164" s="230"/>
      <c r="BA164" s="230"/>
      <c r="BB164" s="230"/>
      <c r="BC164" s="230"/>
      <c r="BD164" s="230"/>
      <c r="BE164" s="230"/>
      <c r="BF164" s="230"/>
      <c r="BG164" s="230"/>
      <c r="BH164" s="230"/>
      <c r="BI164" s="230"/>
      <c r="BJ164" s="230"/>
      <c r="BK164" s="230"/>
      <c r="BL164" s="230"/>
      <c r="BM164" s="230"/>
      <c r="BN164" s="230"/>
      <c r="BO164" s="230"/>
      <c r="BP164" s="230"/>
      <c r="BQ164" s="230"/>
      <c r="BR164" s="230"/>
      <c r="BS164" s="230"/>
      <c r="BT164" s="230"/>
      <c r="BU164" s="230"/>
      <c r="BV164" s="230"/>
      <c r="BW164" s="230"/>
      <c r="BX164" s="230"/>
      <c r="BY164" s="230"/>
      <c r="BZ164" s="230"/>
      <c r="CA164" s="230"/>
      <c r="CB164" s="230"/>
      <c r="CC164" s="230"/>
      <c r="CD164" s="230"/>
      <c r="CE164" s="230"/>
      <c r="CF164" s="230"/>
      <c r="CG164" s="230"/>
      <c r="CH164" s="230"/>
      <c r="CI164" s="230"/>
      <c r="CJ164" s="230"/>
      <c r="CK164" s="230"/>
      <c r="CL164" s="230"/>
      <c r="CM164" s="230"/>
      <c r="CN164" s="230"/>
      <c r="CO164" s="230"/>
      <c r="CP164" s="230"/>
      <c r="CQ164" s="230"/>
      <c r="CR164" s="230"/>
      <c r="CS164" s="230"/>
      <c r="CT164" s="230"/>
      <c r="CU164" s="230"/>
      <c r="CV164" s="230"/>
      <c r="CW164" s="230"/>
      <c r="CX164" s="230"/>
      <c r="CY164" s="230"/>
      <c r="CZ164" s="230"/>
      <c r="DA164" s="230"/>
      <c r="DB164" s="230"/>
      <c r="DC164" s="230"/>
      <c r="DD164" s="230"/>
      <c r="DE164" s="230"/>
      <c r="DF164" s="230"/>
      <c r="DG164" s="230"/>
      <c r="DH164" s="230"/>
      <c r="DI164" s="230"/>
      <c r="DJ164" s="230"/>
      <c r="DK164" s="230"/>
      <c r="DL164" s="230"/>
      <c r="DM164" s="230"/>
      <c r="DN164" s="230"/>
      <c r="DO164" s="230"/>
      <c r="DP164" s="230"/>
      <c r="DQ164" s="230"/>
      <c r="DR164" s="230"/>
      <c r="DS164" s="230"/>
      <c r="DT164" s="230"/>
      <c r="DU164" s="230"/>
      <c r="DV164" s="230"/>
      <c r="DW164" s="230"/>
      <c r="DX164" s="230"/>
      <c r="DY164" s="230"/>
      <c r="DZ164" s="230"/>
      <c r="EA164" s="230"/>
      <c r="EB164" s="230"/>
      <c r="EC164" s="230"/>
      <c r="ED164" s="230"/>
      <c r="EE164" s="230"/>
      <c r="EF164" s="230"/>
      <c r="EG164" s="230"/>
      <c r="EH164" s="230"/>
      <c r="EI164" s="230"/>
      <c r="EJ164" s="230"/>
      <c r="EK164" s="230"/>
      <c r="EL164" s="230"/>
      <c r="EM164" s="230"/>
      <c r="EN164" s="230"/>
      <c r="EO164" s="230"/>
      <c r="EP164" s="230"/>
      <c r="EQ164" s="230"/>
      <c r="ER164" s="230"/>
      <c r="ES164" s="230"/>
      <c r="ET164" s="230"/>
      <c r="EU164" s="230"/>
      <c r="EV164" s="230"/>
      <c r="EW164" s="230"/>
      <c r="EX164" s="230"/>
      <c r="EY164" s="230"/>
      <c r="EZ164" s="230"/>
      <c r="FA164" s="230"/>
      <c r="FB164" s="230"/>
      <c r="FC164" s="230"/>
      <c r="FD164" s="230"/>
      <c r="FE164" s="230"/>
      <c r="FF164" s="230"/>
      <c r="FG164" s="230"/>
      <c r="FH164" s="230"/>
      <c r="FI164" s="230"/>
      <c r="FJ164" s="230"/>
      <c r="FK164" s="230"/>
      <c r="FL164" s="230"/>
      <c r="FM164" s="230"/>
      <c r="FN164" s="230"/>
      <c r="FO164" s="230"/>
      <c r="FP164" s="230"/>
      <c r="FQ164" s="230"/>
      <c r="FR164" s="230"/>
      <c r="FS164" s="230"/>
      <c r="FT164" s="230"/>
      <c r="FU164" s="230"/>
      <c r="FV164" s="230"/>
      <c r="FW164" s="230"/>
      <c r="FX164" s="230"/>
      <c r="FY164" s="230"/>
      <c r="FZ164" s="230"/>
      <c r="GA164" s="230"/>
      <c r="GB164" s="230"/>
      <c r="GC164" s="230"/>
      <c r="GD164" s="230"/>
      <c r="GE164" s="230"/>
      <c r="GF164" s="230"/>
      <c r="GG164" s="230"/>
      <c r="GH164" s="230"/>
      <c r="GI164" s="230"/>
      <c r="GJ164" s="230"/>
      <c r="GK164" s="230"/>
      <c r="GL164" s="230"/>
      <c r="GM164" s="230"/>
      <c r="GN164" s="230"/>
      <c r="GO164" s="230"/>
      <c r="GP164" s="230"/>
      <c r="GQ164" s="230"/>
      <c r="GR164" s="230"/>
    </row>
    <row r="165" spans="1:200" s="632" customFormat="1" outlineLevel="1" x14ac:dyDescent="0.2">
      <c r="A165" s="633" t="s">
        <v>3945</v>
      </c>
      <c r="B165" s="634" t="s">
        <v>5750</v>
      </c>
      <c r="C165" s="597"/>
      <c r="D165" s="1536"/>
      <c r="E165" s="635"/>
      <c r="F165" s="635"/>
      <c r="G165" s="1517"/>
      <c r="H165" s="1517"/>
      <c r="I165" s="1517"/>
      <c r="J165" s="1517"/>
      <c r="K165" s="1518"/>
      <c r="L165" s="1518"/>
      <c r="M165" s="635"/>
      <c r="N165" s="624"/>
      <c r="O165" s="624"/>
      <c r="P165" s="624"/>
      <c r="Q165" s="624"/>
      <c r="R165" s="624"/>
      <c r="S165" s="624"/>
      <c r="T165" s="624"/>
      <c r="U165" s="624"/>
      <c r="V165" s="624"/>
      <c r="W165" s="624"/>
      <c r="X165" s="624"/>
      <c r="Y165" s="624"/>
      <c r="Z165" s="624"/>
      <c r="AA165"/>
      <c r="AB165"/>
      <c r="AC165"/>
      <c r="AD165"/>
      <c r="AE165"/>
      <c r="AF165"/>
      <c r="AG165"/>
      <c r="AH165"/>
      <c r="AI165"/>
      <c r="AJ165" s="230"/>
      <c r="AK165" s="230"/>
      <c r="AL165" s="230"/>
      <c r="AM165" s="230"/>
      <c r="AN165" s="230"/>
      <c r="AO165" s="230"/>
      <c r="AP165" s="230"/>
      <c r="AQ165" s="230"/>
      <c r="AR165" s="230"/>
      <c r="AS165" s="230"/>
      <c r="AT165" s="230"/>
      <c r="AU165" s="230"/>
      <c r="AV165" s="230"/>
      <c r="AW165" s="230"/>
      <c r="AX165" s="230"/>
      <c r="AY165" s="230"/>
      <c r="AZ165" s="230"/>
      <c r="BA165" s="230"/>
      <c r="BB165" s="230"/>
      <c r="BC165" s="230"/>
      <c r="BD165" s="230"/>
      <c r="BE165" s="230"/>
      <c r="BF165" s="230"/>
      <c r="BG165" s="230"/>
      <c r="BH165" s="230"/>
      <c r="BI165" s="230"/>
      <c r="BJ165" s="230"/>
      <c r="BK165" s="230"/>
      <c r="BL165" s="230"/>
      <c r="BM165" s="230"/>
      <c r="BN165" s="230"/>
      <c r="BO165" s="230"/>
      <c r="BP165" s="230"/>
      <c r="BQ165" s="230"/>
      <c r="BR165" s="230"/>
      <c r="BS165" s="230"/>
      <c r="BT165" s="230"/>
      <c r="BU165" s="230"/>
      <c r="BV165" s="230"/>
      <c r="BW165" s="230"/>
      <c r="BX165" s="230"/>
      <c r="BY165" s="230"/>
      <c r="BZ165" s="230"/>
      <c r="CA165" s="230"/>
      <c r="CB165" s="230"/>
      <c r="CC165" s="230"/>
      <c r="CD165" s="230"/>
      <c r="CE165" s="230"/>
      <c r="CF165" s="230"/>
      <c r="CG165" s="230"/>
      <c r="CH165" s="230"/>
      <c r="CI165" s="230"/>
      <c r="CJ165" s="230"/>
      <c r="CK165" s="230"/>
      <c r="CL165" s="230"/>
      <c r="CM165" s="230"/>
      <c r="CN165" s="230"/>
      <c r="CO165" s="230"/>
      <c r="CP165" s="230"/>
      <c r="CQ165" s="230"/>
      <c r="CR165" s="230"/>
      <c r="CS165" s="230"/>
      <c r="CT165" s="230"/>
      <c r="CU165" s="230"/>
      <c r="CV165" s="230"/>
      <c r="CW165" s="230"/>
      <c r="CX165" s="230"/>
      <c r="CY165" s="230"/>
      <c r="CZ165" s="230"/>
      <c r="DA165" s="230"/>
      <c r="DB165" s="230"/>
      <c r="DC165" s="230"/>
      <c r="DD165" s="230"/>
      <c r="DE165" s="230"/>
      <c r="DF165" s="230"/>
      <c r="DG165" s="230"/>
      <c r="DH165" s="230"/>
      <c r="DI165" s="230"/>
      <c r="DJ165" s="230"/>
      <c r="DK165" s="230"/>
      <c r="DL165" s="230"/>
      <c r="DM165" s="230"/>
      <c r="DN165" s="230"/>
      <c r="DO165" s="230"/>
      <c r="DP165" s="230"/>
      <c r="DQ165" s="230"/>
      <c r="DR165" s="230"/>
      <c r="DS165" s="230"/>
      <c r="DT165" s="230"/>
      <c r="DU165" s="230"/>
      <c r="DV165" s="230"/>
      <c r="DW165" s="230"/>
      <c r="DX165" s="230"/>
      <c r="DY165" s="230"/>
      <c r="DZ165" s="230"/>
      <c r="EA165" s="230"/>
      <c r="EB165" s="230"/>
      <c r="EC165" s="230"/>
      <c r="ED165" s="230"/>
      <c r="EE165" s="230"/>
      <c r="EF165" s="230"/>
      <c r="EG165" s="230"/>
      <c r="EH165" s="230"/>
      <c r="EI165" s="230"/>
      <c r="EJ165" s="230"/>
      <c r="EK165" s="230"/>
      <c r="EL165" s="230"/>
      <c r="EM165" s="230"/>
      <c r="EN165" s="230"/>
      <c r="EO165" s="230"/>
      <c r="EP165" s="230"/>
      <c r="EQ165" s="230"/>
      <c r="ER165" s="230"/>
      <c r="ES165" s="230"/>
      <c r="ET165" s="230"/>
      <c r="EU165" s="230"/>
      <c r="EV165" s="230"/>
      <c r="EW165" s="230"/>
      <c r="EX165" s="230"/>
      <c r="EY165" s="230"/>
      <c r="EZ165" s="230"/>
      <c r="FA165" s="230"/>
      <c r="FB165" s="230"/>
      <c r="FC165" s="230"/>
      <c r="FD165" s="230"/>
      <c r="FE165" s="230"/>
      <c r="FF165" s="230"/>
      <c r="FG165" s="230"/>
      <c r="FH165" s="230"/>
      <c r="FI165" s="230"/>
      <c r="FJ165" s="230"/>
      <c r="FK165" s="230"/>
      <c r="FL165" s="230"/>
      <c r="FM165" s="230"/>
      <c r="FN165" s="230"/>
      <c r="FO165" s="230"/>
      <c r="FP165" s="230"/>
      <c r="FQ165" s="230"/>
      <c r="FR165" s="230"/>
      <c r="FS165" s="230"/>
      <c r="FT165" s="230"/>
      <c r="FU165" s="230"/>
      <c r="FV165" s="230"/>
      <c r="FW165" s="230"/>
      <c r="FX165" s="230"/>
      <c r="FY165" s="230"/>
      <c r="FZ165" s="230"/>
      <c r="GA165" s="230"/>
      <c r="GB165" s="230"/>
      <c r="GC165" s="230"/>
      <c r="GD165" s="230"/>
      <c r="GE165" s="230"/>
      <c r="GF165" s="230"/>
      <c r="GG165" s="230"/>
      <c r="GH165" s="230"/>
      <c r="GI165" s="230"/>
      <c r="GJ165" s="230"/>
      <c r="GK165" s="230"/>
      <c r="GL165" s="230"/>
      <c r="GM165" s="230"/>
      <c r="GN165" s="230"/>
      <c r="GO165" s="230"/>
      <c r="GP165" s="230"/>
      <c r="GQ165" s="230"/>
      <c r="GR165" s="230"/>
    </row>
    <row r="166" spans="1:200" s="632" customFormat="1" ht="33.75" outlineLevel="2" x14ac:dyDescent="0.2">
      <c r="A166" s="636" t="s">
        <v>3049</v>
      </c>
      <c r="B166" s="636" t="s">
        <v>1722</v>
      </c>
      <c r="C166" s="597"/>
      <c r="D166" s="1536"/>
      <c r="E166" s="635"/>
      <c r="F166" s="635"/>
      <c r="G166" s="1517">
        <v>2</v>
      </c>
      <c r="H166" s="1517"/>
      <c r="I166" s="1517"/>
      <c r="J166" s="1517" t="s">
        <v>1592</v>
      </c>
      <c r="K166" s="1458" t="s">
        <v>5650</v>
      </c>
      <c r="L166" s="1518" t="s">
        <v>7343</v>
      </c>
      <c r="M166" s="635"/>
      <c r="N166" s="624"/>
      <c r="O166" s="624"/>
      <c r="P166" s="624"/>
      <c r="Q166" s="624"/>
      <c r="R166" s="624"/>
      <c r="S166" s="624"/>
      <c r="T166" s="624"/>
      <c r="U166" s="624"/>
      <c r="V166" s="624"/>
      <c r="W166" s="624"/>
      <c r="X166" s="624"/>
      <c r="Y166" s="624"/>
      <c r="Z166" s="624"/>
      <c r="AA166">
        <f>IF(AND('12 Ext'!C166&gt;Tmin, NOT('12 Ext'!$I166="")),'12 Ext'!$I166,0)</f>
        <v>0</v>
      </c>
      <c r="AB166">
        <f>IF(AND('12 Ext'!D166&gt;Tmin, NOT('12 Ext'!$I166="")),'12 Ext'!$I166,0)</f>
        <v>0</v>
      </c>
      <c r="AC166">
        <f>IF(AND('12 Ext'!E166&gt;Tmin, NOT('12 Ext'!$I166="")),'12 Ext'!$I166,0)</f>
        <v>0</v>
      </c>
      <c r="AD166">
        <f>IF(AND('12 Ext'!F166&gt;Tmin, NOT('12 Ext'!$I166="")),'12 Ext'!$I166,0)</f>
        <v>0</v>
      </c>
      <c r="AE166">
        <f>IF(AND('12 Ext'!C166&lt;Tmax, NOT('12 Ext'!$H166="")),'12 Ext'!$H166,4)</f>
        <v>4</v>
      </c>
      <c r="AF166">
        <f>IF(AND('12 Ext'!D166&lt;Tmax, NOT('12 Ext'!$H166="")),'12 Ext'!$H166,4)</f>
        <v>4</v>
      </c>
      <c r="AG166">
        <f>IF(AND('12 Ext'!E166&lt;Tmax, NOT('12 Ext'!$H166="")),'12 Ext'!$H166,4)</f>
        <v>4</v>
      </c>
      <c r="AH166">
        <f>IF(AND('12 Ext'!F166&lt;Tmax, NOT('12 Ext'!$H166="")),'12 Ext'!$H166,4)</f>
        <v>4</v>
      </c>
      <c r="AI166"/>
      <c r="AJ166" s="230"/>
      <c r="AK166" s="230"/>
      <c r="AL166" s="230"/>
      <c r="AM166" s="230"/>
      <c r="AN166" s="230"/>
      <c r="AO166" s="230"/>
      <c r="AP166" s="230"/>
      <c r="AQ166" s="230"/>
      <c r="AR166" s="230"/>
      <c r="AS166" s="230"/>
      <c r="AT166" s="230"/>
      <c r="AU166" s="230"/>
      <c r="AV166" s="230"/>
      <c r="AW166" s="230"/>
      <c r="AX166" s="230"/>
      <c r="AY166" s="230"/>
      <c r="AZ166" s="230"/>
      <c r="BA166" s="230"/>
      <c r="BB166" s="230"/>
      <c r="BC166" s="230"/>
      <c r="BD166" s="230"/>
      <c r="BE166" s="230"/>
      <c r="BF166" s="230"/>
      <c r="BG166" s="230"/>
      <c r="BH166" s="230"/>
      <c r="BI166" s="230"/>
      <c r="BJ166" s="230"/>
      <c r="BK166" s="230"/>
      <c r="BL166" s="230"/>
      <c r="BM166" s="230"/>
      <c r="BN166" s="230"/>
      <c r="BO166" s="230"/>
      <c r="BP166" s="230"/>
      <c r="BQ166" s="230"/>
      <c r="BR166" s="230"/>
      <c r="BS166" s="230"/>
      <c r="BT166" s="230"/>
      <c r="BU166" s="230"/>
      <c r="BV166" s="230"/>
      <c r="BW166" s="230"/>
      <c r="BX166" s="230"/>
      <c r="BY166" s="230"/>
      <c r="BZ166" s="230"/>
      <c r="CA166" s="230"/>
      <c r="CB166" s="230"/>
      <c r="CC166" s="230"/>
      <c r="CD166" s="230"/>
      <c r="CE166" s="230"/>
      <c r="CF166" s="230"/>
      <c r="CG166" s="230"/>
      <c r="CH166" s="230"/>
      <c r="CI166" s="230"/>
      <c r="CJ166" s="230"/>
      <c r="CK166" s="230"/>
      <c r="CL166" s="230"/>
      <c r="CM166" s="230"/>
      <c r="CN166" s="230"/>
      <c r="CO166" s="230"/>
      <c r="CP166" s="230"/>
      <c r="CQ166" s="230"/>
      <c r="CR166" s="230"/>
      <c r="CS166" s="230"/>
      <c r="CT166" s="230"/>
      <c r="CU166" s="230"/>
      <c r="CV166" s="230"/>
      <c r="CW166" s="230"/>
      <c r="CX166" s="230"/>
      <c r="CY166" s="230"/>
      <c r="CZ166" s="230"/>
      <c r="DA166" s="230"/>
      <c r="DB166" s="230"/>
      <c r="DC166" s="230"/>
      <c r="DD166" s="230"/>
      <c r="DE166" s="230"/>
      <c r="DF166" s="230"/>
      <c r="DG166" s="230"/>
      <c r="DH166" s="230"/>
      <c r="DI166" s="230"/>
      <c r="DJ166" s="230"/>
      <c r="DK166" s="230"/>
      <c r="DL166" s="230"/>
      <c r="DM166" s="230"/>
      <c r="DN166" s="230"/>
      <c r="DO166" s="230"/>
      <c r="DP166" s="230"/>
      <c r="DQ166" s="230"/>
      <c r="DR166" s="230"/>
      <c r="DS166" s="230"/>
      <c r="DT166" s="230"/>
      <c r="DU166" s="230"/>
      <c r="DV166" s="230"/>
      <c r="DW166" s="230"/>
      <c r="DX166" s="230"/>
      <c r="DY166" s="230"/>
      <c r="DZ166" s="230"/>
      <c r="EA166" s="230"/>
      <c r="EB166" s="230"/>
      <c r="EC166" s="230"/>
      <c r="ED166" s="230"/>
      <c r="EE166" s="230"/>
      <c r="EF166" s="230"/>
      <c r="EG166" s="230"/>
      <c r="EH166" s="230"/>
      <c r="EI166" s="230"/>
      <c r="EJ166" s="230"/>
      <c r="EK166" s="230"/>
      <c r="EL166" s="230"/>
      <c r="EM166" s="230"/>
      <c r="EN166" s="230"/>
      <c r="EO166" s="230"/>
      <c r="EP166" s="230"/>
      <c r="EQ166" s="230"/>
      <c r="ER166" s="230"/>
      <c r="ES166" s="230"/>
      <c r="ET166" s="230"/>
      <c r="EU166" s="230"/>
      <c r="EV166" s="230"/>
      <c r="EW166" s="230"/>
      <c r="EX166" s="230"/>
      <c r="EY166" s="230"/>
      <c r="EZ166" s="230"/>
      <c r="FA166" s="230"/>
      <c r="FB166" s="230"/>
      <c r="FC166" s="230"/>
      <c r="FD166" s="230"/>
      <c r="FE166" s="230"/>
      <c r="FF166" s="230"/>
      <c r="FG166" s="230"/>
      <c r="FH166" s="230"/>
      <c r="FI166" s="230"/>
      <c r="FJ166" s="230"/>
      <c r="FK166" s="230"/>
      <c r="FL166" s="230"/>
      <c r="FM166" s="230"/>
      <c r="FN166" s="230"/>
      <c r="FO166" s="230"/>
      <c r="FP166" s="230"/>
      <c r="FQ166" s="230"/>
      <c r="FR166" s="230"/>
      <c r="FS166" s="230"/>
      <c r="FT166" s="230"/>
      <c r="FU166" s="230"/>
      <c r="FV166" s="230"/>
      <c r="FW166" s="230"/>
      <c r="FX166" s="230"/>
      <c r="FY166" s="230"/>
      <c r="FZ166" s="230"/>
      <c r="GA166" s="230"/>
      <c r="GB166" s="230"/>
      <c r="GC166" s="230"/>
      <c r="GD166" s="230"/>
      <c r="GE166" s="230"/>
      <c r="GF166" s="230"/>
      <c r="GG166" s="230"/>
      <c r="GH166" s="230"/>
      <c r="GI166" s="230"/>
      <c r="GJ166" s="230"/>
      <c r="GK166" s="230"/>
      <c r="GL166" s="230"/>
      <c r="GM166" s="230"/>
      <c r="GN166" s="230"/>
      <c r="GO166" s="230"/>
      <c r="GP166" s="230"/>
      <c r="GQ166" s="230"/>
      <c r="GR166" s="230"/>
    </row>
    <row r="167" spans="1:200" s="632" customFormat="1" outlineLevel="2" x14ac:dyDescent="0.2">
      <c r="A167" s="636" t="s">
        <v>3050</v>
      </c>
      <c r="B167" s="636" t="s">
        <v>4989</v>
      </c>
      <c r="C167" s="597"/>
      <c r="D167" s="1536"/>
      <c r="E167" s="635"/>
      <c r="F167" s="635"/>
      <c r="G167" s="1517">
        <v>4</v>
      </c>
      <c r="H167" s="1517"/>
      <c r="I167" s="1517"/>
      <c r="J167" s="1517" t="s">
        <v>1592</v>
      </c>
      <c r="K167" s="1458" t="s">
        <v>5650</v>
      </c>
      <c r="L167" s="1518" t="s">
        <v>7343</v>
      </c>
      <c r="M167" s="635"/>
      <c r="N167" s="624"/>
      <c r="O167" s="624"/>
      <c r="P167" s="624"/>
      <c r="Q167" s="624"/>
      <c r="R167" s="624"/>
      <c r="S167" s="624"/>
      <c r="T167" s="624"/>
      <c r="U167" s="624"/>
      <c r="V167" s="624"/>
      <c r="W167" s="624"/>
      <c r="X167" s="624"/>
      <c r="Y167" s="624"/>
      <c r="Z167" s="624"/>
      <c r="AA167">
        <f>IF(AND('12 Ext'!C167&gt;Tmin, NOT('12 Ext'!$I167="")),'12 Ext'!$I167,0)</f>
        <v>0</v>
      </c>
      <c r="AB167">
        <f>IF(AND('12 Ext'!D167&gt;Tmin, NOT('12 Ext'!$I167="")),'12 Ext'!$I167,0)</f>
        <v>0</v>
      </c>
      <c r="AC167">
        <f>IF(AND('12 Ext'!E167&gt;Tmin, NOT('12 Ext'!$I167="")),'12 Ext'!$I167,0)</f>
        <v>0</v>
      </c>
      <c r="AD167">
        <f>IF(AND('12 Ext'!F167&gt;Tmin, NOT('12 Ext'!$I167="")),'12 Ext'!$I167,0)</f>
        <v>0</v>
      </c>
      <c r="AE167">
        <f>IF(AND('12 Ext'!C167&lt;Tmax, NOT('12 Ext'!$H167="")),'12 Ext'!$H167,4)</f>
        <v>4</v>
      </c>
      <c r="AF167">
        <f>IF(AND('12 Ext'!D167&lt;Tmax, NOT('12 Ext'!$H167="")),'12 Ext'!$H167,4)</f>
        <v>4</v>
      </c>
      <c r="AG167">
        <f>IF(AND('12 Ext'!E167&lt;Tmax, NOT('12 Ext'!$H167="")),'12 Ext'!$H167,4)</f>
        <v>4</v>
      </c>
      <c r="AH167">
        <f>IF(AND('12 Ext'!F167&lt;Tmax, NOT('12 Ext'!$H167="")),'12 Ext'!$H167,4)</f>
        <v>4</v>
      </c>
      <c r="AI167"/>
      <c r="AJ167" s="230"/>
      <c r="AK167" s="230"/>
      <c r="AL167" s="230"/>
      <c r="AM167" s="230"/>
      <c r="AN167" s="230"/>
      <c r="AO167" s="230"/>
      <c r="AP167" s="230"/>
      <c r="AQ167" s="230"/>
      <c r="AR167" s="230"/>
      <c r="AS167" s="230"/>
      <c r="AT167" s="230"/>
      <c r="AU167" s="230"/>
      <c r="AV167" s="230"/>
      <c r="AW167" s="230"/>
      <c r="AX167" s="230"/>
      <c r="AY167" s="230"/>
      <c r="AZ167" s="230"/>
      <c r="BA167" s="230"/>
      <c r="BB167" s="230"/>
      <c r="BC167" s="230"/>
      <c r="BD167" s="230"/>
      <c r="BE167" s="230"/>
      <c r="BF167" s="230"/>
      <c r="BG167" s="230"/>
      <c r="BH167" s="230"/>
      <c r="BI167" s="230"/>
      <c r="BJ167" s="230"/>
      <c r="BK167" s="230"/>
      <c r="BL167" s="230"/>
      <c r="BM167" s="230"/>
      <c r="BN167" s="230"/>
      <c r="BO167" s="230"/>
      <c r="BP167" s="230"/>
      <c r="BQ167" s="230"/>
      <c r="BR167" s="230"/>
      <c r="BS167" s="230"/>
      <c r="BT167" s="230"/>
      <c r="BU167" s="230"/>
      <c r="BV167" s="230"/>
      <c r="BW167" s="230"/>
      <c r="BX167" s="230"/>
      <c r="BY167" s="230"/>
      <c r="BZ167" s="230"/>
      <c r="CA167" s="230"/>
      <c r="CB167" s="230"/>
      <c r="CC167" s="230"/>
      <c r="CD167" s="230"/>
      <c r="CE167" s="230"/>
      <c r="CF167" s="230"/>
      <c r="CG167" s="230"/>
      <c r="CH167" s="230"/>
      <c r="CI167" s="230"/>
      <c r="CJ167" s="230"/>
      <c r="CK167" s="230"/>
      <c r="CL167" s="230"/>
      <c r="CM167" s="230"/>
      <c r="CN167" s="230"/>
      <c r="CO167" s="230"/>
      <c r="CP167" s="230"/>
      <c r="CQ167" s="230"/>
      <c r="CR167" s="230"/>
      <c r="CS167" s="230"/>
      <c r="CT167" s="230"/>
      <c r="CU167" s="230"/>
      <c r="CV167" s="230"/>
      <c r="CW167" s="230"/>
      <c r="CX167" s="230"/>
      <c r="CY167" s="230"/>
      <c r="CZ167" s="230"/>
      <c r="DA167" s="230"/>
      <c r="DB167" s="230"/>
      <c r="DC167" s="230"/>
      <c r="DD167" s="230"/>
      <c r="DE167" s="230"/>
      <c r="DF167" s="230"/>
      <c r="DG167" s="230"/>
      <c r="DH167" s="230"/>
      <c r="DI167" s="230"/>
      <c r="DJ167" s="230"/>
      <c r="DK167" s="230"/>
      <c r="DL167" s="230"/>
      <c r="DM167" s="230"/>
      <c r="DN167" s="230"/>
      <c r="DO167" s="230"/>
      <c r="DP167" s="230"/>
      <c r="DQ167" s="230"/>
      <c r="DR167" s="230"/>
      <c r="DS167" s="230"/>
      <c r="DT167" s="230"/>
      <c r="DU167" s="230"/>
      <c r="DV167" s="230"/>
      <c r="DW167" s="230"/>
      <c r="DX167" s="230"/>
      <c r="DY167" s="230"/>
      <c r="DZ167" s="230"/>
      <c r="EA167" s="230"/>
      <c r="EB167" s="230"/>
      <c r="EC167" s="230"/>
      <c r="ED167" s="230"/>
      <c r="EE167" s="230"/>
      <c r="EF167" s="230"/>
      <c r="EG167" s="230"/>
      <c r="EH167" s="230"/>
      <c r="EI167" s="230"/>
      <c r="EJ167" s="230"/>
      <c r="EK167" s="230"/>
      <c r="EL167" s="230"/>
      <c r="EM167" s="230"/>
      <c r="EN167" s="230"/>
      <c r="EO167" s="230"/>
      <c r="EP167" s="230"/>
      <c r="EQ167" s="230"/>
      <c r="ER167" s="230"/>
      <c r="ES167" s="230"/>
      <c r="ET167" s="230"/>
      <c r="EU167" s="230"/>
      <c r="EV167" s="230"/>
      <c r="EW167" s="230"/>
      <c r="EX167" s="230"/>
      <c r="EY167" s="230"/>
      <c r="EZ167" s="230"/>
      <c r="FA167" s="230"/>
      <c r="FB167" s="230"/>
      <c r="FC167" s="230"/>
      <c r="FD167" s="230"/>
      <c r="FE167" s="230"/>
      <c r="FF167" s="230"/>
      <c r="FG167" s="230"/>
      <c r="FH167" s="230"/>
      <c r="FI167" s="230"/>
      <c r="FJ167" s="230"/>
      <c r="FK167" s="230"/>
      <c r="FL167" s="230"/>
      <c r="FM167" s="230"/>
      <c r="FN167" s="230"/>
      <c r="FO167" s="230"/>
      <c r="FP167" s="230"/>
      <c r="FQ167" s="230"/>
      <c r="FR167" s="230"/>
      <c r="FS167" s="230"/>
      <c r="FT167" s="230"/>
      <c r="FU167" s="230"/>
      <c r="FV167" s="230"/>
      <c r="FW167" s="230"/>
      <c r="FX167" s="230"/>
      <c r="FY167" s="230"/>
      <c r="FZ167" s="230"/>
      <c r="GA167" s="230"/>
      <c r="GB167" s="230"/>
      <c r="GC167" s="230"/>
      <c r="GD167" s="230"/>
      <c r="GE167" s="230"/>
      <c r="GF167" s="230"/>
      <c r="GG167" s="230"/>
      <c r="GH167" s="230"/>
      <c r="GI167" s="230"/>
      <c r="GJ167" s="230"/>
      <c r="GK167" s="230"/>
      <c r="GL167" s="230"/>
      <c r="GM167" s="230"/>
      <c r="GN167" s="230"/>
      <c r="GO167" s="230"/>
      <c r="GP167" s="230"/>
      <c r="GQ167" s="230"/>
      <c r="GR167" s="230"/>
    </row>
    <row r="168" spans="1:200" s="632" customFormat="1" ht="22.5" outlineLevel="2" x14ac:dyDescent="0.2">
      <c r="A168" s="636" t="s">
        <v>3051</v>
      </c>
      <c r="B168" s="636" t="s">
        <v>2801</v>
      </c>
      <c r="C168" s="597"/>
      <c r="D168" s="1536"/>
      <c r="E168" s="635"/>
      <c r="F168" s="635"/>
      <c r="G168" s="1517">
        <v>4</v>
      </c>
      <c r="H168" s="1517">
        <v>2</v>
      </c>
      <c r="I168" s="1517"/>
      <c r="J168" s="1517" t="s">
        <v>2329</v>
      </c>
      <c r="K168" s="1458" t="s">
        <v>5650</v>
      </c>
      <c r="L168" s="1518" t="s">
        <v>7343</v>
      </c>
      <c r="M168" s="635"/>
      <c r="N168" s="624"/>
      <c r="O168" s="624"/>
      <c r="P168" s="624"/>
      <c r="Q168" s="624"/>
      <c r="R168" s="624"/>
      <c r="S168" s="624"/>
      <c r="T168" s="624"/>
      <c r="U168" s="624"/>
      <c r="V168" s="624"/>
      <c r="W168" s="624"/>
      <c r="X168" s="624"/>
      <c r="Y168" s="624"/>
      <c r="Z168" s="624"/>
      <c r="AA168">
        <f>IF(AND('12 Ext'!C168&gt;Tmin, NOT('12 Ext'!$I168="")),'12 Ext'!$I168,0)</f>
        <v>0</v>
      </c>
      <c r="AB168">
        <f>IF(AND('12 Ext'!D168&gt;Tmin, NOT('12 Ext'!$I168="")),'12 Ext'!$I168,0)</f>
        <v>0</v>
      </c>
      <c r="AC168">
        <f>IF(AND('12 Ext'!E168&gt;Tmin, NOT('12 Ext'!$I168="")),'12 Ext'!$I168,0)</f>
        <v>0</v>
      </c>
      <c r="AD168">
        <f>IF(AND('12 Ext'!F168&gt;Tmin, NOT('12 Ext'!$I168="")),'12 Ext'!$I168,0)</f>
        <v>0</v>
      </c>
      <c r="AE168">
        <f>IF(AND('12 Ext'!C168&lt;Tmax, NOT('12 Ext'!$H168="")),'12 Ext'!$H168,4)</f>
        <v>2</v>
      </c>
      <c r="AF168">
        <f>IF(AND('12 Ext'!D168&lt;Tmax, NOT('12 Ext'!$H168="")),'12 Ext'!$H168,4)</f>
        <v>2</v>
      </c>
      <c r="AG168">
        <f>IF(AND('12 Ext'!E168&lt;Tmax, NOT('12 Ext'!$H168="")),'12 Ext'!$H168,4)</f>
        <v>2</v>
      </c>
      <c r="AH168">
        <f>IF(AND('12 Ext'!F168&lt;Tmax, NOT('12 Ext'!$H168="")),'12 Ext'!$H168,4)</f>
        <v>2</v>
      </c>
      <c r="AI168"/>
      <c r="AJ168" s="230"/>
      <c r="AK168" s="230"/>
      <c r="AL168" s="230"/>
      <c r="AM168" s="230"/>
      <c r="AN168" s="230"/>
      <c r="AO168" s="230"/>
      <c r="AP168" s="230"/>
      <c r="AQ168" s="230"/>
      <c r="AR168" s="230"/>
      <c r="AS168" s="230"/>
      <c r="AT168" s="230"/>
      <c r="AU168" s="230"/>
      <c r="AV168" s="230"/>
      <c r="AW168" s="230"/>
      <c r="AX168" s="230"/>
      <c r="AY168" s="230"/>
      <c r="AZ168" s="230"/>
      <c r="BA168" s="230"/>
      <c r="BB168" s="230"/>
      <c r="BC168" s="230"/>
      <c r="BD168" s="230"/>
      <c r="BE168" s="230"/>
      <c r="BF168" s="230"/>
      <c r="BG168" s="230"/>
      <c r="BH168" s="230"/>
      <c r="BI168" s="230"/>
      <c r="BJ168" s="230"/>
      <c r="BK168" s="230"/>
      <c r="BL168" s="230"/>
      <c r="BM168" s="230"/>
      <c r="BN168" s="230"/>
      <c r="BO168" s="230"/>
      <c r="BP168" s="230"/>
      <c r="BQ168" s="230"/>
      <c r="BR168" s="230"/>
      <c r="BS168" s="230"/>
      <c r="BT168" s="230"/>
      <c r="BU168" s="230"/>
      <c r="BV168" s="230"/>
      <c r="BW168" s="230"/>
      <c r="BX168" s="230"/>
      <c r="BY168" s="230"/>
      <c r="BZ168" s="230"/>
      <c r="CA168" s="230"/>
      <c r="CB168" s="230"/>
      <c r="CC168" s="230"/>
      <c r="CD168" s="230"/>
      <c r="CE168" s="230"/>
      <c r="CF168" s="230"/>
      <c r="CG168" s="230"/>
      <c r="CH168" s="230"/>
      <c r="CI168" s="230"/>
      <c r="CJ168" s="230"/>
      <c r="CK168" s="230"/>
      <c r="CL168" s="230"/>
      <c r="CM168" s="230"/>
      <c r="CN168" s="230"/>
      <c r="CO168" s="230"/>
      <c r="CP168" s="230"/>
      <c r="CQ168" s="230"/>
      <c r="CR168" s="230"/>
      <c r="CS168" s="230"/>
      <c r="CT168" s="230"/>
      <c r="CU168" s="230"/>
      <c r="CV168" s="230"/>
      <c r="CW168" s="230"/>
      <c r="CX168" s="230"/>
      <c r="CY168" s="230"/>
      <c r="CZ168" s="230"/>
      <c r="DA168" s="230"/>
      <c r="DB168" s="230"/>
      <c r="DC168" s="230"/>
      <c r="DD168" s="230"/>
      <c r="DE168" s="230"/>
      <c r="DF168" s="230"/>
      <c r="DG168" s="230"/>
      <c r="DH168" s="230"/>
      <c r="DI168" s="230"/>
      <c r="DJ168" s="230"/>
      <c r="DK168" s="230"/>
      <c r="DL168" s="230"/>
      <c r="DM168" s="230"/>
      <c r="DN168" s="230"/>
      <c r="DO168" s="230"/>
      <c r="DP168" s="230"/>
      <c r="DQ168" s="230"/>
      <c r="DR168" s="230"/>
      <c r="DS168" s="230"/>
      <c r="DT168" s="230"/>
      <c r="DU168" s="230"/>
      <c r="DV168" s="230"/>
      <c r="DW168" s="230"/>
      <c r="DX168" s="230"/>
      <c r="DY168" s="230"/>
      <c r="DZ168" s="230"/>
      <c r="EA168" s="230"/>
      <c r="EB168" s="230"/>
      <c r="EC168" s="230"/>
      <c r="ED168" s="230"/>
      <c r="EE168" s="230"/>
      <c r="EF168" s="230"/>
      <c r="EG168" s="230"/>
      <c r="EH168" s="230"/>
      <c r="EI168" s="230"/>
      <c r="EJ168" s="230"/>
      <c r="EK168" s="230"/>
      <c r="EL168" s="230"/>
      <c r="EM168" s="230"/>
      <c r="EN168" s="230"/>
      <c r="EO168" s="230"/>
      <c r="EP168" s="230"/>
      <c r="EQ168" s="230"/>
      <c r="ER168" s="230"/>
      <c r="ES168" s="230"/>
      <c r="ET168" s="230"/>
      <c r="EU168" s="230"/>
      <c r="EV168" s="230"/>
      <c r="EW168" s="230"/>
      <c r="EX168" s="230"/>
      <c r="EY168" s="230"/>
      <c r="EZ168" s="230"/>
      <c r="FA168" s="230"/>
      <c r="FB168" s="230"/>
      <c r="FC168" s="230"/>
      <c r="FD168" s="230"/>
      <c r="FE168" s="230"/>
      <c r="FF168" s="230"/>
      <c r="FG168" s="230"/>
      <c r="FH168" s="230"/>
      <c r="FI168" s="230"/>
      <c r="FJ168" s="230"/>
      <c r="FK168" s="230"/>
      <c r="FL168" s="230"/>
      <c r="FM168" s="230"/>
      <c r="FN168" s="230"/>
      <c r="FO168" s="230"/>
      <c r="FP168" s="230"/>
      <c r="FQ168" s="230"/>
      <c r="FR168" s="230"/>
      <c r="FS168" s="230"/>
      <c r="FT168" s="230"/>
      <c r="FU168" s="230"/>
      <c r="FV168" s="230"/>
      <c r="FW168" s="230"/>
      <c r="FX168" s="230"/>
      <c r="FY168" s="230"/>
      <c r="FZ168" s="230"/>
      <c r="GA168" s="230"/>
      <c r="GB168" s="230"/>
      <c r="GC168" s="230"/>
      <c r="GD168" s="230"/>
      <c r="GE168" s="230"/>
      <c r="GF168" s="230"/>
      <c r="GG168" s="230"/>
      <c r="GH168" s="230"/>
      <c r="GI168" s="230"/>
      <c r="GJ168" s="230"/>
      <c r="GK168" s="230"/>
      <c r="GL168" s="230"/>
      <c r="GM168" s="230"/>
      <c r="GN168" s="230"/>
      <c r="GO168" s="230"/>
      <c r="GP168" s="230"/>
      <c r="GQ168" s="230"/>
      <c r="GR168" s="230"/>
    </row>
    <row r="169" spans="1:200" s="632" customFormat="1" outlineLevel="2" x14ac:dyDescent="0.2">
      <c r="A169" s="636" t="s">
        <v>3052</v>
      </c>
      <c r="B169" s="636" t="s">
        <v>2803</v>
      </c>
      <c r="C169" s="597"/>
      <c r="D169" s="1536"/>
      <c r="E169" s="635"/>
      <c r="F169" s="635"/>
      <c r="G169" s="1517">
        <v>4</v>
      </c>
      <c r="H169" s="1517"/>
      <c r="I169" s="1517">
        <v>3</v>
      </c>
      <c r="J169" s="1517" t="s">
        <v>2329</v>
      </c>
      <c r="K169" s="1458" t="s">
        <v>5650</v>
      </c>
      <c r="L169" s="1518" t="s">
        <v>7343</v>
      </c>
      <c r="M169" s="635"/>
      <c r="N169" s="624"/>
      <c r="O169" s="624"/>
      <c r="P169" s="624"/>
      <c r="Q169" s="624"/>
      <c r="R169" s="624"/>
      <c r="S169" s="624"/>
      <c r="T169" s="624"/>
      <c r="U169" s="624"/>
      <c r="V169" s="624"/>
      <c r="W169" s="624"/>
      <c r="X169" s="624"/>
      <c r="Y169" s="624"/>
      <c r="Z169" s="624"/>
      <c r="AA169">
        <f>IF(AND('12 Ext'!C169&gt;Tmin, NOT('12 Ext'!$I169="")),'12 Ext'!$I169,0)</f>
        <v>0</v>
      </c>
      <c r="AB169">
        <f>IF(AND('12 Ext'!D169&gt;Tmin, NOT('12 Ext'!$I169="")),'12 Ext'!$I169,0)</f>
        <v>0</v>
      </c>
      <c r="AC169">
        <f>IF(AND('12 Ext'!E169&gt;Tmin, NOT('12 Ext'!$I169="")),'12 Ext'!$I169,0)</f>
        <v>0</v>
      </c>
      <c r="AD169">
        <f>IF(AND('12 Ext'!F169&gt;Tmin, NOT('12 Ext'!$I169="")),'12 Ext'!$I169,0)</f>
        <v>0</v>
      </c>
      <c r="AE169">
        <f>IF(AND('12 Ext'!C169&lt;Tmax, NOT('12 Ext'!$H169="")),'12 Ext'!$H169,4)</f>
        <v>4</v>
      </c>
      <c r="AF169">
        <f>IF(AND('12 Ext'!D169&lt;Tmax, NOT('12 Ext'!$H169="")),'12 Ext'!$H169,4)</f>
        <v>4</v>
      </c>
      <c r="AG169">
        <f>IF(AND('12 Ext'!E169&lt;Tmax, NOT('12 Ext'!$H169="")),'12 Ext'!$H169,4)</f>
        <v>4</v>
      </c>
      <c r="AH169">
        <f>IF(AND('12 Ext'!F169&lt;Tmax, NOT('12 Ext'!$H169="")),'12 Ext'!$H169,4)</f>
        <v>4</v>
      </c>
      <c r="AI169"/>
      <c r="AJ169" s="230"/>
      <c r="AK169" s="230"/>
      <c r="AL169" s="230"/>
      <c r="AM169" s="230"/>
      <c r="AN169" s="230"/>
      <c r="AO169" s="230"/>
      <c r="AP169" s="230"/>
      <c r="AQ169" s="230"/>
      <c r="AR169" s="230"/>
      <c r="AS169" s="230"/>
      <c r="AT169" s="230"/>
      <c r="AU169" s="230"/>
      <c r="AV169" s="230"/>
      <c r="AW169" s="230"/>
      <c r="AX169" s="230"/>
      <c r="AY169" s="230"/>
      <c r="AZ169" s="230"/>
      <c r="BA169" s="230"/>
      <c r="BB169" s="230"/>
      <c r="BC169" s="230"/>
      <c r="BD169" s="230"/>
      <c r="BE169" s="230"/>
      <c r="BF169" s="230"/>
      <c r="BG169" s="230"/>
      <c r="BH169" s="230"/>
      <c r="BI169" s="230"/>
      <c r="BJ169" s="230"/>
      <c r="BK169" s="230"/>
      <c r="BL169" s="230"/>
      <c r="BM169" s="230"/>
      <c r="BN169" s="230"/>
      <c r="BO169" s="230"/>
      <c r="BP169" s="230"/>
      <c r="BQ169" s="230"/>
      <c r="BR169" s="230"/>
      <c r="BS169" s="230"/>
      <c r="BT169" s="230"/>
      <c r="BU169" s="230"/>
      <c r="BV169" s="230"/>
      <c r="BW169" s="230"/>
      <c r="BX169" s="230"/>
      <c r="BY169" s="230"/>
      <c r="BZ169" s="230"/>
      <c r="CA169" s="230"/>
      <c r="CB169" s="230"/>
      <c r="CC169" s="230"/>
      <c r="CD169" s="230"/>
      <c r="CE169" s="230"/>
      <c r="CF169" s="230"/>
      <c r="CG169" s="230"/>
      <c r="CH169" s="230"/>
      <c r="CI169" s="230"/>
      <c r="CJ169" s="230"/>
      <c r="CK169" s="230"/>
      <c r="CL169" s="230"/>
      <c r="CM169" s="230"/>
      <c r="CN169" s="230"/>
      <c r="CO169" s="230"/>
      <c r="CP169" s="230"/>
      <c r="CQ169" s="230"/>
      <c r="CR169" s="230"/>
      <c r="CS169" s="230"/>
      <c r="CT169" s="230"/>
      <c r="CU169" s="230"/>
      <c r="CV169" s="230"/>
      <c r="CW169" s="230"/>
      <c r="CX169" s="230"/>
      <c r="CY169" s="230"/>
      <c r="CZ169" s="230"/>
      <c r="DA169" s="230"/>
      <c r="DB169" s="230"/>
      <c r="DC169" s="230"/>
      <c r="DD169" s="230"/>
      <c r="DE169" s="230"/>
      <c r="DF169" s="230"/>
      <c r="DG169" s="230"/>
      <c r="DH169" s="230"/>
      <c r="DI169" s="230"/>
      <c r="DJ169" s="230"/>
      <c r="DK169" s="230"/>
      <c r="DL169" s="230"/>
      <c r="DM169" s="230"/>
      <c r="DN169" s="230"/>
      <c r="DO169" s="230"/>
      <c r="DP169" s="230"/>
      <c r="DQ169" s="230"/>
      <c r="DR169" s="230"/>
      <c r="DS169" s="230"/>
      <c r="DT169" s="230"/>
      <c r="DU169" s="230"/>
      <c r="DV169" s="230"/>
      <c r="DW169" s="230"/>
      <c r="DX169" s="230"/>
      <c r="DY169" s="230"/>
      <c r="DZ169" s="230"/>
      <c r="EA169" s="230"/>
      <c r="EB169" s="230"/>
      <c r="EC169" s="230"/>
      <c r="ED169" s="230"/>
      <c r="EE169" s="230"/>
      <c r="EF169" s="230"/>
      <c r="EG169" s="230"/>
      <c r="EH169" s="230"/>
      <c r="EI169" s="230"/>
      <c r="EJ169" s="230"/>
      <c r="EK169" s="230"/>
      <c r="EL169" s="230"/>
      <c r="EM169" s="230"/>
      <c r="EN169" s="230"/>
      <c r="EO169" s="230"/>
      <c r="EP169" s="230"/>
      <c r="EQ169" s="230"/>
      <c r="ER169" s="230"/>
      <c r="ES169" s="230"/>
      <c r="ET169" s="230"/>
      <c r="EU169" s="230"/>
      <c r="EV169" s="230"/>
      <c r="EW169" s="230"/>
      <c r="EX169" s="230"/>
      <c r="EY169" s="230"/>
      <c r="EZ169" s="230"/>
      <c r="FA169" s="230"/>
      <c r="FB169" s="230"/>
      <c r="FC169" s="230"/>
      <c r="FD169" s="230"/>
      <c r="FE169" s="230"/>
      <c r="FF169" s="230"/>
      <c r="FG169" s="230"/>
      <c r="FH169" s="230"/>
      <c r="FI169" s="230"/>
      <c r="FJ169" s="230"/>
      <c r="FK169" s="230"/>
      <c r="FL169" s="230"/>
      <c r="FM169" s="230"/>
      <c r="FN169" s="230"/>
      <c r="FO169" s="230"/>
      <c r="FP169" s="230"/>
      <c r="FQ169" s="230"/>
      <c r="FR169" s="230"/>
      <c r="FS169" s="230"/>
      <c r="FT169" s="230"/>
      <c r="FU169" s="230"/>
      <c r="FV169" s="230"/>
      <c r="FW169" s="230"/>
      <c r="FX169" s="230"/>
      <c r="FY169" s="230"/>
      <c r="FZ169" s="230"/>
      <c r="GA169" s="230"/>
      <c r="GB169" s="230"/>
      <c r="GC169" s="230"/>
      <c r="GD169" s="230"/>
      <c r="GE169" s="230"/>
      <c r="GF169" s="230"/>
      <c r="GG169" s="230"/>
      <c r="GH169" s="230"/>
      <c r="GI169" s="230"/>
      <c r="GJ169" s="230"/>
      <c r="GK169" s="230"/>
      <c r="GL169" s="230"/>
      <c r="GM169" s="230"/>
      <c r="GN169" s="230"/>
      <c r="GO169" s="230"/>
      <c r="GP169" s="230"/>
      <c r="GQ169" s="230"/>
      <c r="GR169" s="230"/>
    </row>
    <row r="170" spans="1:200" s="632" customFormat="1" ht="22.5" outlineLevel="2" x14ac:dyDescent="0.2">
      <c r="A170" s="636" t="s">
        <v>3053</v>
      </c>
      <c r="B170" s="636" t="s">
        <v>2805</v>
      </c>
      <c r="C170" s="597"/>
      <c r="D170" s="1536"/>
      <c r="E170" s="635"/>
      <c r="F170" s="635"/>
      <c r="G170" s="1517">
        <v>4</v>
      </c>
      <c r="H170" s="1517">
        <v>2</v>
      </c>
      <c r="I170" s="1517"/>
      <c r="J170" s="1517" t="s">
        <v>2329</v>
      </c>
      <c r="K170" s="1458" t="s">
        <v>5650</v>
      </c>
      <c r="L170" s="1518" t="s">
        <v>7343</v>
      </c>
      <c r="M170" s="635"/>
      <c r="N170" s="624"/>
      <c r="O170" s="624"/>
      <c r="P170" s="624"/>
      <c r="Q170" s="624"/>
      <c r="R170" s="624"/>
      <c r="S170" s="624"/>
      <c r="T170" s="624"/>
      <c r="U170" s="624"/>
      <c r="V170" s="624"/>
      <c r="W170" s="624"/>
      <c r="X170" s="624"/>
      <c r="Y170" s="624"/>
      <c r="Z170" s="624"/>
      <c r="AA170">
        <f>IF(AND('12 Ext'!C170&gt;Tmin, NOT('12 Ext'!$I170="")),'12 Ext'!$I170,0)</f>
        <v>0</v>
      </c>
      <c r="AB170">
        <f>IF(AND('12 Ext'!D170&gt;Tmin, NOT('12 Ext'!$I170="")),'12 Ext'!$I170,0)</f>
        <v>0</v>
      </c>
      <c r="AC170">
        <f>IF(AND('12 Ext'!E170&gt;Tmin, NOT('12 Ext'!$I170="")),'12 Ext'!$I170,0)</f>
        <v>0</v>
      </c>
      <c r="AD170">
        <f>IF(AND('12 Ext'!F170&gt;Tmin, NOT('12 Ext'!$I170="")),'12 Ext'!$I170,0)</f>
        <v>0</v>
      </c>
      <c r="AE170">
        <f>IF(AND('12 Ext'!C170&lt;Tmax, NOT('12 Ext'!$H170="")),'12 Ext'!$H170,4)</f>
        <v>2</v>
      </c>
      <c r="AF170">
        <f>IF(AND('12 Ext'!D170&lt;Tmax, NOT('12 Ext'!$H170="")),'12 Ext'!$H170,4)</f>
        <v>2</v>
      </c>
      <c r="AG170">
        <f>IF(AND('12 Ext'!E170&lt;Tmax, NOT('12 Ext'!$H170="")),'12 Ext'!$H170,4)</f>
        <v>2</v>
      </c>
      <c r="AH170">
        <f>IF(AND('12 Ext'!F170&lt;Tmax, NOT('12 Ext'!$H170="")),'12 Ext'!$H170,4)</f>
        <v>2</v>
      </c>
      <c r="AI170"/>
      <c r="AJ170" s="230"/>
      <c r="AK170" s="230"/>
      <c r="AL170" s="230"/>
      <c r="AM170" s="230"/>
      <c r="AN170" s="230"/>
      <c r="AO170" s="230"/>
      <c r="AP170" s="230"/>
      <c r="AQ170" s="230"/>
      <c r="AR170" s="230"/>
      <c r="AS170" s="230"/>
      <c r="AT170" s="230"/>
      <c r="AU170" s="230"/>
      <c r="AV170" s="230"/>
      <c r="AW170" s="230"/>
      <c r="AX170" s="230"/>
      <c r="AY170" s="230"/>
      <c r="AZ170" s="230"/>
      <c r="BA170" s="230"/>
      <c r="BB170" s="230"/>
      <c r="BC170" s="230"/>
      <c r="BD170" s="230"/>
      <c r="BE170" s="230"/>
      <c r="BF170" s="230"/>
      <c r="BG170" s="230"/>
      <c r="BH170" s="230"/>
      <c r="BI170" s="230"/>
      <c r="BJ170" s="230"/>
      <c r="BK170" s="230"/>
      <c r="BL170" s="230"/>
      <c r="BM170" s="230"/>
      <c r="BN170" s="230"/>
      <c r="BO170" s="230"/>
      <c r="BP170" s="230"/>
      <c r="BQ170" s="230"/>
      <c r="BR170" s="230"/>
      <c r="BS170" s="230"/>
      <c r="BT170" s="230"/>
      <c r="BU170" s="230"/>
      <c r="BV170" s="230"/>
      <c r="BW170" s="230"/>
      <c r="BX170" s="230"/>
      <c r="BY170" s="230"/>
      <c r="BZ170" s="230"/>
      <c r="CA170" s="230"/>
      <c r="CB170" s="230"/>
      <c r="CC170" s="230"/>
      <c r="CD170" s="230"/>
      <c r="CE170" s="230"/>
      <c r="CF170" s="230"/>
      <c r="CG170" s="230"/>
      <c r="CH170" s="230"/>
      <c r="CI170" s="230"/>
      <c r="CJ170" s="230"/>
      <c r="CK170" s="230"/>
      <c r="CL170" s="230"/>
      <c r="CM170" s="230"/>
      <c r="CN170" s="230"/>
      <c r="CO170" s="230"/>
      <c r="CP170" s="230"/>
      <c r="CQ170" s="230"/>
      <c r="CR170" s="230"/>
      <c r="CS170" s="230"/>
      <c r="CT170" s="230"/>
      <c r="CU170" s="230"/>
      <c r="CV170" s="230"/>
      <c r="CW170" s="230"/>
      <c r="CX170" s="230"/>
      <c r="CY170" s="230"/>
      <c r="CZ170" s="230"/>
      <c r="DA170" s="230"/>
      <c r="DB170" s="230"/>
      <c r="DC170" s="230"/>
      <c r="DD170" s="230"/>
      <c r="DE170" s="230"/>
      <c r="DF170" s="230"/>
      <c r="DG170" s="230"/>
      <c r="DH170" s="230"/>
      <c r="DI170" s="230"/>
      <c r="DJ170" s="230"/>
      <c r="DK170" s="230"/>
      <c r="DL170" s="230"/>
      <c r="DM170" s="230"/>
      <c r="DN170" s="230"/>
      <c r="DO170" s="230"/>
      <c r="DP170" s="230"/>
      <c r="DQ170" s="230"/>
      <c r="DR170" s="230"/>
      <c r="DS170" s="230"/>
      <c r="DT170" s="230"/>
      <c r="DU170" s="230"/>
      <c r="DV170" s="230"/>
      <c r="DW170" s="230"/>
      <c r="DX170" s="230"/>
      <c r="DY170" s="230"/>
      <c r="DZ170" s="230"/>
      <c r="EA170" s="230"/>
      <c r="EB170" s="230"/>
      <c r="EC170" s="230"/>
      <c r="ED170" s="230"/>
      <c r="EE170" s="230"/>
      <c r="EF170" s="230"/>
      <c r="EG170" s="230"/>
      <c r="EH170" s="230"/>
      <c r="EI170" s="230"/>
      <c r="EJ170" s="230"/>
      <c r="EK170" s="230"/>
      <c r="EL170" s="230"/>
      <c r="EM170" s="230"/>
      <c r="EN170" s="230"/>
      <c r="EO170" s="230"/>
      <c r="EP170" s="230"/>
      <c r="EQ170" s="230"/>
      <c r="ER170" s="230"/>
      <c r="ES170" s="230"/>
      <c r="ET170" s="230"/>
      <c r="EU170" s="230"/>
      <c r="EV170" s="230"/>
      <c r="EW170" s="230"/>
      <c r="EX170" s="230"/>
      <c r="EY170" s="230"/>
      <c r="EZ170" s="230"/>
      <c r="FA170" s="230"/>
      <c r="FB170" s="230"/>
      <c r="FC170" s="230"/>
      <c r="FD170" s="230"/>
      <c r="FE170" s="230"/>
      <c r="FF170" s="230"/>
      <c r="FG170" s="230"/>
      <c r="FH170" s="230"/>
      <c r="FI170" s="230"/>
      <c r="FJ170" s="230"/>
      <c r="FK170" s="230"/>
      <c r="FL170" s="230"/>
      <c r="FM170" s="230"/>
      <c r="FN170" s="230"/>
      <c r="FO170" s="230"/>
      <c r="FP170" s="230"/>
      <c r="FQ170" s="230"/>
      <c r="FR170" s="230"/>
      <c r="FS170" s="230"/>
      <c r="FT170" s="230"/>
      <c r="FU170" s="230"/>
      <c r="FV170" s="230"/>
      <c r="FW170" s="230"/>
      <c r="FX170" s="230"/>
      <c r="FY170" s="230"/>
      <c r="FZ170" s="230"/>
      <c r="GA170" s="230"/>
      <c r="GB170" s="230"/>
      <c r="GC170" s="230"/>
      <c r="GD170" s="230"/>
      <c r="GE170" s="230"/>
      <c r="GF170" s="230"/>
      <c r="GG170" s="230"/>
      <c r="GH170" s="230"/>
      <c r="GI170" s="230"/>
      <c r="GJ170" s="230"/>
      <c r="GK170" s="230"/>
      <c r="GL170" s="230"/>
      <c r="GM170" s="230"/>
      <c r="GN170" s="230"/>
      <c r="GO170" s="230"/>
      <c r="GP170" s="230"/>
      <c r="GQ170" s="230"/>
      <c r="GR170" s="230"/>
    </row>
    <row r="171" spans="1:200" s="632" customFormat="1" ht="22.5" outlineLevel="2" x14ac:dyDescent="0.2">
      <c r="A171" s="636" t="s">
        <v>3054</v>
      </c>
      <c r="B171" s="636" t="s">
        <v>2807</v>
      </c>
      <c r="C171" s="597"/>
      <c r="D171" s="1536"/>
      <c r="E171" s="635"/>
      <c r="F171" s="635"/>
      <c r="G171" s="1517">
        <v>4</v>
      </c>
      <c r="H171" s="1517"/>
      <c r="I171" s="1517"/>
      <c r="J171" s="1517" t="s">
        <v>2329</v>
      </c>
      <c r="K171" s="1458" t="s">
        <v>5650</v>
      </c>
      <c r="L171" s="1518" t="s">
        <v>7343</v>
      </c>
      <c r="M171" s="635"/>
      <c r="N171" s="624"/>
      <c r="O171" s="624"/>
      <c r="P171" s="624"/>
      <c r="Q171" s="624"/>
      <c r="R171" s="624"/>
      <c r="S171" s="624"/>
      <c r="T171" s="624"/>
      <c r="U171" s="624"/>
      <c r="V171" s="624"/>
      <c r="W171" s="624"/>
      <c r="X171" s="624"/>
      <c r="Y171" s="624"/>
      <c r="Z171" s="624"/>
      <c r="AA171">
        <f>IF(AND('12 Ext'!C171&gt;Tmin, NOT('12 Ext'!$I171="")),'12 Ext'!$I171,0)</f>
        <v>0</v>
      </c>
      <c r="AB171">
        <f>IF(AND('12 Ext'!D171&gt;Tmin, NOT('12 Ext'!$I171="")),'12 Ext'!$I171,0)</f>
        <v>0</v>
      </c>
      <c r="AC171">
        <f>IF(AND('12 Ext'!E171&gt;Tmin, NOT('12 Ext'!$I171="")),'12 Ext'!$I171,0)</f>
        <v>0</v>
      </c>
      <c r="AD171">
        <f>IF(AND('12 Ext'!F171&gt;Tmin, NOT('12 Ext'!$I171="")),'12 Ext'!$I171,0)</f>
        <v>0</v>
      </c>
      <c r="AE171">
        <f>IF(AND('12 Ext'!C171&lt;Tmax, NOT('12 Ext'!$H171="")),'12 Ext'!$H171,4)</f>
        <v>4</v>
      </c>
      <c r="AF171">
        <f>IF(AND('12 Ext'!D171&lt;Tmax, NOT('12 Ext'!$H171="")),'12 Ext'!$H171,4)</f>
        <v>4</v>
      </c>
      <c r="AG171">
        <f>IF(AND('12 Ext'!E171&lt;Tmax, NOT('12 Ext'!$H171="")),'12 Ext'!$H171,4)</f>
        <v>4</v>
      </c>
      <c r="AH171">
        <f>IF(AND('12 Ext'!F171&lt;Tmax, NOT('12 Ext'!$H171="")),'12 Ext'!$H171,4)</f>
        <v>4</v>
      </c>
      <c r="AI171"/>
      <c r="AJ171" s="230"/>
      <c r="AK171" s="230"/>
      <c r="AL171" s="230"/>
      <c r="AM171" s="230"/>
      <c r="AN171" s="230"/>
      <c r="AO171" s="230"/>
      <c r="AP171" s="230"/>
      <c r="AQ171" s="230"/>
      <c r="AR171" s="230"/>
      <c r="AS171" s="230"/>
      <c r="AT171" s="230"/>
      <c r="AU171" s="230"/>
      <c r="AV171" s="230"/>
      <c r="AW171" s="230"/>
      <c r="AX171" s="230"/>
      <c r="AY171" s="230"/>
      <c r="AZ171" s="230"/>
      <c r="BA171" s="230"/>
      <c r="BB171" s="230"/>
      <c r="BC171" s="230"/>
      <c r="BD171" s="230"/>
      <c r="BE171" s="230"/>
      <c r="BF171" s="230"/>
      <c r="BG171" s="230"/>
      <c r="BH171" s="230"/>
      <c r="BI171" s="230"/>
      <c r="BJ171" s="230"/>
      <c r="BK171" s="230"/>
      <c r="BL171" s="230"/>
      <c r="BM171" s="230"/>
      <c r="BN171" s="230"/>
      <c r="BO171" s="230"/>
      <c r="BP171" s="230"/>
      <c r="BQ171" s="230"/>
      <c r="BR171" s="230"/>
      <c r="BS171" s="230"/>
      <c r="BT171" s="230"/>
      <c r="BU171" s="230"/>
      <c r="BV171" s="230"/>
      <c r="BW171" s="230"/>
      <c r="BX171" s="230"/>
      <c r="BY171" s="230"/>
      <c r="BZ171" s="230"/>
      <c r="CA171" s="230"/>
      <c r="CB171" s="230"/>
      <c r="CC171" s="230"/>
      <c r="CD171" s="230"/>
      <c r="CE171" s="230"/>
      <c r="CF171" s="230"/>
      <c r="CG171" s="230"/>
      <c r="CH171" s="230"/>
      <c r="CI171" s="230"/>
      <c r="CJ171" s="230"/>
      <c r="CK171" s="230"/>
      <c r="CL171" s="230"/>
      <c r="CM171" s="230"/>
      <c r="CN171" s="230"/>
      <c r="CO171" s="230"/>
      <c r="CP171" s="230"/>
      <c r="CQ171" s="230"/>
      <c r="CR171" s="230"/>
      <c r="CS171" s="230"/>
      <c r="CT171" s="230"/>
      <c r="CU171" s="230"/>
      <c r="CV171" s="230"/>
      <c r="CW171" s="230"/>
      <c r="CX171" s="230"/>
      <c r="CY171" s="230"/>
      <c r="CZ171" s="230"/>
      <c r="DA171" s="230"/>
      <c r="DB171" s="230"/>
      <c r="DC171" s="230"/>
      <c r="DD171" s="230"/>
      <c r="DE171" s="230"/>
      <c r="DF171" s="230"/>
      <c r="DG171" s="230"/>
      <c r="DH171" s="230"/>
      <c r="DI171" s="230"/>
      <c r="DJ171" s="230"/>
      <c r="DK171" s="230"/>
      <c r="DL171" s="230"/>
      <c r="DM171" s="230"/>
      <c r="DN171" s="230"/>
      <c r="DO171" s="230"/>
      <c r="DP171" s="230"/>
      <c r="DQ171" s="230"/>
      <c r="DR171" s="230"/>
      <c r="DS171" s="230"/>
      <c r="DT171" s="230"/>
      <c r="DU171" s="230"/>
      <c r="DV171" s="230"/>
      <c r="DW171" s="230"/>
      <c r="DX171" s="230"/>
      <c r="DY171" s="230"/>
      <c r="DZ171" s="230"/>
      <c r="EA171" s="230"/>
      <c r="EB171" s="230"/>
      <c r="EC171" s="230"/>
      <c r="ED171" s="230"/>
      <c r="EE171" s="230"/>
      <c r="EF171" s="230"/>
      <c r="EG171" s="230"/>
      <c r="EH171" s="230"/>
      <c r="EI171" s="230"/>
      <c r="EJ171" s="230"/>
      <c r="EK171" s="230"/>
      <c r="EL171" s="230"/>
      <c r="EM171" s="230"/>
      <c r="EN171" s="230"/>
      <c r="EO171" s="230"/>
      <c r="EP171" s="230"/>
      <c r="EQ171" s="230"/>
      <c r="ER171" s="230"/>
      <c r="ES171" s="230"/>
      <c r="ET171" s="230"/>
      <c r="EU171" s="230"/>
      <c r="EV171" s="230"/>
      <c r="EW171" s="230"/>
      <c r="EX171" s="230"/>
      <c r="EY171" s="230"/>
      <c r="EZ171" s="230"/>
      <c r="FA171" s="230"/>
      <c r="FB171" s="230"/>
      <c r="FC171" s="230"/>
      <c r="FD171" s="230"/>
      <c r="FE171" s="230"/>
      <c r="FF171" s="230"/>
      <c r="FG171" s="230"/>
      <c r="FH171" s="230"/>
      <c r="FI171" s="230"/>
      <c r="FJ171" s="230"/>
      <c r="FK171" s="230"/>
      <c r="FL171" s="230"/>
      <c r="FM171" s="230"/>
      <c r="FN171" s="230"/>
      <c r="FO171" s="230"/>
      <c r="FP171" s="230"/>
      <c r="FQ171" s="230"/>
      <c r="FR171" s="230"/>
      <c r="FS171" s="230"/>
      <c r="FT171" s="230"/>
      <c r="FU171" s="230"/>
      <c r="FV171" s="230"/>
      <c r="FW171" s="230"/>
      <c r="FX171" s="230"/>
      <c r="FY171" s="230"/>
      <c r="FZ171" s="230"/>
      <c r="GA171" s="230"/>
      <c r="GB171" s="230"/>
      <c r="GC171" s="230"/>
      <c r="GD171" s="230"/>
      <c r="GE171" s="230"/>
      <c r="GF171" s="230"/>
      <c r="GG171" s="230"/>
      <c r="GH171" s="230"/>
      <c r="GI171" s="230"/>
      <c r="GJ171" s="230"/>
      <c r="GK171" s="230"/>
      <c r="GL171" s="230"/>
      <c r="GM171" s="230"/>
      <c r="GN171" s="230"/>
      <c r="GO171" s="230"/>
      <c r="GP171" s="230"/>
      <c r="GQ171" s="230"/>
      <c r="GR171" s="230"/>
    </row>
    <row r="172" spans="1:200" s="632" customFormat="1" outlineLevel="2" x14ac:dyDescent="0.2">
      <c r="A172" s="636" t="s">
        <v>3055</v>
      </c>
      <c r="B172" s="636" t="s">
        <v>6733</v>
      </c>
      <c r="C172" s="597"/>
      <c r="D172" s="1536"/>
      <c r="E172" s="635"/>
      <c r="F172" s="635"/>
      <c r="G172" s="1517">
        <v>2</v>
      </c>
      <c r="H172" s="1517"/>
      <c r="I172" s="1517"/>
      <c r="J172" s="1517" t="s">
        <v>1592</v>
      </c>
      <c r="K172" s="1458" t="s">
        <v>5650</v>
      </c>
      <c r="L172" s="1518" t="s">
        <v>7343</v>
      </c>
      <c r="M172" s="635"/>
      <c r="N172" s="624"/>
      <c r="O172" s="624"/>
      <c r="P172" s="624"/>
      <c r="Q172" s="624"/>
      <c r="R172" s="624"/>
      <c r="S172" s="624"/>
      <c r="T172" s="624"/>
      <c r="U172" s="624"/>
      <c r="V172" s="624"/>
      <c r="W172" s="624"/>
      <c r="X172" s="624"/>
      <c r="Y172" s="624"/>
      <c r="Z172" s="624"/>
      <c r="AA172">
        <f>IF(AND('12 Ext'!C172&gt;Tmin, NOT('12 Ext'!$I172="")),'12 Ext'!$I172,0)</f>
        <v>0</v>
      </c>
      <c r="AB172">
        <f>IF(AND('12 Ext'!D172&gt;Tmin, NOT('12 Ext'!$I172="")),'12 Ext'!$I172,0)</f>
        <v>0</v>
      </c>
      <c r="AC172">
        <f>IF(AND('12 Ext'!E172&gt;Tmin, NOT('12 Ext'!$I172="")),'12 Ext'!$I172,0)</f>
        <v>0</v>
      </c>
      <c r="AD172">
        <f>IF(AND('12 Ext'!F172&gt;Tmin, NOT('12 Ext'!$I172="")),'12 Ext'!$I172,0)</f>
        <v>0</v>
      </c>
      <c r="AE172">
        <f>IF(AND('12 Ext'!C172&lt;Tmax, NOT('12 Ext'!$H172="")),'12 Ext'!$H172,4)</f>
        <v>4</v>
      </c>
      <c r="AF172">
        <f>IF(AND('12 Ext'!D172&lt;Tmax, NOT('12 Ext'!$H172="")),'12 Ext'!$H172,4)</f>
        <v>4</v>
      </c>
      <c r="AG172">
        <f>IF(AND('12 Ext'!E172&lt;Tmax, NOT('12 Ext'!$H172="")),'12 Ext'!$H172,4)</f>
        <v>4</v>
      </c>
      <c r="AH172">
        <f>IF(AND('12 Ext'!F172&lt;Tmax, NOT('12 Ext'!$H172="")),'12 Ext'!$H172,4)</f>
        <v>4</v>
      </c>
      <c r="AI172"/>
      <c r="AJ172" s="230"/>
      <c r="AK172" s="230"/>
      <c r="AL172" s="230"/>
      <c r="AM172" s="230"/>
      <c r="AN172" s="230"/>
      <c r="AO172" s="230"/>
      <c r="AP172" s="230"/>
      <c r="AQ172" s="230"/>
      <c r="AR172" s="230"/>
      <c r="AS172" s="230"/>
      <c r="AT172" s="230"/>
      <c r="AU172" s="230"/>
      <c r="AV172" s="230"/>
      <c r="AW172" s="230"/>
      <c r="AX172" s="230"/>
      <c r="AY172" s="230"/>
      <c r="AZ172" s="230"/>
      <c r="BA172" s="230"/>
      <c r="BB172" s="230"/>
      <c r="BC172" s="230"/>
      <c r="BD172" s="230"/>
      <c r="BE172" s="230"/>
      <c r="BF172" s="230"/>
      <c r="BG172" s="230"/>
      <c r="BH172" s="230"/>
      <c r="BI172" s="230"/>
      <c r="BJ172" s="230"/>
      <c r="BK172" s="230"/>
      <c r="BL172" s="230"/>
      <c r="BM172" s="230"/>
      <c r="BN172" s="230"/>
      <c r="BO172" s="230"/>
      <c r="BP172" s="230"/>
      <c r="BQ172" s="230"/>
      <c r="BR172" s="230"/>
      <c r="BS172" s="230"/>
      <c r="BT172" s="230"/>
      <c r="BU172" s="230"/>
      <c r="BV172" s="230"/>
      <c r="BW172" s="230"/>
      <c r="BX172" s="230"/>
      <c r="BY172" s="230"/>
      <c r="BZ172" s="230"/>
      <c r="CA172" s="230"/>
      <c r="CB172" s="230"/>
      <c r="CC172" s="230"/>
      <c r="CD172" s="230"/>
      <c r="CE172" s="230"/>
      <c r="CF172" s="230"/>
      <c r="CG172" s="230"/>
      <c r="CH172" s="230"/>
      <c r="CI172" s="230"/>
      <c r="CJ172" s="230"/>
      <c r="CK172" s="230"/>
      <c r="CL172" s="230"/>
      <c r="CM172" s="230"/>
      <c r="CN172" s="230"/>
      <c r="CO172" s="230"/>
      <c r="CP172" s="230"/>
      <c r="CQ172" s="230"/>
      <c r="CR172" s="230"/>
      <c r="CS172" s="230"/>
      <c r="CT172" s="230"/>
      <c r="CU172" s="230"/>
      <c r="CV172" s="230"/>
      <c r="CW172" s="230"/>
      <c r="CX172" s="230"/>
      <c r="CY172" s="230"/>
      <c r="CZ172" s="230"/>
      <c r="DA172" s="230"/>
      <c r="DB172" s="230"/>
      <c r="DC172" s="230"/>
      <c r="DD172" s="230"/>
      <c r="DE172" s="230"/>
      <c r="DF172" s="230"/>
      <c r="DG172" s="230"/>
      <c r="DH172" s="230"/>
      <c r="DI172" s="230"/>
      <c r="DJ172" s="230"/>
      <c r="DK172" s="230"/>
      <c r="DL172" s="230"/>
      <c r="DM172" s="230"/>
      <c r="DN172" s="230"/>
      <c r="DO172" s="230"/>
      <c r="DP172" s="230"/>
      <c r="DQ172" s="230"/>
      <c r="DR172" s="230"/>
      <c r="DS172" s="230"/>
      <c r="DT172" s="230"/>
      <c r="DU172" s="230"/>
      <c r="DV172" s="230"/>
      <c r="DW172" s="230"/>
      <c r="DX172" s="230"/>
      <c r="DY172" s="230"/>
      <c r="DZ172" s="230"/>
      <c r="EA172" s="230"/>
      <c r="EB172" s="230"/>
      <c r="EC172" s="230"/>
      <c r="ED172" s="230"/>
      <c r="EE172" s="230"/>
      <c r="EF172" s="230"/>
      <c r="EG172" s="230"/>
      <c r="EH172" s="230"/>
      <c r="EI172" s="230"/>
      <c r="EJ172" s="230"/>
      <c r="EK172" s="230"/>
      <c r="EL172" s="230"/>
      <c r="EM172" s="230"/>
      <c r="EN172" s="230"/>
      <c r="EO172" s="230"/>
      <c r="EP172" s="230"/>
      <c r="EQ172" s="230"/>
      <c r="ER172" s="230"/>
      <c r="ES172" s="230"/>
      <c r="ET172" s="230"/>
      <c r="EU172" s="230"/>
      <c r="EV172" s="230"/>
      <c r="EW172" s="230"/>
      <c r="EX172" s="230"/>
      <c r="EY172" s="230"/>
      <c r="EZ172" s="230"/>
      <c r="FA172" s="230"/>
      <c r="FB172" s="230"/>
      <c r="FC172" s="230"/>
      <c r="FD172" s="230"/>
      <c r="FE172" s="230"/>
      <c r="FF172" s="230"/>
      <c r="FG172" s="230"/>
      <c r="FH172" s="230"/>
      <c r="FI172" s="230"/>
      <c r="FJ172" s="230"/>
      <c r="FK172" s="230"/>
      <c r="FL172" s="230"/>
      <c r="FM172" s="230"/>
      <c r="FN172" s="230"/>
      <c r="FO172" s="230"/>
      <c r="FP172" s="230"/>
      <c r="FQ172" s="230"/>
      <c r="FR172" s="230"/>
      <c r="FS172" s="230"/>
      <c r="FT172" s="230"/>
      <c r="FU172" s="230"/>
      <c r="FV172" s="230"/>
      <c r="FW172" s="230"/>
      <c r="FX172" s="230"/>
      <c r="FY172" s="230"/>
      <c r="FZ172" s="230"/>
      <c r="GA172" s="230"/>
      <c r="GB172" s="230"/>
      <c r="GC172" s="230"/>
      <c r="GD172" s="230"/>
      <c r="GE172" s="230"/>
      <c r="GF172" s="230"/>
      <c r="GG172" s="230"/>
      <c r="GH172" s="230"/>
      <c r="GI172" s="230"/>
      <c r="GJ172" s="230"/>
      <c r="GK172" s="230"/>
      <c r="GL172" s="230"/>
      <c r="GM172" s="230"/>
      <c r="GN172" s="230"/>
      <c r="GO172" s="230"/>
      <c r="GP172" s="230"/>
      <c r="GQ172" s="230"/>
      <c r="GR172" s="230"/>
    </row>
    <row r="173" spans="1:200" s="632" customFormat="1" outlineLevel="2" x14ac:dyDescent="0.2">
      <c r="A173" s="636" t="s">
        <v>3056</v>
      </c>
      <c r="B173" s="636" t="s">
        <v>4110</v>
      </c>
      <c r="C173" s="597"/>
      <c r="D173" s="1536"/>
      <c r="E173" s="635"/>
      <c r="F173" s="635"/>
      <c r="G173" s="1517">
        <v>2</v>
      </c>
      <c r="H173" s="1517"/>
      <c r="I173" s="1517"/>
      <c r="J173" s="1517" t="s">
        <v>1592</v>
      </c>
      <c r="K173" s="1458" t="s">
        <v>5650</v>
      </c>
      <c r="L173" s="1518" t="s">
        <v>7343</v>
      </c>
      <c r="M173" s="635"/>
      <c r="N173" s="624"/>
      <c r="O173" s="624"/>
      <c r="P173" s="624"/>
      <c r="Q173" s="624"/>
      <c r="R173" s="624"/>
      <c r="S173" s="624"/>
      <c r="T173" s="624"/>
      <c r="U173" s="624"/>
      <c r="V173" s="624"/>
      <c r="W173" s="624"/>
      <c r="X173" s="624"/>
      <c r="Y173" s="624"/>
      <c r="Z173" s="624"/>
      <c r="AA173">
        <f>IF(AND('12 Ext'!C173&gt;Tmin, NOT('12 Ext'!$I173="")),'12 Ext'!$I173,0)</f>
        <v>0</v>
      </c>
      <c r="AB173">
        <f>IF(AND('12 Ext'!D173&gt;Tmin, NOT('12 Ext'!$I173="")),'12 Ext'!$I173,0)</f>
        <v>0</v>
      </c>
      <c r="AC173">
        <f>IF(AND('12 Ext'!E173&gt;Tmin, NOT('12 Ext'!$I173="")),'12 Ext'!$I173,0)</f>
        <v>0</v>
      </c>
      <c r="AD173">
        <f>IF(AND('12 Ext'!F173&gt;Tmin, NOT('12 Ext'!$I173="")),'12 Ext'!$I173,0)</f>
        <v>0</v>
      </c>
      <c r="AE173">
        <f>IF(AND('12 Ext'!C173&lt;Tmax, NOT('12 Ext'!$H173="")),'12 Ext'!$H173,4)</f>
        <v>4</v>
      </c>
      <c r="AF173">
        <f>IF(AND('12 Ext'!D173&lt;Tmax, NOT('12 Ext'!$H173="")),'12 Ext'!$H173,4)</f>
        <v>4</v>
      </c>
      <c r="AG173">
        <f>IF(AND('12 Ext'!E173&lt;Tmax, NOT('12 Ext'!$H173="")),'12 Ext'!$H173,4)</f>
        <v>4</v>
      </c>
      <c r="AH173">
        <f>IF(AND('12 Ext'!F173&lt;Tmax, NOT('12 Ext'!$H173="")),'12 Ext'!$H173,4)</f>
        <v>4</v>
      </c>
      <c r="AI173"/>
      <c r="AJ173" s="230"/>
      <c r="AK173" s="230"/>
      <c r="AL173" s="230"/>
      <c r="AM173" s="230"/>
      <c r="AN173" s="230"/>
      <c r="AO173" s="230"/>
      <c r="AP173" s="230"/>
      <c r="AQ173" s="230"/>
      <c r="AR173" s="230"/>
      <c r="AS173" s="230"/>
      <c r="AT173" s="230"/>
      <c r="AU173" s="230"/>
      <c r="AV173" s="230"/>
      <c r="AW173" s="230"/>
      <c r="AX173" s="230"/>
      <c r="AY173" s="230"/>
      <c r="AZ173" s="230"/>
      <c r="BA173" s="230"/>
      <c r="BB173" s="230"/>
      <c r="BC173" s="230"/>
      <c r="BD173" s="230"/>
      <c r="BE173" s="230"/>
      <c r="BF173" s="230"/>
      <c r="BG173" s="230"/>
      <c r="BH173" s="230"/>
      <c r="BI173" s="230"/>
      <c r="BJ173" s="230"/>
      <c r="BK173" s="230"/>
      <c r="BL173" s="230"/>
      <c r="BM173" s="230"/>
      <c r="BN173" s="230"/>
      <c r="BO173" s="230"/>
      <c r="BP173" s="230"/>
      <c r="BQ173" s="230"/>
      <c r="BR173" s="230"/>
      <c r="BS173" s="230"/>
      <c r="BT173" s="230"/>
      <c r="BU173" s="230"/>
      <c r="BV173" s="230"/>
      <c r="BW173" s="230"/>
      <c r="BX173" s="230"/>
      <c r="BY173" s="230"/>
      <c r="BZ173" s="230"/>
      <c r="CA173" s="230"/>
      <c r="CB173" s="230"/>
      <c r="CC173" s="230"/>
      <c r="CD173" s="230"/>
      <c r="CE173" s="230"/>
      <c r="CF173" s="230"/>
      <c r="CG173" s="230"/>
      <c r="CH173" s="230"/>
      <c r="CI173" s="230"/>
      <c r="CJ173" s="230"/>
      <c r="CK173" s="230"/>
      <c r="CL173" s="230"/>
      <c r="CM173" s="230"/>
      <c r="CN173" s="230"/>
      <c r="CO173" s="230"/>
      <c r="CP173" s="230"/>
      <c r="CQ173" s="230"/>
      <c r="CR173" s="230"/>
      <c r="CS173" s="230"/>
      <c r="CT173" s="230"/>
      <c r="CU173" s="230"/>
      <c r="CV173" s="230"/>
      <c r="CW173" s="230"/>
      <c r="CX173" s="230"/>
      <c r="CY173" s="230"/>
      <c r="CZ173" s="230"/>
      <c r="DA173" s="230"/>
      <c r="DB173" s="230"/>
      <c r="DC173" s="230"/>
      <c r="DD173" s="230"/>
      <c r="DE173" s="230"/>
      <c r="DF173" s="230"/>
      <c r="DG173" s="230"/>
      <c r="DH173" s="230"/>
      <c r="DI173" s="230"/>
      <c r="DJ173" s="230"/>
      <c r="DK173" s="230"/>
      <c r="DL173" s="230"/>
      <c r="DM173" s="230"/>
      <c r="DN173" s="230"/>
      <c r="DO173" s="230"/>
      <c r="DP173" s="230"/>
      <c r="DQ173" s="230"/>
      <c r="DR173" s="230"/>
      <c r="DS173" s="230"/>
      <c r="DT173" s="230"/>
      <c r="DU173" s="230"/>
      <c r="DV173" s="230"/>
      <c r="DW173" s="230"/>
      <c r="DX173" s="230"/>
      <c r="DY173" s="230"/>
      <c r="DZ173" s="230"/>
      <c r="EA173" s="230"/>
      <c r="EB173" s="230"/>
      <c r="EC173" s="230"/>
      <c r="ED173" s="230"/>
      <c r="EE173" s="230"/>
      <c r="EF173" s="230"/>
      <c r="EG173" s="230"/>
      <c r="EH173" s="230"/>
      <c r="EI173" s="230"/>
      <c r="EJ173" s="230"/>
      <c r="EK173" s="230"/>
      <c r="EL173" s="230"/>
      <c r="EM173" s="230"/>
      <c r="EN173" s="230"/>
      <c r="EO173" s="230"/>
      <c r="EP173" s="230"/>
      <c r="EQ173" s="230"/>
      <c r="ER173" s="230"/>
      <c r="ES173" s="230"/>
      <c r="ET173" s="230"/>
      <c r="EU173" s="230"/>
      <c r="EV173" s="230"/>
      <c r="EW173" s="230"/>
      <c r="EX173" s="230"/>
      <c r="EY173" s="230"/>
      <c r="EZ173" s="230"/>
      <c r="FA173" s="230"/>
      <c r="FB173" s="230"/>
      <c r="FC173" s="230"/>
      <c r="FD173" s="230"/>
      <c r="FE173" s="230"/>
      <c r="FF173" s="230"/>
      <c r="FG173" s="230"/>
      <c r="FH173" s="230"/>
      <c r="FI173" s="230"/>
      <c r="FJ173" s="230"/>
      <c r="FK173" s="230"/>
      <c r="FL173" s="230"/>
      <c r="FM173" s="230"/>
      <c r="FN173" s="230"/>
      <c r="FO173" s="230"/>
      <c r="FP173" s="230"/>
      <c r="FQ173" s="230"/>
      <c r="FR173" s="230"/>
      <c r="FS173" s="230"/>
      <c r="FT173" s="230"/>
      <c r="FU173" s="230"/>
      <c r="FV173" s="230"/>
      <c r="FW173" s="230"/>
      <c r="FX173" s="230"/>
      <c r="FY173" s="230"/>
      <c r="FZ173" s="230"/>
      <c r="GA173" s="230"/>
      <c r="GB173" s="230"/>
      <c r="GC173" s="230"/>
      <c r="GD173" s="230"/>
      <c r="GE173" s="230"/>
      <c r="GF173" s="230"/>
      <c r="GG173" s="230"/>
      <c r="GH173" s="230"/>
      <c r="GI173" s="230"/>
      <c r="GJ173" s="230"/>
      <c r="GK173" s="230"/>
      <c r="GL173" s="230"/>
      <c r="GM173" s="230"/>
      <c r="GN173" s="230"/>
      <c r="GO173" s="230"/>
      <c r="GP173" s="230"/>
      <c r="GQ173" s="230"/>
      <c r="GR173" s="230"/>
    </row>
    <row r="174" spans="1:200" s="632" customFormat="1" ht="22.5" outlineLevel="2" x14ac:dyDescent="0.2">
      <c r="A174" s="636" t="s">
        <v>3057</v>
      </c>
      <c r="B174" s="636" t="s">
        <v>2850</v>
      </c>
      <c r="C174" s="597"/>
      <c r="D174" s="1536"/>
      <c r="E174" s="635"/>
      <c r="F174" s="635"/>
      <c r="G174" s="1517">
        <v>2</v>
      </c>
      <c r="H174" s="1517"/>
      <c r="I174" s="1517"/>
      <c r="J174" s="1517" t="s">
        <v>2109</v>
      </c>
      <c r="K174" s="1458" t="s">
        <v>5650</v>
      </c>
      <c r="L174" s="1518" t="s">
        <v>7343</v>
      </c>
      <c r="M174" s="635"/>
      <c r="N174" s="624"/>
      <c r="O174" s="624"/>
      <c r="P174" s="624"/>
      <c r="Q174" s="624"/>
      <c r="R174" s="624"/>
      <c r="S174" s="624"/>
      <c r="T174" s="624"/>
      <c r="U174" s="624"/>
      <c r="V174" s="624"/>
      <c r="W174" s="624"/>
      <c r="X174" s="624"/>
      <c r="Y174" s="624"/>
      <c r="Z174" s="624"/>
      <c r="AA174">
        <f>IF(AND('12 Ext'!C174&gt;Tmin, NOT('12 Ext'!$I174="")),'12 Ext'!$I174,0)</f>
        <v>0</v>
      </c>
      <c r="AB174">
        <f>IF(AND('12 Ext'!D174&gt;Tmin, NOT('12 Ext'!$I174="")),'12 Ext'!$I174,0)</f>
        <v>0</v>
      </c>
      <c r="AC174">
        <f>IF(AND('12 Ext'!E174&gt;Tmin, NOT('12 Ext'!$I174="")),'12 Ext'!$I174,0)</f>
        <v>0</v>
      </c>
      <c r="AD174">
        <f>IF(AND('12 Ext'!F174&gt;Tmin, NOT('12 Ext'!$I174="")),'12 Ext'!$I174,0)</f>
        <v>0</v>
      </c>
      <c r="AE174">
        <f>IF(AND('12 Ext'!C174&lt;Tmax, NOT('12 Ext'!$H174="")),'12 Ext'!$H174,4)</f>
        <v>4</v>
      </c>
      <c r="AF174">
        <f>IF(AND('12 Ext'!D174&lt;Tmax, NOT('12 Ext'!$H174="")),'12 Ext'!$H174,4)</f>
        <v>4</v>
      </c>
      <c r="AG174">
        <f>IF(AND('12 Ext'!E174&lt;Tmax, NOT('12 Ext'!$H174="")),'12 Ext'!$H174,4)</f>
        <v>4</v>
      </c>
      <c r="AH174">
        <f>IF(AND('12 Ext'!F174&lt;Tmax, NOT('12 Ext'!$H174="")),'12 Ext'!$H174,4)</f>
        <v>4</v>
      </c>
      <c r="AI174"/>
      <c r="AJ174" s="230"/>
      <c r="AK174" s="230"/>
      <c r="AL174" s="230"/>
      <c r="AM174" s="230"/>
      <c r="AN174" s="230"/>
      <c r="AO174" s="230"/>
      <c r="AP174" s="230"/>
      <c r="AQ174" s="230"/>
      <c r="AR174" s="230"/>
      <c r="AS174" s="230"/>
      <c r="AT174" s="230"/>
      <c r="AU174" s="230"/>
      <c r="AV174" s="230"/>
      <c r="AW174" s="230"/>
      <c r="AX174" s="230"/>
      <c r="AY174" s="230"/>
      <c r="AZ174" s="230"/>
      <c r="BA174" s="230"/>
      <c r="BB174" s="230"/>
      <c r="BC174" s="230"/>
      <c r="BD174" s="230"/>
      <c r="BE174" s="230"/>
      <c r="BF174" s="230"/>
      <c r="BG174" s="230"/>
      <c r="BH174" s="230"/>
      <c r="BI174" s="230"/>
      <c r="BJ174" s="230"/>
      <c r="BK174" s="230"/>
      <c r="BL174" s="230"/>
      <c r="BM174" s="230"/>
      <c r="BN174" s="230"/>
      <c r="BO174" s="230"/>
      <c r="BP174" s="230"/>
      <c r="BQ174" s="230"/>
      <c r="BR174" s="230"/>
      <c r="BS174" s="230"/>
      <c r="BT174" s="230"/>
      <c r="BU174" s="230"/>
      <c r="BV174" s="230"/>
      <c r="BW174" s="230"/>
      <c r="BX174" s="230"/>
      <c r="BY174" s="230"/>
      <c r="BZ174" s="230"/>
      <c r="CA174" s="230"/>
      <c r="CB174" s="230"/>
      <c r="CC174" s="230"/>
      <c r="CD174" s="230"/>
      <c r="CE174" s="230"/>
      <c r="CF174" s="230"/>
      <c r="CG174" s="230"/>
      <c r="CH174" s="230"/>
      <c r="CI174" s="230"/>
      <c r="CJ174" s="230"/>
      <c r="CK174" s="230"/>
      <c r="CL174" s="230"/>
      <c r="CM174" s="230"/>
      <c r="CN174" s="230"/>
      <c r="CO174" s="230"/>
      <c r="CP174" s="230"/>
      <c r="CQ174" s="230"/>
      <c r="CR174" s="230"/>
      <c r="CS174" s="230"/>
      <c r="CT174" s="230"/>
      <c r="CU174" s="230"/>
      <c r="CV174" s="230"/>
      <c r="CW174" s="230"/>
      <c r="CX174" s="230"/>
      <c r="CY174" s="230"/>
      <c r="CZ174" s="230"/>
      <c r="DA174" s="230"/>
      <c r="DB174" s="230"/>
      <c r="DC174" s="230"/>
      <c r="DD174" s="230"/>
      <c r="DE174" s="230"/>
      <c r="DF174" s="230"/>
      <c r="DG174" s="230"/>
      <c r="DH174" s="230"/>
      <c r="DI174" s="230"/>
      <c r="DJ174" s="230"/>
      <c r="DK174" s="230"/>
      <c r="DL174" s="230"/>
      <c r="DM174" s="230"/>
      <c r="DN174" s="230"/>
      <c r="DO174" s="230"/>
      <c r="DP174" s="230"/>
      <c r="DQ174" s="230"/>
      <c r="DR174" s="230"/>
      <c r="DS174" s="230"/>
      <c r="DT174" s="230"/>
      <c r="DU174" s="230"/>
      <c r="DV174" s="230"/>
      <c r="DW174" s="230"/>
      <c r="DX174" s="230"/>
      <c r="DY174" s="230"/>
      <c r="DZ174" s="230"/>
      <c r="EA174" s="230"/>
      <c r="EB174" s="230"/>
      <c r="EC174" s="230"/>
      <c r="ED174" s="230"/>
      <c r="EE174" s="230"/>
      <c r="EF174" s="230"/>
      <c r="EG174" s="230"/>
      <c r="EH174" s="230"/>
      <c r="EI174" s="230"/>
      <c r="EJ174" s="230"/>
      <c r="EK174" s="230"/>
      <c r="EL174" s="230"/>
      <c r="EM174" s="230"/>
      <c r="EN174" s="230"/>
      <c r="EO174" s="230"/>
      <c r="EP174" s="230"/>
      <c r="EQ174" s="230"/>
      <c r="ER174" s="230"/>
      <c r="ES174" s="230"/>
      <c r="ET174" s="230"/>
      <c r="EU174" s="230"/>
      <c r="EV174" s="230"/>
      <c r="EW174" s="230"/>
      <c r="EX174" s="230"/>
      <c r="EY174" s="230"/>
      <c r="EZ174" s="230"/>
      <c r="FA174" s="230"/>
      <c r="FB174" s="230"/>
      <c r="FC174" s="230"/>
      <c r="FD174" s="230"/>
      <c r="FE174" s="230"/>
      <c r="FF174" s="230"/>
      <c r="FG174" s="230"/>
      <c r="FH174" s="230"/>
      <c r="FI174" s="230"/>
      <c r="FJ174" s="230"/>
      <c r="FK174" s="230"/>
      <c r="FL174" s="230"/>
      <c r="FM174" s="230"/>
      <c r="FN174" s="230"/>
      <c r="FO174" s="230"/>
      <c r="FP174" s="230"/>
      <c r="FQ174" s="230"/>
      <c r="FR174" s="230"/>
      <c r="FS174" s="230"/>
      <c r="FT174" s="230"/>
      <c r="FU174" s="230"/>
      <c r="FV174" s="230"/>
      <c r="FW174" s="230"/>
      <c r="FX174" s="230"/>
      <c r="FY174" s="230"/>
      <c r="FZ174" s="230"/>
      <c r="GA174" s="230"/>
      <c r="GB174" s="230"/>
      <c r="GC174" s="230"/>
      <c r="GD174" s="230"/>
      <c r="GE174" s="230"/>
      <c r="GF174" s="230"/>
      <c r="GG174" s="230"/>
      <c r="GH174" s="230"/>
      <c r="GI174" s="230"/>
      <c r="GJ174" s="230"/>
      <c r="GK174" s="230"/>
      <c r="GL174" s="230"/>
      <c r="GM174" s="230"/>
      <c r="GN174" s="230"/>
      <c r="GO174" s="230"/>
      <c r="GP174" s="230"/>
      <c r="GQ174" s="230"/>
      <c r="GR174" s="230"/>
    </row>
    <row r="175" spans="1:200" x14ac:dyDescent="0.2">
      <c r="A175" s="650"/>
      <c r="B175" s="651"/>
      <c r="C175" s="652"/>
      <c r="D175" s="1541"/>
      <c r="E175" s="653"/>
      <c r="F175" s="653"/>
      <c r="G175" s="654"/>
      <c r="H175" s="654"/>
      <c r="I175" s="654"/>
      <c r="J175" s="654"/>
      <c r="K175" s="655"/>
      <c r="L175" s="656"/>
      <c r="AA175"/>
      <c r="AB175"/>
      <c r="AC175"/>
      <c r="AD175"/>
      <c r="AE175"/>
      <c r="AF175"/>
      <c r="AG175"/>
      <c r="AH175"/>
      <c r="AI175"/>
    </row>
    <row r="176" spans="1:200" ht="12.75" customHeight="1" x14ac:dyDescent="0.2">
      <c r="A176" s="612" t="str">
        <f>C$2</f>
        <v>R-V1</v>
      </c>
      <c r="B176" s="613" t="s">
        <v>7232</v>
      </c>
      <c r="C176" s="612" t="str">
        <f>C$2</f>
        <v>R-V1</v>
      </c>
      <c r="D176" s="612"/>
      <c r="E176" s="612"/>
      <c r="F176" s="612"/>
      <c r="G176" s="654"/>
      <c r="H176" s="654"/>
      <c r="I176" s="654"/>
      <c r="J176" s="654"/>
      <c r="K176" s="655"/>
      <c r="L176" s="656"/>
      <c r="AA176"/>
      <c r="AB176"/>
      <c r="AC176"/>
      <c r="AD176"/>
      <c r="AE176"/>
      <c r="AF176"/>
      <c r="AG176"/>
      <c r="AH176"/>
      <c r="AI176"/>
    </row>
    <row r="177" spans="1:35" ht="12.75" customHeight="1" x14ac:dyDescent="0.2">
      <c r="A177" s="612" t="str">
        <f>C$2</f>
        <v>R-V1</v>
      </c>
      <c r="B177" s="613" t="s">
        <v>7233</v>
      </c>
      <c r="C177" s="612" t="str">
        <f>C$2</f>
        <v>R-V1</v>
      </c>
      <c r="D177" s="612"/>
      <c r="E177" s="612"/>
      <c r="F177" s="612"/>
      <c r="G177" s="654"/>
      <c r="H177" s="654"/>
      <c r="I177" s="654"/>
      <c r="J177" s="654"/>
      <c r="K177" s="655"/>
      <c r="L177" s="656"/>
      <c r="AA177"/>
      <c r="AB177"/>
      <c r="AC177"/>
      <c r="AD177"/>
      <c r="AE177"/>
      <c r="AF177"/>
      <c r="AG177"/>
      <c r="AH177"/>
      <c r="AI177"/>
    </row>
    <row r="178" spans="1:35" ht="12.75" customHeight="1" x14ac:dyDescent="0.2">
      <c r="A178" s="612" t="str">
        <f>C$2</f>
        <v>R-V1</v>
      </c>
      <c r="B178" s="613" t="s">
        <v>7234</v>
      </c>
      <c r="C178" s="612" t="str">
        <f>C$2</f>
        <v>R-V1</v>
      </c>
      <c r="D178" s="612"/>
      <c r="E178" s="612"/>
      <c r="F178" s="612"/>
      <c r="G178" s="654"/>
      <c r="H178" s="654"/>
      <c r="I178" s="654"/>
      <c r="J178" s="654"/>
      <c r="K178" s="655"/>
      <c r="L178" s="656"/>
      <c r="AA178"/>
      <c r="AB178"/>
      <c r="AC178"/>
      <c r="AD178"/>
      <c r="AE178"/>
      <c r="AF178"/>
      <c r="AG178"/>
      <c r="AH178"/>
      <c r="AI178"/>
    </row>
    <row r="179" spans="1:35" ht="12.75" customHeight="1" x14ac:dyDescent="0.2">
      <c r="A179" s="612" t="str">
        <f>C$2</f>
        <v>R-V1</v>
      </c>
      <c r="B179" s="618" t="s">
        <v>7235</v>
      </c>
      <c r="C179" s="612" t="str">
        <f>C$2</f>
        <v>R-V1</v>
      </c>
      <c r="D179" s="612"/>
      <c r="E179" s="612"/>
      <c r="F179" s="612"/>
      <c r="G179" s="654"/>
      <c r="H179" s="654"/>
      <c r="I179" s="654"/>
      <c r="J179" s="654"/>
      <c r="K179" s="655"/>
      <c r="L179" s="656"/>
      <c r="AA179"/>
      <c r="AB179"/>
      <c r="AC179"/>
      <c r="AD179"/>
      <c r="AE179"/>
      <c r="AF179"/>
      <c r="AG179"/>
      <c r="AH179"/>
      <c r="AI179"/>
    </row>
    <row r="180" spans="1:35" ht="12.75" customHeight="1" x14ac:dyDescent="0.2">
      <c r="A180" s="612"/>
      <c r="B180" s="613"/>
      <c r="C180" s="612"/>
      <c r="D180" s="612"/>
      <c r="E180" s="612"/>
      <c r="F180" s="612"/>
      <c r="G180" s="654"/>
      <c r="H180" s="654"/>
      <c r="I180" s="654"/>
      <c r="J180" s="654"/>
      <c r="K180" s="655"/>
      <c r="L180" s="656"/>
      <c r="AA180"/>
      <c r="AB180"/>
      <c r="AC180"/>
      <c r="AD180"/>
      <c r="AE180"/>
      <c r="AF180"/>
      <c r="AG180"/>
      <c r="AH180"/>
      <c r="AI180"/>
    </row>
    <row r="181" spans="1:35" ht="12.75" customHeight="1" x14ac:dyDescent="0.2">
      <c r="A181" s="612" t="str">
        <f>D$2</f>
        <v>R-V2</v>
      </c>
      <c r="B181" s="613" t="s">
        <v>7232</v>
      </c>
      <c r="C181" s="612"/>
      <c r="D181" s="612" t="str">
        <f>D$2</f>
        <v>R-V2</v>
      </c>
      <c r="E181" s="612"/>
      <c r="F181" s="612"/>
      <c r="G181" s="654"/>
      <c r="H181" s="654"/>
      <c r="I181" s="654"/>
      <c r="J181" s="654"/>
      <c r="K181" s="655"/>
      <c r="L181" s="656"/>
      <c r="AA181"/>
      <c r="AB181"/>
      <c r="AC181"/>
      <c r="AD181"/>
      <c r="AE181"/>
      <c r="AF181"/>
      <c r="AG181"/>
      <c r="AH181"/>
      <c r="AI181"/>
    </row>
    <row r="182" spans="1:35" ht="12.75" customHeight="1" x14ac:dyDescent="0.2">
      <c r="A182" s="612" t="str">
        <f>D$2</f>
        <v>R-V2</v>
      </c>
      <c r="B182" s="613" t="s">
        <v>7233</v>
      </c>
      <c r="C182" s="612"/>
      <c r="D182" s="612" t="str">
        <f>D$2</f>
        <v>R-V2</v>
      </c>
      <c r="E182" s="612"/>
      <c r="F182" s="612"/>
      <c r="G182" s="654"/>
      <c r="H182" s="654"/>
      <c r="I182" s="654"/>
      <c r="J182" s="654"/>
      <c r="K182" s="655"/>
      <c r="L182" s="656"/>
      <c r="AA182"/>
      <c r="AB182"/>
      <c r="AC182"/>
      <c r="AD182"/>
      <c r="AE182"/>
      <c r="AF182"/>
      <c r="AG182"/>
      <c r="AH182"/>
      <c r="AI182"/>
    </row>
    <row r="183" spans="1:35" ht="12.75" customHeight="1" x14ac:dyDescent="0.2">
      <c r="A183" s="612" t="str">
        <f>D$2</f>
        <v>R-V2</v>
      </c>
      <c r="B183" s="613" t="s">
        <v>7234</v>
      </c>
      <c r="C183" s="612"/>
      <c r="D183" s="612" t="str">
        <f>D$2</f>
        <v>R-V2</v>
      </c>
      <c r="E183" s="612"/>
      <c r="F183" s="612"/>
      <c r="G183" s="654"/>
      <c r="H183" s="654"/>
      <c r="I183" s="654"/>
      <c r="J183" s="654"/>
      <c r="K183" s="655"/>
      <c r="L183" s="656"/>
      <c r="AA183"/>
      <c r="AB183"/>
      <c r="AC183"/>
      <c r="AD183"/>
      <c r="AE183"/>
      <c r="AF183"/>
      <c r="AG183"/>
      <c r="AH183"/>
      <c r="AI183"/>
    </row>
    <row r="184" spans="1:35" ht="12.75" customHeight="1" x14ac:dyDescent="0.2">
      <c r="A184" s="612" t="str">
        <f>D$2</f>
        <v>R-V2</v>
      </c>
      <c r="B184" s="613" t="s">
        <v>7235</v>
      </c>
      <c r="C184" s="612"/>
      <c r="D184" s="612" t="str">
        <f>D$2</f>
        <v>R-V2</v>
      </c>
      <c r="E184" s="612"/>
      <c r="F184" s="612"/>
      <c r="G184" s="654"/>
      <c r="H184" s="654"/>
      <c r="I184" s="654"/>
      <c r="J184" s="654"/>
      <c r="K184" s="655"/>
      <c r="L184" s="656"/>
      <c r="AA184"/>
      <c r="AB184"/>
      <c r="AC184"/>
      <c r="AD184"/>
      <c r="AE184"/>
      <c r="AF184"/>
      <c r="AG184"/>
      <c r="AH184"/>
      <c r="AI184"/>
    </row>
    <row r="185" spans="1:35" ht="12.75" customHeight="1" x14ac:dyDescent="0.2">
      <c r="A185" s="612"/>
      <c r="B185" s="613"/>
      <c r="C185" s="612"/>
      <c r="D185" s="612"/>
      <c r="E185" s="612"/>
      <c r="F185" s="612"/>
      <c r="G185" s="654"/>
      <c r="H185" s="654"/>
      <c r="I185" s="654"/>
      <c r="J185" s="654"/>
      <c r="K185" s="655"/>
      <c r="L185" s="656"/>
      <c r="AA185"/>
      <c r="AB185"/>
      <c r="AC185"/>
      <c r="AD185"/>
      <c r="AE185"/>
      <c r="AF185"/>
      <c r="AG185"/>
      <c r="AH185"/>
      <c r="AI185"/>
    </row>
    <row r="186" spans="1:35" ht="12.75" customHeight="1" x14ac:dyDescent="0.2">
      <c r="A186" s="612" t="str">
        <f>E$2</f>
        <v>R-V3</v>
      </c>
      <c r="B186" s="613" t="s">
        <v>7232</v>
      </c>
      <c r="C186" s="612"/>
      <c r="D186" s="612"/>
      <c r="E186" s="612" t="str">
        <f>E$2</f>
        <v>R-V3</v>
      </c>
      <c r="F186" s="612"/>
      <c r="G186" s="654"/>
      <c r="H186" s="654"/>
      <c r="I186" s="654"/>
      <c r="J186" s="654"/>
      <c r="K186" s="655"/>
      <c r="L186" s="656"/>
      <c r="AA186"/>
      <c r="AB186"/>
      <c r="AC186"/>
      <c r="AD186"/>
      <c r="AE186"/>
      <c r="AF186"/>
      <c r="AG186"/>
      <c r="AH186"/>
      <c r="AI186"/>
    </row>
    <row r="187" spans="1:35" ht="12.75" customHeight="1" x14ac:dyDescent="0.2">
      <c r="A187" s="612" t="str">
        <f>E$2</f>
        <v>R-V3</v>
      </c>
      <c r="B187" s="613" t="s">
        <v>7233</v>
      </c>
      <c r="C187" s="612"/>
      <c r="D187" s="612"/>
      <c r="E187" s="612" t="str">
        <f>E$2</f>
        <v>R-V3</v>
      </c>
      <c r="F187" s="612"/>
      <c r="G187" s="654"/>
      <c r="H187" s="654"/>
      <c r="I187" s="654"/>
      <c r="J187" s="654"/>
      <c r="K187" s="655"/>
      <c r="L187" s="656"/>
      <c r="AA187"/>
      <c r="AB187"/>
      <c r="AC187"/>
      <c r="AD187"/>
      <c r="AE187"/>
      <c r="AF187"/>
      <c r="AG187"/>
      <c r="AH187"/>
      <c r="AI187"/>
    </row>
    <row r="188" spans="1:35" ht="12.75" customHeight="1" x14ac:dyDescent="0.2">
      <c r="A188" s="612" t="str">
        <f>E$2</f>
        <v>R-V3</v>
      </c>
      <c r="B188" s="613" t="s">
        <v>7234</v>
      </c>
      <c r="C188" s="612"/>
      <c r="D188" s="612"/>
      <c r="E188" s="612" t="str">
        <f>E$2</f>
        <v>R-V3</v>
      </c>
      <c r="F188" s="612"/>
      <c r="G188" s="654"/>
      <c r="H188" s="654"/>
      <c r="I188" s="654"/>
      <c r="J188" s="654"/>
      <c r="K188" s="655"/>
      <c r="L188" s="656"/>
      <c r="AA188"/>
      <c r="AB188"/>
      <c r="AC188"/>
      <c r="AD188"/>
      <c r="AE188"/>
      <c r="AF188"/>
      <c r="AG188"/>
      <c r="AH188"/>
      <c r="AI188"/>
    </row>
    <row r="189" spans="1:35" ht="12.75" customHeight="1" x14ac:dyDescent="0.2">
      <c r="A189" s="612" t="str">
        <f>E$2</f>
        <v>R-V3</v>
      </c>
      <c r="B189" s="613" t="s">
        <v>7235</v>
      </c>
      <c r="C189" s="612"/>
      <c r="D189" s="612"/>
      <c r="E189" s="612" t="str">
        <f>E$2</f>
        <v>R-V3</v>
      </c>
      <c r="F189" s="612"/>
      <c r="G189" s="651"/>
      <c r="H189" s="651"/>
      <c r="I189" s="651"/>
      <c r="J189" s="651"/>
      <c r="K189" s="655"/>
      <c r="L189" s="656"/>
      <c r="AA189"/>
      <c r="AB189"/>
      <c r="AC189"/>
      <c r="AD189"/>
      <c r="AE189"/>
      <c r="AF189"/>
      <c r="AG189"/>
      <c r="AH189"/>
      <c r="AI189"/>
    </row>
    <row r="190" spans="1:35" ht="12.75" customHeight="1" x14ac:dyDescent="0.2">
      <c r="A190" s="612"/>
      <c r="B190" s="613"/>
      <c r="C190" s="612"/>
      <c r="D190" s="612"/>
      <c r="E190" s="612"/>
      <c r="F190" s="612"/>
      <c r="G190" s="651"/>
      <c r="H190" s="651"/>
      <c r="I190" s="651"/>
      <c r="J190" s="651"/>
      <c r="K190" s="655"/>
      <c r="L190" s="656"/>
      <c r="AA190"/>
      <c r="AB190"/>
      <c r="AC190"/>
      <c r="AD190"/>
      <c r="AE190"/>
      <c r="AF190"/>
      <c r="AG190"/>
      <c r="AH190"/>
      <c r="AI190"/>
    </row>
    <row r="191" spans="1:35" ht="12.75" customHeight="1" x14ac:dyDescent="0.2">
      <c r="A191" s="612" t="str">
        <f>F$2</f>
        <v>R-V4</v>
      </c>
      <c r="B191" s="613" t="s">
        <v>7232</v>
      </c>
      <c r="C191" s="612"/>
      <c r="D191" s="612"/>
      <c r="E191" s="612"/>
      <c r="F191" s="612" t="str">
        <f>F$2</f>
        <v>R-V4</v>
      </c>
      <c r="G191" s="651"/>
      <c r="H191" s="651"/>
      <c r="I191" s="651"/>
      <c r="J191" s="651"/>
      <c r="K191" s="655"/>
      <c r="L191" s="656"/>
      <c r="AA191"/>
      <c r="AB191"/>
      <c r="AC191"/>
      <c r="AD191"/>
      <c r="AE191"/>
      <c r="AF191"/>
      <c r="AG191"/>
      <c r="AH191"/>
      <c r="AI191"/>
    </row>
    <row r="192" spans="1:35" ht="12.75" customHeight="1" x14ac:dyDescent="0.2">
      <c r="A192" s="612" t="str">
        <f>F$2</f>
        <v>R-V4</v>
      </c>
      <c r="B192" s="613" t="s">
        <v>7233</v>
      </c>
      <c r="C192" s="612"/>
      <c r="D192" s="612"/>
      <c r="E192" s="612"/>
      <c r="F192" s="612" t="str">
        <f>F$2</f>
        <v>R-V4</v>
      </c>
      <c r="G192" s="651"/>
      <c r="H192" s="651"/>
      <c r="I192" s="651"/>
      <c r="J192" s="651"/>
      <c r="K192" s="655"/>
      <c r="L192" s="656"/>
      <c r="AA192"/>
      <c r="AB192"/>
      <c r="AC192"/>
      <c r="AD192"/>
      <c r="AE192"/>
      <c r="AF192"/>
      <c r="AG192"/>
      <c r="AH192"/>
      <c r="AI192"/>
    </row>
    <row r="193" spans="1:35" ht="12.75" customHeight="1" x14ac:dyDescent="0.2">
      <c r="A193" s="612" t="str">
        <f>F$2</f>
        <v>R-V4</v>
      </c>
      <c r="B193" s="613" t="s">
        <v>7234</v>
      </c>
      <c r="C193" s="612"/>
      <c r="D193" s="612"/>
      <c r="E193" s="612"/>
      <c r="F193" s="612" t="str">
        <f>F$2</f>
        <v>R-V4</v>
      </c>
      <c r="G193" s="651"/>
      <c r="H193" s="651"/>
      <c r="I193" s="651"/>
      <c r="J193" s="651"/>
      <c r="K193" s="655"/>
      <c r="L193" s="656"/>
      <c r="AA193"/>
      <c r="AB193"/>
      <c r="AC193"/>
      <c r="AD193"/>
      <c r="AE193"/>
      <c r="AF193"/>
      <c r="AG193"/>
      <c r="AH193"/>
      <c r="AI193"/>
    </row>
    <row r="194" spans="1:35" ht="12.75" customHeight="1" x14ac:dyDescent="0.2">
      <c r="A194" s="612" t="str">
        <f>F$2</f>
        <v>R-V4</v>
      </c>
      <c r="B194" s="613" t="s">
        <v>7235</v>
      </c>
      <c r="C194" s="612"/>
      <c r="D194" s="612"/>
      <c r="E194" s="612"/>
      <c r="F194" s="612" t="str">
        <f>F$2</f>
        <v>R-V4</v>
      </c>
      <c r="G194" s="651"/>
      <c r="H194" s="651"/>
      <c r="I194" s="651"/>
      <c r="J194" s="651"/>
      <c r="K194" s="655"/>
      <c r="L194" s="656"/>
      <c r="AA194"/>
      <c r="AB194"/>
      <c r="AC194"/>
      <c r="AD194"/>
      <c r="AE194"/>
      <c r="AF194"/>
      <c r="AG194"/>
      <c r="AH194"/>
      <c r="AI194"/>
    </row>
    <row r="195" spans="1:35" x14ac:dyDescent="0.2">
      <c r="A195" s="650"/>
      <c r="B195" s="651"/>
      <c r="C195" s="657"/>
      <c r="D195" s="1542"/>
      <c r="E195" s="657"/>
      <c r="F195" s="657"/>
      <c r="G195" s="651"/>
      <c r="H195" s="651"/>
      <c r="I195" s="651"/>
      <c r="J195" s="651"/>
      <c r="K195" s="655"/>
      <c r="L195" s="656"/>
      <c r="AA195"/>
      <c r="AB195"/>
      <c r="AC195"/>
      <c r="AD195"/>
      <c r="AE195"/>
      <c r="AF195"/>
      <c r="AG195"/>
      <c r="AH195"/>
      <c r="AI195"/>
    </row>
    <row r="196" spans="1:35" x14ac:dyDescent="0.2">
      <c r="A196" s="650"/>
      <c r="B196" s="651"/>
      <c r="C196" s="657"/>
      <c r="D196" s="1542"/>
      <c r="E196" s="657"/>
      <c r="F196" s="657"/>
      <c r="G196" s="651"/>
      <c r="H196" s="651"/>
      <c r="I196" s="651"/>
      <c r="J196" s="651"/>
      <c r="K196" s="655"/>
      <c r="L196" s="656"/>
      <c r="AA196"/>
      <c r="AB196"/>
      <c r="AC196"/>
      <c r="AD196"/>
      <c r="AE196"/>
      <c r="AF196"/>
      <c r="AG196"/>
      <c r="AH196"/>
      <c r="AI196"/>
    </row>
    <row r="197" spans="1:35" x14ac:dyDescent="0.2">
      <c r="A197" s="650"/>
      <c r="B197" s="651"/>
      <c r="C197" s="657"/>
      <c r="D197" s="1542"/>
      <c r="E197" s="657"/>
      <c r="F197" s="657"/>
      <c r="G197" s="651"/>
      <c r="H197" s="651"/>
      <c r="I197" s="651"/>
      <c r="J197" s="651"/>
      <c r="K197" s="655"/>
      <c r="L197" s="656"/>
      <c r="AA197"/>
      <c r="AB197"/>
      <c r="AC197"/>
      <c r="AD197"/>
      <c r="AE197"/>
      <c r="AF197"/>
      <c r="AG197"/>
      <c r="AH197"/>
      <c r="AI197"/>
    </row>
    <row r="198" spans="1:35" x14ac:dyDescent="0.2">
      <c r="A198" s="650"/>
      <c r="B198" s="651"/>
      <c r="C198" s="657"/>
      <c r="D198" s="1542"/>
      <c r="E198" s="657"/>
      <c r="F198" s="657"/>
      <c r="G198" s="651"/>
      <c r="H198" s="651"/>
      <c r="I198" s="651"/>
      <c r="J198" s="651"/>
      <c r="K198" s="655"/>
      <c r="L198" s="656"/>
      <c r="AA198"/>
      <c r="AB198"/>
      <c r="AC198"/>
      <c r="AD198"/>
      <c r="AE198"/>
      <c r="AF198"/>
      <c r="AG198"/>
      <c r="AH198"/>
      <c r="AI198"/>
    </row>
    <row r="199" spans="1:35" x14ac:dyDescent="0.2">
      <c r="A199" s="650"/>
      <c r="B199" s="651"/>
      <c r="C199" s="657"/>
      <c r="D199" s="1542"/>
      <c r="E199" s="657"/>
      <c r="F199" s="657"/>
      <c r="G199" s="651"/>
      <c r="H199" s="651"/>
      <c r="I199" s="651"/>
      <c r="J199" s="651"/>
      <c r="K199" s="655"/>
      <c r="L199" s="656"/>
      <c r="AA199"/>
      <c r="AB199"/>
      <c r="AC199"/>
      <c r="AD199"/>
      <c r="AE199"/>
      <c r="AF199"/>
      <c r="AG199"/>
      <c r="AH199"/>
      <c r="AI199"/>
    </row>
    <row r="200" spans="1:35" x14ac:dyDescent="0.2">
      <c r="A200" s="650"/>
      <c r="B200" s="651"/>
      <c r="C200" s="657"/>
      <c r="D200" s="1542"/>
      <c r="E200" s="657"/>
      <c r="F200" s="657"/>
      <c r="G200" s="651"/>
      <c r="H200" s="651"/>
      <c r="I200" s="651"/>
      <c r="J200" s="651"/>
      <c r="K200" s="655"/>
      <c r="L200" s="656"/>
      <c r="AA200"/>
      <c r="AB200"/>
      <c r="AC200"/>
      <c r="AD200"/>
      <c r="AE200"/>
      <c r="AF200"/>
      <c r="AG200"/>
      <c r="AH200"/>
      <c r="AI200"/>
    </row>
    <row r="201" spans="1:35" x14ac:dyDescent="0.2">
      <c r="A201" s="650"/>
      <c r="B201" s="651"/>
      <c r="C201" s="657"/>
      <c r="D201" s="1542"/>
      <c r="E201" s="657"/>
      <c r="F201" s="657"/>
      <c r="G201" s="651"/>
      <c r="H201" s="651"/>
      <c r="I201" s="651"/>
      <c r="J201" s="651"/>
      <c r="K201" s="655"/>
      <c r="L201" s="656"/>
      <c r="AA201"/>
      <c r="AB201"/>
      <c r="AC201"/>
      <c r="AD201"/>
      <c r="AE201"/>
      <c r="AF201"/>
      <c r="AG201"/>
      <c r="AH201"/>
      <c r="AI201"/>
    </row>
    <row r="202" spans="1:35" x14ac:dyDescent="0.2">
      <c r="A202" s="650"/>
      <c r="B202" s="651"/>
      <c r="C202" s="657"/>
      <c r="D202" s="1542"/>
      <c r="E202" s="657"/>
      <c r="F202" s="657"/>
      <c r="G202" s="651"/>
      <c r="H202" s="651"/>
      <c r="I202" s="651"/>
      <c r="J202" s="651"/>
      <c r="K202" s="655"/>
      <c r="L202" s="656"/>
      <c r="AA202"/>
      <c r="AB202"/>
      <c r="AC202"/>
      <c r="AD202"/>
      <c r="AE202"/>
      <c r="AF202"/>
      <c r="AG202"/>
      <c r="AH202"/>
      <c r="AI202"/>
    </row>
    <row r="203" spans="1:35" x14ac:dyDescent="0.2">
      <c r="AA203"/>
      <c r="AB203"/>
      <c r="AC203"/>
      <c r="AD203"/>
      <c r="AE203"/>
      <c r="AF203"/>
      <c r="AG203"/>
      <c r="AH203"/>
      <c r="AI203"/>
    </row>
    <row r="204" spans="1:35" x14ac:dyDescent="0.2">
      <c r="AA204"/>
      <c r="AB204"/>
      <c r="AC204"/>
      <c r="AD204"/>
      <c r="AE204"/>
      <c r="AF204"/>
      <c r="AG204"/>
      <c r="AH204"/>
      <c r="AI204"/>
    </row>
    <row r="205" spans="1:35" x14ac:dyDescent="0.2">
      <c r="AA205"/>
      <c r="AB205"/>
      <c r="AC205"/>
      <c r="AD205"/>
      <c r="AE205"/>
      <c r="AF205"/>
      <c r="AG205"/>
      <c r="AH205"/>
      <c r="AI205"/>
    </row>
    <row r="206" spans="1:35" x14ac:dyDescent="0.2">
      <c r="C206" s="652"/>
      <c r="D206" s="1544"/>
      <c r="E206" s="660"/>
      <c r="F206" s="660"/>
      <c r="G206" s="661"/>
      <c r="H206" s="661"/>
      <c r="I206" s="661"/>
      <c r="J206" s="661"/>
      <c r="AA206"/>
      <c r="AB206"/>
      <c r="AC206"/>
      <c r="AD206"/>
      <c r="AE206"/>
      <c r="AF206"/>
      <c r="AG206"/>
      <c r="AH206"/>
      <c r="AI206"/>
    </row>
    <row r="207" spans="1:35" x14ac:dyDescent="0.2">
      <c r="C207" s="652"/>
      <c r="D207" s="1544"/>
      <c r="E207" s="660"/>
      <c r="F207" s="660"/>
      <c r="G207" s="661"/>
      <c r="H207" s="661"/>
      <c r="I207" s="661"/>
      <c r="J207" s="661"/>
      <c r="AA207"/>
      <c r="AB207"/>
      <c r="AC207"/>
      <c r="AD207"/>
      <c r="AE207"/>
      <c r="AF207"/>
      <c r="AG207"/>
      <c r="AH207"/>
      <c r="AI207"/>
    </row>
    <row r="208" spans="1:35" x14ac:dyDescent="0.2">
      <c r="C208" s="652"/>
      <c r="D208" s="1544"/>
      <c r="E208" s="660"/>
      <c r="F208" s="660"/>
      <c r="G208" s="661"/>
      <c r="H208" s="661"/>
      <c r="I208" s="661"/>
      <c r="J208" s="661"/>
      <c r="AA208"/>
      <c r="AB208"/>
      <c r="AC208"/>
      <c r="AD208"/>
      <c r="AE208"/>
      <c r="AF208"/>
      <c r="AG208"/>
      <c r="AH208"/>
      <c r="AI208"/>
    </row>
    <row r="209" spans="3:35" x14ac:dyDescent="0.2">
      <c r="C209" s="652"/>
      <c r="D209" s="1544"/>
      <c r="E209" s="660"/>
      <c r="F209" s="660"/>
      <c r="G209" s="661"/>
      <c r="H209" s="661"/>
      <c r="I209" s="661"/>
      <c r="J209" s="661"/>
      <c r="AA209"/>
      <c r="AB209"/>
      <c r="AC209"/>
      <c r="AD209"/>
      <c r="AE209"/>
      <c r="AF209"/>
      <c r="AG209"/>
      <c r="AH209"/>
      <c r="AI209"/>
    </row>
    <row r="210" spans="3:35" x14ac:dyDescent="0.2">
      <c r="AA210"/>
      <c r="AB210"/>
      <c r="AC210"/>
      <c r="AD210"/>
      <c r="AE210"/>
      <c r="AF210"/>
      <c r="AG210"/>
      <c r="AH210"/>
      <c r="AI210"/>
    </row>
    <row r="211" spans="3:35" x14ac:dyDescent="0.2">
      <c r="AA211"/>
      <c r="AB211"/>
      <c r="AC211"/>
      <c r="AD211"/>
      <c r="AE211"/>
      <c r="AF211"/>
      <c r="AG211"/>
      <c r="AH211"/>
      <c r="AI211"/>
    </row>
    <row r="212" spans="3:35" x14ac:dyDescent="0.2">
      <c r="AA212"/>
      <c r="AB212"/>
      <c r="AC212"/>
      <c r="AD212"/>
      <c r="AE212"/>
      <c r="AF212"/>
      <c r="AG212"/>
      <c r="AH212"/>
      <c r="AI212"/>
    </row>
    <row r="213" spans="3:35" x14ac:dyDescent="0.2">
      <c r="AA213"/>
      <c r="AB213"/>
      <c r="AC213"/>
      <c r="AD213"/>
      <c r="AE213"/>
      <c r="AF213"/>
      <c r="AG213"/>
      <c r="AH213"/>
      <c r="AI213"/>
    </row>
    <row r="214" spans="3:35" x14ac:dyDescent="0.2">
      <c r="AA214"/>
      <c r="AB214"/>
      <c r="AC214"/>
      <c r="AD214"/>
      <c r="AE214"/>
      <c r="AF214"/>
      <c r="AG214"/>
      <c r="AH214"/>
      <c r="AI214"/>
    </row>
    <row r="215" spans="3:35" x14ac:dyDescent="0.2">
      <c r="AA215"/>
      <c r="AB215"/>
      <c r="AC215"/>
      <c r="AD215"/>
      <c r="AE215"/>
      <c r="AF215"/>
      <c r="AG215"/>
      <c r="AH215"/>
      <c r="AI215"/>
    </row>
    <row r="216" spans="3:35" x14ac:dyDescent="0.2">
      <c r="AA216"/>
      <c r="AB216"/>
      <c r="AC216"/>
      <c r="AD216"/>
      <c r="AE216"/>
      <c r="AF216"/>
      <c r="AG216"/>
      <c r="AH216"/>
      <c r="AI216"/>
    </row>
    <row r="217" spans="3:35" x14ac:dyDescent="0.2">
      <c r="AA217"/>
      <c r="AB217"/>
      <c r="AC217"/>
      <c r="AD217"/>
      <c r="AE217"/>
      <c r="AF217"/>
      <c r="AG217"/>
      <c r="AH217"/>
      <c r="AI217"/>
    </row>
    <row r="218" spans="3:35" x14ac:dyDescent="0.2">
      <c r="AA218"/>
      <c r="AB218"/>
      <c r="AC218"/>
      <c r="AD218"/>
      <c r="AE218"/>
      <c r="AF218"/>
      <c r="AG218"/>
      <c r="AH218"/>
      <c r="AI218"/>
    </row>
    <row r="219" spans="3:35" x14ac:dyDescent="0.2">
      <c r="AA219"/>
      <c r="AB219"/>
      <c r="AC219"/>
      <c r="AD219"/>
      <c r="AE219"/>
      <c r="AF219"/>
      <c r="AG219"/>
      <c r="AH219"/>
      <c r="AI219"/>
    </row>
    <row r="220" spans="3:35" x14ac:dyDescent="0.2">
      <c r="AA220"/>
      <c r="AB220"/>
      <c r="AC220"/>
      <c r="AD220"/>
      <c r="AE220"/>
      <c r="AF220"/>
      <c r="AG220"/>
      <c r="AH220"/>
      <c r="AI220"/>
    </row>
    <row r="221" spans="3:35" x14ac:dyDescent="0.2">
      <c r="AA221"/>
      <c r="AB221"/>
      <c r="AC221"/>
      <c r="AD221"/>
      <c r="AE221"/>
      <c r="AF221"/>
      <c r="AG221"/>
      <c r="AH221"/>
      <c r="AI221"/>
    </row>
    <row r="222" spans="3:35" x14ac:dyDescent="0.2">
      <c r="AA222"/>
      <c r="AB222"/>
      <c r="AC222"/>
      <c r="AD222"/>
      <c r="AE222"/>
      <c r="AF222"/>
      <c r="AG222"/>
      <c r="AH222"/>
      <c r="AI222"/>
    </row>
    <row r="223" spans="3:35" x14ac:dyDescent="0.2">
      <c r="AA223"/>
      <c r="AB223"/>
      <c r="AC223"/>
      <c r="AD223"/>
      <c r="AE223"/>
      <c r="AF223"/>
      <c r="AG223"/>
      <c r="AH223"/>
      <c r="AI223"/>
    </row>
    <row r="224" spans="3: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2">
    <mergeCell ref="A1:B1"/>
    <mergeCell ref="D1:E1"/>
  </mergeCells>
  <phoneticPr fontId="5" type="noConversion"/>
  <conditionalFormatting sqref="A5:B13 A15:B30 A32:B37 A39:B44 A46:B51 A53:B59 A61:B71 A73:B81 A83:B90 A92:B99 A101:B107 A109:B122 A124:B129 A131:B136 A138:B142 A144:B148 A150:B157 A159:B164 A166:B174">
    <cfRule type="expression" dxfId="127" priority="9" stopIfTrue="1">
      <formula>AND(NOT($K5=""),$K$1=1)</formula>
    </cfRule>
  </conditionalFormatting>
  <conditionalFormatting sqref="C5:M174">
    <cfRule type="expression" dxfId="126" priority="7">
      <formula>AND(NOT($K5=""),$K$1=1)</formula>
    </cfRule>
  </conditionalFormatting>
  <conditionalFormatting sqref="D3:F174">
    <cfRule type="expression" dxfId="125" priority="6">
      <formula>"SI $C$1&lt;2"</formula>
    </cfRule>
  </conditionalFormatting>
  <conditionalFormatting sqref="C5:C174">
    <cfRule type="expression" dxfId="124" priority="5">
      <formula>AND(NOT($K5=""),$K$1=1)</formula>
    </cfRule>
  </conditionalFormatting>
  <conditionalFormatting sqref="C5:C174">
    <cfRule type="expression" dxfId="123" priority="4">
      <formula>AND(NOT($K5=""),$K$1=1)</formula>
    </cfRule>
  </conditionalFormatting>
  <conditionalFormatting sqref="C5:C174">
    <cfRule type="expression" dxfId="122" priority="3">
      <formula>AND(NOT($K5=""),$K$1=1)</formula>
    </cfRule>
  </conditionalFormatting>
  <conditionalFormatting sqref="C5:C174">
    <cfRule type="expression" dxfId="121" priority="2" stopIfTrue="1">
      <formula>AND(NOT($K5=""),$K$1=1)</formula>
    </cfRule>
  </conditionalFormatting>
  <conditionalFormatting sqref="C4:C174">
    <cfRule type="expression" dxfId="120"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9">
    <tabColor indexed="47"/>
  </sheetPr>
  <dimension ref="A1:AI400"/>
  <sheetViews>
    <sheetView workbookViewId="0">
      <pane ySplit="1" topLeftCell="A2" activePane="bottomLeft" state="frozen"/>
      <selection activeCell="I304" sqref="I304"/>
      <selection pane="bottomLeft"/>
    </sheetView>
  </sheetViews>
  <sheetFormatPr baseColWidth="10" defaultColWidth="11.28515625" defaultRowHeight="12.75" outlineLevelRow="2" outlineLevelCol="1" x14ac:dyDescent="0.2"/>
  <cols>
    <col min="1" max="1" width="10" style="619" customWidth="1"/>
    <col min="2" max="2" width="87.7109375" style="620" customWidth="1"/>
    <col min="3" max="3" width="4.42578125" style="606" bestFit="1" customWidth="1"/>
    <col min="4" max="4" width="4.7109375" style="1549" customWidth="1"/>
    <col min="5" max="6" width="5.140625" style="606" bestFit="1" customWidth="1"/>
    <col min="7" max="8" width="4.140625" style="614" customWidth="1" outlineLevel="1"/>
    <col min="9" max="9" width="4.140625" style="615" customWidth="1" outlineLevel="1"/>
    <col min="10" max="10" width="4.140625" style="616" customWidth="1" outlineLevel="1"/>
    <col min="11" max="11" width="13.140625" style="617" customWidth="1" outlineLevel="1"/>
    <col min="12" max="12" width="13.42578125" style="580" customWidth="1"/>
    <col min="13" max="13" width="19.140625" style="168" customWidth="1"/>
    <col min="14" max="25" width="11.28515625" style="582"/>
    <col min="26" max="26" width="12.42578125" style="582" customWidth="1"/>
    <col min="27" max="34" width="12.42578125" style="583" hidden="1" customWidth="1"/>
    <col min="35" max="35" width="12.42578125" style="583" customWidth="1"/>
    <col min="36" max="16384" width="11.28515625" style="583"/>
  </cols>
  <sheetData>
    <row r="1" spans="1:35" ht="18" x14ac:dyDescent="0.25">
      <c r="A1" s="574" t="s">
        <v>6182</v>
      </c>
      <c r="B1" s="575"/>
      <c r="C1" s="576">
        <v>1</v>
      </c>
      <c r="D1" s="1550" t="str">
        <f>"variante"&amp;IF(C1&gt;1,"s","")</f>
        <v>variante</v>
      </c>
      <c r="E1" s="1551"/>
      <c r="F1" s="576"/>
      <c r="G1" s="577"/>
      <c r="H1" s="577"/>
      <c r="I1" s="577"/>
      <c r="J1" s="578"/>
      <c r="K1" s="579">
        <f>'ISO 27002'!F2</f>
        <v>0</v>
      </c>
      <c r="M1" s="581"/>
    </row>
    <row r="2" spans="1:35" s="590" customFormat="1" x14ac:dyDescent="0.2">
      <c r="A2" s="584" t="s">
        <v>3585</v>
      </c>
      <c r="B2" s="585" t="s">
        <v>3675</v>
      </c>
      <c r="C2" s="586" t="s">
        <v>3676</v>
      </c>
      <c r="D2" s="1533" t="s">
        <v>3677</v>
      </c>
      <c r="E2" s="587" t="s">
        <v>3678</v>
      </c>
      <c r="F2" s="587" t="s">
        <v>3679</v>
      </c>
      <c r="G2" s="588" t="s">
        <v>1428</v>
      </c>
      <c r="H2" s="588" t="s">
        <v>3680</v>
      </c>
      <c r="I2" s="588" t="s">
        <v>2054</v>
      </c>
      <c r="J2" s="588" t="s">
        <v>3681</v>
      </c>
      <c r="K2" s="588">
        <v>2013</v>
      </c>
      <c r="L2" s="588">
        <v>2005</v>
      </c>
      <c r="M2" s="588" t="s">
        <v>3682</v>
      </c>
      <c r="N2" s="589"/>
      <c r="O2" s="589"/>
      <c r="P2" s="589"/>
      <c r="Q2" s="589"/>
      <c r="R2" s="589"/>
      <c r="S2" s="589"/>
      <c r="T2" s="589"/>
      <c r="U2" s="589"/>
      <c r="V2" s="589"/>
      <c r="W2" s="589"/>
      <c r="X2" s="589"/>
      <c r="Y2" s="589"/>
      <c r="Z2" s="589"/>
    </row>
    <row r="3" spans="1:35" x14ac:dyDescent="0.2">
      <c r="A3" s="591" t="s">
        <v>2981</v>
      </c>
      <c r="B3" s="591" t="s">
        <v>4355</v>
      </c>
      <c r="C3" s="592"/>
      <c r="D3" s="1548"/>
      <c r="E3" s="1151"/>
      <c r="F3" s="593"/>
      <c r="G3" s="1515"/>
      <c r="H3" s="1515"/>
      <c r="I3" s="1515"/>
      <c r="J3" s="1515"/>
      <c r="K3" s="1516"/>
      <c r="L3" s="1516"/>
      <c r="M3" s="594"/>
    </row>
    <row r="4" spans="1:35" s="600" customFormat="1" outlineLevel="1" x14ac:dyDescent="0.2">
      <c r="A4" s="595" t="s">
        <v>3806</v>
      </c>
      <c r="B4" s="596" t="s">
        <v>4391</v>
      </c>
      <c r="C4" s="597"/>
      <c r="D4" s="1548"/>
      <c r="E4" s="1151"/>
      <c r="F4" s="593"/>
      <c r="G4" s="1515"/>
      <c r="H4" s="1515"/>
      <c r="I4" s="1515"/>
      <c r="J4" s="1515"/>
      <c r="K4" s="1516"/>
      <c r="L4" s="1516"/>
      <c r="M4" s="598"/>
      <c r="N4" s="599"/>
      <c r="O4" s="599"/>
      <c r="P4" s="599"/>
      <c r="Q4" s="599"/>
      <c r="R4" s="599"/>
      <c r="S4" s="599"/>
      <c r="T4" s="599"/>
      <c r="U4" s="599"/>
      <c r="V4" s="599"/>
      <c r="W4" s="599"/>
      <c r="X4" s="599"/>
      <c r="Y4" s="599"/>
      <c r="Z4" s="599"/>
      <c r="AA4"/>
      <c r="AB4"/>
      <c r="AC4"/>
      <c r="AD4"/>
      <c r="AE4"/>
      <c r="AF4"/>
      <c r="AG4"/>
      <c r="AH4"/>
      <c r="AI4"/>
    </row>
    <row r="5" spans="1:35" ht="22.5" outlineLevel="2" x14ac:dyDescent="0.2">
      <c r="A5" s="601" t="s">
        <v>2982</v>
      </c>
      <c r="B5" s="601" t="s">
        <v>5610</v>
      </c>
      <c r="C5" s="597"/>
      <c r="D5" s="1548"/>
      <c r="E5" s="1151"/>
      <c r="F5" s="593"/>
      <c r="G5" s="1515">
        <v>2</v>
      </c>
      <c r="H5" s="1524"/>
      <c r="I5" s="1524"/>
      <c r="J5" s="1524" t="s">
        <v>1592</v>
      </c>
      <c r="K5" s="1458" t="s">
        <v>7061</v>
      </c>
      <c r="L5" s="1516" t="s">
        <v>3941</v>
      </c>
      <c r="M5" s="594"/>
      <c r="AA5">
        <f>IF(AND('13 Man'!C5&gt;Tmin, NOT('13 Man'!$I5="")),'13 Man'!$I5,0)</f>
        <v>0</v>
      </c>
      <c r="AB5">
        <f>IF(AND('13 Man'!D5&gt;Tmin, NOT('13 Man'!$I5="")),'13 Man'!$I5,0)</f>
        <v>0</v>
      </c>
      <c r="AC5">
        <f>IF(AND('13 Man'!E5&gt;Tmin, NOT('13 Man'!$I5="")),'13 Man'!$I5,0)</f>
        <v>0</v>
      </c>
      <c r="AD5">
        <f>IF(AND('13 Man'!F5&gt;Tmin, NOT('13 Man'!$I5="")),'13 Man'!$I5,0)</f>
        <v>0</v>
      </c>
      <c r="AE5">
        <f>IF(AND('13 Man'!C5&lt;Tmax, NOT('13 Man'!$H5="")),'13 Man'!$H5,4)</f>
        <v>4</v>
      </c>
      <c r="AF5">
        <f>IF(AND('13 Man'!D5&lt;Tmax, NOT('13 Man'!$H5="")),'13 Man'!$H5,4)</f>
        <v>4</v>
      </c>
      <c r="AG5">
        <f>IF(AND('13 Man'!E5&lt;Tmax, NOT('13 Man'!$H5="")),'13 Man'!$H5,4)</f>
        <v>4</v>
      </c>
      <c r="AH5">
        <f>IF(AND('13 Man'!F5&lt;Tmax, NOT('13 Man'!$H5="")),'13 Man'!$H5,4)</f>
        <v>4</v>
      </c>
      <c r="AI5"/>
    </row>
    <row r="6" spans="1:35" outlineLevel="2" x14ac:dyDescent="0.2">
      <c r="A6" s="601" t="s">
        <v>2983</v>
      </c>
      <c r="B6" s="601" t="s">
        <v>6225</v>
      </c>
      <c r="C6" s="597"/>
      <c r="D6" s="1548"/>
      <c r="E6" s="1151"/>
      <c r="F6" s="593"/>
      <c r="G6" s="1515">
        <v>2</v>
      </c>
      <c r="H6" s="1524"/>
      <c r="I6" s="1524"/>
      <c r="J6" s="1524" t="s">
        <v>1592</v>
      </c>
      <c r="K6" s="1458" t="s">
        <v>7061</v>
      </c>
      <c r="L6" s="1516" t="s">
        <v>3941</v>
      </c>
      <c r="M6" s="594"/>
      <c r="AA6">
        <f>IF(AND('13 Man'!C6&gt;Tmin, NOT('13 Man'!$I6="")),'13 Man'!$I6,0)</f>
        <v>0</v>
      </c>
      <c r="AB6">
        <f>IF(AND('13 Man'!D6&gt;Tmin, NOT('13 Man'!$I6="")),'13 Man'!$I6,0)</f>
        <v>0</v>
      </c>
      <c r="AC6">
        <f>IF(AND('13 Man'!E6&gt;Tmin, NOT('13 Man'!$I6="")),'13 Man'!$I6,0)</f>
        <v>0</v>
      </c>
      <c r="AD6">
        <f>IF(AND('13 Man'!F6&gt;Tmin, NOT('13 Man'!$I6="")),'13 Man'!$I6,0)</f>
        <v>0</v>
      </c>
      <c r="AE6">
        <f>IF(AND('13 Man'!C6&lt;Tmax, NOT('13 Man'!$H6="")),'13 Man'!$H6,4)</f>
        <v>4</v>
      </c>
      <c r="AF6">
        <f>IF(AND('13 Man'!D6&lt;Tmax, NOT('13 Man'!$H6="")),'13 Man'!$H6,4)</f>
        <v>4</v>
      </c>
      <c r="AG6">
        <f>IF(AND('13 Man'!E6&lt;Tmax, NOT('13 Man'!$H6="")),'13 Man'!$H6,4)</f>
        <v>4</v>
      </c>
      <c r="AH6">
        <f>IF(AND('13 Man'!F6&lt;Tmax, NOT('13 Man'!$H6="")),'13 Man'!$H6,4)</f>
        <v>4</v>
      </c>
      <c r="AI6"/>
    </row>
    <row r="7" spans="1:35" s="600" customFormat="1" outlineLevel="2" x14ac:dyDescent="0.2">
      <c r="A7" s="601" t="s">
        <v>3693</v>
      </c>
      <c r="B7" s="601" t="s">
        <v>3841</v>
      </c>
      <c r="C7" s="597"/>
      <c r="D7" s="1548"/>
      <c r="E7" s="1151"/>
      <c r="F7" s="593"/>
      <c r="G7" s="1515">
        <v>4</v>
      </c>
      <c r="H7" s="1515"/>
      <c r="I7" s="1515"/>
      <c r="J7" s="1515" t="s">
        <v>4246</v>
      </c>
      <c r="K7" s="1458" t="s">
        <v>7061</v>
      </c>
      <c r="L7" s="1516" t="s">
        <v>7414</v>
      </c>
      <c r="M7" s="598"/>
      <c r="N7" s="599"/>
      <c r="O7" s="599"/>
      <c r="P7" s="599"/>
      <c r="Q7" s="599"/>
      <c r="R7" s="599"/>
      <c r="S7" s="599"/>
      <c r="T7" s="599"/>
      <c r="U7" s="599"/>
      <c r="V7" s="599"/>
      <c r="W7" s="599"/>
      <c r="X7" s="599"/>
      <c r="Y7" s="599"/>
      <c r="Z7" s="599"/>
      <c r="AA7">
        <f>IF(AND('13 Man'!C7&gt;Tmin, NOT('13 Man'!$I7="")),'13 Man'!$I7,0)</f>
        <v>0</v>
      </c>
      <c r="AB7">
        <f>IF(AND('13 Man'!D7&gt;Tmin, NOT('13 Man'!$I7="")),'13 Man'!$I7,0)</f>
        <v>0</v>
      </c>
      <c r="AC7">
        <f>IF(AND('13 Man'!E7&gt;Tmin, NOT('13 Man'!$I7="")),'13 Man'!$I7,0)</f>
        <v>0</v>
      </c>
      <c r="AD7">
        <f>IF(AND('13 Man'!F7&gt;Tmin, NOT('13 Man'!$I7="")),'13 Man'!$I7,0)</f>
        <v>0</v>
      </c>
      <c r="AE7">
        <f>IF(AND('13 Man'!C7&lt;Tmax, NOT('13 Man'!$H7="")),'13 Man'!$H7,4)</f>
        <v>4</v>
      </c>
      <c r="AF7">
        <f>IF(AND('13 Man'!D7&lt;Tmax, NOT('13 Man'!$H7="")),'13 Man'!$H7,4)</f>
        <v>4</v>
      </c>
      <c r="AG7">
        <f>IF(AND('13 Man'!E7&lt;Tmax, NOT('13 Man'!$H7="")),'13 Man'!$H7,4)</f>
        <v>4</v>
      </c>
      <c r="AH7">
        <f>IF(AND('13 Man'!F7&lt;Tmax, NOT('13 Man'!$H7="")),'13 Man'!$H7,4)</f>
        <v>4</v>
      </c>
      <c r="AI7"/>
    </row>
    <row r="8" spans="1:35" s="600" customFormat="1" outlineLevel="2" x14ac:dyDescent="0.2">
      <c r="A8" s="601" t="s">
        <v>5400</v>
      </c>
      <c r="B8" s="601" t="s">
        <v>3694</v>
      </c>
      <c r="C8" s="597"/>
      <c r="D8" s="1548"/>
      <c r="E8" s="1151"/>
      <c r="F8" s="593"/>
      <c r="G8" s="1515">
        <v>2</v>
      </c>
      <c r="H8" s="1524"/>
      <c r="I8" s="1524"/>
      <c r="J8" s="1515" t="s">
        <v>1592</v>
      </c>
      <c r="K8" s="1458" t="s">
        <v>7061</v>
      </c>
      <c r="L8" s="1516" t="s">
        <v>7414</v>
      </c>
      <c r="M8" s="598"/>
      <c r="N8" s="599"/>
      <c r="O8" s="599"/>
      <c r="P8" s="599"/>
      <c r="Q8" s="599"/>
      <c r="R8" s="599"/>
      <c r="S8" s="599"/>
      <c r="T8" s="599"/>
      <c r="U8" s="599"/>
      <c r="V8" s="599"/>
      <c r="W8" s="599"/>
      <c r="X8" s="599"/>
      <c r="Y8" s="599"/>
      <c r="Z8" s="599"/>
      <c r="AA8">
        <f>IF(AND('13 Man'!C8&gt;Tmin, NOT('13 Man'!$I8="")),'13 Man'!$I8,0)</f>
        <v>0</v>
      </c>
      <c r="AB8">
        <f>IF(AND('13 Man'!D8&gt;Tmin, NOT('13 Man'!$I8="")),'13 Man'!$I8,0)</f>
        <v>0</v>
      </c>
      <c r="AC8">
        <f>IF(AND('13 Man'!E8&gt;Tmin, NOT('13 Man'!$I8="")),'13 Man'!$I8,0)</f>
        <v>0</v>
      </c>
      <c r="AD8">
        <f>IF(AND('13 Man'!F8&gt;Tmin, NOT('13 Man'!$I8="")),'13 Man'!$I8,0)</f>
        <v>0</v>
      </c>
      <c r="AE8">
        <f>IF(AND('13 Man'!C8&lt;Tmax, NOT('13 Man'!$H8="")),'13 Man'!$H8,4)</f>
        <v>4</v>
      </c>
      <c r="AF8">
        <f>IF(AND('13 Man'!D8&lt;Tmax, NOT('13 Man'!$H8="")),'13 Man'!$H8,4)</f>
        <v>4</v>
      </c>
      <c r="AG8">
        <f>IF(AND('13 Man'!E8&lt;Tmax, NOT('13 Man'!$H8="")),'13 Man'!$H8,4)</f>
        <v>4</v>
      </c>
      <c r="AH8">
        <f>IF(AND('13 Man'!F8&lt;Tmax, NOT('13 Man'!$H8="")),'13 Man'!$H8,4)</f>
        <v>4</v>
      </c>
      <c r="AI8"/>
    </row>
    <row r="9" spans="1:35" s="600" customFormat="1" ht="22.5" outlineLevel="2" x14ac:dyDescent="0.2">
      <c r="A9" s="601" t="s">
        <v>5401</v>
      </c>
      <c r="B9" s="601" t="s">
        <v>4568</v>
      </c>
      <c r="C9" s="597"/>
      <c r="D9" s="1548"/>
      <c r="E9" s="1151"/>
      <c r="F9" s="593"/>
      <c r="G9" s="1515">
        <v>4</v>
      </c>
      <c r="H9" s="1515"/>
      <c r="I9" s="1515"/>
      <c r="J9" s="1515" t="s">
        <v>1592</v>
      </c>
      <c r="K9" s="1458" t="s">
        <v>7061</v>
      </c>
      <c r="L9" s="1515"/>
      <c r="M9" s="598"/>
      <c r="N9" s="599"/>
      <c r="O9" s="599"/>
      <c r="P9" s="599"/>
      <c r="Q9" s="599"/>
      <c r="R9" s="599"/>
      <c r="S9" s="599"/>
      <c r="T9" s="599"/>
      <c r="U9" s="599"/>
      <c r="V9" s="599"/>
      <c r="W9" s="599"/>
      <c r="X9" s="599"/>
      <c r="Y9" s="599"/>
      <c r="Z9" s="599"/>
      <c r="AA9">
        <f>IF(AND('13 Man'!C9&gt;Tmin, NOT('13 Man'!$I9="")),'13 Man'!$I9,0)</f>
        <v>0</v>
      </c>
      <c r="AB9">
        <f>IF(AND('13 Man'!D9&gt;Tmin, NOT('13 Man'!$I9="")),'13 Man'!$I9,0)</f>
        <v>0</v>
      </c>
      <c r="AC9">
        <f>IF(AND('13 Man'!E9&gt;Tmin, NOT('13 Man'!$I9="")),'13 Man'!$I9,0)</f>
        <v>0</v>
      </c>
      <c r="AD9">
        <f>IF(AND('13 Man'!F9&gt;Tmin, NOT('13 Man'!$I9="")),'13 Man'!$I9,0)</f>
        <v>0</v>
      </c>
      <c r="AE9">
        <f>IF(AND('13 Man'!C9&lt;Tmax, NOT('13 Man'!$H9="")),'13 Man'!$H9,4)</f>
        <v>4</v>
      </c>
      <c r="AF9">
        <f>IF(AND('13 Man'!D9&lt;Tmax, NOT('13 Man'!$H9="")),'13 Man'!$H9,4)</f>
        <v>4</v>
      </c>
      <c r="AG9">
        <f>IF(AND('13 Man'!E9&lt;Tmax, NOT('13 Man'!$H9="")),'13 Man'!$H9,4)</f>
        <v>4</v>
      </c>
      <c r="AH9">
        <f>IF(AND('13 Man'!F9&lt;Tmax, NOT('13 Man'!$H9="")),'13 Man'!$H9,4)</f>
        <v>4</v>
      </c>
      <c r="AI9"/>
    </row>
    <row r="10" spans="1:35" s="600" customFormat="1" ht="33.75" outlineLevel="2" x14ac:dyDescent="0.2">
      <c r="A10" s="601" t="s">
        <v>5402</v>
      </c>
      <c r="B10" s="601" t="s">
        <v>4691</v>
      </c>
      <c r="C10" s="597"/>
      <c r="D10" s="1548"/>
      <c r="E10" s="1151"/>
      <c r="F10" s="593"/>
      <c r="G10" s="1515">
        <v>4</v>
      </c>
      <c r="H10" s="1524">
        <v>3</v>
      </c>
      <c r="I10" s="1524"/>
      <c r="J10" s="1524" t="s">
        <v>1592</v>
      </c>
      <c r="K10" s="1458" t="s">
        <v>7061</v>
      </c>
      <c r="L10" s="1515"/>
      <c r="M10" s="598"/>
      <c r="N10" s="599"/>
      <c r="O10" s="599"/>
      <c r="P10" s="599"/>
      <c r="Q10" s="599"/>
      <c r="R10" s="599"/>
      <c r="S10" s="599"/>
      <c r="T10" s="599"/>
      <c r="U10" s="599"/>
      <c r="V10" s="599"/>
      <c r="W10" s="599"/>
      <c r="X10" s="599"/>
      <c r="Y10" s="599"/>
      <c r="Z10" s="599"/>
      <c r="AA10">
        <f>IF(AND('13 Man'!C10&gt;Tmin, NOT('13 Man'!$I10="")),'13 Man'!$I10,0)</f>
        <v>0</v>
      </c>
      <c r="AB10">
        <f>IF(AND('13 Man'!D10&gt;Tmin, NOT('13 Man'!$I10="")),'13 Man'!$I10,0)</f>
        <v>0</v>
      </c>
      <c r="AC10">
        <f>IF(AND('13 Man'!E10&gt;Tmin, NOT('13 Man'!$I10="")),'13 Man'!$I10,0)</f>
        <v>0</v>
      </c>
      <c r="AD10">
        <f>IF(AND('13 Man'!F10&gt;Tmin, NOT('13 Man'!$I10="")),'13 Man'!$I10,0)</f>
        <v>0</v>
      </c>
      <c r="AE10">
        <f>IF(AND('13 Man'!C10&lt;Tmax, NOT('13 Man'!$H10="")),'13 Man'!$H10,4)</f>
        <v>3</v>
      </c>
      <c r="AF10">
        <f>IF(AND('13 Man'!D10&lt;Tmax, NOT('13 Man'!$H10="")),'13 Man'!$H10,4)</f>
        <v>3</v>
      </c>
      <c r="AG10">
        <f>IF(AND('13 Man'!E10&lt;Tmax, NOT('13 Man'!$H10="")),'13 Man'!$H10,4)</f>
        <v>3</v>
      </c>
      <c r="AH10">
        <f>IF(AND('13 Man'!F10&lt;Tmax, NOT('13 Man'!$H10="")),'13 Man'!$H10,4)</f>
        <v>3</v>
      </c>
      <c r="AI10"/>
    </row>
    <row r="11" spans="1:35" s="600" customFormat="1" ht="22.5" outlineLevel="2" x14ac:dyDescent="0.2">
      <c r="A11" s="601" t="s">
        <v>5403</v>
      </c>
      <c r="B11" s="601" t="s">
        <v>3832</v>
      </c>
      <c r="C11" s="597"/>
      <c r="D11" s="1548"/>
      <c r="E11" s="1151"/>
      <c r="F11" s="593"/>
      <c r="G11" s="1515">
        <v>4</v>
      </c>
      <c r="H11" s="1524">
        <v>3</v>
      </c>
      <c r="I11" s="1524"/>
      <c r="J11" s="1524" t="s">
        <v>1592</v>
      </c>
      <c r="K11" s="1552"/>
      <c r="L11" s="1515"/>
      <c r="M11" s="598"/>
      <c r="N11" s="599"/>
      <c r="O11" s="599"/>
      <c r="P11" s="599"/>
      <c r="Q11" s="599"/>
      <c r="R11" s="599"/>
      <c r="S11" s="599"/>
      <c r="T11" s="599"/>
      <c r="U11" s="599"/>
      <c r="V11" s="599"/>
      <c r="W11" s="599"/>
      <c r="X11" s="599"/>
      <c r="Y11" s="599"/>
      <c r="Z11" s="599"/>
      <c r="AA11">
        <f>IF(AND('13 Man'!C11&gt;Tmin, NOT('13 Man'!$I11="")),'13 Man'!$I11,0)</f>
        <v>0</v>
      </c>
      <c r="AB11">
        <f>IF(AND('13 Man'!D11&gt;Tmin, NOT('13 Man'!$I11="")),'13 Man'!$I11,0)</f>
        <v>0</v>
      </c>
      <c r="AC11">
        <f>IF(AND('13 Man'!E11&gt;Tmin, NOT('13 Man'!$I11="")),'13 Man'!$I11,0)</f>
        <v>0</v>
      </c>
      <c r="AD11">
        <f>IF(AND('13 Man'!F11&gt;Tmin, NOT('13 Man'!$I11="")),'13 Man'!$I11,0)</f>
        <v>0</v>
      </c>
      <c r="AE11">
        <f>IF(AND('13 Man'!C11&lt;Tmax, NOT('13 Man'!$H11="")),'13 Man'!$H11,4)</f>
        <v>3</v>
      </c>
      <c r="AF11">
        <f>IF(AND('13 Man'!D11&lt;Tmax, NOT('13 Man'!$H11="")),'13 Man'!$H11,4)</f>
        <v>3</v>
      </c>
      <c r="AG11">
        <f>IF(AND('13 Man'!E11&lt;Tmax, NOT('13 Man'!$H11="")),'13 Man'!$H11,4)</f>
        <v>3</v>
      </c>
      <c r="AH11">
        <f>IF(AND('13 Man'!F11&lt;Tmax, NOT('13 Man'!$H11="")),'13 Man'!$H11,4)</f>
        <v>3</v>
      </c>
      <c r="AI11"/>
    </row>
    <row r="12" spans="1:35" s="600" customFormat="1" outlineLevel="2" x14ac:dyDescent="0.2">
      <c r="A12" s="601" t="s">
        <v>5404</v>
      </c>
      <c r="B12" s="601" t="s">
        <v>4332</v>
      </c>
      <c r="C12" s="597"/>
      <c r="D12" s="1548"/>
      <c r="E12" s="1151"/>
      <c r="F12" s="593"/>
      <c r="G12" s="1515">
        <v>4</v>
      </c>
      <c r="H12" s="1524"/>
      <c r="I12" s="1524"/>
      <c r="J12" s="1515" t="s">
        <v>1592</v>
      </c>
      <c r="K12" s="1516"/>
      <c r="L12" s="1515"/>
      <c r="M12" s="598"/>
      <c r="N12" s="599"/>
      <c r="O12" s="599"/>
      <c r="P12" s="599"/>
      <c r="Q12" s="599"/>
      <c r="R12" s="599"/>
      <c r="S12" s="599"/>
      <c r="T12" s="599"/>
      <c r="U12" s="599"/>
      <c r="V12" s="599"/>
      <c r="W12" s="599"/>
      <c r="X12" s="599"/>
      <c r="Y12" s="599"/>
      <c r="Z12" s="599"/>
      <c r="AA12">
        <f>IF(AND('13 Man'!C12&gt;Tmin, NOT('13 Man'!$I12="")),'13 Man'!$I12,0)</f>
        <v>0</v>
      </c>
      <c r="AB12">
        <f>IF(AND('13 Man'!D12&gt;Tmin, NOT('13 Man'!$I12="")),'13 Man'!$I12,0)</f>
        <v>0</v>
      </c>
      <c r="AC12">
        <f>IF(AND('13 Man'!E12&gt;Tmin, NOT('13 Man'!$I12="")),'13 Man'!$I12,0)</f>
        <v>0</v>
      </c>
      <c r="AD12">
        <f>IF(AND('13 Man'!F12&gt;Tmin, NOT('13 Man'!$I12="")),'13 Man'!$I12,0)</f>
        <v>0</v>
      </c>
      <c r="AE12">
        <f>IF(AND('13 Man'!C12&lt;Tmax, NOT('13 Man'!$H12="")),'13 Man'!$H12,4)</f>
        <v>4</v>
      </c>
      <c r="AF12">
        <f>IF(AND('13 Man'!D12&lt;Tmax, NOT('13 Man'!$H12="")),'13 Man'!$H12,4)</f>
        <v>4</v>
      </c>
      <c r="AG12">
        <f>IF(AND('13 Man'!E12&lt;Tmax, NOT('13 Man'!$H12="")),'13 Man'!$H12,4)</f>
        <v>4</v>
      </c>
      <c r="AH12">
        <f>IF(AND('13 Man'!F12&lt;Tmax, NOT('13 Man'!$H12="")),'13 Man'!$H12,4)</f>
        <v>4</v>
      </c>
      <c r="AI12"/>
    </row>
    <row r="13" spans="1:35" s="600" customFormat="1" outlineLevel="2" x14ac:dyDescent="0.2">
      <c r="A13" s="601" t="s">
        <v>5405</v>
      </c>
      <c r="B13" s="601" t="s">
        <v>4331</v>
      </c>
      <c r="C13" s="597"/>
      <c r="D13" s="1548"/>
      <c r="E13" s="1151"/>
      <c r="F13" s="593"/>
      <c r="G13" s="1515">
        <v>2</v>
      </c>
      <c r="H13" s="1524"/>
      <c r="I13" s="1524"/>
      <c r="J13" s="1515" t="s">
        <v>1592</v>
      </c>
      <c r="K13" s="1516"/>
      <c r="L13" s="1515"/>
      <c r="M13" s="598"/>
      <c r="N13" s="599"/>
      <c r="O13" s="599"/>
      <c r="P13" s="599"/>
      <c r="Q13" s="599"/>
      <c r="R13" s="599"/>
      <c r="S13" s="599"/>
      <c r="T13" s="599"/>
      <c r="U13" s="599"/>
      <c r="V13" s="599"/>
      <c r="W13" s="599"/>
      <c r="X13" s="599"/>
      <c r="Y13" s="599"/>
      <c r="Z13" s="599"/>
      <c r="AA13">
        <f>IF(AND('13 Man'!C13&gt;Tmin, NOT('13 Man'!$I13="")),'13 Man'!$I13,0)</f>
        <v>0</v>
      </c>
      <c r="AB13">
        <f>IF(AND('13 Man'!D13&gt;Tmin, NOT('13 Man'!$I13="")),'13 Man'!$I13,0)</f>
        <v>0</v>
      </c>
      <c r="AC13">
        <f>IF(AND('13 Man'!E13&gt;Tmin, NOT('13 Man'!$I13="")),'13 Man'!$I13,0)</f>
        <v>0</v>
      </c>
      <c r="AD13">
        <f>IF(AND('13 Man'!F13&gt;Tmin, NOT('13 Man'!$I13="")),'13 Man'!$I13,0)</f>
        <v>0</v>
      </c>
      <c r="AE13">
        <f>IF(AND('13 Man'!C13&lt;Tmax, NOT('13 Man'!$H13="")),'13 Man'!$H13,4)</f>
        <v>4</v>
      </c>
      <c r="AF13">
        <f>IF(AND('13 Man'!D13&lt;Tmax, NOT('13 Man'!$H13="")),'13 Man'!$H13,4)</f>
        <v>4</v>
      </c>
      <c r="AG13">
        <f>IF(AND('13 Man'!E13&lt;Tmax, NOT('13 Man'!$H13="")),'13 Man'!$H13,4)</f>
        <v>4</v>
      </c>
      <c r="AH13">
        <f>IF(AND('13 Man'!F13&lt;Tmax, NOT('13 Man'!$H13="")),'13 Man'!$H13,4)</f>
        <v>4</v>
      </c>
      <c r="AI13"/>
    </row>
    <row r="14" spans="1:35" s="600" customFormat="1" ht="22.5" outlineLevel="2" x14ac:dyDescent="0.2">
      <c r="A14" s="601" t="s">
        <v>5406</v>
      </c>
      <c r="B14" s="601" t="s">
        <v>3838</v>
      </c>
      <c r="C14" s="597"/>
      <c r="D14" s="1548"/>
      <c r="E14" s="1151"/>
      <c r="F14" s="593"/>
      <c r="G14" s="1515">
        <v>4</v>
      </c>
      <c r="H14" s="1524"/>
      <c r="I14" s="1524"/>
      <c r="J14" s="1524" t="s">
        <v>4246</v>
      </c>
      <c r="K14" s="1552"/>
      <c r="L14" s="1515"/>
      <c r="M14" s="598"/>
      <c r="N14" s="599"/>
      <c r="O14" s="599"/>
      <c r="P14" s="599"/>
      <c r="Q14" s="599"/>
      <c r="R14" s="599"/>
      <c r="S14" s="599"/>
      <c r="T14" s="599"/>
      <c r="U14" s="599"/>
      <c r="V14" s="599"/>
      <c r="W14" s="599"/>
      <c r="X14" s="599"/>
      <c r="Y14" s="599"/>
      <c r="Z14" s="599"/>
      <c r="AA14">
        <f>IF(AND('13 Man'!C14&gt;Tmin, NOT('13 Man'!$I14="")),'13 Man'!$I14,0)</f>
        <v>0</v>
      </c>
      <c r="AB14">
        <f>IF(AND('13 Man'!D14&gt;Tmin, NOT('13 Man'!$I14="")),'13 Man'!$I14,0)</f>
        <v>0</v>
      </c>
      <c r="AC14">
        <f>IF(AND('13 Man'!E14&gt;Tmin, NOT('13 Man'!$I14="")),'13 Man'!$I14,0)</f>
        <v>0</v>
      </c>
      <c r="AD14">
        <f>IF(AND('13 Man'!F14&gt;Tmin, NOT('13 Man'!$I14="")),'13 Man'!$I14,0)</f>
        <v>0</v>
      </c>
      <c r="AE14">
        <f>IF(AND('13 Man'!C14&lt;Tmax, NOT('13 Man'!$H14="")),'13 Man'!$H14,4)</f>
        <v>4</v>
      </c>
      <c r="AF14">
        <f>IF(AND('13 Man'!D14&lt;Tmax, NOT('13 Man'!$H14="")),'13 Man'!$H14,4)</f>
        <v>4</v>
      </c>
      <c r="AG14">
        <f>IF(AND('13 Man'!E14&lt;Tmax, NOT('13 Man'!$H14="")),'13 Man'!$H14,4)</f>
        <v>4</v>
      </c>
      <c r="AH14">
        <f>IF(AND('13 Man'!F14&lt;Tmax, NOT('13 Man'!$H14="")),'13 Man'!$H14,4)</f>
        <v>4</v>
      </c>
      <c r="AI14"/>
    </row>
    <row r="15" spans="1:35" s="600" customFormat="1" ht="26.25" customHeight="1" outlineLevel="2" x14ac:dyDescent="0.2">
      <c r="A15" s="601" t="s">
        <v>5407</v>
      </c>
      <c r="B15" s="601" t="s">
        <v>4783</v>
      </c>
      <c r="C15" s="597"/>
      <c r="D15" s="1548"/>
      <c r="E15" s="1151"/>
      <c r="F15" s="593"/>
      <c r="G15" s="1515">
        <v>4</v>
      </c>
      <c r="H15" s="1515"/>
      <c r="I15" s="1515"/>
      <c r="J15" s="1524" t="s">
        <v>1592</v>
      </c>
      <c r="K15" s="1552"/>
      <c r="L15" s="1515"/>
      <c r="M15" s="598"/>
      <c r="N15" s="599"/>
      <c r="O15" s="599"/>
      <c r="P15" s="599"/>
      <c r="Q15" s="599"/>
      <c r="R15" s="599"/>
      <c r="S15" s="599"/>
      <c r="T15" s="599"/>
      <c r="U15" s="599"/>
      <c r="V15" s="599"/>
      <c r="W15" s="599"/>
      <c r="X15" s="599"/>
      <c r="Y15" s="599"/>
      <c r="Z15" s="599"/>
      <c r="AA15">
        <f>IF(AND('13 Man'!C15&gt;Tmin, NOT('13 Man'!$I15="")),'13 Man'!$I15,0)</f>
        <v>0</v>
      </c>
      <c r="AB15">
        <f>IF(AND('13 Man'!D15&gt;Tmin, NOT('13 Man'!$I15="")),'13 Man'!$I15,0)</f>
        <v>0</v>
      </c>
      <c r="AC15">
        <f>IF(AND('13 Man'!E15&gt;Tmin, NOT('13 Man'!$I15="")),'13 Man'!$I15,0)</f>
        <v>0</v>
      </c>
      <c r="AD15">
        <f>IF(AND('13 Man'!F15&gt;Tmin, NOT('13 Man'!$I15="")),'13 Man'!$I15,0)</f>
        <v>0</v>
      </c>
      <c r="AE15">
        <f>IF(AND('13 Man'!C15&lt;Tmax, NOT('13 Man'!$H15="")),'13 Man'!$H15,4)</f>
        <v>4</v>
      </c>
      <c r="AF15">
        <f>IF(AND('13 Man'!D15&lt;Tmax, NOT('13 Man'!$H15="")),'13 Man'!$H15,4)</f>
        <v>4</v>
      </c>
      <c r="AG15">
        <f>IF(AND('13 Man'!E15&lt;Tmax, NOT('13 Man'!$H15="")),'13 Man'!$H15,4)</f>
        <v>4</v>
      </c>
      <c r="AH15">
        <f>IF(AND('13 Man'!F15&lt;Tmax, NOT('13 Man'!$H15="")),'13 Man'!$H15,4)</f>
        <v>4</v>
      </c>
      <c r="AI15"/>
    </row>
    <row r="16" spans="1:35" s="600" customFormat="1" ht="22.5" outlineLevel="2" x14ac:dyDescent="0.2">
      <c r="A16" s="601" t="s">
        <v>3840</v>
      </c>
      <c r="B16" s="601" t="s">
        <v>4548</v>
      </c>
      <c r="C16" s="597"/>
      <c r="D16" s="1548"/>
      <c r="E16" s="1151"/>
      <c r="F16" s="593"/>
      <c r="G16" s="1515">
        <v>2</v>
      </c>
      <c r="H16" s="1515"/>
      <c r="I16" s="1515"/>
      <c r="J16" s="1524" t="s">
        <v>1592</v>
      </c>
      <c r="K16" s="1552"/>
      <c r="L16" s="1515"/>
      <c r="M16" s="598"/>
      <c r="N16" s="599"/>
      <c r="O16" s="599"/>
      <c r="P16" s="599"/>
      <c r="Q16" s="599"/>
      <c r="R16" s="599"/>
      <c r="S16" s="599"/>
      <c r="T16" s="599"/>
      <c r="U16" s="599"/>
      <c r="V16" s="599"/>
      <c r="W16" s="599"/>
      <c r="X16" s="599"/>
      <c r="Y16" s="599"/>
      <c r="Z16" s="599"/>
      <c r="AA16">
        <f>IF(AND('13 Man'!C16&gt;Tmin, NOT('13 Man'!$I16="")),'13 Man'!$I16,0)</f>
        <v>0</v>
      </c>
      <c r="AB16">
        <f>IF(AND('13 Man'!D16&gt;Tmin, NOT('13 Man'!$I16="")),'13 Man'!$I16,0)</f>
        <v>0</v>
      </c>
      <c r="AC16">
        <f>IF(AND('13 Man'!E16&gt;Tmin, NOT('13 Man'!$I16="")),'13 Man'!$I16,0)</f>
        <v>0</v>
      </c>
      <c r="AD16">
        <f>IF(AND('13 Man'!F16&gt;Tmin, NOT('13 Man'!$I16="")),'13 Man'!$I16,0)</f>
        <v>0</v>
      </c>
      <c r="AE16">
        <f>IF(AND('13 Man'!C16&lt;Tmax, NOT('13 Man'!$H16="")),'13 Man'!$H16,4)</f>
        <v>4</v>
      </c>
      <c r="AF16">
        <f>IF(AND('13 Man'!D16&lt;Tmax, NOT('13 Man'!$H16="")),'13 Man'!$H16,4)</f>
        <v>4</v>
      </c>
      <c r="AG16">
        <f>IF(AND('13 Man'!E16&lt;Tmax, NOT('13 Man'!$H16="")),'13 Man'!$H16,4)</f>
        <v>4</v>
      </c>
      <c r="AH16">
        <f>IF(AND('13 Man'!F16&lt;Tmax, NOT('13 Man'!$H16="")),'13 Man'!$H16,4)</f>
        <v>4</v>
      </c>
      <c r="AI16"/>
    </row>
    <row r="17" spans="1:35" s="600" customFormat="1" outlineLevel="2" x14ac:dyDescent="0.2">
      <c r="A17" s="601" t="s">
        <v>3833</v>
      </c>
      <c r="B17" s="601" t="s">
        <v>3839</v>
      </c>
      <c r="C17" s="597"/>
      <c r="D17" s="1548"/>
      <c r="E17" s="1151"/>
      <c r="F17" s="593"/>
      <c r="G17" s="1515">
        <v>2</v>
      </c>
      <c r="H17" s="1524">
        <v>3</v>
      </c>
      <c r="I17" s="1524"/>
      <c r="J17" s="1524" t="s">
        <v>1592</v>
      </c>
      <c r="K17" s="1552"/>
      <c r="L17" s="1515"/>
      <c r="M17" s="598"/>
      <c r="N17" s="599"/>
      <c r="O17" s="599"/>
      <c r="P17" s="599"/>
      <c r="Q17" s="599"/>
      <c r="R17" s="599"/>
      <c r="S17" s="599"/>
      <c r="T17" s="599"/>
      <c r="U17" s="599"/>
      <c r="V17" s="599"/>
      <c r="W17" s="599"/>
      <c r="X17" s="599"/>
      <c r="Y17" s="599"/>
      <c r="Z17" s="599"/>
      <c r="AA17">
        <f>IF(AND('13 Man'!C17&gt;Tmin, NOT('13 Man'!$I17="")),'13 Man'!$I17,0)</f>
        <v>0</v>
      </c>
      <c r="AB17">
        <f>IF(AND('13 Man'!D17&gt;Tmin, NOT('13 Man'!$I17="")),'13 Man'!$I17,0)</f>
        <v>0</v>
      </c>
      <c r="AC17">
        <f>IF(AND('13 Man'!E17&gt;Tmin, NOT('13 Man'!$I17="")),'13 Man'!$I17,0)</f>
        <v>0</v>
      </c>
      <c r="AD17">
        <f>IF(AND('13 Man'!F17&gt;Tmin, NOT('13 Man'!$I17="")),'13 Man'!$I17,0)</f>
        <v>0</v>
      </c>
      <c r="AE17">
        <f>IF(AND('13 Man'!C17&lt;Tmax, NOT('13 Man'!$H17="")),'13 Man'!$H17,4)</f>
        <v>3</v>
      </c>
      <c r="AF17">
        <f>IF(AND('13 Man'!D17&lt;Tmax, NOT('13 Man'!$H17="")),'13 Man'!$H17,4)</f>
        <v>3</v>
      </c>
      <c r="AG17">
        <f>IF(AND('13 Man'!E17&lt;Tmax, NOT('13 Man'!$H17="")),'13 Man'!$H17,4)</f>
        <v>3</v>
      </c>
      <c r="AH17">
        <f>IF(AND('13 Man'!F17&lt;Tmax, NOT('13 Man'!$H17="")),'13 Man'!$H17,4)</f>
        <v>3</v>
      </c>
      <c r="AI17"/>
    </row>
    <row r="18" spans="1:35" s="600" customFormat="1" outlineLevel="1" x14ac:dyDescent="0.2">
      <c r="A18" s="595" t="s">
        <v>3807</v>
      </c>
      <c r="B18" s="596" t="s">
        <v>3808</v>
      </c>
      <c r="C18" s="597"/>
      <c r="D18" s="1548"/>
      <c r="E18" s="1151"/>
      <c r="F18" s="593"/>
      <c r="G18" s="1515"/>
      <c r="H18" s="1515"/>
      <c r="I18" s="1515"/>
      <c r="J18" s="1524"/>
      <c r="K18" s="1552"/>
      <c r="L18" s="1515"/>
      <c r="M18" s="598"/>
      <c r="N18" s="599"/>
      <c r="O18" s="599"/>
      <c r="P18" s="599"/>
      <c r="Q18" s="599"/>
      <c r="R18" s="599"/>
      <c r="S18" s="599"/>
      <c r="T18" s="599"/>
      <c r="U18" s="599"/>
      <c r="V18" s="599"/>
      <c r="W18" s="599"/>
      <c r="X18" s="599"/>
      <c r="Y18" s="599"/>
      <c r="Z18" s="599"/>
      <c r="AA18"/>
      <c r="AB18"/>
      <c r="AC18"/>
      <c r="AD18"/>
      <c r="AE18"/>
      <c r="AF18"/>
      <c r="AG18"/>
      <c r="AH18"/>
      <c r="AI18"/>
    </row>
    <row r="19" spans="1:35" s="600" customFormat="1" outlineLevel="2" x14ac:dyDescent="0.2">
      <c r="A19" s="601" t="s">
        <v>4560</v>
      </c>
      <c r="B19" s="601" t="s">
        <v>4559</v>
      </c>
      <c r="C19" s="597"/>
      <c r="D19" s="1548"/>
      <c r="E19" s="1151"/>
      <c r="F19" s="593"/>
      <c r="G19" s="1515">
        <v>2</v>
      </c>
      <c r="H19" s="1515"/>
      <c r="I19" s="1515"/>
      <c r="J19" s="1524" t="s">
        <v>4246</v>
      </c>
      <c r="K19" s="1458" t="s">
        <v>7061</v>
      </c>
      <c r="L19" s="1515"/>
      <c r="M19" s="598"/>
      <c r="N19" s="599"/>
      <c r="O19" s="599"/>
      <c r="P19" s="599"/>
      <c r="Q19" s="599"/>
      <c r="R19" s="599"/>
      <c r="S19" s="599"/>
      <c r="T19" s="599"/>
      <c r="U19" s="599"/>
      <c r="V19" s="599"/>
      <c r="W19" s="599"/>
      <c r="X19" s="599"/>
      <c r="Y19" s="599"/>
      <c r="Z19" s="599"/>
      <c r="AA19">
        <f>IF(AND('13 Man'!C19&gt;Tmin, NOT('13 Man'!$I19="")),'13 Man'!$I19,0)</f>
        <v>0</v>
      </c>
      <c r="AB19">
        <f>IF(AND('13 Man'!D19&gt;Tmin, NOT('13 Man'!$I19="")),'13 Man'!$I19,0)</f>
        <v>0</v>
      </c>
      <c r="AC19">
        <f>IF(AND('13 Man'!E19&gt;Tmin, NOT('13 Man'!$I19="")),'13 Man'!$I19,0)</f>
        <v>0</v>
      </c>
      <c r="AD19">
        <f>IF(AND('13 Man'!F19&gt;Tmin, NOT('13 Man'!$I19="")),'13 Man'!$I19,0)</f>
        <v>0</v>
      </c>
      <c r="AE19">
        <f>IF(AND('13 Man'!C19&lt;Tmax, NOT('13 Man'!$H19="")),'13 Man'!$H19,4)</f>
        <v>4</v>
      </c>
      <c r="AF19">
        <f>IF(AND('13 Man'!D19&lt;Tmax, NOT('13 Man'!$H19="")),'13 Man'!$H19,4)</f>
        <v>4</v>
      </c>
      <c r="AG19">
        <f>IF(AND('13 Man'!E19&lt;Tmax, NOT('13 Man'!$H19="")),'13 Man'!$H19,4)</f>
        <v>4</v>
      </c>
      <c r="AH19">
        <f>IF(AND('13 Man'!F19&lt;Tmax, NOT('13 Man'!$H19="")),'13 Man'!$H19,4)</f>
        <v>4</v>
      </c>
      <c r="AI19"/>
    </row>
    <row r="20" spans="1:35" s="600" customFormat="1" outlineLevel="2" x14ac:dyDescent="0.2">
      <c r="A20" s="601" t="s">
        <v>4561</v>
      </c>
      <c r="B20" s="601" t="s">
        <v>2743</v>
      </c>
      <c r="C20" s="597"/>
      <c r="D20" s="1548"/>
      <c r="E20" s="1151"/>
      <c r="F20" s="593"/>
      <c r="G20" s="1515">
        <v>2</v>
      </c>
      <c r="H20" s="1515"/>
      <c r="I20" s="1515"/>
      <c r="J20" s="1524" t="s">
        <v>1592</v>
      </c>
      <c r="K20" s="1458" t="s">
        <v>7061</v>
      </c>
      <c r="L20" s="1515"/>
      <c r="M20" s="598"/>
      <c r="N20" s="599"/>
      <c r="O20" s="599"/>
      <c r="P20" s="599"/>
      <c r="Q20" s="599"/>
      <c r="R20" s="599"/>
      <c r="S20" s="599"/>
      <c r="T20" s="599"/>
      <c r="U20" s="599"/>
      <c r="V20" s="599"/>
      <c r="W20" s="599"/>
      <c r="X20" s="599"/>
      <c r="Y20" s="599"/>
      <c r="Z20" s="599"/>
      <c r="AA20">
        <f>IF(AND('13 Man'!C20&gt;Tmin, NOT('13 Man'!$I20="")),'13 Man'!$I20,0)</f>
        <v>0</v>
      </c>
      <c r="AB20">
        <f>IF(AND('13 Man'!D20&gt;Tmin, NOT('13 Man'!$I20="")),'13 Man'!$I20,0)</f>
        <v>0</v>
      </c>
      <c r="AC20">
        <f>IF(AND('13 Man'!E20&gt;Tmin, NOT('13 Man'!$I20="")),'13 Man'!$I20,0)</f>
        <v>0</v>
      </c>
      <c r="AD20">
        <f>IF(AND('13 Man'!F20&gt;Tmin, NOT('13 Man'!$I20="")),'13 Man'!$I20,0)</f>
        <v>0</v>
      </c>
      <c r="AE20">
        <f>IF(AND('13 Man'!C20&lt;Tmax, NOT('13 Man'!$H20="")),'13 Man'!$H20,4)</f>
        <v>4</v>
      </c>
      <c r="AF20">
        <f>IF(AND('13 Man'!D20&lt;Tmax, NOT('13 Man'!$H20="")),'13 Man'!$H20,4)</f>
        <v>4</v>
      </c>
      <c r="AG20">
        <f>IF(AND('13 Man'!E20&lt;Tmax, NOT('13 Man'!$H20="")),'13 Man'!$H20,4)</f>
        <v>4</v>
      </c>
      <c r="AH20">
        <f>IF(AND('13 Man'!F20&lt;Tmax, NOT('13 Man'!$H20="")),'13 Man'!$H20,4)</f>
        <v>4</v>
      </c>
      <c r="AI20"/>
    </row>
    <row r="21" spans="1:35" s="600" customFormat="1" ht="12.75" customHeight="1" outlineLevel="2" x14ac:dyDescent="0.2">
      <c r="A21" s="601" t="s">
        <v>4562</v>
      </c>
      <c r="B21" s="601" t="s">
        <v>3745</v>
      </c>
      <c r="C21" s="597"/>
      <c r="D21" s="1548"/>
      <c r="E21" s="1151"/>
      <c r="F21" s="593"/>
      <c r="G21" s="1515">
        <v>2</v>
      </c>
      <c r="H21" s="1524"/>
      <c r="I21" s="1524"/>
      <c r="J21" s="1524" t="s">
        <v>1592</v>
      </c>
      <c r="K21" s="1458" t="s">
        <v>7061</v>
      </c>
      <c r="L21" s="1515"/>
      <c r="M21" s="598"/>
      <c r="N21" s="599"/>
      <c r="O21" s="599"/>
      <c r="P21" s="599"/>
      <c r="Q21" s="599"/>
      <c r="R21" s="599"/>
      <c r="S21" s="599"/>
      <c r="T21" s="599"/>
      <c r="U21" s="599"/>
      <c r="V21" s="599"/>
      <c r="W21" s="599"/>
      <c r="X21" s="599"/>
      <c r="Y21" s="599"/>
      <c r="Z21" s="599"/>
      <c r="AA21">
        <f>IF(AND('13 Man'!C21&gt;Tmin, NOT('13 Man'!$I21="")),'13 Man'!$I21,0)</f>
        <v>0</v>
      </c>
      <c r="AB21">
        <f>IF(AND('13 Man'!D21&gt;Tmin, NOT('13 Man'!$I21="")),'13 Man'!$I21,0)</f>
        <v>0</v>
      </c>
      <c r="AC21">
        <f>IF(AND('13 Man'!E21&gt;Tmin, NOT('13 Man'!$I21="")),'13 Man'!$I21,0)</f>
        <v>0</v>
      </c>
      <c r="AD21">
        <f>IF(AND('13 Man'!F21&gt;Tmin, NOT('13 Man'!$I21="")),'13 Man'!$I21,0)</f>
        <v>0</v>
      </c>
      <c r="AE21">
        <f>IF(AND('13 Man'!C21&lt;Tmax, NOT('13 Man'!$H21="")),'13 Man'!$H21,4)</f>
        <v>4</v>
      </c>
      <c r="AF21">
        <f>IF(AND('13 Man'!D21&lt;Tmax, NOT('13 Man'!$H21="")),'13 Man'!$H21,4)</f>
        <v>4</v>
      </c>
      <c r="AG21">
        <f>IF(AND('13 Man'!E21&lt;Tmax, NOT('13 Man'!$H21="")),'13 Man'!$H21,4)</f>
        <v>4</v>
      </c>
      <c r="AH21">
        <f>IF(AND('13 Man'!F21&lt;Tmax, NOT('13 Man'!$H21="")),'13 Man'!$H21,4)</f>
        <v>4</v>
      </c>
      <c r="AI21"/>
    </row>
    <row r="22" spans="1:35" s="600" customFormat="1" outlineLevel="2" x14ac:dyDescent="0.2">
      <c r="A22" s="601" t="s">
        <v>4563</v>
      </c>
      <c r="B22" s="601" t="s">
        <v>2744</v>
      </c>
      <c r="C22" s="597"/>
      <c r="D22" s="1539"/>
      <c r="E22" s="593"/>
      <c r="F22" s="593"/>
      <c r="G22" s="1515">
        <v>4</v>
      </c>
      <c r="H22" s="1524"/>
      <c r="I22" s="1524"/>
      <c r="J22" s="1524" t="s">
        <v>1592</v>
      </c>
      <c r="K22" s="1458" t="s">
        <v>7061</v>
      </c>
      <c r="L22" s="1515"/>
      <c r="M22" s="598"/>
      <c r="N22" s="599"/>
      <c r="O22" s="599"/>
      <c r="P22" s="599"/>
      <c r="Q22" s="599"/>
      <c r="R22" s="599"/>
      <c r="S22" s="599"/>
      <c r="T22" s="599"/>
      <c r="U22" s="599"/>
      <c r="V22" s="599"/>
      <c r="W22" s="599"/>
      <c r="X22" s="599"/>
      <c r="Y22" s="599"/>
      <c r="Z22" s="599"/>
      <c r="AA22">
        <f>IF(AND('13 Man'!C22&gt;Tmin, NOT('13 Man'!$I22="")),'13 Man'!$I22,0)</f>
        <v>0</v>
      </c>
      <c r="AB22">
        <f>IF(AND('13 Man'!D22&gt;Tmin, NOT('13 Man'!$I22="")),'13 Man'!$I22,0)</f>
        <v>0</v>
      </c>
      <c r="AC22">
        <f>IF(AND('13 Man'!E22&gt;Tmin, NOT('13 Man'!$I22="")),'13 Man'!$I22,0)</f>
        <v>0</v>
      </c>
      <c r="AD22">
        <f>IF(AND('13 Man'!F22&gt;Tmin, NOT('13 Man'!$I22="")),'13 Man'!$I22,0)</f>
        <v>0</v>
      </c>
      <c r="AE22">
        <f>IF(AND('13 Man'!C22&lt;Tmax, NOT('13 Man'!$H22="")),'13 Man'!$H22,4)</f>
        <v>4</v>
      </c>
      <c r="AF22">
        <f>IF(AND('13 Man'!D22&lt;Tmax, NOT('13 Man'!$H22="")),'13 Man'!$H22,4)</f>
        <v>4</v>
      </c>
      <c r="AG22">
        <f>IF(AND('13 Man'!E22&lt;Tmax, NOT('13 Man'!$H22="")),'13 Man'!$H22,4)</f>
        <v>4</v>
      </c>
      <c r="AH22">
        <f>IF(AND('13 Man'!F22&lt;Tmax, NOT('13 Man'!$H22="")),'13 Man'!$H22,4)</f>
        <v>4</v>
      </c>
      <c r="AI22"/>
    </row>
    <row r="23" spans="1:35" s="600" customFormat="1" ht="22.5" outlineLevel="2" x14ac:dyDescent="0.2">
      <c r="A23" s="601" t="s">
        <v>4564</v>
      </c>
      <c r="B23" s="601" t="s">
        <v>3404</v>
      </c>
      <c r="C23" s="597"/>
      <c r="D23" s="1539"/>
      <c r="E23" s="593"/>
      <c r="F23" s="593"/>
      <c r="G23" s="1515">
        <v>4</v>
      </c>
      <c r="H23" s="1515"/>
      <c r="I23" s="1515"/>
      <c r="J23" s="1524" t="s">
        <v>1592</v>
      </c>
      <c r="K23" s="1552"/>
      <c r="L23" s="1515"/>
      <c r="M23" s="598"/>
      <c r="N23" s="599"/>
      <c r="O23" s="599"/>
      <c r="P23" s="599"/>
      <c r="Q23" s="599"/>
      <c r="R23" s="599"/>
      <c r="S23" s="599"/>
      <c r="T23" s="599"/>
      <c r="U23" s="599"/>
      <c r="V23" s="599"/>
      <c r="W23" s="599"/>
      <c r="X23" s="599"/>
      <c r="Y23" s="599"/>
      <c r="Z23" s="599"/>
      <c r="AA23">
        <f>IF(AND('13 Man'!C23&gt;Tmin, NOT('13 Man'!$I23="")),'13 Man'!$I23,0)</f>
        <v>0</v>
      </c>
      <c r="AB23">
        <f>IF(AND('13 Man'!D23&gt;Tmin, NOT('13 Man'!$I23="")),'13 Man'!$I23,0)</f>
        <v>0</v>
      </c>
      <c r="AC23">
        <f>IF(AND('13 Man'!E23&gt;Tmin, NOT('13 Man'!$I23="")),'13 Man'!$I23,0)</f>
        <v>0</v>
      </c>
      <c r="AD23">
        <f>IF(AND('13 Man'!F23&gt;Tmin, NOT('13 Man'!$I23="")),'13 Man'!$I23,0)</f>
        <v>0</v>
      </c>
      <c r="AE23">
        <f>IF(AND('13 Man'!C23&lt;Tmax, NOT('13 Man'!$H23="")),'13 Man'!$H23,4)</f>
        <v>4</v>
      </c>
      <c r="AF23">
        <f>IF(AND('13 Man'!D23&lt;Tmax, NOT('13 Man'!$H23="")),'13 Man'!$H23,4)</f>
        <v>4</v>
      </c>
      <c r="AG23">
        <f>IF(AND('13 Man'!E23&lt;Tmax, NOT('13 Man'!$H23="")),'13 Man'!$H23,4)</f>
        <v>4</v>
      </c>
      <c r="AH23">
        <f>IF(AND('13 Man'!F23&lt;Tmax, NOT('13 Man'!$H23="")),'13 Man'!$H23,4)</f>
        <v>4</v>
      </c>
      <c r="AI23"/>
    </row>
    <row r="24" spans="1:35" s="600" customFormat="1" ht="22.5" outlineLevel="2" x14ac:dyDescent="0.2">
      <c r="A24" s="601" t="s">
        <v>2607</v>
      </c>
      <c r="B24" s="601" t="s">
        <v>3405</v>
      </c>
      <c r="C24" s="597"/>
      <c r="D24" s="1539"/>
      <c r="E24" s="593"/>
      <c r="F24" s="593"/>
      <c r="G24" s="1515">
        <v>4</v>
      </c>
      <c r="H24" s="1524"/>
      <c r="I24" s="1524"/>
      <c r="J24" s="1524" t="s">
        <v>1592</v>
      </c>
      <c r="K24" s="1552"/>
      <c r="L24" s="1515"/>
      <c r="M24" s="598"/>
      <c r="N24" s="599"/>
      <c r="O24" s="599"/>
      <c r="P24" s="599"/>
      <c r="Q24" s="599"/>
      <c r="R24" s="599"/>
      <c r="S24" s="599"/>
      <c r="T24" s="599"/>
      <c r="U24" s="599"/>
      <c r="V24" s="599"/>
      <c r="W24" s="599"/>
      <c r="X24" s="599"/>
      <c r="Y24" s="599"/>
      <c r="Z24" s="599"/>
      <c r="AA24">
        <f>IF(AND('13 Man'!C24&gt;Tmin, NOT('13 Man'!$I24="")),'13 Man'!$I24,0)</f>
        <v>0</v>
      </c>
      <c r="AB24">
        <f>IF(AND('13 Man'!D24&gt;Tmin, NOT('13 Man'!$I24="")),'13 Man'!$I24,0)</f>
        <v>0</v>
      </c>
      <c r="AC24">
        <f>IF(AND('13 Man'!E24&gt;Tmin, NOT('13 Man'!$I24="")),'13 Man'!$I24,0)</f>
        <v>0</v>
      </c>
      <c r="AD24">
        <f>IF(AND('13 Man'!F24&gt;Tmin, NOT('13 Man'!$I24="")),'13 Man'!$I24,0)</f>
        <v>0</v>
      </c>
      <c r="AE24">
        <f>IF(AND('13 Man'!C24&lt;Tmax, NOT('13 Man'!$H24="")),'13 Man'!$H24,4)</f>
        <v>4</v>
      </c>
      <c r="AF24">
        <f>IF(AND('13 Man'!D24&lt;Tmax, NOT('13 Man'!$H24="")),'13 Man'!$H24,4)</f>
        <v>4</v>
      </c>
      <c r="AG24">
        <f>IF(AND('13 Man'!E24&lt;Tmax, NOT('13 Man'!$H24="")),'13 Man'!$H24,4)</f>
        <v>4</v>
      </c>
      <c r="AH24">
        <f>IF(AND('13 Man'!F24&lt;Tmax, NOT('13 Man'!$H24="")),'13 Man'!$H24,4)</f>
        <v>4</v>
      </c>
      <c r="AI24"/>
    </row>
    <row r="25" spans="1:35" s="600" customFormat="1" ht="22.5" outlineLevel="2" x14ac:dyDescent="0.2">
      <c r="A25" s="601" t="s">
        <v>2608</v>
      </c>
      <c r="B25" s="601" t="s">
        <v>3406</v>
      </c>
      <c r="C25" s="597"/>
      <c r="D25" s="1539"/>
      <c r="E25" s="593"/>
      <c r="F25" s="593"/>
      <c r="G25" s="1515">
        <v>4</v>
      </c>
      <c r="H25" s="1524">
        <v>3</v>
      </c>
      <c r="I25" s="1524"/>
      <c r="J25" s="1524" t="s">
        <v>2329</v>
      </c>
      <c r="K25" s="1552"/>
      <c r="L25" s="1515"/>
      <c r="M25" s="598"/>
      <c r="N25" s="599"/>
      <c r="O25" s="599"/>
      <c r="P25" s="599"/>
      <c r="Q25" s="599"/>
      <c r="R25" s="599"/>
      <c r="S25" s="599"/>
      <c r="T25" s="599"/>
      <c r="U25" s="599"/>
      <c r="V25" s="599"/>
      <c r="W25" s="599"/>
      <c r="X25" s="599"/>
      <c r="Y25" s="599"/>
      <c r="Z25" s="599"/>
      <c r="AA25">
        <f>IF(AND('13 Man'!C25&gt;Tmin, NOT('13 Man'!$I25="")),'13 Man'!$I25,0)</f>
        <v>0</v>
      </c>
      <c r="AB25">
        <f>IF(AND('13 Man'!D25&gt;Tmin, NOT('13 Man'!$I25="")),'13 Man'!$I25,0)</f>
        <v>0</v>
      </c>
      <c r="AC25">
        <f>IF(AND('13 Man'!E25&gt;Tmin, NOT('13 Man'!$I25="")),'13 Man'!$I25,0)</f>
        <v>0</v>
      </c>
      <c r="AD25">
        <f>IF(AND('13 Man'!F25&gt;Tmin, NOT('13 Man'!$I25="")),'13 Man'!$I25,0)</f>
        <v>0</v>
      </c>
      <c r="AE25">
        <f>IF(AND('13 Man'!C25&lt;Tmax, NOT('13 Man'!$H25="")),'13 Man'!$H25,4)</f>
        <v>3</v>
      </c>
      <c r="AF25">
        <f>IF(AND('13 Man'!D25&lt;Tmax, NOT('13 Man'!$H25="")),'13 Man'!$H25,4)</f>
        <v>3</v>
      </c>
      <c r="AG25">
        <f>IF(AND('13 Man'!E25&lt;Tmax, NOT('13 Man'!$H25="")),'13 Man'!$H25,4)</f>
        <v>3</v>
      </c>
      <c r="AH25">
        <f>IF(AND('13 Man'!F25&lt;Tmax, NOT('13 Man'!$H25="")),'13 Man'!$H25,4)</f>
        <v>3</v>
      </c>
      <c r="AI25"/>
    </row>
    <row r="26" spans="1:35" s="600" customFormat="1" ht="22.5" outlineLevel="2" x14ac:dyDescent="0.2">
      <c r="A26" s="601" t="s">
        <v>2609</v>
      </c>
      <c r="B26" s="601" t="s">
        <v>4569</v>
      </c>
      <c r="C26" s="597"/>
      <c r="D26" s="1539"/>
      <c r="E26" s="593"/>
      <c r="F26" s="593"/>
      <c r="G26" s="1515">
        <v>2</v>
      </c>
      <c r="H26" s="1524"/>
      <c r="I26" s="1524"/>
      <c r="J26" s="1524" t="s">
        <v>1592</v>
      </c>
      <c r="K26" s="1552"/>
      <c r="L26" s="1515"/>
      <c r="M26" s="598"/>
      <c r="N26" s="599"/>
      <c r="O26" s="599"/>
      <c r="P26" s="599"/>
      <c r="Q26" s="599"/>
      <c r="R26" s="599"/>
      <c r="S26" s="599"/>
      <c r="T26" s="599"/>
      <c r="U26" s="599"/>
      <c r="V26" s="599"/>
      <c r="W26" s="599"/>
      <c r="X26" s="599"/>
      <c r="Y26" s="599"/>
      <c r="Z26" s="599"/>
      <c r="AA26">
        <f>IF(AND('13 Man'!C26&gt;Tmin, NOT('13 Man'!$I26="")),'13 Man'!$I26,0)</f>
        <v>0</v>
      </c>
      <c r="AB26">
        <f>IF(AND('13 Man'!D26&gt;Tmin, NOT('13 Man'!$I26="")),'13 Man'!$I26,0)</f>
        <v>0</v>
      </c>
      <c r="AC26">
        <f>IF(AND('13 Man'!E26&gt;Tmin, NOT('13 Man'!$I26="")),'13 Man'!$I26,0)</f>
        <v>0</v>
      </c>
      <c r="AD26">
        <f>IF(AND('13 Man'!F26&gt;Tmin, NOT('13 Man'!$I26="")),'13 Man'!$I26,0)</f>
        <v>0</v>
      </c>
      <c r="AE26">
        <f>IF(AND('13 Man'!C26&lt;Tmax, NOT('13 Man'!$H26="")),'13 Man'!$H26,4)</f>
        <v>4</v>
      </c>
      <c r="AF26">
        <f>IF(AND('13 Man'!D26&lt;Tmax, NOT('13 Man'!$H26="")),'13 Man'!$H26,4)</f>
        <v>4</v>
      </c>
      <c r="AG26">
        <f>IF(AND('13 Man'!E26&lt;Tmax, NOT('13 Man'!$H26="")),'13 Man'!$H26,4)</f>
        <v>4</v>
      </c>
      <c r="AH26">
        <f>IF(AND('13 Man'!F26&lt;Tmax, NOT('13 Man'!$H26="")),'13 Man'!$H26,4)</f>
        <v>4</v>
      </c>
      <c r="AI26"/>
    </row>
    <row r="27" spans="1:35" s="600" customFormat="1" outlineLevel="2" x14ac:dyDescent="0.2">
      <c r="A27" s="601" t="s">
        <v>2610</v>
      </c>
      <c r="B27" s="601" t="s">
        <v>4570</v>
      </c>
      <c r="C27" s="597"/>
      <c r="D27" s="1539"/>
      <c r="E27" s="593"/>
      <c r="F27" s="593"/>
      <c r="G27" s="1515">
        <v>2</v>
      </c>
      <c r="H27" s="1515">
        <v>3</v>
      </c>
      <c r="I27" s="1515"/>
      <c r="J27" s="1524" t="s">
        <v>2349</v>
      </c>
      <c r="K27" s="1552"/>
      <c r="L27" s="1515"/>
      <c r="M27" s="598"/>
      <c r="N27" s="599"/>
      <c r="O27" s="599"/>
      <c r="P27" s="599"/>
      <c r="Q27" s="599"/>
      <c r="R27" s="599"/>
      <c r="S27" s="599"/>
      <c r="T27" s="599"/>
      <c r="U27" s="599"/>
      <c r="V27" s="599"/>
      <c r="W27" s="599"/>
      <c r="X27" s="599"/>
      <c r="Y27" s="599"/>
      <c r="Z27" s="599"/>
      <c r="AA27">
        <f>IF(AND('13 Man'!C27&gt;Tmin, NOT('13 Man'!$I27="")),'13 Man'!$I27,0)</f>
        <v>0</v>
      </c>
      <c r="AB27">
        <f>IF(AND('13 Man'!D27&gt;Tmin, NOT('13 Man'!$I27="")),'13 Man'!$I27,0)</f>
        <v>0</v>
      </c>
      <c r="AC27">
        <f>IF(AND('13 Man'!E27&gt;Tmin, NOT('13 Man'!$I27="")),'13 Man'!$I27,0)</f>
        <v>0</v>
      </c>
      <c r="AD27">
        <f>IF(AND('13 Man'!F27&gt;Tmin, NOT('13 Man'!$I27="")),'13 Man'!$I27,0)</f>
        <v>0</v>
      </c>
      <c r="AE27">
        <f>IF(AND('13 Man'!C27&lt;Tmax, NOT('13 Man'!$H27="")),'13 Man'!$H27,4)</f>
        <v>3</v>
      </c>
      <c r="AF27">
        <f>IF(AND('13 Man'!D27&lt;Tmax, NOT('13 Man'!$H27="")),'13 Man'!$H27,4)</f>
        <v>3</v>
      </c>
      <c r="AG27">
        <f>IF(AND('13 Man'!E27&lt;Tmax, NOT('13 Man'!$H27="")),'13 Man'!$H27,4)</f>
        <v>3</v>
      </c>
      <c r="AH27">
        <f>IF(AND('13 Man'!F27&lt;Tmax, NOT('13 Man'!$H27="")),'13 Man'!$H27,4)</f>
        <v>3</v>
      </c>
      <c r="AI27"/>
    </row>
    <row r="28" spans="1:35" s="600" customFormat="1" outlineLevel="2" x14ac:dyDescent="0.2">
      <c r="A28" s="601" t="s">
        <v>2611</v>
      </c>
      <c r="B28" s="601" t="s">
        <v>4571</v>
      </c>
      <c r="C28" s="597"/>
      <c r="D28" s="1539"/>
      <c r="E28" s="593"/>
      <c r="F28" s="593"/>
      <c r="G28" s="1515">
        <v>2</v>
      </c>
      <c r="H28" s="1524">
        <v>3</v>
      </c>
      <c r="I28" s="1524"/>
      <c r="J28" s="1524" t="s">
        <v>2109</v>
      </c>
      <c r="K28" s="1552"/>
      <c r="L28" s="1515"/>
      <c r="M28" s="598"/>
      <c r="N28" s="599"/>
      <c r="O28" s="599"/>
      <c r="P28" s="599"/>
      <c r="Q28" s="599"/>
      <c r="R28" s="599"/>
      <c r="S28" s="599"/>
      <c r="T28" s="599"/>
      <c r="U28" s="599"/>
      <c r="V28" s="599"/>
      <c r="W28" s="599"/>
      <c r="X28" s="599"/>
      <c r="Y28" s="599"/>
      <c r="Z28" s="599"/>
      <c r="AA28">
        <f>IF(AND('13 Man'!C28&gt;Tmin, NOT('13 Man'!$I28="")),'13 Man'!$I28,0)</f>
        <v>0</v>
      </c>
      <c r="AB28">
        <f>IF(AND('13 Man'!D28&gt;Tmin, NOT('13 Man'!$I28="")),'13 Man'!$I28,0)</f>
        <v>0</v>
      </c>
      <c r="AC28">
        <f>IF(AND('13 Man'!E28&gt;Tmin, NOT('13 Man'!$I28="")),'13 Man'!$I28,0)</f>
        <v>0</v>
      </c>
      <c r="AD28">
        <f>IF(AND('13 Man'!F28&gt;Tmin, NOT('13 Man'!$I28="")),'13 Man'!$I28,0)</f>
        <v>0</v>
      </c>
      <c r="AE28">
        <f>IF(AND('13 Man'!C28&lt;Tmax, NOT('13 Man'!$H28="")),'13 Man'!$H28,4)</f>
        <v>3</v>
      </c>
      <c r="AF28">
        <f>IF(AND('13 Man'!D28&lt;Tmax, NOT('13 Man'!$H28="")),'13 Man'!$H28,4)</f>
        <v>3</v>
      </c>
      <c r="AG28">
        <f>IF(AND('13 Man'!E28&lt;Tmax, NOT('13 Man'!$H28="")),'13 Man'!$H28,4)</f>
        <v>3</v>
      </c>
      <c r="AH28">
        <f>IF(AND('13 Man'!F28&lt;Tmax, NOT('13 Man'!$H28="")),'13 Man'!$H28,4)</f>
        <v>3</v>
      </c>
      <c r="AI28"/>
    </row>
    <row r="29" spans="1:35" s="600" customFormat="1" outlineLevel="1" x14ac:dyDescent="0.2">
      <c r="A29" s="595" t="s">
        <v>2612</v>
      </c>
      <c r="B29" s="596" t="s">
        <v>5173</v>
      </c>
      <c r="C29" s="597"/>
      <c r="D29" s="1539"/>
      <c r="E29" s="593"/>
      <c r="F29" s="593"/>
      <c r="G29" s="1515"/>
      <c r="H29" s="1515"/>
      <c r="I29" s="1515"/>
      <c r="J29" s="1524"/>
      <c r="K29" s="1552"/>
      <c r="L29" s="1515"/>
      <c r="M29" s="598"/>
      <c r="N29" s="599"/>
      <c r="O29" s="599"/>
      <c r="P29" s="599"/>
      <c r="Q29" s="599"/>
      <c r="R29" s="599"/>
      <c r="S29" s="599"/>
      <c r="T29" s="599"/>
      <c r="U29" s="599"/>
      <c r="V29" s="599"/>
      <c r="W29" s="599"/>
      <c r="X29" s="599"/>
      <c r="Y29" s="599"/>
      <c r="Z29" s="599"/>
      <c r="AA29"/>
      <c r="AB29"/>
      <c r="AC29"/>
      <c r="AD29"/>
      <c r="AE29"/>
      <c r="AF29"/>
      <c r="AG29"/>
      <c r="AH29"/>
      <c r="AI29"/>
    </row>
    <row r="30" spans="1:35" s="600" customFormat="1" outlineLevel="2" x14ac:dyDescent="0.2">
      <c r="A30" s="601" t="s">
        <v>3095</v>
      </c>
      <c r="B30" s="601" t="s">
        <v>125</v>
      </c>
      <c r="C30" s="597"/>
      <c r="D30" s="1539"/>
      <c r="E30" s="593"/>
      <c r="F30" s="593"/>
      <c r="G30" s="1515">
        <v>2</v>
      </c>
      <c r="H30" s="1524"/>
      <c r="I30" s="1524"/>
      <c r="J30" s="1524" t="s">
        <v>2109</v>
      </c>
      <c r="K30" s="1552"/>
      <c r="L30" s="1515"/>
      <c r="M30" s="598"/>
      <c r="N30" s="599"/>
      <c r="O30" s="599"/>
      <c r="P30" s="599"/>
      <c r="Q30" s="599"/>
      <c r="R30" s="599"/>
      <c r="S30" s="599"/>
      <c r="T30" s="599"/>
      <c r="U30" s="599"/>
      <c r="V30" s="599"/>
      <c r="W30" s="599"/>
      <c r="X30" s="599"/>
      <c r="Y30" s="599"/>
      <c r="Z30" s="599"/>
      <c r="AA30">
        <f>IF(AND('13 Man'!C30&gt;Tmin, NOT('13 Man'!$I30="")),'13 Man'!$I30,0)</f>
        <v>0</v>
      </c>
      <c r="AB30">
        <f>IF(AND('13 Man'!D30&gt;Tmin, NOT('13 Man'!$I30="")),'13 Man'!$I30,0)</f>
        <v>0</v>
      </c>
      <c r="AC30">
        <f>IF(AND('13 Man'!E30&gt;Tmin, NOT('13 Man'!$I30="")),'13 Man'!$I30,0)</f>
        <v>0</v>
      </c>
      <c r="AD30">
        <f>IF(AND('13 Man'!F30&gt;Tmin, NOT('13 Man'!$I30="")),'13 Man'!$I30,0)</f>
        <v>0</v>
      </c>
      <c r="AE30">
        <f>IF(AND('13 Man'!C30&lt;Tmax, NOT('13 Man'!$H30="")),'13 Man'!$H30,4)</f>
        <v>4</v>
      </c>
      <c r="AF30">
        <f>IF(AND('13 Man'!D30&lt;Tmax, NOT('13 Man'!$H30="")),'13 Man'!$H30,4)</f>
        <v>4</v>
      </c>
      <c r="AG30">
        <f>IF(AND('13 Man'!E30&lt;Tmax, NOT('13 Man'!$H30="")),'13 Man'!$H30,4)</f>
        <v>4</v>
      </c>
      <c r="AH30">
        <f>IF(AND('13 Man'!F30&lt;Tmax, NOT('13 Man'!$H30="")),'13 Man'!$H30,4)</f>
        <v>4</v>
      </c>
      <c r="AI30"/>
    </row>
    <row r="31" spans="1:35" s="600" customFormat="1" outlineLevel="2" x14ac:dyDescent="0.2">
      <c r="A31" s="601" t="s">
        <v>3096</v>
      </c>
      <c r="B31" s="601" t="s">
        <v>126</v>
      </c>
      <c r="C31" s="597"/>
      <c r="D31" s="1539"/>
      <c r="E31" s="593"/>
      <c r="F31" s="593"/>
      <c r="G31" s="1515">
        <v>4</v>
      </c>
      <c r="H31" s="1524">
        <v>3</v>
      </c>
      <c r="I31" s="1524"/>
      <c r="J31" s="1524" t="s">
        <v>1592</v>
      </c>
      <c r="K31" s="1552"/>
      <c r="L31" s="1515"/>
      <c r="M31" s="598"/>
      <c r="N31" s="599"/>
      <c r="O31" s="599"/>
      <c r="P31" s="599"/>
      <c r="Q31" s="599"/>
      <c r="R31" s="599"/>
      <c r="S31" s="599"/>
      <c r="T31" s="599"/>
      <c r="U31" s="599"/>
      <c r="V31" s="599"/>
      <c r="W31" s="599"/>
      <c r="X31" s="599"/>
      <c r="Y31" s="599"/>
      <c r="Z31" s="599"/>
      <c r="AA31">
        <f>IF(AND('13 Man'!C31&gt;Tmin, NOT('13 Man'!$I31="")),'13 Man'!$I31,0)</f>
        <v>0</v>
      </c>
      <c r="AB31">
        <f>IF(AND('13 Man'!D31&gt;Tmin, NOT('13 Man'!$I31="")),'13 Man'!$I31,0)</f>
        <v>0</v>
      </c>
      <c r="AC31">
        <f>IF(AND('13 Man'!E31&gt;Tmin, NOT('13 Man'!$I31="")),'13 Man'!$I31,0)</f>
        <v>0</v>
      </c>
      <c r="AD31">
        <f>IF(AND('13 Man'!F31&gt;Tmin, NOT('13 Man'!$I31="")),'13 Man'!$I31,0)</f>
        <v>0</v>
      </c>
      <c r="AE31">
        <f>IF(AND('13 Man'!C31&lt;Tmax, NOT('13 Man'!$H31="")),'13 Man'!$H31,4)</f>
        <v>3</v>
      </c>
      <c r="AF31">
        <f>IF(AND('13 Man'!D31&lt;Tmax, NOT('13 Man'!$H31="")),'13 Man'!$H31,4)</f>
        <v>3</v>
      </c>
      <c r="AG31">
        <f>IF(AND('13 Man'!E31&lt;Tmax, NOT('13 Man'!$H31="")),'13 Man'!$H31,4)</f>
        <v>3</v>
      </c>
      <c r="AH31">
        <f>IF(AND('13 Man'!F31&lt;Tmax, NOT('13 Man'!$H31="")),'13 Man'!$H31,4)</f>
        <v>3</v>
      </c>
      <c r="AI31"/>
    </row>
    <row r="32" spans="1:35" s="600" customFormat="1" outlineLevel="2" x14ac:dyDescent="0.2">
      <c r="A32" s="601" t="s">
        <v>3000</v>
      </c>
      <c r="B32" s="601" t="s">
        <v>5441</v>
      </c>
      <c r="C32" s="597"/>
      <c r="D32" s="1539"/>
      <c r="E32" s="593"/>
      <c r="F32" s="593"/>
      <c r="G32" s="1515">
        <v>1</v>
      </c>
      <c r="H32" s="1524">
        <v>3</v>
      </c>
      <c r="I32" s="1524"/>
      <c r="J32" s="1524" t="s">
        <v>1592</v>
      </c>
      <c r="K32" s="1552"/>
      <c r="L32" s="1515"/>
      <c r="M32" s="598"/>
      <c r="N32" s="599"/>
      <c r="O32" s="599"/>
      <c r="P32" s="599"/>
      <c r="Q32" s="599"/>
      <c r="R32" s="599"/>
      <c r="S32" s="599"/>
      <c r="T32" s="599"/>
      <c r="U32" s="599"/>
      <c r="V32" s="599"/>
      <c r="W32" s="599"/>
      <c r="X32" s="599"/>
      <c r="Y32" s="599"/>
      <c r="Z32" s="599"/>
      <c r="AA32">
        <f>IF(AND('13 Man'!C32&gt;Tmin, NOT('13 Man'!$I32="")),'13 Man'!$I32,0)</f>
        <v>0</v>
      </c>
      <c r="AB32">
        <f>IF(AND('13 Man'!D32&gt;Tmin, NOT('13 Man'!$I32="")),'13 Man'!$I32,0)</f>
        <v>0</v>
      </c>
      <c r="AC32">
        <f>IF(AND('13 Man'!E32&gt;Tmin, NOT('13 Man'!$I32="")),'13 Man'!$I32,0)</f>
        <v>0</v>
      </c>
      <c r="AD32">
        <f>IF(AND('13 Man'!F32&gt;Tmin, NOT('13 Man'!$I32="")),'13 Man'!$I32,0)</f>
        <v>0</v>
      </c>
      <c r="AE32">
        <f>IF(AND('13 Man'!C32&lt;Tmax, NOT('13 Man'!$H32="")),'13 Man'!$H32,4)</f>
        <v>3</v>
      </c>
      <c r="AF32">
        <f>IF(AND('13 Man'!D32&lt;Tmax, NOT('13 Man'!$H32="")),'13 Man'!$H32,4)</f>
        <v>3</v>
      </c>
      <c r="AG32">
        <f>IF(AND('13 Man'!E32&lt;Tmax, NOT('13 Man'!$H32="")),'13 Man'!$H32,4)</f>
        <v>3</v>
      </c>
      <c r="AH32">
        <f>IF(AND('13 Man'!F32&lt;Tmax, NOT('13 Man'!$H32="")),'13 Man'!$H32,4)</f>
        <v>3</v>
      </c>
      <c r="AI32"/>
    </row>
    <row r="33" spans="1:35" s="600" customFormat="1" outlineLevel="1" x14ac:dyDescent="0.2">
      <c r="A33" s="601" t="s">
        <v>5408</v>
      </c>
      <c r="B33" s="601" t="s">
        <v>4356</v>
      </c>
      <c r="C33" s="597"/>
      <c r="D33" s="1539"/>
      <c r="E33" s="593"/>
      <c r="F33" s="593"/>
      <c r="G33" s="1515"/>
      <c r="H33" s="1515"/>
      <c r="I33" s="1515"/>
      <c r="J33" s="1524"/>
      <c r="K33" s="1552"/>
      <c r="L33" s="1515"/>
      <c r="M33" s="598"/>
      <c r="N33" s="599"/>
      <c r="O33" s="599"/>
      <c r="P33" s="599"/>
      <c r="Q33" s="599"/>
      <c r="R33" s="599"/>
      <c r="S33" s="599"/>
      <c r="T33" s="599"/>
      <c r="U33" s="599"/>
      <c r="V33" s="599"/>
      <c r="W33" s="599"/>
      <c r="X33" s="599"/>
      <c r="Y33" s="599"/>
      <c r="Z33" s="599"/>
      <c r="AA33"/>
      <c r="AB33"/>
      <c r="AC33"/>
      <c r="AD33"/>
      <c r="AE33"/>
      <c r="AF33"/>
      <c r="AG33"/>
      <c r="AH33"/>
      <c r="AI33"/>
    </row>
    <row r="34" spans="1:35" s="600" customFormat="1" outlineLevel="2" x14ac:dyDescent="0.2">
      <c r="A34" s="601" t="s">
        <v>3001</v>
      </c>
      <c r="B34" s="601" t="s">
        <v>2613</v>
      </c>
      <c r="C34" s="597"/>
      <c r="D34" s="1539"/>
      <c r="E34" s="593"/>
      <c r="F34" s="593"/>
      <c r="G34" s="1515">
        <v>4</v>
      </c>
      <c r="H34" s="1524">
        <v>3</v>
      </c>
      <c r="I34" s="1524"/>
      <c r="J34" s="1524" t="s">
        <v>2109</v>
      </c>
      <c r="K34" s="1458" t="s">
        <v>7061</v>
      </c>
      <c r="L34" s="1515"/>
      <c r="M34" s="598"/>
      <c r="N34" s="599"/>
      <c r="O34" s="599"/>
      <c r="P34" s="599"/>
      <c r="Q34" s="599"/>
      <c r="R34" s="599"/>
      <c r="S34" s="599"/>
      <c r="T34" s="599"/>
      <c r="U34" s="599"/>
      <c r="V34" s="599"/>
      <c r="W34" s="599"/>
      <c r="X34" s="599"/>
      <c r="Y34" s="599"/>
      <c r="Z34" s="599"/>
      <c r="AA34">
        <f>IF(AND('13 Man'!C34&gt;Tmin, NOT('13 Man'!$I34="")),'13 Man'!$I34,0)</f>
        <v>0</v>
      </c>
      <c r="AB34">
        <f>IF(AND('13 Man'!D34&gt;Tmin, NOT('13 Man'!$I34="")),'13 Man'!$I34,0)</f>
        <v>0</v>
      </c>
      <c r="AC34">
        <f>IF(AND('13 Man'!E34&gt;Tmin, NOT('13 Man'!$I34="")),'13 Man'!$I34,0)</f>
        <v>0</v>
      </c>
      <c r="AD34">
        <f>IF(AND('13 Man'!F34&gt;Tmin, NOT('13 Man'!$I34="")),'13 Man'!$I34,0)</f>
        <v>0</v>
      </c>
      <c r="AE34">
        <f>IF(AND('13 Man'!C34&lt;Tmax, NOT('13 Man'!$H34="")),'13 Man'!$H34,4)</f>
        <v>3</v>
      </c>
      <c r="AF34">
        <f>IF(AND('13 Man'!D34&lt;Tmax, NOT('13 Man'!$H34="")),'13 Man'!$H34,4)</f>
        <v>3</v>
      </c>
      <c r="AG34">
        <f>IF(AND('13 Man'!E34&lt;Tmax, NOT('13 Man'!$H34="")),'13 Man'!$H34,4)</f>
        <v>3</v>
      </c>
      <c r="AH34">
        <f>IF(AND('13 Man'!F34&lt;Tmax, NOT('13 Man'!$H34="")),'13 Man'!$H34,4)</f>
        <v>3</v>
      </c>
      <c r="AI34"/>
    </row>
    <row r="35" spans="1:35" s="600" customFormat="1" outlineLevel="2" x14ac:dyDescent="0.2">
      <c r="A35" s="601" t="s">
        <v>3002</v>
      </c>
      <c r="B35" s="601" t="s">
        <v>2614</v>
      </c>
      <c r="C35" s="597"/>
      <c r="D35" s="1539"/>
      <c r="E35" s="593"/>
      <c r="F35" s="593"/>
      <c r="G35" s="1515">
        <v>4</v>
      </c>
      <c r="H35" s="1524">
        <v>3</v>
      </c>
      <c r="I35" s="1524"/>
      <c r="J35" s="1524" t="s">
        <v>1592</v>
      </c>
      <c r="K35" s="1516"/>
      <c r="L35" s="1552"/>
      <c r="M35" s="598"/>
      <c r="N35" s="599"/>
      <c r="O35" s="599"/>
      <c r="P35" s="599"/>
      <c r="Q35" s="599"/>
      <c r="R35" s="599"/>
      <c r="S35" s="599"/>
      <c r="T35" s="599"/>
      <c r="U35" s="599"/>
      <c r="V35" s="599"/>
      <c r="W35" s="599"/>
      <c r="X35" s="599"/>
      <c r="Y35" s="599"/>
      <c r="Z35" s="599"/>
      <c r="AA35">
        <f>IF(AND('13 Man'!C35&gt;Tmin, NOT('13 Man'!$I35="")),'13 Man'!$I35,0)</f>
        <v>0</v>
      </c>
      <c r="AB35">
        <f>IF(AND('13 Man'!D35&gt;Tmin, NOT('13 Man'!$I35="")),'13 Man'!$I35,0)</f>
        <v>0</v>
      </c>
      <c r="AC35">
        <f>IF(AND('13 Man'!E35&gt;Tmin, NOT('13 Man'!$I35="")),'13 Man'!$I35,0)</f>
        <v>0</v>
      </c>
      <c r="AD35">
        <f>IF(AND('13 Man'!F35&gt;Tmin, NOT('13 Man'!$I35="")),'13 Man'!$I35,0)</f>
        <v>0</v>
      </c>
      <c r="AE35">
        <f>IF(AND('13 Man'!C35&lt;Tmax, NOT('13 Man'!$H35="")),'13 Man'!$H35,4)</f>
        <v>3</v>
      </c>
      <c r="AF35">
        <f>IF(AND('13 Man'!D35&lt;Tmax, NOT('13 Man'!$H35="")),'13 Man'!$H35,4)</f>
        <v>3</v>
      </c>
      <c r="AG35">
        <f>IF(AND('13 Man'!E35&lt;Tmax, NOT('13 Man'!$H35="")),'13 Man'!$H35,4)</f>
        <v>3</v>
      </c>
      <c r="AH35">
        <f>IF(AND('13 Man'!F35&lt;Tmax, NOT('13 Man'!$H35="")),'13 Man'!$H35,4)</f>
        <v>3</v>
      </c>
      <c r="AI35"/>
    </row>
    <row r="36" spans="1:35" s="600" customFormat="1" outlineLevel="2" x14ac:dyDescent="0.2">
      <c r="A36" s="601" t="s">
        <v>3003</v>
      </c>
      <c r="B36" s="601" t="s">
        <v>3105</v>
      </c>
      <c r="C36" s="597"/>
      <c r="D36" s="1539"/>
      <c r="E36" s="593"/>
      <c r="F36" s="593"/>
      <c r="G36" s="1515">
        <v>2</v>
      </c>
      <c r="H36" s="1524">
        <v>3</v>
      </c>
      <c r="I36" s="1524"/>
      <c r="J36" s="1524" t="s">
        <v>1592</v>
      </c>
      <c r="K36" s="1516"/>
      <c r="L36" s="1552"/>
      <c r="M36" s="598"/>
      <c r="N36" s="599"/>
      <c r="O36" s="599"/>
      <c r="P36" s="599"/>
      <c r="Q36" s="599"/>
      <c r="R36" s="599"/>
      <c r="S36" s="599"/>
      <c r="T36" s="599"/>
      <c r="U36" s="599"/>
      <c r="V36" s="599"/>
      <c r="W36" s="599"/>
      <c r="X36" s="599"/>
      <c r="Y36" s="599"/>
      <c r="Z36" s="599"/>
      <c r="AA36">
        <f>IF(AND('13 Man'!C36&gt;Tmin, NOT('13 Man'!$I36="")),'13 Man'!$I36,0)</f>
        <v>0</v>
      </c>
      <c r="AB36">
        <f>IF(AND('13 Man'!D36&gt;Tmin, NOT('13 Man'!$I36="")),'13 Man'!$I36,0)</f>
        <v>0</v>
      </c>
      <c r="AC36">
        <f>IF(AND('13 Man'!E36&gt;Tmin, NOT('13 Man'!$I36="")),'13 Man'!$I36,0)</f>
        <v>0</v>
      </c>
      <c r="AD36">
        <f>IF(AND('13 Man'!F36&gt;Tmin, NOT('13 Man'!$I36="")),'13 Man'!$I36,0)</f>
        <v>0</v>
      </c>
      <c r="AE36">
        <f>IF(AND('13 Man'!C36&lt;Tmax, NOT('13 Man'!$H36="")),'13 Man'!$H36,4)</f>
        <v>3</v>
      </c>
      <c r="AF36">
        <f>IF(AND('13 Man'!D36&lt;Tmax, NOT('13 Man'!$H36="")),'13 Man'!$H36,4)</f>
        <v>3</v>
      </c>
      <c r="AG36">
        <f>IF(AND('13 Man'!E36&lt;Tmax, NOT('13 Man'!$H36="")),'13 Man'!$H36,4)</f>
        <v>3</v>
      </c>
      <c r="AH36">
        <f>IF(AND('13 Man'!F36&lt;Tmax, NOT('13 Man'!$H36="")),'13 Man'!$H36,4)</f>
        <v>3</v>
      </c>
      <c r="AI36"/>
    </row>
    <row r="37" spans="1:35" ht="24" x14ac:dyDescent="0.2">
      <c r="A37" s="602" t="s">
        <v>3142</v>
      </c>
      <c r="B37" s="602" t="s">
        <v>7415</v>
      </c>
      <c r="C37" s="597"/>
      <c r="D37" s="1539"/>
      <c r="E37" s="593"/>
      <c r="F37" s="593"/>
      <c r="G37" s="1515"/>
      <c r="H37" s="1515"/>
      <c r="I37" s="1515"/>
      <c r="J37" s="1515"/>
      <c r="K37" s="1516"/>
      <c r="L37" s="1516"/>
      <c r="M37" s="594"/>
      <c r="AA37"/>
      <c r="AB37"/>
      <c r="AC37"/>
      <c r="AD37"/>
      <c r="AE37"/>
      <c r="AF37"/>
      <c r="AG37"/>
      <c r="AH37"/>
      <c r="AI37"/>
    </row>
    <row r="38" spans="1:35" s="600" customFormat="1" outlineLevel="1" x14ac:dyDescent="0.2">
      <c r="A38" s="595" t="s">
        <v>3671</v>
      </c>
      <c r="B38" s="596" t="s">
        <v>4392</v>
      </c>
      <c r="C38" s="597"/>
      <c r="D38" s="1539"/>
      <c r="E38" s="593"/>
      <c r="F38" s="593"/>
      <c r="G38" s="1515"/>
      <c r="H38" s="1515"/>
      <c r="I38" s="1515"/>
      <c r="J38" s="1515"/>
      <c r="K38" s="1516"/>
      <c r="L38" s="1516"/>
      <c r="M38" s="598"/>
      <c r="N38" s="599"/>
      <c r="O38" s="599"/>
      <c r="P38" s="599"/>
      <c r="Q38" s="599"/>
      <c r="R38" s="599"/>
      <c r="S38" s="599"/>
      <c r="T38" s="599"/>
      <c r="U38" s="599"/>
      <c r="V38" s="599"/>
      <c r="W38" s="599"/>
      <c r="X38" s="599"/>
      <c r="Y38" s="599"/>
      <c r="Z38" s="599"/>
      <c r="AA38"/>
      <c r="AB38"/>
      <c r="AC38"/>
      <c r="AD38"/>
      <c r="AE38"/>
      <c r="AF38"/>
      <c r="AG38"/>
      <c r="AH38"/>
      <c r="AI38"/>
    </row>
    <row r="39" spans="1:35" ht="22.5" outlineLevel="2" x14ac:dyDescent="0.2">
      <c r="A39" s="601" t="s">
        <v>3143</v>
      </c>
      <c r="B39" s="601" t="s">
        <v>1921</v>
      </c>
      <c r="C39" s="597"/>
      <c r="D39" s="1539"/>
      <c r="E39" s="593"/>
      <c r="F39" s="593"/>
      <c r="G39" s="1515">
        <v>4</v>
      </c>
      <c r="H39" s="1515"/>
      <c r="I39" s="1524"/>
      <c r="J39" s="1524" t="s">
        <v>2329</v>
      </c>
      <c r="K39" s="1516"/>
      <c r="L39" s="1552"/>
      <c r="M39" s="594"/>
      <c r="AA39">
        <f>IF(AND('13 Man'!C39&gt;Tmin, NOT('13 Man'!$I39="")),'13 Man'!$I39,0)</f>
        <v>0</v>
      </c>
      <c r="AB39">
        <f>IF(AND('13 Man'!D39&gt;Tmin, NOT('13 Man'!$I39="")),'13 Man'!$I39,0)</f>
        <v>0</v>
      </c>
      <c r="AC39">
        <f>IF(AND('13 Man'!E39&gt;Tmin, NOT('13 Man'!$I39="")),'13 Man'!$I39,0)</f>
        <v>0</v>
      </c>
      <c r="AD39">
        <f>IF(AND('13 Man'!F39&gt;Tmin, NOT('13 Man'!$I39="")),'13 Man'!$I39,0)</f>
        <v>0</v>
      </c>
      <c r="AE39">
        <f>IF(AND('13 Man'!C39&lt;Tmax, NOT('13 Man'!$H39="")),'13 Man'!$H39,4)</f>
        <v>4</v>
      </c>
      <c r="AF39">
        <f>IF(AND('13 Man'!D39&lt;Tmax, NOT('13 Man'!$H39="")),'13 Man'!$H39,4)</f>
        <v>4</v>
      </c>
      <c r="AG39">
        <f>IF(AND('13 Man'!E39&lt;Tmax, NOT('13 Man'!$H39="")),'13 Man'!$H39,4)</f>
        <v>4</v>
      </c>
      <c r="AH39">
        <f>IF(AND('13 Man'!F39&lt;Tmax, NOT('13 Man'!$H39="")),'13 Man'!$H39,4)</f>
        <v>4</v>
      </c>
      <c r="AI39"/>
    </row>
    <row r="40" spans="1:35" outlineLevel="2" x14ac:dyDescent="0.2">
      <c r="A40" s="601" t="s">
        <v>3144</v>
      </c>
      <c r="B40" s="601" t="s">
        <v>4371</v>
      </c>
      <c r="C40" s="597"/>
      <c r="D40" s="1539"/>
      <c r="E40" s="593"/>
      <c r="F40" s="593"/>
      <c r="G40" s="1515">
        <v>2</v>
      </c>
      <c r="H40" s="1524"/>
      <c r="I40" s="1524"/>
      <c r="J40" s="1524" t="s">
        <v>1592</v>
      </c>
      <c r="K40" s="1516"/>
      <c r="L40" s="1552"/>
      <c r="M40" s="594"/>
      <c r="AA40">
        <f>IF(AND('13 Man'!C40&gt;Tmin, NOT('13 Man'!$I40="")),'13 Man'!$I40,0)</f>
        <v>0</v>
      </c>
      <c r="AB40">
        <f>IF(AND('13 Man'!D40&gt;Tmin, NOT('13 Man'!$I40="")),'13 Man'!$I40,0)</f>
        <v>0</v>
      </c>
      <c r="AC40">
        <f>IF(AND('13 Man'!E40&gt;Tmin, NOT('13 Man'!$I40="")),'13 Man'!$I40,0)</f>
        <v>0</v>
      </c>
      <c r="AD40">
        <f>IF(AND('13 Man'!F40&gt;Tmin, NOT('13 Man'!$I40="")),'13 Man'!$I40,0)</f>
        <v>0</v>
      </c>
      <c r="AE40">
        <f>IF(AND('13 Man'!C40&lt;Tmax, NOT('13 Man'!$H40="")),'13 Man'!$H40,4)</f>
        <v>4</v>
      </c>
      <c r="AF40">
        <f>IF(AND('13 Man'!D40&lt;Tmax, NOT('13 Man'!$H40="")),'13 Man'!$H40,4)</f>
        <v>4</v>
      </c>
      <c r="AG40">
        <f>IF(AND('13 Man'!E40&lt;Tmax, NOT('13 Man'!$H40="")),'13 Man'!$H40,4)</f>
        <v>4</v>
      </c>
      <c r="AH40">
        <f>IF(AND('13 Man'!F40&lt;Tmax, NOT('13 Man'!$H40="")),'13 Man'!$H40,4)</f>
        <v>4</v>
      </c>
      <c r="AI40"/>
    </row>
    <row r="41" spans="1:35" s="600" customFormat="1" outlineLevel="2" x14ac:dyDescent="0.2">
      <c r="A41" s="601" t="s">
        <v>3145</v>
      </c>
      <c r="B41" s="601" t="s">
        <v>2929</v>
      </c>
      <c r="C41" s="597"/>
      <c r="D41" s="1539"/>
      <c r="E41" s="593"/>
      <c r="F41" s="593"/>
      <c r="G41" s="1515">
        <v>4</v>
      </c>
      <c r="H41" s="1515"/>
      <c r="I41" s="1515"/>
      <c r="J41" s="1515" t="s">
        <v>4246</v>
      </c>
      <c r="K41" s="1516"/>
      <c r="L41" s="1516"/>
      <c r="M41" s="598"/>
      <c r="N41" s="599"/>
      <c r="O41" s="599"/>
      <c r="P41" s="599"/>
      <c r="Q41" s="599"/>
      <c r="R41" s="599"/>
      <c r="S41" s="599"/>
      <c r="T41" s="599"/>
      <c r="U41" s="599"/>
      <c r="V41" s="599"/>
      <c r="W41" s="599"/>
      <c r="X41" s="599"/>
      <c r="Y41" s="599"/>
      <c r="Z41" s="599"/>
      <c r="AA41">
        <f>IF(AND('13 Man'!C41&gt;Tmin, NOT('13 Man'!$I41="")),'13 Man'!$I41,0)</f>
        <v>0</v>
      </c>
      <c r="AB41">
        <f>IF(AND('13 Man'!D41&gt;Tmin, NOT('13 Man'!$I41="")),'13 Man'!$I41,0)</f>
        <v>0</v>
      </c>
      <c r="AC41">
        <f>IF(AND('13 Man'!E41&gt;Tmin, NOT('13 Man'!$I41="")),'13 Man'!$I41,0)</f>
        <v>0</v>
      </c>
      <c r="AD41">
        <f>IF(AND('13 Man'!F41&gt;Tmin, NOT('13 Man'!$I41="")),'13 Man'!$I41,0)</f>
        <v>0</v>
      </c>
      <c r="AE41">
        <f>IF(AND('13 Man'!C41&lt;Tmax, NOT('13 Man'!$H41="")),'13 Man'!$H41,4)</f>
        <v>4</v>
      </c>
      <c r="AF41">
        <f>IF(AND('13 Man'!D41&lt;Tmax, NOT('13 Man'!$H41="")),'13 Man'!$H41,4)</f>
        <v>4</v>
      </c>
      <c r="AG41">
        <f>IF(AND('13 Man'!E41&lt;Tmax, NOT('13 Man'!$H41="")),'13 Man'!$H41,4)</f>
        <v>4</v>
      </c>
      <c r="AH41">
        <f>IF(AND('13 Man'!F41&lt;Tmax, NOT('13 Man'!$H41="")),'13 Man'!$H41,4)</f>
        <v>4</v>
      </c>
      <c r="AI41"/>
    </row>
    <row r="42" spans="1:35" s="600" customFormat="1" outlineLevel="2" x14ac:dyDescent="0.2">
      <c r="A42" s="601" t="s">
        <v>3146</v>
      </c>
      <c r="B42" s="601" t="s">
        <v>3694</v>
      </c>
      <c r="C42" s="597"/>
      <c r="D42" s="1539"/>
      <c r="E42" s="593"/>
      <c r="F42" s="593"/>
      <c r="G42" s="1515">
        <v>2</v>
      </c>
      <c r="H42" s="1524"/>
      <c r="I42" s="1524"/>
      <c r="J42" s="1515" t="s">
        <v>1592</v>
      </c>
      <c r="K42" s="1516"/>
      <c r="L42" s="1516"/>
      <c r="M42" s="598"/>
      <c r="N42" s="599"/>
      <c r="O42" s="599"/>
      <c r="P42" s="599"/>
      <c r="Q42" s="599"/>
      <c r="R42" s="599"/>
      <c r="S42" s="599"/>
      <c r="T42" s="599"/>
      <c r="U42" s="599"/>
      <c r="V42" s="599"/>
      <c r="W42" s="599"/>
      <c r="X42" s="599"/>
      <c r="Y42" s="599"/>
      <c r="Z42" s="599"/>
      <c r="AA42">
        <f>IF(AND('13 Man'!C42&gt;Tmin, NOT('13 Man'!$I42="")),'13 Man'!$I42,0)</f>
        <v>0</v>
      </c>
      <c r="AB42">
        <f>IF(AND('13 Man'!D42&gt;Tmin, NOT('13 Man'!$I42="")),'13 Man'!$I42,0)</f>
        <v>0</v>
      </c>
      <c r="AC42">
        <f>IF(AND('13 Man'!E42&gt;Tmin, NOT('13 Man'!$I42="")),'13 Man'!$I42,0)</f>
        <v>0</v>
      </c>
      <c r="AD42">
        <f>IF(AND('13 Man'!F42&gt;Tmin, NOT('13 Man'!$I42="")),'13 Man'!$I42,0)</f>
        <v>0</v>
      </c>
      <c r="AE42">
        <f>IF(AND('13 Man'!C42&lt;Tmax, NOT('13 Man'!$H42="")),'13 Man'!$H42,4)</f>
        <v>4</v>
      </c>
      <c r="AF42">
        <f>IF(AND('13 Man'!D42&lt;Tmax, NOT('13 Man'!$H42="")),'13 Man'!$H42,4)</f>
        <v>4</v>
      </c>
      <c r="AG42">
        <f>IF(AND('13 Man'!E42&lt;Tmax, NOT('13 Man'!$H42="")),'13 Man'!$H42,4)</f>
        <v>4</v>
      </c>
      <c r="AH42">
        <f>IF(AND('13 Man'!F42&lt;Tmax, NOT('13 Man'!$H42="")),'13 Man'!$H42,4)</f>
        <v>4</v>
      </c>
      <c r="AI42"/>
    </row>
    <row r="43" spans="1:35" s="600" customFormat="1" ht="12.75" customHeight="1" outlineLevel="2" x14ac:dyDescent="0.2">
      <c r="A43" s="601" t="s">
        <v>3147</v>
      </c>
      <c r="B43" s="601" t="s">
        <v>3393</v>
      </c>
      <c r="C43" s="597"/>
      <c r="D43" s="1539"/>
      <c r="E43" s="593"/>
      <c r="F43" s="593"/>
      <c r="G43" s="1515">
        <v>4</v>
      </c>
      <c r="H43" s="1524">
        <v>3</v>
      </c>
      <c r="I43" s="1524"/>
      <c r="J43" s="1524" t="s">
        <v>1592</v>
      </c>
      <c r="K43" s="1516"/>
      <c r="L43" s="1552"/>
      <c r="M43" s="598"/>
      <c r="N43" s="599"/>
      <c r="O43" s="599"/>
      <c r="P43" s="599"/>
      <c r="Q43" s="599"/>
      <c r="R43" s="599"/>
      <c r="S43" s="599"/>
      <c r="T43" s="599"/>
      <c r="U43" s="599"/>
      <c r="V43" s="599"/>
      <c r="W43" s="599"/>
      <c r="X43" s="599"/>
      <c r="Y43" s="599"/>
      <c r="Z43" s="599"/>
      <c r="AA43">
        <f>IF(AND('13 Man'!C43&gt;Tmin, NOT('13 Man'!$I43="")),'13 Man'!$I43,0)</f>
        <v>0</v>
      </c>
      <c r="AB43">
        <f>IF(AND('13 Man'!D43&gt;Tmin, NOT('13 Man'!$I43="")),'13 Man'!$I43,0)</f>
        <v>0</v>
      </c>
      <c r="AC43">
        <f>IF(AND('13 Man'!E43&gt;Tmin, NOT('13 Man'!$I43="")),'13 Man'!$I43,0)</f>
        <v>0</v>
      </c>
      <c r="AD43">
        <f>IF(AND('13 Man'!F43&gt;Tmin, NOT('13 Man'!$I43="")),'13 Man'!$I43,0)</f>
        <v>0</v>
      </c>
      <c r="AE43">
        <f>IF(AND('13 Man'!C43&lt;Tmax, NOT('13 Man'!$H43="")),'13 Man'!$H43,4)</f>
        <v>3</v>
      </c>
      <c r="AF43">
        <f>IF(AND('13 Man'!D43&lt;Tmax, NOT('13 Man'!$H43="")),'13 Man'!$H43,4)</f>
        <v>3</v>
      </c>
      <c r="AG43">
        <f>IF(AND('13 Man'!E43&lt;Tmax, NOT('13 Man'!$H43="")),'13 Man'!$H43,4)</f>
        <v>3</v>
      </c>
      <c r="AH43">
        <f>IF(AND('13 Man'!F43&lt;Tmax, NOT('13 Man'!$H43="")),'13 Man'!$H43,4)</f>
        <v>3</v>
      </c>
      <c r="AI43"/>
    </row>
    <row r="44" spans="1:35" ht="22.5" outlineLevel="2" x14ac:dyDescent="0.2">
      <c r="A44" s="601" t="s">
        <v>3148</v>
      </c>
      <c r="B44" s="601" t="s">
        <v>4941</v>
      </c>
      <c r="C44" s="597"/>
      <c r="D44" s="1539"/>
      <c r="E44" s="593"/>
      <c r="F44" s="593"/>
      <c r="G44" s="1515">
        <v>4</v>
      </c>
      <c r="H44" s="1515"/>
      <c r="I44" s="1524"/>
      <c r="J44" s="1524" t="s">
        <v>1592</v>
      </c>
      <c r="K44" s="1516"/>
      <c r="L44" s="1552"/>
      <c r="M44" s="594"/>
      <c r="AA44">
        <f>IF(AND('13 Man'!C44&gt;Tmin, NOT('13 Man'!$I44="")),'13 Man'!$I44,0)</f>
        <v>0</v>
      </c>
      <c r="AB44">
        <f>IF(AND('13 Man'!D44&gt;Tmin, NOT('13 Man'!$I44="")),'13 Man'!$I44,0)</f>
        <v>0</v>
      </c>
      <c r="AC44">
        <f>IF(AND('13 Man'!E44&gt;Tmin, NOT('13 Man'!$I44="")),'13 Man'!$I44,0)</f>
        <v>0</v>
      </c>
      <c r="AD44">
        <f>IF(AND('13 Man'!F44&gt;Tmin, NOT('13 Man'!$I44="")),'13 Man'!$I44,0)</f>
        <v>0</v>
      </c>
      <c r="AE44">
        <f>IF(AND('13 Man'!C44&lt;Tmax, NOT('13 Man'!$H44="")),'13 Man'!$H44,4)</f>
        <v>4</v>
      </c>
      <c r="AF44">
        <f>IF(AND('13 Man'!D44&lt;Tmax, NOT('13 Man'!$H44="")),'13 Man'!$H44,4)</f>
        <v>4</v>
      </c>
      <c r="AG44">
        <f>IF(AND('13 Man'!E44&lt;Tmax, NOT('13 Man'!$H44="")),'13 Man'!$H44,4)</f>
        <v>4</v>
      </c>
      <c r="AH44">
        <f>IF(AND('13 Man'!F44&lt;Tmax, NOT('13 Man'!$H44="")),'13 Man'!$H44,4)</f>
        <v>4</v>
      </c>
      <c r="AI44"/>
    </row>
    <row r="45" spans="1:35" ht="33.75" outlineLevel="2" x14ac:dyDescent="0.2">
      <c r="A45" s="601" t="s">
        <v>6579</v>
      </c>
      <c r="B45" s="601" t="s">
        <v>6689</v>
      </c>
      <c r="C45" s="597"/>
      <c r="D45" s="1539"/>
      <c r="E45" s="593"/>
      <c r="F45" s="593"/>
      <c r="G45" s="1515">
        <v>2</v>
      </c>
      <c r="H45" s="1515">
        <v>2</v>
      </c>
      <c r="I45" s="1524"/>
      <c r="J45" s="1524" t="s">
        <v>1592</v>
      </c>
      <c r="K45" s="1516"/>
      <c r="L45" s="1552"/>
      <c r="M45" s="594"/>
      <c r="AA45">
        <f>IF(AND('13 Man'!C45&gt;Tmin, NOT('13 Man'!$I45="")),'13 Man'!$I45,0)</f>
        <v>0</v>
      </c>
      <c r="AB45">
        <f>IF(AND('13 Man'!D45&gt;Tmin, NOT('13 Man'!$I45="")),'13 Man'!$I45,0)</f>
        <v>0</v>
      </c>
      <c r="AC45">
        <f>IF(AND('13 Man'!E45&gt;Tmin, NOT('13 Man'!$I45="")),'13 Man'!$I45,0)</f>
        <v>0</v>
      </c>
      <c r="AD45">
        <f>IF(AND('13 Man'!F45&gt;Tmin, NOT('13 Man'!$I45="")),'13 Man'!$I45,0)</f>
        <v>0</v>
      </c>
      <c r="AE45">
        <f>IF(AND('13 Man'!C45&lt;Tmax, NOT('13 Man'!$H45="")),'13 Man'!$H45,4)</f>
        <v>2</v>
      </c>
      <c r="AF45">
        <f>IF(AND('13 Man'!D45&lt;Tmax, NOT('13 Man'!$H45="")),'13 Man'!$H45,4)</f>
        <v>2</v>
      </c>
      <c r="AG45">
        <f>IF(AND('13 Man'!E45&lt;Tmax, NOT('13 Man'!$H45="")),'13 Man'!$H45,4)</f>
        <v>2</v>
      </c>
      <c r="AH45">
        <f>IF(AND('13 Man'!F45&lt;Tmax, NOT('13 Man'!$H45="")),'13 Man'!$H45,4)</f>
        <v>2</v>
      </c>
      <c r="AI45"/>
    </row>
    <row r="46" spans="1:35" ht="22.5" outlineLevel="2" x14ac:dyDescent="0.2">
      <c r="A46" s="601" t="s">
        <v>4372</v>
      </c>
      <c r="B46" s="601" t="s">
        <v>3893</v>
      </c>
      <c r="C46" s="597"/>
      <c r="D46" s="1539"/>
      <c r="E46" s="593"/>
      <c r="F46" s="593"/>
      <c r="G46" s="1515">
        <v>2</v>
      </c>
      <c r="H46" s="1515"/>
      <c r="I46" s="1524"/>
      <c r="J46" s="1524" t="s">
        <v>1592</v>
      </c>
      <c r="K46" s="1516"/>
      <c r="L46" s="1552"/>
      <c r="M46" s="594"/>
      <c r="AA46">
        <f>IF(AND('13 Man'!C46&gt;Tmin, NOT('13 Man'!$I46="")),'13 Man'!$I46,0)</f>
        <v>0</v>
      </c>
      <c r="AB46">
        <f>IF(AND('13 Man'!D46&gt;Tmin, NOT('13 Man'!$I46="")),'13 Man'!$I46,0)</f>
        <v>0</v>
      </c>
      <c r="AC46">
        <f>IF(AND('13 Man'!E46&gt;Tmin, NOT('13 Man'!$I46="")),'13 Man'!$I46,0)</f>
        <v>0</v>
      </c>
      <c r="AD46">
        <f>IF(AND('13 Man'!F46&gt;Tmin, NOT('13 Man'!$I46="")),'13 Man'!$I46,0)</f>
        <v>0</v>
      </c>
      <c r="AE46">
        <f>IF(AND('13 Man'!C46&lt;Tmax, NOT('13 Man'!$H46="")),'13 Man'!$H46,4)</f>
        <v>4</v>
      </c>
      <c r="AF46">
        <f>IF(AND('13 Man'!D46&lt;Tmax, NOT('13 Man'!$H46="")),'13 Man'!$H46,4)</f>
        <v>4</v>
      </c>
      <c r="AG46">
        <f>IF(AND('13 Man'!E46&lt;Tmax, NOT('13 Man'!$H46="")),'13 Man'!$H46,4)</f>
        <v>4</v>
      </c>
      <c r="AH46">
        <f>IF(AND('13 Man'!F46&lt;Tmax, NOT('13 Man'!$H46="")),'13 Man'!$H46,4)</f>
        <v>4</v>
      </c>
      <c r="AI46"/>
    </row>
    <row r="47" spans="1:35" ht="22.5" outlineLevel="2" x14ac:dyDescent="0.2">
      <c r="A47" s="601" t="s">
        <v>4373</v>
      </c>
      <c r="B47" s="601" t="s">
        <v>2885</v>
      </c>
      <c r="C47" s="597"/>
      <c r="D47" s="1539"/>
      <c r="E47" s="593"/>
      <c r="F47" s="593"/>
      <c r="G47" s="1515">
        <v>4</v>
      </c>
      <c r="H47" s="1515"/>
      <c r="I47" s="1524"/>
      <c r="J47" s="1524" t="s">
        <v>1592</v>
      </c>
      <c r="K47" s="1516"/>
      <c r="L47" s="1552"/>
      <c r="M47" s="594"/>
      <c r="AA47">
        <f>IF(AND('13 Man'!C47&gt;Tmin, NOT('13 Man'!$I47="")),'13 Man'!$I47,0)</f>
        <v>0</v>
      </c>
      <c r="AB47">
        <f>IF(AND('13 Man'!D47&gt;Tmin, NOT('13 Man'!$I47="")),'13 Man'!$I47,0)</f>
        <v>0</v>
      </c>
      <c r="AC47">
        <f>IF(AND('13 Man'!E47&gt;Tmin, NOT('13 Man'!$I47="")),'13 Man'!$I47,0)</f>
        <v>0</v>
      </c>
      <c r="AD47">
        <f>IF(AND('13 Man'!F47&gt;Tmin, NOT('13 Man'!$I47="")),'13 Man'!$I47,0)</f>
        <v>0</v>
      </c>
      <c r="AE47">
        <f>IF(AND('13 Man'!C47&lt;Tmax, NOT('13 Man'!$H47="")),'13 Man'!$H47,4)</f>
        <v>4</v>
      </c>
      <c r="AF47">
        <f>IF(AND('13 Man'!D47&lt;Tmax, NOT('13 Man'!$H47="")),'13 Man'!$H47,4)</f>
        <v>4</v>
      </c>
      <c r="AG47">
        <f>IF(AND('13 Man'!E47&lt;Tmax, NOT('13 Man'!$H47="")),'13 Man'!$H47,4)</f>
        <v>4</v>
      </c>
      <c r="AH47">
        <f>IF(AND('13 Man'!F47&lt;Tmax, NOT('13 Man'!$H47="")),'13 Man'!$H47,4)</f>
        <v>4</v>
      </c>
      <c r="AI47"/>
    </row>
    <row r="48" spans="1:35" ht="45" outlineLevel="2" x14ac:dyDescent="0.2">
      <c r="A48" s="601" t="s">
        <v>4374</v>
      </c>
      <c r="B48" s="601" t="s">
        <v>6044</v>
      </c>
      <c r="C48" s="597"/>
      <c r="D48" s="1539"/>
      <c r="E48" s="593"/>
      <c r="F48" s="593"/>
      <c r="G48" s="1515">
        <v>2</v>
      </c>
      <c r="H48" s="1515">
        <v>2</v>
      </c>
      <c r="I48" s="1524"/>
      <c r="J48" s="1524" t="s">
        <v>2329</v>
      </c>
      <c r="K48" s="1516"/>
      <c r="L48" s="1552"/>
      <c r="M48" s="594"/>
      <c r="AA48">
        <f>IF(AND('13 Man'!C48&gt;Tmin, NOT('13 Man'!$I48="")),'13 Man'!$I48,0)</f>
        <v>0</v>
      </c>
      <c r="AB48">
        <f>IF(AND('13 Man'!D48&gt;Tmin, NOT('13 Man'!$I48="")),'13 Man'!$I48,0)</f>
        <v>0</v>
      </c>
      <c r="AC48">
        <f>IF(AND('13 Man'!E48&gt;Tmin, NOT('13 Man'!$I48="")),'13 Man'!$I48,0)</f>
        <v>0</v>
      </c>
      <c r="AD48">
        <f>IF(AND('13 Man'!F48&gt;Tmin, NOT('13 Man'!$I48="")),'13 Man'!$I48,0)</f>
        <v>0</v>
      </c>
      <c r="AE48">
        <f>IF(AND('13 Man'!C48&lt;Tmax, NOT('13 Man'!$H48="")),'13 Man'!$H48,4)</f>
        <v>2</v>
      </c>
      <c r="AF48">
        <f>IF(AND('13 Man'!D48&lt;Tmax, NOT('13 Man'!$H48="")),'13 Man'!$H48,4)</f>
        <v>2</v>
      </c>
      <c r="AG48">
        <f>IF(AND('13 Man'!E48&lt;Tmax, NOT('13 Man'!$H48="")),'13 Man'!$H48,4)</f>
        <v>2</v>
      </c>
      <c r="AH48">
        <f>IF(AND('13 Man'!F48&lt;Tmax, NOT('13 Man'!$H48="")),'13 Man'!$H48,4)</f>
        <v>2</v>
      </c>
      <c r="AI48"/>
    </row>
    <row r="49" spans="1:35" ht="33.75" outlineLevel="2" x14ac:dyDescent="0.2">
      <c r="A49" s="601" t="s">
        <v>4375</v>
      </c>
      <c r="B49" s="601" t="s">
        <v>6045</v>
      </c>
      <c r="C49" s="597"/>
      <c r="D49" s="1539"/>
      <c r="E49" s="593"/>
      <c r="F49" s="593"/>
      <c r="G49" s="1515">
        <v>2</v>
      </c>
      <c r="H49" s="1515">
        <v>2</v>
      </c>
      <c r="I49" s="1524"/>
      <c r="J49" s="1524" t="s">
        <v>2109</v>
      </c>
      <c r="K49" s="1516"/>
      <c r="L49" s="1552"/>
      <c r="M49" s="594"/>
      <c r="AA49">
        <f>IF(AND('13 Man'!C49&gt;Tmin, NOT('13 Man'!$I49="")),'13 Man'!$I49,0)</f>
        <v>0</v>
      </c>
      <c r="AB49">
        <f>IF(AND('13 Man'!D49&gt;Tmin, NOT('13 Man'!$I49="")),'13 Man'!$I49,0)</f>
        <v>0</v>
      </c>
      <c r="AC49">
        <f>IF(AND('13 Man'!E49&gt;Tmin, NOT('13 Man'!$I49="")),'13 Man'!$I49,0)</f>
        <v>0</v>
      </c>
      <c r="AD49">
        <f>IF(AND('13 Man'!F49&gt;Tmin, NOT('13 Man'!$I49="")),'13 Man'!$I49,0)</f>
        <v>0</v>
      </c>
      <c r="AE49">
        <f>IF(AND('13 Man'!C49&lt;Tmax, NOT('13 Man'!$H49="")),'13 Man'!$H49,4)</f>
        <v>2</v>
      </c>
      <c r="AF49">
        <f>IF(AND('13 Man'!D49&lt;Tmax, NOT('13 Man'!$H49="")),'13 Man'!$H49,4)</f>
        <v>2</v>
      </c>
      <c r="AG49">
        <f>IF(AND('13 Man'!E49&lt;Tmax, NOT('13 Man'!$H49="")),'13 Man'!$H49,4)</f>
        <v>2</v>
      </c>
      <c r="AH49">
        <f>IF(AND('13 Man'!F49&lt;Tmax, NOT('13 Man'!$H49="")),'13 Man'!$H49,4)</f>
        <v>2</v>
      </c>
      <c r="AI49"/>
    </row>
    <row r="50" spans="1:35" s="600" customFormat="1" outlineLevel="2" x14ac:dyDescent="0.2">
      <c r="A50" s="601" t="s">
        <v>4376</v>
      </c>
      <c r="B50" s="601" t="s">
        <v>2930</v>
      </c>
      <c r="C50" s="597"/>
      <c r="D50" s="1539"/>
      <c r="E50" s="593"/>
      <c r="F50" s="593"/>
      <c r="G50" s="1515">
        <v>4</v>
      </c>
      <c r="H50" s="1524"/>
      <c r="I50" s="1524"/>
      <c r="J50" s="1515" t="s">
        <v>1592</v>
      </c>
      <c r="K50" s="1516"/>
      <c r="L50" s="1516"/>
      <c r="M50" s="598"/>
      <c r="N50" s="599"/>
      <c r="O50" s="599"/>
      <c r="P50" s="599"/>
      <c r="Q50" s="599"/>
      <c r="R50" s="599"/>
      <c r="S50" s="599"/>
      <c r="T50" s="599"/>
      <c r="U50" s="599"/>
      <c r="V50" s="599"/>
      <c r="W50" s="599"/>
      <c r="X50" s="599"/>
      <c r="Y50" s="599"/>
      <c r="Z50" s="599"/>
      <c r="AA50">
        <f>IF(AND('13 Man'!C50&gt;Tmin, NOT('13 Man'!$I50="")),'13 Man'!$I50,0)</f>
        <v>0</v>
      </c>
      <c r="AB50">
        <f>IF(AND('13 Man'!D50&gt;Tmin, NOT('13 Man'!$I50="")),'13 Man'!$I50,0)</f>
        <v>0</v>
      </c>
      <c r="AC50">
        <f>IF(AND('13 Man'!E50&gt;Tmin, NOT('13 Man'!$I50="")),'13 Man'!$I50,0)</f>
        <v>0</v>
      </c>
      <c r="AD50">
        <f>IF(AND('13 Man'!F50&gt;Tmin, NOT('13 Man'!$I50="")),'13 Man'!$I50,0)</f>
        <v>0</v>
      </c>
      <c r="AE50">
        <f>IF(AND('13 Man'!C50&lt;Tmax, NOT('13 Man'!$H50="")),'13 Man'!$H50,4)</f>
        <v>4</v>
      </c>
      <c r="AF50">
        <f>IF(AND('13 Man'!D50&lt;Tmax, NOT('13 Man'!$H50="")),'13 Man'!$H50,4)</f>
        <v>4</v>
      </c>
      <c r="AG50">
        <f>IF(AND('13 Man'!E50&lt;Tmax, NOT('13 Man'!$H50="")),'13 Man'!$H50,4)</f>
        <v>4</v>
      </c>
      <c r="AH50">
        <f>IF(AND('13 Man'!F50&lt;Tmax, NOT('13 Man'!$H50="")),'13 Man'!$H50,4)</f>
        <v>4</v>
      </c>
      <c r="AI50"/>
    </row>
    <row r="51" spans="1:35" s="600" customFormat="1" ht="22.5" outlineLevel="2" x14ac:dyDescent="0.2">
      <c r="A51" s="601" t="s">
        <v>4377</v>
      </c>
      <c r="B51" s="601" t="s">
        <v>3394</v>
      </c>
      <c r="C51" s="597"/>
      <c r="D51" s="1539"/>
      <c r="E51" s="593"/>
      <c r="F51" s="593"/>
      <c r="G51" s="1515">
        <v>4</v>
      </c>
      <c r="H51" s="1524"/>
      <c r="I51" s="1524"/>
      <c r="J51" s="1524" t="s">
        <v>4246</v>
      </c>
      <c r="K51" s="1516"/>
      <c r="L51" s="1552"/>
      <c r="M51" s="598"/>
      <c r="N51" s="599"/>
      <c r="O51" s="599"/>
      <c r="P51" s="599"/>
      <c r="Q51" s="599"/>
      <c r="R51" s="599"/>
      <c r="S51" s="599"/>
      <c r="T51" s="599"/>
      <c r="U51" s="599"/>
      <c r="V51" s="599"/>
      <c r="W51" s="599"/>
      <c r="X51" s="599"/>
      <c r="Y51" s="599"/>
      <c r="Z51" s="599"/>
      <c r="AA51">
        <f>IF(AND('13 Man'!C51&gt;Tmin, NOT('13 Man'!$I51="")),'13 Man'!$I51,0)</f>
        <v>0</v>
      </c>
      <c r="AB51">
        <f>IF(AND('13 Man'!D51&gt;Tmin, NOT('13 Man'!$I51="")),'13 Man'!$I51,0)</f>
        <v>0</v>
      </c>
      <c r="AC51">
        <f>IF(AND('13 Man'!E51&gt;Tmin, NOT('13 Man'!$I51="")),'13 Man'!$I51,0)</f>
        <v>0</v>
      </c>
      <c r="AD51">
        <f>IF(AND('13 Man'!F51&gt;Tmin, NOT('13 Man'!$I51="")),'13 Man'!$I51,0)</f>
        <v>0</v>
      </c>
      <c r="AE51">
        <f>IF(AND('13 Man'!C51&lt;Tmax, NOT('13 Man'!$H51="")),'13 Man'!$H51,4)</f>
        <v>4</v>
      </c>
      <c r="AF51">
        <f>IF(AND('13 Man'!D51&lt;Tmax, NOT('13 Man'!$H51="")),'13 Man'!$H51,4)</f>
        <v>4</v>
      </c>
      <c r="AG51">
        <f>IF(AND('13 Man'!E51&lt;Tmax, NOT('13 Man'!$H51="")),'13 Man'!$H51,4)</f>
        <v>4</v>
      </c>
      <c r="AH51">
        <f>IF(AND('13 Man'!F51&lt;Tmax, NOT('13 Man'!$H51="")),'13 Man'!$H51,4)</f>
        <v>4</v>
      </c>
      <c r="AI51"/>
    </row>
    <row r="52" spans="1:35" s="600" customFormat="1" ht="22.5" outlineLevel="2" x14ac:dyDescent="0.2">
      <c r="A52" s="601" t="s">
        <v>4378</v>
      </c>
      <c r="B52" s="601" t="s">
        <v>2931</v>
      </c>
      <c r="C52" s="597"/>
      <c r="D52" s="1539"/>
      <c r="E52" s="593"/>
      <c r="F52" s="593"/>
      <c r="G52" s="1515">
        <v>4</v>
      </c>
      <c r="H52" s="1515"/>
      <c r="I52" s="1515"/>
      <c r="J52" s="1524" t="s">
        <v>1592</v>
      </c>
      <c r="K52" s="1516"/>
      <c r="L52" s="1552"/>
      <c r="M52" s="598"/>
      <c r="N52" s="599"/>
      <c r="O52" s="599"/>
      <c r="P52" s="599"/>
      <c r="Q52" s="599"/>
      <c r="R52" s="599"/>
      <c r="S52" s="599"/>
      <c r="T52" s="599"/>
      <c r="U52" s="599"/>
      <c r="V52" s="599"/>
      <c r="W52" s="599"/>
      <c r="X52" s="599"/>
      <c r="Y52" s="599"/>
      <c r="Z52" s="599"/>
      <c r="AA52">
        <f>IF(AND('13 Man'!C52&gt;Tmin, NOT('13 Man'!$I52="")),'13 Man'!$I52,0)</f>
        <v>0</v>
      </c>
      <c r="AB52">
        <f>IF(AND('13 Man'!D52&gt;Tmin, NOT('13 Man'!$I52="")),'13 Man'!$I52,0)</f>
        <v>0</v>
      </c>
      <c r="AC52">
        <f>IF(AND('13 Man'!E52&gt;Tmin, NOT('13 Man'!$I52="")),'13 Man'!$I52,0)</f>
        <v>0</v>
      </c>
      <c r="AD52">
        <f>IF(AND('13 Man'!F52&gt;Tmin, NOT('13 Man'!$I52="")),'13 Man'!$I52,0)</f>
        <v>0</v>
      </c>
      <c r="AE52">
        <f>IF(AND('13 Man'!C52&lt;Tmax, NOT('13 Man'!$H52="")),'13 Man'!$H52,4)</f>
        <v>4</v>
      </c>
      <c r="AF52">
        <f>IF(AND('13 Man'!D52&lt;Tmax, NOT('13 Man'!$H52="")),'13 Man'!$H52,4)</f>
        <v>4</v>
      </c>
      <c r="AG52">
        <f>IF(AND('13 Man'!E52&lt;Tmax, NOT('13 Man'!$H52="")),'13 Man'!$H52,4)</f>
        <v>4</v>
      </c>
      <c r="AH52">
        <f>IF(AND('13 Man'!F52&lt;Tmax, NOT('13 Man'!$H52="")),'13 Man'!$H52,4)</f>
        <v>4</v>
      </c>
      <c r="AI52"/>
    </row>
    <row r="53" spans="1:35" s="600" customFormat="1" outlineLevel="2" x14ac:dyDescent="0.2">
      <c r="A53" s="601" t="s">
        <v>4379</v>
      </c>
      <c r="B53" s="601" t="s">
        <v>2932</v>
      </c>
      <c r="C53" s="597"/>
      <c r="D53" s="1539"/>
      <c r="E53" s="593"/>
      <c r="F53" s="593"/>
      <c r="G53" s="1515">
        <v>2</v>
      </c>
      <c r="H53" s="1524">
        <v>3</v>
      </c>
      <c r="I53" s="1524"/>
      <c r="J53" s="1524" t="s">
        <v>1592</v>
      </c>
      <c r="K53" s="1516"/>
      <c r="L53" s="1552"/>
      <c r="M53" s="598"/>
      <c r="N53" s="599"/>
      <c r="O53" s="599"/>
      <c r="P53" s="599"/>
      <c r="Q53" s="599"/>
      <c r="R53" s="599"/>
      <c r="S53" s="599"/>
      <c r="T53" s="599"/>
      <c r="U53" s="599"/>
      <c r="V53" s="599"/>
      <c r="W53" s="599"/>
      <c r="X53" s="599"/>
      <c r="Y53" s="599"/>
      <c r="Z53" s="599"/>
      <c r="AA53">
        <f>IF(AND('13 Man'!C53&gt;Tmin, NOT('13 Man'!$I53="")),'13 Man'!$I53,0)</f>
        <v>0</v>
      </c>
      <c r="AB53">
        <f>IF(AND('13 Man'!D53&gt;Tmin, NOT('13 Man'!$I53="")),'13 Man'!$I53,0)</f>
        <v>0</v>
      </c>
      <c r="AC53">
        <f>IF(AND('13 Man'!E53&gt;Tmin, NOT('13 Man'!$I53="")),'13 Man'!$I53,0)</f>
        <v>0</v>
      </c>
      <c r="AD53">
        <f>IF(AND('13 Man'!F53&gt;Tmin, NOT('13 Man'!$I53="")),'13 Man'!$I53,0)</f>
        <v>0</v>
      </c>
      <c r="AE53">
        <f>IF(AND('13 Man'!C53&lt;Tmax, NOT('13 Man'!$H53="")),'13 Man'!$H53,4)</f>
        <v>3</v>
      </c>
      <c r="AF53">
        <f>IF(AND('13 Man'!D53&lt;Tmax, NOT('13 Man'!$H53="")),'13 Man'!$H53,4)</f>
        <v>3</v>
      </c>
      <c r="AG53">
        <f>IF(AND('13 Man'!E53&lt;Tmax, NOT('13 Man'!$H53="")),'13 Man'!$H53,4)</f>
        <v>3</v>
      </c>
      <c r="AH53">
        <f>IF(AND('13 Man'!F53&lt;Tmax, NOT('13 Man'!$H53="")),'13 Man'!$H53,4)</f>
        <v>3</v>
      </c>
      <c r="AI53"/>
    </row>
    <row r="54" spans="1:35" s="600" customFormat="1" outlineLevel="1" x14ac:dyDescent="0.2">
      <c r="A54" s="595" t="s">
        <v>4380</v>
      </c>
      <c r="B54" s="596" t="s">
        <v>2933</v>
      </c>
      <c r="C54" s="597"/>
      <c r="D54" s="1539"/>
      <c r="E54" s="593"/>
      <c r="F54" s="593"/>
      <c r="G54" s="1515"/>
      <c r="H54" s="1515"/>
      <c r="I54" s="1515"/>
      <c r="J54" s="1524"/>
      <c r="K54" s="1516"/>
      <c r="L54" s="1552"/>
      <c r="M54" s="598"/>
      <c r="N54" s="599"/>
      <c r="O54" s="599"/>
      <c r="P54" s="599"/>
      <c r="Q54" s="599"/>
      <c r="R54" s="599"/>
      <c r="S54" s="599"/>
      <c r="T54" s="599"/>
      <c r="U54" s="599"/>
      <c r="V54" s="599"/>
      <c r="W54" s="599"/>
      <c r="X54" s="599"/>
      <c r="Y54" s="599"/>
      <c r="Z54" s="599"/>
      <c r="AA54"/>
      <c r="AB54"/>
      <c r="AC54"/>
      <c r="AD54"/>
      <c r="AE54"/>
      <c r="AF54"/>
      <c r="AG54"/>
      <c r="AH54"/>
      <c r="AI54"/>
    </row>
    <row r="55" spans="1:35" s="600" customFormat="1" outlineLevel="2" x14ac:dyDescent="0.2">
      <c r="A55" s="601" t="s">
        <v>4381</v>
      </c>
      <c r="B55" s="601" t="s">
        <v>2934</v>
      </c>
      <c r="C55" s="597"/>
      <c r="D55" s="1539"/>
      <c r="E55" s="593"/>
      <c r="F55" s="593"/>
      <c r="G55" s="1515">
        <v>2</v>
      </c>
      <c r="H55" s="1515"/>
      <c r="I55" s="1515"/>
      <c r="J55" s="1524" t="s">
        <v>4246</v>
      </c>
      <c r="K55" s="1516"/>
      <c r="L55" s="1552"/>
      <c r="M55" s="598"/>
      <c r="N55" s="599"/>
      <c r="O55" s="599"/>
      <c r="P55" s="599"/>
      <c r="Q55" s="599"/>
      <c r="R55" s="599"/>
      <c r="S55" s="599"/>
      <c r="T55" s="599"/>
      <c r="U55" s="599"/>
      <c r="V55" s="599"/>
      <c r="W55" s="599"/>
      <c r="X55" s="599"/>
      <c r="Y55" s="599"/>
      <c r="Z55" s="599"/>
      <c r="AA55">
        <f>IF(AND('13 Man'!C55&gt;Tmin, NOT('13 Man'!$I55="")),'13 Man'!$I55,0)</f>
        <v>0</v>
      </c>
      <c r="AB55">
        <f>IF(AND('13 Man'!D55&gt;Tmin, NOT('13 Man'!$I55="")),'13 Man'!$I55,0)</f>
        <v>0</v>
      </c>
      <c r="AC55">
        <f>IF(AND('13 Man'!E55&gt;Tmin, NOT('13 Man'!$I55="")),'13 Man'!$I55,0)</f>
        <v>0</v>
      </c>
      <c r="AD55">
        <f>IF(AND('13 Man'!F55&gt;Tmin, NOT('13 Man'!$I55="")),'13 Man'!$I55,0)</f>
        <v>0</v>
      </c>
      <c r="AE55">
        <f>IF(AND('13 Man'!C55&lt;Tmax, NOT('13 Man'!$H55="")),'13 Man'!$H55,4)</f>
        <v>4</v>
      </c>
      <c r="AF55">
        <f>IF(AND('13 Man'!D55&lt;Tmax, NOT('13 Man'!$H55="")),'13 Man'!$H55,4)</f>
        <v>4</v>
      </c>
      <c r="AG55">
        <f>IF(AND('13 Man'!E55&lt;Tmax, NOT('13 Man'!$H55="")),'13 Man'!$H55,4)</f>
        <v>4</v>
      </c>
      <c r="AH55">
        <f>IF(AND('13 Man'!F55&lt;Tmax, NOT('13 Man'!$H55="")),'13 Man'!$H55,4)</f>
        <v>4</v>
      </c>
      <c r="AI55"/>
    </row>
    <row r="56" spans="1:35" s="600" customFormat="1" outlineLevel="2" x14ac:dyDescent="0.2">
      <c r="A56" s="601" t="s">
        <v>4382</v>
      </c>
      <c r="B56" s="601" t="s">
        <v>1556</v>
      </c>
      <c r="C56" s="597"/>
      <c r="D56" s="1539"/>
      <c r="E56" s="593"/>
      <c r="F56" s="593"/>
      <c r="G56" s="1515">
        <v>2</v>
      </c>
      <c r="H56" s="1515"/>
      <c r="I56" s="1515"/>
      <c r="J56" s="1524" t="s">
        <v>1592</v>
      </c>
      <c r="K56" s="1516"/>
      <c r="L56" s="1552"/>
      <c r="M56" s="598"/>
      <c r="N56" s="599"/>
      <c r="O56" s="599"/>
      <c r="P56" s="599"/>
      <c r="Q56" s="599"/>
      <c r="R56" s="599"/>
      <c r="S56" s="599"/>
      <c r="T56" s="599"/>
      <c r="U56" s="599"/>
      <c r="V56" s="599"/>
      <c r="W56" s="599"/>
      <c r="X56" s="599"/>
      <c r="Y56" s="599"/>
      <c r="Z56" s="599"/>
      <c r="AA56">
        <f>IF(AND('13 Man'!C56&gt;Tmin, NOT('13 Man'!$I56="")),'13 Man'!$I56,0)</f>
        <v>0</v>
      </c>
      <c r="AB56">
        <f>IF(AND('13 Man'!D56&gt;Tmin, NOT('13 Man'!$I56="")),'13 Man'!$I56,0)</f>
        <v>0</v>
      </c>
      <c r="AC56">
        <f>IF(AND('13 Man'!E56&gt;Tmin, NOT('13 Man'!$I56="")),'13 Man'!$I56,0)</f>
        <v>0</v>
      </c>
      <c r="AD56">
        <f>IF(AND('13 Man'!F56&gt;Tmin, NOT('13 Man'!$I56="")),'13 Man'!$I56,0)</f>
        <v>0</v>
      </c>
      <c r="AE56">
        <f>IF(AND('13 Man'!C56&lt;Tmax, NOT('13 Man'!$H56="")),'13 Man'!$H56,4)</f>
        <v>4</v>
      </c>
      <c r="AF56">
        <f>IF(AND('13 Man'!D56&lt;Tmax, NOT('13 Man'!$H56="")),'13 Man'!$H56,4)</f>
        <v>4</v>
      </c>
      <c r="AG56">
        <f>IF(AND('13 Man'!E56&lt;Tmax, NOT('13 Man'!$H56="")),'13 Man'!$H56,4)</f>
        <v>4</v>
      </c>
      <c r="AH56">
        <f>IF(AND('13 Man'!F56&lt;Tmax, NOT('13 Man'!$H56="")),'13 Man'!$H56,4)</f>
        <v>4</v>
      </c>
      <c r="AI56"/>
    </row>
    <row r="57" spans="1:35" s="600" customFormat="1" ht="22.5" outlineLevel="2" x14ac:dyDescent="0.2">
      <c r="A57" s="601" t="s">
        <v>4383</v>
      </c>
      <c r="B57" s="601" t="s">
        <v>2400</v>
      </c>
      <c r="C57" s="597"/>
      <c r="D57" s="1539"/>
      <c r="E57" s="593"/>
      <c r="F57" s="593"/>
      <c r="G57" s="1515">
        <v>2</v>
      </c>
      <c r="H57" s="1524"/>
      <c r="I57" s="1524"/>
      <c r="J57" s="1524" t="s">
        <v>1592</v>
      </c>
      <c r="K57" s="1516"/>
      <c r="L57" s="1552"/>
      <c r="M57" s="598"/>
      <c r="N57" s="599"/>
      <c r="O57" s="599"/>
      <c r="P57" s="599"/>
      <c r="Q57" s="599"/>
      <c r="R57" s="599"/>
      <c r="S57" s="599"/>
      <c r="T57" s="599"/>
      <c r="U57" s="599"/>
      <c r="V57" s="599"/>
      <c r="W57" s="599"/>
      <c r="X57" s="599"/>
      <c r="Y57" s="599"/>
      <c r="Z57" s="599"/>
      <c r="AA57">
        <f>IF(AND('13 Man'!C57&gt;Tmin, NOT('13 Man'!$I57="")),'13 Man'!$I57,0)</f>
        <v>0</v>
      </c>
      <c r="AB57">
        <f>IF(AND('13 Man'!D57&gt;Tmin, NOT('13 Man'!$I57="")),'13 Man'!$I57,0)</f>
        <v>0</v>
      </c>
      <c r="AC57">
        <f>IF(AND('13 Man'!E57&gt;Tmin, NOT('13 Man'!$I57="")),'13 Man'!$I57,0)</f>
        <v>0</v>
      </c>
      <c r="AD57">
        <f>IF(AND('13 Man'!F57&gt;Tmin, NOT('13 Man'!$I57="")),'13 Man'!$I57,0)</f>
        <v>0</v>
      </c>
      <c r="AE57">
        <f>IF(AND('13 Man'!C57&lt;Tmax, NOT('13 Man'!$H57="")),'13 Man'!$H57,4)</f>
        <v>4</v>
      </c>
      <c r="AF57">
        <f>IF(AND('13 Man'!D57&lt;Tmax, NOT('13 Man'!$H57="")),'13 Man'!$H57,4)</f>
        <v>4</v>
      </c>
      <c r="AG57">
        <f>IF(AND('13 Man'!E57&lt;Tmax, NOT('13 Man'!$H57="")),'13 Man'!$H57,4)</f>
        <v>4</v>
      </c>
      <c r="AH57">
        <f>IF(AND('13 Man'!F57&lt;Tmax, NOT('13 Man'!$H57="")),'13 Man'!$H57,4)</f>
        <v>4</v>
      </c>
      <c r="AI57"/>
    </row>
    <row r="58" spans="1:35" s="600" customFormat="1" outlineLevel="2" x14ac:dyDescent="0.2">
      <c r="A58" s="601" t="s">
        <v>4384</v>
      </c>
      <c r="B58" s="601" t="s">
        <v>2744</v>
      </c>
      <c r="C58" s="597"/>
      <c r="D58" s="1539"/>
      <c r="E58" s="593"/>
      <c r="F58" s="593"/>
      <c r="G58" s="1515">
        <v>4</v>
      </c>
      <c r="H58" s="1524"/>
      <c r="I58" s="1524"/>
      <c r="J58" s="1524" t="s">
        <v>1592</v>
      </c>
      <c r="K58" s="1516"/>
      <c r="L58" s="1552"/>
      <c r="M58" s="598"/>
      <c r="N58" s="599"/>
      <c r="O58" s="599"/>
      <c r="P58" s="599"/>
      <c r="Q58" s="599"/>
      <c r="R58" s="599"/>
      <c r="S58" s="599"/>
      <c r="T58" s="599"/>
      <c r="U58" s="599"/>
      <c r="V58" s="599"/>
      <c r="W58" s="599"/>
      <c r="X58" s="599"/>
      <c r="Y58" s="599"/>
      <c r="Z58" s="599"/>
      <c r="AA58">
        <f>IF(AND('13 Man'!C58&gt;Tmin, NOT('13 Man'!$I58="")),'13 Man'!$I58,0)</f>
        <v>0</v>
      </c>
      <c r="AB58">
        <f>IF(AND('13 Man'!D58&gt;Tmin, NOT('13 Man'!$I58="")),'13 Man'!$I58,0)</f>
        <v>0</v>
      </c>
      <c r="AC58">
        <f>IF(AND('13 Man'!E58&gt;Tmin, NOT('13 Man'!$I58="")),'13 Man'!$I58,0)</f>
        <v>0</v>
      </c>
      <c r="AD58">
        <f>IF(AND('13 Man'!F58&gt;Tmin, NOT('13 Man'!$I58="")),'13 Man'!$I58,0)</f>
        <v>0</v>
      </c>
      <c r="AE58">
        <f>IF(AND('13 Man'!C58&lt;Tmax, NOT('13 Man'!$H58="")),'13 Man'!$H58,4)</f>
        <v>4</v>
      </c>
      <c r="AF58">
        <f>IF(AND('13 Man'!D58&lt;Tmax, NOT('13 Man'!$H58="")),'13 Man'!$H58,4)</f>
        <v>4</v>
      </c>
      <c r="AG58">
        <f>IF(AND('13 Man'!E58&lt;Tmax, NOT('13 Man'!$H58="")),'13 Man'!$H58,4)</f>
        <v>4</v>
      </c>
      <c r="AH58">
        <f>IF(AND('13 Man'!F58&lt;Tmax, NOT('13 Man'!$H58="")),'13 Man'!$H58,4)</f>
        <v>4</v>
      </c>
      <c r="AI58"/>
    </row>
    <row r="59" spans="1:35" s="600" customFormat="1" ht="22.5" outlineLevel="2" x14ac:dyDescent="0.2">
      <c r="A59" s="601" t="s">
        <v>4385</v>
      </c>
      <c r="B59" s="601" t="s">
        <v>5296</v>
      </c>
      <c r="C59" s="597"/>
      <c r="D59" s="1539"/>
      <c r="E59" s="593"/>
      <c r="F59" s="593"/>
      <c r="G59" s="1515">
        <v>4</v>
      </c>
      <c r="H59" s="1515"/>
      <c r="I59" s="1515"/>
      <c r="J59" s="1524" t="s">
        <v>1592</v>
      </c>
      <c r="K59" s="1516"/>
      <c r="L59" s="1552"/>
      <c r="M59" s="598"/>
      <c r="N59" s="599"/>
      <c r="O59" s="599"/>
      <c r="P59" s="599"/>
      <c r="Q59" s="599"/>
      <c r="R59" s="599"/>
      <c r="S59" s="599"/>
      <c r="T59" s="599"/>
      <c r="U59" s="599"/>
      <c r="V59" s="599"/>
      <c r="W59" s="599"/>
      <c r="X59" s="599"/>
      <c r="Y59" s="599"/>
      <c r="Z59" s="599"/>
      <c r="AA59">
        <f>IF(AND('13 Man'!C59&gt;Tmin, NOT('13 Man'!$I59="")),'13 Man'!$I59,0)</f>
        <v>0</v>
      </c>
      <c r="AB59">
        <f>IF(AND('13 Man'!D59&gt;Tmin, NOT('13 Man'!$I59="")),'13 Man'!$I59,0)</f>
        <v>0</v>
      </c>
      <c r="AC59">
        <f>IF(AND('13 Man'!E59&gt;Tmin, NOT('13 Man'!$I59="")),'13 Man'!$I59,0)</f>
        <v>0</v>
      </c>
      <c r="AD59">
        <f>IF(AND('13 Man'!F59&gt;Tmin, NOT('13 Man'!$I59="")),'13 Man'!$I59,0)</f>
        <v>0</v>
      </c>
      <c r="AE59">
        <f>IF(AND('13 Man'!C59&lt;Tmax, NOT('13 Man'!$H59="")),'13 Man'!$H59,4)</f>
        <v>4</v>
      </c>
      <c r="AF59">
        <f>IF(AND('13 Man'!D59&lt;Tmax, NOT('13 Man'!$H59="")),'13 Man'!$H59,4)</f>
        <v>4</v>
      </c>
      <c r="AG59">
        <f>IF(AND('13 Man'!E59&lt;Tmax, NOT('13 Man'!$H59="")),'13 Man'!$H59,4)</f>
        <v>4</v>
      </c>
      <c r="AH59">
        <f>IF(AND('13 Man'!F59&lt;Tmax, NOT('13 Man'!$H59="")),'13 Man'!$H59,4)</f>
        <v>4</v>
      </c>
      <c r="AI59"/>
    </row>
    <row r="60" spans="1:35" s="600" customFormat="1" ht="22.5" outlineLevel="2" x14ac:dyDescent="0.2">
      <c r="A60" s="601" t="s">
        <v>4386</v>
      </c>
      <c r="B60" s="601" t="s">
        <v>5297</v>
      </c>
      <c r="C60" s="597"/>
      <c r="D60" s="1539"/>
      <c r="E60" s="593"/>
      <c r="F60" s="593"/>
      <c r="G60" s="1515">
        <v>4</v>
      </c>
      <c r="H60" s="1524"/>
      <c r="I60" s="1524"/>
      <c r="J60" s="1524" t="s">
        <v>1592</v>
      </c>
      <c r="K60" s="1516"/>
      <c r="L60" s="1552"/>
      <c r="M60" s="598"/>
      <c r="N60" s="599"/>
      <c r="O60" s="599"/>
      <c r="P60" s="599"/>
      <c r="Q60" s="599"/>
      <c r="R60" s="599"/>
      <c r="S60" s="599"/>
      <c r="T60" s="599"/>
      <c r="U60" s="599"/>
      <c r="V60" s="599"/>
      <c r="W60" s="599"/>
      <c r="X60" s="599"/>
      <c r="Y60" s="599"/>
      <c r="Z60" s="599"/>
      <c r="AA60">
        <f>IF(AND('13 Man'!C60&gt;Tmin, NOT('13 Man'!$I60="")),'13 Man'!$I60,0)</f>
        <v>0</v>
      </c>
      <c r="AB60">
        <f>IF(AND('13 Man'!D60&gt;Tmin, NOT('13 Man'!$I60="")),'13 Man'!$I60,0)</f>
        <v>0</v>
      </c>
      <c r="AC60">
        <f>IF(AND('13 Man'!E60&gt;Tmin, NOT('13 Man'!$I60="")),'13 Man'!$I60,0)</f>
        <v>0</v>
      </c>
      <c r="AD60">
        <f>IF(AND('13 Man'!F60&gt;Tmin, NOT('13 Man'!$I60="")),'13 Man'!$I60,0)</f>
        <v>0</v>
      </c>
      <c r="AE60">
        <f>IF(AND('13 Man'!C60&lt;Tmax, NOT('13 Man'!$H60="")),'13 Man'!$H60,4)</f>
        <v>4</v>
      </c>
      <c r="AF60">
        <f>IF(AND('13 Man'!D60&lt;Tmax, NOT('13 Man'!$H60="")),'13 Man'!$H60,4)</f>
        <v>4</v>
      </c>
      <c r="AG60">
        <f>IF(AND('13 Man'!E60&lt;Tmax, NOT('13 Man'!$H60="")),'13 Man'!$H60,4)</f>
        <v>4</v>
      </c>
      <c r="AH60">
        <f>IF(AND('13 Man'!F60&lt;Tmax, NOT('13 Man'!$H60="")),'13 Man'!$H60,4)</f>
        <v>4</v>
      </c>
      <c r="AI60"/>
    </row>
    <row r="61" spans="1:35" s="600" customFormat="1" ht="22.5" outlineLevel="2" x14ac:dyDescent="0.2">
      <c r="A61" s="601" t="s">
        <v>4387</v>
      </c>
      <c r="B61" s="601" t="s">
        <v>3384</v>
      </c>
      <c r="C61" s="597"/>
      <c r="D61" s="1539"/>
      <c r="E61" s="593"/>
      <c r="F61" s="593"/>
      <c r="G61" s="1515">
        <v>4</v>
      </c>
      <c r="H61" s="1524">
        <v>3</v>
      </c>
      <c r="I61" s="1524"/>
      <c r="J61" s="1524" t="s">
        <v>2329</v>
      </c>
      <c r="K61" s="1516"/>
      <c r="L61" s="1552"/>
      <c r="M61" s="598"/>
      <c r="N61" s="599"/>
      <c r="O61" s="599"/>
      <c r="P61" s="599"/>
      <c r="Q61" s="599"/>
      <c r="R61" s="599"/>
      <c r="S61" s="599"/>
      <c r="T61" s="599"/>
      <c r="U61" s="599"/>
      <c r="V61" s="599"/>
      <c r="W61" s="599"/>
      <c r="X61" s="599"/>
      <c r="Y61" s="599"/>
      <c r="Z61" s="599"/>
      <c r="AA61">
        <f>IF(AND('13 Man'!C61&gt;Tmin, NOT('13 Man'!$I61="")),'13 Man'!$I61,0)</f>
        <v>0</v>
      </c>
      <c r="AB61">
        <f>IF(AND('13 Man'!D61&gt;Tmin, NOT('13 Man'!$I61="")),'13 Man'!$I61,0)</f>
        <v>0</v>
      </c>
      <c r="AC61">
        <f>IF(AND('13 Man'!E61&gt;Tmin, NOT('13 Man'!$I61="")),'13 Man'!$I61,0)</f>
        <v>0</v>
      </c>
      <c r="AD61">
        <f>IF(AND('13 Man'!F61&gt;Tmin, NOT('13 Man'!$I61="")),'13 Man'!$I61,0)</f>
        <v>0</v>
      </c>
      <c r="AE61">
        <f>IF(AND('13 Man'!C61&lt;Tmax, NOT('13 Man'!$H61="")),'13 Man'!$H61,4)</f>
        <v>3</v>
      </c>
      <c r="AF61">
        <f>IF(AND('13 Man'!D61&lt;Tmax, NOT('13 Man'!$H61="")),'13 Man'!$H61,4)</f>
        <v>3</v>
      </c>
      <c r="AG61">
        <f>IF(AND('13 Man'!E61&lt;Tmax, NOT('13 Man'!$H61="")),'13 Man'!$H61,4)</f>
        <v>3</v>
      </c>
      <c r="AH61">
        <f>IF(AND('13 Man'!F61&lt;Tmax, NOT('13 Man'!$H61="")),'13 Man'!$H61,4)</f>
        <v>3</v>
      </c>
      <c r="AI61"/>
    </row>
    <row r="62" spans="1:35" s="600" customFormat="1" outlineLevel="2" x14ac:dyDescent="0.2">
      <c r="A62" s="601" t="s">
        <v>6446</v>
      </c>
      <c r="B62" s="601" t="s">
        <v>4570</v>
      </c>
      <c r="C62" s="597"/>
      <c r="D62" s="1539"/>
      <c r="E62" s="593"/>
      <c r="F62" s="593"/>
      <c r="G62" s="1515">
        <v>2</v>
      </c>
      <c r="H62" s="1515">
        <v>3</v>
      </c>
      <c r="I62" s="1515"/>
      <c r="J62" s="1524" t="s">
        <v>2349</v>
      </c>
      <c r="K62" s="1516"/>
      <c r="L62" s="1552"/>
      <c r="M62" s="598"/>
      <c r="N62" s="599"/>
      <c r="O62" s="599"/>
      <c r="P62" s="599"/>
      <c r="Q62" s="599"/>
      <c r="R62" s="599"/>
      <c r="S62" s="599"/>
      <c r="T62" s="599"/>
      <c r="U62" s="599"/>
      <c r="V62" s="599"/>
      <c r="W62" s="599"/>
      <c r="X62" s="599"/>
      <c r="Y62" s="599"/>
      <c r="Z62" s="599"/>
      <c r="AA62">
        <f>IF(AND('13 Man'!C62&gt;Tmin, NOT('13 Man'!$I62="")),'13 Man'!$I62,0)</f>
        <v>0</v>
      </c>
      <c r="AB62">
        <f>IF(AND('13 Man'!D62&gt;Tmin, NOT('13 Man'!$I62="")),'13 Man'!$I62,0)</f>
        <v>0</v>
      </c>
      <c r="AC62">
        <f>IF(AND('13 Man'!E62&gt;Tmin, NOT('13 Man'!$I62="")),'13 Man'!$I62,0)</f>
        <v>0</v>
      </c>
      <c r="AD62">
        <f>IF(AND('13 Man'!F62&gt;Tmin, NOT('13 Man'!$I62="")),'13 Man'!$I62,0)</f>
        <v>0</v>
      </c>
      <c r="AE62">
        <f>IF(AND('13 Man'!C62&lt;Tmax, NOT('13 Man'!$H62="")),'13 Man'!$H62,4)</f>
        <v>3</v>
      </c>
      <c r="AF62">
        <f>IF(AND('13 Man'!D62&lt;Tmax, NOT('13 Man'!$H62="")),'13 Man'!$H62,4)</f>
        <v>3</v>
      </c>
      <c r="AG62">
        <f>IF(AND('13 Man'!E62&lt;Tmax, NOT('13 Man'!$H62="")),'13 Man'!$H62,4)</f>
        <v>3</v>
      </c>
      <c r="AH62">
        <f>IF(AND('13 Man'!F62&lt;Tmax, NOT('13 Man'!$H62="")),'13 Man'!$H62,4)</f>
        <v>3</v>
      </c>
      <c r="AI62"/>
    </row>
    <row r="63" spans="1:35" s="600" customFormat="1" outlineLevel="2" x14ac:dyDescent="0.2">
      <c r="A63" s="601" t="s">
        <v>4388</v>
      </c>
      <c r="B63" s="601" t="s">
        <v>4571</v>
      </c>
      <c r="C63" s="597"/>
      <c r="D63" s="1539"/>
      <c r="E63" s="593"/>
      <c r="F63" s="593"/>
      <c r="G63" s="1515">
        <v>2</v>
      </c>
      <c r="H63" s="1524">
        <v>3</v>
      </c>
      <c r="I63" s="1524"/>
      <c r="J63" s="1524" t="s">
        <v>2109</v>
      </c>
      <c r="K63" s="1516"/>
      <c r="L63" s="1552"/>
      <c r="M63" s="598"/>
      <c r="N63" s="599"/>
      <c r="O63" s="599"/>
      <c r="P63" s="599"/>
      <c r="Q63" s="599"/>
      <c r="R63" s="599"/>
      <c r="S63" s="599"/>
      <c r="T63" s="599"/>
      <c r="U63" s="599"/>
      <c r="V63" s="599"/>
      <c r="W63" s="599"/>
      <c r="X63" s="599"/>
      <c r="Y63" s="599"/>
      <c r="Z63" s="599"/>
      <c r="AA63">
        <f>IF(AND('13 Man'!C63&gt;Tmin, NOT('13 Man'!$I63="")),'13 Man'!$I63,0)</f>
        <v>0</v>
      </c>
      <c r="AB63">
        <f>IF(AND('13 Man'!D63&gt;Tmin, NOT('13 Man'!$I63="")),'13 Man'!$I63,0)</f>
        <v>0</v>
      </c>
      <c r="AC63">
        <f>IF(AND('13 Man'!E63&gt;Tmin, NOT('13 Man'!$I63="")),'13 Man'!$I63,0)</f>
        <v>0</v>
      </c>
      <c r="AD63">
        <f>IF(AND('13 Man'!F63&gt;Tmin, NOT('13 Man'!$I63="")),'13 Man'!$I63,0)</f>
        <v>0</v>
      </c>
      <c r="AE63">
        <f>IF(AND('13 Man'!C63&lt;Tmax, NOT('13 Man'!$H63="")),'13 Man'!$H63,4)</f>
        <v>3</v>
      </c>
      <c r="AF63">
        <f>IF(AND('13 Man'!D63&lt;Tmax, NOT('13 Man'!$H63="")),'13 Man'!$H63,4)</f>
        <v>3</v>
      </c>
      <c r="AG63">
        <f>IF(AND('13 Man'!E63&lt;Tmax, NOT('13 Man'!$H63="")),'13 Man'!$H63,4)</f>
        <v>3</v>
      </c>
      <c r="AH63">
        <f>IF(AND('13 Man'!F63&lt;Tmax, NOT('13 Man'!$H63="")),'13 Man'!$H63,4)</f>
        <v>3</v>
      </c>
      <c r="AI63"/>
    </row>
    <row r="64" spans="1:35" s="600" customFormat="1" outlineLevel="1" x14ac:dyDescent="0.2">
      <c r="A64" s="595" t="s">
        <v>4389</v>
      </c>
      <c r="B64" s="596" t="s">
        <v>5174</v>
      </c>
      <c r="C64" s="597"/>
      <c r="D64" s="1539"/>
      <c r="E64" s="593"/>
      <c r="F64" s="593"/>
      <c r="G64" s="1515"/>
      <c r="H64" s="1515"/>
      <c r="I64" s="1515"/>
      <c r="J64" s="1524"/>
      <c r="K64" s="1516"/>
      <c r="L64" s="1552"/>
      <c r="M64" s="598"/>
      <c r="N64" s="599"/>
      <c r="O64" s="599"/>
      <c r="P64" s="599"/>
      <c r="Q64" s="599"/>
      <c r="R64" s="599"/>
      <c r="S64" s="599"/>
      <c r="T64" s="599"/>
      <c r="U64" s="599"/>
      <c r="V64" s="599"/>
      <c r="W64" s="599"/>
      <c r="X64" s="599"/>
      <c r="Y64" s="599"/>
      <c r="Z64" s="599"/>
      <c r="AA64"/>
      <c r="AB64"/>
      <c r="AC64"/>
      <c r="AD64"/>
      <c r="AE64"/>
      <c r="AF64"/>
      <c r="AG64"/>
      <c r="AH64"/>
      <c r="AI64"/>
    </row>
    <row r="65" spans="1:35" s="600" customFormat="1" outlineLevel="2" x14ac:dyDescent="0.2">
      <c r="A65" s="601" t="s">
        <v>3089</v>
      </c>
      <c r="B65" s="601" t="s">
        <v>4370</v>
      </c>
      <c r="C65" s="597"/>
      <c r="D65" s="1539"/>
      <c r="E65" s="593"/>
      <c r="F65" s="593"/>
      <c r="G65" s="1515">
        <v>2</v>
      </c>
      <c r="H65" s="1524"/>
      <c r="I65" s="1524"/>
      <c r="J65" s="1524" t="s">
        <v>2109</v>
      </c>
      <c r="K65" s="1516"/>
      <c r="L65" s="1552"/>
      <c r="M65" s="598"/>
      <c r="N65" s="599"/>
      <c r="O65" s="599"/>
      <c r="P65" s="599"/>
      <c r="Q65" s="599"/>
      <c r="R65" s="599"/>
      <c r="S65" s="599"/>
      <c r="T65" s="599"/>
      <c r="U65" s="599"/>
      <c r="V65" s="599"/>
      <c r="W65" s="599"/>
      <c r="X65" s="599"/>
      <c r="Y65" s="599"/>
      <c r="Z65" s="599"/>
      <c r="AA65">
        <f>IF(AND('13 Man'!C65&gt;Tmin, NOT('13 Man'!$I65="")),'13 Man'!$I65,0)</f>
        <v>0</v>
      </c>
      <c r="AB65">
        <f>IF(AND('13 Man'!D65&gt;Tmin, NOT('13 Man'!$I65="")),'13 Man'!$I65,0)</f>
        <v>0</v>
      </c>
      <c r="AC65">
        <f>IF(AND('13 Man'!E65&gt;Tmin, NOT('13 Man'!$I65="")),'13 Man'!$I65,0)</f>
        <v>0</v>
      </c>
      <c r="AD65">
        <f>IF(AND('13 Man'!F65&gt;Tmin, NOT('13 Man'!$I65="")),'13 Man'!$I65,0)</f>
        <v>0</v>
      </c>
      <c r="AE65">
        <f>IF(AND('13 Man'!C65&lt;Tmax, NOT('13 Man'!$H65="")),'13 Man'!$H65,4)</f>
        <v>4</v>
      </c>
      <c r="AF65">
        <f>IF(AND('13 Man'!D65&lt;Tmax, NOT('13 Man'!$H65="")),'13 Man'!$H65,4)</f>
        <v>4</v>
      </c>
      <c r="AG65">
        <f>IF(AND('13 Man'!E65&lt;Tmax, NOT('13 Man'!$H65="")),'13 Man'!$H65,4)</f>
        <v>4</v>
      </c>
      <c r="AH65">
        <f>IF(AND('13 Man'!F65&lt;Tmax, NOT('13 Man'!$H65="")),'13 Man'!$H65,4)</f>
        <v>4</v>
      </c>
      <c r="AI65"/>
    </row>
    <row r="66" spans="1:35" s="600" customFormat="1" outlineLevel="2" x14ac:dyDescent="0.2">
      <c r="A66" s="601" t="s">
        <v>3090</v>
      </c>
      <c r="B66" s="601" t="s">
        <v>126</v>
      </c>
      <c r="C66" s="597"/>
      <c r="D66" s="1539"/>
      <c r="E66" s="593"/>
      <c r="F66" s="593"/>
      <c r="G66" s="1515">
        <v>4</v>
      </c>
      <c r="H66" s="1524">
        <v>3</v>
      </c>
      <c r="I66" s="1524"/>
      <c r="J66" s="1524" t="s">
        <v>1592</v>
      </c>
      <c r="K66" s="1516"/>
      <c r="L66" s="1552"/>
      <c r="M66" s="598"/>
      <c r="N66" s="599"/>
      <c r="O66" s="599"/>
      <c r="P66" s="599"/>
      <c r="Q66" s="599"/>
      <c r="R66" s="599"/>
      <c r="S66" s="599"/>
      <c r="T66" s="599"/>
      <c r="U66" s="599"/>
      <c r="V66" s="599"/>
      <c r="W66" s="599"/>
      <c r="X66" s="599"/>
      <c r="Y66" s="599"/>
      <c r="Z66" s="599"/>
      <c r="AA66">
        <f>IF(AND('13 Man'!C66&gt;Tmin, NOT('13 Man'!$I66="")),'13 Man'!$I66,0)</f>
        <v>0</v>
      </c>
      <c r="AB66">
        <f>IF(AND('13 Man'!D66&gt;Tmin, NOT('13 Man'!$I66="")),'13 Man'!$I66,0)</f>
        <v>0</v>
      </c>
      <c r="AC66">
        <f>IF(AND('13 Man'!E66&gt;Tmin, NOT('13 Man'!$I66="")),'13 Man'!$I66,0)</f>
        <v>0</v>
      </c>
      <c r="AD66">
        <f>IF(AND('13 Man'!F66&gt;Tmin, NOT('13 Man'!$I66="")),'13 Man'!$I66,0)</f>
        <v>0</v>
      </c>
      <c r="AE66">
        <f>IF(AND('13 Man'!C66&lt;Tmax, NOT('13 Man'!$H66="")),'13 Man'!$H66,4)</f>
        <v>3</v>
      </c>
      <c r="AF66">
        <f>IF(AND('13 Man'!D66&lt;Tmax, NOT('13 Man'!$H66="")),'13 Man'!$H66,4)</f>
        <v>3</v>
      </c>
      <c r="AG66">
        <f>IF(AND('13 Man'!E66&lt;Tmax, NOT('13 Man'!$H66="")),'13 Man'!$H66,4)</f>
        <v>3</v>
      </c>
      <c r="AH66">
        <f>IF(AND('13 Man'!F66&lt;Tmax, NOT('13 Man'!$H66="")),'13 Man'!$H66,4)</f>
        <v>3</v>
      </c>
      <c r="AI66"/>
    </row>
    <row r="67" spans="1:35" s="600" customFormat="1" outlineLevel="2" x14ac:dyDescent="0.2">
      <c r="A67" s="601" t="s">
        <v>3091</v>
      </c>
      <c r="B67" s="601" t="s">
        <v>5396</v>
      </c>
      <c r="C67" s="597"/>
      <c r="D67" s="1539"/>
      <c r="E67" s="593"/>
      <c r="F67" s="593"/>
      <c r="G67" s="1515">
        <v>1</v>
      </c>
      <c r="H67" s="1524">
        <v>3</v>
      </c>
      <c r="I67" s="1524"/>
      <c r="J67" s="1524" t="s">
        <v>1592</v>
      </c>
      <c r="K67" s="1516"/>
      <c r="L67" s="1552"/>
      <c r="M67" s="598"/>
      <c r="N67" s="599"/>
      <c r="O67" s="599"/>
      <c r="P67" s="599"/>
      <c r="Q67" s="599"/>
      <c r="R67" s="599"/>
      <c r="S67" s="599"/>
      <c r="T67" s="599"/>
      <c r="U67" s="599"/>
      <c r="V67" s="599"/>
      <c r="W67" s="599"/>
      <c r="X67" s="599"/>
      <c r="Y67" s="599"/>
      <c r="Z67" s="599"/>
      <c r="AA67">
        <f>IF(AND('13 Man'!C67&gt;Tmin, NOT('13 Man'!$I67="")),'13 Man'!$I67,0)</f>
        <v>0</v>
      </c>
      <c r="AB67">
        <f>IF(AND('13 Man'!D67&gt;Tmin, NOT('13 Man'!$I67="")),'13 Man'!$I67,0)</f>
        <v>0</v>
      </c>
      <c r="AC67">
        <f>IF(AND('13 Man'!E67&gt;Tmin, NOT('13 Man'!$I67="")),'13 Man'!$I67,0)</f>
        <v>0</v>
      </c>
      <c r="AD67">
        <f>IF(AND('13 Man'!F67&gt;Tmin, NOT('13 Man'!$I67="")),'13 Man'!$I67,0)</f>
        <v>0</v>
      </c>
      <c r="AE67">
        <f>IF(AND('13 Man'!C67&lt;Tmax, NOT('13 Man'!$H67="")),'13 Man'!$H67,4)</f>
        <v>3</v>
      </c>
      <c r="AF67">
        <f>IF(AND('13 Man'!D67&lt;Tmax, NOT('13 Man'!$H67="")),'13 Man'!$H67,4)</f>
        <v>3</v>
      </c>
      <c r="AG67">
        <f>IF(AND('13 Man'!E67&lt;Tmax, NOT('13 Man'!$H67="")),'13 Man'!$H67,4)</f>
        <v>3</v>
      </c>
      <c r="AH67">
        <f>IF(AND('13 Man'!F67&lt;Tmax, NOT('13 Man'!$H67="")),'13 Man'!$H67,4)</f>
        <v>3</v>
      </c>
      <c r="AI67"/>
    </row>
    <row r="68" spans="1:35" s="600" customFormat="1" outlineLevel="1" x14ac:dyDescent="0.2">
      <c r="A68" s="595" t="s">
        <v>4390</v>
      </c>
      <c r="B68" s="596" t="s">
        <v>5397</v>
      </c>
      <c r="C68" s="597"/>
      <c r="D68" s="1539"/>
      <c r="E68" s="593"/>
      <c r="F68" s="593"/>
      <c r="G68" s="1515"/>
      <c r="H68" s="1515"/>
      <c r="I68" s="1515"/>
      <c r="J68" s="1524"/>
      <c r="K68" s="1516"/>
      <c r="L68" s="1552"/>
      <c r="M68" s="598"/>
      <c r="N68" s="599"/>
      <c r="O68" s="599"/>
      <c r="P68" s="599"/>
      <c r="Q68" s="599"/>
      <c r="R68" s="599"/>
      <c r="S68" s="599"/>
      <c r="T68" s="599"/>
      <c r="U68" s="599"/>
      <c r="V68" s="599"/>
      <c r="W68" s="599"/>
      <c r="X68" s="599"/>
      <c r="Y68" s="599"/>
      <c r="Z68" s="599"/>
      <c r="AA68"/>
      <c r="AB68"/>
      <c r="AC68"/>
      <c r="AD68"/>
      <c r="AE68"/>
      <c r="AF68"/>
      <c r="AG68"/>
      <c r="AH68"/>
      <c r="AI68"/>
    </row>
    <row r="69" spans="1:35" s="600" customFormat="1" outlineLevel="2" x14ac:dyDescent="0.2">
      <c r="A69" s="601" t="s">
        <v>3092</v>
      </c>
      <c r="B69" s="601" t="s">
        <v>4593</v>
      </c>
      <c r="C69" s="597"/>
      <c r="D69" s="1539"/>
      <c r="E69" s="593"/>
      <c r="F69" s="593"/>
      <c r="G69" s="1515">
        <v>4</v>
      </c>
      <c r="H69" s="1524">
        <v>3</v>
      </c>
      <c r="I69" s="1524"/>
      <c r="J69" s="1524" t="s">
        <v>2109</v>
      </c>
      <c r="K69" s="1516"/>
      <c r="L69" s="1552"/>
      <c r="M69" s="598"/>
      <c r="N69" s="599"/>
      <c r="O69" s="599"/>
      <c r="P69" s="599"/>
      <c r="Q69" s="599"/>
      <c r="R69" s="599"/>
      <c r="S69" s="599"/>
      <c r="T69" s="599"/>
      <c r="U69" s="599"/>
      <c r="V69" s="599"/>
      <c r="W69" s="599"/>
      <c r="X69" s="599"/>
      <c r="Y69" s="599"/>
      <c r="Z69" s="599"/>
      <c r="AA69">
        <f>IF(AND('13 Man'!C69&gt;Tmin, NOT('13 Man'!$I69="")),'13 Man'!$I69,0)</f>
        <v>0</v>
      </c>
      <c r="AB69">
        <f>IF(AND('13 Man'!D69&gt;Tmin, NOT('13 Man'!$I69="")),'13 Man'!$I69,0)</f>
        <v>0</v>
      </c>
      <c r="AC69">
        <f>IF(AND('13 Man'!E69&gt;Tmin, NOT('13 Man'!$I69="")),'13 Man'!$I69,0)</f>
        <v>0</v>
      </c>
      <c r="AD69">
        <f>IF(AND('13 Man'!F69&gt;Tmin, NOT('13 Man'!$I69="")),'13 Man'!$I69,0)</f>
        <v>0</v>
      </c>
      <c r="AE69">
        <f>IF(AND('13 Man'!C69&lt;Tmax, NOT('13 Man'!$H69="")),'13 Man'!$H69,4)</f>
        <v>3</v>
      </c>
      <c r="AF69">
        <f>IF(AND('13 Man'!D69&lt;Tmax, NOT('13 Man'!$H69="")),'13 Man'!$H69,4)</f>
        <v>3</v>
      </c>
      <c r="AG69">
        <f>IF(AND('13 Man'!E69&lt;Tmax, NOT('13 Man'!$H69="")),'13 Man'!$H69,4)</f>
        <v>3</v>
      </c>
      <c r="AH69">
        <f>IF(AND('13 Man'!F69&lt;Tmax, NOT('13 Man'!$H69="")),'13 Man'!$H69,4)</f>
        <v>3</v>
      </c>
      <c r="AI69"/>
    </row>
    <row r="70" spans="1:35" s="600" customFormat="1" outlineLevel="2" x14ac:dyDescent="0.2">
      <c r="A70" s="601" t="s">
        <v>3093</v>
      </c>
      <c r="B70" s="601" t="s">
        <v>2614</v>
      </c>
      <c r="C70" s="597"/>
      <c r="D70" s="1539"/>
      <c r="E70" s="593"/>
      <c r="F70" s="593"/>
      <c r="G70" s="1515">
        <v>4</v>
      </c>
      <c r="H70" s="1524">
        <v>3</v>
      </c>
      <c r="I70" s="1524"/>
      <c r="J70" s="1524" t="s">
        <v>1592</v>
      </c>
      <c r="K70" s="1516"/>
      <c r="L70" s="1552"/>
      <c r="M70" s="598"/>
      <c r="N70" s="599"/>
      <c r="O70" s="599"/>
      <c r="P70" s="599"/>
      <c r="Q70" s="599"/>
      <c r="R70" s="599"/>
      <c r="S70" s="599"/>
      <c r="T70" s="599"/>
      <c r="U70" s="599"/>
      <c r="V70" s="599"/>
      <c r="W70" s="599"/>
      <c r="X70" s="599"/>
      <c r="Y70" s="599"/>
      <c r="Z70" s="599"/>
      <c r="AA70">
        <f>IF(AND('13 Man'!C70&gt;Tmin, NOT('13 Man'!$I70="")),'13 Man'!$I70,0)</f>
        <v>0</v>
      </c>
      <c r="AB70">
        <f>IF(AND('13 Man'!D70&gt;Tmin, NOT('13 Man'!$I70="")),'13 Man'!$I70,0)</f>
        <v>0</v>
      </c>
      <c r="AC70">
        <f>IF(AND('13 Man'!E70&gt;Tmin, NOT('13 Man'!$I70="")),'13 Man'!$I70,0)</f>
        <v>0</v>
      </c>
      <c r="AD70">
        <f>IF(AND('13 Man'!F70&gt;Tmin, NOT('13 Man'!$I70="")),'13 Man'!$I70,0)</f>
        <v>0</v>
      </c>
      <c r="AE70">
        <f>IF(AND('13 Man'!C70&lt;Tmax, NOT('13 Man'!$H70="")),'13 Man'!$H70,4)</f>
        <v>3</v>
      </c>
      <c r="AF70">
        <f>IF(AND('13 Man'!D70&lt;Tmax, NOT('13 Man'!$H70="")),'13 Man'!$H70,4)</f>
        <v>3</v>
      </c>
      <c r="AG70">
        <f>IF(AND('13 Man'!E70&lt;Tmax, NOT('13 Man'!$H70="")),'13 Man'!$H70,4)</f>
        <v>3</v>
      </c>
      <c r="AH70">
        <f>IF(AND('13 Man'!F70&lt;Tmax, NOT('13 Man'!$H70="")),'13 Man'!$H70,4)</f>
        <v>3</v>
      </c>
      <c r="AI70"/>
    </row>
    <row r="71" spans="1:35" s="600" customFormat="1" outlineLevel="2" x14ac:dyDescent="0.2">
      <c r="A71" s="601" t="s">
        <v>3094</v>
      </c>
      <c r="B71" s="601" t="s">
        <v>3105</v>
      </c>
      <c r="C71" s="597"/>
      <c r="D71" s="1539"/>
      <c r="E71" s="593"/>
      <c r="F71" s="593"/>
      <c r="G71" s="1515">
        <v>2</v>
      </c>
      <c r="H71" s="1524">
        <v>3</v>
      </c>
      <c r="I71" s="1524"/>
      <c r="J71" s="1524" t="s">
        <v>1592</v>
      </c>
      <c r="K71" s="1516"/>
      <c r="L71" s="1552"/>
      <c r="M71" s="598"/>
      <c r="N71" s="599"/>
      <c r="O71" s="599"/>
      <c r="P71" s="599"/>
      <c r="Q71" s="599"/>
      <c r="R71" s="599"/>
      <c r="S71" s="599"/>
      <c r="T71" s="599"/>
      <c r="U71" s="599"/>
      <c r="V71" s="599"/>
      <c r="W71" s="599"/>
      <c r="X71" s="599"/>
      <c r="Y71" s="599"/>
      <c r="Z71" s="599"/>
      <c r="AA71">
        <f>IF(AND('13 Man'!C71&gt;Tmin, NOT('13 Man'!$I71="")),'13 Man'!$I71,0)</f>
        <v>0</v>
      </c>
      <c r="AB71">
        <f>IF(AND('13 Man'!D71&gt;Tmin, NOT('13 Man'!$I71="")),'13 Man'!$I71,0)</f>
        <v>0</v>
      </c>
      <c r="AC71">
        <f>IF(AND('13 Man'!E71&gt;Tmin, NOT('13 Man'!$I71="")),'13 Man'!$I71,0)</f>
        <v>0</v>
      </c>
      <c r="AD71">
        <f>IF(AND('13 Man'!F71&gt;Tmin, NOT('13 Man'!$I71="")),'13 Man'!$I71,0)</f>
        <v>0</v>
      </c>
      <c r="AE71">
        <f>IF(AND('13 Man'!C71&lt;Tmax, NOT('13 Man'!$H71="")),'13 Man'!$H71,4)</f>
        <v>3</v>
      </c>
      <c r="AF71">
        <f>IF(AND('13 Man'!D71&lt;Tmax, NOT('13 Man'!$H71="")),'13 Man'!$H71,4)</f>
        <v>3</v>
      </c>
      <c r="AG71">
        <f>IF(AND('13 Man'!E71&lt;Tmax, NOT('13 Man'!$H71="")),'13 Man'!$H71,4)</f>
        <v>3</v>
      </c>
      <c r="AH71">
        <f>IF(AND('13 Man'!F71&lt;Tmax, NOT('13 Man'!$H71="")),'13 Man'!$H71,4)</f>
        <v>3</v>
      </c>
      <c r="AI71"/>
    </row>
    <row r="72" spans="1:35" x14ac:dyDescent="0.2">
      <c r="A72" s="602" t="s">
        <v>6580</v>
      </c>
      <c r="B72" s="602" t="s">
        <v>1917</v>
      </c>
      <c r="C72" s="597"/>
      <c r="D72" s="1539"/>
      <c r="E72" s="593"/>
      <c r="F72" s="593"/>
      <c r="G72" s="1524"/>
      <c r="H72" s="1524"/>
      <c r="I72" s="1524"/>
      <c r="J72" s="1524"/>
      <c r="K72" s="1516"/>
      <c r="L72" s="1552"/>
      <c r="M72" s="594"/>
      <c r="AA72"/>
      <c r="AB72"/>
      <c r="AC72"/>
      <c r="AD72"/>
      <c r="AE72"/>
      <c r="AF72"/>
      <c r="AG72"/>
      <c r="AH72"/>
      <c r="AI72"/>
    </row>
    <row r="73" spans="1:35" outlineLevel="1" x14ac:dyDescent="0.2">
      <c r="A73" s="595" t="s">
        <v>3672</v>
      </c>
      <c r="B73" s="596" t="s">
        <v>2049</v>
      </c>
      <c r="C73" s="597"/>
      <c r="D73" s="1539"/>
      <c r="E73" s="593"/>
      <c r="F73" s="593"/>
      <c r="G73" s="1524"/>
      <c r="H73" s="1524"/>
      <c r="I73" s="1524"/>
      <c r="J73" s="1524"/>
      <c r="K73" s="1516"/>
      <c r="L73" s="1552"/>
      <c r="M73" s="594"/>
      <c r="AA73"/>
      <c r="AB73"/>
      <c r="AC73"/>
      <c r="AD73"/>
      <c r="AE73"/>
      <c r="AF73"/>
      <c r="AG73"/>
      <c r="AH73"/>
      <c r="AI73"/>
    </row>
    <row r="74" spans="1:35" ht="45" outlineLevel="2" x14ac:dyDescent="0.2">
      <c r="A74" s="601" t="s">
        <v>6581</v>
      </c>
      <c r="B74" s="601" t="s">
        <v>1772</v>
      </c>
      <c r="C74" s="597"/>
      <c r="D74" s="1539"/>
      <c r="E74" s="593"/>
      <c r="F74" s="593"/>
      <c r="G74" s="1524">
        <v>4</v>
      </c>
      <c r="H74" s="1524">
        <v>1</v>
      </c>
      <c r="I74" s="1524"/>
      <c r="J74" s="1524" t="s">
        <v>1592</v>
      </c>
      <c r="K74" s="1516"/>
      <c r="L74" s="1552"/>
      <c r="M74" s="594"/>
      <c r="AA74">
        <f>IF(AND('13 Man'!C74&gt;Tmin, NOT('13 Man'!$I74="")),'13 Man'!$I74,0)</f>
        <v>0</v>
      </c>
      <c r="AB74">
        <f>IF(AND('13 Man'!D74&gt;Tmin, NOT('13 Man'!$I74="")),'13 Man'!$I74,0)</f>
        <v>0</v>
      </c>
      <c r="AC74">
        <f>IF(AND('13 Man'!E74&gt;Tmin, NOT('13 Man'!$I74="")),'13 Man'!$I74,0)</f>
        <v>0</v>
      </c>
      <c r="AD74">
        <f>IF(AND('13 Man'!F74&gt;Tmin, NOT('13 Man'!$I74="")),'13 Man'!$I74,0)</f>
        <v>0</v>
      </c>
      <c r="AE74">
        <f>IF(AND('13 Man'!C74&lt;Tmax, NOT('13 Man'!$H74="")),'13 Man'!$H74,4)</f>
        <v>1</v>
      </c>
      <c r="AF74">
        <f>IF(AND('13 Man'!D74&lt;Tmax, NOT('13 Man'!$H74="")),'13 Man'!$H74,4)</f>
        <v>1</v>
      </c>
      <c r="AG74">
        <f>IF(AND('13 Man'!E74&lt;Tmax, NOT('13 Man'!$H74="")),'13 Man'!$H74,4)</f>
        <v>1</v>
      </c>
      <c r="AH74">
        <f>IF(AND('13 Man'!F74&lt;Tmax, NOT('13 Man'!$H74="")),'13 Man'!$H74,4)</f>
        <v>1</v>
      </c>
      <c r="AI74"/>
    </row>
    <row r="75" spans="1:35" ht="45" outlineLevel="2" x14ac:dyDescent="0.2">
      <c r="A75" s="601" t="s">
        <v>6582</v>
      </c>
      <c r="B75" s="601" t="s">
        <v>5812</v>
      </c>
      <c r="C75" s="597"/>
      <c r="D75" s="1539"/>
      <c r="E75" s="593"/>
      <c r="F75" s="593"/>
      <c r="G75" s="1515">
        <v>4</v>
      </c>
      <c r="H75" s="1515"/>
      <c r="I75" s="1524"/>
      <c r="J75" s="1524" t="s">
        <v>1592</v>
      </c>
      <c r="K75" s="1516"/>
      <c r="L75" s="1552"/>
      <c r="M75" s="594"/>
      <c r="AA75">
        <f>IF(AND('13 Man'!C75&gt;Tmin, NOT('13 Man'!$I75="")),'13 Man'!$I75,0)</f>
        <v>0</v>
      </c>
      <c r="AB75">
        <f>IF(AND('13 Man'!D75&gt;Tmin, NOT('13 Man'!$I75="")),'13 Man'!$I75,0)</f>
        <v>0</v>
      </c>
      <c r="AC75">
        <f>IF(AND('13 Man'!E75&gt;Tmin, NOT('13 Man'!$I75="")),'13 Man'!$I75,0)</f>
        <v>0</v>
      </c>
      <c r="AD75">
        <f>IF(AND('13 Man'!F75&gt;Tmin, NOT('13 Man'!$I75="")),'13 Man'!$I75,0)</f>
        <v>0</v>
      </c>
      <c r="AE75">
        <f>IF(AND('13 Man'!C75&lt;Tmax, NOT('13 Man'!$H75="")),'13 Man'!$H75,4)</f>
        <v>4</v>
      </c>
      <c r="AF75">
        <f>IF(AND('13 Man'!D75&lt;Tmax, NOT('13 Man'!$H75="")),'13 Man'!$H75,4)</f>
        <v>4</v>
      </c>
      <c r="AG75">
        <f>IF(AND('13 Man'!E75&lt;Tmax, NOT('13 Man'!$H75="")),'13 Man'!$H75,4)</f>
        <v>4</v>
      </c>
      <c r="AH75">
        <f>IF(AND('13 Man'!F75&lt;Tmax, NOT('13 Man'!$H75="")),'13 Man'!$H75,4)</f>
        <v>4</v>
      </c>
      <c r="AI75"/>
    </row>
    <row r="76" spans="1:35" ht="22.5" outlineLevel="2" x14ac:dyDescent="0.2">
      <c r="A76" s="601" t="s">
        <v>6526</v>
      </c>
      <c r="B76" s="601" t="s">
        <v>1918</v>
      </c>
      <c r="C76" s="597"/>
      <c r="D76" s="1539"/>
      <c r="E76" s="593"/>
      <c r="F76" s="593"/>
      <c r="G76" s="1515">
        <v>4</v>
      </c>
      <c r="H76" s="1515"/>
      <c r="I76" s="1524"/>
      <c r="J76" s="1524" t="s">
        <v>1592</v>
      </c>
      <c r="K76" s="1516"/>
      <c r="L76" s="1552"/>
      <c r="M76" s="594"/>
      <c r="AA76">
        <f>IF(AND('13 Man'!C76&gt;Tmin, NOT('13 Man'!$I76="")),'13 Man'!$I76,0)</f>
        <v>0</v>
      </c>
      <c r="AB76">
        <f>IF(AND('13 Man'!D76&gt;Tmin, NOT('13 Man'!$I76="")),'13 Man'!$I76,0)</f>
        <v>0</v>
      </c>
      <c r="AC76">
        <f>IF(AND('13 Man'!E76&gt;Tmin, NOT('13 Man'!$I76="")),'13 Man'!$I76,0)</f>
        <v>0</v>
      </c>
      <c r="AD76">
        <f>IF(AND('13 Man'!F76&gt;Tmin, NOT('13 Man'!$I76="")),'13 Man'!$I76,0)</f>
        <v>0</v>
      </c>
      <c r="AE76">
        <f>IF(AND('13 Man'!C76&lt;Tmax, NOT('13 Man'!$H76="")),'13 Man'!$H76,4)</f>
        <v>4</v>
      </c>
      <c r="AF76">
        <f>IF(AND('13 Man'!D76&lt;Tmax, NOT('13 Man'!$H76="")),'13 Man'!$H76,4)</f>
        <v>4</v>
      </c>
      <c r="AG76">
        <f>IF(AND('13 Man'!E76&lt;Tmax, NOT('13 Man'!$H76="")),'13 Man'!$H76,4)</f>
        <v>4</v>
      </c>
      <c r="AH76">
        <f>IF(AND('13 Man'!F76&lt;Tmax, NOT('13 Man'!$H76="")),'13 Man'!$H76,4)</f>
        <v>4</v>
      </c>
      <c r="AI76"/>
    </row>
    <row r="77" spans="1:35" outlineLevel="2" x14ac:dyDescent="0.2">
      <c r="A77" s="601" t="s">
        <v>6527</v>
      </c>
      <c r="B77" s="601" t="s">
        <v>1919</v>
      </c>
      <c r="C77" s="597"/>
      <c r="D77" s="1539"/>
      <c r="E77" s="593"/>
      <c r="F77" s="593"/>
      <c r="G77" s="1515">
        <v>4</v>
      </c>
      <c r="H77" s="1524"/>
      <c r="I77" s="1524"/>
      <c r="J77" s="1524" t="s">
        <v>1592</v>
      </c>
      <c r="K77" s="1516"/>
      <c r="L77" s="1552"/>
      <c r="M77" s="594"/>
      <c r="AA77">
        <f>IF(AND('13 Man'!C77&gt;Tmin, NOT('13 Man'!$I77="")),'13 Man'!$I77,0)</f>
        <v>0</v>
      </c>
      <c r="AB77">
        <f>IF(AND('13 Man'!D77&gt;Tmin, NOT('13 Man'!$I77="")),'13 Man'!$I77,0)</f>
        <v>0</v>
      </c>
      <c r="AC77">
        <f>IF(AND('13 Man'!E77&gt;Tmin, NOT('13 Man'!$I77="")),'13 Man'!$I77,0)</f>
        <v>0</v>
      </c>
      <c r="AD77">
        <f>IF(AND('13 Man'!F77&gt;Tmin, NOT('13 Man'!$I77="")),'13 Man'!$I77,0)</f>
        <v>0</v>
      </c>
      <c r="AE77">
        <f>IF(AND('13 Man'!C77&lt;Tmax, NOT('13 Man'!$H77="")),'13 Man'!$H77,4)</f>
        <v>4</v>
      </c>
      <c r="AF77">
        <f>IF(AND('13 Man'!D77&lt;Tmax, NOT('13 Man'!$H77="")),'13 Man'!$H77,4)</f>
        <v>4</v>
      </c>
      <c r="AG77">
        <f>IF(AND('13 Man'!E77&lt;Tmax, NOT('13 Man'!$H77="")),'13 Man'!$H77,4)</f>
        <v>4</v>
      </c>
      <c r="AH77">
        <f>IF(AND('13 Man'!F77&lt;Tmax, NOT('13 Man'!$H77="")),'13 Man'!$H77,4)</f>
        <v>4</v>
      </c>
      <c r="AI77"/>
    </row>
    <row r="78" spans="1:35" ht="33.75" outlineLevel="2" x14ac:dyDescent="0.2">
      <c r="A78" s="601" t="s">
        <v>6528</v>
      </c>
      <c r="B78" s="601" t="s">
        <v>6351</v>
      </c>
      <c r="C78" s="597"/>
      <c r="D78" s="1539"/>
      <c r="E78" s="593"/>
      <c r="F78" s="593"/>
      <c r="G78" s="1515">
        <v>4</v>
      </c>
      <c r="H78" s="1515"/>
      <c r="I78" s="1524"/>
      <c r="J78" s="1524" t="s">
        <v>1592</v>
      </c>
      <c r="K78" s="1516"/>
      <c r="L78" s="1552"/>
      <c r="M78" s="594"/>
      <c r="AA78">
        <f>IF(AND('13 Man'!C78&gt;Tmin, NOT('13 Man'!$I78="")),'13 Man'!$I78,0)</f>
        <v>0</v>
      </c>
      <c r="AB78">
        <f>IF(AND('13 Man'!D78&gt;Tmin, NOT('13 Man'!$I78="")),'13 Man'!$I78,0)</f>
        <v>0</v>
      </c>
      <c r="AC78">
        <f>IF(AND('13 Man'!E78&gt;Tmin, NOT('13 Man'!$I78="")),'13 Man'!$I78,0)</f>
        <v>0</v>
      </c>
      <c r="AD78">
        <f>IF(AND('13 Man'!F78&gt;Tmin, NOT('13 Man'!$I78="")),'13 Man'!$I78,0)</f>
        <v>0</v>
      </c>
      <c r="AE78">
        <f>IF(AND('13 Man'!C78&lt;Tmax, NOT('13 Man'!$H78="")),'13 Man'!$H78,4)</f>
        <v>4</v>
      </c>
      <c r="AF78">
        <f>IF(AND('13 Man'!D78&lt;Tmax, NOT('13 Man'!$H78="")),'13 Man'!$H78,4)</f>
        <v>4</v>
      </c>
      <c r="AG78">
        <f>IF(AND('13 Man'!E78&lt;Tmax, NOT('13 Man'!$H78="")),'13 Man'!$H78,4)</f>
        <v>4</v>
      </c>
      <c r="AH78">
        <f>IF(AND('13 Man'!F78&lt;Tmax, NOT('13 Man'!$H78="")),'13 Man'!$H78,4)</f>
        <v>4</v>
      </c>
      <c r="AI78"/>
    </row>
    <row r="79" spans="1:35" outlineLevel="2" x14ac:dyDescent="0.2">
      <c r="A79" s="601" t="s">
        <v>6583</v>
      </c>
      <c r="B79" s="601" t="s">
        <v>1920</v>
      </c>
      <c r="C79" s="597"/>
      <c r="D79" s="1539"/>
      <c r="E79" s="593"/>
      <c r="F79" s="593"/>
      <c r="G79" s="1515">
        <v>4</v>
      </c>
      <c r="H79" s="1524"/>
      <c r="I79" s="1524"/>
      <c r="J79" s="1524" t="s">
        <v>1592</v>
      </c>
      <c r="K79" s="1516"/>
      <c r="L79" s="1552"/>
      <c r="M79" s="594"/>
      <c r="AA79">
        <f>IF(AND('13 Man'!C79&gt;Tmin, NOT('13 Man'!$I79="")),'13 Man'!$I79,0)</f>
        <v>0</v>
      </c>
      <c r="AB79">
        <f>IF(AND('13 Man'!D79&gt;Tmin, NOT('13 Man'!$I79="")),'13 Man'!$I79,0)</f>
        <v>0</v>
      </c>
      <c r="AC79">
        <f>IF(AND('13 Man'!E79&gt;Tmin, NOT('13 Man'!$I79="")),'13 Man'!$I79,0)</f>
        <v>0</v>
      </c>
      <c r="AD79">
        <f>IF(AND('13 Man'!F79&gt;Tmin, NOT('13 Man'!$I79="")),'13 Man'!$I79,0)</f>
        <v>0</v>
      </c>
      <c r="AE79">
        <f>IF(AND('13 Man'!C79&lt;Tmax, NOT('13 Man'!$H79="")),'13 Man'!$H79,4)</f>
        <v>4</v>
      </c>
      <c r="AF79">
        <f>IF(AND('13 Man'!D79&lt;Tmax, NOT('13 Man'!$H79="")),'13 Man'!$H79,4)</f>
        <v>4</v>
      </c>
      <c r="AG79">
        <f>IF(AND('13 Man'!E79&lt;Tmax, NOT('13 Man'!$H79="")),'13 Man'!$H79,4)</f>
        <v>4</v>
      </c>
      <c r="AH79">
        <f>IF(AND('13 Man'!F79&lt;Tmax, NOT('13 Man'!$H79="")),'13 Man'!$H79,4)</f>
        <v>4</v>
      </c>
      <c r="AI79"/>
    </row>
    <row r="80" spans="1:35" outlineLevel="2" x14ac:dyDescent="0.2">
      <c r="A80" s="601" t="s">
        <v>6584</v>
      </c>
      <c r="B80" s="601" t="s">
        <v>4145</v>
      </c>
      <c r="C80" s="597"/>
      <c r="D80" s="1539"/>
      <c r="E80" s="593"/>
      <c r="F80" s="593"/>
      <c r="G80" s="1515">
        <v>4</v>
      </c>
      <c r="H80" s="1515"/>
      <c r="I80" s="1524"/>
      <c r="J80" s="1524" t="s">
        <v>2329</v>
      </c>
      <c r="K80" s="1516"/>
      <c r="L80" s="1552"/>
      <c r="M80" s="594"/>
      <c r="AA80">
        <f>IF(AND('13 Man'!C80&gt;Tmin, NOT('13 Man'!$I80="")),'13 Man'!$I80,0)</f>
        <v>0</v>
      </c>
      <c r="AB80">
        <f>IF(AND('13 Man'!D80&gt;Tmin, NOT('13 Man'!$I80="")),'13 Man'!$I80,0)</f>
        <v>0</v>
      </c>
      <c r="AC80">
        <f>IF(AND('13 Man'!E80&gt;Tmin, NOT('13 Man'!$I80="")),'13 Man'!$I80,0)</f>
        <v>0</v>
      </c>
      <c r="AD80">
        <f>IF(AND('13 Man'!F80&gt;Tmin, NOT('13 Man'!$I80="")),'13 Man'!$I80,0)</f>
        <v>0</v>
      </c>
      <c r="AE80">
        <f>IF(AND('13 Man'!C80&lt;Tmax, NOT('13 Man'!$H80="")),'13 Man'!$H80,4)</f>
        <v>4</v>
      </c>
      <c r="AF80">
        <f>IF(AND('13 Man'!D80&lt;Tmax, NOT('13 Man'!$H80="")),'13 Man'!$H80,4)</f>
        <v>4</v>
      </c>
      <c r="AG80">
        <f>IF(AND('13 Man'!E80&lt;Tmax, NOT('13 Man'!$H80="")),'13 Man'!$H80,4)</f>
        <v>4</v>
      </c>
      <c r="AH80">
        <f>IF(AND('13 Man'!F80&lt;Tmax, NOT('13 Man'!$H80="")),'13 Man'!$H80,4)</f>
        <v>4</v>
      </c>
      <c r="AI80"/>
    </row>
    <row r="81" spans="1:35" ht="45" outlineLevel="2" x14ac:dyDescent="0.2">
      <c r="A81" s="601" t="s">
        <v>4393</v>
      </c>
      <c r="B81" s="601" t="s">
        <v>6418</v>
      </c>
      <c r="C81" s="597"/>
      <c r="D81" s="1539"/>
      <c r="E81" s="593"/>
      <c r="F81" s="593"/>
      <c r="G81" s="1515">
        <v>4</v>
      </c>
      <c r="H81" s="1524"/>
      <c r="I81" s="1524"/>
      <c r="J81" s="1524" t="s">
        <v>2109</v>
      </c>
      <c r="K81" s="1516"/>
      <c r="L81" s="1552"/>
      <c r="M81" s="594"/>
      <c r="AA81">
        <f>IF(AND('13 Man'!C81&gt;Tmin, NOT('13 Man'!$I81="")),'13 Man'!$I81,0)</f>
        <v>0</v>
      </c>
      <c r="AB81">
        <f>IF(AND('13 Man'!D81&gt;Tmin, NOT('13 Man'!$I81="")),'13 Man'!$I81,0)</f>
        <v>0</v>
      </c>
      <c r="AC81">
        <f>IF(AND('13 Man'!E81&gt;Tmin, NOT('13 Man'!$I81="")),'13 Man'!$I81,0)</f>
        <v>0</v>
      </c>
      <c r="AD81">
        <f>IF(AND('13 Man'!F81&gt;Tmin, NOT('13 Man'!$I81="")),'13 Man'!$I81,0)</f>
        <v>0</v>
      </c>
      <c r="AE81">
        <f>IF(AND('13 Man'!C81&lt;Tmax, NOT('13 Man'!$H81="")),'13 Man'!$H81,4)</f>
        <v>4</v>
      </c>
      <c r="AF81">
        <f>IF(AND('13 Man'!D81&lt;Tmax, NOT('13 Man'!$H81="")),'13 Man'!$H81,4)</f>
        <v>4</v>
      </c>
      <c r="AG81">
        <f>IF(AND('13 Man'!E81&lt;Tmax, NOT('13 Man'!$H81="")),'13 Man'!$H81,4)</f>
        <v>4</v>
      </c>
      <c r="AH81">
        <f>IF(AND('13 Man'!F81&lt;Tmax, NOT('13 Man'!$H81="")),'13 Man'!$H81,4)</f>
        <v>4</v>
      </c>
      <c r="AI81"/>
    </row>
    <row r="82" spans="1:35" outlineLevel="1" x14ac:dyDescent="0.2">
      <c r="A82" s="595" t="s">
        <v>3361</v>
      </c>
      <c r="B82" s="596" t="s">
        <v>6357</v>
      </c>
      <c r="C82" s="597"/>
      <c r="D82" s="1539"/>
      <c r="E82" s="593"/>
      <c r="F82" s="593"/>
      <c r="G82" s="1524"/>
      <c r="H82" s="1524"/>
      <c r="I82" s="1524"/>
      <c r="J82" s="1524"/>
      <c r="K82" s="1516"/>
      <c r="L82" s="1552"/>
      <c r="M82" s="594"/>
      <c r="AA82"/>
      <c r="AB82"/>
      <c r="AC82"/>
      <c r="AD82"/>
      <c r="AE82"/>
      <c r="AF82"/>
      <c r="AG82"/>
      <c r="AH82"/>
      <c r="AI82"/>
    </row>
    <row r="83" spans="1:35" outlineLevel="2" x14ac:dyDescent="0.2">
      <c r="A83" s="601" t="s">
        <v>3362</v>
      </c>
      <c r="B83" s="601" t="s">
        <v>4146</v>
      </c>
      <c r="C83" s="597"/>
      <c r="D83" s="1539"/>
      <c r="E83" s="593"/>
      <c r="F83" s="593"/>
      <c r="G83" s="1524">
        <v>4</v>
      </c>
      <c r="H83" s="1524"/>
      <c r="I83" s="1524"/>
      <c r="J83" s="1524" t="s">
        <v>1592</v>
      </c>
      <c r="K83" s="1516"/>
      <c r="L83" s="1552"/>
      <c r="M83" s="594"/>
      <c r="AA83">
        <f>IF(AND('13 Man'!C83&gt;Tmin, NOT('13 Man'!$I83="")),'13 Man'!$I83,0)</f>
        <v>0</v>
      </c>
      <c r="AB83">
        <f>IF(AND('13 Man'!D83&gt;Tmin, NOT('13 Man'!$I83="")),'13 Man'!$I83,0)</f>
        <v>0</v>
      </c>
      <c r="AC83">
        <f>IF(AND('13 Man'!E83&gt;Tmin, NOT('13 Man'!$I83="")),'13 Man'!$I83,0)</f>
        <v>0</v>
      </c>
      <c r="AD83">
        <f>IF(AND('13 Man'!F83&gt;Tmin, NOT('13 Man'!$I83="")),'13 Man'!$I83,0)</f>
        <v>0</v>
      </c>
      <c r="AE83">
        <f>IF(AND('13 Man'!C83&lt;Tmax, NOT('13 Man'!$H83="")),'13 Man'!$H83,4)</f>
        <v>4</v>
      </c>
      <c r="AF83">
        <f>IF(AND('13 Man'!D83&lt;Tmax, NOT('13 Man'!$H83="")),'13 Man'!$H83,4)</f>
        <v>4</v>
      </c>
      <c r="AG83">
        <f>IF(AND('13 Man'!E83&lt;Tmax, NOT('13 Man'!$H83="")),'13 Man'!$H83,4)</f>
        <v>4</v>
      </c>
      <c r="AH83">
        <f>IF(AND('13 Man'!F83&lt;Tmax, NOT('13 Man'!$H83="")),'13 Man'!$H83,4)</f>
        <v>4</v>
      </c>
      <c r="AI83"/>
    </row>
    <row r="84" spans="1:35" ht="56.25" outlineLevel="2" x14ac:dyDescent="0.2">
      <c r="A84" s="601" t="s">
        <v>3363</v>
      </c>
      <c r="B84" s="601" t="s">
        <v>5495</v>
      </c>
      <c r="C84" s="597"/>
      <c r="D84" s="1539"/>
      <c r="E84" s="593"/>
      <c r="F84" s="593"/>
      <c r="G84" s="1515">
        <v>4</v>
      </c>
      <c r="H84" s="1524"/>
      <c r="I84" s="1524"/>
      <c r="J84" s="1524" t="s">
        <v>1592</v>
      </c>
      <c r="K84" s="1516"/>
      <c r="L84" s="1552"/>
      <c r="M84" s="594"/>
      <c r="AA84">
        <f>IF(AND('13 Man'!C84&gt;Tmin, NOT('13 Man'!$I84="")),'13 Man'!$I84,0)</f>
        <v>0</v>
      </c>
      <c r="AB84">
        <f>IF(AND('13 Man'!D84&gt;Tmin, NOT('13 Man'!$I84="")),'13 Man'!$I84,0)</f>
        <v>0</v>
      </c>
      <c r="AC84">
        <f>IF(AND('13 Man'!E84&gt;Tmin, NOT('13 Man'!$I84="")),'13 Man'!$I84,0)</f>
        <v>0</v>
      </c>
      <c r="AD84">
        <f>IF(AND('13 Man'!F84&gt;Tmin, NOT('13 Man'!$I84="")),'13 Man'!$I84,0)</f>
        <v>0</v>
      </c>
      <c r="AE84">
        <f>IF(AND('13 Man'!C84&lt;Tmax, NOT('13 Man'!$H84="")),'13 Man'!$H84,4)</f>
        <v>4</v>
      </c>
      <c r="AF84">
        <f>IF(AND('13 Man'!D84&lt;Tmax, NOT('13 Man'!$H84="")),'13 Man'!$H84,4)</f>
        <v>4</v>
      </c>
      <c r="AG84">
        <f>IF(AND('13 Man'!E84&lt;Tmax, NOT('13 Man'!$H84="")),'13 Man'!$H84,4)</f>
        <v>4</v>
      </c>
      <c r="AH84">
        <f>IF(AND('13 Man'!F84&lt;Tmax, NOT('13 Man'!$H84="")),'13 Man'!$H84,4)</f>
        <v>4</v>
      </c>
      <c r="AI84"/>
    </row>
    <row r="85" spans="1:35" outlineLevel="2" x14ac:dyDescent="0.2">
      <c r="A85" s="601" t="s">
        <v>3364</v>
      </c>
      <c r="B85" s="601" t="s">
        <v>4648</v>
      </c>
      <c r="C85" s="597"/>
      <c r="D85" s="1539"/>
      <c r="E85" s="593"/>
      <c r="F85" s="593"/>
      <c r="G85" s="1515">
        <v>1</v>
      </c>
      <c r="H85" s="1524"/>
      <c r="I85" s="1524"/>
      <c r="J85" s="1524" t="s">
        <v>1592</v>
      </c>
      <c r="K85" s="1516"/>
      <c r="L85" s="1552"/>
      <c r="M85" s="594"/>
      <c r="AA85">
        <f>IF(AND('13 Man'!C85&gt;Tmin, NOT('13 Man'!$I85="")),'13 Man'!$I85,0)</f>
        <v>0</v>
      </c>
      <c r="AB85">
        <f>IF(AND('13 Man'!D85&gt;Tmin, NOT('13 Man'!$I85="")),'13 Man'!$I85,0)</f>
        <v>0</v>
      </c>
      <c r="AC85">
        <f>IF(AND('13 Man'!E85&gt;Tmin, NOT('13 Man'!$I85="")),'13 Man'!$I85,0)</f>
        <v>0</v>
      </c>
      <c r="AD85">
        <f>IF(AND('13 Man'!F85&gt;Tmin, NOT('13 Man'!$I85="")),'13 Man'!$I85,0)</f>
        <v>0</v>
      </c>
      <c r="AE85">
        <f>IF(AND('13 Man'!C85&lt;Tmax, NOT('13 Man'!$H85="")),'13 Man'!$H85,4)</f>
        <v>4</v>
      </c>
      <c r="AF85">
        <f>IF(AND('13 Man'!D85&lt;Tmax, NOT('13 Man'!$H85="")),'13 Man'!$H85,4)</f>
        <v>4</v>
      </c>
      <c r="AG85">
        <f>IF(AND('13 Man'!E85&lt;Tmax, NOT('13 Man'!$H85="")),'13 Man'!$H85,4)</f>
        <v>4</v>
      </c>
      <c r="AH85">
        <f>IF(AND('13 Man'!F85&lt;Tmax, NOT('13 Man'!$H85="")),'13 Man'!$H85,4)</f>
        <v>4</v>
      </c>
      <c r="AI85"/>
    </row>
    <row r="86" spans="1:35" ht="22.5" outlineLevel="2" x14ac:dyDescent="0.2">
      <c r="A86" s="601" t="s">
        <v>3365</v>
      </c>
      <c r="B86" s="601" t="s">
        <v>5475</v>
      </c>
      <c r="C86" s="597"/>
      <c r="D86" s="1539"/>
      <c r="E86" s="593"/>
      <c r="F86" s="593"/>
      <c r="G86" s="1515">
        <v>4</v>
      </c>
      <c r="H86" s="1524"/>
      <c r="I86" s="1524"/>
      <c r="J86" s="1524" t="s">
        <v>1592</v>
      </c>
      <c r="K86" s="1516"/>
      <c r="L86" s="1552"/>
      <c r="M86" s="594"/>
      <c r="AA86">
        <f>IF(AND('13 Man'!C86&gt;Tmin, NOT('13 Man'!$I86="")),'13 Man'!$I86,0)</f>
        <v>0</v>
      </c>
      <c r="AB86">
        <f>IF(AND('13 Man'!D86&gt;Tmin, NOT('13 Man'!$I86="")),'13 Man'!$I86,0)</f>
        <v>0</v>
      </c>
      <c r="AC86">
        <f>IF(AND('13 Man'!E86&gt;Tmin, NOT('13 Man'!$I86="")),'13 Man'!$I86,0)</f>
        <v>0</v>
      </c>
      <c r="AD86">
        <f>IF(AND('13 Man'!F86&gt;Tmin, NOT('13 Man'!$I86="")),'13 Man'!$I86,0)</f>
        <v>0</v>
      </c>
      <c r="AE86">
        <f>IF(AND('13 Man'!C86&lt;Tmax, NOT('13 Man'!$H86="")),'13 Man'!$H86,4)</f>
        <v>4</v>
      </c>
      <c r="AF86">
        <f>IF(AND('13 Man'!D86&lt;Tmax, NOT('13 Man'!$H86="")),'13 Man'!$H86,4)</f>
        <v>4</v>
      </c>
      <c r="AG86">
        <f>IF(AND('13 Man'!E86&lt;Tmax, NOT('13 Man'!$H86="")),'13 Man'!$H86,4)</f>
        <v>4</v>
      </c>
      <c r="AH86">
        <f>IF(AND('13 Man'!F86&lt;Tmax, NOT('13 Man'!$H86="")),'13 Man'!$H86,4)</f>
        <v>4</v>
      </c>
      <c r="AI86"/>
    </row>
    <row r="87" spans="1:35" outlineLevel="2" x14ac:dyDescent="0.2">
      <c r="A87" s="601" t="s">
        <v>3366</v>
      </c>
      <c r="B87" s="601" t="s">
        <v>4649</v>
      </c>
      <c r="C87" s="597"/>
      <c r="D87" s="1539"/>
      <c r="E87" s="593"/>
      <c r="F87" s="593"/>
      <c r="G87" s="1515">
        <v>4</v>
      </c>
      <c r="H87" s="1524"/>
      <c r="I87" s="1524"/>
      <c r="J87" s="1524" t="s">
        <v>1592</v>
      </c>
      <c r="K87" s="1516"/>
      <c r="L87" s="1552"/>
      <c r="M87" s="594"/>
      <c r="AA87">
        <f>IF(AND('13 Man'!C87&gt;Tmin, NOT('13 Man'!$I87="")),'13 Man'!$I87,0)</f>
        <v>0</v>
      </c>
      <c r="AB87">
        <f>IF(AND('13 Man'!D87&gt;Tmin, NOT('13 Man'!$I87="")),'13 Man'!$I87,0)</f>
        <v>0</v>
      </c>
      <c r="AC87">
        <f>IF(AND('13 Man'!E87&gt;Tmin, NOT('13 Man'!$I87="")),'13 Man'!$I87,0)</f>
        <v>0</v>
      </c>
      <c r="AD87">
        <f>IF(AND('13 Man'!F87&gt;Tmin, NOT('13 Man'!$I87="")),'13 Man'!$I87,0)</f>
        <v>0</v>
      </c>
      <c r="AE87">
        <f>IF(AND('13 Man'!C87&lt;Tmax, NOT('13 Man'!$H87="")),'13 Man'!$H87,4)</f>
        <v>4</v>
      </c>
      <c r="AF87">
        <f>IF(AND('13 Man'!D87&lt;Tmax, NOT('13 Man'!$H87="")),'13 Man'!$H87,4)</f>
        <v>4</v>
      </c>
      <c r="AG87">
        <f>IF(AND('13 Man'!E87&lt;Tmax, NOT('13 Man'!$H87="")),'13 Man'!$H87,4)</f>
        <v>4</v>
      </c>
      <c r="AH87">
        <f>IF(AND('13 Man'!F87&lt;Tmax, NOT('13 Man'!$H87="")),'13 Man'!$H87,4)</f>
        <v>4</v>
      </c>
      <c r="AI87"/>
    </row>
    <row r="88" spans="1:35" outlineLevel="2" x14ac:dyDescent="0.2">
      <c r="A88" s="601" t="s">
        <v>3367</v>
      </c>
      <c r="B88" s="601" t="s">
        <v>6419</v>
      </c>
      <c r="C88" s="597"/>
      <c r="D88" s="1539"/>
      <c r="E88" s="593"/>
      <c r="F88" s="593"/>
      <c r="G88" s="1515">
        <v>1</v>
      </c>
      <c r="H88" s="1524"/>
      <c r="I88" s="1524"/>
      <c r="J88" s="1524" t="s">
        <v>1592</v>
      </c>
      <c r="K88" s="1516"/>
      <c r="L88" s="1552"/>
      <c r="M88" s="594"/>
      <c r="AA88">
        <f>IF(AND('13 Man'!C88&gt;Tmin, NOT('13 Man'!$I88="")),'13 Man'!$I88,0)</f>
        <v>0</v>
      </c>
      <c r="AB88">
        <f>IF(AND('13 Man'!D88&gt;Tmin, NOT('13 Man'!$I88="")),'13 Man'!$I88,0)</f>
        <v>0</v>
      </c>
      <c r="AC88">
        <f>IF(AND('13 Man'!E88&gt;Tmin, NOT('13 Man'!$I88="")),'13 Man'!$I88,0)</f>
        <v>0</v>
      </c>
      <c r="AD88">
        <f>IF(AND('13 Man'!F88&gt;Tmin, NOT('13 Man'!$I88="")),'13 Man'!$I88,0)</f>
        <v>0</v>
      </c>
      <c r="AE88">
        <f>IF(AND('13 Man'!C88&lt;Tmax, NOT('13 Man'!$H88="")),'13 Man'!$H88,4)</f>
        <v>4</v>
      </c>
      <c r="AF88">
        <f>IF(AND('13 Man'!D88&lt;Tmax, NOT('13 Man'!$H88="")),'13 Man'!$H88,4)</f>
        <v>4</v>
      </c>
      <c r="AG88">
        <f>IF(AND('13 Man'!E88&lt;Tmax, NOT('13 Man'!$H88="")),'13 Man'!$H88,4)</f>
        <v>4</v>
      </c>
      <c r="AH88">
        <f>IF(AND('13 Man'!F88&lt;Tmax, NOT('13 Man'!$H88="")),'13 Man'!$H88,4)</f>
        <v>4</v>
      </c>
      <c r="AI88"/>
    </row>
    <row r="89" spans="1:35" ht="22.5" outlineLevel="2" x14ac:dyDescent="0.2">
      <c r="A89" s="601" t="s">
        <v>3368</v>
      </c>
      <c r="B89" s="601" t="s">
        <v>2978</v>
      </c>
      <c r="C89" s="597"/>
      <c r="D89" s="1539"/>
      <c r="E89" s="593"/>
      <c r="F89" s="593"/>
      <c r="G89" s="1515">
        <v>1</v>
      </c>
      <c r="H89" s="1524"/>
      <c r="I89" s="1524"/>
      <c r="J89" s="1524" t="s">
        <v>1592</v>
      </c>
      <c r="K89" s="1516"/>
      <c r="L89" s="1552"/>
      <c r="M89" s="594"/>
      <c r="AA89">
        <f>IF(AND('13 Man'!C89&gt;Tmin, NOT('13 Man'!$I89="")),'13 Man'!$I89,0)</f>
        <v>0</v>
      </c>
      <c r="AB89">
        <f>IF(AND('13 Man'!D89&gt;Tmin, NOT('13 Man'!$I89="")),'13 Man'!$I89,0)</f>
        <v>0</v>
      </c>
      <c r="AC89">
        <f>IF(AND('13 Man'!E89&gt;Tmin, NOT('13 Man'!$I89="")),'13 Man'!$I89,0)</f>
        <v>0</v>
      </c>
      <c r="AD89">
        <f>IF(AND('13 Man'!F89&gt;Tmin, NOT('13 Man'!$I89="")),'13 Man'!$I89,0)</f>
        <v>0</v>
      </c>
      <c r="AE89">
        <f>IF(AND('13 Man'!C89&lt;Tmax, NOT('13 Man'!$H89="")),'13 Man'!$H89,4)</f>
        <v>4</v>
      </c>
      <c r="AF89">
        <f>IF(AND('13 Man'!D89&lt;Tmax, NOT('13 Man'!$H89="")),'13 Man'!$H89,4)</f>
        <v>4</v>
      </c>
      <c r="AG89">
        <f>IF(AND('13 Man'!E89&lt;Tmax, NOT('13 Man'!$H89="")),'13 Man'!$H89,4)</f>
        <v>4</v>
      </c>
      <c r="AH89">
        <f>IF(AND('13 Man'!F89&lt;Tmax, NOT('13 Man'!$H89="")),'13 Man'!$H89,4)</f>
        <v>4</v>
      </c>
      <c r="AI89"/>
    </row>
    <row r="90" spans="1:35" ht="35.25" customHeight="1" outlineLevel="2" x14ac:dyDescent="0.2">
      <c r="A90" s="601" t="s">
        <v>3369</v>
      </c>
      <c r="B90" s="601" t="s">
        <v>1774</v>
      </c>
      <c r="C90" s="597"/>
      <c r="D90" s="1539"/>
      <c r="E90" s="593"/>
      <c r="F90" s="593"/>
      <c r="G90" s="1515">
        <v>1</v>
      </c>
      <c r="H90" s="1524"/>
      <c r="I90" s="1524"/>
      <c r="J90" s="1524" t="s">
        <v>1592</v>
      </c>
      <c r="K90" s="1516"/>
      <c r="L90" s="1552"/>
      <c r="M90" s="594"/>
      <c r="AA90">
        <f>IF(AND('13 Man'!C90&gt;Tmin, NOT('13 Man'!$I90="")),'13 Man'!$I90,0)</f>
        <v>0</v>
      </c>
      <c r="AB90">
        <f>IF(AND('13 Man'!D90&gt;Tmin, NOT('13 Man'!$I90="")),'13 Man'!$I90,0)</f>
        <v>0</v>
      </c>
      <c r="AC90">
        <f>IF(AND('13 Man'!E90&gt;Tmin, NOT('13 Man'!$I90="")),'13 Man'!$I90,0)</f>
        <v>0</v>
      </c>
      <c r="AD90">
        <f>IF(AND('13 Man'!F90&gt;Tmin, NOT('13 Man'!$I90="")),'13 Man'!$I90,0)</f>
        <v>0</v>
      </c>
      <c r="AE90">
        <f>IF(AND('13 Man'!C90&lt;Tmax, NOT('13 Man'!$H90="")),'13 Man'!$H90,4)</f>
        <v>4</v>
      </c>
      <c r="AF90">
        <f>IF(AND('13 Man'!D90&lt;Tmax, NOT('13 Man'!$H90="")),'13 Man'!$H90,4)</f>
        <v>4</v>
      </c>
      <c r="AG90">
        <f>IF(AND('13 Man'!E90&lt;Tmax, NOT('13 Man'!$H90="")),'13 Man'!$H90,4)</f>
        <v>4</v>
      </c>
      <c r="AH90">
        <f>IF(AND('13 Man'!F90&lt;Tmax, NOT('13 Man'!$H90="")),'13 Man'!$H90,4)</f>
        <v>4</v>
      </c>
      <c r="AI90"/>
    </row>
    <row r="91" spans="1:35" ht="22.5" outlineLevel="2" x14ac:dyDescent="0.2">
      <c r="A91" s="601" t="s">
        <v>3370</v>
      </c>
      <c r="B91" s="601" t="s">
        <v>1685</v>
      </c>
      <c r="C91" s="597"/>
      <c r="D91" s="1539"/>
      <c r="E91" s="593"/>
      <c r="F91" s="593"/>
      <c r="G91" s="1515">
        <v>1</v>
      </c>
      <c r="H91" s="1524"/>
      <c r="I91" s="1524"/>
      <c r="J91" s="1524" t="s">
        <v>1592</v>
      </c>
      <c r="K91" s="1516"/>
      <c r="L91" s="1552"/>
      <c r="M91" s="594"/>
      <c r="AA91">
        <f>IF(AND('13 Man'!C91&gt;Tmin, NOT('13 Man'!$I91="")),'13 Man'!$I91,0)</f>
        <v>0</v>
      </c>
      <c r="AB91">
        <f>IF(AND('13 Man'!D91&gt;Tmin, NOT('13 Man'!$I91="")),'13 Man'!$I91,0)</f>
        <v>0</v>
      </c>
      <c r="AC91">
        <f>IF(AND('13 Man'!E91&gt;Tmin, NOT('13 Man'!$I91="")),'13 Man'!$I91,0)</f>
        <v>0</v>
      </c>
      <c r="AD91">
        <f>IF(AND('13 Man'!F91&gt;Tmin, NOT('13 Man'!$I91="")),'13 Man'!$I91,0)</f>
        <v>0</v>
      </c>
      <c r="AE91">
        <f>IF(AND('13 Man'!C91&lt;Tmax, NOT('13 Man'!$H91="")),'13 Man'!$H91,4)</f>
        <v>4</v>
      </c>
      <c r="AF91">
        <f>IF(AND('13 Man'!D91&lt;Tmax, NOT('13 Man'!$H91="")),'13 Man'!$H91,4)</f>
        <v>4</v>
      </c>
      <c r="AG91">
        <f>IF(AND('13 Man'!E91&lt;Tmax, NOT('13 Man'!$H91="")),'13 Man'!$H91,4)</f>
        <v>4</v>
      </c>
      <c r="AH91">
        <f>IF(AND('13 Man'!F91&lt;Tmax, NOT('13 Man'!$H91="")),'13 Man'!$H91,4)</f>
        <v>4</v>
      </c>
      <c r="AI91"/>
    </row>
    <row r="92" spans="1:35" outlineLevel="2" x14ac:dyDescent="0.2">
      <c r="A92" s="601" t="s">
        <v>3371</v>
      </c>
      <c r="B92" s="601" t="s">
        <v>2979</v>
      </c>
      <c r="C92" s="597"/>
      <c r="D92" s="1539"/>
      <c r="E92" s="593"/>
      <c r="F92" s="593"/>
      <c r="G92" s="1515">
        <v>1</v>
      </c>
      <c r="H92" s="1524"/>
      <c r="I92" s="1524"/>
      <c r="J92" s="1524" t="s">
        <v>1592</v>
      </c>
      <c r="K92" s="1516"/>
      <c r="L92" s="1552"/>
      <c r="M92" s="594"/>
      <c r="AA92">
        <f>IF(AND('13 Man'!C92&gt;Tmin, NOT('13 Man'!$I92="")),'13 Man'!$I92,0)</f>
        <v>0</v>
      </c>
      <c r="AB92">
        <f>IF(AND('13 Man'!D92&gt;Tmin, NOT('13 Man'!$I92="")),'13 Man'!$I92,0)</f>
        <v>0</v>
      </c>
      <c r="AC92">
        <f>IF(AND('13 Man'!E92&gt;Tmin, NOT('13 Man'!$I92="")),'13 Man'!$I92,0)</f>
        <v>0</v>
      </c>
      <c r="AD92">
        <f>IF(AND('13 Man'!F92&gt;Tmin, NOT('13 Man'!$I92="")),'13 Man'!$I92,0)</f>
        <v>0</v>
      </c>
      <c r="AE92">
        <f>IF(AND('13 Man'!C92&lt;Tmax, NOT('13 Man'!$H92="")),'13 Man'!$H92,4)</f>
        <v>4</v>
      </c>
      <c r="AF92">
        <f>IF(AND('13 Man'!D92&lt;Tmax, NOT('13 Man'!$H92="")),'13 Man'!$H92,4)</f>
        <v>4</v>
      </c>
      <c r="AG92">
        <f>IF(AND('13 Man'!E92&lt;Tmax, NOT('13 Man'!$H92="")),'13 Man'!$H92,4)</f>
        <v>4</v>
      </c>
      <c r="AH92">
        <f>IF(AND('13 Man'!F92&lt;Tmax, NOT('13 Man'!$H92="")),'13 Man'!$H92,4)</f>
        <v>4</v>
      </c>
      <c r="AI92"/>
    </row>
    <row r="93" spans="1:35" ht="22.5" outlineLevel="2" x14ac:dyDescent="0.2">
      <c r="A93" s="601" t="s">
        <v>3372</v>
      </c>
      <c r="B93" s="601" t="s">
        <v>2980</v>
      </c>
      <c r="C93" s="597"/>
      <c r="D93" s="1539"/>
      <c r="E93" s="593"/>
      <c r="F93" s="593"/>
      <c r="G93" s="1515">
        <v>1</v>
      </c>
      <c r="H93" s="1524"/>
      <c r="I93" s="1524"/>
      <c r="J93" s="1524" t="s">
        <v>2109</v>
      </c>
      <c r="K93" s="1516"/>
      <c r="L93" s="1552"/>
      <c r="M93" s="594"/>
      <c r="AA93">
        <f>IF(AND('13 Man'!C93&gt;Tmin, NOT('13 Man'!$I93="")),'13 Man'!$I93,0)</f>
        <v>0</v>
      </c>
      <c r="AB93">
        <f>IF(AND('13 Man'!D93&gt;Tmin, NOT('13 Man'!$I93="")),'13 Man'!$I93,0)</f>
        <v>0</v>
      </c>
      <c r="AC93">
        <f>IF(AND('13 Man'!E93&gt;Tmin, NOT('13 Man'!$I93="")),'13 Man'!$I93,0)</f>
        <v>0</v>
      </c>
      <c r="AD93">
        <f>IF(AND('13 Man'!F93&gt;Tmin, NOT('13 Man'!$I93="")),'13 Man'!$I93,0)</f>
        <v>0</v>
      </c>
      <c r="AE93">
        <f>IF(AND('13 Man'!C93&lt;Tmax, NOT('13 Man'!$H93="")),'13 Man'!$H93,4)</f>
        <v>4</v>
      </c>
      <c r="AF93">
        <f>IF(AND('13 Man'!D93&lt;Tmax, NOT('13 Man'!$H93="")),'13 Man'!$H93,4)</f>
        <v>4</v>
      </c>
      <c r="AG93">
        <f>IF(AND('13 Man'!E93&lt;Tmax, NOT('13 Man'!$H93="")),'13 Man'!$H93,4)</f>
        <v>4</v>
      </c>
      <c r="AH93">
        <f>IF(AND('13 Man'!F93&lt;Tmax, NOT('13 Man'!$H93="")),'13 Man'!$H93,4)</f>
        <v>4</v>
      </c>
      <c r="AI93"/>
    </row>
    <row r="94" spans="1:35" s="600" customFormat="1" ht="21" outlineLevel="1" x14ac:dyDescent="0.2">
      <c r="A94" s="595" t="s">
        <v>3373</v>
      </c>
      <c r="B94" s="596" t="s">
        <v>3082</v>
      </c>
      <c r="C94" s="597"/>
      <c r="D94" s="1539"/>
      <c r="E94" s="593"/>
      <c r="F94" s="593"/>
      <c r="G94" s="1515"/>
      <c r="H94" s="1515"/>
      <c r="I94" s="1515"/>
      <c r="J94" s="1524"/>
      <c r="K94" s="1516"/>
      <c r="L94" s="1552"/>
      <c r="M94" s="598"/>
      <c r="N94" s="599"/>
      <c r="O94" s="599"/>
      <c r="P94" s="599"/>
      <c r="Q94" s="599"/>
      <c r="R94" s="599"/>
      <c r="S94" s="599"/>
      <c r="T94" s="599"/>
      <c r="U94" s="599"/>
      <c r="V94" s="599"/>
      <c r="W94" s="599"/>
      <c r="X94" s="599"/>
      <c r="Y94" s="599"/>
      <c r="Z94" s="599"/>
      <c r="AA94"/>
      <c r="AB94"/>
      <c r="AC94"/>
      <c r="AD94"/>
      <c r="AE94"/>
      <c r="AF94"/>
      <c r="AG94"/>
      <c r="AH94"/>
      <c r="AI94"/>
    </row>
    <row r="95" spans="1:35" s="600" customFormat="1" outlineLevel="2" x14ac:dyDescent="0.2">
      <c r="A95" s="601" t="s">
        <v>4394</v>
      </c>
      <c r="B95" s="601" t="s">
        <v>3395</v>
      </c>
      <c r="C95" s="597"/>
      <c r="D95" s="1539"/>
      <c r="E95" s="593"/>
      <c r="F95" s="593"/>
      <c r="G95" s="1515">
        <v>2</v>
      </c>
      <c r="H95" s="1515"/>
      <c r="I95" s="1515"/>
      <c r="J95" s="1524" t="s">
        <v>4246</v>
      </c>
      <c r="K95" s="1516"/>
      <c r="L95" s="1552"/>
      <c r="M95" s="598"/>
      <c r="N95" s="599"/>
      <c r="O95" s="599"/>
      <c r="P95" s="599"/>
      <c r="Q95" s="599"/>
      <c r="R95" s="599"/>
      <c r="S95" s="599"/>
      <c r="T95" s="599"/>
      <c r="U95" s="599"/>
      <c r="V95" s="599"/>
      <c r="W95" s="599"/>
      <c r="X95" s="599"/>
      <c r="Y95" s="599"/>
      <c r="Z95" s="599"/>
      <c r="AA95">
        <f>IF(AND('13 Man'!C95&gt;Tmin, NOT('13 Man'!$I95="")),'13 Man'!$I95,0)</f>
        <v>0</v>
      </c>
      <c r="AB95">
        <f>IF(AND('13 Man'!D95&gt;Tmin, NOT('13 Man'!$I95="")),'13 Man'!$I95,0)</f>
        <v>0</v>
      </c>
      <c r="AC95">
        <f>IF(AND('13 Man'!E95&gt;Tmin, NOT('13 Man'!$I95="")),'13 Man'!$I95,0)</f>
        <v>0</v>
      </c>
      <c r="AD95">
        <f>IF(AND('13 Man'!F95&gt;Tmin, NOT('13 Man'!$I95="")),'13 Man'!$I95,0)</f>
        <v>0</v>
      </c>
      <c r="AE95">
        <f>IF(AND('13 Man'!C95&lt;Tmax, NOT('13 Man'!$H95="")),'13 Man'!$H95,4)</f>
        <v>4</v>
      </c>
      <c r="AF95">
        <f>IF(AND('13 Man'!D95&lt;Tmax, NOT('13 Man'!$H95="")),'13 Man'!$H95,4)</f>
        <v>4</v>
      </c>
      <c r="AG95">
        <f>IF(AND('13 Man'!E95&lt;Tmax, NOT('13 Man'!$H95="")),'13 Man'!$H95,4)</f>
        <v>4</v>
      </c>
      <c r="AH95">
        <f>IF(AND('13 Man'!F95&lt;Tmax, NOT('13 Man'!$H95="")),'13 Man'!$H95,4)</f>
        <v>4</v>
      </c>
      <c r="AI95"/>
    </row>
    <row r="96" spans="1:35" s="600" customFormat="1" ht="22.5" outlineLevel="2" x14ac:dyDescent="0.2">
      <c r="A96" s="601" t="s">
        <v>4395</v>
      </c>
      <c r="B96" s="601" t="s">
        <v>3396</v>
      </c>
      <c r="C96" s="597"/>
      <c r="D96" s="1539"/>
      <c r="E96" s="593"/>
      <c r="F96" s="593"/>
      <c r="G96" s="1515">
        <v>2</v>
      </c>
      <c r="H96" s="1515"/>
      <c r="I96" s="1515"/>
      <c r="J96" s="1524" t="s">
        <v>1592</v>
      </c>
      <c r="K96" s="1516"/>
      <c r="L96" s="1552"/>
      <c r="M96" s="598"/>
      <c r="N96" s="599"/>
      <c r="O96" s="599"/>
      <c r="P96" s="599"/>
      <c r="Q96" s="599"/>
      <c r="R96" s="599"/>
      <c r="S96" s="599"/>
      <c r="T96" s="599"/>
      <c r="U96" s="599"/>
      <c r="V96" s="599"/>
      <c r="W96" s="599"/>
      <c r="X96" s="599"/>
      <c r="Y96" s="599"/>
      <c r="Z96" s="599"/>
      <c r="AA96">
        <f>IF(AND('13 Man'!C96&gt;Tmin, NOT('13 Man'!$I96="")),'13 Man'!$I96,0)</f>
        <v>0</v>
      </c>
      <c r="AB96">
        <f>IF(AND('13 Man'!D96&gt;Tmin, NOT('13 Man'!$I96="")),'13 Man'!$I96,0)</f>
        <v>0</v>
      </c>
      <c r="AC96">
        <f>IF(AND('13 Man'!E96&gt;Tmin, NOT('13 Man'!$I96="")),'13 Man'!$I96,0)</f>
        <v>0</v>
      </c>
      <c r="AD96">
        <f>IF(AND('13 Man'!F96&gt;Tmin, NOT('13 Man'!$I96="")),'13 Man'!$I96,0)</f>
        <v>0</v>
      </c>
      <c r="AE96">
        <f>IF(AND('13 Man'!C96&lt;Tmax, NOT('13 Man'!$H96="")),'13 Man'!$H96,4)</f>
        <v>4</v>
      </c>
      <c r="AF96">
        <f>IF(AND('13 Man'!D96&lt;Tmax, NOT('13 Man'!$H96="")),'13 Man'!$H96,4)</f>
        <v>4</v>
      </c>
      <c r="AG96">
        <f>IF(AND('13 Man'!E96&lt;Tmax, NOT('13 Man'!$H96="")),'13 Man'!$H96,4)</f>
        <v>4</v>
      </c>
      <c r="AH96">
        <f>IF(AND('13 Man'!F96&lt;Tmax, NOT('13 Man'!$H96="")),'13 Man'!$H96,4)</f>
        <v>4</v>
      </c>
      <c r="AI96"/>
    </row>
    <row r="97" spans="1:35" s="600" customFormat="1" ht="22.5" outlineLevel="2" x14ac:dyDescent="0.2">
      <c r="A97" s="601" t="s">
        <v>4396</v>
      </c>
      <c r="B97" s="601" t="s">
        <v>6046</v>
      </c>
      <c r="C97" s="597"/>
      <c r="D97" s="1539"/>
      <c r="E97" s="593"/>
      <c r="F97" s="593"/>
      <c r="G97" s="1515">
        <v>2</v>
      </c>
      <c r="H97" s="1524"/>
      <c r="I97" s="1524"/>
      <c r="J97" s="1524" t="s">
        <v>1592</v>
      </c>
      <c r="K97" s="1516"/>
      <c r="L97" s="1552"/>
      <c r="M97" s="598"/>
      <c r="N97" s="599"/>
      <c r="O97" s="599"/>
      <c r="P97" s="599"/>
      <c r="Q97" s="599"/>
      <c r="R97" s="599"/>
      <c r="S97" s="599"/>
      <c r="T97" s="599"/>
      <c r="U97" s="599"/>
      <c r="V97" s="599"/>
      <c r="W97" s="599"/>
      <c r="X97" s="599"/>
      <c r="Y97" s="599"/>
      <c r="Z97" s="599"/>
      <c r="AA97">
        <f>IF(AND('13 Man'!C97&gt;Tmin, NOT('13 Man'!$I97="")),'13 Man'!$I97,0)</f>
        <v>0</v>
      </c>
      <c r="AB97">
        <f>IF(AND('13 Man'!D97&gt;Tmin, NOT('13 Man'!$I97="")),'13 Man'!$I97,0)</f>
        <v>0</v>
      </c>
      <c r="AC97">
        <f>IF(AND('13 Man'!E97&gt;Tmin, NOT('13 Man'!$I97="")),'13 Man'!$I97,0)</f>
        <v>0</v>
      </c>
      <c r="AD97">
        <f>IF(AND('13 Man'!F97&gt;Tmin, NOT('13 Man'!$I97="")),'13 Man'!$I97,0)</f>
        <v>0</v>
      </c>
      <c r="AE97">
        <f>IF(AND('13 Man'!C97&lt;Tmax, NOT('13 Man'!$H97="")),'13 Man'!$H97,4)</f>
        <v>4</v>
      </c>
      <c r="AF97">
        <f>IF(AND('13 Man'!D97&lt;Tmax, NOT('13 Man'!$H97="")),'13 Man'!$H97,4)</f>
        <v>4</v>
      </c>
      <c r="AG97">
        <f>IF(AND('13 Man'!E97&lt;Tmax, NOT('13 Man'!$H97="")),'13 Man'!$H97,4)</f>
        <v>4</v>
      </c>
      <c r="AH97">
        <f>IF(AND('13 Man'!F97&lt;Tmax, NOT('13 Man'!$H97="")),'13 Man'!$H97,4)</f>
        <v>4</v>
      </c>
      <c r="AI97"/>
    </row>
    <row r="98" spans="1:35" s="600" customFormat="1" outlineLevel="2" x14ac:dyDescent="0.2">
      <c r="A98" s="601" t="s">
        <v>4397</v>
      </c>
      <c r="B98" s="601" t="s">
        <v>3473</v>
      </c>
      <c r="C98" s="597"/>
      <c r="D98" s="1539"/>
      <c r="E98" s="593"/>
      <c r="F98" s="593"/>
      <c r="G98" s="1515">
        <v>4</v>
      </c>
      <c r="H98" s="1524"/>
      <c r="I98" s="1524"/>
      <c r="J98" s="1524" t="s">
        <v>1592</v>
      </c>
      <c r="K98" s="1516"/>
      <c r="L98" s="1552"/>
      <c r="M98" s="598"/>
      <c r="N98" s="599"/>
      <c r="O98" s="599"/>
      <c r="P98" s="599"/>
      <c r="Q98" s="599"/>
      <c r="R98" s="599"/>
      <c r="S98" s="599"/>
      <c r="T98" s="599"/>
      <c r="U98" s="599"/>
      <c r="V98" s="599"/>
      <c r="W98" s="599"/>
      <c r="X98" s="599"/>
      <c r="Y98" s="599"/>
      <c r="Z98" s="599"/>
      <c r="AA98">
        <f>IF(AND('13 Man'!C98&gt;Tmin, NOT('13 Man'!$I98="")),'13 Man'!$I98,0)</f>
        <v>0</v>
      </c>
      <c r="AB98">
        <f>IF(AND('13 Man'!D98&gt;Tmin, NOT('13 Man'!$I98="")),'13 Man'!$I98,0)</f>
        <v>0</v>
      </c>
      <c r="AC98">
        <f>IF(AND('13 Man'!E98&gt;Tmin, NOT('13 Man'!$I98="")),'13 Man'!$I98,0)</f>
        <v>0</v>
      </c>
      <c r="AD98">
        <f>IF(AND('13 Man'!F98&gt;Tmin, NOT('13 Man'!$I98="")),'13 Man'!$I98,0)</f>
        <v>0</v>
      </c>
      <c r="AE98">
        <f>IF(AND('13 Man'!C98&lt;Tmax, NOT('13 Man'!$H98="")),'13 Man'!$H98,4)</f>
        <v>4</v>
      </c>
      <c r="AF98">
        <f>IF(AND('13 Man'!D98&lt;Tmax, NOT('13 Man'!$H98="")),'13 Man'!$H98,4)</f>
        <v>4</v>
      </c>
      <c r="AG98">
        <f>IF(AND('13 Man'!E98&lt;Tmax, NOT('13 Man'!$H98="")),'13 Man'!$H98,4)</f>
        <v>4</v>
      </c>
      <c r="AH98">
        <f>IF(AND('13 Man'!F98&lt;Tmax, NOT('13 Man'!$H98="")),'13 Man'!$H98,4)</f>
        <v>4</v>
      </c>
      <c r="AI98"/>
    </row>
    <row r="99" spans="1:35" s="600" customFormat="1" ht="22.5" outlineLevel="2" x14ac:dyDescent="0.2">
      <c r="A99" s="601" t="s">
        <v>4398</v>
      </c>
      <c r="B99" s="601" t="s">
        <v>3472</v>
      </c>
      <c r="C99" s="597"/>
      <c r="D99" s="1539"/>
      <c r="E99" s="593"/>
      <c r="F99" s="593"/>
      <c r="G99" s="1515">
        <v>4</v>
      </c>
      <c r="H99" s="1515"/>
      <c r="I99" s="1515"/>
      <c r="J99" s="1524" t="s">
        <v>1592</v>
      </c>
      <c r="K99" s="1516"/>
      <c r="L99" s="1552"/>
      <c r="M99" s="598"/>
      <c r="N99" s="599"/>
      <c r="O99" s="599"/>
      <c r="P99" s="599"/>
      <c r="Q99" s="599"/>
      <c r="R99" s="599"/>
      <c r="S99" s="599"/>
      <c r="T99" s="599"/>
      <c r="U99" s="599"/>
      <c r="V99" s="599"/>
      <c r="W99" s="599"/>
      <c r="X99" s="599"/>
      <c r="Y99" s="599"/>
      <c r="Z99" s="599"/>
      <c r="AA99">
        <f>IF(AND('13 Man'!C99&gt;Tmin, NOT('13 Man'!$I99="")),'13 Man'!$I99,0)</f>
        <v>0</v>
      </c>
      <c r="AB99">
        <f>IF(AND('13 Man'!D99&gt;Tmin, NOT('13 Man'!$I99="")),'13 Man'!$I99,0)</f>
        <v>0</v>
      </c>
      <c r="AC99">
        <f>IF(AND('13 Man'!E99&gt;Tmin, NOT('13 Man'!$I99="")),'13 Man'!$I99,0)</f>
        <v>0</v>
      </c>
      <c r="AD99">
        <f>IF(AND('13 Man'!F99&gt;Tmin, NOT('13 Man'!$I99="")),'13 Man'!$I99,0)</f>
        <v>0</v>
      </c>
      <c r="AE99">
        <f>IF(AND('13 Man'!C99&lt;Tmax, NOT('13 Man'!$H99="")),'13 Man'!$H99,4)</f>
        <v>4</v>
      </c>
      <c r="AF99">
        <f>IF(AND('13 Man'!D99&lt;Tmax, NOT('13 Man'!$H99="")),'13 Man'!$H99,4)</f>
        <v>4</v>
      </c>
      <c r="AG99">
        <f>IF(AND('13 Man'!E99&lt;Tmax, NOT('13 Man'!$H99="")),'13 Man'!$H99,4)</f>
        <v>4</v>
      </c>
      <c r="AH99">
        <f>IF(AND('13 Man'!F99&lt;Tmax, NOT('13 Man'!$H99="")),'13 Man'!$H99,4)</f>
        <v>4</v>
      </c>
      <c r="AI99"/>
    </row>
    <row r="100" spans="1:35" s="600" customFormat="1" ht="22.5" outlineLevel="2" x14ac:dyDescent="0.2">
      <c r="A100" s="601" t="s">
        <v>4399</v>
      </c>
      <c r="B100" s="601" t="s">
        <v>3471</v>
      </c>
      <c r="C100" s="597"/>
      <c r="D100" s="1539"/>
      <c r="E100" s="593"/>
      <c r="F100" s="593"/>
      <c r="G100" s="1515">
        <v>4</v>
      </c>
      <c r="H100" s="1524"/>
      <c r="I100" s="1524"/>
      <c r="J100" s="1524" t="s">
        <v>1592</v>
      </c>
      <c r="K100" s="1516"/>
      <c r="L100" s="1552"/>
      <c r="M100" s="598"/>
      <c r="N100" s="599"/>
      <c r="O100" s="599"/>
      <c r="P100" s="599"/>
      <c r="Q100" s="599"/>
      <c r="R100" s="599"/>
      <c r="S100" s="599"/>
      <c r="T100" s="599"/>
      <c r="U100" s="599"/>
      <c r="V100" s="599"/>
      <c r="W100" s="599"/>
      <c r="X100" s="599"/>
      <c r="Y100" s="599"/>
      <c r="Z100" s="599"/>
      <c r="AA100">
        <f>IF(AND('13 Man'!C100&gt;Tmin, NOT('13 Man'!$I100="")),'13 Man'!$I100,0)</f>
        <v>0</v>
      </c>
      <c r="AB100">
        <f>IF(AND('13 Man'!D100&gt;Tmin, NOT('13 Man'!$I100="")),'13 Man'!$I100,0)</f>
        <v>0</v>
      </c>
      <c r="AC100">
        <f>IF(AND('13 Man'!E100&gt;Tmin, NOT('13 Man'!$I100="")),'13 Man'!$I100,0)</f>
        <v>0</v>
      </c>
      <c r="AD100">
        <f>IF(AND('13 Man'!F100&gt;Tmin, NOT('13 Man'!$I100="")),'13 Man'!$I100,0)</f>
        <v>0</v>
      </c>
      <c r="AE100">
        <f>IF(AND('13 Man'!C100&lt;Tmax, NOT('13 Man'!$H100="")),'13 Man'!$H100,4)</f>
        <v>4</v>
      </c>
      <c r="AF100">
        <f>IF(AND('13 Man'!D100&lt;Tmax, NOT('13 Man'!$H100="")),'13 Man'!$H100,4)</f>
        <v>4</v>
      </c>
      <c r="AG100">
        <f>IF(AND('13 Man'!E100&lt;Tmax, NOT('13 Man'!$H100="")),'13 Man'!$H100,4)</f>
        <v>4</v>
      </c>
      <c r="AH100">
        <f>IF(AND('13 Man'!F100&lt;Tmax, NOT('13 Man'!$H100="")),'13 Man'!$H100,4)</f>
        <v>4</v>
      </c>
      <c r="AI100"/>
    </row>
    <row r="101" spans="1:35" s="600" customFormat="1" ht="22.5" outlineLevel="2" x14ac:dyDescent="0.2">
      <c r="A101" s="601" t="s">
        <v>4400</v>
      </c>
      <c r="B101" s="601" t="s">
        <v>4517</v>
      </c>
      <c r="C101" s="597"/>
      <c r="D101" s="1539"/>
      <c r="E101" s="593"/>
      <c r="F101" s="593"/>
      <c r="G101" s="1515">
        <v>4</v>
      </c>
      <c r="H101" s="1524">
        <v>3</v>
      </c>
      <c r="I101" s="1524"/>
      <c r="J101" s="1524" t="s">
        <v>2329</v>
      </c>
      <c r="K101" s="1516"/>
      <c r="L101" s="1552"/>
      <c r="M101" s="598"/>
      <c r="N101" s="599"/>
      <c r="O101" s="599"/>
      <c r="P101" s="599"/>
      <c r="Q101" s="599"/>
      <c r="R101" s="599"/>
      <c r="S101" s="599"/>
      <c r="T101" s="599"/>
      <c r="U101" s="599"/>
      <c r="V101" s="599"/>
      <c r="W101" s="599"/>
      <c r="X101" s="599"/>
      <c r="Y101" s="599"/>
      <c r="Z101" s="599"/>
      <c r="AA101">
        <f>IF(AND('13 Man'!C101&gt;Tmin, NOT('13 Man'!$I101="")),'13 Man'!$I101,0)</f>
        <v>0</v>
      </c>
      <c r="AB101">
        <f>IF(AND('13 Man'!D101&gt;Tmin, NOT('13 Man'!$I101="")),'13 Man'!$I101,0)</f>
        <v>0</v>
      </c>
      <c r="AC101">
        <f>IF(AND('13 Man'!E101&gt;Tmin, NOT('13 Man'!$I101="")),'13 Man'!$I101,0)</f>
        <v>0</v>
      </c>
      <c r="AD101">
        <f>IF(AND('13 Man'!F101&gt;Tmin, NOT('13 Man'!$I101="")),'13 Man'!$I101,0)</f>
        <v>0</v>
      </c>
      <c r="AE101">
        <f>IF(AND('13 Man'!C101&lt;Tmax, NOT('13 Man'!$H101="")),'13 Man'!$H101,4)</f>
        <v>3</v>
      </c>
      <c r="AF101">
        <f>IF(AND('13 Man'!D101&lt;Tmax, NOT('13 Man'!$H101="")),'13 Man'!$H101,4)</f>
        <v>3</v>
      </c>
      <c r="AG101">
        <f>IF(AND('13 Man'!E101&lt;Tmax, NOT('13 Man'!$H101="")),'13 Man'!$H101,4)</f>
        <v>3</v>
      </c>
      <c r="AH101">
        <f>IF(AND('13 Man'!F101&lt;Tmax, NOT('13 Man'!$H101="")),'13 Man'!$H101,4)</f>
        <v>3</v>
      </c>
      <c r="AI101"/>
    </row>
    <row r="102" spans="1:35" s="600" customFormat="1" outlineLevel="2" x14ac:dyDescent="0.2">
      <c r="A102" s="601" t="s">
        <v>6447</v>
      </c>
      <c r="B102" s="601" t="s">
        <v>4518</v>
      </c>
      <c r="C102" s="597"/>
      <c r="D102" s="1539"/>
      <c r="E102" s="593"/>
      <c r="F102" s="593"/>
      <c r="G102" s="1515">
        <v>2</v>
      </c>
      <c r="H102" s="1515">
        <v>3</v>
      </c>
      <c r="I102" s="1515"/>
      <c r="J102" s="1524" t="s">
        <v>2349</v>
      </c>
      <c r="K102" s="1516"/>
      <c r="L102" s="1552"/>
      <c r="M102" s="598"/>
      <c r="N102" s="599"/>
      <c r="O102" s="599"/>
      <c r="P102" s="599"/>
      <c r="Q102" s="599"/>
      <c r="R102" s="599"/>
      <c r="S102" s="599"/>
      <c r="T102" s="599"/>
      <c r="U102" s="599"/>
      <c r="V102" s="599"/>
      <c r="W102" s="599"/>
      <c r="X102" s="599"/>
      <c r="Y102" s="599"/>
      <c r="Z102" s="599"/>
      <c r="AA102">
        <f>IF(AND('13 Man'!C102&gt;Tmin, NOT('13 Man'!$I102="")),'13 Man'!$I102,0)</f>
        <v>0</v>
      </c>
      <c r="AB102">
        <f>IF(AND('13 Man'!D102&gt;Tmin, NOT('13 Man'!$I102="")),'13 Man'!$I102,0)</f>
        <v>0</v>
      </c>
      <c r="AC102">
        <f>IF(AND('13 Man'!E102&gt;Tmin, NOT('13 Man'!$I102="")),'13 Man'!$I102,0)</f>
        <v>0</v>
      </c>
      <c r="AD102">
        <f>IF(AND('13 Man'!F102&gt;Tmin, NOT('13 Man'!$I102="")),'13 Man'!$I102,0)</f>
        <v>0</v>
      </c>
      <c r="AE102">
        <f>IF(AND('13 Man'!C102&lt;Tmax, NOT('13 Man'!$H102="")),'13 Man'!$H102,4)</f>
        <v>3</v>
      </c>
      <c r="AF102">
        <f>IF(AND('13 Man'!D102&lt;Tmax, NOT('13 Man'!$H102="")),'13 Man'!$H102,4)</f>
        <v>3</v>
      </c>
      <c r="AG102">
        <f>IF(AND('13 Man'!E102&lt;Tmax, NOT('13 Man'!$H102="")),'13 Man'!$H102,4)</f>
        <v>3</v>
      </c>
      <c r="AH102">
        <f>IF(AND('13 Man'!F102&lt;Tmax, NOT('13 Man'!$H102="")),'13 Man'!$H102,4)</f>
        <v>3</v>
      </c>
      <c r="AI102"/>
    </row>
    <row r="103" spans="1:35" s="600" customFormat="1" outlineLevel="2" x14ac:dyDescent="0.2">
      <c r="A103" s="601" t="s">
        <v>4401</v>
      </c>
      <c r="B103" s="601" t="s">
        <v>4519</v>
      </c>
      <c r="C103" s="597"/>
      <c r="D103" s="1539"/>
      <c r="E103" s="593"/>
      <c r="F103" s="593"/>
      <c r="G103" s="1515">
        <v>2</v>
      </c>
      <c r="H103" s="1524">
        <v>3</v>
      </c>
      <c r="I103" s="1524"/>
      <c r="J103" s="1524" t="s">
        <v>2109</v>
      </c>
      <c r="K103" s="1516"/>
      <c r="L103" s="1552"/>
      <c r="M103" s="598"/>
      <c r="N103" s="599"/>
      <c r="O103" s="599"/>
      <c r="P103" s="599"/>
      <c r="Q103" s="599"/>
      <c r="R103" s="599"/>
      <c r="S103" s="599"/>
      <c r="T103" s="599"/>
      <c r="U103" s="599"/>
      <c r="V103" s="599"/>
      <c r="W103" s="599"/>
      <c r="X103" s="599"/>
      <c r="Y103" s="599"/>
      <c r="Z103" s="599"/>
      <c r="AA103">
        <f>IF(AND('13 Man'!C103&gt;Tmin, NOT('13 Man'!$I103="")),'13 Man'!$I103,0)</f>
        <v>0</v>
      </c>
      <c r="AB103">
        <f>IF(AND('13 Man'!D103&gt;Tmin, NOT('13 Man'!$I103="")),'13 Man'!$I103,0)</f>
        <v>0</v>
      </c>
      <c r="AC103">
        <f>IF(AND('13 Man'!E103&gt;Tmin, NOT('13 Man'!$I103="")),'13 Man'!$I103,0)</f>
        <v>0</v>
      </c>
      <c r="AD103">
        <f>IF(AND('13 Man'!F103&gt;Tmin, NOT('13 Man'!$I103="")),'13 Man'!$I103,0)</f>
        <v>0</v>
      </c>
      <c r="AE103">
        <f>IF(AND('13 Man'!C103&lt;Tmax, NOT('13 Man'!$H103="")),'13 Man'!$H103,4)</f>
        <v>3</v>
      </c>
      <c r="AF103">
        <f>IF(AND('13 Man'!D103&lt;Tmax, NOT('13 Man'!$H103="")),'13 Man'!$H103,4)</f>
        <v>3</v>
      </c>
      <c r="AG103">
        <f>IF(AND('13 Man'!E103&lt;Tmax, NOT('13 Man'!$H103="")),'13 Man'!$H103,4)</f>
        <v>3</v>
      </c>
      <c r="AH103">
        <f>IF(AND('13 Man'!F103&lt;Tmax, NOT('13 Man'!$H103="")),'13 Man'!$H103,4)</f>
        <v>3</v>
      </c>
      <c r="AI103"/>
    </row>
    <row r="104" spans="1:35" s="600" customFormat="1" outlineLevel="1" x14ac:dyDescent="0.2">
      <c r="A104" s="595" t="s">
        <v>3432</v>
      </c>
      <c r="B104" s="596" t="s">
        <v>5175</v>
      </c>
      <c r="C104" s="597"/>
      <c r="D104" s="1539"/>
      <c r="E104" s="593"/>
      <c r="F104" s="593"/>
      <c r="G104" s="1515"/>
      <c r="H104" s="1515"/>
      <c r="I104" s="1515"/>
      <c r="J104" s="1524"/>
      <c r="K104" s="1516"/>
      <c r="L104" s="1552"/>
      <c r="M104" s="598"/>
      <c r="N104" s="599"/>
      <c r="O104" s="599"/>
      <c r="P104" s="599"/>
      <c r="Q104" s="599"/>
      <c r="R104" s="599"/>
      <c r="S104" s="599"/>
      <c r="T104" s="599"/>
      <c r="U104" s="599"/>
      <c r="V104" s="599"/>
      <c r="W104" s="599"/>
      <c r="X104" s="599"/>
      <c r="Y104" s="599"/>
      <c r="Z104" s="599"/>
      <c r="AA104"/>
      <c r="AB104"/>
      <c r="AC104"/>
      <c r="AD104"/>
      <c r="AE104"/>
      <c r="AF104"/>
      <c r="AG104"/>
      <c r="AH104"/>
      <c r="AI104"/>
    </row>
    <row r="105" spans="1:35" s="600" customFormat="1" ht="22.5" outlineLevel="2" x14ac:dyDescent="0.2">
      <c r="A105" s="601" t="s">
        <v>3083</v>
      </c>
      <c r="B105" s="601" t="s">
        <v>1392</v>
      </c>
      <c r="C105" s="597"/>
      <c r="D105" s="1539"/>
      <c r="E105" s="593"/>
      <c r="F105" s="593"/>
      <c r="G105" s="1515">
        <v>2</v>
      </c>
      <c r="H105" s="1524"/>
      <c r="I105" s="1524"/>
      <c r="J105" s="1524" t="s">
        <v>2109</v>
      </c>
      <c r="K105" s="1516"/>
      <c r="L105" s="1552"/>
      <c r="M105" s="598"/>
      <c r="N105" s="599"/>
      <c r="O105" s="599"/>
      <c r="P105" s="599"/>
      <c r="Q105" s="599"/>
      <c r="R105" s="599"/>
      <c r="S105" s="599"/>
      <c r="T105" s="599"/>
      <c r="U105" s="599"/>
      <c r="V105" s="599"/>
      <c r="W105" s="599"/>
      <c r="X105" s="599"/>
      <c r="Y105" s="599"/>
      <c r="Z105" s="599"/>
      <c r="AA105">
        <f>IF(AND('13 Man'!C105&gt;Tmin, NOT('13 Man'!$I105="")),'13 Man'!$I105,0)</f>
        <v>0</v>
      </c>
      <c r="AB105">
        <f>IF(AND('13 Man'!D105&gt;Tmin, NOT('13 Man'!$I105="")),'13 Man'!$I105,0)</f>
        <v>0</v>
      </c>
      <c r="AC105">
        <f>IF(AND('13 Man'!E105&gt;Tmin, NOT('13 Man'!$I105="")),'13 Man'!$I105,0)</f>
        <v>0</v>
      </c>
      <c r="AD105">
        <f>IF(AND('13 Man'!F105&gt;Tmin, NOT('13 Man'!$I105="")),'13 Man'!$I105,0)</f>
        <v>0</v>
      </c>
      <c r="AE105">
        <f>IF(AND('13 Man'!C105&lt;Tmax, NOT('13 Man'!$H105="")),'13 Man'!$H105,4)</f>
        <v>4</v>
      </c>
      <c r="AF105">
        <f>IF(AND('13 Man'!D105&lt;Tmax, NOT('13 Man'!$H105="")),'13 Man'!$H105,4)</f>
        <v>4</v>
      </c>
      <c r="AG105">
        <f>IF(AND('13 Man'!E105&lt;Tmax, NOT('13 Man'!$H105="")),'13 Man'!$H105,4)</f>
        <v>4</v>
      </c>
      <c r="AH105">
        <f>IF(AND('13 Man'!F105&lt;Tmax, NOT('13 Man'!$H105="")),'13 Man'!$H105,4)</f>
        <v>4</v>
      </c>
      <c r="AI105"/>
    </row>
    <row r="106" spans="1:35" s="600" customFormat="1" outlineLevel="2" x14ac:dyDescent="0.2">
      <c r="A106" s="601" t="s">
        <v>3084</v>
      </c>
      <c r="B106" s="601" t="s">
        <v>126</v>
      </c>
      <c r="C106" s="597"/>
      <c r="D106" s="1539"/>
      <c r="E106" s="593"/>
      <c r="F106" s="593"/>
      <c r="G106" s="1515">
        <v>4</v>
      </c>
      <c r="H106" s="1524">
        <v>3</v>
      </c>
      <c r="I106" s="1524"/>
      <c r="J106" s="1524" t="s">
        <v>1592</v>
      </c>
      <c r="K106" s="1516"/>
      <c r="L106" s="1552"/>
      <c r="M106" s="598"/>
      <c r="N106" s="599"/>
      <c r="O106" s="599"/>
      <c r="P106" s="599"/>
      <c r="Q106" s="599"/>
      <c r="R106" s="599"/>
      <c r="S106" s="599"/>
      <c r="T106" s="599"/>
      <c r="U106" s="599"/>
      <c r="V106" s="599"/>
      <c r="W106" s="599"/>
      <c r="X106" s="599"/>
      <c r="Y106" s="599"/>
      <c r="Z106" s="599"/>
      <c r="AA106">
        <f>IF(AND('13 Man'!C106&gt;Tmin, NOT('13 Man'!$I106="")),'13 Man'!$I106,0)</f>
        <v>0</v>
      </c>
      <c r="AB106">
        <f>IF(AND('13 Man'!D106&gt;Tmin, NOT('13 Man'!$I106="")),'13 Man'!$I106,0)</f>
        <v>0</v>
      </c>
      <c r="AC106">
        <f>IF(AND('13 Man'!E106&gt;Tmin, NOT('13 Man'!$I106="")),'13 Man'!$I106,0)</f>
        <v>0</v>
      </c>
      <c r="AD106">
        <f>IF(AND('13 Man'!F106&gt;Tmin, NOT('13 Man'!$I106="")),'13 Man'!$I106,0)</f>
        <v>0</v>
      </c>
      <c r="AE106">
        <f>IF(AND('13 Man'!C106&lt;Tmax, NOT('13 Man'!$H106="")),'13 Man'!$H106,4)</f>
        <v>3</v>
      </c>
      <c r="AF106">
        <f>IF(AND('13 Man'!D106&lt;Tmax, NOT('13 Man'!$H106="")),'13 Man'!$H106,4)</f>
        <v>3</v>
      </c>
      <c r="AG106">
        <f>IF(AND('13 Man'!E106&lt;Tmax, NOT('13 Man'!$H106="")),'13 Man'!$H106,4)</f>
        <v>3</v>
      </c>
      <c r="AH106">
        <f>IF(AND('13 Man'!F106&lt;Tmax, NOT('13 Man'!$H106="")),'13 Man'!$H106,4)</f>
        <v>3</v>
      </c>
      <c r="AI106"/>
    </row>
    <row r="107" spans="1:35" s="600" customFormat="1" ht="22.5" outlineLevel="2" x14ac:dyDescent="0.2">
      <c r="A107" s="601" t="s">
        <v>3085</v>
      </c>
      <c r="B107" s="601" t="s">
        <v>1393</v>
      </c>
      <c r="C107" s="597"/>
      <c r="D107" s="1539"/>
      <c r="E107" s="593"/>
      <c r="F107" s="593"/>
      <c r="G107" s="1515">
        <v>1</v>
      </c>
      <c r="H107" s="1524">
        <v>3</v>
      </c>
      <c r="I107" s="1524"/>
      <c r="J107" s="1524" t="s">
        <v>1592</v>
      </c>
      <c r="K107" s="1516"/>
      <c r="L107" s="1552"/>
      <c r="M107" s="598"/>
      <c r="N107" s="599"/>
      <c r="O107" s="599"/>
      <c r="P107" s="599"/>
      <c r="Q107" s="599"/>
      <c r="R107" s="599"/>
      <c r="S107" s="599"/>
      <c r="T107" s="599"/>
      <c r="U107" s="599"/>
      <c r="V107" s="599"/>
      <c r="W107" s="599"/>
      <c r="X107" s="599"/>
      <c r="Y107" s="599"/>
      <c r="Z107" s="599"/>
      <c r="AA107">
        <f>IF(AND('13 Man'!C107&gt;Tmin, NOT('13 Man'!$I107="")),'13 Man'!$I107,0)</f>
        <v>0</v>
      </c>
      <c r="AB107">
        <f>IF(AND('13 Man'!D107&gt;Tmin, NOT('13 Man'!$I107="")),'13 Man'!$I107,0)</f>
        <v>0</v>
      </c>
      <c r="AC107">
        <f>IF(AND('13 Man'!E107&gt;Tmin, NOT('13 Man'!$I107="")),'13 Man'!$I107,0)</f>
        <v>0</v>
      </c>
      <c r="AD107">
        <f>IF(AND('13 Man'!F107&gt;Tmin, NOT('13 Man'!$I107="")),'13 Man'!$I107,0)</f>
        <v>0</v>
      </c>
      <c r="AE107">
        <f>IF(AND('13 Man'!C107&lt;Tmax, NOT('13 Man'!$H107="")),'13 Man'!$H107,4)</f>
        <v>3</v>
      </c>
      <c r="AF107">
        <f>IF(AND('13 Man'!D107&lt;Tmax, NOT('13 Man'!$H107="")),'13 Man'!$H107,4)</f>
        <v>3</v>
      </c>
      <c r="AG107">
        <f>IF(AND('13 Man'!E107&lt;Tmax, NOT('13 Man'!$H107="")),'13 Man'!$H107,4)</f>
        <v>3</v>
      </c>
      <c r="AH107">
        <f>IF(AND('13 Man'!F107&lt;Tmax, NOT('13 Man'!$H107="")),'13 Man'!$H107,4)</f>
        <v>3</v>
      </c>
      <c r="AI107"/>
    </row>
    <row r="108" spans="1:35" s="600" customFormat="1" outlineLevel="1" x14ac:dyDescent="0.2">
      <c r="A108" s="595" t="s">
        <v>3433</v>
      </c>
      <c r="B108" s="596" t="s">
        <v>99</v>
      </c>
      <c r="C108" s="597"/>
      <c r="D108" s="1539"/>
      <c r="E108" s="593"/>
      <c r="F108" s="593"/>
      <c r="G108" s="1515"/>
      <c r="H108" s="1515"/>
      <c r="I108" s="1515"/>
      <c r="J108" s="1524"/>
      <c r="K108" s="1516"/>
      <c r="L108" s="1552"/>
      <c r="M108" s="598"/>
      <c r="N108" s="599"/>
      <c r="O108" s="599"/>
      <c r="P108" s="599"/>
      <c r="Q108" s="599"/>
      <c r="R108" s="599"/>
      <c r="S108" s="599"/>
      <c r="T108" s="599"/>
      <c r="U108" s="599"/>
      <c r="V108" s="599"/>
      <c r="W108" s="599"/>
      <c r="X108" s="599"/>
      <c r="Y108" s="599"/>
      <c r="Z108" s="599"/>
      <c r="AA108"/>
      <c r="AB108"/>
      <c r="AC108"/>
      <c r="AD108"/>
      <c r="AE108"/>
      <c r="AF108"/>
      <c r="AG108"/>
      <c r="AH108"/>
      <c r="AI108"/>
    </row>
    <row r="109" spans="1:35" s="600" customFormat="1" ht="12.75" customHeight="1" outlineLevel="2" x14ac:dyDescent="0.2">
      <c r="A109" s="601" t="s">
        <v>3086</v>
      </c>
      <c r="B109" s="601" t="s">
        <v>6433</v>
      </c>
      <c r="C109" s="597"/>
      <c r="D109" s="1539"/>
      <c r="E109" s="593"/>
      <c r="F109" s="593"/>
      <c r="G109" s="1515">
        <v>4</v>
      </c>
      <c r="H109" s="1524">
        <v>3</v>
      </c>
      <c r="I109" s="1524"/>
      <c r="J109" s="1524" t="s">
        <v>2109</v>
      </c>
      <c r="K109" s="1516"/>
      <c r="L109" s="1552"/>
      <c r="M109" s="598"/>
      <c r="N109" s="599"/>
      <c r="O109" s="599"/>
      <c r="P109" s="599"/>
      <c r="Q109" s="599"/>
      <c r="R109" s="599"/>
      <c r="S109" s="599"/>
      <c r="T109" s="599"/>
      <c r="U109" s="599"/>
      <c r="V109" s="599"/>
      <c r="W109" s="599"/>
      <c r="X109" s="599"/>
      <c r="Y109" s="599"/>
      <c r="Z109" s="599"/>
      <c r="AA109">
        <f>IF(AND('13 Man'!C109&gt;Tmin, NOT('13 Man'!$I109="")),'13 Man'!$I109,0)</f>
        <v>0</v>
      </c>
      <c r="AB109">
        <f>IF(AND('13 Man'!D109&gt;Tmin, NOT('13 Man'!$I109="")),'13 Man'!$I109,0)</f>
        <v>0</v>
      </c>
      <c r="AC109">
        <f>IF(AND('13 Man'!E109&gt;Tmin, NOT('13 Man'!$I109="")),'13 Man'!$I109,0)</f>
        <v>0</v>
      </c>
      <c r="AD109">
        <f>IF(AND('13 Man'!F109&gt;Tmin, NOT('13 Man'!$I109="")),'13 Man'!$I109,0)</f>
        <v>0</v>
      </c>
      <c r="AE109">
        <f>IF(AND('13 Man'!C109&lt;Tmax, NOT('13 Man'!$H109="")),'13 Man'!$H109,4)</f>
        <v>3</v>
      </c>
      <c r="AF109">
        <f>IF(AND('13 Man'!D109&lt;Tmax, NOT('13 Man'!$H109="")),'13 Man'!$H109,4)</f>
        <v>3</v>
      </c>
      <c r="AG109">
        <f>IF(AND('13 Man'!E109&lt;Tmax, NOT('13 Man'!$H109="")),'13 Man'!$H109,4)</f>
        <v>3</v>
      </c>
      <c r="AH109">
        <f>IF(AND('13 Man'!F109&lt;Tmax, NOT('13 Man'!$H109="")),'13 Man'!$H109,4)</f>
        <v>3</v>
      </c>
      <c r="AI109"/>
    </row>
    <row r="110" spans="1:35" s="600" customFormat="1" outlineLevel="2" x14ac:dyDescent="0.2">
      <c r="A110" s="601" t="s">
        <v>3087</v>
      </c>
      <c r="B110" s="601" t="s">
        <v>2614</v>
      </c>
      <c r="C110" s="597"/>
      <c r="D110" s="1539"/>
      <c r="E110" s="593"/>
      <c r="F110" s="593"/>
      <c r="G110" s="1515">
        <v>4</v>
      </c>
      <c r="H110" s="1524">
        <v>3</v>
      </c>
      <c r="I110" s="1524"/>
      <c r="J110" s="1524" t="s">
        <v>1592</v>
      </c>
      <c r="K110" s="1516"/>
      <c r="L110" s="1552"/>
      <c r="M110" s="598"/>
      <c r="N110" s="599"/>
      <c r="O110" s="599"/>
      <c r="P110" s="599"/>
      <c r="Q110" s="599"/>
      <c r="R110" s="599"/>
      <c r="S110" s="599"/>
      <c r="T110" s="599"/>
      <c r="U110" s="599"/>
      <c r="V110" s="599"/>
      <c r="W110" s="599"/>
      <c r="X110" s="599"/>
      <c r="Y110" s="599"/>
      <c r="Z110" s="599"/>
      <c r="AA110">
        <f>IF(AND('13 Man'!C110&gt;Tmin, NOT('13 Man'!$I110="")),'13 Man'!$I110,0)</f>
        <v>0</v>
      </c>
      <c r="AB110">
        <f>IF(AND('13 Man'!D110&gt;Tmin, NOT('13 Man'!$I110="")),'13 Man'!$I110,0)</f>
        <v>0</v>
      </c>
      <c r="AC110">
        <f>IF(AND('13 Man'!E110&gt;Tmin, NOT('13 Man'!$I110="")),'13 Man'!$I110,0)</f>
        <v>0</v>
      </c>
      <c r="AD110">
        <f>IF(AND('13 Man'!F110&gt;Tmin, NOT('13 Man'!$I110="")),'13 Man'!$I110,0)</f>
        <v>0</v>
      </c>
      <c r="AE110">
        <f>IF(AND('13 Man'!C110&lt;Tmax, NOT('13 Man'!$H110="")),'13 Man'!$H110,4)</f>
        <v>3</v>
      </c>
      <c r="AF110">
        <f>IF(AND('13 Man'!D110&lt;Tmax, NOT('13 Man'!$H110="")),'13 Man'!$H110,4)</f>
        <v>3</v>
      </c>
      <c r="AG110">
        <f>IF(AND('13 Man'!E110&lt;Tmax, NOT('13 Man'!$H110="")),'13 Man'!$H110,4)</f>
        <v>3</v>
      </c>
      <c r="AH110">
        <f>IF(AND('13 Man'!F110&lt;Tmax, NOT('13 Man'!$H110="")),'13 Man'!$H110,4)</f>
        <v>3</v>
      </c>
      <c r="AI110"/>
    </row>
    <row r="111" spans="1:35" s="600" customFormat="1" outlineLevel="2" x14ac:dyDescent="0.2">
      <c r="A111" s="601" t="s">
        <v>3088</v>
      </c>
      <c r="B111" s="601" t="s">
        <v>3105</v>
      </c>
      <c r="C111" s="597"/>
      <c r="D111" s="1539"/>
      <c r="E111" s="593"/>
      <c r="F111" s="593"/>
      <c r="G111" s="1515">
        <v>2</v>
      </c>
      <c r="H111" s="1524">
        <v>3</v>
      </c>
      <c r="I111" s="1524"/>
      <c r="J111" s="1524" t="s">
        <v>1592</v>
      </c>
      <c r="K111" s="1516"/>
      <c r="L111" s="1552"/>
      <c r="M111" s="598"/>
      <c r="N111" s="599"/>
      <c r="O111" s="599"/>
      <c r="P111" s="599"/>
      <c r="Q111" s="599"/>
      <c r="R111" s="599"/>
      <c r="S111" s="599"/>
      <c r="T111" s="599"/>
      <c r="U111" s="599"/>
      <c r="V111" s="599"/>
      <c r="W111" s="599"/>
      <c r="X111" s="599"/>
      <c r="Y111" s="599"/>
      <c r="Z111" s="599"/>
      <c r="AA111">
        <f>IF(AND('13 Man'!C111&gt;Tmin, NOT('13 Man'!$I111="")),'13 Man'!$I111,0)</f>
        <v>0</v>
      </c>
      <c r="AB111">
        <f>IF(AND('13 Man'!D111&gt;Tmin, NOT('13 Man'!$I111="")),'13 Man'!$I111,0)</f>
        <v>0</v>
      </c>
      <c r="AC111">
        <f>IF(AND('13 Man'!E111&gt;Tmin, NOT('13 Man'!$I111="")),'13 Man'!$I111,0)</f>
        <v>0</v>
      </c>
      <c r="AD111">
        <f>IF(AND('13 Man'!F111&gt;Tmin, NOT('13 Man'!$I111="")),'13 Man'!$I111,0)</f>
        <v>0</v>
      </c>
      <c r="AE111">
        <f>IF(AND('13 Man'!C111&lt;Tmax, NOT('13 Man'!$H111="")),'13 Man'!$H111,4)</f>
        <v>3</v>
      </c>
      <c r="AF111">
        <f>IF(AND('13 Man'!D111&lt;Tmax, NOT('13 Man'!$H111="")),'13 Man'!$H111,4)</f>
        <v>3</v>
      </c>
      <c r="AG111">
        <f>IF(AND('13 Man'!E111&lt;Tmax, NOT('13 Man'!$H111="")),'13 Man'!$H111,4)</f>
        <v>3</v>
      </c>
      <c r="AH111">
        <f>IF(AND('13 Man'!F111&lt;Tmax, NOT('13 Man'!$H111="")),'13 Man'!$H111,4)</f>
        <v>3</v>
      </c>
      <c r="AI111"/>
    </row>
    <row r="112" spans="1:35" x14ac:dyDescent="0.2">
      <c r="A112" s="602" t="s">
        <v>2852</v>
      </c>
      <c r="B112" s="602" t="s">
        <v>2815</v>
      </c>
      <c r="C112" s="597"/>
      <c r="D112" s="1539"/>
      <c r="E112" s="593"/>
      <c r="F112" s="593"/>
      <c r="G112" s="1515"/>
      <c r="H112" s="1515"/>
      <c r="I112" s="1515"/>
      <c r="J112" s="1515"/>
      <c r="K112" s="1516"/>
      <c r="L112" s="1516"/>
      <c r="M112" s="594"/>
      <c r="AA112"/>
      <c r="AB112"/>
      <c r="AC112"/>
      <c r="AD112"/>
      <c r="AE112"/>
      <c r="AF112"/>
      <c r="AG112"/>
      <c r="AH112"/>
      <c r="AI112"/>
    </row>
    <row r="113" spans="1:35" s="600" customFormat="1" outlineLevel="1" x14ac:dyDescent="0.2">
      <c r="A113" s="595" t="s">
        <v>3673</v>
      </c>
      <c r="B113" s="596" t="s">
        <v>1913</v>
      </c>
      <c r="C113" s="597"/>
      <c r="D113" s="1539"/>
      <c r="E113" s="593"/>
      <c r="F113" s="593"/>
      <c r="G113" s="1515"/>
      <c r="H113" s="1515"/>
      <c r="I113" s="1515"/>
      <c r="J113" s="1515"/>
      <c r="K113" s="1516"/>
      <c r="L113" s="1516"/>
      <c r="M113" s="598"/>
      <c r="N113" s="599"/>
      <c r="O113" s="599"/>
      <c r="P113" s="599"/>
      <c r="Q113" s="599"/>
      <c r="R113" s="599"/>
      <c r="S113" s="599"/>
      <c r="T113" s="599"/>
      <c r="U113" s="599"/>
      <c r="V113" s="599"/>
      <c r="W113" s="599"/>
      <c r="X113" s="599"/>
      <c r="Y113" s="599"/>
      <c r="Z113" s="599"/>
      <c r="AA113"/>
      <c r="AB113"/>
      <c r="AC113"/>
      <c r="AD113"/>
      <c r="AE113"/>
      <c r="AF113"/>
      <c r="AG113"/>
      <c r="AH113"/>
      <c r="AI113"/>
    </row>
    <row r="114" spans="1:35" ht="22.5" outlineLevel="2" x14ac:dyDescent="0.2">
      <c r="A114" s="601" t="s">
        <v>2853</v>
      </c>
      <c r="B114" s="601" t="s">
        <v>1912</v>
      </c>
      <c r="C114" s="597"/>
      <c r="D114" s="1539"/>
      <c r="E114" s="593"/>
      <c r="F114" s="593"/>
      <c r="G114" s="1515">
        <v>2</v>
      </c>
      <c r="H114" s="1524"/>
      <c r="I114" s="1524"/>
      <c r="J114" s="1524" t="s">
        <v>1592</v>
      </c>
      <c r="K114" s="1518" t="s">
        <v>7058</v>
      </c>
      <c r="L114" s="1552"/>
      <c r="M114" s="594"/>
      <c r="AA114">
        <f>IF(AND('13 Man'!C114&gt;Tmin, NOT('13 Man'!$I114="")),'13 Man'!$I114,0)</f>
        <v>0</v>
      </c>
      <c r="AB114">
        <f>IF(AND('13 Man'!D114&gt;Tmin, NOT('13 Man'!$I114="")),'13 Man'!$I114,0)</f>
        <v>0</v>
      </c>
      <c r="AC114">
        <f>IF(AND('13 Man'!E114&gt;Tmin, NOT('13 Man'!$I114="")),'13 Man'!$I114,0)</f>
        <v>0</v>
      </c>
      <c r="AD114">
        <f>IF(AND('13 Man'!F114&gt;Tmin, NOT('13 Man'!$I114="")),'13 Man'!$I114,0)</f>
        <v>0</v>
      </c>
      <c r="AE114">
        <f>IF(AND('13 Man'!C114&lt;Tmax, NOT('13 Man'!$H114="")),'13 Man'!$H114,4)</f>
        <v>4</v>
      </c>
      <c r="AF114">
        <f>IF(AND('13 Man'!D114&lt;Tmax, NOT('13 Man'!$H114="")),'13 Man'!$H114,4)</f>
        <v>4</v>
      </c>
      <c r="AG114">
        <f>IF(AND('13 Man'!E114&lt;Tmax, NOT('13 Man'!$H114="")),'13 Man'!$H114,4)</f>
        <v>4</v>
      </c>
      <c r="AH114">
        <f>IF(AND('13 Man'!F114&lt;Tmax, NOT('13 Man'!$H114="")),'13 Man'!$H114,4)</f>
        <v>4</v>
      </c>
      <c r="AI114"/>
    </row>
    <row r="115" spans="1:35" outlineLevel="2" x14ac:dyDescent="0.2">
      <c r="A115" s="601" t="s">
        <v>2854</v>
      </c>
      <c r="B115" s="601" t="s">
        <v>6225</v>
      </c>
      <c r="C115" s="597"/>
      <c r="D115" s="1539"/>
      <c r="E115" s="593"/>
      <c r="F115" s="593"/>
      <c r="G115" s="1515">
        <v>2</v>
      </c>
      <c r="H115" s="1524"/>
      <c r="I115" s="1524"/>
      <c r="J115" s="1524" t="s">
        <v>1592</v>
      </c>
      <c r="K115" s="1518" t="s">
        <v>7058</v>
      </c>
      <c r="L115" s="1552"/>
      <c r="M115" s="594"/>
      <c r="AA115">
        <f>IF(AND('13 Man'!C115&gt;Tmin, NOT('13 Man'!$I115="")),'13 Man'!$I115,0)</f>
        <v>0</v>
      </c>
      <c r="AB115">
        <f>IF(AND('13 Man'!D115&gt;Tmin, NOT('13 Man'!$I115="")),'13 Man'!$I115,0)</f>
        <v>0</v>
      </c>
      <c r="AC115">
        <f>IF(AND('13 Man'!E115&gt;Tmin, NOT('13 Man'!$I115="")),'13 Man'!$I115,0)</f>
        <v>0</v>
      </c>
      <c r="AD115">
        <f>IF(AND('13 Man'!F115&gt;Tmin, NOT('13 Man'!$I115="")),'13 Man'!$I115,0)</f>
        <v>0</v>
      </c>
      <c r="AE115">
        <f>IF(AND('13 Man'!C115&lt;Tmax, NOT('13 Man'!$H115="")),'13 Man'!$H115,4)</f>
        <v>4</v>
      </c>
      <c r="AF115">
        <f>IF(AND('13 Man'!D115&lt;Tmax, NOT('13 Man'!$H115="")),'13 Man'!$H115,4)</f>
        <v>4</v>
      </c>
      <c r="AG115">
        <f>IF(AND('13 Man'!E115&lt;Tmax, NOT('13 Man'!$H115="")),'13 Man'!$H115,4)</f>
        <v>4</v>
      </c>
      <c r="AH115">
        <f>IF(AND('13 Man'!F115&lt;Tmax, NOT('13 Man'!$H115="")),'13 Man'!$H115,4)</f>
        <v>4</v>
      </c>
      <c r="AI115"/>
    </row>
    <row r="116" spans="1:35" s="600" customFormat="1" outlineLevel="2" x14ac:dyDescent="0.2">
      <c r="A116" s="601" t="s">
        <v>2855</v>
      </c>
      <c r="B116" s="601" t="s">
        <v>1914</v>
      </c>
      <c r="C116" s="597"/>
      <c r="D116" s="1539"/>
      <c r="E116" s="593"/>
      <c r="F116" s="593"/>
      <c r="G116" s="1515">
        <v>4</v>
      </c>
      <c r="H116" s="1515"/>
      <c r="I116" s="1515"/>
      <c r="J116" s="1515" t="s">
        <v>4246</v>
      </c>
      <c r="K116" s="1518" t="s">
        <v>7058</v>
      </c>
      <c r="L116" s="1516"/>
      <c r="M116" s="598"/>
      <c r="N116" s="599"/>
      <c r="O116" s="599"/>
      <c r="P116" s="599"/>
      <c r="Q116" s="599"/>
      <c r="R116" s="599"/>
      <c r="S116" s="599"/>
      <c r="T116" s="599"/>
      <c r="U116" s="599"/>
      <c r="V116" s="599"/>
      <c r="W116" s="599"/>
      <c r="X116" s="599"/>
      <c r="Y116" s="599"/>
      <c r="Z116" s="599"/>
      <c r="AA116">
        <f>IF(AND('13 Man'!C116&gt;Tmin, NOT('13 Man'!$I116="")),'13 Man'!$I116,0)</f>
        <v>0</v>
      </c>
      <c r="AB116">
        <f>IF(AND('13 Man'!D116&gt;Tmin, NOT('13 Man'!$I116="")),'13 Man'!$I116,0)</f>
        <v>0</v>
      </c>
      <c r="AC116">
        <f>IF(AND('13 Man'!E116&gt;Tmin, NOT('13 Man'!$I116="")),'13 Man'!$I116,0)</f>
        <v>0</v>
      </c>
      <c r="AD116">
        <f>IF(AND('13 Man'!F116&gt;Tmin, NOT('13 Man'!$I116="")),'13 Man'!$I116,0)</f>
        <v>0</v>
      </c>
      <c r="AE116">
        <f>IF(AND('13 Man'!C116&lt;Tmax, NOT('13 Man'!$H116="")),'13 Man'!$H116,4)</f>
        <v>4</v>
      </c>
      <c r="AF116">
        <f>IF(AND('13 Man'!D116&lt;Tmax, NOT('13 Man'!$H116="")),'13 Man'!$H116,4)</f>
        <v>4</v>
      </c>
      <c r="AG116">
        <f>IF(AND('13 Man'!E116&lt;Tmax, NOT('13 Man'!$H116="")),'13 Man'!$H116,4)</f>
        <v>4</v>
      </c>
      <c r="AH116">
        <f>IF(AND('13 Man'!F116&lt;Tmax, NOT('13 Man'!$H116="")),'13 Man'!$H116,4)</f>
        <v>4</v>
      </c>
      <c r="AI116"/>
    </row>
    <row r="117" spans="1:35" ht="22.5" outlineLevel="2" x14ac:dyDescent="0.2">
      <c r="A117" s="601" t="s">
        <v>2856</v>
      </c>
      <c r="B117" s="601" t="s">
        <v>5480</v>
      </c>
      <c r="C117" s="597"/>
      <c r="D117" s="1539"/>
      <c r="E117" s="593"/>
      <c r="F117" s="593"/>
      <c r="G117" s="1515">
        <v>2</v>
      </c>
      <c r="H117" s="1515">
        <v>2</v>
      </c>
      <c r="I117" s="1524"/>
      <c r="J117" s="1524" t="s">
        <v>1592</v>
      </c>
      <c r="K117" s="1518" t="s">
        <v>7058</v>
      </c>
      <c r="L117" s="1552"/>
      <c r="M117" s="594"/>
      <c r="AA117">
        <f>IF(AND('13 Man'!C117&gt;Tmin, NOT('13 Man'!$I117="")),'13 Man'!$I117,0)</f>
        <v>0</v>
      </c>
      <c r="AB117">
        <f>IF(AND('13 Man'!D117&gt;Tmin, NOT('13 Man'!$I117="")),'13 Man'!$I117,0)</f>
        <v>0</v>
      </c>
      <c r="AC117">
        <f>IF(AND('13 Man'!E117&gt;Tmin, NOT('13 Man'!$I117="")),'13 Man'!$I117,0)</f>
        <v>0</v>
      </c>
      <c r="AD117">
        <f>IF(AND('13 Man'!F117&gt;Tmin, NOT('13 Man'!$I117="")),'13 Man'!$I117,0)</f>
        <v>0</v>
      </c>
      <c r="AE117">
        <f>IF(AND('13 Man'!C117&lt;Tmax, NOT('13 Man'!$H117="")),'13 Man'!$H117,4)</f>
        <v>2</v>
      </c>
      <c r="AF117">
        <f>IF(AND('13 Man'!D117&lt;Tmax, NOT('13 Man'!$H117="")),'13 Man'!$H117,4)</f>
        <v>2</v>
      </c>
      <c r="AG117">
        <f>IF(AND('13 Man'!E117&lt;Tmax, NOT('13 Man'!$H117="")),'13 Man'!$H117,4)</f>
        <v>2</v>
      </c>
      <c r="AH117">
        <f>IF(AND('13 Man'!F117&lt;Tmax, NOT('13 Man'!$H117="")),'13 Man'!$H117,4)</f>
        <v>2</v>
      </c>
      <c r="AI117"/>
    </row>
    <row r="118" spans="1:35" s="600" customFormat="1" outlineLevel="2" x14ac:dyDescent="0.2">
      <c r="A118" s="601" t="s">
        <v>2857</v>
      </c>
      <c r="B118" s="601" t="s">
        <v>3694</v>
      </c>
      <c r="C118" s="597"/>
      <c r="D118" s="1539"/>
      <c r="E118" s="593"/>
      <c r="F118" s="593"/>
      <c r="G118" s="1515">
        <v>2</v>
      </c>
      <c r="H118" s="1524"/>
      <c r="I118" s="1524"/>
      <c r="J118" s="1515" t="s">
        <v>1592</v>
      </c>
      <c r="K118" s="1518" t="s">
        <v>7058</v>
      </c>
      <c r="L118" s="1516"/>
      <c r="M118" s="598"/>
      <c r="N118" s="599"/>
      <c r="O118" s="599"/>
      <c r="P118" s="599"/>
      <c r="Q118" s="599"/>
      <c r="R118" s="599"/>
      <c r="S118" s="599"/>
      <c r="T118" s="599"/>
      <c r="U118" s="599"/>
      <c r="V118" s="599"/>
      <c r="W118" s="599"/>
      <c r="X118" s="599"/>
      <c r="Y118" s="599"/>
      <c r="Z118" s="599"/>
      <c r="AA118">
        <f>IF(AND('13 Man'!C118&gt;Tmin, NOT('13 Man'!$I118="")),'13 Man'!$I118,0)</f>
        <v>0</v>
      </c>
      <c r="AB118">
        <f>IF(AND('13 Man'!D118&gt;Tmin, NOT('13 Man'!$I118="")),'13 Man'!$I118,0)</f>
        <v>0</v>
      </c>
      <c r="AC118">
        <f>IF(AND('13 Man'!E118&gt;Tmin, NOT('13 Man'!$I118="")),'13 Man'!$I118,0)</f>
        <v>0</v>
      </c>
      <c r="AD118">
        <f>IF(AND('13 Man'!F118&gt;Tmin, NOT('13 Man'!$I118="")),'13 Man'!$I118,0)</f>
        <v>0</v>
      </c>
      <c r="AE118">
        <f>IF(AND('13 Man'!C118&lt;Tmax, NOT('13 Man'!$H118="")),'13 Man'!$H118,4)</f>
        <v>4</v>
      </c>
      <c r="AF118">
        <f>IF(AND('13 Man'!D118&lt;Tmax, NOT('13 Man'!$H118="")),'13 Man'!$H118,4)</f>
        <v>4</v>
      </c>
      <c r="AG118">
        <f>IF(AND('13 Man'!E118&lt;Tmax, NOT('13 Man'!$H118="")),'13 Man'!$H118,4)</f>
        <v>4</v>
      </c>
      <c r="AH118">
        <f>IF(AND('13 Man'!F118&lt;Tmax, NOT('13 Man'!$H118="")),'13 Man'!$H118,4)</f>
        <v>4</v>
      </c>
      <c r="AI118"/>
    </row>
    <row r="119" spans="1:35" s="600" customFormat="1" ht="22.5" outlineLevel="2" x14ac:dyDescent="0.2">
      <c r="A119" s="601" t="s">
        <v>2214</v>
      </c>
      <c r="B119" s="601" t="s">
        <v>3645</v>
      </c>
      <c r="C119" s="597"/>
      <c r="D119" s="1539"/>
      <c r="E119" s="593"/>
      <c r="F119" s="593"/>
      <c r="G119" s="1515">
        <v>4</v>
      </c>
      <c r="H119" s="1524">
        <v>3</v>
      </c>
      <c r="I119" s="1524"/>
      <c r="J119" s="1524" t="s">
        <v>1592</v>
      </c>
      <c r="K119" s="1518" t="s">
        <v>7058</v>
      </c>
      <c r="L119" s="1552"/>
      <c r="M119" s="598"/>
      <c r="N119" s="599"/>
      <c r="O119" s="599"/>
      <c r="P119" s="599"/>
      <c r="Q119" s="599"/>
      <c r="R119" s="599"/>
      <c r="S119" s="599"/>
      <c r="T119" s="599"/>
      <c r="U119" s="599"/>
      <c r="V119" s="599"/>
      <c r="W119" s="599"/>
      <c r="X119" s="599"/>
      <c r="Y119" s="599"/>
      <c r="Z119" s="599"/>
      <c r="AA119">
        <f>IF(AND('13 Man'!C119&gt;Tmin, NOT('13 Man'!$I119="")),'13 Man'!$I119,0)</f>
        <v>0</v>
      </c>
      <c r="AB119">
        <f>IF(AND('13 Man'!D119&gt;Tmin, NOT('13 Man'!$I119="")),'13 Man'!$I119,0)</f>
        <v>0</v>
      </c>
      <c r="AC119">
        <f>IF(AND('13 Man'!E119&gt;Tmin, NOT('13 Man'!$I119="")),'13 Man'!$I119,0)</f>
        <v>0</v>
      </c>
      <c r="AD119">
        <f>IF(AND('13 Man'!F119&gt;Tmin, NOT('13 Man'!$I119="")),'13 Man'!$I119,0)</f>
        <v>0</v>
      </c>
      <c r="AE119">
        <f>IF(AND('13 Man'!C119&lt;Tmax, NOT('13 Man'!$H119="")),'13 Man'!$H119,4)</f>
        <v>3</v>
      </c>
      <c r="AF119">
        <f>IF(AND('13 Man'!D119&lt;Tmax, NOT('13 Man'!$H119="")),'13 Man'!$H119,4)</f>
        <v>3</v>
      </c>
      <c r="AG119">
        <f>IF(AND('13 Man'!E119&lt;Tmax, NOT('13 Man'!$H119="")),'13 Man'!$H119,4)</f>
        <v>3</v>
      </c>
      <c r="AH119">
        <f>IF(AND('13 Man'!F119&lt;Tmax, NOT('13 Man'!$H119="")),'13 Man'!$H119,4)</f>
        <v>3</v>
      </c>
      <c r="AI119"/>
    </row>
    <row r="120" spans="1:35" s="600" customFormat="1" ht="22.5" outlineLevel="2" x14ac:dyDescent="0.2">
      <c r="A120" s="601" t="s">
        <v>3004</v>
      </c>
      <c r="B120" s="601" t="s">
        <v>3832</v>
      </c>
      <c r="C120" s="597"/>
      <c r="D120" s="1539"/>
      <c r="E120" s="593"/>
      <c r="F120" s="593"/>
      <c r="G120" s="1515">
        <v>4</v>
      </c>
      <c r="H120" s="1524">
        <v>3</v>
      </c>
      <c r="I120" s="1524"/>
      <c r="J120" s="1524" t="s">
        <v>1592</v>
      </c>
      <c r="K120" s="1518" t="s">
        <v>7058</v>
      </c>
      <c r="L120" s="1552"/>
      <c r="M120" s="598"/>
      <c r="N120" s="599"/>
      <c r="O120" s="599"/>
      <c r="P120" s="599"/>
      <c r="Q120" s="599"/>
      <c r="R120" s="599"/>
      <c r="S120" s="599"/>
      <c r="T120" s="599"/>
      <c r="U120" s="599"/>
      <c r="V120" s="599"/>
      <c r="W120" s="599"/>
      <c r="X120" s="599"/>
      <c r="Y120" s="599"/>
      <c r="Z120" s="599"/>
      <c r="AA120">
        <f>IF(AND('13 Man'!C120&gt;Tmin, NOT('13 Man'!$I120="")),'13 Man'!$I120,0)</f>
        <v>0</v>
      </c>
      <c r="AB120">
        <f>IF(AND('13 Man'!D120&gt;Tmin, NOT('13 Man'!$I120="")),'13 Man'!$I120,0)</f>
        <v>0</v>
      </c>
      <c r="AC120">
        <f>IF(AND('13 Man'!E120&gt;Tmin, NOT('13 Man'!$I120="")),'13 Man'!$I120,0)</f>
        <v>0</v>
      </c>
      <c r="AD120">
        <f>IF(AND('13 Man'!F120&gt;Tmin, NOT('13 Man'!$I120="")),'13 Man'!$I120,0)</f>
        <v>0</v>
      </c>
      <c r="AE120">
        <f>IF(AND('13 Man'!C120&lt;Tmax, NOT('13 Man'!$H120="")),'13 Man'!$H120,4)</f>
        <v>3</v>
      </c>
      <c r="AF120">
        <f>IF(AND('13 Man'!D120&lt;Tmax, NOT('13 Man'!$H120="")),'13 Man'!$H120,4)</f>
        <v>3</v>
      </c>
      <c r="AG120">
        <f>IF(AND('13 Man'!E120&lt;Tmax, NOT('13 Man'!$H120="")),'13 Man'!$H120,4)</f>
        <v>3</v>
      </c>
      <c r="AH120">
        <f>IF(AND('13 Man'!F120&lt;Tmax, NOT('13 Man'!$H120="")),'13 Man'!$H120,4)</f>
        <v>3</v>
      </c>
      <c r="AI120"/>
    </row>
    <row r="121" spans="1:35" s="600" customFormat="1" outlineLevel="2" x14ac:dyDescent="0.2">
      <c r="A121" s="601" t="s">
        <v>3005</v>
      </c>
      <c r="B121" s="601" t="s">
        <v>6431</v>
      </c>
      <c r="C121" s="597"/>
      <c r="D121" s="1539"/>
      <c r="E121" s="593"/>
      <c r="F121" s="593"/>
      <c r="G121" s="1515">
        <v>4</v>
      </c>
      <c r="H121" s="1524"/>
      <c r="I121" s="1524"/>
      <c r="J121" s="1515" t="s">
        <v>1592</v>
      </c>
      <c r="K121" s="1518" t="s">
        <v>7058</v>
      </c>
      <c r="L121" s="1516"/>
      <c r="M121" s="598"/>
      <c r="N121" s="599"/>
      <c r="O121" s="599"/>
      <c r="P121" s="599"/>
      <c r="Q121" s="599"/>
      <c r="R121" s="599"/>
      <c r="S121" s="599"/>
      <c r="T121" s="599"/>
      <c r="U121" s="599"/>
      <c r="V121" s="599"/>
      <c r="W121" s="599"/>
      <c r="X121" s="599"/>
      <c r="Y121" s="599"/>
      <c r="Z121" s="599"/>
      <c r="AA121">
        <f>IF(AND('13 Man'!C121&gt;Tmin, NOT('13 Man'!$I121="")),'13 Man'!$I121,0)</f>
        <v>0</v>
      </c>
      <c r="AB121">
        <f>IF(AND('13 Man'!D121&gt;Tmin, NOT('13 Man'!$I121="")),'13 Man'!$I121,0)</f>
        <v>0</v>
      </c>
      <c r="AC121">
        <f>IF(AND('13 Man'!E121&gt;Tmin, NOT('13 Man'!$I121="")),'13 Man'!$I121,0)</f>
        <v>0</v>
      </c>
      <c r="AD121">
        <f>IF(AND('13 Man'!F121&gt;Tmin, NOT('13 Man'!$I121="")),'13 Man'!$I121,0)</f>
        <v>0</v>
      </c>
      <c r="AE121">
        <f>IF(AND('13 Man'!C121&lt;Tmax, NOT('13 Man'!$H121="")),'13 Man'!$H121,4)</f>
        <v>4</v>
      </c>
      <c r="AF121">
        <f>IF(AND('13 Man'!D121&lt;Tmax, NOT('13 Man'!$H121="")),'13 Man'!$H121,4)</f>
        <v>4</v>
      </c>
      <c r="AG121">
        <f>IF(AND('13 Man'!E121&lt;Tmax, NOT('13 Man'!$H121="")),'13 Man'!$H121,4)</f>
        <v>4</v>
      </c>
      <c r="AH121">
        <f>IF(AND('13 Man'!F121&lt;Tmax, NOT('13 Man'!$H121="")),'13 Man'!$H121,4)</f>
        <v>4</v>
      </c>
      <c r="AI121"/>
    </row>
    <row r="122" spans="1:35" s="600" customFormat="1" ht="22.5" outlineLevel="2" x14ac:dyDescent="0.2">
      <c r="A122" s="601" t="s">
        <v>3006</v>
      </c>
      <c r="B122" s="601" t="s">
        <v>6432</v>
      </c>
      <c r="C122" s="597"/>
      <c r="D122" s="1539"/>
      <c r="E122" s="593"/>
      <c r="F122" s="593"/>
      <c r="G122" s="1515">
        <v>2</v>
      </c>
      <c r="H122" s="1524"/>
      <c r="I122" s="1524"/>
      <c r="J122" s="1515" t="s">
        <v>1592</v>
      </c>
      <c r="K122" s="1518" t="s">
        <v>7058</v>
      </c>
      <c r="L122" s="1516"/>
      <c r="M122" s="598"/>
      <c r="N122" s="599"/>
      <c r="O122" s="599"/>
      <c r="P122" s="599"/>
      <c r="Q122" s="599"/>
      <c r="R122" s="599"/>
      <c r="S122" s="599"/>
      <c r="T122" s="599"/>
      <c r="U122" s="599"/>
      <c r="V122" s="599"/>
      <c r="W122" s="599"/>
      <c r="X122" s="599"/>
      <c r="Y122" s="599"/>
      <c r="Z122" s="599"/>
      <c r="AA122">
        <f>IF(AND('13 Man'!C122&gt;Tmin, NOT('13 Man'!$I122="")),'13 Man'!$I122,0)</f>
        <v>0</v>
      </c>
      <c r="AB122">
        <f>IF(AND('13 Man'!D122&gt;Tmin, NOT('13 Man'!$I122="")),'13 Man'!$I122,0)</f>
        <v>0</v>
      </c>
      <c r="AC122">
        <f>IF(AND('13 Man'!E122&gt;Tmin, NOT('13 Man'!$I122="")),'13 Man'!$I122,0)</f>
        <v>0</v>
      </c>
      <c r="AD122">
        <f>IF(AND('13 Man'!F122&gt;Tmin, NOT('13 Man'!$I122="")),'13 Man'!$I122,0)</f>
        <v>0</v>
      </c>
      <c r="AE122">
        <f>IF(AND('13 Man'!C122&lt;Tmax, NOT('13 Man'!$H122="")),'13 Man'!$H122,4)</f>
        <v>4</v>
      </c>
      <c r="AF122">
        <f>IF(AND('13 Man'!D122&lt;Tmax, NOT('13 Man'!$H122="")),'13 Man'!$H122,4)</f>
        <v>4</v>
      </c>
      <c r="AG122">
        <f>IF(AND('13 Man'!E122&lt;Tmax, NOT('13 Man'!$H122="")),'13 Man'!$H122,4)</f>
        <v>4</v>
      </c>
      <c r="AH122">
        <f>IF(AND('13 Man'!F122&lt;Tmax, NOT('13 Man'!$H122="")),'13 Man'!$H122,4)</f>
        <v>4</v>
      </c>
      <c r="AI122"/>
    </row>
    <row r="123" spans="1:35" s="600" customFormat="1" ht="22.5" outlineLevel="2" x14ac:dyDescent="0.2">
      <c r="A123" s="601" t="s">
        <v>3007</v>
      </c>
      <c r="B123" s="601" t="s">
        <v>3646</v>
      </c>
      <c r="C123" s="597"/>
      <c r="D123" s="1539"/>
      <c r="E123" s="593"/>
      <c r="F123" s="593"/>
      <c r="G123" s="1515">
        <v>4</v>
      </c>
      <c r="H123" s="1524"/>
      <c r="I123" s="1524"/>
      <c r="J123" s="1524" t="s">
        <v>4246</v>
      </c>
      <c r="K123" s="1518" t="s">
        <v>7058</v>
      </c>
      <c r="L123" s="1552"/>
      <c r="M123" s="598"/>
      <c r="N123" s="599"/>
      <c r="O123" s="599"/>
      <c r="P123" s="599"/>
      <c r="Q123" s="599"/>
      <c r="R123" s="599"/>
      <c r="S123" s="599"/>
      <c r="T123" s="599"/>
      <c r="U123" s="599"/>
      <c r="V123" s="599"/>
      <c r="W123" s="599"/>
      <c r="X123" s="599"/>
      <c r="Y123" s="599"/>
      <c r="Z123" s="599"/>
      <c r="AA123">
        <f>IF(AND('13 Man'!C123&gt;Tmin, NOT('13 Man'!$I123="")),'13 Man'!$I123,0)</f>
        <v>0</v>
      </c>
      <c r="AB123">
        <f>IF(AND('13 Man'!D123&gt;Tmin, NOT('13 Man'!$I123="")),'13 Man'!$I123,0)</f>
        <v>0</v>
      </c>
      <c r="AC123">
        <f>IF(AND('13 Man'!E123&gt;Tmin, NOT('13 Man'!$I123="")),'13 Man'!$I123,0)</f>
        <v>0</v>
      </c>
      <c r="AD123">
        <f>IF(AND('13 Man'!F123&gt;Tmin, NOT('13 Man'!$I123="")),'13 Man'!$I123,0)</f>
        <v>0</v>
      </c>
      <c r="AE123">
        <f>IF(AND('13 Man'!C123&lt;Tmax, NOT('13 Man'!$H123="")),'13 Man'!$H123,4)</f>
        <v>4</v>
      </c>
      <c r="AF123">
        <f>IF(AND('13 Man'!D123&lt;Tmax, NOT('13 Man'!$H123="")),'13 Man'!$H123,4)</f>
        <v>4</v>
      </c>
      <c r="AG123">
        <f>IF(AND('13 Man'!E123&lt;Tmax, NOT('13 Man'!$H123="")),'13 Man'!$H123,4)</f>
        <v>4</v>
      </c>
      <c r="AH123">
        <f>IF(AND('13 Man'!F123&lt;Tmax, NOT('13 Man'!$H123="")),'13 Man'!$H123,4)</f>
        <v>4</v>
      </c>
      <c r="AI123"/>
    </row>
    <row r="124" spans="1:35" s="600" customFormat="1" ht="22.5" outlineLevel="2" x14ac:dyDescent="0.2">
      <c r="A124" s="601" t="s">
        <v>3008</v>
      </c>
      <c r="B124" s="601" t="s">
        <v>985</v>
      </c>
      <c r="C124" s="597"/>
      <c r="D124" s="1539"/>
      <c r="E124" s="593"/>
      <c r="F124" s="593"/>
      <c r="G124" s="1515">
        <v>4</v>
      </c>
      <c r="H124" s="1515"/>
      <c r="I124" s="1515"/>
      <c r="J124" s="1524" t="s">
        <v>1592</v>
      </c>
      <c r="K124" s="1516"/>
      <c r="L124" s="1552"/>
      <c r="M124" s="598"/>
      <c r="N124" s="599"/>
      <c r="O124" s="599"/>
      <c r="P124" s="599"/>
      <c r="Q124" s="599"/>
      <c r="R124" s="599"/>
      <c r="S124" s="599"/>
      <c r="T124" s="599"/>
      <c r="U124" s="599"/>
      <c r="V124" s="599"/>
      <c r="W124" s="599"/>
      <c r="X124" s="599"/>
      <c r="Y124" s="599"/>
      <c r="Z124" s="599"/>
      <c r="AA124">
        <f>IF(AND('13 Man'!C124&gt;Tmin, NOT('13 Man'!$I124="")),'13 Man'!$I124,0)</f>
        <v>0</v>
      </c>
      <c r="AB124">
        <f>IF(AND('13 Man'!D124&gt;Tmin, NOT('13 Man'!$I124="")),'13 Man'!$I124,0)</f>
        <v>0</v>
      </c>
      <c r="AC124">
        <f>IF(AND('13 Man'!E124&gt;Tmin, NOT('13 Man'!$I124="")),'13 Man'!$I124,0)</f>
        <v>0</v>
      </c>
      <c r="AD124">
        <f>IF(AND('13 Man'!F124&gt;Tmin, NOT('13 Man'!$I124="")),'13 Man'!$I124,0)</f>
        <v>0</v>
      </c>
      <c r="AE124">
        <f>IF(AND('13 Man'!C124&lt;Tmax, NOT('13 Man'!$H124="")),'13 Man'!$H124,4)</f>
        <v>4</v>
      </c>
      <c r="AF124">
        <f>IF(AND('13 Man'!D124&lt;Tmax, NOT('13 Man'!$H124="")),'13 Man'!$H124,4)</f>
        <v>4</v>
      </c>
      <c r="AG124">
        <f>IF(AND('13 Man'!E124&lt;Tmax, NOT('13 Man'!$H124="")),'13 Man'!$H124,4)</f>
        <v>4</v>
      </c>
      <c r="AH124">
        <f>IF(AND('13 Man'!F124&lt;Tmax, NOT('13 Man'!$H124="")),'13 Man'!$H124,4)</f>
        <v>4</v>
      </c>
      <c r="AI124"/>
    </row>
    <row r="125" spans="1:35" s="600" customFormat="1" outlineLevel="2" x14ac:dyDescent="0.2">
      <c r="A125" s="601" t="s">
        <v>3009</v>
      </c>
      <c r="B125" s="601" t="s">
        <v>986</v>
      </c>
      <c r="C125" s="597"/>
      <c r="D125" s="1539"/>
      <c r="E125" s="593"/>
      <c r="F125" s="593"/>
      <c r="G125" s="1515">
        <v>2</v>
      </c>
      <c r="H125" s="1524">
        <v>3</v>
      </c>
      <c r="I125" s="1524"/>
      <c r="J125" s="1524" t="s">
        <v>1592</v>
      </c>
      <c r="K125" s="1516"/>
      <c r="L125" s="1552"/>
      <c r="M125" s="598"/>
      <c r="N125" s="599"/>
      <c r="O125" s="599"/>
      <c r="P125" s="599"/>
      <c r="Q125" s="599"/>
      <c r="R125" s="599"/>
      <c r="S125" s="599"/>
      <c r="T125" s="599"/>
      <c r="U125" s="599"/>
      <c r="V125" s="599"/>
      <c r="W125" s="599"/>
      <c r="X125" s="599"/>
      <c r="Y125" s="599"/>
      <c r="Z125" s="599"/>
      <c r="AA125">
        <f>IF(AND('13 Man'!C125&gt;Tmin, NOT('13 Man'!$I125="")),'13 Man'!$I125,0)</f>
        <v>0</v>
      </c>
      <c r="AB125">
        <f>IF(AND('13 Man'!D125&gt;Tmin, NOT('13 Man'!$I125="")),'13 Man'!$I125,0)</f>
        <v>0</v>
      </c>
      <c r="AC125">
        <f>IF(AND('13 Man'!E125&gt;Tmin, NOT('13 Man'!$I125="")),'13 Man'!$I125,0)</f>
        <v>0</v>
      </c>
      <c r="AD125">
        <f>IF(AND('13 Man'!F125&gt;Tmin, NOT('13 Man'!$I125="")),'13 Man'!$I125,0)</f>
        <v>0</v>
      </c>
      <c r="AE125">
        <f>IF(AND('13 Man'!C125&lt;Tmax, NOT('13 Man'!$H125="")),'13 Man'!$H125,4)</f>
        <v>3</v>
      </c>
      <c r="AF125">
        <f>IF(AND('13 Man'!D125&lt;Tmax, NOT('13 Man'!$H125="")),'13 Man'!$H125,4)</f>
        <v>3</v>
      </c>
      <c r="AG125">
        <f>IF(AND('13 Man'!E125&lt;Tmax, NOT('13 Man'!$H125="")),'13 Man'!$H125,4)</f>
        <v>3</v>
      </c>
      <c r="AH125">
        <f>IF(AND('13 Man'!F125&lt;Tmax, NOT('13 Man'!$H125="")),'13 Man'!$H125,4)</f>
        <v>3</v>
      </c>
      <c r="AI125"/>
    </row>
    <row r="126" spans="1:35" s="600" customFormat="1" outlineLevel="1" x14ac:dyDescent="0.2">
      <c r="A126" s="595" t="s">
        <v>3010</v>
      </c>
      <c r="B126" s="596" t="s">
        <v>987</v>
      </c>
      <c r="C126" s="597"/>
      <c r="D126" s="1539"/>
      <c r="E126" s="593"/>
      <c r="F126" s="593"/>
      <c r="G126" s="1515"/>
      <c r="H126" s="1515"/>
      <c r="I126" s="1515"/>
      <c r="J126" s="1524"/>
      <c r="K126" s="1516"/>
      <c r="L126" s="1552"/>
      <c r="M126" s="598"/>
      <c r="N126" s="599"/>
      <c r="O126" s="599"/>
      <c r="P126" s="599"/>
      <c r="Q126" s="599"/>
      <c r="R126" s="599"/>
      <c r="S126" s="599"/>
      <c r="T126" s="599"/>
      <c r="U126" s="599"/>
      <c r="V126" s="599"/>
      <c r="W126" s="599"/>
      <c r="X126" s="599"/>
      <c r="Y126" s="599"/>
      <c r="Z126" s="599"/>
      <c r="AA126"/>
      <c r="AB126"/>
      <c r="AC126"/>
      <c r="AD126"/>
      <c r="AE126"/>
      <c r="AF126"/>
      <c r="AG126"/>
      <c r="AH126"/>
      <c r="AI126"/>
    </row>
    <row r="127" spans="1:35" s="600" customFormat="1" outlineLevel="2" x14ac:dyDescent="0.2">
      <c r="A127" s="601" t="s">
        <v>3011</v>
      </c>
      <c r="B127" s="601" t="s">
        <v>2922</v>
      </c>
      <c r="C127" s="597"/>
      <c r="D127" s="1539"/>
      <c r="E127" s="593"/>
      <c r="F127" s="593"/>
      <c r="G127" s="1515">
        <v>2</v>
      </c>
      <c r="H127" s="1515"/>
      <c r="I127" s="1515"/>
      <c r="J127" s="1524" t="s">
        <v>4246</v>
      </c>
      <c r="K127" s="1518" t="s">
        <v>7058</v>
      </c>
      <c r="L127" s="1552"/>
      <c r="M127" s="598"/>
      <c r="N127" s="599"/>
      <c r="O127" s="599"/>
      <c r="P127" s="599"/>
      <c r="Q127" s="599"/>
      <c r="R127" s="599"/>
      <c r="S127" s="599"/>
      <c r="T127" s="599"/>
      <c r="U127" s="599"/>
      <c r="V127" s="599"/>
      <c r="W127" s="599"/>
      <c r="X127" s="599"/>
      <c r="Y127" s="599"/>
      <c r="Z127" s="599"/>
      <c r="AA127">
        <f>IF(AND('13 Man'!C127&gt;Tmin, NOT('13 Man'!$I127="")),'13 Man'!$I127,0)</f>
        <v>0</v>
      </c>
      <c r="AB127">
        <f>IF(AND('13 Man'!D127&gt;Tmin, NOT('13 Man'!$I127="")),'13 Man'!$I127,0)</f>
        <v>0</v>
      </c>
      <c r="AC127">
        <f>IF(AND('13 Man'!E127&gt;Tmin, NOT('13 Man'!$I127="")),'13 Man'!$I127,0)</f>
        <v>0</v>
      </c>
      <c r="AD127">
        <f>IF(AND('13 Man'!F127&gt;Tmin, NOT('13 Man'!$I127="")),'13 Man'!$I127,0)</f>
        <v>0</v>
      </c>
      <c r="AE127">
        <f>IF(AND('13 Man'!C127&lt;Tmax, NOT('13 Man'!$H127="")),'13 Man'!$H127,4)</f>
        <v>4</v>
      </c>
      <c r="AF127">
        <f>IF(AND('13 Man'!D127&lt;Tmax, NOT('13 Man'!$H127="")),'13 Man'!$H127,4)</f>
        <v>4</v>
      </c>
      <c r="AG127">
        <f>IF(AND('13 Man'!E127&lt;Tmax, NOT('13 Man'!$H127="")),'13 Man'!$H127,4)</f>
        <v>4</v>
      </c>
      <c r="AH127">
        <f>IF(AND('13 Man'!F127&lt;Tmax, NOT('13 Man'!$H127="")),'13 Man'!$H127,4)</f>
        <v>4</v>
      </c>
      <c r="AI127"/>
    </row>
    <row r="128" spans="1:35" s="600" customFormat="1" ht="12.75" customHeight="1" outlineLevel="2" x14ac:dyDescent="0.2">
      <c r="A128" s="601" t="s">
        <v>3012</v>
      </c>
      <c r="B128" s="601" t="s">
        <v>78</v>
      </c>
      <c r="C128" s="597"/>
      <c r="D128" s="1539"/>
      <c r="E128" s="593"/>
      <c r="F128" s="593"/>
      <c r="G128" s="1515">
        <v>2</v>
      </c>
      <c r="H128" s="1515"/>
      <c r="I128" s="1515"/>
      <c r="J128" s="1524" t="s">
        <v>1592</v>
      </c>
      <c r="K128" s="1518" t="s">
        <v>7058</v>
      </c>
      <c r="L128" s="1552"/>
      <c r="M128" s="598"/>
      <c r="N128" s="599"/>
      <c r="O128" s="599"/>
      <c r="P128" s="599"/>
      <c r="Q128" s="599"/>
      <c r="R128" s="599"/>
      <c r="S128" s="599"/>
      <c r="T128" s="599"/>
      <c r="U128" s="599"/>
      <c r="V128" s="599"/>
      <c r="W128" s="599"/>
      <c r="X128" s="599"/>
      <c r="Y128" s="599"/>
      <c r="Z128" s="599"/>
      <c r="AA128">
        <f>IF(AND('13 Man'!C128&gt;Tmin, NOT('13 Man'!$I128="")),'13 Man'!$I128,0)</f>
        <v>0</v>
      </c>
      <c r="AB128">
        <f>IF(AND('13 Man'!D128&gt;Tmin, NOT('13 Man'!$I128="")),'13 Man'!$I128,0)</f>
        <v>0</v>
      </c>
      <c r="AC128">
        <f>IF(AND('13 Man'!E128&gt;Tmin, NOT('13 Man'!$I128="")),'13 Man'!$I128,0)</f>
        <v>0</v>
      </c>
      <c r="AD128">
        <f>IF(AND('13 Man'!F128&gt;Tmin, NOT('13 Man'!$I128="")),'13 Man'!$I128,0)</f>
        <v>0</v>
      </c>
      <c r="AE128">
        <f>IF(AND('13 Man'!C128&lt;Tmax, NOT('13 Man'!$H128="")),'13 Man'!$H128,4)</f>
        <v>4</v>
      </c>
      <c r="AF128">
        <f>IF(AND('13 Man'!D128&lt;Tmax, NOT('13 Man'!$H128="")),'13 Man'!$H128,4)</f>
        <v>4</v>
      </c>
      <c r="AG128">
        <f>IF(AND('13 Man'!E128&lt;Tmax, NOT('13 Man'!$H128="")),'13 Man'!$H128,4)</f>
        <v>4</v>
      </c>
      <c r="AH128">
        <f>IF(AND('13 Man'!F128&lt;Tmax, NOT('13 Man'!$H128="")),'13 Man'!$H128,4)</f>
        <v>4</v>
      </c>
      <c r="AI128"/>
    </row>
    <row r="129" spans="1:35" s="600" customFormat="1" outlineLevel="2" x14ac:dyDescent="0.2">
      <c r="A129" s="601" t="s">
        <v>3013</v>
      </c>
      <c r="B129" s="601" t="s">
        <v>4516</v>
      </c>
      <c r="C129" s="597"/>
      <c r="D129" s="1539"/>
      <c r="E129" s="593"/>
      <c r="F129" s="593"/>
      <c r="G129" s="1515">
        <v>2</v>
      </c>
      <c r="H129" s="1524"/>
      <c r="I129" s="1524"/>
      <c r="J129" s="1524" t="s">
        <v>1592</v>
      </c>
      <c r="K129" s="1518" t="s">
        <v>7058</v>
      </c>
      <c r="L129" s="1552"/>
      <c r="M129" s="598"/>
      <c r="N129" s="599"/>
      <c r="O129" s="599"/>
      <c r="P129" s="599"/>
      <c r="Q129" s="599"/>
      <c r="R129" s="599"/>
      <c r="S129" s="599"/>
      <c r="T129" s="599"/>
      <c r="U129" s="599"/>
      <c r="V129" s="599"/>
      <c r="W129" s="599"/>
      <c r="X129" s="599"/>
      <c r="Y129" s="599"/>
      <c r="Z129" s="599"/>
      <c r="AA129">
        <f>IF(AND('13 Man'!C129&gt;Tmin, NOT('13 Man'!$I129="")),'13 Man'!$I129,0)</f>
        <v>0</v>
      </c>
      <c r="AB129">
        <f>IF(AND('13 Man'!D129&gt;Tmin, NOT('13 Man'!$I129="")),'13 Man'!$I129,0)</f>
        <v>0</v>
      </c>
      <c r="AC129">
        <f>IF(AND('13 Man'!E129&gt;Tmin, NOT('13 Man'!$I129="")),'13 Man'!$I129,0)</f>
        <v>0</v>
      </c>
      <c r="AD129">
        <f>IF(AND('13 Man'!F129&gt;Tmin, NOT('13 Man'!$I129="")),'13 Man'!$I129,0)</f>
        <v>0</v>
      </c>
      <c r="AE129">
        <f>IF(AND('13 Man'!C129&lt;Tmax, NOT('13 Man'!$H129="")),'13 Man'!$H129,4)</f>
        <v>4</v>
      </c>
      <c r="AF129">
        <f>IF(AND('13 Man'!D129&lt;Tmax, NOT('13 Man'!$H129="")),'13 Man'!$H129,4)</f>
        <v>4</v>
      </c>
      <c r="AG129">
        <f>IF(AND('13 Man'!E129&lt;Tmax, NOT('13 Man'!$H129="")),'13 Man'!$H129,4)</f>
        <v>4</v>
      </c>
      <c r="AH129">
        <f>IF(AND('13 Man'!F129&lt;Tmax, NOT('13 Man'!$H129="")),'13 Man'!$H129,4)</f>
        <v>4</v>
      </c>
      <c r="AI129"/>
    </row>
    <row r="130" spans="1:35" s="600" customFormat="1" ht="22.5" outlineLevel="2" x14ac:dyDescent="0.2">
      <c r="A130" s="601" t="s">
        <v>3014</v>
      </c>
      <c r="B130" s="601" t="s">
        <v>3255</v>
      </c>
      <c r="C130" s="597"/>
      <c r="D130" s="1539"/>
      <c r="E130" s="593"/>
      <c r="F130" s="593"/>
      <c r="G130" s="1515">
        <v>4</v>
      </c>
      <c r="H130" s="1515"/>
      <c r="I130" s="1515"/>
      <c r="J130" s="1524" t="s">
        <v>1592</v>
      </c>
      <c r="K130" s="1518" t="s">
        <v>7058</v>
      </c>
      <c r="L130" s="1552"/>
      <c r="M130" s="598"/>
      <c r="N130" s="599"/>
      <c r="O130" s="599"/>
      <c r="P130" s="599"/>
      <c r="Q130" s="599"/>
      <c r="R130" s="599"/>
      <c r="S130" s="599"/>
      <c r="T130" s="599"/>
      <c r="U130" s="599"/>
      <c r="V130" s="599"/>
      <c r="W130" s="599"/>
      <c r="X130" s="599"/>
      <c r="Y130" s="599"/>
      <c r="Z130" s="599"/>
      <c r="AA130">
        <f>IF(AND('13 Man'!C130&gt;Tmin, NOT('13 Man'!$I130="")),'13 Man'!$I130,0)</f>
        <v>0</v>
      </c>
      <c r="AB130">
        <f>IF(AND('13 Man'!D130&gt;Tmin, NOT('13 Man'!$I130="")),'13 Man'!$I130,0)</f>
        <v>0</v>
      </c>
      <c r="AC130">
        <f>IF(AND('13 Man'!E130&gt;Tmin, NOT('13 Man'!$I130="")),'13 Man'!$I130,0)</f>
        <v>0</v>
      </c>
      <c r="AD130">
        <f>IF(AND('13 Man'!F130&gt;Tmin, NOT('13 Man'!$I130="")),'13 Man'!$I130,0)</f>
        <v>0</v>
      </c>
      <c r="AE130">
        <f>IF(AND('13 Man'!C130&lt;Tmax, NOT('13 Man'!$H130="")),'13 Man'!$H130,4)</f>
        <v>4</v>
      </c>
      <c r="AF130">
        <f>IF(AND('13 Man'!D130&lt;Tmax, NOT('13 Man'!$H130="")),'13 Man'!$H130,4)</f>
        <v>4</v>
      </c>
      <c r="AG130">
        <f>IF(AND('13 Man'!E130&lt;Tmax, NOT('13 Man'!$H130="")),'13 Man'!$H130,4)</f>
        <v>4</v>
      </c>
      <c r="AH130">
        <f>IF(AND('13 Man'!F130&lt;Tmax, NOT('13 Man'!$H130="")),'13 Man'!$H130,4)</f>
        <v>4</v>
      </c>
      <c r="AI130"/>
    </row>
    <row r="131" spans="1:35" s="600" customFormat="1" ht="22.5" outlineLevel="2" x14ac:dyDescent="0.2">
      <c r="A131" s="601" t="s">
        <v>3015</v>
      </c>
      <c r="B131" s="601" t="s">
        <v>3256</v>
      </c>
      <c r="C131" s="597"/>
      <c r="D131" s="1539"/>
      <c r="E131" s="593"/>
      <c r="F131" s="593"/>
      <c r="G131" s="1515">
        <v>4</v>
      </c>
      <c r="H131" s="1524"/>
      <c r="I131" s="1524"/>
      <c r="J131" s="1524" t="s">
        <v>1592</v>
      </c>
      <c r="K131" s="1516"/>
      <c r="L131" s="1552"/>
      <c r="M131" s="598"/>
      <c r="N131" s="599"/>
      <c r="O131" s="599"/>
      <c r="P131" s="599"/>
      <c r="Q131" s="599"/>
      <c r="R131" s="599"/>
      <c r="S131" s="599"/>
      <c r="T131" s="599"/>
      <c r="U131" s="599"/>
      <c r="V131" s="599"/>
      <c r="W131" s="599"/>
      <c r="X131" s="599"/>
      <c r="Y131" s="599"/>
      <c r="Z131" s="599"/>
      <c r="AA131">
        <f>IF(AND('13 Man'!C131&gt;Tmin, NOT('13 Man'!$I131="")),'13 Man'!$I131,0)</f>
        <v>0</v>
      </c>
      <c r="AB131">
        <f>IF(AND('13 Man'!D131&gt;Tmin, NOT('13 Man'!$I131="")),'13 Man'!$I131,0)</f>
        <v>0</v>
      </c>
      <c r="AC131">
        <f>IF(AND('13 Man'!E131&gt;Tmin, NOT('13 Man'!$I131="")),'13 Man'!$I131,0)</f>
        <v>0</v>
      </c>
      <c r="AD131">
        <f>IF(AND('13 Man'!F131&gt;Tmin, NOT('13 Man'!$I131="")),'13 Man'!$I131,0)</f>
        <v>0</v>
      </c>
      <c r="AE131">
        <f>IF(AND('13 Man'!C131&lt;Tmax, NOT('13 Man'!$H131="")),'13 Man'!$H131,4)</f>
        <v>4</v>
      </c>
      <c r="AF131">
        <f>IF(AND('13 Man'!D131&lt;Tmax, NOT('13 Man'!$H131="")),'13 Man'!$H131,4)</f>
        <v>4</v>
      </c>
      <c r="AG131">
        <f>IF(AND('13 Man'!E131&lt;Tmax, NOT('13 Man'!$H131="")),'13 Man'!$H131,4)</f>
        <v>4</v>
      </c>
      <c r="AH131">
        <f>IF(AND('13 Man'!F131&lt;Tmax, NOT('13 Man'!$H131="")),'13 Man'!$H131,4)</f>
        <v>4</v>
      </c>
      <c r="AI131"/>
    </row>
    <row r="132" spans="1:35" s="600" customFormat="1" ht="22.5" outlineLevel="2" x14ac:dyDescent="0.2">
      <c r="A132" s="601" t="s">
        <v>3016</v>
      </c>
      <c r="B132" s="601" t="s">
        <v>3257</v>
      </c>
      <c r="C132" s="597"/>
      <c r="D132" s="1539"/>
      <c r="E132" s="593"/>
      <c r="F132" s="593"/>
      <c r="G132" s="1515">
        <v>4</v>
      </c>
      <c r="H132" s="1524">
        <v>3</v>
      </c>
      <c r="I132" s="1524"/>
      <c r="J132" s="1524" t="s">
        <v>2329</v>
      </c>
      <c r="K132" s="1516"/>
      <c r="L132" s="1552"/>
      <c r="M132" s="598"/>
      <c r="N132" s="599"/>
      <c r="O132" s="599"/>
      <c r="P132" s="599"/>
      <c r="Q132" s="599"/>
      <c r="R132" s="599"/>
      <c r="S132" s="599"/>
      <c r="T132" s="599"/>
      <c r="U132" s="599"/>
      <c r="V132" s="599"/>
      <c r="W132" s="599"/>
      <c r="X132" s="599"/>
      <c r="Y132" s="599"/>
      <c r="Z132" s="599"/>
      <c r="AA132">
        <f>IF(AND('13 Man'!C132&gt;Tmin, NOT('13 Man'!$I132="")),'13 Man'!$I132,0)</f>
        <v>0</v>
      </c>
      <c r="AB132">
        <f>IF(AND('13 Man'!D132&gt;Tmin, NOT('13 Man'!$I132="")),'13 Man'!$I132,0)</f>
        <v>0</v>
      </c>
      <c r="AC132">
        <f>IF(AND('13 Man'!E132&gt;Tmin, NOT('13 Man'!$I132="")),'13 Man'!$I132,0)</f>
        <v>0</v>
      </c>
      <c r="AD132">
        <f>IF(AND('13 Man'!F132&gt;Tmin, NOT('13 Man'!$I132="")),'13 Man'!$I132,0)</f>
        <v>0</v>
      </c>
      <c r="AE132">
        <f>IF(AND('13 Man'!C132&lt;Tmax, NOT('13 Man'!$H132="")),'13 Man'!$H132,4)</f>
        <v>3</v>
      </c>
      <c r="AF132">
        <f>IF(AND('13 Man'!D132&lt;Tmax, NOT('13 Man'!$H132="")),'13 Man'!$H132,4)</f>
        <v>3</v>
      </c>
      <c r="AG132">
        <f>IF(AND('13 Man'!E132&lt;Tmax, NOT('13 Man'!$H132="")),'13 Man'!$H132,4)</f>
        <v>3</v>
      </c>
      <c r="AH132">
        <f>IF(AND('13 Man'!F132&lt;Tmax, NOT('13 Man'!$H132="")),'13 Man'!$H132,4)</f>
        <v>3</v>
      </c>
      <c r="AI132"/>
    </row>
    <row r="133" spans="1:35" s="600" customFormat="1" outlineLevel="2" x14ac:dyDescent="0.2">
      <c r="A133" s="601" t="s">
        <v>2356</v>
      </c>
      <c r="B133" s="601" t="s">
        <v>4570</v>
      </c>
      <c r="C133" s="597"/>
      <c r="D133" s="1539"/>
      <c r="E133" s="593"/>
      <c r="F133" s="593"/>
      <c r="G133" s="1515">
        <v>2</v>
      </c>
      <c r="H133" s="1515">
        <v>3</v>
      </c>
      <c r="I133" s="1515"/>
      <c r="J133" s="1524" t="s">
        <v>2349</v>
      </c>
      <c r="K133" s="1516"/>
      <c r="L133" s="1552"/>
      <c r="M133" s="598"/>
      <c r="N133" s="599"/>
      <c r="O133" s="599"/>
      <c r="P133" s="599"/>
      <c r="Q133" s="599"/>
      <c r="R133" s="599"/>
      <c r="S133" s="599"/>
      <c r="T133" s="599"/>
      <c r="U133" s="599"/>
      <c r="V133" s="599"/>
      <c r="W133" s="599"/>
      <c r="X133" s="599"/>
      <c r="Y133" s="599"/>
      <c r="Z133" s="599"/>
      <c r="AA133">
        <f>IF(AND('13 Man'!C133&gt;Tmin, NOT('13 Man'!$I133="")),'13 Man'!$I133,0)</f>
        <v>0</v>
      </c>
      <c r="AB133">
        <f>IF(AND('13 Man'!D133&gt;Tmin, NOT('13 Man'!$I133="")),'13 Man'!$I133,0)</f>
        <v>0</v>
      </c>
      <c r="AC133">
        <f>IF(AND('13 Man'!E133&gt;Tmin, NOT('13 Man'!$I133="")),'13 Man'!$I133,0)</f>
        <v>0</v>
      </c>
      <c r="AD133">
        <f>IF(AND('13 Man'!F133&gt;Tmin, NOT('13 Man'!$I133="")),'13 Man'!$I133,0)</f>
        <v>0</v>
      </c>
      <c r="AE133">
        <f>IF(AND('13 Man'!C133&lt;Tmax, NOT('13 Man'!$H133="")),'13 Man'!$H133,4)</f>
        <v>3</v>
      </c>
      <c r="AF133">
        <f>IF(AND('13 Man'!D133&lt;Tmax, NOT('13 Man'!$H133="")),'13 Man'!$H133,4)</f>
        <v>3</v>
      </c>
      <c r="AG133">
        <f>IF(AND('13 Man'!E133&lt;Tmax, NOT('13 Man'!$H133="")),'13 Man'!$H133,4)</f>
        <v>3</v>
      </c>
      <c r="AH133">
        <f>IF(AND('13 Man'!F133&lt;Tmax, NOT('13 Man'!$H133="")),'13 Man'!$H133,4)</f>
        <v>3</v>
      </c>
      <c r="AI133"/>
    </row>
    <row r="134" spans="1:35" s="600" customFormat="1" outlineLevel="2" x14ac:dyDescent="0.2">
      <c r="A134" s="601" t="s">
        <v>2357</v>
      </c>
      <c r="B134" s="601" t="s">
        <v>4571</v>
      </c>
      <c r="C134" s="597"/>
      <c r="D134" s="1539"/>
      <c r="E134" s="593"/>
      <c r="F134" s="593"/>
      <c r="G134" s="1515">
        <v>2</v>
      </c>
      <c r="H134" s="1524">
        <v>3</v>
      </c>
      <c r="I134" s="1524"/>
      <c r="J134" s="1524" t="s">
        <v>2109</v>
      </c>
      <c r="K134" s="1516"/>
      <c r="L134" s="1552"/>
      <c r="M134" s="598"/>
      <c r="N134" s="599"/>
      <c r="O134" s="599"/>
      <c r="P134" s="599"/>
      <c r="Q134" s="599"/>
      <c r="R134" s="599"/>
      <c r="S134" s="599"/>
      <c r="T134" s="599"/>
      <c r="U134" s="599"/>
      <c r="V134" s="599"/>
      <c r="W134" s="599"/>
      <c r="X134" s="599"/>
      <c r="Y134" s="599"/>
      <c r="Z134" s="599"/>
      <c r="AA134">
        <f>IF(AND('13 Man'!C134&gt;Tmin, NOT('13 Man'!$I134="")),'13 Man'!$I134,0)</f>
        <v>0</v>
      </c>
      <c r="AB134">
        <f>IF(AND('13 Man'!D134&gt;Tmin, NOT('13 Man'!$I134="")),'13 Man'!$I134,0)</f>
        <v>0</v>
      </c>
      <c r="AC134">
        <f>IF(AND('13 Man'!E134&gt;Tmin, NOT('13 Man'!$I134="")),'13 Man'!$I134,0)</f>
        <v>0</v>
      </c>
      <c r="AD134">
        <f>IF(AND('13 Man'!F134&gt;Tmin, NOT('13 Man'!$I134="")),'13 Man'!$I134,0)</f>
        <v>0</v>
      </c>
      <c r="AE134">
        <f>IF(AND('13 Man'!C134&lt;Tmax, NOT('13 Man'!$H134="")),'13 Man'!$H134,4)</f>
        <v>3</v>
      </c>
      <c r="AF134">
        <f>IF(AND('13 Man'!D134&lt;Tmax, NOT('13 Man'!$H134="")),'13 Man'!$H134,4)</f>
        <v>3</v>
      </c>
      <c r="AG134">
        <f>IF(AND('13 Man'!E134&lt;Tmax, NOT('13 Man'!$H134="")),'13 Man'!$H134,4)</f>
        <v>3</v>
      </c>
      <c r="AH134">
        <f>IF(AND('13 Man'!F134&lt;Tmax, NOT('13 Man'!$H134="")),'13 Man'!$H134,4)</f>
        <v>3</v>
      </c>
      <c r="AI134"/>
    </row>
    <row r="135" spans="1:35" s="600" customFormat="1" outlineLevel="1" x14ac:dyDescent="0.2">
      <c r="A135" s="595" t="s">
        <v>2358</v>
      </c>
      <c r="B135" s="596" t="s">
        <v>5176</v>
      </c>
      <c r="C135" s="597"/>
      <c r="D135" s="1539"/>
      <c r="E135" s="593"/>
      <c r="F135" s="593"/>
      <c r="G135" s="1515"/>
      <c r="H135" s="1515"/>
      <c r="I135" s="1515"/>
      <c r="J135" s="1524"/>
      <c r="K135" s="1516"/>
      <c r="L135" s="1552"/>
      <c r="M135" s="598"/>
      <c r="N135" s="599"/>
      <c r="O135" s="599"/>
      <c r="P135" s="599"/>
      <c r="Q135" s="599"/>
      <c r="R135" s="599"/>
      <c r="S135" s="599"/>
      <c r="T135" s="599"/>
      <c r="U135" s="599"/>
      <c r="V135" s="599"/>
      <c r="W135" s="599"/>
      <c r="X135" s="599"/>
      <c r="Y135" s="599"/>
      <c r="Z135" s="599"/>
      <c r="AA135"/>
      <c r="AB135"/>
      <c r="AC135"/>
      <c r="AD135"/>
      <c r="AE135"/>
      <c r="AF135"/>
      <c r="AG135"/>
      <c r="AH135"/>
      <c r="AI135"/>
    </row>
    <row r="136" spans="1:35" s="600" customFormat="1" ht="13.5" customHeight="1" outlineLevel="2" x14ac:dyDescent="0.2">
      <c r="A136" s="601" t="s">
        <v>2359</v>
      </c>
      <c r="B136" s="601" t="s">
        <v>3258</v>
      </c>
      <c r="C136" s="597"/>
      <c r="D136" s="1539"/>
      <c r="E136" s="593"/>
      <c r="F136" s="593"/>
      <c r="G136" s="1515">
        <v>2</v>
      </c>
      <c r="H136" s="1524"/>
      <c r="I136" s="1524"/>
      <c r="J136" s="1524" t="s">
        <v>2109</v>
      </c>
      <c r="K136" s="1516"/>
      <c r="L136" s="1552"/>
      <c r="M136" s="598"/>
      <c r="N136" s="599"/>
      <c r="O136" s="599"/>
      <c r="P136" s="599"/>
      <c r="Q136" s="599"/>
      <c r="R136" s="599"/>
      <c r="S136" s="599"/>
      <c r="T136" s="599"/>
      <c r="U136" s="599"/>
      <c r="V136" s="599"/>
      <c r="W136" s="599"/>
      <c r="X136" s="599"/>
      <c r="Y136" s="599"/>
      <c r="Z136" s="599"/>
      <c r="AA136">
        <f>IF(AND('13 Man'!C136&gt;Tmin, NOT('13 Man'!$I136="")),'13 Man'!$I136,0)</f>
        <v>0</v>
      </c>
      <c r="AB136">
        <f>IF(AND('13 Man'!D136&gt;Tmin, NOT('13 Man'!$I136="")),'13 Man'!$I136,0)</f>
        <v>0</v>
      </c>
      <c r="AC136">
        <f>IF(AND('13 Man'!E136&gt;Tmin, NOT('13 Man'!$I136="")),'13 Man'!$I136,0)</f>
        <v>0</v>
      </c>
      <c r="AD136">
        <f>IF(AND('13 Man'!F136&gt;Tmin, NOT('13 Man'!$I136="")),'13 Man'!$I136,0)</f>
        <v>0</v>
      </c>
      <c r="AE136">
        <f>IF(AND('13 Man'!C136&lt;Tmax, NOT('13 Man'!$H136="")),'13 Man'!$H136,4)</f>
        <v>4</v>
      </c>
      <c r="AF136">
        <f>IF(AND('13 Man'!D136&lt;Tmax, NOT('13 Man'!$H136="")),'13 Man'!$H136,4)</f>
        <v>4</v>
      </c>
      <c r="AG136">
        <f>IF(AND('13 Man'!E136&lt;Tmax, NOT('13 Man'!$H136="")),'13 Man'!$H136,4)</f>
        <v>4</v>
      </c>
      <c r="AH136">
        <f>IF(AND('13 Man'!F136&lt;Tmax, NOT('13 Man'!$H136="")),'13 Man'!$H136,4)</f>
        <v>4</v>
      </c>
      <c r="AI136"/>
    </row>
    <row r="137" spans="1:35" s="600" customFormat="1" outlineLevel="2" x14ac:dyDescent="0.2">
      <c r="A137" s="601" t="s">
        <v>2360</v>
      </c>
      <c r="B137" s="601" t="s">
        <v>126</v>
      </c>
      <c r="C137" s="597"/>
      <c r="D137" s="1539"/>
      <c r="E137" s="593"/>
      <c r="F137" s="593"/>
      <c r="G137" s="1515">
        <v>4</v>
      </c>
      <c r="H137" s="1524">
        <v>3</v>
      </c>
      <c r="I137" s="1524"/>
      <c r="J137" s="1524" t="s">
        <v>1592</v>
      </c>
      <c r="K137" s="1516"/>
      <c r="L137" s="1552"/>
      <c r="M137" s="598"/>
      <c r="N137" s="599"/>
      <c r="O137" s="599"/>
      <c r="P137" s="599"/>
      <c r="Q137" s="599"/>
      <c r="R137" s="599"/>
      <c r="S137" s="599"/>
      <c r="T137" s="599"/>
      <c r="U137" s="599"/>
      <c r="V137" s="599"/>
      <c r="W137" s="599"/>
      <c r="X137" s="599"/>
      <c r="Y137" s="599"/>
      <c r="Z137" s="599"/>
      <c r="AA137">
        <f>IF(AND('13 Man'!C137&gt;Tmin, NOT('13 Man'!$I137="")),'13 Man'!$I137,0)</f>
        <v>0</v>
      </c>
      <c r="AB137">
        <f>IF(AND('13 Man'!D137&gt;Tmin, NOT('13 Man'!$I137="")),'13 Man'!$I137,0)</f>
        <v>0</v>
      </c>
      <c r="AC137">
        <f>IF(AND('13 Man'!E137&gt;Tmin, NOT('13 Man'!$I137="")),'13 Man'!$I137,0)</f>
        <v>0</v>
      </c>
      <c r="AD137">
        <f>IF(AND('13 Man'!F137&gt;Tmin, NOT('13 Man'!$I137="")),'13 Man'!$I137,0)</f>
        <v>0</v>
      </c>
      <c r="AE137">
        <f>IF(AND('13 Man'!C137&lt;Tmax, NOT('13 Man'!$H137="")),'13 Man'!$H137,4)</f>
        <v>3</v>
      </c>
      <c r="AF137">
        <f>IF(AND('13 Man'!D137&lt;Tmax, NOT('13 Man'!$H137="")),'13 Man'!$H137,4)</f>
        <v>3</v>
      </c>
      <c r="AG137">
        <f>IF(AND('13 Man'!E137&lt;Tmax, NOT('13 Man'!$H137="")),'13 Man'!$H137,4)</f>
        <v>3</v>
      </c>
      <c r="AH137">
        <f>IF(AND('13 Man'!F137&lt;Tmax, NOT('13 Man'!$H137="")),'13 Man'!$H137,4)</f>
        <v>3</v>
      </c>
      <c r="AI137"/>
    </row>
    <row r="138" spans="1:35" s="600" customFormat="1" ht="22.5" outlineLevel="2" x14ac:dyDescent="0.2">
      <c r="A138" s="601" t="s">
        <v>2361</v>
      </c>
      <c r="B138" s="601" t="s">
        <v>4240</v>
      </c>
      <c r="C138" s="597"/>
      <c r="D138" s="1539"/>
      <c r="E138" s="593"/>
      <c r="F138" s="593"/>
      <c r="G138" s="1515">
        <v>1</v>
      </c>
      <c r="H138" s="1524">
        <v>3</v>
      </c>
      <c r="I138" s="1524"/>
      <c r="J138" s="1524" t="s">
        <v>1592</v>
      </c>
      <c r="K138" s="1516"/>
      <c r="L138" s="1552"/>
      <c r="M138" s="598"/>
      <c r="N138" s="599"/>
      <c r="O138" s="599"/>
      <c r="P138" s="599"/>
      <c r="Q138" s="599"/>
      <c r="R138" s="599"/>
      <c r="S138" s="599"/>
      <c r="T138" s="599"/>
      <c r="U138" s="599"/>
      <c r="V138" s="599"/>
      <c r="W138" s="599"/>
      <c r="X138" s="599"/>
      <c r="Y138" s="599"/>
      <c r="Z138" s="599"/>
      <c r="AA138">
        <f>IF(AND('13 Man'!C138&gt;Tmin, NOT('13 Man'!$I138="")),'13 Man'!$I138,0)</f>
        <v>0</v>
      </c>
      <c r="AB138">
        <f>IF(AND('13 Man'!D138&gt;Tmin, NOT('13 Man'!$I138="")),'13 Man'!$I138,0)</f>
        <v>0</v>
      </c>
      <c r="AC138">
        <f>IF(AND('13 Man'!E138&gt;Tmin, NOT('13 Man'!$I138="")),'13 Man'!$I138,0)</f>
        <v>0</v>
      </c>
      <c r="AD138">
        <f>IF(AND('13 Man'!F138&gt;Tmin, NOT('13 Man'!$I138="")),'13 Man'!$I138,0)</f>
        <v>0</v>
      </c>
      <c r="AE138">
        <f>IF(AND('13 Man'!C138&lt;Tmax, NOT('13 Man'!$H138="")),'13 Man'!$H138,4)</f>
        <v>3</v>
      </c>
      <c r="AF138">
        <f>IF(AND('13 Man'!D138&lt;Tmax, NOT('13 Man'!$H138="")),'13 Man'!$H138,4)</f>
        <v>3</v>
      </c>
      <c r="AG138">
        <f>IF(AND('13 Man'!E138&lt;Tmax, NOT('13 Man'!$H138="")),'13 Man'!$H138,4)</f>
        <v>3</v>
      </c>
      <c r="AH138">
        <f>IF(AND('13 Man'!F138&lt;Tmax, NOT('13 Man'!$H138="")),'13 Man'!$H138,4)</f>
        <v>3</v>
      </c>
      <c r="AI138"/>
    </row>
    <row r="139" spans="1:35" s="600" customFormat="1" outlineLevel="1" x14ac:dyDescent="0.2">
      <c r="A139" s="595" t="s">
        <v>2362</v>
      </c>
      <c r="B139" s="596" t="s">
        <v>4241</v>
      </c>
      <c r="C139" s="597"/>
      <c r="D139" s="1539"/>
      <c r="E139" s="593"/>
      <c r="F139" s="593"/>
      <c r="G139" s="1515"/>
      <c r="H139" s="1515"/>
      <c r="I139" s="1515"/>
      <c r="J139" s="1524"/>
      <c r="K139" s="1516"/>
      <c r="L139" s="1552"/>
      <c r="M139" s="598"/>
      <c r="N139" s="599"/>
      <c r="O139" s="599"/>
      <c r="P139" s="599"/>
      <c r="Q139" s="599"/>
      <c r="R139" s="599"/>
      <c r="S139" s="599"/>
      <c r="T139" s="599"/>
      <c r="U139" s="599"/>
      <c r="V139" s="599"/>
      <c r="W139" s="599"/>
      <c r="X139" s="599"/>
      <c r="Y139" s="599"/>
      <c r="Z139" s="599"/>
      <c r="AA139"/>
      <c r="AB139"/>
      <c r="AC139"/>
      <c r="AD139"/>
      <c r="AE139"/>
      <c r="AF139"/>
      <c r="AG139"/>
      <c r="AH139"/>
      <c r="AI139"/>
    </row>
    <row r="140" spans="1:35" s="600" customFormat="1" outlineLevel="2" x14ac:dyDescent="0.2">
      <c r="A140" s="601" t="s">
        <v>2363</v>
      </c>
      <c r="B140" s="601" t="s">
        <v>3644</v>
      </c>
      <c r="C140" s="597"/>
      <c r="D140" s="1539"/>
      <c r="E140" s="593"/>
      <c r="F140" s="593"/>
      <c r="G140" s="1515">
        <v>4</v>
      </c>
      <c r="H140" s="1524">
        <v>3</v>
      </c>
      <c r="I140" s="1524"/>
      <c r="J140" s="1524" t="s">
        <v>2109</v>
      </c>
      <c r="K140" s="1518" t="s">
        <v>7058</v>
      </c>
      <c r="L140" s="1552"/>
      <c r="M140" s="598"/>
      <c r="N140" s="599"/>
      <c r="O140" s="599"/>
      <c r="P140" s="599"/>
      <c r="Q140" s="599"/>
      <c r="R140" s="599"/>
      <c r="S140" s="599"/>
      <c r="T140" s="599"/>
      <c r="U140" s="599"/>
      <c r="V140" s="599"/>
      <c r="W140" s="599"/>
      <c r="X140" s="599"/>
      <c r="Y140" s="599"/>
      <c r="Z140" s="599"/>
      <c r="AA140">
        <f>IF(AND('13 Man'!C140&gt;Tmin, NOT('13 Man'!$I140="")),'13 Man'!$I140,0)</f>
        <v>0</v>
      </c>
      <c r="AB140">
        <f>IF(AND('13 Man'!D140&gt;Tmin, NOT('13 Man'!$I140="")),'13 Man'!$I140,0)</f>
        <v>0</v>
      </c>
      <c r="AC140">
        <f>IF(AND('13 Man'!E140&gt;Tmin, NOT('13 Man'!$I140="")),'13 Man'!$I140,0)</f>
        <v>0</v>
      </c>
      <c r="AD140">
        <f>IF(AND('13 Man'!F140&gt;Tmin, NOT('13 Man'!$I140="")),'13 Man'!$I140,0)</f>
        <v>0</v>
      </c>
      <c r="AE140">
        <f>IF(AND('13 Man'!C140&lt;Tmax, NOT('13 Man'!$H140="")),'13 Man'!$H140,4)</f>
        <v>3</v>
      </c>
      <c r="AF140">
        <f>IF(AND('13 Man'!D140&lt;Tmax, NOT('13 Man'!$H140="")),'13 Man'!$H140,4)</f>
        <v>3</v>
      </c>
      <c r="AG140">
        <f>IF(AND('13 Man'!E140&lt;Tmax, NOT('13 Man'!$H140="")),'13 Man'!$H140,4)</f>
        <v>3</v>
      </c>
      <c r="AH140">
        <f>IF(AND('13 Man'!F140&lt;Tmax, NOT('13 Man'!$H140="")),'13 Man'!$H140,4)</f>
        <v>3</v>
      </c>
      <c r="AI140"/>
    </row>
    <row r="141" spans="1:35" s="600" customFormat="1" outlineLevel="2" x14ac:dyDescent="0.2">
      <c r="A141" s="601" t="s">
        <v>2364</v>
      </c>
      <c r="B141" s="601" t="s">
        <v>2614</v>
      </c>
      <c r="C141" s="597"/>
      <c r="D141" s="1539"/>
      <c r="E141" s="593"/>
      <c r="F141" s="593"/>
      <c r="G141" s="1515">
        <v>4</v>
      </c>
      <c r="H141" s="1524">
        <v>3</v>
      </c>
      <c r="I141" s="1524"/>
      <c r="J141" s="1524" t="s">
        <v>1592</v>
      </c>
      <c r="K141" s="1516"/>
      <c r="L141" s="1552"/>
      <c r="M141" s="598"/>
      <c r="N141" s="599"/>
      <c r="O141" s="599"/>
      <c r="P141" s="599"/>
      <c r="Q141" s="599"/>
      <c r="R141" s="599"/>
      <c r="S141" s="599"/>
      <c r="T141" s="599"/>
      <c r="U141" s="599"/>
      <c r="V141" s="599"/>
      <c r="W141" s="599"/>
      <c r="X141" s="599"/>
      <c r="Y141" s="599"/>
      <c r="Z141" s="599"/>
      <c r="AA141">
        <f>IF(AND('13 Man'!C141&gt;Tmin, NOT('13 Man'!$I141="")),'13 Man'!$I141,0)</f>
        <v>0</v>
      </c>
      <c r="AB141">
        <f>IF(AND('13 Man'!D141&gt;Tmin, NOT('13 Man'!$I141="")),'13 Man'!$I141,0)</f>
        <v>0</v>
      </c>
      <c r="AC141">
        <f>IF(AND('13 Man'!E141&gt;Tmin, NOT('13 Man'!$I141="")),'13 Man'!$I141,0)</f>
        <v>0</v>
      </c>
      <c r="AD141">
        <f>IF(AND('13 Man'!F141&gt;Tmin, NOT('13 Man'!$I141="")),'13 Man'!$I141,0)</f>
        <v>0</v>
      </c>
      <c r="AE141">
        <f>IF(AND('13 Man'!C141&lt;Tmax, NOT('13 Man'!$H141="")),'13 Man'!$H141,4)</f>
        <v>3</v>
      </c>
      <c r="AF141">
        <f>IF(AND('13 Man'!D141&lt;Tmax, NOT('13 Man'!$H141="")),'13 Man'!$H141,4)</f>
        <v>3</v>
      </c>
      <c r="AG141">
        <f>IF(AND('13 Man'!E141&lt;Tmax, NOT('13 Man'!$H141="")),'13 Man'!$H141,4)</f>
        <v>3</v>
      </c>
      <c r="AH141">
        <f>IF(AND('13 Man'!F141&lt;Tmax, NOT('13 Man'!$H141="")),'13 Man'!$H141,4)</f>
        <v>3</v>
      </c>
      <c r="AI141"/>
    </row>
    <row r="142" spans="1:35" s="600" customFormat="1" outlineLevel="2" x14ac:dyDescent="0.2">
      <c r="A142" s="601" t="s">
        <v>2294</v>
      </c>
      <c r="B142" s="601" t="s">
        <v>3105</v>
      </c>
      <c r="C142" s="597"/>
      <c r="D142" s="1539"/>
      <c r="E142" s="593"/>
      <c r="F142" s="593"/>
      <c r="G142" s="1515">
        <v>2</v>
      </c>
      <c r="H142" s="1524">
        <v>3</v>
      </c>
      <c r="I142" s="1524"/>
      <c r="J142" s="1524" t="s">
        <v>1592</v>
      </c>
      <c r="K142" s="1516"/>
      <c r="L142" s="1552"/>
      <c r="M142" s="598"/>
      <c r="N142" s="599"/>
      <c r="O142" s="599"/>
      <c r="P142" s="599"/>
      <c r="Q142" s="599"/>
      <c r="R142" s="599"/>
      <c r="S142" s="599"/>
      <c r="T142" s="599"/>
      <c r="U142" s="599"/>
      <c r="V142" s="599"/>
      <c r="W142" s="599"/>
      <c r="X142" s="599"/>
      <c r="Y142" s="599"/>
      <c r="Z142" s="599"/>
      <c r="AA142">
        <f>IF(AND('13 Man'!C142&gt;Tmin, NOT('13 Man'!$I142="")),'13 Man'!$I142,0)</f>
        <v>0</v>
      </c>
      <c r="AB142">
        <f>IF(AND('13 Man'!D142&gt;Tmin, NOT('13 Man'!$I142="")),'13 Man'!$I142,0)</f>
        <v>0</v>
      </c>
      <c r="AC142">
        <f>IF(AND('13 Man'!E142&gt;Tmin, NOT('13 Man'!$I142="")),'13 Man'!$I142,0)</f>
        <v>0</v>
      </c>
      <c r="AD142">
        <f>IF(AND('13 Man'!F142&gt;Tmin, NOT('13 Man'!$I142="")),'13 Man'!$I142,0)</f>
        <v>0</v>
      </c>
      <c r="AE142">
        <f>IF(AND('13 Man'!C142&lt;Tmax, NOT('13 Man'!$H142="")),'13 Man'!$H142,4)</f>
        <v>3</v>
      </c>
      <c r="AF142">
        <f>IF(AND('13 Man'!D142&lt;Tmax, NOT('13 Man'!$H142="")),'13 Man'!$H142,4)</f>
        <v>3</v>
      </c>
      <c r="AG142">
        <f>IF(AND('13 Man'!E142&lt;Tmax, NOT('13 Man'!$H142="")),'13 Man'!$H142,4)</f>
        <v>3</v>
      </c>
      <c r="AH142">
        <f>IF(AND('13 Man'!F142&lt;Tmax, NOT('13 Man'!$H142="")),'13 Man'!$H142,4)</f>
        <v>3</v>
      </c>
      <c r="AI142"/>
    </row>
    <row r="143" spans="1:35" x14ac:dyDescent="0.2">
      <c r="A143" s="602" t="s">
        <v>5355</v>
      </c>
      <c r="B143" s="602" t="s">
        <v>3611</v>
      </c>
      <c r="C143" s="597"/>
      <c r="D143" s="1539"/>
      <c r="E143" s="593"/>
      <c r="F143" s="593"/>
      <c r="G143" s="1515"/>
      <c r="H143" s="1515"/>
      <c r="I143" s="1515"/>
      <c r="J143" s="1515"/>
      <c r="K143" s="1516"/>
      <c r="L143" s="1516"/>
      <c r="M143" s="594"/>
      <c r="AA143"/>
      <c r="AB143"/>
      <c r="AC143"/>
      <c r="AD143"/>
      <c r="AE143"/>
      <c r="AF143"/>
      <c r="AG143"/>
      <c r="AH143"/>
      <c r="AI143"/>
    </row>
    <row r="144" spans="1:35" s="600" customFormat="1" outlineLevel="1" x14ac:dyDescent="0.2">
      <c r="A144" s="595" t="s">
        <v>3674</v>
      </c>
      <c r="B144" s="596" t="s">
        <v>3871</v>
      </c>
      <c r="C144" s="597"/>
      <c r="D144" s="1539"/>
      <c r="E144" s="593"/>
      <c r="F144" s="593"/>
      <c r="G144" s="1515"/>
      <c r="H144" s="1515"/>
      <c r="I144" s="1515"/>
      <c r="J144" s="1515"/>
      <c r="K144" s="1516"/>
      <c r="L144" s="1516"/>
      <c r="M144" s="598"/>
      <c r="N144" s="599"/>
      <c r="O144" s="599"/>
      <c r="P144" s="599"/>
      <c r="Q144" s="599"/>
      <c r="R144" s="599"/>
      <c r="S144" s="599"/>
      <c r="T144" s="599"/>
      <c r="U144" s="599"/>
      <c r="V144" s="599"/>
      <c r="W144" s="599"/>
      <c r="X144" s="599"/>
      <c r="Y144" s="599"/>
      <c r="Z144" s="599"/>
      <c r="AA144"/>
      <c r="AB144"/>
      <c r="AC144"/>
      <c r="AD144"/>
      <c r="AE144"/>
      <c r="AF144"/>
      <c r="AG144"/>
      <c r="AH144"/>
      <c r="AI144"/>
    </row>
    <row r="145" spans="1:35" ht="22.5" outlineLevel="2" x14ac:dyDescent="0.2">
      <c r="A145" s="601" t="s">
        <v>5356</v>
      </c>
      <c r="B145" s="601" t="s">
        <v>1709</v>
      </c>
      <c r="C145" s="597"/>
      <c r="D145" s="1539"/>
      <c r="E145" s="593"/>
      <c r="F145" s="593"/>
      <c r="G145" s="1515">
        <v>2</v>
      </c>
      <c r="H145" s="1524"/>
      <c r="I145" s="1524"/>
      <c r="J145" s="1524" t="s">
        <v>1592</v>
      </c>
      <c r="K145" s="1516"/>
      <c r="L145" s="1552"/>
      <c r="M145" s="594"/>
      <c r="AA145">
        <f>IF(AND('13 Man'!C145&gt;Tmin, NOT('13 Man'!$I145="")),'13 Man'!$I145,0)</f>
        <v>0</v>
      </c>
      <c r="AB145">
        <f>IF(AND('13 Man'!D145&gt;Tmin, NOT('13 Man'!$I145="")),'13 Man'!$I145,0)</f>
        <v>0</v>
      </c>
      <c r="AC145">
        <f>IF(AND('13 Man'!E145&gt;Tmin, NOT('13 Man'!$I145="")),'13 Man'!$I145,0)</f>
        <v>0</v>
      </c>
      <c r="AD145">
        <f>IF(AND('13 Man'!F145&gt;Tmin, NOT('13 Man'!$I145="")),'13 Man'!$I145,0)</f>
        <v>0</v>
      </c>
      <c r="AE145">
        <f>IF(AND('13 Man'!C145&lt;Tmax, NOT('13 Man'!$H145="")),'13 Man'!$H145,4)</f>
        <v>4</v>
      </c>
      <c r="AF145">
        <f>IF(AND('13 Man'!D145&lt;Tmax, NOT('13 Man'!$H145="")),'13 Man'!$H145,4)</f>
        <v>4</v>
      </c>
      <c r="AG145">
        <f>IF(AND('13 Man'!E145&lt;Tmax, NOT('13 Man'!$H145="")),'13 Man'!$H145,4)</f>
        <v>4</v>
      </c>
      <c r="AH145">
        <f>IF(AND('13 Man'!F145&lt;Tmax, NOT('13 Man'!$H145="")),'13 Man'!$H145,4)</f>
        <v>4</v>
      </c>
      <c r="AI145"/>
    </row>
    <row r="146" spans="1:35" outlineLevel="2" x14ac:dyDescent="0.2">
      <c r="A146" s="601" t="s">
        <v>5357</v>
      </c>
      <c r="B146" s="601" t="s">
        <v>6225</v>
      </c>
      <c r="C146" s="597"/>
      <c r="D146" s="1539"/>
      <c r="E146" s="593"/>
      <c r="F146" s="593"/>
      <c r="G146" s="1515">
        <v>2</v>
      </c>
      <c r="H146" s="1524"/>
      <c r="I146" s="1524"/>
      <c r="J146" s="1524" t="s">
        <v>1592</v>
      </c>
      <c r="K146" s="1516"/>
      <c r="L146" s="1552"/>
      <c r="M146" s="594"/>
      <c r="AA146">
        <f>IF(AND('13 Man'!C146&gt;Tmin, NOT('13 Man'!$I146="")),'13 Man'!$I146,0)</f>
        <v>0</v>
      </c>
      <c r="AB146">
        <f>IF(AND('13 Man'!D146&gt;Tmin, NOT('13 Man'!$I146="")),'13 Man'!$I146,0)</f>
        <v>0</v>
      </c>
      <c r="AC146">
        <f>IF(AND('13 Man'!E146&gt;Tmin, NOT('13 Man'!$I146="")),'13 Man'!$I146,0)</f>
        <v>0</v>
      </c>
      <c r="AD146">
        <f>IF(AND('13 Man'!F146&gt;Tmin, NOT('13 Man'!$I146="")),'13 Man'!$I146,0)</f>
        <v>0</v>
      </c>
      <c r="AE146">
        <f>IF(AND('13 Man'!C146&lt;Tmax, NOT('13 Man'!$H146="")),'13 Man'!$H146,4)</f>
        <v>4</v>
      </c>
      <c r="AF146">
        <f>IF(AND('13 Man'!D146&lt;Tmax, NOT('13 Man'!$H146="")),'13 Man'!$H146,4)</f>
        <v>4</v>
      </c>
      <c r="AG146">
        <f>IF(AND('13 Man'!E146&lt;Tmax, NOT('13 Man'!$H146="")),'13 Man'!$H146,4)</f>
        <v>4</v>
      </c>
      <c r="AH146">
        <f>IF(AND('13 Man'!F146&lt;Tmax, NOT('13 Man'!$H146="")),'13 Man'!$H146,4)</f>
        <v>4</v>
      </c>
      <c r="AI146"/>
    </row>
    <row r="147" spans="1:35" s="600" customFormat="1" outlineLevel="2" x14ac:dyDescent="0.2">
      <c r="A147" s="601" t="s">
        <v>4784</v>
      </c>
      <c r="B147" s="601" t="s">
        <v>3403</v>
      </c>
      <c r="C147" s="597"/>
      <c r="D147" s="1539"/>
      <c r="E147" s="593"/>
      <c r="F147" s="593"/>
      <c r="G147" s="1515">
        <v>4</v>
      </c>
      <c r="H147" s="1515"/>
      <c r="I147" s="1515"/>
      <c r="J147" s="1515" t="s">
        <v>4246</v>
      </c>
      <c r="K147" s="1516"/>
      <c r="L147" s="1516"/>
      <c r="M147" s="598"/>
      <c r="N147" s="599"/>
      <c r="O147" s="599"/>
      <c r="P147" s="599"/>
      <c r="Q147" s="599"/>
      <c r="R147" s="599"/>
      <c r="S147" s="599"/>
      <c r="T147" s="599"/>
      <c r="U147" s="599"/>
      <c r="V147" s="599"/>
      <c r="W147" s="599"/>
      <c r="X147" s="599"/>
      <c r="Y147" s="599"/>
      <c r="Z147" s="599"/>
      <c r="AA147">
        <f>IF(AND('13 Man'!C147&gt;Tmin, NOT('13 Man'!$I147="")),'13 Man'!$I147,0)</f>
        <v>0</v>
      </c>
      <c r="AB147">
        <f>IF(AND('13 Man'!D147&gt;Tmin, NOT('13 Man'!$I147="")),'13 Man'!$I147,0)</f>
        <v>0</v>
      </c>
      <c r="AC147">
        <f>IF(AND('13 Man'!E147&gt;Tmin, NOT('13 Man'!$I147="")),'13 Man'!$I147,0)</f>
        <v>0</v>
      </c>
      <c r="AD147">
        <f>IF(AND('13 Man'!F147&gt;Tmin, NOT('13 Man'!$I147="")),'13 Man'!$I147,0)</f>
        <v>0</v>
      </c>
      <c r="AE147">
        <f>IF(AND('13 Man'!C147&lt;Tmax, NOT('13 Man'!$H147="")),'13 Man'!$H147,4)</f>
        <v>4</v>
      </c>
      <c r="AF147">
        <f>IF(AND('13 Man'!D147&lt;Tmax, NOT('13 Man'!$H147="")),'13 Man'!$H147,4)</f>
        <v>4</v>
      </c>
      <c r="AG147">
        <f>IF(AND('13 Man'!E147&lt;Tmax, NOT('13 Man'!$H147="")),'13 Man'!$H147,4)</f>
        <v>4</v>
      </c>
      <c r="AH147">
        <f>IF(AND('13 Man'!F147&lt;Tmax, NOT('13 Man'!$H147="")),'13 Man'!$H147,4)</f>
        <v>4</v>
      </c>
      <c r="AI147"/>
    </row>
    <row r="148" spans="1:35" s="600" customFormat="1" outlineLevel="2" x14ac:dyDescent="0.2">
      <c r="A148" s="601" t="s">
        <v>4785</v>
      </c>
      <c r="B148" s="601" t="s">
        <v>3694</v>
      </c>
      <c r="C148" s="597"/>
      <c r="D148" s="1539"/>
      <c r="E148" s="593"/>
      <c r="F148" s="593"/>
      <c r="G148" s="1515">
        <v>2</v>
      </c>
      <c r="H148" s="1524"/>
      <c r="I148" s="1524"/>
      <c r="J148" s="1515" t="s">
        <v>1592</v>
      </c>
      <c r="K148" s="1516"/>
      <c r="L148" s="1516"/>
      <c r="M148" s="598"/>
      <c r="N148" s="599"/>
      <c r="O148" s="599"/>
      <c r="P148" s="599"/>
      <c r="Q148" s="599"/>
      <c r="R148" s="599"/>
      <c r="S148" s="599"/>
      <c r="T148" s="599"/>
      <c r="U148" s="599"/>
      <c r="V148" s="599"/>
      <c r="W148" s="599"/>
      <c r="X148" s="599"/>
      <c r="Y148" s="599"/>
      <c r="Z148" s="599"/>
      <c r="AA148">
        <f>IF(AND('13 Man'!C148&gt;Tmin, NOT('13 Man'!$I148="")),'13 Man'!$I148,0)</f>
        <v>0</v>
      </c>
      <c r="AB148">
        <f>IF(AND('13 Man'!D148&gt;Tmin, NOT('13 Man'!$I148="")),'13 Man'!$I148,0)</f>
        <v>0</v>
      </c>
      <c r="AC148">
        <f>IF(AND('13 Man'!E148&gt;Tmin, NOT('13 Man'!$I148="")),'13 Man'!$I148,0)</f>
        <v>0</v>
      </c>
      <c r="AD148">
        <f>IF(AND('13 Man'!F148&gt;Tmin, NOT('13 Man'!$I148="")),'13 Man'!$I148,0)</f>
        <v>0</v>
      </c>
      <c r="AE148">
        <f>IF(AND('13 Man'!C148&lt;Tmax, NOT('13 Man'!$H148="")),'13 Man'!$H148,4)</f>
        <v>4</v>
      </c>
      <c r="AF148">
        <f>IF(AND('13 Man'!D148&lt;Tmax, NOT('13 Man'!$H148="")),'13 Man'!$H148,4)</f>
        <v>4</v>
      </c>
      <c r="AG148">
        <f>IF(AND('13 Man'!E148&lt;Tmax, NOT('13 Man'!$H148="")),'13 Man'!$H148,4)</f>
        <v>4</v>
      </c>
      <c r="AH148">
        <f>IF(AND('13 Man'!F148&lt;Tmax, NOT('13 Man'!$H148="")),'13 Man'!$H148,4)</f>
        <v>4</v>
      </c>
      <c r="AI148"/>
    </row>
    <row r="149" spans="1:35" s="600" customFormat="1" ht="22.5" outlineLevel="2" x14ac:dyDescent="0.2">
      <c r="A149" s="601" t="s">
        <v>5802</v>
      </c>
      <c r="B149" s="601" t="s">
        <v>1951</v>
      </c>
      <c r="C149" s="597"/>
      <c r="D149" s="1539"/>
      <c r="E149" s="593"/>
      <c r="F149" s="593"/>
      <c r="G149" s="1515">
        <v>4</v>
      </c>
      <c r="H149" s="1524">
        <v>3</v>
      </c>
      <c r="I149" s="1524"/>
      <c r="J149" s="1524" t="s">
        <v>1592</v>
      </c>
      <c r="K149" s="1516"/>
      <c r="L149" s="1552"/>
      <c r="M149" s="598"/>
      <c r="N149" s="599"/>
      <c r="O149" s="599"/>
      <c r="P149" s="599"/>
      <c r="Q149" s="599"/>
      <c r="R149" s="599"/>
      <c r="S149" s="599"/>
      <c r="T149" s="599"/>
      <c r="U149" s="599"/>
      <c r="V149" s="599"/>
      <c r="W149" s="599"/>
      <c r="X149" s="599"/>
      <c r="Y149" s="599"/>
      <c r="Z149" s="599"/>
      <c r="AA149">
        <f>IF(AND('13 Man'!C149&gt;Tmin, NOT('13 Man'!$I149="")),'13 Man'!$I149,0)</f>
        <v>0</v>
      </c>
      <c r="AB149">
        <f>IF(AND('13 Man'!D149&gt;Tmin, NOT('13 Man'!$I149="")),'13 Man'!$I149,0)</f>
        <v>0</v>
      </c>
      <c r="AC149">
        <f>IF(AND('13 Man'!E149&gt;Tmin, NOT('13 Man'!$I149="")),'13 Man'!$I149,0)</f>
        <v>0</v>
      </c>
      <c r="AD149">
        <f>IF(AND('13 Man'!F149&gt;Tmin, NOT('13 Man'!$I149="")),'13 Man'!$I149,0)</f>
        <v>0</v>
      </c>
      <c r="AE149">
        <f>IF(AND('13 Man'!C149&lt;Tmax, NOT('13 Man'!$H149="")),'13 Man'!$H149,4)</f>
        <v>3</v>
      </c>
      <c r="AF149">
        <f>IF(AND('13 Man'!D149&lt;Tmax, NOT('13 Man'!$H149="")),'13 Man'!$H149,4)</f>
        <v>3</v>
      </c>
      <c r="AG149">
        <f>IF(AND('13 Man'!E149&lt;Tmax, NOT('13 Man'!$H149="")),'13 Man'!$H149,4)</f>
        <v>3</v>
      </c>
      <c r="AH149">
        <f>IF(AND('13 Man'!F149&lt;Tmax, NOT('13 Man'!$H149="")),'13 Man'!$H149,4)</f>
        <v>3</v>
      </c>
      <c r="AI149"/>
    </row>
    <row r="150" spans="1:35" s="600" customFormat="1" ht="22.5" outlineLevel="2" x14ac:dyDescent="0.2">
      <c r="A150" s="601" t="s">
        <v>5803</v>
      </c>
      <c r="B150" s="601" t="s">
        <v>3832</v>
      </c>
      <c r="C150" s="597"/>
      <c r="D150" s="1539"/>
      <c r="E150" s="593"/>
      <c r="F150" s="593"/>
      <c r="G150" s="1515">
        <v>4</v>
      </c>
      <c r="H150" s="1524">
        <v>3</v>
      </c>
      <c r="I150" s="1524"/>
      <c r="J150" s="1524" t="s">
        <v>1592</v>
      </c>
      <c r="K150" s="1516"/>
      <c r="L150" s="1552"/>
      <c r="M150" s="598"/>
      <c r="N150" s="599"/>
      <c r="O150" s="599"/>
      <c r="P150" s="599"/>
      <c r="Q150" s="599"/>
      <c r="R150" s="599"/>
      <c r="S150" s="599"/>
      <c r="T150" s="599"/>
      <c r="U150" s="599"/>
      <c r="V150" s="599"/>
      <c r="W150" s="599"/>
      <c r="X150" s="599"/>
      <c r="Y150" s="599"/>
      <c r="Z150" s="599"/>
      <c r="AA150">
        <f>IF(AND('13 Man'!C150&gt;Tmin, NOT('13 Man'!$I150="")),'13 Man'!$I150,0)</f>
        <v>0</v>
      </c>
      <c r="AB150">
        <f>IF(AND('13 Man'!D150&gt;Tmin, NOT('13 Man'!$I150="")),'13 Man'!$I150,0)</f>
        <v>0</v>
      </c>
      <c r="AC150">
        <f>IF(AND('13 Man'!E150&gt;Tmin, NOT('13 Man'!$I150="")),'13 Man'!$I150,0)</f>
        <v>0</v>
      </c>
      <c r="AD150">
        <f>IF(AND('13 Man'!F150&gt;Tmin, NOT('13 Man'!$I150="")),'13 Man'!$I150,0)</f>
        <v>0</v>
      </c>
      <c r="AE150">
        <f>IF(AND('13 Man'!C150&lt;Tmax, NOT('13 Man'!$H150="")),'13 Man'!$H150,4)</f>
        <v>3</v>
      </c>
      <c r="AF150">
        <f>IF(AND('13 Man'!D150&lt;Tmax, NOT('13 Man'!$H150="")),'13 Man'!$H150,4)</f>
        <v>3</v>
      </c>
      <c r="AG150">
        <f>IF(AND('13 Man'!E150&lt;Tmax, NOT('13 Man'!$H150="")),'13 Man'!$H150,4)</f>
        <v>3</v>
      </c>
      <c r="AH150">
        <f>IF(AND('13 Man'!F150&lt;Tmax, NOT('13 Man'!$H150="")),'13 Man'!$H150,4)</f>
        <v>3</v>
      </c>
      <c r="AI150"/>
    </row>
    <row r="151" spans="1:35" s="600" customFormat="1" outlineLevel="2" x14ac:dyDescent="0.2">
      <c r="A151" s="601" t="s">
        <v>5804</v>
      </c>
      <c r="B151" s="601" t="s">
        <v>1952</v>
      </c>
      <c r="C151" s="597"/>
      <c r="D151" s="1539"/>
      <c r="E151" s="593"/>
      <c r="F151" s="593"/>
      <c r="G151" s="1515">
        <v>4</v>
      </c>
      <c r="H151" s="1524"/>
      <c r="I151" s="1524"/>
      <c r="J151" s="1515" t="s">
        <v>1592</v>
      </c>
      <c r="K151" s="1516"/>
      <c r="L151" s="1516"/>
      <c r="M151" s="598"/>
      <c r="N151" s="599"/>
      <c r="O151" s="599"/>
      <c r="P151" s="599"/>
      <c r="Q151" s="599"/>
      <c r="R151" s="599"/>
      <c r="S151" s="599"/>
      <c r="T151" s="599"/>
      <c r="U151" s="599"/>
      <c r="V151" s="599"/>
      <c r="W151" s="599"/>
      <c r="X151" s="599"/>
      <c r="Y151" s="599"/>
      <c r="Z151" s="599"/>
      <c r="AA151">
        <f>IF(AND('13 Man'!C151&gt;Tmin, NOT('13 Man'!$I151="")),'13 Man'!$I151,0)</f>
        <v>0</v>
      </c>
      <c r="AB151">
        <f>IF(AND('13 Man'!D151&gt;Tmin, NOT('13 Man'!$I151="")),'13 Man'!$I151,0)</f>
        <v>0</v>
      </c>
      <c r="AC151">
        <f>IF(AND('13 Man'!E151&gt;Tmin, NOT('13 Man'!$I151="")),'13 Man'!$I151,0)</f>
        <v>0</v>
      </c>
      <c r="AD151">
        <f>IF(AND('13 Man'!F151&gt;Tmin, NOT('13 Man'!$I151="")),'13 Man'!$I151,0)</f>
        <v>0</v>
      </c>
      <c r="AE151">
        <f>IF(AND('13 Man'!C151&lt;Tmax, NOT('13 Man'!$H151="")),'13 Man'!$H151,4)</f>
        <v>4</v>
      </c>
      <c r="AF151">
        <f>IF(AND('13 Man'!D151&lt;Tmax, NOT('13 Man'!$H151="")),'13 Man'!$H151,4)</f>
        <v>4</v>
      </c>
      <c r="AG151">
        <f>IF(AND('13 Man'!E151&lt;Tmax, NOT('13 Man'!$H151="")),'13 Man'!$H151,4)</f>
        <v>4</v>
      </c>
      <c r="AH151">
        <f>IF(AND('13 Man'!F151&lt;Tmax, NOT('13 Man'!$H151="")),'13 Man'!$H151,4)</f>
        <v>4</v>
      </c>
      <c r="AI151"/>
    </row>
    <row r="152" spans="1:35" s="600" customFormat="1" ht="22.5" outlineLevel="2" x14ac:dyDescent="0.2">
      <c r="A152" s="601" t="s">
        <v>5805</v>
      </c>
      <c r="B152" s="601" t="s">
        <v>1953</v>
      </c>
      <c r="C152" s="597"/>
      <c r="D152" s="1539"/>
      <c r="E152" s="593"/>
      <c r="F152" s="593"/>
      <c r="G152" s="1515">
        <v>2</v>
      </c>
      <c r="H152" s="1524"/>
      <c r="I152" s="1524"/>
      <c r="J152" s="1515" t="s">
        <v>1592</v>
      </c>
      <c r="K152" s="1516"/>
      <c r="L152" s="1516"/>
      <c r="M152" s="598"/>
      <c r="N152" s="599"/>
      <c r="O152" s="599"/>
      <c r="P152" s="599"/>
      <c r="Q152" s="599"/>
      <c r="R152" s="599"/>
      <c r="S152" s="599"/>
      <c r="T152" s="599"/>
      <c r="U152" s="599"/>
      <c r="V152" s="599"/>
      <c r="W152" s="599"/>
      <c r="X152" s="599"/>
      <c r="Y152" s="599"/>
      <c r="Z152" s="599"/>
      <c r="AA152">
        <f>IF(AND('13 Man'!C152&gt;Tmin, NOT('13 Man'!$I152="")),'13 Man'!$I152,0)</f>
        <v>0</v>
      </c>
      <c r="AB152">
        <f>IF(AND('13 Man'!D152&gt;Tmin, NOT('13 Man'!$I152="")),'13 Man'!$I152,0)</f>
        <v>0</v>
      </c>
      <c r="AC152">
        <f>IF(AND('13 Man'!E152&gt;Tmin, NOT('13 Man'!$I152="")),'13 Man'!$I152,0)</f>
        <v>0</v>
      </c>
      <c r="AD152">
        <f>IF(AND('13 Man'!F152&gt;Tmin, NOT('13 Man'!$I152="")),'13 Man'!$I152,0)</f>
        <v>0</v>
      </c>
      <c r="AE152">
        <f>IF(AND('13 Man'!C152&lt;Tmax, NOT('13 Man'!$H152="")),'13 Man'!$H152,4)</f>
        <v>4</v>
      </c>
      <c r="AF152">
        <f>IF(AND('13 Man'!D152&lt;Tmax, NOT('13 Man'!$H152="")),'13 Man'!$H152,4)</f>
        <v>4</v>
      </c>
      <c r="AG152">
        <f>IF(AND('13 Man'!E152&lt;Tmax, NOT('13 Man'!$H152="")),'13 Man'!$H152,4)</f>
        <v>4</v>
      </c>
      <c r="AH152">
        <f>IF(AND('13 Man'!F152&lt;Tmax, NOT('13 Man'!$H152="")),'13 Man'!$H152,4)</f>
        <v>4</v>
      </c>
      <c r="AI152"/>
    </row>
    <row r="153" spans="1:35" s="600" customFormat="1" ht="22.5" outlineLevel="2" x14ac:dyDescent="0.2">
      <c r="A153" s="601" t="s">
        <v>1688</v>
      </c>
      <c r="B153" s="601" t="s">
        <v>1954</v>
      </c>
      <c r="C153" s="597"/>
      <c r="D153" s="1539"/>
      <c r="E153" s="593"/>
      <c r="F153" s="593"/>
      <c r="G153" s="1515">
        <v>4</v>
      </c>
      <c r="H153" s="1524"/>
      <c r="I153" s="1524"/>
      <c r="J153" s="1524" t="s">
        <v>4246</v>
      </c>
      <c r="K153" s="1516"/>
      <c r="L153" s="1552"/>
      <c r="M153" s="598"/>
      <c r="N153" s="599"/>
      <c r="O153" s="599"/>
      <c r="P153" s="599"/>
      <c r="Q153" s="599"/>
      <c r="R153" s="599"/>
      <c r="S153" s="599"/>
      <c r="T153" s="599"/>
      <c r="U153" s="599"/>
      <c r="V153" s="599"/>
      <c r="W153" s="599"/>
      <c r="X153" s="599"/>
      <c r="Y153" s="599"/>
      <c r="Z153" s="599"/>
      <c r="AA153">
        <f>IF(AND('13 Man'!C153&gt;Tmin, NOT('13 Man'!$I153="")),'13 Man'!$I153,0)</f>
        <v>0</v>
      </c>
      <c r="AB153">
        <f>IF(AND('13 Man'!D153&gt;Tmin, NOT('13 Man'!$I153="")),'13 Man'!$I153,0)</f>
        <v>0</v>
      </c>
      <c r="AC153">
        <f>IF(AND('13 Man'!E153&gt;Tmin, NOT('13 Man'!$I153="")),'13 Man'!$I153,0)</f>
        <v>0</v>
      </c>
      <c r="AD153">
        <f>IF(AND('13 Man'!F153&gt;Tmin, NOT('13 Man'!$I153="")),'13 Man'!$I153,0)</f>
        <v>0</v>
      </c>
      <c r="AE153">
        <f>IF(AND('13 Man'!C153&lt;Tmax, NOT('13 Man'!$H153="")),'13 Man'!$H153,4)</f>
        <v>4</v>
      </c>
      <c r="AF153">
        <f>IF(AND('13 Man'!D153&lt;Tmax, NOT('13 Man'!$H153="")),'13 Man'!$H153,4)</f>
        <v>4</v>
      </c>
      <c r="AG153">
        <f>IF(AND('13 Man'!E153&lt;Tmax, NOT('13 Man'!$H153="")),'13 Man'!$H153,4)</f>
        <v>4</v>
      </c>
      <c r="AH153">
        <f>IF(AND('13 Man'!F153&lt;Tmax, NOT('13 Man'!$H153="")),'13 Man'!$H153,4)</f>
        <v>4</v>
      </c>
      <c r="AI153"/>
    </row>
    <row r="154" spans="1:35" s="600" customFormat="1" ht="22.5" outlineLevel="2" x14ac:dyDescent="0.2">
      <c r="A154" s="601" t="s">
        <v>1689</v>
      </c>
      <c r="B154" s="601" t="s">
        <v>1955</v>
      </c>
      <c r="C154" s="597"/>
      <c r="D154" s="1539"/>
      <c r="E154" s="593"/>
      <c r="F154" s="593"/>
      <c r="G154" s="1515">
        <v>4</v>
      </c>
      <c r="H154" s="1515"/>
      <c r="I154" s="1515"/>
      <c r="J154" s="1524" t="s">
        <v>1592</v>
      </c>
      <c r="K154" s="1516"/>
      <c r="L154" s="1552"/>
      <c r="M154" s="598"/>
      <c r="N154" s="599"/>
      <c r="O154" s="599"/>
      <c r="P154" s="599"/>
      <c r="Q154" s="599"/>
      <c r="R154" s="599"/>
      <c r="S154" s="599"/>
      <c r="T154" s="599"/>
      <c r="U154" s="599"/>
      <c r="V154" s="599"/>
      <c r="W154" s="599"/>
      <c r="X154" s="599"/>
      <c r="Y154" s="599"/>
      <c r="Z154" s="599"/>
      <c r="AA154">
        <f>IF(AND('13 Man'!C154&gt;Tmin, NOT('13 Man'!$I154="")),'13 Man'!$I154,0)</f>
        <v>0</v>
      </c>
      <c r="AB154">
        <f>IF(AND('13 Man'!D154&gt;Tmin, NOT('13 Man'!$I154="")),'13 Man'!$I154,0)</f>
        <v>0</v>
      </c>
      <c r="AC154">
        <f>IF(AND('13 Man'!E154&gt;Tmin, NOT('13 Man'!$I154="")),'13 Man'!$I154,0)</f>
        <v>0</v>
      </c>
      <c r="AD154">
        <f>IF(AND('13 Man'!F154&gt;Tmin, NOT('13 Man'!$I154="")),'13 Man'!$I154,0)</f>
        <v>0</v>
      </c>
      <c r="AE154">
        <f>IF(AND('13 Man'!C154&lt;Tmax, NOT('13 Man'!$H154="")),'13 Man'!$H154,4)</f>
        <v>4</v>
      </c>
      <c r="AF154">
        <f>IF(AND('13 Man'!D154&lt;Tmax, NOT('13 Man'!$H154="")),'13 Man'!$H154,4)</f>
        <v>4</v>
      </c>
      <c r="AG154">
        <f>IF(AND('13 Man'!E154&lt;Tmax, NOT('13 Man'!$H154="")),'13 Man'!$H154,4)</f>
        <v>4</v>
      </c>
      <c r="AH154">
        <f>IF(AND('13 Man'!F154&lt;Tmax, NOT('13 Man'!$H154="")),'13 Man'!$H154,4)</f>
        <v>4</v>
      </c>
      <c r="AI154"/>
    </row>
    <row r="155" spans="1:35" s="600" customFormat="1" outlineLevel="2" x14ac:dyDescent="0.2">
      <c r="A155" s="601" t="s">
        <v>1690</v>
      </c>
      <c r="B155" s="601" t="s">
        <v>3345</v>
      </c>
      <c r="C155" s="597"/>
      <c r="D155" s="1539"/>
      <c r="E155" s="593"/>
      <c r="F155" s="593"/>
      <c r="G155" s="1515">
        <v>2</v>
      </c>
      <c r="H155" s="1524">
        <v>3</v>
      </c>
      <c r="I155" s="1524"/>
      <c r="J155" s="1524" t="s">
        <v>1592</v>
      </c>
      <c r="K155" s="1516"/>
      <c r="L155" s="1552"/>
      <c r="M155" s="598"/>
      <c r="N155" s="599"/>
      <c r="O155" s="599"/>
      <c r="P155" s="599"/>
      <c r="Q155" s="599"/>
      <c r="R155" s="599"/>
      <c r="S155" s="599"/>
      <c r="T155" s="599"/>
      <c r="U155" s="599"/>
      <c r="V155" s="599"/>
      <c r="W155" s="599"/>
      <c r="X155" s="599"/>
      <c r="Y155" s="599"/>
      <c r="Z155" s="599"/>
      <c r="AA155">
        <f>IF(AND('13 Man'!C155&gt;Tmin, NOT('13 Man'!$I155="")),'13 Man'!$I155,0)</f>
        <v>0</v>
      </c>
      <c r="AB155">
        <f>IF(AND('13 Man'!D155&gt;Tmin, NOT('13 Man'!$I155="")),'13 Man'!$I155,0)</f>
        <v>0</v>
      </c>
      <c r="AC155">
        <f>IF(AND('13 Man'!E155&gt;Tmin, NOT('13 Man'!$I155="")),'13 Man'!$I155,0)</f>
        <v>0</v>
      </c>
      <c r="AD155">
        <f>IF(AND('13 Man'!F155&gt;Tmin, NOT('13 Man'!$I155="")),'13 Man'!$I155,0)</f>
        <v>0</v>
      </c>
      <c r="AE155">
        <f>IF(AND('13 Man'!C155&lt;Tmax, NOT('13 Man'!$H155="")),'13 Man'!$H155,4)</f>
        <v>3</v>
      </c>
      <c r="AF155">
        <f>IF(AND('13 Man'!D155&lt;Tmax, NOT('13 Man'!$H155="")),'13 Man'!$H155,4)</f>
        <v>3</v>
      </c>
      <c r="AG155">
        <f>IF(AND('13 Man'!E155&lt;Tmax, NOT('13 Man'!$H155="")),'13 Man'!$H155,4)</f>
        <v>3</v>
      </c>
      <c r="AH155">
        <f>IF(AND('13 Man'!F155&lt;Tmax, NOT('13 Man'!$H155="")),'13 Man'!$H155,4)</f>
        <v>3</v>
      </c>
      <c r="AI155"/>
    </row>
    <row r="156" spans="1:35" s="600" customFormat="1" outlineLevel="1" x14ac:dyDescent="0.2">
      <c r="A156" s="595" t="s">
        <v>5438</v>
      </c>
      <c r="B156" s="596" t="s">
        <v>3346</v>
      </c>
      <c r="C156" s="597"/>
      <c r="D156" s="1539"/>
      <c r="E156" s="593"/>
      <c r="F156" s="593"/>
      <c r="G156" s="1515"/>
      <c r="H156" s="1515"/>
      <c r="I156" s="1515"/>
      <c r="J156" s="1524"/>
      <c r="K156" s="1516"/>
      <c r="L156" s="1552"/>
      <c r="M156" s="598"/>
      <c r="N156" s="599"/>
      <c r="O156" s="599"/>
      <c r="P156" s="599"/>
      <c r="Q156" s="599"/>
      <c r="R156" s="599"/>
      <c r="S156" s="599"/>
      <c r="T156" s="599"/>
      <c r="U156" s="599"/>
      <c r="V156" s="599"/>
      <c r="W156" s="599"/>
      <c r="X156" s="599"/>
      <c r="Y156" s="599"/>
      <c r="Z156" s="599"/>
      <c r="AA156"/>
      <c r="AB156"/>
      <c r="AC156"/>
      <c r="AD156"/>
      <c r="AE156"/>
      <c r="AF156"/>
      <c r="AG156"/>
      <c r="AH156"/>
      <c r="AI156"/>
    </row>
    <row r="157" spans="1:35" s="600" customFormat="1" outlineLevel="2" x14ac:dyDescent="0.2">
      <c r="A157" s="601" t="s">
        <v>5955</v>
      </c>
      <c r="B157" s="601" t="s">
        <v>3347</v>
      </c>
      <c r="C157" s="597"/>
      <c r="D157" s="1539"/>
      <c r="E157" s="593"/>
      <c r="F157" s="593"/>
      <c r="G157" s="1515">
        <v>2</v>
      </c>
      <c r="H157" s="1515"/>
      <c r="I157" s="1515"/>
      <c r="J157" s="1524" t="s">
        <v>4246</v>
      </c>
      <c r="K157" s="1516"/>
      <c r="L157" s="1552"/>
      <c r="M157" s="598"/>
      <c r="N157" s="599"/>
      <c r="O157" s="599"/>
      <c r="P157" s="599"/>
      <c r="Q157" s="599"/>
      <c r="R157" s="599"/>
      <c r="S157" s="599"/>
      <c r="T157" s="599"/>
      <c r="U157" s="599"/>
      <c r="V157" s="599"/>
      <c r="W157" s="599"/>
      <c r="X157" s="599"/>
      <c r="Y157" s="599"/>
      <c r="Z157" s="599"/>
      <c r="AA157">
        <f>IF(AND('13 Man'!C157&gt;Tmin, NOT('13 Man'!$I157="")),'13 Man'!$I157,0)</f>
        <v>0</v>
      </c>
      <c r="AB157">
        <f>IF(AND('13 Man'!D157&gt;Tmin, NOT('13 Man'!$I157="")),'13 Man'!$I157,0)</f>
        <v>0</v>
      </c>
      <c r="AC157">
        <f>IF(AND('13 Man'!E157&gt;Tmin, NOT('13 Man'!$I157="")),'13 Man'!$I157,0)</f>
        <v>0</v>
      </c>
      <c r="AD157">
        <f>IF(AND('13 Man'!F157&gt;Tmin, NOT('13 Man'!$I157="")),'13 Man'!$I157,0)</f>
        <v>0</v>
      </c>
      <c r="AE157">
        <f>IF(AND('13 Man'!C157&lt;Tmax, NOT('13 Man'!$H157="")),'13 Man'!$H157,4)</f>
        <v>4</v>
      </c>
      <c r="AF157">
        <f>IF(AND('13 Man'!D157&lt;Tmax, NOT('13 Man'!$H157="")),'13 Man'!$H157,4)</f>
        <v>4</v>
      </c>
      <c r="AG157">
        <f>IF(AND('13 Man'!E157&lt;Tmax, NOT('13 Man'!$H157="")),'13 Man'!$H157,4)</f>
        <v>4</v>
      </c>
      <c r="AH157">
        <f>IF(AND('13 Man'!F157&lt;Tmax, NOT('13 Man'!$H157="")),'13 Man'!$H157,4)</f>
        <v>4</v>
      </c>
      <c r="AI157"/>
    </row>
    <row r="158" spans="1:35" s="600" customFormat="1" ht="12.75" customHeight="1" outlineLevel="2" x14ac:dyDescent="0.2">
      <c r="A158" s="601" t="s">
        <v>5956</v>
      </c>
      <c r="B158" s="601" t="s">
        <v>21</v>
      </c>
      <c r="C158" s="597"/>
      <c r="D158" s="1539"/>
      <c r="E158" s="593"/>
      <c r="F158" s="593"/>
      <c r="G158" s="1515">
        <v>2</v>
      </c>
      <c r="H158" s="1515"/>
      <c r="I158" s="1515"/>
      <c r="J158" s="1524" t="s">
        <v>1592</v>
      </c>
      <c r="K158" s="1516"/>
      <c r="L158" s="1552"/>
      <c r="M158" s="598"/>
      <c r="N158" s="599"/>
      <c r="O158" s="599"/>
      <c r="P158" s="599"/>
      <c r="Q158" s="599"/>
      <c r="R158" s="599"/>
      <c r="S158" s="599"/>
      <c r="T158" s="599"/>
      <c r="U158" s="599"/>
      <c r="V158" s="599"/>
      <c r="W158" s="599"/>
      <c r="X158" s="599"/>
      <c r="Y158" s="599"/>
      <c r="Z158" s="599"/>
      <c r="AA158">
        <f>IF(AND('13 Man'!C158&gt;Tmin, NOT('13 Man'!$I158="")),'13 Man'!$I158,0)</f>
        <v>0</v>
      </c>
      <c r="AB158">
        <f>IF(AND('13 Man'!D158&gt;Tmin, NOT('13 Man'!$I158="")),'13 Man'!$I158,0)</f>
        <v>0</v>
      </c>
      <c r="AC158">
        <f>IF(AND('13 Man'!E158&gt;Tmin, NOT('13 Man'!$I158="")),'13 Man'!$I158,0)</f>
        <v>0</v>
      </c>
      <c r="AD158">
        <f>IF(AND('13 Man'!F158&gt;Tmin, NOT('13 Man'!$I158="")),'13 Man'!$I158,0)</f>
        <v>0</v>
      </c>
      <c r="AE158">
        <f>IF(AND('13 Man'!C158&lt;Tmax, NOT('13 Man'!$H158="")),'13 Man'!$H158,4)</f>
        <v>4</v>
      </c>
      <c r="AF158">
        <f>IF(AND('13 Man'!D158&lt;Tmax, NOT('13 Man'!$H158="")),'13 Man'!$H158,4)</f>
        <v>4</v>
      </c>
      <c r="AG158">
        <f>IF(AND('13 Man'!E158&lt;Tmax, NOT('13 Man'!$H158="")),'13 Man'!$H158,4)</f>
        <v>4</v>
      </c>
      <c r="AH158">
        <f>IF(AND('13 Man'!F158&lt;Tmax, NOT('13 Man'!$H158="")),'13 Man'!$H158,4)</f>
        <v>4</v>
      </c>
      <c r="AI158"/>
    </row>
    <row r="159" spans="1:35" s="600" customFormat="1" outlineLevel="2" x14ac:dyDescent="0.2">
      <c r="A159" s="601" t="s">
        <v>5957</v>
      </c>
      <c r="B159" s="601" t="s">
        <v>4516</v>
      </c>
      <c r="C159" s="597"/>
      <c r="D159" s="1539"/>
      <c r="E159" s="593"/>
      <c r="F159" s="593"/>
      <c r="G159" s="1515">
        <v>2</v>
      </c>
      <c r="H159" s="1524"/>
      <c r="I159" s="1524"/>
      <c r="J159" s="1524" t="s">
        <v>1592</v>
      </c>
      <c r="K159" s="1516"/>
      <c r="L159" s="1552"/>
      <c r="M159" s="598"/>
      <c r="N159" s="599"/>
      <c r="O159" s="599"/>
      <c r="P159" s="599"/>
      <c r="Q159" s="599"/>
      <c r="R159" s="599"/>
      <c r="S159" s="599"/>
      <c r="T159" s="599"/>
      <c r="U159" s="599"/>
      <c r="V159" s="599"/>
      <c r="W159" s="599"/>
      <c r="X159" s="599"/>
      <c r="Y159" s="599"/>
      <c r="Z159" s="599"/>
      <c r="AA159">
        <f>IF(AND('13 Man'!C159&gt;Tmin, NOT('13 Man'!$I159="")),'13 Man'!$I159,0)</f>
        <v>0</v>
      </c>
      <c r="AB159">
        <f>IF(AND('13 Man'!D159&gt;Tmin, NOT('13 Man'!$I159="")),'13 Man'!$I159,0)</f>
        <v>0</v>
      </c>
      <c r="AC159">
        <f>IF(AND('13 Man'!E159&gt;Tmin, NOT('13 Man'!$I159="")),'13 Man'!$I159,0)</f>
        <v>0</v>
      </c>
      <c r="AD159">
        <f>IF(AND('13 Man'!F159&gt;Tmin, NOT('13 Man'!$I159="")),'13 Man'!$I159,0)</f>
        <v>0</v>
      </c>
      <c r="AE159">
        <f>IF(AND('13 Man'!C159&lt;Tmax, NOT('13 Man'!$H159="")),'13 Man'!$H159,4)</f>
        <v>4</v>
      </c>
      <c r="AF159">
        <f>IF(AND('13 Man'!D159&lt;Tmax, NOT('13 Man'!$H159="")),'13 Man'!$H159,4)</f>
        <v>4</v>
      </c>
      <c r="AG159">
        <f>IF(AND('13 Man'!E159&lt;Tmax, NOT('13 Man'!$H159="")),'13 Man'!$H159,4)</f>
        <v>4</v>
      </c>
      <c r="AH159">
        <f>IF(AND('13 Man'!F159&lt;Tmax, NOT('13 Man'!$H159="")),'13 Man'!$H159,4)</f>
        <v>4</v>
      </c>
      <c r="AI159"/>
    </row>
    <row r="160" spans="1:35" s="600" customFormat="1" ht="22.5" outlineLevel="2" x14ac:dyDescent="0.2">
      <c r="A160" s="601" t="s">
        <v>5958</v>
      </c>
      <c r="B160" s="601" t="s">
        <v>22</v>
      </c>
      <c r="C160" s="597"/>
      <c r="D160" s="1539"/>
      <c r="E160" s="593"/>
      <c r="F160" s="593"/>
      <c r="G160" s="1515">
        <v>4</v>
      </c>
      <c r="H160" s="1524"/>
      <c r="I160" s="1524"/>
      <c r="J160" s="1524" t="s">
        <v>1592</v>
      </c>
      <c r="K160" s="1516"/>
      <c r="L160" s="1552"/>
      <c r="M160" s="598"/>
      <c r="N160" s="599"/>
      <c r="O160" s="599"/>
      <c r="P160" s="599"/>
      <c r="Q160" s="599"/>
      <c r="R160" s="599"/>
      <c r="S160" s="599"/>
      <c r="T160" s="599"/>
      <c r="U160" s="599"/>
      <c r="V160" s="599"/>
      <c r="W160" s="599"/>
      <c r="X160" s="599"/>
      <c r="Y160" s="599"/>
      <c r="Z160" s="599"/>
      <c r="AA160">
        <f>IF(AND('13 Man'!C160&gt;Tmin, NOT('13 Man'!$I160="")),'13 Man'!$I160,0)</f>
        <v>0</v>
      </c>
      <c r="AB160">
        <f>IF(AND('13 Man'!D160&gt;Tmin, NOT('13 Man'!$I160="")),'13 Man'!$I160,0)</f>
        <v>0</v>
      </c>
      <c r="AC160">
        <f>IF(AND('13 Man'!E160&gt;Tmin, NOT('13 Man'!$I160="")),'13 Man'!$I160,0)</f>
        <v>0</v>
      </c>
      <c r="AD160">
        <f>IF(AND('13 Man'!F160&gt;Tmin, NOT('13 Man'!$I160="")),'13 Man'!$I160,0)</f>
        <v>0</v>
      </c>
      <c r="AE160">
        <f>IF(AND('13 Man'!C160&lt;Tmax, NOT('13 Man'!$H160="")),'13 Man'!$H160,4)</f>
        <v>4</v>
      </c>
      <c r="AF160">
        <f>IF(AND('13 Man'!D160&lt;Tmax, NOT('13 Man'!$H160="")),'13 Man'!$H160,4)</f>
        <v>4</v>
      </c>
      <c r="AG160">
        <f>IF(AND('13 Man'!E160&lt;Tmax, NOT('13 Man'!$H160="")),'13 Man'!$H160,4)</f>
        <v>4</v>
      </c>
      <c r="AH160">
        <f>IF(AND('13 Man'!F160&lt;Tmax, NOT('13 Man'!$H160="")),'13 Man'!$H160,4)</f>
        <v>4</v>
      </c>
      <c r="AI160"/>
    </row>
    <row r="161" spans="1:35" s="600" customFormat="1" ht="22.5" outlineLevel="2" x14ac:dyDescent="0.2">
      <c r="A161" s="601" t="s">
        <v>5959</v>
      </c>
      <c r="B161" s="601" t="s">
        <v>2003</v>
      </c>
      <c r="C161" s="597"/>
      <c r="D161" s="1539"/>
      <c r="E161" s="593"/>
      <c r="F161" s="593"/>
      <c r="G161" s="1515">
        <v>4</v>
      </c>
      <c r="H161" s="1524">
        <v>3</v>
      </c>
      <c r="I161" s="1524"/>
      <c r="J161" s="1524" t="s">
        <v>2329</v>
      </c>
      <c r="K161" s="1516"/>
      <c r="L161" s="1552"/>
      <c r="M161" s="598"/>
      <c r="N161" s="599"/>
      <c r="O161" s="599"/>
      <c r="P161" s="599"/>
      <c r="Q161" s="599"/>
      <c r="R161" s="599"/>
      <c r="S161" s="599"/>
      <c r="T161" s="599"/>
      <c r="U161" s="599"/>
      <c r="V161" s="599"/>
      <c r="W161" s="599"/>
      <c r="X161" s="599"/>
      <c r="Y161" s="599"/>
      <c r="Z161" s="599"/>
      <c r="AA161">
        <f>IF(AND('13 Man'!C161&gt;Tmin, NOT('13 Man'!$I161="")),'13 Man'!$I161,0)</f>
        <v>0</v>
      </c>
      <c r="AB161">
        <f>IF(AND('13 Man'!D161&gt;Tmin, NOT('13 Man'!$I161="")),'13 Man'!$I161,0)</f>
        <v>0</v>
      </c>
      <c r="AC161">
        <f>IF(AND('13 Man'!E161&gt;Tmin, NOT('13 Man'!$I161="")),'13 Man'!$I161,0)</f>
        <v>0</v>
      </c>
      <c r="AD161">
        <f>IF(AND('13 Man'!F161&gt;Tmin, NOT('13 Man'!$I161="")),'13 Man'!$I161,0)</f>
        <v>0</v>
      </c>
      <c r="AE161">
        <f>IF(AND('13 Man'!C161&lt;Tmax, NOT('13 Man'!$H161="")),'13 Man'!$H161,4)</f>
        <v>3</v>
      </c>
      <c r="AF161">
        <f>IF(AND('13 Man'!D161&lt;Tmax, NOT('13 Man'!$H161="")),'13 Man'!$H161,4)</f>
        <v>3</v>
      </c>
      <c r="AG161">
        <f>IF(AND('13 Man'!E161&lt;Tmax, NOT('13 Man'!$H161="")),'13 Man'!$H161,4)</f>
        <v>3</v>
      </c>
      <c r="AH161">
        <f>IF(AND('13 Man'!F161&lt;Tmax, NOT('13 Man'!$H161="")),'13 Man'!$H161,4)</f>
        <v>3</v>
      </c>
      <c r="AI161"/>
    </row>
    <row r="162" spans="1:35" s="600" customFormat="1" outlineLevel="2" x14ac:dyDescent="0.2">
      <c r="A162" s="601" t="s">
        <v>5960</v>
      </c>
      <c r="B162" s="601" t="s">
        <v>4570</v>
      </c>
      <c r="C162" s="597"/>
      <c r="D162" s="1539"/>
      <c r="E162" s="593"/>
      <c r="F162" s="593"/>
      <c r="G162" s="1515">
        <v>2</v>
      </c>
      <c r="H162" s="1515">
        <v>3</v>
      </c>
      <c r="I162" s="1515"/>
      <c r="J162" s="1524" t="s">
        <v>2349</v>
      </c>
      <c r="K162" s="1516"/>
      <c r="L162" s="1552"/>
      <c r="M162" s="598"/>
      <c r="N162" s="599"/>
      <c r="O162" s="599"/>
      <c r="P162" s="599"/>
      <c r="Q162" s="599"/>
      <c r="R162" s="599"/>
      <c r="S162" s="599"/>
      <c r="T162" s="599"/>
      <c r="U162" s="599"/>
      <c r="V162" s="599"/>
      <c r="W162" s="599"/>
      <c r="X162" s="599"/>
      <c r="Y162" s="599"/>
      <c r="Z162" s="599"/>
      <c r="AA162">
        <f>IF(AND('13 Man'!C162&gt;Tmin, NOT('13 Man'!$I162="")),'13 Man'!$I162,0)</f>
        <v>0</v>
      </c>
      <c r="AB162">
        <f>IF(AND('13 Man'!D162&gt;Tmin, NOT('13 Man'!$I162="")),'13 Man'!$I162,0)</f>
        <v>0</v>
      </c>
      <c r="AC162">
        <f>IF(AND('13 Man'!E162&gt;Tmin, NOT('13 Man'!$I162="")),'13 Man'!$I162,0)</f>
        <v>0</v>
      </c>
      <c r="AD162">
        <f>IF(AND('13 Man'!F162&gt;Tmin, NOT('13 Man'!$I162="")),'13 Man'!$I162,0)</f>
        <v>0</v>
      </c>
      <c r="AE162">
        <f>IF(AND('13 Man'!C162&lt;Tmax, NOT('13 Man'!$H162="")),'13 Man'!$H162,4)</f>
        <v>3</v>
      </c>
      <c r="AF162">
        <f>IF(AND('13 Man'!D162&lt;Tmax, NOT('13 Man'!$H162="")),'13 Man'!$H162,4)</f>
        <v>3</v>
      </c>
      <c r="AG162">
        <f>IF(AND('13 Man'!E162&lt;Tmax, NOT('13 Man'!$H162="")),'13 Man'!$H162,4)</f>
        <v>3</v>
      </c>
      <c r="AH162">
        <f>IF(AND('13 Man'!F162&lt;Tmax, NOT('13 Man'!$H162="")),'13 Man'!$H162,4)</f>
        <v>3</v>
      </c>
      <c r="AI162"/>
    </row>
    <row r="163" spans="1:35" s="600" customFormat="1" outlineLevel="2" x14ac:dyDescent="0.2">
      <c r="A163" s="601" t="s">
        <v>5961</v>
      </c>
      <c r="B163" s="601" t="s">
        <v>4571</v>
      </c>
      <c r="C163" s="597"/>
      <c r="D163" s="1539"/>
      <c r="E163" s="593"/>
      <c r="F163" s="593"/>
      <c r="G163" s="1515">
        <v>2</v>
      </c>
      <c r="H163" s="1524">
        <v>3</v>
      </c>
      <c r="I163" s="1524"/>
      <c r="J163" s="1524" t="s">
        <v>2109</v>
      </c>
      <c r="K163" s="1516"/>
      <c r="L163" s="1552"/>
      <c r="M163" s="598"/>
      <c r="N163" s="599"/>
      <c r="O163" s="599"/>
      <c r="P163" s="599"/>
      <c r="Q163" s="599"/>
      <c r="R163" s="599"/>
      <c r="S163" s="599"/>
      <c r="T163" s="599"/>
      <c r="U163" s="599"/>
      <c r="V163" s="599"/>
      <c r="W163" s="599"/>
      <c r="X163" s="599"/>
      <c r="Y163" s="599"/>
      <c r="Z163" s="599"/>
      <c r="AA163">
        <f>IF(AND('13 Man'!C163&gt;Tmin, NOT('13 Man'!$I163="")),'13 Man'!$I163,0)</f>
        <v>0</v>
      </c>
      <c r="AB163">
        <f>IF(AND('13 Man'!D163&gt;Tmin, NOT('13 Man'!$I163="")),'13 Man'!$I163,0)</f>
        <v>0</v>
      </c>
      <c r="AC163">
        <f>IF(AND('13 Man'!E163&gt;Tmin, NOT('13 Man'!$I163="")),'13 Man'!$I163,0)</f>
        <v>0</v>
      </c>
      <c r="AD163">
        <f>IF(AND('13 Man'!F163&gt;Tmin, NOT('13 Man'!$I163="")),'13 Man'!$I163,0)</f>
        <v>0</v>
      </c>
      <c r="AE163">
        <f>IF(AND('13 Man'!C163&lt;Tmax, NOT('13 Man'!$H163="")),'13 Man'!$H163,4)</f>
        <v>3</v>
      </c>
      <c r="AF163">
        <f>IF(AND('13 Man'!D163&lt;Tmax, NOT('13 Man'!$H163="")),'13 Man'!$H163,4)</f>
        <v>3</v>
      </c>
      <c r="AG163">
        <f>IF(AND('13 Man'!E163&lt;Tmax, NOT('13 Man'!$H163="")),'13 Man'!$H163,4)</f>
        <v>3</v>
      </c>
      <c r="AH163">
        <f>IF(AND('13 Man'!F163&lt;Tmax, NOT('13 Man'!$H163="")),'13 Man'!$H163,4)</f>
        <v>3</v>
      </c>
      <c r="AI163"/>
    </row>
    <row r="164" spans="1:35" s="600" customFormat="1" outlineLevel="2" x14ac:dyDescent="0.2">
      <c r="A164" s="595" t="s">
        <v>1570</v>
      </c>
      <c r="B164" s="596" t="s">
        <v>5177</v>
      </c>
      <c r="C164" s="597"/>
      <c r="D164" s="1539"/>
      <c r="E164" s="593"/>
      <c r="F164" s="593"/>
      <c r="G164" s="1515"/>
      <c r="H164" s="1515"/>
      <c r="I164" s="1515"/>
      <c r="J164" s="1524"/>
      <c r="K164" s="1516"/>
      <c r="L164" s="1552"/>
      <c r="M164" s="598"/>
      <c r="N164" s="599"/>
      <c r="O164" s="599"/>
      <c r="P164" s="599"/>
      <c r="Q164" s="599"/>
      <c r="R164" s="599"/>
      <c r="S164" s="599"/>
      <c r="T164" s="599"/>
      <c r="U164" s="599"/>
      <c r="V164" s="599"/>
      <c r="W164" s="599"/>
      <c r="X164" s="599"/>
      <c r="Y164" s="599"/>
      <c r="Z164" s="599"/>
      <c r="AA164"/>
      <c r="AB164"/>
      <c r="AC164"/>
      <c r="AD164"/>
      <c r="AE164"/>
      <c r="AF164"/>
      <c r="AG164"/>
      <c r="AH164"/>
      <c r="AI164"/>
    </row>
    <row r="165" spans="1:35" s="600" customFormat="1" ht="12.75" customHeight="1" outlineLevel="2" x14ac:dyDescent="0.2">
      <c r="A165" s="601" t="s">
        <v>1631</v>
      </c>
      <c r="B165" s="601" t="s">
        <v>2954</v>
      </c>
      <c r="C165" s="597"/>
      <c r="D165" s="1539"/>
      <c r="E165" s="593"/>
      <c r="F165" s="593"/>
      <c r="G165" s="1515">
        <v>2</v>
      </c>
      <c r="H165" s="1524"/>
      <c r="I165" s="1524"/>
      <c r="J165" s="1524" t="s">
        <v>2109</v>
      </c>
      <c r="K165" s="1516"/>
      <c r="L165" s="1552"/>
      <c r="M165" s="598"/>
      <c r="N165" s="599"/>
      <c r="O165" s="599"/>
      <c r="P165" s="599"/>
      <c r="Q165" s="599"/>
      <c r="R165" s="599"/>
      <c r="S165" s="599"/>
      <c r="T165" s="599"/>
      <c r="U165" s="599"/>
      <c r="V165" s="599"/>
      <c r="W165" s="599"/>
      <c r="X165" s="599"/>
      <c r="Y165" s="599"/>
      <c r="Z165" s="599"/>
      <c r="AA165">
        <f>IF(AND('13 Man'!C165&gt;Tmin, NOT('13 Man'!$I165="")),'13 Man'!$I165,0)</f>
        <v>0</v>
      </c>
      <c r="AB165">
        <f>IF(AND('13 Man'!D165&gt;Tmin, NOT('13 Man'!$I165="")),'13 Man'!$I165,0)</f>
        <v>0</v>
      </c>
      <c r="AC165">
        <f>IF(AND('13 Man'!E165&gt;Tmin, NOT('13 Man'!$I165="")),'13 Man'!$I165,0)</f>
        <v>0</v>
      </c>
      <c r="AD165">
        <f>IF(AND('13 Man'!F165&gt;Tmin, NOT('13 Man'!$I165="")),'13 Man'!$I165,0)</f>
        <v>0</v>
      </c>
      <c r="AE165">
        <f>IF(AND('13 Man'!C165&lt;Tmax, NOT('13 Man'!$H165="")),'13 Man'!$H165,4)</f>
        <v>4</v>
      </c>
      <c r="AF165">
        <f>IF(AND('13 Man'!D165&lt;Tmax, NOT('13 Man'!$H165="")),'13 Man'!$H165,4)</f>
        <v>4</v>
      </c>
      <c r="AG165">
        <f>IF(AND('13 Man'!E165&lt;Tmax, NOT('13 Man'!$H165="")),'13 Man'!$H165,4)</f>
        <v>4</v>
      </c>
      <c r="AH165">
        <f>IF(AND('13 Man'!F165&lt;Tmax, NOT('13 Man'!$H165="")),'13 Man'!$H165,4)</f>
        <v>4</v>
      </c>
      <c r="AI165"/>
    </row>
    <row r="166" spans="1:35" s="600" customFormat="1" outlineLevel="2" x14ac:dyDescent="0.2">
      <c r="A166" s="601" t="s">
        <v>1629</v>
      </c>
      <c r="B166" s="601" t="s">
        <v>126</v>
      </c>
      <c r="C166" s="597"/>
      <c r="D166" s="1539"/>
      <c r="E166" s="593"/>
      <c r="F166" s="593"/>
      <c r="G166" s="1515">
        <v>4</v>
      </c>
      <c r="H166" s="1524">
        <v>3</v>
      </c>
      <c r="I166" s="1524"/>
      <c r="J166" s="1524" t="s">
        <v>1592</v>
      </c>
      <c r="K166" s="1516"/>
      <c r="L166" s="1552"/>
      <c r="M166" s="598"/>
      <c r="N166" s="599"/>
      <c r="O166" s="599"/>
      <c r="P166" s="599"/>
      <c r="Q166" s="599"/>
      <c r="R166" s="599"/>
      <c r="S166" s="599"/>
      <c r="T166" s="599"/>
      <c r="U166" s="599"/>
      <c r="V166" s="599"/>
      <c r="W166" s="599"/>
      <c r="X166" s="599"/>
      <c r="Y166" s="599"/>
      <c r="Z166" s="599"/>
      <c r="AA166">
        <f>IF(AND('13 Man'!C166&gt;Tmin, NOT('13 Man'!$I166="")),'13 Man'!$I166,0)</f>
        <v>0</v>
      </c>
      <c r="AB166">
        <f>IF(AND('13 Man'!D166&gt;Tmin, NOT('13 Man'!$I166="")),'13 Man'!$I166,0)</f>
        <v>0</v>
      </c>
      <c r="AC166">
        <f>IF(AND('13 Man'!E166&gt;Tmin, NOT('13 Man'!$I166="")),'13 Man'!$I166,0)</f>
        <v>0</v>
      </c>
      <c r="AD166">
        <f>IF(AND('13 Man'!F166&gt;Tmin, NOT('13 Man'!$I166="")),'13 Man'!$I166,0)</f>
        <v>0</v>
      </c>
      <c r="AE166">
        <f>IF(AND('13 Man'!C166&lt;Tmax, NOT('13 Man'!$H166="")),'13 Man'!$H166,4)</f>
        <v>3</v>
      </c>
      <c r="AF166">
        <f>IF(AND('13 Man'!D166&lt;Tmax, NOT('13 Man'!$H166="")),'13 Man'!$H166,4)</f>
        <v>3</v>
      </c>
      <c r="AG166">
        <f>IF(AND('13 Man'!E166&lt;Tmax, NOT('13 Man'!$H166="")),'13 Man'!$H166,4)</f>
        <v>3</v>
      </c>
      <c r="AH166">
        <f>IF(AND('13 Man'!F166&lt;Tmax, NOT('13 Man'!$H166="")),'13 Man'!$H166,4)</f>
        <v>3</v>
      </c>
      <c r="AI166"/>
    </row>
    <row r="167" spans="1:35" s="600" customFormat="1" ht="22.5" outlineLevel="2" x14ac:dyDescent="0.2">
      <c r="A167" s="601" t="s">
        <v>1630</v>
      </c>
      <c r="B167" s="601" t="s">
        <v>2955</v>
      </c>
      <c r="C167" s="597"/>
      <c r="D167" s="1539"/>
      <c r="E167" s="593"/>
      <c r="F167" s="593"/>
      <c r="G167" s="1515">
        <v>1</v>
      </c>
      <c r="H167" s="1524">
        <v>3</v>
      </c>
      <c r="I167" s="1524"/>
      <c r="J167" s="1524" t="s">
        <v>1592</v>
      </c>
      <c r="K167" s="1516"/>
      <c r="L167" s="1552"/>
      <c r="M167" s="598"/>
      <c r="N167" s="599"/>
      <c r="O167" s="599"/>
      <c r="P167" s="599"/>
      <c r="Q167" s="599"/>
      <c r="R167" s="599"/>
      <c r="S167" s="599"/>
      <c r="T167" s="599"/>
      <c r="U167" s="599"/>
      <c r="V167" s="599"/>
      <c r="W167" s="599"/>
      <c r="X167" s="599"/>
      <c r="Y167" s="599"/>
      <c r="Z167" s="599"/>
      <c r="AA167">
        <f>IF(AND('13 Man'!C167&gt;Tmin, NOT('13 Man'!$I167="")),'13 Man'!$I167,0)</f>
        <v>0</v>
      </c>
      <c r="AB167">
        <f>IF(AND('13 Man'!D167&gt;Tmin, NOT('13 Man'!$I167="")),'13 Man'!$I167,0)</f>
        <v>0</v>
      </c>
      <c r="AC167">
        <f>IF(AND('13 Man'!E167&gt;Tmin, NOT('13 Man'!$I167="")),'13 Man'!$I167,0)</f>
        <v>0</v>
      </c>
      <c r="AD167">
        <f>IF(AND('13 Man'!F167&gt;Tmin, NOT('13 Man'!$I167="")),'13 Man'!$I167,0)</f>
        <v>0</v>
      </c>
      <c r="AE167">
        <f>IF(AND('13 Man'!C167&lt;Tmax, NOT('13 Man'!$H167="")),'13 Man'!$H167,4)</f>
        <v>3</v>
      </c>
      <c r="AF167">
        <f>IF(AND('13 Man'!D167&lt;Tmax, NOT('13 Man'!$H167="")),'13 Man'!$H167,4)</f>
        <v>3</v>
      </c>
      <c r="AG167">
        <f>IF(AND('13 Man'!E167&lt;Tmax, NOT('13 Man'!$H167="")),'13 Man'!$H167,4)</f>
        <v>3</v>
      </c>
      <c r="AH167">
        <f>IF(AND('13 Man'!F167&lt;Tmax, NOT('13 Man'!$H167="")),'13 Man'!$H167,4)</f>
        <v>3</v>
      </c>
      <c r="AI167"/>
    </row>
    <row r="168" spans="1:35" s="600" customFormat="1" outlineLevel="1" x14ac:dyDescent="0.2">
      <c r="A168" s="595" t="s">
        <v>1569</v>
      </c>
      <c r="B168" s="596" t="s">
        <v>1686</v>
      </c>
      <c r="C168" s="597"/>
      <c r="D168" s="1539"/>
      <c r="E168" s="593"/>
      <c r="F168" s="593"/>
      <c r="G168" s="1515"/>
      <c r="H168" s="1515"/>
      <c r="I168" s="1515"/>
      <c r="J168" s="1524"/>
      <c r="K168" s="1516"/>
      <c r="L168" s="1552"/>
      <c r="M168" s="598"/>
      <c r="N168" s="599"/>
      <c r="O168" s="599"/>
      <c r="P168" s="599"/>
      <c r="Q168" s="599"/>
      <c r="R168" s="599"/>
      <c r="S168" s="599"/>
      <c r="T168" s="599"/>
      <c r="U168" s="599"/>
      <c r="V168" s="599"/>
      <c r="W168" s="599"/>
      <c r="X168" s="599"/>
      <c r="Y168" s="599"/>
      <c r="Z168" s="599"/>
      <c r="AA168"/>
      <c r="AB168"/>
      <c r="AC168"/>
      <c r="AD168"/>
      <c r="AE168"/>
      <c r="AF168"/>
      <c r="AG168"/>
      <c r="AH168"/>
      <c r="AI168"/>
    </row>
    <row r="169" spans="1:35" s="600" customFormat="1" outlineLevel="2" x14ac:dyDescent="0.2">
      <c r="A169" s="601" t="s">
        <v>1566</v>
      </c>
      <c r="B169" s="601" t="s">
        <v>1687</v>
      </c>
      <c r="C169" s="597"/>
      <c r="D169" s="1539"/>
      <c r="E169" s="593"/>
      <c r="F169" s="593"/>
      <c r="G169" s="1515">
        <v>4</v>
      </c>
      <c r="H169" s="1524">
        <v>3</v>
      </c>
      <c r="I169" s="1524"/>
      <c r="J169" s="1524" t="s">
        <v>2109</v>
      </c>
      <c r="K169" s="1516"/>
      <c r="L169" s="1552"/>
      <c r="M169" s="598"/>
      <c r="N169" s="599"/>
      <c r="O169" s="599"/>
      <c r="P169" s="599"/>
      <c r="Q169" s="599"/>
      <c r="R169" s="599"/>
      <c r="S169" s="599"/>
      <c r="T169" s="599"/>
      <c r="U169" s="599"/>
      <c r="V169" s="599"/>
      <c r="W169" s="599"/>
      <c r="X169" s="599"/>
      <c r="Y169" s="599"/>
      <c r="Z169" s="599"/>
      <c r="AA169">
        <f>IF(AND('13 Man'!C169&gt;Tmin, NOT('13 Man'!$I169="")),'13 Man'!$I169,0)</f>
        <v>0</v>
      </c>
      <c r="AB169">
        <f>IF(AND('13 Man'!D169&gt;Tmin, NOT('13 Man'!$I169="")),'13 Man'!$I169,0)</f>
        <v>0</v>
      </c>
      <c r="AC169">
        <f>IF(AND('13 Man'!E169&gt;Tmin, NOT('13 Man'!$I169="")),'13 Man'!$I169,0)</f>
        <v>0</v>
      </c>
      <c r="AD169">
        <f>IF(AND('13 Man'!F169&gt;Tmin, NOT('13 Man'!$I169="")),'13 Man'!$I169,0)</f>
        <v>0</v>
      </c>
      <c r="AE169">
        <f>IF(AND('13 Man'!C169&lt;Tmax, NOT('13 Man'!$H169="")),'13 Man'!$H169,4)</f>
        <v>3</v>
      </c>
      <c r="AF169">
        <f>IF(AND('13 Man'!D169&lt;Tmax, NOT('13 Man'!$H169="")),'13 Man'!$H169,4)</f>
        <v>3</v>
      </c>
      <c r="AG169">
        <f>IF(AND('13 Man'!E169&lt;Tmax, NOT('13 Man'!$H169="")),'13 Man'!$H169,4)</f>
        <v>3</v>
      </c>
      <c r="AH169">
        <f>IF(AND('13 Man'!F169&lt;Tmax, NOT('13 Man'!$H169="")),'13 Man'!$H169,4)</f>
        <v>3</v>
      </c>
      <c r="AI169"/>
    </row>
    <row r="170" spans="1:35" s="600" customFormat="1" outlineLevel="2" x14ac:dyDescent="0.2">
      <c r="A170" s="601" t="s">
        <v>1567</v>
      </c>
      <c r="B170" s="601" t="s">
        <v>2614</v>
      </c>
      <c r="C170" s="597"/>
      <c r="D170" s="1539"/>
      <c r="E170" s="593"/>
      <c r="F170" s="593"/>
      <c r="G170" s="1515">
        <v>4</v>
      </c>
      <c r="H170" s="1524">
        <v>3</v>
      </c>
      <c r="I170" s="1524"/>
      <c r="J170" s="1524" t="s">
        <v>1592</v>
      </c>
      <c r="K170" s="1516"/>
      <c r="L170" s="1552"/>
      <c r="M170" s="598"/>
      <c r="N170" s="599"/>
      <c r="O170" s="599"/>
      <c r="P170" s="599"/>
      <c r="Q170" s="599"/>
      <c r="R170" s="599"/>
      <c r="S170" s="599"/>
      <c r="T170" s="599"/>
      <c r="U170" s="599"/>
      <c r="V170" s="599"/>
      <c r="W170" s="599"/>
      <c r="X170" s="599"/>
      <c r="Y170" s="599"/>
      <c r="Z170" s="599"/>
      <c r="AA170">
        <f>IF(AND('13 Man'!C170&gt;Tmin, NOT('13 Man'!$I170="")),'13 Man'!$I170,0)</f>
        <v>0</v>
      </c>
      <c r="AB170">
        <f>IF(AND('13 Man'!D170&gt;Tmin, NOT('13 Man'!$I170="")),'13 Man'!$I170,0)</f>
        <v>0</v>
      </c>
      <c r="AC170">
        <f>IF(AND('13 Man'!E170&gt;Tmin, NOT('13 Man'!$I170="")),'13 Man'!$I170,0)</f>
        <v>0</v>
      </c>
      <c r="AD170">
        <f>IF(AND('13 Man'!F170&gt;Tmin, NOT('13 Man'!$I170="")),'13 Man'!$I170,0)</f>
        <v>0</v>
      </c>
      <c r="AE170">
        <f>IF(AND('13 Man'!C170&lt;Tmax, NOT('13 Man'!$H170="")),'13 Man'!$H170,4)</f>
        <v>3</v>
      </c>
      <c r="AF170">
        <f>IF(AND('13 Man'!D170&lt;Tmax, NOT('13 Man'!$H170="")),'13 Man'!$H170,4)</f>
        <v>3</v>
      </c>
      <c r="AG170">
        <f>IF(AND('13 Man'!E170&lt;Tmax, NOT('13 Man'!$H170="")),'13 Man'!$H170,4)</f>
        <v>3</v>
      </c>
      <c r="AH170">
        <f>IF(AND('13 Man'!F170&lt;Tmax, NOT('13 Man'!$H170="")),'13 Man'!$H170,4)</f>
        <v>3</v>
      </c>
      <c r="AI170"/>
    </row>
    <row r="171" spans="1:35" s="600" customFormat="1" outlineLevel="2" x14ac:dyDescent="0.2">
      <c r="A171" s="601" t="s">
        <v>1568</v>
      </c>
      <c r="B171" s="601" t="s">
        <v>3105</v>
      </c>
      <c r="C171" s="597"/>
      <c r="D171" s="1539"/>
      <c r="E171" s="593"/>
      <c r="F171" s="593"/>
      <c r="G171" s="1515">
        <v>2</v>
      </c>
      <c r="H171" s="1524">
        <v>3</v>
      </c>
      <c r="I171" s="1524"/>
      <c r="J171" s="1524" t="s">
        <v>1592</v>
      </c>
      <c r="K171" s="1516"/>
      <c r="L171" s="1552"/>
      <c r="M171" s="598"/>
      <c r="N171" s="599"/>
      <c r="O171" s="599"/>
      <c r="P171" s="599"/>
      <c r="Q171" s="599"/>
      <c r="R171" s="599"/>
      <c r="S171" s="599"/>
      <c r="T171" s="599"/>
      <c r="U171" s="599"/>
      <c r="V171" s="599"/>
      <c r="W171" s="599"/>
      <c r="X171" s="599"/>
      <c r="Y171" s="599"/>
      <c r="Z171" s="599"/>
      <c r="AA171">
        <f>IF(AND('13 Man'!C171&gt;Tmin, NOT('13 Man'!$I171="")),'13 Man'!$I171,0)</f>
        <v>0</v>
      </c>
      <c r="AB171">
        <f>IF(AND('13 Man'!D171&gt;Tmin, NOT('13 Man'!$I171="")),'13 Man'!$I171,0)</f>
        <v>0</v>
      </c>
      <c r="AC171">
        <f>IF(AND('13 Man'!E171&gt;Tmin, NOT('13 Man'!$I171="")),'13 Man'!$I171,0)</f>
        <v>0</v>
      </c>
      <c r="AD171">
        <f>IF(AND('13 Man'!F171&gt;Tmin, NOT('13 Man'!$I171="")),'13 Man'!$I171,0)</f>
        <v>0</v>
      </c>
      <c r="AE171">
        <f>IF(AND('13 Man'!C171&lt;Tmax, NOT('13 Man'!$H171="")),'13 Man'!$H171,4)</f>
        <v>3</v>
      </c>
      <c r="AF171">
        <f>IF(AND('13 Man'!D171&lt;Tmax, NOT('13 Man'!$H171="")),'13 Man'!$H171,4)</f>
        <v>3</v>
      </c>
      <c r="AG171">
        <f>IF(AND('13 Man'!E171&lt;Tmax, NOT('13 Man'!$H171="")),'13 Man'!$H171,4)</f>
        <v>3</v>
      </c>
      <c r="AH171">
        <f>IF(AND('13 Man'!F171&lt;Tmax, NOT('13 Man'!$H171="")),'13 Man'!$H171,4)</f>
        <v>3</v>
      </c>
      <c r="AI171"/>
    </row>
    <row r="172" spans="1:35" x14ac:dyDescent="0.2">
      <c r="A172" s="602" t="s">
        <v>1083</v>
      </c>
      <c r="B172" s="602" t="s">
        <v>1571</v>
      </c>
      <c r="C172" s="597"/>
      <c r="D172" s="1539"/>
      <c r="E172" s="593"/>
      <c r="F172" s="593"/>
      <c r="G172" s="1515"/>
      <c r="H172" s="1515"/>
      <c r="I172" s="1515"/>
      <c r="J172" s="1515"/>
      <c r="K172" s="1516"/>
      <c r="L172" s="1516"/>
      <c r="M172" s="594"/>
      <c r="AA172"/>
      <c r="AB172"/>
      <c r="AC172"/>
      <c r="AD172"/>
      <c r="AE172"/>
      <c r="AF172"/>
      <c r="AG172"/>
      <c r="AH172"/>
      <c r="AI172"/>
    </row>
    <row r="173" spans="1:35" s="600" customFormat="1" outlineLevel="1" x14ac:dyDescent="0.2">
      <c r="A173" s="595" t="s">
        <v>1084</v>
      </c>
      <c r="B173" s="596" t="s">
        <v>1963</v>
      </c>
      <c r="C173" s="597"/>
      <c r="D173" s="1539"/>
      <c r="E173" s="593"/>
      <c r="F173" s="593"/>
      <c r="G173" s="1515"/>
      <c r="H173" s="1515"/>
      <c r="I173" s="1515"/>
      <c r="J173" s="1515"/>
      <c r="K173" s="1516"/>
      <c r="L173" s="1516"/>
      <c r="M173" s="598"/>
      <c r="N173" s="599"/>
      <c r="O173" s="599"/>
      <c r="P173" s="599"/>
      <c r="Q173" s="599"/>
      <c r="R173" s="599"/>
      <c r="S173" s="599"/>
      <c r="T173" s="599"/>
      <c r="U173" s="599"/>
      <c r="V173" s="599"/>
      <c r="W173" s="599"/>
      <c r="X173" s="599"/>
      <c r="Y173" s="599"/>
      <c r="Z173" s="599"/>
      <c r="AA173"/>
      <c r="AB173"/>
      <c r="AC173"/>
      <c r="AD173"/>
      <c r="AE173"/>
      <c r="AF173"/>
      <c r="AG173"/>
      <c r="AH173"/>
      <c r="AI173"/>
    </row>
    <row r="174" spans="1:35" ht="22.5" outlineLevel="2" x14ac:dyDescent="0.2">
      <c r="A174" s="601" t="s">
        <v>1085</v>
      </c>
      <c r="B174" s="601" t="s">
        <v>1697</v>
      </c>
      <c r="C174" s="597"/>
      <c r="D174" s="1539"/>
      <c r="E174" s="593"/>
      <c r="F174" s="593"/>
      <c r="G174" s="1515">
        <v>2</v>
      </c>
      <c r="H174" s="1524"/>
      <c r="I174" s="1524"/>
      <c r="J174" s="1524" t="s">
        <v>1592</v>
      </c>
      <c r="K174" s="1516"/>
      <c r="L174" s="1552"/>
      <c r="M174" s="594"/>
      <c r="AA174">
        <f>IF(AND('13 Man'!C174&gt;Tmin, NOT('13 Man'!$I174="")),'13 Man'!$I174,0)</f>
        <v>0</v>
      </c>
      <c r="AB174">
        <f>IF(AND('13 Man'!D174&gt;Tmin, NOT('13 Man'!$I174="")),'13 Man'!$I174,0)</f>
        <v>0</v>
      </c>
      <c r="AC174">
        <f>IF(AND('13 Man'!E174&gt;Tmin, NOT('13 Man'!$I174="")),'13 Man'!$I174,0)</f>
        <v>0</v>
      </c>
      <c r="AD174">
        <f>IF(AND('13 Man'!F174&gt;Tmin, NOT('13 Man'!$I174="")),'13 Man'!$I174,0)</f>
        <v>0</v>
      </c>
      <c r="AE174">
        <f>IF(AND('13 Man'!C174&lt;Tmax, NOT('13 Man'!$H174="")),'13 Man'!$H174,4)</f>
        <v>4</v>
      </c>
      <c r="AF174">
        <f>IF(AND('13 Man'!D174&lt;Tmax, NOT('13 Man'!$H174="")),'13 Man'!$H174,4)</f>
        <v>4</v>
      </c>
      <c r="AG174">
        <f>IF(AND('13 Man'!E174&lt;Tmax, NOT('13 Man'!$H174="")),'13 Man'!$H174,4)</f>
        <v>4</v>
      </c>
      <c r="AH174">
        <f>IF(AND('13 Man'!F174&lt;Tmax, NOT('13 Man'!$H174="")),'13 Man'!$H174,4)</f>
        <v>4</v>
      </c>
      <c r="AI174"/>
    </row>
    <row r="175" spans="1:35" outlineLevel="2" x14ac:dyDescent="0.2">
      <c r="A175" s="601" t="s">
        <v>1086</v>
      </c>
      <c r="B175" s="601" t="s">
        <v>6225</v>
      </c>
      <c r="C175" s="597"/>
      <c r="D175" s="1539"/>
      <c r="E175" s="593"/>
      <c r="F175" s="593"/>
      <c r="G175" s="1515">
        <v>2</v>
      </c>
      <c r="H175" s="1524"/>
      <c r="I175" s="1524"/>
      <c r="J175" s="1524" t="s">
        <v>1592</v>
      </c>
      <c r="K175" s="1516"/>
      <c r="L175" s="1552"/>
      <c r="M175" s="594"/>
      <c r="AA175">
        <f>IF(AND('13 Man'!C175&gt;Tmin, NOT('13 Man'!$I175="")),'13 Man'!$I175,0)</f>
        <v>0</v>
      </c>
      <c r="AB175">
        <f>IF(AND('13 Man'!D175&gt;Tmin, NOT('13 Man'!$I175="")),'13 Man'!$I175,0)</f>
        <v>0</v>
      </c>
      <c r="AC175">
        <f>IF(AND('13 Man'!E175&gt;Tmin, NOT('13 Man'!$I175="")),'13 Man'!$I175,0)</f>
        <v>0</v>
      </c>
      <c r="AD175">
        <f>IF(AND('13 Man'!F175&gt;Tmin, NOT('13 Man'!$I175="")),'13 Man'!$I175,0)</f>
        <v>0</v>
      </c>
      <c r="AE175">
        <f>IF(AND('13 Man'!C175&lt;Tmax, NOT('13 Man'!$H175="")),'13 Man'!$H175,4)</f>
        <v>4</v>
      </c>
      <c r="AF175">
        <f>IF(AND('13 Man'!D175&lt;Tmax, NOT('13 Man'!$H175="")),'13 Man'!$H175,4)</f>
        <v>4</v>
      </c>
      <c r="AG175">
        <f>IF(AND('13 Man'!E175&lt;Tmax, NOT('13 Man'!$H175="")),'13 Man'!$H175,4)</f>
        <v>4</v>
      </c>
      <c r="AH175">
        <f>IF(AND('13 Man'!F175&lt;Tmax, NOT('13 Man'!$H175="")),'13 Man'!$H175,4)</f>
        <v>4</v>
      </c>
      <c r="AI175"/>
    </row>
    <row r="176" spans="1:35" s="600" customFormat="1" ht="12.75" customHeight="1" outlineLevel="2" x14ac:dyDescent="0.2">
      <c r="A176" s="601" t="s">
        <v>1087</v>
      </c>
      <c r="B176" s="601" t="s">
        <v>1112</v>
      </c>
      <c r="C176" s="597"/>
      <c r="D176" s="1539"/>
      <c r="E176" s="593"/>
      <c r="F176" s="593"/>
      <c r="G176" s="1515">
        <v>4</v>
      </c>
      <c r="H176" s="1515"/>
      <c r="I176" s="1515"/>
      <c r="J176" s="1515" t="s">
        <v>4246</v>
      </c>
      <c r="K176" s="1516"/>
      <c r="L176" s="1516"/>
      <c r="M176" s="598"/>
      <c r="N176" s="599"/>
      <c r="O176" s="599"/>
      <c r="P176" s="599"/>
      <c r="Q176" s="599"/>
      <c r="R176" s="599"/>
      <c r="S176" s="599"/>
      <c r="T176" s="599"/>
      <c r="U176" s="599"/>
      <c r="V176" s="599"/>
      <c r="W176" s="599"/>
      <c r="X176" s="599"/>
      <c r="Y176" s="599"/>
      <c r="Z176" s="599"/>
      <c r="AA176">
        <f>IF(AND('13 Man'!C176&gt;Tmin, NOT('13 Man'!$I176="")),'13 Man'!$I176,0)</f>
        <v>0</v>
      </c>
      <c r="AB176">
        <f>IF(AND('13 Man'!D176&gt;Tmin, NOT('13 Man'!$I176="")),'13 Man'!$I176,0)</f>
        <v>0</v>
      </c>
      <c r="AC176">
        <f>IF(AND('13 Man'!E176&gt;Tmin, NOT('13 Man'!$I176="")),'13 Man'!$I176,0)</f>
        <v>0</v>
      </c>
      <c r="AD176">
        <f>IF(AND('13 Man'!F176&gt;Tmin, NOT('13 Man'!$I176="")),'13 Man'!$I176,0)</f>
        <v>0</v>
      </c>
      <c r="AE176">
        <f>IF(AND('13 Man'!C176&lt;Tmax, NOT('13 Man'!$H176="")),'13 Man'!$H176,4)</f>
        <v>4</v>
      </c>
      <c r="AF176">
        <f>IF(AND('13 Man'!D176&lt;Tmax, NOT('13 Man'!$H176="")),'13 Man'!$H176,4)</f>
        <v>4</v>
      </c>
      <c r="AG176">
        <f>IF(AND('13 Man'!E176&lt;Tmax, NOT('13 Man'!$H176="")),'13 Man'!$H176,4)</f>
        <v>4</v>
      </c>
      <c r="AH176">
        <f>IF(AND('13 Man'!F176&lt;Tmax, NOT('13 Man'!$H176="")),'13 Man'!$H176,4)</f>
        <v>4</v>
      </c>
      <c r="AI176"/>
    </row>
    <row r="177" spans="1:35" s="600" customFormat="1" outlineLevel="2" x14ac:dyDescent="0.2">
      <c r="A177" s="601" t="s">
        <v>1088</v>
      </c>
      <c r="B177" s="601" t="s">
        <v>3694</v>
      </c>
      <c r="C177" s="597"/>
      <c r="D177" s="1539"/>
      <c r="E177" s="593"/>
      <c r="F177" s="593"/>
      <c r="G177" s="1515">
        <v>2</v>
      </c>
      <c r="H177" s="1524"/>
      <c r="I177" s="1524"/>
      <c r="J177" s="1515" t="s">
        <v>1592</v>
      </c>
      <c r="K177" s="1516"/>
      <c r="L177" s="1516"/>
      <c r="M177" s="598"/>
      <c r="N177" s="599"/>
      <c r="O177" s="599"/>
      <c r="P177" s="599"/>
      <c r="Q177" s="599"/>
      <c r="R177" s="599"/>
      <c r="S177" s="599"/>
      <c r="T177" s="599"/>
      <c r="U177" s="599"/>
      <c r="V177" s="599"/>
      <c r="W177" s="599"/>
      <c r="X177" s="599"/>
      <c r="Y177" s="599"/>
      <c r="Z177" s="599"/>
      <c r="AA177">
        <f>IF(AND('13 Man'!C177&gt;Tmin, NOT('13 Man'!$I177="")),'13 Man'!$I177,0)</f>
        <v>0</v>
      </c>
      <c r="AB177">
        <f>IF(AND('13 Man'!D177&gt;Tmin, NOT('13 Man'!$I177="")),'13 Man'!$I177,0)</f>
        <v>0</v>
      </c>
      <c r="AC177">
        <f>IF(AND('13 Man'!E177&gt;Tmin, NOT('13 Man'!$I177="")),'13 Man'!$I177,0)</f>
        <v>0</v>
      </c>
      <c r="AD177">
        <f>IF(AND('13 Man'!F177&gt;Tmin, NOT('13 Man'!$I177="")),'13 Man'!$I177,0)</f>
        <v>0</v>
      </c>
      <c r="AE177">
        <f>IF(AND('13 Man'!C177&lt;Tmax, NOT('13 Man'!$H177="")),'13 Man'!$H177,4)</f>
        <v>4</v>
      </c>
      <c r="AF177">
        <f>IF(AND('13 Man'!D177&lt;Tmax, NOT('13 Man'!$H177="")),'13 Man'!$H177,4)</f>
        <v>4</v>
      </c>
      <c r="AG177">
        <f>IF(AND('13 Man'!E177&lt;Tmax, NOT('13 Man'!$H177="")),'13 Man'!$H177,4)</f>
        <v>4</v>
      </c>
      <c r="AH177">
        <f>IF(AND('13 Man'!F177&lt;Tmax, NOT('13 Man'!$H177="")),'13 Man'!$H177,4)</f>
        <v>4</v>
      </c>
      <c r="AI177"/>
    </row>
    <row r="178" spans="1:35" s="600" customFormat="1" ht="22.5" outlineLevel="2" x14ac:dyDescent="0.2">
      <c r="A178" s="601" t="s">
        <v>1089</v>
      </c>
      <c r="B178" s="601" t="s">
        <v>2094</v>
      </c>
      <c r="C178" s="597"/>
      <c r="D178" s="1539"/>
      <c r="E178" s="593"/>
      <c r="F178" s="593"/>
      <c r="G178" s="1515">
        <v>4</v>
      </c>
      <c r="H178" s="1524">
        <v>3</v>
      </c>
      <c r="I178" s="1524"/>
      <c r="J178" s="1524" t="s">
        <v>1592</v>
      </c>
      <c r="K178" s="1516"/>
      <c r="L178" s="1552"/>
      <c r="M178" s="598"/>
      <c r="N178" s="599"/>
      <c r="O178" s="599"/>
      <c r="P178" s="599"/>
      <c r="Q178" s="599"/>
      <c r="R178" s="599"/>
      <c r="S178" s="599"/>
      <c r="T178" s="599"/>
      <c r="U178" s="599"/>
      <c r="V178" s="599"/>
      <c r="W178" s="599"/>
      <c r="X178" s="599"/>
      <c r="Y178" s="599"/>
      <c r="Z178" s="599"/>
      <c r="AA178">
        <f>IF(AND('13 Man'!C178&gt;Tmin, NOT('13 Man'!$I178="")),'13 Man'!$I178,0)</f>
        <v>0</v>
      </c>
      <c r="AB178">
        <f>IF(AND('13 Man'!D178&gt;Tmin, NOT('13 Man'!$I178="")),'13 Man'!$I178,0)</f>
        <v>0</v>
      </c>
      <c r="AC178">
        <f>IF(AND('13 Man'!E178&gt;Tmin, NOT('13 Man'!$I178="")),'13 Man'!$I178,0)</f>
        <v>0</v>
      </c>
      <c r="AD178">
        <f>IF(AND('13 Man'!F178&gt;Tmin, NOT('13 Man'!$I178="")),'13 Man'!$I178,0)</f>
        <v>0</v>
      </c>
      <c r="AE178">
        <f>IF(AND('13 Man'!C178&lt;Tmax, NOT('13 Man'!$H178="")),'13 Man'!$H178,4)</f>
        <v>3</v>
      </c>
      <c r="AF178">
        <f>IF(AND('13 Man'!D178&lt;Tmax, NOT('13 Man'!$H178="")),'13 Man'!$H178,4)</f>
        <v>3</v>
      </c>
      <c r="AG178">
        <f>IF(AND('13 Man'!E178&lt;Tmax, NOT('13 Man'!$H178="")),'13 Man'!$H178,4)</f>
        <v>3</v>
      </c>
      <c r="AH178">
        <f>IF(AND('13 Man'!F178&lt;Tmax, NOT('13 Man'!$H178="")),'13 Man'!$H178,4)</f>
        <v>3</v>
      </c>
      <c r="AI178"/>
    </row>
    <row r="179" spans="1:35" s="600" customFormat="1" ht="22.5" outlineLevel="2" x14ac:dyDescent="0.2">
      <c r="A179" s="601" t="s">
        <v>1090</v>
      </c>
      <c r="B179" s="601" t="s">
        <v>3832</v>
      </c>
      <c r="C179" s="597"/>
      <c r="D179" s="1539"/>
      <c r="E179" s="593"/>
      <c r="F179" s="593"/>
      <c r="G179" s="1515">
        <v>4</v>
      </c>
      <c r="H179" s="1524">
        <v>3</v>
      </c>
      <c r="I179" s="1524"/>
      <c r="J179" s="1524" t="s">
        <v>1592</v>
      </c>
      <c r="K179" s="1516"/>
      <c r="L179" s="1552"/>
      <c r="M179" s="598"/>
      <c r="N179" s="599"/>
      <c r="O179" s="599"/>
      <c r="P179" s="599"/>
      <c r="Q179" s="599"/>
      <c r="R179" s="599"/>
      <c r="S179" s="599"/>
      <c r="T179" s="599"/>
      <c r="U179" s="599"/>
      <c r="V179" s="599"/>
      <c r="W179" s="599"/>
      <c r="X179" s="599"/>
      <c r="Y179" s="599"/>
      <c r="Z179" s="599"/>
      <c r="AA179">
        <f>IF(AND('13 Man'!C179&gt;Tmin, NOT('13 Man'!$I179="")),'13 Man'!$I179,0)</f>
        <v>0</v>
      </c>
      <c r="AB179">
        <f>IF(AND('13 Man'!D179&gt;Tmin, NOT('13 Man'!$I179="")),'13 Man'!$I179,0)</f>
        <v>0</v>
      </c>
      <c r="AC179">
        <f>IF(AND('13 Man'!E179&gt;Tmin, NOT('13 Man'!$I179="")),'13 Man'!$I179,0)</f>
        <v>0</v>
      </c>
      <c r="AD179">
        <f>IF(AND('13 Man'!F179&gt;Tmin, NOT('13 Man'!$I179="")),'13 Man'!$I179,0)</f>
        <v>0</v>
      </c>
      <c r="AE179">
        <f>IF(AND('13 Man'!C179&lt;Tmax, NOT('13 Man'!$H179="")),'13 Man'!$H179,4)</f>
        <v>3</v>
      </c>
      <c r="AF179">
        <f>IF(AND('13 Man'!D179&lt;Tmax, NOT('13 Man'!$H179="")),'13 Man'!$H179,4)</f>
        <v>3</v>
      </c>
      <c r="AG179">
        <f>IF(AND('13 Man'!E179&lt;Tmax, NOT('13 Man'!$H179="")),'13 Man'!$H179,4)</f>
        <v>3</v>
      </c>
      <c r="AH179">
        <f>IF(AND('13 Man'!F179&lt;Tmax, NOT('13 Man'!$H179="")),'13 Man'!$H179,4)</f>
        <v>3</v>
      </c>
      <c r="AI179"/>
    </row>
    <row r="180" spans="1:35" s="600" customFormat="1" ht="12.75" customHeight="1" outlineLevel="2" x14ac:dyDescent="0.2">
      <c r="A180" s="601" t="s">
        <v>1091</v>
      </c>
      <c r="B180" s="601" t="s">
        <v>3398</v>
      </c>
      <c r="C180" s="597"/>
      <c r="D180" s="1539"/>
      <c r="E180" s="593"/>
      <c r="F180" s="593"/>
      <c r="G180" s="1515">
        <v>4</v>
      </c>
      <c r="H180" s="1524"/>
      <c r="I180" s="1524"/>
      <c r="J180" s="1515" t="s">
        <v>1592</v>
      </c>
      <c r="K180" s="1516"/>
      <c r="L180" s="1516"/>
      <c r="M180" s="598"/>
      <c r="N180" s="599"/>
      <c r="O180" s="599"/>
      <c r="P180" s="599"/>
      <c r="Q180" s="599"/>
      <c r="R180" s="599"/>
      <c r="S180" s="599"/>
      <c r="T180" s="599"/>
      <c r="U180" s="599"/>
      <c r="V180" s="599"/>
      <c r="W180" s="599"/>
      <c r="X180" s="599"/>
      <c r="Y180" s="599"/>
      <c r="Z180" s="599"/>
      <c r="AA180">
        <f>IF(AND('13 Man'!C180&gt;Tmin, NOT('13 Man'!$I180="")),'13 Man'!$I180,0)</f>
        <v>0</v>
      </c>
      <c r="AB180">
        <f>IF(AND('13 Man'!D180&gt;Tmin, NOT('13 Man'!$I180="")),'13 Man'!$I180,0)</f>
        <v>0</v>
      </c>
      <c r="AC180">
        <f>IF(AND('13 Man'!E180&gt;Tmin, NOT('13 Man'!$I180="")),'13 Man'!$I180,0)</f>
        <v>0</v>
      </c>
      <c r="AD180">
        <f>IF(AND('13 Man'!F180&gt;Tmin, NOT('13 Man'!$I180="")),'13 Man'!$I180,0)</f>
        <v>0</v>
      </c>
      <c r="AE180">
        <f>IF(AND('13 Man'!C180&lt;Tmax, NOT('13 Man'!$H180="")),'13 Man'!$H180,4)</f>
        <v>4</v>
      </c>
      <c r="AF180">
        <f>IF(AND('13 Man'!D180&lt;Tmax, NOT('13 Man'!$H180="")),'13 Man'!$H180,4)</f>
        <v>4</v>
      </c>
      <c r="AG180">
        <f>IF(AND('13 Man'!E180&lt;Tmax, NOT('13 Man'!$H180="")),'13 Man'!$H180,4)</f>
        <v>4</v>
      </c>
      <c r="AH180">
        <f>IF(AND('13 Man'!F180&lt;Tmax, NOT('13 Man'!$H180="")),'13 Man'!$H180,4)</f>
        <v>4</v>
      </c>
      <c r="AI180"/>
    </row>
    <row r="181" spans="1:35" s="600" customFormat="1" ht="22.5" outlineLevel="2" x14ac:dyDescent="0.2">
      <c r="A181" s="601" t="s">
        <v>1092</v>
      </c>
      <c r="B181" s="601" t="s">
        <v>3399</v>
      </c>
      <c r="C181" s="597"/>
      <c r="D181" s="1539"/>
      <c r="E181" s="593"/>
      <c r="F181" s="593"/>
      <c r="G181" s="1515">
        <v>2</v>
      </c>
      <c r="H181" s="1524"/>
      <c r="I181" s="1524"/>
      <c r="J181" s="1515" t="s">
        <v>1592</v>
      </c>
      <c r="K181" s="1516"/>
      <c r="L181" s="1516"/>
      <c r="M181" s="598"/>
      <c r="N181" s="599"/>
      <c r="O181" s="599"/>
      <c r="P181" s="599"/>
      <c r="Q181" s="599"/>
      <c r="R181" s="599"/>
      <c r="S181" s="599"/>
      <c r="T181" s="599"/>
      <c r="U181" s="599"/>
      <c r="V181" s="599"/>
      <c r="W181" s="599"/>
      <c r="X181" s="599"/>
      <c r="Y181" s="599"/>
      <c r="Z181" s="599"/>
      <c r="AA181">
        <f>IF(AND('13 Man'!C181&gt;Tmin, NOT('13 Man'!$I181="")),'13 Man'!$I181,0)</f>
        <v>0</v>
      </c>
      <c r="AB181">
        <f>IF(AND('13 Man'!D181&gt;Tmin, NOT('13 Man'!$I181="")),'13 Man'!$I181,0)</f>
        <v>0</v>
      </c>
      <c r="AC181">
        <f>IF(AND('13 Man'!E181&gt;Tmin, NOT('13 Man'!$I181="")),'13 Man'!$I181,0)</f>
        <v>0</v>
      </c>
      <c r="AD181">
        <f>IF(AND('13 Man'!F181&gt;Tmin, NOT('13 Man'!$I181="")),'13 Man'!$I181,0)</f>
        <v>0</v>
      </c>
      <c r="AE181">
        <f>IF(AND('13 Man'!C181&lt;Tmax, NOT('13 Man'!$H181="")),'13 Man'!$H181,4)</f>
        <v>4</v>
      </c>
      <c r="AF181">
        <f>IF(AND('13 Man'!D181&lt;Tmax, NOT('13 Man'!$H181="")),'13 Man'!$H181,4)</f>
        <v>4</v>
      </c>
      <c r="AG181">
        <f>IF(AND('13 Man'!E181&lt;Tmax, NOT('13 Man'!$H181="")),'13 Man'!$H181,4)</f>
        <v>4</v>
      </c>
      <c r="AH181">
        <f>IF(AND('13 Man'!F181&lt;Tmax, NOT('13 Man'!$H181="")),'13 Man'!$H181,4)</f>
        <v>4</v>
      </c>
      <c r="AI181"/>
    </row>
    <row r="182" spans="1:35" s="600" customFormat="1" ht="22.5" outlineLevel="2" x14ac:dyDescent="0.2">
      <c r="A182" s="601" t="s">
        <v>1093</v>
      </c>
      <c r="B182" s="601" t="s">
        <v>3400</v>
      </c>
      <c r="C182" s="597"/>
      <c r="D182" s="1539"/>
      <c r="E182" s="593"/>
      <c r="F182" s="593"/>
      <c r="G182" s="1515">
        <v>4</v>
      </c>
      <c r="H182" s="1524"/>
      <c r="I182" s="1524"/>
      <c r="J182" s="1524" t="s">
        <v>4246</v>
      </c>
      <c r="K182" s="1516"/>
      <c r="L182" s="1552"/>
      <c r="M182" s="598"/>
      <c r="N182" s="599"/>
      <c r="O182" s="599"/>
      <c r="P182" s="599"/>
      <c r="Q182" s="599"/>
      <c r="R182" s="599"/>
      <c r="S182" s="599"/>
      <c r="T182" s="599"/>
      <c r="U182" s="599"/>
      <c r="V182" s="599"/>
      <c r="W182" s="599"/>
      <c r="X182" s="599"/>
      <c r="Y182" s="599"/>
      <c r="Z182" s="599"/>
      <c r="AA182">
        <f>IF(AND('13 Man'!C182&gt;Tmin, NOT('13 Man'!$I182="")),'13 Man'!$I182,0)</f>
        <v>0</v>
      </c>
      <c r="AB182">
        <f>IF(AND('13 Man'!D182&gt;Tmin, NOT('13 Man'!$I182="")),'13 Man'!$I182,0)</f>
        <v>0</v>
      </c>
      <c r="AC182">
        <f>IF(AND('13 Man'!E182&gt;Tmin, NOT('13 Man'!$I182="")),'13 Man'!$I182,0)</f>
        <v>0</v>
      </c>
      <c r="AD182">
        <f>IF(AND('13 Man'!F182&gt;Tmin, NOT('13 Man'!$I182="")),'13 Man'!$I182,0)</f>
        <v>0</v>
      </c>
      <c r="AE182">
        <f>IF(AND('13 Man'!C182&lt;Tmax, NOT('13 Man'!$H182="")),'13 Man'!$H182,4)</f>
        <v>4</v>
      </c>
      <c r="AF182">
        <f>IF(AND('13 Man'!D182&lt;Tmax, NOT('13 Man'!$H182="")),'13 Man'!$H182,4)</f>
        <v>4</v>
      </c>
      <c r="AG182">
        <f>IF(AND('13 Man'!E182&lt;Tmax, NOT('13 Man'!$H182="")),'13 Man'!$H182,4)</f>
        <v>4</v>
      </c>
      <c r="AH182">
        <f>IF(AND('13 Man'!F182&lt;Tmax, NOT('13 Man'!$H182="")),'13 Man'!$H182,4)</f>
        <v>4</v>
      </c>
      <c r="AI182"/>
    </row>
    <row r="183" spans="1:35" s="600" customFormat="1" ht="22.5" outlineLevel="2" x14ac:dyDescent="0.2">
      <c r="A183" s="601" t="s">
        <v>1094</v>
      </c>
      <c r="B183" s="601" t="s">
        <v>5163</v>
      </c>
      <c r="C183" s="597"/>
      <c r="D183" s="1539"/>
      <c r="E183" s="593"/>
      <c r="F183" s="593"/>
      <c r="G183" s="1515">
        <v>4</v>
      </c>
      <c r="H183" s="1515"/>
      <c r="I183" s="1515"/>
      <c r="J183" s="1524" t="s">
        <v>1592</v>
      </c>
      <c r="K183" s="1516"/>
      <c r="L183" s="1552"/>
      <c r="M183" s="598"/>
      <c r="N183" s="599"/>
      <c r="O183" s="599"/>
      <c r="P183" s="599"/>
      <c r="Q183" s="599"/>
      <c r="R183" s="599"/>
      <c r="S183" s="599"/>
      <c r="T183" s="599"/>
      <c r="U183" s="599"/>
      <c r="V183" s="599"/>
      <c r="W183" s="599"/>
      <c r="X183" s="599"/>
      <c r="Y183" s="599"/>
      <c r="Z183" s="599"/>
      <c r="AA183">
        <f>IF(AND('13 Man'!C183&gt;Tmin, NOT('13 Man'!$I183="")),'13 Man'!$I183,0)</f>
        <v>0</v>
      </c>
      <c r="AB183">
        <f>IF(AND('13 Man'!D183&gt;Tmin, NOT('13 Man'!$I183="")),'13 Man'!$I183,0)</f>
        <v>0</v>
      </c>
      <c r="AC183">
        <f>IF(AND('13 Man'!E183&gt;Tmin, NOT('13 Man'!$I183="")),'13 Man'!$I183,0)</f>
        <v>0</v>
      </c>
      <c r="AD183">
        <f>IF(AND('13 Man'!F183&gt;Tmin, NOT('13 Man'!$I183="")),'13 Man'!$I183,0)</f>
        <v>0</v>
      </c>
      <c r="AE183">
        <f>IF(AND('13 Man'!C183&lt;Tmax, NOT('13 Man'!$H183="")),'13 Man'!$H183,4)</f>
        <v>4</v>
      </c>
      <c r="AF183">
        <f>IF(AND('13 Man'!D183&lt;Tmax, NOT('13 Man'!$H183="")),'13 Man'!$H183,4)</f>
        <v>4</v>
      </c>
      <c r="AG183">
        <f>IF(AND('13 Man'!E183&lt;Tmax, NOT('13 Man'!$H183="")),'13 Man'!$H183,4)</f>
        <v>4</v>
      </c>
      <c r="AH183">
        <f>IF(AND('13 Man'!F183&lt;Tmax, NOT('13 Man'!$H183="")),'13 Man'!$H183,4)</f>
        <v>4</v>
      </c>
      <c r="AI183"/>
    </row>
    <row r="184" spans="1:35" s="600" customFormat="1" outlineLevel="2" x14ac:dyDescent="0.2">
      <c r="A184" s="601" t="s">
        <v>1095</v>
      </c>
      <c r="B184" s="601" t="s">
        <v>3375</v>
      </c>
      <c r="C184" s="597"/>
      <c r="D184" s="1539"/>
      <c r="E184" s="593"/>
      <c r="F184" s="593"/>
      <c r="G184" s="1515">
        <v>2</v>
      </c>
      <c r="H184" s="1524">
        <v>3</v>
      </c>
      <c r="I184" s="1524"/>
      <c r="J184" s="1524" t="s">
        <v>1592</v>
      </c>
      <c r="K184" s="1516"/>
      <c r="L184" s="1552"/>
      <c r="M184" s="598"/>
      <c r="N184" s="599"/>
      <c r="O184" s="599"/>
      <c r="P184" s="599"/>
      <c r="Q184" s="599"/>
      <c r="R184" s="599"/>
      <c r="S184" s="599"/>
      <c r="T184" s="599"/>
      <c r="U184" s="599"/>
      <c r="V184" s="599"/>
      <c r="W184" s="599"/>
      <c r="X184" s="599"/>
      <c r="Y184" s="599"/>
      <c r="Z184" s="599"/>
      <c r="AA184">
        <f>IF(AND('13 Man'!C184&gt;Tmin, NOT('13 Man'!$I184="")),'13 Man'!$I184,0)</f>
        <v>0</v>
      </c>
      <c r="AB184">
        <f>IF(AND('13 Man'!D184&gt;Tmin, NOT('13 Man'!$I184="")),'13 Man'!$I184,0)</f>
        <v>0</v>
      </c>
      <c r="AC184">
        <f>IF(AND('13 Man'!E184&gt;Tmin, NOT('13 Man'!$I184="")),'13 Man'!$I184,0)</f>
        <v>0</v>
      </c>
      <c r="AD184">
        <f>IF(AND('13 Man'!F184&gt;Tmin, NOT('13 Man'!$I184="")),'13 Man'!$I184,0)</f>
        <v>0</v>
      </c>
      <c r="AE184">
        <f>IF(AND('13 Man'!C184&lt;Tmax, NOT('13 Man'!$H184="")),'13 Man'!$H184,4)</f>
        <v>3</v>
      </c>
      <c r="AF184">
        <f>IF(AND('13 Man'!D184&lt;Tmax, NOT('13 Man'!$H184="")),'13 Man'!$H184,4)</f>
        <v>3</v>
      </c>
      <c r="AG184">
        <f>IF(AND('13 Man'!E184&lt;Tmax, NOT('13 Man'!$H184="")),'13 Man'!$H184,4)</f>
        <v>3</v>
      </c>
      <c r="AH184">
        <f>IF(AND('13 Man'!F184&lt;Tmax, NOT('13 Man'!$H184="")),'13 Man'!$H184,4)</f>
        <v>3</v>
      </c>
      <c r="AI184"/>
    </row>
    <row r="185" spans="1:35" s="600" customFormat="1" ht="12.75" customHeight="1" outlineLevel="1" x14ac:dyDescent="0.2">
      <c r="A185" s="595" t="s">
        <v>1096</v>
      </c>
      <c r="B185" s="596" t="s">
        <v>3376</v>
      </c>
      <c r="C185" s="597"/>
      <c r="D185" s="1539"/>
      <c r="E185" s="593"/>
      <c r="F185" s="593"/>
      <c r="G185" s="1515"/>
      <c r="H185" s="1515"/>
      <c r="I185" s="1515"/>
      <c r="J185" s="1524"/>
      <c r="K185" s="1516"/>
      <c r="L185" s="1552"/>
      <c r="M185" s="598"/>
      <c r="N185" s="599"/>
      <c r="O185" s="599"/>
      <c r="P185" s="599"/>
      <c r="Q185" s="599"/>
      <c r="R185" s="599"/>
      <c r="S185" s="599"/>
      <c r="T185" s="599"/>
      <c r="U185" s="599"/>
      <c r="V185" s="599"/>
      <c r="W185" s="599"/>
      <c r="X185" s="599"/>
      <c r="Y185" s="599"/>
      <c r="Z185" s="599"/>
      <c r="AA185"/>
      <c r="AB185"/>
      <c r="AC185"/>
      <c r="AD185"/>
      <c r="AE185"/>
      <c r="AF185"/>
      <c r="AG185"/>
      <c r="AH185"/>
      <c r="AI185"/>
    </row>
    <row r="186" spans="1:35" s="600" customFormat="1" ht="22.5" outlineLevel="2" x14ac:dyDescent="0.2">
      <c r="A186" s="601" t="s">
        <v>1097</v>
      </c>
      <c r="B186" s="601" t="s">
        <v>2999</v>
      </c>
      <c r="C186" s="597"/>
      <c r="D186" s="1539"/>
      <c r="E186" s="593"/>
      <c r="F186" s="593"/>
      <c r="G186" s="1515">
        <v>2</v>
      </c>
      <c r="H186" s="1515"/>
      <c r="I186" s="1515"/>
      <c r="J186" s="1524" t="s">
        <v>4246</v>
      </c>
      <c r="K186" s="1516"/>
      <c r="L186" s="1552"/>
      <c r="M186" s="598"/>
      <c r="N186" s="599"/>
      <c r="O186" s="599"/>
      <c r="P186" s="599"/>
      <c r="Q186" s="599"/>
      <c r="R186" s="599"/>
      <c r="S186" s="599"/>
      <c r="T186" s="599"/>
      <c r="U186" s="599"/>
      <c r="V186" s="599"/>
      <c r="W186" s="599"/>
      <c r="X186" s="599"/>
      <c r="Y186" s="599"/>
      <c r="Z186" s="599"/>
      <c r="AA186">
        <f>IF(AND('13 Man'!C186&gt;Tmin, NOT('13 Man'!$I186="")),'13 Man'!$I186,0)</f>
        <v>0</v>
      </c>
      <c r="AB186">
        <f>IF(AND('13 Man'!D186&gt;Tmin, NOT('13 Man'!$I186="")),'13 Man'!$I186,0)</f>
        <v>0</v>
      </c>
      <c r="AC186">
        <f>IF(AND('13 Man'!E186&gt;Tmin, NOT('13 Man'!$I186="")),'13 Man'!$I186,0)</f>
        <v>0</v>
      </c>
      <c r="AD186">
        <f>IF(AND('13 Man'!F186&gt;Tmin, NOT('13 Man'!$I186="")),'13 Man'!$I186,0)</f>
        <v>0</v>
      </c>
      <c r="AE186">
        <f>IF(AND('13 Man'!C186&lt;Tmax, NOT('13 Man'!$H186="")),'13 Man'!$H186,4)</f>
        <v>4</v>
      </c>
      <c r="AF186">
        <f>IF(AND('13 Man'!D186&lt;Tmax, NOT('13 Man'!$H186="")),'13 Man'!$H186,4)</f>
        <v>4</v>
      </c>
      <c r="AG186">
        <f>IF(AND('13 Man'!E186&lt;Tmax, NOT('13 Man'!$H186="")),'13 Man'!$H186,4)</f>
        <v>4</v>
      </c>
      <c r="AH186">
        <f>IF(AND('13 Man'!F186&lt;Tmax, NOT('13 Man'!$H186="")),'13 Man'!$H186,4)</f>
        <v>4</v>
      </c>
      <c r="AI186"/>
    </row>
    <row r="187" spans="1:35" s="600" customFormat="1" ht="22.5" outlineLevel="2" x14ac:dyDescent="0.2">
      <c r="A187" s="601" t="s">
        <v>1098</v>
      </c>
      <c r="B187" s="601" t="s">
        <v>1634</v>
      </c>
      <c r="C187" s="597"/>
      <c r="D187" s="1539"/>
      <c r="E187" s="593"/>
      <c r="F187" s="593"/>
      <c r="G187" s="1515">
        <v>2</v>
      </c>
      <c r="H187" s="1515"/>
      <c r="I187" s="1515"/>
      <c r="J187" s="1524" t="s">
        <v>1592</v>
      </c>
      <c r="K187" s="1516"/>
      <c r="L187" s="1552"/>
      <c r="M187" s="598"/>
      <c r="N187" s="599"/>
      <c r="O187" s="599"/>
      <c r="P187" s="599"/>
      <c r="Q187" s="599"/>
      <c r="R187" s="599"/>
      <c r="S187" s="599"/>
      <c r="T187" s="599"/>
      <c r="U187" s="599"/>
      <c r="V187" s="599"/>
      <c r="W187" s="599"/>
      <c r="X187" s="599"/>
      <c r="Y187" s="599"/>
      <c r="Z187" s="599"/>
      <c r="AA187">
        <f>IF(AND('13 Man'!C187&gt;Tmin, NOT('13 Man'!$I187="")),'13 Man'!$I187,0)</f>
        <v>0</v>
      </c>
      <c r="AB187">
        <f>IF(AND('13 Man'!D187&gt;Tmin, NOT('13 Man'!$I187="")),'13 Man'!$I187,0)</f>
        <v>0</v>
      </c>
      <c r="AC187">
        <f>IF(AND('13 Man'!E187&gt;Tmin, NOT('13 Man'!$I187="")),'13 Man'!$I187,0)</f>
        <v>0</v>
      </c>
      <c r="AD187">
        <f>IF(AND('13 Man'!F187&gt;Tmin, NOT('13 Man'!$I187="")),'13 Man'!$I187,0)</f>
        <v>0</v>
      </c>
      <c r="AE187">
        <f>IF(AND('13 Man'!C187&lt;Tmax, NOT('13 Man'!$H187="")),'13 Man'!$H187,4)</f>
        <v>4</v>
      </c>
      <c r="AF187">
        <f>IF(AND('13 Man'!D187&lt;Tmax, NOT('13 Man'!$H187="")),'13 Man'!$H187,4)</f>
        <v>4</v>
      </c>
      <c r="AG187">
        <f>IF(AND('13 Man'!E187&lt;Tmax, NOT('13 Man'!$H187="")),'13 Man'!$H187,4)</f>
        <v>4</v>
      </c>
      <c r="AH187">
        <f>IF(AND('13 Man'!F187&lt;Tmax, NOT('13 Man'!$H187="")),'13 Man'!$H187,4)</f>
        <v>4</v>
      </c>
      <c r="AI187"/>
    </row>
    <row r="188" spans="1:35" s="600" customFormat="1" outlineLevel="2" x14ac:dyDescent="0.2">
      <c r="A188" s="601" t="s">
        <v>1099</v>
      </c>
      <c r="B188" s="601" t="s">
        <v>4516</v>
      </c>
      <c r="C188" s="597"/>
      <c r="D188" s="1539"/>
      <c r="E188" s="593"/>
      <c r="F188" s="593"/>
      <c r="G188" s="1515">
        <v>2</v>
      </c>
      <c r="H188" s="1524"/>
      <c r="I188" s="1524"/>
      <c r="J188" s="1524" t="s">
        <v>1592</v>
      </c>
      <c r="K188" s="1516"/>
      <c r="L188" s="1552"/>
      <c r="M188" s="598"/>
      <c r="N188" s="599"/>
      <c r="O188" s="599"/>
      <c r="P188" s="599"/>
      <c r="Q188" s="599"/>
      <c r="R188" s="599"/>
      <c r="S188" s="599"/>
      <c r="T188" s="599"/>
      <c r="U188" s="599"/>
      <c r="V188" s="599"/>
      <c r="W188" s="599"/>
      <c r="X188" s="599"/>
      <c r="Y188" s="599"/>
      <c r="Z188" s="599"/>
      <c r="AA188">
        <f>IF(AND('13 Man'!C188&gt;Tmin, NOT('13 Man'!$I188="")),'13 Man'!$I188,0)</f>
        <v>0</v>
      </c>
      <c r="AB188">
        <f>IF(AND('13 Man'!D188&gt;Tmin, NOT('13 Man'!$I188="")),'13 Man'!$I188,0)</f>
        <v>0</v>
      </c>
      <c r="AC188">
        <f>IF(AND('13 Man'!E188&gt;Tmin, NOT('13 Man'!$I188="")),'13 Man'!$I188,0)</f>
        <v>0</v>
      </c>
      <c r="AD188">
        <f>IF(AND('13 Man'!F188&gt;Tmin, NOT('13 Man'!$I188="")),'13 Man'!$I188,0)</f>
        <v>0</v>
      </c>
      <c r="AE188">
        <f>IF(AND('13 Man'!C188&lt;Tmax, NOT('13 Man'!$H188="")),'13 Man'!$H188,4)</f>
        <v>4</v>
      </c>
      <c r="AF188">
        <f>IF(AND('13 Man'!D188&lt;Tmax, NOT('13 Man'!$H188="")),'13 Man'!$H188,4)</f>
        <v>4</v>
      </c>
      <c r="AG188">
        <f>IF(AND('13 Man'!E188&lt;Tmax, NOT('13 Man'!$H188="")),'13 Man'!$H188,4)</f>
        <v>4</v>
      </c>
      <c r="AH188">
        <f>IF(AND('13 Man'!F188&lt;Tmax, NOT('13 Man'!$H188="")),'13 Man'!$H188,4)</f>
        <v>4</v>
      </c>
      <c r="AI188"/>
    </row>
    <row r="189" spans="1:35" s="600" customFormat="1" ht="22.5" outlineLevel="2" x14ac:dyDescent="0.2">
      <c r="A189" s="601" t="s">
        <v>1100</v>
      </c>
      <c r="B189" s="601" t="s">
        <v>1081</v>
      </c>
      <c r="C189" s="597"/>
      <c r="D189" s="1539"/>
      <c r="E189" s="593"/>
      <c r="F189" s="593"/>
      <c r="G189" s="1515">
        <v>4</v>
      </c>
      <c r="H189" s="1524"/>
      <c r="I189" s="1524"/>
      <c r="J189" s="1524" t="s">
        <v>1592</v>
      </c>
      <c r="K189" s="1516"/>
      <c r="L189" s="1552"/>
      <c r="M189" s="598"/>
      <c r="N189" s="599"/>
      <c r="O189" s="599"/>
      <c r="P189" s="599"/>
      <c r="Q189" s="599"/>
      <c r="R189" s="599"/>
      <c r="S189" s="599"/>
      <c r="T189" s="599"/>
      <c r="U189" s="599"/>
      <c r="V189" s="599"/>
      <c r="W189" s="599"/>
      <c r="X189" s="599"/>
      <c r="Y189" s="599"/>
      <c r="Z189" s="599"/>
      <c r="AA189">
        <f>IF(AND('13 Man'!C189&gt;Tmin, NOT('13 Man'!$I189="")),'13 Man'!$I189,0)</f>
        <v>0</v>
      </c>
      <c r="AB189">
        <f>IF(AND('13 Man'!D189&gt;Tmin, NOT('13 Man'!$I189="")),'13 Man'!$I189,0)</f>
        <v>0</v>
      </c>
      <c r="AC189">
        <f>IF(AND('13 Man'!E189&gt;Tmin, NOT('13 Man'!$I189="")),'13 Man'!$I189,0)</f>
        <v>0</v>
      </c>
      <c r="AD189">
        <f>IF(AND('13 Man'!F189&gt;Tmin, NOT('13 Man'!$I189="")),'13 Man'!$I189,0)</f>
        <v>0</v>
      </c>
      <c r="AE189">
        <f>IF(AND('13 Man'!C189&lt;Tmax, NOT('13 Man'!$H189="")),'13 Man'!$H189,4)</f>
        <v>4</v>
      </c>
      <c r="AF189">
        <f>IF(AND('13 Man'!D189&lt;Tmax, NOT('13 Man'!$H189="")),'13 Man'!$H189,4)</f>
        <v>4</v>
      </c>
      <c r="AG189">
        <f>IF(AND('13 Man'!E189&lt;Tmax, NOT('13 Man'!$H189="")),'13 Man'!$H189,4)</f>
        <v>4</v>
      </c>
      <c r="AH189">
        <f>IF(AND('13 Man'!F189&lt;Tmax, NOT('13 Man'!$H189="")),'13 Man'!$H189,4)</f>
        <v>4</v>
      </c>
      <c r="AI189"/>
    </row>
    <row r="190" spans="1:35" s="600" customFormat="1" ht="22.5" outlineLevel="2" x14ac:dyDescent="0.2">
      <c r="A190" s="601" t="s">
        <v>1101</v>
      </c>
      <c r="B190" s="601" t="s">
        <v>2938</v>
      </c>
      <c r="C190" s="597"/>
      <c r="D190" s="1539"/>
      <c r="E190" s="593"/>
      <c r="F190" s="593"/>
      <c r="G190" s="1515">
        <v>4</v>
      </c>
      <c r="H190" s="1524">
        <v>3</v>
      </c>
      <c r="I190" s="1524"/>
      <c r="J190" s="1524" t="s">
        <v>2329</v>
      </c>
      <c r="K190" s="1516"/>
      <c r="L190" s="1552"/>
      <c r="M190" s="598"/>
      <c r="N190" s="599"/>
      <c r="O190" s="599"/>
      <c r="P190" s="599"/>
      <c r="Q190" s="599"/>
      <c r="R190" s="599"/>
      <c r="S190" s="599"/>
      <c r="T190" s="599"/>
      <c r="U190" s="599"/>
      <c r="V190" s="599"/>
      <c r="W190" s="599"/>
      <c r="X190" s="599"/>
      <c r="Y190" s="599"/>
      <c r="Z190" s="599"/>
      <c r="AA190">
        <f>IF(AND('13 Man'!C190&gt;Tmin, NOT('13 Man'!$I190="")),'13 Man'!$I190,0)</f>
        <v>0</v>
      </c>
      <c r="AB190">
        <f>IF(AND('13 Man'!D190&gt;Tmin, NOT('13 Man'!$I190="")),'13 Man'!$I190,0)</f>
        <v>0</v>
      </c>
      <c r="AC190">
        <f>IF(AND('13 Man'!E190&gt;Tmin, NOT('13 Man'!$I190="")),'13 Man'!$I190,0)</f>
        <v>0</v>
      </c>
      <c r="AD190">
        <f>IF(AND('13 Man'!F190&gt;Tmin, NOT('13 Man'!$I190="")),'13 Man'!$I190,0)</f>
        <v>0</v>
      </c>
      <c r="AE190">
        <f>IF(AND('13 Man'!C190&lt;Tmax, NOT('13 Man'!$H190="")),'13 Man'!$H190,4)</f>
        <v>3</v>
      </c>
      <c r="AF190">
        <f>IF(AND('13 Man'!D190&lt;Tmax, NOT('13 Man'!$H190="")),'13 Man'!$H190,4)</f>
        <v>3</v>
      </c>
      <c r="AG190">
        <f>IF(AND('13 Man'!E190&lt;Tmax, NOT('13 Man'!$H190="")),'13 Man'!$H190,4)</f>
        <v>3</v>
      </c>
      <c r="AH190">
        <f>IF(AND('13 Man'!F190&lt;Tmax, NOT('13 Man'!$H190="")),'13 Man'!$H190,4)</f>
        <v>3</v>
      </c>
      <c r="AI190"/>
    </row>
    <row r="191" spans="1:35" s="600" customFormat="1" outlineLevel="2" x14ac:dyDescent="0.2">
      <c r="A191" s="601" t="s">
        <v>1102</v>
      </c>
      <c r="B191" s="601" t="s">
        <v>4570</v>
      </c>
      <c r="C191" s="597"/>
      <c r="D191" s="1539"/>
      <c r="E191" s="593"/>
      <c r="F191" s="593"/>
      <c r="G191" s="1515">
        <v>2</v>
      </c>
      <c r="H191" s="1515">
        <v>3</v>
      </c>
      <c r="I191" s="1515"/>
      <c r="J191" s="1524" t="s">
        <v>2349</v>
      </c>
      <c r="K191" s="1516"/>
      <c r="L191" s="1552"/>
      <c r="M191" s="598"/>
      <c r="N191" s="599"/>
      <c r="O191" s="599"/>
      <c r="P191" s="599"/>
      <c r="Q191" s="599"/>
      <c r="R191" s="599"/>
      <c r="S191" s="599"/>
      <c r="T191" s="599"/>
      <c r="U191" s="599"/>
      <c r="V191" s="599"/>
      <c r="W191" s="599"/>
      <c r="X191" s="599"/>
      <c r="Y191" s="599"/>
      <c r="Z191" s="599"/>
      <c r="AA191">
        <f>IF(AND('13 Man'!C191&gt;Tmin, NOT('13 Man'!$I191="")),'13 Man'!$I191,0)</f>
        <v>0</v>
      </c>
      <c r="AB191">
        <f>IF(AND('13 Man'!D191&gt;Tmin, NOT('13 Man'!$I191="")),'13 Man'!$I191,0)</f>
        <v>0</v>
      </c>
      <c r="AC191">
        <f>IF(AND('13 Man'!E191&gt;Tmin, NOT('13 Man'!$I191="")),'13 Man'!$I191,0)</f>
        <v>0</v>
      </c>
      <c r="AD191">
        <f>IF(AND('13 Man'!F191&gt;Tmin, NOT('13 Man'!$I191="")),'13 Man'!$I191,0)</f>
        <v>0</v>
      </c>
      <c r="AE191">
        <f>IF(AND('13 Man'!C191&lt;Tmax, NOT('13 Man'!$H191="")),'13 Man'!$H191,4)</f>
        <v>3</v>
      </c>
      <c r="AF191">
        <f>IF(AND('13 Man'!D191&lt;Tmax, NOT('13 Man'!$H191="")),'13 Man'!$H191,4)</f>
        <v>3</v>
      </c>
      <c r="AG191">
        <f>IF(AND('13 Man'!E191&lt;Tmax, NOT('13 Man'!$H191="")),'13 Man'!$H191,4)</f>
        <v>3</v>
      </c>
      <c r="AH191">
        <f>IF(AND('13 Man'!F191&lt;Tmax, NOT('13 Man'!$H191="")),'13 Man'!$H191,4)</f>
        <v>3</v>
      </c>
      <c r="AI191"/>
    </row>
    <row r="192" spans="1:35" s="600" customFormat="1" outlineLevel="2" x14ac:dyDescent="0.2">
      <c r="A192" s="601" t="s">
        <v>1103</v>
      </c>
      <c r="B192" s="601" t="s">
        <v>4571</v>
      </c>
      <c r="C192" s="597"/>
      <c r="D192" s="1539"/>
      <c r="E192" s="593"/>
      <c r="F192" s="593"/>
      <c r="G192" s="1515">
        <v>2</v>
      </c>
      <c r="H192" s="1524">
        <v>3</v>
      </c>
      <c r="I192" s="1524"/>
      <c r="J192" s="1524" t="s">
        <v>2109</v>
      </c>
      <c r="K192" s="1516"/>
      <c r="L192" s="1552"/>
      <c r="M192" s="598"/>
      <c r="N192" s="599"/>
      <c r="O192" s="599"/>
      <c r="P192" s="599"/>
      <c r="Q192" s="599"/>
      <c r="R192" s="599"/>
      <c r="S192" s="599"/>
      <c r="T192" s="599"/>
      <c r="U192" s="599"/>
      <c r="V192" s="599"/>
      <c r="W192" s="599"/>
      <c r="X192" s="599"/>
      <c r="Y192" s="599"/>
      <c r="Z192" s="599"/>
      <c r="AA192">
        <f>IF(AND('13 Man'!C192&gt;Tmin, NOT('13 Man'!$I192="")),'13 Man'!$I192,0)</f>
        <v>0</v>
      </c>
      <c r="AB192">
        <f>IF(AND('13 Man'!D192&gt;Tmin, NOT('13 Man'!$I192="")),'13 Man'!$I192,0)</f>
        <v>0</v>
      </c>
      <c r="AC192">
        <f>IF(AND('13 Man'!E192&gt;Tmin, NOT('13 Man'!$I192="")),'13 Man'!$I192,0)</f>
        <v>0</v>
      </c>
      <c r="AD192">
        <f>IF(AND('13 Man'!F192&gt;Tmin, NOT('13 Man'!$I192="")),'13 Man'!$I192,0)</f>
        <v>0</v>
      </c>
      <c r="AE192">
        <f>IF(AND('13 Man'!C192&lt;Tmax, NOT('13 Man'!$H192="")),'13 Man'!$H192,4)</f>
        <v>3</v>
      </c>
      <c r="AF192">
        <f>IF(AND('13 Man'!D192&lt;Tmax, NOT('13 Man'!$H192="")),'13 Man'!$H192,4)</f>
        <v>3</v>
      </c>
      <c r="AG192">
        <f>IF(AND('13 Man'!E192&lt;Tmax, NOT('13 Man'!$H192="")),'13 Man'!$H192,4)</f>
        <v>3</v>
      </c>
      <c r="AH192">
        <f>IF(AND('13 Man'!F192&lt;Tmax, NOT('13 Man'!$H192="")),'13 Man'!$H192,4)</f>
        <v>3</v>
      </c>
      <c r="AI192"/>
    </row>
    <row r="193" spans="1:35" s="600" customFormat="1" outlineLevel="1" x14ac:dyDescent="0.2">
      <c r="A193" s="595" t="s">
        <v>1104</v>
      </c>
      <c r="B193" s="596" t="s">
        <v>5178</v>
      </c>
      <c r="C193" s="597"/>
      <c r="D193" s="1539"/>
      <c r="E193" s="593"/>
      <c r="F193" s="593"/>
      <c r="G193" s="1515"/>
      <c r="H193" s="1515"/>
      <c r="I193" s="1515"/>
      <c r="J193" s="1524"/>
      <c r="K193" s="1516"/>
      <c r="L193" s="1552"/>
      <c r="M193" s="598"/>
      <c r="N193" s="599"/>
      <c r="O193" s="599"/>
      <c r="P193" s="599"/>
      <c r="Q193" s="599"/>
      <c r="R193" s="599"/>
      <c r="S193" s="599"/>
      <c r="T193" s="599"/>
      <c r="U193" s="599"/>
      <c r="V193" s="599"/>
      <c r="W193" s="599"/>
      <c r="X193" s="599"/>
      <c r="Y193" s="599"/>
      <c r="Z193" s="599"/>
      <c r="AA193"/>
      <c r="AB193"/>
      <c r="AC193"/>
      <c r="AD193"/>
      <c r="AE193"/>
      <c r="AF193"/>
      <c r="AG193"/>
      <c r="AH193"/>
      <c r="AI193"/>
    </row>
    <row r="194" spans="1:35" s="600" customFormat="1" ht="22.5" outlineLevel="2" x14ac:dyDescent="0.2">
      <c r="A194" s="601" t="s">
        <v>1105</v>
      </c>
      <c r="B194" s="601" t="s">
        <v>2939</v>
      </c>
      <c r="C194" s="597"/>
      <c r="D194" s="1539"/>
      <c r="E194" s="593"/>
      <c r="F194" s="593"/>
      <c r="G194" s="1515">
        <v>2</v>
      </c>
      <c r="H194" s="1524"/>
      <c r="I194" s="1524"/>
      <c r="J194" s="1524" t="s">
        <v>2109</v>
      </c>
      <c r="K194" s="1516"/>
      <c r="L194" s="1552"/>
      <c r="M194" s="598"/>
      <c r="N194" s="599"/>
      <c r="O194" s="599"/>
      <c r="P194" s="599"/>
      <c r="Q194" s="599"/>
      <c r="R194" s="599"/>
      <c r="S194" s="599"/>
      <c r="T194" s="599"/>
      <c r="U194" s="599"/>
      <c r="V194" s="599"/>
      <c r="W194" s="599"/>
      <c r="X194" s="599"/>
      <c r="Y194" s="599"/>
      <c r="Z194" s="599"/>
      <c r="AA194">
        <f>IF(AND('13 Man'!C194&gt;Tmin, NOT('13 Man'!$I194="")),'13 Man'!$I194,0)</f>
        <v>0</v>
      </c>
      <c r="AB194">
        <f>IF(AND('13 Man'!D194&gt;Tmin, NOT('13 Man'!$I194="")),'13 Man'!$I194,0)</f>
        <v>0</v>
      </c>
      <c r="AC194">
        <f>IF(AND('13 Man'!E194&gt;Tmin, NOT('13 Man'!$I194="")),'13 Man'!$I194,0)</f>
        <v>0</v>
      </c>
      <c r="AD194">
        <f>IF(AND('13 Man'!F194&gt;Tmin, NOT('13 Man'!$I194="")),'13 Man'!$I194,0)</f>
        <v>0</v>
      </c>
      <c r="AE194">
        <f>IF(AND('13 Man'!C194&lt;Tmax, NOT('13 Man'!$H194="")),'13 Man'!$H194,4)</f>
        <v>4</v>
      </c>
      <c r="AF194">
        <f>IF(AND('13 Man'!D194&lt;Tmax, NOT('13 Man'!$H194="")),'13 Man'!$H194,4)</f>
        <v>4</v>
      </c>
      <c r="AG194">
        <f>IF(AND('13 Man'!E194&lt;Tmax, NOT('13 Man'!$H194="")),'13 Man'!$H194,4)</f>
        <v>4</v>
      </c>
      <c r="AH194">
        <f>IF(AND('13 Man'!F194&lt;Tmax, NOT('13 Man'!$H194="")),'13 Man'!$H194,4)</f>
        <v>4</v>
      </c>
      <c r="AI194"/>
    </row>
    <row r="195" spans="1:35" s="600" customFormat="1" outlineLevel="2" x14ac:dyDescent="0.2">
      <c r="A195" s="601" t="s">
        <v>1106</v>
      </c>
      <c r="B195" s="601" t="s">
        <v>126</v>
      </c>
      <c r="C195" s="597"/>
      <c r="D195" s="1539"/>
      <c r="E195" s="593"/>
      <c r="F195" s="593"/>
      <c r="G195" s="1515">
        <v>4</v>
      </c>
      <c r="H195" s="1524">
        <v>3</v>
      </c>
      <c r="I195" s="1524"/>
      <c r="J195" s="1524" t="s">
        <v>1592</v>
      </c>
      <c r="K195" s="1516"/>
      <c r="L195" s="1552"/>
      <c r="M195" s="598"/>
      <c r="N195" s="599"/>
      <c r="O195" s="599"/>
      <c r="P195" s="599"/>
      <c r="Q195" s="599"/>
      <c r="R195" s="599"/>
      <c r="S195" s="599"/>
      <c r="T195" s="599"/>
      <c r="U195" s="599"/>
      <c r="V195" s="599"/>
      <c r="W195" s="599"/>
      <c r="X195" s="599"/>
      <c r="Y195" s="599"/>
      <c r="Z195" s="599"/>
      <c r="AA195">
        <f>IF(AND('13 Man'!C195&gt;Tmin, NOT('13 Man'!$I195="")),'13 Man'!$I195,0)</f>
        <v>0</v>
      </c>
      <c r="AB195">
        <f>IF(AND('13 Man'!D195&gt;Tmin, NOT('13 Man'!$I195="")),'13 Man'!$I195,0)</f>
        <v>0</v>
      </c>
      <c r="AC195">
        <f>IF(AND('13 Man'!E195&gt;Tmin, NOT('13 Man'!$I195="")),'13 Man'!$I195,0)</f>
        <v>0</v>
      </c>
      <c r="AD195">
        <f>IF(AND('13 Man'!F195&gt;Tmin, NOT('13 Man'!$I195="")),'13 Man'!$I195,0)</f>
        <v>0</v>
      </c>
      <c r="AE195">
        <f>IF(AND('13 Man'!C195&lt;Tmax, NOT('13 Man'!$H195="")),'13 Man'!$H195,4)</f>
        <v>3</v>
      </c>
      <c r="AF195">
        <f>IF(AND('13 Man'!D195&lt;Tmax, NOT('13 Man'!$H195="")),'13 Man'!$H195,4)</f>
        <v>3</v>
      </c>
      <c r="AG195">
        <f>IF(AND('13 Man'!E195&lt;Tmax, NOT('13 Man'!$H195="")),'13 Man'!$H195,4)</f>
        <v>3</v>
      </c>
      <c r="AH195">
        <f>IF(AND('13 Man'!F195&lt;Tmax, NOT('13 Man'!$H195="")),'13 Man'!$H195,4)</f>
        <v>3</v>
      </c>
      <c r="AI195"/>
    </row>
    <row r="196" spans="1:35" s="600" customFormat="1" ht="22.5" outlineLevel="2" x14ac:dyDescent="0.2">
      <c r="A196" s="601" t="s">
        <v>1107</v>
      </c>
      <c r="B196" s="601" t="s">
        <v>2891</v>
      </c>
      <c r="C196" s="597"/>
      <c r="D196" s="1539"/>
      <c r="E196" s="593"/>
      <c r="F196" s="593"/>
      <c r="G196" s="1515">
        <v>1</v>
      </c>
      <c r="H196" s="1524">
        <v>3</v>
      </c>
      <c r="I196" s="1524"/>
      <c r="J196" s="1524" t="s">
        <v>1592</v>
      </c>
      <c r="K196" s="1516"/>
      <c r="L196" s="1552"/>
      <c r="M196" s="598"/>
      <c r="N196" s="599"/>
      <c r="O196" s="599"/>
      <c r="P196" s="599"/>
      <c r="Q196" s="599"/>
      <c r="R196" s="599"/>
      <c r="S196" s="599"/>
      <c r="T196" s="599"/>
      <c r="U196" s="599"/>
      <c r="V196" s="599"/>
      <c r="W196" s="599"/>
      <c r="X196" s="599"/>
      <c r="Y196" s="599"/>
      <c r="Z196" s="599"/>
      <c r="AA196">
        <f>IF(AND('13 Man'!C196&gt;Tmin, NOT('13 Man'!$I196="")),'13 Man'!$I196,0)</f>
        <v>0</v>
      </c>
      <c r="AB196">
        <f>IF(AND('13 Man'!D196&gt;Tmin, NOT('13 Man'!$I196="")),'13 Man'!$I196,0)</f>
        <v>0</v>
      </c>
      <c r="AC196">
        <f>IF(AND('13 Man'!E196&gt;Tmin, NOT('13 Man'!$I196="")),'13 Man'!$I196,0)</f>
        <v>0</v>
      </c>
      <c r="AD196">
        <f>IF(AND('13 Man'!F196&gt;Tmin, NOT('13 Man'!$I196="")),'13 Man'!$I196,0)</f>
        <v>0</v>
      </c>
      <c r="AE196">
        <f>IF(AND('13 Man'!C196&lt;Tmax, NOT('13 Man'!$H196="")),'13 Man'!$H196,4)</f>
        <v>3</v>
      </c>
      <c r="AF196">
        <f>IF(AND('13 Man'!D196&lt;Tmax, NOT('13 Man'!$H196="")),'13 Man'!$H196,4)</f>
        <v>3</v>
      </c>
      <c r="AG196">
        <f>IF(AND('13 Man'!E196&lt;Tmax, NOT('13 Man'!$H196="")),'13 Man'!$H196,4)</f>
        <v>3</v>
      </c>
      <c r="AH196">
        <f>IF(AND('13 Man'!F196&lt;Tmax, NOT('13 Man'!$H196="")),'13 Man'!$H196,4)</f>
        <v>3</v>
      </c>
      <c r="AI196"/>
    </row>
    <row r="197" spans="1:35" s="600" customFormat="1" ht="12.75" customHeight="1" outlineLevel="1" x14ac:dyDescent="0.2">
      <c r="A197" s="595" t="s">
        <v>1108</v>
      </c>
      <c r="B197" s="596" t="s">
        <v>1082</v>
      </c>
      <c r="C197" s="597"/>
      <c r="D197" s="1539"/>
      <c r="E197" s="593"/>
      <c r="F197" s="593"/>
      <c r="G197" s="1515"/>
      <c r="H197" s="1515"/>
      <c r="I197" s="1515"/>
      <c r="J197" s="1524"/>
      <c r="K197" s="1516"/>
      <c r="L197" s="1552"/>
      <c r="M197" s="598"/>
      <c r="N197" s="599"/>
      <c r="O197" s="599"/>
      <c r="P197" s="599"/>
      <c r="Q197" s="599"/>
      <c r="R197" s="599"/>
      <c r="S197" s="599"/>
      <c r="T197" s="599"/>
      <c r="U197" s="599"/>
      <c r="V197" s="599"/>
      <c r="W197" s="599"/>
      <c r="X197" s="599"/>
      <c r="Y197" s="599"/>
      <c r="Z197" s="599"/>
      <c r="AA197"/>
      <c r="AB197"/>
      <c r="AC197"/>
      <c r="AD197"/>
      <c r="AE197"/>
      <c r="AF197"/>
      <c r="AG197"/>
      <c r="AH197"/>
      <c r="AI197"/>
    </row>
    <row r="198" spans="1:35" s="600" customFormat="1" ht="22.5" outlineLevel="2" x14ac:dyDescent="0.2">
      <c r="A198" s="601" t="s">
        <v>1109</v>
      </c>
      <c r="B198" s="601" t="s">
        <v>1962</v>
      </c>
      <c r="C198" s="597"/>
      <c r="D198" s="1539"/>
      <c r="E198" s="593"/>
      <c r="F198" s="593"/>
      <c r="G198" s="1515">
        <v>4</v>
      </c>
      <c r="H198" s="1524">
        <v>3</v>
      </c>
      <c r="I198" s="1524"/>
      <c r="J198" s="1524" t="s">
        <v>2109</v>
      </c>
      <c r="K198" s="1516"/>
      <c r="L198" s="1552"/>
      <c r="M198" s="598"/>
      <c r="N198" s="599"/>
      <c r="O198" s="599"/>
      <c r="P198" s="599"/>
      <c r="Q198" s="599"/>
      <c r="R198" s="599"/>
      <c r="S198" s="599"/>
      <c r="T198" s="599"/>
      <c r="U198" s="599"/>
      <c r="V198" s="599"/>
      <c r="W198" s="599"/>
      <c r="X198" s="599"/>
      <c r="Y198" s="599"/>
      <c r="Z198" s="599"/>
      <c r="AA198">
        <f>IF(AND('13 Man'!C198&gt;Tmin, NOT('13 Man'!$I198="")),'13 Man'!$I198,0)</f>
        <v>0</v>
      </c>
      <c r="AB198">
        <f>IF(AND('13 Man'!D198&gt;Tmin, NOT('13 Man'!$I198="")),'13 Man'!$I198,0)</f>
        <v>0</v>
      </c>
      <c r="AC198">
        <f>IF(AND('13 Man'!E198&gt;Tmin, NOT('13 Man'!$I198="")),'13 Man'!$I198,0)</f>
        <v>0</v>
      </c>
      <c r="AD198">
        <f>IF(AND('13 Man'!F198&gt;Tmin, NOT('13 Man'!$I198="")),'13 Man'!$I198,0)</f>
        <v>0</v>
      </c>
      <c r="AE198">
        <f>IF(AND('13 Man'!C198&lt;Tmax, NOT('13 Man'!$H198="")),'13 Man'!$H198,4)</f>
        <v>3</v>
      </c>
      <c r="AF198">
        <f>IF(AND('13 Man'!D198&lt;Tmax, NOT('13 Man'!$H198="")),'13 Man'!$H198,4)</f>
        <v>3</v>
      </c>
      <c r="AG198">
        <f>IF(AND('13 Man'!E198&lt;Tmax, NOT('13 Man'!$H198="")),'13 Man'!$H198,4)</f>
        <v>3</v>
      </c>
      <c r="AH198">
        <f>IF(AND('13 Man'!F198&lt;Tmax, NOT('13 Man'!$H198="")),'13 Man'!$H198,4)</f>
        <v>3</v>
      </c>
      <c r="AI198"/>
    </row>
    <row r="199" spans="1:35" s="600" customFormat="1" outlineLevel="2" x14ac:dyDescent="0.2">
      <c r="A199" s="601" t="s">
        <v>1110</v>
      </c>
      <c r="B199" s="601" t="s">
        <v>2614</v>
      </c>
      <c r="C199" s="597"/>
      <c r="D199" s="1539"/>
      <c r="E199" s="593"/>
      <c r="F199" s="593"/>
      <c r="G199" s="1515">
        <v>4</v>
      </c>
      <c r="H199" s="1524">
        <v>3</v>
      </c>
      <c r="I199" s="1524"/>
      <c r="J199" s="1524" t="s">
        <v>1592</v>
      </c>
      <c r="K199" s="1516"/>
      <c r="L199" s="1552"/>
      <c r="M199" s="598"/>
      <c r="N199" s="599"/>
      <c r="O199" s="599"/>
      <c r="P199" s="599"/>
      <c r="Q199" s="599"/>
      <c r="R199" s="599"/>
      <c r="S199" s="599"/>
      <c r="T199" s="599"/>
      <c r="U199" s="599"/>
      <c r="V199" s="599"/>
      <c r="W199" s="599"/>
      <c r="X199" s="599"/>
      <c r="Y199" s="599"/>
      <c r="Z199" s="599"/>
      <c r="AA199">
        <f>IF(AND('13 Man'!C199&gt;Tmin, NOT('13 Man'!$I199="")),'13 Man'!$I199,0)</f>
        <v>0</v>
      </c>
      <c r="AB199">
        <f>IF(AND('13 Man'!D199&gt;Tmin, NOT('13 Man'!$I199="")),'13 Man'!$I199,0)</f>
        <v>0</v>
      </c>
      <c r="AC199">
        <f>IF(AND('13 Man'!E199&gt;Tmin, NOT('13 Man'!$I199="")),'13 Man'!$I199,0)</f>
        <v>0</v>
      </c>
      <c r="AD199">
        <f>IF(AND('13 Man'!F199&gt;Tmin, NOT('13 Man'!$I199="")),'13 Man'!$I199,0)</f>
        <v>0</v>
      </c>
      <c r="AE199">
        <f>IF(AND('13 Man'!C199&lt;Tmax, NOT('13 Man'!$H199="")),'13 Man'!$H199,4)</f>
        <v>3</v>
      </c>
      <c r="AF199">
        <f>IF(AND('13 Man'!D199&lt;Tmax, NOT('13 Man'!$H199="")),'13 Man'!$H199,4)</f>
        <v>3</v>
      </c>
      <c r="AG199">
        <f>IF(AND('13 Man'!E199&lt;Tmax, NOT('13 Man'!$H199="")),'13 Man'!$H199,4)</f>
        <v>3</v>
      </c>
      <c r="AH199">
        <f>IF(AND('13 Man'!F199&lt;Tmax, NOT('13 Man'!$H199="")),'13 Man'!$H199,4)</f>
        <v>3</v>
      </c>
      <c r="AI199"/>
    </row>
    <row r="200" spans="1:35" s="600" customFormat="1" outlineLevel="2" x14ac:dyDescent="0.2">
      <c r="A200" s="601" t="s">
        <v>1111</v>
      </c>
      <c r="B200" s="601" t="s">
        <v>3105</v>
      </c>
      <c r="C200" s="597"/>
      <c r="D200" s="1539"/>
      <c r="E200" s="593"/>
      <c r="F200" s="593"/>
      <c r="G200" s="1515">
        <v>2</v>
      </c>
      <c r="H200" s="1524">
        <v>3</v>
      </c>
      <c r="I200" s="1524"/>
      <c r="J200" s="1524" t="s">
        <v>1592</v>
      </c>
      <c r="K200" s="1516"/>
      <c r="L200" s="1552"/>
      <c r="M200" s="598"/>
      <c r="N200" s="599"/>
      <c r="O200" s="599"/>
      <c r="P200" s="599"/>
      <c r="Q200" s="599"/>
      <c r="R200" s="599"/>
      <c r="S200" s="599"/>
      <c r="T200" s="599"/>
      <c r="U200" s="599"/>
      <c r="V200" s="599"/>
      <c r="W200" s="599"/>
      <c r="X200" s="599"/>
      <c r="Y200" s="599"/>
      <c r="Z200" s="599"/>
      <c r="AA200">
        <f>IF(AND('13 Man'!C200&gt;Tmin, NOT('13 Man'!$I200="")),'13 Man'!$I200,0)</f>
        <v>0</v>
      </c>
      <c r="AB200">
        <f>IF(AND('13 Man'!D200&gt;Tmin, NOT('13 Man'!$I200="")),'13 Man'!$I200,0)</f>
        <v>0</v>
      </c>
      <c r="AC200">
        <f>IF(AND('13 Man'!E200&gt;Tmin, NOT('13 Man'!$I200="")),'13 Man'!$I200,0)</f>
        <v>0</v>
      </c>
      <c r="AD200">
        <f>IF(AND('13 Man'!F200&gt;Tmin, NOT('13 Man'!$I200="")),'13 Man'!$I200,0)</f>
        <v>0</v>
      </c>
      <c r="AE200">
        <f>IF(AND('13 Man'!C200&lt;Tmax, NOT('13 Man'!$H200="")),'13 Man'!$H200,4)</f>
        <v>3</v>
      </c>
      <c r="AF200">
        <f>IF(AND('13 Man'!D200&lt;Tmax, NOT('13 Man'!$H200="")),'13 Man'!$H200,4)</f>
        <v>3</v>
      </c>
      <c r="AG200">
        <f>IF(AND('13 Man'!E200&lt;Tmax, NOT('13 Man'!$H200="")),'13 Man'!$H200,4)</f>
        <v>3</v>
      </c>
      <c r="AH200">
        <f>IF(AND('13 Man'!F200&lt;Tmax, NOT('13 Man'!$H200="")),'13 Man'!$H200,4)</f>
        <v>3</v>
      </c>
      <c r="AI200"/>
    </row>
    <row r="201" spans="1:35" x14ac:dyDescent="0.2">
      <c r="A201" s="602" t="s">
        <v>1800</v>
      </c>
      <c r="B201" s="602" t="s">
        <v>1801</v>
      </c>
      <c r="C201" s="597"/>
      <c r="D201" s="1539"/>
      <c r="E201" s="593"/>
      <c r="F201" s="593"/>
      <c r="G201" s="1515"/>
      <c r="H201" s="1515"/>
      <c r="I201" s="1515"/>
      <c r="J201" s="1515"/>
      <c r="K201" s="1516"/>
      <c r="L201" s="1516"/>
      <c r="M201" s="594"/>
      <c r="AA201"/>
      <c r="AB201"/>
      <c r="AC201"/>
      <c r="AD201"/>
      <c r="AE201"/>
      <c r="AF201"/>
      <c r="AG201"/>
      <c r="AH201"/>
      <c r="AI201"/>
    </row>
    <row r="202" spans="1:35" s="600" customFormat="1" outlineLevel="1" x14ac:dyDescent="0.2">
      <c r="A202" s="595" t="s">
        <v>1803</v>
      </c>
      <c r="B202" s="596" t="s">
        <v>1802</v>
      </c>
      <c r="C202" s="597"/>
      <c r="D202" s="1539"/>
      <c r="E202" s="593"/>
      <c r="F202" s="593"/>
      <c r="G202" s="1515"/>
      <c r="H202" s="1515"/>
      <c r="I202" s="1515"/>
      <c r="J202" s="1515"/>
      <c r="K202" s="1516"/>
      <c r="L202" s="1516"/>
      <c r="M202" s="598"/>
      <c r="N202" s="599"/>
      <c r="O202" s="599"/>
      <c r="P202" s="599"/>
      <c r="Q202" s="599"/>
      <c r="R202" s="599"/>
      <c r="S202" s="599"/>
      <c r="T202" s="599"/>
      <c r="U202" s="599"/>
      <c r="V202" s="599"/>
      <c r="W202" s="599"/>
      <c r="X202" s="599"/>
      <c r="Y202" s="599"/>
      <c r="Z202" s="599"/>
      <c r="AA202"/>
      <c r="AB202"/>
      <c r="AC202"/>
      <c r="AD202"/>
      <c r="AE202"/>
      <c r="AF202"/>
      <c r="AG202"/>
      <c r="AH202"/>
      <c r="AI202"/>
    </row>
    <row r="203" spans="1:35" ht="22.5" outlineLevel="2" x14ac:dyDescent="0.2">
      <c r="A203" s="601" t="s">
        <v>25</v>
      </c>
      <c r="B203" s="601" t="s">
        <v>23</v>
      </c>
      <c r="C203" s="597"/>
      <c r="D203" s="1539"/>
      <c r="E203" s="593"/>
      <c r="F203" s="593"/>
      <c r="G203" s="1515">
        <v>2</v>
      </c>
      <c r="H203" s="1524"/>
      <c r="I203" s="1524"/>
      <c r="J203" s="1524" t="s">
        <v>1592</v>
      </c>
      <c r="K203" s="1458" t="s">
        <v>7063</v>
      </c>
      <c r="L203" s="1552"/>
      <c r="M203" s="594"/>
      <c r="AA203">
        <f>IF(AND('13 Man'!C203&gt;Tmin, NOT('13 Man'!$I203="")),'13 Man'!$I203,0)</f>
        <v>0</v>
      </c>
      <c r="AB203">
        <f>IF(AND('13 Man'!D203&gt;Tmin, NOT('13 Man'!$I203="")),'13 Man'!$I203,0)</f>
        <v>0</v>
      </c>
      <c r="AC203">
        <f>IF(AND('13 Man'!E203&gt;Tmin, NOT('13 Man'!$I203="")),'13 Man'!$I203,0)</f>
        <v>0</v>
      </c>
      <c r="AD203">
        <f>IF(AND('13 Man'!F203&gt;Tmin, NOT('13 Man'!$I203="")),'13 Man'!$I203,0)</f>
        <v>0</v>
      </c>
      <c r="AE203">
        <f>IF(AND('13 Man'!C203&lt;Tmax, NOT('13 Man'!$H203="")),'13 Man'!$H203,4)</f>
        <v>4</v>
      </c>
      <c r="AF203">
        <f>IF(AND('13 Man'!D203&lt;Tmax, NOT('13 Man'!$H203="")),'13 Man'!$H203,4)</f>
        <v>4</v>
      </c>
      <c r="AG203">
        <f>IF(AND('13 Man'!E203&lt;Tmax, NOT('13 Man'!$H203="")),'13 Man'!$H203,4)</f>
        <v>4</v>
      </c>
      <c r="AH203">
        <f>IF(AND('13 Man'!F203&lt;Tmax, NOT('13 Man'!$H203="")),'13 Man'!$H203,4)</f>
        <v>4</v>
      </c>
      <c r="AI203"/>
    </row>
    <row r="204" spans="1:35" outlineLevel="2" x14ac:dyDescent="0.2">
      <c r="A204" s="601" t="s">
        <v>26</v>
      </c>
      <c r="B204" s="601" t="s">
        <v>6225</v>
      </c>
      <c r="C204" s="597"/>
      <c r="D204" s="1539"/>
      <c r="E204" s="593"/>
      <c r="F204" s="593"/>
      <c r="G204" s="1515">
        <v>2</v>
      </c>
      <c r="H204" s="1524"/>
      <c r="I204" s="1524"/>
      <c r="J204" s="1524" t="s">
        <v>1592</v>
      </c>
      <c r="K204" s="1458" t="s">
        <v>7063</v>
      </c>
      <c r="L204" s="1552"/>
      <c r="M204" s="594"/>
      <c r="AA204">
        <f>IF(AND('13 Man'!C204&gt;Tmin, NOT('13 Man'!$I204="")),'13 Man'!$I204,0)</f>
        <v>0</v>
      </c>
      <c r="AB204">
        <f>IF(AND('13 Man'!D204&gt;Tmin, NOT('13 Man'!$I204="")),'13 Man'!$I204,0)</f>
        <v>0</v>
      </c>
      <c r="AC204">
        <f>IF(AND('13 Man'!E204&gt;Tmin, NOT('13 Man'!$I204="")),'13 Man'!$I204,0)</f>
        <v>0</v>
      </c>
      <c r="AD204">
        <f>IF(AND('13 Man'!F204&gt;Tmin, NOT('13 Man'!$I204="")),'13 Man'!$I204,0)</f>
        <v>0</v>
      </c>
      <c r="AE204">
        <f>IF(AND('13 Man'!C204&lt;Tmax, NOT('13 Man'!$H204="")),'13 Man'!$H204,4)</f>
        <v>4</v>
      </c>
      <c r="AF204">
        <f>IF(AND('13 Man'!D204&lt;Tmax, NOT('13 Man'!$H204="")),'13 Man'!$H204,4)</f>
        <v>4</v>
      </c>
      <c r="AG204">
        <f>IF(AND('13 Man'!E204&lt;Tmax, NOT('13 Man'!$H204="")),'13 Man'!$H204,4)</f>
        <v>4</v>
      </c>
      <c r="AH204">
        <f>IF(AND('13 Man'!F204&lt;Tmax, NOT('13 Man'!$H204="")),'13 Man'!$H204,4)</f>
        <v>4</v>
      </c>
      <c r="AI204"/>
    </row>
    <row r="205" spans="1:35" s="600" customFormat="1" outlineLevel="2" x14ac:dyDescent="0.2">
      <c r="A205" s="601" t="s">
        <v>27</v>
      </c>
      <c r="B205" s="601" t="s">
        <v>24</v>
      </c>
      <c r="C205" s="597"/>
      <c r="D205" s="1539"/>
      <c r="E205" s="593"/>
      <c r="F205" s="593"/>
      <c r="G205" s="1515">
        <v>4</v>
      </c>
      <c r="H205" s="1515"/>
      <c r="I205" s="1515"/>
      <c r="J205" s="1515" t="s">
        <v>4246</v>
      </c>
      <c r="K205" s="1458" t="s">
        <v>7063</v>
      </c>
      <c r="L205" s="1516"/>
      <c r="M205" s="598"/>
      <c r="N205" s="599"/>
      <c r="O205" s="599"/>
      <c r="P205" s="599"/>
      <c r="Q205" s="599"/>
      <c r="R205" s="599"/>
      <c r="S205" s="599"/>
      <c r="T205" s="599"/>
      <c r="U205" s="599"/>
      <c r="V205" s="599"/>
      <c r="W205" s="599"/>
      <c r="X205" s="599"/>
      <c r="Y205" s="599"/>
      <c r="Z205" s="599"/>
      <c r="AA205">
        <f>IF(AND('13 Man'!C205&gt;Tmin, NOT('13 Man'!$I205="")),'13 Man'!$I205,0)</f>
        <v>0</v>
      </c>
      <c r="AB205">
        <f>IF(AND('13 Man'!D205&gt;Tmin, NOT('13 Man'!$I205="")),'13 Man'!$I205,0)</f>
        <v>0</v>
      </c>
      <c r="AC205">
        <f>IF(AND('13 Man'!E205&gt;Tmin, NOT('13 Man'!$I205="")),'13 Man'!$I205,0)</f>
        <v>0</v>
      </c>
      <c r="AD205">
        <f>IF(AND('13 Man'!F205&gt;Tmin, NOT('13 Man'!$I205="")),'13 Man'!$I205,0)</f>
        <v>0</v>
      </c>
      <c r="AE205">
        <f>IF(AND('13 Man'!C205&lt;Tmax, NOT('13 Man'!$H205="")),'13 Man'!$H205,4)</f>
        <v>4</v>
      </c>
      <c r="AF205">
        <f>IF(AND('13 Man'!D205&lt;Tmax, NOT('13 Man'!$H205="")),'13 Man'!$H205,4)</f>
        <v>4</v>
      </c>
      <c r="AG205">
        <f>IF(AND('13 Man'!E205&lt;Tmax, NOT('13 Man'!$H205="")),'13 Man'!$H205,4)</f>
        <v>4</v>
      </c>
      <c r="AH205">
        <f>IF(AND('13 Man'!F205&lt;Tmax, NOT('13 Man'!$H205="")),'13 Man'!$H205,4)</f>
        <v>4</v>
      </c>
      <c r="AI205"/>
    </row>
    <row r="206" spans="1:35" s="600" customFormat="1" outlineLevel="2" x14ac:dyDescent="0.2">
      <c r="A206" s="601" t="s">
        <v>28</v>
      </c>
      <c r="B206" s="601" t="s">
        <v>3694</v>
      </c>
      <c r="C206" s="597"/>
      <c r="D206" s="1539"/>
      <c r="E206" s="593"/>
      <c r="F206" s="593"/>
      <c r="G206" s="1515">
        <v>2</v>
      </c>
      <c r="H206" s="1524"/>
      <c r="I206" s="1524"/>
      <c r="J206" s="1515" t="s">
        <v>1592</v>
      </c>
      <c r="K206" s="1458" t="s">
        <v>7063</v>
      </c>
      <c r="L206" s="1516"/>
      <c r="M206" s="598"/>
      <c r="N206" s="599"/>
      <c r="O206" s="599"/>
      <c r="P206" s="599"/>
      <c r="Q206" s="599"/>
      <c r="R206" s="599"/>
      <c r="S206" s="599"/>
      <c r="T206" s="599"/>
      <c r="U206" s="599"/>
      <c r="V206" s="599"/>
      <c r="W206" s="599"/>
      <c r="X206" s="599"/>
      <c r="Y206" s="599"/>
      <c r="Z206" s="599"/>
      <c r="AA206">
        <f>IF(AND('13 Man'!C206&gt;Tmin, NOT('13 Man'!$I206="")),'13 Man'!$I206,0)</f>
        <v>0</v>
      </c>
      <c r="AB206">
        <f>IF(AND('13 Man'!D206&gt;Tmin, NOT('13 Man'!$I206="")),'13 Man'!$I206,0)</f>
        <v>0</v>
      </c>
      <c r="AC206">
        <f>IF(AND('13 Man'!E206&gt;Tmin, NOT('13 Man'!$I206="")),'13 Man'!$I206,0)</f>
        <v>0</v>
      </c>
      <c r="AD206">
        <f>IF(AND('13 Man'!F206&gt;Tmin, NOT('13 Man'!$I206="")),'13 Man'!$I206,0)</f>
        <v>0</v>
      </c>
      <c r="AE206">
        <f>IF(AND('13 Man'!C206&lt;Tmax, NOT('13 Man'!$H206="")),'13 Man'!$H206,4)</f>
        <v>4</v>
      </c>
      <c r="AF206">
        <f>IF(AND('13 Man'!D206&lt;Tmax, NOT('13 Man'!$H206="")),'13 Man'!$H206,4)</f>
        <v>4</v>
      </c>
      <c r="AG206">
        <f>IF(AND('13 Man'!E206&lt;Tmax, NOT('13 Man'!$H206="")),'13 Man'!$H206,4)</f>
        <v>4</v>
      </c>
      <c r="AH206">
        <f>IF(AND('13 Man'!F206&lt;Tmax, NOT('13 Man'!$H206="")),'13 Man'!$H206,4)</f>
        <v>4</v>
      </c>
      <c r="AI206"/>
    </row>
    <row r="207" spans="1:35" s="600" customFormat="1" ht="22.5" outlineLevel="2" x14ac:dyDescent="0.2">
      <c r="A207" s="601" t="s">
        <v>29</v>
      </c>
      <c r="B207" s="601" t="s">
        <v>2323</v>
      </c>
      <c r="C207" s="597"/>
      <c r="D207" s="1539"/>
      <c r="E207" s="593"/>
      <c r="F207" s="593"/>
      <c r="G207" s="1515">
        <v>4</v>
      </c>
      <c r="H207" s="1524">
        <v>3</v>
      </c>
      <c r="I207" s="1524"/>
      <c r="J207" s="1524" t="s">
        <v>1592</v>
      </c>
      <c r="K207" s="1458" t="s">
        <v>7063</v>
      </c>
      <c r="L207" s="1552"/>
      <c r="M207" s="598"/>
      <c r="N207" s="599"/>
      <c r="O207" s="599"/>
      <c r="P207" s="599"/>
      <c r="Q207" s="599"/>
      <c r="R207" s="599"/>
      <c r="S207" s="599"/>
      <c r="T207" s="599"/>
      <c r="U207" s="599"/>
      <c r="V207" s="599"/>
      <c r="W207" s="599"/>
      <c r="X207" s="599"/>
      <c r="Y207" s="599"/>
      <c r="Z207" s="599"/>
      <c r="AA207">
        <f>IF(AND('13 Man'!C207&gt;Tmin, NOT('13 Man'!$I207="")),'13 Man'!$I207,0)</f>
        <v>0</v>
      </c>
      <c r="AB207">
        <f>IF(AND('13 Man'!D207&gt;Tmin, NOT('13 Man'!$I207="")),'13 Man'!$I207,0)</f>
        <v>0</v>
      </c>
      <c r="AC207">
        <f>IF(AND('13 Man'!E207&gt;Tmin, NOT('13 Man'!$I207="")),'13 Man'!$I207,0)</f>
        <v>0</v>
      </c>
      <c r="AD207">
        <f>IF(AND('13 Man'!F207&gt;Tmin, NOT('13 Man'!$I207="")),'13 Man'!$I207,0)</f>
        <v>0</v>
      </c>
      <c r="AE207">
        <f>IF(AND('13 Man'!C207&lt;Tmax, NOT('13 Man'!$H207="")),'13 Man'!$H207,4)</f>
        <v>3</v>
      </c>
      <c r="AF207">
        <f>IF(AND('13 Man'!D207&lt;Tmax, NOT('13 Man'!$H207="")),'13 Man'!$H207,4)</f>
        <v>3</v>
      </c>
      <c r="AG207">
        <f>IF(AND('13 Man'!E207&lt;Tmax, NOT('13 Man'!$H207="")),'13 Man'!$H207,4)</f>
        <v>3</v>
      </c>
      <c r="AH207">
        <f>IF(AND('13 Man'!F207&lt;Tmax, NOT('13 Man'!$H207="")),'13 Man'!$H207,4)</f>
        <v>3</v>
      </c>
      <c r="AI207"/>
    </row>
    <row r="208" spans="1:35" s="600" customFormat="1" ht="22.5" outlineLevel="2" x14ac:dyDescent="0.2">
      <c r="A208" s="601" t="s">
        <v>30</v>
      </c>
      <c r="B208" s="601" t="s">
        <v>3832</v>
      </c>
      <c r="C208" s="597"/>
      <c r="D208" s="1539"/>
      <c r="E208" s="593"/>
      <c r="F208" s="593"/>
      <c r="G208" s="1515">
        <v>4</v>
      </c>
      <c r="H208" s="1524">
        <v>3</v>
      </c>
      <c r="I208" s="1524"/>
      <c r="J208" s="1524" t="s">
        <v>1592</v>
      </c>
      <c r="K208" s="1458" t="s">
        <v>7063</v>
      </c>
      <c r="L208" s="1552"/>
      <c r="M208" s="598"/>
      <c r="N208" s="599"/>
      <c r="O208" s="599"/>
      <c r="P208" s="599"/>
      <c r="Q208" s="599"/>
      <c r="R208" s="599"/>
      <c r="S208" s="599"/>
      <c r="T208" s="599"/>
      <c r="U208" s="599"/>
      <c r="V208" s="599"/>
      <c r="W208" s="599"/>
      <c r="X208" s="599"/>
      <c r="Y208" s="599"/>
      <c r="Z208" s="599"/>
      <c r="AA208">
        <f>IF(AND('13 Man'!C208&gt;Tmin, NOT('13 Man'!$I208="")),'13 Man'!$I208,0)</f>
        <v>0</v>
      </c>
      <c r="AB208">
        <f>IF(AND('13 Man'!D208&gt;Tmin, NOT('13 Man'!$I208="")),'13 Man'!$I208,0)</f>
        <v>0</v>
      </c>
      <c r="AC208">
        <f>IF(AND('13 Man'!E208&gt;Tmin, NOT('13 Man'!$I208="")),'13 Man'!$I208,0)</f>
        <v>0</v>
      </c>
      <c r="AD208">
        <f>IF(AND('13 Man'!F208&gt;Tmin, NOT('13 Man'!$I208="")),'13 Man'!$I208,0)</f>
        <v>0</v>
      </c>
      <c r="AE208">
        <f>IF(AND('13 Man'!C208&lt;Tmax, NOT('13 Man'!$H208="")),'13 Man'!$H208,4)</f>
        <v>3</v>
      </c>
      <c r="AF208">
        <f>IF(AND('13 Man'!D208&lt;Tmax, NOT('13 Man'!$H208="")),'13 Man'!$H208,4)</f>
        <v>3</v>
      </c>
      <c r="AG208">
        <f>IF(AND('13 Man'!E208&lt;Tmax, NOT('13 Man'!$H208="")),'13 Man'!$H208,4)</f>
        <v>3</v>
      </c>
      <c r="AH208">
        <f>IF(AND('13 Man'!F208&lt;Tmax, NOT('13 Man'!$H208="")),'13 Man'!$H208,4)</f>
        <v>3</v>
      </c>
      <c r="AI208"/>
    </row>
    <row r="209" spans="1:35" s="600" customFormat="1" outlineLevel="1" x14ac:dyDescent="0.2">
      <c r="A209" s="595" t="s">
        <v>33</v>
      </c>
      <c r="B209" s="596" t="s">
        <v>31</v>
      </c>
      <c r="C209" s="597"/>
      <c r="D209" s="1539"/>
      <c r="E209" s="593"/>
      <c r="F209" s="593"/>
      <c r="G209" s="1515"/>
      <c r="H209" s="1515"/>
      <c r="I209" s="1515"/>
      <c r="J209" s="1524"/>
      <c r="K209" s="1516"/>
      <c r="L209" s="1552"/>
      <c r="M209" s="598"/>
      <c r="N209" s="599"/>
      <c r="O209" s="599"/>
      <c r="P209" s="599"/>
      <c r="Q209" s="599"/>
      <c r="R209" s="599"/>
      <c r="S209" s="599"/>
      <c r="T209" s="599"/>
      <c r="U209" s="599"/>
      <c r="V209" s="599"/>
      <c r="W209" s="599"/>
      <c r="X209" s="599"/>
      <c r="Y209" s="599"/>
      <c r="Z209" s="599"/>
      <c r="AA209"/>
      <c r="AB209"/>
      <c r="AC209"/>
      <c r="AD209"/>
      <c r="AE209"/>
      <c r="AF209"/>
      <c r="AG209"/>
      <c r="AH209"/>
      <c r="AI209"/>
    </row>
    <row r="210" spans="1:35" s="600" customFormat="1" outlineLevel="2" x14ac:dyDescent="0.2">
      <c r="A210" s="601" t="s">
        <v>34</v>
      </c>
      <c r="B210" s="601" t="s">
        <v>32</v>
      </c>
      <c r="C210" s="597"/>
      <c r="D210" s="1539"/>
      <c r="E210" s="593"/>
      <c r="F210" s="593"/>
      <c r="G210" s="1515">
        <v>2</v>
      </c>
      <c r="H210" s="1515"/>
      <c r="I210" s="1515"/>
      <c r="J210" s="1524" t="s">
        <v>4246</v>
      </c>
      <c r="K210" s="1458" t="s">
        <v>7063</v>
      </c>
      <c r="L210" s="1552"/>
      <c r="M210" s="598"/>
      <c r="N210" s="599"/>
      <c r="O210" s="599"/>
      <c r="P210" s="599"/>
      <c r="Q210" s="599"/>
      <c r="R210" s="599"/>
      <c r="S210" s="599"/>
      <c r="T210" s="599"/>
      <c r="U210" s="599"/>
      <c r="V210" s="599"/>
      <c r="W210" s="599"/>
      <c r="X210" s="599"/>
      <c r="Y210" s="599"/>
      <c r="Z210" s="599"/>
      <c r="AA210">
        <f>IF(AND('13 Man'!C210&gt;Tmin, NOT('13 Man'!$I210="")),'13 Man'!$I210,0)</f>
        <v>0</v>
      </c>
      <c r="AB210">
        <f>IF(AND('13 Man'!D210&gt;Tmin, NOT('13 Man'!$I210="")),'13 Man'!$I210,0)</f>
        <v>0</v>
      </c>
      <c r="AC210">
        <f>IF(AND('13 Man'!E210&gt;Tmin, NOT('13 Man'!$I210="")),'13 Man'!$I210,0)</f>
        <v>0</v>
      </c>
      <c r="AD210">
        <f>IF(AND('13 Man'!F210&gt;Tmin, NOT('13 Man'!$I210="")),'13 Man'!$I210,0)</f>
        <v>0</v>
      </c>
      <c r="AE210">
        <f>IF(AND('13 Man'!C210&lt;Tmax, NOT('13 Man'!$H210="")),'13 Man'!$H210,4)</f>
        <v>4</v>
      </c>
      <c r="AF210">
        <f>IF(AND('13 Man'!D210&lt;Tmax, NOT('13 Man'!$H210="")),'13 Man'!$H210,4)</f>
        <v>4</v>
      </c>
      <c r="AG210">
        <f>IF(AND('13 Man'!E210&lt;Tmax, NOT('13 Man'!$H210="")),'13 Man'!$H210,4)</f>
        <v>4</v>
      </c>
      <c r="AH210">
        <f>IF(AND('13 Man'!F210&lt;Tmax, NOT('13 Man'!$H210="")),'13 Man'!$H210,4)</f>
        <v>4</v>
      </c>
      <c r="AI210"/>
    </row>
    <row r="211" spans="1:35" s="600" customFormat="1" outlineLevel="2" x14ac:dyDescent="0.2">
      <c r="A211" s="601" t="s">
        <v>1074</v>
      </c>
      <c r="B211" s="601" t="s">
        <v>4516</v>
      </c>
      <c r="C211" s="597"/>
      <c r="D211" s="1539"/>
      <c r="E211" s="593"/>
      <c r="F211" s="593"/>
      <c r="G211" s="1515">
        <v>2</v>
      </c>
      <c r="H211" s="1524"/>
      <c r="I211" s="1524"/>
      <c r="J211" s="1524" t="s">
        <v>1592</v>
      </c>
      <c r="K211" s="1458" t="s">
        <v>7063</v>
      </c>
      <c r="L211" s="1552"/>
      <c r="M211" s="598"/>
      <c r="N211" s="599"/>
      <c r="O211" s="599"/>
      <c r="P211" s="599"/>
      <c r="Q211" s="599"/>
      <c r="R211" s="599"/>
      <c r="S211" s="599"/>
      <c r="T211" s="599"/>
      <c r="U211" s="599"/>
      <c r="V211" s="599"/>
      <c r="W211" s="599"/>
      <c r="X211" s="599"/>
      <c r="Y211" s="599"/>
      <c r="Z211" s="599"/>
      <c r="AA211">
        <f>IF(AND('13 Man'!C211&gt;Tmin, NOT('13 Man'!$I211="")),'13 Man'!$I211,0)</f>
        <v>0</v>
      </c>
      <c r="AB211">
        <f>IF(AND('13 Man'!D211&gt;Tmin, NOT('13 Man'!$I211="")),'13 Man'!$I211,0)</f>
        <v>0</v>
      </c>
      <c r="AC211">
        <f>IF(AND('13 Man'!E211&gt;Tmin, NOT('13 Man'!$I211="")),'13 Man'!$I211,0)</f>
        <v>0</v>
      </c>
      <c r="AD211">
        <f>IF(AND('13 Man'!F211&gt;Tmin, NOT('13 Man'!$I211="")),'13 Man'!$I211,0)</f>
        <v>0</v>
      </c>
      <c r="AE211">
        <f>IF(AND('13 Man'!C211&lt;Tmax, NOT('13 Man'!$H211="")),'13 Man'!$H211,4)</f>
        <v>4</v>
      </c>
      <c r="AF211">
        <f>IF(AND('13 Man'!D211&lt;Tmax, NOT('13 Man'!$H211="")),'13 Man'!$H211,4)</f>
        <v>4</v>
      </c>
      <c r="AG211">
        <f>IF(AND('13 Man'!E211&lt;Tmax, NOT('13 Man'!$H211="")),'13 Man'!$H211,4)</f>
        <v>4</v>
      </c>
      <c r="AH211">
        <f>IF(AND('13 Man'!F211&lt;Tmax, NOT('13 Man'!$H211="")),'13 Man'!$H211,4)</f>
        <v>4</v>
      </c>
      <c r="AI211"/>
    </row>
    <row r="212" spans="1:35" s="600" customFormat="1" outlineLevel="1" x14ac:dyDescent="0.2">
      <c r="A212" s="595" t="s">
        <v>1075</v>
      </c>
      <c r="B212" s="596" t="s">
        <v>35</v>
      </c>
      <c r="C212" s="597"/>
      <c r="D212" s="1539"/>
      <c r="E212" s="593"/>
      <c r="F212" s="593"/>
      <c r="G212" s="1515"/>
      <c r="H212" s="1515"/>
      <c r="I212" s="1515"/>
      <c r="J212" s="1524"/>
      <c r="K212" s="1516"/>
      <c r="L212" s="1552"/>
      <c r="M212" s="598"/>
      <c r="N212" s="599"/>
      <c r="O212" s="599"/>
      <c r="P212" s="599"/>
      <c r="Q212" s="599"/>
      <c r="R212" s="599"/>
      <c r="S212" s="599"/>
      <c r="T212" s="599"/>
      <c r="U212" s="599"/>
      <c r="V212" s="599"/>
      <c r="W212" s="599"/>
      <c r="X212" s="599"/>
      <c r="Y212" s="599"/>
      <c r="Z212" s="599"/>
      <c r="AA212"/>
      <c r="AB212"/>
      <c r="AC212"/>
      <c r="AD212"/>
      <c r="AE212"/>
      <c r="AF212"/>
      <c r="AG212"/>
      <c r="AH212"/>
      <c r="AI212"/>
    </row>
    <row r="213" spans="1:35" s="600" customFormat="1" outlineLevel="2" x14ac:dyDescent="0.2">
      <c r="A213" s="601" t="s">
        <v>1076</v>
      </c>
      <c r="B213" s="601" t="s">
        <v>1073</v>
      </c>
      <c r="C213" s="597"/>
      <c r="D213" s="1539"/>
      <c r="E213" s="593"/>
      <c r="F213" s="593"/>
      <c r="G213" s="1515">
        <v>4</v>
      </c>
      <c r="H213" s="1524">
        <v>3</v>
      </c>
      <c r="I213" s="1524"/>
      <c r="J213" s="1524" t="s">
        <v>2109</v>
      </c>
      <c r="K213" s="1458" t="s">
        <v>7063</v>
      </c>
      <c r="L213" s="1552"/>
      <c r="M213" s="598"/>
      <c r="N213" s="599"/>
      <c r="O213" s="599"/>
      <c r="P213" s="599"/>
      <c r="Q213" s="599"/>
      <c r="R213" s="599"/>
      <c r="S213" s="599"/>
      <c r="T213" s="599"/>
      <c r="U213" s="599"/>
      <c r="V213" s="599"/>
      <c r="W213" s="599"/>
      <c r="X213" s="599"/>
      <c r="Y213" s="599"/>
      <c r="Z213" s="599"/>
      <c r="AA213">
        <f>IF(AND('13 Man'!C213&gt;Tmin, NOT('13 Man'!$I213="")),'13 Man'!$I213,0)</f>
        <v>0</v>
      </c>
      <c r="AB213">
        <f>IF(AND('13 Man'!D213&gt;Tmin, NOT('13 Man'!$I213="")),'13 Man'!$I213,0)</f>
        <v>0</v>
      </c>
      <c r="AC213">
        <f>IF(AND('13 Man'!E213&gt;Tmin, NOT('13 Man'!$I213="")),'13 Man'!$I213,0)</f>
        <v>0</v>
      </c>
      <c r="AD213">
        <f>IF(AND('13 Man'!F213&gt;Tmin, NOT('13 Man'!$I213="")),'13 Man'!$I213,0)</f>
        <v>0</v>
      </c>
      <c r="AE213">
        <f>IF(AND('13 Man'!C213&lt;Tmax, NOT('13 Man'!$H213="")),'13 Man'!$H213,4)</f>
        <v>3</v>
      </c>
      <c r="AF213">
        <f>IF(AND('13 Man'!D213&lt;Tmax, NOT('13 Man'!$H213="")),'13 Man'!$H213,4)</f>
        <v>3</v>
      </c>
      <c r="AG213">
        <f>IF(AND('13 Man'!E213&lt;Tmax, NOT('13 Man'!$H213="")),'13 Man'!$H213,4)</f>
        <v>3</v>
      </c>
      <c r="AH213">
        <f>IF(AND('13 Man'!F213&lt;Tmax, NOT('13 Man'!$H213="")),'13 Man'!$H213,4)</f>
        <v>3</v>
      </c>
      <c r="AI213"/>
    </row>
    <row r="214" spans="1:35" s="600" customFormat="1" outlineLevel="2" x14ac:dyDescent="0.2">
      <c r="A214" s="601" t="s">
        <v>1077</v>
      </c>
      <c r="B214" s="601" t="s">
        <v>2614</v>
      </c>
      <c r="C214" s="597"/>
      <c r="D214" s="1539"/>
      <c r="E214" s="593"/>
      <c r="F214" s="593"/>
      <c r="G214" s="1515">
        <v>4</v>
      </c>
      <c r="H214" s="1524">
        <v>3</v>
      </c>
      <c r="I214" s="1524"/>
      <c r="J214" s="1524" t="s">
        <v>1592</v>
      </c>
      <c r="K214" s="1516"/>
      <c r="L214" s="1552"/>
      <c r="M214" s="598"/>
      <c r="N214" s="599"/>
      <c r="O214" s="599"/>
      <c r="P214" s="599"/>
      <c r="Q214" s="599"/>
      <c r="R214" s="599"/>
      <c r="S214" s="599"/>
      <c r="T214" s="599"/>
      <c r="U214" s="599"/>
      <c r="V214" s="599"/>
      <c r="W214" s="599"/>
      <c r="X214" s="599"/>
      <c r="Y214" s="599"/>
      <c r="Z214" s="599"/>
      <c r="AA214">
        <f>IF(AND('13 Man'!C214&gt;Tmin, NOT('13 Man'!$I214="")),'13 Man'!$I214,0)</f>
        <v>0</v>
      </c>
      <c r="AB214">
        <f>IF(AND('13 Man'!D214&gt;Tmin, NOT('13 Man'!$I214="")),'13 Man'!$I214,0)</f>
        <v>0</v>
      </c>
      <c r="AC214">
        <f>IF(AND('13 Man'!E214&gt;Tmin, NOT('13 Man'!$I214="")),'13 Man'!$I214,0)</f>
        <v>0</v>
      </c>
      <c r="AD214">
        <f>IF(AND('13 Man'!F214&gt;Tmin, NOT('13 Man'!$I214="")),'13 Man'!$I214,0)</f>
        <v>0</v>
      </c>
      <c r="AE214">
        <f>IF(AND('13 Man'!C214&lt;Tmax, NOT('13 Man'!$H214="")),'13 Man'!$H214,4)</f>
        <v>3</v>
      </c>
      <c r="AF214">
        <f>IF(AND('13 Man'!D214&lt;Tmax, NOT('13 Man'!$H214="")),'13 Man'!$H214,4)</f>
        <v>3</v>
      </c>
      <c r="AG214">
        <f>IF(AND('13 Man'!E214&lt;Tmax, NOT('13 Man'!$H214="")),'13 Man'!$H214,4)</f>
        <v>3</v>
      </c>
      <c r="AH214">
        <f>IF(AND('13 Man'!F214&lt;Tmax, NOT('13 Man'!$H214="")),'13 Man'!$H214,4)</f>
        <v>3</v>
      </c>
      <c r="AI214"/>
    </row>
    <row r="215" spans="1:35" s="600" customFormat="1" outlineLevel="2" x14ac:dyDescent="0.2">
      <c r="A215" s="601" t="s">
        <v>1078</v>
      </c>
      <c r="B215" s="601" t="s">
        <v>3105</v>
      </c>
      <c r="C215" s="597"/>
      <c r="D215" s="1539"/>
      <c r="E215" s="593"/>
      <c r="F215" s="593"/>
      <c r="G215" s="1515">
        <v>2</v>
      </c>
      <c r="H215" s="1524">
        <v>3</v>
      </c>
      <c r="I215" s="1524"/>
      <c r="J215" s="1524" t="s">
        <v>1592</v>
      </c>
      <c r="K215" s="1516"/>
      <c r="L215" s="1552"/>
      <c r="M215" s="598"/>
      <c r="N215" s="599"/>
      <c r="O215" s="599"/>
      <c r="P215" s="599"/>
      <c r="Q215" s="599"/>
      <c r="R215" s="599"/>
      <c r="S215" s="599"/>
      <c r="T215" s="599"/>
      <c r="U215" s="599"/>
      <c r="V215" s="599"/>
      <c r="W215" s="599"/>
      <c r="X215" s="599"/>
      <c r="Y215" s="599"/>
      <c r="Z215" s="599"/>
      <c r="AA215">
        <f>IF(AND('13 Man'!C215&gt;Tmin, NOT('13 Man'!$I215="")),'13 Man'!$I215,0)</f>
        <v>0</v>
      </c>
      <c r="AB215">
        <f>IF(AND('13 Man'!D215&gt;Tmin, NOT('13 Man'!$I215="")),'13 Man'!$I215,0)</f>
        <v>0</v>
      </c>
      <c r="AC215">
        <f>IF(AND('13 Man'!E215&gt;Tmin, NOT('13 Man'!$I215="")),'13 Man'!$I215,0)</f>
        <v>0</v>
      </c>
      <c r="AD215">
        <f>IF(AND('13 Man'!F215&gt;Tmin, NOT('13 Man'!$I215="")),'13 Man'!$I215,0)</f>
        <v>0</v>
      </c>
      <c r="AE215">
        <f>IF(AND('13 Man'!C215&lt;Tmax, NOT('13 Man'!$H215="")),'13 Man'!$H215,4)</f>
        <v>3</v>
      </c>
      <c r="AF215">
        <f>IF(AND('13 Man'!D215&lt;Tmax, NOT('13 Man'!$H215="")),'13 Man'!$H215,4)</f>
        <v>3</v>
      </c>
      <c r="AG215">
        <f>IF(AND('13 Man'!E215&lt;Tmax, NOT('13 Man'!$H215="")),'13 Man'!$H215,4)</f>
        <v>3</v>
      </c>
      <c r="AH215">
        <f>IF(AND('13 Man'!F215&lt;Tmax, NOT('13 Man'!$H215="")),'13 Man'!$H215,4)</f>
        <v>3</v>
      </c>
      <c r="AI215"/>
    </row>
    <row r="216" spans="1:35" s="600" customFormat="1" x14ac:dyDescent="0.2">
      <c r="A216" s="603"/>
      <c r="B216" s="604"/>
      <c r="C216" s="605"/>
      <c r="D216" s="1549"/>
      <c r="E216" s="606"/>
      <c r="F216" s="606"/>
      <c r="G216" s="607"/>
      <c r="H216" s="608"/>
      <c r="I216" s="608"/>
      <c r="J216" s="608"/>
      <c r="K216" s="609"/>
      <c r="L216" s="610"/>
      <c r="M216" s="611"/>
      <c r="N216" s="599"/>
      <c r="O216" s="599"/>
      <c r="P216" s="599"/>
      <c r="Q216" s="599"/>
      <c r="R216" s="599"/>
      <c r="S216" s="599"/>
      <c r="T216" s="599"/>
      <c r="U216" s="599"/>
      <c r="V216" s="599"/>
      <c r="W216" s="599"/>
      <c r="X216" s="599"/>
      <c r="Y216" s="599"/>
      <c r="Z216" s="599"/>
      <c r="AA216"/>
      <c r="AB216"/>
      <c r="AC216"/>
      <c r="AD216"/>
      <c r="AE216"/>
      <c r="AF216"/>
      <c r="AG216"/>
      <c r="AH216"/>
      <c r="AI216"/>
    </row>
    <row r="217" spans="1:35" s="600" customFormat="1" ht="12.75" customHeight="1" x14ac:dyDescent="0.2">
      <c r="A217" s="612" t="str">
        <f>C$2</f>
        <v>R-V1</v>
      </c>
      <c r="B217" s="613" t="s">
        <v>7232</v>
      </c>
      <c r="C217" s="612" t="str">
        <f>C$2</f>
        <v>R-V1</v>
      </c>
      <c r="D217" s="612"/>
      <c r="E217" s="612"/>
      <c r="F217" s="612"/>
      <c r="G217" s="607"/>
      <c r="H217" s="608"/>
      <c r="I217" s="608"/>
      <c r="J217" s="608"/>
      <c r="K217" s="609"/>
      <c r="L217" s="610"/>
      <c r="M217" s="611"/>
      <c r="N217" s="599"/>
      <c r="O217" s="599"/>
      <c r="P217" s="599"/>
      <c r="Q217" s="599"/>
      <c r="R217" s="599"/>
      <c r="S217" s="599"/>
      <c r="T217" s="599"/>
      <c r="U217" s="599"/>
      <c r="V217" s="599"/>
      <c r="W217" s="599"/>
      <c r="X217" s="599"/>
      <c r="Y217" s="599"/>
      <c r="Z217" s="599"/>
      <c r="AA217"/>
      <c r="AB217"/>
      <c r="AC217"/>
      <c r="AD217"/>
      <c r="AE217"/>
      <c r="AF217"/>
      <c r="AG217"/>
      <c r="AH217"/>
      <c r="AI217"/>
    </row>
    <row r="218" spans="1:35" s="600" customFormat="1" ht="12.75" customHeight="1" x14ac:dyDescent="0.2">
      <c r="A218" s="612" t="str">
        <f>C$2</f>
        <v>R-V1</v>
      </c>
      <c r="B218" s="613" t="s">
        <v>7233</v>
      </c>
      <c r="C218" s="612" t="str">
        <f>C$2</f>
        <v>R-V1</v>
      </c>
      <c r="D218" s="612"/>
      <c r="E218" s="612"/>
      <c r="F218" s="612"/>
      <c r="G218" s="607"/>
      <c r="H218" s="608"/>
      <c r="I218" s="608"/>
      <c r="J218" s="608"/>
      <c r="K218" s="609"/>
      <c r="L218" s="610"/>
      <c r="M218" s="611"/>
      <c r="N218" s="599"/>
      <c r="O218" s="599"/>
      <c r="P218" s="599"/>
      <c r="Q218" s="599"/>
      <c r="R218" s="599"/>
      <c r="S218" s="599"/>
      <c r="T218" s="599"/>
      <c r="U218" s="599"/>
      <c r="V218" s="599"/>
      <c r="W218" s="599"/>
      <c r="X218" s="599"/>
      <c r="Y218" s="599"/>
      <c r="Z218" s="599"/>
      <c r="AA218"/>
      <c r="AB218"/>
      <c r="AC218"/>
      <c r="AD218"/>
      <c r="AE218"/>
      <c r="AF218"/>
      <c r="AG218"/>
      <c r="AH218"/>
      <c r="AI218"/>
    </row>
    <row r="219" spans="1:35" ht="12.75" customHeight="1" x14ac:dyDescent="0.2">
      <c r="A219" s="612" t="str">
        <f>C$2</f>
        <v>R-V1</v>
      </c>
      <c r="B219" s="613" t="s">
        <v>7234</v>
      </c>
      <c r="C219" s="612" t="str">
        <f>C$2</f>
        <v>R-V1</v>
      </c>
      <c r="D219" s="612"/>
      <c r="E219" s="612"/>
      <c r="F219" s="612"/>
      <c r="AA219"/>
      <c r="AB219"/>
      <c r="AC219"/>
      <c r="AD219"/>
      <c r="AE219"/>
      <c r="AF219"/>
      <c r="AG219"/>
      <c r="AH219"/>
      <c r="AI219"/>
    </row>
    <row r="220" spans="1:35" ht="12.75" customHeight="1" x14ac:dyDescent="0.2">
      <c r="A220" s="612" t="str">
        <f>C$2</f>
        <v>R-V1</v>
      </c>
      <c r="B220" s="618" t="s">
        <v>7235</v>
      </c>
      <c r="C220" s="612" t="str">
        <f>C$2</f>
        <v>R-V1</v>
      </c>
      <c r="D220" s="612"/>
      <c r="E220" s="612"/>
      <c r="F220" s="612"/>
      <c r="AA220"/>
      <c r="AB220"/>
      <c r="AC220"/>
      <c r="AD220"/>
      <c r="AE220"/>
      <c r="AF220"/>
      <c r="AG220"/>
      <c r="AH220"/>
      <c r="AI220"/>
    </row>
    <row r="221" spans="1:35" ht="12.75" customHeight="1" x14ac:dyDescent="0.2">
      <c r="A221" s="612"/>
      <c r="B221" s="613"/>
      <c r="C221" s="612"/>
      <c r="D221" s="612"/>
      <c r="E221" s="612"/>
      <c r="F221" s="612"/>
      <c r="AA221"/>
      <c r="AB221"/>
      <c r="AC221"/>
      <c r="AD221"/>
      <c r="AE221"/>
      <c r="AF221"/>
      <c r="AG221"/>
      <c r="AH221"/>
      <c r="AI221"/>
    </row>
    <row r="222" spans="1:35" ht="12.75" customHeight="1" x14ac:dyDescent="0.2">
      <c r="A222" s="612" t="str">
        <f>D$2</f>
        <v>R-V2</v>
      </c>
      <c r="B222" s="613" t="s">
        <v>7232</v>
      </c>
      <c r="C222" s="612"/>
      <c r="D222" s="612" t="str">
        <f>D$2</f>
        <v>R-V2</v>
      </c>
      <c r="E222" s="612"/>
      <c r="F222" s="612"/>
      <c r="AA222"/>
      <c r="AB222"/>
      <c r="AC222"/>
      <c r="AD222"/>
      <c r="AE222"/>
      <c r="AF222"/>
      <c r="AG222"/>
      <c r="AH222"/>
      <c r="AI222"/>
    </row>
    <row r="223" spans="1:35" ht="12.75" customHeight="1" x14ac:dyDescent="0.2">
      <c r="A223" s="612" t="str">
        <f>D$2</f>
        <v>R-V2</v>
      </c>
      <c r="B223" s="613" t="s">
        <v>7233</v>
      </c>
      <c r="C223" s="612"/>
      <c r="D223" s="612" t="str">
        <f>D$2</f>
        <v>R-V2</v>
      </c>
      <c r="E223" s="612"/>
      <c r="F223" s="612"/>
      <c r="AA223"/>
      <c r="AB223"/>
      <c r="AC223"/>
      <c r="AD223"/>
      <c r="AE223"/>
      <c r="AF223"/>
      <c r="AG223"/>
      <c r="AH223"/>
      <c r="AI223"/>
    </row>
    <row r="224" spans="1:35" ht="12.75" customHeight="1" x14ac:dyDescent="0.2">
      <c r="A224" s="612" t="str">
        <f>D$2</f>
        <v>R-V2</v>
      </c>
      <c r="B224" s="613" t="s">
        <v>7234</v>
      </c>
      <c r="C224" s="612"/>
      <c r="D224" s="612" t="str">
        <f>D$2</f>
        <v>R-V2</v>
      </c>
      <c r="E224" s="612"/>
      <c r="F224" s="612"/>
      <c r="AA224"/>
      <c r="AB224"/>
      <c r="AC224"/>
      <c r="AD224"/>
      <c r="AE224"/>
      <c r="AF224"/>
      <c r="AG224"/>
      <c r="AH224"/>
      <c r="AI224"/>
    </row>
    <row r="225" spans="1:35" ht="12.75" customHeight="1" x14ac:dyDescent="0.2">
      <c r="A225" s="612" t="str">
        <f>D$2</f>
        <v>R-V2</v>
      </c>
      <c r="B225" s="613" t="s">
        <v>7235</v>
      </c>
      <c r="C225" s="612"/>
      <c r="D225" s="612" t="str">
        <f>D$2</f>
        <v>R-V2</v>
      </c>
      <c r="E225" s="612"/>
      <c r="F225" s="612"/>
      <c r="AA225"/>
      <c r="AB225"/>
      <c r="AC225"/>
      <c r="AD225"/>
      <c r="AE225"/>
      <c r="AF225"/>
      <c r="AG225"/>
      <c r="AH225"/>
      <c r="AI225"/>
    </row>
    <row r="226" spans="1:35" ht="12.75" customHeight="1" x14ac:dyDescent="0.2">
      <c r="A226" s="612"/>
      <c r="B226" s="613"/>
      <c r="C226" s="612"/>
      <c r="D226" s="612"/>
      <c r="E226" s="612"/>
      <c r="F226" s="612"/>
      <c r="AA226"/>
      <c r="AB226"/>
      <c r="AC226"/>
      <c r="AD226"/>
      <c r="AE226"/>
      <c r="AF226"/>
      <c r="AG226"/>
      <c r="AH226"/>
      <c r="AI226"/>
    </row>
    <row r="227" spans="1:35" ht="12.75" customHeight="1" x14ac:dyDescent="0.2">
      <c r="A227" s="612" t="str">
        <f>E$2</f>
        <v>R-V3</v>
      </c>
      <c r="B227" s="613" t="s">
        <v>7232</v>
      </c>
      <c r="C227" s="612"/>
      <c r="D227" s="612"/>
      <c r="E227" s="612" t="str">
        <f>E$2</f>
        <v>R-V3</v>
      </c>
      <c r="F227" s="612"/>
      <c r="AA227"/>
      <c r="AB227"/>
      <c r="AC227"/>
      <c r="AD227"/>
      <c r="AE227"/>
      <c r="AF227"/>
      <c r="AG227"/>
      <c r="AH227"/>
      <c r="AI227"/>
    </row>
    <row r="228" spans="1:35" ht="12.75" customHeight="1" x14ac:dyDescent="0.2">
      <c r="A228" s="612" t="str">
        <f>E$2</f>
        <v>R-V3</v>
      </c>
      <c r="B228" s="613" t="s">
        <v>7233</v>
      </c>
      <c r="C228" s="612"/>
      <c r="D228" s="612"/>
      <c r="E228" s="612" t="str">
        <f>E$2</f>
        <v>R-V3</v>
      </c>
      <c r="F228" s="612"/>
      <c r="AA228"/>
      <c r="AB228"/>
      <c r="AC228"/>
      <c r="AD228"/>
      <c r="AE228"/>
      <c r="AF228"/>
      <c r="AG228"/>
      <c r="AH228"/>
      <c r="AI228"/>
    </row>
    <row r="229" spans="1:35" ht="12.75" customHeight="1" x14ac:dyDescent="0.2">
      <c r="A229" s="612" t="str">
        <f>E$2</f>
        <v>R-V3</v>
      </c>
      <c r="B229" s="613" t="s">
        <v>7234</v>
      </c>
      <c r="C229" s="612"/>
      <c r="D229" s="612"/>
      <c r="E229" s="612" t="str">
        <f>E$2</f>
        <v>R-V3</v>
      </c>
      <c r="F229" s="612"/>
      <c r="AA229"/>
      <c r="AB229"/>
      <c r="AC229"/>
      <c r="AD229"/>
      <c r="AE229"/>
      <c r="AF229"/>
      <c r="AG229"/>
      <c r="AH229"/>
      <c r="AI229"/>
    </row>
    <row r="230" spans="1:35" ht="12.75" customHeight="1" x14ac:dyDescent="0.2">
      <c r="A230" s="612" t="str">
        <f>E$2</f>
        <v>R-V3</v>
      </c>
      <c r="B230" s="613" t="s">
        <v>7235</v>
      </c>
      <c r="C230" s="612"/>
      <c r="D230" s="612"/>
      <c r="E230" s="612" t="str">
        <f>E$2</f>
        <v>R-V3</v>
      </c>
      <c r="F230" s="612"/>
      <c r="AA230"/>
      <c r="AB230"/>
      <c r="AC230"/>
      <c r="AD230"/>
      <c r="AE230"/>
      <c r="AF230"/>
      <c r="AG230"/>
      <c r="AH230"/>
      <c r="AI230"/>
    </row>
    <row r="231" spans="1:35" ht="12.75" customHeight="1" x14ac:dyDescent="0.2">
      <c r="A231" s="612"/>
      <c r="B231" s="613"/>
      <c r="C231" s="612"/>
      <c r="D231" s="612"/>
      <c r="E231" s="612"/>
      <c r="F231" s="612"/>
      <c r="AA231"/>
      <c r="AB231"/>
      <c r="AC231"/>
      <c r="AD231"/>
      <c r="AE231"/>
      <c r="AF231"/>
      <c r="AG231"/>
      <c r="AH231"/>
      <c r="AI231"/>
    </row>
    <row r="232" spans="1:35" ht="12.75" customHeight="1" x14ac:dyDescent="0.2">
      <c r="A232" s="612" t="str">
        <f>F$2</f>
        <v>R-V4</v>
      </c>
      <c r="B232" s="613" t="s">
        <v>7232</v>
      </c>
      <c r="C232" s="612"/>
      <c r="D232" s="612"/>
      <c r="E232" s="612"/>
      <c r="F232" s="612" t="str">
        <f>F$2</f>
        <v>R-V4</v>
      </c>
      <c r="AA232"/>
      <c r="AB232"/>
      <c r="AC232"/>
      <c r="AD232"/>
      <c r="AE232"/>
      <c r="AF232"/>
      <c r="AG232"/>
      <c r="AH232"/>
      <c r="AI232"/>
    </row>
    <row r="233" spans="1:35" ht="12.75" customHeight="1" x14ac:dyDescent="0.2">
      <c r="A233" s="612" t="str">
        <f>F$2</f>
        <v>R-V4</v>
      </c>
      <c r="B233" s="613" t="s">
        <v>7233</v>
      </c>
      <c r="C233" s="612"/>
      <c r="D233" s="612"/>
      <c r="E233" s="612"/>
      <c r="F233" s="612" t="str">
        <f>F$2</f>
        <v>R-V4</v>
      </c>
      <c r="AA233"/>
      <c r="AB233"/>
      <c r="AC233"/>
      <c r="AD233"/>
      <c r="AE233"/>
      <c r="AF233"/>
      <c r="AG233"/>
      <c r="AH233"/>
      <c r="AI233"/>
    </row>
    <row r="234" spans="1:35" ht="12.75" customHeight="1" x14ac:dyDescent="0.2">
      <c r="A234" s="612" t="str">
        <f>F$2</f>
        <v>R-V4</v>
      </c>
      <c r="B234" s="613" t="s">
        <v>7234</v>
      </c>
      <c r="C234" s="612"/>
      <c r="D234" s="612"/>
      <c r="E234" s="612"/>
      <c r="F234" s="612" t="str">
        <f>F$2</f>
        <v>R-V4</v>
      </c>
      <c r="AA234"/>
      <c r="AB234"/>
      <c r="AC234"/>
      <c r="AD234"/>
      <c r="AE234"/>
      <c r="AF234"/>
      <c r="AG234"/>
      <c r="AH234"/>
      <c r="AI234"/>
    </row>
    <row r="235" spans="1:35" ht="12.75" customHeight="1" x14ac:dyDescent="0.2">
      <c r="A235" s="612" t="str">
        <f>F$2</f>
        <v>R-V4</v>
      </c>
      <c r="B235" s="613" t="s">
        <v>7235</v>
      </c>
      <c r="C235" s="612"/>
      <c r="D235" s="612"/>
      <c r="E235" s="612"/>
      <c r="F235" s="612" t="str">
        <f>F$2</f>
        <v>R-V4</v>
      </c>
      <c r="AA235"/>
      <c r="AB235"/>
      <c r="AC235"/>
      <c r="AD235"/>
      <c r="AE235"/>
      <c r="AF235"/>
      <c r="AG235"/>
      <c r="AH235"/>
      <c r="AI235"/>
    </row>
    <row r="236" spans="1:35" x14ac:dyDescent="0.2">
      <c r="AA236"/>
      <c r="AB236"/>
      <c r="AC236"/>
      <c r="AD236"/>
      <c r="AE236"/>
      <c r="AF236"/>
      <c r="AG236"/>
      <c r="AH236"/>
      <c r="AI236"/>
    </row>
    <row r="237" spans="1:35" x14ac:dyDescent="0.2">
      <c r="AA237"/>
      <c r="AB237"/>
      <c r="AC237"/>
      <c r="AD237"/>
      <c r="AE237"/>
      <c r="AF237"/>
      <c r="AG237"/>
      <c r="AH237"/>
      <c r="AI237"/>
    </row>
    <row r="238" spans="1:35" x14ac:dyDescent="0.2">
      <c r="AA238"/>
      <c r="AB238"/>
      <c r="AC238"/>
      <c r="AD238"/>
      <c r="AE238"/>
      <c r="AF238"/>
      <c r="AG238"/>
      <c r="AH238"/>
      <c r="AI238"/>
    </row>
    <row r="239" spans="1:35" x14ac:dyDescent="0.2">
      <c r="AA239"/>
      <c r="AB239"/>
      <c r="AC239"/>
      <c r="AD239"/>
      <c r="AE239"/>
      <c r="AF239"/>
      <c r="AG239"/>
      <c r="AH239"/>
      <c r="AI239"/>
    </row>
    <row r="240" spans="1: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phoneticPr fontId="5" type="noConversion"/>
  <conditionalFormatting sqref="A5:B17 A19:B28 A30:B37 A39:B53 A55:B63 A65:B67 A109:B112 A74:B81 A83:B93 A95:B103 A105:B107 A140:B143 A114:B125 A127:B134 A136:B138 A169:B172 A145:B155 A157:B163 A165:B167 A213:B215 A174:B184 A186:B192 A194:B196 A198:B201 A203:B208 A210:B211 A69:B72">
    <cfRule type="expression" dxfId="119" priority="12" stopIfTrue="1">
      <formula>AND(NOT($K5=""),$K$1=1)</formula>
    </cfRule>
  </conditionalFormatting>
  <conditionalFormatting sqref="C5:C215 G5:M215">
    <cfRule type="expression" dxfId="118" priority="10">
      <formula>AND(NOT($K5=""),$K$1=1)</formula>
    </cfRule>
  </conditionalFormatting>
  <conditionalFormatting sqref="C5:C215">
    <cfRule type="expression" dxfId="117" priority="4">
      <formula>AND(NOT($K5=""),$K$1=1)</formula>
    </cfRule>
  </conditionalFormatting>
  <conditionalFormatting sqref="C6:C215">
    <cfRule type="expression" dxfId="116" priority="3" stopIfTrue="1">
      <formula>AND(NOT($K6=""),$K$1=1)</formula>
    </cfRule>
  </conditionalFormatting>
  <conditionalFormatting sqref="C5:C215">
    <cfRule type="expression" dxfId="115" priority="2" stopIfTrue="1">
      <formula>AND(NOT($K5=""),$K$1=1)</formula>
    </cfRule>
  </conditionalFormatting>
  <conditionalFormatting sqref="C4:C215">
    <cfRule type="expression" dxfId="114" priority="1" stopIfTrue="1">
      <formula>AND(NOT($K4=""),$K$1=1)</formula>
    </cfRule>
  </conditionalFormatting>
  <printOptions gridLines="1"/>
  <pageMargins left="0.39374999999999999" right="0.39374999999999999" top="0.39374999999999999" bottom="0.59097222222222223" header="0.51180555555555562" footer="0.31527777777777777"/>
  <pageSetup paperSize="9" firstPageNumber="0" orientation="landscape" horizontalDpi="300" verticalDpi="300"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1">
    <tabColor indexed="47"/>
  </sheetPr>
  <dimension ref="A1:AI400"/>
  <sheetViews>
    <sheetView workbookViewId="0">
      <pane xSplit="9" ySplit="2" topLeftCell="J3" activePane="bottomRight" state="frozen"/>
      <selection activeCell="I304" sqref="I304"/>
      <selection pane="topRight" activeCell="I304" sqref="I304"/>
      <selection pane="bottomLeft" activeCell="I304" sqref="I304"/>
      <selection pane="bottomRight" sqref="A1:B1"/>
    </sheetView>
  </sheetViews>
  <sheetFormatPr baseColWidth="10" defaultColWidth="11.42578125" defaultRowHeight="12.75" outlineLevelRow="2" outlineLevelCol="1" x14ac:dyDescent="0.2"/>
  <cols>
    <col min="1" max="1" width="9.85546875" style="571" customWidth="1"/>
    <col min="2" max="2" width="90.140625" style="572" customWidth="1"/>
    <col min="3" max="6" width="4.28515625" style="573" customWidth="1"/>
    <col min="7" max="7" width="3.42578125" style="544" customWidth="1" outlineLevel="1"/>
    <col min="8" max="9" width="4.85546875" style="544" customWidth="1" outlineLevel="1"/>
    <col min="10" max="10" width="22.7109375" style="543" customWidth="1"/>
    <col min="11" max="12" width="11.42578125" style="543"/>
    <col min="13" max="13" width="11.28515625" style="168" customWidth="1"/>
    <col min="14" max="25" width="11.42578125" style="543"/>
    <col min="26" max="26" width="12.28515625" style="543" customWidth="1"/>
    <col min="27" max="34" width="12.28515625" style="544" hidden="1" customWidth="1"/>
    <col min="35" max="35" width="12.28515625" style="544" customWidth="1"/>
    <col min="36" max="16384" width="11.42578125" style="544"/>
  </cols>
  <sheetData>
    <row r="1" spans="1:35" ht="18" x14ac:dyDescent="0.2">
      <c r="A1" s="1974" t="s">
        <v>7453</v>
      </c>
      <c r="B1" s="1979"/>
      <c r="C1" s="538">
        <v>1</v>
      </c>
      <c r="D1" s="1980" t="str">
        <f>"variante"&amp;IF(C1&gt;1,"s","")</f>
        <v>variante</v>
      </c>
      <c r="E1" s="1980"/>
      <c r="F1" s="539"/>
      <c r="G1" s="540"/>
      <c r="H1" s="540"/>
      <c r="I1" s="541"/>
      <c r="J1" s="542"/>
    </row>
    <row r="2" spans="1:35" x14ac:dyDescent="0.2">
      <c r="A2" s="545" t="s">
        <v>3585</v>
      </c>
      <c r="B2" s="546" t="s">
        <v>3675</v>
      </c>
      <c r="C2" s="547" t="s">
        <v>3676</v>
      </c>
      <c r="D2" s="547" t="s">
        <v>3677</v>
      </c>
      <c r="E2" s="547" t="s">
        <v>3678</v>
      </c>
      <c r="F2" s="547" t="s">
        <v>3679</v>
      </c>
      <c r="G2" s="548" t="s">
        <v>1428</v>
      </c>
      <c r="H2" s="548" t="s">
        <v>3680</v>
      </c>
      <c r="I2" s="548" t="s">
        <v>2054</v>
      </c>
      <c r="J2" s="549" t="s">
        <v>3682</v>
      </c>
    </row>
    <row r="3" spans="1:35" x14ac:dyDescent="0.2">
      <c r="A3" s="550" t="s">
        <v>5189</v>
      </c>
      <c r="B3" s="550" t="s">
        <v>5190</v>
      </c>
      <c r="C3" s="551"/>
      <c r="D3" s="1149"/>
      <c r="E3" s="1149"/>
      <c r="F3" s="551"/>
      <c r="G3" s="1492"/>
      <c r="H3" s="1492"/>
      <c r="I3" s="1492"/>
      <c r="J3" s="552"/>
    </row>
    <row r="4" spans="1:35" outlineLevel="1" x14ac:dyDescent="0.2">
      <c r="A4" s="553" t="s">
        <v>5191</v>
      </c>
      <c r="B4" s="554" t="s">
        <v>5192</v>
      </c>
      <c r="C4" s="555"/>
      <c r="D4" s="1150"/>
      <c r="E4" s="1150"/>
      <c r="F4" s="552"/>
      <c r="G4" s="1492"/>
      <c r="H4" s="1492"/>
      <c r="I4" s="1492"/>
      <c r="J4" s="552"/>
      <c r="AA4"/>
      <c r="AB4"/>
      <c r="AC4"/>
      <c r="AD4"/>
      <c r="AE4"/>
      <c r="AF4"/>
      <c r="AG4"/>
      <c r="AH4"/>
      <c r="AI4"/>
    </row>
    <row r="5" spans="1:35" outlineLevel="2" x14ac:dyDescent="0.2">
      <c r="A5" s="556" t="s">
        <v>6644</v>
      </c>
      <c r="B5" s="557" t="s">
        <v>5799</v>
      </c>
      <c r="C5" s="555"/>
      <c r="D5" s="1150"/>
      <c r="E5" s="1150"/>
      <c r="F5" s="552"/>
      <c r="G5" s="1492">
        <v>4</v>
      </c>
      <c r="H5" s="1492"/>
      <c r="I5" s="1492"/>
      <c r="J5" s="552"/>
      <c r="AA5">
        <f>IF(AND('14 Msi'!C5&gt;Tmin, NOT('14 Msi'!$I5="")),'14 Msi'!$I5,0)</f>
        <v>0</v>
      </c>
      <c r="AB5">
        <f>IF(AND('14 Msi'!D5&gt;Tmin, NOT('14 Msi'!$I5="")),'14 Msi'!$I5,0)</f>
        <v>0</v>
      </c>
      <c r="AC5">
        <f>IF(AND('14 Msi'!E5&gt;Tmin, NOT('14 Msi'!$I5="")),'14 Msi'!$I5,0)</f>
        <v>0</v>
      </c>
      <c r="AD5">
        <f>IF(AND('14 Msi'!F5&gt;Tmin, NOT('14 Msi'!$I5="")),'14 Msi'!$I5,0)</f>
        <v>0</v>
      </c>
      <c r="AE5">
        <f>IF(AND('14 Msi'!C5&lt;Tmax, NOT('14 Msi'!$H5="")),'14 Msi'!$H5,4)</f>
        <v>4</v>
      </c>
      <c r="AF5">
        <f>IF(AND('14 Msi'!D5&lt;Tmax, NOT('14 Msi'!$H5="")),'14 Msi'!$H5,4)</f>
        <v>4</v>
      </c>
      <c r="AG5">
        <f>IF(AND('14 Msi'!E5&lt;Tmax, NOT('14 Msi'!$H5="")),'14 Msi'!$H5,4)</f>
        <v>4</v>
      </c>
      <c r="AH5">
        <f>IF(AND('14 Msi'!F5&lt;Tmax, NOT('14 Msi'!$H5="")),'14 Msi'!$H5,4)</f>
        <v>4</v>
      </c>
      <c r="AI5"/>
    </row>
    <row r="6" spans="1:35" ht="35.25" customHeight="1" outlineLevel="2" x14ac:dyDescent="0.2">
      <c r="A6" s="556" t="s">
        <v>5800</v>
      </c>
      <c r="B6" s="557" t="s">
        <v>5368</v>
      </c>
      <c r="C6" s="555"/>
      <c r="D6" s="1150"/>
      <c r="E6" s="1150"/>
      <c r="F6" s="552"/>
      <c r="G6" s="1492">
        <v>2</v>
      </c>
      <c r="H6" s="1492"/>
      <c r="I6" s="1492"/>
      <c r="J6" s="552"/>
      <c r="AA6">
        <f>IF(AND('14 Msi'!C6&gt;Tmin, NOT('14 Msi'!$I6="")),'14 Msi'!$I6,0)</f>
        <v>0</v>
      </c>
      <c r="AB6">
        <f>IF(AND('14 Msi'!D6&gt;Tmin, NOT('14 Msi'!$I6="")),'14 Msi'!$I6,0)</f>
        <v>0</v>
      </c>
      <c r="AC6">
        <f>IF(AND('14 Msi'!E6&gt;Tmin, NOT('14 Msi'!$I6="")),'14 Msi'!$I6,0)</f>
        <v>0</v>
      </c>
      <c r="AD6">
        <f>IF(AND('14 Msi'!F6&gt;Tmin, NOT('14 Msi'!$I6="")),'14 Msi'!$I6,0)</f>
        <v>0</v>
      </c>
      <c r="AE6">
        <f>IF(AND('14 Msi'!C6&lt;Tmax, NOT('14 Msi'!$H6="")),'14 Msi'!$H6,4)</f>
        <v>4</v>
      </c>
      <c r="AF6">
        <f>IF(AND('14 Msi'!D6&lt;Tmax, NOT('14 Msi'!$H6="")),'14 Msi'!$H6,4)</f>
        <v>4</v>
      </c>
      <c r="AG6">
        <f>IF(AND('14 Msi'!E6&lt;Tmax, NOT('14 Msi'!$H6="")),'14 Msi'!$H6,4)</f>
        <v>4</v>
      </c>
      <c r="AH6">
        <f>IF(AND('14 Msi'!F6&lt;Tmax, NOT('14 Msi'!$H6="")),'14 Msi'!$H6,4)</f>
        <v>4</v>
      </c>
      <c r="AI6"/>
    </row>
    <row r="7" spans="1:35" outlineLevel="1" x14ac:dyDescent="0.2">
      <c r="A7" s="558" t="s">
        <v>5801</v>
      </c>
      <c r="B7" s="559" t="s">
        <v>6297</v>
      </c>
      <c r="C7" s="555"/>
      <c r="D7" s="1150"/>
      <c r="E7" s="1150"/>
      <c r="F7" s="552"/>
      <c r="G7" s="1492"/>
      <c r="H7" s="1492"/>
      <c r="I7" s="1492"/>
      <c r="J7" s="552"/>
      <c r="AA7"/>
      <c r="AB7"/>
      <c r="AC7"/>
      <c r="AD7"/>
      <c r="AE7"/>
      <c r="AF7"/>
      <c r="AG7"/>
      <c r="AH7"/>
      <c r="AI7"/>
    </row>
    <row r="8" spans="1:35" outlineLevel="2" x14ac:dyDescent="0.2">
      <c r="A8" s="556" t="s">
        <v>6298</v>
      </c>
      <c r="B8" s="557" t="s">
        <v>6830</v>
      </c>
      <c r="C8" s="555"/>
      <c r="D8" s="1150"/>
      <c r="E8" s="1150"/>
      <c r="F8" s="552"/>
      <c r="G8" s="1492">
        <v>4</v>
      </c>
      <c r="H8" s="1492"/>
      <c r="I8" s="1492"/>
      <c r="J8" s="552"/>
      <c r="AA8">
        <f>IF(AND('14 Msi'!C8&gt;Tmin, NOT('14 Msi'!$I8="")),'14 Msi'!$I8,0)</f>
        <v>0</v>
      </c>
      <c r="AB8">
        <f>IF(AND('14 Msi'!D8&gt;Tmin, NOT('14 Msi'!$I8="")),'14 Msi'!$I8,0)</f>
        <v>0</v>
      </c>
      <c r="AC8">
        <f>IF(AND('14 Msi'!E8&gt;Tmin, NOT('14 Msi'!$I8="")),'14 Msi'!$I8,0)</f>
        <v>0</v>
      </c>
      <c r="AD8">
        <f>IF(AND('14 Msi'!F8&gt;Tmin, NOT('14 Msi'!$I8="")),'14 Msi'!$I8,0)</f>
        <v>0</v>
      </c>
      <c r="AE8">
        <f>IF(AND('14 Msi'!C8&lt;Tmax, NOT('14 Msi'!$H8="")),'14 Msi'!$H8,4)</f>
        <v>4</v>
      </c>
      <c r="AF8">
        <f>IF(AND('14 Msi'!D8&lt;Tmax, NOT('14 Msi'!$H8="")),'14 Msi'!$H8,4)</f>
        <v>4</v>
      </c>
      <c r="AG8">
        <f>IF(AND('14 Msi'!E8&lt;Tmax, NOT('14 Msi'!$H8="")),'14 Msi'!$H8,4)</f>
        <v>4</v>
      </c>
      <c r="AH8">
        <f>IF(AND('14 Msi'!F8&lt;Tmax, NOT('14 Msi'!$H8="")),'14 Msi'!$H8,4)</f>
        <v>4</v>
      </c>
      <c r="AI8"/>
    </row>
    <row r="9" spans="1:35" ht="22.5" outlineLevel="2" x14ac:dyDescent="0.2">
      <c r="A9" s="556" t="s">
        <v>6831</v>
      </c>
      <c r="B9" s="557" t="s">
        <v>5481</v>
      </c>
      <c r="C9" s="555"/>
      <c r="D9" s="1150"/>
      <c r="E9" s="1150"/>
      <c r="F9" s="552"/>
      <c r="G9" s="1492">
        <v>1</v>
      </c>
      <c r="H9" s="1492"/>
      <c r="I9" s="1492"/>
      <c r="J9" s="552"/>
      <c r="AA9">
        <f>IF(AND('14 Msi'!C9&gt;Tmin, NOT('14 Msi'!$I9="")),'14 Msi'!$I9,0)</f>
        <v>0</v>
      </c>
      <c r="AB9">
        <f>IF(AND('14 Msi'!D9&gt;Tmin, NOT('14 Msi'!$I9="")),'14 Msi'!$I9,0)</f>
        <v>0</v>
      </c>
      <c r="AC9">
        <f>IF(AND('14 Msi'!E9&gt;Tmin, NOT('14 Msi'!$I9="")),'14 Msi'!$I9,0)</f>
        <v>0</v>
      </c>
      <c r="AD9">
        <f>IF(AND('14 Msi'!F9&gt;Tmin, NOT('14 Msi'!$I9="")),'14 Msi'!$I9,0)</f>
        <v>0</v>
      </c>
      <c r="AE9">
        <f>IF(AND('14 Msi'!C9&lt;Tmax, NOT('14 Msi'!$H9="")),'14 Msi'!$H9,4)</f>
        <v>4</v>
      </c>
      <c r="AF9">
        <f>IF(AND('14 Msi'!D9&lt;Tmax, NOT('14 Msi'!$H9="")),'14 Msi'!$H9,4)</f>
        <v>4</v>
      </c>
      <c r="AG9">
        <f>IF(AND('14 Msi'!E9&lt;Tmax, NOT('14 Msi'!$H9="")),'14 Msi'!$H9,4)</f>
        <v>4</v>
      </c>
      <c r="AH9">
        <f>IF(AND('14 Msi'!F9&lt;Tmax, NOT('14 Msi'!$H9="")),'14 Msi'!$H9,4)</f>
        <v>4</v>
      </c>
      <c r="AI9"/>
    </row>
    <row r="10" spans="1:35" outlineLevel="2" x14ac:dyDescent="0.2">
      <c r="A10" s="556" t="s">
        <v>6832</v>
      </c>
      <c r="B10" s="557" t="s">
        <v>3902</v>
      </c>
      <c r="C10" s="555"/>
      <c r="D10" s="1150"/>
      <c r="E10" s="1150"/>
      <c r="F10" s="552"/>
      <c r="G10" s="1492">
        <v>2</v>
      </c>
      <c r="H10" s="1492"/>
      <c r="I10" s="1492"/>
      <c r="J10" s="552"/>
      <c r="AA10">
        <f>IF(AND('14 Msi'!C10&gt;Tmin, NOT('14 Msi'!$I10="")),'14 Msi'!$I10,0)</f>
        <v>0</v>
      </c>
      <c r="AB10">
        <f>IF(AND('14 Msi'!D10&gt;Tmin, NOT('14 Msi'!$I10="")),'14 Msi'!$I10,0)</f>
        <v>0</v>
      </c>
      <c r="AC10">
        <f>IF(AND('14 Msi'!E10&gt;Tmin, NOT('14 Msi'!$I10="")),'14 Msi'!$I10,0)</f>
        <v>0</v>
      </c>
      <c r="AD10">
        <f>IF(AND('14 Msi'!F10&gt;Tmin, NOT('14 Msi'!$I10="")),'14 Msi'!$I10,0)</f>
        <v>0</v>
      </c>
      <c r="AE10">
        <f>IF(AND('14 Msi'!C10&lt;Tmax, NOT('14 Msi'!$H10="")),'14 Msi'!$H10,4)</f>
        <v>4</v>
      </c>
      <c r="AF10">
        <f>IF(AND('14 Msi'!D10&lt;Tmax, NOT('14 Msi'!$H10="")),'14 Msi'!$H10,4)</f>
        <v>4</v>
      </c>
      <c r="AG10">
        <f>IF(AND('14 Msi'!E10&lt;Tmax, NOT('14 Msi'!$H10="")),'14 Msi'!$H10,4)</f>
        <v>4</v>
      </c>
      <c r="AH10">
        <f>IF(AND('14 Msi'!F10&lt;Tmax, NOT('14 Msi'!$H10="")),'14 Msi'!$H10,4)</f>
        <v>4</v>
      </c>
      <c r="AI10"/>
    </row>
    <row r="11" spans="1:35" outlineLevel="2" x14ac:dyDescent="0.2">
      <c r="A11" s="556" t="s">
        <v>3903</v>
      </c>
      <c r="B11" s="557" t="s">
        <v>3904</v>
      </c>
      <c r="C11" s="555"/>
      <c r="D11" s="1150"/>
      <c r="E11" s="1150"/>
      <c r="F11" s="552"/>
      <c r="G11" s="1492">
        <v>2</v>
      </c>
      <c r="H11" s="1492"/>
      <c r="I11" s="1492"/>
      <c r="J11" s="552"/>
      <c r="AA11">
        <f>IF(AND('14 Msi'!C11&gt;Tmin, NOT('14 Msi'!$I11="")),'14 Msi'!$I11,0)</f>
        <v>0</v>
      </c>
      <c r="AB11">
        <f>IF(AND('14 Msi'!D11&gt;Tmin, NOT('14 Msi'!$I11="")),'14 Msi'!$I11,0)</f>
        <v>0</v>
      </c>
      <c r="AC11">
        <f>IF(AND('14 Msi'!E11&gt;Tmin, NOT('14 Msi'!$I11="")),'14 Msi'!$I11,0)</f>
        <v>0</v>
      </c>
      <c r="AD11">
        <f>IF(AND('14 Msi'!F11&gt;Tmin, NOT('14 Msi'!$I11="")),'14 Msi'!$I11,0)</f>
        <v>0</v>
      </c>
      <c r="AE11">
        <f>IF(AND('14 Msi'!C11&lt;Tmax, NOT('14 Msi'!$H11="")),'14 Msi'!$H11,4)</f>
        <v>4</v>
      </c>
      <c r="AF11">
        <f>IF(AND('14 Msi'!D11&lt;Tmax, NOT('14 Msi'!$H11="")),'14 Msi'!$H11,4)</f>
        <v>4</v>
      </c>
      <c r="AG11">
        <f>IF(AND('14 Msi'!E11&lt;Tmax, NOT('14 Msi'!$H11="")),'14 Msi'!$H11,4)</f>
        <v>4</v>
      </c>
      <c r="AH11">
        <f>IF(AND('14 Msi'!F11&lt;Tmax, NOT('14 Msi'!$H11="")),'14 Msi'!$H11,4)</f>
        <v>4</v>
      </c>
      <c r="AI11"/>
    </row>
    <row r="12" spans="1:35" outlineLevel="2" x14ac:dyDescent="0.2">
      <c r="A12" s="556" t="s">
        <v>3905</v>
      </c>
      <c r="B12" s="557" t="s">
        <v>3906</v>
      </c>
      <c r="C12" s="555"/>
      <c r="D12" s="1150"/>
      <c r="E12" s="1150"/>
      <c r="F12" s="552"/>
      <c r="G12" s="1492">
        <v>2</v>
      </c>
      <c r="H12" s="1492"/>
      <c r="I12" s="1492"/>
      <c r="J12" s="552"/>
      <c r="AA12">
        <f>IF(AND('14 Msi'!C12&gt;Tmin, NOT('14 Msi'!$I12="")),'14 Msi'!$I12,0)</f>
        <v>0</v>
      </c>
      <c r="AB12">
        <f>IF(AND('14 Msi'!D12&gt;Tmin, NOT('14 Msi'!$I12="")),'14 Msi'!$I12,0)</f>
        <v>0</v>
      </c>
      <c r="AC12">
        <f>IF(AND('14 Msi'!E12&gt;Tmin, NOT('14 Msi'!$I12="")),'14 Msi'!$I12,0)</f>
        <v>0</v>
      </c>
      <c r="AD12">
        <f>IF(AND('14 Msi'!F12&gt;Tmin, NOT('14 Msi'!$I12="")),'14 Msi'!$I12,0)</f>
        <v>0</v>
      </c>
      <c r="AE12">
        <f>IF(AND('14 Msi'!C12&lt;Tmax, NOT('14 Msi'!$H12="")),'14 Msi'!$H12,4)</f>
        <v>4</v>
      </c>
      <c r="AF12">
        <f>IF(AND('14 Msi'!D12&lt;Tmax, NOT('14 Msi'!$H12="")),'14 Msi'!$H12,4)</f>
        <v>4</v>
      </c>
      <c r="AG12">
        <f>IF(AND('14 Msi'!E12&lt;Tmax, NOT('14 Msi'!$H12="")),'14 Msi'!$H12,4)</f>
        <v>4</v>
      </c>
      <c r="AH12">
        <f>IF(AND('14 Msi'!F12&lt;Tmax, NOT('14 Msi'!$H12="")),'14 Msi'!$H12,4)</f>
        <v>4</v>
      </c>
      <c r="AI12"/>
    </row>
    <row r="13" spans="1:35" outlineLevel="2" x14ac:dyDescent="0.2">
      <c r="A13" s="556" t="s">
        <v>3907</v>
      </c>
      <c r="B13" s="557" t="s">
        <v>5482</v>
      </c>
      <c r="C13" s="555"/>
      <c r="D13" s="1150"/>
      <c r="E13" s="1150"/>
      <c r="F13" s="552"/>
      <c r="G13" s="1492">
        <v>4</v>
      </c>
      <c r="H13" s="1492"/>
      <c r="I13" s="1492"/>
      <c r="J13" s="552"/>
      <c r="AA13">
        <f>IF(AND('14 Msi'!C13&gt;Tmin, NOT('14 Msi'!$I13="")),'14 Msi'!$I13,0)</f>
        <v>0</v>
      </c>
      <c r="AB13">
        <f>IF(AND('14 Msi'!D13&gt;Tmin, NOT('14 Msi'!$I13="")),'14 Msi'!$I13,0)</f>
        <v>0</v>
      </c>
      <c r="AC13">
        <f>IF(AND('14 Msi'!E13&gt;Tmin, NOT('14 Msi'!$I13="")),'14 Msi'!$I13,0)</f>
        <v>0</v>
      </c>
      <c r="AD13">
        <f>IF(AND('14 Msi'!F13&gt;Tmin, NOT('14 Msi'!$I13="")),'14 Msi'!$I13,0)</f>
        <v>0</v>
      </c>
      <c r="AE13">
        <f>IF(AND('14 Msi'!C13&lt;Tmax, NOT('14 Msi'!$H13="")),'14 Msi'!$H13,4)</f>
        <v>4</v>
      </c>
      <c r="AF13">
        <f>IF(AND('14 Msi'!D13&lt;Tmax, NOT('14 Msi'!$H13="")),'14 Msi'!$H13,4)</f>
        <v>4</v>
      </c>
      <c r="AG13">
        <f>IF(AND('14 Msi'!E13&lt;Tmax, NOT('14 Msi'!$H13="")),'14 Msi'!$H13,4)</f>
        <v>4</v>
      </c>
      <c r="AH13">
        <f>IF(AND('14 Msi'!F13&lt;Tmax, NOT('14 Msi'!$H13="")),'14 Msi'!$H13,4)</f>
        <v>4</v>
      </c>
      <c r="AI13"/>
    </row>
    <row r="14" spans="1:35" outlineLevel="2" x14ac:dyDescent="0.2">
      <c r="A14" s="556" t="s">
        <v>6596</v>
      </c>
      <c r="B14" s="557" t="s">
        <v>6597</v>
      </c>
      <c r="C14" s="555"/>
      <c r="D14" s="1150"/>
      <c r="E14" s="1150"/>
      <c r="F14" s="552"/>
      <c r="G14" s="1492">
        <v>2</v>
      </c>
      <c r="H14" s="1492">
        <v>2</v>
      </c>
      <c r="I14" s="1492"/>
      <c r="J14" s="552"/>
      <c r="AA14">
        <f>IF(AND('14 Msi'!C14&gt;Tmin, NOT('14 Msi'!$I14="")),'14 Msi'!$I14,0)</f>
        <v>0</v>
      </c>
      <c r="AB14">
        <f>IF(AND('14 Msi'!D14&gt;Tmin, NOT('14 Msi'!$I14="")),'14 Msi'!$I14,0)</f>
        <v>0</v>
      </c>
      <c r="AC14">
        <f>IF(AND('14 Msi'!E14&gt;Tmin, NOT('14 Msi'!$I14="")),'14 Msi'!$I14,0)</f>
        <v>0</v>
      </c>
      <c r="AD14">
        <f>IF(AND('14 Msi'!F14&gt;Tmin, NOT('14 Msi'!$I14="")),'14 Msi'!$I14,0)</f>
        <v>0</v>
      </c>
      <c r="AE14">
        <f>IF(AND('14 Msi'!C14&lt;Tmax, NOT('14 Msi'!$H14="")),'14 Msi'!$H14,4)</f>
        <v>2</v>
      </c>
      <c r="AF14">
        <f>IF(AND('14 Msi'!D14&lt;Tmax, NOT('14 Msi'!$H14="")),'14 Msi'!$H14,4)</f>
        <v>2</v>
      </c>
      <c r="AG14">
        <f>IF(AND('14 Msi'!E14&lt;Tmax, NOT('14 Msi'!$H14="")),'14 Msi'!$H14,4)</f>
        <v>2</v>
      </c>
      <c r="AH14">
        <f>IF(AND('14 Msi'!F14&lt;Tmax, NOT('14 Msi'!$H14="")),'14 Msi'!$H14,4)</f>
        <v>2</v>
      </c>
      <c r="AI14"/>
    </row>
    <row r="15" spans="1:35" ht="26.25" customHeight="1" outlineLevel="2" x14ac:dyDescent="0.2">
      <c r="A15" s="556" t="s">
        <v>6598</v>
      </c>
      <c r="B15" s="557" t="s">
        <v>6599</v>
      </c>
      <c r="C15" s="555"/>
      <c r="D15" s="1150"/>
      <c r="E15" s="1150"/>
      <c r="F15" s="552"/>
      <c r="G15" s="1492">
        <v>1</v>
      </c>
      <c r="H15" s="1492"/>
      <c r="I15" s="1492"/>
      <c r="J15" s="552"/>
      <c r="AA15">
        <f>IF(AND('14 Msi'!C15&gt;Tmin, NOT('14 Msi'!$I15="")),'14 Msi'!$I15,0)</f>
        <v>0</v>
      </c>
      <c r="AB15">
        <f>IF(AND('14 Msi'!D15&gt;Tmin, NOT('14 Msi'!$I15="")),'14 Msi'!$I15,0)</f>
        <v>0</v>
      </c>
      <c r="AC15">
        <f>IF(AND('14 Msi'!E15&gt;Tmin, NOT('14 Msi'!$I15="")),'14 Msi'!$I15,0)</f>
        <v>0</v>
      </c>
      <c r="AD15">
        <f>IF(AND('14 Msi'!F15&gt;Tmin, NOT('14 Msi'!$I15="")),'14 Msi'!$I15,0)</f>
        <v>0</v>
      </c>
      <c r="AE15">
        <f>IF(AND('14 Msi'!C15&lt;Tmax, NOT('14 Msi'!$H15="")),'14 Msi'!$H15,4)</f>
        <v>4</v>
      </c>
      <c r="AF15">
        <f>IF(AND('14 Msi'!D15&lt;Tmax, NOT('14 Msi'!$H15="")),'14 Msi'!$H15,4)</f>
        <v>4</v>
      </c>
      <c r="AG15">
        <f>IF(AND('14 Msi'!E15&lt;Tmax, NOT('14 Msi'!$H15="")),'14 Msi'!$H15,4)</f>
        <v>4</v>
      </c>
      <c r="AH15">
        <f>IF(AND('14 Msi'!F15&lt;Tmax, NOT('14 Msi'!$H15="")),'14 Msi'!$H15,4)</f>
        <v>4</v>
      </c>
      <c r="AI15"/>
    </row>
    <row r="16" spans="1:35" outlineLevel="1" x14ac:dyDescent="0.2">
      <c r="A16" s="558" t="s">
        <v>6600</v>
      </c>
      <c r="B16" s="559" t="s">
        <v>4170</v>
      </c>
      <c r="C16" s="555"/>
      <c r="D16" s="1150"/>
      <c r="E16" s="1150"/>
      <c r="F16" s="552"/>
      <c r="G16" s="1492"/>
      <c r="H16" s="1492"/>
      <c r="I16" s="1492"/>
      <c r="J16" s="552"/>
      <c r="AA16"/>
      <c r="AB16"/>
      <c r="AC16"/>
      <c r="AD16"/>
      <c r="AE16"/>
      <c r="AF16"/>
      <c r="AG16"/>
      <c r="AH16"/>
      <c r="AI16"/>
    </row>
    <row r="17" spans="1:35" outlineLevel="2" x14ac:dyDescent="0.2">
      <c r="A17" s="556" t="s">
        <v>4171</v>
      </c>
      <c r="B17" s="557" t="s">
        <v>5322</v>
      </c>
      <c r="C17" s="555"/>
      <c r="D17" s="1150"/>
      <c r="E17" s="1150"/>
      <c r="F17" s="552"/>
      <c r="G17" s="1492">
        <v>4</v>
      </c>
      <c r="H17" s="1492"/>
      <c r="I17" s="1492"/>
      <c r="J17" s="552"/>
      <c r="AA17">
        <f>IF(AND('14 Msi'!C17&gt;Tmin, NOT('14 Msi'!$I17="")),'14 Msi'!$I17,0)</f>
        <v>0</v>
      </c>
      <c r="AB17">
        <f>IF(AND('14 Msi'!D17&gt;Tmin, NOT('14 Msi'!$I17="")),'14 Msi'!$I17,0)</f>
        <v>0</v>
      </c>
      <c r="AC17">
        <f>IF(AND('14 Msi'!E17&gt;Tmin, NOT('14 Msi'!$I17="")),'14 Msi'!$I17,0)</f>
        <v>0</v>
      </c>
      <c r="AD17">
        <f>IF(AND('14 Msi'!F17&gt;Tmin, NOT('14 Msi'!$I17="")),'14 Msi'!$I17,0)</f>
        <v>0</v>
      </c>
      <c r="AE17">
        <f>IF(AND('14 Msi'!C17&lt;Tmax, NOT('14 Msi'!$H17="")),'14 Msi'!$H17,4)</f>
        <v>4</v>
      </c>
      <c r="AF17">
        <f>IF(AND('14 Msi'!D17&lt;Tmax, NOT('14 Msi'!$H17="")),'14 Msi'!$H17,4)</f>
        <v>4</v>
      </c>
      <c r="AG17">
        <f>IF(AND('14 Msi'!E17&lt;Tmax, NOT('14 Msi'!$H17="")),'14 Msi'!$H17,4)</f>
        <v>4</v>
      </c>
      <c r="AH17">
        <f>IF(AND('14 Msi'!F17&lt;Tmax, NOT('14 Msi'!$H17="")),'14 Msi'!$H17,4)</f>
        <v>4</v>
      </c>
      <c r="AI17"/>
    </row>
    <row r="18" spans="1:35" ht="22.5" outlineLevel="2" x14ac:dyDescent="0.2">
      <c r="A18" s="556" t="s">
        <v>4172</v>
      </c>
      <c r="B18" s="557" t="s">
        <v>5483</v>
      </c>
      <c r="C18" s="555"/>
      <c r="D18" s="1150"/>
      <c r="E18" s="1150"/>
      <c r="F18" s="552"/>
      <c r="G18" s="1492">
        <v>2</v>
      </c>
      <c r="H18" s="1492">
        <v>2</v>
      </c>
      <c r="I18" s="1492"/>
      <c r="J18" s="552"/>
      <c r="AA18">
        <f>IF(AND('14 Msi'!C18&gt;Tmin, NOT('14 Msi'!$I18="")),'14 Msi'!$I18,0)</f>
        <v>0</v>
      </c>
      <c r="AB18">
        <f>IF(AND('14 Msi'!D18&gt;Tmin, NOT('14 Msi'!$I18="")),'14 Msi'!$I18,0)</f>
        <v>0</v>
      </c>
      <c r="AC18">
        <f>IF(AND('14 Msi'!E18&gt;Tmin, NOT('14 Msi'!$I18="")),'14 Msi'!$I18,0)</f>
        <v>0</v>
      </c>
      <c r="AD18">
        <f>IF(AND('14 Msi'!F18&gt;Tmin, NOT('14 Msi'!$I18="")),'14 Msi'!$I18,0)</f>
        <v>0</v>
      </c>
      <c r="AE18">
        <f>IF(AND('14 Msi'!C18&lt;Tmax, NOT('14 Msi'!$H18="")),'14 Msi'!$H18,4)</f>
        <v>2</v>
      </c>
      <c r="AF18">
        <f>IF(AND('14 Msi'!D18&lt;Tmax, NOT('14 Msi'!$H18="")),'14 Msi'!$H18,4)</f>
        <v>2</v>
      </c>
      <c r="AG18">
        <f>IF(AND('14 Msi'!E18&lt;Tmax, NOT('14 Msi'!$H18="")),'14 Msi'!$H18,4)</f>
        <v>2</v>
      </c>
      <c r="AH18">
        <f>IF(AND('14 Msi'!F18&lt;Tmax, NOT('14 Msi'!$H18="")),'14 Msi'!$H18,4)</f>
        <v>2</v>
      </c>
      <c r="AI18"/>
    </row>
    <row r="19" spans="1:35" ht="22.5" outlineLevel="2" x14ac:dyDescent="0.2">
      <c r="A19" s="556" t="s">
        <v>4173</v>
      </c>
      <c r="B19" s="557" t="s">
        <v>6601</v>
      </c>
      <c r="C19" s="555"/>
      <c r="D19" s="1150"/>
      <c r="E19" s="1150"/>
      <c r="F19" s="552"/>
      <c r="G19" s="1492">
        <v>1</v>
      </c>
      <c r="H19" s="1492"/>
      <c r="I19" s="1492"/>
      <c r="J19" s="552"/>
      <c r="AA19">
        <f>IF(AND('14 Msi'!C19&gt;Tmin, NOT('14 Msi'!$I19="")),'14 Msi'!$I19,0)</f>
        <v>0</v>
      </c>
      <c r="AB19">
        <f>IF(AND('14 Msi'!D19&gt;Tmin, NOT('14 Msi'!$I19="")),'14 Msi'!$I19,0)</f>
        <v>0</v>
      </c>
      <c r="AC19">
        <f>IF(AND('14 Msi'!E19&gt;Tmin, NOT('14 Msi'!$I19="")),'14 Msi'!$I19,0)</f>
        <v>0</v>
      </c>
      <c r="AD19">
        <f>IF(AND('14 Msi'!F19&gt;Tmin, NOT('14 Msi'!$I19="")),'14 Msi'!$I19,0)</f>
        <v>0</v>
      </c>
      <c r="AE19">
        <f>IF(AND('14 Msi'!C19&lt;Tmax, NOT('14 Msi'!$H19="")),'14 Msi'!$H19,4)</f>
        <v>4</v>
      </c>
      <c r="AF19">
        <f>IF(AND('14 Msi'!D19&lt;Tmax, NOT('14 Msi'!$H19="")),'14 Msi'!$H19,4)</f>
        <v>4</v>
      </c>
      <c r="AG19">
        <f>IF(AND('14 Msi'!E19&lt;Tmax, NOT('14 Msi'!$H19="")),'14 Msi'!$H19,4)</f>
        <v>4</v>
      </c>
      <c r="AH19">
        <f>IF(AND('14 Msi'!F19&lt;Tmax, NOT('14 Msi'!$H19="")),'14 Msi'!$H19,4)</f>
        <v>4</v>
      </c>
      <c r="AI19"/>
    </row>
    <row r="20" spans="1:35" ht="23.25" customHeight="1" outlineLevel="2" x14ac:dyDescent="0.2">
      <c r="A20" s="556" t="s">
        <v>6602</v>
      </c>
      <c r="B20" s="557" t="s">
        <v>5351</v>
      </c>
      <c r="C20" s="555"/>
      <c r="D20" s="1150"/>
      <c r="E20" s="1150"/>
      <c r="F20" s="552"/>
      <c r="G20" s="1492">
        <v>1</v>
      </c>
      <c r="H20" s="1492"/>
      <c r="I20" s="1492"/>
      <c r="J20" s="552"/>
      <c r="AA20">
        <f>IF(AND('14 Msi'!C20&gt;Tmin, NOT('14 Msi'!$I20="")),'14 Msi'!$I20,0)</f>
        <v>0</v>
      </c>
      <c r="AB20">
        <f>IF(AND('14 Msi'!D20&gt;Tmin, NOT('14 Msi'!$I20="")),'14 Msi'!$I20,0)</f>
        <v>0</v>
      </c>
      <c r="AC20">
        <f>IF(AND('14 Msi'!E20&gt;Tmin, NOT('14 Msi'!$I20="")),'14 Msi'!$I20,0)</f>
        <v>0</v>
      </c>
      <c r="AD20">
        <f>IF(AND('14 Msi'!F20&gt;Tmin, NOT('14 Msi'!$I20="")),'14 Msi'!$I20,0)</f>
        <v>0</v>
      </c>
      <c r="AE20">
        <f>IF(AND('14 Msi'!C20&lt;Tmax, NOT('14 Msi'!$H20="")),'14 Msi'!$H20,4)</f>
        <v>4</v>
      </c>
      <c r="AF20">
        <f>IF(AND('14 Msi'!D20&lt;Tmax, NOT('14 Msi'!$H20="")),'14 Msi'!$H20,4)</f>
        <v>4</v>
      </c>
      <c r="AG20">
        <f>IF(AND('14 Msi'!E20&lt;Tmax, NOT('14 Msi'!$H20="")),'14 Msi'!$H20,4)</f>
        <v>4</v>
      </c>
      <c r="AH20">
        <f>IF(AND('14 Msi'!F20&lt;Tmax, NOT('14 Msi'!$H20="")),'14 Msi'!$H20,4)</f>
        <v>4</v>
      </c>
      <c r="AI20"/>
    </row>
    <row r="21" spans="1:35" outlineLevel="1" x14ac:dyDescent="0.2">
      <c r="A21" s="558" t="s">
        <v>6603</v>
      </c>
      <c r="B21" s="559" t="s">
        <v>6604</v>
      </c>
      <c r="C21" s="555"/>
      <c r="D21" s="1150"/>
      <c r="E21" s="1150"/>
      <c r="F21" s="552"/>
      <c r="G21" s="1492"/>
      <c r="H21" s="1492"/>
      <c r="I21" s="1492"/>
      <c r="J21" s="552"/>
      <c r="AA21"/>
      <c r="AB21"/>
      <c r="AC21"/>
      <c r="AD21"/>
      <c r="AE21"/>
      <c r="AF21"/>
      <c r="AG21"/>
      <c r="AH21"/>
      <c r="AI21"/>
    </row>
    <row r="22" spans="1:35" ht="22.5" outlineLevel="2" x14ac:dyDescent="0.2">
      <c r="A22" s="556" t="s">
        <v>6605</v>
      </c>
      <c r="B22" s="557" t="s">
        <v>5484</v>
      </c>
      <c r="C22" s="555"/>
      <c r="D22" s="552"/>
      <c r="E22" s="552"/>
      <c r="F22" s="552"/>
      <c r="G22" s="1492">
        <v>4</v>
      </c>
      <c r="H22" s="1492"/>
      <c r="I22" s="1492"/>
      <c r="J22" s="552"/>
      <c r="AA22">
        <f>IF(AND('14 Msi'!C22&gt;Tmin, NOT('14 Msi'!$I22="")),'14 Msi'!$I22,0)</f>
        <v>0</v>
      </c>
      <c r="AB22">
        <f>IF(AND('14 Msi'!D22&gt;Tmin, NOT('14 Msi'!$I22="")),'14 Msi'!$I22,0)</f>
        <v>0</v>
      </c>
      <c r="AC22">
        <f>IF(AND('14 Msi'!E22&gt;Tmin, NOT('14 Msi'!$I22="")),'14 Msi'!$I22,0)</f>
        <v>0</v>
      </c>
      <c r="AD22">
        <f>IF(AND('14 Msi'!F22&gt;Tmin, NOT('14 Msi'!$I22="")),'14 Msi'!$I22,0)</f>
        <v>0</v>
      </c>
      <c r="AE22">
        <f>IF(AND('14 Msi'!C22&lt;Tmax, NOT('14 Msi'!$H22="")),'14 Msi'!$H22,4)</f>
        <v>4</v>
      </c>
      <c r="AF22">
        <f>IF(AND('14 Msi'!D22&lt;Tmax, NOT('14 Msi'!$H22="")),'14 Msi'!$H22,4)</f>
        <v>4</v>
      </c>
      <c r="AG22">
        <f>IF(AND('14 Msi'!E22&lt;Tmax, NOT('14 Msi'!$H22="")),'14 Msi'!$H22,4)</f>
        <v>4</v>
      </c>
      <c r="AH22">
        <f>IF(AND('14 Msi'!F22&lt;Tmax, NOT('14 Msi'!$H22="")),'14 Msi'!$H22,4)</f>
        <v>4</v>
      </c>
      <c r="AI22"/>
    </row>
    <row r="23" spans="1:35" ht="22.5" outlineLevel="2" x14ac:dyDescent="0.2">
      <c r="A23" s="556" t="s">
        <v>6606</v>
      </c>
      <c r="B23" s="557" t="s">
        <v>5485</v>
      </c>
      <c r="C23" s="555"/>
      <c r="D23" s="552"/>
      <c r="E23" s="552"/>
      <c r="F23" s="552"/>
      <c r="G23" s="1492">
        <v>4</v>
      </c>
      <c r="H23" s="1492"/>
      <c r="I23" s="1492"/>
      <c r="J23" s="552"/>
      <c r="AA23">
        <f>IF(AND('14 Msi'!C23&gt;Tmin, NOT('14 Msi'!$I23="")),'14 Msi'!$I23,0)</f>
        <v>0</v>
      </c>
      <c r="AB23">
        <f>IF(AND('14 Msi'!D23&gt;Tmin, NOT('14 Msi'!$I23="")),'14 Msi'!$I23,0)</f>
        <v>0</v>
      </c>
      <c r="AC23">
        <f>IF(AND('14 Msi'!E23&gt;Tmin, NOT('14 Msi'!$I23="")),'14 Msi'!$I23,0)</f>
        <v>0</v>
      </c>
      <c r="AD23">
        <f>IF(AND('14 Msi'!F23&gt;Tmin, NOT('14 Msi'!$I23="")),'14 Msi'!$I23,0)</f>
        <v>0</v>
      </c>
      <c r="AE23">
        <f>IF(AND('14 Msi'!C23&lt;Tmax, NOT('14 Msi'!$H23="")),'14 Msi'!$H23,4)</f>
        <v>4</v>
      </c>
      <c r="AF23">
        <f>IF(AND('14 Msi'!D23&lt;Tmax, NOT('14 Msi'!$H23="")),'14 Msi'!$H23,4)</f>
        <v>4</v>
      </c>
      <c r="AG23">
        <f>IF(AND('14 Msi'!E23&lt;Tmax, NOT('14 Msi'!$H23="")),'14 Msi'!$H23,4)</f>
        <v>4</v>
      </c>
      <c r="AH23">
        <f>IF(AND('14 Msi'!F23&lt;Tmax, NOT('14 Msi'!$H23="")),'14 Msi'!$H23,4)</f>
        <v>4</v>
      </c>
      <c r="AI23"/>
    </row>
    <row r="24" spans="1:35" outlineLevel="2" x14ac:dyDescent="0.2">
      <c r="A24" s="556" t="s">
        <v>6607</v>
      </c>
      <c r="B24" s="557" t="s">
        <v>5952</v>
      </c>
      <c r="C24" s="555"/>
      <c r="D24" s="552"/>
      <c r="E24" s="552"/>
      <c r="F24" s="552"/>
      <c r="G24" s="1492">
        <v>2</v>
      </c>
      <c r="H24" s="1492"/>
      <c r="I24" s="1492"/>
      <c r="J24" s="552"/>
      <c r="AA24">
        <f>IF(AND('14 Msi'!C24&gt;Tmin, NOT('14 Msi'!$I24="")),'14 Msi'!$I24,0)</f>
        <v>0</v>
      </c>
      <c r="AB24">
        <f>IF(AND('14 Msi'!D24&gt;Tmin, NOT('14 Msi'!$I24="")),'14 Msi'!$I24,0)</f>
        <v>0</v>
      </c>
      <c r="AC24">
        <f>IF(AND('14 Msi'!E24&gt;Tmin, NOT('14 Msi'!$I24="")),'14 Msi'!$I24,0)</f>
        <v>0</v>
      </c>
      <c r="AD24">
        <f>IF(AND('14 Msi'!F24&gt;Tmin, NOT('14 Msi'!$I24="")),'14 Msi'!$I24,0)</f>
        <v>0</v>
      </c>
      <c r="AE24">
        <f>IF(AND('14 Msi'!C24&lt;Tmax, NOT('14 Msi'!$H24="")),'14 Msi'!$H24,4)</f>
        <v>4</v>
      </c>
      <c r="AF24">
        <f>IF(AND('14 Msi'!D24&lt;Tmax, NOT('14 Msi'!$H24="")),'14 Msi'!$H24,4)</f>
        <v>4</v>
      </c>
      <c r="AG24">
        <f>IF(AND('14 Msi'!E24&lt;Tmax, NOT('14 Msi'!$H24="")),'14 Msi'!$H24,4)</f>
        <v>4</v>
      </c>
      <c r="AH24">
        <f>IF(AND('14 Msi'!F24&lt;Tmax, NOT('14 Msi'!$H24="")),'14 Msi'!$H24,4)</f>
        <v>4</v>
      </c>
      <c r="AI24"/>
    </row>
    <row r="25" spans="1:35" outlineLevel="2" x14ac:dyDescent="0.2">
      <c r="A25" s="556" t="s">
        <v>5953</v>
      </c>
      <c r="B25" s="557" t="s">
        <v>5306</v>
      </c>
      <c r="C25" s="555"/>
      <c r="D25" s="552"/>
      <c r="E25" s="552"/>
      <c r="F25" s="552"/>
      <c r="G25" s="1492">
        <v>2</v>
      </c>
      <c r="H25" s="1492"/>
      <c r="I25" s="1492"/>
      <c r="J25" s="552"/>
      <c r="AA25">
        <f>IF(AND('14 Msi'!C25&gt;Tmin, NOT('14 Msi'!$I25="")),'14 Msi'!$I25,0)</f>
        <v>0</v>
      </c>
      <c r="AB25">
        <f>IF(AND('14 Msi'!D25&gt;Tmin, NOT('14 Msi'!$I25="")),'14 Msi'!$I25,0)</f>
        <v>0</v>
      </c>
      <c r="AC25">
        <f>IF(AND('14 Msi'!E25&gt;Tmin, NOT('14 Msi'!$I25="")),'14 Msi'!$I25,0)</f>
        <v>0</v>
      </c>
      <c r="AD25">
        <f>IF(AND('14 Msi'!F25&gt;Tmin, NOT('14 Msi'!$I25="")),'14 Msi'!$I25,0)</f>
        <v>0</v>
      </c>
      <c r="AE25">
        <f>IF(AND('14 Msi'!C25&lt;Tmax, NOT('14 Msi'!$H25="")),'14 Msi'!$H25,4)</f>
        <v>4</v>
      </c>
      <c r="AF25">
        <f>IF(AND('14 Msi'!D25&lt;Tmax, NOT('14 Msi'!$H25="")),'14 Msi'!$H25,4)</f>
        <v>4</v>
      </c>
      <c r="AG25">
        <f>IF(AND('14 Msi'!E25&lt;Tmax, NOT('14 Msi'!$H25="")),'14 Msi'!$H25,4)</f>
        <v>4</v>
      </c>
      <c r="AH25">
        <f>IF(AND('14 Msi'!F25&lt;Tmax, NOT('14 Msi'!$H25="")),'14 Msi'!$H25,4)</f>
        <v>4</v>
      </c>
      <c r="AI25"/>
    </row>
    <row r="26" spans="1:35" ht="22.5" outlineLevel="2" x14ac:dyDescent="0.2">
      <c r="A26" s="556" t="s">
        <v>5238</v>
      </c>
      <c r="B26" s="557" t="s">
        <v>5486</v>
      </c>
      <c r="C26" s="555"/>
      <c r="D26" s="552"/>
      <c r="E26" s="552"/>
      <c r="F26" s="552"/>
      <c r="G26" s="1492">
        <v>4</v>
      </c>
      <c r="H26" s="1492"/>
      <c r="I26" s="1492"/>
      <c r="J26" s="552"/>
      <c r="AA26">
        <f>IF(AND('14 Msi'!C26&gt;Tmin, NOT('14 Msi'!$I26="")),'14 Msi'!$I26,0)</f>
        <v>0</v>
      </c>
      <c r="AB26">
        <f>IF(AND('14 Msi'!D26&gt;Tmin, NOT('14 Msi'!$I26="")),'14 Msi'!$I26,0)</f>
        <v>0</v>
      </c>
      <c r="AC26">
        <f>IF(AND('14 Msi'!E26&gt;Tmin, NOT('14 Msi'!$I26="")),'14 Msi'!$I26,0)</f>
        <v>0</v>
      </c>
      <c r="AD26">
        <f>IF(AND('14 Msi'!F26&gt;Tmin, NOT('14 Msi'!$I26="")),'14 Msi'!$I26,0)</f>
        <v>0</v>
      </c>
      <c r="AE26">
        <f>IF(AND('14 Msi'!C26&lt;Tmax, NOT('14 Msi'!$H26="")),'14 Msi'!$H26,4)</f>
        <v>4</v>
      </c>
      <c r="AF26">
        <f>IF(AND('14 Msi'!D26&lt;Tmax, NOT('14 Msi'!$H26="")),'14 Msi'!$H26,4)</f>
        <v>4</v>
      </c>
      <c r="AG26">
        <f>IF(AND('14 Msi'!E26&lt;Tmax, NOT('14 Msi'!$H26="")),'14 Msi'!$H26,4)</f>
        <v>4</v>
      </c>
      <c r="AH26">
        <f>IF(AND('14 Msi'!F26&lt;Tmax, NOT('14 Msi'!$H26="")),'14 Msi'!$H26,4)</f>
        <v>4</v>
      </c>
      <c r="AI26"/>
    </row>
    <row r="27" spans="1:35" outlineLevel="2" x14ac:dyDescent="0.2">
      <c r="A27" s="556" t="s">
        <v>5239</v>
      </c>
      <c r="B27" s="557" t="s">
        <v>5240</v>
      </c>
      <c r="C27" s="555"/>
      <c r="D27" s="552"/>
      <c r="E27" s="552"/>
      <c r="F27" s="552"/>
      <c r="G27" s="1492">
        <v>2</v>
      </c>
      <c r="H27" s="1492"/>
      <c r="I27" s="1492"/>
      <c r="J27" s="552"/>
      <c r="AA27">
        <f>IF(AND('14 Msi'!C27&gt;Tmin, NOT('14 Msi'!$I27="")),'14 Msi'!$I27,0)</f>
        <v>0</v>
      </c>
      <c r="AB27">
        <f>IF(AND('14 Msi'!D27&gt;Tmin, NOT('14 Msi'!$I27="")),'14 Msi'!$I27,0)</f>
        <v>0</v>
      </c>
      <c r="AC27">
        <f>IF(AND('14 Msi'!E27&gt;Tmin, NOT('14 Msi'!$I27="")),'14 Msi'!$I27,0)</f>
        <v>0</v>
      </c>
      <c r="AD27">
        <f>IF(AND('14 Msi'!F27&gt;Tmin, NOT('14 Msi'!$I27="")),'14 Msi'!$I27,0)</f>
        <v>0</v>
      </c>
      <c r="AE27">
        <f>IF(AND('14 Msi'!C27&lt;Tmax, NOT('14 Msi'!$H27="")),'14 Msi'!$H27,4)</f>
        <v>4</v>
      </c>
      <c r="AF27">
        <f>IF(AND('14 Msi'!D27&lt;Tmax, NOT('14 Msi'!$H27="")),'14 Msi'!$H27,4)</f>
        <v>4</v>
      </c>
      <c r="AG27">
        <f>IF(AND('14 Msi'!E27&lt;Tmax, NOT('14 Msi'!$H27="")),'14 Msi'!$H27,4)</f>
        <v>4</v>
      </c>
      <c r="AH27">
        <f>IF(AND('14 Msi'!F27&lt;Tmax, NOT('14 Msi'!$H27="")),'14 Msi'!$H27,4)</f>
        <v>4</v>
      </c>
      <c r="AI27"/>
    </row>
    <row r="28" spans="1:35" outlineLevel="1" x14ac:dyDescent="0.2">
      <c r="A28" s="558" t="s">
        <v>5241</v>
      </c>
      <c r="B28" s="559" t="s">
        <v>5242</v>
      </c>
      <c r="C28" s="560"/>
      <c r="D28" s="560"/>
      <c r="E28" s="560"/>
      <c r="F28" s="560"/>
      <c r="G28" s="1492"/>
      <c r="H28" s="1492"/>
      <c r="I28" s="1492"/>
      <c r="J28" s="552"/>
      <c r="AA28"/>
      <c r="AB28"/>
      <c r="AC28"/>
      <c r="AD28"/>
      <c r="AE28"/>
      <c r="AF28"/>
      <c r="AG28"/>
      <c r="AH28"/>
      <c r="AI28"/>
    </row>
    <row r="29" spans="1:35" ht="22.5" outlineLevel="2" x14ac:dyDescent="0.2">
      <c r="A29" s="556" t="s">
        <v>5243</v>
      </c>
      <c r="B29" s="557" t="s">
        <v>5487</v>
      </c>
      <c r="C29" s="555"/>
      <c r="D29" s="555"/>
      <c r="E29" s="560"/>
      <c r="F29" s="560"/>
      <c r="G29" s="1492">
        <v>2</v>
      </c>
      <c r="H29" s="1492"/>
      <c r="I29" s="1492"/>
      <c r="J29" s="552"/>
      <c r="AA29">
        <f>IF(AND('14 Msi'!C29&gt;Tmin, NOT('14 Msi'!$I29="")),'14 Msi'!$I29,0)</f>
        <v>0</v>
      </c>
      <c r="AB29">
        <f>IF(AND('14 Msi'!D29&gt;Tmin, NOT('14 Msi'!$I29="")),'14 Msi'!$I29,0)</f>
        <v>0</v>
      </c>
      <c r="AC29">
        <f>IF(AND('14 Msi'!E29&gt;Tmin, NOT('14 Msi'!$I29="")),'14 Msi'!$I29,0)</f>
        <v>0</v>
      </c>
      <c r="AD29">
        <f>IF(AND('14 Msi'!F29&gt;Tmin, NOT('14 Msi'!$I29="")),'14 Msi'!$I29,0)</f>
        <v>0</v>
      </c>
      <c r="AE29">
        <f>IF(AND('14 Msi'!C29&lt;Tmax, NOT('14 Msi'!$H29="")),'14 Msi'!$H29,4)</f>
        <v>4</v>
      </c>
      <c r="AF29">
        <f>IF(AND('14 Msi'!D29&lt;Tmax, NOT('14 Msi'!$H29="")),'14 Msi'!$H29,4)</f>
        <v>4</v>
      </c>
      <c r="AG29">
        <f>IF(AND('14 Msi'!E29&lt;Tmax, NOT('14 Msi'!$H29="")),'14 Msi'!$H29,4)</f>
        <v>4</v>
      </c>
      <c r="AH29">
        <f>IF(AND('14 Msi'!F29&lt;Tmax, NOT('14 Msi'!$H29="")),'14 Msi'!$H29,4)</f>
        <v>4</v>
      </c>
      <c r="AI29"/>
    </row>
    <row r="30" spans="1:35" outlineLevel="2" x14ac:dyDescent="0.2">
      <c r="A30" s="556" t="s">
        <v>5244</v>
      </c>
      <c r="B30" s="557" t="s">
        <v>5247</v>
      </c>
      <c r="C30" s="555"/>
      <c r="D30" s="555"/>
      <c r="E30" s="560"/>
      <c r="F30" s="560"/>
      <c r="G30" s="1492">
        <v>4</v>
      </c>
      <c r="H30" s="1492"/>
      <c r="I30" s="1492"/>
      <c r="J30" s="552"/>
      <c r="AA30">
        <f>IF(AND('14 Msi'!C30&gt;Tmin, NOT('14 Msi'!$I30="")),'14 Msi'!$I30,0)</f>
        <v>0</v>
      </c>
      <c r="AB30">
        <f>IF(AND('14 Msi'!D30&gt;Tmin, NOT('14 Msi'!$I30="")),'14 Msi'!$I30,0)</f>
        <v>0</v>
      </c>
      <c r="AC30">
        <f>IF(AND('14 Msi'!E30&gt;Tmin, NOT('14 Msi'!$I30="")),'14 Msi'!$I30,0)</f>
        <v>0</v>
      </c>
      <c r="AD30">
        <f>IF(AND('14 Msi'!F30&gt;Tmin, NOT('14 Msi'!$I30="")),'14 Msi'!$I30,0)</f>
        <v>0</v>
      </c>
      <c r="AE30">
        <f>IF(AND('14 Msi'!C30&lt;Tmax, NOT('14 Msi'!$H30="")),'14 Msi'!$H30,4)</f>
        <v>4</v>
      </c>
      <c r="AF30">
        <f>IF(AND('14 Msi'!D30&lt;Tmax, NOT('14 Msi'!$H30="")),'14 Msi'!$H30,4)</f>
        <v>4</v>
      </c>
      <c r="AG30">
        <f>IF(AND('14 Msi'!E30&lt;Tmax, NOT('14 Msi'!$H30="")),'14 Msi'!$H30,4)</f>
        <v>4</v>
      </c>
      <c r="AH30">
        <f>IF(AND('14 Msi'!F30&lt;Tmax, NOT('14 Msi'!$H30="")),'14 Msi'!$H30,4)</f>
        <v>4</v>
      </c>
      <c r="AI30"/>
    </row>
    <row r="31" spans="1:35" outlineLevel="2" x14ac:dyDescent="0.2">
      <c r="A31" s="556" t="s">
        <v>5248</v>
      </c>
      <c r="B31" s="557" t="s">
        <v>4045</v>
      </c>
      <c r="C31" s="555"/>
      <c r="D31" s="555"/>
      <c r="E31" s="560"/>
      <c r="F31" s="560"/>
      <c r="G31" s="1492">
        <v>2</v>
      </c>
      <c r="H31" s="1492"/>
      <c r="I31" s="1492"/>
      <c r="J31" s="552"/>
      <c r="AA31">
        <f>IF(AND('14 Msi'!C31&gt;Tmin, NOT('14 Msi'!$I31="")),'14 Msi'!$I31,0)</f>
        <v>0</v>
      </c>
      <c r="AB31">
        <f>IF(AND('14 Msi'!D31&gt;Tmin, NOT('14 Msi'!$I31="")),'14 Msi'!$I31,0)</f>
        <v>0</v>
      </c>
      <c r="AC31">
        <f>IF(AND('14 Msi'!E31&gt;Tmin, NOT('14 Msi'!$I31="")),'14 Msi'!$I31,0)</f>
        <v>0</v>
      </c>
      <c r="AD31">
        <f>IF(AND('14 Msi'!F31&gt;Tmin, NOT('14 Msi'!$I31="")),'14 Msi'!$I31,0)</f>
        <v>0</v>
      </c>
      <c r="AE31">
        <f>IF(AND('14 Msi'!C31&lt;Tmax, NOT('14 Msi'!$H31="")),'14 Msi'!$H31,4)</f>
        <v>4</v>
      </c>
      <c r="AF31">
        <f>IF(AND('14 Msi'!D31&lt;Tmax, NOT('14 Msi'!$H31="")),'14 Msi'!$H31,4)</f>
        <v>4</v>
      </c>
      <c r="AG31">
        <f>IF(AND('14 Msi'!E31&lt;Tmax, NOT('14 Msi'!$H31="")),'14 Msi'!$H31,4)</f>
        <v>4</v>
      </c>
      <c r="AH31">
        <f>IF(AND('14 Msi'!F31&lt;Tmax, NOT('14 Msi'!$H31="")),'14 Msi'!$H31,4)</f>
        <v>4</v>
      </c>
      <c r="AI31"/>
    </row>
    <row r="32" spans="1:35" outlineLevel="2" x14ac:dyDescent="0.2">
      <c r="A32" s="556" t="s">
        <v>4046</v>
      </c>
      <c r="B32" s="557" t="s">
        <v>4791</v>
      </c>
      <c r="C32" s="555"/>
      <c r="D32" s="560"/>
      <c r="E32" s="560"/>
      <c r="F32" s="560"/>
      <c r="G32" s="1492">
        <v>2</v>
      </c>
      <c r="H32" s="1492"/>
      <c r="I32" s="1492"/>
      <c r="J32" s="552"/>
      <c r="AA32">
        <f>IF(AND('14 Msi'!C32&gt;Tmin, NOT('14 Msi'!$I32="")),'14 Msi'!$I32,0)</f>
        <v>0</v>
      </c>
      <c r="AB32">
        <f>IF(AND('14 Msi'!D32&gt;Tmin, NOT('14 Msi'!$I32="")),'14 Msi'!$I32,0)</f>
        <v>0</v>
      </c>
      <c r="AC32">
        <f>IF(AND('14 Msi'!E32&gt;Tmin, NOT('14 Msi'!$I32="")),'14 Msi'!$I32,0)</f>
        <v>0</v>
      </c>
      <c r="AD32">
        <f>IF(AND('14 Msi'!F32&gt;Tmin, NOT('14 Msi'!$I32="")),'14 Msi'!$I32,0)</f>
        <v>0</v>
      </c>
      <c r="AE32">
        <f>IF(AND('14 Msi'!C32&lt;Tmax, NOT('14 Msi'!$H32="")),'14 Msi'!$H32,4)</f>
        <v>4</v>
      </c>
      <c r="AF32">
        <f>IF(AND('14 Msi'!D32&lt;Tmax, NOT('14 Msi'!$H32="")),'14 Msi'!$H32,4)</f>
        <v>4</v>
      </c>
      <c r="AG32">
        <f>IF(AND('14 Msi'!E32&lt;Tmax, NOT('14 Msi'!$H32="")),'14 Msi'!$H32,4)</f>
        <v>4</v>
      </c>
      <c r="AH32">
        <f>IF(AND('14 Msi'!F32&lt;Tmax, NOT('14 Msi'!$H32="")),'14 Msi'!$H32,4)</f>
        <v>4</v>
      </c>
      <c r="AI32"/>
    </row>
    <row r="33" spans="1:35" outlineLevel="2" x14ac:dyDescent="0.2">
      <c r="A33" s="556" t="s">
        <v>4047</v>
      </c>
      <c r="B33" s="557" t="s">
        <v>4048</v>
      </c>
      <c r="C33" s="555"/>
      <c r="D33" s="560"/>
      <c r="E33" s="560"/>
      <c r="F33" s="560"/>
      <c r="G33" s="1492">
        <v>1</v>
      </c>
      <c r="H33" s="1492"/>
      <c r="I33" s="1492"/>
      <c r="J33" s="552"/>
      <c r="AA33">
        <f>IF(AND('14 Msi'!C33&gt;Tmin, NOT('14 Msi'!$I33="")),'14 Msi'!$I33,0)</f>
        <v>0</v>
      </c>
      <c r="AB33">
        <f>IF(AND('14 Msi'!D33&gt;Tmin, NOT('14 Msi'!$I33="")),'14 Msi'!$I33,0)</f>
        <v>0</v>
      </c>
      <c r="AC33">
        <f>IF(AND('14 Msi'!E33&gt;Tmin, NOT('14 Msi'!$I33="")),'14 Msi'!$I33,0)</f>
        <v>0</v>
      </c>
      <c r="AD33">
        <f>IF(AND('14 Msi'!F33&gt;Tmin, NOT('14 Msi'!$I33="")),'14 Msi'!$I33,0)</f>
        <v>0</v>
      </c>
      <c r="AE33">
        <f>IF(AND('14 Msi'!C33&lt;Tmax, NOT('14 Msi'!$H33="")),'14 Msi'!$H33,4)</f>
        <v>4</v>
      </c>
      <c r="AF33">
        <f>IF(AND('14 Msi'!D33&lt;Tmax, NOT('14 Msi'!$H33="")),'14 Msi'!$H33,4)</f>
        <v>4</v>
      </c>
      <c r="AG33">
        <f>IF(AND('14 Msi'!E33&lt;Tmax, NOT('14 Msi'!$H33="")),'14 Msi'!$H33,4)</f>
        <v>4</v>
      </c>
      <c r="AH33">
        <f>IF(AND('14 Msi'!F33&lt;Tmax, NOT('14 Msi'!$H33="")),'14 Msi'!$H33,4)</f>
        <v>4</v>
      </c>
      <c r="AI33"/>
    </row>
    <row r="34" spans="1:35" outlineLevel="2" x14ac:dyDescent="0.2">
      <c r="A34" s="556" t="s">
        <v>4049</v>
      </c>
      <c r="B34" s="557" t="s">
        <v>4050</v>
      </c>
      <c r="C34" s="560"/>
      <c r="D34" s="560"/>
      <c r="E34" s="560"/>
      <c r="F34" s="560"/>
      <c r="G34" s="1492">
        <v>4</v>
      </c>
      <c r="H34" s="1492"/>
      <c r="I34" s="1492"/>
      <c r="J34" s="552"/>
      <c r="AA34">
        <f>IF(AND('14 Msi'!C34&gt;Tmin, NOT('14 Msi'!$I34="")),'14 Msi'!$I34,0)</f>
        <v>0</v>
      </c>
      <c r="AB34">
        <f>IF(AND('14 Msi'!D34&gt;Tmin, NOT('14 Msi'!$I34="")),'14 Msi'!$I34,0)</f>
        <v>0</v>
      </c>
      <c r="AC34">
        <f>IF(AND('14 Msi'!E34&gt;Tmin, NOT('14 Msi'!$I34="")),'14 Msi'!$I34,0)</f>
        <v>0</v>
      </c>
      <c r="AD34">
        <f>IF(AND('14 Msi'!F34&gt;Tmin, NOT('14 Msi'!$I34="")),'14 Msi'!$I34,0)</f>
        <v>0</v>
      </c>
      <c r="AE34">
        <f>IF(AND('14 Msi'!C34&lt;Tmax, NOT('14 Msi'!$H34="")),'14 Msi'!$H34,4)</f>
        <v>4</v>
      </c>
      <c r="AF34">
        <f>IF(AND('14 Msi'!D34&lt;Tmax, NOT('14 Msi'!$H34="")),'14 Msi'!$H34,4)</f>
        <v>4</v>
      </c>
      <c r="AG34">
        <f>IF(AND('14 Msi'!E34&lt;Tmax, NOT('14 Msi'!$H34="")),'14 Msi'!$H34,4)</f>
        <v>4</v>
      </c>
      <c r="AH34">
        <f>IF(AND('14 Msi'!F34&lt;Tmax, NOT('14 Msi'!$H34="")),'14 Msi'!$H34,4)</f>
        <v>4</v>
      </c>
      <c r="AI34"/>
    </row>
    <row r="35" spans="1:35" outlineLevel="1" x14ac:dyDescent="0.2">
      <c r="A35" s="558" t="s">
        <v>4051</v>
      </c>
      <c r="B35" s="559" t="s">
        <v>4052</v>
      </c>
      <c r="C35" s="561"/>
      <c r="D35" s="551"/>
      <c r="E35" s="551"/>
      <c r="F35" s="551"/>
      <c r="G35" s="1492"/>
      <c r="H35" s="1492"/>
      <c r="I35" s="1492"/>
      <c r="J35" s="552"/>
      <c r="AA35"/>
      <c r="AB35"/>
      <c r="AC35"/>
      <c r="AD35"/>
      <c r="AE35"/>
      <c r="AF35"/>
      <c r="AG35"/>
      <c r="AH35"/>
      <c r="AI35"/>
    </row>
    <row r="36" spans="1:35" ht="22.5" outlineLevel="2" x14ac:dyDescent="0.2">
      <c r="A36" s="556" t="s">
        <v>4053</v>
      </c>
      <c r="B36" s="557" t="s">
        <v>6645</v>
      </c>
      <c r="C36" s="555"/>
      <c r="D36" s="551"/>
      <c r="E36" s="551"/>
      <c r="F36" s="551"/>
      <c r="G36" s="1492">
        <v>2</v>
      </c>
      <c r="H36" s="1492"/>
      <c r="I36" s="1492"/>
      <c r="J36" s="552"/>
      <c r="AA36">
        <f>IF(AND('14 Msi'!C36&gt;Tmin, NOT('14 Msi'!$I36="")),'14 Msi'!$I36,0)</f>
        <v>0</v>
      </c>
      <c r="AB36">
        <f>IF(AND('14 Msi'!D36&gt;Tmin, NOT('14 Msi'!$I36="")),'14 Msi'!$I36,0)</f>
        <v>0</v>
      </c>
      <c r="AC36">
        <f>IF(AND('14 Msi'!E36&gt;Tmin, NOT('14 Msi'!$I36="")),'14 Msi'!$I36,0)</f>
        <v>0</v>
      </c>
      <c r="AD36">
        <f>IF(AND('14 Msi'!F36&gt;Tmin, NOT('14 Msi'!$I36="")),'14 Msi'!$I36,0)</f>
        <v>0</v>
      </c>
      <c r="AE36">
        <f>IF(AND('14 Msi'!C36&lt;Tmax, NOT('14 Msi'!$H36="")),'14 Msi'!$H36,4)</f>
        <v>4</v>
      </c>
      <c r="AF36">
        <f>IF(AND('14 Msi'!D36&lt;Tmax, NOT('14 Msi'!$H36="")),'14 Msi'!$H36,4)</f>
        <v>4</v>
      </c>
      <c r="AG36">
        <f>IF(AND('14 Msi'!E36&lt;Tmax, NOT('14 Msi'!$H36="")),'14 Msi'!$H36,4)</f>
        <v>4</v>
      </c>
      <c r="AH36">
        <f>IF(AND('14 Msi'!F36&lt;Tmax, NOT('14 Msi'!$H36="")),'14 Msi'!$H36,4)</f>
        <v>4</v>
      </c>
      <c r="AI36"/>
    </row>
    <row r="37" spans="1:35" outlineLevel="2" x14ac:dyDescent="0.2">
      <c r="A37" s="556" t="s">
        <v>4054</v>
      </c>
      <c r="B37" s="557" t="s">
        <v>1487</v>
      </c>
      <c r="C37" s="555"/>
      <c r="D37" s="551"/>
      <c r="E37" s="551"/>
      <c r="F37" s="551"/>
      <c r="G37" s="1492">
        <v>2</v>
      </c>
      <c r="H37" s="1492"/>
      <c r="I37" s="1492"/>
      <c r="J37" s="552"/>
      <c r="AA37">
        <f>IF(AND('14 Msi'!C37&gt;Tmin, NOT('14 Msi'!$I37="")),'14 Msi'!$I37,0)</f>
        <v>0</v>
      </c>
      <c r="AB37">
        <f>IF(AND('14 Msi'!D37&gt;Tmin, NOT('14 Msi'!$I37="")),'14 Msi'!$I37,0)</f>
        <v>0</v>
      </c>
      <c r="AC37">
        <f>IF(AND('14 Msi'!E37&gt;Tmin, NOT('14 Msi'!$I37="")),'14 Msi'!$I37,0)</f>
        <v>0</v>
      </c>
      <c r="AD37">
        <f>IF(AND('14 Msi'!F37&gt;Tmin, NOT('14 Msi'!$I37="")),'14 Msi'!$I37,0)</f>
        <v>0</v>
      </c>
      <c r="AE37">
        <f>IF(AND('14 Msi'!C37&lt;Tmax, NOT('14 Msi'!$H37="")),'14 Msi'!$H37,4)</f>
        <v>4</v>
      </c>
      <c r="AF37">
        <f>IF(AND('14 Msi'!D37&lt;Tmax, NOT('14 Msi'!$H37="")),'14 Msi'!$H37,4)</f>
        <v>4</v>
      </c>
      <c r="AG37">
        <f>IF(AND('14 Msi'!E37&lt;Tmax, NOT('14 Msi'!$H37="")),'14 Msi'!$H37,4)</f>
        <v>4</v>
      </c>
      <c r="AH37">
        <f>IF(AND('14 Msi'!F37&lt;Tmax, NOT('14 Msi'!$H37="")),'14 Msi'!$H37,4)</f>
        <v>4</v>
      </c>
      <c r="AI37"/>
    </row>
    <row r="38" spans="1:35" outlineLevel="1" x14ac:dyDescent="0.2">
      <c r="A38" s="558" t="s">
        <v>1488</v>
      </c>
      <c r="B38" s="559" t="s">
        <v>4624</v>
      </c>
      <c r="C38" s="555"/>
      <c r="D38" s="551"/>
      <c r="E38" s="551"/>
      <c r="F38" s="551"/>
      <c r="G38" s="1492"/>
      <c r="H38" s="1492"/>
      <c r="I38" s="1492"/>
      <c r="J38" s="552"/>
      <c r="AA38"/>
      <c r="AB38"/>
      <c r="AC38"/>
      <c r="AD38"/>
      <c r="AE38"/>
      <c r="AF38"/>
      <c r="AG38"/>
      <c r="AH38"/>
      <c r="AI38"/>
    </row>
    <row r="39" spans="1:35" ht="33.75" outlineLevel="2" x14ac:dyDescent="0.2">
      <c r="A39" s="556" t="s">
        <v>4625</v>
      </c>
      <c r="B39" s="557" t="s">
        <v>5320</v>
      </c>
      <c r="C39" s="555"/>
      <c r="D39" s="551"/>
      <c r="E39" s="551"/>
      <c r="F39" s="551"/>
      <c r="G39" s="1492">
        <v>4</v>
      </c>
      <c r="H39" s="1492">
        <v>1</v>
      </c>
      <c r="I39" s="1492"/>
      <c r="J39" s="552"/>
      <c r="AA39">
        <f>IF(AND('14 Msi'!C39&gt;Tmin, NOT('14 Msi'!$I39="")),'14 Msi'!$I39,0)</f>
        <v>0</v>
      </c>
      <c r="AB39">
        <f>IF(AND('14 Msi'!D39&gt;Tmin, NOT('14 Msi'!$I39="")),'14 Msi'!$I39,0)</f>
        <v>0</v>
      </c>
      <c r="AC39">
        <f>IF(AND('14 Msi'!E39&gt;Tmin, NOT('14 Msi'!$I39="")),'14 Msi'!$I39,0)</f>
        <v>0</v>
      </c>
      <c r="AD39">
        <f>IF(AND('14 Msi'!F39&gt;Tmin, NOT('14 Msi'!$I39="")),'14 Msi'!$I39,0)</f>
        <v>0</v>
      </c>
      <c r="AE39">
        <f>IF(AND('14 Msi'!C39&lt;Tmax, NOT('14 Msi'!$H39="")),'14 Msi'!$H39,4)</f>
        <v>1</v>
      </c>
      <c r="AF39">
        <f>IF(AND('14 Msi'!D39&lt;Tmax, NOT('14 Msi'!$H39="")),'14 Msi'!$H39,4)</f>
        <v>1</v>
      </c>
      <c r="AG39">
        <f>IF(AND('14 Msi'!E39&lt;Tmax, NOT('14 Msi'!$H39="")),'14 Msi'!$H39,4)</f>
        <v>1</v>
      </c>
      <c r="AH39">
        <f>IF(AND('14 Msi'!F39&lt;Tmax, NOT('14 Msi'!$H39="")),'14 Msi'!$H39,4)</f>
        <v>1</v>
      </c>
      <c r="AI39"/>
    </row>
    <row r="40" spans="1:35" outlineLevel="2" x14ac:dyDescent="0.2">
      <c r="A40" s="556" t="s">
        <v>4626</v>
      </c>
      <c r="B40" s="557" t="s">
        <v>4627</v>
      </c>
      <c r="C40" s="555"/>
      <c r="D40" s="551"/>
      <c r="E40" s="551"/>
      <c r="F40" s="551"/>
      <c r="G40" s="1492">
        <v>3</v>
      </c>
      <c r="H40" s="1492">
        <v>2</v>
      </c>
      <c r="I40" s="1492"/>
      <c r="J40" s="552"/>
      <c r="AA40">
        <f>IF(AND('14 Msi'!C40&gt;Tmin, NOT('14 Msi'!$I40="")),'14 Msi'!$I40,0)</f>
        <v>0</v>
      </c>
      <c r="AB40">
        <f>IF(AND('14 Msi'!D40&gt;Tmin, NOT('14 Msi'!$I40="")),'14 Msi'!$I40,0)</f>
        <v>0</v>
      </c>
      <c r="AC40">
        <f>IF(AND('14 Msi'!E40&gt;Tmin, NOT('14 Msi'!$I40="")),'14 Msi'!$I40,0)</f>
        <v>0</v>
      </c>
      <c r="AD40">
        <f>IF(AND('14 Msi'!F40&gt;Tmin, NOT('14 Msi'!$I40="")),'14 Msi'!$I40,0)</f>
        <v>0</v>
      </c>
      <c r="AE40">
        <f>IF(AND('14 Msi'!C40&lt;Tmax, NOT('14 Msi'!$H40="")),'14 Msi'!$H40,4)</f>
        <v>2</v>
      </c>
      <c r="AF40">
        <f>IF(AND('14 Msi'!D40&lt;Tmax, NOT('14 Msi'!$H40="")),'14 Msi'!$H40,4)</f>
        <v>2</v>
      </c>
      <c r="AG40">
        <f>IF(AND('14 Msi'!E40&lt;Tmax, NOT('14 Msi'!$H40="")),'14 Msi'!$H40,4)</f>
        <v>2</v>
      </c>
      <c r="AH40">
        <f>IF(AND('14 Msi'!F40&lt;Tmax, NOT('14 Msi'!$H40="")),'14 Msi'!$H40,4)</f>
        <v>2</v>
      </c>
      <c r="AI40"/>
    </row>
    <row r="41" spans="1:35" ht="22.5" outlineLevel="2" x14ac:dyDescent="0.2">
      <c r="A41" s="556" t="s">
        <v>4628</v>
      </c>
      <c r="B41" s="557" t="s">
        <v>1742</v>
      </c>
      <c r="C41" s="555"/>
      <c r="D41" s="551"/>
      <c r="E41" s="551"/>
      <c r="F41" s="551"/>
      <c r="G41" s="1492">
        <v>2</v>
      </c>
      <c r="H41" s="1492">
        <v>2</v>
      </c>
      <c r="I41" s="1492"/>
      <c r="J41" s="552"/>
      <c r="AA41">
        <f>IF(AND('14 Msi'!C41&gt;Tmin, NOT('14 Msi'!$I41="")),'14 Msi'!$I41,0)</f>
        <v>0</v>
      </c>
      <c r="AB41">
        <f>IF(AND('14 Msi'!D41&gt;Tmin, NOT('14 Msi'!$I41="")),'14 Msi'!$I41,0)</f>
        <v>0</v>
      </c>
      <c r="AC41">
        <f>IF(AND('14 Msi'!E41&gt;Tmin, NOT('14 Msi'!$I41="")),'14 Msi'!$I41,0)</f>
        <v>0</v>
      </c>
      <c r="AD41">
        <f>IF(AND('14 Msi'!F41&gt;Tmin, NOT('14 Msi'!$I41="")),'14 Msi'!$I41,0)</f>
        <v>0</v>
      </c>
      <c r="AE41">
        <f>IF(AND('14 Msi'!C41&lt;Tmax, NOT('14 Msi'!$H41="")),'14 Msi'!$H41,4)</f>
        <v>2</v>
      </c>
      <c r="AF41">
        <f>IF(AND('14 Msi'!D41&lt;Tmax, NOT('14 Msi'!$H41="")),'14 Msi'!$H41,4)</f>
        <v>2</v>
      </c>
      <c r="AG41">
        <f>IF(AND('14 Msi'!E41&lt;Tmax, NOT('14 Msi'!$H41="")),'14 Msi'!$H41,4)</f>
        <v>2</v>
      </c>
      <c r="AH41">
        <f>IF(AND('14 Msi'!F41&lt;Tmax, NOT('14 Msi'!$H41="")),'14 Msi'!$H41,4)</f>
        <v>2</v>
      </c>
      <c r="AI41"/>
    </row>
    <row r="42" spans="1:35" outlineLevel="1" x14ac:dyDescent="0.2">
      <c r="A42" s="558" t="s">
        <v>1743</v>
      </c>
      <c r="B42" s="559" t="s">
        <v>1744</v>
      </c>
      <c r="C42" s="555"/>
      <c r="D42" s="551"/>
      <c r="E42" s="551"/>
      <c r="F42" s="551"/>
      <c r="G42" s="1492"/>
      <c r="H42" s="1492"/>
      <c r="I42" s="1492"/>
      <c r="J42" s="552"/>
      <c r="AA42"/>
      <c r="AB42"/>
      <c r="AC42"/>
      <c r="AD42"/>
      <c r="AE42"/>
      <c r="AF42"/>
      <c r="AG42"/>
      <c r="AH42"/>
      <c r="AI42"/>
    </row>
    <row r="43" spans="1:35" outlineLevel="2" x14ac:dyDescent="0.2">
      <c r="A43" s="556" t="s">
        <v>1745</v>
      </c>
      <c r="B43" s="557" t="s">
        <v>842</v>
      </c>
      <c r="C43" s="555"/>
      <c r="D43" s="551"/>
      <c r="E43" s="551"/>
      <c r="F43" s="551"/>
      <c r="G43" s="1492">
        <v>4</v>
      </c>
      <c r="H43" s="1492"/>
      <c r="I43" s="1492"/>
      <c r="J43" s="552"/>
      <c r="AA43">
        <f>IF(AND('14 Msi'!C43&gt;Tmin, NOT('14 Msi'!$I43="")),'14 Msi'!$I43,0)</f>
        <v>0</v>
      </c>
      <c r="AB43">
        <f>IF(AND('14 Msi'!D43&gt;Tmin, NOT('14 Msi'!$I43="")),'14 Msi'!$I43,0)</f>
        <v>0</v>
      </c>
      <c r="AC43">
        <f>IF(AND('14 Msi'!E43&gt;Tmin, NOT('14 Msi'!$I43="")),'14 Msi'!$I43,0)</f>
        <v>0</v>
      </c>
      <c r="AD43">
        <f>IF(AND('14 Msi'!F43&gt;Tmin, NOT('14 Msi'!$I43="")),'14 Msi'!$I43,0)</f>
        <v>0</v>
      </c>
      <c r="AE43">
        <f>IF(AND('14 Msi'!C43&lt;Tmax, NOT('14 Msi'!$H43="")),'14 Msi'!$H43,4)</f>
        <v>4</v>
      </c>
      <c r="AF43">
        <f>IF(AND('14 Msi'!D43&lt;Tmax, NOT('14 Msi'!$H43="")),'14 Msi'!$H43,4)</f>
        <v>4</v>
      </c>
      <c r="AG43">
        <f>IF(AND('14 Msi'!E43&lt;Tmax, NOT('14 Msi'!$H43="")),'14 Msi'!$H43,4)</f>
        <v>4</v>
      </c>
      <c r="AH43">
        <f>IF(AND('14 Msi'!F43&lt;Tmax, NOT('14 Msi'!$H43="")),'14 Msi'!$H43,4)</f>
        <v>4</v>
      </c>
      <c r="AI43"/>
    </row>
    <row r="44" spans="1:35" outlineLevel="2" x14ac:dyDescent="0.2">
      <c r="A44" s="556" t="s">
        <v>2970</v>
      </c>
      <c r="B44" s="557" t="s">
        <v>3926</v>
      </c>
      <c r="C44" s="555"/>
      <c r="D44" s="551"/>
      <c r="E44" s="551"/>
      <c r="F44" s="551"/>
      <c r="G44" s="1492">
        <v>2</v>
      </c>
      <c r="H44" s="1492">
        <v>2</v>
      </c>
      <c r="I44" s="1492"/>
      <c r="J44" s="552"/>
      <c r="AA44">
        <f>IF(AND('14 Msi'!C44&gt;Tmin, NOT('14 Msi'!$I44="")),'14 Msi'!$I44,0)</f>
        <v>0</v>
      </c>
      <c r="AB44">
        <f>IF(AND('14 Msi'!D44&gt;Tmin, NOT('14 Msi'!$I44="")),'14 Msi'!$I44,0)</f>
        <v>0</v>
      </c>
      <c r="AC44">
        <f>IF(AND('14 Msi'!E44&gt;Tmin, NOT('14 Msi'!$I44="")),'14 Msi'!$I44,0)</f>
        <v>0</v>
      </c>
      <c r="AD44">
        <f>IF(AND('14 Msi'!F44&gt;Tmin, NOT('14 Msi'!$I44="")),'14 Msi'!$I44,0)</f>
        <v>0</v>
      </c>
      <c r="AE44">
        <f>IF(AND('14 Msi'!C44&lt;Tmax, NOT('14 Msi'!$H44="")),'14 Msi'!$H44,4)</f>
        <v>2</v>
      </c>
      <c r="AF44">
        <f>IF(AND('14 Msi'!D44&lt;Tmax, NOT('14 Msi'!$H44="")),'14 Msi'!$H44,4)</f>
        <v>2</v>
      </c>
      <c r="AG44">
        <f>IF(AND('14 Msi'!E44&lt;Tmax, NOT('14 Msi'!$H44="")),'14 Msi'!$H44,4)</f>
        <v>2</v>
      </c>
      <c r="AH44">
        <f>IF(AND('14 Msi'!F44&lt;Tmax, NOT('14 Msi'!$H44="")),'14 Msi'!$H44,4)</f>
        <v>2</v>
      </c>
      <c r="AI44"/>
    </row>
    <row r="45" spans="1:35" outlineLevel="2" x14ac:dyDescent="0.2">
      <c r="A45" s="556" t="s">
        <v>3927</v>
      </c>
      <c r="B45" s="557" t="s">
        <v>5488</v>
      </c>
      <c r="C45" s="555"/>
      <c r="D45" s="551"/>
      <c r="E45" s="551"/>
      <c r="F45" s="551"/>
      <c r="G45" s="1492">
        <v>2</v>
      </c>
      <c r="H45" s="1492">
        <v>2</v>
      </c>
      <c r="I45" s="1492"/>
      <c r="J45" s="552"/>
      <c r="AA45">
        <f>IF(AND('14 Msi'!C45&gt;Tmin, NOT('14 Msi'!$I45="")),'14 Msi'!$I45,0)</f>
        <v>0</v>
      </c>
      <c r="AB45">
        <f>IF(AND('14 Msi'!D45&gt;Tmin, NOT('14 Msi'!$I45="")),'14 Msi'!$I45,0)</f>
        <v>0</v>
      </c>
      <c r="AC45">
        <f>IF(AND('14 Msi'!E45&gt;Tmin, NOT('14 Msi'!$I45="")),'14 Msi'!$I45,0)</f>
        <v>0</v>
      </c>
      <c r="AD45">
        <f>IF(AND('14 Msi'!F45&gt;Tmin, NOT('14 Msi'!$I45="")),'14 Msi'!$I45,0)</f>
        <v>0</v>
      </c>
      <c r="AE45">
        <f>IF(AND('14 Msi'!C45&lt;Tmax, NOT('14 Msi'!$H45="")),'14 Msi'!$H45,4)</f>
        <v>2</v>
      </c>
      <c r="AF45">
        <f>IF(AND('14 Msi'!D45&lt;Tmax, NOT('14 Msi'!$H45="")),'14 Msi'!$H45,4)</f>
        <v>2</v>
      </c>
      <c r="AG45">
        <f>IF(AND('14 Msi'!E45&lt;Tmax, NOT('14 Msi'!$H45="")),'14 Msi'!$H45,4)</f>
        <v>2</v>
      </c>
      <c r="AH45">
        <f>IF(AND('14 Msi'!F45&lt;Tmax, NOT('14 Msi'!$H45="")),'14 Msi'!$H45,4)</f>
        <v>2</v>
      </c>
      <c r="AI45"/>
    </row>
    <row r="46" spans="1:35" x14ac:dyDescent="0.2">
      <c r="A46" s="550" t="s">
        <v>3928</v>
      </c>
      <c r="B46" s="550" t="s">
        <v>5321</v>
      </c>
      <c r="C46" s="555"/>
      <c r="D46" s="562"/>
      <c r="E46" s="562"/>
      <c r="F46" s="562"/>
      <c r="G46" s="1492"/>
      <c r="H46" s="1492"/>
      <c r="I46" s="1492"/>
      <c r="J46" s="552"/>
      <c r="AA46"/>
      <c r="AB46"/>
      <c r="AC46"/>
      <c r="AD46"/>
      <c r="AE46"/>
      <c r="AF46"/>
      <c r="AG46"/>
      <c r="AH46"/>
      <c r="AI46"/>
    </row>
    <row r="47" spans="1:35" outlineLevel="1" x14ac:dyDescent="0.2">
      <c r="A47" s="553" t="s">
        <v>3929</v>
      </c>
      <c r="B47" s="554" t="s">
        <v>3930</v>
      </c>
      <c r="C47" s="555"/>
      <c r="D47" s="562"/>
      <c r="E47" s="562"/>
      <c r="F47" s="562"/>
      <c r="G47" s="1492"/>
      <c r="H47" s="1492"/>
      <c r="I47" s="1492"/>
      <c r="J47" s="552"/>
      <c r="AA47"/>
      <c r="AB47"/>
      <c r="AC47"/>
      <c r="AD47"/>
      <c r="AE47"/>
      <c r="AF47"/>
      <c r="AG47"/>
      <c r="AH47"/>
      <c r="AI47"/>
    </row>
    <row r="48" spans="1:35" outlineLevel="2" x14ac:dyDescent="0.2">
      <c r="A48" s="556" t="s">
        <v>3931</v>
      </c>
      <c r="B48" s="557" t="s">
        <v>2004</v>
      </c>
      <c r="C48" s="555"/>
      <c r="D48" s="562"/>
      <c r="E48" s="562"/>
      <c r="F48" s="562"/>
      <c r="G48" s="1492">
        <v>4</v>
      </c>
      <c r="H48" s="1492">
        <v>1</v>
      </c>
      <c r="I48" s="1492"/>
      <c r="J48" s="552"/>
      <c r="AA48">
        <f>IF(AND('14 Msi'!C48&gt;Tmin, NOT('14 Msi'!$I48="")),'14 Msi'!$I48,0)</f>
        <v>0</v>
      </c>
      <c r="AB48">
        <f>IF(AND('14 Msi'!D48&gt;Tmin, NOT('14 Msi'!$I48="")),'14 Msi'!$I48,0)</f>
        <v>0</v>
      </c>
      <c r="AC48">
        <f>IF(AND('14 Msi'!E48&gt;Tmin, NOT('14 Msi'!$I48="")),'14 Msi'!$I48,0)</f>
        <v>0</v>
      </c>
      <c r="AD48">
        <f>IF(AND('14 Msi'!F48&gt;Tmin, NOT('14 Msi'!$I48="")),'14 Msi'!$I48,0)</f>
        <v>0</v>
      </c>
      <c r="AE48">
        <f>IF(AND('14 Msi'!C48&lt;Tmax, NOT('14 Msi'!$H48="")),'14 Msi'!$H48,4)</f>
        <v>1</v>
      </c>
      <c r="AF48">
        <f>IF(AND('14 Msi'!D48&lt;Tmax, NOT('14 Msi'!$H48="")),'14 Msi'!$H48,4)</f>
        <v>1</v>
      </c>
      <c r="AG48">
        <f>IF(AND('14 Msi'!E48&lt;Tmax, NOT('14 Msi'!$H48="")),'14 Msi'!$H48,4)</f>
        <v>1</v>
      </c>
      <c r="AH48">
        <f>IF(AND('14 Msi'!F48&lt;Tmax, NOT('14 Msi'!$H48="")),'14 Msi'!$H48,4)</f>
        <v>1</v>
      </c>
      <c r="AI48"/>
    </row>
    <row r="49" spans="1:35" ht="22.5" outlineLevel="2" x14ac:dyDescent="0.2">
      <c r="A49" s="556" t="s">
        <v>2005</v>
      </c>
      <c r="B49" s="557" t="s">
        <v>3129</v>
      </c>
      <c r="C49" s="555"/>
      <c r="D49" s="562"/>
      <c r="E49" s="562"/>
      <c r="F49" s="562"/>
      <c r="G49" s="1492">
        <v>2</v>
      </c>
      <c r="H49" s="1492"/>
      <c r="I49" s="1492"/>
      <c r="J49" s="552"/>
      <c r="AA49">
        <f>IF(AND('14 Msi'!C49&gt;Tmin, NOT('14 Msi'!$I49="")),'14 Msi'!$I49,0)</f>
        <v>0</v>
      </c>
      <c r="AB49">
        <f>IF(AND('14 Msi'!D49&gt;Tmin, NOT('14 Msi'!$I49="")),'14 Msi'!$I49,0)</f>
        <v>0</v>
      </c>
      <c r="AC49">
        <f>IF(AND('14 Msi'!E49&gt;Tmin, NOT('14 Msi'!$I49="")),'14 Msi'!$I49,0)</f>
        <v>0</v>
      </c>
      <c r="AD49">
        <f>IF(AND('14 Msi'!F49&gt;Tmin, NOT('14 Msi'!$I49="")),'14 Msi'!$I49,0)</f>
        <v>0</v>
      </c>
      <c r="AE49">
        <f>IF(AND('14 Msi'!C49&lt;Tmax, NOT('14 Msi'!$H49="")),'14 Msi'!$H49,4)</f>
        <v>4</v>
      </c>
      <c r="AF49">
        <f>IF(AND('14 Msi'!D49&lt;Tmax, NOT('14 Msi'!$H49="")),'14 Msi'!$H49,4)</f>
        <v>4</v>
      </c>
      <c r="AG49">
        <f>IF(AND('14 Msi'!E49&lt;Tmax, NOT('14 Msi'!$H49="")),'14 Msi'!$H49,4)</f>
        <v>4</v>
      </c>
      <c r="AH49">
        <f>IF(AND('14 Msi'!F49&lt;Tmax, NOT('14 Msi'!$H49="")),'14 Msi'!$H49,4)</f>
        <v>4</v>
      </c>
      <c r="AI49"/>
    </row>
    <row r="50" spans="1:35" outlineLevel="2" x14ac:dyDescent="0.2">
      <c r="A50" s="556" t="s">
        <v>3130</v>
      </c>
      <c r="B50" s="557" t="s">
        <v>3131</v>
      </c>
      <c r="C50" s="555"/>
      <c r="D50" s="562"/>
      <c r="E50" s="562"/>
      <c r="F50" s="562"/>
      <c r="G50" s="1492">
        <v>2</v>
      </c>
      <c r="H50" s="1492">
        <v>2</v>
      </c>
      <c r="I50" s="1492"/>
      <c r="J50" s="552"/>
      <c r="AA50">
        <f>IF(AND('14 Msi'!C50&gt;Tmin, NOT('14 Msi'!$I50="")),'14 Msi'!$I50,0)</f>
        <v>0</v>
      </c>
      <c r="AB50">
        <f>IF(AND('14 Msi'!D50&gt;Tmin, NOT('14 Msi'!$I50="")),'14 Msi'!$I50,0)</f>
        <v>0</v>
      </c>
      <c r="AC50">
        <f>IF(AND('14 Msi'!E50&gt;Tmin, NOT('14 Msi'!$I50="")),'14 Msi'!$I50,0)</f>
        <v>0</v>
      </c>
      <c r="AD50">
        <f>IF(AND('14 Msi'!F50&gt;Tmin, NOT('14 Msi'!$I50="")),'14 Msi'!$I50,0)</f>
        <v>0</v>
      </c>
      <c r="AE50">
        <f>IF(AND('14 Msi'!C50&lt;Tmax, NOT('14 Msi'!$H50="")),'14 Msi'!$H50,4)</f>
        <v>2</v>
      </c>
      <c r="AF50">
        <f>IF(AND('14 Msi'!D50&lt;Tmax, NOT('14 Msi'!$H50="")),'14 Msi'!$H50,4)</f>
        <v>2</v>
      </c>
      <c r="AG50">
        <f>IF(AND('14 Msi'!E50&lt;Tmax, NOT('14 Msi'!$H50="")),'14 Msi'!$H50,4)</f>
        <v>2</v>
      </c>
      <c r="AH50">
        <f>IF(AND('14 Msi'!F50&lt;Tmax, NOT('14 Msi'!$H50="")),'14 Msi'!$H50,4)</f>
        <v>2</v>
      </c>
      <c r="AI50"/>
    </row>
    <row r="51" spans="1:35" outlineLevel="1" x14ac:dyDescent="0.2">
      <c r="A51" s="558" t="s">
        <v>3531</v>
      </c>
      <c r="B51" s="559" t="s">
        <v>65</v>
      </c>
      <c r="C51" s="555"/>
      <c r="D51" s="562"/>
      <c r="E51" s="562"/>
      <c r="F51" s="562"/>
      <c r="G51" s="1492"/>
      <c r="H51" s="1492"/>
      <c r="I51" s="1492"/>
      <c r="J51" s="552"/>
      <c r="AA51"/>
      <c r="AB51"/>
      <c r="AC51"/>
      <c r="AD51"/>
      <c r="AE51"/>
      <c r="AF51"/>
      <c r="AG51"/>
      <c r="AH51"/>
      <c r="AI51"/>
    </row>
    <row r="52" spans="1:35" outlineLevel="2" x14ac:dyDescent="0.2">
      <c r="A52" s="556" t="s">
        <v>3532</v>
      </c>
      <c r="B52" s="557" t="s">
        <v>66</v>
      </c>
      <c r="C52" s="555"/>
      <c r="D52" s="562"/>
      <c r="E52" s="562"/>
      <c r="F52" s="562"/>
      <c r="G52" s="1492">
        <v>4</v>
      </c>
      <c r="H52" s="1492">
        <v>1</v>
      </c>
      <c r="I52" s="1492"/>
      <c r="J52" s="552"/>
      <c r="AA52">
        <f>IF(AND('14 Msi'!C52&gt;Tmin, NOT('14 Msi'!$I52="")),'14 Msi'!$I52,0)</f>
        <v>0</v>
      </c>
      <c r="AB52">
        <f>IF(AND('14 Msi'!D52&gt;Tmin, NOT('14 Msi'!$I52="")),'14 Msi'!$I52,0)</f>
        <v>0</v>
      </c>
      <c r="AC52">
        <f>IF(AND('14 Msi'!E52&gt;Tmin, NOT('14 Msi'!$I52="")),'14 Msi'!$I52,0)</f>
        <v>0</v>
      </c>
      <c r="AD52">
        <f>IF(AND('14 Msi'!F52&gt;Tmin, NOT('14 Msi'!$I52="")),'14 Msi'!$I52,0)</f>
        <v>0</v>
      </c>
      <c r="AE52">
        <f>IF(AND('14 Msi'!C52&lt;Tmax, NOT('14 Msi'!$H52="")),'14 Msi'!$H52,4)</f>
        <v>1</v>
      </c>
      <c r="AF52">
        <f>IF(AND('14 Msi'!D52&lt;Tmax, NOT('14 Msi'!$H52="")),'14 Msi'!$H52,4)</f>
        <v>1</v>
      </c>
      <c r="AG52">
        <f>IF(AND('14 Msi'!E52&lt;Tmax, NOT('14 Msi'!$H52="")),'14 Msi'!$H52,4)</f>
        <v>1</v>
      </c>
      <c r="AH52">
        <f>IF(AND('14 Msi'!F52&lt;Tmax, NOT('14 Msi'!$H52="")),'14 Msi'!$H52,4)</f>
        <v>1</v>
      </c>
      <c r="AI52"/>
    </row>
    <row r="53" spans="1:35" outlineLevel="2" x14ac:dyDescent="0.2">
      <c r="A53" s="556" t="s">
        <v>3533</v>
      </c>
      <c r="B53" s="557" t="s">
        <v>67</v>
      </c>
      <c r="C53" s="555"/>
      <c r="D53" s="562"/>
      <c r="E53" s="562"/>
      <c r="F53" s="562"/>
      <c r="G53" s="1492">
        <v>2</v>
      </c>
      <c r="H53" s="1492"/>
      <c r="I53" s="1492"/>
      <c r="J53" s="552"/>
      <c r="AA53">
        <f>IF(AND('14 Msi'!C53&gt;Tmin, NOT('14 Msi'!$I53="")),'14 Msi'!$I53,0)</f>
        <v>0</v>
      </c>
      <c r="AB53">
        <f>IF(AND('14 Msi'!D53&gt;Tmin, NOT('14 Msi'!$I53="")),'14 Msi'!$I53,0)</f>
        <v>0</v>
      </c>
      <c r="AC53">
        <f>IF(AND('14 Msi'!E53&gt;Tmin, NOT('14 Msi'!$I53="")),'14 Msi'!$I53,0)</f>
        <v>0</v>
      </c>
      <c r="AD53">
        <f>IF(AND('14 Msi'!F53&gt;Tmin, NOT('14 Msi'!$I53="")),'14 Msi'!$I53,0)</f>
        <v>0</v>
      </c>
      <c r="AE53">
        <f>IF(AND('14 Msi'!C53&lt;Tmax, NOT('14 Msi'!$H53="")),'14 Msi'!$H53,4)</f>
        <v>4</v>
      </c>
      <c r="AF53">
        <f>IF(AND('14 Msi'!D53&lt;Tmax, NOT('14 Msi'!$H53="")),'14 Msi'!$H53,4)</f>
        <v>4</v>
      </c>
      <c r="AG53">
        <f>IF(AND('14 Msi'!E53&lt;Tmax, NOT('14 Msi'!$H53="")),'14 Msi'!$H53,4)</f>
        <v>4</v>
      </c>
      <c r="AH53">
        <f>IF(AND('14 Msi'!F53&lt;Tmax, NOT('14 Msi'!$H53="")),'14 Msi'!$H53,4)</f>
        <v>4</v>
      </c>
      <c r="AI53"/>
    </row>
    <row r="54" spans="1:35" ht="22.5" outlineLevel="2" x14ac:dyDescent="0.2">
      <c r="A54" s="556" t="s">
        <v>3534</v>
      </c>
      <c r="B54" s="557" t="s">
        <v>68</v>
      </c>
      <c r="C54" s="555"/>
      <c r="D54" s="562"/>
      <c r="E54" s="562"/>
      <c r="F54" s="562"/>
      <c r="G54" s="1492">
        <v>2</v>
      </c>
      <c r="H54" s="1492">
        <v>2</v>
      </c>
      <c r="I54" s="1492"/>
      <c r="J54" s="552"/>
      <c r="AA54">
        <f>IF(AND('14 Msi'!C54&gt;Tmin, NOT('14 Msi'!$I54="")),'14 Msi'!$I54,0)</f>
        <v>0</v>
      </c>
      <c r="AB54">
        <f>IF(AND('14 Msi'!D54&gt;Tmin, NOT('14 Msi'!$I54="")),'14 Msi'!$I54,0)</f>
        <v>0</v>
      </c>
      <c r="AC54">
        <f>IF(AND('14 Msi'!E54&gt;Tmin, NOT('14 Msi'!$I54="")),'14 Msi'!$I54,0)</f>
        <v>0</v>
      </c>
      <c r="AD54">
        <f>IF(AND('14 Msi'!F54&gt;Tmin, NOT('14 Msi'!$I54="")),'14 Msi'!$I54,0)</f>
        <v>0</v>
      </c>
      <c r="AE54">
        <f>IF(AND('14 Msi'!C54&lt;Tmax, NOT('14 Msi'!$H54="")),'14 Msi'!$H54,4)</f>
        <v>2</v>
      </c>
      <c r="AF54">
        <f>IF(AND('14 Msi'!D54&lt;Tmax, NOT('14 Msi'!$H54="")),'14 Msi'!$H54,4)</f>
        <v>2</v>
      </c>
      <c r="AG54">
        <f>IF(AND('14 Msi'!E54&lt;Tmax, NOT('14 Msi'!$H54="")),'14 Msi'!$H54,4)</f>
        <v>2</v>
      </c>
      <c r="AH54">
        <f>IF(AND('14 Msi'!F54&lt;Tmax, NOT('14 Msi'!$H54="")),'14 Msi'!$H54,4)</f>
        <v>2</v>
      </c>
      <c r="AI54"/>
    </row>
    <row r="55" spans="1:35" outlineLevel="2" x14ac:dyDescent="0.2">
      <c r="A55" s="556" t="s">
        <v>3535</v>
      </c>
      <c r="B55" s="557" t="s">
        <v>69</v>
      </c>
      <c r="C55" s="555"/>
      <c r="D55" s="562"/>
      <c r="E55" s="562"/>
      <c r="F55" s="562"/>
      <c r="G55" s="1492">
        <v>2</v>
      </c>
      <c r="H55" s="1492"/>
      <c r="I55" s="1492"/>
      <c r="J55" s="552"/>
      <c r="AA55">
        <f>IF(AND('14 Msi'!C55&gt;Tmin, NOT('14 Msi'!$I55="")),'14 Msi'!$I55,0)</f>
        <v>0</v>
      </c>
      <c r="AB55">
        <f>IF(AND('14 Msi'!D55&gt;Tmin, NOT('14 Msi'!$I55="")),'14 Msi'!$I55,0)</f>
        <v>0</v>
      </c>
      <c r="AC55">
        <f>IF(AND('14 Msi'!E55&gt;Tmin, NOT('14 Msi'!$I55="")),'14 Msi'!$I55,0)</f>
        <v>0</v>
      </c>
      <c r="AD55">
        <f>IF(AND('14 Msi'!F55&gt;Tmin, NOT('14 Msi'!$I55="")),'14 Msi'!$I55,0)</f>
        <v>0</v>
      </c>
      <c r="AE55">
        <f>IF(AND('14 Msi'!C55&lt;Tmax, NOT('14 Msi'!$H55="")),'14 Msi'!$H55,4)</f>
        <v>4</v>
      </c>
      <c r="AF55">
        <f>IF(AND('14 Msi'!D55&lt;Tmax, NOT('14 Msi'!$H55="")),'14 Msi'!$H55,4)</f>
        <v>4</v>
      </c>
      <c r="AG55">
        <f>IF(AND('14 Msi'!E55&lt;Tmax, NOT('14 Msi'!$H55="")),'14 Msi'!$H55,4)</f>
        <v>4</v>
      </c>
      <c r="AH55">
        <f>IF(AND('14 Msi'!F55&lt;Tmax, NOT('14 Msi'!$H55="")),'14 Msi'!$H55,4)</f>
        <v>4</v>
      </c>
      <c r="AI55"/>
    </row>
    <row r="56" spans="1:35" outlineLevel="2" x14ac:dyDescent="0.2">
      <c r="A56" s="556" t="s">
        <v>3536</v>
      </c>
      <c r="B56" s="557" t="s">
        <v>1231</v>
      </c>
      <c r="C56" s="555"/>
      <c r="D56" s="562"/>
      <c r="E56" s="562"/>
      <c r="F56" s="562"/>
      <c r="G56" s="1492">
        <v>2</v>
      </c>
      <c r="H56" s="1492">
        <v>2</v>
      </c>
      <c r="I56" s="1492"/>
      <c r="J56" s="552"/>
      <c r="AA56">
        <f>IF(AND('14 Msi'!C56&gt;Tmin, NOT('14 Msi'!$I56="")),'14 Msi'!$I56,0)</f>
        <v>0</v>
      </c>
      <c r="AB56">
        <f>IF(AND('14 Msi'!D56&gt;Tmin, NOT('14 Msi'!$I56="")),'14 Msi'!$I56,0)</f>
        <v>0</v>
      </c>
      <c r="AC56">
        <f>IF(AND('14 Msi'!E56&gt;Tmin, NOT('14 Msi'!$I56="")),'14 Msi'!$I56,0)</f>
        <v>0</v>
      </c>
      <c r="AD56">
        <f>IF(AND('14 Msi'!F56&gt;Tmin, NOT('14 Msi'!$I56="")),'14 Msi'!$I56,0)</f>
        <v>0</v>
      </c>
      <c r="AE56">
        <f>IF(AND('14 Msi'!C56&lt;Tmax, NOT('14 Msi'!$H56="")),'14 Msi'!$H56,4)</f>
        <v>2</v>
      </c>
      <c r="AF56">
        <f>IF(AND('14 Msi'!D56&lt;Tmax, NOT('14 Msi'!$H56="")),'14 Msi'!$H56,4)</f>
        <v>2</v>
      </c>
      <c r="AG56">
        <f>IF(AND('14 Msi'!E56&lt;Tmax, NOT('14 Msi'!$H56="")),'14 Msi'!$H56,4)</f>
        <v>2</v>
      </c>
      <c r="AH56">
        <f>IF(AND('14 Msi'!F56&lt;Tmax, NOT('14 Msi'!$H56="")),'14 Msi'!$H56,4)</f>
        <v>2</v>
      </c>
      <c r="AI56"/>
    </row>
    <row r="57" spans="1:35" outlineLevel="1" x14ac:dyDescent="0.2">
      <c r="A57" s="558" t="s">
        <v>3537</v>
      </c>
      <c r="B57" s="559" t="s">
        <v>1232</v>
      </c>
      <c r="C57" s="555"/>
      <c r="D57" s="562"/>
      <c r="E57" s="562"/>
      <c r="F57" s="562"/>
      <c r="G57" s="1492"/>
      <c r="H57" s="1492"/>
      <c r="I57" s="1492"/>
      <c r="J57" s="552"/>
      <c r="AA57"/>
      <c r="AB57"/>
      <c r="AC57"/>
      <c r="AD57"/>
      <c r="AE57"/>
      <c r="AF57"/>
      <c r="AG57"/>
      <c r="AH57"/>
      <c r="AI57"/>
    </row>
    <row r="58" spans="1:35" outlineLevel="2" x14ac:dyDescent="0.2">
      <c r="A58" s="556" t="s">
        <v>3538</v>
      </c>
      <c r="B58" s="557" t="s">
        <v>4632</v>
      </c>
      <c r="C58" s="555"/>
      <c r="D58" s="562"/>
      <c r="E58" s="562"/>
      <c r="F58" s="562"/>
      <c r="G58" s="1492">
        <v>4</v>
      </c>
      <c r="H58" s="1492"/>
      <c r="I58" s="1492"/>
      <c r="J58" s="552"/>
      <c r="AA58">
        <f>IF(AND('14 Msi'!C58&gt;Tmin, NOT('14 Msi'!$I58="")),'14 Msi'!$I58,0)</f>
        <v>0</v>
      </c>
      <c r="AB58">
        <f>IF(AND('14 Msi'!D58&gt;Tmin, NOT('14 Msi'!$I58="")),'14 Msi'!$I58,0)</f>
        <v>0</v>
      </c>
      <c r="AC58">
        <f>IF(AND('14 Msi'!E58&gt;Tmin, NOT('14 Msi'!$I58="")),'14 Msi'!$I58,0)</f>
        <v>0</v>
      </c>
      <c r="AD58">
        <f>IF(AND('14 Msi'!F58&gt;Tmin, NOT('14 Msi'!$I58="")),'14 Msi'!$I58,0)</f>
        <v>0</v>
      </c>
      <c r="AE58">
        <f>IF(AND('14 Msi'!C58&lt;Tmax, NOT('14 Msi'!$H58="")),'14 Msi'!$H58,4)</f>
        <v>4</v>
      </c>
      <c r="AF58">
        <f>IF(AND('14 Msi'!D58&lt;Tmax, NOT('14 Msi'!$H58="")),'14 Msi'!$H58,4)</f>
        <v>4</v>
      </c>
      <c r="AG58">
        <f>IF(AND('14 Msi'!E58&lt;Tmax, NOT('14 Msi'!$H58="")),'14 Msi'!$H58,4)</f>
        <v>4</v>
      </c>
      <c r="AH58">
        <f>IF(AND('14 Msi'!F58&lt;Tmax, NOT('14 Msi'!$H58="")),'14 Msi'!$H58,4)</f>
        <v>4</v>
      </c>
      <c r="AI58"/>
    </row>
    <row r="59" spans="1:35" ht="22.5" outlineLevel="2" x14ac:dyDescent="0.2">
      <c r="A59" s="556" t="s">
        <v>3539</v>
      </c>
      <c r="B59" s="557" t="s">
        <v>4633</v>
      </c>
      <c r="C59" s="555"/>
      <c r="D59" s="562"/>
      <c r="E59" s="562"/>
      <c r="F59" s="562"/>
      <c r="G59" s="1492">
        <v>2</v>
      </c>
      <c r="H59" s="1492">
        <v>2</v>
      </c>
      <c r="I59" s="1492"/>
      <c r="J59" s="552"/>
      <c r="AA59">
        <f>IF(AND('14 Msi'!C59&gt;Tmin, NOT('14 Msi'!$I59="")),'14 Msi'!$I59,0)</f>
        <v>0</v>
      </c>
      <c r="AB59">
        <f>IF(AND('14 Msi'!D59&gt;Tmin, NOT('14 Msi'!$I59="")),'14 Msi'!$I59,0)</f>
        <v>0</v>
      </c>
      <c r="AC59">
        <f>IF(AND('14 Msi'!E59&gt;Tmin, NOT('14 Msi'!$I59="")),'14 Msi'!$I59,0)</f>
        <v>0</v>
      </c>
      <c r="AD59">
        <f>IF(AND('14 Msi'!F59&gt;Tmin, NOT('14 Msi'!$I59="")),'14 Msi'!$I59,0)</f>
        <v>0</v>
      </c>
      <c r="AE59">
        <f>IF(AND('14 Msi'!C59&lt;Tmax, NOT('14 Msi'!$H59="")),'14 Msi'!$H59,4)</f>
        <v>2</v>
      </c>
      <c r="AF59">
        <f>IF(AND('14 Msi'!D59&lt;Tmax, NOT('14 Msi'!$H59="")),'14 Msi'!$H59,4)</f>
        <v>2</v>
      </c>
      <c r="AG59">
        <f>IF(AND('14 Msi'!E59&lt;Tmax, NOT('14 Msi'!$H59="")),'14 Msi'!$H59,4)</f>
        <v>2</v>
      </c>
      <c r="AH59">
        <f>IF(AND('14 Msi'!F59&lt;Tmax, NOT('14 Msi'!$H59="")),'14 Msi'!$H59,4)</f>
        <v>2</v>
      </c>
      <c r="AI59"/>
    </row>
    <row r="60" spans="1:35" outlineLevel="2" x14ac:dyDescent="0.2">
      <c r="A60" s="556" t="s">
        <v>3540</v>
      </c>
      <c r="B60" s="557" t="s">
        <v>4634</v>
      </c>
      <c r="C60" s="563"/>
      <c r="D60" s="551"/>
      <c r="E60" s="551"/>
      <c r="F60" s="551"/>
      <c r="G60" s="1492">
        <v>2</v>
      </c>
      <c r="H60" s="1492"/>
      <c r="I60" s="1492"/>
      <c r="J60" s="552"/>
      <c r="AA60">
        <f>IF(AND('14 Msi'!C60&gt;Tmin, NOT('14 Msi'!$I60="")),'14 Msi'!$I60,0)</f>
        <v>0</v>
      </c>
      <c r="AB60">
        <f>IF(AND('14 Msi'!D60&gt;Tmin, NOT('14 Msi'!$I60="")),'14 Msi'!$I60,0)</f>
        <v>0</v>
      </c>
      <c r="AC60">
        <f>IF(AND('14 Msi'!E60&gt;Tmin, NOT('14 Msi'!$I60="")),'14 Msi'!$I60,0)</f>
        <v>0</v>
      </c>
      <c r="AD60">
        <f>IF(AND('14 Msi'!F60&gt;Tmin, NOT('14 Msi'!$I60="")),'14 Msi'!$I60,0)</f>
        <v>0</v>
      </c>
      <c r="AE60">
        <f>IF(AND('14 Msi'!C60&lt;Tmax, NOT('14 Msi'!$H60="")),'14 Msi'!$H60,4)</f>
        <v>4</v>
      </c>
      <c r="AF60">
        <f>IF(AND('14 Msi'!D60&lt;Tmax, NOT('14 Msi'!$H60="")),'14 Msi'!$H60,4)</f>
        <v>4</v>
      </c>
      <c r="AG60">
        <f>IF(AND('14 Msi'!E60&lt;Tmax, NOT('14 Msi'!$H60="")),'14 Msi'!$H60,4)</f>
        <v>4</v>
      </c>
      <c r="AH60">
        <f>IF(AND('14 Msi'!F60&lt;Tmax, NOT('14 Msi'!$H60="")),'14 Msi'!$H60,4)</f>
        <v>4</v>
      </c>
      <c r="AI60"/>
    </row>
    <row r="61" spans="1:35" outlineLevel="2" x14ac:dyDescent="0.2">
      <c r="A61" s="556" t="s">
        <v>3541</v>
      </c>
      <c r="B61" s="557" t="s">
        <v>1893</v>
      </c>
      <c r="C61" s="555"/>
      <c r="D61" s="551"/>
      <c r="E61" s="551"/>
      <c r="F61" s="551"/>
      <c r="G61" s="1492">
        <v>2</v>
      </c>
      <c r="H61" s="1492">
        <v>2</v>
      </c>
      <c r="I61" s="1492"/>
      <c r="J61" s="552"/>
      <c r="AA61">
        <f>IF(AND('14 Msi'!C61&gt;Tmin, NOT('14 Msi'!$I61="")),'14 Msi'!$I61,0)</f>
        <v>0</v>
      </c>
      <c r="AB61">
        <f>IF(AND('14 Msi'!D61&gt;Tmin, NOT('14 Msi'!$I61="")),'14 Msi'!$I61,0)</f>
        <v>0</v>
      </c>
      <c r="AC61">
        <f>IF(AND('14 Msi'!E61&gt;Tmin, NOT('14 Msi'!$I61="")),'14 Msi'!$I61,0)</f>
        <v>0</v>
      </c>
      <c r="AD61">
        <f>IF(AND('14 Msi'!F61&gt;Tmin, NOT('14 Msi'!$I61="")),'14 Msi'!$I61,0)</f>
        <v>0</v>
      </c>
      <c r="AE61">
        <f>IF(AND('14 Msi'!C61&lt;Tmax, NOT('14 Msi'!$H61="")),'14 Msi'!$H61,4)</f>
        <v>2</v>
      </c>
      <c r="AF61">
        <f>IF(AND('14 Msi'!D61&lt;Tmax, NOT('14 Msi'!$H61="")),'14 Msi'!$H61,4)</f>
        <v>2</v>
      </c>
      <c r="AG61">
        <f>IF(AND('14 Msi'!E61&lt;Tmax, NOT('14 Msi'!$H61="")),'14 Msi'!$H61,4)</f>
        <v>2</v>
      </c>
      <c r="AH61">
        <f>IF(AND('14 Msi'!F61&lt;Tmax, NOT('14 Msi'!$H61="")),'14 Msi'!$H61,4)</f>
        <v>2</v>
      </c>
      <c r="AI61"/>
    </row>
    <row r="62" spans="1:35" outlineLevel="2" x14ac:dyDescent="0.2">
      <c r="A62" s="556" t="s">
        <v>3542</v>
      </c>
      <c r="B62" s="557" t="s">
        <v>2678</v>
      </c>
      <c r="C62" s="555"/>
      <c r="D62" s="551"/>
      <c r="E62" s="551"/>
      <c r="F62" s="551"/>
      <c r="G62" s="1492">
        <v>2</v>
      </c>
      <c r="H62" s="1492">
        <v>2</v>
      </c>
      <c r="I62" s="1492"/>
      <c r="J62" s="552"/>
      <c r="AA62">
        <f>IF(AND('14 Msi'!C62&gt;Tmin, NOT('14 Msi'!$I62="")),'14 Msi'!$I62,0)</f>
        <v>0</v>
      </c>
      <c r="AB62">
        <f>IF(AND('14 Msi'!D62&gt;Tmin, NOT('14 Msi'!$I62="")),'14 Msi'!$I62,0)</f>
        <v>0</v>
      </c>
      <c r="AC62">
        <f>IF(AND('14 Msi'!E62&gt;Tmin, NOT('14 Msi'!$I62="")),'14 Msi'!$I62,0)</f>
        <v>0</v>
      </c>
      <c r="AD62">
        <f>IF(AND('14 Msi'!F62&gt;Tmin, NOT('14 Msi'!$I62="")),'14 Msi'!$I62,0)</f>
        <v>0</v>
      </c>
      <c r="AE62">
        <f>IF(AND('14 Msi'!C62&lt;Tmax, NOT('14 Msi'!$H62="")),'14 Msi'!$H62,4)</f>
        <v>2</v>
      </c>
      <c r="AF62">
        <f>IF(AND('14 Msi'!D62&lt;Tmax, NOT('14 Msi'!$H62="")),'14 Msi'!$H62,4)</f>
        <v>2</v>
      </c>
      <c r="AG62">
        <f>IF(AND('14 Msi'!E62&lt;Tmax, NOT('14 Msi'!$H62="")),'14 Msi'!$H62,4)</f>
        <v>2</v>
      </c>
      <c r="AH62">
        <f>IF(AND('14 Msi'!F62&lt;Tmax, NOT('14 Msi'!$H62="")),'14 Msi'!$H62,4)</f>
        <v>2</v>
      </c>
      <c r="AI62"/>
    </row>
    <row r="63" spans="1:35" outlineLevel="2" x14ac:dyDescent="0.2">
      <c r="A63" s="556" t="s">
        <v>3543</v>
      </c>
      <c r="B63" s="557" t="s">
        <v>2679</v>
      </c>
      <c r="C63" s="555"/>
      <c r="D63" s="551"/>
      <c r="E63" s="551"/>
      <c r="F63" s="551"/>
      <c r="G63" s="1492">
        <v>2</v>
      </c>
      <c r="H63" s="1492">
        <v>2</v>
      </c>
      <c r="I63" s="1492"/>
      <c r="J63" s="552"/>
      <c r="AA63">
        <f>IF(AND('14 Msi'!C63&gt;Tmin, NOT('14 Msi'!$I63="")),'14 Msi'!$I63,0)</f>
        <v>0</v>
      </c>
      <c r="AB63">
        <f>IF(AND('14 Msi'!D63&gt;Tmin, NOT('14 Msi'!$I63="")),'14 Msi'!$I63,0)</f>
        <v>0</v>
      </c>
      <c r="AC63">
        <f>IF(AND('14 Msi'!E63&gt;Tmin, NOT('14 Msi'!$I63="")),'14 Msi'!$I63,0)</f>
        <v>0</v>
      </c>
      <c r="AD63">
        <f>IF(AND('14 Msi'!F63&gt;Tmin, NOT('14 Msi'!$I63="")),'14 Msi'!$I63,0)</f>
        <v>0</v>
      </c>
      <c r="AE63">
        <f>IF(AND('14 Msi'!C63&lt;Tmax, NOT('14 Msi'!$H63="")),'14 Msi'!$H63,4)</f>
        <v>2</v>
      </c>
      <c r="AF63">
        <f>IF(AND('14 Msi'!D63&lt;Tmax, NOT('14 Msi'!$H63="")),'14 Msi'!$H63,4)</f>
        <v>2</v>
      </c>
      <c r="AG63">
        <f>IF(AND('14 Msi'!E63&lt;Tmax, NOT('14 Msi'!$H63="")),'14 Msi'!$H63,4)</f>
        <v>2</v>
      </c>
      <c r="AH63">
        <f>IF(AND('14 Msi'!F63&lt;Tmax, NOT('14 Msi'!$H63="")),'14 Msi'!$H63,4)</f>
        <v>2</v>
      </c>
      <c r="AI63"/>
    </row>
    <row r="64" spans="1:35" outlineLevel="1" x14ac:dyDescent="0.2">
      <c r="A64" s="558" t="s">
        <v>3544</v>
      </c>
      <c r="B64" s="559" t="s">
        <v>6314</v>
      </c>
      <c r="C64" s="555"/>
      <c r="D64" s="551"/>
      <c r="E64" s="551"/>
      <c r="F64" s="551"/>
      <c r="G64" s="1492"/>
      <c r="H64" s="1492"/>
      <c r="I64" s="1492"/>
      <c r="J64" s="552"/>
      <c r="AA64"/>
      <c r="AB64"/>
      <c r="AC64"/>
      <c r="AD64"/>
      <c r="AE64"/>
      <c r="AF64"/>
      <c r="AG64"/>
      <c r="AH64"/>
      <c r="AI64"/>
    </row>
    <row r="65" spans="1:35" ht="12.75" customHeight="1" outlineLevel="2" x14ac:dyDescent="0.2">
      <c r="A65" s="556" t="s">
        <v>3545</v>
      </c>
      <c r="B65" s="557" t="s">
        <v>5489</v>
      </c>
      <c r="C65" s="555"/>
      <c r="D65" s="551"/>
      <c r="E65" s="551"/>
      <c r="F65" s="551"/>
      <c r="G65" s="1492">
        <v>4</v>
      </c>
      <c r="H65" s="1492"/>
      <c r="I65" s="1492"/>
      <c r="J65" s="552"/>
      <c r="AA65">
        <f>IF(AND('14 Msi'!C65&gt;Tmin, NOT('14 Msi'!$I65="")),'14 Msi'!$I65,0)</f>
        <v>0</v>
      </c>
      <c r="AB65">
        <f>IF(AND('14 Msi'!D65&gt;Tmin, NOT('14 Msi'!$I65="")),'14 Msi'!$I65,0)</f>
        <v>0</v>
      </c>
      <c r="AC65">
        <f>IF(AND('14 Msi'!E65&gt;Tmin, NOT('14 Msi'!$I65="")),'14 Msi'!$I65,0)</f>
        <v>0</v>
      </c>
      <c r="AD65">
        <f>IF(AND('14 Msi'!F65&gt;Tmin, NOT('14 Msi'!$I65="")),'14 Msi'!$I65,0)</f>
        <v>0</v>
      </c>
      <c r="AE65">
        <f>IF(AND('14 Msi'!C65&lt;Tmax, NOT('14 Msi'!$H65="")),'14 Msi'!$H65,4)</f>
        <v>4</v>
      </c>
      <c r="AF65">
        <f>IF(AND('14 Msi'!D65&lt;Tmax, NOT('14 Msi'!$H65="")),'14 Msi'!$H65,4)</f>
        <v>4</v>
      </c>
      <c r="AG65">
        <f>IF(AND('14 Msi'!E65&lt;Tmax, NOT('14 Msi'!$H65="")),'14 Msi'!$H65,4)</f>
        <v>4</v>
      </c>
      <c r="AH65">
        <f>IF(AND('14 Msi'!F65&lt;Tmax, NOT('14 Msi'!$H65="")),'14 Msi'!$H65,4)</f>
        <v>4</v>
      </c>
      <c r="AI65"/>
    </row>
    <row r="66" spans="1:35" ht="22.5" outlineLevel="2" x14ac:dyDescent="0.2">
      <c r="A66" s="556" t="s">
        <v>3546</v>
      </c>
      <c r="B66" s="557" t="s">
        <v>6779</v>
      </c>
      <c r="C66" s="555"/>
      <c r="D66" s="551"/>
      <c r="E66" s="551"/>
      <c r="F66" s="551"/>
      <c r="G66" s="1492">
        <v>3</v>
      </c>
      <c r="H66" s="1492"/>
      <c r="I66" s="1492"/>
      <c r="J66" s="552"/>
      <c r="AA66">
        <f>IF(AND('14 Msi'!C66&gt;Tmin, NOT('14 Msi'!$I66="")),'14 Msi'!$I66,0)</f>
        <v>0</v>
      </c>
      <c r="AB66">
        <f>IF(AND('14 Msi'!D66&gt;Tmin, NOT('14 Msi'!$I66="")),'14 Msi'!$I66,0)</f>
        <v>0</v>
      </c>
      <c r="AC66">
        <f>IF(AND('14 Msi'!E66&gt;Tmin, NOT('14 Msi'!$I66="")),'14 Msi'!$I66,0)</f>
        <v>0</v>
      </c>
      <c r="AD66">
        <f>IF(AND('14 Msi'!F66&gt;Tmin, NOT('14 Msi'!$I66="")),'14 Msi'!$I66,0)</f>
        <v>0</v>
      </c>
      <c r="AE66">
        <f>IF(AND('14 Msi'!C66&lt;Tmax, NOT('14 Msi'!$H66="")),'14 Msi'!$H66,4)</f>
        <v>4</v>
      </c>
      <c r="AF66">
        <f>IF(AND('14 Msi'!D66&lt;Tmax, NOT('14 Msi'!$H66="")),'14 Msi'!$H66,4)</f>
        <v>4</v>
      </c>
      <c r="AG66">
        <f>IF(AND('14 Msi'!E66&lt;Tmax, NOT('14 Msi'!$H66="")),'14 Msi'!$H66,4)</f>
        <v>4</v>
      </c>
      <c r="AH66">
        <f>IF(AND('14 Msi'!F66&lt;Tmax, NOT('14 Msi'!$H66="")),'14 Msi'!$H66,4)</f>
        <v>4</v>
      </c>
      <c r="AI66"/>
    </row>
    <row r="67" spans="1:35" outlineLevel="2" x14ac:dyDescent="0.2">
      <c r="A67" s="556" t="s">
        <v>845</v>
      </c>
      <c r="B67" s="557" t="s">
        <v>6315</v>
      </c>
      <c r="C67" s="555"/>
      <c r="D67" s="551"/>
      <c r="E67" s="551"/>
      <c r="F67" s="551"/>
      <c r="G67" s="1492">
        <v>2</v>
      </c>
      <c r="H67" s="1492">
        <v>2</v>
      </c>
      <c r="I67" s="1492"/>
      <c r="J67" s="552"/>
      <c r="AA67">
        <f>IF(AND('14 Msi'!C67&gt;Tmin, NOT('14 Msi'!$I67="")),'14 Msi'!$I67,0)</f>
        <v>0</v>
      </c>
      <c r="AB67">
        <f>IF(AND('14 Msi'!D67&gt;Tmin, NOT('14 Msi'!$I67="")),'14 Msi'!$I67,0)</f>
        <v>0</v>
      </c>
      <c r="AC67">
        <f>IF(AND('14 Msi'!E67&gt;Tmin, NOT('14 Msi'!$I67="")),'14 Msi'!$I67,0)</f>
        <v>0</v>
      </c>
      <c r="AD67">
        <f>IF(AND('14 Msi'!F67&gt;Tmin, NOT('14 Msi'!$I67="")),'14 Msi'!$I67,0)</f>
        <v>0</v>
      </c>
      <c r="AE67">
        <f>IF(AND('14 Msi'!C67&lt;Tmax, NOT('14 Msi'!$H67="")),'14 Msi'!$H67,4)</f>
        <v>2</v>
      </c>
      <c r="AF67">
        <f>IF(AND('14 Msi'!D67&lt;Tmax, NOT('14 Msi'!$H67="")),'14 Msi'!$H67,4)</f>
        <v>2</v>
      </c>
      <c r="AG67">
        <f>IF(AND('14 Msi'!E67&lt;Tmax, NOT('14 Msi'!$H67="")),'14 Msi'!$H67,4)</f>
        <v>2</v>
      </c>
      <c r="AH67">
        <f>IF(AND('14 Msi'!F67&lt;Tmax, NOT('14 Msi'!$H67="")),'14 Msi'!$H67,4)</f>
        <v>2</v>
      </c>
      <c r="AI67"/>
    </row>
    <row r="68" spans="1:35" outlineLevel="2" x14ac:dyDescent="0.2">
      <c r="A68" s="556" t="s">
        <v>3547</v>
      </c>
      <c r="B68" s="557" t="s">
        <v>5093</v>
      </c>
      <c r="C68" s="555"/>
      <c r="D68" s="551"/>
      <c r="E68" s="551"/>
      <c r="F68" s="551"/>
      <c r="G68" s="1492">
        <v>2</v>
      </c>
      <c r="H68" s="1492">
        <v>3</v>
      </c>
      <c r="I68" s="1492"/>
      <c r="J68" s="552"/>
      <c r="AA68">
        <f>IF(AND('14 Msi'!C68&gt;Tmin, NOT('14 Msi'!$I68="")),'14 Msi'!$I68,0)</f>
        <v>0</v>
      </c>
      <c r="AB68">
        <f>IF(AND('14 Msi'!D68&gt;Tmin, NOT('14 Msi'!$I68="")),'14 Msi'!$I68,0)</f>
        <v>0</v>
      </c>
      <c r="AC68">
        <f>IF(AND('14 Msi'!E68&gt;Tmin, NOT('14 Msi'!$I68="")),'14 Msi'!$I68,0)</f>
        <v>0</v>
      </c>
      <c r="AD68">
        <f>IF(AND('14 Msi'!F68&gt;Tmin, NOT('14 Msi'!$I68="")),'14 Msi'!$I68,0)</f>
        <v>0</v>
      </c>
      <c r="AE68">
        <f>IF(AND('14 Msi'!C68&lt;Tmax, NOT('14 Msi'!$H68="")),'14 Msi'!$H68,4)</f>
        <v>3</v>
      </c>
      <c r="AF68">
        <f>IF(AND('14 Msi'!D68&lt;Tmax, NOT('14 Msi'!$H68="")),'14 Msi'!$H68,4)</f>
        <v>3</v>
      </c>
      <c r="AG68">
        <f>IF(AND('14 Msi'!E68&lt;Tmax, NOT('14 Msi'!$H68="")),'14 Msi'!$H68,4)</f>
        <v>3</v>
      </c>
      <c r="AH68">
        <f>IF(AND('14 Msi'!F68&lt;Tmax, NOT('14 Msi'!$H68="")),'14 Msi'!$H68,4)</f>
        <v>3</v>
      </c>
      <c r="AI68"/>
    </row>
    <row r="69" spans="1:35" ht="22.5" outlineLevel="2" x14ac:dyDescent="0.2">
      <c r="A69" s="556" t="s">
        <v>3548</v>
      </c>
      <c r="B69" s="557" t="s">
        <v>6420</v>
      </c>
      <c r="C69" s="555"/>
      <c r="D69" s="551"/>
      <c r="E69" s="551"/>
      <c r="F69" s="551"/>
      <c r="G69" s="1492">
        <v>2</v>
      </c>
      <c r="H69" s="1492">
        <v>3</v>
      </c>
      <c r="I69" s="1492"/>
      <c r="J69" s="552"/>
      <c r="AA69">
        <f>IF(AND('14 Msi'!C69&gt;Tmin, NOT('14 Msi'!$I69="")),'14 Msi'!$I69,0)</f>
        <v>0</v>
      </c>
      <c r="AB69">
        <f>IF(AND('14 Msi'!D69&gt;Tmin, NOT('14 Msi'!$I69="")),'14 Msi'!$I69,0)</f>
        <v>0</v>
      </c>
      <c r="AC69">
        <f>IF(AND('14 Msi'!E69&gt;Tmin, NOT('14 Msi'!$I69="")),'14 Msi'!$I69,0)</f>
        <v>0</v>
      </c>
      <c r="AD69">
        <f>IF(AND('14 Msi'!F69&gt;Tmin, NOT('14 Msi'!$I69="")),'14 Msi'!$I69,0)</f>
        <v>0</v>
      </c>
      <c r="AE69">
        <f>IF(AND('14 Msi'!C69&lt;Tmax, NOT('14 Msi'!$H69="")),'14 Msi'!$H69,4)</f>
        <v>3</v>
      </c>
      <c r="AF69">
        <f>IF(AND('14 Msi'!D69&lt;Tmax, NOT('14 Msi'!$H69="")),'14 Msi'!$H69,4)</f>
        <v>3</v>
      </c>
      <c r="AG69">
        <f>IF(AND('14 Msi'!E69&lt;Tmax, NOT('14 Msi'!$H69="")),'14 Msi'!$H69,4)</f>
        <v>3</v>
      </c>
      <c r="AH69">
        <f>IF(AND('14 Msi'!F69&lt;Tmax, NOT('14 Msi'!$H69="")),'14 Msi'!$H69,4)</f>
        <v>3</v>
      </c>
      <c r="AI69"/>
    </row>
    <row r="70" spans="1:35" outlineLevel="1" x14ac:dyDescent="0.2">
      <c r="A70" s="558" t="s">
        <v>3549</v>
      </c>
      <c r="B70" s="559" t="s">
        <v>5094</v>
      </c>
      <c r="C70" s="555"/>
      <c r="D70" s="564"/>
      <c r="E70" s="564"/>
      <c r="F70" s="564"/>
      <c r="G70" s="1492"/>
      <c r="H70" s="1492"/>
      <c r="I70" s="1492"/>
      <c r="J70" s="552"/>
      <c r="AA70"/>
      <c r="AB70"/>
      <c r="AC70"/>
      <c r="AD70"/>
      <c r="AE70"/>
      <c r="AF70"/>
      <c r="AG70"/>
      <c r="AH70"/>
      <c r="AI70"/>
    </row>
    <row r="71" spans="1:35" outlineLevel="2" x14ac:dyDescent="0.2">
      <c r="A71" s="556" t="s">
        <v>3550</v>
      </c>
      <c r="B71" s="557" t="s">
        <v>5095</v>
      </c>
      <c r="C71" s="555"/>
      <c r="D71" s="552"/>
      <c r="E71" s="552"/>
      <c r="F71" s="552"/>
      <c r="G71" s="1492">
        <v>4</v>
      </c>
      <c r="H71" s="1492"/>
      <c r="I71" s="1492"/>
      <c r="J71" s="552"/>
      <c r="AA71">
        <f>IF(AND('14 Msi'!C71&gt;Tmin, NOT('14 Msi'!$I71="")),'14 Msi'!$I71,0)</f>
        <v>0</v>
      </c>
      <c r="AB71">
        <f>IF(AND('14 Msi'!D71&gt;Tmin, NOT('14 Msi'!$I71="")),'14 Msi'!$I71,0)</f>
        <v>0</v>
      </c>
      <c r="AC71">
        <f>IF(AND('14 Msi'!E71&gt;Tmin, NOT('14 Msi'!$I71="")),'14 Msi'!$I71,0)</f>
        <v>0</v>
      </c>
      <c r="AD71">
        <f>IF(AND('14 Msi'!F71&gt;Tmin, NOT('14 Msi'!$I71="")),'14 Msi'!$I71,0)</f>
        <v>0</v>
      </c>
      <c r="AE71">
        <f>IF(AND('14 Msi'!C71&lt;Tmax, NOT('14 Msi'!$H71="")),'14 Msi'!$H71,4)</f>
        <v>4</v>
      </c>
      <c r="AF71">
        <f>IF(AND('14 Msi'!D71&lt;Tmax, NOT('14 Msi'!$H71="")),'14 Msi'!$H71,4)</f>
        <v>4</v>
      </c>
      <c r="AG71">
        <f>IF(AND('14 Msi'!E71&lt;Tmax, NOT('14 Msi'!$H71="")),'14 Msi'!$H71,4)</f>
        <v>4</v>
      </c>
      <c r="AH71">
        <f>IF(AND('14 Msi'!F71&lt;Tmax, NOT('14 Msi'!$H71="")),'14 Msi'!$H71,4)</f>
        <v>4</v>
      </c>
      <c r="AI71"/>
    </row>
    <row r="72" spans="1:35" x14ac:dyDescent="0.2">
      <c r="A72" s="565" t="s">
        <v>5096</v>
      </c>
      <c r="B72" s="565" t="s">
        <v>5097</v>
      </c>
      <c r="C72" s="555"/>
      <c r="D72" s="552"/>
      <c r="E72" s="552"/>
      <c r="F72" s="552"/>
      <c r="G72" s="1492"/>
      <c r="H72" s="1492"/>
      <c r="I72" s="1492"/>
      <c r="J72" s="552"/>
      <c r="AA72"/>
      <c r="AB72"/>
      <c r="AC72"/>
      <c r="AD72"/>
      <c r="AE72"/>
      <c r="AF72"/>
      <c r="AG72"/>
      <c r="AH72"/>
      <c r="AI72"/>
    </row>
    <row r="73" spans="1:35" outlineLevel="1" x14ac:dyDescent="0.2">
      <c r="A73" s="558" t="s">
        <v>5098</v>
      </c>
      <c r="B73" s="559" t="s">
        <v>5099</v>
      </c>
      <c r="C73" s="555"/>
      <c r="D73" s="552"/>
      <c r="E73" s="552"/>
      <c r="F73" s="552"/>
      <c r="G73" s="1492"/>
      <c r="H73" s="1492"/>
      <c r="I73" s="1492"/>
      <c r="J73" s="552"/>
      <c r="AA73"/>
      <c r="AB73"/>
      <c r="AC73"/>
      <c r="AD73"/>
      <c r="AE73"/>
      <c r="AF73"/>
      <c r="AG73"/>
      <c r="AH73"/>
      <c r="AI73"/>
    </row>
    <row r="74" spans="1:35" outlineLevel="2" x14ac:dyDescent="0.2">
      <c r="A74" s="556" t="s">
        <v>5100</v>
      </c>
      <c r="B74" s="557" t="s">
        <v>5064</v>
      </c>
      <c r="C74" s="555"/>
      <c r="D74" s="551"/>
      <c r="E74" s="551"/>
      <c r="F74" s="551"/>
      <c r="G74" s="1492">
        <v>4</v>
      </c>
      <c r="H74" s="1492"/>
      <c r="I74" s="1492"/>
      <c r="J74" s="552"/>
      <c r="AA74">
        <f>IF(AND('14 Msi'!C74&gt;Tmin, NOT('14 Msi'!$I74="")),'14 Msi'!$I74,0)</f>
        <v>0</v>
      </c>
      <c r="AB74">
        <f>IF(AND('14 Msi'!D74&gt;Tmin, NOT('14 Msi'!$I74="")),'14 Msi'!$I74,0)</f>
        <v>0</v>
      </c>
      <c r="AC74">
        <f>IF(AND('14 Msi'!E74&gt;Tmin, NOT('14 Msi'!$I74="")),'14 Msi'!$I74,0)</f>
        <v>0</v>
      </c>
      <c r="AD74">
        <f>IF(AND('14 Msi'!F74&gt;Tmin, NOT('14 Msi'!$I74="")),'14 Msi'!$I74,0)</f>
        <v>0</v>
      </c>
      <c r="AE74">
        <f>IF(AND('14 Msi'!C74&lt;Tmax, NOT('14 Msi'!$H74="")),'14 Msi'!$H74,4)</f>
        <v>4</v>
      </c>
      <c r="AF74">
        <f>IF(AND('14 Msi'!D74&lt;Tmax, NOT('14 Msi'!$H74="")),'14 Msi'!$H74,4)</f>
        <v>4</v>
      </c>
      <c r="AG74">
        <f>IF(AND('14 Msi'!E74&lt;Tmax, NOT('14 Msi'!$H74="")),'14 Msi'!$H74,4)</f>
        <v>4</v>
      </c>
      <c r="AH74">
        <f>IF(AND('14 Msi'!F74&lt;Tmax, NOT('14 Msi'!$H74="")),'14 Msi'!$H74,4)</f>
        <v>4</v>
      </c>
      <c r="AI74"/>
    </row>
    <row r="75" spans="1:35" outlineLevel="2" x14ac:dyDescent="0.2">
      <c r="A75" s="556" t="s">
        <v>5065</v>
      </c>
      <c r="B75" s="557" t="s">
        <v>5710</v>
      </c>
      <c r="C75" s="555"/>
      <c r="D75" s="562"/>
      <c r="E75" s="562"/>
      <c r="F75" s="562"/>
      <c r="G75" s="1492">
        <v>2</v>
      </c>
      <c r="H75" s="1492">
        <v>3</v>
      </c>
      <c r="I75" s="1492"/>
      <c r="J75" s="552"/>
      <c r="AA75">
        <f>IF(AND('14 Msi'!C75&gt;Tmin, NOT('14 Msi'!$I75="")),'14 Msi'!$I75,0)</f>
        <v>0</v>
      </c>
      <c r="AB75">
        <f>IF(AND('14 Msi'!D75&gt;Tmin, NOT('14 Msi'!$I75="")),'14 Msi'!$I75,0)</f>
        <v>0</v>
      </c>
      <c r="AC75">
        <f>IF(AND('14 Msi'!E75&gt;Tmin, NOT('14 Msi'!$I75="")),'14 Msi'!$I75,0)</f>
        <v>0</v>
      </c>
      <c r="AD75">
        <f>IF(AND('14 Msi'!F75&gt;Tmin, NOT('14 Msi'!$I75="")),'14 Msi'!$I75,0)</f>
        <v>0</v>
      </c>
      <c r="AE75">
        <f>IF(AND('14 Msi'!C75&lt;Tmax, NOT('14 Msi'!$H75="")),'14 Msi'!$H75,4)</f>
        <v>3</v>
      </c>
      <c r="AF75">
        <f>IF(AND('14 Msi'!D75&lt;Tmax, NOT('14 Msi'!$H75="")),'14 Msi'!$H75,4)</f>
        <v>3</v>
      </c>
      <c r="AG75">
        <f>IF(AND('14 Msi'!E75&lt;Tmax, NOT('14 Msi'!$H75="")),'14 Msi'!$H75,4)</f>
        <v>3</v>
      </c>
      <c r="AH75">
        <f>IF(AND('14 Msi'!F75&lt;Tmax, NOT('14 Msi'!$H75="")),'14 Msi'!$H75,4)</f>
        <v>3</v>
      </c>
      <c r="AI75"/>
    </row>
    <row r="76" spans="1:35" outlineLevel="2" x14ac:dyDescent="0.2">
      <c r="A76" s="556" t="s">
        <v>5711</v>
      </c>
      <c r="B76" s="557" t="s">
        <v>4913</v>
      </c>
      <c r="C76" s="555"/>
      <c r="D76" s="562"/>
      <c r="E76" s="562"/>
      <c r="F76" s="562"/>
      <c r="G76" s="1492">
        <v>2</v>
      </c>
      <c r="H76" s="1492"/>
      <c r="I76" s="1492"/>
      <c r="J76" s="552"/>
      <c r="AA76">
        <f>IF(AND('14 Msi'!C76&gt;Tmin, NOT('14 Msi'!$I76="")),'14 Msi'!$I76,0)</f>
        <v>0</v>
      </c>
      <c r="AB76">
        <f>IF(AND('14 Msi'!D76&gt;Tmin, NOT('14 Msi'!$I76="")),'14 Msi'!$I76,0)</f>
        <v>0</v>
      </c>
      <c r="AC76">
        <f>IF(AND('14 Msi'!E76&gt;Tmin, NOT('14 Msi'!$I76="")),'14 Msi'!$I76,0)</f>
        <v>0</v>
      </c>
      <c r="AD76">
        <f>IF(AND('14 Msi'!F76&gt;Tmin, NOT('14 Msi'!$I76="")),'14 Msi'!$I76,0)</f>
        <v>0</v>
      </c>
      <c r="AE76">
        <f>IF(AND('14 Msi'!C76&lt;Tmax, NOT('14 Msi'!$H76="")),'14 Msi'!$H76,4)</f>
        <v>4</v>
      </c>
      <c r="AF76">
        <f>IF(AND('14 Msi'!D76&lt;Tmax, NOT('14 Msi'!$H76="")),'14 Msi'!$H76,4)</f>
        <v>4</v>
      </c>
      <c r="AG76">
        <f>IF(AND('14 Msi'!E76&lt;Tmax, NOT('14 Msi'!$H76="")),'14 Msi'!$H76,4)</f>
        <v>4</v>
      </c>
      <c r="AH76">
        <f>IF(AND('14 Msi'!F76&lt;Tmax, NOT('14 Msi'!$H76="")),'14 Msi'!$H76,4)</f>
        <v>4</v>
      </c>
      <c r="AI76"/>
    </row>
    <row r="77" spans="1:35" ht="22.5" outlineLevel="2" x14ac:dyDescent="0.2">
      <c r="A77" s="556" t="s">
        <v>4842</v>
      </c>
      <c r="B77" s="557" t="s">
        <v>5490</v>
      </c>
      <c r="C77" s="555"/>
      <c r="D77" s="566"/>
      <c r="E77" s="566"/>
      <c r="F77" s="566"/>
      <c r="G77" s="1492">
        <v>2</v>
      </c>
      <c r="H77" s="1492">
        <v>2</v>
      </c>
      <c r="I77" s="1492"/>
      <c r="J77" s="552"/>
      <c r="AA77">
        <f>IF(AND('14 Msi'!C77&gt;Tmin, NOT('14 Msi'!$I77="")),'14 Msi'!$I77,0)</f>
        <v>0</v>
      </c>
      <c r="AB77">
        <f>IF(AND('14 Msi'!D77&gt;Tmin, NOT('14 Msi'!$I77="")),'14 Msi'!$I77,0)</f>
        <v>0</v>
      </c>
      <c r="AC77">
        <f>IF(AND('14 Msi'!E77&gt;Tmin, NOT('14 Msi'!$I77="")),'14 Msi'!$I77,0)</f>
        <v>0</v>
      </c>
      <c r="AD77">
        <f>IF(AND('14 Msi'!F77&gt;Tmin, NOT('14 Msi'!$I77="")),'14 Msi'!$I77,0)</f>
        <v>0</v>
      </c>
      <c r="AE77">
        <f>IF(AND('14 Msi'!C77&lt;Tmax, NOT('14 Msi'!$H77="")),'14 Msi'!$H77,4)</f>
        <v>2</v>
      </c>
      <c r="AF77">
        <f>IF(AND('14 Msi'!D77&lt;Tmax, NOT('14 Msi'!$H77="")),'14 Msi'!$H77,4)</f>
        <v>2</v>
      </c>
      <c r="AG77">
        <f>IF(AND('14 Msi'!E77&lt;Tmax, NOT('14 Msi'!$H77="")),'14 Msi'!$H77,4)</f>
        <v>2</v>
      </c>
      <c r="AH77">
        <f>IF(AND('14 Msi'!F77&lt;Tmax, NOT('14 Msi'!$H77="")),'14 Msi'!$H77,4)</f>
        <v>2</v>
      </c>
      <c r="AI77"/>
    </row>
    <row r="78" spans="1:35" outlineLevel="2" x14ac:dyDescent="0.2">
      <c r="A78" s="556" t="s">
        <v>4843</v>
      </c>
      <c r="B78" s="557" t="s">
        <v>4844</v>
      </c>
      <c r="C78" s="555"/>
      <c r="D78" s="562"/>
      <c r="E78" s="562"/>
      <c r="F78" s="562"/>
      <c r="G78" s="1492">
        <v>2</v>
      </c>
      <c r="H78" s="1492"/>
      <c r="I78" s="1492"/>
      <c r="J78" s="552"/>
      <c r="AA78">
        <f>IF(AND('14 Msi'!C78&gt;Tmin, NOT('14 Msi'!$I78="")),'14 Msi'!$I78,0)</f>
        <v>0</v>
      </c>
      <c r="AB78">
        <f>IF(AND('14 Msi'!D78&gt;Tmin, NOT('14 Msi'!$I78="")),'14 Msi'!$I78,0)</f>
        <v>0</v>
      </c>
      <c r="AC78">
        <f>IF(AND('14 Msi'!E78&gt;Tmin, NOT('14 Msi'!$I78="")),'14 Msi'!$I78,0)</f>
        <v>0</v>
      </c>
      <c r="AD78">
        <f>IF(AND('14 Msi'!F78&gt;Tmin, NOT('14 Msi'!$I78="")),'14 Msi'!$I78,0)</f>
        <v>0</v>
      </c>
      <c r="AE78">
        <f>IF(AND('14 Msi'!C78&lt;Tmax, NOT('14 Msi'!$H78="")),'14 Msi'!$H78,4)</f>
        <v>4</v>
      </c>
      <c r="AF78">
        <f>IF(AND('14 Msi'!D78&lt;Tmax, NOT('14 Msi'!$H78="")),'14 Msi'!$H78,4)</f>
        <v>4</v>
      </c>
      <c r="AG78">
        <f>IF(AND('14 Msi'!E78&lt;Tmax, NOT('14 Msi'!$H78="")),'14 Msi'!$H78,4)</f>
        <v>4</v>
      </c>
      <c r="AH78">
        <f>IF(AND('14 Msi'!F78&lt;Tmax, NOT('14 Msi'!$H78="")),'14 Msi'!$H78,4)</f>
        <v>4</v>
      </c>
      <c r="AI78"/>
    </row>
    <row r="79" spans="1:35" outlineLevel="2" x14ac:dyDescent="0.2">
      <c r="A79" s="556" t="s">
        <v>4845</v>
      </c>
      <c r="B79" s="557" t="s">
        <v>4846</v>
      </c>
      <c r="C79" s="555"/>
      <c r="D79" s="562"/>
      <c r="E79" s="562"/>
      <c r="F79" s="562"/>
      <c r="G79" s="1492">
        <v>2</v>
      </c>
      <c r="H79" s="1492"/>
      <c r="I79" s="1492"/>
      <c r="J79" s="552"/>
      <c r="AA79">
        <f>IF(AND('14 Msi'!C79&gt;Tmin, NOT('14 Msi'!$I79="")),'14 Msi'!$I79,0)</f>
        <v>0</v>
      </c>
      <c r="AB79">
        <f>IF(AND('14 Msi'!D79&gt;Tmin, NOT('14 Msi'!$I79="")),'14 Msi'!$I79,0)</f>
        <v>0</v>
      </c>
      <c r="AC79">
        <f>IF(AND('14 Msi'!E79&gt;Tmin, NOT('14 Msi'!$I79="")),'14 Msi'!$I79,0)</f>
        <v>0</v>
      </c>
      <c r="AD79">
        <f>IF(AND('14 Msi'!F79&gt;Tmin, NOT('14 Msi'!$I79="")),'14 Msi'!$I79,0)</f>
        <v>0</v>
      </c>
      <c r="AE79">
        <f>IF(AND('14 Msi'!C79&lt;Tmax, NOT('14 Msi'!$H79="")),'14 Msi'!$H79,4)</f>
        <v>4</v>
      </c>
      <c r="AF79">
        <f>IF(AND('14 Msi'!D79&lt;Tmax, NOT('14 Msi'!$H79="")),'14 Msi'!$H79,4)</f>
        <v>4</v>
      </c>
      <c r="AG79">
        <f>IF(AND('14 Msi'!E79&lt;Tmax, NOT('14 Msi'!$H79="")),'14 Msi'!$H79,4)</f>
        <v>4</v>
      </c>
      <c r="AH79">
        <f>IF(AND('14 Msi'!F79&lt;Tmax, NOT('14 Msi'!$H79="")),'14 Msi'!$H79,4)</f>
        <v>4</v>
      </c>
      <c r="AI79"/>
    </row>
    <row r="80" spans="1:35" outlineLevel="2" x14ac:dyDescent="0.2">
      <c r="A80" s="556" t="s">
        <v>4847</v>
      </c>
      <c r="B80" s="557" t="s">
        <v>3910</v>
      </c>
      <c r="C80" s="555"/>
      <c r="D80" s="562"/>
      <c r="E80" s="562"/>
      <c r="F80" s="562"/>
      <c r="G80" s="1492">
        <v>1</v>
      </c>
      <c r="H80" s="1492"/>
      <c r="I80" s="1492"/>
      <c r="J80" s="552"/>
      <c r="AA80">
        <f>IF(AND('14 Msi'!C80&gt;Tmin, NOT('14 Msi'!$I80="")),'14 Msi'!$I80,0)</f>
        <v>0</v>
      </c>
      <c r="AB80">
        <f>IF(AND('14 Msi'!D80&gt;Tmin, NOT('14 Msi'!$I80="")),'14 Msi'!$I80,0)</f>
        <v>0</v>
      </c>
      <c r="AC80">
        <f>IF(AND('14 Msi'!E80&gt;Tmin, NOT('14 Msi'!$I80="")),'14 Msi'!$I80,0)</f>
        <v>0</v>
      </c>
      <c r="AD80">
        <f>IF(AND('14 Msi'!F80&gt;Tmin, NOT('14 Msi'!$I80="")),'14 Msi'!$I80,0)</f>
        <v>0</v>
      </c>
      <c r="AE80">
        <f>IF(AND('14 Msi'!C80&lt;Tmax, NOT('14 Msi'!$H80="")),'14 Msi'!$H80,4)</f>
        <v>4</v>
      </c>
      <c r="AF80">
        <f>IF(AND('14 Msi'!D80&lt;Tmax, NOT('14 Msi'!$H80="")),'14 Msi'!$H80,4)</f>
        <v>4</v>
      </c>
      <c r="AG80">
        <f>IF(AND('14 Msi'!E80&lt;Tmax, NOT('14 Msi'!$H80="")),'14 Msi'!$H80,4)</f>
        <v>4</v>
      </c>
      <c r="AH80">
        <f>IF(AND('14 Msi'!F80&lt;Tmax, NOT('14 Msi'!$H80="")),'14 Msi'!$H80,4)</f>
        <v>4</v>
      </c>
      <c r="AI80"/>
    </row>
    <row r="81" spans="1:35" outlineLevel="1" x14ac:dyDescent="0.2">
      <c r="A81" s="558" t="s">
        <v>5677</v>
      </c>
      <c r="B81" s="559" t="s">
        <v>6791</v>
      </c>
      <c r="C81" s="555"/>
      <c r="D81" s="562"/>
      <c r="E81" s="562"/>
      <c r="F81" s="562"/>
      <c r="G81" s="1492"/>
      <c r="H81" s="1492"/>
      <c r="I81" s="1492"/>
      <c r="J81" s="552"/>
      <c r="AA81"/>
      <c r="AB81"/>
      <c r="AC81"/>
      <c r="AD81"/>
      <c r="AE81"/>
      <c r="AF81"/>
      <c r="AG81"/>
      <c r="AH81"/>
      <c r="AI81"/>
    </row>
    <row r="82" spans="1:35" ht="67.5" outlineLevel="2" x14ac:dyDescent="0.2">
      <c r="A82" s="556" t="s">
        <v>6792</v>
      </c>
      <c r="B82" s="557" t="s">
        <v>6032</v>
      </c>
      <c r="C82" s="555"/>
      <c r="D82" s="562"/>
      <c r="E82" s="562"/>
      <c r="F82" s="562"/>
      <c r="G82" s="1492">
        <v>4</v>
      </c>
      <c r="H82" s="1492"/>
      <c r="I82" s="1492"/>
      <c r="J82" s="552"/>
      <c r="AA82">
        <f>IF(AND('14 Msi'!C82&gt;Tmin, NOT('14 Msi'!$I82="")),'14 Msi'!$I82,0)</f>
        <v>0</v>
      </c>
      <c r="AB82">
        <f>IF(AND('14 Msi'!D82&gt;Tmin, NOT('14 Msi'!$I82="")),'14 Msi'!$I82,0)</f>
        <v>0</v>
      </c>
      <c r="AC82">
        <f>IF(AND('14 Msi'!E82&gt;Tmin, NOT('14 Msi'!$I82="")),'14 Msi'!$I82,0)</f>
        <v>0</v>
      </c>
      <c r="AD82">
        <f>IF(AND('14 Msi'!F82&gt;Tmin, NOT('14 Msi'!$I82="")),'14 Msi'!$I82,0)</f>
        <v>0</v>
      </c>
      <c r="AE82">
        <f>IF(AND('14 Msi'!C82&lt;Tmax, NOT('14 Msi'!$H82="")),'14 Msi'!$H82,4)</f>
        <v>4</v>
      </c>
      <c r="AF82">
        <f>IF(AND('14 Msi'!D82&lt;Tmax, NOT('14 Msi'!$H82="")),'14 Msi'!$H82,4)</f>
        <v>4</v>
      </c>
      <c r="AG82">
        <f>IF(AND('14 Msi'!E82&lt;Tmax, NOT('14 Msi'!$H82="")),'14 Msi'!$H82,4)</f>
        <v>4</v>
      </c>
      <c r="AH82">
        <f>IF(AND('14 Msi'!F82&lt;Tmax, NOT('14 Msi'!$H82="")),'14 Msi'!$H82,4)</f>
        <v>4</v>
      </c>
      <c r="AI82"/>
    </row>
    <row r="83" spans="1:35" outlineLevel="2" x14ac:dyDescent="0.2">
      <c r="A83" s="556" t="s">
        <v>6793</v>
      </c>
      <c r="B83" s="557" t="s">
        <v>6794</v>
      </c>
      <c r="C83" s="555"/>
      <c r="D83" s="562"/>
      <c r="E83" s="562"/>
      <c r="F83" s="562"/>
      <c r="G83" s="1492">
        <v>2</v>
      </c>
      <c r="H83" s="1492">
        <v>2</v>
      </c>
      <c r="I83" s="1492"/>
      <c r="J83" s="552"/>
      <c r="AA83">
        <f>IF(AND('14 Msi'!C83&gt;Tmin, NOT('14 Msi'!$I83="")),'14 Msi'!$I83,0)</f>
        <v>0</v>
      </c>
      <c r="AB83">
        <f>IF(AND('14 Msi'!D83&gt;Tmin, NOT('14 Msi'!$I83="")),'14 Msi'!$I83,0)</f>
        <v>0</v>
      </c>
      <c r="AC83">
        <f>IF(AND('14 Msi'!E83&gt;Tmin, NOT('14 Msi'!$I83="")),'14 Msi'!$I83,0)</f>
        <v>0</v>
      </c>
      <c r="AD83">
        <f>IF(AND('14 Msi'!F83&gt;Tmin, NOT('14 Msi'!$I83="")),'14 Msi'!$I83,0)</f>
        <v>0</v>
      </c>
      <c r="AE83">
        <f>IF(AND('14 Msi'!C83&lt;Tmax, NOT('14 Msi'!$H83="")),'14 Msi'!$H83,4)</f>
        <v>2</v>
      </c>
      <c r="AF83">
        <f>IF(AND('14 Msi'!D83&lt;Tmax, NOT('14 Msi'!$H83="")),'14 Msi'!$H83,4)</f>
        <v>2</v>
      </c>
      <c r="AG83">
        <f>IF(AND('14 Msi'!E83&lt;Tmax, NOT('14 Msi'!$H83="")),'14 Msi'!$H83,4)</f>
        <v>2</v>
      </c>
      <c r="AH83">
        <f>IF(AND('14 Msi'!F83&lt;Tmax, NOT('14 Msi'!$H83="")),'14 Msi'!$H83,4)</f>
        <v>2</v>
      </c>
      <c r="AI83"/>
    </row>
    <row r="84" spans="1:35" ht="22.5" outlineLevel="2" x14ac:dyDescent="0.2">
      <c r="A84" s="556" t="s">
        <v>6795</v>
      </c>
      <c r="B84" s="557" t="s">
        <v>6796</v>
      </c>
      <c r="C84" s="555"/>
      <c r="D84" s="562"/>
      <c r="E84" s="562"/>
      <c r="F84" s="562"/>
      <c r="G84" s="1492">
        <v>2</v>
      </c>
      <c r="H84" s="1492">
        <v>3</v>
      </c>
      <c r="I84" s="1492"/>
      <c r="J84" s="552"/>
      <c r="AA84">
        <f>IF(AND('14 Msi'!C84&gt;Tmin, NOT('14 Msi'!$I84="")),'14 Msi'!$I84,0)</f>
        <v>0</v>
      </c>
      <c r="AB84">
        <f>IF(AND('14 Msi'!D84&gt;Tmin, NOT('14 Msi'!$I84="")),'14 Msi'!$I84,0)</f>
        <v>0</v>
      </c>
      <c r="AC84">
        <f>IF(AND('14 Msi'!E84&gt;Tmin, NOT('14 Msi'!$I84="")),'14 Msi'!$I84,0)</f>
        <v>0</v>
      </c>
      <c r="AD84">
        <f>IF(AND('14 Msi'!F84&gt;Tmin, NOT('14 Msi'!$I84="")),'14 Msi'!$I84,0)</f>
        <v>0</v>
      </c>
      <c r="AE84">
        <f>IF(AND('14 Msi'!C84&lt;Tmax, NOT('14 Msi'!$H84="")),'14 Msi'!$H84,4)</f>
        <v>3</v>
      </c>
      <c r="AF84">
        <f>IF(AND('14 Msi'!D84&lt;Tmax, NOT('14 Msi'!$H84="")),'14 Msi'!$H84,4)</f>
        <v>3</v>
      </c>
      <c r="AG84">
        <f>IF(AND('14 Msi'!E84&lt;Tmax, NOT('14 Msi'!$H84="")),'14 Msi'!$H84,4)</f>
        <v>3</v>
      </c>
      <c r="AH84">
        <f>IF(AND('14 Msi'!F84&lt;Tmax, NOT('14 Msi'!$H84="")),'14 Msi'!$H84,4)</f>
        <v>3</v>
      </c>
      <c r="AI84"/>
    </row>
    <row r="85" spans="1:35" outlineLevel="2" x14ac:dyDescent="0.2">
      <c r="A85" s="556" t="s">
        <v>6797</v>
      </c>
      <c r="B85" s="557" t="s">
        <v>6261</v>
      </c>
      <c r="C85" s="555"/>
      <c r="D85" s="562"/>
      <c r="E85" s="562"/>
      <c r="F85" s="562"/>
      <c r="G85" s="1492">
        <v>2</v>
      </c>
      <c r="H85" s="1492">
        <v>3</v>
      </c>
      <c r="I85" s="1492"/>
      <c r="J85" s="552"/>
      <c r="AA85">
        <f>IF(AND('14 Msi'!C85&gt;Tmin, NOT('14 Msi'!$I85="")),'14 Msi'!$I85,0)</f>
        <v>0</v>
      </c>
      <c r="AB85">
        <f>IF(AND('14 Msi'!D85&gt;Tmin, NOT('14 Msi'!$I85="")),'14 Msi'!$I85,0)</f>
        <v>0</v>
      </c>
      <c r="AC85">
        <f>IF(AND('14 Msi'!E85&gt;Tmin, NOT('14 Msi'!$I85="")),'14 Msi'!$I85,0)</f>
        <v>0</v>
      </c>
      <c r="AD85">
        <f>IF(AND('14 Msi'!F85&gt;Tmin, NOT('14 Msi'!$I85="")),'14 Msi'!$I85,0)</f>
        <v>0</v>
      </c>
      <c r="AE85">
        <f>IF(AND('14 Msi'!C85&lt;Tmax, NOT('14 Msi'!$H85="")),'14 Msi'!$H85,4)</f>
        <v>3</v>
      </c>
      <c r="AF85">
        <f>IF(AND('14 Msi'!D85&lt;Tmax, NOT('14 Msi'!$H85="")),'14 Msi'!$H85,4)</f>
        <v>3</v>
      </c>
      <c r="AG85">
        <f>IF(AND('14 Msi'!E85&lt;Tmax, NOT('14 Msi'!$H85="")),'14 Msi'!$H85,4)</f>
        <v>3</v>
      </c>
      <c r="AH85">
        <f>IF(AND('14 Msi'!F85&lt;Tmax, NOT('14 Msi'!$H85="")),'14 Msi'!$H85,4)</f>
        <v>3</v>
      </c>
      <c r="AI85"/>
    </row>
    <row r="86" spans="1:35" outlineLevel="1" x14ac:dyDescent="0.2">
      <c r="A86" s="558" t="s">
        <v>3551</v>
      </c>
      <c r="B86" s="559" t="s">
        <v>6262</v>
      </c>
      <c r="C86" s="555"/>
      <c r="D86" s="564"/>
      <c r="E86" s="564"/>
      <c r="F86" s="564"/>
      <c r="G86" s="1492"/>
      <c r="H86" s="1492"/>
      <c r="I86" s="1492"/>
      <c r="J86" s="552"/>
      <c r="AA86"/>
      <c r="AB86"/>
      <c r="AC86"/>
      <c r="AD86"/>
      <c r="AE86"/>
      <c r="AF86"/>
      <c r="AG86"/>
      <c r="AH86"/>
      <c r="AI86"/>
    </row>
    <row r="87" spans="1:35" outlineLevel="2" x14ac:dyDescent="0.2">
      <c r="A87" s="556" t="s">
        <v>3552</v>
      </c>
      <c r="B87" s="557" t="s">
        <v>5647</v>
      </c>
      <c r="C87" s="555"/>
      <c r="D87" s="551"/>
      <c r="E87" s="551"/>
      <c r="F87" s="551"/>
      <c r="G87" s="1492">
        <v>4</v>
      </c>
      <c r="H87" s="1492"/>
      <c r="I87" s="1492"/>
      <c r="J87" s="552"/>
      <c r="AA87">
        <f>IF(AND('14 Msi'!C87&gt;Tmin, NOT('14 Msi'!$I87="")),'14 Msi'!$I87,0)</f>
        <v>0</v>
      </c>
      <c r="AB87">
        <f>IF(AND('14 Msi'!D87&gt;Tmin, NOT('14 Msi'!$I87="")),'14 Msi'!$I87,0)</f>
        <v>0</v>
      </c>
      <c r="AC87">
        <f>IF(AND('14 Msi'!E87&gt;Tmin, NOT('14 Msi'!$I87="")),'14 Msi'!$I87,0)</f>
        <v>0</v>
      </c>
      <c r="AD87">
        <f>IF(AND('14 Msi'!F87&gt;Tmin, NOT('14 Msi'!$I87="")),'14 Msi'!$I87,0)</f>
        <v>0</v>
      </c>
      <c r="AE87">
        <f>IF(AND('14 Msi'!C87&lt;Tmax, NOT('14 Msi'!$H87="")),'14 Msi'!$H87,4)</f>
        <v>4</v>
      </c>
      <c r="AF87">
        <f>IF(AND('14 Msi'!D87&lt;Tmax, NOT('14 Msi'!$H87="")),'14 Msi'!$H87,4)</f>
        <v>4</v>
      </c>
      <c r="AG87">
        <f>IF(AND('14 Msi'!E87&lt;Tmax, NOT('14 Msi'!$H87="")),'14 Msi'!$H87,4)</f>
        <v>4</v>
      </c>
      <c r="AH87">
        <f>IF(AND('14 Msi'!F87&lt;Tmax, NOT('14 Msi'!$H87="")),'14 Msi'!$H87,4)</f>
        <v>4</v>
      </c>
      <c r="AI87"/>
    </row>
    <row r="88" spans="1:35" ht="22.5" outlineLevel="2" x14ac:dyDescent="0.2">
      <c r="A88" s="556" t="s">
        <v>3553</v>
      </c>
      <c r="B88" s="557" t="s">
        <v>6033</v>
      </c>
      <c r="C88" s="555"/>
      <c r="D88" s="551"/>
      <c r="E88" s="551"/>
      <c r="F88" s="551"/>
      <c r="G88" s="1492">
        <v>2</v>
      </c>
      <c r="H88" s="1492"/>
      <c r="I88" s="1492"/>
      <c r="J88" s="552"/>
      <c r="AA88">
        <f>IF(AND('14 Msi'!C88&gt;Tmin, NOT('14 Msi'!$I88="")),'14 Msi'!$I88,0)</f>
        <v>0</v>
      </c>
      <c r="AB88">
        <f>IF(AND('14 Msi'!D88&gt;Tmin, NOT('14 Msi'!$I88="")),'14 Msi'!$I88,0)</f>
        <v>0</v>
      </c>
      <c r="AC88">
        <f>IF(AND('14 Msi'!E88&gt;Tmin, NOT('14 Msi'!$I88="")),'14 Msi'!$I88,0)</f>
        <v>0</v>
      </c>
      <c r="AD88">
        <f>IF(AND('14 Msi'!F88&gt;Tmin, NOT('14 Msi'!$I88="")),'14 Msi'!$I88,0)</f>
        <v>0</v>
      </c>
      <c r="AE88">
        <f>IF(AND('14 Msi'!C88&lt;Tmax, NOT('14 Msi'!$H88="")),'14 Msi'!$H88,4)</f>
        <v>4</v>
      </c>
      <c r="AF88">
        <f>IF(AND('14 Msi'!D88&lt;Tmax, NOT('14 Msi'!$H88="")),'14 Msi'!$H88,4)</f>
        <v>4</v>
      </c>
      <c r="AG88">
        <f>IF(AND('14 Msi'!E88&lt;Tmax, NOT('14 Msi'!$H88="")),'14 Msi'!$H88,4)</f>
        <v>4</v>
      </c>
      <c r="AH88">
        <f>IF(AND('14 Msi'!F88&lt;Tmax, NOT('14 Msi'!$H88="")),'14 Msi'!$H88,4)</f>
        <v>4</v>
      </c>
      <c r="AI88"/>
    </row>
    <row r="89" spans="1:35" outlineLevel="2" x14ac:dyDescent="0.2">
      <c r="A89" s="556" t="s">
        <v>3554</v>
      </c>
      <c r="B89" s="557" t="s">
        <v>6265</v>
      </c>
      <c r="C89" s="555"/>
      <c r="D89" s="551"/>
      <c r="E89" s="551"/>
      <c r="F89" s="551"/>
      <c r="G89" s="1492">
        <v>2</v>
      </c>
      <c r="H89" s="1492"/>
      <c r="I89" s="1492"/>
      <c r="J89" s="552"/>
      <c r="AA89">
        <f>IF(AND('14 Msi'!C89&gt;Tmin, NOT('14 Msi'!$I89="")),'14 Msi'!$I89,0)</f>
        <v>0</v>
      </c>
      <c r="AB89">
        <f>IF(AND('14 Msi'!D89&gt;Tmin, NOT('14 Msi'!$I89="")),'14 Msi'!$I89,0)</f>
        <v>0</v>
      </c>
      <c r="AC89">
        <f>IF(AND('14 Msi'!E89&gt;Tmin, NOT('14 Msi'!$I89="")),'14 Msi'!$I89,0)</f>
        <v>0</v>
      </c>
      <c r="AD89">
        <f>IF(AND('14 Msi'!F89&gt;Tmin, NOT('14 Msi'!$I89="")),'14 Msi'!$I89,0)</f>
        <v>0</v>
      </c>
      <c r="AE89">
        <f>IF(AND('14 Msi'!C89&lt;Tmax, NOT('14 Msi'!$H89="")),'14 Msi'!$H89,4)</f>
        <v>4</v>
      </c>
      <c r="AF89">
        <f>IF(AND('14 Msi'!D89&lt;Tmax, NOT('14 Msi'!$H89="")),'14 Msi'!$H89,4)</f>
        <v>4</v>
      </c>
      <c r="AG89">
        <f>IF(AND('14 Msi'!E89&lt;Tmax, NOT('14 Msi'!$H89="")),'14 Msi'!$H89,4)</f>
        <v>4</v>
      </c>
      <c r="AH89">
        <f>IF(AND('14 Msi'!F89&lt;Tmax, NOT('14 Msi'!$H89="")),'14 Msi'!$H89,4)</f>
        <v>4</v>
      </c>
      <c r="AI89"/>
    </row>
    <row r="90" spans="1:35" outlineLevel="2" x14ac:dyDescent="0.2">
      <c r="A90" s="556" t="s">
        <v>3555</v>
      </c>
      <c r="B90" s="557" t="s">
        <v>6266</v>
      </c>
      <c r="C90" s="555"/>
      <c r="D90" s="551"/>
      <c r="E90" s="551"/>
      <c r="F90" s="551"/>
      <c r="G90" s="1492">
        <v>2</v>
      </c>
      <c r="H90" s="1492"/>
      <c r="I90" s="1492"/>
      <c r="J90" s="552"/>
      <c r="AA90">
        <f>IF(AND('14 Msi'!C90&gt;Tmin, NOT('14 Msi'!$I90="")),'14 Msi'!$I90,0)</f>
        <v>0</v>
      </c>
      <c r="AB90">
        <f>IF(AND('14 Msi'!D90&gt;Tmin, NOT('14 Msi'!$I90="")),'14 Msi'!$I90,0)</f>
        <v>0</v>
      </c>
      <c r="AC90">
        <f>IF(AND('14 Msi'!E90&gt;Tmin, NOT('14 Msi'!$I90="")),'14 Msi'!$I90,0)</f>
        <v>0</v>
      </c>
      <c r="AD90">
        <f>IF(AND('14 Msi'!F90&gt;Tmin, NOT('14 Msi'!$I90="")),'14 Msi'!$I90,0)</f>
        <v>0</v>
      </c>
      <c r="AE90">
        <f>IF(AND('14 Msi'!C90&lt;Tmax, NOT('14 Msi'!$H90="")),'14 Msi'!$H90,4)</f>
        <v>4</v>
      </c>
      <c r="AF90">
        <f>IF(AND('14 Msi'!D90&lt;Tmax, NOT('14 Msi'!$H90="")),'14 Msi'!$H90,4)</f>
        <v>4</v>
      </c>
      <c r="AG90">
        <f>IF(AND('14 Msi'!E90&lt;Tmax, NOT('14 Msi'!$H90="")),'14 Msi'!$H90,4)</f>
        <v>4</v>
      </c>
      <c r="AH90">
        <f>IF(AND('14 Msi'!F90&lt;Tmax, NOT('14 Msi'!$H90="")),'14 Msi'!$H90,4)</f>
        <v>4</v>
      </c>
      <c r="AI90"/>
    </row>
    <row r="91" spans="1:35" ht="33.75" outlineLevel="2" x14ac:dyDescent="0.2">
      <c r="A91" s="556" t="s">
        <v>3556</v>
      </c>
      <c r="B91" s="557" t="s">
        <v>6059</v>
      </c>
      <c r="C91" s="555"/>
      <c r="D91" s="551"/>
      <c r="E91" s="551"/>
      <c r="F91" s="551"/>
      <c r="G91" s="1492">
        <v>2</v>
      </c>
      <c r="H91" s="1492"/>
      <c r="I91" s="1492"/>
      <c r="J91" s="552"/>
      <c r="AA91">
        <f>IF(AND('14 Msi'!C91&gt;Tmin, NOT('14 Msi'!$I91="")),'14 Msi'!$I91,0)</f>
        <v>0</v>
      </c>
      <c r="AB91">
        <f>IF(AND('14 Msi'!D91&gt;Tmin, NOT('14 Msi'!$I91="")),'14 Msi'!$I91,0)</f>
        <v>0</v>
      </c>
      <c r="AC91">
        <f>IF(AND('14 Msi'!E91&gt;Tmin, NOT('14 Msi'!$I91="")),'14 Msi'!$I91,0)</f>
        <v>0</v>
      </c>
      <c r="AD91">
        <f>IF(AND('14 Msi'!F91&gt;Tmin, NOT('14 Msi'!$I91="")),'14 Msi'!$I91,0)</f>
        <v>0</v>
      </c>
      <c r="AE91">
        <f>IF(AND('14 Msi'!C91&lt;Tmax, NOT('14 Msi'!$H91="")),'14 Msi'!$H91,4)</f>
        <v>4</v>
      </c>
      <c r="AF91">
        <f>IF(AND('14 Msi'!D91&lt;Tmax, NOT('14 Msi'!$H91="")),'14 Msi'!$H91,4)</f>
        <v>4</v>
      </c>
      <c r="AG91">
        <f>IF(AND('14 Msi'!E91&lt;Tmax, NOT('14 Msi'!$H91="")),'14 Msi'!$H91,4)</f>
        <v>4</v>
      </c>
      <c r="AH91">
        <f>IF(AND('14 Msi'!F91&lt;Tmax, NOT('14 Msi'!$H91="")),'14 Msi'!$H91,4)</f>
        <v>4</v>
      </c>
      <c r="AI91"/>
    </row>
    <row r="92" spans="1:35" outlineLevel="2" x14ac:dyDescent="0.2">
      <c r="A92" s="556" t="s">
        <v>3557</v>
      </c>
      <c r="B92" s="557" t="s">
        <v>5656</v>
      </c>
      <c r="C92" s="555"/>
      <c r="D92" s="551"/>
      <c r="E92" s="551"/>
      <c r="F92" s="551"/>
      <c r="G92" s="1492">
        <v>2</v>
      </c>
      <c r="H92" s="1492"/>
      <c r="I92" s="1492"/>
      <c r="J92" s="552"/>
      <c r="AA92">
        <f>IF(AND('14 Msi'!C92&gt;Tmin, NOT('14 Msi'!$I92="")),'14 Msi'!$I92,0)</f>
        <v>0</v>
      </c>
      <c r="AB92">
        <f>IF(AND('14 Msi'!D92&gt;Tmin, NOT('14 Msi'!$I92="")),'14 Msi'!$I92,0)</f>
        <v>0</v>
      </c>
      <c r="AC92">
        <f>IF(AND('14 Msi'!E92&gt;Tmin, NOT('14 Msi'!$I92="")),'14 Msi'!$I92,0)</f>
        <v>0</v>
      </c>
      <c r="AD92">
        <f>IF(AND('14 Msi'!F92&gt;Tmin, NOT('14 Msi'!$I92="")),'14 Msi'!$I92,0)</f>
        <v>0</v>
      </c>
      <c r="AE92">
        <f>IF(AND('14 Msi'!C92&lt;Tmax, NOT('14 Msi'!$H92="")),'14 Msi'!$H92,4)</f>
        <v>4</v>
      </c>
      <c r="AF92">
        <f>IF(AND('14 Msi'!D92&lt;Tmax, NOT('14 Msi'!$H92="")),'14 Msi'!$H92,4)</f>
        <v>4</v>
      </c>
      <c r="AG92">
        <f>IF(AND('14 Msi'!E92&lt;Tmax, NOT('14 Msi'!$H92="")),'14 Msi'!$H92,4)</f>
        <v>4</v>
      </c>
      <c r="AH92">
        <f>IF(AND('14 Msi'!F92&lt;Tmax, NOT('14 Msi'!$H92="")),'14 Msi'!$H92,4)</f>
        <v>4</v>
      </c>
      <c r="AI92"/>
    </row>
    <row r="93" spans="1:35" ht="45" outlineLevel="2" x14ac:dyDescent="0.2">
      <c r="A93" s="556" t="s">
        <v>3558</v>
      </c>
      <c r="B93" s="557" t="s">
        <v>2345</v>
      </c>
      <c r="C93" s="555"/>
      <c r="D93" s="551"/>
      <c r="E93" s="551"/>
      <c r="F93" s="551"/>
      <c r="G93" s="1492">
        <v>2</v>
      </c>
      <c r="H93" s="1492">
        <v>2</v>
      </c>
      <c r="I93" s="1492"/>
      <c r="J93" s="552"/>
      <c r="AA93">
        <f>IF(AND('14 Msi'!C93&gt;Tmin, NOT('14 Msi'!$I93="")),'14 Msi'!$I93,0)</f>
        <v>0</v>
      </c>
      <c r="AB93">
        <f>IF(AND('14 Msi'!D93&gt;Tmin, NOT('14 Msi'!$I93="")),'14 Msi'!$I93,0)</f>
        <v>0</v>
      </c>
      <c r="AC93">
        <f>IF(AND('14 Msi'!E93&gt;Tmin, NOT('14 Msi'!$I93="")),'14 Msi'!$I93,0)</f>
        <v>0</v>
      </c>
      <c r="AD93">
        <f>IF(AND('14 Msi'!F93&gt;Tmin, NOT('14 Msi'!$I93="")),'14 Msi'!$I93,0)</f>
        <v>0</v>
      </c>
      <c r="AE93">
        <f>IF(AND('14 Msi'!C93&lt;Tmax, NOT('14 Msi'!$H93="")),'14 Msi'!$H93,4)</f>
        <v>2</v>
      </c>
      <c r="AF93">
        <f>IF(AND('14 Msi'!D93&lt;Tmax, NOT('14 Msi'!$H93="")),'14 Msi'!$H93,4)</f>
        <v>2</v>
      </c>
      <c r="AG93">
        <f>IF(AND('14 Msi'!E93&lt;Tmax, NOT('14 Msi'!$H93="")),'14 Msi'!$H93,4)</f>
        <v>2</v>
      </c>
      <c r="AH93">
        <f>IF(AND('14 Msi'!F93&lt;Tmax, NOT('14 Msi'!$H93="")),'14 Msi'!$H93,4)</f>
        <v>2</v>
      </c>
      <c r="AI93"/>
    </row>
    <row r="94" spans="1:35" x14ac:dyDescent="0.2">
      <c r="A94" s="550" t="s">
        <v>5657</v>
      </c>
      <c r="B94" s="550" t="s">
        <v>6034</v>
      </c>
      <c r="C94" s="555"/>
      <c r="D94" s="551"/>
      <c r="E94" s="551"/>
      <c r="F94" s="551"/>
      <c r="G94" s="1492"/>
      <c r="H94" s="1492"/>
      <c r="I94" s="1492"/>
      <c r="J94" s="552"/>
      <c r="AA94"/>
      <c r="AB94"/>
      <c r="AC94"/>
      <c r="AD94"/>
      <c r="AE94"/>
      <c r="AF94"/>
      <c r="AG94"/>
      <c r="AH94"/>
      <c r="AI94"/>
    </row>
    <row r="95" spans="1:35" outlineLevel="1" x14ac:dyDescent="0.2">
      <c r="A95" s="553" t="s">
        <v>5832</v>
      </c>
      <c r="B95" s="554" t="s">
        <v>843</v>
      </c>
      <c r="C95" s="555"/>
      <c r="D95" s="551"/>
      <c r="E95" s="551"/>
      <c r="F95" s="551"/>
      <c r="G95" s="1492"/>
      <c r="H95" s="1492"/>
      <c r="I95" s="1492"/>
      <c r="J95" s="552"/>
      <c r="AA95"/>
      <c r="AB95"/>
      <c r="AC95"/>
      <c r="AD95"/>
      <c r="AE95"/>
      <c r="AF95"/>
      <c r="AG95"/>
      <c r="AH95"/>
      <c r="AI95"/>
    </row>
    <row r="96" spans="1:35" outlineLevel="2" x14ac:dyDescent="0.2">
      <c r="A96" s="556" t="s">
        <v>5833</v>
      </c>
      <c r="B96" s="557" t="s">
        <v>5834</v>
      </c>
      <c r="C96" s="560"/>
      <c r="D96" s="560"/>
      <c r="E96" s="560"/>
      <c r="F96" s="560"/>
      <c r="G96" s="1492">
        <v>4</v>
      </c>
      <c r="H96" s="1492"/>
      <c r="I96" s="1492"/>
      <c r="J96" s="552"/>
      <c r="AA96">
        <f>IF(AND('14 Msi'!C96&gt;Tmin, NOT('14 Msi'!$I96="")),'14 Msi'!$I96,0)</f>
        <v>0</v>
      </c>
      <c r="AB96">
        <f>IF(AND('14 Msi'!D96&gt;Tmin, NOT('14 Msi'!$I96="")),'14 Msi'!$I96,0)</f>
        <v>0</v>
      </c>
      <c r="AC96">
        <f>IF(AND('14 Msi'!E96&gt;Tmin, NOT('14 Msi'!$I96="")),'14 Msi'!$I96,0)</f>
        <v>0</v>
      </c>
      <c r="AD96">
        <f>IF(AND('14 Msi'!F96&gt;Tmin, NOT('14 Msi'!$I96="")),'14 Msi'!$I96,0)</f>
        <v>0</v>
      </c>
      <c r="AE96">
        <f>IF(AND('14 Msi'!C96&lt;Tmax, NOT('14 Msi'!$H96="")),'14 Msi'!$H96,4)</f>
        <v>4</v>
      </c>
      <c r="AF96">
        <f>IF(AND('14 Msi'!D96&lt;Tmax, NOT('14 Msi'!$H96="")),'14 Msi'!$H96,4)</f>
        <v>4</v>
      </c>
      <c r="AG96">
        <f>IF(AND('14 Msi'!E96&lt;Tmax, NOT('14 Msi'!$H96="")),'14 Msi'!$H96,4)</f>
        <v>4</v>
      </c>
      <c r="AH96">
        <f>IF(AND('14 Msi'!F96&lt;Tmax, NOT('14 Msi'!$H96="")),'14 Msi'!$H96,4)</f>
        <v>4</v>
      </c>
      <c r="AI96"/>
    </row>
    <row r="97" spans="1:35" outlineLevel="2" x14ac:dyDescent="0.2">
      <c r="A97" s="556" t="s">
        <v>5835</v>
      </c>
      <c r="B97" s="557" t="s">
        <v>5836</v>
      </c>
      <c r="C97" s="560"/>
      <c r="D97" s="560"/>
      <c r="E97" s="560"/>
      <c r="F97" s="560"/>
      <c r="G97" s="1492">
        <v>4</v>
      </c>
      <c r="H97" s="1492">
        <v>2</v>
      </c>
      <c r="I97" s="1492"/>
      <c r="J97" s="552"/>
      <c r="AA97">
        <f>IF(AND('14 Msi'!C97&gt;Tmin, NOT('14 Msi'!$I97="")),'14 Msi'!$I97,0)</f>
        <v>0</v>
      </c>
      <c r="AB97">
        <f>IF(AND('14 Msi'!D97&gt;Tmin, NOT('14 Msi'!$I97="")),'14 Msi'!$I97,0)</f>
        <v>0</v>
      </c>
      <c r="AC97">
        <f>IF(AND('14 Msi'!E97&gt;Tmin, NOT('14 Msi'!$I97="")),'14 Msi'!$I97,0)</f>
        <v>0</v>
      </c>
      <c r="AD97">
        <f>IF(AND('14 Msi'!F97&gt;Tmin, NOT('14 Msi'!$I97="")),'14 Msi'!$I97,0)</f>
        <v>0</v>
      </c>
      <c r="AE97">
        <f>IF(AND('14 Msi'!C97&lt;Tmax, NOT('14 Msi'!$H97="")),'14 Msi'!$H97,4)</f>
        <v>2</v>
      </c>
      <c r="AF97">
        <f>IF(AND('14 Msi'!D97&lt;Tmax, NOT('14 Msi'!$H97="")),'14 Msi'!$H97,4)</f>
        <v>2</v>
      </c>
      <c r="AG97">
        <f>IF(AND('14 Msi'!E97&lt;Tmax, NOT('14 Msi'!$H97="")),'14 Msi'!$H97,4)</f>
        <v>2</v>
      </c>
      <c r="AH97">
        <f>IF(AND('14 Msi'!F97&lt;Tmax, NOT('14 Msi'!$H97="")),'14 Msi'!$H97,4)</f>
        <v>2</v>
      </c>
      <c r="AI97"/>
    </row>
    <row r="98" spans="1:35" outlineLevel="2" x14ac:dyDescent="0.2">
      <c r="A98" s="556" t="s">
        <v>5837</v>
      </c>
      <c r="B98" s="557" t="s">
        <v>5813</v>
      </c>
      <c r="C98" s="560"/>
      <c r="D98" s="560"/>
      <c r="E98" s="560"/>
      <c r="F98" s="560"/>
      <c r="G98" s="1492">
        <v>2</v>
      </c>
      <c r="H98" s="1492"/>
      <c r="I98" s="1492"/>
      <c r="J98" s="552"/>
      <c r="AA98">
        <f>IF(AND('14 Msi'!C98&gt;Tmin, NOT('14 Msi'!$I98="")),'14 Msi'!$I98,0)</f>
        <v>0</v>
      </c>
      <c r="AB98">
        <f>IF(AND('14 Msi'!D98&gt;Tmin, NOT('14 Msi'!$I98="")),'14 Msi'!$I98,0)</f>
        <v>0</v>
      </c>
      <c r="AC98">
        <f>IF(AND('14 Msi'!E98&gt;Tmin, NOT('14 Msi'!$I98="")),'14 Msi'!$I98,0)</f>
        <v>0</v>
      </c>
      <c r="AD98">
        <f>IF(AND('14 Msi'!F98&gt;Tmin, NOT('14 Msi'!$I98="")),'14 Msi'!$I98,0)</f>
        <v>0</v>
      </c>
      <c r="AE98">
        <f>IF(AND('14 Msi'!C98&lt;Tmax, NOT('14 Msi'!$H98="")),'14 Msi'!$H98,4)</f>
        <v>4</v>
      </c>
      <c r="AF98">
        <f>IF(AND('14 Msi'!D98&lt;Tmax, NOT('14 Msi'!$H98="")),'14 Msi'!$H98,4)</f>
        <v>4</v>
      </c>
      <c r="AG98">
        <f>IF(AND('14 Msi'!E98&lt;Tmax, NOT('14 Msi'!$H98="")),'14 Msi'!$H98,4)</f>
        <v>4</v>
      </c>
      <c r="AH98">
        <f>IF(AND('14 Msi'!F98&lt;Tmax, NOT('14 Msi'!$H98="")),'14 Msi'!$H98,4)</f>
        <v>4</v>
      </c>
      <c r="AI98"/>
    </row>
    <row r="99" spans="1:35" outlineLevel="2" x14ac:dyDescent="0.2">
      <c r="A99" s="556" t="s">
        <v>5814</v>
      </c>
      <c r="B99" s="557" t="s">
        <v>5815</v>
      </c>
      <c r="C99" s="560"/>
      <c r="D99" s="560"/>
      <c r="E99" s="560"/>
      <c r="F99" s="560"/>
      <c r="G99" s="1492">
        <v>1</v>
      </c>
      <c r="H99" s="1492"/>
      <c r="I99" s="1492"/>
      <c r="J99" s="552"/>
      <c r="AA99">
        <f>IF(AND('14 Msi'!C99&gt;Tmin, NOT('14 Msi'!$I99="")),'14 Msi'!$I99,0)</f>
        <v>0</v>
      </c>
      <c r="AB99">
        <f>IF(AND('14 Msi'!D99&gt;Tmin, NOT('14 Msi'!$I99="")),'14 Msi'!$I99,0)</f>
        <v>0</v>
      </c>
      <c r="AC99">
        <f>IF(AND('14 Msi'!E99&gt;Tmin, NOT('14 Msi'!$I99="")),'14 Msi'!$I99,0)</f>
        <v>0</v>
      </c>
      <c r="AD99">
        <f>IF(AND('14 Msi'!F99&gt;Tmin, NOT('14 Msi'!$I99="")),'14 Msi'!$I99,0)</f>
        <v>0</v>
      </c>
      <c r="AE99">
        <f>IF(AND('14 Msi'!C99&lt;Tmax, NOT('14 Msi'!$H99="")),'14 Msi'!$H99,4)</f>
        <v>4</v>
      </c>
      <c r="AF99">
        <f>IF(AND('14 Msi'!D99&lt;Tmax, NOT('14 Msi'!$H99="")),'14 Msi'!$H99,4)</f>
        <v>4</v>
      </c>
      <c r="AG99">
        <f>IF(AND('14 Msi'!E99&lt;Tmax, NOT('14 Msi'!$H99="")),'14 Msi'!$H99,4)</f>
        <v>4</v>
      </c>
      <c r="AH99">
        <f>IF(AND('14 Msi'!F99&lt;Tmax, NOT('14 Msi'!$H99="")),'14 Msi'!$H99,4)</f>
        <v>4</v>
      </c>
      <c r="AI99"/>
    </row>
    <row r="100" spans="1:35" outlineLevel="1" x14ac:dyDescent="0.2">
      <c r="A100" s="558" t="s">
        <v>3559</v>
      </c>
      <c r="B100" s="559" t="s">
        <v>5816</v>
      </c>
      <c r="C100" s="560"/>
      <c r="D100" s="560"/>
      <c r="E100" s="560"/>
      <c r="F100" s="560"/>
      <c r="G100" s="1492"/>
      <c r="H100" s="1492"/>
      <c r="I100" s="1492"/>
      <c r="J100" s="552"/>
      <c r="AA100"/>
      <c r="AB100"/>
      <c r="AC100"/>
      <c r="AD100"/>
      <c r="AE100"/>
      <c r="AF100"/>
      <c r="AG100"/>
      <c r="AH100"/>
      <c r="AI100"/>
    </row>
    <row r="101" spans="1:35" ht="22.5" outlineLevel="2" x14ac:dyDescent="0.2">
      <c r="A101" s="556" t="s">
        <v>4792</v>
      </c>
      <c r="B101" s="557" t="s">
        <v>6035</v>
      </c>
      <c r="C101" s="560"/>
      <c r="D101" s="560"/>
      <c r="E101" s="560"/>
      <c r="F101" s="560"/>
      <c r="G101" s="1492">
        <v>4</v>
      </c>
      <c r="H101" s="1492"/>
      <c r="I101" s="1492"/>
      <c r="J101" s="552"/>
      <c r="AA101">
        <f>IF(AND('14 Msi'!C101&gt;Tmin, NOT('14 Msi'!$I101="")),'14 Msi'!$I101,0)</f>
        <v>0</v>
      </c>
      <c r="AB101">
        <f>IF(AND('14 Msi'!D101&gt;Tmin, NOT('14 Msi'!$I101="")),'14 Msi'!$I101,0)</f>
        <v>0</v>
      </c>
      <c r="AC101">
        <f>IF(AND('14 Msi'!E101&gt;Tmin, NOT('14 Msi'!$I101="")),'14 Msi'!$I101,0)</f>
        <v>0</v>
      </c>
      <c r="AD101">
        <f>IF(AND('14 Msi'!F101&gt;Tmin, NOT('14 Msi'!$I101="")),'14 Msi'!$I101,0)</f>
        <v>0</v>
      </c>
      <c r="AE101">
        <f>IF(AND('14 Msi'!C101&lt;Tmax, NOT('14 Msi'!$H101="")),'14 Msi'!$H101,4)</f>
        <v>4</v>
      </c>
      <c r="AF101">
        <f>IF(AND('14 Msi'!D101&lt;Tmax, NOT('14 Msi'!$H101="")),'14 Msi'!$H101,4)</f>
        <v>4</v>
      </c>
      <c r="AG101">
        <f>IF(AND('14 Msi'!E101&lt;Tmax, NOT('14 Msi'!$H101="")),'14 Msi'!$H101,4)</f>
        <v>4</v>
      </c>
      <c r="AH101">
        <f>IF(AND('14 Msi'!F101&lt;Tmax, NOT('14 Msi'!$H101="")),'14 Msi'!$H101,4)</f>
        <v>4</v>
      </c>
      <c r="AI101"/>
    </row>
    <row r="102" spans="1:35" outlineLevel="2" x14ac:dyDescent="0.2">
      <c r="A102" s="556" t="s">
        <v>3560</v>
      </c>
      <c r="B102" s="557" t="s">
        <v>5817</v>
      </c>
      <c r="C102" s="560"/>
      <c r="D102" s="560"/>
      <c r="E102" s="560"/>
      <c r="F102" s="560"/>
      <c r="G102" s="1492">
        <v>2</v>
      </c>
      <c r="H102" s="1492"/>
      <c r="I102" s="1492"/>
      <c r="J102" s="552"/>
      <c r="AA102">
        <f>IF(AND('14 Msi'!C102&gt;Tmin, NOT('14 Msi'!$I102="")),'14 Msi'!$I102,0)</f>
        <v>0</v>
      </c>
      <c r="AB102">
        <f>IF(AND('14 Msi'!D102&gt;Tmin, NOT('14 Msi'!$I102="")),'14 Msi'!$I102,0)</f>
        <v>0</v>
      </c>
      <c r="AC102">
        <f>IF(AND('14 Msi'!E102&gt;Tmin, NOT('14 Msi'!$I102="")),'14 Msi'!$I102,0)</f>
        <v>0</v>
      </c>
      <c r="AD102">
        <f>IF(AND('14 Msi'!F102&gt;Tmin, NOT('14 Msi'!$I102="")),'14 Msi'!$I102,0)</f>
        <v>0</v>
      </c>
      <c r="AE102">
        <f>IF(AND('14 Msi'!C102&lt;Tmax, NOT('14 Msi'!$H102="")),'14 Msi'!$H102,4)</f>
        <v>4</v>
      </c>
      <c r="AF102">
        <f>IF(AND('14 Msi'!D102&lt;Tmax, NOT('14 Msi'!$H102="")),'14 Msi'!$H102,4)</f>
        <v>4</v>
      </c>
      <c r="AG102">
        <f>IF(AND('14 Msi'!E102&lt;Tmax, NOT('14 Msi'!$H102="")),'14 Msi'!$H102,4)</f>
        <v>4</v>
      </c>
      <c r="AH102">
        <f>IF(AND('14 Msi'!F102&lt;Tmax, NOT('14 Msi'!$H102="")),'14 Msi'!$H102,4)</f>
        <v>4</v>
      </c>
      <c r="AI102"/>
    </row>
    <row r="103" spans="1:35" outlineLevel="2" x14ac:dyDescent="0.2">
      <c r="A103" s="556" t="s">
        <v>3561</v>
      </c>
      <c r="B103" s="557" t="s">
        <v>5818</v>
      </c>
      <c r="C103" s="563"/>
      <c r="D103" s="552"/>
      <c r="E103" s="552"/>
      <c r="F103" s="552"/>
      <c r="G103" s="1492">
        <v>1</v>
      </c>
      <c r="H103" s="1492"/>
      <c r="I103" s="1492"/>
      <c r="J103" s="552"/>
      <c r="AA103">
        <f>IF(AND('14 Msi'!C103&gt;Tmin, NOT('14 Msi'!$I103="")),'14 Msi'!$I103,0)</f>
        <v>0</v>
      </c>
      <c r="AB103">
        <f>IF(AND('14 Msi'!D103&gt;Tmin, NOT('14 Msi'!$I103="")),'14 Msi'!$I103,0)</f>
        <v>0</v>
      </c>
      <c r="AC103">
        <f>IF(AND('14 Msi'!E103&gt;Tmin, NOT('14 Msi'!$I103="")),'14 Msi'!$I103,0)</f>
        <v>0</v>
      </c>
      <c r="AD103">
        <f>IF(AND('14 Msi'!F103&gt;Tmin, NOT('14 Msi'!$I103="")),'14 Msi'!$I103,0)</f>
        <v>0</v>
      </c>
      <c r="AE103">
        <f>IF(AND('14 Msi'!C103&lt;Tmax, NOT('14 Msi'!$H103="")),'14 Msi'!$H103,4)</f>
        <v>4</v>
      </c>
      <c r="AF103">
        <f>IF(AND('14 Msi'!D103&lt;Tmax, NOT('14 Msi'!$H103="")),'14 Msi'!$H103,4)</f>
        <v>4</v>
      </c>
      <c r="AG103">
        <f>IF(AND('14 Msi'!E103&lt;Tmax, NOT('14 Msi'!$H103="")),'14 Msi'!$H103,4)</f>
        <v>4</v>
      </c>
      <c r="AH103">
        <f>IF(AND('14 Msi'!F103&lt;Tmax, NOT('14 Msi'!$H103="")),'14 Msi'!$H103,4)</f>
        <v>4</v>
      </c>
      <c r="AI103"/>
    </row>
    <row r="104" spans="1:35" s="570" customFormat="1" outlineLevel="2" x14ac:dyDescent="0.2">
      <c r="A104" s="556" t="s">
        <v>3562</v>
      </c>
      <c r="B104" s="557" t="s">
        <v>4793</v>
      </c>
      <c r="C104" s="555"/>
      <c r="D104" s="552"/>
      <c r="E104" s="552"/>
      <c r="F104" s="552"/>
      <c r="G104" s="1492">
        <v>2</v>
      </c>
      <c r="H104" s="1492"/>
      <c r="I104" s="1492"/>
      <c r="J104" s="567"/>
      <c r="K104" s="568"/>
      <c r="L104" s="568"/>
      <c r="M104" s="569"/>
      <c r="N104" s="568"/>
      <c r="O104" s="568"/>
      <c r="P104" s="568"/>
      <c r="Q104" s="568"/>
      <c r="R104" s="568"/>
      <c r="S104" s="568"/>
      <c r="T104" s="568"/>
      <c r="U104" s="568"/>
      <c r="V104" s="568"/>
      <c r="W104" s="568"/>
      <c r="X104" s="568"/>
      <c r="Y104" s="568"/>
      <c r="Z104" s="568"/>
      <c r="AA104">
        <f>IF(AND('14 Msi'!C104&gt;Tmin, NOT('14 Msi'!$I104="")),'14 Msi'!$I104,0)</f>
        <v>0</v>
      </c>
      <c r="AB104">
        <f>IF(AND('14 Msi'!D104&gt;Tmin, NOT('14 Msi'!$I104="")),'14 Msi'!$I104,0)</f>
        <v>0</v>
      </c>
      <c r="AC104">
        <f>IF(AND('14 Msi'!E104&gt;Tmin, NOT('14 Msi'!$I104="")),'14 Msi'!$I104,0)</f>
        <v>0</v>
      </c>
      <c r="AD104">
        <f>IF(AND('14 Msi'!F104&gt;Tmin, NOT('14 Msi'!$I104="")),'14 Msi'!$I104,0)</f>
        <v>0</v>
      </c>
      <c r="AE104">
        <f>IF(AND('14 Msi'!C104&lt;Tmax, NOT('14 Msi'!$H104="")),'14 Msi'!$H104,4)</f>
        <v>4</v>
      </c>
      <c r="AF104">
        <f>IF(AND('14 Msi'!D104&lt;Tmax, NOT('14 Msi'!$H104="")),'14 Msi'!$H104,4)</f>
        <v>4</v>
      </c>
      <c r="AG104">
        <f>IF(AND('14 Msi'!E104&lt;Tmax, NOT('14 Msi'!$H104="")),'14 Msi'!$H104,4)</f>
        <v>4</v>
      </c>
      <c r="AH104">
        <f>IF(AND('14 Msi'!F104&lt;Tmax, NOT('14 Msi'!$H104="")),'14 Msi'!$H104,4)</f>
        <v>4</v>
      </c>
      <c r="AI104"/>
    </row>
    <row r="105" spans="1:35" s="570" customFormat="1" outlineLevel="2" x14ac:dyDescent="0.2">
      <c r="A105" s="556" t="s">
        <v>3563</v>
      </c>
      <c r="B105" s="557" t="s">
        <v>5819</v>
      </c>
      <c r="C105" s="555"/>
      <c r="D105" s="552"/>
      <c r="E105" s="552"/>
      <c r="F105" s="552"/>
      <c r="G105" s="1492">
        <v>2</v>
      </c>
      <c r="H105" s="1492"/>
      <c r="I105" s="1492"/>
      <c r="J105" s="567"/>
      <c r="K105" s="568"/>
      <c r="L105" s="568"/>
      <c r="M105" s="569"/>
      <c r="N105" s="568"/>
      <c r="O105" s="568"/>
      <c r="P105" s="568"/>
      <c r="Q105" s="568"/>
      <c r="R105" s="568"/>
      <c r="S105" s="568"/>
      <c r="T105" s="568"/>
      <c r="U105" s="568"/>
      <c r="V105" s="568"/>
      <c r="W105" s="568"/>
      <c r="X105" s="568"/>
      <c r="Y105" s="568"/>
      <c r="Z105" s="568"/>
      <c r="AA105">
        <f>IF(AND('14 Msi'!C105&gt;Tmin, NOT('14 Msi'!$I105="")),'14 Msi'!$I105,0)</f>
        <v>0</v>
      </c>
      <c r="AB105">
        <f>IF(AND('14 Msi'!D105&gt;Tmin, NOT('14 Msi'!$I105="")),'14 Msi'!$I105,0)</f>
        <v>0</v>
      </c>
      <c r="AC105">
        <f>IF(AND('14 Msi'!E105&gt;Tmin, NOT('14 Msi'!$I105="")),'14 Msi'!$I105,0)</f>
        <v>0</v>
      </c>
      <c r="AD105">
        <f>IF(AND('14 Msi'!F105&gt;Tmin, NOT('14 Msi'!$I105="")),'14 Msi'!$I105,0)</f>
        <v>0</v>
      </c>
      <c r="AE105">
        <f>IF(AND('14 Msi'!C105&lt;Tmax, NOT('14 Msi'!$H105="")),'14 Msi'!$H105,4)</f>
        <v>4</v>
      </c>
      <c r="AF105">
        <f>IF(AND('14 Msi'!D105&lt;Tmax, NOT('14 Msi'!$H105="")),'14 Msi'!$H105,4)</f>
        <v>4</v>
      </c>
      <c r="AG105">
        <f>IF(AND('14 Msi'!E105&lt;Tmax, NOT('14 Msi'!$H105="")),'14 Msi'!$H105,4)</f>
        <v>4</v>
      </c>
      <c r="AH105">
        <f>IF(AND('14 Msi'!F105&lt;Tmax, NOT('14 Msi'!$H105="")),'14 Msi'!$H105,4)</f>
        <v>4</v>
      </c>
      <c r="AI105"/>
    </row>
    <row r="106" spans="1:35" s="570" customFormat="1" outlineLevel="2" x14ac:dyDescent="0.2">
      <c r="A106" s="556" t="s">
        <v>3564</v>
      </c>
      <c r="B106" s="557" t="s">
        <v>4642</v>
      </c>
      <c r="C106" s="555"/>
      <c r="D106" s="552"/>
      <c r="E106" s="552"/>
      <c r="F106" s="552"/>
      <c r="G106" s="1492">
        <v>1</v>
      </c>
      <c r="H106" s="1492"/>
      <c r="I106" s="1492"/>
      <c r="J106" s="567"/>
      <c r="K106" s="568"/>
      <c r="L106" s="568"/>
      <c r="M106" s="569"/>
      <c r="N106" s="568"/>
      <c r="O106" s="568"/>
      <c r="P106" s="568"/>
      <c r="Q106" s="568"/>
      <c r="R106" s="568"/>
      <c r="S106" s="568"/>
      <c r="T106" s="568"/>
      <c r="U106" s="568"/>
      <c r="V106" s="568"/>
      <c r="W106" s="568"/>
      <c r="X106" s="568"/>
      <c r="Y106" s="568"/>
      <c r="Z106" s="568"/>
      <c r="AA106">
        <f>IF(AND('14 Msi'!C106&gt;Tmin, NOT('14 Msi'!$I106="")),'14 Msi'!$I106,0)</f>
        <v>0</v>
      </c>
      <c r="AB106">
        <f>IF(AND('14 Msi'!D106&gt;Tmin, NOT('14 Msi'!$I106="")),'14 Msi'!$I106,0)</f>
        <v>0</v>
      </c>
      <c r="AC106">
        <f>IF(AND('14 Msi'!E106&gt;Tmin, NOT('14 Msi'!$I106="")),'14 Msi'!$I106,0)</f>
        <v>0</v>
      </c>
      <c r="AD106">
        <f>IF(AND('14 Msi'!F106&gt;Tmin, NOT('14 Msi'!$I106="")),'14 Msi'!$I106,0)</f>
        <v>0</v>
      </c>
      <c r="AE106">
        <f>IF(AND('14 Msi'!C106&lt;Tmax, NOT('14 Msi'!$H106="")),'14 Msi'!$H106,4)</f>
        <v>4</v>
      </c>
      <c r="AF106">
        <f>IF(AND('14 Msi'!D106&lt;Tmax, NOT('14 Msi'!$H106="")),'14 Msi'!$H106,4)</f>
        <v>4</v>
      </c>
      <c r="AG106">
        <f>IF(AND('14 Msi'!E106&lt;Tmax, NOT('14 Msi'!$H106="")),'14 Msi'!$H106,4)</f>
        <v>4</v>
      </c>
      <c r="AH106">
        <f>IF(AND('14 Msi'!F106&lt;Tmax, NOT('14 Msi'!$H106="")),'14 Msi'!$H106,4)</f>
        <v>4</v>
      </c>
      <c r="AI106"/>
    </row>
    <row r="107" spans="1:35" outlineLevel="2" x14ac:dyDescent="0.2">
      <c r="A107" s="556" t="s">
        <v>3565</v>
      </c>
      <c r="B107" s="557" t="s">
        <v>3799</v>
      </c>
      <c r="C107" s="555"/>
      <c r="D107" s="552"/>
      <c r="E107" s="552"/>
      <c r="F107" s="552"/>
      <c r="G107" s="1492">
        <v>2</v>
      </c>
      <c r="H107" s="1492"/>
      <c r="I107" s="1492"/>
      <c r="J107" s="552"/>
      <c r="AA107">
        <f>IF(AND('14 Msi'!C107&gt;Tmin, NOT('14 Msi'!$I107="")),'14 Msi'!$I107,0)</f>
        <v>0</v>
      </c>
      <c r="AB107">
        <f>IF(AND('14 Msi'!D107&gt;Tmin, NOT('14 Msi'!$I107="")),'14 Msi'!$I107,0)</f>
        <v>0</v>
      </c>
      <c r="AC107">
        <f>IF(AND('14 Msi'!E107&gt;Tmin, NOT('14 Msi'!$I107="")),'14 Msi'!$I107,0)</f>
        <v>0</v>
      </c>
      <c r="AD107">
        <f>IF(AND('14 Msi'!F107&gt;Tmin, NOT('14 Msi'!$I107="")),'14 Msi'!$I107,0)</f>
        <v>0</v>
      </c>
      <c r="AE107">
        <f>IF(AND('14 Msi'!C107&lt;Tmax, NOT('14 Msi'!$H107="")),'14 Msi'!$H107,4)</f>
        <v>4</v>
      </c>
      <c r="AF107">
        <f>IF(AND('14 Msi'!D107&lt;Tmax, NOT('14 Msi'!$H107="")),'14 Msi'!$H107,4)</f>
        <v>4</v>
      </c>
      <c r="AG107">
        <f>IF(AND('14 Msi'!E107&lt;Tmax, NOT('14 Msi'!$H107="")),'14 Msi'!$H107,4)</f>
        <v>4</v>
      </c>
      <c r="AH107">
        <f>IF(AND('14 Msi'!F107&lt;Tmax, NOT('14 Msi'!$H107="")),'14 Msi'!$H107,4)</f>
        <v>4</v>
      </c>
      <c r="AI107"/>
    </row>
    <row r="108" spans="1:35" s="570" customFormat="1" outlineLevel="2" x14ac:dyDescent="0.2">
      <c r="A108" s="556" t="s">
        <v>3566</v>
      </c>
      <c r="B108" s="557" t="s">
        <v>3775</v>
      </c>
      <c r="C108" s="555"/>
      <c r="D108" s="552"/>
      <c r="E108" s="552"/>
      <c r="F108" s="552"/>
      <c r="G108" s="1492">
        <v>1</v>
      </c>
      <c r="H108" s="1492"/>
      <c r="I108" s="1492"/>
      <c r="J108" s="567"/>
      <c r="K108" s="568"/>
      <c r="L108" s="568"/>
      <c r="M108" s="569"/>
      <c r="N108" s="568"/>
      <c r="O108" s="568"/>
      <c r="P108" s="568"/>
      <c r="Q108" s="568"/>
      <c r="R108" s="568"/>
      <c r="S108" s="568"/>
      <c r="T108" s="568"/>
      <c r="U108" s="568"/>
      <c r="V108" s="568"/>
      <c r="W108" s="568"/>
      <c r="X108" s="568"/>
      <c r="Y108" s="568"/>
      <c r="Z108" s="568"/>
      <c r="AA108">
        <f>IF(AND('14 Msi'!C108&gt;Tmin, NOT('14 Msi'!$I108="")),'14 Msi'!$I108,0)</f>
        <v>0</v>
      </c>
      <c r="AB108">
        <f>IF(AND('14 Msi'!D108&gt;Tmin, NOT('14 Msi'!$I108="")),'14 Msi'!$I108,0)</f>
        <v>0</v>
      </c>
      <c r="AC108">
        <f>IF(AND('14 Msi'!E108&gt;Tmin, NOT('14 Msi'!$I108="")),'14 Msi'!$I108,0)</f>
        <v>0</v>
      </c>
      <c r="AD108">
        <f>IF(AND('14 Msi'!F108&gt;Tmin, NOT('14 Msi'!$I108="")),'14 Msi'!$I108,0)</f>
        <v>0</v>
      </c>
      <c r="AE108">
        <f>IF(AND('14 Msi'!C108&lt;Tmax, NOT('14 Msi'!$H108="")),'14 Msi'!$H108,4)</f>
        <v>4</v>
      </c>
      <c r="AF108">
        <f>IF(AND('14 Msi'!D108&lt;Tmax, NOT('14 Msi'!$H108="")),'14 Msi'!$H108,4)</f>
        <v>4</v>
      </c>
      <c r="AG108">
        <f>IF(AND('14 Msi'!E108&lt;Tmax, NOT('14 Msi'!$H108="")),'14 Msi'!$H108,4)</f>
        <v>4</v>
      </c>
      <c r="AH108">
        <f>IF(AND('14 Msi'!F108&lt;Tmax, NOT('14 Msi'!$H108="")),'14 Msi'!$H108,4)</f>
        <v>4</v>
      </c>
      <c r="AI108"/>
    </row>
    <row r="109" spans="1:35" outlineLevel="1" x14ac:dyDescent="0.2">
      <c r="A109" s="558" t="s">
        <v>3567</v>
      </c>
      <c r="B109" s="559" t="s">
        <v>3776</v>
      </c>
      <c r="C109" s="555"/>
      <c r="D109" s="552"/>
      <c r="E109" s="552"/>
      <c r="F109" s="552"/>
      <c r="G109" s="1492"/>
      <c r="H109" s="1492"/>
      <c r="I109" s="1492"/>
      <c r="J109" s="552"/>
      <c r="AA109"/>
      <c r="AB109"/>
      <c r="AC109"/>
      <c r="AD109"/>
      <c r="AE109"/>
      <c r="AF109"/>
      <c r="AG109"/>
      <c r="AH109"/>
      <c r="AI109"/>
    </row>
    <row r="110" spans="1:35" outlineLevel="2" x14ac:dyDescent="0.2">
      <c r="A110" s="556" t="s">
        <v>3495</v>
      </c>
      <c r="B110" s="557" t="s">
        <v>3777</v>
      </c>
      <c r="C110" s="555"/>
      <c r="D110" s="552"/>
      <c r="E110" s="552"/>
      <c r="F110" s="552"/>
      <c r="G110" s="1492">
        <v>2</v>
      </c>
      <c r="H110" s="1492"/>
      <c r="I110" s="1492"/>
      <c r="J110" s="552"/>
      <c r="AA110">
        <f>IF(AND('14 Msi'!C110&gt;Tmin, NOT('14 Msi'!$I110="")),'14 Msi'!$I110,0)</f>
        <v>0</v>
      </c>
      <c r="AB110">
        <f>IF(AND('14 Msi'!D110&gt;Tmin, NOT('14 Msi'!$I110="")),'14 Msi'!$I110,0)</f>
        <v>0</v>
      </c>
      <c r="AC110">
        <f>IF(AND('14 Msi'!E110&gt;Tmin, NOT('14 Msi'!$I110="")),'14 Msi'!$I110,0)</f>
        <v>0</v>
      </c>
      <c r="AD110">
        <f>IF(AND('14 Msi'!F110&gt;Tmin, NOT('14 Msi'!$I110="")),'14 Msi'!$I110,0)</f>
        <v>0</v>
      </c>
      <c r="AE110">
        <f>IF(AND('14 Msi'!C110&lt;Tmax, NOT('14 Msi'!$H110="")),'14 Msi'!$H110,4)</f>
        <v>4</v>
      </c>
      <c r="AF110">
        <f>IF(AND('14 Msi'!D110&lt;Tmax, NOT('14 Msi'!$H110="")),'14 Msi'!$H110,4)</f>
        <v>4</v>
      </c>
      <c r="AG110">
        <f>IF(AND('14 Msi'!E110&lt;Tmax, NOT('14 Msi'!$H110="")),'14 Msi'!$H110,4)</f>
        <v>4</v>
      </c>
      <c r="AH110">
        <f>IF(AND('14 Msi'!F110&lt;Tmax, NOT('14 Msi'!$H110="")),'14 Msi'!$H110,4)</f>
        <v>4</v>
      </c>
      <c r="AI110"/>
    </row>
    <row r="111" spans="1:35" outlineLevel="2" x14ac:dyDescent="0.2">
      <c r="A111" s="556" t="s">
        <v>3496</v>
      </c>
      <c r="B111" s="557" t="s">
        <v>2167</v>
      </c>
      <c r="C111" s="555"/>
      <c r="D111" s="552"/>
      <c r="E111" s="552"/>
      <c r="F111" s="552"/>
      <c r="G111" s="1492">
        <v>2</v>
      </c>
      <c r="H111" s="1492"/>
      <c r="I111" s="1492"/>
      <c r="J111" s="552"/>
      <c r="AA111">
        <f>IF(AND('14 Msi'!C111&gt;Tmin, NOT('14 Msi'!$I111="")),'14 Msi'!$I111,0)</f>
        <v>0</v>
      </c>
      <c r="AB111">
        <f>IF(AND('14 Msi'!D111&gt;Tmin, NOT('14 Msi'!$I111="")),'14 Msi'!$I111,0)</f>
        <v>0</v>
      </c>
      <c r="AC111">
        <f>IF(AND('14 Msi'!E111&gt;Tmin, NOT('14 Msi'!$I111="")),'14 Msi'!$I111,0)</f>
        <v>0</v>
      </c>
      <c r="AD111">
        <f>IF(AND('14 Msi'!F111&gt;Tmin, NOT('14 Msi'!$I111="")),'14 Msi'!$I111,0)</f>
        <v>0</v>
      </c>
      <c r="AE111">
        <f>IF(AND('14 Msi'!C111&lt;Tmax, NOT('14 Msi'!$H111="")),'14 Msi'!$H111,4)</f>
        <v>4</v>
      </c>
      <c r="AF111">
        <f>IF(AND('14 Msi'!D111&lt;Tmax, NOT('14 Msi'!$H111="")),'14 Msi'!$H111,4)</f>
        <v>4</v>
      </c>
      <c r="AG111">
        <f>IF(AND('14 Msi'!E111&lt;Tmax, NOT('14 Msi'!$H111="")),'14 Msi'!$H111,4)</f>
        <v>4</v>
      </c>
      <c r="AH111">
        <f>IF(AND('14 Msi'!F111&lt;Tmax, NOT('14 Msi'!$H111="")),'14 Msi'!$H111,4)</f>
        <v>4</v>
      </c>
      <c r="AI111"/>
    </row>
    <row r="112" spans="1:35" outlineLevel="2" x14ac:dyDescent="0.2">
      <c r="A112" s="556" t="s">
        <v>3497</v>
      </c>
      <c r="B112" s="557" t="s">
        <v>2168</v>
      </c>
      <c r="C112" s="555"/>
      <c r="D112" s="552"/>
      <c r="E112" s="552"/>
      <c r="F112" s="552"/>
      <c r="G112" s="1492">
        <v>2</v>
      </c>
      <c r="H112" s="1492"/>
      <c r="I112" s="1492"/>
      <c r="J112" s="552"/>
      <c r="AA112">
        <f>IF(AND('14 Msi'!C112&gt;Tmin, NOT('14 Msi'!$I112="")),'14 Msi'!$I112,0)</f>
        <v>0</v>
      </c>
      <c r="AB112">
        <f>IF(AND('14 Msi'!D112&gt;Tmin, NOT('14 Msi'!$I112="")),'14 Msi'!$I112,0)</f>
        <v>0</v>
      </c>
      <c r="AC112">
        <f>IF(AND('14 Msi'!E112&gt;Tmin, NOT('14 Msi'!$I112="")),'14 Msi'!$I112,0)</f>
        <v>0</v>
      </c>
      <c r="AD112">
        <f>IF(AND('14 Msi'!F112&gt;Tmin, NOT('14 Msi'!$I112="")),'14 Msi'!$I112,0)</f>
        <v>0</v>
      </c>
      <c r="AE112">
        <f>IF(AND('14 Msi'!C112&lt;Tmax, NOT('14 Msi'!$H112="")),'14 Msi'!$H112,4)</f>
        <v>4</v>
      </c>
      <c r="AF112">
        <f>IF(AND('14 Msi'!D112&lt;Tmax, NOT('14 Msi'!$H112="")),'14 Msi'!$H112,4)</f>
        <v>4</v>
      </c>
      <c r="AG112">
        <f>IF(AND('14 Msi'!E112&lt;Tmax, NOT('14 Msi'!$H112="")),'14 Msi'!$H112,4)</f>
        <v>4</v>
      </c>
      <c r="AH112">
        <f>IF(AND('14 Msi'!F112&lt;Tmax, NOT('14 Msi'!$H112="")),'14 Msi'!$H112,4)</f>
        <v>4</v>
      </c>
      <c r="AI112"/>
    </row>
    <row r="113" spans="1:35" outlineLevel="2" x14ac:dyDescent="0.2">
      <c r="A113" s="556" t="s">
        <v>3498</v>
      </c>
      <c r="B113" s="557" t="s">
        <v>1211</v>
      </c>
      <c r="C113" s="555"/>
      <c r="D113" s="552"/>
      <c r="E113" s="552"/>
      <c r="F113" s="552"/>
      <c r="G113" s="1492">
        <v>2</v>
      </c>
      <c r="H113" s="1492"/>
      <c r="I113" s="1492"/>
      <c r="J113" s="552"/>
      <c r="AA113">
        <f>IF(AND('14 Msi'!C113&gt;Tmin, NOT('14 Msi'!$I113="")),'14 Msi'!$I113,0)</f>
        <v>0</v>
      </c>
      <c r="AB113">
        <f>IF(AND('14 Msi'!D113&gt;Tmin, NOT('14 Msi'!$I113="")),'14 Msi'!$I113,0)</f>
        <v>0</v>
      </c>
      <c r="AC113">
        <f>IF(AND('14 Msi'!E113&gt;Tmin, NOT('14 Msi'!$I113="")),'14 Msi'!$I113,0)</f>
        <v>0</v>
      </c>
      <c r="AD113">
        <f>IF(AND('14 Msi'!F113&gt;Tmin, NOT('14 Msi'!$I113="")),'14 Msi'!$I113,0)</f>
        <v>0</v>
      </c>
      <c r="AE113">
        <f>IF(AND('14 Msi'!C113&lt;Tmax, NOT('14 Msi'!$H113="")),'14 Msi'!$H113,4)</f>
        <v>4</v>
      </c>
      <c r="AF113">
        <f>IF(AND('14 Msi'!D113&lt;Tmax, NOT('14 Msi'!$H113="")),'14 Msi'!$H113,4)</f>
        <v>4</v>
      </c>
      <c r="AG113">
        <f>IF(AND('14 Msi'!E113&lt;Tmax, NOT('14 Msi'!$H113="")),'14 Msi'!$H113,4)</f>
        <v>4</v>
      </c>
      <c r="AH113">
        <f>IF(AND('14 Msi'!F113&lt;Tmax, NOT('14 Msi'!$H113="")),'14 Msi'!$H113,4)</f>
        <v>4</v>
      </c>
      <c r="AI113"/>
    </row>
    <row r="114" spans="1:35" outlineLevel="2" x14ac:dyDescent="0.2">
      <c r="A114" s="556" t="s">
        <v>3499</v>
      </c>
      <c r="B114" s="557" t="s">
        <v>1212</v>
      </c>
      <c r="C114" s="555"/>
      <c r="D114" s="552"/>
      <c r="E114" s="552"/>
      <c r="F114" s="552"/>
      <c r="G114" s="1492">
        <v>2</v>
      </c>
      <c r="H114" s="1492"/>
      <c r="I114" s="1492"/>
      <c r="J114" s="552"/>
      <c r="AA114">
        <f>IF(AND('14 Msi'!C114&gt;Tmin, NOT('14 Msi'!$I114="")),'14 Msi'!$I114,0)</f>
        <v>0</v>
      </c>
      <c r="AB114">
        <f>IF(AND('14 Msi'!D114&gt;Tmin, NOT('14 Msi'!$I114="")),'14 Msi'!$I114,0)</f>
        <v>0</v>
      </c>
      <c r="AC114">
        <f>IF(AND('14 Msi'!E114&gt;Tmin, NOT('14 Msi'!$I114="")),'14 Msi'!$I114,0)</f>
        <v>0</v>
      </c>
      <c r="AD114">
        <f>IF(AND('14 Msi'!F114&gt;Tmin, NOT('14 Msi'!$I114="")),'14 Msi'!$I114,0)</f>
        <v>0</v>
      </c>
      <c r="AE114">
        <f>IF(AND('14 Msi'!C114&lt;Tmax, NOT('14 Msi'!$H114="")),'14 Msi'!$H114,4)</f>
        <v>4</v>
      </c>
      <c r="AF114">
        <f>IF(AND('14 Msi'!D114&lt;Tmax, NOT('14 Msi'!$H114="")),'14 Msi'!$H114,4)</f>
        <v>4</v>
      </c>
      <c r="AG114">
        <f>IF(AND('14 Msi'!E114&lt;Tmax, NOT('14 Msi'!$H114="")),'14 Msi'!$H114,4)</f>
        <v>4</v>
      </c>
      <c r="AH114">
        <f>IF(AND('14 Msi'!F114&lt;Tmax, NOT('14 Msi'!$H114="")),'14 Msi'!$H114,4)</f>
        <v>4</v>
      </c>
      <c r="AI114"/>
    </row>
    <row r="115" spans="1:35" outlineLevel="2" x14ac:dyDescent="0.2">
      <c r="A115" s="556" t="s">
        <v>3500</v>
      </c>
      <c r="B115" s="557" t="s">
        <v>1213</v>
      </c>
      <c r="C115" s="555"/>
      <c r="D115" s="552"/>
      <c r="E115" s="552"/>
      <c r="F115" s="552"/>
      <c r="G115" s="1492">
        <v>1</v>
      </c>
      <c r="H115" s="1492"/>
      <c r="I115" s="1492"/>
      <c r="J115" s="552"/>
      <c r="AA115">
        <f>IF(AND('14 Msi'!C115&gt;Tmin, NOT('14 Msi'!$I115="")),'14 Msi'!$I115,0)</f>
        <v>0</v>
      </c>
      <c r="AB115">
        <f>IF(AND('14 Msi'!D115&gt;Tmin, NOT('14 Msi'!$I115="")),'14 Msi'!$I115,0)</f>
        <v>0</v>
      </c>
      <c r="AC115">
        <f>IF(AND('14 Msi'!E115&gt;Tmin, NOT('14 Msi'!$I115="")),'14 Msi'!$I115,0)</f>
        <v>0</v>
      </c>
      <c r="AD115">
        <f>IF(AND('14 Msi'!F115&gt;Tmin, NOT('14 Msi'!$I115="")),'14 Msi'!$I115,0)</f>
        <v>0</v>
      </c>
      <c r="AE115">
        <f>IF(AND('14 Msi'!C115&lt;Tmax, NOT('14 Msi'!$H115="")),'14 Msi'!$H115,4)</f>
        <v>4</v>
      </c>
      <c r="AF115">
        <f>IF(AND('14 Msi'!D115&lt;Tmax, NOT('14 Msi'!$H115="")),'14 Msi'!$H115,4)</f>
        <v>4</v>
      </c>
      <c r="AG115">
        <f>IF(AND('14 Msi'!E115&lt;Tmax, NOT('14 Msi'!$H115="")),'14 Msi'!$H115,4)</f>
        <v>4</v>
      </c>
      <c r="AH115">
        <f>IF(AND('14 Msi'!F115&lt;Tmax, NOT('14 Msi'!$H115="")),'14 Msi'!$H115,4)</f>
        <v>4</v>
      </c>
      <c r="AI115"/>
    </row>
    <row r="116" spans="1:35" outlineLevel="1" x14ac:dyDescent="0.2">
      <c r="A116" s="558" t="s">
        <v>3501</v>
      </c>
      <c r="B116" s="559" t="s">
        <v>1214</v>
      </c>
      <c r="C116" s="555"/>
      <c r="D116" s="552"/>
      <c r="E116" s="552"/>
      <c r="F116" s="552"/>
      <c r="G116" s="1492"/>
      <c r="H116" s="1492"/>
      <c r="I116" s="1492"/>
      <c r="J116" s="552"/>
      <c r="AA116"/>
      <c r="AB116"/>
      <c r="AC116"/>
      <c r="AD116"/>
      <c r="AE116"/>
      <c r="AF116"/>
      <c r="AG116"/>
      <c r="AH116"/>
      <c r="AI116"/>
    </row>
    <row r="117" spans="1:35" ht="22.5" outlineLevel="2" x14ac:dyDescent="0.2">
      <c r="A117" s="556" t="s">
        <v>3502</v>
      </c>
      <c r="B117" s="557" t="s">
        <v>6282</v>
      </c>
      <c r="C117" s="555"/>
      <c r="D117" s="552"/>
      <c r="E117" s="552"/>
      <c r="F117" s="552"/>
      <c r="G117" s="1492">
        <v>2</v>
      </c>
      <c r="H117" s="1492"/>
      <c r="I117" s="1492"/>
      <c r="J117" s="552"/>
      <c r="AA117">
        <f>IF(AND('14 Msi'!C117&gt;Tmin, NOT('14 Msi'!$I117="")),'14 Msi'!$I117,0)</f>
        <v>0</v>
      </c>
      <c r="AB117">
        <f>IF(AND('14 Msi'!D117&gt;Tmin, NOT('14 Msi'!$I117="")),'14 Msi'!$I117,0)</f>
        <v>0</v>
      </c>
      <c r="AC117">
        <f>IF(AND('14 Msi'!E117&gt;Tmin, NOT('14 Msi'!$I117="")),'14 Msi'!$I117,0)</f>
        <v>0</v>
      </c>
      <c r="AD117">
        <f>IF(AND('14 Msi'!F117&gt;Tmin, NOT('14 Msi'!$I117="")),'14 Msi'!$I117,0)</f>
        <v>0</v>
      </c>
      <c r="AE117">
        <f>IF(AND('14 Msi'!C117&lt;Tmax, NOT('14 Msi'!$H117="")),'14 Msi'!$H117,4)</f>
        <v>4</v>
      </c>
      <c r="AF117">
        <f>IF(AND('14 Msi'!D117&lt;Tmax, NOT('14 Msi'!$H117="")),'14 Msi'!$H117,4)</f>
        <v>4</v>
      </c>
      <c r="AG117">
        <f>IF(AND('14 Msi'!E117&lt;Tmax, NOT('14 Msi'!$H117="")),'14 Msi'!$H117,4)</f>
        <v>4</v>
      </c>
      <c r="AH117">
        <f>IF(AND('14 Msi'!F117&lt;Tmax, NOT('14 Msi'!$H117="")),'14 Msi'!$H117,4)</f>
        <v>4</v>
      </c>
      <c r="AI117"/>
    </row>
    <row r="118" spans="1:35" outlineLevel="2" x14ac:dyDescent="0.2">
      <c r="A118" s="556" t="s">
        <v>3503</v>
      </c>
      <c r="B118" s="557" t="s">
        <v>1215</v>
      </c>
      <c r="C118" s="555"/>
      <c r="D118" s="552"/>
      <c r="E118" s="552"/>
      <c r="F118" s="552"/>
      <c r="G118" s="1492">
        <v>2</v>
      </c>
      <c r="H118" s="1492"/>
      <c r="I118" s="1492"/>
      <c r="J118" s="552"/>
      <c r="AA118">
        <f>IF(AND('14 Msi'!C118&gt;Tmin, NOT('14 Msi'!$I118="")),'14 Msi'!$I118,0)</f>
        <v>0</v>
      </c>
      <c r="AB118">
        <f>IF(AND('14 Msi'!D118&gt;Tmin, NOT('14 Msi'!$I118="")),'14 Msi'!$I118,0)</f>
        <v>0</v>
      </c>
      <c r="AC118">
        <f>IF(AND('14 Msi'!E118&gt;Tmin, NOT('14 Msi'!$I118="")),'14 Msi'!$I118,0)</f>
        <v>0</v>
      </c>
      <c r="AD118">
        <f>IF(AND('14 Msi'!F118&gt;Tmin, NOT('14 Msi'!$I118="")),'14 Msi'!$I118,0)</f>
        <v>0</v>
      </c>
      <c r="AE118">
        <f>IF(AND('14 Msi'!C118&lt;Tmax, NOT('14 Msi'!$H118="")),'14 Msi'!$H118,4)</f>
        <v>4</v>
      </c>
      <c r="AF118">
        <f>IF(AND('14 Msi'!D118&lt;Tmax, NOT('14 Msi'!$H118="")),'14 Msi'!$H118,4)</f>
        <v>4</v>
      </c>
      <c r="AG118">
        <f>IF(AND('14 Msi'!E118&lt;Tmax, NOT('14 Msi'!$H118="")),'14 Msi'!$H118,4)</f>
        <v>4</v>
      </c>
      <c r="AH118">
        <f>IF(AND('14 Msi'!F118&lt;Tmax, NOT('14 Msi'!$H118="")),'14 Msi'!$H118,4)</f>
        <v>4</v>
      </c>
      <c r="AI118"/>
    </row>
    <row r="119" spans="1:35" x14ac:dyDescent="0.2">
      <c r="A119" s="550" t="s">
        <v>3158</v>
      </c>
      <c r="B119" s="550" t="s">
        <v>3159</v>
      </c>
      <c r="C119" s="555"/>
      <c r="D119" s="552"/>
      <c r="E119" s="552"/>
      <c r="F119" s="552"/>
      <c r="G119" s="1492"/>
      <c r="H119" s="1492"/>
      <c r="I119" s="1492"/>
      <c r="J119" s="552"/>
      <c r="AA119"/>
      <c r="AB119"/>
      <c r="AC119"/>
      <c r="AD119"/>
      <c r="AE119"/>
      <c r="AF119"/>
      <c r="AG119"/>
      <c r="AH119"/>
      <c r="AI119"/>
    </row>
    <row r="120" spans="1:35" outlineLevel="1" x14ac:dyDescent="0.2">
      <c r="A120" s="553" t="s">
        <v>1248</v>
      </c>
      <c r="B120" s="554" t="s">
        <v>3284</v>
      </c>
      <c r="C120" s="555"/>
      <c r="D120" s="552"/>
      <c r="E120" s="552"/>
      <c r="F120" s="552"/>
      <c r="G120" s="1492"/>
      <c r="H120" s="1492"/>
      <c r="I120" s="1492"/>
      <c r="J120" s="552"/>
      <c r="AA120"/>
      <c r="AB120"/>
      <c r="AC120"/>
      <c r="AD120"/>
      <c r="AE120"/>
      <c r="AF120"/>
      <c r="AG120"/>
      <c r="AH120"/>
      <c r="AI120"/>
    </row>
    <row r="121" spans="1:35" outlineLevel="2" x14ac:dyDescent="0.2">
      <c r="A121" s="556" t="s">
        <v>3285</v>
      </c>
      <c r="B121" s="557" t="s">
        <v>1234</v>
      </c>
      <c r="C121" s="555"/>
      <c r="D121" s="552"/>
      <c r="E121" s="552"/>
      <c r="F121" s="552"/>
      <c r="G121" s="1492">
        <v>4</v>
      </c>
      <c r="H121" s="1492">
        <v>2</v>
      </c>
      <c r="I121" s="1492"/>
      <c r="J121" s="552"/>
      <c r="AA121">
        <f>IF(AND('14 Msi'!C121&gt;Tmin, NOT('14 Msi'!$I121="")),'14 Msi'!$I121,0)</f>
        <v>0</v>
      </c>
      <c r="AB121">
        <f>IF(AND('14 Msi'!D121&gt;Tmin, NOT('14 Msi'!$I121="")),'14 Msi'!$I121,0)</f>
        <v>0</v>
      </c>
      <c r="AC121">
        <f>IF(AND('14 Msi'!E121&gt;Tmin, NOT('14 Msi'!$I121="")),'14 Msi'!$I121,0)</f>
        <v>0</v>
      </c>
      <c r="AD121">
        <f>IF(AND('14 Msi'!F121&gt;Tmin, NOT('14 Msi'!$I121="")),'14 Msi'!$I121,0)</f>
        <v>0</v>
      </c>
      <c r="AE121">
        <f>IF(AND('14 Msi'!C121&lt;Tmax, NOT('14 Msi'!$H121="")),'14 Msi'!$H121,4)</f>
        <v>2</v>
      </c>
      <c r="AF121">
        <f>IF(AND('14 Msi'!D121&lt;Tmax, NOT('14 Msi'!$H121="")),'14 Msi'!$H121,4)</f>
        <v>2</v>
      </c>
      <c r="AG121">
        <f>IF(AND('14 Msi'!E121&lt;Tmax, NOT('14 Msi'!$H121="")),'14 Msi'!$H121,4)</f>
        <v>2</v>
      </c>
      <c r="AH121">
        <f>IF(AND('14 Msi'!F121&lt;Tmax, NOT('14 Msi'!$H121="")),'14 Msi'!$H121,4)</f>
        <v>2</v>
      </c>
      <c r="AI121"/>
    </row>
    <row r="122" spans="1:35" outlineLevel="2" x14ac:dyDescent="0.2">
      <c r="A122" s="556" t="s">
        <v>1235</v>
      </c>
      <c r="B122" s="557" t="s">
        <v>1236</v>
      </c>
      <c r="C122" s="555"/>
      <c r="D122" s="552"/>
      <c r="E122" s="552"/>
      <c r="F122" s="552"/>
      <c r="G122" s="1492">
        <v>2</v>
      </c>
      <c r="H122" s="1492">
        <v>2</v>
      </c>
      <c r="I122" s="1492"/>
      <c r="J122" s="552"/>
      <c r="AA122">
        <f>IF(AND('14 Msi'!C122&gt;Tmin, NOT('14 Msi'!$I122="")),'14 Msi'!$I122,0)</f>
        <v>0</v>
      </c>
      <c r="AB122">
        <f>IF(AND('14 Msi'!D122&gt;Tmin, NOT('14 Msi'!$I122="")),'14 Msi'!$I122,0)</f>
        <v>0</v>
      </c>
      <c r="AC122">
        <f>IF(AND('14 Msi'!E122&gt;Tmin, NOT('14 Msi'!$I122="")),'14 Msi'!$I122,0)</f>
        <v>0</v>
      </c>
      <c r="AD122">
        <f>IF(AND('14 Msi'!F122&gt;Tmin, NOT('14 Msi'!$I122="")),'14 Msi'!$I122,0)</f>
        <v>0</v>
      </c>
      <c r="AE122">
        <f>IF(AND('14 Msi'!C122&lt;Tmax, NOT('14 Msi'!$H122="")),'14 Msi'!$H122,4)</f>
        <v>2</v>
      </c>
      <c r="AF122">
        <f>IF(AND('14 Msi'!D122&lt;Tmax, NOT('14 Msi'!$H122="")),'14 Msi'!$H122,4)</f>
        <v>2</v>
      </c>
      <c r="AG122">
        <f>IF(AND('14 Msi'!E122&lt;Tmax, NOT('14 Msi'!$H122="")),'14 Msi'!$H122,4)</f>
        <v>2</v>
      </c>
      <c r="AH122">
        <f>IF(AND('14 Msi'!F122&lt;Tmax, NOT('14 Msi'!$H122="")),'14 Msi'!$H122,4)</f>
        <v>2</v>
      </c>
      <c r="AI122"/>
    </row>
    <row r="123" spans="1:35" outlineLevel="2" x14ac:dyDescent="0.2">
      <c r="A123" s="556" t="s">
        <v>1237</v>
      </c>
      <c r="B123" s="557" t="s">
        <v>4553</v>
      </c>
      <c r="C123" s="555"/>
      <c r="D123" s="552"/>
      <c r="E123" s="552"/>
      <c r="F123" s="552"/>
      <c r="G123" s="1492">
        <v>2</v>
      </c>
      <c r="H123" s="1492"/>
      <c r="I123" s="1492"/>
      <c r="J123" s="552"/>
      <c r="AA123">
        <f>IF(AND('14 Msi'!C123&gt;Tmin, NOT('14 Msi'!$I123="")),'14 Msi'!$I123,0)</f>
        <v>0</v>
      </c>
      <c r="AB123">
        <f>IF(AND('14 Msi'!D123&gt;Tmin, NOT('14 Msi'!$I123="")),'14 Msi'!$I123,0)</f>
        <v>0</v>
      </c>
      <c r="AC123">
        <f>IF(AND('14 Msi'!E123&gt;Tmin, NOT('14 Msi'!$I123="")),'14 Msi'!$I123,0)</f>
        <v>0</v>
      </c>
      <c r="AD123">
        <f>IF(AND('14 Msi'!F123&gt;Tmin, NOT('14 Msi'!$I123="")),'14 Msi'!$I123,0)</f>
        <v>0</v>
      </c>
      <c r="AE123">
        <f>IF(AND('14 Msi'!C123&lt;Tmax, NOT('14 Msi'!$H123="")),'14 Msi'!$H123,4)</f>
        <v>4</v>
      </c>
      <c r="AF123">
        <f>IF(AND('14 Msi'!D123&lt;Tmax, NOT('14 Msi'!$H123="")),'14 Msi'!$H123,4)</f>
        <v>4</v>
      </c>
      <c r="AG123">
        <f>IF(AND('14 Msi'!E123&lt;Tmax, NOT('14 Msi'!$H123="")),'14 Msi'!$H123,4)</f>
        <v>4</v>
      </c>
      <c r="AH123">
        <f>IF(AND('14 Msi'!F123&lt;Tmax, NOT('14 Msi'!$H123="")),'14 Msi'!$H123,4)</f>
        <v>4</v>
      </c>
      <c r="AI123"/>
    </row>
    <row r="124" spans="1:35" outlineLevel="2" x14ac:dyDescent="0.2">
      <c r="A124" s="556" t="s">
        <v>4554</v>
      </c>
      <c r="B124" s="557" t="s">
        <v>4555</v>
      </c>
      <c r="C124" s="555"/>
      <c r="D124" s="552"/>
      <c r="E124" s="552"/>
      <c r="F124" s="552"/>
      <c r="G124" s="1492">
        <v>2</v>
      </c>
      <c r="H124" s="1492"/>
      <c r="I124" s="1492"/>
      <c r="J124" s="552"/>
      <c r="AA124">
        <f>IF(AND('14 Msi'!C124&gt;Tmin, NOT('14 Msi'!$I124="")),'14 Msi'!$I124,0)</f>
        <v>0</v>
      </c>
      <c r="AB124">
        <f>IF(AND('14 Msi'!D124&gt;Tmin, NOT('14 Msi'!$I124="")),'14 Msi'!$I124,0)</f>
        <v>0</v>
      </c>
      <c r="AC124">
        <f>IF(AND('14 Msi'!E124&gt;Tmin, NOT('14 Msi'!$I124="")),'14 Msi'!$I124,0)</f>
        <v>0</v>
      </c>
      <c r="AD124">
        <f>IF(AND('14 Msi'!F124&gt;Tmin, NOT('14 Msi'!$I124="")),'14 Msi'!$I124,0)</f>
        <v>0</v>
      </c>
      <c r="AE124">
        <f>IF(AND('14 Msi'!C124&lt;Tmax, NOT('14 Msi'!$H124="")),'14 Msi'!$H124,4)</f>
        <v>4</v>
      </c>
      <c r="AF124">
        <f>IF(AND('14 Msi'!D124&lt;Tmax, NOT('14 Msi'!$H124="")),'14 Msi'!$H124,4)</f>
        <v>4</v>
      </c>
      <c r="AG124">
        <f>IF(AND('14 Msi'!E124&lt;Tmax, NOT('14 Msi'!$H124="")),'14 Msi'!$H124,4)</f>
        <v>4</v>
      </c>
      <c r="AH124">
        <f>IF(AND('14 Msi'!F124&lt;Tmax, NOT('14 Msi'!$H124="")),'14 Msi'!$H124,4)</f>
        <v>4</v>
      </c>
      <c r="AI124"/>
    </row>
    <row r="125" spans="1:35" outlineLevel="1" x14ac:dyDescent="0.2">
      <c r="A125" s="553" t="s">
        <v>1249</v>
      </c>
      <c r="B125" s="559" t="s">
        <v>4556</v>
      </c>
      <c r="C125" s="555"/>
      <c r="D125" s="552"/>
      <c r="E125" s="552"/>
      <c r="F125" s="552"/>
      <c r="G125" s="1492"/>
      <c r="H125" s="1492"/>
      <c r="I125" s="1492"/>
      <c r="J125" s="552"/>
      <c r="AA125"/>
      <c r="AB125"/>
      <c r="AC125"/>
      <c r="AD125"/>
      <c r="AE125"/>
      <c r="AF125"/>
      <c r="AG125"/>
      <c r="AH125"/>
      <c r="AI125"/>
    </row>
    <row r="126" spans="1:35" outlineLevel="2" x14ac:dyDescent="0.2">
      <c r="A126" s="556" t="s">
        <v>3504</v>
      </c>
      <c r="B126" s="557" t="s">
        <v>4557</v>
      </c>
      <c r="C126" s="555"/>
      <c r="D126" s="552"/>
      <c r="E126" s="552"/>
      <c r="F126" s="552"/>
      <c r="G126" s="1492">
        <v>4</v>
      </c>
      <c r="H126" s="1492"/>
      <c r="I126" s="1492"/>
      <c r="J126" s="552"/>
      <c r="AA126">
        <f>IF(AND('14 Msi'!C126&gt;Tmin, NOT('14 Msi'!$I126="")),'14 Msi'!$I126,0)</f>
        <v>0</v>
      </c>
      <c r="AB126">
        <f>IF(AND('14 Msi'!D126&gt;Tmin, NOT('14 Msi'!$I126="")),'14 Msi'!$I126,0)</f>
        <v>0</v>
      </c>
      <c r="AC126">
        <f>IF(AND('14 Msi'!E126&gt;Tmin, NOT('14 Msi'!$I126="")),'14 Msi'!$I126,0)</f>
        <v>0</v>
      </c>
      <c r="AD126">
        <f>IF(AND('14 Msi'!F126&gt;Tmin, NOT('14 Msi'!$I126="")),'14 Msi'!$I126,0)</f>
        <v>0</v>
      </c>
      <c r="AE126">
        <f>IF(AND('14 Msi'!C126&lt;Tmax, NOT('14 Msi'!$H126="")),'14 Msi'!$H126,4)</f>
        <v>4</v>
      </c>
      <c r="AF126">
        <f>IF(AND('14 Msi'!D126&lt;Tmax, NOT('14 Msi'!$H126="")),'14 Msi'!$H126,4)</f>
        <v>4</v>
      </c>
      <c r="AG126">
        <f>IF(AND('14 Msi'!E126&lt;Tmax, NOT('14 Msi'!$H126="")),'14 Msi'!$H126,4)</f>
        <v>4</v>
      </c>
      <c r="AH126">
        <f>IF(AND('14 Msi'!F126&lt;Tmax, NOT('14 Msi'!$H126="")),'14 Msi'!$H126,4)</f>
        <v>4</v>
      </c>
      <c r="AI126"/>
    </row>
    <row r="127" spans="1:35" ht="22.5" outlineLevel="2" x14ac:dyDescent="0.2">
      <c r="A127" s="556" t="s">
        <v>3505</v>
      </c>
      <c r="B127" s="557" t="s">
        <v>3468</v>
      </c>
      <c r="C127" s="555"/>
      <c r="D127" s="552"/>
      <c r="E127" s="552"/>
      <c r="F127" s="552"/>
      <c r="G127" s="1492">
        <v>2</v>
      </c>
      <c r="H127" s="1492"/>
      <c r="I127" s="1492"/>
      <c r="J127" s="552"/>
      <c r="AA127">
        <f>IF(AND('14 Msi'!C127&gt;Tmin, NOT('14 Msi'!$I127="")),'14 Msi'!$I127,0)</f>
        <v>0</v>
      </c>
      <c r="AB127">
        <f>IF(AND('14 Msi'!D127&gt;Tmin, NOT('14 Msi'!$I127="")),'14 Msi'!$I127,0)</f>
        <v>0</v>
      </c>
      <c r="AC127">
        <f>IF(AND('14 Msi'!E127&gt;Tmin, NOT('14 Msi'!$I127="")),'14 Msi'!$I127,0)</f>
        <v>0</v>
      </c>
      <c r="AD127">
        <f>IF(AND('14 Msi'!F127&gt;Tmin, NOT('14 Msi'!$I127="")),'14 Msi'!$I127,0)</f>
        <v>0</v>
      </c>
      <c r="AE127">
        <f>IF(AND('14 Msi'!C127&lt;Tmax, NOT('14 Msi'!$H127="")),'14 Msi'!$H127,4)</f>
        <v>4</v>
      </c>
      <c r="AF127">
        <f>IF(AND('14 Msi'!D127&lt;Tmax, NOT('14 Msi'!$H127="")),'14 Msi'!$H127,4)</f>
        <v>4</v>
      </c>
      <c r="AG127">
        <f>IF(AND('14 Msi'!E127&lt;Tmax, NOT('14 Msi'!$H127="")),'14 Msi'!$H127,4)</f>
        <v>4</v>
      </c>
      <c r="AH127">
        <f>IF(AND('14 Msi'!F127&lt;Tmax, NOT('14 Msi'!$H127="")),'14 Msi'!$H127,4)</f>
        <v>4</v>
      </c>
      <c r="AI127"/>
    </row>
    <row r="128" spans="1:35" outlineLevel="1" x14ac:dyDescent="0.2">
      <c r="A128" s="553" t="s">
        <v>1250</v>
      </c>
      <c r="B128" s="559" t="s">
        <v>4558</v>
      </c>
      <c r="C128" s="555"/>
      <c r="D128" s="552"/>
      <c r="E128" s="552"/>
      <c r="F128" s="552"/>
      <c r="G128" s="1492"/>
      <c r="H128" s="1492"/>
      <c r="I128" s="1492"/>
      <c r="J128" s="552"/>
      <c r="AA128"/>
      <c r="AB128"/>
      <c r="AC128"/>
      <c r="AD128"/>
      <c r="AE128"/>
      <c r="AF128"/>
      <c r="AG128"/>
      <c r="AH128"/>
      <c r="AI128"/>
    </row>
    <row r="129" spans="1:35" outlineLevel="2" x14ac:dyDescent="0.2">
      <c r="A129" s="556" t="s">
        <v>3506</v>
      </c>
      <c r="B129" s="557" t="s">
        <v>4524</v>
      </c>
      <c r="C129" s="555"/>
      <c r="D129" s="552"/>
      <c r="E129" s="552"/>
      <c r="F129" s="552"/>
      <c r="G129" s="1492">
        <v>4</v>
      </c>
      <c r="H129" s="1492"/>
      <c r="I129" s="1492"/>
      <c r="J129" s="552"/>
      <c r="AA129">
        <f>IF(AND('14 Msi'!C129&gt;Tmin, NOT('14 Msi'!$I129="")),'14 Msi'!$I129,0)</f>
        <v>0</v>
      </c>
      <c r="AB129">
        <f>IF(AND('14 Msi'!D129&gt;Tmin, NOT('14 Msi'!$I129="")),'14 Msi'!$I129,0)</f>
        <v>0</v>
      </c>
      <c r="AC129">
        <f>IF(AND('14 Msi'!E129&gt;Tmin, NOT('14 Msi'!$I129="")),'14 Msi'!$I129,0)</f>
        <v>0</v>
      </c>
      <c r="AD129">
        <f>IF(AND('14 Msi'!F129&gt;Tmin, NOT('14 Msi'!$I129="")),'14 Msi'!$I129,0)</f>
        <v>0</v>
      </c>
      <c r="AE129">
        <f>IF(AND('14 Msi'!C129&lt;Tmax, NOT('14 Msi'!$H129="")),'14 Msi'!$H129,4)</f>
        <v>4</v>
      </c>
      <c r="AF129">
        <f>IF(AND('14 Msi'!D129&lt;Tmax, NOT('14 Msi'!$H129="")),'14 Msi'!$H129,4)</f>
        <v>4</v>
      </c>
      <c r="AG129">
        <f>IF(AND('14 Msi'!E129&lt;Tmax, NOT('14 Msi'!$H129="")),'14 Msi'!$H129,4)</f>
        <v>4</v>
      </c>
      <c r="AH129">
        <f>IF(AND('14 Msi'!F129&lt;Tmax, NOT('14 Msi'!$H129="")),'14 Msi'!$H129,4)</f>
        <v>4</v>
      </c>
      <c r="AI129"/>
    </row>
    <row r="130" spans="1:35" outlineLevel="2" x14ac:dyDescent="0.2">
      <c r="A130" s="556" t="s">
        <v>3507</v>
      </c>
      <c r="B130" s="557" t="s">
        <v>4525</v>
      </c>
      <c r="C130" s="555"/>
      <c r="D130" s="552"/>
      <c r="E130" s="552"/>
      <c r="F130" s="552"/>
      <c r="G130" s="1492">
        <v>2</v>
      </c>
      <c r="H130" s="1492"/>
      <c r="I130" s="1492"/>
      <c r="J130" s="552"/>
      <c r="AA130">
        <f>IF(AND('14 Msi'!C130&gt;Tmin, NOT('14 Msi'!$I130="")),'14 Msi'!$I130,0)</f>
        <v>0</v>
      </c>
      <c r="AB130">
        <f>IF(AND('14 Msi'!D130&gt;Tmin, NOT('14 Msi'!$I130="")),'14 Msi'!$I130,0)</f>
        <v>0</v>
      </c>
      <c r="AC130">
        <f>IF(AND('14 Msi'!E130&gt;Tmin, NOT('14 Msi'!$I130="")),'14 Msi'!$I130,0)</f>
        <v>0</v>
      </c>
      <c r="AD130">
        <f>IF(AND('14 Msi'!F130&gt;Tmin, NOT('14 Msi'!$I130="")),'14 Msi'!$I130,0)</f>
        <v>0</v>
      </c>
      <c r="AE130">
        <f>IF(AND('14 Msi'!C130&lt;Tmax, NOT('14 Msi'!$H130="")),'14 Msi'!$H130,4)</f>
        <v>4</v>
      </c>
      <c r="AF130">
        <f>IF(AND('14 Msi'!D130&lt;Tmax, NOT('14 Msi'!$H130="")),'14 Msi'!$H130,4)</f>
        <v>4</v>
      </c>
      <c r="AG130">
        <f>IF(AND('14 Msi'!E130&lt;Tmax, NOT('14 Msi'!$H130="")),'14 Msi'!$H130,4)</f>
        <v>4</v>
      </c>
      <c r="AH130">
        <f>IF(AND('14 Msi'!F130&lt;Tmax, NOT('14 Msi'!$H130="")),'14 Msi'!$H130,4)</f>
        <v>4</v>
      </c>
      <c r="AI130"/>
    </row>
    <row r="131" spans="1:35" outlineLevel="1" x14ac:dyDescent="0.2">
      <c r="A131" s="553" t="s">
        <v>1251</v>
      </c>
      <c r="B131" s="559" t="s">
        <v>4526</v>
      </c>
      <c r="C131" s="555"/>
      <c r="D131" s="552"/>
      <c r="E131" s="552"/>
      <c r="F131" s="552"/>
      <c r="G131" s="1492"/>
      <c r="H131" s="1492"/>
      <c r="I131" s="1492"/>
      <c r="J131" s="552"/>
      <c r="AA131"/>
      <c r="AB131"/>
      <c r="AC131"/>
      <c r="AD131"/>
      <c r="AE131"/>
      <c r="AF131"/>
      <c r="AG131"/>
      <c r="AH131"/>
      <c r="AI131"/>
    </row>
    <row r="132" spans="1:35" outlineLevel="2" x14ac:dyDescent="0.2">
      <c r="A132" s="556" t="s">
        <v>3508</v>
      </c>
      <c r="B132" s="557" t="s">
        <v>3698</v>
      </c>
      <c r="C132" s="555"/>
      <c r="D132" s="552"/>
      <c r="E132" s="552"/>
      <c r="F132" s="552"/>
      <c r="G132" s="1492">
        <v>2</v>
      </c>
      <c r="H132" s="1492"/>
      <c r="I132" s="1492"/>
      <c r="J132" s="552"/>
      <c r="AA132">
        <f>IF(AND('14 Msi'!C132&gt;Tmin, NOT('14 Msi'!$I132="")),'14 Msi'!$I132,0)</f>
        <v>0</v>
      </c>
      <c r="AB132">
        <f>IF(AND('14 Msi'!D132&gt;Tmin, NOT('14 Msi'!$I132="")),'14 Msi'!$I132,0)</f>
        <v>0</v>
      </c>
      <c r="AC132">
        <f>IF(AND('14 Msi'!E132&gt;Tmin, NOT('14 Msi'!$I132="")),'14 Msi'!$I132,0)</f>
        <v>0</v>
      </c>
      <c r="AD132">
        <f>IF(AND('14 Msi'!F132&gt;Tmin, NOT('14 Msi'!$I132="")),'14 Msi'!$I132,0)</f>
        <v>0</v>
      </c>
      <c r="AE132">
        <f>IF(AND('14 Msi'!C132&lt;Tmax, NOT('14 Msi'!$H132="")),'14 Msi'!$H132,4)</f>
        <v>4</v>
      </c>
      <c r="AF132">
        <f>IF(AND('14 Msi'!D132&lt;Tmax, NOT('14 Msi'!$H132="")),'14 Msi'!$H132,4)</f>
        <v>4</v>
      </c>
      <c r="AG132">
        <f>IF(AND('14 Msi'!E132&lt;Tmax, NOT('14 Msi'!$H132="")),'14 Msi'!$H132,4)</f>
        <v>4</v>
      </c>
      <c r="AH132">
        <f>IF(AND('14 Msi'!F132&lt;Tmax, NOT('14 Msi'!$H132="")),'14 Msi'!$H132,4)</f>
        <v>4</v>
      </c>
      <c r="AI132"/>
    </row>
    <row r="133" spans="1:35" outlineLevel="2" x14ac:dyDescent="0.2">
      <c r="A133" s="556" t="s">
        <v>3509</v>
      </c>
      <c r="B133" s="557" t="s">
        <v>3699</v>
      </c>
      <c r="C133" s="555"/>
      <c r="D133" s="552"/>
      <c r="E133" s="552"/>
      <c r="F133" s="552"/>
      <c r="G133" s="1492">
        <v>2</v>
      </c>
      <c r="H133" s="1492"/>
      <c r="I133" s="1492"/>
      <c r="J133" s="552"/>
      <c r="AA133">
        <f>IF(AND('14 Msi'!C133&gt;Tmin, NOT('14 Msi'!$I133="")),'14 Msi'!$I133,0)</f>
        <v>0</v>
      </c>
      <c r="AB133">
        <f>IF(AND('14 Msi'!D133&gt;Tmin, NOT('14 Msi'!$I133="")),'14 Msi'!$I133,0)</f>
        <v>0</v>
      </c>
      <c r="AC133">
        <f>IF(AND('14 Msi'!E133&gt;Tmin, NOT('14 Msi'!$I133="")),'14 Msi'!$I133,0)</f>
        <v>0</v>
      </c>
      <c r="AD133">
        <f>IF(AND('14 Msi'!F133&gt;Tmin, NOT('14 Msi'!$I133="")),'14 Msi'!$I133,0)</f>
        <v>0</v>
      </c>
      <c r="AE133">
        <f>IF(AND('14 Msi'!C133&lt;Tmax, NOT('14 Msi'!$H133="")),'14 Msi'!$H133,4)</f>
        <v>4</v>
      </c>
      <c r="AF133">
        <f>IF(AND('14 Msi'!D133&lt;Tmax, NOT('14 Msi'!$H133="")),'14 Msi'!$H133,4)</f>
        <v>4</v>
      </c>
      <c r="AG133">
        <f>IF(AND('14 Msi'!E133&lt;Tmax, NOT('14 Msi'!$H133="")),'14 Msi'!$H133,4)</f>
        <v>4</v>
      </c>
      <c r="AH133">
        <f>IF(AND('14 Msi'!F133&lt;Tmax, NOT('14 Msi'!$H133="")),'14 Msi'!$H133,4)</f>
        <v>4</v>
      </c>
      <c r="AI133"/>
    </row>
    <row r="134" spans="1:35" outlineLevel="1" x14ac:dyDescent="0.2">
      <c r="A134" s="553" t="s">
        <v>1252</v>
      </c>
      <c r="B134" s="559" t="s">
        <v>3700</v>
      </c>
      <c r="C134" s="555"/>
      <c r="D134" s="552"/>
      <c r="E134" s="552"/>
      <c r="F134" s="552"/>
      <c r="G134" s="1492"/>
      <c r="H134" s="1492"/>
      <c r="I134" s="1492"/>
      <c r="J134" s="552"/>
      <c r="AA134"/>
      <c r="AB134"/>
      <c r="AC134"/>
      <c r="AD134"/>
      <c r="AE134"/>
      <c r="AF134"/>
      <c r="AG134"/>
      <c r="AH134"/>
      <c r="AI134"/>
    </row>
    <row r="135" spans="1:35" outlineLevel="2" x14ac:dyDescent="0.2">
      <c r="A135" s="556" t="s">
        <v>3510</v>
      </c>
      <c r="B135" s="557" t="s">
        <v>4565</v>
      </c>
      <c r="C135" s="555"/>
      <c r="D135" s="552"/>
      <c r="E135" s="552"/>
      <c r="F135" s="552"/>
      <c r="G135" s="1492">
        <v>4</v>
      </c>
      <c r="H135" s="1492">
        <v>2</v>
      </c>
      <c r="I135" s="1492"/>
      <c r="J135" s="552"/>
      <c r="AA135">
        <f>IF(AND('14 Msi'!C135&gt;Tmin, NOT('14 Msi'!$I135="")),'14 Msi'!$I135,0)</f>
        <v>0</v>
      </c>
      <c r="AB135">
        <f>IF(AND('14 Msi'!D135&gt;Tmin, NOT('14 Msi'!$I135="")),'14 Msi'!$I135,0)</f>
        <v>0</v>
      </c>
      <c r="AC135">
        <f>IF(AND('14 Msi'!E135&gt;Tmin, NOT('14 Msi'!$I135="")),'14 Msi'!$I135,0)</f>
        <v>0</v>
      </c>
      <c r="AD135">
        <f>IF(AND('14 Msi'!F135&gt;Tmin, NOT('14 Msi'!$I135="")),'14 Msi'!$I135,0)</f>
        <v>0</v>
      </c>
      <c r="AE135">
        <f>IF(AND('14 Msi'!C135&lt;Tmax, NOT('14 Msi'!$H135="")),'14 Msi'!$H135,4)</f>
        <v>2</v>
      </c>
      <c r="AF135">
        <f>IF(AND('14 Msi'!D135&lt;Tmax, NOT('14 Msi'!$H135="")),'14 Msi'!$H135,4)</f>
        <v>2</v>
      </c>
      <c r="AG135">
        <f>IF(AND('14 Msi'!E135&lt;Tmax, NOT('14 Msi'!$H135="")),'14 Msi'!$H135,4)</f>
        <v>2</v>
      </c>
      <c r="AH135">
        <f>IF(AND('14 Msi'!F135&lt;Tmax, NOT('14 Msi'!$H135="")),'14 Msi'!$H135,4)</f>
        <v>2</v>
      </c>
      <c r="AI135"/>
    </row>
    <row r="136" spans="1:35" outlineLevel="2" x14ac:dyDescent="0.2">
      <c r="A136" s="556" t="s">
        <v>3511</v>
      </c>
      <c r="B136" s="557" t="s">
        <v>4566</v>
      </c>
      <c r="C136" s="555"/>
      <c r="D136" s="552"/>
      <c r="E136" s="552"/>
      <c r="F136" s="552"/>
      <c r="G136" s="1492">
        <v>2</v>
      </c>
      <c r="H136" s="1492"/>
      <c r="I136" s="1492"/>
      <c r="J136" s="552"/>
      <c r="AA136">
        <f>IF(AND('14 Msi'!C136&gt;Tmin, NOT('14 Msi'!$I136="")),'14 Msi'!$I136,0)</f>
        <v>0</v>
      </c>
      <c r="AB136">
        <f>IF(AND('14 Msi'!D136&gt;Tmin, NOT('14 Msi'!$I136="")),'14 Msi'!$I136,0)</f>
        <v>0</v>
      </c>
      <c r="AC136">
        <f>IF(AND('14 Msi'!E136&gt;Tmin, NOT('14 Msi'!$I136="")),'14 Msi'!$I136,0)</f>
        <v>0</v>
      </c>
      <c r="AD136">
        <f>IF(AND('14 Msi'!F136&gt;Tmin, NOT('14 Msi'!$I136="")),'14 Msi'!$I136,0)</f>
        <v>0</v>
      </c>
      <c r="AE136">
        <f>IF(AND('14 Msi'!C136&lt;Tmax, NOT('14 Msi'!$H136="")),'14 Msi'!$H136,4)</f>
        <v>4</v>
      </c>
      <c r="AF136">
        <f>IF(AND('14 Msi'!D136&lt;Tmax, NOT('14 Msi'!$H136="")),'14 Msi'!$H136,4)</f>
        <v>4</v>
      </c>
      <c r="AG136">
        <f>IF(AND('14 Msi'!E136&lt;Tmax, NOT('14 Msi'!$H136="")),'14 Msi'!$H136,4)</f>
        <v>4</v>
      </c>
      <c r="AH136">
        <f>IF(AND('14 Msi'!F136&lt;Tmax, NOT('14 Msi'!$H136="")),'14 Msi'!$H136,4)</f>
        <v>4</v>
      </c>
      <c r="AI136"/>
    </row>
    <row r="137" spans="1:35" outlineLevel="1" x14ac:dyDescent="0.2">
      <c r="A137" s="553" t="s">
        <v>1253</v>
      </c>
      <c r="B137" s="559" t="s">
        <v>4567</v>
      </c>
      <c r="C137" s="555"/>
      <c r="D137" s="552"/>
      <c r="E137" s="552"/>
      <c r="F137" s="552"/>
      <c r="G137" s="1492"/>
      <c r="H137" s="1492"/>
      <c r="I137" s="1492"/>
      <c r="J137" s="552"/>
      <c r="AA137"/>
      <c r="AB137"/>
      <c r="AC137"/>
      <c r="AD137"/>
      <c r="AE137"/>
      <c r="AF137"/>
      <c r="AG137"/>
      <c r="AH137"/>
      <c r="AI137"/>
    </row>
    <row r="138" spans="1:35" outlineLevel="2" x14ac:dyDescent="0.2">
      <c r="A138" s="556" t="s">
        <v>3512</v>
      </c>
      <c r="B138" s="557" t="s">
        <v>4523</v>
      </c>
      <c r="C138" s="555"/>
      <c r="D138" s="552"/>
      <c r="E138" s="552"/>
      <c r="F138" s="552"/>
      <c r="G138" s="1492">
        <v>2</v>
      </c>
      <c r="H138" s="1492"/>
      <c r="I138" s="1492"/>
      <c r="J138" s="552"/>
      <c r="AA138"/>
      <c r="AB138"/>
      <c r="AC138"/>
      <c r="AD138"/>
      <c r="AE138"/>
      <c r="AF138"/>
      <c r="AG138"/>
      <c r="AH138"/>
      <c r="AI138"/>
    </row>
    <row r="139" spans="1:35" outlineLevel="2" x14ac:dyDescent="0.2">
      <c r="A139" s="556" t="s">
        <v>3513</v>
      </c>
      <c r="B139" s="557" t="s">
        <v>3469</v>
      </c>
      <c r="C139" s="555"/>
      <c r="D139" s="552"/>
      <c r="E139" s="552"/>
      <c r="F139" s="552"/>
      <c r="G139" s="1492">
        <v>2</v>
      </c>
      <c r="H139" s="1492"/>
      <c r="I139" s="1492"/>
      <c r="J139" s="552"/>
      <c r="AA139"/>
      <c r="AB139"/>
      <c r="AC139"/>
      <c r="AD139"/>
      <c r="AE139"/>
      <c r="AF139"/>
      <c r="AG139"/>
      <c r="AH139"/>
      <c r="AI139"/>
    </row>
    <row r="140" spans="1:35" x14ac:dyDescent="0.2">
      <c r="AA140"/>
      <c r="AB140"/>
      <c r="AC140"/>
      <c r="AD140"/>
      <c r="AE140"/>
      <c r="AF140"/>
      <c r="AG140"/>
      <c r="AH140"/>
      <c r="AI140"/>
    </row>
    <row r="141" spans="1:35" x14ac:dyDescent="0.2">
      <c r="AA141"/>
      <c r="AB141"/>
      <c r="AC141"/>
      <c r="AD141"/>
      <c r="AE141"/>
      <c r="AF141"/>
      <c r="AG141"/>
      <c r="AH141"/>
      <c r="AI141"/>
    </row>
    <row r="142" spans="1:35" x14ac:dyDescent="0.2">
      <c r="AA142"/>
      <c r="AB142"/>
      <c r="AC142"/>
      <c r="AD142"/>
      <c r="AE142"/>
      <c r="AF142"/>
      <c r="AG142"/>
      <c r="AH142"/>
      <c r="AI142"/>
    </row>
    <row r="143" spans="1:35" x14ac:dyDescent="0.2">
      <c r="AA143"/>
      <c r="AB143"/>
      <c r="AC143"/>
      <c r="AD143"/>
      <c r="AE143"/>
      <c r="AF143"/>
      <c r="AG143"/>
      <c r="AH143"/>
      <c r="AI143"/>
    </row>
    <row r="144" spans="1:35" x14ac:dyDescent="0.2">
      <c r="AA144"/>
      <c r="AB144"/>
      <c r="AC144"/>
      <c r="AD144"/>
      <c r="AE144"/>
      <c r="AF144"/>
      <c r="AG144"/>
      <c r="AH144"/>
      <c r="AI144"/>
    </row>
    <row r="145" spans="27:35" x14ac:dyDescent="0.2">
      <c r="AA145"/>
      <c r="AB145"/>
      <c r="AC145"/>
      <c r="AD145"/>
      <c r="AE145"/>
      <c r="AF145"/>
      <c r="AG145"/>
      <c r="AH145"/>
      <c r="AI145"/>
    </row>
    <row r="146" spans="27:35" x14ac:dyDescent="0.2">
      <c r="AA146"/>
      <c r="AB146"/>
      <c r="AC146"/>
      <c r="AD146"/>
      <c r="AE146"/>
      <c r="AF146"/>
      <c r="AG146"/>
      <c r="AH146"/>
      <c r="AI146"/>
    </row>
    <row r="147" spans="27:35" x14ac:dyDescent="0.2">
      <c r="AA147"/>
      <c r="AB147"/>
      <c r="AC147"/>
      <c r="AD147"/>
      <c r="AE147"/>
      <c r="AF147"/>
      <c r="AG147"/>
      <c r="AH147"/>
      <c r="AI147"/>
    </row>
    <row r="148" spans="27:35" x14ac:dyDescent="0.2">
      <c r="AA148"/>
      <c r="AB148"/>
      <c r="AC148"/>
      <c r="AD148"/>
      <c r="AE148"/>
      <c r="AF148"/>
      <c r="AG148"/>
      <c r="AH148"/>
      <c r="AI148"/>
    </row>
    <row r="149" spans="27:35" x14ac:dyDescent="0.2">
      <c r="AA149"/>
      <c r="AB149"/>
      <c r="AC149"/>
      <c r="AD149"/>
      <c r="AE149"/>
      <c r="AF149"/>
      <c r="AG149"/>
      <c r="AH149"/>
      <c r="AI149"/>
    </row>
    <row r="150" spans="27:35" x14ac:dyDescent="0.2">
      <c r="AA150"/>
      <c r="AB150"/>
      <c r="AC150"/>
      <c r="AD150"/>
      <c r="AE150"/>
      <c r="AF150"/>
      <c r="AG150"/>
      <c r="AH150"/>
      <c r="AI150"/>
    </row>
    <row r="151" spans="27:35" x14ac:dyDescent="0.2">
      <c r="AA151"/>
      <c r="AB151"/>
      <c r="AC151"/>
      <c r="AD151"/>
      <c r="AE151"/>
      <c r="AF151"/>
      <c r="AG151"/>
      <c r="AH151"/>
      <c r="AI151"/>
    </row>
    <row r="152" spans="27:35" x14ac:dyDescent="0.2">
      <c r="AA152"/>
      <c r="AB152"/>
      <c r="AC152"/>
      <c r="AD152"/>
      <c r="AE152"/>
      <c r="AF152"/>
      <c r="AG152"/>
      <c r="AH152"/>
      <c r="AI152"/>
    </row>
    <row r="153" spans="27:35" x14ac:dyDescent="0.2">
      <c r="AA153"/>
      <c r="AB153"/>
      <c r="AC153"/>
      <c r="AD153"/>
      <c r="AE153"/>
      <c r="AF153"/>
      <c r="AG153"/>
      <c r="AH153"/>
      <c r="AI153"/>
    </row>
    <row r="154" spans="27:35" x14ac:dyDescent="0.2">
      <c r="AA154"/>
      <c r="AB154"/>
      <c r="AC154"/>
      <c r="AD154"/>
      <c r="AE154"/>
      <c r="AF154"/>
      <c r="AG154"/>
      <c r="AH154"/>
      <c r="AI154"/>
    </row>
    <row r="155" spans="27:35" x14ac:dyDescent="0.2">
      <c r="AA155"/>
      <c r="AB155"/>
      <c r="AC155"/>
      <c r="AD155"/>
      <c r="AE155"/>
      <c r="AF155"/>
      <c r="AG155"/>
      <c r="AH155"/>
      <c r="AI155"/>
    </row>
    <row r="156" spans="27:35" x14ac:dyDescent="0.2">
      <c r="AA156"/>
      <c r="AB156"/>
      <c r="AC156"/>
      <c r="AD156"/>
      <c r="AE156"/>
      <c r="AF156"/>
      <c r="AG156"/>
      <c r="AH156"/>
      <c r="AI156"/>
    </row>
    <row r="157" spans="27:35" x14ac:dyDescent="0.2">
      <c r="AA157"/>
      <c r="AB157"/>
      <c r="AC157"/>
      <c r="AD157"/>
      <c r="AE157"/>
      <c r="AF157"/>
      <c r="AG157"/>
      <c r="AH157"/>
      <c r="AI157"/>
    </row>
    <row r="158" spans="27:35" x14ac:dyDescent="0.2">
      <c r="AA158"/>
      <c r="AB158"/>
      <c r="AC158"/>
      <c r="AD158"/>
      <c r="AE158"/>
      <c r="AF158"/>
      <c r="AG158"/>
      <c r="AH158"/>
      <c r="AI158"/>
    </row>
    <row r="159" spans="27:35" x14ac:dyDescent="0.2">
      <c r="AA159"/>
      <c r="AB159"/>
      <c r="AC159"/>
      <c r="AD159"/>
      <c r="AE159"/>
      <c r="AF159"/>
      <c r="AG159"/>
      <c r="AH159"/>
      <c r="AI159"/>
    </row>
    <row r="160" spans="27:35" x14ac:dyDescent="0.2">
      <c r="AA160"/>
      <c r="AB160"/>
      <c r="AC160"/>
      <c r="AD160"/>
      <c r="AE160"/>
      <c r="AF160"/>
      <c r="AG160"/>
      <c r="AH160"/>
      <c r="AI160"/>
    </row>
    <row r="161" spans="27:35" x14ac:dyDescent="0.2">
      <c r="AA161"/>
      <c r="AB161"/>
      <c r="AC161"/>
      <c r="AD161"/>
      <c r="AE161"/>
      <c r="AF161"/>
      <c r="AG161"/>
      <c r="AH161"/>
      <c r="AI161"/>
    </row>
    <row r="162" spans="27:35" x14ac:dyDescent="0.2">
      <c r="AA162"/>
      <c r="AB162"/>
      <c r="AC162"/>
      <c r="AD162"/>
      <c r="AE162"/>
      <c r="AF162"/>
      <c r="AG162"/>
      <c r="AH162"/>
      <c r="AI162"/>
    </row>
    <row r="163" spans="27:35" x14ac:dyDescent="0.2">
      <c r="AA163"/>
      <c r="AB163"/>
      <c r="AC163"/>
      <c r="AD163"/>
      <c r="AE163"/>
      <c r="AF163"/>
      <c r="AG163"/>
      <c r="AH163"/>
      <c r="AI163"/>
    </row>
    <row r="164" spans="27:35" x14ac:dyDescent="0.2">
      <c r="AA164"/>
      <c r="AB164"/>
      <c r="AC164"/>
      <c r="AD164"/>
      <c r="AE164"/>
      <c r="AF164"/>
      <c r="AG164"/>
      <c r="AH164"/>
      <c r="AI164"/>
    </row>
    <row r="165" spans="27:35" x14ac:dyDescent="0.2">
      <c r="AA165"/>
      <c r="AB165"/>
      <c r="AC165"/>
      <c r="AD165"/>
      <c r="AE165"/>
      <c r="AF165"/>
      <c r="AG165"/>
      <c r="AH165"/>
      <c r="AI165"/>
    </row>
    <row r="166" spans="27:35" x14ac:dyDescent="0.2">
      <c r="AA166"/>
      <c r="AB166"/>
      <c r="AC166"/>
      <c r="AD166"/>
      <c r="AE166"/>
      <c r="AF166"/>
      <c r="AG166"/>
      <c r="AH166"/>
      <c r="AI166"/>
    </row>
    <row r="167" spans="27:35" x14ac:dyDescent="0.2">
      <c r="AA167"/>
      <c r="AB167"/>
      <c r="AC167"/>
      <c r="AD167"/>
      <c r="AE167"/>
      <c r="AF167"/>
      <c r="AG167"/>
      <c r="AH167"/>
      <c r="AI167"/>
    </row>
    <row r="168" spans="27:35" x14ac:dyDescent="0.2">
      <c r="AA168"/>
      <c r="AB168"/>
      <c r="AC168"/>
      <c r="AD168"/>
      <c r="AE168"/>
      <c r="AF168"/>
      <c r="AG168"/>
      <c r="AH168"/>
      <c r="AI168"/>
    </row>
    <row r="169" spans="27:35" x14ac:dyDescent="0.2">
      <c r="AA169"/>
      <c r="AB169"/>
      <c r="AC169"/>
      <c r="AD169"/>
      <c r="AE169"/>
      <c r="AF169"/>
      <c r="AG169"/>
      <c r="AH169"/>
      <c r="AI169"/>
    </row>
    <row r="170" spans="27:35" x14ac:dyDescent="0.2">
      <c r="AA170"/>
      <c r="AB170"/>
      <c r="AC170"/>
      <c r="AD170"/>
      <c r="AE170"/>
      <c r="AF170"/>
      <c r="AG170"/>
      <c r="AH170"/>
      <c r="AI170"/>
    </row>
    <row r="171" spans="27:35" x14ac:dyDescent="0.2">
      <c r="AA171"/>
      <c r="AB171"/>
      <c r="AC171"/>
      <c r="AD171"/>
      <c r="AE171"/>
      <c r="AF171"/>
      <c r="AG171"/>
      <c r="AH171"/>
      <c r="AI171"/>
    </row>
    <row r="172" spans="27:35" x14ac:dyDescent="0.2">
      <c r="AA172"/>
      <c r="AB172"/>
      <c r="AC172"/>
      <c r="AD172"/>
      <c r="AE172"/>
      <c r="AF172"/>
      <c r="AG172"/>
      <c r="AH172"/>
      <c r="AI172"/>
    </row>
    <row r="173" spans="27:35" x14ac:dyDescent="0.2">
      <c r="AA173"/>
      <c r="AB173"/>
      <c r="AC173"/>
      <c r="AD173"/>
      <c r="AE173"/>
      <c r="AF173"/>
      <c r="AG173"/>
      <c r="AH173"/>
      <c r="AI173"/>
    </row>
    <row r="174" spans="27:35" x14ac:dyDescent="0.2">
      <c r="AA174"/>
      <c r="AB174"/>
      <c r="AC174"/>
      <c r="AD174"/>
      <c r="AE174"/>
      <c r="AF174"/>
      <c r="AG174"/>
      <c r="AH174"/>
      <c r="AI174"/>
    </row>
    <row r="175" spans="27:35" x14ac:dyDescent="0.2">
      <c r="AA175"/>
      <c r="AB175"/>
      <c r="AC175"/>
      <c r="AD175"/>
      <c r="AE175"/>
      <c r="AF175"/>
      <c r="AG175"/>
      <c r="AH175"/>
      <c r="AI175"/>
    </row>
    <row r="176" spans="27:35" x14ac:dyDescent="0.2">
      <c r="AA176"/>
      <c r="AB176"/>
      <c r="AC176"/>
      <c r="AD176"/>
      <c r="AE176"/>
      <c r="AF176"/>
      <c r="AG176"/>
      <c r="AH176"/>
      <c r="AI176"/>
    </row>
    <row r="177" spans="27:35" x14ac:dyDescent="0.2">
      <c r="AA177"/>
      <c r="AB177"/>
      <c r="AC177"/>
      <c r="AD177"/>
      <c r="AE177"/>
      <c r="AF177"/>
      <c r="AG177"/>
      <c r="AH177"/>
      <c r="AI177"/>
    </row>
    <row r="178" spans="27:35" x14ac:dyDescent="0.2">
      <c r="AA178"/>
      <c r="AB178"/>
      <c r="AC178"/>
      <c r="AD178"/>
      <c r="AE178"/>
      <c r="AF178"/>
      <c r="AG178"/>
      <c r="AH178"/>
      <c r="AI178"/>
    </row>
    <row r="179" spans="27:35" x14ac:dyDescent="0.2">
      <c r="AA179"/>
      <c r="AB179"/>
      <c r="AC179"/>
      <c r="AD179"/>
      <c r="AE179"/>
      <c r="AF179"/>
      <c r="AG179"/>
      <c r="AH179"/>
      <c r="AI179"/>
    </row>
    <row r="180" spans="27:35" x14ac:dyDescent="0.2">
      <c r="AA180"/>
      <c r="AB180"/>
      <c r="AC180"/>
      <c r="AD180"/>
      <c r="AE180"/>
      <c r="AF180"/>
      <c r="AG180"/>
      <c r="AH180"/>
      <c r="AI180"/>
    </row>
    <row r="181" spans="27:35" x14ac:dyDescent="0.2">
      <c r="AA181"/>
      <c r="AB181"/>
      <c r="AC181"/>
      <c r="AD181"/>
      <c r="AE181"/>
      <c r="AF181"/>
      <c r="AG181"/>
      <c r="AH181"/>
      <c r="AI181"/>
    </row>
    <row r="182" spans="27:35" x14ac:dyDescent="0.2">
      <c r="AA182"/>
      <c r="AB182"/>
      <c r="AC182"/>
      <c r="AD182"/>
      <c r="AE182"/>
      <c r="AF182"/>
      <c r="AG182"/>
      <c r="AH182"/>
      <c r="AI182"/>
    </row>
    <row r="183" spans="27:35" x14ac:dyDescent="0.2">
      <c r="AA183"/>
      <c r="AB183"/>
      <c r="AC183"/>
      <c r="AD183"/>
      <c r="AE183"/>
      <c r="AF183"/>
      <c r="AG183"/>
      <c r="AH183"/>
      <c r="AI183"/>
    </row>
    <row r="184" spans="27:35" x14ac:dyDescent="0.2">
      <c r="AA184"/>
      <c r="AB184"/>
      <c r="AC184"/>
      <c r="AD184"/>
      <c r="AE184"/>
      <c r="AF184"/>
      <c r="AG184"/>
      <c r="AH184"/>
      <c r="AI184"/>
    </row>
    <row r="185" spans="27:35" x14ac:dyDescent="0.2">
      <c r="AA185"/>
      <c r="AB185"/>
      <c r="AC185"/>
      <c r="AD185"/>
      <c r="AE185"/>
      <c r="AF185"/>
      <c r="AG185"/>
      <c r="AH185"/>
      <c r="AI185"/>
    </row>
    <row r="186" spans="27:35" x14ac:dyDescent="0.2">
      <c r="AA186"/>
      <c r="AB186"/>
      <c r="AC186"/>
      <c r="AD186"/>
      <c r="AE186"/>
      <c r="AF186"/>
      <c r="AG186"/>
      <c r="AH186"/>
      <c r="AI186"/>
    </row>
    <row r="187" spans="27:35" x14ac:dyDescent="0.2">
      <c r="AA187"/>
      <c r="AB187"/>
      <c r="AC187"/>
      <c r="AD187"/>
      <c r="AE187"/>
      <c r="AF187"/>
      <c r="AG187"/>
      <c r="AH187"/>
      <c r="AI187"/>
    </row>
    <row r="188" spans="27:35" x14ac:dyDescent="0.2">
      <c r="AA188"/>
      <c r="AB188"/>
      <c r="AC188"/>
      <c r="AD188"/>
      <c r="AE188"/>
      <c r="AF188"/>
      <c r="AG188"/>
      <c r="AH188"/>
      <c r="AI188"/>
    </row>
    <row r="189" spans="27:35" x14ac:dyDescent="0.2">
      <c r="AA189"/>
      <c r="AB189"/>
      <c r="AC189"/>
      <c r="AD189"/>
      <c r="AE189"/>
      <c r="AF189"/>
      <c r="AG189"/>
      <c r="AH189"/>
      <c r="AI189"/>
    </row>
    <row r="190" spans="27:35" x14ac:dyDescent="0.2">
      <c r="AA190"/>
      <c r="AB190"/>
      <c r="AC190"/>
      <c r="AD190"/>
      <c r="AE190"/>
      <c r="AF190"/>
      <c r="AG190"/>
      <c r="AH190"/>
      <c r="AI190"/>
    </row>
    <row r="191" spans="27:35" x14ac:dyDescent="0.2">
      <c r="AA191"/>
      <c r="AB191"/>
      <c r="AC191"/>
      <c r="AD191"/>
      <c r="AE191"/>
      <c r="AF191"/>
      <c r="AG191"/>
      <c r="AH191"/>
      <c r="AI191"/>
    </row>
    <row r="192" spans="27:35" x14ac:dyDescent="0.2">
      <c r="AA192"/>
      <c r="AB192"/>
      <c r="AC192"/>
      <c r="AD192"/>
      <c r="AE192"/>
      <c r="AF192"/>
      <c r="AG192"/>
      <c r="AH192"/>
      <c r="AI192"/>
    </row>
    <row r="193" spans="27:35" x14ac:dyDescent="0.2">
      <c r="AA193"/>
      <c r="AB193"/>
      <c r="AC193"/>
      <c r="AD193"/>
      <c r="AE193"/>
      <c r="AF193"/>
      <c r="AG193"/>
      <c r="AH193"/>
      <c r="AI193"/>
    </row>
    <row r="194" spans="27:35" x14ac:dyDescent="0.2">
      <c r="AA194"/>
      <c r="AB194"/>
      <c r="AC194"/>
      <c r="AD194"/>
      <c r="AE194"/>
      <c r="AF194"/>
      <c r="AG194"/>
      <c r="AH194"/>
      <c r="AI194"/>
    </row>
    <row r="195" spans="27:35" x14ac:dyDescent="0.2">
      <c r="AA195"/>
      <c r="AB195"/>
      <c r="AC195"/>
      <c r="AD195"/>
      <c r="AE195"/>
      <c r="AF195"/>
      <c r="AG195"/>
      <c r="AH195"/>
      <c r="AI195"/>
    </row>
    <row r="196" spans="27:35" x14ac:dyDescent="0.2">
      <c r="AA196"/>
      <c r="AB196"/>
      <c r="AC196"/>
      <c r="AD196"/>
      <c r="AE196"/>
      <c r="AF196"/>
      <c r="AG196"/>
      <c r="AH196"/>
      <c r="AI196"/>
    </row>
    <row r="197" spans="27:35" x14ac:dyDescent="0.2">
      <c r="AA197"/>
      <c r="AB197"/>
      <c r="AC197"/>
      <c r="AD197"/>
      <c r="AE197"/>
      <c r="AF197"/>
      <c r="AG197"/>
      <c r="AH197"/>
      <c r="AI197"/>
    </row>
    <row r="198" spans="27:35" x14ac:dyDescent="0.2">
      <c r="AA198"/>
      <c r="AB198"/>
      <c r="AC198"/>
      <c r="AD198"/>
      <c r="AE198"/>
      <c r="AF198"/>
      <c r="AG198"/>
      <c r="AH198"/>
      <c r="AI198"/>
    </row>
    <row r="199" spans="27:35" x14ac:dyDescent="0.2">
      <c r="AA199"/>
      <c r="AB199"/>
      <c r="AC199"/>
      <c r="AD199"/>
      <c r="AE199"/>
      <c r="AF199"/>
      <c r="AG199"/>
      <c r="AH199"/>
      <c r="AI199"/>
    </row>
    <row r="200" spans="27:35" x14ac:dyDescent="0.2">
      <c r="AA200"/>
      <c r="AB200"/>
      <c r="AC200"/>
      <c r="AD200"/>
      <c r="AE200"/>
      <c r="AF200"/>
      <c r="AG200"/>
      <c r="AH200"/>
      <c r="AI200"/>
    </row>
    <row r="201" spans="27:35" x14ac:dyDescent="0.2">
      <c r="AA201"/>
      <c r="AB201"/>
      <c r="AC201"/>
      <c r="AD201"/>
      <c r="AE201"/>
      <c r="AF201"/>
      <c r="AG201"/>
      <c r="AH201"/>
      <c r="AI201"/>
    </row>
    <row r="202" spans="27:35" x14ac:dyDescent="0.2">
      <c r="AA202"/>
      <c r="AB202"/>
      <c r="AC202"/>
      <c r="AD202"/>
      <c r="AE202"/>
      <c r="AF202"/>
      <c r="AG202"/>
      <c r="AH202"/>
      <c r="AI202"/>
    </row>
    <row r="203" spans="27:35" x14ac:dyDescent="0.2">
      <c r="AA203"/>
      <c r="AB203"/>
      <c r="AC203"/>
      <c r="AD203"/>
      <c r="AE203"/>
      <c r="AF203"/>
      <c r="AG203"/>
      <c r="AH203"/>
      <c r="AI203"/>
    </row>
    <row r="204" spans="27:35" x14ac:dyDescent="0.2">
      <c r="AA204"/>
      <c r="AB204"/>
      <c r="AC204"/>
      <c r="AD204"/>
      <c r="AE204"/>
      <c r="AF204"/>
      <c r="AG204"/>
      <c r="AH204"/>
      <c r="AI204"/>
    </row>
    <row r="205" spans="27:35" x14ac:dyDescent="0.2">
      <c r="AA205"/>
      <c r="AB205"/>
      <c r="AC205"/>
      <c r="AD205"/>
      <c r="AE205"/>
      <c r="AF205"/>
      <c r="AG205"/>
      <c r="AH205"/>
      <c r="AI205"/>
    </row>
    <row r="206" spans="27:35" x14ac:dyDescent="0.2">
      <c r="AA206"/>
      <c r="AB206"/>
      <c r="AC206"/>
      <c r="AD206"/>
      <c r="AE206"/>
      <c r="AF206"/>
      <c r="AG206"/>
      <c r="AH206"/>
      <c r="AI206"/>
    </row>
    <row r="207" spans="27:35" x14ac:dyDescent="0.2">
      <c r="AA207"/>
      <c r="AB207"/>
      <c r="AC207"/>
      <c r="AD207"/>
      <c r="AE207"/>
      <c r="AF207"/>
      <c r="AG207"/>
      <c r="AH207"/>
      <c r="AI207"/>
    </row>
    <row r="208" spans="27:35" x14ac:dyDescent="0.2">
      <c r="AA208"/>
      <c r="AB208"/>
      <c r="AC208"/>
      <c r="AD208"/>
      <c r="AE208"/>
      <c r="AF208"/>
      <c r="AG208"/>
      <c r="AH208"/>
      <c r="AI208"/>
    </row>
    <row r="209" spans="27:35" x14ac:dyDescent="0.2">
      <c r="AA209"/>
      <c r="AB209"/>
      <c r="AC209"/>
      <c r="AD209"/>
      <c r="AE209"/>
      <c r="AF209"/>
      <c r="AG209"/>
      <c r="AH209"/>
      <c r="AI209"/>
    </row>
    <row r="210" spans="27:35" x14ac:dyDescent="0.2">
      <c r="AA210"/>
      <c r="AB210"/>
      <c r="AC210"/>
      <c r="AD210"/>
      <c r="AE210"/>
      <c r="AF210"/>
      <c r="AG210"/>
      <c r="AH210"/>
      <c r="AI210"/>
    </row>
    <row r="211" spans="27:35" x14ac:dyDescent="0.2">
      <c r="AA211"/>
      <c r="AB211"/>
      <c r="AC211"/>
      <c r="AD211"/>
      <c r="AE211"/>
      <c r="AF211"/>
      <c r="AG211"/>
      <c r="AH211"/>
      <c r="AI211"/>
    </row>
    <row r="212" spans="27:35" x14ac:dyDescent="0.2">
      <c r="AA212"/>
      <c r="AB212"/>
      <c r="AC212"/>
      <c r="AD212"/>
      <c r="AE212"/>
      <c r="AF212"/>
      <c r="AG212"/>
      <c r="AH212"/>
      <c r="AI212"/>
    </row>
    <row r="213" spans="27:35" x14ac:dyDescent="0.2">
      <c r="AA213"/>
      <c r="AB213"/>
      <c r="AC213"/>
      <c r="AD213"/>
      <c r="AE213"/>
      <c r="AF213"/>
      <c r="AG213"/>
      <c r="AH213"/>
      <c r="AI213"/>
    </row>
    <row r="214" spans="27:35" x14ac:dyDescent="0.2">
      <c r="AA214"/>
      <c r="AB214"/>
      <c r="AC214"/>
      <c r="AD214"/>
      <c r="AE214"/>
      <c r="AF214"/>
      <c r="AG214"/>
      <c r="AH214"/>
      <c r="AI214"/>
    </row>
    <row r="215" spans="27:35" x14ac:dyDescent="0.2">
      <c r="AA215"/>
      <c r="AB215"/>
      <c r="AC215"/>
      <c r="AD215"/>
      <c r="AE215"/>
      <c r="AF215"/>
      <c r="AG215"/>
      <c r="AH215"/>
      <c r="AI215"/>
    </row>
    <row r="216" spans="27:35" x14ac:dyDescent="0.2">
      <c r="AA216"/>
      <c r="AB216"/>
      <c r="AC216"/>
      <c r="AD216"/>
      <c r="AE216"/>
      <c r="AF216"/>
      <c r="AG216"/>
      <c r="AH216"/>
      <c r="AI216"/>
    </row>
    <row r="217" spans="27:35" x14ac:dyDescent="0.2">
      <c r="AA217"/>
      <c r="AB217"/>
      <c r="AC217"/>
      <c r="AD217"/>
      <c r="AE217"/>
      <c r="AF217"/>
      <c r="AG217"/>
      <c r="AH217"/>
      <c r="AI217"/>
    </row>
    <row r="218" spans="27:35" x14ac:dyDescent="0.2">
      <c r="AA218"/>
      <c r="AB218"/>
      <c r="AC218"/>
      <c r="AD218"/>
      <c r="AE218"/>
      <c r="AF218"/>
      <c r="AG218"/>
      <c r="AH218"/>
      <c r="AI218"/>
    </row>
    <row r="219" spans="27:35" x14ac:dyDescent="0.2">
      <c r="AA219"/>
      <c r="AB219"/>
      <c r="AC219"/>
      <c r="AD219"/>
      <c r="AE219"/>
      <c r="AF219"/>
      <c r="AG219"/>
      <c r="AH219"/>
      <c r="AI219"/>
    </row>
    <row r="220" spans="27:35" x14ac:dyDescent="0.2">
      <c r="AA220"/>
      <c r="AB220"/>
      <c r="AC220"/>
      <c r="AD220"/>
      <c r="AE220"/>
      <c r="AF220"/>
      <c r="AG220"/>
      <c r="AH220"/>
      <c r="AI220"/>
    </row>
    <row r="221" spans="27:35" x14ac:dyDescent="0.2">
      <c r="AA221"/>
      <c r="AB221"/>
      <c r="AC221"/>
      <c r="AD221"/>
      <c r="AE221"/>
      <c r="AF221"/>
      <c r="AG221"/>
      <c r="AH221"/>
      <c r="AI221"/>
    </row>
    <row r="222" spans="27:35" x14ac:dyDescent="0.2">
      <c r="AA222"/>
      <c r="AB222"/>
      <c r="AC222"/>
      <c r="AD222"/>
      <c r="AE222"/>
      <c r="AF222"/>
      <c r="AG222"/>
      <c r="AH222"/>
      <c r="AI222"/>
    </row>
    <row r="223" spans="27:35" x14ac:dyDescent="0.2">
      <c r="AA223"/>
      <c r="AB223"/>
      <c r="AC223"/>
      <c r="AD223"/>
      <c r="AE223"/>
      <c r="AF223"/>
      <c r="AG223"/>
      <c r="AH223"/>
      <c r="AI223"/>
    </row>
    <row r="224" spans="27:35" x14ac:dyDescent="0.2">
      <c r="AA224"/>
      <c r="AB224"/>
      <c r="AC224"/>
      <c r="AD224"/>
      <c r="AE224"/>
      <c r="AF224"/>
      <c r="AG224"/>
      <c r="AH224"/>
      <c r="AI224"/>
    </row>
    <row r="225" spans="27:35" x14ac:dyDescent="0.2">
      <c r="AA225"/>
      <c r="AB225"/>
      <c r="AC225"/>
      <c r="AD225"/>
      <c r="AE225"/>
      <c r="AF225"/>
      <c r="AG225"/>
      <c r="AH225"/>
      <c r="AI225"/>
    </row>
    <row r="226" spans="27:35" x14ac:dyDescent="0.2">
      <c r="AA226"/>
      <c r="AB226"/>
      <c r="AC226"/>
      <c r="AD226"/>
      <c r="AE226"/>
      <c r="AF226"/>
      <c r="AG226"/>
      <c r="AH226"/>
      <c r="AI226"/>
    </row>
    <row r="227" spans="27:35" x14ac:dyDescent="0.2">
      <c r="AA227"/>
      <c r="AB227"/>
      <c r="AC227"/>
      <c r="AD227"/>
      <c r="AE227"/>
      <c r="AF227"/>
      <c r="AG227"/>
      <c r="AH227"/>
      <c r="AI227"/>
    </row>
    <row r="228" spans="27:35" x14ac:dyDescent="0.2">
      <c r="AA228"/>
      <c r="AB228"/>
      <c r="AC228"/>
      <c r="AD228"/>
      <c r="AE228"/>
      <c r="AF228"/>
      <c r="AG228"/>
      <c r="AH228"/>
      <c r="AI228"/>
    </row>
    <row r="229" spans="27:35" x14ac:dyDescent="0.2">
      <c r="AA229"/>
      <c r="AB229"/>
      <c r="AC229"/>
      <c r="AD229"/>
      <c r="AE229"/>
      <c r="AF229"/>
      <c r="AG229"/>
      <c r="AH229"/>
      <c r="AI229"/>
    </row>
    <row r="230" spans="27:35" x14ac:dyDescent="0.2">
      <c r="AA230"/>
      <c r="AB230"/>
      <c r="AC230"/>
      <c r="AD230"/>
      <c r="AE230"/>
      <c r="AF230"/>
      <c r="AG230"/>
      <c r="AH230"/>
      <c r="AI230"/>
    </row>
    <row r="231" spans="27:35" x14ac:dyDescent="0.2">
      <c r="AA231"/>
      <c r="AB231"/>
      <c r="AC231"/>
      <c r="AD231"/>
      <c r="AE231"/>
      <c r="AF231"/>
      <c r="AG231"/>
      <c r="AH231"/>
      <c r="AI231"/>
    </row>
    <row r="232" spans="27:35" x14ac:dyDescent="0.2">
      <c r="AA232"/>
      <c r="AB232"/>
      <c r="AC232"/>
      <c r="AD232"/>
      <c r="AE232"/>
      <c r="AF232"/>
      <c r="AG232"/>
      <c r="AH232"/>
      <c r="AI232"/>
    </row>
    <row r="233" spans="27:35" x14ac:dyDescent="0.2">
      <c r="AA233"/>
      <c r="AB233"/>
      <c r="AC233"/>
      <c r="AD233"/>
      <c r="AE233"/>
      <c r="AF233"/>
      <c r="AG233"/>
      <c r="AH233"/>
      <c r="AI233"/>
    </row>
    <row r="234" spans="27:35" x14ac:dyDescent="0.2">
      <c r="AA234"/>
      <c r="AB234"/>
      <c r="AC234"/>
      <c r="AD234"/>
      <c r="AE234"/>
      <c r="AF234"/>
      <c r="AG234"/>
      <c r="AH234"/>
      <c r="AI234"/>
    </row>
    <row r="235" spans="27:35" x14ac:dyDescent="0.2">
      <c r="AA235"/>
      <c r="AB235"/>
      <c r="AC235"/>
      <c r="AD235"/>
      <c r="AE235"/>
      <c r="AF235"/>
      <c r="AG235"/>
      <c r="AH235"/>
      <c r="AI235"/>
    </row>
    <row r="236" spans="27:35" x14ac:dyDescent="0.2">
      <c r="AA236"/>
      <c r="AB236"/>
      <c r="AC236"/>
      <c r="AD236"/>
      <c r="AE236"/>
      <c r="AF236"/>
      <c r="AG236"/>
      <c r="AH236"/>
      <c r="AI236"/>
    </row>
    <row r="237" spans="27:35" x14ac:dyDescent="0.2">
      <c r="AA237"/>
      <c r="AB237"/>
      <c r="AC237"/>
      <c r="AD237"/>
      <c r="AE237"/>
      <c r="AF237"/>
      <c r="AG237"/>
      <c r="AH237"/>
      <c r="AI237"/>
    </row>
    <row r="238" spans="27:35" x14ac:dyDescent="0.2">
      <c r="AA238"/>
      <c r="AB238"/>
      <c r="AC238"/>
      <c r="AD238"/>
      <c r="AE238"/>
      <c r="AF238"/>
      <c r="AG238"/>
      <c r="AH238"/>
      <c r="AI238"/>
    </row>
    <row r="239" spans="27:35" x14ac:dyDescent="0.2">
      <c r="AA239"/>
      <c r="AB239"/>
      <c r="AC239"/>
      <c r="AD239"/>
      <c r="AE239"/>
      <c r="AF239"/>
      <c r="AG239"/>
      <c r="AH239"/>
      <c r="AI239"/>
    </row>
    <row r="240" spans="27:35" x14ac:dyDescent="0.2">
      <c r="AA240"/>
      <c r="AB240"/>
      <c r="AC240"/>
      <c r="AD240"/>
      <c r="AE240"/>
      <c r="AF240"/>
      <c r="AG240"/>
      <c r="AH240"/>
      <c r="AI240"/>
    </row>
    <row r="241" spans="27:35" x14ac:dyDescent="0.2">
      <c r="AA241"/>
      <c r="AB241"/>
      <c r="AC241"/>
      <c r="AD241"/>
      <c r="AE241"/>
      <c r="AF241"/>
      <c r="AG241"/>
      <c r="AH241"/>
      <c r="AI241"/>
    </row>
    <row r="242" spans="27:35" x14ac:dyDescent="0.2">
      <c r="AA242"/>
      <c r="AB242"/>
      <c r="AC242"/>
      <c r="AD242"/>
      <c r="AE242"/>
      <c r="AF242"/>
      <c r="AG242"/>
      <c r="AH242"/>
      <c r="AI242"/>
    </row>
    <row r="243" spans="27:35" x14ac:dyDescent="0.2">
      <c r="AA243"/>
      <c r="AB243"/>
      <c r="AC243"/>
      <c r="AD243"/>
      <c r="AE243"/>
      <c r="AF243"/>
      <c r="AG243"/>
      <c r="AH243"/>
      <c r="AI243"/>
    </row>
    <row r="244" spans="27:35" x14ac:dyDescent="0.2">
      <c r="AA244"/>
      <c r="AB244"/>
      <c r="AC244"/>
      <c r="AD244"/>
      <c r="AE244"/>
      <c r="AF244"/>
      <c r="AG244"/>
      <c r="AH244"/>
      <c r="AI244"/>
    </row>
    <row r="245" spans="27:35" x14ac:dyDescent="0.2">
      <c r="AA245"/>
      <c r="AB245"/>
      <c r="AC245"/>
      <c r="AD245"/>
      <c r="AE245"/>
      <c r="AF245"/>
      <c r="AG245"/>
      <c r="AH245"/>
      <c r="AI245"/>
    </row>
    <row r="246" spans="27:35" x14ac:dyDescent="0.2">
      <c r="AA246"/>
      <c r="AB246"/>
      <c r="AC246"/>
      <c r="AD246"/>
      <c r="AE246"/>
      <c r="AF246"/>
      <c r="AG246"/>
      <c r="AH246"/>
      <c r="AI246"/>
    </row>
    <row r="247" spans="27:35" x14ac:dyDescent="0.2">
      <c r="AA247"/>
      <c r="AB247"/>
      <c r="AC247"/>
      <c r="AD247"/>
      <c r="AE247"/>
      <c r="AF247"/>
      <c r="AG247"/>
      <c r="AH247"/>
      <c r="AI247"/>
    </row>
    <row r="248" spans="27:35" x14ac:dyDescent="0.2">
      <c r="AA248"/>
      <c r="AB248"/>
      <c r="AC248"/>
      <c r="AD248"/>
      <c r="AE248"/>
      <c r="AF248"/>
      <c r="AG248"/>
      <c r="AH248"/>
      <c r="AI248"/>
    </row>
    <row r="249" spans="27:35" x14ac:dyDescent="0.2">
      <c r="AA249"/>
      <c r="AB249"/>
      <c r="AC249"/>
      <c r="AD249"/>
      <c r="AE249"/>
      <c r="AF249"/>
      <c r="AG249"/>
      <c r="AH249"/>
      <c r="AI249"/>
    </row>
    <row r="250" spans="27:35" x14ac:dyDescent="0.2">
      <c r="AA250"/>
      <c r="AB250"/>
      <c r="AC250"/>
      <c r="AD250"/>
      <c r="AE250"/>
      <c r="AF250"/>
      <c r="AG250"/>
      <c r="AH250"/>
      <c r="AI250"/>
    </row>
    <row r="251" spans="27:35" x14ac:dyDescent="0.2">
      <c r="AA251"/>
      <c r="AB251"/>
      <c r="AC251"/>
      <c r="AD251"/>
      <c r="AE251"/>
      <c r="AF251"/>
      <c r="AG251"/>
      <c r="AH251"/>
      <c r="AI251"/>
    </row>
    <row r="252" spans="27:35" x14ac:dyDescent="0.2">
      <c r="AA252"/>
      <c r="AB252"/>
      <c r="AC252"/>
      <c r="AD252"/>
      <c r="AE252"/>
      <c r="AF252"/>
      <c r="AG252"/>
      <c r="AH252"/>
      <c r="AI252"/>
    </row>
    <row r="253" spans="27:35" x14ac:dyDescent="0.2">
      <c r="AA253"/>
      <c r="AB253"/>
      <c r="AC253"/>
      <c r="AD253"/>
      <c r="AE253"/>
      <c r="AF253"/>
      <c r="AG253"/>
      <c r="AH253"/>
      <c r="AI253"/>
    </row>
    <row r="254" spans="27:35" x14ac:dyDescent="0.2">
      <c r="AA254"/>
      <c r="AB254"/>
      <c r="AC254"/>
      <c r="AD254"/>
      <c r="AE254"/>
      <c r="AF254"/>
      <c r="AG254"/>
      <c r="AH254"/>
      <c r="AI254"/>
    </row>
    <row r="255" spans="27:35" x14ac:dyDescent="0.2">
      <c r="AA255"/>
      <c r="AB255"/>
      <c r="AC255"/>
      <c r="AD255"/>
      <c r="AE255"/>
      <c r="AF255"/>
      <c r="AG255"/>
      <c r="AH255"/>
      <c r="AI255"/>
    </row>
    <row r="256" spans="27:35" x14ac:dyDescent="0.2">
      <c r="AA256"/>
      <c r="AB256"/>
      <c r="AC256"/>
      <c r="AD256"/>
      <c r="AE256"/>
      <c r="AF256"/>
      <c r="AG256"/>
      <c r="AH256"/>
      <c r="AI256"/>
    </row>
    <row r="257" spans="27:35" x14ac:dyDescent="0.2">
      <c r="AA257"/>
      <c r="AB257"/>
      <c r="AC257"/>
      <c r="AD257"/>
      <c r="AE257"/>
      <c r="AF257"/>
      <c r="AG257"/>
      <c r="AH257"/>
      <c r="AI257"/>
    </row>
    <row r="258" spans="27:35" x14ac:dyDescent="0.2">
      <c r="AA258"/>
      <c r="AB258"/>
      <c r="AC258"/>
      <c r="AD258"/>
      <c r="AE258"/>
      <c r="AF258"/>
      <c r="AG258"/>
      <c r="AH258"/>
      <c r="AI258"/>
    </row>
    <row r="259" spans="27:35" x14ac:dyDescent="0.2">
      <c r="AA259"/>
      <c r="AB259"/>
      <c r="AC259"/>
      <c r="AD259"/>
      <c r="AE259"/>
      <c r="AF259"/>
      <c r="AG259"/>
      <c r="AH259"/>
      <c r="AI259"/>
    </row>
    <row r="260" spans="27:35" x14ac:dyDescent="0.2">
      <c r="AA260"/>
      <c r="AB260"/>
      <c r="AC260"/>
      <c r="AD260"/>
      <c r="AE260"/>
      <c r="AF260"/>
      <c r="AG260"/>
      <c r="AH260"/>
      <c r="AI260"/>
    </row>
    <row r="261" spans="27:35" x14ac:dyDescent="0.2">
      <c r="AA261"/>
      <c r="AB261"/>
      <c r="AC261"/>
      <c r="AD261"/>
      <c r="AE261"/>
      <c r="AF261"/>
      <c r="AG261"/>
      <c r="AH261"/>
      <c r="AI261"/>
    </row>
    <row r="262" spans="27:35" x14ac:dyDescent="0.2">
      <c r="AA262"/>
      <c r="AB262"/>
      <c r="AC262"/>
      <c r="AD262"/>
      <c r="AE262"/>
      <c r="AF262"/>
      <c r="AG262"/>
      <c r="AH262"/>
      <c r="AI262"/>
    </row>
    <row r="263" spans="27:35" x14ac:dyDescent="0.2">
      <c r="AA263"/>
      <c r="AB263"/>
      <c r="AC263"/>
      <c r="AD263"/>
      <c r="AE263"/>
      <c r="AF263"/>
      <c r="AG263"/>
      <c r="AH263"/>
      <c r="AI263"/>
    </row>
    <row r="264" spans="27:35" x14ac:dyDescent="0.2">
      <c r="AA264"/>
      <c r="AB264"/>
      <c r="AC264"/>
      <c r="AD264"/>
      <c r="AE264"/>
      <c r="AF264"/>
      <c r="AG264"/>
      <c r="AH264"/>
      <c r="AI264"/>
    </row>
    <row r="265" spans="27:35" x14ac:dyDescent="0.2">
      <c r="AA265"/>
      <c r="AB265"/>
      <c r="AC265"/>
      <c r="AD265"/>
      <c r="AE265"/>
      <c r="AF265"/>
      <c r="AG265"/>
      <c r="AH265"/>
      <c r="AI265"/>
    </row>
    <row r="266" spans="27:35" x14ac:dyDescent="0.2">
      <c r="AA266"/>
      <c r="AB266"/>
      <c r="AC266"/>
      <c r="AD266"/>
      <c r="AE266"/>
      <c r="AF266"/>
      <c r="AG266"/>
      <c r="AH266"/>
      <c r="AI266"/>
    </row>
    <row r="267" spans="27:35" x14ac:dyDescent="0.2">
      <c r="AA267"/>
      <c r="AB267"/>
      <c r="AC267"/>
      <c r="AD267"/>
      <c r="AE267"/>
      <c r="AF267"/>
      <c r="AG267"/>
      <c r="AH267"/>
      <c r="AI267"/>
    </row>
    <row r="268" spans="27:35" x14ac:dyDescent="0.2">
      <c r="AA268"/>
      <c r="AB268"/>
      <c r="AC268"/>
      <c r="AD268"/>
      <c r="AE268"/>
      <c r="AF268"/>
      <c r="AG268"/>
      <c r="AH268"/>
      <c r="AI268"/>
    </row>
    <row r="269" spans="27:35" x14ac:dyDescent="0.2">
      <c r="AA269"/>
      <c r="AB269"/>
      <c r="AC269"/>
      <c r="AD269"/>
      <c r="AE269"/>
      <c r="AF269"/>
      <c r="AG269"/>
      <c r="AH269"/>
      <c r="AI269"/>
    </row>
    <row r="270" spans="27:35" x14ac:dyDescent="0.2">
      <c r="AA270"/>
      <c r="AB270"/>
      <c r="AC270"/>
      <c r="AD270"/>
      <c r="AE270"/>
      <c r="AF270"/>
      <c r="AG270"/>
      <c r="AH270"/>
      <c r="AI270"/>
    </row>
    <row r="271" spans="27:35" x14ac:dyDescent="0.2">
      <c r="AA271"/>
      <c r="AB271"/>
      <c r="AC271"/>
      <c r="AD271"/>
      <c r="AE271"/>
      <c r="AF271"/>
      <c r="AG271"/>
      <c r="AH271"/>
      <c r="AI271"/>
    </row>
    <row r="272" spans="27:35" x14ac:dyDescent="0.2">
      <c r="AA272"/>
      <c r="AB272"/>
      <c r="AC272"/>
      <c r="AD272"/>
      <c r="AE272"/>
      <c r="AF272"/>
      <c r="AG272"/>
      <c r="AH272"/>
      <c r="AI272"/>
    </row>
    <row r="273" spans="27:35" x14ac:dyDescent="0.2">
      <c r="AA273"/>
      <c r="AB273"/>
      <c r="AC273"/>
      <c r="AD273"/>
      <c r="AE273"/>
      <c r="AF273"/>
      <c r="AG273"/>
      <c r="AH273"/>
      <c r="AI273"/>
    </row>
    <row r="274" spans="27:35" x14ac:dyDescent="0.2">
      <c r="AA274"/>
      <c r="AB274"/>
      <c r="AC274"/>
      <c r="AD274"/>
      <c r="AE274"/>
      <c r="AF274"/>
      <c r="AG274"/>
      <c r="AH274"/>
      <c r="AI274"/>
    </row>
    <row r="275" spans="27:35" x14ac:dyDescent="0.2">
      <c r="AA275"/>
      <c r="AB275"/>
      <c r="AC275"/>
      <c r="AD275"/>
      <c r="AE275"/>
      <c r="AF275"/>
      <c r="AG275"/>
      <c r="AH275"/>
      <c r="AI275"/>
    </row>
    <row r="276" spans="27:35" x14ac:dyDescent="0.2">
      <c r="AA276"/>
      <c r="AB276"/>
      <c r="AC276"/>
      <c r="AD276"/>
      <c r="AE276"/>
      <c r="AF276"/>
      <c r="AG276"/>
      <c r="AH276"/>
      <c r="AI276"/>
    </row>
    <row r="277" spans="27:35" x14ac:dyDescent="0.2">
      <c r="AA277"/>
      <c r="AB277"/>
      <c r="AC277"/>
      <c r="AD277"/>
      <c r="AE277"/>
      <c r="AF277"/>
      <c r="AG277"/>
      <c r="AH277"/>
      <c r="AI277"/>
    </row>
    <row r="278" spans="27:35" x14ac:dyDescent="0.2">
      <c r="AA278"/>
      <c r="AB278"/>
      <c r="AC278"/>
      <c r="AD278"/>
      <c r="AE278"/>
      <c r="AF278"/>
      <c r="AG278"/>
      <c r="AH278"/>
      <c r="AI278"/>
    </row>
    <row r="279" spans="27:35" x14ac:dyDescent="0.2">
      <c r="AA279"/>
      <c r="AB279"/>
      <c r="AC279"/>
      <c r="AD279"/>
      <c r="AE279"/>
      <c r="AF279"/>
      <c r="AG279"/>
      <c r="AH279"/>
      <c r="AI279"/>
    </row>
    <row r="280" spans="27:35" x14ac:dyDescent="0.2">
      <c r="AA280"/>
      <c r="AB280"/>
      <c r="AC280"/>
      <c r="AD280"/>
      <c r="AE280"/>
      <c r="AF280"/>
      <c r="AG280"/>
      <c r="AH280"/>
      <c r="AI280"/>
    </row>
    <row r="281" spans="27:35" x14ac:dyDescent="0.2">
      <c r="AA281"/>
      <c r="AB281"/>
      <c r="AC281"/>
      <c r="AD281"/>
      <c r="AE281"/>
      <c r="AF281"/>
      <c r="AG281"/>
      <c r="AH281"/>
      <c r="AI281"/>
    </row>
    <row r="282" spans="27:35" x14ac:dyDescent="0.2">
      <c r="AA282"/>
      <c r="AB282"/>
      <c r="AC282"/>
      <c r="AD282"/>
      <c r="AE282"/>
      <c r="AF282"/>
      <c r="AG282"/>
      <c r="AH282"/>
      <c r="AI282"/>
    </row>
    <row r="283" spans="27:35" x14ac:dyDescent="0.2">
      <c r="AA283"/>
      <c r="AB283"/>
      <c r="AC283"/>
      <c r="AD283"/>
      <c r="AE283"/>
      <c r="AF283"/>
      <c r="AG283"/>
      <c r="AH283"/>
      <c r="AI283"/>
    </row>
    <row r="284" spans="27:35" x14ac:dyDescent="0.2">
      <c r="AA284"/>
      <c r="AB284"/>
      <c r="AC284"/>
      <c r="AD284"/>
      <c r="AE284"/>
      <c r="AF284"/>
      <c r="AG284"/>
      <c r="AH284"/>
      <c r="AI284"/>
    </row>
    <row r="285" spans="27:35" x14ac:dyDescent="0.2">
      <c r="AA285"/>
      <c r="AB285"/>
      <c r="AC285"/>
      <c r="AD285"/>
      <c r="AE285"/>
      <c r="AF285"/>
      <c r="AG285"/>
      <c r="AH285"/>
      <c r="AI285"/>
    </row>
    <row r="286" spans="27:35" x14ac:dyDescent="0.2">
      <c r="AA286"/>
      <c r="AB286"/>
      <c r="AC286"/>
      <c r="AD286"/>
      <c r="AE286"/>
      <c r="AF286"/>
      <c r="AG286"/>
      <c r="AH286"/>
      <c r="AI286"/>
    </row>
    <row r="287" spans="27:35" x14ac:dyDescent="0.2">
      <c r="AA287"/>
      <c r="AB287"/>
      <c r="AC287"/>
      <c r="AD287"/>
      <c r="AE287"/>
      <c r="AF287"/>
      <c r="AG287"/>
      <c r="AH287"/>
      <c r="AI287"/>
    </row>
    <row r="288" spans="27:35" x14ac:dyDescent="0.2">
      <c r="AA288"/>
      <c r="AB288"/>
      <c r="AC288"/>
      <c r="AD288"/>
      <c r="AE288"/>
      <c r="AF288"/>
      <c r="AG288"/>
      <c r="AH288"/>
      <c r="AI288"/>
    </row>
    <row r="289" spans="27:35" x14ac:dyDescent="0.2">
      <c r="AA289"/>
      <c r="AB289"/>
      <c r="AC289"/>
      <c r="AD289"/>
      <c r="AE289"/>
      <c r="AF289"/>
      <c r="AG289"/>
      <c r="AH289"/>
      <c r="AI289"/>
    </row>
    <row r="290" spans="27:35" x14ac:dyDescent="0.2">
      <c r="AA290"/>
      <c r="AB290"/>
      <c r="AC290"/>
      <c r="AD290"/>
      <c r="AE290"/>
      <c r="AF290"/>
      <c r="AG290"/>
      <c r="AH290"/>
      <c r="AI290"/>
    </row>
    <row r="291" spans="27:35" x14ac:dyDescent="0.2">
      <c r="AA291"/>
      <c r="AB291"/>
      <c r="AC291"/>
      <c r="AD291"/>
      <c r="AE291"/>
      <c r="AF291"/>
      <c r="AG291"/>
      <c r="AH291"/>
      <c r="AI291"/>
    </row>
    <row r="292" spans="27:35" x14ac:dyDescent="0.2">
      <c r="AA292"/>
      <c r="AB292"/>
      <c r="AC292"/>
      <c r="AD292"/>
      <c r="AE292"/>
      <c r="AF292"/>
      <c r="AG292"/>
      <c r="AH292"/>
      <c r="AI292"/>
    </row>
    <row r="293" spans="27:35" x14ac:dyDescent="0.2">
      <c r="AA293"/>
      <c r="AB293"/>
      <c r="AC293"/>
      <c r="AD293"/>
      <c r="AE293"/>
      <c r="AF293"/>
      <c r="AG293"/>
      <c r="AH293"/>
      <c r="AI293"/>
    </row>
    <row r="294" spans="27:35" x14ac:dyDescent="0.2">
      <c r="AA294"/>
      <c r="AB294"/>
      <c r="AC294"/>
      <c r="AD294"/>
      <c r="AE294"/>
      <c r="AF294"/>
      <c r="AG294"/>
      <c r="AH294"/>
      <c r="AI294"/>
    </row>
    <row r="295" spans="27:35" x14ac:dyDescent="0.2">
      <c r="AA295"/>
      <c r="AB295"/>
      <c r="AC295"/>
      <c r="AD295"/>
      <c r="AE295"/>
      <c r="AF295"/>
      <c r="AG295"/>
      <c r="AH295"/>
      <c r="AI295"/>
    </row>
    <row r="296" spans="27:35" x14ac:dyDescent="0.2">
      <c r="AA296"/>
      <c r="AB296"/>
      <c r="AC296"/>
      <c r="AD296"/>
      <c r="AE296"/>
      <c r="AF296"/>
      <c r="AG296"/>
      <c r="AH296"/>
      <c r="AI296"/>
    </row>
    <row r="297" spans="27:35" x14ac:dyDescent="0.2">
      <c r="AA297"/>
      <c r="AB297"/>
      <c r="AC297"/>
      <c r="AD297"/>
      <c r="AE297"/>
      <c r="AF297"/>
      <c r="AG297"/>
      <c r="AH297"/>
      <c r="AI297"/>
    </row>
    <row r="298" spans="27:35" x14ac:dyDescent="0.2">
      <c r="AA298"/>
      <c r="AB298"/>
      <c r="AC298"/>
      <c r="AD298"/>
      <c r="AE298"/>
      <c r="AF298"/>
      <c r="AG298"/>
      <c r="AH298"/>
      <c r="AI298"/>
    </row>
    <row r="299" spans="27:35" x14ac:dyDescent="0.2">
      <c r="AA299"/>
      <c r="AB299"/>
      <c r="AC299"/>
      <c r="AD299"/>
      <c r="AE299"/>
      <c r="AF299"/>
      <c r="AG299"/>
      <c r="AH299"/>
      <c r="AI299"/>
    </row>
    <row r="300" spans="27:35" x14ac:dyDescent="0.2">
      <c r="AA300"/>
      <c r="AB300"/>
      <c r="AC300"/>
      <c r="AD300"/>
      <c r="AE300"/>
      <c r="AF300"/>
      <c r="AG300"/>
      <c r="AH300"/>
      <c r="AI300"/>
    </row>
    <row r="301" spans="27:35" x14ac:dyDescent="0.2">
      <c r="AA301"/>
      <c r="AB301"/>
      <c r="AC301"/>
      <c r="AD301"/>
      <c r="AE301"/>
      <c r="AF301"/>
      <c r="AG301"/>
      <c r="AH301"/>
      <c r="AI301"/>
    </row>
    <row r="302" spans="27:35" x14ac:dyDescent="0.2">
      <c r="AA302"/>
      <c r="AB302"/>
      <c r="AC302"/>
      <c r="AD302"/>
      <c r="AE302"/>
      <c r="AF302"/>
      <c r="AG302"/>
      <c r="AH302"/>
      <c r="AI302"/>
    </row>
    <row r="303" spans="27:35" x14ac:dyDescent="0.2">
      <c r="AA303"/>
      <c r="AB303"/>
      <c r="AC303"/>
      <c r="AD303"/>
      <c r="AE303"/>
      <c r="AF303"/>
      <c r="AG303"/>
      <c r="AH303"/>
      <c r="AI303"/>
    </row>
    <row r="304" spans="27:35" x14ac:dyDescent="0.2">
      <c r="AA304"/>
      <c r="AB304"/>
      <c r="AC304"/>
      <c r="AD304"/>
      <c r="AE304"/>
      <c r="AF304"/>
      <c r="AG304"/>
      <c r="AH304"/>
      <c r="AI304"/>
    </row>
    <row r="305" spans="27:35" x14ac:dyDescent="0.2">
      <c r="AA305"/>
      <c r="AB305"/>
      <c r="AC305"/>
      <c r="AD305"/>
      <c r="AE305"/>
      <c r="AF305"/>
      <c r="AG305"/>
      <c r="AH305"/>
      <c r="AI305"/>
    </row>
    <row r="306" spans="27:35" x14ac:dyDescent="0.2">
      <c r="AA306"/>
      <c r="AB306"/>
      <c r="AC306"/>
      <c r="AD306"/>
      <c r="AE306"/>
      <c r="AF306"/>
      <c r="AG306"/>
      <c r="AH306"/>
      <c r="AI306"/>
    </row>
    <row r="307" spans="27:35" x14ac:dyDescent="0.2">
      <c r="AA307"/>
      <c r="AB307"/>
      <c r="AC307"/>
      <c r="AD307"/>
      <c r="AE307"/>
      <c r="AF307"/>
      <c r="AG307"/>
      <c r="AH307"/>
      <c r="AI307"/>
    </row>
    <row r="308" spans="27:35" x14ac:dyDescent="0.2">
      <c r="AA308"/>
      <c r="AB308"/>
      <c r="AC308"/>
      <c r="AD308"/>
      <c r="AE308"/>
      <c r="AF308"/>
      <c r="AG308"/>
      <c r="AH308"/>
      <c r="AI308"/>
    </row>
    <row r="309" spans="27:35" x14ac:dyDescent="0.2">
      <c r="AA309"/>
      <c r="AB309"/>
      <c r="AC309"/>
      <c r="AD309"/>
      <c r="AE309"/>
      <c r="AF309"/>
      <c r="AG309"/>
      <c r="AH309"/>
      <c r="AI309"/>
    </row>
    <row r="310" spans="27:35" x14ac:dyDescent="0.2">
      <c r="AA310"/>
      <c r="AB310"/>
      <c r="AC310"/>
      <c r="AD310"/>
      <c r="AE310"/>
      <c r="AF310"/>
      <c r="AG310"/>
      <c r="AH310"/>
      <c r="AI310"/>
    </row>
    <row r="311" spans="27:35" x14ac:dyDescent="0.2">
      <c r="AA311"/>
      <c r="AB311"/>
      <c r="AC311"/>
      <c r="AD311"/>
      <c r="AE311"/>
      <c r="AF311"/>
      <c r="AG311"/>
      <c r="AH311"/>
      <c r="AI311"/>
    </row>
    <row r="312" spans="27:35" x14ac:dyDescent="0.2">
      <c r="AA312"/>
      <c r="AB312"/>
      <c r="AC312"/>
      <c r="AD312"/>
      <c r="AE312"/>
      <c r="AF312"/>
      <c r="AG312"/>
      <c r="AH312"/>
      <c r="AI312"/>
    </row>
    <row r="313" spans="27:35" x14ac:dyDescent="0.2">
      <c r="AA313"/>
      <c r="AB313"/>
      <c r="AC313"/>
      <c r="AD313"/>
      <c r="AE313"/>
      <c r="AF313"/>
      <c r="AG313"/>
      <c r="AH313"/>
      <c r="AI313"/>
    </row>
    <row r="314" spans="27:35" x14ac:dyDescent="0.2">
      <c r="AA314"/>
      <c r="AB314"/>
      <c r="AC314"/>
      <c r="AD314"/>
      <c r="AE314"/>
      <c r="AF314"/>
      <c r="AG314"/>
      <c r="AH314"/>
      <c r="AI314"/>
    </row>
    <row r="315" spans="27:35" x14ac:dyDescent="0.2">
      <c r="AA315"/>
      <c r="AB315"/>
      <c r="AC315"/>
      <c r="AD315"/>
      <c r="AE315"/>
      <c r="AF315"/>
      <c r="AG315"/>
      <c r="AH315"/>
      <c r="AI315"/>
    </row>
    <row r="316" spans="27:35" x14ac:dyDescent="0.2">
      <c r="AA316"/>
      <c r="AB316"/>
      <c r="AC316"/>
      <c r="AD316"/>
      <c r="AE316"/>
      <c r="AF316"/>
      <c r="AG316"/>
      <c r="AH316"/>
      <c r="AI316"/>
    </row>
    <row r="317" spans="27:35" x14ac:dyDescent="0.2">
      <c r="AA317"/>
      <c r="AB317"/>
      <c r="AC317"/>
      <c r="AD317"/>
      <c r="AE317"/>
      <c r="AF317"/>
      <c r="AG317"/>
      <c r="AH317"/>
      <c r="AI317"/>
    </row>
    <row r="318" spans="27:35" x14ac:dyDescent="0.2">
      <c r="AA318"/>
      <c r="AB318"/>
      <c r="AC318"/>
      <c r="AD318"/>
      <c r="AE318"/>
      <c r="AF318"/>
      <c r="AG318"/>
      <c r="AH318"/>
      <c r="AI318"/>
    </row>
    <row r="319" spans="27:35" x14ac:dyDescent="0.2">
      <c r="AA319"/>
      <c r="AB319"/>
      <c r="AC319"/>
      <c r="AD319"/>
      <c r="AE319"/>
      <c r="AF319"/>
      <c r="AG319"/>
      <c r="AH319"/>
      <c r="AI319"/>
    </row>
    <row r="320" spans="27:35" x14ac:dyDescent="0.2">
      <c r="AA320"/>
      <c r="AB320"/>
      <c r="AC320"/>
      <c r="AD320"/>
      <c r="AE320"/>
      <c r="AF320"/>
      <c r="AG320"/>
      <c r="AH320"/>
      <c r="AI320"/>
    </row>
    <row r="321" spans="27:35" x14ac:dyDescent="0.2">
      <c r="AA321"/>
      <c r="AB321"/>
      <c r="AC321"/>
      <c r="AD321"/>
      <c r="AE321"/>
      <c r="AF321"/>
      <c r="AG321"/>
      <c r="AH321"/>
      <c r="AI321"/>
    </row>
    <row r="322" spans="27:35" x14ac:dyDescent="0.2">
      <c r="AA322"/>
      <c r="AB322"/>
      <c r="AC322"/>
      <c r="AD322"/>
      <c r="AE322"/>
      <c r="AF322"/>
      <c r="AG322"/>
      <c r="AH322"/>
      <c r="AI322"/>
    </row>
    <row r="323" spans="27:35" x14ac:dyDescent="0.2">
      <c r="AA323"/>
      <c r="AB323"/>
      <c r="AC323"/>
      <c r="AD323"/>
      <c r="AE323"/>
      <c r="AF323"/>
      <c r="AG323"/>
      <c r="AH323"/>
      <c r="AI323"/>
    </row>
    <row r="324" spans="27:35" x14ac:dyDescent="0.2">
      <c r="AA324"/>
      <c r="AB324"/>
      <c r="AC324"/>
      <c r="AD324"/>
      <c r="AE324"/>
      <c r="AF324"/>
      <c r="AG324"/>
      <c r="AH324"/>
      <c r="AI324"/>
    </row>
    <row r="325" spans="27:35" x14ac:dyDescent="0.2">
      <c r="AA325"/>
      <c r="AB325"/>
      <c r="AC325"/>
      <c r="AD325"/>
      <c r="AE325"/>
      <c r="AF325"/>
      <c r="AG325"/>
      <c r="AH325"/>
      <c r="AI325"/>
    </row>
    <row r="326" spans="27:35" x14ac:dyDescent="0.2">
      <c r="AA326"/>
      <c r="AB326"/>
      <c r="AC326"/>
      <c r="AD326"/>
      <c r="AE326"/>
      <c r="AF326"/>
      <c r="AG326"/>
      <c r="AH326"/>
      <c r="AI326"/>
    </row>
    <row r="327" spans="27:35" x14ac:dyDescent="0.2">
      <c r="AA327"/>
      <c r="AB327"/>
      <c r="AC327"/>
      <c r="AD327"/>
      <c r="AE327"/>
      <c r="AF327"/>
      <c r="AG327"/>
      <c r="AH327"/>
      <c r="AI327"/>
    </row>
    <row r="328" spans="27:35" x14ac:dyDescent="0.2">
      <c r="AA328"/>
      <c r="AB328"/>
      <c r="AC328"/>
      <c r="AD328"/>
      <c r="AE328"/>
      <c r="AF328"/>
      <c r="AG328"/>
      <c r="AH328"/>
      <c r="AI328"/>
    </row>
    <row r="329" spans="27:35" x14ac:dyDescent="0.2">
      <c r="AA329"/>
      <c r="AB329"/>
      <c r="AC329"/>
      <c r="AD329"/>
      <c r="AE329"/>
      <c r="AF329"/>
      <c r="AG329"/>
      <c r="AH329"/>
      <c r="AI329"/>
    </row>
    <row r="330" spans="27:35" x14ac:dyDescent="0.2">
      <c r="AA330"/>
      <c r="AB330"/>
      <c r="AC330"/>
      <c r="AD330"/>
      <c r="AE330"/>
      <c r="AF330"/>
      <c r="AG330"/>
      <c r="AH330"/>
      <c r="AI330"/>
    </row>
    <row r="331" spans="27:35" x14ac:dyDescent="0.2">
      <c r="AA331"/>
      <c r="AB331"/>
      <c r="AC331"/>
      <c r="AD331"/>
      <c r="AE331"/>
      <c r="AF331"/>
      <c r="AG331"/>
      <c r="AH331"/>
      <c r="AI331"/>
    </row>
    <row r="332" spans="27:35" x14ac:dyDescent="0.2">
      <c r="AA332"/>
      <c r="AB332"/>
      <c r="AC332"/>
      <c r="AD332"/>
      <c r="AE332"/>
      <c r="AF332"/>
      <c r="AG332"/>
      <c r="AH332"/>
      <c r="AI332"/>
    </row>
    <row r="333" spans="27:35" x14ac:dyDescent="0.2">
      <c r="AA333"/>
      <c r="AB333"/>
      <c r="AC333"/>
      <c r="AD333"/>
      <c r="AE333"/>
      <c r="AF333"/>
      <c r="AG333"/>
      <c r="AH333"/>
      <c r="AI333"/>
    </row>
    <row r="334" spans="27:35" x14ac:dyDescent="0.2">
      <c r="AA334"/>
      <c r="AB334"/>
      <c r="AC334"/>
      <c r="AD334"/>
      <c r="AE334"/>
      <c r="AF334"/>
      <c r="AG334"/>
      <c r="AH334"/>
      <c r="AI334"/>
    </row>
    <row r="335" spans="27:35" x14ac:dyDescent="0.2">
      <c r="AA335"/>
      <c r="AB335"/>
      <c r="AC335"/>
      <c r="AD335"/>
      <c r="AE335"/>
      <c r="AF335"/>
      <c r="AG335"/>
      <c r="AH335"/>
      <c r="AI335"/>
    </row>
    <row r="336" spans="27:35" x14ac:dyDescent="0.2">
      <c r="AA336"/>
      <c r="AB336"/>
      <c r="AC336"/>
      <c r="AD336"/>
      <c r="AE336"/>
      <c r="AF336"/>
      <c r="AG336"/>
      <c r="AH336"/>
      <c r="AI336"/>
    </row>
    <row r="337" spans="27:35" x14ac:dyDescent="0.2">
      <c r="AA337"/>
      <c r="AB337"/>
      <c r="AC337"/>
      <c r="AD337"/>
      <c r="AE337"/>
      <c r="AF337"/>
      <c r="AG337"/>
      <c r="AH337"/>
      <c r="AI337"/>
    </row>
    <row r="338" spans="27:35" x14ac:dyDescent="0.2">
      <c r="AA338"/>
      <c r="AB338"/>
      <c r="AC338"/>
      <c r="AD338"/>
      <c r="AE338"/>
      <c r="AF338"/>
      <c r="AG338"/>
      <c r="AH338"/>
      <c r="AI338"/>
    </row>
    <row r="339" spans="27:35" x14ac:dyDescent="0.2">
      <c r="AA339"/>
      <c r="AB339"/>
      <c r="AC339"/>
      <c r="AD339"/>
      <c r="AE339"/>
      <c r="AF339"/>
      <c r="AG339"/>
      <c r="AH339"/>
      <c r="AI339"/>
    </row>
    <row r="340" spans="27:35" x14ac:dyDescent="0.2">
      <c r="AA340"/>
      <c r="AB340"/>
      <c r="AC340"/>
      <c r="AD340"/>
      <c r="AE340"/>
      <c r="AF340"/>
      <c r="AG340"/>
      <c r="AH340"/>
      <c r="AI340"/>
    </row>
    <row r="341" spans="27:35" x14ac:dyDescent="0.2">
      <c r="AA341"/>
      <c r="AB341"/>
      <c r="AC341"/>
      <c r="AD341"/>
      <c r="AE341"/>
      <c r="AF341"/>
      <c r="AG341"/>
      <c r="AH341"/>
      <c r="AI341"/>
    </row>
    <row r="342" spans="27:35" x14ac:dyDescent="0.2">
      <c r="AA342"/>
      <c r="AB342"/>
      <c r="AC342"/>
      <c r="AD342"/>
      <c r="AE342"/>
      <c r="AF342"/>
      <c r="AG342"/>
      <c r="AH342"/>
      <c r="AI342"/>
    </row>
    <row r="343" spans="27:35" x14ac:dyDescent="0.2">
      <c r="AA343"/>
      <c r="AB343"/>
      <c r="AC343"/>
      <c r="AD343"/>
      <c r="AE343"/>
      <c r="AF343"/>
      <c r="AG343"/>
      <c r="AH343"/>
      <c r="AI343"/>
    </row>
    <row r="344" spans="27:35" x14ac:dyDescent="0.2">
      <c r="AA344"/>
      <c r="AB344"/>
      <c r="AC344"/>
      <c r="AD344"/>
      <c r="AE344"/>
      <c r="AF344"/>
      <c r="AG344"/>
      <c r="AH344"/>
      <c r="AI344"/>
    </row>
    <row r="345" spans="27:35" x14ac:dyDescent="0.2">
      <c r="AA345"/>
      <c r="AB345"/>
      <c r="AC345"/>
      <c r="AD345"/>
      <c r="AE345"/>
      <c r="AF345"/>
      <c r="AG345"/>
      <c r="AH345"/>
      <c r="AI345"/>
    </row>
    <row r="346" spans="27:35" x14ac:dyDescent="0.2">
      <c r="AA346"/>
      <c r="AB346"/>
      <c r="AC346"/>
      <c r="AD346"/>
      <c r="AE346"/>
      <c r="AF346"/>
      <c r="AG346"/>
      <c r="AH346"/>
      <c r="AI346"/>
    </row>
    <row r="347" spans="27:35" x14ac:dyDescent="0.2">
      <c r="AA347"/>
      <c r="AB347"/>
      <c r="AC347"/>
      <c r="AD347"/>
      <c r="AE347"/>
      <c r="AF347"/>
      <c r="AG347"/>
      <c r="AH347"/>
      <c r="AI347"/>
    </row>
    <row r="348" spans="27:35" x14ac:dyDescent="0.2">
      <c r="AA348"/>
      <c r="AB348"/>
      <c r="AC348"/>
      <c r="AD348"/>
      <c r="AE348"/>
      <c r="AF348"/>
      <c r="AG348"/>
      <c r="AH348"/>
      <c r="AI348"/>
    </row>
    <row r="349" spans="27:35" x14ac:dyDescent="0.2">
      <c r="AA349"/>
      <c r="AB349"/>
      <c r="AC349"/>
      <c r="AD349"/>
      <c r="AE349"/>
      <c r="AF349"/>
      <c r="AG349"/>
      <c r="AH349"/>
      <c r="AI349"/>
    </row>
    <row r="350" spans="27:35" x14ac:dyDescent="0.2">
      <c r="AA350"/>
      <c r="AB350"/>
      <c r="AC350"/>
      <c r="AD350"/>
      <c r="AE350"/>
      <c r="AF350"/>
      <c r="AG350"/>
      <c r="AH350"/>
      <c r="AI350"/>
    </row>
    <row r="351" spans="27:35" x14ac:dyDescent="0.2">
      <c r="AA351"/>
      <c r="AB351"/>
      <c r="AC351"/>
      <c r="AD351"/>
      <c r="AE351"/>
      <c r="AF351"/>
      <c r="AG351"/>
      <c r="AH351"/>
      <c r="AI351"/>
    </row>
    <row r="352" spans="27:35" x14ac:dyDescent="0.2">
      <c r="AA352"/>
      <c r="AB352"/>
      <c r="AC352"/>
      <c r="AD352"/>
      <c r="AE352"/>
      <c r="AF352"/>
      <c r="AG352"/>
      <c r="AH352"/>
      <c r="AI352"/>
    </row>
    <row r="353" spans="27:35" x14ac:dyDescent="0.2">
      <c r="AA353"/>
      <c r="AB353"/>
      <c r="AC353"/>
      <c r="AD353"/>
      <c r="AE353"/>
      <c r="AF353"/>
      <c r="AG353"/>
      <c r="AH353"/>
      <c r="AI353"/>
    </row>
    <row r="354" spans="27:35" x14ac:dyDescent="0.2">
      <c r="AA354"/>
      <c r="AB354"/>
      <c r="AC354"/>
      <c r="AD354"/>
      <c r="AE354"/>
      <c r="AF354"/>
      <c r="AG354"/>
      <c r="AH354"/>
      <c r="AI354"/>
    </row>
    <row r="355" spans="27:35" x14ac:dyDescent="0.2">
      <c r="AA355"/>
      <c r="AB355"/>
      <c r="AC355"/>
      <c r="AD355"/>
      <c r="AE355"/>
      <c r="AF355"/>
      <c r="AG355"/>
      <c r="AH355"/>
      <c r="AI355"/>
    </row>
    <row r="356" spans="27:35" x14ac:dyDescent="0.2">
      <c r="AA356"/>
      <c r="AB356"/>
      <c r="AC356"/>
      <c r="AD356"/>
      <c r="AE356"/>
      <c r="AF356"/>
      <c r="AG356"/>
      <c r="AH356"/>
      <c r="AI356"/>
    </row>
    <row r="357" spans="27:35" x14ac:dyDescent="0.2">
      <c r="AA357"/>
      <c r="AB357"/>
      <c r="AC357"/>
      <c r="AD357"/>
      <c r="AE357"/>
      <c r="AF357"/>
      <c r="AG357"/>
      <c r="AH357"/>
      <c r="AI357"/>
    </row>
    <row r="358" spans="27:35" x14ac:dyDescent="0.2">
      <c r="AA358"/>
      <c r="AB358"/>
      <c r="AC358"/>
      <c r="AD358"/>
      <c r="AE358"/>
      <c r="AF358"/>
      <c r="AG358"/>
      <c r="AH358"/>
      <c r="AI358"/>
    </row>
    <row r="359" spans="27:35" x14ac:dyDescent="0.2">
      <c r="AA359"/>
      <c r="AB359"/>
      <c r="AC359"/>
      <c r="AD359"/>
      <c r="AE359"/>
      <c r="AF359"/>
      <c r="AG359"/>
      <c r="AH359"/>
      <c r="AI359"/>
    </row>
    <row r="360" spans="27:35" x14ac:dyDescent="0.2">
      <c r="AA360"/>
      <c r="AB360"/>
      <c r="AC360"/>
      <c r="AD360"/>
      <c r="AE360"/>
      <c r="AF360"/>
      <c r="AG360"/>
      <c r="AH360"/>
      <c r="AI360"/>
    </row>
    <row r="361" spans="27:35" x14ac:dyDescent="0.2">
      <c r="AA361"/>
      <c r="AB361"/>
      <c r="AC361"/>
      <c r="AD361"/>
      <c r="AE361"/>
      <c r="AF361"/>
      <c r="AG361"/>
      <c r="AH361"/>
      <c r="AI361"/>
    </row>
    <row r="362" spans="27:35" x14ac:dyDescent="0.2">
      <c r="AA362"/>
      <c r="AB362"/>
      <c r="AC362"/>
      <c r="AD362"/>
      <c r="AE362"/>
      <c r="AF362"/>
      <c r="AG362"/>
      <c r="AH362"/>
      <c r="AI362"/>
    </row>
    <row r="363" spans="27:35" x14ac:dyDescent="0.2">
      <c r="AA363"/>
      <c r="AB363"/>
      <c r="AC363"/>
      <c r="AD363"/>
      <c r="AE363"/>
      <c r="AF363"/>
      <c r="AG363"/>
      <c r="AH363"/>
      <c r="AI363"/>
    </row>
    <row r="364" spans="27:35" x14ac:dyDescent="0.2">
      <c r="AA364"/>
      <c r="AB364"/>
      <c r="AC364"/>
      <c r="AD364"/>
      <c r="AE364"/>
      <c r="AF364"/>
      <c r="AG364"/>
      <c r="AH364"/>
      <c r="AI364"/>
    </row>
    <row r="365" spans="27:35" x14ac:dyDescent="0.2">
      <c r="AA365"/>
      <c r="AB365"/>
      <c r="AC365"/>
      <c r="AD365"/>
      <c r="AE365"/>
      <c r="AF365"/>
      <c r="AG365"/>
      <c r="AH365"/>
      <c r="AI365"/>
    </row>
    <row r="366" spans="27:35" x14ac:dyDescent="0.2">
      <c r="AA366"/>
      <c r="AB366"/>
      <c r="AC366"/>
      <c r="AD366"/>
      <c r="AE366"/>
      <c r="AF366"/>
      <c r="AG366"/>
      <c r="AH366"/>
      <c r="AI366"/>
    </row>
    <row r="367" spans="27:35" x14ac:dyDescent="0.2">
      <c r="AA367"/>
      <c r="AB367"/>
      <c r="AC367"/>
      <c r="AD367"/>
      <c r="AE367"/>
      <c r="AF367"/>
      <c r="AG367"/>
      <c r="AH367"/>
      <c r="AI367"/>
    </row>
    <row r="368" spans="27:35" x14ac:dyDescent="0.2">
      <c r="AA368"/>
      <c r="AB368"/>
      <c r="AC368"/>
      <c r="AD368"/>
      <c r="AE368"/>
      <c r="AF368"/>
      <c r="AG368"/>
      <c r="AH368"/>
      <c r="AI368"/>
    </row>
    <row r="369" spans="27:35" x14ac:dyDescent="0.2">
      <c r="AA369"/>
      <c r="AB369"/>
      <c r="AC369"/>
      <c r="AD369"/>
      <c r="AE369"/>
      <c r="AF369"/>
      <c r="AG369"/>
      <c r="AH369"/>
      <c r="AI369"/>
    </row>
    <row r="370" spans="27:35" x14ac:dyDescent="0.2">
      <c r="AA370"/>
      <c r="AB370"/>
      <c r="AC370"/>
      <c r="AD370"/>
      <c r="AE370"/>
      <c r="AF370"/>
      <c r="AG370"/>
      <c r="AH370"/>
      <c r="AI370"/>
    </row>
    <row r="371" spans="27:35" x14ac:dyDescent="0.2">
      <c r="AA371"/>
      <c r="AB371"/>
      <c r="AC371"/>
      <c r="AD371"/>
      <c r="AE371"/>
      <c r="AF371"/>
      <c r="AG371"/>
      <c r="AH371"/>
      <c r="AI371"/>
    </row>
    <row r="372" spans="27:35" x14ac:dyDescent="0.2">
      <c r="AA372"/>
      <c r="AB372"/>
      <c r="AC372"/>
      <c r="AD372"/>
      <c r="AE372"/>
      <c r="AF372"/>
      <c r="AG372"/>
      <c r="AH372"/>
      <c r="AI372"/>
    </row>
    <row r="373" spans="27:35" x14ac:dyDescent="0.2">
      <c r="AA373"/>
      <c r="AB373"/>
      <c r="AC373"/>
      <c r="AD373"/>
      <c r="AE373"/>
      <c r="AF373"/>
      <c r="AG373"/>
      <c r="AH373"/>
      <c r="AI373"/>
    </row>
    <row r="374" spans="27:35" x14ac:dyDescent="0.2">
      <c r="AA374"/>
      <c r="AB374"/>
      <c r="AC374"/>
      <c r="AD374"/>
      <c r="AE374"/>
      <c r="AF374"/>
      <c r="AG374"/>
      <c r="AH374"/>
      <c r="AI374"/>
    </row>
    <row r="375" spans="27:35" x14ac:dyDescent="0.2">
      <c r="AA375"/>
      <c r="AB375"/>
      <c r="AC375"/>
      <c r="AD375"/>
      <c r="AE375"/>
      <c r="AF375"/>
      <c r="AG375"/>
      <c r="AH375"/>
      <c r="AI375"/>
    </row>
    <row r="376" spans="27:35" x14ac:dyDescent="0.2">
      <c r="AA376"/>
      <c r="AB376"/>
      <c r="AC376"/>
      <c r="AD376"/>
      <c r="AE376"/>
      <c r="AF376"/>
      <c r="AG376"/>
      <c r="AH376"/>
      <c r="AI376"/>
    </row>
    <row r="377" spans="27:35" x14ac:dyDescent="0.2">
      <c r="AA377"/>
      <c r="AB377"/>
      <c r="AC377"/>
      <c r="AD377"/>
      <c r="AE377"/>
      <c r="AF377"/>
      <c r="AG377"/>
      <c r="AH377"/>
      <c r="AI377"/>
    </row>
    <row r="378" spans="27:35" x14ac:dyDescent="0.2">
      <c r="AA378"/>
      <c r="AB378"/>
      <c r="AC378"/>
      <c r="AD378"/>
      <c r="AE378"/>
      <c r="AF378"/>
      <c r="AG378"/>
      <c r="AH378"/>
      <c r="AI378"/>
    </row>
    <row r="379" spans="27:35" x14ac:dyDescent="0.2">
      <c r="AA379"/>
      <c r="AB379"/>
      <c r="AC379"/>
      <c r="AD379"/>
      <c r="AE379"/>
      <c r="AF379"/>
      <c r="AG379"/>
      <c r="AH379"/>
      <c r="AI379"/>
    </row>
    <row r="380" spans="27:35" x14ac:dyDescent="0.2">
      <c r="AA380"/>
      <c r="AB380"/>
      <c r="AC380"/>
      <c r="AD380"/>
      <c r="AE380"/>
      <c r="AF380"/>
      <c r="AG380"/>
      <c r="AH380"/>
      <c r="AI380"/>
    </row>
    <row r="381" spans="27:35" x14ac:dyDescent="0.2">
      <c r="AA381"/>
      <c r="AB381"/>
      <c r="AC381"/>
      <c r="AD381"/>
      <c r="AE381"/>
      <c r="AF381"/>
      <c r="AG381"/>
      <c r="AH381"/>
      <c r="AI381"/>
    </row>
    <row r="382" spans="27:35" x14ac:dyDescent="0.2">
      <c r="AA382"/>
      <c r="AB382"/>
      <c r="AC382"/>
      <c r="AD382"/>
      <c r="AE382"/>
      <c r="AF382"/>
      <c r="AG382"/>
      <c r="AH382"/>
      <c r="AI382"/>
    </row>
    <row r="383" spans="27:35" x14ac:dyDescent="0.2">
      <c r="AA383"/>
      <c r="AB383"/>
      <c r="AC383"/>
      <c r="AD383"/>
      <c r="AE383"/>
      <c r="AF383"/>
      <c r="AG383"/>
      <c r="AH383"/>
      <c r="AI383"/>
    </row>
    <row r="384" spans="27:35" x14ac:dyDescent="0.2">
      <c r="AA384"/>
      <c r="AB384"/>
      <c r="AC384"/>
      <c r="AD384"/>
      <c r="AE384"/>
      <c r="AF384"/>
      <c r="AG384"/>
      <c r="AH384"/>
      <c r="AI384"/>
    </row>
    <row r="385" spans="27:35" x14ac:dyDescent="0.2">
      <c r="AA385"/>
      <c r="AB385"/>
      <c r="AC385"/>
      <c r="AD385"/>
      <c r="AE385"/>
      <c r="AF385"/>
      <c r="AG385"/>
      <c r="AH385"/>
      <c r="AI385"/>
    </row>
    <row r="386" spans="27:35" x14ac:dyDescent="0.2">
      <c r="AA386"/>
      <c r="AB386"/>
      <c r="AC386"/>
      <c r="AD386"/>
      <c r="AE386"/>
      <c r="AF386"/>
      <c r="AG386"/>
      <c r="AH386"/>
      <c r="AI386"/>
    </row>
    <row r="387" spans="27:35" x14ac:dyDescent="0.2">
      <c r="AA387"/>
      <c r="AB387"/>
      <c r="AC387"/>
      <c r="AD387"/>
      <c r="AE387"/>
      <c r="AF387"/>
      <c r="AG387"/>
      <c r="AH387"/>
      <c r="AI387"/>
    </row>
    <row r="388" spans="27:35" x14ac:dyDescent="0.2">
      <c r="AA388"/>
      <c r="AB388"/>
      <c r="AC388"/>
      <c r="AD388"/>
      <c r="AE388"/>
      <c r="AF388"/>
      <c r="AG388"/>
      <c r="AH388"/>
      <c r="AI388"/>
    </row>
    <row r="389" spans="27:35" x14ac:dyDescent="0.2">
      <c r="AA389"/>
      <c r="AB389"/>
      <c r="AC389"/>
      <c r="AD389"/>
      <c r="AE389"/>
      <c r="AF389"/>
      <c r="AG389"/>
      <c r="AH389"/>
      <c r="AI389"/>
    </row>
    <row r="390" spans="27:35" x14ac:dyDescent="0.2">
      <c r="AA390"/>
      <c r="AB390"/>
      <c r="AC390"/>
      <c r="AD390"/>
      <c r="AE390"/>
      <c r="AF390"/>
      <c r="AG390"/>
      <c r="AH390"/>
      <c r="AI390"/>
    </row>
    <row r="391" spans="27:35" x14ac:dyDescent="0.2">
      <c r="AA391"/>
      <c r="AB391"/>
      <c r="AC391"/>
      <c r="AD391"/>
      <c r="AE391"/>
      <c r="AF391"/>
      <c r="AG391"/>
      <c r="AH391"/>
      <c r="AI391"/>
    </row>
    <row r="392" spans="27:35" x14ac:dyDescent="0.2">
      <c r="AA392"/>
      <c r="AB392"/>
      <c r="AC392"/>
      <c r="AD392"/>
      <c r="AE392"/>
      <c r="AF392"/>
      <c r="AG392"/>
      <c r="AH392"/>
      <c r="AI392"/>
    </row>
    <row r="393" spans="27:35" x14ac:dyDescent="0.2">
      <c r="AA393"/>
      <c r="AB393"/>
      <c r="AC393"/>
      <c r="AD393"/>
      <c r="AE393"/>
      <c r="AF393"/>
      <c r="AG393"/>
      <c r="AH393"/>
      <c r="AI393"/>
    </row>
    <row r="394" spans="27:35" x14ac:dyDescent="0.2">
      <c r="AA394"/>
      <c r="AB394"/>
      <c r="AC394"/>
      <c r="AD394"/>
      <c r="AE394"/>
      <c r="AF394"/>
      <c r="AG394"/>
      <c r="AH394"/>
      <c r="AI394"/>
    </row>
    <row r="395" spans="27:35" x14ac:dyDescent="0.2">
      <c r="AA395"/>
      <c r="AB395"/>
      <c r="AC395"/>
      <c r="AD395"/>
      <c r="AE395"/>
      <c r="AF395"/>
      <c r="AG395"/>
      <c r="AH395"/>
      <c r="AI395"/>
    </row>
    <row r="396" spans="27:35" x14ac:dyDescent="0.2">
      <c r="AA396"/>
      <c r="AB396"/>
      <c r="AC396"/>
      <c r="AD396"/>
      <c r="AE396"/>
      <c r="AF396"/>
      <c r="AG396"/>
      <c r="AH396"/>
      <c r="AI396"/>
    </row>
    <row r="397" spans="27:35" x14ac:dyDescent="0.2">
      <c r="AA397"/>
      <c r="AB397"/>
      <c r="AC397"/>
      <c r="AD397"/>
      <c r="AE397"/>
      <c r="AF397"/>
      <c r="AG397"/>
      <c r="AH397"/>
      <c r="AI397"/>
    </row>
    <row r="398" spans="27:35" x14ac:dyDescent="0.2">
      <c r="AA398"/>
      <c r="AB398"/>
      <c r="AC398"/>
      <c r="AD398"/>
      <c r="AE398"/>
      <c r="AF398"/>
      <c r="AG398"/>
      <c r="AH398"/>
      <c r="AI398"/>
    </row>
    <row r="399" spans="27:35" x14ac:dyDescent="0.2">
      <c r="AA399"/>
      <c r="AB399"/>
      <c r="AC399"/>
      <c r="AD399"/>
      <c r="AE399"/>
      <c r="AF399"/>
      <c r="AG399"/>
      <c r="AH399"/>
      <c r="AI399"/>
    </row>
    <row r="400" spans="27:35" x14ac:dyDescent="0.2">
      <c r="AA400"/>
      <c r="AB400"/>
      <c r="AC400"/>
      <c r="AD400"/>
      <c r="AE400"/>
      <c r="AF400"/>
      <c r="AG400"/>
      <c r="AH400"/>
      <c r="AI400"/>
    </row>
  </sheetData>
  <sheetProtection sheet="1" objects="1" scenarios="1" formatCells="0" formatColumns="0" formatRows="0"/>
  <mergeCells count="2">
    <mergeCell ref="A1:B1"/>
    <mergeCell ref="D1:E1"/>
  </mergeCells>
  <phoneticPr fontId="2" type="noConversion"/>
  <printOptions gridLines="1"/>
  <pageMargins left="0.39374999999999999" right="0.39374999999999999" top="0.39374999999999999" bottom="0.59097222222222223" header="0.51180555555555562" footer="0.31527777777777777"/>
  <pageSetup paperSize="9" orientation="landscape" horizontalDpi="4294967293" verticalDpi="4294967293" r:id="rId1"/>
  <headerFooter alignWithMargins="0">
    <oddFooter>&amp;L&amp;8Mise à jour : janvier 2010&amp;C&amp;8&amp;F ! &amp;A&amp;R&amp;8page &amp;P</oddFooter>
  </headerFooter>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indexed="47"/>
  </sheetPr>
  <dimension ref="A1:CI431"/>
  <sheetViews>
    <sheetView workbookViewId="0">
      <pane xSplit="3" ySplit="4" topLeftCell="D5" activePane="bottomRight" state="frozenSplit"/>
      <selection activeCell="I304" sqref="I304"/>
      <selection pane="topRight" activeCell="I304" sqref="I304"/>
      <selection pane="bottomLeft" activeCell="I304" sqref="I304"/>
      <selection pane="bottomRight" sqref="A1:C1"/>
    </sheetView>
  </sheetViews>
  <sheetFormatPr baseColWidth="10" defaultColWidth="11.42578125" defaultRowHeight="12.75" customHeight="1" outlineLevelRow="1" x14ac:dyDescent="0.2"/>
  <cols>
    <col min="1" max="1" width="4.28515625" style="192" customWidth="1"/>
    <col min="2" max="2" width="6.140625" style="537" customWidth="1"/>
    <col min="3" max="3" width="103.42578125" style="192" customWidth="1"/>
    <col min="4" max="4" width="8.85546875" style="534" customWidth="1"/>
    <col min="5" max="8" width="3.85546875" style="535" customWidth="1"/>
    <col min="9" max="9" width="4.7109375" style="536" customWidth="1"/>
    <col min="10" max="10" width="4.42578125" style="536" customWidth="1"/>
    <col min="11" max="11" width="3.85546875" style="536" customWidth="1"/>
    <col min="12" max="12" width="19.140625" style="519" customWidth="1"/>
    <col min="13" max="54" width="11.42578125" style="519"/>
    <col min="55" max="83" width="11.42578125" style="520"/>
    <col min="84" max="84" width="26.42578125" style="520" bestFit="1" customWidth="1"/>
    <col min="85" max="87" width="27" style="520" bestFit="1" customWidth="1"/>
    <col min="88" max="16384" width="11.42578125" style="520"/>
  </cols>
  <sheetData>
    <row r="1" spans="1:54" ht="15" customHeight="1" x14ac:dyDescent="0.2">
      <c r="A1" s="1983" t="s">
        <v>2052</v>
      </c>
      <c r="B1" s="1984"/>
      <c r="C1" s="1985"/>
      <c r="D1" s="1231"/>
      <c r="E1" s="1232"/>
      <c r="F1" s="1232"/>
      <c r="G1" s="1232"/>
      <c r="H1" s="1232"/>
      <c r="I1" s="1233"/>
      <c r="J1" s="1233"/>
      <c r="K1" s="1233"/>
      <c r="L1" s="518"/>
    </row>
    <row r="2" spans="1:54" ht="12.75" customHeight="1" x14ac:dyDescent="0.2">
      <c r="A2" s="1988" t="s">
        <v>4441</v>
      </c>
      <c r="B2" s="1988"/>
      <c r="C2" s="521"/>
      <c r="D2" s="1234"/>
      <c r="E2" s="1235"/>
      <c r="F2" s="1235"/>
      <c r="G2" s="1235"/>
      <c r="H2" s="1235"/>
      <c r="I2" s="1236"/>
      <c r="J2" s="1233"/>
      <c r="K2" s="1233"/>
      <c r="L2" s="518"/>
    </row>
    <row r="3" spans="1:54" ht="12.75" customHeight="1" x14ac:dyDescent="0.2">
      <c r="A3" s="522"/>
      <c r="B3" s="1988" t="s">
        <v>4442</v>
      </c>
      <c r="C3" s="1989"/>
      <c r="D3" s="1237"/>
      <c r="E3" s="1238"/>
      <c r="F3" s="1232"/>
      <c r="G3" s="1232"/>
      <c r="H3" s="1232"/>
      <c r="I3" s="1233"/>
      <c r="J3" s="1233"/>
      <c r="K3" s="1233"/>
      <c r="L3" s="518"/>
    </row>
    <row r="4" spans="1:54" ht="21" customHeight="1" x14ac:dyDescent="0.2">
      <c r="A4" s="523"/>
      <c r="B4" s="205"/>
      <c r="C4" s="524" t="s">
        <v>4443</v>
      </c>
      <c r="D4" s="1147" t="s">
        <v>6367</v>
      </c>
      <c r="E4" s="1148" t="s">
        <v>3938</v>
      </c>
      <c r="F4" s="525" t="s">
        <v>3939</v>
      </c>
      <c r="G4" s="525" t="s">
        <v>6676</v>
      </c>
      <c r="H4" s="525" t="s">
        <v>6677</v>
      </c>
      <c r="I4" s="525" t="s">
        <v>4945</v>
      </c>
      <c r="J4" s="525" t="s">
        <v>6489</v>
      </c>
      <c r="K4" s="526" t="s">
        <v>4594</v>
      </c>
      <c r="L4" s="1230" t="s">
        <v>7611</v>
      </c>
    </row>
    <row r="5" spans="1:54" ht="15.75" customHeight="1" x14ac:dyDescent="0.2">
      <c r="A5" s="1208" t="s">
        <v>2053</v>
      </c>
      <c r="B5" s="1986" t="s">
        <v>1991</v>
      </c>
      <c r="C5" s="1987"/>
      <c r="D5" s="1209"/>
      <c r="E5" s="1209"/>
      <c r="F5" s="1210"/>
      <c r="G5" s="1210"/>
      <c r="H5" s="1210"/>
      <c r="I5" s="1210"/>
      <c r="J5" s="1210"/>
      <c r="K5" s="1210"/>
      <c r="L5" s="1211"/>
    </row>
    <row r="6" spans="1:54" s="527" customFormat="1" ht="15.75" customHeight="1" outlineLevel="1" x14ac:dyDescent="0.2">
      <c r="A6" s="1212"/>
      <c r="B6" s="1213" t="s">
        <v>3683</v>
      </c>
      <c r="C6" s="1214" t="s">
        <v>3684</v>
      </c>
      <c r="D6" s="1215"/>
      <c r="E6" s="1215"/>
      <c r="F6" s="1216"/>
      <c r="G6" s="1217"/>
      <c r="H6" s="1217"/>
      <c r="I6" s="1218"/>
      <c r="J6" s="1218"/>
      <c r="K6" s="1218"/>
      <c r="L6" s="528"/>
      <c r="M6" s="154"/>
      <c r="N6" s="154"/>
      <c r="O6" s="154"/>
      <c r="P6" s="154"/>
      <c r="Q6" s="154"/>
      <c r="R6" s="154"/>
      <c r="S6" s="154"/>
      <c r="T6" s="154"/>
      <c r="U6" s="154"/>
      <c r="V6" s="154"/>
      <c r="W6" s="154"/>
      <c r="X6" s="154"/>
      <c r="Y6" s="154"/>
      <c r="Z6" s="154"/>
      <c r="AA6" s="154"/>
      <c r="AB6" s="154"/>
      <c r="AC6" s="154"/>
      <c r="AD6" s="154"/>
      <c r="AE6" s="154"/>
      <c r="AF6" s="154"/>
      <c r="AG6" s="154"/>
      <c r="AH6" s="154"/>
      <c r="AI6" s="154"/>
      <c r="AJ6" s="154"/>
      <c r="AK6" s="154"/>
      <c r="AL6" s="154"/>
      <c r="AM6" s="154"/>
      <c r="AN6" s="154"/>
      <c r="AO6" s="154"/>
      <c r="AP6" s="154"/>
      <c r="AQ6" s="154"/>
      <c r="AR6" s="154"/>
      <c r="AS6" s="154"/>
      <c r="AT6" s="154"/>
      <c r="AU6" s="154"/>
      <c r="AV6" s="154"/>
      <c r="AW6" s="154"/>
      <c r="AX6" s="154"/>
      <c r="AY6" s="154"/>
      <c r="AZ6" s="154"/>
      <c r="BA6" s="154"/>
      <c r="BB6" s="154"/>
    </row>
    <row r="7" spans="1:54" s="527" customFormat="1" ht="15.75" customHeight="1" outlineLevel="1" x14ac:dyDescent="0.2">
      <c r="A7" s="1212"/>
      <c r="B7" s="1212" t="s">
        <v>2545</v>
      </c>
      <c r="C7" s="1219" t="s">
        <v>3157</v>
      </c>
      <c r="D7" s="1553" t="s">
        <v>2617</v>
      </c>
      <c r="E7" s="1554" t="str">
        <f>IF(NOT('01 Org'!C4 = ""),'01 Org'!C4,IF(COUNTIF('01 Org'!C5:C9,"&gt;=0")=0,"", MIN(MAX(SUMPRODUCT('01 Org'!C5:C9,'01 Org'!$G5:$G9)*4/(SUM('01 Org'!$G5:$G9) - SUMIF('01 Org'!C5:C9,"X",'01 Org'!$G5:$G9)),MAX('01 Org'!AA5:AA9)),MIN('01 Org'!AE5:AE9))))</f>
        <v/>
      </c>
      <c r="F7" s="1555" t="str">
        <f>IF(NOT('01 Org'!D4 = ""),'01 Org'!D4,IF(COUNTIF('01 Org'!D5:D9,"&gt;=0")=0,"", MIN(MAX(SUMPRODUCT('01 Org'!D5:D9,'01 Org'!$G5:$G9)*4/(SUM('01 Org'!$G5:$G9) - SUMIF('01 Org'!D5:D9,"X",'01 Org'!$G5:$G9)),MAX('01 Org'!AB5:AB9)),MIN('01 Org'!AF5:AF9))))</f>
        <v/>
      </c>
      <c r="G7" s="1556" t="str">
        <f>IF(NOT('01 Org'!E4 = ""),'01 Org'!E4,IF(COUNTIF('01 Org'!E5:E9,"&gt;=0")=0,"", MIN(MAX(SUMPRODUCT('01 Org'!E5:E9,'01 Org'!$G5:$G9)*4/(SUM('01 Org'!$G5:$G9) - SUMIF('01 Org'!E5:E9,"X",'01 Org'!$G5:$G9)),MAX('01 Org'!AC5:AC9)),MIN('01 Org'!AG5:AG9))))</f>
        <v/>
      </c>
      <c r="H7" s="1556" t="str">
        <f>IF(NOT('01 Org'!F4 = ""),'01 Org'!F4,IF(COUNTIF('01 Org'!F5:F9,"&gt;=0")=0,"", MIN(MAX(SUMPRODUCT('01 Org'!F5:F9,'01 Org'!$G5:$G9)*4/(SUM('01 Org'!$G5:$G9) - SUMIF('01 Org'!F5:F9,"X",'01 Org'!$G5:$G9)),MAX('01 Org'!AD5:AD9)),MIN('01 Org'!AH5:AH9))))</f>
        <v/>
      </c>
      <c r="I7" s="1557">
        <f>IF(AND(OR(E7="X",E7=""),OR(F7="X",F7=""),OR(G7="X",G7=""),OR(H7="X",H7="")),1,ROUND(MIN(IF(OR(E7="",E7="X"),4,E7),IF(OR(F7="",F7="X"),4,F7),IF(OR(G7="",G7="X"),4,G7),IF(OR(H7="",H7="X"),4,H7)),0))</f>
        <v>1</v>
      </c>
      <c r="J7" s="1557">
        <f>IF(I7="","",IF(IndG=3,MAX(I7,Obj_Projets!J7),MAX(I7,Obj_PA!D7)))</f>
        <v>1</v>
      </c>
      <c r="K7" s="1557">
        <f>IF(IF(OR(IndG=3,IndG=4),MAX(I7,J7),I7)&lt;1,1,IF(OR(IndG=3,IndG=4),MAX(I7,J7),I7))</f>
        <v>1</v>
      </c>
      <c r="L7" s="1650" t="str">
        <f>IF(E7="", "n'a pas démarré","")</f>
        <v>n'a pas démarré</v>
      </c>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row>
    <row r="8" spans="1:54" s="527" customFormat="1" ht="15.75" customHeight="1" outlineLevel="1" x14ac:dyDescent="0.2">
      <c r="A8" s="1212"/>
      <c r="B8" s="1212" t="s">
        <v>2546</v>
      </c>
      <c r="C8" s="1219" t="s">
        <v>5061</v>
      </c>
      <c r="D8" s="1553" t="s">
        <v>2617</v>
      </c>
      <c r="E8" s="1558" t="str">
        <f>IF(NOT('01 Org'!C10 = ""),'01 Org'!C10,IF(COUNTIF('01 Org'!C11:C23,"&gt;=0")=0,"", MIN(MAX(SUMPRODUCT('01 Org'!C11:C23,'01 Org'!$G11:$G23)*4/(SUM('01 Org'!$G11:$G23) - SUMIF('01 Org'!C11:C23,"X",'01 Org'!$G11:$G23)),MAX('01 Org'!AA11:AA23)),MIN('01 Org'!AE11:AE23))))</f>
        <v/>
      </c>
      <c r="F8" s="1559" t="str">
        <f>IF(NOT('01 Org'!D10 = ""),'01 Org'!D10,IF(COUNTIF('01 Org'!D11:D23,"&gt;=0")=0,"", MIN(MAX(SUMPRODUCT('01 Org'!D11:D23,'01 Org'!$G11:$G23)*4/(SUM('01 Org'!$G11:$G23) - SUMIF('01 Org'!D11:D23,"X",'01 Org'!$G11:$G23)),MAX('01 Org'!AB11:AB23)),MIN('01 Org'!AF11:AF23))))</f>
        <v/>
      </c>
      <c r="G8" s="1556" t="str">
        <f>IF(NOT('01 Org'!E10 = ""),'01 Org'!E10,IF(COUNTIF('01 Org'!E11:E23,"&gt;=0")=0,"", MIN(MAX(SUMPRODUCT('01 Org'!E11:E23,'01 Org'!$G11:$G23)*4/(SUM('01 Org'!$G11:$G23) - SUMIF('01 Org'!E11:E23,"X",'01 Org'!$G11:$G23)),MAX('01 Org'!AC11:AC23)),MIN('01 Org'!AG11:AG23))))</f>
        <v/>
      </c>
      <c r="H8" s="1556" t="str">
        <f>IF(NOT('01 Org'!F10 = ""),'01 Org'!F10,IF(COUNTIF('01 Org'!F11:F23,"&gt;=0")=0,"", MIN(MAX(SUMPRODUCT('01 Org'!F11:F23,'01 Org'!$G11:$G23)*4/(SUM('01 Org'!$G11:$G23) - SUMIF('01 Org'!F11:F23,"X",'01 Org'!$G11:$G23)),MAX('01 Org'!AD11:AD23)),MIN('01 Org'!AH11:AH23))))</f>
        <v/>
      </c>
      <c r="I8" s="1557">
        <f>IF(AND(OR(E8="X",E8=""),OR(F8="X",F8=""),OR(G8="X",G8=""),OR(H8="X",H8="")),1,ROUND(MIN(IF(OR(E8="",E8="X"),4,E8),IF(OR(F8="",F8="X"),4,F8),IF(OR(G8="",G8="X"),4,G8),IF(OR(H8="",H8="X"),4,H8)),0))</f>
        <v>1</v>
      </c>
      <c r="J8" s="1557">
        <f>IF(I8="","",IF(IndG=3,MAX(I8,Obj_Projets!J8),MAX(I8,Obj_PA!D8)))</f>
        <v>1</v>
      </c>
      <c r="K8" s="1560">
        <f>IF(IF(OR(IndG=3,IndG=4),MAX(I8,J8),I8)&lt;1,1,IF(OR(IndG=3,IndG=4),MAX(I8,J8),I8))</f>
        <v>1</v>
      </c>
      <c r="L8" s="1650" t="str">
        <f>IF(E8="", "n'a pas démarré","")</f>
        <v>n'a pas démarré</v>
      </c>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row>
    <row r="9" spans="1:54" s="527" customFormat="1" ht="15.75" customHeight="1" outlineLevel="1" x14ac:dyDescent="0.2">
      <c r="A9" s="1212"/>
      <c r="B9" s="1212" t="s">
        <v>2547</v>
      </c>
      <c r="C9" s="1219" t="s">
        <v>6741</v>
      </c>
      <c r="D9" s="1553" t="s">
        <v>2617</v>
      </c>
      <c r="E9" s="1558" t="str">
        <f>IF(NOT('01 Org'!C24 = ""),'01 Org'!C24,IF(COUNTIF('01 Org'!C25:C31,"&gt;=0")=0,"", MIN(MAX(SUMPRODUCT('01 Org'!C25:C31,'01 Org'!$G25:$G31)*4/(SUM('01 Org'!$G25:$G31) - SUMIF('01 Org'!C25:C31,"X",'01 Org'!$G25:$G31)),MAX('01 Org'!AA25:AA31)),MIN('01 Org'!AE25:AE31))))</f>
        <v/>
      </c>
      <c r="F9" s="1559" t="str">
        <f>IF(NOT('01 Org'!D24 = ""),'01 Org'!D24,IF(COUNTIF('01 Org'!D25:D31,"&gt;=0")=0,"", MIN(MAX(SUMPRODUCT('01 Org'!D25:D31,'01 Org'!$G25:$G31)*4/(SUM('01 Org'!$G25:$G31) - SUMIF('01 Org'!D25:D31,"X",'01 Org'!$G25:$G31)),MAX('01 Org'!AB25:AB31)),MIN('01 Org'!AF25:AF31))))</f>
        <v/>
      </c>
      <c r="G9" s="1559" t="str">
        <f>IF(NOT('01 Org'!E24 = ""),'01 Org'!E24,IF(COUNTIF('01 Org'!E25:E31,"&gt;=0")=0,"", MIN(MAX(SUMPRODUCT('01 Org'!E25:E31,'01 Org'!$G25:$G31)*4/(SUM('01 Org'!$G25:$G31) - SUMIF('01 Org'!E25:E31,"X",'01 Org'!$G25:$G31)),MAX('01 Org'!AC25:AC31)),MIN('01 Org'!AG25:AG31))))</f>
        <v/>
      </c>
      <c r="H9" s="1559" t="str">
        <f>IF(NOT('01 Org'!F24 = ""),'01 Org'!F24,IF(COUNTIF('01 Org'!F25:F31,"&gt;=0")=0,"", MIN(MAX(SUMPRODUCT('01 Org'!F25:F31,'01 Org'!$G25:$G31)*4/(SUM('01 Org'!$G25:$G31) - SUMIF('01 Org'!F25:F31,"X",'01 Org'!$G25:$G31)),MAX('01 Org'!AD25:AD31)),MIN('01 Org'!AH25:AH31))))</f>
        <v/>
      </c>
      <c r="I9" s="1557">
        <f>IF(AND(OR(E9="X",E9=""),OR(F9="X",F9=""),OR(G9="X",G9=""),OR(H9="X",H9="")),1,ROUND(MIN(IF(OR(E9="",E9="X"),4,E9),IF(OR(F9="",F9="X"),4,F9),IF(OR(G9="",G9="X"),4,G9),IF(OR(H9="",H9="X"),4,H9)),0))</f>
        <v>1</v>
      </c>
      <c r="J9" s="1557">
        <f>IF(I9="","",IF(IndG=3,MAX(I9,Obj_Projets!J9),MAX(I9,Obj_PA!D9)))</f>
        <v>1</v>
      </c>
      <c r="K9" s="1560">
        <f>IF(IF(OR(IndG=3,IndG=4),MAX(I9,J9),I9)&lt;1,1,IF(OR(IndG=3,IndG=4),MAX(I9,J9),I9))</f>
        <v>1</v>
      </c>
      <c r="L9" s="1650" t="str">
        <f>IF(E9="", "n'a pas démarré","")</f>
        <v>n'a pas démarré</v>
      </c>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4"/>
    </row>
    <row r="10" spans="1:54" s="527" customFormat="1" ht="15.75" customHeight="1" outlineLevel="1" x14ac:dyDescent="0.2">
      <c r="A10" s="1212"/>
      <c r="B10" s="1212" t="s">
        <v>2548</v>
      </c>
      <c r="C10" s="1219" t="s">
        <v>5729</v>
      </c>
      <c r="D10" s="1553" t="s">
        <v>2617</v>
      </c>
      <c r="E10" s="1558" t="str">
        <f>IF(NOT('01 Org'!C32 = ""),'01 Org'!C32,IF(COUNTIF('01 Org'!C33:C39,"&gt;=0")=0,"", MIN(MAX(SUMPRODUCT('01 Org'!C33:C39,'01 Org'!$G33:$G39)*4/(SUM('01 Org'!$G33:$G39) - SUMIF('01 Org'!C33:C39,"X",'01 Org'!$G33:$G39)),MAX('01 Org'!AA33:AA39)),MIN('01 Org'!AE33:AE39))))</f>
        <v/>
      </c>
      <c r="F10" s="1559" t="str">
        <f>IF(NOT('01 Org'!D32 = ""),'01 Org'!D32,IF(COUNTIF('01 Org'!D33:D39,"&gt;=0")=0,"", MIN(MAX(SUMPRODUCT('01 Org'!D33:D39,'01 Org'!$G33:$G39)*4/(SUM('01 Org'!$G33:$G39) - SUMIF('01 Org'!D33:D39,"X",'01 Org'!$G33:$G39)),MAX('01 Org'!AB33:AB39)),MIN('01 Org'!AF33:AF39))))</f>
        <v/>
      </c>
      <c r="G10" s="1559" t="str">
        <f>IF(NOT('01 Org'!E32 = ""),'01 Org'!E32,IF(COUNTIF('01 Org'!E33:E39,"&gt;=0")=0,"", MIN(MAX(SUMPRODUCT('01 Org'!E33:E39,'01 Org'!$G33:$G39)*4/(SUM('01 Org'!$G33:$G39) - SUMIF('01 Org'!E33:E39,"X",'01 Org'!$G33:$G39)),MAX('01 Org'!AC33:AC39)),MIN('01 Org'!AG33:AG39))))</f>
        <v/>
      </c>
      <c r="H10" s="1559" t="str">
        <f>IF(NOT('01 Org'!F32 = ""),'01 Org'!F32,IF(COUNTIF('01 Org'!F33:F39,"&gt;=0")=0,"", MIN(MAX(SUMPRODUCT('01 Org'!F33:F39,'01 Org'!$G33:$G39)*4/(SUM('01 Org'!$G33:$G39) - SUMIF('01 Org'!F33:F39,"X",'01 Org'!$G33:$G39)),MAX('01 Org'!AD33:AD39)),MIN('01 Org'!AH33:AH39))))</f>
        <v/>
      </c>
      <c r="I10" s="1557">
        <f>IF(AND(OR(E10="X",E10=""),OR(F10="X",F10=""),OR(G10="X",G10=""),OR(H10="X",H10="")),1,ROUND(MIN(IF(OR(E10="",E10="X"),4,E10),IF(OR(F10="",F10="X"),4,F10),IF(OR(G10="",G10="X"),4,G10),IF(OR(H10="",H10="X"),4,H10)),0))</f>
        <v>1</v>
      </c>
      <c r="J10" s="1557">
        <f>IF(I10="","",IF(IndG=3,MAX(I10,Obj_Projets!J10),MAX(I10,Obj_PA!D10)))</f>
        <v>1</v>
      </c>
      <c r="K10" s="1560">
        <f>IF(IF(OR(IndG=3,IndG=4),MAX(I10,J10),I10)&lt;1,1,IF(OR(IndG=3,IndG=4),MAX(I10,J10),I10))</f>
        <v>1</v>
      </c>
      <c r="L10" s="1650" t="str">
        <f>IF(E10="", "n'a pas démarré","")</f>
        <v>n'a pas démarré</v>
      </c>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row>
    <row r="11" spans="1:54" s="527" customFormat="1" ht="15.75" customHeight="1" outlineLevel="1" x14ac:dyDescent="0.2">
      <c r="A11" s="1212"/>
      <c r="B11" s="1212" t="s">
        <v>2549</v>
      </c>
      <c r="C11" s="1219" t="s">
        <v>2550</v>
      </c>
      <c r="D11" s="1553" t="s">
        <v>2617</v>
      </c>
      <c r="E11" s="1558" t="str">
        <f>IF(NOT('01 Org'!C40 = ""),'01 Org'!C40,IF(COUNTIF('01 Org'!C41:C45,"&gt;=0")=0,"", MIN(MAX(SUMPRODUCT('01 Org'!C41:C45,'01 Org'!$G41:$G45)*4/(SUM('01 Org'!$G41:$G45) - SUMIF('01 Org'!C41:C45,"X",'01 Org'!$G41:$G45)),MAX('01 Org'!AA41:AA45)),MIN('01 Org'!AE41:AE45))))</f>
        <v/>
      </c>
      <c r="F11" s="1559" t="str">
        <f>IF(NOT('01 Org'!D40 = ""),'01 Org'!D40,IF(COUNTIF('01 Org'!D41:D45,"&gt;=0")=0,"", MIN(MAX(SUMPRODUCT('01 Org'!D41:D45,'01 Org'!$G41:$G45)*4/(SUM('01 Org'!$G41:$G45) - SUMIF('01 Org'!D41:D45,"X",'01 Org'!$G41:$G45)),MAX('01 Org'!AB41:AB45)),MIN('01 Org'!AF41:AF45))))</f>
        <v/>
      </c>
      <c r="G11" s="1559" t="str">
        <f>IF(NOT('01 Org'!E40 = ""),'01 Org'!E40,IF(COUNTIF('01 Org'!E41:E45,"&gt;=0")=0,"", MIN(MAX(SUMPRODUCT('01 Org'!E41:E45,'01 Org'!$G41:$G45)*4/(SUM('01 Org'!$G41:$G45) - SUMIF('01 Org'!E41:E45,"X",'01 Org'!$G41:$G45)),MAX('01 Org'!AC41:AC45)),MIN('01 Org'!AG41:AG45))))</f>
        <v/>
      </c>
      <c r="H11" s="1559" t="str">
        <f>IF(NOT('01 Org'!F40 = ""),'01 Org'!F40,IF(COUNTIF('01 Org'!F41:F45,"&gt;=0")=0,"", MIN(MAX(SUMPRODUCT('01 Org'!F41:F45,'01 Org'!$G41:$G45)*4/(SUM('01 Org'!$G41:$G45) - SUMIF('01 Org'!F41:F45,"X",'01 Org'!$G41:$G45)),MAX('01 Org'!AD41:AD45)),MIN('01 Org'!AH41:AH45))))</f>
        <v/>
      </c>
      <c r="I11" s="1557">
        <f>IF(AND(OR(E11="X",E11=""),OR(F11="X",F11=""),OR(G11="X",G11=""),OR(H11="X",H11="")),1,ROUND(MIN(IF(OR(E11="",E11="X"),4,E11),IF(OR(F11="",F11="X"),4,F11),IF(OR(G11="",G11="X"),4,G11),IF(OR(H11="",H11="X"),4,H11)),0))</f>
        <v>1</v>
      </c>
      <c r="J11" s="1557">
        <f>IF(I11="","",IF(IndG=3,MAX(I11,Obj_Projets!J11),MAX(I11,Obj_PA!D11)))</f>
        <v>1</v>
      </c>
      <c r="K11" s="1560">
        <f>IF(IF(OR(IndG=3,IndG=4),MAX(I11,J11),I11)&lt;1,1,IF(OR(IndG=3,IndG=4),MAX(I11,J11),I11))</f>
        <v>1</v>
      </c>
      <c r="L11" s="1650" t="str">
        <f>IF(E11="", "n'a pas démarré","")</f>
        <v>n'a pas démarré</v>
      </c>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c r="BA11" s="154"/>
      <c r="BB11" s="154"/>
    </row>
    <row r="12" spans="1:54" s="527" customFormat="1" ht="15.75" customHeight="1" outlineLevel="1" x14ac:dyDescent="0.2">
      <c r="A12" s="1212"/>
      <c r="B12" s="1213" t="s">
        <v>5934</v>
      </c>
      <c r="C12" s="1214" t="s">
        <v>5935</v>
      </c>
      <c r="D12" s="1554"/>
      <c r="E12" s="1558"/>
      <c r="F12" s="1559"/>
      <c r="G12" s="1559"/>
      <c r="H12" s="1559"/>
      <c r="I12" s="1561"/>
      <c r="J12" s="1561"/>
      <c r="K12" s="1561"/>
      <c r="L12" s="1650"/>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c r="BA12" s="154"/>
      <c r="BB12" s="154"/>
    </row>
    <row r="13" spans="1:54" s="527" customFormat="1" ht="15.75" customHeight="1" outlineLevel="1" x14ac:dyDescent="0.2">
      <c r="A13" s="1212"/>
      <c r="B13" s="1212" t="s">
        <v>2551</v>
      </c>
      <c r="C13" s="1219" t="s">
        <v>2888</v>
      </c>
      <c r="D13" s="1553" t="s">
        <v>2619</v>
      </c>
      <c r="E13" s="1558" t="str">
        <f>IF(NOT('01 Org'!C47 = ""),'01 Org'!C47,IF(COUNTIF('01 Org'!C48:C60,"&gt;=0")=0,"", MIN(MAX(SUMPRODUCT('01 Org'!C48:C60,'01 Org'!$G48:$G60)*4/(SUM('01 Org'!$G48:$G60) - SUMIF('01 Org'!C48:C60,"X",'01 Org'!$G48:$G60)),MAX('01 Org'!AA48:AA60)),MIN('01 Org'!AE48:AE60))))</f>
        <v/>
      </c>
      <c r="F13" s="1559" t="str">
        <f>IF(NOT('01 Org'!D47 = ""),'01 Org'!D47,IF(COUNTIF('01 Org'!D48:D60,"&gt;=0")=0,"", MIN(MAX(SUMPRODUCT('01 Org'!D48:D60,'01 Org'!$G48:$G60)*4/(SUM('01 Org'!$G48:$G60) - SUMIF('01 Org'!D48:D60,"X",'01 Org'!$G48:$G60)),MAX('01 Org'!AB48:AB60)),MIN('01 Org'!AF48:AF60))))</f>
        <v/>
      </c>
      <c r="G13" s="1559" t="str">
        <f>IF(NOT('01 Org'!E47 = ""),'01 Org'!E47,IF(COUNTIF('01 Org'!E48:E60,"&gt;=0")=0,"", MIN(MAX(SUMPRODUCT('01 Org'!E48:E60,'01 Org'!$G48:$G60)*4/(SUM('01 Org'!$G48:$G60) - SUMIF('01 Org'!E48:E60,"X",'01 Org'!$G48:$G60)),MAX('01 Org'!AC48:AC60)),MIN('01 Org'!AG48:AG60))))</f>
        <v/>
      </c>
      <c r="H13" s="1559" t="str">
        <f>IF(NOT('01 Org'!F47 = ""),'01 Org'!F47,IF(COUNTIF('01 Org'!F48:F60,"&gt;=0")=0,"", MIN(MAX(SUMPRODUCT('01 Org'!F48:F60,'01 Org'!$G48:$G60)*4/(SUM('01 Org'!$G48:$G60) - SUMIF('01 Org'!F48:F60,"X",'01 Org'!$G48:$G60)),MAX('01 Org'!AD48:AD60)),MIN('01 Org'!AH48:AH60))))</f>
        <v/>
      </c>
      <c r="I13" s="1557">
        <f>IF(AND(OR(E13="X",E13=""),OR(F13="X",F13=""),OR(G13="X",G13=""),OR(H13="X",H13="")),1,ROUND(MIN(IF(OR(E13="",E13="X"),4,E13),IF(OR(F13="",F13="X"),4,F13),IF(OR(G13="",G13="X"),4,G13),IF(OR(H13="",H13="X"),4,H13)),0))</f>
        <v>1</v>
      </c>
      <c r="J13" s="1557">
        <f>IF(I13="","",IF(IndG=3,MAX(I13,Obj_Projets!J13),MAX(I13,Obj_PA!D13)))</f>
        <v>1</v>
      </c>
      <c r="K13" s="1560">
        <f>IF(IF(OR(IndG=3,IndG=4),MAX(I13,J13),I13)&lt;1,1,IF(OR(IndG=3,IndG=4),MAX(I13,J13),I13))</f>
        <v>1</v>
      </c>
      <c r="L13" s="1650" t="str">
        <f>IF(E13=""," n'a pas démarré","")</f>
        <v xml:space="preserve"> n'a pas démarré</v>
      </c>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c r="BA13" s="154"/>
      <c r="BB13" s="154"/>
    </row>
    <row r="14" spans="1:54" s="527" customFormat="1" ht="15.75" customHeight="1" outlineLevel="1" x14ac:dyDescent="0.2">
      <c r="A14" s="1212"/>
      <c r="B14" s="1212" t="s">
        <v>3900</v>
      </c>
      <c r="C14" s="1219" t="s">
        <v>6742</v>
      </c>
      <c r="D14" s="1553" t="s">
        <v>2619</v>
      </c>
      <c r="E14" s="1558" t="str">
        <f>IF(NOT('01 Org'!C61 = ""),'01 Org'!C61,IF(COUNTIF('01 Org'!C62:C74,"&gt;=0")=0,"", MIN(MAX(SUMPRODUCT('01 Org'!C62:C74,'01 Org'!$G62:$G74)*4/(SUM('01 Org'!$G62:$G74) - SUMIF('01 Org'!C62:C74,"X",'01 Org'!$G62:$G74)),MAX('01 Org'!AA62:AA74)),MIN('01 Org'!AE62:AE74))))</f>
        <v/>
      </c>
      <c r="F14" s="1559" t="str">
        <f>IF(NOT('01 Org'!D61 = ""),'01 Org'!D61,IF(COUNTIF('01 Org'!D62:D74,"&gt;=0")=0,"", MIN(MAX(SUMPRODUCT('01 Org'!D62:D74,'01 Org'!$G62:$G74)*4/(SUM('01 Org'!$G62:$G74) - SUMIF('01 Org'!D62:D74,"X",'01 Org'!$G62:$G74)),MAX('01 Org'!AB62:AB74)),MIN('01 Org'!AF62:AF74))))</f>
        <v/>
      </c>
      <c r="G14" s="1559" t="str">
        <f>IF(NOT('01 Org'!E61 = ""),'01 Org'!E61,IF(COUNTIF('01 Org'!E62:E74,"&gt;=0")=0,"", MIN(MAX(SUMPRODUCT('01 Org'!E62:E74,'01 Org'!$G62:$G74)*4/(SUM('01 Org'!$G62:$G74) - SUMIF('01 Org'!E62:E74,"X",'01 Org'!$G62:$G74)),MAX('01 Org'!AC62:AC74)),MIN('01 Org'!AG62:AG74))))</f>
        <v/>
      </c>
      <c r="H14" s="1559" t="str">
        <f>IF(NOT('01 Org'!F61 = ""),'01 Org'!F61,IF(COUNTIF('01 Org'!F62:F74,"&gt;=0")=0,"", MIN(MAX(SUMPRODUCT('01 Org'!F62:F74,'01 Org'!$G62:$G74)*4/(SUM('01 Org'!$G62:$G74) - SUMIF('01 Org'!F62:F74,"X",'01 Org'!$G62:$G74)),MAX('01 Org'!AD62:AD74)),MIN('01 Org'!AH62:AH74))))</f>
        <v/>
      </c>
      <c r="I14" s="1557">
        <f>IF(AND(OR(E14="X",E14=""),OR(F14="X",F14=""),OR(G14="X",G14=""),OR(H14="X",H14="")),1,ROUND(MIN(IF(OR(E14="",E14="X"),4,E14),IF(OR(F14="",F14="X"),4,F14),IF(OR(G14="",G14="X"),4,G14),IF(OR(H14="",H14="X"),4,H14)),0))</f>
        <v>1</v>
      </c>
      <c r="J14" s="1557">
        <f>IF(I14="","",IF(IndG=3,MAX(I14,Obj_Projets!J14),MAX(I14,Obj_PA!D14)))</f>
        <v>1</v>
      </c>
      <c r="K14" s="1560">
        <f>IF(IF(OR(IndG=3,IndG=4),MAX(I14,J14),I14)&lt;1,1,IF(OR(IndG=3,IndG=4),MAX(I14,J14),I14))</f>
        <v>1</v>
      </c>
      <c r="L14" s="1650" t="str">
        <f>IF(E14=""," n'a pas démarré","")</f>
        <v xml:space="preserve"> n'a pas démarré</v>
      </c>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row>
    <row r="15" spans="1:54" s="527" customFormat="1" ht="15.75" customHeight="1" outlineLevel="1" x14ac:dyDescent="0.2">
      <c r="A15" s="1212"/>
      <c r="B15" s="1212" t="s">
        <v>117</v>
      </c>
      <c r="C15" s="1219" t="s">
        <v>118</v>
      </c>
      <c r="D15" s="1553" t="s">
        <v>2619</v>
      </c>
      <c r="E15" s="1558" t="str">
        <f>IF(NOT('01 Org'!C75 = ""),'01 Org'!C75,IF(COUNTIF('01 Org'!C76:C85,"&gt;=0")=0,"", MIN(MAX(SUMPRODUCT('01 Org'!C76:C85,'01 Org'!$G76:$G85)*4/(SUM('01 Org'!$G76:$G85) - SUMIF('01 Org'!C76:C85,"X",'01 Org'!$G76:$G85)),MAX('01 Org'!AA76:AA85)),MIN('01 Org'!AE76:AE85))))</f>
        <v/>
      </c>
      <c r="F15" s="1559" t="str">
        <f>IF(NOT('01 Org'!D75 = ""),'01 Org'!D75,IF(COUNTIF('01 Org'!D76:D85,"&gt;=0")=0,"", MIN(MAX(SUMPRODUCT('01 Org'!D76:D85,'01 Org'!$G76:$G85)*4/(SUM('01 Org'!$G76:$G85) - SUMIF('01 Org'!D76:D85,"X",'01 Org'!$G76:$G85)),MAX('01 Org'!AB76:AB85)),MIN('01 Org'!AF76:AF85))))</f>
        <v/>
      </c>
      <c r="G15" s="1559" t="str">
        <f>IF(NOT('01 Org'!E75 = ""),'01 Org'!E75,IF(COUNTIF('01 Org'!E76:E85,"&gt;=0")=0,"", MIN(MAX(SUMPRODUCT('01 Org'!E76:E85,'01 Org'!$G76:$G85)*4/(SUM('01 Org'!$G76:$G85) - SUMIF('01 Org'!E76:E85,"X",'01 Org'!$G76:$G85)),MAX('01 Org'!AC76:AC85)),MIN('01 Org'!AG76:AG85))))</f>
        <v/>
      </c>
      <c r="H15" s="1559" t="str">
        <f>IF(NOT('01 Org'!F75 = ""),'01 Org'!F75,IF(COUNTIF('01 Org'!F76:F85,"&gt;=0")=0,"", MIN(MAX(SUMPRODUCT('01 Org'!F76:F85,'01 Org'!$G76:$G85)*4/(SUM('01 Org'!$G76:$G85) - SUMIF('01 Org'!F76:F85,"X",'01 Org'!$G76:$G85)),MAX('01 Org'!AD76:AD85)),MIN('01 Org'!AH76:AH85))))</f>
        <v/>
      </c>
      <c r="I15" s="1557">
        <f>IF(AND(OR(E15="X",E15=""),OR(F15="X",F15=""),OR(G15="X",G15=""),OR(H15="X",H15="")),1,ROUND(MIN(IF(OR(E15="",E15="X"),4,E15),IF(OR(F15="",F15="X"),4,F15),IF(OR(G15="",G15="X"),4,G15),IF(OR(H15="",H15="X"),4,H15)),0))</f>
        <v>1</v>
      </c>
      <c r="J15" s="1557">
        <f>IF(I15="","",IF(IndG=3,MAX(I15,Obj_Projets!J15),MAX(I15,Obj_PA!D15)))</f>
        <v>1</v>
      </c>
      <c r="K15" s="1560">
        <f>IF(IF(OR(IndG=3,IndG=4),MAX(I15,J15),I15)&lt;1,1,IF(OR(IndG=3,IndG=4),MAX(I15,J15),I15))</f>
        <v>1</v>
      </c>
      <c r="L15" s="1650" t="str">
        <f>IF(E15=""," n'a pas démarré","")</f>
        <v xml:space="preserve"> n'a pas démarré</v>
      </c>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row>
    <row r="16" spans="1:54" s="527" customFormat="1" ht="15.75" customHeight="1" outlineLevel="1" x14ac:dyDescent="0.2">
      <c r="A16" s="1212"/>
      <c r="B16" s="1212" t="s">
        <v>1321</v>
      </c>
      <c r="C16" s="1219" t="s">
        <v>1322</v>
      </c>
      <c r="D16" s="1553" t="s">
        <v>2619</v>
      </c>
      <c r="E16" s="1558" t="str">
        <f>IF(NOT('01 Org'!C86 = ""),'01 Org'!C86,IF(COUNTIF('01 Org'!C87:C92,"&gt;=0")=0,"", MIN(MAX(SUMPRODUCT('01 Org'!C87:C92,'01 Org'!$G87:$G92)*4/(SUM('01 Org'!$G87:$G92) - SUMIF('01 Org'!C87:C92,"X",'01 Org'!$G87:$G92)),MAX('01 Org'!AA87:AA92)),MIN('01 Org'!AE87:AE92))))</f>
        <v/>
      </c>
      <c r="F16" s="1559" t="str">
        <f>IF(NOT('01 Org'!D86 = ""),'01 Org'!D86,IF(COUNTIF('01 Org'!D87:D92,"&gt;=0")=0,"", MIN(MAX(SUMPRODUCT('01 Org'!D87:D92,'01 Org'!$G87:$G92)*4/(SUM('01 Org'!$G87:$G92) - SUMIF('01 Org'!D87:D92,"X",'01 Org'!$G87:$G92)),MAX('01 Org'!AB87:AB92)),MIN('01 Org'!AF87:AF92))))</f>
        <v/>
      </c>
      <c r="G16" s="1559" t="str">
        <f>IF(NOT('01 Org'!E86 = ""),'01 Org'!E86,IF(COUNTIF('01 Org'!E87:E92,"&gt;=0")=0,"", MIN(MAX(SUMPRODUCT('01 Org'!E87:E92,'01 Org'!$G87:$G92)*4/(SUM('01 Org'!$G87:$G92) - SUMIF('01 Org'!E87:E92,"X",'01 Org'!$G87:$G92)),MAX('01 Org'!AC87:AC92)),MIN('01 Org'!AG87:AG92))))</f>
        <v/>
      </c>
      <c r="H16" s="1559" t="str">
        <f>IF(NOT('01 Org'!F86 = ""),'01 Org'!F86,IF(COUNTIF('01 Org'!F87:F92,"&gt;=0")=0,"", MIN(MAX(SUMPRODUCT('01 Org'!F87:F92,'01 Org'!$G87:$G92)*4/(SUM('01 Org'!$G87:$G92) - SUMIF('01 Org'!F87:F92,"X",'01 Org'!$G87:$G92)),MAX('01 Org'!AD87:AD92)),MIN('01 Org'!AH87:AH92))))</f>
        <v/>
      </c>
      <c r="I16" s="1557">
        <f>IF(AND(OR(E16="X",E16=""),OR(F16="X",F16=""),OR(G16="X",G16=""),OR(H16="X",H16="")),1,ROUND(MIN(IF(OR(E16="",E16="X"),4,E16),IF(OR(F16="",F16="X"),4,F16),IF(OR(G16="",G16="X"),4,G16),IF(OR(H16="",H16="X"),4,H16)),0))</f>
        <v>1</v>
      </c>
      <c r="J16" s="1557">
        <f>IF(I16="","",IF(IndG=3,MAX(I16,Obj_Projets!J16),MAX(I16,Obj_PA!D16)))</f>
        <v>1</v>
      </c>
      <c r="K16" s="1560">
        <f>IF(IF(OR(IndG=3,IndG=4),MAX(I16,J16),I16)&lt;1,1,IF(OR(IndG=3,IndG=4),MAX(I16,J16),I16))</f>
        <v>1</v>
      </c>
      <c r="L16" s="1650" t="str">
        <f>IF(E16=""," n'a pas démarré","")</f>
        <v xml:space="preserve"> n'a pas démarré</v>
      </c>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54"/>
      <c r="AO16" s="154"/>
      <c r="AP16" s="154"/>
      <c r="AQ16" s="154"/>
      <c r="AR16" s="154"/>
      <c r="AS16" s="154"/>
      <c r="AT16" s="154"/>
      <c r="AU16" s="154"/>
      <c r="AV16" s="154"/>
      <c r="AW16" s="154"/>
      <c r="AX16" s="154"/>
      <c r="AY16" s="154"/>
      <c r="AZ16" s="154"/>
      <c r="BA16" s="154"/>
      <c r="BB16" s="154"/>
    </row>
    <row r="17" spans="1:54" s="527" customFormat="1" ht="15.75" customHeight="1" outlineLevel="1" x14ac:dyDescent="0.2">
      <c r="A17" s="1212"/>
      <c r="B17" s="1212" t="s">
        <v>2642</v>
      </c>
      <c r="C17" s="1219" t="s">
        <v>3702</v>
      </c>
      <c r="D17" s="1553" t="s">
        <v>2619</v>
      </c>
      <c r="E17" s="1558" t="str">
        <f>IF(NOT('01 Org'!C93 = ""),'01 Org'!C93,IF(COUNTIF('01 Org'!C94:C99,"&gt;=0")=0,"", MIN(MAX(SUMPRODUCT('01 Org'!C94:C99,'01 Org'!$G94:$G99)*4/(SUM('01 Org'!$G94:$G99) - SUMIF('01 Org'!C94:C99,"X",'01 Org'!$G94:$G99)),MAX('01 Org'!AA94:AA99)),MIN('01 Org'!AE94:AE99))))</f>
        <v/>
      </c>
      <c r="F17" s="1559" t="str">
        <f>IF(NOT('01 Org'!D93 = ""),'01 Org'!D93,IF(COUNTIF('01 Org'!D94:D99,"&gt;=0")=0,"", MIN(MAX(SUMPRODUCT('01 Org'!D94:D99,'01 Org'!$G94:$G99)*4/(SUM('01 Org'!$G94:$G99) - SUMIF('01 Org'!D94:D99,"X",'01 Org'!$G94:$G99)),MAX('01 Org'!AB94:AB99)),MIN('01 Org'!AF94:AF99))))</f>
        <v/>
      </c>
      <c r="G17" s="1559" t="str">
        <f>IF(NOT('01 Org'!E93 = ""),'01 Org'!E93,IF(COUNTIF('01 Org'!E94:E99,"&gt;=0")=0,"", MIN(MAX(SUMPRODUCT('01 Org'!E94:E99,'01 Org'!$G94:$G99)*4/(SUM('01 Org'!$G94:$G99) - SUMIF('01 Org'!E94:E99,"X",'01 Org'!$G94:$G99)),MAX('01 Org'!AC94:AC99)),MIN('01 Org'!AG94:AG99))))</f>
        <v/>
      </c>
      <c r="H17" s="1559" t="str">
        <f>IF(NOT('01 Org'!F93 = ""),'01 Org'!F93,IF(COUNTIF('01 Org'!F94:F99,"&gt;=0")=0,"", MIN(MAX(SUMPRODUCT('01 Org'!F94:F99,'01 Org'!$G94:$G99)*4/(SUM('01 Org'!$G94:$G99) - SUMIF('01 Org'!F94:F99,"X",'01 Org'!$G94:$G99)),MAX('01 Org'!AD94:AD99)),MIN('01 Org'!AH94:AH99))))</f>
        <v/>
      </c>
      <c r="I17" s="1557">
        <f>IF(AND(OR(E17="X",E17=""),OR(F17="X",F17=""),OR(G17="X",G17=""),OR(H17="X",H17="")),1,ROUND(MIN(IF(OR(E17="",E17="X"),4,E17),IF(OR(F17="",F17="X"),4,F17),IF(OR(G17="",G17="X"),4,G17),IF(OR(H17="",H17="X"),4,H17)),0))</f>
        <v>1</v>
      </c>
      <c r="J17" s="1557">
        <f>IF(I17="","",IF(IndG=3,MAX(I17,Obj_Projets!J17),MAX(I17,Obj_PA!D17)))</f>
        <v>1</v>
      </c>
      <c r="K17" s="1560">
        <f>IF(IF(OR(IndG=3,IndG=4),MAX(I17,J17),I17)&lt;1,1,IF(OR(IndG=3,IndG=4),MAX(I17,J17),I17))</f>
        <v>1</v>
      </c>
      <c r="L17" s="1650" t="str">
        <f>IF(E17=""," n'a pas démarré","")</f>
        <v xml:space="preserve"> n'a pas démarré</v>
      </c>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row>
    <row r="18" spans="1:54" s="527" customFormat="1" ht="15.75" customHeight="1" outlineLevel="1" x14ac:dyDescent="0.2">
      <c r="A18" s="1212"/>
      <c r="B18" s="1213" t="s">
        <v>6429</v>
      </c>
      <c r="C18" s="1214" t="s">
        <v>6430</v>
      </c>
      <c r="D18" s="1554"/>
      <c r="E18" s="1558"/>
      <c r="F18" s="1559"/>
      <c r="G18" s="1559"/>
      <c r="H18" s="1559"/>
      <c r="I18" s="1561"/>
      <c r="J18" s="1561"/>
      <c r="K18" s="1561"/>
      <c r="L18" s="1650"/>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row>
    <row r="19" spans="1:54" s="527" customFormat="1" ht="15.75" customHeight="1" outlineLevel="1" x14ac:dyDescent="0.2">
      <c r="A19" s="1212"/>
      <c r="B19" s="1212" t="s">
        <v>1323</v>
      </c>
      <c r="C19" s="1219" t="s">
        <v>2535</v>
      </c>
      <c r="D19" s="1553" t="s">
        <v>2619</v>
      </c>
      <c r="E19" s="1558" t="str">
        <f>IF(NOT('01 Org'!C101 = ""),'01 Org'!C101,IF(COUNTIF('01 Org'!C102:C108,"&gt;=0")=0,"", MIN(MAX(SUMPRODUCT('01 Org'!C102:C108,'01 Org'!$G102:$G108)*4/(SUM('01 Org'!$G102:$G108) - SUMIF('01 Org'!C102:C108,"X",'01 Org'!$G102:$G108)),MAX('01 Org'!AA102:AA108)),MIN('01 Org'!AE102:AE108))))</f>
        <v/>
      </c>
      <c r="F19" s="1559" t="str">
        <f>IF(NOT('01 Org'!D101 = ""),'01 Org'!D101,IF(COUNTIF('01 Org'!D102:D108,"&gt;=0")=0,"", MIN(MAX(SUMPRODUCT('01 Org'!D102:D108,'01 Org'!$G102:$G108)*4/(SUM('01 Org'!$G102:$G108) - SUMIF('01 Org'!D102:D108,"X",'01 Org'!$G102:$G108)),MAX('01 Org'!AB102:AB108)),MIN('01 Org'!AF102:AF108))))</f>
        <v/>
      </c>
      <c r="G19" s="1559" t="str">
        <f>IF(NOT('01 Org'!E101 = ""),'01 Org'!E101,IF(COUNTIF('01 Org'!E102:E108,"&gt;=0")=0,"", MIN(MAX(SUMPRODUCT('01 Org'!E102:E108,'01 Org'!$G102:$G108)*4/(SUM('01 Org'!$G102:$G108) - SUMIF('01 Org'!E102:E108,"X",'01 Org'!$G102:$G108)),MAX('01 Org'!AC102:AC108)),MIN('01 Org'!AG102:AG108))))</f>
        <v/>
      </c>
      <c r="H19" s="1559" t="str">
        <f>IF(NOT('01 Org'!F101 = ""),'01 Org'!F101,IF(COUNTIF('01 Org'!F102:F108,"&gt;=0")=0,"", MIN(MAX(SUMPRODUCT('01 Org'!F102:F108,'01 Org'!$G102:$G108)*4/(SUM('01 Org'!$G102:$G108) - SUMIF('01 Org'!F102:F108,"X",'01 Org'!$G102:$G108)),MAX('01 Org'!AD102:AD108)),MIN('01 Org'!AH102:AH108))))</f>
        <v/>
      </c>
      <c r="I19" s="1557">
        <f t="shared" ref="I19:I24" si="0">IF(AND(OR(E19="X",E19=""),OR(F19="X",F19=""),OR(G19="X",G19=""),OR(H19="X",H19="")),1,ROUND(MIN(IF(OR(E19="",E19="X"),4,E19),IF(OR(F19="",F19="X"),4,F19),IF(OR(G19="",G19="X"),4,G19),IF(OR(H19="",H19="X"),4,H19)),0))</f>
        <v>1</v>
      </c>
      <c r="J19" s="1557">
        <f>IF(I19="","",IF(IndG=3,MAX(I19,Obj_Projets!J19),MAX(I19,Obj_PA!D19)))</f>
        <v>1</v>
      </c>
      <c r="K19" s="1560">
        <f t="shared" ref="K19:K24" si="1">IF(IF(OR(IndG=3,IndG=4),MAX(I19,J19),I19)&lt;1,1,IF(OR(IndG=3,IndG=4),MAX(I19,J19),I19))</f>
        <v>1</v>
      </c>
      <c r="L19" s="1650" t="str">
        <f t="shared" ref="L19:L24" si="2">IF(E19=""," n'a pas démarré","")</f>
        <v xml:space="preserve"> n'a pas démarré</v>
      </c>
      <c r="M19" s="154"/>
      <c r="N19" s="154"/>
      <c r="O19" s="154"/>
      <c r="P19" s="154"/>
      <c r="Q19" s="154"/>
      <c r="R19" s="154"/>
      <c r="S19" s="154"/>
      <c r="T19" s="154"/>
      <c r="U19" s="154"/>
      <c r="V19" s="154"/>
      <c r="W19" s="154"/>
      <c r="X19" s="154"/>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row>
    <row r="20" spans="1:54" s="527" customFormat="1" ht="15.75" customHeight="1" outlineLevel="1" x14ac:dyDescent="0.2">
      <c r="A20" s="1212"/>
      <c r="B20" s="1212" t="s">
        <v>2536</v>
      </c>
      <c r="C20" s="1219" t="s">
        <v>5730</v>
      </c>
      <c r="D20" s="1553" t="s">
        <v>2619</v>
      </c>
      <c r="E20" s="1558" t="str">
        <f>IF(NOT('01 Org'!C109 = ""),'01 Org'!C109,IF(COUNTIF('01 Org'!C110:C117,"&gt;=0")=0,"", MIN(MAX(SUMPRODUCT('01 Org'!C110:C117,'01 Org'!$G110:$G117)*4/(SUM('01 Org'!$G110:$G117) - SUMIF('01 Org'!C110:C117,"X",'01 Org'!$G110:$G117)),MAX('01 Org'!AA110:AA117)),MIN('01 Org'!AE110:AE117))))</f>
        <v/>
      </c>
      <c r="F20" s="1559" t="str">
        <f>IF(NOT('01 Org'!D109 = ""),'01 Org'!D109,IF(COUNTIF('01 Org'!D110:D117,"&gt;=0")=0,"", MIN(MAX(SUMPRODUCT('01 Org'!D110:D117,'01 Org'!$G110:$G117)*4/(SUM('01 Org'!$G110:$G117) - SUMIF('01 Org'!D110:D117,"X",'01 Org'!$G110:$G117)),MAX('01 Org'!AB110:AB117)),MIN('01 Org'!AF110:AF117))))</f>
        <v/>
      </c>
      <c r="G20" s="1559" t="str">
        <f>IF(NOT('01 Org'!E109 = ""),'01 Org'!E109,IF(COUNTIF('01 Org'!E110:E117,"&gt;=0")=0,"", MIN(MAX(SUMPRODUCT('01 Org'!E110:E117,'01 Org'!$G110:$G117)*4/(SUM('01 Org'!$G110:$G117) - SUMIF('01 Org'!E110:E117,"X",'01 Org'!$G110:$G117)),MAX('01 Org'!AC110:AC117)),MIN('01 Org'!AG110:AG117))))</f>
        <v/>
      </c>
      <c r="H20" s="1559" t="str">
        <f>IF(NOT('01 Org'!F109 = ""),'01 Org'!F109,IF(COUNTIF('01 Org'!F110:F117,"&gt;=0")=0,"", MIN(MAX(SUMPRODUCT('01 Org'!F110:F117,'01 Org'!$G110:$G117)*4/(SUM('01 Org'!$G110:$G117) - SUMIF('01 Org'!F110:F117,"X",'01 Org'!$G110:$G117)),MAX('01 Org'!AD110:AD117)),MIN('01 Org'!AH110:AH117))))</f>
        <v/>
      </c>
      <c r="I20" s="1557">
        <f t="shared" si="0"/>
        <v>1</v>
      </c>
      <c r="J20" s="1557">
        <f>IF(I20="","",IF(IndG=3,MAX(I20,Obj_Projets!J20),MAX(I20,Obj_PA!D20)))</f>
        <v>1</v>
      </c>
      <c r="K20" s="1560">
        <f t="shared" si="1"/>
        <v>1</v>
      </c>
      <c r="L20" s="1650" t="str">
        <f t="shared" si="2"/>
        <v xml:space="preserve"> n'a pas démarré</v>
      </c>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row>
    <row r="21" spans="1:54" s="527" customFormat="1" ht="15.75" customHeight="1" outlineLevel="1" x14ac:dyDescent="0.2">
      <c r="A21" s="1212"/>
      <c r="B21" s="1212" t="s">
        <v>2537</v>
      </c>
      <c r="C21" s="1219" t="s">
        <v>2538</v>
      </c>
      <c r="D21" s="1553" t="s">
        <v>2619</v>
      </c>
      <c r="E21" s="1558" t="str">
        <f>IF(NOT('01 Org'!C118 = ""),'01 Org'!C118,IF(COUNTIF('01 Org'!C119:C122,"&gt;=0")=0,"", MIN(MAX(SUMPRODUCT('01 Org'!C119:C122,'01 Org'!$G119:$G122)*4/(SUM('01 Org'!$G119:$G122) - SUMIF('01 Org'!C119:C122,"X",'01 Org'!$G119:$G122)),MAX('01 Org'!AA119:AA122)),MIN('01 Org'!AE119:AE122))))</f>
        <v/>
      </c>
      <c r="F21" s="1559" t="str">
        <f>IF(NOT('01 Org'!D118 = ""),'01 Org'!D118,IF(COUNTIF('01 Org'!D119:D122,"&gt;=0")=0,"", MIN(MAX(SUMPRODUCT('01 Org'!D119:D122,'01 Org'!$G119:$G122)*4/(SUM('01 Org'!$G119:$G122) - SUMIF('01 Org'!D119:D122,"X",'01 Org'!$G119:$G122)),MAX('01 Org'!AB119:AB122)),MIN('01 Org'!AF119:AF122))))</f>
        <v/>
      </c>
      <c r="G21" s="1559" t="str">
        <f>IF(NOT('01 Org'!E118 = ""),'01 Org'!E118,IF(COUNTIF('01 Org'!E119:E122,"&gt;=0")=0,"", MIN(MAX(SUMPRODUCT('01 Org'!E119:E122,'01 Org'!$G119:$G122)*4/(SUM('01 Org'!$G119:$G122) - SUMIF('01 Org'!E119:E122,"X",'01 Org'!$G119:$G122)),MAX('01 Org'!AC119:AC122)),MIN('01 Org'!AG119:AG122))))</f>
        <v/>
      </c>
      <c r="H21" s="1559" t="str">
        <f>IF(NOT('01 Org'!F118 = ""),'01 Org'!F118,IF(COUNTIF('01 Org'!F119:F122,"&gt;=0")=0,"", MIN(MAX(SUMPRODUCT('01 Org'!F119:F122,'01 Org'!$G119:$G122)*4/(SUM('01 Org'!$G119:$G122) - SUMIF('01 Org'!F119:F122,"X",'01 Org'!$G119:$G122)),MAX('01 Org'!AD119:AD122)),MIN('01 Org'!AH119:AH122))))</f>
        <v/>
      </c>
      <c r="I21" s="1557">
        <f t="shared" si="0"/>
        <v>1</v>
      </c>
      <c r="J21" s="1557">
        <f>IF(I21="","",IF(IndG=3,MAX(I21,Obj_Projets!J21),MAX(I21,Obj_PA!D21)))</f>
        <v>1</v>
      </c>
      <c r="K21" s="1560">
        <f t="shared" si="1"/>
        <v>1</v>
      </c>
      <c r="L21" s="1650" t="str">
        <f t="shared" si="2"/>
        <v xml:space="preserve"> n'a pas démarré</v>
      </c>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54"/>
      <c r="AO21" s="154"/>
      <c r="AP21" s="154"/>
      <c r="AQ21" s="154"/>
      <c r="AR21" s="154"/>
      <c r="AS21" s="154"/>
      <c r="AT21" s="154"/>
      <c r="AU21" s="154"/>
      <c r="AV21" s="154"/>
      <c r="AW21" s="154"/>
      <c r="AX21" s="154"/>
      <c r="AY21" s="154"/>
      <c r="AZ21" s="154"/>
      <c r="BA21" s="154"/>
      <c r="BB21" s="154"/>
    </row>
    <row r="22" spans="1:54" s="527" customFormat="1" ht="15.75" customHeight="1" outlineLevel="1" x14ac:dyDescent="0.2">
      <c r="A22" s="1212"/>
      <c r="B22" s="1212" t="s">
        <v>2539</v>
      </c>
      <c r="C22" s="1219" t="s">
        <v>2540</v>
      </c>
      <c r="D22" s="1562" t="s">
        <v>2619</v>
      </c>
      <c r="E22" s="1559" t="str">
        <f>IF(NOT('01 Org'!C123 = ""),'01 Org'!C123,IF(COUNTIF('01 Org'!C124:C132,"&gt;=0")=0,"", MIN(MAX(SUMPRODUCT('01 Org'!C124:C132,'01 Org'!$G124:$G132)*4/(SUM('01 Org'!$G124:$G132) - SUMIF('01 Org'!C124:C132,"X",'01 Org'!$G124:$G132)),MAX('01 Org'!AA124:AA132)),MIN('01 Org'!AE124:AE132))))</f>
        <v/>
      </c>
      <c r="F22" s="1559" t="str">
        <f>IF(NOT('01 Org'!D123 = ""),'01 Org'!D123,IF(COUNTIF('01 Org'!D124:D132,"&gt;=0")=0,"", MIN(MAX(SUMPRODUCT('01 Org'!D124:D132,'01 Org'!$G124:$G132)*4/(SUM('01 Org'!$G124:$G132) - SUMIF('01 Org'!D124:D132,"X",'01 Org'!$G124:$G132)),MAX('01 Org'!AB124:AB132)),MIN('01 Org'!AF124:AF132))))</f>
        <v/>
      </c>
      <c r="G22" s="1559" t="str">
        <f>IF(NOT('01 Org'!E123 = ""),'01 Org'!E123,IF(COUNTIF('01 Org'!E124:E132,"&gt;=0")=0,"", MIN(MAX(SUMPRODUCT('01 Org'!E124:E132,'01 Org'!$G124:$G132)*4/(SUM('01 Org'!$G124:$G132) - SUMIF('01 Org'!E124:E132,"X",'01 Org'!$G124:$G132)),MAX('01 Org'!AC124:AC132)),MIN('01 Org'!AG124:AG132))))</f>
        <v/>
      </c>
      <c r="H22" s="1559" t="str">
        <f>IF(NOT('01 Org'!F123 = ""),'01 Org'!F123,IF(COUNTIF('01 Org'!F124:F132,"&gt;=0")=0,"", MIN(MAX(SUMPRODUCT('01 Org'!F124:F132,'01 Org'!$G124:$G132)*4/(SUM('01 Org'!$G124:$G132) - SUMIF('01 Org'!F124:F132,"X",'01 Org'!$G124:$G132)),MAX('01 Org'!AD124:AD132)),MIN('01 Org'!AH124:AH132))))</f>
        <v/>
      </c>
      <c r="I22" s="1557">
        <f t="shared" si="0"/>
        <v>1</v>
      </c>
      <c r="J22" s="1557">
        <f>IF(I22="","",IF(IndG=3,MAX(I22,Obj_Projets!J22),MAX(I22,Obj_PA!D22)))</f>
        <v>1</v>
      </c>
      <c r="K22" s="1560">
        <f t="shared" si="1"/>
        <v>1</v>
      </c>
      <c r="L22" s="1650" t="str">
        <f t="shared" si="2"/>
        <v xml:space="preserve"> n'a pas démarré</v>
      </c>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54"/>
      <c r="AO22" s="154"/>
      <c r="AP22" s="154"/>
      <c r="AQ22" s="154"/>
      <c r="AR22" s="154"/>
      <c r="AS22" s="154"/>
      <c r="AT22" s="154"/>
      <c r="AU22" s="154"/>
      <c r="AV22" s="154"/>
      <c r="AW22" s="154"/>
      <c r="AX22" s="154"/>
      <c r="AY22" s="154"/>
      <c r="AZ22" s="154"/>
      <c r="BA22" s="154"/>
      <c r="BB22" s="154"/>
    </row>
    <row r="23" spans="1:54" s="527" customFormat="1" ht="15.75" customHeight="1" outlineLevel="1" x14ac:dyDescent="0.2">
      <c r="A23" s="1212"/>
      <c r="B23" s="1212" t="s">
        <v>2541</v>
      </c>
      <c r="C23" s="1219" t="s">
        <v>2542</v>
      </c>
      <c r="D23" s="1562" t="s">
        <v>2619</v>
      </c>
      <c r="E23" s="1559" t="str">
        <f>IF(NOT('01 Org'!C133 = ""),'01 Org'!C133,IF(COUNTIF('01 Org'!C134:C138,"&gt;=0")=0,"", MIN(MAX(SUMPRODUCT('01 Org'!C134:C138,'01 Org'!$G134:$G138)*4/(SUM('01 Org'!$G134:$G138) - SUMIF('01 Org'!C134:C138,"X",'01 Org'!$G134:$G138)),MAX('01 Org'!AA134:AA138)),MIN('01 Org'!AE134:AE138))))</f>
        <v/>
      </c>
      <c r="F23" s="1559" t="str">
        <f>IF(NOT('01 Org'!D133 = ""),'01 Org'!D133,IF(COUNTIF('01 Org'!D134:D138,"&gt;=0")=0,"", MIN(MAX(SUMPRODUCT('01 Org'!D134:D138,'01 Org'!$G134:$G138)*4/(SUM('01 Org'!$G134:$G138) - SUMIF('01 Org'!D134:D138,"X",'01 Org'!$G134:$G138)),MAX('01 Org'!AB134:AB138)),MIN('01 Org'!AF134:AF138))))</f>
        <v/>
      </c>
      <c r="G23" s="1559" t="str">
        <f>IF(NOT('01 Org'!E133 = ""),'01 Org'!E133,IF(COUNTIF('01 Org'!E134:E138,"&gt;=0")=0,"", MIN(MAX(SUMPRODUCT('01 Org'!E134:E138,'01 Org'!$G134:$G138)*4/(SUM('01 Org'!$G134:$G138) - SUMIF('01 Org'!E134:E138,"X",'01 Org'!$G134:$G138)),MAX('01 Org'!AC134:AC138)),MIN('01 Org'!AG134:AG138))))</f>
        <v/>
      </c>
      <c r="H23" s="1559" t="str">
        <f>IF(NOT('01 Org'!F133 = ""),'01 Org'!F133,IF(COUNTIF('01 Org'!F134:F138,"&gt;=0")=0,"", MIN(MAX(SUMPRODUCT('01 Org'!F134:F138,'01 Org'!$G134:$G138)*4/(SUM('01 Org'!$G134:$G138) - SUMIF('01 Org'!F134:F138,"X",'01 Org'!$G134:$G138)),MAX('01 Org'!AD134:AD138)),MIN('01 Org'!AH134:AH138))))</f>
        <v/>
      </c>
      <c r="I23" s="1557">
        <f t="shared" si="0"/>
        <v>1</v>
      </c>
      <c r="J23" s="1557">
        <f>IF(I23="","",IF(IndG=3,MAX(I23,Obj_Projets!J23),MAX(I23,Obj_PA!D23)))</f>
        <v>1</v>
      </c>
      <c r="K23" s="1560">
        <f t="shared" si="1"/>
        <v>1</v>
      </c>
      <c r="L23" s="1650" t="str">
        <f t="shared" si="2"/>
        <v xml:space="preserve"> n'a pas démarré</v>
      </c>
      <c r="M23" s="154"/>
      <c r="N23" s="154"/>
      <c r="O23" s="154"/>
      <c r="P23" s="154"/>
      <c r="Q23" s="154"/>
      <c r="R23" s="154"/>
      <c r="S23" s="154"/>
      <c r="T23" s="154"/>
      <c r="U23" s="154"/>
      <c r="V23" s="154"/>
      <c r="W23" s="154"/>
      <c r="X23" s="154"/>
      <c r="Y23" s="154"/>
      <c r="Z23" s="154"/>
      <c r="AA23" s="154"/>
      <c r="AB23" s="154"/>
      <c r="AC23" s="154"/>
      <c r="AD23" s="154"/>
      <c r="AE23" s="154"/>
      <c r="AF23" s="154"/>
      <c r="AG23" s="154"/>
      <c r="AH23" s="154"/>
      <c r="AI23" s="154"/>
      <c r="AJ23" s="154"/>
      <c r="AK23" s="154"/>
      <c r="AL23" s="154"/>
      <c r="AM23" s="154"/>
      <c r="AN23" s="154"/>
      <c r="AO23" s="154"/>
      <c r="AP23" s="154"/>
      <c r="AQ23" s="154"/>
      <c r="AR23" s="154"/>
      <c r="AS23" s="154"/>
      <c r="AT23" s="154"/>
      <c r="AU23" s="154"/>
      <c r="AV23" s="154"/>
      <c r="AW23" s="154"/>
      <c r="AX23" s="154"/>
      <c r="AY23" s="154"/>
      <c r="AZ23" s="154"/>
      <c r="BA23" s="154"/>
      <c r="BB23" s="154"/>
    </row>
    <row r="24" spans="1:54" s="527" customFormat="1" ht="15.75" customHeight="1" outlineLevel="1" x14ac:dyDescent="0.2">
      <c r="A24" s="1212"/>
      <c r="B24" s="1212" t="s">
        <v>2543</v>
      </c>
      <c r="C24" s="1219" t="s">
        <v>2544</v>
      </c>
      <c r="D24" s="1562" t="s">
        <v>2619</v>
      </c>
      <c r="E24" s="1559" t="str">
        <f>IF(NOT('01 Org'!C139 = ""),'01 Org'!C139,IF(COUNTIF('01 Org'!C140:C145,"&gt;=0")=0,"", MIN(MAX(SUMPRODUCT('01 Org'!C140:C145,'01 Org'!$G140:$G145)*4/(SUM('01 Org'!$G140:$G145) - SUMIF('01 Org'!C140:C145,"X",'01 Org'!$G140:$G145)),MAX('01 Org'!AA140:AA145)),MIN('01 Org'!AE140:AE145))))</f>
        <v/>
      </c>
      <c r="F24" s="1559" t="str">
        <f>IF(NOT('01 Org'!D139 = ""),'01 Org'!D139,IF(COUNTIF('01 Org'!D140:D145,"&gt;=0")=0,"", MIN(MAX(SUMPRODUCT('01 Org'!D140:D145,'01 Org'!$G140:$G145)*4/(SUM('01 Org'!$G140:$G145) - SUMIF('01 Org'!D140:D145,"X",'01 Org'!$G140:$G145)),MAX('01 Org'!AB140:AB145)),MIN('01 Org'!AF140:AF145))))</f>
        <v/>
      </c>
      <c r="G24" s="1559" t="str">
        <f>IF(NOT('01 Org'!E139 = ""),'01 Org'!E139,IF(COUNTIF('01 Org'!E140:E145,"&gt;=0")=0,"", MIN(MAX(SUMPRODUCT('01 Org'!E140:E145,'01 Org'!$G140:$G145)*4/(SUM('01 Org'!$G140:$G145) - SUMIF('01 Org'!E140:E145,"X",'01 Org'!$G140:$G145)),MAX('01 Org'!AC140:AC145)),MIN('01 Org'!AG140:AG145))))</f>
        <v/>
      </c>
      <c r="H24" s="1559" t="str">
        <f>IF(NOT('01 Org'!F139 = ""),'01 Org'!F139,IF(COUNTIF('01 Org'!F140:F145,"&gt;=0")=0,"", MIN(MAX(SUMPRODUCT('01 Org'!F140:F145,'01 Org'!$G140:$G145)*4/(SUM('01 Org'!$G140:$G145) - SUMIF('01 Org'!F140:F145,"X",'01 Org'!$G140:$G145)),MAX('01 Org'!AD140:AD145)),MIN('01 Org'!AH140:AH145))))</f>
        <v/>
      </c>
      <c r="I24" s="1557">
        <f t="shared" si="0"/>
        <v>1</v>
      </c>
      <c r="J24" s="1557">
        <f>IF(I24="","",IF(IndG=3,MAX(I24,Obj_Projets!J24),MAX(I24,Obj_PA!D24)))</f>
        <v>1</v>
      </c>
      <c r="K24" s="1560">
        <f t="shared" si="1"/>
        <v>1</v>
      </c>
      <c r="L24" s="1650" t="str">
        <f t="shared" si="2"/>
        <v xml:space="preserve"> n'a pas démarré</v>
      </c>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54"/>
      <c r="AO24" s="154"/>
      <c r="AP24" s="154"/>
      <c r="AQ24" s="154"/>
      <c r="AR24" s="154"/>
      <c r="AS24" s="154"/>
      <c r="AT24" s="154"/>
      <c r="AU24" s="154"/>
      <c r="AV24" s="154"/>
      <c r="AW24" s="154"/>
      <c r="AX24" s="154"/>
      <c r="AY24" s="154"/>
      <c r="AZ24" s="154"/>
      <c r="BA24" s="154"/>
      <c r="BB24" s="154"/>
    </row>
    <row r="25" spans="1:54" s="527" customFormat="1" ht="15.75" customHeight="1" outlineLevel="1" x14ac:dyDescent="0.2">
      <c r="A25" s="1212"/>
      <c r="B25" s="1213" t="s">
        <v>2847</v>
      </c>
      <c r="C25" s="1214" t="s">
        <v>2848</v>
      </c>
      <c r="D25" s="1554"/>
      <c r="E25" s="1559"/>
      <c r="F25" s="1559"/>
      <c r="G25" s="1559"/>
      <c r="H25" s="1559"/>
      <c r="I25" s="1561"/>
      <c r="J25" s="1561"/>
      <c r="K25" s="1561"/>
      <c r="L25" s="1650"/>
      <c r="M25" s="154"/>
      <c r="N25" s="154"/>
      <c r="O25" s="154"/>
      <c r="P25" s="154"/>
      <c r="Q25" s="154"/>
      <c r="R25" s="154"/>
      <c r="S25" s="154"/>
      <c r="T25" s="154"/>
      <c r="U25" s="154"/>
      <c r="V25" s="154"/>
      <c r="W25" s="154"/>
      <c r="X25" s="154"/>
      <c r="Y25" s="154"/>
      <c r="Z25" s="154"/>
      <c r="AA25" s="154"/>
      <c r="AB25" s="154"/>
      <c r="AC25" s="154"/>
      <c r="AD25" s="154"/>
      <c r="AE25" s="154"/>
      <c r="AF25" s="154"/>
      <c r="AG25" s="154"/>
      <c r="AH25" s="154"/>
      <c r="AI25" s="154"/>
      <c r="AJ25" s="154"/>
      <c r="AK25" s="154"/>
      <c r="AL25" s="154"/>
      <c r="AM25" s="154"/>
      <c r="AN25" s="154"/>
      <c r="AO25" s="154"/>
      <c r="AP25" s="154"/>
      <c r="AQ25" s="154"/>
      <c r="AR25" s="154"/>
      <c r="AS25" s="154"/>
      <c r="AT25" s="154"/>
      <c r="AU25" s="154"/>
      <c r="AV25" s="154"/>
      <c r="AW25" s="154"/>
      <c r="AX25" s="154"/>
      <c r="AY25" s="154"/>
      <c r="AZ25" s="154"/>
      <c r="BA25" s="154"/>
      <c r="BB25" s="154"/>
    </row>
    <row r="26" spans="1:54" s="527" customFormat="1" ht="15.75" customHeight="1" outlineLevel="1" x14ac:dyDescent="0.2">
      <c r="A26" s="1212"/>
      <c r="B26" s="1212" t="s">
        <v>5897</v>
      </c>
      <c r="C26" s="1219" t="s">
        <v>5898</v>
      </c>
      <c r="D26" s="1562" t="s">
        <v>2617</v>
      </c>
      <c r="E26" s="1559" t="str">
        <f>IF(NOT('01 Org'!C147 = ""),'01 Org'!C147,IF(COUNTIF('01 Org'!C148:C157,"&gt;=0")=0,"", MIN(MAX(SUMPRODUCT('01 Org'!C148:C157,'01 Org'!$G148:$G157)*4/(SUM('01 Org'!$G148:$G157) - SUMIF('01 Org'!C148:C157,"X",'01 Org'!$G148:$G157)),MAX('01 Org'!AA148:AA157)),MIN('01 Org'!AE148:AE157))))</f>
        <v/>
      </c>
      <c r="F26" s="1559" t="str">
        <f>IF(NOT('01 Org'!D147 = ""),'01 Org'!D147,IF(COUNTIF('01 Org'!D148:D157,"&gt;=0")=0,"", MIN(MAX(SUMPRODUCT('01 Org'!D148:D157,'01 Org'!$G148:$G157)*4/(SUM('01 Org'!$G148:$G157) - SUMIF('01 Org'!D148:D157,"X",'01 Org'!$G148:$G157)),MAX('01 Org'!AB148:AB157)),MIN('01 Org'!AF148:AF157))))</f>
        <v/>
      </c>
      <c r="G26" s="1559" t="str">
        <f>IF(NOT('01 Org'!E147 = ""),'01 Org'!E147,IF(COUNTIF('01 Org'!E148:E157,"&gt;=0")=0,"", MIN(MAX(SUMPRODUCT('01 Org'!E148:E157,'01 Org'!$G148:$G157)*4/(SUM('01 Org'!$G148:$G157) - SUMIF('01 Org'!E148:E157,"X",'01 Org'!$G148:$G157)),MAX('01 Org'!AC148:AC157)),MIN('01 Org'!AG148:AG157))))</f>
        <v/>
      </c>
      <c r="H26" s="1559" t="str">
        <f>IF(NOT('01 Org'!F147 = ""),'01 Org'!F147,IF(COUNTIF('01 Org'!F148:F157,"&gt;=0")=0,"", MIN(MAX(SUMPRODUCT('01 Org'!F148:F157,'01 Org'!$G148:$G157)*4/(SUM('01 Org'!$G148:$G157) - SUMIF('01 Org'!F148:F157,"X",'01 Org'!$G148:$G157)),MAX('01 Org'!AD148:AD157)),MIN('01 Org'!AH148:AH157))))</f>
        <v/>
      </c>
      <c r="I26" s="1557">
        <f>IF(AND(OR(E26="X",E26=""),OR(F26="X",F26=""),OR(G26="X",G26=""),OR(H26="X",H26="")),1,ROUND(MIN(IF(OR(E26="",E26="X"),4,E26),IF(OR(F26="",F26="X"),4,F26),IF(OR(G26="",G26="X"),4,G26),IF(OR(H26="",H26="X"),4,H26)),0))</f>
        <v>1</v>
      </c>
      <c r="J26" s="1557">
        <f>IF(I26="","",IF(IndG=3,MAX(I26,Obj_Projets!J26),MAX(I26,Obj_PA!D26)))</f>
        <v>1</v>
      </c>
      <c r="K26" s="1560">
        <f>IF(IF(OR(IndG=3,IndG=4),MAX(I26,J26),I26)&lt;1,1,IF(OR(IndG=3,IndG=4),MAX(I26,J26),I26))</f>
        <v>1</v>
      </c>
      <c r="L26" s="1650" t="str">
        <f>IF(E26=""," n'a pas démarré","")</f>
        <v xml:space="preserve"> n'a pas démarré</v>
      </c>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row>
    <row r="27" spans="1:54" s="527" customFormat="1" ht="15.75" customHeight="1" outlineLevel="1" x14ac:dyDescent="0.2">
      <c r="A27" s="1212"/>
      <c r="B27" s="1212" t="s">
        <v>5899</v>
      </c>
      <c r="C27" s="1219" t="s">
        <v>5900</v>
      </c>
      <c r="D27" s="1562" t="s">
        <v>2617</v>
      </c>
      <c r="E27" s="1559" t="str">
        <f>IF(NOT('01 Org'!C158 = ""),'01 Org'!C158,IF(COUNTIF('01 Org'!C159:C169,"&gt;=0")=0,"", MIN(MAX(SUMPRODUCT('01 Org'!C159:C169,'01 Org'!$G159:$G169)*4/(SUM('01 Org'!$G159:$G169) - SUMIF('01 Org'!C159:C169,"X",'01 Org'!$G159:$G169)),MAX('01 Org'!AA159:AA169)),MIN('01 Org'!AE159:AE169))))</f>
        <v/>
      </c>
      <c r="F27" s="1559" t="str">
        <f>IF(NOT('01 Org'!D158 = ""),'01 Org'!D158,IF(COUNTIF('01 Org'!D159:D169,"&gt;=0")=0,"", MIN(MAX(SUMPRODUCT('01 Org'!D159:D169,'01 Org'!$G159:$G169)*4/(SUM('01 Org'!$G159:$G169) - SUMIF('01 Org'!D159:D169,"X",'01 Org'!$G159:$G169)),MAX('01 Org'!AB159:AB169)),MIN('01 Org'!AF159:AF169))))</f>
        <v/>
      </c>
      <c r="G27" s="1559" t="str">
        <f>IF(NOT('01 Org'!E158 = ""),'01 Org'!E158,IF(COUNTIF('01 Org'!E159:E169,"&gt;=0")=0,"", MIN(MAX(SUMPRODUCT('01 Org'!E159:E169,'01 Org'!$G159:$G169)*4/(SUM('01 Org'!$G159:$G169) - SUMIF('01 Org'!E159:E169,"X",'01 Org'!$G159:$G169)),MAX('01 Org'!AC159:AC169)),MIN('01 Org'!AG159:AG169))))</f>
        <v/>
      </c>
      <c r="H27" s="1559" t="str">
        <f>IF(NOT('01 Org'!F158 = ""),'01 Org'!F158,IF(COUNTIF('01 Org'!F159:F169,"&gt;=0")=0,"", MIN(MAX(SUMPRODUCT('01 Org'!F159:F169,'01 Org'!$G159:$G169)*4/(SUM('01 Org'!$G159:$G169) - SUMIF('01 Org'!F159:F169,"X",'01 Org'!$G159:$G169)),MAX('01 Org'!AD159:AD169)),MIN('01 Org'!AH159:AH169))))</f>
        <v/>
      </c>
      <c r="I27" s="1557">
        <f>IF(AND(OR(E27="X",E27=""),OR(F27="X",F27=""),OR(G27="X",G27=""),OR(H27="X",H27="")),1,ROUND(MIN(IF(OR(E27="",E27="X"),4,E27),IF(OR(F27="",F27="X"),4,F27),IF(OR(G27="",G27="X"),4,G27),IF(OR(H27="",H27="X"),4,H27)),0))</f>
        <v>1</v>
      </c>
      <c r="J27" s="1557">
        <f>IF(I27="","",IF(IndG=3,MAX(I27,Obj_Projets!J27),MAX(I27,Obj_PA!D27)))</f>
        <v>1</v>
      </c>
      <c r="K27" s="1560">
        <f>IF(IF(OR(IndG=3,IndG=4),MAX(I27,J27),I27)&lt;1,1,IF(OR(IndG=3,IndG=4),MAX(I27,J27),I27))</f>
        <v>1</v>
      </c>
      <c r="L27" s="1650" t="str">
        <f>IF(E27=""," n'a pas démarré","")</f>
        <v xml:space="preserve"> n'a pas démarré</v>
      </c>
      <c r="M27" s="154"/>
      <c r="N27" s="154"/>
      <c r="O27" s="154"/>
      <c r="P27" s="154"/>
      <c r="Q27" s="154"/>
      <c r="R27" s="154"/>
      <c r="S27" s="154"/>
      <c r="T27" s="154"/>
      <c r="U27" s="154"/>
      <c r="V27" s="154"/>
      <c r="W27" s="154"/>
      <c r="X27" s="154"/>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row>
    <row r="28" spans="1:54" s="527" customFormat="1" ht="15.75" customHeight="1" outlineLevel="1" x14ac:dyDescent="0.2">
      <c r="A28" s="1212"/>
      <c r="B28" s="1212" t="s">
        <v>5119</v>
      </c>
      <c r="C28" s="1219" t="s">
        <v>4622</v>
      </c>
      <c r="D28" s="1562" t="s">
        <v>2617</v>
      </c>
      <c r="E28" s="1559" t="str">
        <f>IF(NOT('01 Org'!C170 = ""),'01 Org'!C170,IF(COUNTIF('01 Org'!C171:C176,"&gt;=0")=0,"", MIN(MAX(SUMPRODUCT('01 Org'!C171:C176,'01 Org'!$G171:$G176)*4/(SUM('01 Org'!$G171:$G176) - SUMIF('01 Org'!C171:C176,"X",'01 Org'!$G171:$G176)),MAX('01 Org'!AA171:AA176)),MIN('01 Org'!AE171:AE176))))</f>
        <v/>
      </c>
      <c r="F28" s="1559" t="str">
        <f>IF(NOT('01 Org'!D170 = ""),'01 Org'!D170,IF(COUNTIF('01 Org'!D171:D176,"&gt;=0")=0,"", MIN(MAX(SUMPRODUCT('01 Org'!D171:D176,'01 Org'!$G171:$G176)*4/(SUM('01 Org'!$G171:$G176) - SUMIF('01 Org'!D171:D176,"X",'01 Org'!$G171:$G176)),MAX('01 Org'!AB171:AB176)),MIN('01 Org'!AF171:AF176))))</f>
        <v/>
      </c>
      <c r="G28" s="1559" t="str">
        <f>IF(NOT('01 Org'!E170 = ""),'01 Org'!E170,IF(COUNTIF('01 Org'!E171:E176,"&gt;=0")=0,"", MIN(MAX(SUMPRODUCT('01 Org'!E171:E176,'01 Org'!$G171:$G176)*4/(SUM('01 Org'!$G171:$G176) - SUMIF('01 Org'!E171:E176,"X",'01 Org'!$G171:$G176)),MAX('01 Org'!AC171:AC176)),MIN('01 Org'!AG171:AG176))))</f>
        <v/>
      </c>
      <c r="H28" s="1559" t="str">
        <f>IF(NOT('01 Org'!F170 = ""),'01 Org'!F170,IF(COUNTIF('01 Org'!F171:F176,"&gt;=0")=0,"", MIN(MAX(SUMPRODUCT('01 Org'!F171:F176,'01 Org'!$G171:$G176)*4/(SUM('01 Org'!$G171:$G176) - SUMIF('01 Org'!F171:F176,"X",'01 Org'!$G171:$G176)),MAX('01 Org'!AD171:AD176)),MIN('01 Org'!AH171:AH176))))</f>
        <v/>
      </c>
      <c r="I28" s="1557">
        <f>IF(AND(OR(E28="X",E28=""),OR(F28="X",F28=""),OR(G28="X",G28=""),OR(H28="X",H28="")),1,ROUND(MIN(IF(OR(E28="",E28="X"),4,E28),IF(OR(F28="",F28="X"),4,F28),IF(OR(G28="",G28="X"),4,G28),IF(OR(H28="",H28="X"),4,H28)),0))</f>
        <v>1</v>
      </c>
      <c r="J28" s="1557">
        <f>IF(I28="","",IF(IndG=3,MAX(I28,Obj_Projets!J28),MAX(I28,Obj_PA!D28)))</f>
        <v>1</v>
      </c>
      <c r="K28" s="1560">
        <f>IF(IF(OR(IndG=3,IndG=4),MAX(I28,J28),I28)&lt;1,1,IF(OR(IndG=3,IndG=4),MAX(I28,J28),I28))</f>
        <v>1</v>
      </c>
      <c r="L28" s="1650" t="str">
        <f>IF(E28=""," n'a pas démarré","")</f>
        <v xml:space="preserve"> n'a pas démarré</v>
      </c>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54"/>
      <c r="AO28" s="154"/>
      <c r="AP28" s="154"/>
      <c r="AQ28" s="154"/>
      <c r="AR28" s="154"/>
      <c r="AS28" s="154"/>
      <c r="AT28" s="154"/>
      <c r="AU28" s="154"/>
      <c r="AV28" s="154"/>
      <c r="AW28" s="154"/>
      <c r="AX28" s="154"/>
      <c r="AY28" s="154"/>
      <c r="AZ28" s="154"/>
      <c r="BA28" s="154"/>
      <c r="BB28" s="154"/>
    </row>
    <row r="29" spans="1:54" s="527" customFormat="1" ht="15.75" customHeight="1" outlineLevel="1" x14ac:dyDescent="0.2">
      <c r="A29" s="1212"/>
      <c r="B29" s="1212" t="s">
        <v>5120</v>
      </c>
      <c r="C29" s="1219" t="s">
        <v>5121</v>
      </c>
      <c r="D29" s="1562" t="s">
        <v>2617</v>
      </c>
      <c r="E29" s="1559" t="str">
        <f>IF(NOT('01 Org'!C177 = ""),'01 Org'!C177,IF(COUNTIF('01 Org'!C178:C185,"&gt;=0")=0,"", MIN(MAX(SUMPRODUCT('01 Org'!C178:C185,'01 Org'!$G178:$G185)*4/(SUM('01 Org'!$G178:$G185) - SUMIF('01 Org'!C178:C185,"X",'01 Org'!$G178:$G185)),MAX('01 Org'!AA178:AA185)),MIN('01 Org'!AE178:AE185))))</f>
        <v/>
      </c>
      <c r="F29" s="1559" t="str">
        <f>IF(NOT('01 Org'!D177 = ""),'01 Org'!D177,IF(COUNTIF('01 Org'!D178:D185,"&gt;=0")=0,"", MIN(MAX(SUMPRODUCT('01 Org'!D178:D185,'01 Org'!$G178:$G185)*4/(SUM('01 Org'!$G178:$G185) - SUMIF('01 Org'!D178:D185,"X",'01 Org'!$G178:$G185)),MAX('01 Org'!AB178:AB185)),MIN('01 Org'!AF178:AF185))))</f>
        <v/>
      </c>
      <c r="G29" s="1559" t="str">
        <f>IF(NOT('01 Org'!E177 = ""),'01 Org'!E177,IF(COUNTIF('01 Org'!E178:E185,"&gt;=0")=0,"", MIN(MAX(SUMPRODUCT('01 Org'!E178:E185,'01 Org'!$G178:$G185)*4/(SUM('01 Org'!$G178:$G185) - SUMIF('01 Org'!E178:E185,"X",'01 Org'!$G178:$G185)),MAX('01 Org'!AC178:AC185)),MIN('01 Org'!AG178:AG185))))</f>
        <v/>
      </c>
      <c r="H29" s="1559" t="str">
        <f>IF(NOT('01 Org'!F177 = ""),'01 Org'!F177,IF(COUNTIF('01 Org'!F178:F185,"&gt;=0")=0,"", MIN(MAX(SUMPRODUCT('01 Org'!F178:F185,'01 Org'!$G178:$G185)*4/(SUM('01 Org'!$G178:$G185) - SUMIF('01 Org'!F178:F185,"X",'01 Org'!$G178:$G185)),MAX('01 Org'!AD178:AD185)),MIN('01 Org'!AH178:AH185))))</f>
        <v/>
      </c>
      <c r="I29" s="1557">
        <f>IF(AND(OR(E29="X",E29=""),OR(F29="X",F29=""),OR(G29="X",G29=""),OR(H29="X",H29="")),1,ROUND(MIN(IF(OR(E29="",E29="X"),4,E29),IF(OR(F29="",F29="X"),4,F29),IF(OR(G29="",G29="X"),4,G29),IF(OR(H29="",H29="X"),4,H29)),0))</f>
        <v>1</v>
      </c>
      <c r="J29" s="1557">
        <f>IF(I29="","",IF(IndG=3,MAX(I29,Obj_Projets!J29),MAX(I29,Obj_PA!D29)))</f>
        <v>1</v>
      </c>
      <c r="K29" s="1560">
        <f>IF(IF(OR(IndG=3,IndG=4),MAX(I29,J29),I29)&lt;1,1,IF(OR(IndG=3,IndG=4),MAX(I29,J29),I29))</f>
        <v>1</v>
      </c>
      <c r="L29" s="1650" t="str">
        <f>IF(E29=""," n'a pas démarré","")</f>
        <v xml:space="preserve"> n'a pas démarré</v>
      </c>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54"/>
      <c r="AJ29" s="154"/>
      <c r="AK29" s="154"/>
      <c r="AL29" s="154"/>
      <c r="AM29" s="154"/>
      <c r="AN29" s="154"/>
      <c r="AO29" s="154"/>
      <c r="AP29" s="154"/>
      <c r="AQ29" s="154"/>
      <c r="AR29" s="154"/>
      <c r="AS29" s="154"/>
      <c r="AT29" s="154"/>
      <c r="AU29" s="154"/>
      <c r="AV29" s="154"/>
      <c r="AW29" s="154"/>
      <c r="AX29" s="154"/>
      <c r="AY29" s="154"/>
      <c r="AZ29" s="154"/>
      <c r="BA29" s="154"/>
      <c r="BB29" s="154"/>
    </row>
    <row r="30" spans="1:54" s="527" customFormat="1" ht="15.75" customHeight="1" outlineLevel="1" x14ac:dyDescent="0.2">
      <c r="A30" s="1212"/>
      <c r="B30" s="1212" t="s">
        <v>2346</v>
      </c>
      <c r="C30" s="1219" t="s">
        <v>1254</v>
      </c>
      <c r="D30" s="1562" t="s">
        <v>2617</v>
      </c>
      <c r="E30" s="1559" t="str">
        <f>IF(NOT('01 Org'!C186 = ""),'01 Org'!C186,IF(COUNTIF('01 Org'!C187:C192,"&gt;=0")=0,"", MIN(MAX(SUMPRODUCT('01 Org'!C187:C192,'01 Org'!$G187:$G192)*4/(SUM('01 Org'!$G187:$G192) - SUMIF('01 Org'!C187:C192,"X",'01 Org'!$G187:$G192)),MAX('01 Org'!AA187:AA192)),MIN('01 Org'!AE187:AE192))))</f>
        <v/>
      </c>
      <c r="F30" s="1559" t="str">
        <f>IF(NOT('01 Org'!D186 = ""),'01 Org'!D186,IF(COUNTIF('01 Org'!D187:D192,"&gt;=0")=0,"", MIN(MAX(SUMPRODUCT('01 Org'!D187:D192,'01 Org'!$G187:$G192)*4/(SUM('01 Org'!$G187:$G192) - SUMIF('01 Org'!D187:D192,"X",'01 Org'!$G187:$G192)),MAX('01 Org'!AB187:AB192)),MIN('01 Org'!AF187:AF192))))</f>
        <v/>
      </c>
      <c r="G30" s="1559" t="str">
        <f>IF(NOT('01 Org'!E186 = ""),'01 Org'!E186,IF(COUNTIF('01 Org'!E187:E192,"&gt;=0")=0,"", MIN(MAX(SUMPRODUCT('01 Org'!E187:E192,'01 Org'!$G187:$G192)*4/(SUM('01 Org'!$G187:$G192) - SUMIF('01 Org'!E187:E192,"X",'01 Org'!$G187:$G192)),MAX('01 Org'!AC187:AC192)),MIN('01 Org'!AG187:AG192))))</f>
        <v/>
      </c>
      <c r="H30" s="1559" t="str">
        <f>IF(NOT('01 Org'!F186 = ""),'01 Org'!F186,IF(COUNTIF('01 Org'!F187:F192,"&gt;=0")=0,"", MIN(MAX(SUMPRODUCT('01 Org'!F187:F192,'01 Org'!$G187:$G192)*4/(SUM('01 Org'!$G187:$G192) - SUMIF('01 Org'!F187:F192,"X",'01 Org'!$G187:$G192)),MAX('01 Org'!AD187:AD192)),MIN('01 Org'!AH187:AH192))))</f>
        <v/>
      </c>
      <c r="I30" s="1557">
        <f>IF(AND(OR(E30="X",E30=""),OR(F30="X",F30=""),OR(G30="X",G30=""),OR(H30="X",H30="")),1,ROUND(MIN(IF(OR(E30="",E30="X"),4,E30),IF(OR(F30="",F30="X"),4,F30),IF(OR(G30="",G30="X"),4,G30),IF(OR(H30="",H30="X"),4,H30)),0))</f>
        <v>1</v>
      </c>
      <c r="J30" s="1557">
        <f>IF(I30="","",IF(IndG=3,MAX(I30,Obj_Projets!J30),MAX(I30,Obj_PA!D30)))</f>
        <v>1</v>
      </c>
      <c r="K30" s="1560">
        <f>IF(IF(OR(IndG=3,IndG=4),MAX(I30,J30),I30)&lt;1,1,IF(OR(IndG=3,IndG=4),MAX(I30,J30),I30))</f>
        <v>1</v>
      </c>
      <c r="L30" s="1650" t="str">
        <f>IF(E30=""," n'a pas démarré","")</f>
        <v xml:space="preserve"> n'a pas démarré</v>
      </c>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54"/>
      <c r="AO30" s="154"/>
      <c r="AP30" s="154"/>
      <c r="AQ30" s="154"/>
      <c r="AR30" s="154"/>
      <c r="AS30" s="154"/>
      <c r="AT30" s="154"/>
      <c r="AU30" s="154"/>
      <c r="AV30" s="154"/>
      <c r="AW30" s="154"/>
      <c r="AX30" s="154"/>
      <c r="AY30" s="154"/>
      <c r="AZ30" s="154"/>
      <c r="BA30" s="154"/>
      <c r="BB30" s="154"/>
    </row>
    <row r="31" spans="1:54" s="527" customFormat="1" ht="15.75" customHeight="1" outlineLevel="1" x14ac:dyDescent="0.2">
      <c r="A31" s="1212"/>
      <c r="B31" s="1213" t="s">
        <v>5991</v>
      </c>
      <c r="C31" s="1214" t="s">
        <v>5992</v>
      </c>
      <c r="D31" s="1554"/>
      <c r="E31" s="1559"/>
      <c r="F31" s="1559"/>
      <c r="G31" s="1559"/>
      <c r="H31" s="1559"/>
      <c r="I31" s="1561"/>
      <c r="J31" s="1561"/>
      <c r="K31" s="1561"/>
      <c r="L31" s="1650"/>
      <c r="M31" s="154"/>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c r="AV31" s="154"/>
      <c r="AW31" s="154"/>
      <c r="AX31" s="154"/>
      <c r="AY31" s="154"/>
      <c r="AZ31" s="154"/>
      <c r="BA31" s="154"/>
      <c r="BB31" s="154"/>
    </row>
    <row r="32" spans="1:54" s="527" customFormat="1" ht="15.75" customHeight="1" outlineLevel="1" x14ac:dyDescent="0.2">
      <c r="A32" s="1212"/>
      <c r="B32" s="1212" t="s">
        <v>5122</v>
      </c>
      <c r="C32" s="1219" t="s">
        <v>5123</v>
      </c>
      <c r="D32" s="1562" t="s">
        <v>2767</v>
      </c>
      <c r="E32" s="1559" t="str">
        <f>IF(NOT('01 Org'!C194 = ""),'01 Org'!C194,IF(COUNTIF('01 Org'!C195:C197,"&gt;=0")=0,"", MIN(MAX(SUMPRODUCT('01 Org'!C195:C197,'01 Org'!$G195:$G197)*4/(SUM('01 Org'!$G195:$G197) - SUMIF('01 Org'!C195:C197,"X",'01 Org'!$G195:$G197)),MAX('01 Org'!AA195:AA197)),MIN('01 Org'!AE195:AE197))))</f>
        <v/>
      </c>
      <c r="F32" s="1559" t="str">
        <f>IF(NOT('01 Org'!D194 = ""),'01 Org'!D194,IF(COUNTIF('01 Org'!D195:D197,"&gt;=0")=0,"", MIN(MAX(SUMPRODUCT('01 Org'!D195:D197,'01 Org'!$G195:$G197)*4/(SUM('01 Org'!$G195:$G197) - SUMIF('01 Org'!D195:D197,"X",'01 Org'!$G195:$G197)),MAX('01 Org'!AB195:AB197)),MIN('01 Org'!AF195:AF197))))</f>
        <v/>
      </c>
      <c r="G32" s="1559" t="str">
        <f>IF(NOT('01 Org'!E194 = ""),'01 Org'!E194,IF(COUNTIF('01 Org'!E195:E197,"&gt;=0")=0,"", MIN(MAX(SUMPRODUCT('01 Org'!E195:E197,'01 Org'!$G195:$G197)*4/(SUM('01 Org'!$G195:$G197) - SUMIF('01 Org'!E195:E197,"X",'01 Org'!$G195:$G197)),MAX('01 Org'!AC195:AC197)),MIN('01 Org'!AG195:AG197))))</f>
        <v/>
      </c>
      <c r="H32" s="1559" t="str">
        <f>IF(NOT('01 Org'!F194 = ""),'01 Org'!F194,IF(COUNTIF('01 Org'!F195:F197,"&gt;=0")=0,"", MIN(MAX(SUMPRODUCT('01 Org'!F195:F197,'01 Org'!$G195:$G197)*4/(SUM('01 Org'!$G195:$G197) - SUMIF('01 Org'!F195:F197,"X",'01 Org'!$G195:$G197)),MAX('01 Org'!AD195:AD197)),MIN('01 Org'!AH195:AH197))))</f>
        <v/>
      </c>
      <c r="I32" s="1557">
        <f>IF(AND(OR(E32="X",E32=""),OR(F32="X",F32=""),OR(G32="X",G32=""),OR(H32="X",H32="")),1,ROUND(MIN(IF(OR(E32="",E32="X"),4,E32),IF(OR(F32="",F32="X"),4,F32),IF(OR(G32="",G32="X"),4,G32),IF(OR(H32="",H32="X"),4,H32)),0))</f>
        <v>1</v>
      </c>
      <c r="J32" s="1557">
        <f>IF(I32="","",IF(IndG=3,MAX(I32,Obj_Projets!J32),MAX(I32,Obj_PA!D32)))</f>
        <v>1</v>
      </c>
      <c r="K32" s="1560">
        <f>IF(IF(OR(IndG=3,IndG=4),MAX(I32,J32),I32)&lt;1,1,IF(OR(IndG=3,IndG=4),MAX(I32,J32),I32))</f>
        <v>1</v>
      </c>
      <c r="L32" s="1650" t="str">
        <f>IF(E32=""," n'a pas démarré","")</f>
        <v xml:space="preserve"> n'a pas démarré</v>
      </c>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row>
    <row r="33" spans="1:54" s="527" customFormat="1" ht="15.75" customHeight="1" outlineLevel="1" x14ac:dyDescent="0.2">
      <c r="A33" s="1212"/>
      <c r="B33" s="1212" t="s">
        <v>5124</v>
      </c>
      <c r="C33" s="1219" t="s">
        <v>5125</v>
      </c>
      <c r="D33" s="1562" t="s">
        <v>2767</v>
      </c>
      <c r="E33" s="1559" t="str">
        <f>IF(NOT('01 Org'!C198 = ""),'01 Org'!C198,IF(COUNTIF('01 Org'!C199:C210,"&gt;=0")=0,"", MIN(MAX(SUMPRODUCT('01 Org'!C199:C210,'01 Org'!$G199:$G210)*4/(SUM('01 Org'!$G199:$G210) - SUMIF('01 Org'!C199:C210,"X",'01 Org'!$G199:$G210)),MAX('01 Org'!AA199:AA210)),MIN('01 Org'!AE199:AE210))))</f>
        <v/>
      </c>
      <c r="F33" s="1559" t="str">
        <f>IF(NOT('01 Org'!D198 = ""),'01 Org'!D198,IF(COUNTIF('01 Org'!D199:D210,"&gt;=0")=0,"", MIN(MAX(SUMPRODUCT('01 Org'!D199:D210,'01 Org'!$G199:$G210)*4/(SUM('01 Org'!$G199:$G210) - SUMIF('01 Org'!D199:D210,"X",'01 Org'!$G199:$G210)),MAX('01 Org'!AB199:AB210)),MIN('01 Org'!AF199:AF210))))</f>
        <v/>
      </c>
      <c r="G33" s="1559" t="str">
        <f>IF(NOT('01 Org'!E198 = ""),'01 Org'!E198,IF(COUNTIF('01 Org'!E199:E210,"&gt;=0")=0,"", MIN(MAX(SUMPRODUCT('01 Org'!E199:E210,'01 Org'!$G199:$G210)*4/(SUM('01 Org'!$G199:$G210) - SUMIF('01 Org'!E199:E210,"X",'01 Org'!$G199:$G210)),MAX('01 Org'!AC199:AC210)),MIN('01 Org'!AG199:AG210))))</f>
        <v/>
      </c>
      <c r="H33" s="1559" t="str">
        <f>IF(NOT('01 Org'!F198 = ""),'01 Org'!F198,IF(COUNTIF('01 Org'!F199:F210,"&gt;=0")=0,"", MIN(MAX(SUMPRODUCT('01 Org'!F199:F210,'01 Org'!$G199:$G210)*4/(SUM('01 Org'!$G199:$G210) - SUMIF('01 Org'!F199:F210,"X",'01 Org'!$G199:$G210)),MAX('01 Org'!AD199:AD210)),MIN('01 Org'!AH199:AH210))))</f>
        <v/>
      </c>
      <c r="I33" s="1557">
        <f>IF(AND(OR(E33="X",E33=""),OR(F33="X",F33=""),OR(G33="X",G33=""),OR(H33="X",H33="")),1,ROUND(MIN(IF(OR(E33="",E33="X"),4,E33),IF(OR(F33="",F33="X"),4,F33),IF(OR(G33="",G33="X"),4,G33),IF(OR(H33="",H33="X"),4,H33)),0))</f>
        <v>1</v>
      </c>
      <c r="J33" s="1557">
        <f>IF(I33="","",IF(IndG=3,MAX(I33,Obj_Projets!J33),MAX(I33,Obj_PA!D33)))</f>
        <v>1</v>
      </c>
      <c r="K33" s="1560">
        <f>IF(IF(OR(IndG=3,IndG=4),MAX(I33,J33),I33)&lt;1,1,IF(OR(IndG=3,IndG=4),MAX(I33,J33),I33))</f>
        <v>1</v>
      </c>
      <c r="L33" s="1650" t="str">
        <f>IF(E33=""," n'a pas démarré","")</f>
        <v xml:space="preserve"> n'a pas démarré</v>
      </c>
      <c r="M33" s="154"/>
      <c r="N33" s="154"/>
      <c r="O33" s="154"/>
      <c r="P33" s="154"/>
      <c r="Q33" s="154"/>
      <c r="R33" s="154"/>
      <c r="S33" s="154"/>
      <c r="T33" s="154"/>
      <c r="U33" s="154"/>
      <c r="V33" s="154"/>
      <c r="W33" s="154"/>
      <c r="X33" s="154"/>
      <c r="Y33" s="154"/>
      <c r="Z33" s="154"/>
      <c r="AA33" s="154"/>
      <c r="AB33" s="154"/>
      <c r="AC33" s="154"/>
      <c r="AD33" s="154"/>
      <c r="AE33" s="154"/>
      <c r="AF33" s="154"/>
      <c r="AG33" s="154"/>
      <c r="AH33" s="154"/>
      <c r="AI33" s="154"/>
      <c r="AJ33" s="154"/>
      <c r="AK33" s="154"/>
      <c r="AL33" s="154"/>
      <c r="AM33" s="154"/>
      <c r="AN33" s="154"/>
      <c r="AO33" s="154"/>
      <c r="AP33" s="154"/>
      <c r="AQ33" s="154"/>
      <c r="AR33" s="154"/>
      <c r="AS33" s="154"/>
      <c r="AT33" s="154"/>
      <c r="AU33" s="154"/>
      <c r="AV33" s="154"/>
      <c r="AW33" s="154"/>
      <c r="AX33" s="154"/>
      <c r="AY33" s="154"/>
      <c r="AZ33" s="154"/>
      <c r="BA33" s="154"/>
      <c r="BB33" s="154"/>
    </row>
    <row r="34" spans="1:54" s="527" customFormat="1" ht="15.75" customHeight="1" outlineLevel="1" x14ac:dyDescent="0.2">
      <c r="A34" s="1212"/>
      <c r="B34" s="1212" t="s">
        <v>3128</v>
      </c>
      <c r="C34" s="1219" t="s">
        <v>5323</v>
      </c>
      <c r="D34" s="1562" t="s">
        <v>2767</v>
      </c>
      <c r="E34" s="1559" t="str">
        <f>IF(NOT('01 Org'!C211 = ""),'01 Org'!C211,IF(COUNTIF('01 Org'!C212:C217,"&gt;=0")=0,"", MIN(MAX(SUMPRODUCT('01 Org'!C212:C217,'01 Org'!$G212:$G217)*4/(SUM('01 Org'!$G212:$G217) - SUMIF('01 Org'!C212:C217,"X",'01 Org'!$G212:$G217)),MAX('01 Org'!AA212:AA217)),MIN('01 Org'!AE212:AE217))))</f>
        <v/>
      </c>
      <c r="F34" s="1559" t="str">
        <f>IF(NOT('01 Org'!D211 = ""),'01 Org'!D211,IF(COUNTIF('01 Org'!D212:D217,"&gt;=0")=0,"", MIN(MAX(SUMPRODUCT('01 Org'!D212:D217,'01 Org'!$G212:$G217)*4/(SUM('01 Org'!$G212:$G217) - SUMIF('01 Org'!D212:D217,"X",'01 Org'!$G212:$G217)),MAX('01 Org'!AB212:AB217)),MIN('01 Org'!AF212:AF217))))</f>
        <v/>
      </c>
      <c r="G34" s="1559" t="str">
        <f>IF(NOT('01 Org'!E211 = ""),'01 Org'!E211,IF(COUNTIF('01 Org'!E212:E217,"&gt;=0")=0,"", MIN(MAX(SUMPRODUCT('01 Org'!E212:E217,'01 Org'!$G212:$G217)*4/(SUM('01 Org'!$G212:$G217) - SUMIF('01 Org'!E212:E217,"X",'01 Org'!$G212:$G217)),MAX('01 Org'!AC212:AC217)),MIN('01 Org'!AG212:AG217))))</f>
        <v/>
      </c>
      <c r="H34" s="1559" t="str">
        <f>IF(NOT('01 Org'!F211 = ""),'01 Org'!F211,IF(COUNTIF('01 Org'!F212:F217,"&gt;=0")=0,"", MIN(MAX(SUMPRODUCT('01 Org'!F212:F217,'01 Org'!$G212:$G217)*4/(SUM('01 Org'!$G212:$G217) - SUMIF('01 Org'!F212:F217,"X",'01 Org'!$G212:$G217)),MAX('01 Org'!AD212:AD217)),MIN('01 Org'!AH212:AH217))))</f>
        <v/>
      </c>
      <c r="I34" s="1557">
        <f>IF(AND(OR(E34="X",E34=""),OR(F34="X",F34=""),OR(G34="X",G34=""),OR(H34="X",H34="")),1,ROUND(MIN(IF(OR(E34="",E34="X"),4,E34),IF(OR(F34="",F34="X"),4,F34),IF(OR(G34="",G34="X"),4,G34),IF(OR(H34="",H34="X"),4,H34)),0))</f>
        <v>1</v>
      </c>
      <c r="J34" s="1557">
        <f>IF(I34="","",IF(IndG=3,MAX(I34,Obj_Projets!J34),MAX(I34,Obj_PA!D34)))</f>
        <v>1</v>
      </c>
      <c r="K34" s="1560">
        <f>IF(IF(OR(IndG=3,IndG=4),MAX(I34,J34),I34)&lt;1,1,IF(OR(IndG=3,IndG=4),MAX(I34,J34),I34))</f>
        <v>1</v>
      </c>
      <c r="L34" s="1650" t="str">
        <f>IF(E34=""," n'a pas démarré","")</f>
        <v xml:space="preserve"> n'a pas démarré</v>
      </c>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54"/>
      <c r="AO34" s="154"/>
      <c r="AP34" s="154"/>
      <c r="AQ34" s="154"/>
      <c r="AR34" s="154"/>
      <c r="AS34" s="154"/>
      <c r="AT34" s="154"/>
      <c r="AU34" s="154"/>
      <c r="AV34" s="154"/>
      <c r="AW34" s="154"/>
      <c r="AX34" s="154"/>
      <c r="AY34" s="154"/>
      <c r="AZ34" s="154"/>
      <c r="BA34" s="154"/>
      <c r="BB34" s="154"/>
    </row>
    <row r="35" spans="1:54" ht="15.75" customHeight="1" x14ac:dyDescent="0.25">
      <c r="A35" s="1227" t="s">
        <v>3024</v>
      </c>
      <c r="B35" s="1981" t="s">
        <v>6408</v>
      </c>
      <c r="C35" s="1982"/>
      <c r="D35" s="1563"/>
      <c r="E35" s="1564"/>
      <c r="F35" s="1564"/>
      <c r="G35" s="1564"/>
      <c r="H35" s="1564"/>
      <c r="I35" s="1565"/>
      <c r="J35" s="1565"/>
      <c r="K35" s="1565"/>
      <c r="L35" s="1651"/>
    </row>
    <row r="36" spans="1:54" ht="15.75" customHeight="1" outlineLevel="1" x14ac:dyDescent="0.2">
      <c r="A36" s="1212"/>
      <c r="B36" s="1213" t="s">
        <v>4973</v>
      </c>
      <c r="C36" s="1214" t="s">
        <v>7304</v>
      </c>
      <c r="D36" s="1554"/>
      <c r="E36" s="1566"/>
      <c r="F36" s="1566"/>
      <c r="G36" s="1566"/>
      <c r="H36" s="1566"/>
      <c r="I36" s="1561"/>
      <c r="J36" s="1561"/>
      <c r="K36" s="1561"/>
      <c r="L36" s="1652"/>
    </row>
    <row r="37" spans="1:54" ht="15.75" customHeight="1" outlineLevel="1" x14ac:dyDescent="0.2">
      <c r="A37" s="1212"/>
      <c r="B37" s="1212" t="s">
        <v>5126</v>
      </c>
      <c r="C37" s="1219" t="s">
        <v>5862</v>
      </c>
      <c r="D37" s="1567" t="s">
        <v>2620</v>
      </c>
      <c r="E37" s="1566" t="str">
        <f>IF(NOT('02 Sit'!C4 = ""),'02 Sit'!C4,IF(COUNTIF('02 Sit'!C5:C10,"&gt;=0")=0,"", MIN(MAX(SUMPRODUCT('02 Sit'!C5:C10,'02 Sit'!$G5:$G10)*4/(SUM('02 Sit'!$G5:$G10) - SUMIF('02 Sit'!C5:C10,"X",'02 Sit'!$G5:$G10)),MAX('02 Sit'!AA5:AA10)),MIN('02 Sit'!AE5:AE10))))</f>
        <v/>
      </c>
      <c r="F37" s="1566" t="str">
        <f>IF(NOT('02 Sit'!D4 = ""),'02 Sit'!D4,IF(COUNTIF('02 Sit'!D5:D10,"&gt;=0")=0,"", MIN(MAX(SUMPRODUCT('02 Sit'!D5:D10,'02 Sit'!$G5:$G10)*4/(SUM('02 Sit'!$G5:$G10) - SUMIF('02 Sit'!D5:D10,"X",'02 Sit'!$G5:$G10)),MAX('02 Sit'!AB5:AB10)),MIN('02 Sit'!AF5:AF10))))</f>
        <v/>
      </c>
      <c r="G37" s="1566" t="str">
        <f>IF(NOT('02 Sit'!E4 = ""),'02 Sit'!E4,IF(COUNTIF('02 Sit'!E5:E10,"&gt;=0")=0,"", MIN(MAX(SUMPRODUCT('02 Sit'!E5:E10,'02 Sit'!$G5:$G10)*4/(SUM('02 Sit'!$G5:$G10) - SUMIF('02 Sit'!E5:E10,"X",'02 Sit'!$G5:$G10)),MAX('02 Sit'!AC5:AC10)),MIN('02 Sit'!AG5:AG10))))</f>
        <v/>
      </c>
      <c r="H37" s="1566" t="str">
        <f>IF(NOT('02 Sit'!F4 = ""),'02 Sit'!F4,IF(COUNTIF('02 Sit'!F5:F10,"&gt;=0")=0,"", MIN(MAX(SUMPRODUCT('02 Sit'!F5:F10,'02 Sit'!$G5:$G10)*4/(SUM('02 Sit'!$G5:$G10) - SUMIF('02 Sit'!F5:F10,"X",'02 Sit'!$G5:$G10)),MAX('02 Sit'!AD5:AD10)),MIN('02 Sit'!AH5:AH10))))</f>
        <v/>
      </c>
      <c r="I37" s="1557">
        <f>IF(AND(OR(E37="X",E37=""),OR(F37="X",F37=""),OR(G37="X",G37=""),OR(H37="X",H37="")),1,ROUND(MIN(IF(OR(E37="",E37="X"),4,E37),IF(OR(F37="",F37="X"),4,F37),IF(OR(G37="",G37="X"),4,G37),IF(OR(H37="",H37="X"),4,H37)),0))</f>
        <v>1</v>
      </c>
      <c r="J37" s="1557">
        <f>IF(I37="","",IF(IndG=3,MAX(I37,Obj_Projets!J37),MAX(I37,Obj_PA!D37)))</f>
        <v>1</v>
      </c>
      <c r="K37" s="1560">
        <f>IF(IF(OR(IndG=3,IndG=4),MAX(I37,J37),I37)&lt;1,1,IF(OR(IndG=3,IndG=4),MAX(I37,J37),I37))</f>
        <v>1</v>
      </c>
      <c r="L37" s="1652" t="str">
        <f>IF(E37=""," n'a pas démarré","")</f>
        <v xml:space="preserve"> n'a pas démarré</v>
      </c>
    </row>
    <row r="38" spans="1:54" ht="15.75" customHeight="1" outlineLevel="1" x14ac:dyDescent="0.2">
      <c r="A38" s="1212"/>
      <c r="B38" s="1212" t="s">
        <v>5884</v>
      </c>
      <c r="C38" s="1219" t="s">
        <v>5885</v>
      </c>
      <c r="D38" s="1567" t="s">
        <v>2620</v>
      </c>
      <c r="E38" s="1566" t="str">
        <f>IF(NOT('02 Sit'!C11 = ""),'02 Sit'!C11,IF(COUNTIF('02 Sit'!C12:C19,"&gt;=0")=0,"", MIN(MAX(SUMPRODUCT('02 Sit'!C12:C19,'02 Sit'!$G12:$G19)*4/(SUM('02 Sit'!$G12:$G19) - SUMIF('02 Sit'!C12:C19,"X",'02 Sit'!$G12:$G19)),MAX('02 Sit'!AA12:AA19)),MIN('02 Sit'!AE12:AE19))))</f>
        <v/>
      </c>
      <c r="F38" s="1566" t="str">
        <f>IF(NOT('02 Sit'!D11 = ""),'02 Sit'!D11,IF(COUNTIF('02 Sit'!D12:D19,"&gt;=0")=0,"", MIN(MAX(SUMPRODUCT('02 Sit'!D12:D19,'02 Sit'!$G12:$G19)*4/(SUM('02 Sit'!$G12:$G19) - SUMIF('02 Sit'!D12:D19,"X",'02 Sit'!$G12:$G19)),MAX('02 Sit'!AB12:AB19)),MIN('02 Sit'!AF12:AF19))))</f>
        <v/>
      </c>
      <c r="G38" s="1566" t="str">
        <f>IF(NOT('02 Sit'!E11 = ""),'02 Sit'!E11,IF(COUNTIF('02 Sit'!E12:E19,"&gt;=0")=0,"", MIN(MAX(SUMPRODUCT('02 Sit'!E12:E19,'02 Sit'!$G12:$G19)*4/(SUM('02 Sit'!$G12:$G19) - SUMIF('02 Sit'!E12:E19,"X",'02 Sit'!$G12:$G19)),MAX('02 Sit'!AC12:AC19)),MIN('02 Sit'!AG12:AG19))))</f>
        <v/>
      </c>
      <c r="H38" s="1566" t="str">
        <f>IF(NOT('02 Sit'!F11 = ""),'02 Sit'!F11,IF(COUNTIF('02 Sit'!F12:F19,"&gt;=0")=0,"", MIN(MAX(SUMPRODUCT('02 Sit'!F12:F19,'02 Sit'!$G12:$G19)*4/(SUM('02 Sit'!$G12:$G19) - SUMIF('02 Sit'!F12:F19,"X",'02 Sit'!$G12:$G19)),MAX('02 Sit'!AD12:AD19)),MIN('02 Sit'!AH12:AH19))))</f>
        <v/>
      </c>
      <c r="I38" s="1557">
        <f>IF(AND(OR(E38="X",E38=""),OR(F38="X",F38=""),OR(G38="X",G38=""),OR(H38="X",H38="")),1,ROUND(MIN(IF(OR(E38="",E38="X"),4,E38),IF(OR(F38="",F38="X"),4,F38),IF(OR(G38="",G38="X"),4,G38),IF(OR(H38="",H38="X"),4,H38)),0))</f>
        <v>1</v>
      </c>
      <c r="J38" s="1557">
        <f>IF(I38="","",IF(IndG=3,MAX(I38,Obj_Projets!J38),MAX(I38,Obj_PA!D38)))</f>
        <v>1</v>
      </c>
      <c r="K38" s="1560">
        <f>IF(IF(OR(IndG=3,IndG=4),MAX(I38,J38),I38)&lt;1,1,IF(OR(IndG=3,IndG=4),MAX(I38,J38),I38))</f>
        <v>1</v>
      </c>
      <c r="L38" s="1652" t="str">
        <f>IF(E38=""," n'a pas démarré","")</f>
        <v xml:space="preserve"> n'a pas démarré</v>
      </c>
    </row>
    <row r="39" spans="1:54" ht="15.75" customHeight="1" outlineLevel="1" x14ac:dyDescent="0.2">
      <c r="A39" s="1212"/>
      <c r="B39" s="1212" t="s">
        <v>5886</v>
      </c>
      <c r="C39" s="1219" t="s">
        <v>3281</v>
      </c>
      <c r="D39" s="1567" t="s">
        <v>2620</v>
      </c>
      <c r="E39" s="1566" t="str">
        <f>IF(NOT('02 Sit'!C20 = ""),'02 Sit'!C20,IF(COUNTIF('02 Sit'!C21:C28,"&gt;=0")=0,"", MIN(MAX(SUMPRODUCT('02 Sit'!C21:C28,'02 Sit'!$G21:$G28)*4/(SUM('02 Sit'!$G21:$G28) - SUMIF('02 Sit'!C21:C28,"X",'02 Sit'!$G21:$G28)),MAX('02 Sit'!AA21:AA28)),MIN('02 Sit'!AE21:AE28))))</f>
        <v/>
      </c>
      <c r="F39" s="1566" t="str">
        <f>IF(NOT('02 Sit'!D20 = ""),'02 Sit'!D20,IF(COUNTIF('02 Sit'!D21:D28,"&gt;=0")=0,"", MIN(MAX(SUMPRODUCT('02 Sit'!D21:D28,'02 Sit'!$G21:$G28)*4/(SUM('02 Sit'!$G21:$G28) - SUMIF('02 Sit'!D21:D28,"X",'02 Sit'!$G21:$G28)),MAX('02 Sit'!AB21:AB28)),MIN('02 Sit'!AF21:AF28))))</f>
        <v/>
      </c>
      <c r="G39" s="1566" t="str">
        <f>IF(NOT('02 Sit'!E20 = ""),'02 Sit'!E20,IF(COUNTIF('02 Sit'!E21:E28,"&gt;=0")=0,"", MIN(MAX(SUMPRODUCT('02 Sit'!E21:E28,'02 Sit'!$G21:$G28)*4/(SUM('02 Sit'!$G21:$G28) - SUMIF('02 Sit'!E21:E28,"X",'02 Sit'!$G21:$G28)),MAX('02 Sit'!AC21:AC28)),MIN('02 Sit'!AG21:AG28))))</f>
        <v/>
      </c>
      <c r="H39" s="1566" t="str">
        <f>IF(NOT('02 Sit'!F20 = ""),'02 Sit'!F20,IF(COUNTIF('02 Sit'!F21:F28,"&gt;=0")=0,"", MIN(MAX(SUMPRODUCT('02 Sit'!F21:F28,'02 Sit'!$G21:$G28)*4/(SUM('02 Sit'!$G21:$G28) - SUMIF('02 Sit'!F21:F28,"X",'02 Sit'!$G21:$G28)),MAX('02 Sit'!AD21:AD28)),MIN('02 Sit'!AH21:AH28))))</f>
        <v/>
      </c>
      <c r="I39" s="1557">
        <f>IF(AND(OR(E39="X",E39=""),OR(F39="X",F39=""),OR(G39="X",G39=""),OR(H39="X",H39="")),1,ROUND(MIN(IF(OR(E39="",E39="X"),4,E39),IF(OR(F39="",F39="X"),4,F39),IF(OR(G39="",G39="X"),4,G39),IF(OR(H39="",H39="X"),4,H39)),0))</f>
        <v>1</v>
      </c>
      <c r="J39" s="1557">
        <f>IF(I39="","",IF(IndG=3,MAX(I39,Obj_Projets!J39),MAX(I39,Obj_PA!D39)))</f>
        <v>1</v>
      </c>
      <c r="K39" s="1560">
        <f>IF(IF(OR(IndG=3,IndG=4),MAX(I39,J39),I39)&lt;1,1,IF(OR(IndG=3,IndG=4),MAX(I39,J39),I39))</f>
        <v>1</v>
      </c>
      <c r="L39" s="1652" t="str">
        <f>IF(E39=""," n'a pas démarré","")</f>
        <v xml:space="preserve"> n'a pas démarré</v>
      </c>
    </row>
    <row r="40" spans="1:54" ht="15.75" customHeight="1" outlineLevel="1" x14ac:dyDescent="0.2">
      <c r="A40" s="1212"/>
      <c r="B40" s="1212" t="s">
        <v>6400</v>
      </c>
      <c r="C40" s="1219" t="s">
        <v>6401</v>
      </c>
      <c r="D40" s="1567" t="s">
        <v>2620</v>
      </c>
      <c r="E40" s="1566" t="str">
        <f>IF(NOT('02 Sit'!C29 = ""),'02 Sit'!C29,IF(COUNTIF('02 Sit'!C30:C38,"&gt;=0")=0,"", MIN(MAX(SUMPRODUCT('02 Sit'!C30:C38,'02 Sit'!$G30:$G38)*4/(SUM('02 Sit'!$G30:$G38) - SUMIF('02 Sit'!C30:C38,"X",'02 Sit'!$G30:$G38)),MAX('02 Sit'!AA30:AA38)),MIN('02 Sit'!AE30:AE38))))</f>
        <v/>
      </c>
      <c r="F40" s="1566" t="str">
        <f>IF(NOT('02 Sit'!D29 = ""),'02 Sit'!D29,IF(COUNTIF('02 Sit'!D30:D38,"&gt;=0")=0,"", MIN(MAX(SUMPRODUCT('02 Sit'!D30:D38,'02 Sit'!$G30:$G38)*4/(SUM('02 Sit'!$G30:$G38) - SUMIF('02 Sit'!D30:D38,"X",'02 Sit'!$G30:$G38)),MAX('02 Sit'!AB30:AB38)),MIN('02 Sit'!AF30:AF38))))</f>
        <v/>
      </c>
      <c r="G40" s="1566" t="str">
        <f>IF(NOT('02 Sit'!E29 = ""),'02 Sit'!E29,IF(COUNTIF('02 Sit'!E30:E38,"&gt;=0")=0,"", MIN(MAX(SUMPRODUCT('02 Sit'!E30:E38,'02 Sit'!$G30:$G38)*4/(SUM('02 Sit'!$G30:$G38) - SUMIF('02 Sit'!E30:E38,"X",'02 Sit'!$G30:$G38)),MAX('02 Sit'!AC30:AC38)),MIN('02 Sit'!AG30:AG38))))</f>
        <v/>
      </c>
      <c r="H40" s="1566" t="str">
        <f>IF(NOT('02 Sit'!F29 = ""),'02 Sit'!F29,IF(COUNTIF('02 Sit'!F30:F38,"&gt;=0")=0,"", MIN(MAX(SUMPRODUCT('02 Sit'!F30:F38,'02 Sit'!$G30:$G38)*4/(SUM('02 Sit'!$G30:$G38) - SUMIF('02 Sit'!F30:F38,"X",'02 Sit'!$G30:$G38)),MAX('02 Sit'!AD30:AD38)),MIN('02 Sit'!AH30:AH38))))</f>
        <v/>
      </c>
      <c r="I40" s="1557">
        <f>IF(AND(OR(E40="X",E40=""),OR(F40="X",F40=""),OR(G40="X",G40=""),OR(H40="X",H40="")),1,ROUND(MIN(IF(OR(E40="",E40="X"),4,E40),IF(OR(F40="",F40="X"),4,F40),IF(OR(G40="",G40="X"),4,G40),IF(OR(H40="",H40="X"),4,H40)),0))</f>
        <v>1</v>
      </c>
      <c r="J40" s="1557">
        <f>IF(I40="","",IF(IndG=3,MAX(I40,Obj_Projets!J40),MAX(I40,Obj_PA!D40)))</f>
        <v>1</v>
      </c>
      <c r="K40" s="1560">
        <f>IF(IF(OR(IndG=3,IndG=4),MAX(I40,J40),I40)&lt;1,1,IF(OR(IndG=3,IndG=4),MAX(I40,J40),I40))</f>
        <v>1</v>
      </c>
      <c r="L40" s="1652" t="str">
        <f>IF(E40=""," n'a pas démarré","")</f>
        <v xml:space="preserve"> n'a pas démarré</v>
      </c>
    </row>
    <row r="41" spans="1:54" s="527" customFormat="1" ht="15.75" customHeight="1" outlineLevel="1" x14ac:dyDescent="0.2">
      <c r="A41" s="1212"/>
      <c r="B41" s="1212" t="s">
        <v>6402</v>
      </c>
      <c r="C41" s="1219" t="s">
        <v>4623</v>
      </c>
      <c r="D41" s="1567" t="s">
        <v>2620</v>
      </c>
      <c r="E41" s="1559" t="str">
        <f>IF(NOT('02 Sit'!C39 = ""),'02 Sit'!C39,IF(COUNTIF('02 Sit'!C40:C42,"&gt;=0")=0,"", MIN(MAX(SUMPRODUCT('02 Sit'!C40:C42,'02 Sit'!$G40:$G42)*4/(SUM('02 Sit'!$G40:$G42) - SUMIF('02 Sit'!C40:C42,"X",'02 Sit'!$G40:$G42)),MAX('02 Sit'!AA40:AA42)),MIN('02 Sit'!AE40:AE42))))</f>
        <v/>
      </c>
      <c r="F41" s="1559" t="str">
        <f>IF(NOT('02 Sit'!D39 = ""),'02 Sit'!D39,IF(COUNTIF('02 Sit'!D40:D42,"&gt;=0")=0,"", MIN(MAX(SUMPRODUCT('02 Sit'!D40:D42,'02 Sit'!$G40:$G42)*4/(SUM('02 Sit'!$G40:$G42) - SUMIF('02 Sit'!D40:D42,"X",'02 Sit'!$G40:$G42)),MAX('02 Sit'!AB40:AB42)),MIN('02 Sit'!AF40:AF42))))</f>
        <v/>
      </c>
      <c r="G41" s="1559" t="str">
        <f>IF(NOT('02 Sit'!E39 = ""),'02 Sit'!E39,IF(COUNTIF('02 Sit'!E40:E42,"&gt;=0")=0,"", MIN(MAX(SUMPRODUCT('02 Sit'!E40:E42,'02 Sit'!$G40:$G42)*4/(SUM('02 Sit'!$G40:$G42) - SUMIF('02 Sit'!E40:E42,"X",'02 Sit'!$G40:$G42)),MAX('02 Sit'!AC40:AC42)),MIN('02 Sit'!AG40:AG42))))</f>
        <v/>
      </c>
      <c r="H41" s="1559" t="str">
        <f>IF(NOT('02 Sit'!F39 = ""),'02 Sit'!F39,IF(COUNTIF('02 Sit'!F40:F42,"&gt;=0")=0,"", MIN(MAX(SUMPRODUCT('02 Sit'!F40:F42,'02 Sit'!$G40:$G42)*4/(SUM('02 Sit'!$G40:$G42) - SUMIF('02 Sit'!F40:F42,"X",'02 Sit'!$G40:$G42)),MAX('02 Sit'!AD40:AD42)),MIN('02 Sit'!AH40:AH42))))</f>
        <v/>
      </c>
      <c r="I41" s="1557">
        <f>IF(AND(OR(E41="X",E41=""),OR(F41="X",F41=""),OR(G41="X",G41=""),OR(H41="X",H41="")),1,ROUND(MIN(IF(OR(E41="",E41="X"),4,E41),IF(OR(F41="",F41="X"),4,F41),IF(OR(G41="",G41="X"),4,G41),IF(OR(H41="",H41="X"),4,H41)),0))</f>
        <v>1</v>
      </c>
      <c r="J41" s="1557">
        <f>IF(I41="","",IF(IndG=3,MAX(I41,Obj_Projets!J41),MAX(I41,Obj_PA!D41)))</f>
        <v>1</v>
      </c>
      <c r="K41" s="1560">
        <f>IF(IF(OR(IndG=3,IndG=4),MAX(I41,J41),I41)&lt;1,1,IF(OR(IndG=3,IndG=4),MAX(I41,J41),I41))</f>
        <v>1</v>
      </c>
      <c r="L41" s="1650" t="str">
        <f>IF(E41=""," n'a pas démarré","")</f>
        <v xml:space="preserve"> n'a pas démarré</v>
      </c>
      <c r="M41" s="154"/>
      <c r="N41" s="154"/>
      <c r="O41" s="154"/>
      <c r="P41" s="154"/>
      <c r="Q41" s="154"/>
      <c r="R41" s="154"/>
      <c r="S41" s="154"/>
      <c r="T41" s="154"/>
      <c r="U41" s="154"/>
      <c r="V41" s="154"/>
      <c r="W41" s="154"/>
      <c r="X41" s="154"/>
      <c r="Y41" s="154"/>
      <c r="Z41" s="154"/>
      <c r="AA41" s="154"/>
      <c r="AB41" s="154"/>
      <c r="AC41" s="154"/>
      <c r="AD41" s="154"/>
      <c r="AE41" s="154"/>
      <c r="AF41" s="154"/>
      <c r="AG41" s="154"/>
      <c r="AH41" s="154"/>
      <c r="AI41" s="154"/>
      <c r="AJ41" s="154"/>
      <c r="AK41" s="154"/>
      <c r="AL41" s="154"/>
      <c r="AM41" s="154"/>
      <c r="AN41" s="154"/>
      <c r="AO41" s="154"/>
      <c r="AP41" s="154"/>
      <c r="AQ41" s="154"/>
      <c r="AR41" s="154"/>
      <c r="AS41" s="154"/>
      <c r="AT41" s="154"/>
      <c r="AU41" s="154"/>
      <c r="AV41" s="154"/>
      <c r="AW41" s="154"/>
      <c r="AX41" s="154"/>
      <c r="AY41" s="154"/>
      <c r="AZ41" s="154"/>
      <c r="BA41" s="154"/>
      <c r="BB41" s="154"/>
    </row>
    <row r="42" spans="1:54" s="527" customFormat="1" ht="15.75" customHeight="1" outlineLevel="1" x14ac:dyDescent="0.2">
      <c r="A42" s="1212"/>
      <c r="B42" s="1213" t="s">
        <v>2145</v>
      </c>
      <c r="C42" s="1214" t="s">
        <v>7305</v>
      </c>
      <c r="D42" s="1554"/>
      <c r="E42" s="1559"/>
      <c r="F42" s="1559"/>
      <c r="G42" s="1559"/>
      <c r="H42" s="1559"/>
      <c r="I42" s="1561"/>
      <c r="J42" s="1561"/>
      <c r="K42" s="1561"/>
      <c r="L42" s="1650"/>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row>
    <row r="43" spans="1:54" s="527" customFormat="1" ht="15.75" customHeight="1" outlineLevel="1" x14ac:dyDescent="0.2">
      <c r="A43" s="1212"/>
      <c r="B43" s="1212" t="s">
        <v>4251</v>
      </c>
      <c r="C43" s="1219" t="s">
        <v>5731</v>
      </c>
      <c r="D43" s="1567" t="s">
        <v>2621</v>
      </c>
      <c r="E43" s="1559" t="str">
        <f>IF(NOT('02 Sit'!C44 = ""),'02 Sit'!C44,IF(COUNTIF('02 Sit'!C45:C47,"&gt;=0")=0,"", MIN(MAX(SUMPRODUCT('02 Sit'!C45:C47,'02 Sit'!$G45:$G47)*4/(SUM('02 Sit'!$G45:$G47) - SUMIF('02 Sit'!C45:C47,"X",'02 Sit'!$G45:$G47)),MAX('02 Sit'!AA45:AA47)),MIN('02 Sit'!AE45:AE47))))</f>
        <v/>
      </c>
      <c r="F43" s="1559" t="str">
        <f>IF(NOT('02 Sit'!D44 = ""),'02 Sit'!D44,IF(COUNTIF('02 Sit'!D45:D47,"&gt;=0")=0,"", MIN(MAX(SUMPRODUCT('02 Sit'!D45:D47,'02 Sit'!$G45:$G47)*4/(SUM('02 Sit'!$G45:$G47) - SUMIF('02 Sit'!D45:D47,"X",'02 Sit'!$G45:$G47)),MAX('02 Sit'!AB45:AB47)),MIN('02 Sit'!AF45:AF47))))</f>
        <v/>
      </c>
      <c r="G43" s="1559" t="str">
        <f>IF(NOT('02 Sit'!E44 = ""),'02 Sit'!E44,IF(COUNTIF('02 Sit'!E45:E47,"&gt;=0")=0,"", MIN(MAX(SUMPRODUCT('02 Sit'!E45:E47,'02 Sit'!$G45:$G47)*4/(SUM('02 Sit'!$G45:$G47) - SUMIF('02 Sit'!E45:E47,"X",'02 Sit'!$G45:$G47)),MAX('02 Sit'!AC45:AC47)),MIN('02 Sit'!AG45:AG47))))</f>
        <v/>
      </c>
      <c r="H43" s="1559" t="str">
        <f>IF(NOT('02 Sit'!F44 = ""),'02 Sit'!F44,IF(COUNTIF('02 Sit'!F45:F47,"&gt;=0")=0,"", MIN(MAX(SUMPRODUCT('02 Sit'!F45:F47,'02 Sit'!$G45:$G47)*4/(SUM('02 Sit'!$G45:$G47) - SUMIF('02 Sit'!F45:F47,"X",'02 Sit'!$G45:$G47)),MAX('02 Sit'!AD45:AD47)),MIN('02 Sit'!AH45:AH47))))</f>
        <v/>
      </c>
      <c r="I43" s="1557">
        <f>IF(AND(OR(E43="X",E43=""),OR(F43="X",F43=""),OR(G43="X",G43=""),OR(H43="X",H43="")),1,ROUND(MIN(IF(OR(E43="",E43="X"),4,E43),IF(OR(F43="",F43="X"),4,F43),IF(OR(G43="",G43="X"),4,G43),IF(OR(H43="",H43="X"),4,H43)),0))</f>
        <v>1</v>
      </c>
      <c r="J43" s="1557">
        <f>IF(I43="","",IF(IndG=3,MAX(I43,Obj_Projets!J43),MAX(I43,Obj_PA!D43)))</f>
        <v>1</v>
      </c>
      <c r="K43" s="1560">
        <f>IF(IF(OR(IndG=3,IndG=4),MAX(I43,J43),I43)&lt;1,1,IF(OR(IndG=3,IndG=4),MAX(I43,J43),I43))</f>
        <v>1</v>
      </c>
      <c r="L43" s="1650" t="str">
        <f>IF(E43=""," n'a pas démarré","")</f>
        <v xml:space="preserve"> n'a pas démarré</v>
      </c>
      <c r="M43" s="154"/>
      <c r="N43" s="154"/>
      <c r="O43" s="154"/>
      <c r="P43" s="154"/>
      <c r="Q43" s="154"/>
      <c r="R43" s="154"/>
      <c r="S43" s="154"/>
      <c r="T43" s="154"/>
      <c r="U43" s="154"/>
      <c r="V43" s="154"/>
      <c r="W43" s="154"/>
      <c r="X43" s="154"/>
      <c r="Y43" s="154"/>
      <c r="Z43" s="154"/>
      <c r="AA43" s="154"/>
      <c r="AB43" s="154"/>
      <c r="AC43" s="154"/>
      <c r="AD43" s="154"/>
      <c r="AE43" s="154"/>
      <c r="AF43" s="154"/>
      <c r="AG43" s="154"/>
      <c r="AH43" s="154"/>
      <c r="AI43" s="154"/>
      <c r="AJ43" s="154"/>
      <c r="AK43" s="154"/>
      <c r="AL43" s="154"/>
      <c r="AM43" s="154"/>
      <c r="AN43" s="154"/>
      <c r="AO43" s="154"/>
      <c r="AP43" s="154"/>
      <c r="AQ43" s="154"/>
      <c r="AR43" s="154"/>
      <c r="AS43" s="154"/>
      <c r="AT43" s="154"/>
      <c r="AU43" s="154"/>
      <c r="AV43" s="154"/>
      <c r="AW43" s="154"/>
      <c r="AX43" s="154"/>
      <c r="AY43" s="154"/>
      <c r="AZ43" s="154"/>
      <c r="BA43" s="154"/>
      <c r="BB43" s="154"/>
    </row>
    <row r="44" spans="1:54" s="527" customFormat="1" ht="15.75" customHeight="1" outlineLevel="1" x14ac:dyDescent="0.2">
      <c r="A44" s="1212"/>
      <c r="B44" s="1213" t="s">
        <v>6409</v>
      </c>
      <c r="C44" s="1214" t="s">
        <v>7306</v>
      </c>
      <c r="D44" s="1554"/>
      <c r="E44" s="1559"/>
      <c r="F44" s="1559"/>
      <c r="G44" s="1559"/>
      <c r="H44" s="1559"/>
      <c r="I44" s="1561"/>
      <c r="J44" s="1561"/>
      <c r="K44" s="1561"/>
      <c r="L44" s="1650"/>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row>
    <row r="45" spans="1:54" s="527" customFormat="1" ht="15.75" customHeight="1" outlineLevel="1" x14ac:dyDescent="0.2">
      <c r="A45" s="1212"/>
      <c r="B45" s="1212" t="s">
        <v>6411</v>
      </c>
      <c r="C45" s="1219" t="s">
        <v>3412</v>
      </c>
      <c r="D45" s="1567" t="s">
        <v>2620</v>
      </c>
      <c r="E45" s="1559" t="str">
        <f>IF(NOT('02 Sit'!C49 = ""),'02 Sit'!C49,IF(COUNTIF('02 Sit'!C50:C54,"&gt;=0")=0,"", MIN(MAX(SUMPRODUCT('02 Sit'!C50:C54,'02 Sit'!$G50:$G54)*4/(SUM('02 Sit'!$G50:$G54) - SUMIF('02 Sit'!C50:C54,"X",'02 Sit'!$G50:$G54)),MAX('02 Sit'!AA50:AA54)),MIN('02 Sit'!AE50:AE54))))</f>
        <v/>
      </c>
      <c r="F45" s="1559" t="str">
        <f>IF(NOT('02 Sit'!D49 = ""),'02 Sit'!D49,IF(COUNTIF('02 Sit'!D50:D54,"&gt;=0")=0,"", MIN(MAX(SUMPRODUCT('02 Sit'!D50:D54,'02 Sit'!$G50:$G54)*4/(SUM('02 Sit'!$G50:$G54) - SUMIF('02 Sit'!D50:D54,"X",'02 Sit'!$G50:$G54)),MAX('02 Sit'!AB50:AB54)),MIN('02 Sit'!AF50:AF54))))</f>
        <v/>
      </c>
      <c r="G45" s="1559" t="str">
        <f>IF(NOT('02 Sit'!E49 = ""),'02 Sit'!E49,IF(COUNTIF('02 Sit'!E50:E54,"&gt;=0")=0,"", MIN(MAX(SUMPRODUCT('02 Sit'!E50:E54,'02 Sit'!$G50:$G54)*4/(SUM('02 Sit'!$G50:$G54) - SUMIF('02 Sit'!E50:E54,"X",'02 Sit'!$G50:$G54)),MAX('02 Sit'!AC50:AC54)),MIN('02 Sit'!AG50:AG54))))</f>
        <v/>
      </c>
      <c r="H45" s="1559" t="str">
        <f>IF(NOT('02 Sit'!F49 = ""),'02 Sit'!F49,IF(COUNTIF('02 Sit'!F50:F54,"&gt;=0")=0,"", MIN(MAX(SUMPRODUCT('02 Sit'!F50:F54,'02 Sit'!$G50:$G54)*4/(SUM('02 Sit'!$G50:$G54) - SUMIF('02 Sit'!F50:F54,"X",'02 Sit'!$G50:$G54)),MAX('02 Sit'!AD50:AD54)),MIN('02 Sit'!AH50:AH54))))</f>
        <v/>
      </c>
      <c r="I45" s="1557">
        <f t="shared" ref="I45:I50" si="3">IF(AND(OR(E45="X",E45=""),OR(F45="X",F45=""),OR(G45="X",G45=""),OR(H45="X",H45="")),1,ROUND(MIN(IF(OR(E45="",E45="X"),4,E45),IF(OR(F45="",F45="X"),4,F45),IF(OR(G45="",G45="X"),4,G45),IF(OR(H45="",H45="X"),4,H45)),0))</f>
        <v>1</v>
      </c>
      <c r="J45" s="1557">
        <f>IF(I45="","",IF(IndG=3,MAX(I45,Obj_Projets!J45),MAX(I45,Obj_PA!D45)))</f>
        <v>1</v>
      </c>
      <c r="K45" s="1560">
        <f t="shared" ref="K45:K50" si="4">IF(IF(OR(IndG=3,IndG=4),MAX(I45,J45),I45)&lt;1,1,IF(OR(IndG=3,IndG=4),MAX(I45,J45),I45))</f>
        <v>1</v>
      </c>
      <c r="L45" s="1650" t="str">
        <f t="shared" ref="L45:L50" si="5">IF(E45=""," n'a pas démarré","")</f>
        <v xml:space="preserve"> n'a pas démarré</v>
      </c>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54"/>
      <c r="AO45" s="154"/>
      <c r="AP45" s="154"/>
      <c r="AQ45" s="154"/>
      <c r="AR45" s="154"/>
      <c r="AS45" s="154"/>
      <c r="AT45" s="154"/>
      <c r="AU45" s="154"/>
      <c r="AV45" s="154"/>
      <c r="AW45" s="154"/>
      <c r="AX45" s="154"/>
      <c r="AY45" s="154"/>
      <c r="AZ45" s="154"/>
      <c r="BA45" s="154"/>
      <c r="BB45" s="154"/>
    </row>
    <row r="46" spans="1:54" s="527" customFormat="1" ht="15.75" customHeight="1" outlineLevel="1" x14ac:dyDescent="0.2">
      <c r="A46" s="1212"/>
      <c r="B46" s="1212" t="s">
        <v>6412</v>
      </c>
      <c r="C46" s="1219" t="s">
        <v>1798</v>
      </c>
      <c r="D46" s="1567" t="s">
        <v>2620</v>
      </c>
      <c r="E46" s="1559" t="str">
        <f>IF(NOT('02 Sit'!C55 = ""),'02 Sit'!C55,IF(COUNTIF('02 Sit'!C56:C70,"&gt;=0")=0,"", MIN(MAX(SUMPRODUCT('02 Sit'!C56:C70,'02 Sit'!$G56:$G70)*4/(SUM('02 Sit'!$G56:$G70) - SUMIF('02 Sit'!C56:C70,"X",'02 Sit'!$G56:$G70)),MAX('02 Sit'!AA56:AA70)),MIN('02 Sit'!AE56:AE70))))</f>
        <v/>
      </c>
      <c r="F46" s="1559" t="str">
        <f>IF(NOT('02 Sit'!D55 = ""),'02 Sit'!D55,IF(COUNTIF('02 Sit'!D56:D70,"&gt;=0")=0,"", MIN(MAX(SUMPRODUCT('02 Sit'!D56:D70,'02 Sit'!$G56:$G70)*4/(SUM('02 Sit'!$G56:$G70) - SUMIF('02 Sit'!D56:D70,"X",'02 Sit'!$G56:$G70)),MAX('02 Sit'!AB56:AB70)),MIN('02 Sit'!AF56:AF70))))</f>
        <v/>
      </c>
      <c r="G46" s="1559" t="str">
        <f>IF(NOT('02 Sit'!E55 = ""),'02 Sit'!E55,IF(COUNTIF('02 Sit'!E56:E70,"&gt;=0")=0,"", MIN(MAX(SUMPRODUCT('02 Sit'!E56:E70,'02 Sit'!$G56:$G70)*4/(SUM('02 Sit'!$G56:$G70) - SUMIF('02 Sit'!E56:E70,"X",'02 Sit'!$G56:$G70)),MAX('02 Sit'!AC56:AC70)),MIN('02 Sit'!AG56:AG70))))</f>
        <v/>
      </c>
      <c r="H46" s="1559" t="str">
        <f>IF(NOT('02 Sit'!F55 = ""),'02 Sit'!F55,IF(COUNTIF('02 Sit'!F56:F70,"&gt;=0")=0,"", MIN(MAX(SUMPRODUCT('02 Sit'!F56:F70,'02 Sit'!$G56:$G70)*4/(SUM('02 Sit'!$G56:$G70) - SUMIF('02 Sit'!F56:F70,"X",'02 Sit'!$G56:$G70)),MAX('02 Sit'!AD56:AD70)),MIN('02 Sit'!AH56:AH70))))</f>
        <v/>
      </c>
      <c r="I46" s="1557">
        <f t="shared" si="3"/>
        <v>1</v>
      </c>
      <c r="J46" s="1557">
        <f>IF(I46="","",IF(IndG=3,MAX(I46,Obj_Projets!J46),MAX(I46,Obj_PA!D46)))</f>
        <v>1</v>
      </c>
      <c r="K46" s="1560">
        <f t="shared" si="4"/>
        <v>1</v>
      </c>
      <c r="L46" s="1650" t="str">
        <f t="shared" si="5"/>
        <v xml:space="preserve"> n'a pas démarré</v>
      </c>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54"/>
      <c r="AO46" s="154"/>
      <c r="AP46" s="154"/>
      <c r="AQ46" s="154"/>
      <c r="AR46" s="154"/>
      <c r="AS46" s="154"/>
      <c r="AT46" s="154"/>
      <c r="AU46" s="154"/>
      <c r="AV46" s="154"/>
      <c r="AW46" s="154"/>
      <c r="AX46" s="154"/>
      <c r="AY46" s="154"/>
      <c r="AZ46" s="154"/>
      <c r="BA46" s="154"/>
      <c r="BB46" s="154"/>
    </row>
    <row r="47" spans="1:54" s="527" customFormat="1" ht="15.75" customHeight="1" outlineLevel="1" x14ac:dyDescent="0.2">
      <c r="A47" s="1212"/>
      <c r="B47" s="1212" t="s">
        <v>6413</v>
      </c>
      <c r="C47" s="1219" t="s">
        <v>3230</v>
      </c>
      <c r="D47" s="1567" t="s">
        <v>2620</v>
      </c>
      <c r="E47" s="1559" t="str">
        <f>IF(NOT('02 Sit'!C71 = ""),'02 Sit'!C71,IF(COUNTIF('02 Sit'!C72:C81,"&gt;=0")=0,"", MIN(MAX(SUMPRODUCT('02 Sit'!C72:C81,'02 Sit'!$G72:$G81)*4/(SUM('02 Sit'!$G72:$G81) - SUMIF('02 Sit'!C72:C81,"X",'02 Sit'!$G72:$G81)),MAX('02 Sit'!AA72:AA81)),MIN('02 Sit'!AE72:AE81))))</f>
        <v/>
      </c>
      <c r="F47" s="1559" t="str">
        <f>IF(NOT('02 Sit'!D71 = ""),'02 Sit'!D71,IF(COUNTIF('02 Sit'!D72:D81,"&gt;=0")=0,"", MIN(MAX(SUMPRODUCT('02 Sit'!D72:D81,'02 Sit'!$G72:$G81)*4/(SUM('02 Sit'!$G72:$G81) - SUMIF('02 Sit'!D72:D81,"X",'02 Sit'!$G72:$G81)),MAX('02 Sit'!AB72:AB81)),MIN('02 Sit'!AF72:AF81))))</f>
        <v/>
      </c>
      <c r="G47" s="1559" t="str">
        <f>IF(NOT('02 Sit'!E71 = ""),'02 Sit'!E71,IF(COUNTIF('02 Sit'!E72:E81,"&gt;=0")=0,"", MIN(MAX(SUMPRODUCT('02 Sit'!E72:E81,'02 Sit'!$G72:$G81)*4/(SUM('02 Sit'!$G72:$G81) - SUMIF('02 Sit'!E72:E81,"X",'02 Sit'!$G72:$G81)),MAX('02 Sit'!AC72:AC81)),MIN('02 Sit'!AG72:AG81))))</f>
        <v/>
      </c>
      <c r="H47" s="1559" t="str">
        <f>IF(NOT('02 Sit'!F71 = ""),'02 Sit'!F71,IF(COUNTIF('02 Sit'!F72:F81,"&gt;=0")=0,"", MIN(MAX(SUMPRODUCT('02 Sit'!F72:F81,'02 Sit'!$G72:$G81)*4/(SUM('02 Sit'!$G72:$G81) - SUMIF('02 Sit'!F72:F81,"X",'02 Sit'!$G72:$G81)),MAX('02 Sit'!AD72:AD81)),MIN('02 Sit'!AH72:AH81))))</f>
        <v/>
      </c>
      <c r="I47" s="1557">
        <f t="shared" si="3"/>
        <v>1</v>
      </c>
      <c r="J47" s="1557">
        <f>IF(I47="","",IF(IndG=3,MAX(I47,Obj_Projets!J47),MAX(I47,Obj_PA!D47)))</f>
        <v>1</v>
      </c>
      <c r="K47" s="1560">
        <f t="shared" si="4"/>
        <v>1</v>
      </c>
      <c r="L47" s="1650" t="str">
        <f t="shared" si="5"/>
        <v xml:space="preserve"> n'a pas démarré</v>
      </c>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54"/>
      <c r="AO47" s="154"/>
      <c r="AP47" s="154"/>
      <c r="AQ47" s="154"/>
      <c r="AR47" s="154"/>
      <c r="AS47" s="154"/>
      <c r="AT47" s="154"/>
      <c r="AU47" s="154"/>
      <c r="AV47" s="154"/>
      <c r="AW47" s="154"/>
      <c r="AX47" s="154"/>
      <c r="AY47" s="154"/>
      <c r="AZ47" s="154"/>
      <c r="BA47" s="154"/>
      <c r="BB47" s="154"/>
    </row>
    <row r="48" spans="1:54" s="527" customFormat="1" ht="15.75" customHeight="1" outlineLevel="1" x14ac:dyDescent="0.2">
      <c r="A48" s="1212"/>
      <c r="B48" s="1212" t="s">
        <v>3119</v>
      </c>
      <c r="C48" s="1219" t="s">
        <v>2169</v>
      </c>
      <c r="D48" s="1567" t="s">
        <v>2620</v>
      </c>
      <c r="E48" s="1559" t="str">
        <f>IF(NOT('02 Sit'!C82 = ""),'02 Sit'!C82,IF(COUNTIF('02 Sit'!C83:C90,"&gt;=0")=0,"", MIN(MAX(SUMPRODUCT('02 Sit'!C83:C90,'02 Sit'!$G83:$G90)*4/(SUM('02 Sit'!$G83:$G90) - SUMIF('02 Sit'!C83:C90,"X",'02 Sit'!$G83:$G90)),MAX('02 Sit'!AA83:AA90)),MIN('02 Sit'!AE83:AE90))))</f>
        <v/>
      </c>
      <c r="F48" s="1559" t="str">
        <f>IF(NOT('02 Sit'!D82 = ""),'02 Sit'!D82,IF(COUNTIF('02 Sit'!D83:D90,"&gt;=0")=0,"", MIN(MAX(SUMPRODUCT('02 Sit'!D83:D90,'02 Sit'!$G83:$G90)*4/(SUM('02 Sit'!$G83:$G90) - SUMIF('02 Sit'!D83:D90,"X",'02 Sit'!$G83:$G90)),MAX('02 Sit'!AB83:AB90)),MIN('02 Sit'!AF83:AF90))))</f>
        <v/>
      </c>
      <c r="G48" s="1559" t="str">
        <f>IF(NOT('02 Sit'!E82 = ""),'02 Sit'!E82,IF(COUNTIF('02 Sit'!E83:E90,"&gt;=0")=0,"", MIN(MAX(SUMPRODUCT('02 Sit'!E83:E90,'02 Sit'!$G83:$G90)*4/(SUM('02 Sit'!$G83:$G90) - SUMIF('02 Sit'!E83:E90,"X",'02 Sit'!$G83:$G90)),MAX('02 Sit'!AC83:AC90)),MIN('02 Sit'!AG83:AG90))))</f>
        <v/>
      </c>
      <c r="H48" s="1559" t="str">
        <f>IF(NOT('02 Sit'!F82 = ""),'02 Sit'!F82,IF(COUNTIF('02 Sit'!F83:F90,"&gt;=0")=0,"", MIN(MAX(SUMPRODUCT('02 Sit'!F83:F90,'02 Sit'!$G83:$G90)*4/(SUM('02 Sit'!$G83:$G90) - SUMIF('02 Sit'!F83:F90,"X",'02 Sit'!$G83:$G90)),MAX('02 Sit'!AD83:AD90)),MIN('02 Sit'!AH83:AH90))))</f>
        <v/>
      </c>
      <c r="I48" s="1557">
        <f t="shared" si="3"/>
        <v>1</v>
      </c>
      <c r="J48" s="1557">
        <f>IF(I48="","",IF(IndG=3,MAX(I48,Obj_Projets!J48),MAX(I48,Obj_PA!D48)))</f>
        <v>1</v>
      </c>
      <c r="K48" s="1560">
        <f t="shared" si="4"/>
        <v>1</v>
      </c>
      <c r="L48" s="1650" t="str">
        <f t="shared" si="5"/>
        <v xml:space="preserve"> n'a pas démarré</v>
      </c>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54"/>
      <c r="AO48" s="154"/>
      <c r="AP48" s="154"/>
      <c r="AQ48" s="154"/>
      <c r="AR48" s="154"/>
      <c r="AS48" s="154"/>
      <c r="AT48" s="154"/>
      <c r="AU48" s="154"/>
      <c r="AV48" s="154"/>
      <c r="AW48" s="154"/>
      <c r="AX48" s="154"/>
      <c r="AY48" s="154"/>
      <c r="AZ48" s="154"/>
      <c r="BA48" s="154"/>
      <c r="BB48" s="154"/>
    </row>
    <row r="49" spans="1:87" s="527" customFormat="1" ht="15.75" customHeight="1" outlineLevel="1" x14ac:dyDescent="0.2">
      <c r="A49" s="1212"/>
      <c r="B49" s="1212" t="s">
        <v>3120</v>
      </c>
      <c r="C49" s="1219" t="s">
        <v>4147</v>
      </c>
      <c r="D49" s="1567" t="s">
        <v>2620</v>
      </c>
      <c r="E49" s="1559" t="str">
        <f>IF(NOT('02 Sit'!C91 = ""),'02 Sit'!C91,IF(COUNTIF('02 Sit'!C92:C98,"&gt;=0")=0,"", MIN(MAX(SUMPRODUCT('02 Sit'!C92:C98,'02 Sit'!$G92:$G98)*4/(SUM('02 Sit'!$G92:$G98) - SUMIF('02 Sit'!C92:C98,"X",'02 Sit'!$G92:$G98)),MAX('02 Sit'!AA92:AA98)),MIN('02 Sit'!AE92:AE98))))</f>
        <v/>
      </c>
      <c r="F49" s="1559" t="str">
        <f>IF(NOT('02 Sit'!D91 = ""),'02 Sit'!D91,IF(COUNTIF('02 Sit'!D92:D98,"&gt;=0")=0,"", MIN(MAX(SUMPRODUCT('02 Sit'!D92:D98,'02 Sit'!$G92:$G98)*4/(SUM('02 Sit'!$G92:$G98) - SUMIF('02 Sit'!D92:D98,"X",'02 Sit'!$G92:$G98)),MAX('02 Sit'!AB92:AB98)),MIN('02 Sit'!AF92:AF98))))</f>
        <v/>
      </c>
      <c r="G49" s="1559" t="str">
        <f>IF(NOT('02 Sit'!E91 = ""),'02 Sit'!E91,IF(COUNTIF('02 Sit'!E92:E98,"&gt;=0")=0,"", MIN(MAX(SUMPRODUCT('02 Sit'!E92:E98,'02 Sit'!$G92:$G98)*4/(SUM('02 Sit'!$G92:$G98) - SUMIF('02 Sit'!E92:E98,"X",'02 Sit'!$G92:$G98)),MAX('02 Sit'!AC92:AC98)),MIN('02 Sit'!AG92:AG98))))</f>
        <v/>
      </c>
      <c r="H49" s="1559" t="str">
        <f>IF(NOT('02 Sit'!F91 = ""),'02 Sit'!F91,IF(COUNTIF('02 Sit'!F92:F98,"&gt;=0")=0,"", MIN(MAX(SUMPRODUCT('02 Sit'!F92:F98,'02 Sit'!$G92:$G98)*4/(SUM('02 Sit'!$G92:$G98) - SUMIF('02 Sit'!F92:F98,"X",'02 Sit'!$G92:$G98)),MAX('02 Sit'!AD92:AD98)),MIN('02 Sit'!AH92:AH98))))</f>
        <v/>
      </c>
      <c r="I49" s="1557">
        <f t="shared" si="3"/>
        <v>1</v>
      </c>
      <c r="J49" s="1557">
        <f>IF(I49="","",IF(IndG=3,MAX(I49,Obj_Projets!J49),MAX(I49,Obj_PA!D49)))</f>
        <v>1</v>
      </c>
      <c r="K49" s="1560">
        <f t="shared" si="4"/>
        <v>1</v>
      </c>
      <c r="L49" s="1650" t="str">
        <f t="shared" si="5"/>
        <v xml:space="preserve"> n'a pas démarré</v>
      </c>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54"/>
      <c r="AO49" s="154"/>
      <c r="AP49" s="154"/>
      <c r="AQ49" s="154"/>
      <c r="AR49" s="154"/>
      <c r="AS49" s="154"/>
      <c r="AT49" s="154"/>
      <c r="AU49" s="154"/>
      <c r="AV49" s="154"/>
      <c r="AW49" s="154"/>
      <c r="AX49" s="154"/>
      <c r="AY49" s="154"/>
      <c r="AZ49" s="154"/>
      <c r="BA49" s="154"/>
      <c r="BB49" s="154"/>
      <c r="CF49" s="527">
        <f>IF(INDEX(Tab_actions,95,1)=1,INDEX(Tab_actions,95,4),0)</f>
        <v>0</v>
      </c>
      <c r="CG49" s="527">
        <f>IF(INDEX(Tab_actions,34,1)=1,INDEX(Tab_actions,34,8),0)</f>
        <v>0</v>
      </c>
    </row>
    <row r="50" spans="1:87" s="527" customFormat="1" ht="15.75" customHeight="1" outlineLevel="1" x14ac:dyDescent="0.2">
      <c r="A50" s="1212"/>
      <c r="B50" s="1212" t="s">
        <v>5531</v>
      </c>
      <c r="C50" s="1219" t="s">
        <v>5914</v>
      </c>
      <c r="D50" s="1567" t="s">
        <v>2620</v>
      </c>
      <c r="E50" s="1559" t="str">
        <f>IF(NOT('02 Sit'!C99 = ""),'02 Sit'!C99,IF(COUNTIF('02 Sit'!C100:C107,"&gt;=0")=0,"", MIN(MAX(SUMPRODUCT('02 Sit'!C100:C107,'02 Sit'!$G100:$G107)*4/(SUM('02 Sit'!$G100:$G107) - SUMIF('02 Sit'!C100:C107,"X",'02 Sit'!$G100:$G107)),MAX('02 Sit'!AA100:AA107)),MIN('02 Sit'!AE100:AE107))))</f>
        <v/>
      </c>
      <c r="F50" s="1559" t="str">
        <f>IF(NOT('02 Sit'!D99 = ""),'02 Sit'!D99,IF(COUNTIF('02 Sit'!D100:D107,"&gt;=0")=0,"", MIN(MAX(SUMPRODUCT('02 Sit'!D100:D107,'02 Sit'!$G100:$G107)*4/(SUM('02 Sit'!$G100:$G107) - SUMIF('02 Sit'!D100:D107,"X",'02 Sit'!$G100:$G107)),MAX('02 Sit'!AB100:AB107)),MIN('02 Sit'!AF100:AF107))))</f>
        <v/>
      </c>
      <c r="G50" s="1559" t="str">
        <f>IF(NOT('02 Sit'!E99 = ""),'02 Sit'!E99,IF(COUNTIF('02 Sit'!E100:E107,"&gt;=0")=0,"", MIN(MAX(SUMPRODUCT('02 Sit'!E100:E107,'02 Sit'!$G100:$G107)*4/(SUM('02 Sit'!$G100:$G107) - SUMIF('02 Sit'!E100:E107,"X",'02 Sit'!$G100:$G107)),MAX('02 Sit'!AC100:AC107)),MIN('02 Sit'!AG100:AG107))))</f>
        <v/>
      </c>
      <c r="H50" s="1559" t="str">
        <f>IF(NOT('02 Sit'!F99 = ""),'02 Sit'!F99,IF(COUNTIF('02 Sit'!F100:F107,"&gt;=0")=0,"", MIN(MAX(SUMPRODUCT('02 Sit'!F100:F107,'02 Sit'!$G100:$G107)*4/(SUM('02 Sit'!$G100:$G107) - SUMIF('02 Sit'!F100:F107,"X",'02 Sit'!$G100:$G107)),MAX('02 Sit'!AD100:AD107)),MIN('02 Sit'!AH100:AH107))))</f>
        <v/>
      </c>
      <c r="I50" s="1557">
        <f t="shared" si="3"/>
        <v>1</v>
      </c>
      <c r="J50" s="1557">
        <f>IF(I50="","",IF(IndG=3,MAX(I50,Obj_Projets!J50),MAX(I50,Obj_PA!D50)))</f>
        <v>1</v>
      </c>
      <c r="K50" s="1560">
        <f t="shared" si="4"/>
        <v>1</v>
      </c>
      <c r="L50" s="1650" t="str">
        <f t="shared" si="5"/>
        <v xml:space="preserve"> n'a pas démarré</v>
      </c>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54"/>
      <c r="AU50" s="154"/>
      <c r="AV50" s="154"/>
      <c r="AW50" s="154"/>
      <c r="AX50" s="154"/>
      <c r="AY50" s="154"/>
      <c r="AZ50" s="154"/>
      <c r="BA50" s="154"/>
      <c r="BB50" s="154"/>
    </row>
    <row r="51" spans="1:87" s="527" customFormat="1" ht="15.75" customHeight="1" outlineLevel="1" x14ac:dyDescent="0.2">
      <c r="A51" s="1212"/>
      <c r="B51" s="1213" t="s">
        <v>6410</v>
      </c>
      <c r="C51" s="1214" t="s">
        <v>7307</v>
      </c>
      <c r="D51" s="1554"/>
      <c r="E51" s="1559"/>
      <c r="F51" s="1559"/>
      <c r="G51" s="1559"/>
      <c r="H51" s="1559"/>
      <c r="I51" s="1561"/>
      <c r="J51" s="1561"/>
      <c r="K51" s="1561"/>
      <c r="L51" s="1650"/>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54"/>
      <c r="AJ51" s="154"/>
      <c r="AK51" s="154"/>
      <c r="AL51" s="154"/>
      <c r="AM51" s="154"/>
      <c r="AN51" s="154"/>
      <c r="AO51" s="154"/>
      <c r="AP51" s="154"/>
      <c r="AQ51" s="154"/>
      <c r="AR51" s="154"/>
      <c r="AS51" s="154"/>
      <c r="AT51" s="154"/>
      <c r="AU51" s="154"/>
      <c r="AV51" s="154"/>
      <c r="AW51" s="154"/>
      <c r="AX51" s="154"/>
      <c r="AY51" s="154"/>
      <c r="AZ51" s="154"/>
      <c r="BA51" s="154"/>
      <c r="BB51" s="154"/>
    </row>
    <row r="52" spans="1:87" s="527" customFormat="1" ht="15.75" customHeight="1" outlineLevel="1" x14ac:dyDescent="0.2">
      <c r="A52" s="1212"/>
      <c r="B52" s="1212" t="s">
        <v>3121</v>
      </c>
      <c r="C52" s="1219" t="s">
        <v>2471</v>
      </c>
      <c r="D52" s="1562" t="s">
        <v>2329</v>
      </c>
      <c r="E52" s="1559" t="str">
        <f>IF(NOT('02 Sit'!C109 = ""),'02 Sit'!C109,IF(COUNTIF('02 Sit'!C110:C115,"&gt;=0")=0,"", MIN(MAX(SUMPRODUCT('02 Sit'!C110:C115,'02 Sit'!$G110:$G115)*4/(SUM('02 Sit'!$G110:$G115) - SUMIF('02 Sit'!C110:C115,"X",'02 Sit'!$G110:$G115)),MAX('02 Sit'!AA110:AA115)),MIN('02 Sit'!AE110:AE115))))</f>
        <v/>
      </c>
      <c r="F52" s="1559" t="str">
        <f>IF(NOT('02 Sit'!D109 = ""),'02 Sit'!D109,IF(COUNTIF('02 Sit'!D110:D115,"&gt;=0")=0,"", MIN(MAX(SUMPRODUCT('02 Sit'!D110:D115,'02 Sit'!$G110:$G115)*4/(SUM('02 Sit'!$G110:$G115) - SUMIF('02 Sit'!D110:D115,"X",'02 Sit'!$G110:$G115)),MAX('02 Sit'!AB110:AB115)),MIN('02 Sit'!AF110:AF115))))</f>
        <v/>
      </c>
      <c r="G52" s="1559" t="str">
        <f>IF(NOT('02 Sit'!E109 = ""),'02 Sit'!E109,IF(COUNTIF('02 Sit'!E110:E115,"&gt;=0")=0,"", MIN(MAX(SUMPRODUCT('02 Sit'!E110:E115,'02 Sit'!$G110:$G115)*4/(SUM('02 Sit'!$G110:$G115) - SUMIF('02 Sit'!E110:E115,"X",'02 Sit'!$G110:$G115)),MAX('02 Sit'!AC110:AC115)),MIN('02 Sit'!AG110:AG115))))</f>
        <v/>
      </c>
      <c r="H52" s="1559" t="str">
        <f>IF(NOT('02 Sit'!F109 = ""),'02 Sit'!F109,IF(COUNTIF('02 Sit'!F110:F115,"&gt;=0")=0,"", MIN(MAX(SUMPRODUCT('02 Sit'!F110:F115,'02 Sit'!$G110:$G115)*4/(SUM('02 Sit'!$G110:$G115) - SUMIF('02 Sit'!F110:F115,"X",'02 Sit'!$G110:$G115)),MAX('02 Sit'!AD110:AD115)),MIN('02 Sit'!AH110:AH115))))</f>
        <v/>
      </c>
      <c r="I52" s="1557">
        <f t="shared" ref="I52:I58" si="6">IF(AND(OR(E52="X",E52=""),OR(F52="X",F52=""),OR(G52="X",G52=""),OR(H52="X",H52="")),1,ROUND(MIN(IF(OR(E52="",E52="X"),4,E52),IF(OR(F52="",F52="X"),4,F52),IF(OR(G52="",G52="X"),4,G52),IF(OR(H52="",H52="X"),4,H52)),0))</f>
        <v>1</v>
      </c>
      <c r="J52" s="1557">
        <f>IF(I52="","",IF(IndG=3,MAX(I52,Obj_Projets!J52),MAX(I52,Obj_PA!D52)))</f>
        <v>1</v>
      </c>
      <c r="K52" s="1560">
        <f t="shared" ref="K52:K58" si="7">IF(IF(OR(IndG=3,IndG=4),MAX(I52,J52),I52)&lt;1,1,IF(OR(IndG=3,IndG=4),MAX(I52,J52),I52))</f>
        <v>1</v>
      </c>
      <c r="L52" s="1650" t="str">
        <f t="shared" ref="L52:L58" si="8">IF(E52=""," n'a pas démarré","")</f>
        <v xml:space="preserve"> n'a pas démarré</v>
      </c>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CG52" s="527">
        <f>IF(INDEX(Tab_actions,86,1)=1,INDEX(Tab_actions,86,4),0)</f>
        <v>0</v>
      </c>
    </row>
    <row r="53" spans="1:87" s="527" customFormat="1" ht="15.75" customHeight="1" outlineLevel="1" x14ac:dyDescent="0.2">
      <c r="A53" s="1212"/>
      <c r="B53" s="1212" t="s">
        <v>3122</v>
      </c>
      <c r="C53" s="1219" t="s">
        <v>3323</v>
      </c>
      <c r="D53" s="1562" t="s">
        <v>2329</v>
      </c>
      <c r="E53" s="1559" t="str">
        <f>IF(NOT('02 Sit'!C116 = ""),'02 Sit'!C116,IF(COUNTIF('02 Sit'!C117:C127,"&gt;=0")=0,"", MIN(MAX(SUMPRODUCT('02 Sit'!C117:C127,'02 Sit'!$G117:$G127)*4/(SUM('02 Sit'!$G117:$G127) - SUMIF('02 Sit'!C117:C127,"X",'02 Sit'!$G117:$G127)),MAX('02 Sit'!AA117:AA127)),MIN('02 Sit'!AE117:AE127))))</f>
        <v/>
      </c>
      <c r="F53" s="1559" t="str">
        <f>IF(NOT('02 Sit'!D116 = ""),'02 Sit'!D116,IF(COUNTIF('02 Sit'!D117:D127,"&gt;=0")=0,"", MIN(MAX(SUMPRODUCT('02 Sit'!D117:D127,'02 Sit'!$G117:$G127)*4/(SUM('02 Sit'!$G117:$G127) - SUMIF('02 Sit'!D117:D127,"X",'02 Sit'!$G117:$G127)),MAX('02 Sit'!AB117:AB127)),MIN('02 Sit'!AF117:AF127))))</f>
        <v/>
      </c>
      <c r="G53" s="1559" t="str">
        <f>IF(NOT('02 Sit'!E116 = ""),'02 Sit'!E116,IF(COUNTIF('02 Sit'!E117:E127,"&gt;=0")=0,"", MIN(MAX(SUMPRODUCT('02 Sit'!E117:E127,'02 Sit'!$G117:$G127)*4/(SUM('02 Sit'!$G117:$G127) - SUMIF('02 Sit'!E117:E127,"X",'02 Sit'!$G117:$G127)),MAX('02 Sit'!AC117:AC127)),MIN('02 Sit'!AG117:AG127))))</f>
        <v/>
      </c>
      <c r="H53" s="1559" t="str">
        <f>IF(NOT('02 Sit'!F116 = ""),'02 Sit'!F116,IF(COUNTIF('02 Sit'!F117:F127,"&gt;=0")=0,"", MIN(MAX(SUMPRODUCT('02 Sit'!F117:F127,'02 Sit'!$G117:$G127)*4/(SUM('02 Sit'!$G117:$G127) - SUMIF('02 Sit'!F117:F127,"X",'02 Sit'!$G117:$G127)),MAX('02 Sit'!AD117:AD127)),MIN('02 Sit'!AH117:AH127))))</f>
        <v/>
      </c>
      <c r="I53" s="1557">
        <f t="shared" si="6"/>
        <v>1</v>
      </c>
      <c r="J53" s="1557">
        <f>IF(I53="","",IF(IndG=3,MAX(I53,Obj_Projets!J53),MAX(I53,Obj_PA!D53)))</f>
        <v>1</v>
      </c>
      <c r="K53" s="1560">
        <f t="shared" si="7"/>
        <v>1</v>
      </c>
      <c r="L53" s="1650" t="str">
        <f t="shared" si="8"/>
        <v xml:space="preserve"> n'a pas démarré</v>
      </c>
      <c r="M53" s="154"/>
      <c r="N53" s="154"/>
      <c r="O53" s="154"/>
      <c r="P53" s="154"/>
      <c r="Q53" s="154"/>
      <c r="R53" s="154"/>
      <c r="S53" s="154"/>
      <c r="T53" s="154"/>
      <c r="U53" s="154"/>
      <c r="V53" s="154"/>
      <c r="W53" s="154"/>
      <c r="X53" s="154"/>
      <c r="Y53" s="154"/>
      <c r="Z53" s="154"/>
      <c r="AA53" s="154"/>
      <c r="AB53" s="154"/>
      <c r="AC53" s="154"/>
      <c r="AD53" s="154"/>
      <c r="AE53" s="154"/>
      <c r="AF53" s="154"/>
      <c r="AG53" s="154"/>
      <c r="AH53" s="154"/>
      <c r="AI53" s="154"/>
      <c r="AJ53" s="154"/>
      <c r="AK53" s="154"/>
      <c r="AL53" s="154"/>
      <c r="AM53" s="154"/>
      <c r="AN53" s="154"/>
      <c r="AO53" s="154"/>
      <c r="AP53" s="154"/>
      <c r="AQ53" s="154"/>
      <c r="AR53" s="154"/>
      <c r="AS53" s="154"/>
      <c r="AT53" s="154"/>
      <c r="AU53" s="154"/>
      <c r="AV53" s="154"/>
      <c r="AW53" s="154"/>
      <c r="AX53" s="154"/>
      <c r="AY53" s="154"/>
      <c r="AZ53" s="154"/>
      <c r="BA53" s="154"/>
      <c r="BB53" s="154"/>
      <c r="CF53" s="527">
        <f>IF(INDEX(Tab_actions,33,1)=1,INDEX(Tab_actions,33,10),0)</f>
        <v>0</v>
      </c>
      <c r="CG53" s="527">
        <f>IF(INDEX(Tab_actions,96,1)=1,INDEX(Tab_actions,96,4),0)</f>
        <v>0</v>
      </c>
    </row>
    <row r="54" spans="1:87" s="527" customFormat="1" ht="15.75" customHeight="1" outlineLevel="1" x14ac:dyDescent="0.2">
      <c r="A54" s="1212"/>
      <c r="B54" s="1212" t="s">
        <v>3123</v>
      </c>
      <c r="C54" s="1219" t="s">
        <v>4199</v>
      </c>
      <c r="D54" s="1562" t="s">
        <v>2329</v>
      </c>
      <c r="E54" s="1559" t="str">
        <f>IF(NOT('02 Sit'!C128 = ""),'02 Sit'!C128,IF(COUNTIF('02 Sit'!C129:C134,"&gt;=0")=0,"", MIN(MAX(SUMPRODUCT('02 Sit'!C129:C134,'02 Sit'!$G129:$G134)*4/(SUM('02 Sit'!$G129:$G134) - SUMIF('02 Sit'!C129:C134,"X",'02 Sit'!$G129:$G134)),MAX('02 Sit'!AA129:AA134)),MIN('02 Sit'!AE129:AE134))))</f>
        <v/>
      </c>
      <c r="F54" s="1559" t="str">
        <f>IF(NOT('02 Sit'!D128 = ""),'02 Sit'!D128,IF(COUNTIF('02 Sit'!D129:D134,"&gt;=0")=0,"", MIN(MAX(SUMPRODUCT('02 Sit'!D129:D134,'02 Sit'!$G129:$G134)*4/(SUM('02 Sit'!$G129:$G134) - SUMIF('02 Sit'!D129:D134,"X",'02 Sit'!$G129:$G134)),MAX('02 Sit'!AB129:AB134)),MIN('02 Sit'!AF129:AF134))))</f>
        <v/>
      </c>
      <c r="G54" s="1559" t="str">
        <f>IF(NOT('02 Sit'!E128 = ""),'02 Sit'!E128,IF(COUNTIF('02 Sit'!E129:E134,"&gt;=0")=0,"", MIN(MAX(SUMPRODUCT('02 Sit'!E129:E134,'02 Sit'!$G129:$G134)*4/(SUM('02 Sit'!$G129:$G134) - SUMIF('02 Sit'!E129:E134,"X",'02 Sit'!$G129:$G134)),MAX('02 Sit'!AC129:AC134)),MIN('02 Sit'!AG129:AG134))))</f>
        <v/>
      </c>
      <c r="H54" s="1559" t="str">
        <f>IF(NOT('02 Sit'!F128 = ""),'02 Sit'!F128,IF(COUNTIF('02 Sit'!F129:F134,"&gt;=0")=0,"", MIN(MAX(SUMPRODUCT('02 Sit'!F129:F134,'02 Sit'!$G129:$G134)*4/(SUM('02 Sit'!$G129:$G134) - SUMIF('02 Sit'!F129:F134,"X",'02 Sit'!$G129:$G134)),MAX('02 Sit'!AD129:AD134)),MIN('02 Sit'!AH129:AH134))))</f>
        <v/>
      </c>
      <c r="I54" s="1557">
        <f t="shared" si="6"/>
        <v>1</v>
      </c>
      <c r="J54" s="1557">
        <f>IF(I54="","",IF(IndG=3,MAX(I54,Obj_Projets!J54),MAX(I54,Obj_PA!D54)))</f>
        <v>1</v>
      </c>
      <c r="K54" s="1560">
        <f t="shared" si="7"/>
        <v>1</v>
      </c>
      <c r="L54" s="1650" t="str">
        <f t="shared" si="8"/>
        <v xml:space="preserve"> n'a pas démarré</v>
      </c>
      <c r="M54" s="154"/>
      <c r="N54" s="154"/>
      <c r="O54" s="154"/>
      <c r="P54" s="154"/>
      <c r="Q54" s="154"/>
      <c r="R54" s="154"/>
      <c r="S54" s="154"/>
      <c r="T54" s="154"/>
      <c r="U54" s="154"/>
      <c r="V54" s="154"/>
      <c r="W54" s="154"/>
      <c r="X54" s="154"/>
      <c r="Y54" s="154"/>
      <c r="Z54" s="154"/>
      <c r="AA54" s="154"/>
      <c r="AB54" s="154"/>
      <c r="AC54" s="154"/>
      <c r="AD54" s="154"/>
      <c r="AE54" s="154"/>
      <c r="AF54" s="154"/>
      <c r="AG54" s="154"/>
      <c r="AH54" s="154"/>
      <c r="AI54" s="154"/>
      <c r="AJ54" s="154"/>
      <c r="AK54" s="154"/>
      <c r="AL54" s="154"/>
      <c r="AM54" s="154"/>
      <c r="AN54" s="154"/>
      <c r="AO54" s="154"/>
      <c r="AP54" s="154"/>
      <c r="AQ54" s="154"/>
      <c r="AR54" s="154"/>
      <c r="AS54" s="154"/>
      <c r="AT54" s="154"/>
      <c r="AU54" s="154"/>
      <c r="AV54" s="154"/>
      <c r="AW54" s="154"/>
      <c r="AX54" s="154"/>
      <c r="AY54" s="154"/>
      <c r="AZ54" s="154"/>
      <c r="BA54" s="154"/>
      <c r="BB54" s="154"/>
    </row>
    <row r="55" spans="1:87" s="527" customFormat="1" ht="15.75" customHeight="1" outlineLevel="1" x14ac:dyDescent="0.2">
      <c r="A55" s="1212"/>
      <c r="B55" s="1212" t="s">
        <v>3124</v>
      </c>
      <c r="C55" s="1219" t="s">
        <v>4200</v>
      </c>
      <c r="D55" s="1562" t="s">
        <v>2329</v>
      </c>
      <c r="E55" s="1559" t="str">
        <f>IF(NOT('02 Sit'!C135 = ""),'02 Sit'!C135,IF(COUNTIF('02 Sit'!C136:C142,"&gt;=0")=0,"", MIN(MAX(SUMPRODUCT('02 Sit'!C136:C142,'02 Sit'!$G136:$G142)*4/(SUM('02 Sit'!$G136:$G142) - SUMIF('02 Sit'!C136:C142,"X",'02 Sit'!$G136:$G142)),MAX('02 Sit'!AA136:AA142)),MIN('02 Sit'!AE136:AE142))))</f>
        <v/>
      </c>
      <c r="F55" s="1559" t="str">
        <f>IF(NOT('02 Sit'!D135 = ""),'02 Sit'!D135,IF(COUNTIF('02 Sit'!D136:D142,"&gt;=0")=0,"", MIN(MAX(SUMPRODUCT('02 Sit'!D136:D142,'02 Sit'!$G136:$G142)*4/(SUM('02 Sit'!$G136:$G142) - SUMIF('02 Sit'!D136:D142,"X",'02 Sit'!$G136:$G142)),MAX('02 Sit'!AB136:AB142)),MIN('02 Sit'!AF136:AF142))))</f>
        <v/>
      </c>
      <c r="G55" s="1559" t="str">
        <f>IF(NOT('02 Sit'!E135 = ""),'02 Sit'!E135,IF(COUNTIF('02 Sit'!E136:E142,"&gt;=0")=0,"", MIN(MAX(SUMPRODUCT('02 Sit'!E136:E142,'02 Sit'!$G136:$G142)*4/(SUM('02 Sit'!$G136:$G142) - SUMIF('02 Sit'!E136:E142,"X",'02 Sit'!$G136:$G142)),MAX('02 Sit'!AC136:AC142)),MIN('02 Sit'!AG136:AG142))))</f>
        <v/>
      </c>
      <c r="H55" s="1559" t="str">
        <f>IF(NOT('02 Sit'!F135 = ""),'02 Sit'!F135,IF(COUNTIF('02 Sit'!F136:F142,"&gt;=0")=0,"", MIN(MAX(SUMPRODUCT('02 Sit'!F136:F142,'02 Sit'!$G136:$G142)*4/(SUM('02 Sit'!$G136:$G142) - SUMIF('02 Sit'!F136:F142,"X",'02 Sit'!$G136:$G142)),MAX('02 Sit'!AD136:AD142)),MIN('02 Sit'!AH136:AH142))))</f>
        <v/>
      </c>
      <c r="I55" s="1557">
        <f t="shared" si="6"/>
        <v>1</v>
      </c>
      <c r="J55" s="1557">
        <f>IF(I55="","",IF(IndG=3,MAX(I55,Obj_Projets!J55),MAX(I55,Obj_PA!D55)))</f>
        <v>1</v>
      </c>
      <c r="K55" s="1560">
        <f t="shared" si="7"/>
        <v>1</v>
      </c>
      <c r="L55" s="1650" t="str">
        <f t="shared" si="8"/>
        <v xml:space="preserve"> n'a pas démarré</v>
      </c>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CI55" s="527">
        <f>IF(INDEX(Tab_actions,82,1)=1,INDEX(Tab_actions,82,6),0)</f>
        <v>0</v>
      </c>
    </row>
    <row r="56" spans="1:87" s="527" customFormat="1" ht="15.75" customHeight="1" outlineLevel="1" x14ac:dyDescent="0.2">
      <c r="A56" s="1212"/>
      <c r="B56" s="1212" t="s">
        <v>3125</v>
      </c>
      <c r="C56" s="1219" t="s">
        <v>2365</v>
      </c>
      <c r="D56" s="1562" t="s">
        <v>2329</v>
      </c>
      <c r="E56" s="1559" t="str">
        <f>IF(NOT('02 Sit'!C143 = ""),'02 Sit'!C143,IF(COUNTIF('02 Sit'!C144:C150,"&gt;=0")=0,"", MIN(MAX(SUMPRODUCT('02 Sit'!C144:C150,'02 Sit'!$G144:$G150)*4/(SUM('02 Sit'!$G144:$G150) - SUMIF('02 Sit'!C144:C150,"X",'02 Sit'!$G144:$G150)),MAX('02 Sit'!AA144:AA150)),MIN('02 Sit'!AE144:AE150))))</f>
        <v/>
      </c>
      <c r="F56" s="1559" t="str">
        <f>IF(NOT('02 Sit'!D143 = ""),'02 Sit'!D143,IF(COUNTIF('02 Sit'!D144:D150,"&gt;=0")=0,"", MIN(MAX(SUMPRODUCT('02 Sit'!D144:D150,'02 Sit'!$G144:$G150)*4/(SUM('02 Sit'!$G144:$G150) - SUMIF('02 Sit'!D144:D150,"X",'02 Sit'!$G144:$G150)),MAX('02 Sit'!AB144:AB150)),MIN('02 Sit'!AF144:AF150))))</f>
        <v/>
      </c>
      <c r="G56" s="1559" t="str">
        <f>IF(NOT('02 Sit'!E143 = ""),'02 Sit'!E143,IF(COUNTIF('02 Sit'!E144:E150,"&gt;=0")=0,"", MIN(MAX(SUMPRODUCT('02 Sit'!E144:E150,'02 Sit'!$G144:$G150)*4/(SUM('02 Sit'!$G144:$G150) - SUMIF('02 Sit'!E144:E150,"X",'02 Sit'!$G144:$G150)),MAX('02 Sit'!AC144:AC150)),MIN('02 Sit'!AG144:AG150))))</f>
        <v/>
      </c>
      <c r="H56" s="1559" t="str">
        <f>IF(NOT('02 Sit'!F143 = ""),'02 Sit'!F143,IF(COUNTIF('02 Sit'!F144:F150,"&gt;=0")=0,"", MIN(MAX(SUMPRODUCT('02 Sit'!F144:F150,'02 Sit'!$G144:$G150)*4/(SUM('02 Sit'!$G144:$G150) - SUMIF('02 Sit'!F144:F150,"X",'02 Sit'!$G144:$G150)),MAX('02 Sit'!AD144:AD150)),MIN('02 Sit'!AH144:AH150))))</f>
        <v/>
      </c>
      <c r="I56" s="1557">
        <f t="shared" si="6"/>
        <v>1</v>
      </c>
      <c r="J56" s="1557">
        <f>IF(I56="","",IF(IndG=3,MAX(I56,Obj_Projets!J56),MAX(I56,Obj_PA!D56)))</f>
        <v>1</v>
      </c>
      <c r="K56" s="1560">
        <f t="shared" si="7"/>
        <v>1</v>
      </c>
      <c r="L56" s="1650" t="str">
        <f t="shared" si="8"/>
        <v xml:space="preserve"> n'a pas démarré</v>
      </c>
      <c r="M56" s="154"/>
      <c r="N56" s="154"/>
      <c r="O56" s="154"/>
      <c r="P56" s="154"/>
      <c r="Q56" s="154"/>
      <c r="R56" s="154"/>
      <c r="S56" s="154"/>
      <c r="T56" s="154"/>
      <c r="U56" s="154"/>
      <c r="V56" s="154"/>
      <c r="W56" s="154"/>
      <c r="X56" s="154"/>
      <c r="Y56" s="154"/>
      <c r="Z56" s="154"/>
      <c r="AA56" s="154"/>
      <c r="AB56" s="154"/>
      <c r="AC56" s="154"/>
      <c r="AD56" s="154"/>
      <c r="AE56" s="154"/>
      <c r="AF56" s="154"/>
      <c r="AG56" s="154"/>
      <c r="AH56" s="154"/>
      <c r="AI56" s="154"/>
      <c r="AJ56" s="154"/>
      <c r="AK56" s="154"/>
      <c r="AL56" s="154"/>
      <c r="AM56" s="154"/>
      <c r="AN56" s="154"/>
      <c r="AO56" s="154"/>
      <c r="AP56" s="154"/>
      <c r="AQ56" s="154"/>
      <c r="AR56" s="154"/>
      <c r="AS56" s="154"/>
      <c r="AT56" s="154"/>
      <c r="AU56" s="154"/>
      <c r="AV56" s="154"/>
      <c r="AW56" s="154"/>
      <c r="AX56" s="154"/>
      <c r="AY56" s="154"/>
      <c r="AZ56" s="154"/>
      <c r="BA56" s="154"/>
      <c r="BB56" s="154"/>
      <c r="CI56" s="527">
        <f>IF(INDEX(Tab_actions,82,1)=1,INDEX(Tab_actions,82,8),0)</f>
        <v>0</v>
      </c>
    </row>
    <row r="57" spans="1:87" s="527" customFormat="1" ht="15.75" customHeight="1" outlineLevel="1" x14ac:dyDescent="0.2">
      <c r="A57" s="1212"/>
      <c r="B57" s="1212" t="s">
        <v>3126</v>
      </c>
      <c r="C57" s="1219" t="s">
        <v>5732</v>
      </c>
      <c r="D57" s="1562" t="s">
        <v>2329</v>
      </c>
      <c r="E57" s="1559" t="str">
        <f>IF(NOT('02 Sit'!C151 = ""),'02 Sit'!C151,IF(COUNTIF('02 Sit'!C152:C158,"&gt;=0")=0,"", MIN(MAX(SUMPRODUCT('02 Sit'!C152:C158,'02 Sit'!$G152:$G158)*4/(SUM('02 Sit'!$G152:$G158) - SUMIF('02 Sit'!C152:C158,"X",'02 Sit'!$G152:$G158)),MAX('02 Sit'!AA152:AA158)),MIN('02 Sit'!AE152:AE158))))</f>
        <v/>
      </c>
      <c r="F57" s="1559" t="str">
        <f>IF(NOT('02 Sit'!D151 = ""),'02 Sit'!D151,IF(COUNTIF('02 Sit'!D152:D158,"&gt;=0")=0,"", MIN(MAX(SUMPRODUCT('02 Sit'!D152:D158,'02 Sit'!$G152:$G158)*4/(SUM('02 Sit'!$G152:$G158) - SUMIF('02 Sit'!D152:D158,"X",'02 Sit'!$G152:$G158)),MAX('02 Sit'!AB152:AB158)),MIN('02 Sit'!AF152:AF158))))</f>
        <v/>
      </c>
      <c r="G57" s="1559" t="str">
        <f>IF(NOT('02 Sit'!E151 = ""),'02 Sit'!E151,IF(COUNTIF('02 Sit'!E152:E158,"&gt;=0")=0,"", MIN(MAX(SUMPRODUCT('02 Sit'!E152:E158,'02 Sit'!$G152:$G158)*4/(SUM('02 Sit'!$G152:$G158) - SUMIF('02 Sit'!E152:E158,"X",'02 Sit'!$G152:$G158)),MAX('02 Sit'!AC152:AC158)),MIN('02 Sit'!AG152:AG158))))</f>
        <v/>
      </c>
      <c r="H57" s="1559" t="str">
        <f>IF(NOT('02 Sit'!F151 = ""),'02 Sit'!F151,IF(COUNTIF('02 Sit'!F152:F158,"&gt;=0")=0,"", MIN(MAX(SUMPRODUCT('02 Sit'!F152:F158,'02 Sit'!$G152:$G158)*4/(SUM('02 Sit'!$G152:$G158) - SUMIF('02 Sit'!F152:F158,"X",'02 Sit'!$G152:$G158)),MAX('02 Sit'!AD152:AD158)),MIN('02 Sit'!AH152:AH158))))</f>
        <v/>
      </c>
      <c r="I57" s="1557">
        <f t="shared" si="6"/>
        <v>1</v>
      </c>
      <c r="J57" s="1557">
        <f>IF(I57="","",IF(IndG=3,MAX(I57,Obj_Projets!J57),MAX(I57,Obj_PA!D57)))</f>
        <v>1</v>
      </c>
      <c r="K57" s="1560">
        <f t="shared" si="7"/>
        <v>1</v>
      </c>
      <c r="L57" s="1650" t="str">
        <f t="shared" si="8"/>
        <v xml:space="preserve"> n'a pas démarré</v>
      </c>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row>
    <row r="58" spans="1:87" s="527" customFormat="1" ht="15.75" customHeight="1" outlineLevel="1" x14ac:dyDescent="0.2">
      <c r="A58" s="1212"/>
      <c r="B58" s="1212" t="s">
        <v>3127</v>
      </c>
      <c r="C58" s="1219" t="s">
        <v>1484</v>
      </c>
      <c r="D58" s="1562" t="s">
        <v>2329</v>
      </c>
      <c r="E58" s="1559" t="str">
        <f>IF(NOT('02 Sit'!C159 = ""),'02 Sit'!C159,IF(COUNTIF('02 Sit'!C160:C175,"&gt;=0")=0,"", MIN(MAX(SUMPRODUCT('02 Sit'!C160:C175,'02 Sit'!$G160:$G175)*4/(SUM('02 Sit'!$G160:$G175) - SUMIF('02 Sit'!C160:C175,"X",'02 Sit'!$G160:$G175)),MAX('02 Sit'!AA160:AA175)),MIN('02 Sit'!AE160:AE175))))</f>
        <v/>
      </c>
      <c r="F58" s="1559" t="str">
        <f>IF(NOT('02 Sit'!D159 = ""),'02 Sit'!D159,IF(COUNTIF('02 Sit'!D160:D175,"&gt;=0")=0,"", MIN(MAX(SUMPRODUCT('02 Sit'!D160:D175,'02 Sit'!$G160:$G175)*4/(SUM('02 Sit'!$G160:$G175) - SUMIF('02 Sit'!D160:D175,"X",'02 Sit'!$G160:$G175)),MAX('02 Sit'!AB160:AB175)),MIN('02 Sit'!AF160:AF175))))</f>
        <v/>
      </c>
      <c r="G58" s="1559" t="str">
        <f>IF(NOT('02 Sit'!E159 = ""),'02 Sit'!E159,IF(COUNTIF('02 Sit'!E160:E175,"&gt;=0")=0,"", MIN(MAX(SUMPRODUCT('02 Sit'!E160:E175,'02 Sit'!$G160:$G175)*4/(SUM('02 Sit'!$G160:$G175) - SUMIF('02 Sit'!E160:E175,"X",'02 Sit'!$G160:$G175)),MAX('02 Sit'!AC160:AC175)),MIN('02 Sit'!AG160:AG175))))</f>
        <v/>
      </c>
      <c r="H58" s="1559" t="str">
        <f>IF(NOT('02 Sit'!F159 = ""),'02 Sit'!F159,IF(COUNTIF('02 Sit'!F160:F175,"&gt;=0")=0,"", MIN(MAX(SUMPRODUCT('02 Sit'!F160:F175,'02 Sit'!$G160:$G175)*4/(SUM('02 Sit'!$G160:$G175) - SUMIF('02 Sit'!F160:F175,"X",'02 Sit'!$G160:$G175)),MAX('02 Sit'!AD160:AD175)),MIN('02 Sit'!AH160:AH175))))</f>
        <v/>
      </c>
      <c r="I58" s="1557">
        <f t="shared" si="6"/>
        <v>1</v>
      </c>
      <c r="J58" s="1557">
        <f>IF(I58="","",IF(IndG=3,MAX(I58,Obj_Projets!J58),MAX(I58,Obj_PA!D58)))</f>
        <v>1</v>
      </c>
      <c r="K58" s="1560">
        <f t="shared" si="7"/>
        <v>1</v>
      </c>
      <c r="L58" s="1650" t="str">
        <f t="shared" si="8"/>
        <v xml:space="preserve"> n'a pas démarré</v>
      </c>
      <c r="M58" s="154"/>
      <c r="N58" s="154"/>
      <c r="O58" s="154"/>
      <c r="P58" s="154"/>
      <c r="Q58" s="154"/>
      <c r="R58" s="154"/>
      <c r="S58" s="154"/>
      <c r="T58" s="154"/>
      <c r="U58" s="154"/>
      <c r="V58" s="154"/>
      <c r="W58" s="154"/>
      <c r="X58" s="154"/>
      <c r="Y58" s="154"/>
      <c r="Z58" s="154"/>
      <c r="AA58" s="154"/>
      <c r="AB58" s="154"/>
      <c r="AC58" s="154"/>
      <c r="AD58" s="154"/>
      <c r="AE58" s="154"/>
      <c r="AF58" s="154"/>
      <c r="AG58" s="154"/>
      <c r="AH58" s="154"/>
      <c r="AI58" s="154"/>
      <c r="AJ58" s="154"/>
      <c r="AK58" s="154"/>
      <c r="AL58" s="154"/>
      <c r="AM58" s="154"/>
      <c r="AN58" s="154"/>
      <c r="AO58" s="154"/>
      <c r="AP58" s="154"/>
      <c r="AQ58" s="154"/>
      <c r="AR58" s="154"/>
      <c r="AS58" s="154"/>
      <c r="AT58" s="154"/>
      <c r="AU58" s="154"/>
      <c r="AV58" s="154"/>
      <c r="AW58" s="154"/>
      <c r="AX58" s="154"/>
      <c r="AY58" s="154"/>
      <c r="AZ58" s="154"/>
      <c r="BA58" s="154"/>
      <c r="BB58" s="154"/>
      <c r="CG58" s="527">
        <f>IF(INDEX(Tab_actions,96,1)=1,INDEX(Tab_actions,96,8),0)</f>
        <v>0</v>
      </c>
    </row>
    <row r="59" spans="1:87" ht="15.75" customHeight="1" x14ac:dyDescent="0.2">
      <c r="A59" s="1227" t="s">
        <v>3025</v>
      </c>
      <c r="B59" s="1981" t="s">
        <v>2073</v>
      </c>
      <c r="C59" s="1982"/>
      <c r="D59" s="1563"/>
      <c r="E59" s="1564"/>
      <c r="F59" s="1564"/>
      <c r="G59" s="1564"/>
      <c r="H59" s="1564"/>
      <c r="I59" s="1568"/>
      <c r="J59" s="1568"/>
      <c r="K59" s="1568"/>
      <c r="L59" s="1653"/>
    </row>
    <row r="60" spans="1:87" s="527" customFormat="1" ht="15.75" customHeight="1" outlineLevel="1" x14ac:dyDescent="0.2">
      <c r="A60" s="1212"/>
      <c r="B60" s="1213" t="s">
        <v>5605</v>
      </c>
      <c r="C60" s="1214" t="s">
        <v>6844</v>
      </c>
      <c r="D60" s="1554"/>
      <c r="E60" s="1559"/>
      <c r="F60" s="1559"/>
      <c r="G60" s="1559"/>
      <c r="H60" s="1559"/>
      <c r="I60" s="1561"/>
      <c r="J60" s="1561"/>
      <c r="K60" s="1561"/>
      <c r="L60" s="1650"/>
      <c r="M60" s="154"/>
      <c r="N60" s="154"/>
      <c r="O60" s="154"/>
      <c r="P60" s="154"/>
      <c r="Q60" s="154"/>
      <c r="R60" s="154"/>
      <c r="S60" s="154"/>
      <c r="T60" s="154"/>
      <c r="U60" s="154"/>
      <c r="V60" s="154"/>
      <c r="W60" s="154"/>
      <c r="X60" s="154"/>
      <c r="Y60" s="154"/>
      <c r="Z60" s="154"/>
      <c r="AA60" s="154"/>
      <c r="AB60" s="154"/>
      <c r="AC60" s="154"/>
      <c r="AD60" s="154"/>
      <c r="AE60" s="154"/>
      <c r="AF60" s="154"/>
      <c r="AG60" s="154"/>
      <c r="AH60" s="154"/>
      <c r="AI60" s="154"/>
      <c r="AJ60" s="154"/>
      <c r="AK60" s="154"/>
      <c r="AL60" s="154"/>
      <c r="AM60" s="154"/>
      <c r="AN60" s="154"/>
      <c r="AO60" s="154"/>
      <c r="AP60" s="154"/>
      <c r="AQ60" s="154"/>
      <c r="AR60" s="154"/>
      <c r="AS60" s="154"/>
      <c r="AT60" s="154"/>
      <c r="AU60" s="154"/>
      <c r="AV60" s="154"/>
      <c r="AW60" s="154"/>
      <c r="AX60" s="154"/>
      <c r="AY60" s="154"/>
      <c r="AZ60" s="154"/>
      <c r="BA60" s="154"/>
      <c r="BB60" s="154"/>
    </row>
    <row r="61" spans="1:87" s="527" customFormat="1" ht="15.75" customHeight="1" outlineLevel="1" x14ac:dyDescent="0.2">
      <c r="A61" s="1212"/>
      <c r="B61" s="1212" t="s">
        <v>6386</v>
      </c>
      <c r="C61" s="1219" t="s">
        <v>6387</v>
      </c>
      <c r="D61" s="1567" t="s">
        <v>2621</v>
      </c>
      <c r="E61" s="1559" t="str">
        <f>IF(NOT('03 Loc'!C4 = ""),'03 Loc'!C4,IF(COUNTIF('03 Loc'!C5:C10,"&gt;=0")=0,"", MIN(MAX(SUMPRODUCT('03 Loc'!C5:C10,'03 Loc'!$G5:$G10)*4/(SUM('03 Loc'!$G5:$G10) - SUMIF('03 Loc'!C5:C10,"X",'03 Loc'!$G5:$G10)),MAX('03 Loc'!AA5:AA10)),MIN('03 Loc'!AE5:AE10))))</f>
        <v/>
      </c>
      <c r="F61" s="1559" t="str">
        <f>IF(NOT('03 Loc'!D4 = ""),'03 Loc'!D4,IF(COUNTIF('03 Loc'!D5:D10,"&gt;=0")=0,"", MIN(MAX(SUMPRODUCT('03 Loc'!D5:D10,'03 Loc'!$G5:$G10)*4/(SUM('03 Loc'!$G5:$G10) - SUMIF('03 Loc'!D5:D10,"X",'03 Loc'!$G5:$G10)),MAX('03 Loc'!AB5:AB10)),MIN('03 Loc'!AF5:AF10))))</f>
        <v/>
      </c>
      <c r="G61" s="1559" t="str">
        <f>IF(NOT('03 Loc'!E4 = ""),'03 Loc'!E4,IF(COUNTIF('03 Loc'!E5:E10,"&gt;=0")=0,"", MIN(MAX(SUMPRODUCT('03 Loc'!E5:E10,'03 Loc'!$G5:$G10)*4/(SUM('03 Loc'!$G5:$G10) - SUMIF('03 Loc'!E5:E10,"X",'03 Loc'!$G5:$G10)),MAX('03 Loc'!AC5:AC10)),MIN('03 Loc'!AG5:AG10))))</f>
        <v/>
      </c>
      <c r="H61" s="1559" t="str">
        <f>IF(NOT('03 Loc'!F4 = ""),'03 Loc'!F4,IF(COUNTIF('03 Loc'!F5:F10,"&gt;=0")=0,"", MIN(MAX(SUMPRODUCT('03 Loc'!F5:F10,'03 Loc'!$G5:$G10)*4/(SUM('03 Loc'!$G5:$G10) - SUMIF('03 Loc'!F5:F10,"X",'03 Loc'!$G5:$G10)),MAX('03 Loc'!AD5:AD10)),MIN('03 Loc'!AH5:AH10))))</f>
        <v/>
      </c>
      <c r="I61" s="1557">
        <f t="shared" ref="I61:I66" si="9">IF(AND(OR(E61="X",E61=""),OR(F61="X",F61=""),OR(G61="X",G61=""),OR(H61="X",H61="")),1,ROUND(MIN(IF(OR(E61="",E61="X"),4,E61),IF(OR(F61="",F61="X"),4,F61),IF(OR(G61="",G61="X"),4,G61),IF(OR(H61="",H61="X"),4,H61)),0))</f>
        <v>1</v>
      </c>
      <c r="J61" s="1557">
        <f>IF(I61="","",IF(IndG=3,MAX(I61,Obj_Projets!J61),MAX(I61,Obj_PA!D61)))</f>
        <v>1</v>
      </c>
      <c r="K61" s="1560">
        <f t="shared" ref="K61:K66" si="10">IF(IF(OR(IndG=3,IndG=4),MAX(I61,J61),I61)&lt;1,1,IF(OR(IndG=3,IndG=4),MAX(I61,J61),I61))</f>
        <v>1</v>
      </c>
      <c r="L61" s="1650" t="str">
        <f t="shared" ref="L61:L66" si="11">IF(E61=""," n'a pas démarré","")</f>
        <v xml:space="preserve"> n'a pas démarré</v>
      </c>
      <c r="M61" s="154"/>
      <c r="N61" s="154"/>
      <c r="O61" s="154"/>
      <c r="P61" s="154"/>
      <c r="Q61" s="154"/>
      <c r="R61" s="154"/>
      <c r="S61" s="154"/>
      <c r="T61" s="154"/>
      <c r="U61" s="154"/>
      <c r="V61" s="154"/>
      <c r="W61" s="154"/>
      <c r="X61" s="154"/>
      <c r="Y61" s="154"/>
      <c r="Z61" s="154"/>
      <c r="AA61" s="154"/>
      <c r="AB61" s="154"/>
      <c r="AC61" s="154"/>
      <c r="AD61" s="154"/>
      <c r="AE61" s="154"/>
      <c r="AF61" s="154"/>
      <c r="AG61" s="154"/>
      <c r="AH61" s="154"/>
      <c r="AI61" s="154"/>
      <c r="AJ61" s="154"/>
      <c r="AK61" s="154"/>
      <c r="AL61" s="154"/>
      <c r="AM61" s="154"/>
      <c r="AN61" s="154"/>
      <c r="AO61" s="154"/>
      <c r="AP61" s="154"/>
      <c r="AQ61" s="154"/>
      <c r="AR61" s="154"/>
      <c r="AS61" s="154"/>
      <c r="AT61" s="154"/>
      <c r="AU61" s="154"/>
      <c r="AV61" s="154"/>
      <c r="AW61" s="154"/>
      <c r="AX61" s="154"/>
      <c r="AY61" s="154"/>
      <c r="AZ61" s="154"/>
      <c r="BA61" s="154"/>
      <c r="BB61" s="154"/>
      <c r="CG61" s="527">
        <f>IF(INDEX(Tab_actions,40,1)=1,INDEX(Tab_actions,40,4),0)</f>
        <v>0</v>
      </c>
    </row>
    <row r="62" spans="1:87" s="527" customFormat="1" ht="15.75" customHeight="1" outlineLevel="1" x14ac:dyDescent="0.2">
      <c r="A62" s="1212"/>
      <c r="B62" s="1212" t="s">
        <v>6388</v>
      </c>
      <c r="C62" s="1219" t="s">
        <v>2338</v>
      </c>
      <c r="D62" s="1567" t="s">
        <v>2621</v>
      </c>
      <c r="E62" s="1559" t="str">
        <f>IF(NOT('03 Loc'!C11 = ""),'03 Loc'!C11,IF(COUNTIF('03 Loc'!C12:C16,"&gt;=0")=0,"", MIN(MAX(SUMPRODUCT('03 Loc'!C12:C16,'03 Loc'!$G12:$G16)*4/(SUM('03 Loc'!$G12:$G16) - SUMIF('03 Loc'!C12:C16,"X",'03 Loc'!$G12:$G16)),MAX('03 Loc'!AA12:AA16)),MIN('03 Loc'!AE12:AE16))))</f>
        <v/>
      </c>
      <c r="F62" s="1559" t="str">
        <f>IF(NOT('03 Loc'!D11 = ""),'03 Loc'!D11,IF(COUNTIF('03 Loc'!D12:D16,"&gt;=0")=0,"", MIN(MAX(SUMPRODUCT('03 Loc'!D12:D16,'03 Loc'!$G12:$G16)*4/(SUM('03 Loc'!$G12:$G16) - SUMIF('03 Loc'!D12:D16,"X",'03 Loc'!$G12:$G16)),MAX('03 Loc'!AB12:AB16)),MIN('03 Loc'!AF12:AF16))))</f>
        <v/>
      </c>
      <c r="G62" s="1559" t="str">
        <f>IF(NOT('03 Loc'!E11 = ""),'03 Loc'!E11,IF(COUNTIF('03 Loc'!E12:E16,"&gt;=0")=0,"", MIN(MAX(SUMPRODUCT('03 Loc'!E12:E16,'03 Loc'!$G12:$G16)*4/(SUM('03 Loc'!$G12:$G16) - SUMIF('03 Loc'!E12:E16,"X",'03 Loc'!$G12:$G16)),MAX('03 Loc'!AC12:AC16)),MIN('03 Loc'!AG12:AG16))))</f>
        <v/>
      </c>
      <c r="H62" s="1559" t="str">
        <f>IF(NOT('03 Loc'!F11 = ""),'03 Loc'!F11,IF(COUNTIF('03 Loc'!F12:F16,"&gt;=0")=0,"", MIN(MAX(SUMPRODUCT('03 Loc'!F12:F16,'03 Loc'!$G12:$G16)*4/(SUM('03 Loc'!$G12:$G16) - SUMIF('03 Loc'!F12:F16,"X",'03 Loc'!$G12:$G16)),MAX('03 Loc'!AD12:AD16)),MIN('03 Loc'!AH12:AH16))))</f>
        <v/>
      </c>
      <c r="I62" s="1557">
        <f t="shared" si="9"/>
        <v>1</v>
      </c>
      <c r="J62" s="1557">
        <f>IF(I62="","",IF(IndG=3,MAX(I62,Obj_Projets!J62),MAX(I62,Obj_PA!D62)))</f>
        <v>1</v>
      </c>
      <c r="K62" s="1560">
        <f t="shared" si="10"/>
        <v>1</v>
      </c>
      <c r="L62" s="1650" t="str">
        <f t="shared" si="11"/>
        <v xml:space="preserve"> n'a pas démarré</v>
      </c>
      <c r="M62" s="154"/>
      <c r="N62" s="154"/>
      <c r="O62" s="154"/>
      <c r="P62" s="154"/>
      <c r="Q62" s="154"/>
      <c r="R62" s="154"/>
      <c r="S62" s="154"/>
      <c r="T62" s="154"/>
      <c r="U62" s="154"/>
      <c r="V62" s="154"/>
      <c r="W62" s="154"/>
      <c r="X62" s="154"/>
      <c r="Y62" s="154"/>
      <c r="Z62" s="154"/>
      <c r="AA62" s="154"/>
      <c r="AB62" s="154"/>
      <c r="AC62" s="154"/>
      <c r="AD62" s="154"/>
      <c r="AE62" s="154"/>
      <c r="AF62" s="154"/>
      <c r="AG62" s="154"/>
      <c r="AH62" s="154"/>
      <c r="AI62" s="154"/>
      <c r="AJ62" s="154"/>
      <c r="AK62" s="154"/>
      <c r="AL62" s="154"/>
      <c r="AM62" s="154"/>
      <c r="AN62" s="154"/>
      <c r="AO62" s="154"/>
      <c r="AP62" s="154"/>
      <c r="AQ62" s="154"/>
      <c r="AR62" s="154"/>
      <c r="AS62" s="154"/>
      <c r="AT62" s="154"/>
      <c r="AU62" s="154"/>
      <c r="AV62" s="154"/>
      <c r="AW62" s="154"/>
      <c r="AX62" s="154"/>
      <c r="AY62" s="154"/>
      <c r="AZ62" s="154"/>
      <c r="BA62" s="154"/>
      <c r="BB62" s="154"/>
    </row>
    <row r="63" spans="1:87" s="527" customFormat="1" ht="15.75" customHeight="1" outlineLevel="1" x14ac:dyDescent="0.2">
      <c r="A63" s="1212"/>
      <c r="B63" s="1212" t="s">
        <v>2339</v>
      </c>
      <c r="C63" s="1219" t="s">
        <v>2340</v>
      </c>
      <c r="D63" s="1567" t="s">
        <v>2621</v>
      </c>
      <c r="E63" s="1559" t="str">
        <f>IF(NOT('03 Loc'!C17 = ""),'03 Loc'!C17,IF(COUNTIF('03 Loc'!C18:C24,"&gt;=0")=0,"", MIN(MAX(SUMPRODUCT('03 Loc'!C18:C24,'03 Loc'!$G18:$G24)*4/(SUM('03 Loc'!$G18:$G24) - SUMIF('03 Loc'!C18:C24,"X",'03 Loc'!$G18:$G24)),MAX('03 Loc'!AA18:AA24)),MIN('03 Loc'!AE18:AE24))))</f>
        <v/>
      </c>
      <c r="F63" s="1559" t="str">
        <f>IF(NOT('03 Loc'!D17 = ""),'03 Loc'!D17,IF(COUNTIF('03 Loc'!D18:D24,"&gt;=0")=0,"", MIN(MAX(SUMPRODUCT('03 Loc'!D18:D24,'03 Loc'!$G18:$G24)*4/(SUM('03 Loc'!$G18:$G24) - SUMIF('03 Loc'!D18:D24,"X",'03 Loc'!$G18:$G24)),MAX('03 Loc'!AB18:AB24)),MIN('03 Loc'!AF18:AF24))))</f>
        <v/>
      </c>
      <c r="G63" s="1559" t="str">
        <f>IF(NOT('03 Loc'!E17 = ""),'03 Loc'!E17,IF(COUNTIF('03 Loc'!E18:E24,"&gt;=0")=0,"", MIN(MAX(SUMPRODUCT('03 Loc'!E18:E24,'03 Loc'!$G18:$G24)*4/(SUM('03 Loc'!$G18:$G24) - SUMIF('03 Loc'!E18:E24,"X",'03 Loc'!$G18:$G24)),MAX('03 Loc'!AC18:AC24)),MIN('03 Loc'!AG18:AG24))))</f>
        <v/>
      </c>
      <c r="H63" s="1559" t="str">
        <f>IF(NOT('03 Loc'!F17 = ""),'03 Loc'!F17,IF(COUNTIF('03 Loc'!F18:F24,"&gt;=0")=0,"", MIN(MAX(SUMPRODUCT('03 Loc'!F18:F24,'03 Loc'!$G18:$G24)*4/(SUM('03 Loc'!$G18:$G24) - SUMIF('03 Loc'!F18:F24,"X",'03 Loc'!$G18:$G24)),MAX('03 Loc'!AD18:AD24)),MIN('03 Loc'!AH18:AH24))))</f>
        <v/>
      </c>
      <c r="I63" s="1557">
        <f t="shared" si="9"/>
        <v>1</v>
      </c>
      <c r="J63" s="1557">
        <f>IF(I63="","",IF(IndG=3,MAX(I63,Obj_Projets!J63),MAX(I63,Obj_PA!D63)))</f>
        <v>1</v>
      </c>
      <c r="K63" s="1560">
        <f t="shared" si="10"/>
        <v>1</v>
      </c>
      <c r="L63" s="1650" t="str">
        <f t="shared" si="11"/>
        <v xml:space="preserve"> n'a pas démarré</v>
      </c>
      <c r="M63" s="154"/>
      <c r="N63" s="154"/>
      <c r="O63" s="154"/>
      <c r="P63" s="154"/>
      <c r="Q63" s="154"/>
      <c r="R63" s="154"/>
      <c r="S63" s="154"/>
      <c r="T63" s="154"/>
      <c r="U63" s="154"/>
      <c r="V63" s="154"/>
      <c r="W63" s="154"/>
      <c r="X63" s="154"/>
      <c r="Y63" s="154"/>
      <c r="Z63" s="154"/>
      <c r="AA63" s="154"/>
      <c r="AB63" s="154"/>
      <c r="AC63" s="154"/>
      <c r="AD63" s="154"/>
      <c r="AE63" s="154"/>
      <c r="AF63" s="154"/>
      <c r="AG63" s="154"/>
      <c r="AH63" s="154"/>
      <c r="AI63" s="154"/>
      <c r="AJ63" s="154"/>
      <c r="AK63" s="154"/>
      <c r="AL63" s="154"/>
      <c r="AM63" s="154"/>
      <c r="AN63" s="154"/>
      <c r="AO63" s="154"/>
      <c r="AP63" s="154"/>
      <c r="AQ63" s="154"/>
      <c r="AR63" s="154"/>
      <c r="AS63" s="154"/>
      <c r="AT63" s="154"/>
      <c r="AU63" s="154"/>
      <c r="AV63" s="154"/>
      <c r="AW63" s="154"/>
      <c r="AX63" s="154"/>
      <c r="AY63" s="154"/>
      <c r="AZ63" s="154"/>
      <c r="BA63" s="154"/>
      <c r="BB63" s="154"/>
    </row>
    <row r="64" spans="1:87" s="527" customFormat="1" ht="15.75" customHeight="1" outlineLevel="1" x14ac:dyDescent="0.2">
      <c r="A64" s="1212"/>
      <c r="B64" s="1212" t="s">
        <v>2341</v>
      </c>
      <c r="C64" s="1219" t="s">
        <v>2342</v>
      </c>
      <c r="D64" s="1567" t="s">
        <v>2621</v>
      </c>
      <c r="E64" s="1559" t="str">
        <f>IF(NOT('03 Loc'!C25 = ""),'03 Loc'!C25,IF(COUNTIF('03 Loc'!C26:C31,"&gt;=0")=0,"", MIN(MAX(SUMPRODUCT('03 Loc'!C26:C31,'03 Loc'!$G26:$G31)*4/(SUM('03 Loc'!$G26:$G31) - SUMIF('03 Loc'!C26:C31,"X",'03 Loc'!$G26:$G31)),MAX('03 Loc'!AA26:AA31)),MIN('03 Loc'!AE26:AE31))))</f>
        <v/>
      </c>
      <c r="F64" s="1559" t="str">
        <f>IF(NOT('03 Loc'!D25 = ""),'03 Loc'!D25,IF(COUNTIF('03 Loc'!D26:D31,"&gt;=0")=0,"", MIN(MAX(SUMPRODUCT('03 Loc'!D26:D31,'03 Loc'!$G26:$G31)*4/(SUM('03 Loc'!$G26:$G31) - SUMIF('03 Loc'!D26:D31,"X",'03 Loc'!$G26:$G31)),MAX('03 Loc'!AB26:AB31)),MIN('03 Loc'!AF26:AF31))))</f>
        <v/>
      </c>
      <c r="G64" s="1559" t="str">
        <f>IF(NOT('03 Loc'!E25 = ""),'03 Loc'!E25,IF(COUNTIF('03 Loc'!E26:E31,"&gt;=0")=0,"", MIN(MAX(SUMPRODUCT('03 Loc'!E26:E31,'03 Loc'!$G26:$G31)*4/(SUM('03 Loc'!$G26:$G31) - SUMIF('03 Loc'!E26:E31,"X",'03 Loc'!$G26:$G31)),MAX('03 Loc'!AC26:AC31)),MIN('03 Loc'!AG26:AG31))))</f>
        <v/>
      </c>
      <c r="H64" s="1559" t="str">
        <f>IF(NOT('03 Loc'!F25 = ""),'03 Loc'!F25,IF(COUNTIF('03 Loc'!F26:F31,"&gt;=0")=0,"", MIN(MAX(SUMPRODUCT('03 Loc'!F26:F31,'03 Loc'!$G26:$G31)*4/(SUM('03 Loc'!$G26:$G31) - SUMIF('03 Loc'!F26:F31,"X",'03 Loc'!$G26:$G31)),MAX('03 Loc'!AD26:AD31)),MIN('03 Loc'!AH26:AH31))))</f>
        <v/>
      </c>
      <c r="I64" s="1557">
        <f t="shared" si="9"/>
        <v>1</v>
      </c>
      <c r="J64" s="1557">
        <f>IF(I64="","",IF(IndG=3,MAX(I64,Obj_Projets!J64),MAX(I64,Obj_PA!D64)))</f>
        <v>1</v>
      </c>
      <c r="K64" s="1560">
        <f t="shared" si="10"/>
        <v>1</v>
      </c>
      <c r="L64" s="1650" t="str">
        <f t="shared" si="11"/>
        <v xml:space="preserve"> n'a pas démarré</v>
      </c>
      <c r="M64" s="154"/>
      <c r="N64" s="154"/>
      <c r="O64" s="154"/>
      <c r="P64" s="154"/>
      <c r="Q64" s="154"/>
      <c r="R64" s="154"/>
      <c r="S64" s="154"/>
      <c r="T64" s="154"/>
      <c r="U64" s="154"/>
      <c r="V64" s="154"/>
      <c r="W64" s="154"/>
      <c r="X64" s="154"/>
      <c r="Y64" s="154"/>
      <c r="Z64" s="154"/>
      <c r="AA64" s="154"/>
      <c r="AB64" s="154"/>
      <c r="AC64" s="154"/>
      <c r="AD64" s="154"/>
      <c r="AE64" s="154"/>
      <c r="AF64" s="154"/>
      <c r="AG64" s="154"/>
      <c r="AH64" s="154"/>
      <c r="AI64" s="154"/>
      <c r="AJ64" s="154"/>
      <c r="AK64" s="154"/>
      <c r="AL64" s="154"/>
      <c r="AM64" s="154"/>
      <c r="AN64" s="154"/>
      <c r="AO64" s="154"/>
      <c r="AP64" s="154"/>
      <c r="AQ64" s="154"/>
      <c r="AR64" s="154"/>
      <c r="AS64" s="154"/>
      <c r="AT64" s="154"/>
      <c r="AU64" s="154"/>
      <c r="AV64" s="154"/>
      <c r="AW64" s="154"/>
      <c r="AX64" s="154"/>
      <c r="AY64" s="154"/>
      <c r="AZ64" s="154"/>
      <c r="BA64" s="154"/>
      <c r="BB64" s="154"/>
      <c r="CG64" s="527">
        <f>IF(INDEX(Tab_actions,40,1)=1,INDEX(Tab_actions,40,6),0)</f>
        <v>0</v>
      </c>
    </row>
    <row r="65" spans="1:85" s="527" customFormat="1" ht="15.75" customHeight="1" outlineLevel="1" x14ac:dyDescent="0.2">
      <c r="A65" s="1212"/>
      <c r="B65" s="1212" t="s">
        <v>2343</v>
      </c>
      <c r="C65" s="1219" t="s">
        <v>2344</v>
      </c>
      <c r="D65" s="1567" t="s">
        <v>2621</v>
      </c>
      <c r="E65" s="1559" t="str">
        <f>IF(NOT('03 Loc'!C32 = ""),'03 Loc'!C32,IF(COUNTIF('03 Loc'!C33:C35,"&gt;=0")=0,"", MIN(MAX(SUMPRODUCT('03 Loc'!C33:C35,'03 Loc'!$G33:$G35)*4/(SUM('03 Loc'!$G33:$G35) - SUMIF('03 Loc'!C33:C35,"X",'03 Loc'!$G33:$G35)),MAX('03 Loc'!AA33:AA35)),MIN('03 Loc'!AE33:AE35))))</f>
        <v/>
      </c>
      <c r="F65" s="1559" t="str">
        <f>IF(NOT('03 Loc'!D32 = ""),'03 Loc'!D32,IF(COUNTIF('03 Loc'!D33:D35,"&gt;=0")=0,"", MIN(MAX(SUMPRODUCT('03 Loc'!D33:D35,'03 Loc'!$G33:$G35)*4/(SUM('03 Loc'!$G33:$G35) - SUMIF('03 Loc'!D33:D35,"X",'03 Loc'!$G33:$G35)),MAX('03 Loc'!AB33:AB35)),MIN('03 Loc'!AF33:AF35))))</f>
        <v/>
      </c>
      <c r="G65" s="1559" t="str">
        <f>IF(NOT('03 Loc'!E32 = ""),'03 Loc'!E32,IF(COUNTIF('03 Loc'!E33:E35,"&gt;=0")=0,"", MIN(MAX(SUMPRODUCT('03 Loc'!E33:E35,'03 Loc'!$G33:$G35)*4/(SUM('03 Loc'!$G33:$G35) - SUMIF('03 Loc'!E33:E35,"X",'03 Loc'!$G33:$G35)),MAX('03 Loc'!AC33:AC35)),MIN('03 Loc'!AG33:AG35))))</f>
        <v/>
      </c>
      <c r="H65" s="1559" t="str">
        <f>IF(NOT('03 Loc'!F32 = ""),'03 Loc'!F32,IF(COUNTIF('03 Loc'!F33:F35,"&gt;=0")=0,"", MIN(MAX(SUMPRODUCT('03 Loc'!F33:F35,'03 Loc'!$G33:$G35)*4/(SUM('03 Loc'!$G33:$G35) - SUMIF('03 Loc'!F33:F35,"X",'03 Loc'!$G33:$G35)),MAX('03 Loc'!AD33:AD35)),MIN('03 Loc'!AH33:AH35))))</f>
        <v/>
      </c>
      <c r="I65" s="1557">
        <f t="shared" si="9"/>
        <v>1</v>
      </c>
      <c r="J65" s="1557">
        <f>IF(I65="","",IF(IndG=3,MAX(I65,Obj_Projets!J65),MAX(I65,Obj_PA!D65)))</f>
        <v>1</v>
      </c>
      <c r="K65" s="1560">
        <f t="shared" si="10"/>
        <v>1</v>
      </c>
      <c r="L65" s="1650" t="str">
        <f t="shared" si="11"/>
        <v xml:space="preserve"> n'a pas démarré</v>
      </c>
      <c r="M65" s="154"/>
      <c r="N65" s="154"/>
      <c r="O65" s="154"/>
      <c r="P65" s="154"/>
      <c r="Q65" s="154"/>
      <c r="R65" s="154"/>
      <c r="S65" s="154"/>
      <c r="T65" s="154"/>
      <c r="U65" s="154"/>
      <c r="V65" s="154"/>
      <c r="W65" s="154"/>
      <c r="X65" s="154"/>
      <c r="Y65" s="154"/>
      <c r="Z65" s="154"/>
      <c r="AA65" s="154"/>
      <c r="AB65" s="154"/>
      <c r="AC65" s="154"/>
      <c r="AD65" s="154"/>
      <c r="AE65" s="154"/>
      <c r="AF65" s="154"/>
      <c r="AG65" s="154"/>
      <c r="AH65" s="154"/>
      <c r="AI65" s="154"/>
      <c r="AJ65" s="154"/>
      <c r="AK65" s="154"/>
      <c r="AL65" s="154"/>
      <c r="AM65" s="154"/>
      <c r="AN65" s="154"/>
      <c r="AO65" s="154"/>
      <c r="AP65" s="154"/>
      <c r="AQ65" s="154"/>
      <c r="AR65" s="154"/>
      <c r="AS65" s="154"/>
      <c r="AT65" s="154"/>
      <c r="AU65" s="154"/>
      <c r="AV65" s="154"/>
      <c r="AW65" s="154"/>
      <c r="AX65" s="154"/>
      <c r="AY65" s="154"/>
      <c r="AZ65" s="154"/>
      <c r="BA65" s="154"/>
      <c r="BB65" s="154"/>
    </row>
    <row r="66" spans="1:85" s="527" customFormat="1" ht="15.75" customHeight="1" outlineLevel="1" x14ac:dyDescent="0.2">
      <c r="A66" s="1212"/>
      <c r="B66" s="1212" t="s">
        <v>1055</v>
      </c>
      <c r="C66" s="1219" t="s">
        <v>1441</v>
      </c>
      <c r="D66" s="1567" t="s">
        <v>2621</v>
      </c>
      <c r="E66" s="1559" t="str">
        <f>IF(NOT('03 Loc'!C36 = ""),'03 Loc'!C36,IF(COUNTIF('03 Loc'!C37:C41,"&gt;=0")=0,"", MIN(MAX(SUMPRODUCT('03 Loc'!C37:C41,'03 Loc'!$G37:$G41)*4/(SUM('03 Loc'!$G37:$G41) - SUMIF('03 Loc'!C37:C41,"X",'03 Loc'!$G37:$G41)),MAX('03 Loc'!AA37:AA41)),MIN('03 Loc'!AE37:AE41))))</f>
        <v/>
      </c>
      <c r="F66" s="1559" t="str">
        <f>IF(NOT('03 Loc'!D36 = ""),'03 Loc'!D36,IF(COUNTIF('03 Loc'!D37:D41,"&gt;=0")=0,"", MIN(MAX(SUMPRODUCT('03 Loc'!D37:D41,'03 Loc'!$G37:$G41)*4/(SUM('03 Loc'!$G37:$G41) - SUMIF('03 Loc'!D37:D41,"X",'03 Loc'!$G37:$G41)),MAX('03 Loc'!AB37:AB41)),MIN('03 Loc'!AF37:AF41))))</f>
        <v/>
      </c>
      <c r="G66" s="1559" t="str">
        <f>IF(NOT('03 Loc'!E36 = ""),'03 Loc'!E36,IF(COUNTIF('03 Loc'!E37:E41,"&gt;=0")=0,"", MIN(MAX(SUMPRODUCT('03 Loc'!E37:E41,'03 Loc'!$G37:$G41)*4/(SUM('03 Loc'!$G37:$G41) - SUMIF('03 Loc'!E37:E41,"X",'03 Loc'!$G37:$G41)),MAX('03 Loc'!AC37:AC41)),MIN('03 Loc'!AG37:AG41))))</f>
        <v/>
      </c>
      <c r="H66" s="1559" t="str">
        <f>IF(NOT('03 Loc'!F36 = ""),'03 Loc'!F36,IF(COUNTIF('03 Loc'!F37:F41,"&gt;=0")=0,"", MIN(MAX(SUMPRODUCT('03 Loc'!F37:F41,'03 Loc'!$G37:$G41)*4/(SUM('03 Loc'!$G37:$G41) - SUMIF('03 Loc'!F37:F41,"X",'03 Loc'!$G37:$G41)),MAX('03 Loc'!AD37:AD41)),MIN('03 Loc'!AH37:AH41))))</f>
        <v/>
      </c>
      <c r="I66" s="1557">
        <f t="shared" si="9"/>
        <v>1</v>
      </c>
      <c r="J66" s="1557">
        <f>IF(I66="","",IF(IndG=3,MAX(I66,Obj_Projets!J66),MAX(I66,Obj_PA!D66)))</f>
        <v>1</v>
      </c>
      <c r="K66" s="1560">
        <f t="shared" si="10"/>
        <v>1</v>
      </c>
      <c r="L66" s="1650" t="str">
        <f t="shared" si="11"/>
        <v xml:space="preserve"> n'a pas démarré</v>
      </c>
      <c r="M66" s="154"/>
      <c r="N66" s="154"/>
      <c r="O66" s="154"/>
      <c r="P66" s="154"/>
      <c r="Q66" s="154"/>
      <c r="R66" s="154"/>
      <c r="S66" s="154"/>
      <c r="T66" s="154"/>
      <c r="U66" s="154"/>
      <c r="V66" s="154"/>
      <c r="W66" s="154"/>
      <c r="X66" s="154"/>
      <c r="Y66" s="154"/>
      <c r="Z66" s="154"/>
      <c r="AA66" s="154"/>
      <c r="AB66" s="154"/>
      <c r="AC66" s="154"/>
      <c r="AD66" s="154"/>
      <c r="AE66" s="154"/>
      <c r="AF66" s="154"/>
      <c r="AG66" s="154"/>
      <c r="AH66" s="154"/>
      <c r="AI66" s="154"/>
      <c r="AJ66" s="154"/>
      <c r="AK66" s="154"/>
      <c r="AL66" s="154"/>
      <c r="AM66" s="154"/>
      <c r="AN66" s="154"/>
      <c r="AO66" s="154"/>
      <c r="AP66" s="154"/>
      <c r="AQ66" s="154"/>
      <c r="AR66" s="154"/>
      <c r="AS66" s="154"/>
      <c r="AT66" s="154"/>
      <c r="AU66" s="154"/>
      <c r="AV66" s="154"/>
      <c r="AW66" s="154"/>
      <c r="AX66" s="154"/>
      <c r="AY66" s="154"/>
      <c r="AZ66" s="154"/>
      <c r="BA66" s="154"/>
      <c r="BB66" s="154"/>
    </row>
    <row r="67" spans="1:85" s="527" customFormat="1" ht="15.75" customHeight="1" outlineLevel="1" x14ac:dyDescent="0.2">
      <c r="A67" s="1212"/>
      <c r="B67" s="1213" t="s">
        <v>5104</v>
      </c>
      <c r="C67" s="1214" t="s">
        <v>5105</v>
      </c>
      <c r="D67" s="1554"/>
      <c r="E67" s="1559"/>
      <c r="F67" s="1559"/>
      <c r="G67" s="1559"/>
      <c r="H67" s="1559"/>
      <c r="I67" s="1561"/>
      <c r="J67" s="1561"/>
      <c r="K67" s="1561"/>
      <c r="L67" s="1650"/>
      <c r="M67" s="154"/>
      <c r="N67" s="154"/>
      <c r="O67" s="154"/>
      <c r="P67" s="154"/>
      <c r="Q67" s="154"/>
      <c r="R67" s="154"/>
      <c r="S67" s="154"/>
      <c r="T67" s="154"/>
      <c r="U67" s="154"/>
      <c r="V67" s="154"/>
      <c r="W67" s="154"/>
      <c r="X67" s="154"/>
      <c r="Y67" s="154"/>
      <c r="Z67" s="154"/>
      <c r="AA67" s="154"/>
      <c r="AB67" s="154"/>
      <c r="AC67" s="154"/>
      <c r="AD67" s="154"/>
      <c r="AE67" s="154"/>
      <c r="AF67" s="154"/>
      <c r="AG67" s="154"/>
      <c r="AH67" s="154"/>
      <c r="AI67" s="154"/>
      <c r="AJ67" s="154"/>
      <c r="AK67" s="154"/>
      <c r="AL67" s="154"/>
      <c r="AM67" s="154"/>
      <c r="AN67" s="154"/>
      <c r="AO67" s="154"/>
      <c r="AP67" s="154"/>
      <c r="AQ67" s="154"/>
      <c r="AR67" s="154"/>
      <c r="AS67" s="154"/>
      <c r="AT67" s="154"/>
      <c r="AU67" s="154"/>
      <c r="AV67" s="154"/>
      <c r="AW67" s="154"/>
      <c r="AX67" s="154"/>
      <c r="AY67" s="154"/>
      <c r="AZ67" s="154"/>
      <c r="BA67" s="154"/>
      <c r="BB67" s="154"/>
    </row>
    <row r="68" spans="1:85" s="527" customFormat="1" ht="15.75" customHeight="1" outlineLevel="1" x14ac:dyDescent="0.2">
      <c r="A68" s="1212"/>
      <c r="B68" s="1212" t="s">
        <v>3354</v>
      </c>
      <c r="C68" s="1219" t="s">
        <v>3355</v>
      </c>
      <c r="D68" s="1567" t="s">
        <v>2620</v>
      </c>
      <c r="E68" s="1559" t="str">
        <f>IF(NOT('03 Loc'!C43 = ""),'03 Loc'!C43,IF(COUNTIF('03 Loc'!C44:C50,"&gt;=0")=0,"", MIN(MAX(SUMPRODUCT('03 Loc'!C44:C50,'03 Loc'!$G44:$G50)*4/(SUM('03 Loc'!$G44:$G50) - SUMIF('03 Loc'!C44:C50,"X",'03 Loc'!$G44:$G50)),MAX('03 Loc'!AA44:AA50)),MIN('03 Loc'!AE44:AE50))))</f>
        <v/>
      </c>
      <c r="F68" s="1559" t="str">
        <f>IF(NOT('03 Loc'!D43 = ""),'03 Loc'!D43,IF(COUNTIF('03 Loc'!D44:D50,"&gt;=0")=0,"", MIN(MAX(SUMPRODUCT('03 Loc'!D44:D50,'03 Loc'!$G44:$G50)*4/(SUM('03 Loc'!$G44:$G50) - SUMIF('03 Loc'!D44:D50,"X",'03 Loc'!$G44:$G50)),MAX('03 Loc'!AB44:AB50)),MIN('03 Loc'!AF44:AF50))))</f>
        <v/>
      </c>
      <c r="G68" s="1559" t="str">
        <f>IF(NOT('03 Loc'!E43 = ""),'03 Loc'!E43,IF(COUNTIF('03 Loc'!E44:E50,"&gt;=0")=0,"", MIN(MAX(SUMPRODUCT('03 Loc'!E44:E50,'03 Loc'!$G44:$G50)*4/(SUM('03 Loc'!$G44:$G50) - SUMIF('03 Loc'!E44:E50,"X",'03 Loc'!$G44:$G50)),MAX('03 Loc'!AC44:AC50)),MIN('03 Loc'!AG44:AG50))))</f>
        <v/>
      </c>
      <c r="H68" s="1559" t="str">
        <f>IF(NOT('03 Loc'!F43 = ""),'03 Loc'!F43,IF(COUNTIF('03 Loc'!F44:F50,"&gt;=0")=0,"", MIN(MAX(SUMPRODUCT('03 Loc'!F44:F50,'03 Loc'!$G44:$G50)*4/(SUM('03 Loc'!$G44:$G50) - SUMIF('03 Loc'!F44:F50,"X",'03 Loc'!$G44:$G50)),MAX('03 Loc'!AD44:AD50)),MIN('03 Loc'!AH44:AH50))))</f>
        <v/>
      </c>
      <c r="I68" s="1557">
        <f t="shared" ref="I68:I75" si="12">IF(AND(OR(E68="X",E68=""),OR(F68="X",F68=""),OR(G68="X",G68=""),OR(H68="X",H68="")),1,ROUND(MIN(IF(OR(E68="",E68="X"),4,E68),IF(OR(F68="",F68="X"),4,F68),IF(OR(G68="",G68="X"),4,G68),IF(OR(H68="",H68="X"),4,H68)),0))</f>
        <v>1</v>
      </c>
      <c r="J68" s="1557">
        <f>IF(I68="","",IF(IndG=3,MAX(I68,Obj_Projets!J68),MAX(I68,Obj_PA!D68)))</f>
        <v>1</v>
      </c>
      <c r="K68" s="1560">
        <f t="shared" ref="K68:K75" si="13">IF(IF(OR(IndG=3,IndG=4),MAX(I68,J68),I68)&lt;1,1,IF(OR(IndG=3,IndG=4),MAX(I68,J68),I68))</f>
        <v>1</v>
      </c>
      <c r="L68" s="1650" t="str">
        <f t="shared" ref="L68:L75" si="14">IF(E68=""," n'a pas démarré","")</f>
        <v xml:space="preserve"> n'a pas démarré</v>
      </c>
      <c r="M68" s="154"/>
      <c r="N68" s="154"/>
      <c r="O68" s="154"/>
      <c r="P68" s="154"/>
      <c r="Q68" s="154"/>
      <c r="R68" s="154"/>
      <c r="S68" s="154"/>
      <c r="T68" s="154"/>
      <c r="U68" s="154"/>
      <c r="V68" s="154"/>
      <c r="W68" s="154"/>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c r="AV68" s="154"/>
      <c r="AW68" s="154"/>
      <c r="AX68" s="154"/>
      <c r="AY68" s="154"/>
      <c r="AZ68" s="154"/>
      <c r="BA68" s="154"/>
      <c r="BB68" s="154"/>
    </row>
    <row r="69" spans="1:85" s="527" customFormat="1" ht="15.75" customHeight="1" outlineLevel="1" x14ac:dyDescent="0.2">
      <c r="A69" s="1212"/>
      <c r="B69" s="1212" t="s">
        <v>3356</v>
      </c>
      <c r="C69" s="1219" t="s">
        <v>3251</v>
      </c>
      <c r="D69" s="1567" t="s">
        <v>2620</v>
      </c>
      <c r="E69" s="1559" t="str">
        <f>IF(NOT('03 Loc'!C51 = ""),'03 Loc'!C51,IF(COUNTIF('03 Loc'!C52:C61,"&gt;=0")=0,"", MIN(MAX(SUMPRODUCT('03 Loc'!C52:C61,'03 Loc'!$G52:$G61)*4/(SUM('03 Loc'!$G52:$G61) - SUMIF('03 Loc'!C52:C61,"X",'03 Loc'!$G52:$G61)),MAX('03 Loc'!AA52:AA61)),MIN('03 Loc'!AE52:AE61))))</f>
        <v/>
      </c>
      <c r="F69" s="1559" t="str">
        <f>IF(NOT('03 Loc'!D51 = ""),'03 Loc'!D51,IF(COUNTIF('03 Loc'!D52:D61,"&gt;=0")=0,"", MIN(MAX(SUMPRODUCT('03 Loc'!D52:D61,'03 Loc'!$G52:$G61)*4/(SUM('03 Loc'!$G52:$G61) - SUMIF('03 Loc'!D52:D61,"X",'03 Loc'!$G52:$G61)),MAX('03 Loc'!AB52:AB61)),MIN('03 Loc'!AF52:AF61))))</f>
        <v/>
      </c>
      <c r="G69" s="1559" t="str">
        <f>IF(NOT('03 Loc'!E51 = ""),'03 Loc'!E51,IF(COUNTIF('03 Loc'!E52:E61,"&gt;=0")=0,"", MIN(MAX(SUMPRODUCT('03 Loc'!E52:E61,'03 Loc'!$G52:$G61)*4/(SUM('03 Loc'!$G52:$G61) - SUMIF('03 Loc'!E52:E61,"X",'03 Loc'!$G52:$G61)),MAX('03 Loc'!AC52:AC61)),MIN('03 Loc'!AG52:AG61))))</f>
        <v/>
      </c>
      <c r="H69" s="1559" t="str">
        <f>IF(NOT('03 Loc'!F51 = ""),'03 Loc'!F51,IF(COUNTIF('03 Loc'!F52:F61,"&gt;=0")=0,"", MIN(MAX(SUMPRODUCT('03 Loc'!F52:F61,'03 Loc'!$G52:$G61)*4/(SUM('03 Loc'!$G52:$G61) - SUMIF('03 Loc'!F52:F61,"X",'03 Loc'!$G52:$G61)),MAX('03 Loc'!AD52:AD61)),MIN('03 Loc'!AH52:AH61))))</f>
        <v/>
      </c>
      <c r="I69" s="1557">
        <f t="shared" si="12"/>
        <v>1</v>
      </c>
      <c r="J69" s="1557">
        <f>IF(I69="","",IF(IndG=3,MAX(I69,Obj_Projets!J69),MAX(I69,Obj_PA!D69)))</f>
        <v>1</v>
      </c>
      <c r="K69" s="1560">
        <f t="shared" si="13"/>
        <v>1</v>
      </c>
      <c r="L69" s="1650" t="str">
        <f t="shared" si="14"/>
        <v xml:space="preserve"> n'a pas démarré</v>
      </c>
      <c r="M69" s="154"/>
      <c r="N69" s="154"/>
      <c r="O69" s="154"/>
      <c r="P69" s="154"/>
      <c r="Q69" s="154"/>
      <c r="R69" s="154"/>
      <c r="S69" s="154"/>
      <c r="T69" s="154"/>
      <c r="U69" s="154"/>
      <c r="V69" s="154"/>
      <c r="W69" s="154"/>
      <c r="X69" s="154"/>
      <c r="Y69" s="154"/>
      <c r="Z69" s="154"/>
      <c r="AA69" s="154"/>
      <c r="AB69" s="154"/>
      <c r="AC69" s="154"/>
      <c r="AD69" s="154"/>
      <c r="AE69" s="154"/>
      <c r="AF69" s="154"/>
      <c r="AG69" s="154"/>
      <c r="AH69" s="154"/>
      <c r="AI69" s="154"/>
      <c r="AJ69" s="154"/>
      <c r="AK69" s="154"/>
      <c r="AL69" s="154"/>
      <c r="AM69" s="154"/>
      <c r="AN69" s="154"/>
      <c r="AO69" s="154"/>
      <c r="AP69" s="154"/>
      <c r="AQ69" s="154"/>
      <c r="AR69" s="154"/>
      <c r="AS69" s="154"/>
      <c r="AT69" s="154"/>
      <c r="AU69" s="154"/>
      <c r="AV69" s="154"/>
      <c r="AW69" s="154"/>
      <c r="AX69" s="154"/>
      <c r="AY69" s="154"/>
      <c r="AZ69" s="154"/>
      <c r="BA69" s="154"/>
      <c r="BB69" s="154"/>
    </row>
    <row r="70" spans="1:85" s="527" customFormat="1" ht="15.75" customHeight="1" outlineLevel="1" x14ac:dyDescent="0.2">
      <c r="A70" s="1212"/>
      <c r="B70" s="1212" t="s">
        <v>3252</v>
      </c>
      <c r="C70" s="1219" t="s">
        <v>3253</v>
      </c>
      <c r="D70" s="1567" t="s">
        <v>2620</v>
      </c>
      <c r="E70" s="1559" t="str">
        <f>IF(NOT('03 Loc'!C62 = ""),'03 Loc'!C62,IF(COUNTIF('03 Loc'!C63:C69,"&gt;=0")=0,"", MIN(MAX(SUMPRODUCT('03 Loc'!C63:C69,'03 Loc'!$G63:$G69)*4/(SUM('03 Loc'!$G63:$G69) - SUMIF('03 Loc'!C63:C69,"X",'03 Loc'!$G63:$G69)),MAX('03 Loc'!AA63:AA69)),MIN('03 Loc'!AE63:AE69))))</f>
        <v/>
      </c>
      <c r="F70" s="1559" t="str">
        <f>IF(NOT('03 Loc'!D62 = ""),'03 Loc'!D62,IF(COUNTIF('03 Loc'!D63:D69,"&gt;=0")=0,"", MIN(MAX(SUMPRODUCT('03 Loc'!D63:D69,'03 Loc'!$G63:$G69)*4/(SUM('03 Loc'!$G63:$G69) - SUMIF('03 Loc'!D63:D69,"X",'03 Loc'!$G63:$G69)),MAX('03 Loc'!AB63:AB69)),MIN('03 Loc'!AF63:AF69))))</f>
        <v/>
      </c>
      <c r="G70" s="1559" t="str">
        <f>IF(NOT('03 Loc'!E62 = ""),'03 Loc'!E62,IF(COUNTIF('03 Loc'!E63:E69,"&gt;=0")=0,"", MIN(MAX(SUMPRODUCT('03 Loc'!E63:E69,'03 Loc'!$G63:$G69)*4/(SUM('03 Loc'!$G63:$G69) - SUMIF('03 Loc'!E63:E69,"X",'03 Loc'!$G63:$G69)),MAX('03 Loc'!AC63:AC69)),MIN('03 Loc'!AG63:AG69))))</f>
        <v/>
      </c>
      <c r="H70" s="1559" t="str">
        <f>IF(NOT('03 Loc'!F62 = ""),'03 Loc'!F62,IF(COUNTIF('03 Loc'!F63:F69,"&gt;=0")=0,"", MIN(MAX(SUMPRODUCT('03 Loc'!F63:F69,'03 Loc'!$G63:$G69)*4/(SUM('03 Loc'!$G63:$G69) - SUMIF('03 Loc'!F63:F69,"X",'03 Loc'!$G63:$G69)),MAX('03 Loc'!AD63:AD69)),MIN('03 Loc'!AH63:AH69))))</f>
        <v/>
      </c>
      <c r="I70" s="1557">
        <f t="shared" si="12"/>
        <v>1</v>
      </c>
      <c r="J70" s="1557">
        <f>IF(I70="","",IF(IndG=3,MAX(I70,Obj_Projets!J70),MAX(I70,Obj_PA!D70)))</f>
        <v>1</v>
      </c>
      <c r="K70" s="1560">
        <f t="shared" si="13"/>
        <v>1</v>
      </c>
      <c r="L70" s="1650" t="str">
        <f t="shared" si="14"/>
        <v xml:space="preserve"> n'a pas démarré</v>
      </c>
      <c r="M70" s="154"/>
      <c r="N70" s="154"/>
      <c r="O70" s="154"/>
      <c r="P70" s="154"/>
      <c r="Q70" s="154"/>
      <c r="R70" s="154"/>
      <c r="S70" s="154"/>
      <c r="T70" s="154"/>
      <c r="U70" s="154"/>
      <c r="V70" s="154"/>
      <c r="W70" s="154"/>
      <c r="X70" s="154"/>
      <c r="Y70" s="154"/>
      <c r="Z70" s="154"/>
      <c r="AA70" s="154"/>
      <c r="AB70" s="154"/>
      <c r="AC70" s="154"/>
      <c r="AD70" s="154"/>
      <c r="AE70" s="154"/>
      <c r="AF70" s="154"/>
      <c r="AG70" s="154"/>
      <c r="AH70" s="154"/>
      <c r="AI70" s="154"/>
      <c r="AJ70" s="154"/>
      <c r="AK70" s="154"/>
      <c r="AL70" s="154"/>
      <c r="AM70" s="154"/>
      <c r="AN70" s="154"/>
      <c r="AO70" s="154"/>
      <c r="AP70" s="154"/>
      <c r="AQ70" s="154"/>
      <c r="AR70" s="154"/>
      <c r="AS70" s="154"/>
      <c r="AT70" s="154"/>
      <c r="AU70" s="154"/>
      <c r="AV70" s="154"/>
      <c r="AW70" s="154"/>
      <c r="AX70" s="154"/>
      <c r="AY70" s="154"/>
      <c r="AZ70" s="154"/>
      <c r="BA70" s="154"/>
      <c r="BB70" s="154"/>
      <c r="CF70" s="527">
        <f>IF(INDEX(Tab_actions,33,1)=1,INDEX(Tab_actions,33,4),0)</f>
        <v>0</v>
      </c>
    </row>
    <row r="71" spans="1:85" s="527" customFormat="1" ht="15.75" customHeight="1" outlineLevel="1" x14ac:dyDescent="0.2">
      <c r="A71" s="1212"/>
      <c r="B71" s="1212" t="s">
        <v>3254</v>
      </c>
      <c r="C71" s="1219" t="s">
        <v>3359</v>
      </c>
      <c r="D71" s="1567" t="s">
        <v>2620</v>
      </c>
      <c r="E71" s="1559" t="str">
        <f>IF(NOT('03 Loc'!C70 = ""),'03 Loc'!C70,IF(COUNTIF('03 Loc'!C71:C80,"&gt;=0")=0,"", MIN(MAX(SUMPRODUCT('03 Loc'!C71:C80,'03 Loc'!$G71:$G80)*4/(SUM('03 Loc'!$G71:$G80) - SUMIF('03 Loc'!C71:C80,"X",'03 Loc'!$G71:$G80)),MAX('03 Loc'!AA71:AA80)),MIN('03 Loc'!AE71:AE80))))</f>
        <v/>
      </c>
      <c r="F71" s="1559" t="str">
        <f>IF(NOT('03 Loc'!D70 = ""),'03 Loc'!D70,IF(COUNTIF('03 Loc'!D71:D80,"&gt;=0")=0,"", MIN(MAX(SUMPRODUCT('03 Loc'!D71:D80,'03 Loc'!$G71:$G80)*4/(SUM('03 Loc'!$G71:$G80) - SUMIF('03 Loc'!D71:D80,"X",'03 Loc'!$G71:$G80)),MAX('03 Loc'!AB71:AB80)),MIN('03 Loc'!AF71:AF80))))</f>
        <v/>
      </c>
      <c r="G71" s="1559" t="str">
        <f>IF(NOT('03 Loc'!E70 = ""),'03 Loc'!E70,IF(COUNTIF('03 Loc'!E71:E80,"&gt;=0")=0,"", MIN(MAX(SUMPRODUCT('03 Loc'!E71:E80,'03 Loc'!$G71:$G80)*4/(SUM('03 Loc'!$G71:$G80) - SUMIF('03 Loc'!E71:E80,"X",'03 Loc'!$G71:$G80)),MAX('03 Loc'!AC71:AC80)),MIN('03 Loc'!AG71:AG80))))</f>
        <v/>
      </c>
      <c r="H71" s="1559" t="str">
        <f>IF(NOT('03 Loc'!F70 = ""),'03 Loc'!F70,IF(COUNTIF('03 Loc'!F71:F80,"&gt;=0")=0,"", MIN(MAX(SUMPRODUCT('03 Loc'!F71:F80,'03 Loc'!$G71:$G80)*4/(SUM('03 Loc'!$G71:$G80) - SUMIF('03 Loc'!F71:F80,"X",'03 Loc'!$G71:$G80)),MAX('03 Loc'!AD71:AD80)),MIN('03 Loc'!AH71:AH80))))</f>
        <v/>
      </c>
      <c r="I71" s="1557">
        <f t="shared" si="12"/>
        <v>1</v>
      </c>
      <c r="J71" s="1557">
        <f>IF(I71="","",IF(IndG=3,MAX(I71,Obj_Projets!J71),MAX(I71,Obj_PA!D71)))</f>
        <v>1</v>
      </c>
      <c r="K71" s="1560">
        <f t="shared" si="13"/>
        <v>1</v>
      </c>
      <c r="L71" s="1650" t="str">
        <f t="shared" si="14"/>
        <v xml:space="preserve"> n'a pas démarré</v>
      </c>
      <c r="M71" s="154"/>
      <c r="N71" s="154"/>
      <c r="O71" s="154"/>
      <c r="P71" s="154"/>
      <c r="Q71" s="154"/>
      <c r="R71" s="154"/>
      <c r="S71" s="154"/>
      <c r="T71" s="154"/>
      <c r="U71" s="154"/>
      <c r="V71" s="154"/>
      <c r="W71" s="154"/>
      <c r="X71" s="154"/>
      <c r="Y71" s="154"/>
      <c r="Z71" s="154"/>
      <c r="AA71" s="154"/>
      <c r="AB71" s="154"/>
      <c r="AC71" s="154"/>
      <c r="AD71" s="154"/>
      <c r="AE71" s="154"/>
      <c r="AF71" s="154"/>
      <c r="AG71" s="154"/>
      <c r="AH71" s="154"/>
      <c r="AI71" s="154"/>
      <c r="AJ71" s="154"/>
      <c r="AK71" s="154"/>
      <c r="AL71" s="154"/>
      <c r="AM71" s="154"/>
      <c r="AN71" s="154"/>
      <c r="AO71" s="154"/>
      <c r="AP71" s="154"/>
      <c r="AQ71" s="154"/>
      <c r="AR71" s="154"/>
      <c r="AS71" s="154"/>
      <c r="AT71" s="154"/>
      <c r="AU71" s="154"/>
      <c r="AV71" s="154"/>
      <c r="AW71" s="154"/>
      <c r="AX71" s="154"/>
      <c r="AY71" s="154"/>
      <c r="AZ71" s="154"/>
      <c r="BA71" s="154"/>
      <c r="BB71" s="154"/>
      <c r="CF71" s="527">
        <f>IF(INDEX(Tab_actions,33,1)=1,INDEX(Tab_actions,33,6),0)</f>
        <v>0</v>
      </c>
    </row>
    <row r="72" spans="1:85" s="527" customFormat="1" ht="15.75" customHeight="1" outlineLevel="1" x14ac:dyDescent="0.2">
      <c r="A72" s="1212"/>
      <c r="B72" s="1212" t="s">
        <v>3360</v>
      </c>
      <c r="C72" s="1219" t="s">
        <v>1664</v>
      </c>
      <c r="D72" s="1567" t="s">
        <v>2620</v>
      </c>
      <c r="E72" s="1559" t="str">
        <f>IF(NOT('03 Loc'!C81 = ""),'03 Loc'!C81,IF(COUNTIF('03 Loc'!C82:C89,"&gt;=0")=0,"", MIN(MAX(SUMPRODUCT('03 Loc'!C82:C89,'03 Loc'!$G82:$G89)*4/(SUM('03 Loc'!$G82:$G89) - SUMIF('03 Loc'!C82:C89,"X",'03 Loc'!$G82:$G89)),MAX('03 Loc'!AA82:AA89)),MIN('03 Loc'!AE82:AE89))))</f>
        <v/>
      </c>
      <c r="F72" s="1559" t="str">
        <f>IF(NOT('03 Loc'!D81 = ""),'03 Loc'!D81,IF(COUNTIF('03 Loc'!D82:D89,"&gt;=0")=0,"", MIN(MAX(SUMPRODUCT('03 Loc'!D82:D89,'03 Loc'!$G82:$G89)*4/(SUM('03 Loc'!$G82:$G89) - SUMIF('03 Loc'!D82:D89,"X",'03 Loc'!$G82:$G89)),MAX('03 Loc'!AB82:AB89)),MIN('03 Loc'!AF82:AF89))))</f>
        <v/>
      </c>
      <c r="G72" s="1559" t="str">
        <f>IF(NOT('03 Loc'!E81 = ""),'03 Loc'!E81,IF(COUNTIF('03 Loc'!E82:E89,"&gt;=0")=0,"", MIN(MAX(SUMPRODUCT('03 Loc'!E82:E89,'03 Loc'!$G82:$G89)*4/(SUM('03 Loc'!$G82:$G89) - SUMIF('03 Loc'!E82:E89,"X",'03 Loc'!$G82:$G89)),MAX('03 Loc'!AC82:AC89)),MIN('03 Loc'!AG82:AG89))))</f>
        <v/>
      </c>
      <c r="H72" s="1559" t="str">
        <f>IF(NOT('03 Loc'!F81 = ""),'03 Loc'!F81,IF(COUNTIF('03 Loc'!F82:F89,"&gt;=0")=0,"", MIN(MAX(SUMPRODUCT('03 Loc'!F82:F89,'03 Loc'!$G82:$G89)*4/(SUM('03 Loc'!$G82:$G89) - SUMIF('03 Loc'!F82:F89,"X",'03 Loc'!$G82:$G89)),MAX('03 Loc'!AD82:AD89)),MIN('03 Loc'!AH82:AH89))))</f>
        <v/>
      </c>
      <c r="I72" s="1557">
        <f t="shared" si="12"/>
        <v>1</v>
      </c>
      <c r="J72" s="1557">
        <f>IF(I72="","",IF(IndG=3,MAX(I72,Obj_Projets!J72),MAX(I72,Obj_PA!D72)))</f>
        <v>1</v>
      </c>
      <c r="K72" s="1560">
        <f t="shared" si="13"/>
        <v>1</v>
      </c>
      <c r="L72" s="1650" t="str">
        <f t="shared" si="14"/>
        <v xml:space="preserve"> n'a pas démarré</v>
      </c>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c r="AZ72" s="154"/>
      <c r="BA72" s="154"/>
      <c r="BB72" s="154"/>
    </row>
    <row r="73" spans="1:85" s="527" customFormat="1" ht="15.75" customHeight="1" outlineLevel="1" x14ac:dyDescent="0.2">
      <c r="A73" s="1212"/>
      <c r="B73" s="1212" t="s">
        <v>1665</v>
      </c>
      <c r="C73" s="1219" t="s">
        <v>1666</v>
      </c>
      <c r="D73" s="1567" t="s">
        <v>2620</v>
      </c>
      <c r="E73" s="1559" t="str">
        <f>IF(NOT('03 Loc'!C90 = ""),'03 Loc'!C90,IF(COUNTIF('03 Loc'!C91:C98,"&gt;=0")=0,"", MIN(MAX(SUMPRODUCT('03 Loc'!C91:C98,'03 Loc'!$G91:$G98)*4/(SUM('03 Loc'!$G91:$G98) - SUMIF('03 Loc'!C91:C98,"X",'03 Loc'!$G91:$G98)),MAX('03 Loc'!AA91:AA98)),MIN('03 Loc'!AE91:AE98))))</f>
        <v/>
      </c>
      <c r="F73" s="1559" t="str">
        <f>IF(NOT('03 Loc'!D90 = ""),'03 Loc'!D90,IF(COUNTIF('03 Loc'!D91:D98,"&gt;=0")=0,"", MIN(MAX(SUMPRODUCT('03 Loc'!D91:D98,'03 Loc'!$G91:$G98)*4/(SUM('03 Loc'!$G91:$G98) - SUMIF('03 Loc'!D91:D98,"X",'03 Loc'!$G91:$G98)),MAX('03 Loc'!AB91:AB98)),MIN('03 Loc'!AF91:AF98))))</f>
        <v/>
      </c>
      <c r="G73" s="1559" t="str">
        <f>IF(NOT('03 Loc'!E90 = ""),'03 Loc'!E90,IF(COUNTIF('03 Loc'!E91:E98,"&gt;=0")=0,"", MIN(MAX(SUMPRODUCT('03 Loc'!E91:E98,'03 Loc'!$G91:$G98)*4/(SUM('03 Loc'!$G91:$G98) - SUMIF('03 Loc'!E91:E98,"X",'03 Loc'!$G91:$G98)),MAX('03 Loc'!AC91:AC98)),MIN('03 Loc'!AG91:AG98))))</f>
        <v/>
      </c>
      <c r="H73" s="1559" t="str">
        <f>IF(NOT('03 Loc'!F90 = ""),'03 Loc'!F90,IF(COUNTIF('03 Loc'!F91:F98,"&gt;=0")=0,"", MIN(MAX(SUMPRODUCT('03 Loc'!F91:F98,'03 Loc'!$G91:$G98)*4/(SUM('03 Loc'!$G91:$G98) - SUMIF('03 Loc'!F91:F98,"X",'03 Loc'!$G91:$G98)),MAX('03 Loc'!AD91:AD98)),MIN('03 Loc'!AH91:AH98))))</f>
        <v/>
      </c>
      <c r="I73" s="1557">
        <f t="shared" si="12"/>
        <v>1</v>
      </c>
      <c r="J73" s="1557">
        <f>IF(I73="","",IF(IndG=3,MAX(I73,Obj_Projets!J73),MAX(I73,Obj_PA!D73)))</f>
        <v>1</v>
      </c>
      <c r="K73" s="1560">
        <f t="shared" si="13"/>
        <v>1</v>
      </c>
      <c r="L73" s="1650" t="str">
        <f t="shared" si="14"/>
        <v xml:space="preserve"> n'a pas démarré</v>
      </c>
      <c r="M73" s="154"/>
      <c r="N73" s="154"/>
      <c r="O73" s="154"/>
      <c r="P73" s="154"/>
      <c r="Q73" s="154"/>
      <c r="R73" s="154"/>
      <c r="S73" s="154"/>
      <c r="T73" s="154"/>
      <c r="U73" s="154"/>
      <c r="V73" s="154"/>
      <c r="W73" s="154"/>
      <c r="X73" s="154"/>
      <c r="Y73" s="154"/>
      <c r="Z73" s="154"/>
      <c r="AA73" s="154"/>
      <c r="AB73" s="154"/>
      <c r="AC73" s="154"/>
      <c r="AD73" s="154"/>
      <c r="AE73" s="154"/>
      <c r="AF73" s="154"/>
      <c r="AG73" s="154"/>
      <c r="AH73" s="154"/>
      <c r="AI73" s="154"/>
      <c r="AJ73" s="154"/>
      <c r="AK73" s="154"/>
      <c r="AL73" s="154"/>
      <c r="AM73" s="154"/>
      <c r="AN73" s="154"/>
      <c r="AO73" s="154"/>
      <c r="AP73" s="154"/>
      <c r="AQ73" s="154"/>
      <c r="AR73" s="154"/>
      <c r="AS73" s="154"/>
      <c r="AT73" s="154"/>
      <c r="AU73" s="154"/>
      <c r="AV73" s="154"/>
      <c r="AW73" s="154"/>
      <c r="AX73" s="154"/>
      <c r="AY73" s="154"/>
      <c r="AZ73" s="154"/>
      <c r="BA73" s="154"/>
      <c r="BB73" s="154"/>
      <c r="CG73" s="527">
        <f>IF(INDEX(Tab_actions,34,1)=1,INDEX(Tab_actions,34,4),0)</f>
        <v>0</v>
      </c>
    </row>
    <row r="74" spans="1:85" s="527" customFormat="1" ht="15.75" customHeight="1" outlineLevel="1" x14ac:dyDescent="0.2">
      <c r="A74" s="1212"/>
      <c r="B74" s="1212" t="s">
        <v>1667</v>
      </c>
      <c r="C74" s="1219" t="s">
        <v>1668</v>
      </c>
      <c r="D74" s="1567" t="s">
        <v>2620</v>
      </c>
      <c r="E74" s="1559" t="str">
        <f>IF(NOT('03 Loc'!C99 = ""),'03 Loc'!C99,IF(COUNTIF('03 Loc'!C100:C104,"&gt;=0")=0,"", MIN(MAX(SUMPRODUCT('03 Loc'!C100:C104,'03 Loc'!$G100:$G104)*4/(SUM('03 Loc'!$G100:$G104) - SUMIF('03 Loc'!C100:C104,"X",'03 Loc'!$G100:$G104)),MAX('03 Loc'!AA100:AA104)),MIN('03 Loc'!AE100:AE104))))</f>
        <v/>
      </c>
      <c r="F74" s="1559" t="str">
        <f>IF(NOT('03 Loc'!D99 = ""),'03 Loc'!D99,IF(COUNTIF('03 Loc'!D100:D104,"&gt;=0")=0,"", MIN(MAX(SUMPRODUCT('03 Loc'!D100:D104,'03 Loc'!$G100:$G104)*4/(SUM('03 Loc'!$G100:$G104) - SUMIF('03 Loc'!D100:D104,"X",'03 Loc'!$G100:$G104)),MAX('03 Loc'!AB100:AB104)),MIN('03 Loc'!AF100:AF104))))</f>
        <v/>
      </c>
      <c r="G74" s="1559" t="str">
        <f>IF(NOT('03 Loc'!E99 = ""),'03 Loc'!E99,IF(COUNTIF('03 Loc'!E100:E104,"&gt;=0")=0,"", MIN(MAX(SUMPRODUCT('03 Loc'!E100:E104,'03 Loc'!$G100:$G104)*4/(SUM('03 Loc'!$G100:$G104) - SUMIF('03 Loc'!E100:E104,"X",'03 Loc'!$G100:$G104)),MAX('03 Loc'!AC100:AC104)),MIN('03 Loc'!AG100:AG104))))</f>
        <v/>
      </c>
      <c r="H74" s="1559" t="str">
        <f>IF(NOT('03 Loc'!F99 = ""),'03 Loc'!F99,IF(COUNTIF('03 Loc'!F100:F104,"&gt;=0")=0,"", MIN(MAX(SUMPRODUCT('03 Loc'!F100:F104,'03 Loc'!$G100:$G104)*4/(SUM('03 Loc'!$G100:$G104) - SUMIF('03 Loc'!F100:F104,"X",'03 Loc'!$G100:$G104)),MAX('03 Loc'!AD100:AD104)),MIN('03 Loc'!AH100:AH104))))</f>
        <v/>
      </c>
      <c r="I74" s="1557">
        <f t="shared" si="12"/>
        <v>1</v>
      </c>
      <c r="J74" s="1557">
        <f>IF(I74="","",IF(IndG=3,MAX(I74,Obj_Projets!J74),MAX(I74,Obj_PA!D74)))</f>
        <v>1</v>
      </c>
      <c r="K74" s="1560">
        <f t="shared" si="13"/>
        <v>1</v>
      </c>
      <c r="L74" s="1650" t="str">
        <f t="shared" si="14"/>
        <v xml:space="preserve"> n'a pas démarré</v>
      </c>
      <c r="M74" s="154"/>
      <c r="N74" s="154"/>
      <c r="O74" s="154"/>
      <c r="P74" s="154"/>
      <c r="Q74" s="154"/>
      <c r="R74" s="154"/>
      <c r="S74" s="154"/>
      <c r="T74" s="154"/>
      <c r="U74" s="154"/>
      <c r="V74" s="154"/>
      <c r="W74" s="154"/>
      <c r="X74" s="154"/>
      <c r="Y74" s="154"/>
      <c r="Z74" s="154"/>
      <c r="AA74" s="154"/>
      <c r="AB74" s="154"/>
      <c r="AC74" s="154"/>
      <c r="AD74" s="154"/>
      <c r="AE74" s="154"/>
      <c r="AF74" s="154"/>
      <c r="AG74" s="154"/>
      <c r="AH74" s="154"/>
      <c r="AI74" s="154"/>
      <c r="AJ74" s="154"/>
      <c r="AK74" s="154"/>
      <c r="AL74" s="154"/>
      <c r="AM74" s="154"/>
      <c r="AN74" s="154"/>
      <c r="AO74" s="154"/>
      <c r="AP74" s="154"/>
      <c r="AQ74" s="154"/>
      <c r="AR74" s="154"/>
      <c r="AS74" s="154"/>
      <c r="AT74" s="154"/>
      <c r="AU74" s="154"/>
      <c r="AV74" s="154"/>
      <c r="AW74" s="154"/>
      <c r="AX74" s="154"/>
      <c r="AY74" s="154"/>
      <c r="AZ74" s="154"/>
      <c r="BA74" s="154"/>
      <c r="BB74" s="154"/>
    </row>
    <row r="75" spans="1:85" s="527" customFormat="1" ht="15.75" customHeight="1" outlineLevel="1" x14ac:dyDescent="0.2">
      <c r="A75" s="1212"/>
      <c r="B75" s="1212" t="s">
        <v>1669</v>
      </c>
      <c r="C75" s="1219" t="s">
        <v>5219</v>
      </c>
      <c r="D75" s="1567" t="s">
        <v>2620</v>
      </c>
      <c r="E75" s="1559" t="str">
        <f>IF(NOT('03 Loc'!C105 = ""),'03 Loc'!C105,IF(COUNTIF('03 Loc'!C106:C108,"&gt;=0")=0,"", MIN(MAX(SUMPRODUCT('03 Loc'!C106:C108,'03 Loc'!$G106:$G108)*4/(SUM('03 Loc'!$G106:$G108) - SUMIF('03 Loc'!C106:C108,"X",'03 Loc'!$G106:$G108)),MAX('03 Loc'!AA106:AA108)),MIN('03 Loc'!AE106:AE108))))</f>
        <v/>
      </c>
      <c r="F75" s="1559" t="str">
        <f>IF(NOT('03 Loc'!D105 = ""),'03 Loc'!D105,IF(COUNTIF('03 Loc'!D106:D108,"&gt;=0")=0,"", MIN(MAX(SUMPRODUCT('03 Loc'!D106:D108,'03 Loc'!$G106:$G108)*4/(SUM('03 Loc'!$G106:$G108) - SUMIF('03 Loc'!D106:D108,"X",'03 Loc'!$G106:$G108)),MAX('03 Loc'!AB106:AB108)),MIN('03 Loc'!AF106:AF108))))</f>
        <v/>
      </c>
      <c r="G75" s="1559" t="str">
        <f>IF(NOT('03 Loc'!E105 = ""),'03 Loc'!E105,IF(COUNTIF('03 Loc'!E106:E108,"&gt;=0")=0,"", MIN(MAX(SUMPRODUCT('03 Loc'!E106:E108,'03 Loc'!$G106:$G108)*4/(SUM('03 Loc'!$G106:$G108) - SUMIF('03 Loc'!E106:E108,"X",'03 Loc'!$G106:$G108)),MAX('03 Loc'!AC106:AC108)),MIN('03 Loc'!AG106:AG108))))</f>
        <v/>
      </c>
      <c r="H75" s="1559" t="str">
        <f>IF(NOT('03 Loc'!F105 = ""),'03 Loc'!F105,IF(COUNTIF('03 Loc'!F106:F108,"&gt;=0")=0,"", MIN(MAX(SUMPRODUCT('03 Loc'!F106:F108,'03 Loc'!$G106:$G108)*4/(SUM('03 Loc'!$G106:$G108) - SUMIF('03 Loc'!F106:F108,"X",'03 Loc'!$G106:$G108)),MAX('03 Loc'!AD106:AD108)),MIN('03 Loc'!AH106:AH108))))</f>
        <v/>
      </c>
      <c r="I75" s="1557">
        <f t="shared" si="12"/>
        <v>1</v>
      </c>
      <c r="J75" s="1557">
        <f>IF(I75="","",IF(IndG=3,MAX(I75,Obj_Projets!J75),MAX(I75,Obj_PA!D75)))</f>
        <v>1</v>
      </c>
      <c r="K75" s="1560">
        <f t="shared" si="13"/>
        <v>1</v>
      </c>
      <c r="L75" s="1650" t="str">
        <f t="shared" si="14"/>
        <v xml:space="preserve"> n'a pas démarré</v>
      </c>
      <c r="M75" s="154"/>
      <c r="N75" s="154"/>
      <c r="O75" s="154"/>
      <c r="P75" s="154"/>
      <c r="Q75" s="154"/>
      <c r="R75" s="154"/>
      <c r="S75" s="154"/>
      <c r="T75" s="154"/>
      <c r="U75" s="154"/>
      <c r="V75" s="154"/>
      <c r="W75" s="154"/>
      <c r="X75" s="154"/>
      <c r="Y75" s="154"/>
      <c r="Z75" s="154"/>
      <c r="AA75" s="154"/>
      <c r="AB75" s="154"/>
      <c r="AC75" s="154"/>
      <c r="AD75" s="154"/>
      <c r="AE75" s="154"/>
      <c r="AF75" s="154"/>
      <c r="AG75" s="154"/>
      <c r="AH75" s="154"/>
      <c r="AI75" s="154"/>
      <c r="AJ75" s="154"/>
      <c r="AK75" s="154"/>
      <c r="AL75" s="154"/>
      <c r="AM75" s="154"/>
      <c r="AN75" s="154"/>
      <c r="AO75" s="154"/>
      <c r="AP75" s="154"/>
      <c r="AQ75" s="154"/>
      <c r="AR75" s="154"/>
      <c r="AS75" s="154"/>
      <c r="AT75" s="154"/>
      <c r="AU75" s="154"/>
      <c r="AV75" s="154"/>
      <c r="AW75" s="154"/>
      <c r="AX75" s="154"/>
      <c r="AY75" s="154"/>
      <c r="AZ75" s="154"/>
      <c r="BA75" s="154"/>
      <c r="BB75" s="154"/>
    </row>
    <row r="76" spans="1:85" s="527" customFormat="1" ht="15.75" customHeight="1" outlineLevel="1" x14ac:dyDescent="0.2">
      <c r="A76" s="1212"/>
      <c r="B76" s="1213" t="s">
        <v>1781</v>
      </c>
      <c r="C76" s="1214" t="s">
        <v>1782</v>
      </c>
      <c r="D76" s="1554"/>
      <c r="E76" s="1559"/>
      <c r="F76" s="1559"/>
      <c r="G76" s="1559"/>
      <c r="H76" s="1559"/>
      <c r="I76" s="1561"/>
      <c r="J76" s="1561"/>
      <c r="K76" s="1561"/>
      <c r="L76" s="1650"/>
      <c r="M76" s="154"/>
      <c r="N76" s="154"/>
      <c r="O76" s="154"/>
      <c r="P76" s="154"/>
      <c r="Q76" s="154"/>
      <c r="R76" s="154"/>
      <c r="S76" s="154"/>
      <c r="T76" s="154"/>
      <c r="U76" s="154"/>
      <c r="V76" s="154"/>
      <c r="W76" s="154"/>
      <c r="X76" s="154"/>
      <c r="Y76" s="154"/>
      <c r="Z76" s="154"/>
      <c r="AA76" s="154"/>
      <c r="AB76" s="154"/>
      <c r="AC76" s="154"/>
      <c r="AD76" s="154"/>
      <c r="AE76" s="154"/>
      <c r="AF76" s="154"/>
      <c r="AG76" s="154"/>
      <c r="AH76" s="154"/>
      <c r="AI76" s="154"/>
      <c r="AJ76" s="154"/>
      <c r="AK76" s="154"/>
      <c r="AL76" s="154"/>
      <c r="AM76" s="154"/>
      <c r="AN76" s="154"/>
      <c r="AO76" s="154"/>
      <c r="AP76" s="154"/>
      <c r="AQ76" s="154"/>
      <c r="AR76" s="154"/>
      <c r="AS76" s="154"/>
      <c r="AT76" s="154"/>
      <c r="AU76" s="154"/>
      <c r="AV76" s="154"/>
      <c r="AW76" s="154"/>
      <c r="AX76" s="154"/>
      <c r="AY76" s="154"/>
      <c r="AZ76" s="154"/>
      <c r="BA76" s="154"/>
      <c r="BB76" s="154"/>
    </row>
    <row r="77" spans="1:85" s="527" customFormat="1" ht="15.75" customHeight="1" outlineLevel="1" x14ac:dyDescent="0.2">
      <c r="A77" s="1212"/>
      <c r="B77" s="1212" t="s">
        <v>5220</v>
      </c>
      <c r="C77" s="1219" t="s">
        <v>5221</v>
      </c>
      <c r="D77" s="1567" t="s">
        <v>2621</v>
      </c>
      <c r="E77" s="1559" t="str">
        <f>IF(NOT('03 Loc'!C110 = ""),'03 Loc'!C110,IF(COUNTIF('03 Loc'!C111:C114,"&gt;=0")=0,"", MIN(MAX(SUMPRODUCT('03 Loc'!C111:C114,'03 Loc'!$G111:$G114)*4/(SUM('03 Loc'!$G111:$G114) - SUMIF('03 Loc'!C111:C114,"X",'03 Loc'!$G111:$G114)),MAX('03 Loc'!AA111:AA114)),MIN('03 Loc'!AE111:AE114))))</f>
        <v/>
      </c>
      <c r="F77" s="1559" t="str">
        <f>IF(NOT('03 Loc'!D110 = ""),'03 Loc'!D110,IF(COUNTIF('03 Loc'!D111:D114,"&gt;=0")=0,"", MIN(MAX(SUMPRODUCT('03 Loc'!D111:D114,'03 Loc'!$G111:$G114)*4/(SUM('03 Loc'!$G111:$G114) - SUMIF('03 Loc'!D111:D114,"X",'03 Loc'!$G111:$G114)),MAX('03 Loc'!AB111:AB114)),MIN('03 Loc'!AF111:AF114))))</f>
        <v/>
      </c>
      <c r="G77" s="1559" t="str">
        <f>IF(NOT('03 Loc'!E110 = ""),'03 Loc'!E110,IF(COUNTIF('03 Loc'!E111:E114,"&gt;=0")=0,"", MIN(MAX(SUMPRODUCT('03 Loc'!E111:E114,'03 Loc'!$G111:$G114)*4/(SUM('03 Loc'!$G111:$G114) - SUMIF('03 Loc'!E111:E114,"X",'03 Loc'!$G111:$G114)),MAX('03 Loc'!AC111:AC114)),MIN('03 Loc'!AG111:AG114))))</f>
        <v/>
      </c>
      <c r="H77" s="1559" t="str">
        <f>IF(NOT('03 Loc'!F110 = ""),'03 Loc'!F110,IF(COUNTIF('03 Loc'!F111:F114,"&gt;=0")=0,"", MIN(MAX(SUMPRODUCT('03 Loc'!F111:F114,'03 Loc'!$G111:$G114)*4/(SUM('03 Loc'!$G111:$G114) - SUMIF('03 Loc'!F111:F114,"X",'03 Loc'!$G111:$G114)),MAX('03 Loc'!AD111:AD114)),MIN('03 Loc'!AH111:AH114))))</f>
        <v/>
      </c>
      <c r="I77" s="1557">
        <f>IF(AND(OR(E77="X",E77=""),OR(F77="X",F77=""),OR(G77="X",G77=""),OR(H77="X",H77="")),1,ROUND(MIN(IF(OR(E77="",E77="X"),4,E77),IF(OR(F77="",F77="X"),4,F77),IF(OR(G77="",G77="X"),4,G77),IF(OR(H77="",H77="X"),4,H77)),0))</f>
        <v>1</v>
      </c>
      <c r="J77" s="1557">
        <f>IF(I77="","",IF(IndG=3,MAX(I77,Obj_Projets!J77),MAX(I77,Obj_PA!D77)))</f>
        <v>1</v>
      </c>
      <c r="K77" s="1560">
        <f>IF(IF(OR(IndG=3,IndG=4),MAX(I77,J77),I77)&lt;1,1,IF(OR(IndG=3,IndG=4),MAX(I77,J77),I77))</f>
        <v>1</v>
      </c>
      <c r="L77" s="1650" t="str">
        <f>IF(E77=""," n'a pas démarré","")</f>
        <v xml:space="preserve"> n'a pas démarré</v>
      </c>
      <c r="M77" s="154"/>
      <c r="N77" s="154"/>
      <c r="O77" s="154"/>
      <c r="P77" s="154"/>
      <c r="Q77" s="154"/>
      <c r="R77" s="154"/>
      <c r="S77" s="154"/>
      <c r="T77" s="154"/>
      <c r="U77" s="154"/>
      <c r="V77" s="154"/>
      <c r="W77" s="154"/>
      <c r="X77" s="154"/>
      <c r="Y77" s="154"/>
      <c r="Z77" s="154"/>
      <c r="AA77" s="154"/>
      <c r="AB77" s="154"/>
      <c r="AC77" s="154"/>
      <c r="AD77" s="154"/>
      <c r="AE77" s="154"/>
      <c r="AF77" s="154"/>
      <c r="AG77" s="154"/>
      <c r="AH77" s="154"/>
      <c r="AI77" s="154"/>
      <c r="AJ77" s="154"/>
      <c r="AK77" s="154"/>
      <c r="AL77" s="154"/>
      <c r="AM77" s="154"/>
      <c r="AN77" s="154"/>
      <c r="AO77" s="154"/>
      <c r="AP77" s="154"/>
      <c r="AQ77" s="154"/>
      <c r="AR77" s="154"/>
      <c r="AS77" s="154"/>
      <c r="AT77" s="154"/>
      <c r="AU77" s="154"/>
      <c r="AV77" s="154"/>
      <c r="AW77" s="154"/>
      <c r="AX77" s="154"/>
      <c r="AY77" s="154"/>
      <c r="AZ77" s="154"/>
      <c r="BA77" s="154"/>
      <c r="BB77" s="154"/>
      <c r="CG77" s="527">
        <f>IF(INDEX(Tab_actions,70,1)=1,INDEX(Tab_actions,70,4),0)</f>
        <v>0</v>
      </c>
    </row>
    <row r="78" spans="1:85" s="527" customFormat="1" ht="15.75" customHeight="1" outlineLevel="1" x14ac:dyDescent="0.2">
      <c r="A78" s="1212"/>
      <c r="B78" s="1212" t="s">
        <v>5222</v>
      </c>
      <c r="C78" s="1219" t="s">
        <v>5223</v>
      </c>
      <c r="D78" s="1567" t="s">
        <v>2621</v>
      </c>
      <c r="E78" s="1559" t="str">
        <f>IF(NOT('03 Loc'!C115 = ""),'03 Loc'!C115,IF(COUNTIF('03 Loc'!C116:C124,"&gt;=0")=0,"", MIN(MAX(SUMPRODUCT('03 Loc'!C116:C124,'03 Loc'!$G116:$G124)*4/(SUM('03 Loc'!$G116:$G124) - SUMIF('03 Loc'!C116:C124,"X",'03 Loc'!$G116:$G124)),MAX('03 Loc'!AA116:AA124)),MIN('03 Loc'!AE116:AE124))))</f>
        <v/>
      </c>
      <c r="F78" s="1559" t="str">
        <f>IF(NOT('03 Loc'!D115 = ""),'03 Loc'!D115,IF(COUNTIF('03 Loc'!D116:D124,"&gt;=0")=0,"", MIN(MAX(SUMPRODUCT('03 Loc'!D116:D124,'03 Loc'!$G116:$G124)*4/(SUM('03 Loc'!$G116:$G124) - SUMIF('03 Loc'!D116:D124,"X",'03 Loc'!$G116:$G124)),MAX('03 Loc'!AB116:AB124)),MIN('03 Loc'!AF116:AF124))))</f>
        <v/>
      </c>
      <c r="G78" s="1559" t="str">
        <f>IF(NOT('03 Loc'!E115 = ""),'03 Loc'!E115,IF(COUNTIF('03 Loc'!E116:E124,"&gt;=0")=0,"", MIN(MAX(SUMPRODUCT('03 Loc'!E116:E124,'03 Loc'!$G116:$G124)*4/(SUM('03 Loc'!$G116:$G124) - SUMIF('03 Loc'!E116:E124,"X",'03 Loc'!$G116:$G124)),MAX('03 Loc'!AC116:AC124)),MIN('03 Loc'!AG116:AG124))))</f>
        <v/>
      </c>
      <c r="H78" s="1559" t="str">
        <f>IF(NOT('03 Loc'!F115 = ""),'03 Loc'!F115,IF(COUNTIF('03 Loc'!F116:F124,"&gt;=0")=0,"", MIN(MAX(SUMPRODUCT('03 Loc'!F116:F124,'03 Loc'!$G116:$G124)*4/(SUM('03 Loc'!$G116:$G124) - SUMIF('03 Loc'!F116:F124,"X",'03 Loc'!$G116:$G124)),MAX('03 Loc'!AD116:AD124)),MIN('03 Loc'!AH116:AH124))))</f>
        <v/>
      </c>
      <c r="I78" s="1557">
        <f>IF(AND(OR(E78="X",E78=""),OR(F78="X",F78=""),OR(G78="X",G78=""),OR(H78="X",H78="")),1,ROUND(MIN(IF(OR(E78="",E78="X"),4,E78),IF(OR(F78="",F78="X"),4,F78),IF(OR(G78="",G78="X"),4,G78),IF(OR(H78="",H78="X"),4,H78)),0))</f>
        <v>1</v>
      </c>
      <c r="J78" s="1557">
        <f>IF(I78="","",IF(IndG=3,MAX(I78,Obj_Projets!J78),MAX(I78,Obj_PA!D78)))</f>
        <v>1</v>
      </c>
      <c r="K78" s="1560">
        <f>IF(IF(OR(IndG=3,IndG=4),MAX(I78,J78),I78)&lt;1,1,IF(OR(IndG=3,IndG=4),MAX(I78,J78),I78))</f>
        <v>1</v>
      </c>
      <c r="L78" s="1650" t="str">
        <f>IF(E78=""," n'a pas démarré","")</f>
        <v xml:space="preserve"> n'a pas démarré</v>
      </c>
      <c r="M78" s="154"/>
      <c r="N78" s="154"/>
      <c r="O78" s="154"/>
      <c r="P78" s="154"/>
      <c r="Q78" s="154"/>
      <c r="R78" s="154"/>
      <c r="S78" s="154"/>
      <c r="T78" s="154"/>
      <c r="U78" s="154"/>
      <c r="V78" s="154"/>
      <c r="W78" s="154"/>
      <c r="X78" s="154"/>
      <c r="Y78" s="154"/>
      <c r="Z78" s="154"/>
      <c r="AA78" s="154"/>
      <c r="AB78" s="154"/>
      <c r="AC78" s="154"/>
      <c r="AD78" s="154"/>
      <c r="AE78" s="154"/>
      <c r="AF78" s="154"/>
      <c r="AG78" s="154"/>
      <c r="AH78" s="154"/>
      <c r="AI78" s="154"/>
      <c r="AJ78" s="154"/>
      <c r="AK78" s="154"/>
      <c r="AL78" s="154"/>
      <c r="AM78" s="154"/>
      <c r="AN78" s="154"/>
      <c r="AO78" s="154"/>
      <c r="AP78" s="154"/>
      <c r="AQ78" s="154"/>
      <c r="AR78" s="154"/>
      <c r="AS78" s="154"/>
      <c r="AT78" s="154"/>
      <c r="AU78" s="154"/>
      <c r="AV78" s="154"/>
      <c r="AW78" s="154"/>
      <c r="AX78" s="154"/>
      <c r="AY78" s="154"/>
      <c r="AZ78" s="154"/>
      <c r="BA78" s="154"/>
      <c r="BB78" s="154"/>
    </row>
    <row r="79" spans="1:85" s="527" customFormat="1" ht="15.75" customHeight="1" outlineLevel="1" x14ac:dyDescent="0.2">
      <c r="A79" s="1212"/>
      <c r="B79" s="1212" t="s">
        <v>5224</v>
      </c>
      <c r="C79" s="1219" t="s">
        <v>1943</v>
      </c>
      <c r="D79" s="1567" t="s">
        <v>2621</v>
      </c>
      <c r="E79" s="1559" t="str">
        <f>IF(NOT('03 Loc'!C125 = ""),'03 Loc'!C125,IF(COUNTIF('03 Loc'!C126:C129,"&gt;=0")=0,"", MIN(MAX(SUMPRODUCT('03 Loc'!C126:C129,'03 Loc'!$G126:$G129)*4/(SUM('03 Loc'!$G126:$G129) - SUMIF('03 Loc'!C126:C129,"X",'03 Loc'!$G126:$G129)),MAX('03 Loc'!AA126:AA129)),MIN('03 Loc'!AE126:AE129))))</f>
        <v/>
      </c>
      <c r="F79" s="1559" t="str">
        <f>IF(NOT('03 Loc'!D125 = ""),'03 Loc'!D125,IF(COUNTIF('03 Loc'!D126:D129,"&gt;=0")=0,"", MIN(MAX(SUMPRODUCT('03 Loc'!D126:D129,'03 Loc'!$G126:$G129)*4/(SUM('03 Loc'!$G126:$G129) - SUMIF('03 Loc'!D126:D129,"X",'03 Loc'!$G126:$G129)),MAX('03 Loc'!AB126:AB129)),MIN('03 Loc'!AF126:AF129))))</f>
        <v/>
      </c>
      <c r="G79" s="1559" t="str">
        <f>IF(NOT('03 Loc'!E125 = ""),'03 Loc'!E125,IF(COUNTIF('03 Loc'!E126:E129,"&gt;=0")=0,"", MIN(MAX(SUMPRODUCT('03 Loc'!E126:E129,'03 Loc'!$G126:$G129)*4/(SUM('03 Loc'!$G126:$G129) - SUMIF('03 Loc'!E126:E129,"X",'03 Loc'!$G126:$G129)),MAX('03 Loc'!AC126:AC129)),MIN('03 Loc'!AG126:AG129))))</f>
        <v/>
      </c>
      <c r="H79" s="1559" t="str">
        <f>IF(NOT('03 Loc'!F125 = ""),'03 Loc'!F125,IF(COUNTIF('03 Loc'!F126:F129,"&gt;=0")=0,"", MIN(MAX(SUMPRODUCT('03 Loc'!F126:F129,'03 Loc'!$G126:$G129)*4/(SUM('03 Loc'!$G126:$G129) - SUMIF('03 Loc'!F126:F129,"X",'03 Loc'!$G126:$G129)),MAX('03 Loc'!AD126:AD129)),MIN('03 Loc'!AH126:AH129))))</f>
        <v/>
      </c>
      <c r="I79" s="1557">
        <f>IF(AND(OR(E79="X",E79=""),OR(F79="X",F79=""),OR(G79="X",G79=""),OR(H79="X",H79="")),1,ROUND(MIN(IF(OR(E79="",E79="X"),4,E79),IF(OR(F79="",F79="X"),4,F79),IF(OR(G79="",G79="X"),4,G79),IF(OR(H79="",H79="X"),4,H79)),0))</f>
        <v>1</v>
      </c>
      <c r="J79" s="1557">
        <f>IF(I79="","",IF(IndG=3,MAX(I79,Obj_Projets!J79),MAX(I79,Obj_PA!D79)))</f>
        <v>1</v>
      </c>
      <c r="K79" s="1560">
        <f>IF(IF(OR(IndG=3,IndG=4),MAX(I79,J79),I79)&lt;1,1,IF(OR(IndG=3,IndG=4),MAX(I79,J79),I79))</f>
        <v>1</v>
      </c>
      <c r="L79" s="1650" t="str">
        <f>IF(E79=""," n'a pas démarré","")</f>
        <v xml:space="preserve"> n'a pas démarré</v>
      </c>
      <c r="M79" s="154"/>
      <c r="N79" s="154"/>
      <c r="O79" s="154"/>
      <c r="P79" s="154"/>
      <c r="Q79" s="154"/>
      <c r="R79" s="154"/>
      <c r="S79" s="154"/>
      <c r="T79" s="154"/>
      <c r="U79" s="154"/>
      <c r="V79" s="154"/>
      <c r="W79" s="154"/>
      <c r="X79" s="154"/>
      <c r="Y79" s="154"/>
      <c r="Z79" s="154"/>
      <c r="AA79" s="154"/>
      <c r="AB79" s="154"/>
      <c r="AC79" s="154"/>
      <c r="AD79" s="154"/>
      <c r="AE79" s="154"/>
      <c r="AF79" s="154"/>
      <c r="AG79" s="154"/>
      <c r="AH79" s="154"/>
      <c r="AI79" s="154"/>
      <c r="AJ79" s="154"/>
      <c r="AK79" s="154"/>
      <c r="AL79" s="154"/>
      <c r="AM79" s="154"/>
      <c r="AN79" s="154"/>
      <c r="AO79" s="154"/>
      <c r="AP79" s="154"/>
      <c r="AQ79" s="154"/>
      <c r="AR79" s="154"/>
      <c r="AS79" s="154"/>
      <c r="AT79" s="154"/>
      <c r="AU79" s="154"/>
      <c r="AV79" s="154"/>
      <c r="AW79" s="154"/>
      <c r="AX79" s="154"/>
      <c r="AY79" s="154"/>
      <c r="AZ79" s="154"/>
      <c r="BA79" s="154"/>
      <c r="BB79" s="154"/>
    </row>
    <row r="80" spans="1:85" s="527" customFormat="1" ht="15.75" customHeight="1" outlineLevel="1" x14ac:dyDescent="0.2">
      <c r="A80" s="1212"/>
      <c r="B80" s="1213" t="s">
        <v>3757</v>
      </c>
      <c r="C80" s="1214" t="s">
        <v>3758</v>
      </c>
      <c r="D80" s="1554"/>
      <c r="E80" s="1559"/>
      <c r="F80" s="1559"/>
      <c r="G80" s="1559"/>
      <c r="H80" s="1559"/>
      <c r="I80" s="1561"/>
      <c r="J80" s="1561"/>
      <c r="K80" s="1561"/>
      <c r="L80" s="1650"/>
      <c r="M80" s="154"/>
      <c r="N80" s="154"/>
      <c r="O80" s="154"/>
      <c r="P80" s="154"/>
      <c r="Q80" s="154"/>
      <c r="R80" s="154"/>
      <c r="S80" s="154"/>
      <c r="T80" s="154"/>
      <c r="U80" s="154"/>
      <c r="V80" s="154"/>
      <c r="W80" s="154"/>
      <c r="X80" s="154"/>
      <c r="Y80" s="154"/>
      <c r="Z80" s="154"/>
      <c r="AA80" s="154"/>
      <c r="AB80" s="154"/>
      <c r="AC80" s="154"/>
      <c r="AD80" s="154"/>
      <c r="AE80" s="154"/>
      <c r="AF80" s="154"/>
      <c r="AG80" s="154"/>
      <c r="AH80" s="154"/>
      <c r="AI80" s="154"/>
      <c r="AJ80" s="154"/>
      <c r="AK80" s="154"/>
      <c r="AL80" s="154"/>
      <c r="AM80" s="154"/>
      <c r="AN80" s="154"/>
      <c r="AO80" s="154"/>
      <c r="AP80" s="154"/>
      <c r="AQ80" s="154"/>
      <c r="AR80" s="154"/>
      <c r="AS80" s="154"/>
      <c r="AT80" s="154"/>
      <c r="AU80" s="154"/>
      <c r="AV80" s="154"/>
      <c r="AW80" s="154"/>
      <c r="AX80" s="154"/>
      <c r="AY80" s="154"/>
      <c r="AZ80" s="154"/>
      <c r="BA80" s="154"/>
      <c r="BB80" s="154"/>
    </row>
    <row r="81" spans="1:85" s="527" customFormat="1" ht="15.75" customHeight="1" outlineLevel="1" x14ac:dyDescent="0.2">
      <c r="A81" s="1212"/>
      <c r="B81" s="1212" t="s">
        <v>5225</v>
      </c>
      <c r="C81" s="1219" t="s">
        <v>5226</v>
      </c>
      <c r="D81" s="1567" t="s">
        <v>2621</v>
      </c>
      <c r="E81" s="1559" t="str">
        <f>IF(NOT('03 Loc'!C131 = ""),'03 Loc'!C131,IF(COUNTIF('03 Loc'!C132:C136,"&gt;=0")=0,"", MIN(MAX(SUMPRODUCT('03 Loc'!C132:C136,'03 Loc'!$G132:$G136)*4/(SUM('03 Loc'!$G132:$G136) - SUMIF('03 Loc'!C132:C136,"X",'03 Loc'!$G132:$G136)),MAX('03 Loc'!AA132:AA136)),MIN('03 Loc'!AE132:AE136))))</f>
        <v/>
      </c>
      <c r="F81" s="1559" t="str">
        <f>IF(NOT('03 Loc'!D131 = ""),'03 Loc'!D131,IF(COUNTIF('03 Loc'!D132:D136,"&gt;=0")=0,"", MIN(MAX(SUMPRODUCT('03 Loc'!D132:D136,'03 Loc'!$G132:$G136)*4/(SUM('03 Loc'!$G132:$G136) - SUMIF('03 Loc'!D132:D136,"X",'03 Loc'!$G132:$G136)),MAX('03 Loc'!AB132:AB136)),MIN('03 Loc'!AF132:AF136))))</f>
        <v/>
      </c>
      <c r="G81" s="1559" t="str">
        <f>IF(NOT('03 Loc'!E131 = ""),'03 Loc'!E131,IF(COUNTIF('03 Loc'!E132:E136,"&gt;=0")=0,"", MIN(MAX(SUMPRODUCT('03 Loc'!E132:E136,'03 Loc'!$G132:$G136)*4/(SUM('03 Loc'!$G132:$G136) - SUMIF('03 Loc'!E132:E136,"X",'03 Loc'!$G132:$G136)),MAX('03 Loc'!AC132:AC136)),MIN('03 Loc'!AG132:AG136))))</f>
        <v/>
      </c>
      <c r="H81" s="1559" t="str">
        <f>IF(NOT('03 Loc'!F131 = ""),'03 Loc'!F131,IF(COUNTIF('03 Loc'!F132:F136,"&gt;=0")=0,"", MIN(MAX(SUMPRODUCT('03 Loc'!F132:F136,'03 Loc'!$G132:$G136)*4/(SUM('03 Loc'!$G132:$G136) - SUMIF('03 Loc'!F132:F136,"X",'03 Loc'!$G132:$G136)),MAX('03 Loc'!AD132:AD136)),MIN('03 Loc'!AH132:AH136))))</f>
        <v/>
      </c>
      <c r="I81" s="1557">
        <f>IF(AND(OR(E81="X",E81=""),OR(F81="X",F81=""),OR(G81="X",G81=""),OR(H81="X",H81="")),1,ROUND(MIN(IF(OR(E81="",E81="X"),4,E81),IF(OR(F81="",F81="X"),4,F81),IF(OR(G81="",G81="X"),4,G81),IF(OR(H81="",H81="X"),4,H81)),0))</f>
        <v>1</v>
      </c>
      <c r="J81" s="1557">
        <f>IF(I81="","",IF(IndG=3,MAX(I81,Obj_Projets!J81),MAX(I81,Obj_PA!D81)))</f>
        <v>1</v>
      </c>
      <c r="K81" s="1560">
        <f>IF(IF(OR(IndG=3,IndG=4),MAX(I81,J81),I81)&lt;1,1,IF(OR(IndG=3,IndG=4),MAX(I81,J81),I81))</f>
        <v>1</v>
      </c>
      <c r="L81" s="1650" t="str">
        <f>IF(E81=""," n'a pas démarré","")</f>
        <v xml:space="preserve"> n'a pas démarré</v>
      </c>
      <c r="M81" s="154"/>
      <c r="N81" s="154"/>
      <c r="O81" s="154"/>
      <c r="P81" s="154"/>
      <c r="Q81" s="154"/>
      <c r="R81" s="154"/>
      <c r="S81" s="154"/>
      <c r="T81" s="154"/>
      <c r="U81" s="154"/>
      <c r="V81" s="154"/>
      <c r="W81" s="154"/>
      <c r="X81" s="154"/>
      <c r="Y81" s="154"/>
      <c r="Z81" s="154"/>
      <c r="AA81" s="154"/>
      <c r="AB81" s="154"/>
      <c r="AC81" s="154"/>
      <c r="AD81" s="154"/>
      <c r="AE81" s="154"/>
      <c r="AF81" s="154"/>
      <c r="AG81" s="154"/>
      <c r="AH81" s="154"/>
      <c r="AI81" s="154"/>
      <c r="AJ81" s="154"/>
      <c r="AK81" s="154"/>
      <c r="AL81" s="154"/>
      <c r="AM81" s="154"/>
      <c r="AN81" s="154"/>
      <c r="AO81" s="154"/>
      <c r="AP81" s="154"/>
      <c r="AQ81" s="154"/>
      <c r="AR81" s="154"/>
      <c r="AS81" s="154"/>
      <c r="AT81" s="154"/>
      <c r="AU81" s="154"/>
      <c r="AV81" s="154"/>
      <c r="AW81" s="154"/>
      <c r="AX81" s="154"/>
      <c r="AY81" s="154"/>
      <c r="AZ81" s="154"/>
      <c r="BA81" s="154"/>
      <c r="BB81" s="154"/>
      <c r="CG81" s="527">
        <f>IF(INDEX(Tab_actions,70,1)=1,INDEX(Tab_actions,70,6),0)</f>
        <v>0</v>
      </c>
    </row>
    <row r="82" spans="1:85" s="527" customFormat="1" ht="15.75" customHeight="1" outlineLevel="1" x14ac:dyDescent="0.2">
      <c r="A82" s="1212"/>
      <c r="B82" s="1212" t="s">
        <v>5227</v>
      </c>
      <c r="C82" s="1219" t="s">
        <v>5228</v>
      </c>
      <c r="D82" s="1567" t="s">
        <v>2621</v>
      </c>
      <c r="E82" s="1559" t="str">
        <f>IF(NOT('03 Loc'!C137 = ""),'03 Loc'!C137,IF(COUNTIF('03 Loc'!C138:C143,"&gt;=0")=0,"", MIN(MAX(SUMPRODUCT('03 Loc'!C138:C143,'03 Loc'!$G138:$G143)*4/(SUM('03 Loc'!$G138:$G143) - SUMIF('03 Loc'!C138:C143,"X",'03 Loc'!$G138:$G143)),MAX('03 Loc'!AA138:AA143)),MIN('03 Loc'!AE138:AE143))))</f>
        <v/>
      </c>
      <c r="F82" s="1559" t="str">
        <f>IF(NOT('03 Loc'!D137 = ""),'03 Loc'!D137,IF(COUNTIF('03 Loc'!D138:D143,"&gt;=0")=0,"", MIN(MAX(SUMPRODUCT('03 Loc'!D138:D143,'03 Loc'!$G138:$G143)*4/(SUM('03 Loc'!$G138:$G143) - SUMIF('03 Loc'!D138:D143,"X",'03 Loc'!$G138:$G143)),MAX('03 Loc'!AB138:AB143)),MIN('03 Loc'!AF138:AF143))))</f>
        <v/>
      </c>
      <c r="G82" s="1559" t="str">
        <f>IF(NOT('03 Loc'!E137 = ""),'03 Loc'!E137,IF(COUNTIF('03 Loc'!E138:E143,"&gt;=0")=0,"", MIN(MAX(SUMPRODUCT('03 Loc'!E138:E143,'03 Loc'!$G138:$G143)*4/(SUM('03 Loc'!$G138:$G143) - SUMIF('03 Loc'!E138:E143,"X",'03 Loc'!$G138:$G143)),MAX('03 Loc'!AC138:AC143)),MIN('03 Loc'!AG138:AG143))))</f>
        <v/>
      </c>
      <c r="H82" s="1559" t="str">
        <f>IF(NOT('03 Loc'!F137 = ""),'03 Loc'!F137,IF(COUNTIF('03 Loc'!F138:F143,"&gt;=0")=0,"", MIN(MAX(SUMPRODUCT('03 Loc'!F138:F143,'03 Loc'!$G138:$G143)*4/(SUM('03 Loc'!$G138:$G143) - SUMIF('03 Loc'!F138:F143,"X",'03 Loc'!$G138:$G143)),MAX('03 Loc'!AD138:AD143)),MIN('03 Loc'!AH138:AH143))))</f>
        <v/>
      </c>
      <c r="I82" s="1557">
        <f>IF(AND(OR(E82="X",E82=""),OR(F82="X",F82=""),OR(G82="X",G82=""),OR(H82="X",H82="")),1,ROUND(MIN(IF(OR(E82="",E82="X"),4,E82),IF(OR(F82="",F82="X"),4,F82),IF(OR(G82="",G82="X"),4,G82),IF(OR(H82="",H82="X"),4,H82)),0))</f>
        <v>1</v>
      </c>
      <c r="J82" s="1557">
        <f>IF(I82="","",IF(IndG=3,MAX(I82,Obj_Projets!J82),MAX(I82,Obj_PA!D82)))</f>
        <v>1</v>
      </c>
      <c r="K82" s="1560">
        <f>IF(IF(OR(IndG=3,IndG=4),MAX(I82,J82),I82)&lt;1,1,IF(OR(IndG=3,IndG=4),MAX(I82,J82),I82))</f>
        <v>1</v>
      </c>
      <c r="L82" s="1650" t="str">
        <f>IF(E82=""," n'a pas démarré","")</f>
        <v xml:space="preserve"> n'a pas démarré</v>
      </c>
      <c r="M82" s="154"/>
      <c r="N82" s="154"/>
      <c r="O82" s="154"/>
      <c r="P82" s="154"/>
      <c r="Q82" s="154"/>
      <c r="R82" s="154"/>
      <c r="S82" s="154"/>
      <c r="T82" s="154"/>
      <c r="U82" s="154"/>
      <c r="V82" s="154"/>
      <c r="W82" s="154"/>
      <c r="X82" s="154"/>
      <c r="Y82" s="154"/>
      <c r="Z82" s="154"/>
      <c r="AA82" s="154"/>
      <c r="AB82" s="154"/>
      <c r="AC82" s="154"/>
      <c r="AD82" s="154"/>
      <c r="AE82" s="154"/>
      <c r="AF82" s="154"/>
      <c r="AG82" s="154"/>
      <c r="AH82" s="154"/>
      <c r="AI82" s="154"/>
      <c r="AJ82" s="154"/>
      <c r="AK82" s="154"/>
      <c r="AL82" s="154"/>
      <c r="AM82" s="154"/>
      <c r="AN82" s="154"/>
      <c r="AO82" s="154"/>
      <c r="AP82" s="154"/>
      <c r="AQ82" s="154"/>
      <c r="AR82" s="154"/>
      <c r="AS82" s="154"/>
      <c r="AT82" s="154"/>
      <c r="AU82" s="154"/>
      <c r="AV82" s="154"/>
      <c r="AW82" s="154"/>
      <c r="AX82" s="154"/>
      <c r="AY82" s="154"/>
      <c r="AZ82" s="154"/>
      <c r="BA82" s="154"/>
      <c r="BB82" s="154"/>
    </row>
    <row r="83" spans="1:85" s="527" customFormat="1" ht="15.75" customHeight="1" outlineLevel="1" x14ac:dyDescent="0.2">
      <c r="A83" s="1212"/>
      <c r="B83" s="1212" t="s">
        <v>3017</v>
      </c>
      <c r="C83" s="1219" t="s">
        <v>3018</v>
      </c>
      <c r="D83" s="1567" t="s">
        <v>2621</v>
      </c>
      <c r="E83" s="1559" t="str">
        <f>IF(NOT('03 Loc'!C144 = ""),'03 Loc'!C144,IF(COUNTIF('03 Loc'!C145:C155,"&gt;=0")=0,"", MIN(MAX(SUMPRODUCT('03 Loc'!C145:C155,'03 Loc'!$G145:$G155)*4/(SUM('03 Loc'!$G145:$G155) - SUMIF('03 Loc'!C145:C155,"X",'03 Loc'!$G145:$G155)),MAX('03 Loc'!AA145:AA155)),MIN('03 Loc'!AE145:AE155))))</f>
        <v/>
      </c>
      <c r="F83" s="1559" t="str">
        <f>IF(NOT('03 Loc'!D144 = ""),'03 Loc'!D144,IF(COUNTIF('03 Loc'!D145:D155,"&gt;=0")=0,"", MIN(MAX(SUMPRODUCT('03 Loc'!D145:D155,'03 Loc'!$G145:$G155)*4/(SUM('03 Loc'!$G145:$G155) - SUMIF('03 Loc'!D145:D155,"X",'03 Loc'!$G145:$G155)),MAX('03 Loc'!AB145:AB155)),MIN('03 Loc'!AF145:AF155))))</f>
        <v/>
      </c>
      <c r="G83" s="1559" t="str">
        <f>IF(NOT('03 Loc'!E144 = ""),'03 Loc'!E144,IF(COUNTIF('03 Loc'!E145:E155,"&gt;=0")=0,"", MIN(MAX(SUMPRODUCT('03 Loc'!E145:E155,'03 Loc'!$G145:$G155)*4/(SUM('03 Loc'!$G145:$G155) - SUMIF('03 Loc'!E145:E155,"X",'03 Loc'!$G145:$G155)),MAX('03 Loc'!AC145:AC155)),MIN('03 Loc'!AG145:AG155))))</f>
        <v/>
      </c>
      <c r="H83" s="1559" t="str">
        <f>IF(NOT('03 Loc'!F144 = ""),'03 Loc'!F144,IF(COUNTIF('03 Loc'!F145:F155,"&gt;=0")=0,"", MIN(MAX(SUMPRODUCT('03 Loc'!F145:F155,'03 Loc'!$G145:$G155)*4/(SUM('03 Loc'!$G145:$G155) - SUMIF('03 Loc'!F145:F155,"X",'03 Loc'!$G145:$G155)),MAX('03 Loc'!AD145:AD155)),MIN('03 Loc'!AH145:AH155))))</f>
        <v/>
      </c>
      <c r="I83" s="1557">
        <f>IF(AND(OR(E83="X",E83=""),OR(F83="X",F83=""),OR(G83="X",G83=""),OR(H83="X",H83="")),1,ROUND(MIN(IF(OR(E83="",E83="X"),4,E83),IF(OR(F83="",F83="X"),4,F83),IF(OR(G83="",G83="X"),4,G83),IF(OR(H83="",H83="X"),4,H83)),0))</f>
        <v>1</v>
      </c>
      <c r="J83" s="1557">
        <f>IF(I83="","",IF(IndG=3,MAX(I83,Obj_Projets!J83),MAX(I83,Obj_PA!D83)))</f>
        <v>1</v>
      </c>
      <c r="K83" s="1560">
        <f>IF(IF(OR(IndG=3,IndG=4),MAX(I83,J83),I83)&lt;1,1,IF(OR(IndG=3,IndG=4),MAX(I83,J83),I83))</f>
        <v>1</v>
      </c>
      <c r="L83" s="1650" t="str">
        <f>IF(E83=""," n'a pas démarré","")</f>
        <v xml:space="preserve"> n'a pas démarré</v>
      </c>
      <c r="M83" s="154"/>
      <c r="N83" s="154"/>
      <c r="O83" s="154"/>
      <c r="P83" s="154"/>
      <c r="Q83" s="154"/>
      <c r="R83" s="154"/>
      <c r="S83" s="154"/>
      <c r="T83" s="154"/>
      <c r="U83" s="154"/>
      <c r="V83" s="154"/>
      <c r="W83" s="154"/>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c r="AV83" s="154"/>
      <c r="AW83" s="154"/>
      <c r="AX83" s="154"/>
      <c r="AY83" s="154"/>
      <c r="AZ83" s="154"/>
      <c r="BA83" s="154"/>
      <c r="BB83" s="154"/>
    </row>
    <row r="84" spans="1:85" ht="15.75" customHeight="1" x14ac:dyDescent="0.2">
      <c r="A84" s="1227" t="s">
        <v>2246</v>
      </c>
      <c r="B84" s="1981" t="s">
        <v>6414</v>
      </c>
      <c r="C84" s="1982"/>
      <c r="D84" s="1563"/>
      <c r="E84" s="1564"/>
      <c r="F84" s="1564"/>
      <c r="G84" s="1564"/>
      <c r="H84" s="1564"/>
      <c r="I84" s="1568"/>
      <c r="J84" s="1568"/>
      <c r="K84" s="1568"/>
      <c r="L84" s="1653"/>
    </row>
    <row r="85" spans="1:85" s="527" customFormat="1" ht="15.75" customHeight="1" outlineLevel="1" x14ac:dyDescent="0.2">
      <c r="A85" s="1212"/>
      <c r="B85" s="1213" t="s">
        <v>2754</v>
      </c>
      <c r="C85" s="1214" t="s">
        <v>5560</v>
      </c>
      <c r="D85" s="1554"/>
      <c r="E85" s="1559"/>
      <c r="F85" s="1559"/>
      <c r="G85" s="1559"/>
      <c r="H85" s="1559"/>
      <c r="I85" s="1561"/>
      <c r="J85" s="1561"/>
      <c r="K85" s="1561"/>
      <c r="L85" s="1650"/>
      <c r="M85" s="154"/>
      <c r="N85" s="154"/>
      <c r="O85" s="154"/>
      <c r="P85" s="154"/>
      <c r="Q85" s="154"/>
      <c r="R85" s="154"/>
      <c r="S85" s="154"/>
      <c r="T85" s="154"/>
      <c r="U85" s="154"/>
      <c r="V85" s="154"/>
      <c r="W85" s="154"/>
      <c r="X85" s="154"/>
      <c r="Y85" s="154"/>
      <c r="Z85" s="154"/>
      <c r="AA85" s="154"/>
      <c r="AB85" s="154"/>
      <c r="AC85" s="154"/>
      <c r="AD85" s="154"/>
      <c r="AE85" s="154"/>
      <c r="AF85" s="154"/>
      <c r="AG85" s="154"/>
      <c r="AH85" s="154"/>
      <c r="AI85" s="154"/>
      <c r="AJ85" s="154"/>
      <c r="AK85" s="154"/>
      <c r="AL85" s="154"/>
      <c r="AM85" s="154"/>
      <c r="AN85" s="154"/>
      <c r="AO85" s="154"/>
      <c r="AP85" s="154"/>
      <c r="AQ85" s="154"/>
      <c r="AR85" s="154"/>
      <c r="AS85" s="154"/>
      <c r="AT85" s="154"/>
      <c r="AU85" s="154"/>
      <c r="AV85" s="154"/>
      <c r="AW85" s="154"/>
      <c r="AX85" s="154"/>
      <c r="AY85" s="154"/>
      <c r="AZ85" s="154"/>
      <c r="BA85" s="154"/>
      <c r="BB85" s="154"/>
    </row>
    <row r="86" spans="1:85" s="527" customFormat="1" ht="15.75" customHeight="1" outlineLevel="1" x14ac:dyDescent="0.2">
      <c r="A86" s="1212"/>
      <c r="B86" s="1212" t="s">
        <v>4326</v>
      </c>
      <c r="C86" s="1219" t="s">
        <v>4601</v>
      </c>
      <c r="D86" s="1562" t="s">
        <v>2109</v>
      </c>
      <c r="E86" s="1559" t="str">
        <f>IF(NOT('04 Wan'!C4 = ""),'04 Wan'!C4,IF(COUNTIF('04 Wan'!C5:C15,"&gt;=0")=0,"", MIN(MAX(SUMPRODUCT('04 Wan'!C5:C15,'04 Wan'!$G5:$G15)*4/(SUM('04 Wan'!$G5:$G15) - SUMIF('04 Wan'!C5:C15,"X",'04 Wan'!$G5:$G15)),MAX('04 Wan'!AA5:AA15)),MIN('04 Wan'!AE5:AE15))))</f>
        <v/>
      </c>
      <c r="F86" s="1559" t="str">
        <f>IF(NOT('04 Wan'!D4 = ""),'04 Wan'!D4,IF(COUNTIF('04 Wan'!D5:D15,"&gt;=0")=0,"", MIN(MAX(SUMPRODUCT('04 Wan'!D5:D15,'04 Wan'!$G5:$G15)*4/(SUM('04 Wan'!$G5:$G15) - SUMIF('04 Wan'!D5:D15,"X",'04 Wan'!$G5:$G15)),MAX('04 Wan'!AB5:AB15)),MIN('04 Wan'!AF5:AF15))))</f>
        <v/>
      </c>
      <c r="G86" s="1559" t="str">
        <f>IF(NOT('04 Wan'!E4 = ""),'04 Wan'!E4,IF(COUNTIF('04 Wan'!E5:E15,"&gt;=0")=0,"", MIN(MAX(SUMPRODUCT('04 Wan'!E5:E15,'04 Wan'!$G5:$G15)*4/(SUM('04 Wan'!$G5:$G15) - SUMIF('04 Wan'!E5:E15,"X",'04 Wan'!$G5:$G15)),MAX('04 Wan'!AC5:AC15)),MIN('04 Wan'!AG5:AG15))))</f>
        <v/>
      </c>
      <c r="H86" s="1559" t="str">
        <f>IF(NOT('04 Wan'!F4 = ""),'04 Wan'!F4,IF(COUNTIF('04 Wan'!F5:F15,"&gt;=0")=0,"", MIN(MAX(SUMPRODUCT('04 Wan'!F5:F15,'04 Wan'!$G5:$G15)*4/(SUM('04 Wan'!$G5:$G15) - SUMIF('04 Wan'!F5:F15,"X",'04 Wan'!$G5:$G15)),MAX('04 Wan'!AD5:AD15)),MIN('04 Wan'!AH5:AH15))))</f>
        <v/>
      </c>
      <c r="I86" s="1557">
        <f t="shared" ref="I86:I91" si="15">IF(AND(OR(E86="X",E86=""),OR(F86="X",F86=""),OR(G86="X",G86=""),OR(H86="X",H86="")),1,ROUND(MIN(IF(OR(E86="",E86="X"),4,E86),IF(OR(F86="",F86="X"),4,F86),IF(OR(G86="",G86="X"),4,G86),IF(OR(H86="",H86="X"),4,H86)),0))</f>
        <v>1</v>
      </c>
      <c r="J86" s="1557">
        <f>IF(I86="","",IF(IndG=3,MAX(I86,Obj_Projets!J86),MAX(I86,Obj_PA!D86)))</f>
        <v>1</v>
      </c>
      <c r="K86" s="1560">
        <f t="shared" ref="K86:K91" si="16">IF(IF(OR(IndG=3,IndG=4),MAX(I86,J86),I86)&lt;1,1,IF(OR(IndG=3,IndG=4),MAX(I86,J86),I86))</f>
        <v>1</v>
      </c>
      <c r="L86" s="1650" t="str">
        <f t="shared" ref="L86:L91" si="17">IF(E86=""," n'a pas démarré","")</f>
        <v xml:space="preserve"> n'a pas démarré</v>
      </c>
      <c r="M86" s="154"/>
      <c r="N86" s="154"/>
      <c r="O86" s="154"/>
      <c r="P86" s="154"/>
      <c r="Q86" s="154"/>
      <c r="R86" s="154"/>
      <c r="S86" s="154"/>
      <c r="T86" s="154"/>
      <c r="U86" s="154"/>
      <c r="V86" s="154"/>
      <c r="W86" s="154"/>
      <c r="X86" s="154"/>
      <c r="Y86" s="154"/>
      <c r="Z86" s="154"/>
      <c r="AA86" s="154"/>
      <c r="AB86" s="154"/>
      <c r="AC86" s="154"/>
      <c r="AD86" s="154"/>
      <c r="AE86" s="154"/>
      <c r="AF86" s="154"/>
      <c r="AG86" s="154"/>
      <c r="AH86" s="154"/>
      <c r="AI86" s="154"/>
      <c r="AJ86" s="154"/>
      <c r="AK86" s="154"/>
      <c r="AL86" s="154"/>
      <c r="AM86" s="154"/>
      <c r="AN86" s="154"/>
      <c r="AO86" s="154"/>
      <c r="AP86" s="154"/>
      <c r="AQ86" s="154"/>
      <c r="AR86" s="154"/>
      <c r="AS86" s="154"/>
      <c r="AT86" s="154"/>
      <c r="AU86" s="154"/>
      <c r="AV86" s="154"/>
      <c r="AW86" s="154"/>
      <c r="AX86" s="154"/>
      <c r="AY86" s="154"/>
      <c r="AZ86" s="154"/>
      <c r="BA86" s="154"/>
      <c r="BB86" s="154"/>
    </row>
    <row r="87" spans="1:85" s="527" customFormat="1" ht="15.75" customHeight="1" outlineLevel="1" x14ac:dyDescent="0.2">
      <c r="A87" s="1212"/>
      <c r="B87" s="1212" t="s">
        <v>4602</v>
      </c>
      <c r="C87" s="1219" t="s">
        <v>92</v>
      </c>
      <c r="D87" s="1562" t="s">
        <v>2771</v>
      </c>
      <c r="E87" s="1559" t="str">
        <f>IF(NOT('04 Wan'!C16 = ""),'04 Wan'!C16,IF(COUNTIF('04 Wan'!C17:C24,"&gt;=0")=0,"", MIN(MAX(SUMPRODUCT('04 Wan'!C17:C24,'04 Wan'!$G17:$G24)*4/(SUM('04 Wan'!$G17:$G24) - SUMIF('04 Wan'!C17:C24,"X",'04 Wan'!$G17:$G24)),MAX('04 Wan'!AA17:AA24)),MIN('04 Wan'!AE17:AE24))))</f>
        <v/>
      </c>
      <c r="F87" s="1559" t="str">
        <f>IF(NOT('04 Wan'!D16 = ""),'04 Wan'!D16,IF(COUNTIF('04 Wan'!D17:D24,"&gt;=0")=0,"", MIN(MAX(SUMPRODUCT('04 Wan'!D17:D24,'04 Wan'!$G17:$G24)*4/(SUM('04 Wan'!$G17:$G24) - SUMIF('04 Wan'!D17:D24,"X",'04 Wan'!$G17:$G24)),MAX('04 Wan'!AB17:AB24)),MIN('04 Wan'!AF17:AF24))))</f>
        <v/>
      </c>
      <c r="G87" s="1559" t="str">
        <f>IF(NOT('04 Wan'!E16 = ""),'04 Wan'!E16,IF(COUNTIF('04 Wan'!E17:E24,"&gt;=0")=0,"", MIN(MAX(SUMPRODUCT('04 Wan'!E17:E24,'04 Wan'!$G17:$G24)*4/(SUM('04 Wan'!$G17:$G24) - SUMIF('04 Wan'!E17:E24,"X",'04 Wan'!$G17:$G24)),MAX('04 Wan'!AC17:AC24)),MIN('04 Wan'!AG17:AG24))))</f>
        <v/>
      </c>
      <c r="H87" s="1559" t="str">
        <f>IF(NOT('04 Wan'!F16 = ""),'04 Wan'!F16,IF(COUNTIF('04 Wan'!F17:F24,"&gt;=0")=0,"", MIN(MAX(SUMPRODUCT('04 Wan'!F17:F24,'04 Wan'!$G17:$G24)*4/(SUM('04 Wan'!$G17:$G24) - SUMIF('04 Wan'!F17:F24,"X",'04 Wan'!$G17:$G24)),MAX('04 Wan'!AD17:AD24)),MIN('04 Wan'!AH17:AH24))))</f>
        <v/>
      </c>
      <c r="I87" s="1557">
        <f t="shared" si="15"/>
        <v>1</v>
      </c>
      <c r="J87" s="1557">
        <f>IF(I87="","",IF(IndG=3,MAX(I87,Obj_Projets!J87),MAX(I87,Obj_PA!D87)))</f>
        <v>1</v>
      </c>
      <c r="K87" s="1560">
        <f t="shared" si="16"/>
        <v>1</v>
      </c>
      <c r="L87" s="1650" t="str">
        <f t="shared" si="17"/>
        <v xml:space="preserve"> n'a pas démarré</v>
      </c>
      <c r="M87" s="154"/>
      <c r="N87" s="154"/>
      <c r="O87" s="154"/>
      <c r="P87" s="154"/>
      <c r="Q87" s="154"/>
      <c r="R87" s="154"/>
      <c r="S87" s="154"/>
      <c r="T87" s="154"/>
      <c r="U87" s="154"/>
      <c r="V87" s="154"/>
      <c r="W87" s="154"/>
      <c r="X87" s="154"/>
      <c r="Y87" s="154"/>
      <c r="Z87" s="154"/>
      <c r="AA87" s="154"/>
      <c r="AB87" s="154"/>
      <c r="AC87" s="154"/>
      <c r="AD87" s="154"/>
      <c r="AE87" s="154"/>
      <c r="AF87" s="154"/>
      <c r="AG87" s="154"/>
      <c r="AH87" s="154"/>
      <c r="AI87" s="154"/>
      <c r="AJ87" s="154"/>
      <c r="AK87" s="154"/>
      <c r="AL87" s="154"/>
      <c r="AM87" s="154"/>
      <c r="AN87" s="154"/>
      <c r="AO87" s="154"/>
      <c r="AP87" s="154"/>
      <c r="AQ87" s="154"/>
      <c r="AR87" s="154"/>
      <c r="AS87" s="154"/>
      <c r="AT87" s="154"/>
      <c r="AU87" s="154"/>
      <c r="AV87" s="154"/>
      <c r="AW87" s="154"/>
      <c r="AX87" s="154"/>
      <c r="AY87" s="154"/>
      <c r="AZ87" s="154"/>
      <c r="BA87" s="154"/>
      <c r="BB87" s="154"/>
    </row>
    <row r="88" spans="1:85" s="527" customFormat="1" ht="15.75" customHeight="1" outlineLevel="1" x14ac:dyDescent="0.2">
      <c r="A88" s="1212"/>
      <c r="B88" s="1212" t="s">
        <v>4603</v>
      </c>
      <c r="C88" s="1219" t="s">
        <v>94</v>
      </c>
      <c r="D88" s="1562" t="s">
        <v>4246</v>
      </c>
      <c r="E88" s="1559" t="str">
        <f>IF(NOT('04 Wan'!C25 = ""),'04 Wan'!C25,IF(COUNTIF('04 Wan'!C26:C32,"&gt;=0")=0,"", MIN(MAX(SUMPRODUCT('04 Wan'!C26:C32,'04 Wan'!$G26:$G32)*4/(SUM('04 Wan'!$G26:$G32) - SUMIF('04 Wan'!C26:C32,"X",'04 Wan'!$G26:$G32)),MAX('04 Wan'!AA26:AA32)),MIN('04 Wan'!AE26:AE32))))</f>
        <v/>
      </c>
      <c r="F88" s="1559" t="str">
        <f>IF(NOT('04 Wan'!D25 = ""),'04 Wan'!D25,IF(COUNTIF('04 Wan'!D26:D32,"&gt;=0")=0,"", MIN(MAX(SUMPRODUCT('04 Wan'!D26:D32,'04 Wan'!$G26:$G32)*4/(SUM('04 Wan'!$G26:$G32) - SUMIF('04 Wan'!D26:D32,"X",'04 Wan'!$G26:$G32)),MAX('04 Wan'!AB26:AB32)),MIN('04 Wan'!AF26:AF32))))</f>
        <v/>
      </c>
      <c r="G88" s="1559" t="str">
        <f>IF(NOT('04 Wan'!E25 = ""),'04 Wan'!E25,IF(COUNTIF('04 Wan'!E26:E32,"&gt;=0")=0,"", MIN(MAX(SUMPRODUCT('04 Wan'!E26:E32,'04 Wan'!$G26:$G32)*4/(SUM('04 Wan'!$G26:$G32) - SUMIF('04 Wan'!E26:E32,"X",'04 Wan'!$G26:$G32)),MAX('04 Wan'!AC26:AC32)),MIN('04 Wan'!AG26:AG32))))</f>
        <v/>
      </c>
      <c r="H88" s="1559" t="str">
        <f>IF(NOT('04 Wan'!F25 = ""),'04 Wan'!F25,IF(COUNTIF('04 Wan'!F26:F32,"&gt;=0")=0,"", MIN(MAX(SUMPRODUCT('04 Wan'!F26:F32,'04 Wan'!$G26:$G32)*4/(SUM('04 Wan'!$G26:$G32) - SUMIF('04 Wan'!F26:F32,"X",'04 Wan'!$G26:$G32)),MAX('04 Wan'!AD26:AD32)),MIN('04 Wan'!AH26:AH32))))</f>
        <v/>
      </c>
      <c r="I88" s="1557">
        <f t="shared" si="15"/>
        <v>1</v>
      </c>
      <c r="J88" s="1557">
        <f>IF(I88="","",IF(IndG=3,MAX(I88,Obj_Projets!J88),MAX(I88,Obj_PA!D88)))</f>
        <v>1</v>
      </c>
      <c r="K88" s="1560">
        <f t="shared" si="16"/>
        <v>1</v>
      </c>
      <c r="L88" s="1650" t="str">
        <f t="shared" si="17"/>
        <v xml:space="preserve"> n'a pas démarré</v>
      </c>
      <c r="M88" s="154"/>
      <c r="N88" s="154"/>
      <c r="O88" s="154"/>
      <c r="P88" s="154"/>
      <c r="Q88" s="154"/>
      <c r="R88" s="154"/>
      <c r="S88" s="154"/>
      <c r="T88" s="154"/>
      <c r="U88" s="154"/>
      <c r="V88" s="154"/>
      <c r="W88" s="154"/>
      <c r="X88" s="154"/>
      <c r="Y88" s="154"/>
      <c r="Z88" s="154"/>
      <c r="AA88" s="154"/>
      <c r="AB88" s="154"/>
      <c r="AC88" s="154"/>
      <c r="AD88" s="154"/>
      <c r="AE88" s="154"/>
      <c r="AF88" s="154"/>
      <c r="AG88" s="154"/>
      <c r="AH88" s="154"/>
      <c r="AI88" s="154"/>
      <c r="AJ88" s="154"/>
      <c r="AK88" s="154"/>
      <c r="AL88" s="154"/>
      <c r="AM88" s="154"/>
      <c r="AN88" s="154"/>
      <c r="AO88" s="154"/>
      <c r="AP88" s="154"/>
      <c r="AQ88" s="154"/>
      <c r="AR88" s="154"/>
      <c r="AS88" s="154"/>
      <c r="AT88" s="154"/>
      <c r="AU88" s="154"/>
      <c r="AV88" s="154"/>
      <c r="AW88" s="154"/>
      <c r="AX88" s="154"/>
      <c r="AY88" s="154"/>
      <c r="AZ88" s="154"/>
      <c r="BA88" s="154"/>
      <c r="BB88" s="154"/>
    </row>
    <row r="89" spans="1:85" s="527" customFormat="1" ht="15.75" customHeight="1" outlineLevel="1" x14ac:dyDescent="0.2">
      <c r="A89" s="1212"/>
      <c r="B89" s="1212" t="s">
        <v>93</v>
      </c>
      <c r="C89" s="1219" t="s">
        <v>96</v>
      </c>
      <c r="D89" s="1562" t="s">
        <v>2769</v>
      </c>
      <c r="E89" s="1559" t="str">
        <f>IF(NOT('04 Wan'!C33 = ""),'04 Wan'!C33,IF(COUNTIF('04 Wan'!C34:C41,"&gt;=0")=0,"", MIN(MAX(SUMPRODUCT('04 Wan'!C34:C41,'04 Wan'!$G34:$G41)*4/(SUM('04 Wan'!$G34:$G41) - SUMIF('04 Wan'!C34:C41,"X",'04 Wan'!$G34:$G41)),MAX('04 Wan'!AA34:AA41)),MIN('04 Wan'!AE34:AE41))))</f>
        <v/>
      </c>
      <c r="F89" s="1559" t="str">
        <f>IF(NOT('04 Wan'!D33 = ""),'04 Wan'!D33,IF(COUNTIF('04 Wan'!D34:D41,"&gt;=0")=0,"", MIN(MAX(SUMPRODUCT('04 Wan'!D34:D41,'04 Wan'!$G34:$G41)*4/(SUM('04 Wan'!$G34:$G41) - SUMIF('04 Wan'!D34:D41,"X",'04 Wan'!$G34:$G41)),MAX('04 Wan'!AB34:AB41)),MIN('04 Wan'!AF34:AF41))))</f>
        <v/>
      </c>
      <c r="G89" s="1559" t="str">
        <f>IF(NOT('04 Wan'!E33 = ""),'04 Wan'!E33,IF(COUNTIF('04 Wan'!E34:E41,"&gt;=0")=0,"", MIN(MAX(SUMPRODUCT('04 Wan'!E34:E41,'04 Wan'!$G34:$G41)*4/(SUM('04 Wan'!$G34:$G41) - SUMIF('04 Wan'!E34:E41,"X",'04 Wan'!$G34:$G41)),MAX('04 Wan'!AC34:AC41)),MIN('04 Wan'!AG34:AG41))))</f>
        <v/>
      </c>
      <c r="H89" s="1559" t="str">
        <f>IF(NOT('04 Wan'!F33 = ""),'04 Wan'!F33,IF(COUNTIF('04 Wan'!F34:F41,"&gt;=0")=0,"", MIN(MAX(SUMPRODUCT('04 Wan'!F34:F41,'04 Wan'!$G34:$G41)*4/(SUM('04 Wan'!$G34:$G41) - SUMIF('04 Wan'!F34:F41,"X",'04 Wan'!$G34:$G41)),MAX('04 Wan'!AD34:AD41)),MIN('04 Wan'!AH34:AH41))))</f>
        <v/>
      </c>
      <c r="I89" s="1557">
        <f t="shared" si="15"/>
        <v>1</v>
      </c>
      <c r="J89" s="1557">
        <f>IF(I89="","",IF(IndG=3,MAX(I89,Obj_Projets!J89),MAX(I89,Obj_PA!D89)))</f>
        <v>1</v>
      </c>
      <c r="K89" s="1560">
        <f t="shared" si="16"/>
        <v>1</v>
      </c>
      <c r="L89" s="1650" t="str">
        <f t="shared" si="17"/>
        <v xml:space="preserve"> n'a pas démarré</v>
      </c>
      <c r="M89" s="154"/>
      <c r="N89" s="154"/>
      <c r="O89" s="154"/>
      <c r="P89" s="154"/>
      <c r="Q89" s="154"/>
      <c r="R89" s="154"/>
      <c r="S89" s="154"/>
      <c r="T89" s="154"/>
      <c r="U89" s="154"/>
      <c r="V89" s="154"/>
      <c r="W89" s="154"/>
      <c r="X89" s="154"/>
      <c r="Y89" s="154"/>
      <c r="Z89" s="154"/>
      <c r="AA89" s="154"/>
      <c r="AB89" s="154"/>
      <c r="AC89" s="154"/>
      <c r="AD89" s="154"/>
      <c r="AE89" s="154"/>
      <c r="AF89" s="154"/>
      <c r="AG89" s="154"/>
      <c r="AH89" s="154"/>
      <c r="AI89" s="154"/>
      <c r="AJ89" s="154"/>
      <c r="AK89" s="154"/>
      <c r="AL89" s="154"/>
      <c r="AM89" s="154"/>
      <c r="AN89" s="154"/>
      <c r="AO89" s="154"/>
      <c r="AP89" s="154"/>
      <c r="AQ89" s="154"/>
      <c r="AR89" s="154"/>
      <c r="AS89" s="154"/>
      <c r="AT89" s="154"/>
      <c r="AU89" s="154"/>
      <c r="AV89" s="154"/>
      <c r="AW89" s="154"/>
      <c r="AX89" s="154"/>
      <c r="AY89" s="154"/>
      <c r="AZ89" s="154"/>
      <c r="BA89" s="154"/>
      <c r="BB89" s="154"/>
    </row>
    <row r="90" spans="1:85" s="527" customFormat="1" ht="15.75" customHeight="1" outlineLevel="1" x14ac:dyDescent="0.2">
      <c r="A90" s="1212"/>
      <c r="B90" s="1212" t="s">
        <v>95</v>
      </c>
      <c r="C90" s="1219" t="s">
        <v>5027</v>
      </c>
      <c r="D90" s="1562" t="s">
        <v>2767</v>
      </c>
      <c r="E90" s="1559" t="str">
        <f>IF(NOT('04 Wan'!C42 = ""),'04 Wan'!C42,IF(COUNTIF('04 Wan'!C43:C52,"&gt;=0")=0,"", MIN(MAX(SUMPRODUCT('04 Wan'!C43:C52,'04 Wan'!$G43:$G52)*4/(SUM('04 Wan'!$G43:$G52) - SUMIF('04 Wan'!C43:C52,"X",'04 Wan'!$G43:$G52)),MAX('04 Wan'!AA43:AA52)),MIN('04 Wan'!AE43:AE52))))</f>
        <v/>
      </c>
      <c r="F90" s="1559" t="str">
        <f>IF(NOT('04 Wan'!D42 = ""),'04 Wan'!D42,IF(COUNTIF('04 Wan'!D43:D52,"&gt;=0")=0,"", MIN(MAX(SUMPRODUCT('04 Wan'!D43:D52,'04 Wan'!$G43:$G52)*4/(SUM('04 Wan'!$G43:$G52) - SUMIF('04 Wan'!D43:D52,"X",'04 Wan'!$G43:$G52)),MAX('04 Wan'!AB43:AB52)),MIN('04 Wan'!AF43:AF52))))</f>
        <v/>
      </c>
      <c r="G90" s="1559" t="str">
        <f>IF(NOT('04 Wan'!E42 = ""),'04 Wan'!E42,IF(COUNTIF('04 Wan'!E43:E52,"&gt;=0")=0,"", MIN(MAX(SUMPRODUCT('04 Wan'!E43:E52,'04 Wan'!$G43:$G52)*4/(SUM('04 Wan'!$G43:$G52) - SUMIF('04 Wan'!E43:E52,"X",'04 Wan'!$G43:$G52)),MAX('04 Wan'!AC43:AC52)),MIN('04 Wan'!AG43:AG52))))</f>
        <v/>
      </c>
      <c r="H90" s="1559" t="str">
        <f>IF(NOT('04 Wan'!F42 = ""),'04 Wan'!F42,IF(COUNTIF('04 Wan'!F43:F52,"&gt;=0")=0,"", MIN(MAX(SUMPRODUCT('04 Wan'!F43:F52,'04 Wan'!$G43:$G52)*4/(SUM('04 Wan'!$G43:$G52) - SUMIF('04 Wan'!F43:F52,"X",'04 Wan'!$G43:$G52)),MAX('04 Wan'!AD43:AD52)),MIN('04 Wan'!AH43:AH52))))</f>
        <v/>
      </c>
      <c r="I90" s="1557">
        <f t="shared" si="15"/>
        <v>1</v>
      </c>
      <c r="J90" s="1557">
        <f>IF(I90="","",IF(IndG=3,MAX(I90,Obj_Projets!J90),MAX(I90,Obj_PA!D90)))</f>
        <v>1</v>
      </c>
      <c r="K90" s="1560">
        <f t="shared" si="16"/>
        <v>1</v>
      </c>
      <c r="L90" s="1650" t="str">
        <f t="shared" si="17"/>
        <v xml:space="preserve"> n'a pas démarré</v>
      </c>
      <c r="M90" s="154"/>
      <c r="N90" s="154"/>
      <c r="O90" s="154"/>
      <c r="P90" s="154"/>
      <c r="Q90" s="154"/>
      <c r="R90" s="154"/>
      <c r="S90" s="154"/>
      <c r="T90" s="154"/>
      <c r="U90" s="154"/>
      <c r="V90" s="154"/>
      <c r="W90" s="154"/>
      <c r="X90" s="154"/>
      <c r="Y90" s="154"/>
      <c r="Z90" s="154"/>
      <c r="AA90" s="154"/>
      <c r="AB90" s="154"/>
      <c r="AC90" s="154"/>
      <c r="AD90" s="154"/>
      <c r="AE90" s="154"/>
      <c r="AF90" s="154"/>
      <c r="AG90" s="154"/>
      <c r="AH90" s="154"/>
      <c r="AI90" s="154"/>
      <c r="AJ90" s="154"/>
      <c r="AK90" s="154"/>
      <c r="AL90" s="154"/>
      <c r="AM90" s="154"/>
      <c r="AN90" s="154"/>
      <c r="AO90" s="154"/>
      <c r="AP90" s="154"/>
      <c r="AQ90" s="154"/>
      <c r="AR90" s="154"/>
      <c r="AS90" s="154"/>
      <c r="AT90" s="154"/>
      <c r="AU90" s="154"/>
      <c r="AV90" s="154"/>
      <c r="AW90" s="154"/>
      <c r="AX90" s="154"/>
      <c r="AY90" s="154"/>
      <c r="AZ90" s="154"/>
      <c r="BA90" s="154"/>
      <c r="BB90" s="154"/>
    </row>
    <row r="91" spans="1:85" s="527" customFormat="1" ht="15.75" customHeight="1" outlineLevel="1" x14ac:dyDescent="0.2">
      <c r="A91" s="1212"/>
      <c r="B91" s="1212" t="s">
        <v>97</v>
      </c>
      <c r="C91" s="1219" t="s">
        <v>5028</v>
      </c>
      <c r="D91" s="1562" t="s">
        <v>2771</v>
      </c>
      <c r="E91" s="1559" t="str">
        <f>IF(NOT('04 Wan'!C53 = ""),'04 Wan'!C53,IF(COUNTIF('04 Wan'!C54:C58,"&gt;=0")=0,"", MIN(MAX(SUMPRODUCT('04 Wan'!C54:C58,'04 Wan'!$G54:$G58)*4/(SUM('04 Wan'!$G54:$G58) - SUMIF('04 Wan'!C54:C58,"X",'04 Wan'!$G54:$G58)),MAX('04 Wan'!AA54:AA58)),MIN('04 Wan'!AE54:AE58))))</f>
        <v/>
      </c>
      <c r="F91" s="1559" t="str">
        <f>IF(NOT('04 Wan'!D53 = ""),'04 Wan'!D53,IF(COUNTIF('04 Wan'!D54:D58,"&gt;=0")=0,"", MIN(MAX(SUMPRODUCT('04 Wan'!D54:D58,'04 Wan'!$G54:$G58)*4/(SUM('04 Wan'!$G54:$G58) - SUMIF('04 Wan'!D54:D58,"X",'04 Wan'!$G54:$G58)),MAX('04 Wan'!AB54:AB58)),MIN('04 Wan'!AF54:AF58))))</f>
        <v/>
      </c>
      <c r="G91" s="1559" t="str">
        <f>IF(NOT('04 Wan'!E53 = ""),'04 Wan'!E53,IF(COUNTIF('04 Wan'!E54:E58,"&gt;=0")=0,"", MIN(MAX(SUMPRODUCT('04 Wan'!E54:E58,'04 Wan'!$G54:$G58)*4/(SUM('04 Wan'!$G54:$G58) - SUMIF('04 Wan'!E54:E58,"X",'04 Wan'!$G54:$G58)),MAX('04 Wan'!AC54:AC58)),MIN('04 Wan'!AG54:AG58))))</f>
        <v/>
      </c>
      <c r="H91" s="1559" t="str">
        <f>IF(NOT('04 Wan'!F53 = ""),'04 Wan'!F53,IF(COUNTIF('04 Wan'!F54:F58,"&gt;=0")=0,"", MIN(MAX(SUMPRODUCT('04 Wan'!F54:F58,'04 Wan'!$G54:$G58)*4/(SUM('04 Wan'!$G54:$G58) - SUMIF('04 Wan'!F54:F58,"X",'04 Wan'!$G54:$G58)),MAX('04 Wan'!AD54:AD58)),MIN('04 Wan'!AH54:AH58))))</f>
        <v/>
      </c>
      <c r="I91" s="1557">
        <f t="shared" si="15"/>
        <v>1</v>
      </c>
      <c r="J91" s="1557">
        <f>IF(I91="","",IF(IndG=3,MAX(I91,Obj_Projets!J91),MAX(I91,Obj_PA!D91)))</f>
        <v>1</v>
      </c>
      <c r="K91" s="1560">
        <f t="shared" si="16"/>
        <v>1</v>
      </c>
      <c r="L91" s="1650" t="str">
        <f t="shared" si="17"/>
        <v xml:space="preserve"> n'a pas démarré</v>
      </c>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row>
    <row r="92" spans="1:85" s="527" customFormat="1" ht="15.75" customHeight="1" outlineLevel="1" x14ac:dyDescent="0.2">
      <c r="A92" s="1212"/>
      <c r="B92" s="1213" t="s">
        <v>2755</v>
      </c>
      <c r="C92" s="1214" t="s">
        <v>2756</v>
      </c>
      <c r="D92" s="1554"/>
      <c r="E92" s="1559"/>
      <c r="F92" s="1559"/>
      <c r="G92" s="1559"/>
      <c r="H92" s="1559"/>
      <c r="I92" s="1561"/>
      <c r="J92" s="1561"/>
      <c r="K92" s="1561"/>
      <c r="L92" s="1650"/>
      <c r="M92" s="154"/>
      <c r="N92" s="154"/>
      <c r="O92" s="154"/>
      <c r="P92" s="154"/>
      <c r="Q92" s="154"/>
      <c r="R92" s="154"/>
      <c r="S92" s="154"/>
      <c r="T92" s="154"/>
      <c r="U92" s="154"/>
      <c r="V92" s="154"/>
      <c r="W92" s="154"/>
      <c r="X92" s="154"/>
      <c r="Y92" s="154"/>
      <c r="Z92" s="154"/>
      <c r="AA92" s="154"/>
      <c r="AB92" s="154"/>
      <c r="AC92" s="154"/>
      <c r="AD92" s="154"/>
      <c r="AE92" s="154"/>
      <c r="AF92" s="154"/>
      <c r="AG92" s="154"/>
      <c r="AH92" s="154"/>
      <c r="AI92" s="154"/>
      <c r="AJ92" s="154"/>
      <c r="AK92" s="154"/>
      <c r="AL92" s="154"/>
      <c r="AM92" s="154"/>
      <c r="AN92" s="154"/>
      <c r="AO92" s="154"/>
      <c r="AP92" s="154"/>
      <c r="AQ92" s="154"/>
      <c r="AR92" s="154"/>
      <c r="AS92" s="154"/>
      <c r="AT92" s="154"/>
      <c r="AU92" s="154"/>
      <c r="AV92" s="154"/>
      <c r="AW92" s="154"/>
      <c r="AX92" s="154"/>
      <c r="AY92" s="154"/>
      <c r="AZ92" s="154"/>
      <c r="BA92" s="154"/>
      <c r="BB92" s="154"/>
    </row>
    <row r="93" spans="1:85" s="527" customFormat="1" ht="15.75" customHeight="1" outlineLevel="1" x14ac:dyDescent="0.2">
      <c r="A93" s="1212"/>
      <c r="B93" s="1212" t="s">
        <v>5029</v>
      </c>
      <c r="C93" s="1219" t="s">
        <v>5030</v>
      </c>
      <c r="D93" s="1562" t="s">
        <v>2625</v>
      </c>
      <c r="E93" s="1559" t="str">
        <f>IF(NOT('04 Wan'!C60 = ""),'04 Wan'!C60,IF(COUNTIF('04 Wan'!C61:C74,"&gt;=0")=0,"", MIN(MAX(SUMPRODUCT('04 Wan'!C61:C74,'04 Wan'!$G61:$G74)*4/(SUM('04 Wan'!$G61:$G74) - SUMIF('04 Wan'!C61:C74,"X",'04 Wan'!$G61:$G74)),MAX('04 Wan'!AA61:AA74)),MIN('04 Wan'!AE61:AE74))))</f>
        <v/>
      </c>
      <c r="F93" s="1559" t="str">
        <f>IF(NOT('04 Wan'!D60 = ""),'04 Wan'!D60,IF(COUNTIF('04 Wan'!D61:D74,"&gt;=0")=0,"", MIN(MAX(SUMPRODUCT('04 Wan'!D61:D74,'04 Wan'!$G61:$G74)*4/(SUM('04 Wan'!$G61:$G74) - SUMIF('04 Wan'!D61:D74,"X",'04 Wan'!$G61:$G74)),MAX('04 Wan'!AB61:AB74)),MIN('04 Wan'!AF61:AF74))))</f>
        <v/>
      </c>
      <c r="G93" s="1559" t="str">
        <f>IF(NOT('04 Wan'!E60 = ""),'04 Wan'!E60,IF(COUNTIF('04 Wan'!E61:E74,"&gt;=0")=0,"", MIN(MAX(SUMPRODUCT('04 Wan'!E61:E74,'04 Wan'!$G61:$G74)*4/(SUM('04 Wan'!$G61:$G74) - SUMIF('04 Wan'!E61:E74,"X",'04 Wan'!$G61:$G74)),MAX('04 Wan'!AC61:AC74)),MIN('04 Wan'!AG61:AG74))))</f>
        <v/>
      </c>
      <c r="H93" s="1559" t="str">
        <f>IF(NOT('04 Wan'!F60 = ""),'04 Wan'!F60,IF(COUNTIF('04 Wan'!F61:F74,"&gt;=0")=0,"", MIN(MAX(SUMPRODUCT('04 Wan'!F61:F74,'04 Wan'!$G61:$G74)*4/(SUM('04 Wan'!$G61:$G74) - SUMIF('04 Wan'!F61:F74,"X",'04 Wan'!$G61:$G74)),MAX('04 Wan'!AD61:AD74)),MIN('04 Wan'!AH61:AH74))))</f>
        <v/>
      </c>
      <c r="I93" s="1557">
        <f>IF(AND(OR(E93="X",E93=""),OR(F93="X",F93=""),OR(G93="X",G93=""),OR(H93="X",H93="")),1,ROUND(MIN(IF(OR(E93="",E93="X"),4,E93),IF(OR(F93="",F93="X"),4,F93),IF(OR(G93="",G93="X"),4,G93),IF(OR(H93="",H93="X"),4,H93)),0))</f>
        <v>1</v>
      </c>
      <c r="J93" s="1557">
        <f>IF(I93="","",IF(IndG=3,MAX(I93,Obj_Projets!J93),MAX(I93,Obj_PA!D93)))</f>
        <v>1</v>
      </c>
      <c r="K93" s="1560">
        <f>IF(IF(OR(IndG=3,IndG=4),MAX(I93,J93),I93)&lt;1,1,IF(OR(IndG=3,IndG=4),MAX(I93,J93),I93))</f>
        <v>1</v>
      </c>
      <c r="L93" s="1650" t="str">
        <f>IF(E93=""," n'a pas démarré","")</f>
        <v xml:space="preserve"> n'a pas démarré</v>
      </c>
      <c r="M93" s="154"/>
      <c r="N93" s="154"/>
      <c r="O93" s="154"/>
      <c r="P93" s="154"/>
      <c r="Q93" s="154"/>
      <c r="R93" s="154"/>
      <c r="S93" s="154"/>
      <c r="T93" s="154"/>
      <c r="U93" s="154"/>
      <c r="V93" s="154"/>
      <c r="W93" s="154"/>
      <c r="X93" s="154"/>
      <c r="Y93" s="154"/>
      <c r="Z93" s="154"/>
      <c r="AA93" s="154"/>
      <c r="AB93" s="154"/>
      <c r="AC93" s="154"/>
      <c r="AD93" s="154"/>
      <c r="AE93" s="154"/>
      <c r="AF93" s="154"/>
      <c r="AG93" s="154"/>
      <c r="AH93" s="154"/>
      <c r="AI93" s="154"/>
      <c r="AJ93" s="154"/>
      <c r="AK93" s="154"/>
      <c r="AL93" s="154"/>
      <c r="AM93" s="154"/>
      <c r="AN93" s="154"/>
      <c r="AO93" s="154"/>
      <c r="AP93" s="154"/>
      <c r="AQ93" s="154"/>
      <c r="AR93" s="154"/>
      <c r="AS93" s="154"/>
      <c r="AT93" s="154"/>
      <c r="AU93" s="154"/>
      <c r="AV93" s="154"/>
      <c r="AW93" s="154"/>
      <c r="AX93" s="154"/>
      <c r="AY93" s="154"/>
      <c r="AZ93" s="154"/>
      <c r="BA93" s="154"/>
      <c r="BB93" s="154"/>
    </row>
    <row r="94" spans="1:85" s="527" customFormat="1" ht="15.75" customHeight="1" outlineLevel="1" x14ac:dyDescent="0.2">
      <c r="A94" s="1212"/>
      <c r="B94" s="1212" t="s">
        <v>5031</v>
      </c>
      <c r="C94" s="1219" t="s">
        <v>1472</v>
      </c>
      <c r="D94" s="1562" t="s">
        <v>2625</v>
      </c>
      <c r="E94" s="1559" t="str">
        <f>IF(NOT('04 Wan'!C75 = ""),'04 Wan'!C75,IF(COUNTIF('04 Wan'!C76:C82,"&gt;=0")=0,"", MIN(MAX(SUMPRODUCT('04 Wan'!C76:C82,'04 Wan'!$G76:$G82)*4/(SUM('04 Wan'!$G76:$G82) - SUMIF('04 Wan'!C76:C82,"X",'04 Wan'!$G76:$G82)),MAX('04 Wan'!AA76:AA82)),MIN('04 Wan'!AE76:AE82))))</f>
        <v/>
      </c>
      <c r="F94" s="1559" t="str">
        <f>IF(NOT('04 Wan'!D75 = ""),'04 Wan'!D75,IF(COUNTIF('04 Wan'!D76:D82,"&gt;=0")=0,"", MIN(MAX(SUMPRODUCT('04 Wan'!D76:D82,'04 Wan'!$G76:$G82)*4/(SUM('04 Wan'!$G76:$G82) - SUMIF('04 Wan'!D76:D82,"X",'04 Wan'!$G76:$G82)),MAX('04 Wan'!AB76:AB82)),MIN('04 Wan'!AF76:AF82))))</f>
        <v/>
      </c>
      <c r="G94" s="1559" t="str">
        <f>IF(NOT('04 Wan'!E75 = ""),'04 Wan'!E75,IF(COUNTIF('04 Wan'!E76:E82,"&gt;=0")=0,"", MIN(MAX(SUMPRODUCT('04 Wan'!E76:E82,'04 Wan'!$G76:$G82)*4/(SUM('04 Wan'!$G76:$G82) - SUMIF('04 Wan'!E76:E82,"X",'04 Wan'!$G76:$G82)),MAX('04 Wan'!AC76:AC82)),MIN('04 Wan'!AG76:AG82))))</f>
        <v/>
      </c>
      <c r="H94" s="1559" t="str">
        <f>IF(NOT('04 Wan'!F75 = ""),'04 Wan'!F75,IF(COUNTIF('04 Wan'!F76:F82,"&gt;=0")=0,"", MIN(MAX(SUMPRODUCT('04 Wan'!F76:F82,'04 Wan'!$G76:$G82)*4/(SUM('04 Wan'!$G76:$G82) - SUMIF('04 Wan'!F76:F82,"X",'04 Wan'!$G76:$G82)),MAX('04 Wan'!AD76:AD82)),MIN('04 Wan'!AH76:AH82))))</f>
        <v/>
      </c>
      <c r="I94" s="1557">
        <f>IF(AND(OR(E94="X",E94=""),OR(F94="X",F94=""),OR(G94="X",G94=""),OR(H94="X",H94="")),1,ROUND(MIN(IF(OR(E94="",E94="X"),4,E94),IF(OR(F94="",F94="X"),4,F94),IF(OR(G94="",G94="X"),4,G94),IF(OR(H94="",H94="X"),4,H94)),0))</f>
        <v>1</v>
      </c>
      <c r="J94" s="1557">
        <f>IF(I94="","",IF(IndG=3,MAX(I94,Obj_Projets!J94),MAX(I94,Obj_PA!D94)))</f>
        <v>1</v>
      </c>
      <c r="K94" s="1560">
        <f>IF(IF(OR(IndG=3,IndG=4),MAX(I94,J94),I94)&lt;1,1,IF(OR(IndG=3,IndG=4),MAX(I94,J94),I94))</f>
        <v>1</v>
      </c>
      <c r="L94" s="1650" t="str">
        <f>IF(E94=""," n'a pas démarré","")</f>
        <v xml:space="preserve"> n'a pas démarré</v>
      </c>
      <c r="M94" s="154"/>
      <c r="N94" s="154"/>
      <c r="O94" s="154"/>
      <c r="P94" s="154"/>
      <c r="Q94" s="154"/>
      <c r="R94" s="154"/>
      <c r="S94" s="154"/>
      <c r="T94" s="154"/>
      <c r="U94" s="154"/>
      <c r="V94" s="154"/>
      <c r="W94" s="154"/>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c r="AV94" s="154"/>
      <c r="AW94" s="154"/>
      <c r="AX94" s="154"/>
      <c r="AY94" s="154"/>
      <c r="AZ94" s="154"/>
      <c r="BA94" s="154"/>
      <c r="BB94" s="154"/>
    </row>
    <row r="95" spans="1:85" s="527" customFormat="1" ht="15.75" customHeight="1" outlineLevel="1" x14ac:dyDescent="0.2">
      <c r="A95" s="1212"/>
      <c r="B95" s="1212" t="s">
        <v>1473</v>
      </c>
      <c r="C95" s="1219" t="s">
        <v>5638</v>
      </c>
      <c r="D95" s="1562" t="s">
        <v>2625</v>
      </c>
      <c r="E95" s="1559" t="str">
        <f>IF(NOT('04 Wan'!C83 = ""),'04 Wan'!C83,IF(COUNTIF('04 Wan'!C84:C90,"&gt;=0")=0,"", MIN(MAX(SUMPRODUCT('04 Wan'!C84:C90,'04 Wan'!$G84:$G90)*4/(SUM('04 Wan'!$G84:$G90) - SUMIF('04 Wan'!C84:C90,"X",'04 Wan'!$G84:$G90)),MAX('04 Wan'!AA84:AA90)),MIN('04 Wan'!AE84:AE90))))</f>
        <v/>
      </c>
      <c r="F95" s="1559" t="str">
        <f>IF(NOT('04 Wan'!D83 = ""),'04 Wan'!D83,IF(COUNTIF('04 Wan'!D84:D90,"&gt;=0")=0,"", MIN(MAX(SUMPRODUCT('04 Wan'!D84:D90,'04 Wan'!$G84:$G90)*4/(SUM('04 Wan'!$G84:$G90) - SUMIF('04 Wan'!D84:D90,"X",'04 Wan'!$G84:$G90)),MAX('04 Wan'!AB84:AB90)),MIN('04 Wan'!AF84:AF90))))</f>
        <v/>
      </c>
      <c r="G95" s="1559" t="str">
        <f>IF(NOT('04 Wan'!E83 = ""),'04 Wan'!E83,IF(COUNTIF('04 Wan'!E84:E90,"&gt;=0")=0,"", MIN(MAX(SUMPRODUCT('04 Wan'!E84:E90,'04 Wan'!$G84:$G90)*4/(SUM('04 Wan'!$G84:$G90) - SUMIF('04 Wan'!E84:E90,"X",'04 Wan'!$G84:$G90)),MAX('04 Wan'!AC84:AC90)),MIN('04 Wan'!AG84:AG90))))</f>
        <v/>
      </c>
      <c r="H95" s="1559" t="str">
        <f>IF(NOT('04 Wan'!F83 = ""),'04 Wan'!F83,IF(COUNTIF('04 Wan'!F84:F90,"&gt;=0")=0,"", MIN(MAX(SUMPRODUCT('04 Wan'!F84:F90,'04 Wan'!$G84:$G90)*4/(SUM('04 Wan'!$G84:$G90) - SUMIF('04 Wan'!F84:F90,"X",'04 Wan'!$G84:$G90)),MAX('04 Wan'!AD84:AD90)),MIN('04 Wan'!AH84:AH90))))</f>
        <v/>
      </c>
      <c r="I95" s="1557">
        <f>IF(AND(OR(E95="X",E95=""),OR(F95="X",F95=""),OR(G95="X",G95=""),OR(H95="X",H95="")),1,ROUND(MIN(IF(OR(E95="",E95="X"),4,E95),IF(OR(F95="",F95="X"),4,F95),IF(OR(G95="",G95="X"),4,G95),IF(OR(H95="",H95="X"),4,H95)),0))</f>
        <v>1</v>
      </c>
      <c r="J95" s="1557">
        <f>IF(I95="","",IF(IndG=3,MAX(I95,Obj_Projets!J95),MAX(I95,Obj_PA!D95)))</f>
        <v>1</v>
      </c>
      <c r="K95" s="1560">
        <f>IF(IF(OR(IndG=3,IndG=4),MAX(I95,J95),I95)&lt;1,1,IF(OR(IndG=3,IndG=4),MAX(I95,J95),I95))</f>
        <v>1</v>
      </c>
      <c r="L95" s="1650" t="str">
        <f>IF(E95=""," n'a pas démarré","")</f>
        <v xml:space="preserve"> n'a pas démarré</v>
      </c>
      <c r="M95" s="154"/>
      <c r="N95" s="154"/>
      <c r="O95" s="154"/>
      <c r="P95" s="154"/>
      <c r="Q95" s="154"/>
      <c r="R95" s="154"/>
      <c r="S95" s="154"/>
      <c r="T95" s="154"/>
      <c r="U95" s="154"/>
      <c r="V95" s="154"/>
      <c r="W95" s="154"/>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c r="AV95" s="154"/>
      <c r="AW95" s="154"/>
      <c r="AX95" s="154"/>
      <c r="AY95" s="154"/>
      <c r="AZ95" s="154"/>
      <c r="BA95" s="154"/>
      <c r="BB95" s="154"/>
    </row>
    <row r="96" spans="1:85" s="527" customFormat="1" ht="15.75" customHeight="1" outlineLevel="1" x14ac:dyDescent="0.2">
      <c r="A96" s="1212"/>
      <c r="B96" s="1213" t="s">
        <v>2757</v>
      </c>
      <c r="C96" s="1214" t="s">
        <v>2758</v>
      </c>
      <c r="D96" s="1554"/>
      <c r="E96" s="1559"/>
      <c r="F96" s="1559"/>
      <c r="G96" s="1559"/>
      <c r="H96" s="1559"/>
      <c r="I96" s="1561"/>
      <c r="J96" s="1561"/>
      <c r="K96" s="1561"/>
      <c r="L96" s="1650"/>
      <c r="M96" s="154"/>
      <c r="N96" s="154"/>
      <c r="O96" s="154"/>
      <c r="P96" s="154"/>
      <c r="Q96" s="154"/>
      <c r="R96" s="154"/>
      <c r="S96" s="154"/>
      <c r="T96" s="154"/>
      <c r="U96" s="154"/>
      <c r="V96" s="154"/>
      <c r="W96" s="154"/>
      <c r="X96" s="154"/>
      <c r="Y96" s="154"/>
      <c r="Z96" s="154"/>
      <c r="AA96" s="154"/>
      <c r="AB96" s="154"/>
      <c r="AC96" s="154"/>
      <c r="AD96" s="154"/>
      <c r="AE96" s="154"/>
      <c r="AF96" s="154"/>
      <c r="AG96" s="154"/>
      <c r="AH96" s="154"/>
      <c r="AI96" s="154"/>
      <c r="AJ96" s="154"/>
      <c r="AK96" s="154"/>
      <c r="AL96" s="154"/>
      <c r="AM96" s="154"/>
      <c r="AN96" s="154"/>
      <c r="AO96" s="154"/>
      <c r="AP96" s="154"/>
      <c r="AQ96" s="154"/>
      <c r="AR96" s="154"/>
      <c r="AS96" s="154"/>
      <c r="AT96" s="154"/>
      <c r="AU96" s="154"/>
      <c r="AV96" s="154"/>
      <c r="AW96" s="154"/>
      <c r="AX96" s="154"/>
      <c r="AY96" s="154"/>
      <c r="AZ96" s="154"/>
      <c r="BA96" s="154"/>
      <c r="BB96" s="154"/>
    </row>
    <row r="97" spans="1:54" s="527" customFormat="1" ht="15.75" customHeight="1" outlineLevel="1" x14ac:dyDescent="0.2">
      <c r="A97" s="1212"/>
      <c r="B97" s="1212" t="s">
        <v>5639</v>
      </c>
      <c r="C97" s="1219" t="s">
        <v>5640</v>
      </c>
      <c r="D97" s="1562" t="s">
        <v>2964</v>
      </c>
      <c r="E97" s="1559" t="str">
        <f>IF(NOT('04 Wan'!C92 = ""),'04 Wan'!C92,IF(COUNTIF('04 Wan'!C93:C99,"&gt;=0")=0,"", MIN(MAX(SUMPRODUCT('04 Wan'!C93:C99,'04 Wan'!$G93:$G99)*4/(SUM('04 Wan'!$G93:$G99) - SUMIF('04 Wan'!C93:C99,"X",'04 Wan'!$G93:$G99)),MAX('04 Wan'!AA93:AA99)),MIN('04 Wan'!AE93:AE99))))</f>
        <v/>
      </c>
      <c r="F97" s="1559" t="str">
        <f>IF(NOT('04 Wan'!D92 = ""),'04 Wan'!D92,IF(COUNTIF('04 Wan'!D93:D99,"&gt;=0")=0,"", MIN(MAX(SUMPRODUCT('04 Wan'!D93:D99,'04 Wan'!$G93:$G99)*4/(SUM('04 Wan'!$G93:$G99) - SUMIF('04 Wan'!D93:D99,"X",'04 Wan'!$G93:$G99)),MAX('04 Wan'!AB93:AB99)),MIN('04 Wan'!AF93:AF99))))</f>
        <v/>
      </c>
      <c r="G97" s="1559" t="str">
        <f>IF(NOT('04 Wan'!E92 = ""),'04 Wan'!E92,IF(COUNTIF('04 Wan'!E93:E99,"&gt;=0")=0,"", MIN(MAX(SUMPRODUCT('04 Wan'!E93:E99,'04 Wan'!$G93:$G99)*4/(SUM('04 Wan'!$G93:$G99) - SUMIF('04 Wan'!E93:E99,"X",'04 Wan'!$G93:$G99)),MAX('04 Wan'!AC93:AC99)),MIN('04 Wan'!AG93:AG99))))</f>
        <v/>
      </c>
      <c r="H97" s="1559" t="str">
        <f>IF(NOT('04 Wan'!F92 = ""),'04 Wan'!F92,IF(COUNTIF('04 Wan'!F93:F99,"&gt;=0")=0,"", MIN(MAX(SUMPRODUCT('04 Wan'!F93:F99,'04 Wan'!$G93:$G99)*4/(SUM('04 Wan'!$G93:$G99) - SUMIF('04 Wan'!F93:F99,"X",'04 Wan'!$G93:$G99)),MAX('04 Wan'!AD93:AD99)),MIN('04 Wan'!AH93:AH99))))</f>
        <v/>
      </c>
      <c r="I97" s="1557">
        <f>IF(AND(OR(E97="X",E97=""),OR(F97="X",F97=""),OR(G97="X",G97=""),OR(H97="X",H97="")),1,ROUND(MIN(IF(OR(E97="",E97="X"),4,E97),IF(OR(F97="",F97="X"),4,F97),IF(OR(G97="",G97="X"),4,G97),IF(OR(H97="",H97="X"),4,H97)),0))</f>
        <v>1</v>
      </c>
      <c r="J97" s="1557">
        <f>IF(I97="","",IF(IndG=3,MAX(I97,Obj_Projets!J97),MAX(I97,Obj_PA!D97)))</f>
        <v>1</v>
      </c>
      <c r="K97" s="1560">
        <f>IF(IF(OR(IndG=3,IndG=4),MAX(I97,J97),I97)&lt;1,1,IF(OR(IndG=3,IndG=4),MAX(I97,J97),I97))</f>
        <v>1</v>
      </c>
      <c r="L97" s="1650" t="str">
        <f>IF(E97=""," n'a pas démarré","")</f>
        <v xml:space="preserve"> n'a pas démarré</v>
      </c>
      <c r="M97" s="154"/>
      <c r="N97" s="154"/>
      <c r="O97" s="154"/>
      <c r="P97" s="154"/>
      <c r="Q97" s="154"/>
      <c r="R97" s="154"/>
      <c r="S97" s="154"/>
      <c r="T97" s="154"/>
      <c r="U97" s="154"/>
      <c r="V97" s="154"/>
      <c r="W97" s="154"/>
      <c r="X97" s="154"/>
      <c r="Y97" s="154"/>
      <c r="Z97" s="154"/>
      <c r="AA97" s="154"/>
      <c r="AB97" s="154"/>
      <c r="AC97" s="154"/>
      <c r="AD97" s="154"/>
      <c r="AE97" s="154"/>
      <c r="AF97" s="154"/>
      <c r="AG97" s="154"/>
      <c r="AH97" s="154"/>
      <c r="AI97" s="154"/>
      <c r="AJ97" s="154"/>
      <c r="AK97" s="154"/>
      <c r="AL97" s="154"/>
      <c r="AM97" s="154"/>
      <c r="AN97" s="154"/>
      <c r="AO97" s="154"/>
      <c r="AP97" s="154"/>
      <c r="AQ97" s="154"/>
      <c r="AR97" s="154"/>
      <c r="AS97" s="154"/>
      <c r="AT97" s="154"/>
      <c r="AU97" s="154"/>
      <c r="AV97" s="154"/>
      <c r="AW97" s="154"/>
      <c r="AX97" s="154"/>
      <c r="AY97" s="154"/>
      <c r="AZ97" s="154"/>
      <c r="BA97" s="154"/>
      <c r="BB97" s="154"/>
    </row>
    <row r="98" spans="1:54" s="527" customFormat="1" ht="15.75" customHeight="1" outlineLevel="1" x14ac:dyDescent="0.2">
      <c r="A98" s="1212"/>
      <c r="B98" s="1212" t="s">
        <v>5641</v>
      </c>
      <c r="C98" s="1219" t="s">
        <v>6462</v>
      </c>
      <c r="D98" s="1562" t="s">
        <v>2964</v>
      </c>
      <c r="E98" s="1559" t="str">
        <f>IF(NOT('04 Wan'!C100 = ""),'04 Wan'!C100,IF(COUNTIF('04 Wan'!C101:C107,"&gt;=0")=0,"", MIN(MAX(SUMPRODUCT('04 Wan'!C101:C107,'04 Wan'!$G101:$G107)*4/(SUM('04 Wan'!$G101:$G107) - SUMIF('04 Wan'!C101:C107,"X",'04 Wan'!$G101:$G107)),MAX('04 Wan'!AA101:AA107)),MIN('04 Wan'!AE101:AE107))))</f>
        <v/>
      </c>
      <c r="F98" s="1559" t="str">
        <f>IF(NOT('04 Wan'!D100 = ""),'04 Wan'!D100,IF(COUNTIF('04 Wan'!D101:D107,"&gt;=0")=0,"", MIN(MAX(SUMPRODUCT('04 Wan'!D101:D107,'04 Wan'!$G101:$G107)*4/(SUM('04 Wan'!$G101:$G107) - SUMIF('04 Wan'!D101:D107,"X",'04 Wan'!$G101:$G107)),MAX('04 Wan'!AB101:AB107)),MIN('04 Wan'!AF101:AF107))))</f>
        <v/>
      </c>
      <c r="G98" s="1559" t="str">
        <f>IF(NOT('04 Wan'!E100 = ""),'04 Wan'!E100,IF(COUNTIF('04 Wan'!E101:E107,"&gt;=0")=0,"", MIN(MAX(SUMPRODUCT('04 Wan'!E101:E107,'04 Wan'!$G101:$G107)*4/(SUM('04 Wan'!$G101:$G107) - SUMIF('04 Wan'!E101:E107,"X",'04 Wan'!$G101:$G107)),MAX('04 Wan'!AC101:AC107)),MIN('04 Wan'!AG101:AG107))))</f>
        <v/>
      </c>
      <c r="H98" s="1559" t="str">
        <f>IF(NOT('04 Wan'!F100 = ""),'04 Wan'!F100,IF(COUNTIF('04 Wan'!F101:F107,"&gt;=0")=0,"", MIN(MAX(SUMPRODUCT('04 Wan'!F101:F107,'04 Wan'!$G101:$G107)*4/(SUM('04 Wan'!$G101:$G107) - SUMIF('04 Wan'!F101:F107,"X",'04 Wan'!$G101:$G107)),MAX('04 Wan'!AD101:AD107)),MIN('04 Wan'!AH101:AH107))))</f>
        <v/>
      </c>
      <c r="I98" s="1557">
        <f>IF(AND(OR(E98="X",E98=""),OR(F98="X",F98=""),OR(G98="X",G98=""),OR(H98="X",H98="")),1,ROUND(MIN(IF(OR(E98="",E98="X"),4,E98),IF(OR(F98="",F98="X"),4,F98),IF(OR(G98="",G98="X"),4,G98),IF(OR(H98="",H98="X"),4,H98)),0))</f>
        <v>1</v>
      </c>
      <c r="J98" s="1557">
        <f>IF(I98="","",IF(IndG=3,MAX(I98,Obj_Projets!J98),MAX(I98,Obj_PA!D98)))</f>
        <v>1</v>
      </c>
      <c r="K98" s="1560">
        <f>IF(IF(OR(IndG=3,IndG=4),MAX(I98,J98),I98)&lt;1,1,IF(OR(IndG=3,IndG=4),MAX(I98,J98),I98))</f>
        <v>1</v>
      </c>
      <c r="L98" s="1650" t="str">
        <f>IF(E98=""," n'a pas démarré","")</f>
        <v xml:space="preserve"> n'a pas démarré</v>
      </c>
      <c r="M98" s="154"/>
      <c r="N98" s="154"/>
      <c r="O98" s="154"/>
      <c r="P98" s="154"/>
      <c r="Q98" s="154"/>
      <c r="R98" s="154"/>
      <c r="S98" s="154"/>
      <c r="T98" s="154"/>
      <c r="U98" s="154"/>
      <c r="V98" s="154"/>
      <c r="W98" s="154"/>
      <c r="X98" s="154"/>
      <c r="Y98" s="154"/>
      <c r="Z98" s="154"/>
      <c r="AA98" s="154"/>
      <c r="AB98" s="154"/>
      <c r="AC98" s="154"/>
      <c r="AD98" s="154"/>
      <c r="AE98" s="154"/>
      <c r="AF98" s="154"/>
      <c r="AG98" s="154"/>
      <c r="AH98" s="154"/>
      <c r="AI98" s="154"/>
      <c r="AJ98" s="154"/>
      <c r="AK98" s="154"/>
      <c r="AL98" s="154"/>
      <c r="AM98" s="154"/>
      <c r="AN98" s="154"/>
      <c r="AO98" s="154"/>
      <c r="AP98" s="154"/>
      <c r="AQ98" s="154"/>
      <c r="AR98" s="154"/>
      <c r="AS98" s="154"/>
      <c r="AT98" s="154"/>
      <c r="AU98" s="154"/>
      <c r="AV98" s="154"/>
      <c r="AW98" s="154"/>
      <c r="AX98" s="154"/>
      <c r="AY98" s="154"/>
      <c r="AZ98" s="154"/>
      <c r="BA98" s="154"/>
      <c r="BB98" s="154"/>
    </row>
    <row r="99" spans="1:54" s="527" customFormat="1" ht="15.75" customHeight="1" outlineLevel="1" x14ac:dyDescent="0.2">
      <c r="A99" s="1212"/>
      <c r="B99" s="1213" t="s">
        <v>2759</v>
      </c>
      <c r="C99" s="1214" t="s">
        <v>2760</v>
      </c>
      <c r="D99" s="1554"/>
      <c r="E99" s="1559"/>
      <c r="F99" s="1559"/>
      <c r="G99" s="1559"/>
      <c r="H99" s="1559"/>
      <c r="I99" s="1561"/>
      <c r="J99" s="1561"/>
      <c r="K99" s="1561"/>
      <c r="L99" s="1650"/>
      <c r="M99" s="154"/>
      <c r="N99" s="154"/>
      <c r="O99" s="154"/>
      <c r="P99" s="154"/>
      <c r="Q99" s="154"/>
      <c r="R99" s="154"/>
      <c r="S99" s="154"/>
      <c r="T99" s="154"/>
      <c r="U99" s="154"/>
      <c r="V99" s="154"/>
      <c r="W99" s="154"/>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c r="AV99" s="154"/>
      <c r="AW99" s="154"/>
      <c r="AX99" s="154"/>
      <c r="AY99" s="154"/>
      <c r="AZ99" s="154"/>
      <c r="BA99" s="154"/>
      <c r="BB99" s="154"/>
    </row>
    <row r="100" spans="1:54" s="527" customFormat="1" ht="15.75" customHeight="1" outlineLevel="1" x14ac:dyDescent="0.2">
      <c r="A100" s="1212"/>
      <c r="B100" s="1212" t="s">
        <v>6463</v>
      </c>
      <c r="C100" s="1219" t="s">
        <v>5857</v>
      </c>
      <c r="D100" s="1562" t="s">
        <v>2775</v>
      </c>
      <c r="E100" s="1559" t="str">
        <f>IF(NOT('04 Wan'!C109 = ""),'04 Wan'!C109,IF(COUNTIF('04 Wan'!C110:C119,"&gt;=0")=0,"", MIN(MAX(SUMPRODUCT('04 Wan'!C110:C119,'04 Wan'!$G110:$G119)*4/(SUM('04 Wan'!$G110:$G119) - SUMIF('04 Wan'!C110:C119,"X",'04 Wan'!$G110:$G119)),MAX('04 Wan'!AA110:AA119)),MIN('04 Wan'!AE110:AE119))))</f>
        <v/>
      </c>
      <c r="F100" s="1559" t="str">
        <f>IF(NOT('04 Wan'!D109 = ""),'04 Wan'!D109,IF(COUNTIF('04 Wan'!D110:D119,"&gt;=0")=0,"", MIN(MAX(SUMPRODUCT('04 Wan'!D110:D119,'04 Wan'!$G110:$G119)*4/(SUM('04 Wan'!$G110:$G119) - SUMIF('04 Wan'!D110:D119,"X",'04 Wan'!$G110:$G119)),MAX('04 Wan'!AB110:AB119)),MIN('04 Wan'!AF110:AF119))))</f>
        <v/>
      </c>
      <c r="G100" s="1559" t="str">
        <f>IF(NOT('04 Wan'!E109 = ""),'04 Wan'!E109,IF(COUNTIF('04 Wan'!E110:E119,"&gt;=0")=0,"", MIN(MAX(SUMPRODUCT('04 Wan'!E110:E119,'04 Wan'!$G110:$G119)*4/(SUM('04 Wan'!$G110:$G119) - SUMIF('04 Wan'!E110:E119,"X",'04 Wan'!$G110:$G119)),MAX('04 Wan'!AC110:AC119)),MIN('04 Wan'!AG110:AG119))))</f>
        <v/>
      </c>
      <c r="H100" s="1559" t="str">
        <f>IF(NOT('04 Wan'!F109 = ""),'04 Wan'!F109,IF(COUNTIF('04 Wan'!F110:F119,"&gt;=0")=0,"", MIN(MAX(SUMPRODUCT('04 Wan'!F110:F119,'04 Wan'!$G110:$G119)*4/(SUM('04 Wan'!$G110:$G119) - SUMIF('04 Wan'!F110:F119,"X",'04 Wan'!$G110:$G119)),MAX('04 Wan'!AD110:AD119)),MIN('04 Wan'!AH110:AH119))))</f>
        <v/>
      </c>
      <c r="I100" s="1557">
        <f>IF(AND(OR(E100="X",E100=""),OR(F100="X",F100=""),OR(G100="X",G100=""),OR(H100="X",H100="")),1,ROUND(MIN(IF(OR(E100="",E100="X"),4,E100),IF(OR(F100="",F100="X"),4,F100),IF(OR(G100="",G100="X"),4,G100),IF(OR(H100="",H100="X"),4,H100)),0))</f>
        <v>1</v>
      </c>
      <c r="J100" s="1557">
        <f>IF(I100="","",IF(IndG=3,MAX(I100,Obj_Projets!J100),MAX(I100,Obj_PA!D100)))</f>
        <v>1</v>
      </c>
      <c r="K100" s="1560">
        <f>IF(IF(OR(IndG=3,IndG=4),MAX(I100,J100),I100)&lt;1,1,IF(OR(IndG=3,IndG=4),MAX(I100,J100),I100))</f>
        <v>1</v>
      </c>
      <c r="L100" s="1650" t="str">
        <f>IF(E100=""," n'a pas démarré","")</f>
        <v xml:space="preserve"> n'a pas démarré</v>
      </c>
      <c r="M100" s="154"/>
      <c r="N100" s="154"/>
      <c r="O100" s="154"/>
      <c r="P100" s="154"/>
      <c r="Q100" s="154"/>
      <c r="R100" s="154"/>
      <c r="S100" s="154"/>
      <c r="T100" s="154"/>
      <c r="U100" s="154"/>
      <c r="V100" s="154"/>
      <c r="W100" s="154"/>
      <c r="X100" s="154"/>
      <c r="Y100" s="154"/>
      <c r="Z100" s="154"/>
      <c r="AA100" s="154"/>
      <c r="AB100" s="154"/>
      <c r="AC100" s="154"/>
      <c r="AD100" s="154"/>
      <c r="AE100" s="154"/>
      <c r="AF100" s="154"/>
      <c r="AG100" s="154"/>
      <c r="AH100" s="154"/>
      <c r="AI100" s="154"/>
      <c r="AJ100" s="154"/>
      <c r="AK100" s="154"/>
      <c r="AL100" s="154"/>
      <c r="AM100" s="154"/>
      <c r="AN100" s="154"/>
      <c r="AO100" s="154"/>
      <c r="AP100" s="154"/>
      <c r="AQ100" s="154"/>
      <c r="AR100" s="154"/>
      <c r="AS100" s="154"/>
      <c r="AT100" s="154"/>
      <c r="AU100" s="154"/>
      <c r="AV100" s="154"/>
      <c r="AW100" s="154"/>
      <c r="AX100" s="154"/>
      <c r="AY100" s="154"/>
      <c r="AZ100" s="154"/>
      <c r="BA100" s="154"/>
      <c r="BB100" s="154"/>
    </row>
    <row r="101" spans="1:54" s="527" customFormat="1" ht="15.75" customHeight="1" outlineLevel="1" x14ac:dyDescent="0.2">
      <c r="A101" s="1212"/>
      <c r="B101" s="1212" t="s">
        <v>5858</v>
      </c>
      <c r="C101" s="1219" t="s">
        <v>5859</v>
      </c>
      <c r="D101" s="1562" t="s">
        <v>2775</v>
      </c>
      <c r="E101" s="1559" t="str">
        <f>IF(NOT('04 Wan'!C120 = ""),'04 Wan'!C120,IF(COUNTIF('04 Wan'!C121:C130,"&gt;=0")=0,"", MIN(MAX(SUMPRODUCT('04 Wan'!C121:C130,'04 Wan'!$G121:$G130)*4/(SUM('04 Wan'!$G121:$G130) - SUMIF('04 Wan'!C121:C130,"X",'04 Wan'!$G121:$G130)),MAX('04 Wan'!AA121:AA130)),MIN('04 Wan'!AE121:AE130))))</f>
        <v/>
      </c>
      <c r="F101" s="1559" t="str">
        <f>IF(NOT('04 Wan'!D120 = ""),'04 Wan'!D120,IF(COUNTIF('04 Wan'!D121:D130,"&gt;=0")=0,"", MIN(MAX(SUMPRODUCT('04 Wan'!D121:D130,'04 Wan'!$G121:$G130)*4/(SUM('04 Wan'!$G121:$G130) - SUMIF('04 Wan'!D121:D130,"X",'04 Wan'!$G121:$G130)),MAX('04 Wan'!AB121:AB130)),MIN('04 Wan'!AF121:AF130))))</f>
        <v/>
      </c>
      <c r="G101" s="1559" t="str">
        <f>IF(NOT('04 Wan'!E120 = ""),'04 Wan'!E120,IF(COUNTIF('04 Wan'!E121:E130,"&gt;=0")=0,"", MIN(MAX(SUMPRODUCT('04 Wan'!E121:E130,'04 Wan'!$G121:$G130)*4/(SUM('04 Wan'!$G121:$G130) - SUMIF('04 Wan'!E121:E130,"X",'04 Wan'!$G121:$G130)),MAX('04 Wan'!AC121:AC130)),MIN('04 Wan'!AG121:AG130))))</f>
        <v/>
      </c>
      <c r="H101" s="1559" t="str">
        <f>IF(NOT('04 Wan'!F120 = ""),'04 Wan'!F120,IF(COUNTIF('04 Wan'!F121:F130,"&gt;=0")=0,"", MIN(MAX(SUMPRODUCT('04 Wan'!F121:F130,'04 Wan'!$G121:$G130)*4/(SUM('04 Wan'!$G121:$G130) - SUMIF('04 Wan'!F121:F130,"X",'04 Wan'!$G121:$G130)),MAX('04 Wan'!AD121:AD130)),MIN('04 Wan'!AH121:AH130))))</f>
        <v/>
      </c>
      <c r="I101" s="1557">
        <f>IF(AND(OR(E101="X",E101=""),OR(F101="X",F101=""),OR(G101="X",G101=""),OR(H101="X",H101="")),1,ROUND(MIN(IF(OR(E101="",E101="X"),4,E101),IF(OR(F101="",F101="X"),4,F101),IF(OR(G101="",G101="X"),4,G101),IF(OR(H101="",H101="X"),4,H101)),0))</f>
        <v>1</v>
      </c>
      <c r="J101" s="1557">
        <f>IF(I101="","",IF(IndG=3,MAX(I101,Obj_Projets!J101),MAX(I101,Obj_PA!D101)))</f>
        <v>1</v>
      </c>
      <c r="K101" s="1560">
        <f>IF(IF(OR(IndG=3,IndG=4),MAX(I101,J101),I101)&lt;1,1,IF(OR(IndG=3,IndG=4),MAX(I101,J101),I101))</f>
        <v>1</v>
      </c>
      <c r="L101" s="1650" t="str">
        <f>IF(E101=""," n'a pas démarré","")</f>
        <v xml:space="preserve"> n'a pas démarré</v>
      </c>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c r="AN101" s="154"/>
      <c r="AO101" s="154"/>
      <c r="AP101" s="154"/>
      <c r="AQ101" s="154"/>
      <c r="AR101" s="154"/>
      <c r="AS101" s="154"/>
      <c r="AT101" s="154"/>
      <c r="AU101" s="154"/>
      <c r="AV101" s="154"/>
      <c r="AW101" s="154"/>
      <c r="AX101" s="154"/>
      <c r="AY101" s="154"/>
      <c r="AZ101" s="154"/>
      <c r="BA101" s="154"/>
      <c r="BB101" s="154"/>
    </row>
    <row r="102" spans="1:54" s="527" customFormat="1" ht="15.75" customHeight="1" outlineLevel="1" x14ac:dyDescent="0.2">
      <c r="A102" s="1212"/>
      <c r="B102" s="1212" t="s">
        <v>5860</v>
      </c>
      <c r="C102" s="1219" t="s">
        <v>5861</v>
      </c>
      <c r="D102" s="1562" t="s">
        <v>2775</v>
      </c>
      <c r="E102" s="1559" t="str">
        <f>IF(NOT('04 Wan'!C131 = ""),'04 Wan'!C131,IF(COUNTIF('04 Wan'!C132:C139,"&gt;=0")=0,"", MIN(MAX(SUMPRODUCT('04 Wan'!C132:C139,'04 Wan'!$G132:$G139)*4/(SUM('04 Wan'!$G132:$G139) - SUMIF('04 Wan'!C132:C139,"X",'04 Wan'!$G132:$G139)),MAX('04 Wan'!AA132:AA139)),MIN('04 Wan'!AE132:AE139))))</f>
        <v/>
      </c>
      <c r="F102" s="1559" t="str">
        <f>IF(NOT('04 Wan'!D131 = ""),'04 Wan'!D131,IF(COUNTIF('04 Wan'!D132:D139,"&gt;=0")=0,"", MIN(MAX(SUMPRODUCT('04 Wan'!D132:D139,'04 Wan'!$G132:$G139)*4/(SUM('04 Wan'!$G132:$G139) - SUMIF('04 Wan'!D132:D139,"X",'04 Wan'!$G132:$G139)),MAX('04 Wan'!AB132:AB139)),MIN('04 Wan'!AF132:AF139))))</f>
        <v/>
      </c>
      <c r="G102" s="1559" t="str">
        <f>IF(NOT('04 Wan'!E131 = ""),'04 Wan'!E131,IF(COUNTIF('04 Wan'!E132:E139,"&gt;=0")=0,"", MIN(MAX(SUMPRODUCT('04 Wan'!E132:E139,'04 Wan'!$G132:$G139)*4/(SUM('04 Wan'!$G132:$G139) - SUMIF('04 Wan'!E132:E139,"X",'04 Wan'!$G132:$G139)),MAX('04 Wan'!AC132:AC139)),MIN('04 Wan'!AG132:AG139))))</f>
        <v/>
      </c>
      <c r="H102" s="1559" t="str">
        <f>IF(NOT('04 Wan'!F131 = ""),'04 Wan'!F131,IF(COUNTIF('04 Wan'!F132:F139,"&gt;=0")=0,"", MIN(MAX(SUMPRODUCT('04 Wan'!F132:F139,'04 Wan'!$G132:$G139)*4/(SUM('04 Wan'!$G132:$G139) - SUMIF('04 Wan'!F132:F139,"X",'04 Wan'!$G132:$G139)),MAX('04 Wan'!AD132:AD139)),MIN('04 Wan'!AH132:AH139))))</f>
        <v/>
      </c>
      <c r="I102" s="1557">
        <f>IF(AND(OR(E102="X",E102=""),OR(F102="X",F102=""),OR(G102="X",G102=""),OR(H102="X",H102="")),1,ROUND(MIN(IF(OR(E102="",E102="X"),4,E102),IF(OR(F102="",F102="X"),4,F102),IF(OR(G102="",G102="X"),4,G102),IF(OR(H102="",H102="X"),4,H102)),0))</f>
        <v>1</v>
      </c>
      <c r="J102" s="1557">
        <f>IF(I102="","",IF(IndG=3,MAX(I102,Obj_Projets!J102),MAX(I102,Obj_PA!D102)))</f>
        <v>1</v>
      </c>
      <c r="K102" s="1560">
        <f>IF(IF(OR(IndG=3,IndG=4),MAX(I102,J102),I102)&lt;1,1,IF(OR(IndG=3,IndG=4),MAX(I102,J102),I102))</f>
        <v>1</v>
      </c>
      <c r="L102" s="1650" t="str">
        <f>IF(E102=""," n'a pas démarré","")</f>
        <v xml:space="preserve"> n'a pas démarré</v>
      </c>
      <c r="M102" s="154"/>
      <c r="N102" s="154"/>
      <c r="O102" s="154"/>
      <c r="P102" s="154"/>
      <c r="Q102" s="154"/>
      <c r="R102" s="154"/>
      <c r="S102" s="154"/>
      <c r="T102" s="154"/>
      <c r="U102" s="154"/>
      <c r="V102" s="154"/>
      <c r="W102" s="154"/>
      <c r="X102" s="154"/>
      <c r="Y102" s="154"/>
      <c r="Z102" s="154"/>
      <c r="AA102" s="154"/>
      <c r="AB102" s="154"/>
      <c r="AC102" s="154"/>
      <c r="AD102" s="154"/>
      <c r="AE102" s="154"/>
      <c r="AF102" s="154"/>
      <c r="AG102" s="154"/>
      <c r="AH102" s="154"/>
      <c r="AI102" s="154"/>
      <c r="AJ102" s="154"/>
      <c r="AK102" s="154"/>
      <c r="AL102" s="154"/>
      <c r="AM102" s="154"/>
      <c r="AN102" s="154"/>
      <c r="AO102" s="154"/>
      <c r="AP102" s="154"/>
      <c r="AQ102" s="154"/>
      <c r="AR102" s="154"/>
      <c r="AS102" s="154"/>
      <c r="AT102" s="154"/>
      <c r="AU102" s="154"/>
      <c r="AV102" s="154"/>
      <c r="AW102" s="154"/>
      <c r="AX102" s="154"/>
      <c r="AY102" s="154"/>
      <c r="AZ102" s="154"/>
      <c r="BA102" s="154"/>
      <c r="BB102" s="154"/>
    </row>
    <row r="103" spans="1:54" ht="15.75" customHeight="1" x14ac:dyDescent="0.2">
      <c r="A103" s="1227" t="s">
        <v>2247</v>
      </c>
      <c r="B103" s="1981" t="s">
        <v>6415</v>
      </c>
      <c r="C103" s="1982"/>
      <c r="D103" s="1563"/>
      <c r="E103" s="1564"/>
      <c r="F103" s="1564"/>
      <c r="G103" s="1564"/>
      <c r="H103" s="1564"/>
      <c r="I103" s="1568"/>
      <c r="J103" s="1568"/>
      <c r="K103" s="1568"/>
      <c r="L103" s="1653"/>
    </row>
    <row r="104" spans="1:54" s="527" customFormat="1" ht="15.75" customHeight="1" outlineLevel="1" x14ac:dyDescent="0.2">
      <c r="A104" s="1212"/>
      <c r="B104" s="1213" t="s">
        <v>4012</v>
      </c>
      <c r="C104" s="1214" t="s">
        <v>4013</v>
      </c>
      <c r="D104" s="1554"/>
      <c r="E104" s="1559"/>
      <c r="F104" s="1559"/>
      <c r="G104" s="1559"/>
      <c r="H104" s="1559"/>
      <c r="I104" s="1561"/>
      <c r="J104" s="1561"/>
      <c r="K104" s="1561"/>
      <c r="L104" s="1650"/>
      <c r="M104" s="154"/>
      <c r="N104" s="154"/>
      <c r="O104" s="154"/>
      <c r="P104" s="154"/>
      <c r="Q104" s="154"/>
      <c r="R104" s="154"/>
      <c r="S104" s="154"/>
      <c r="T104" s="154"/>
      <c r="U104" s="154"/>
      <c r="V104" s="154"/>
      <c r="W104" s="154"/>
      <c r="X104" s="154"/>
      <c r="Y104" s="154"/>
      <c r="Z104" s="154"/>
      <c r="AA104" s="154"/>
      <c r="AB104" s="154"/>
      <c r="AC104" s="154"/>
      <c r="AD104" s="154"/>
      <c r="AE104" s="154"/>
      <c r="AF104" s="154"/>
      <c r="AG104" s="154"/>
      <c r="AH104" s="154"/>
      <c r="AI104" s="154"/>
      <c r="AJ104" s="154"/>
      <c r="AK104" s="154"/>
      <c r="AL104" s="154"/>
      <c r="AM104" s="154"/>
      <c r="AN104" s="154"/>
      <c r="AO104" s="154"/>
      <c r="AP104" s="154"/>
      <c r="AQ104" s="154"/>
      <c r="AR104" s="154"/>
      <c r="AS104" s="154"/>
      <c r="AT104" s="154"/>
      <c r="AU104" s="154"/>
      <c r="AV104" s="154"/>
      <c r="AW104" s="154"/>
      <c r="AX104" s="154"/>
      <c r="AY104" s="154"/>
      <c r="AZ104" s="154"/>
      <c r="BA104" s="154"/>
      <c r="BB104" s="154"/>
    </row>
    <row r="105" spans="1:54" s="527" customFormat="1" ht="15.75" customHeight="1" outlineLevel="1" x14ac:dyDescent="0.2">
      <c r="A105" s="1212"/>
      <c r="B105" s="1212" t="s">
        <v>5838</v>
      </c>
      <c r="C105" s="1219" t="s">
        <v>6467</v>
      </c>
      <c r="D105" s="1562" t="s">
        <v>2109</v>
      </c>
      <c r="E105" s="1559" t="str">
        <f>IF(NOT('05 Lan'!C4 = ""),'05 Lan'!C4,IF(COUNTIF('05 Lan'!C5:C16,"&gt;=0")=0,"", MIN(MAX(SUMPRODUCT('05 Lan'!C5:C16,'05 Lan'!$G5:$G16)*4/(SUM('05 Lan'!$G5:$G16) - SUMIF('05 Lan'!C5:C16,"X",'05 Lan'!$G5:$G16)),MAX('05 Lan'!AA5:AA16)),MIN('05 Lan'!AE5:AE16))))</f>
        <v/>
      </c>
      <c r="F105" s="1559" t="str">
        <f>IF(NOT('05 Lan'!D4 = ""),'05 Lan'!D4,IF(COUNTIF('05 Lan'!D5:D16,"&gt;=0")=0,"", MIN(MAX(SUMPRODUCT('05 Lan'!D5:D16,'05 Lan'!$G5:$G16)*4/(SUM('05 Lan'!$G5:$G16) - SUMIF('05 Lan'!D5:D16,"X",'05 Lan'!$G5:$G16)),MAX('05 Lan'!AB5:AB16)),MIN('05 Lan'!AF5:AF16))))</f>
        <v/>
      </c>
      <c r="G105" s="1559" t="str">
        <f>IF(NOT('05 Lan'!E4 = ""),'05 Lan'!E4,IF(COUNTIF('05 Lan'!E5:E16,"&gt;=0")=0,"", MIN(MAX(SUMPRODUCT('05 Lan'!E5:E16,'05 Lan'!$G5:$G16)*4/(SUM('05 Lan'!$G5:$G16) - SUMIF('05 Lan'!E5:E16,"X",'05 Lan'!$G5:$G16)),MAX('05 Lan'!AC5:AC16)),MIN('05 Lan'!AG5:AG16))))</f>
        <v/>
      </c>
      <c r="H105" s="1559" t="str">
        <f>IF(NOT('05 Lan'!F4 = ""),'05 Lan'!F4,IF(COUNTIF('05 Lan'!F5:F16,"&gt;=0")=0,"", MIN(MAX(SUMPRODUCT('05 Lan'!F5:F16,'05 Lan'!$G5:$G16)*4/(SUM('05 Lan'!$G5:$G16) - SUMIF('05 Lan'!F5:F16,"X",'05 Lan'!$G5:$G16)),MAX('05 Lan'!AD5:AD16)),MIN('05 Lan'!AH5:AH16))))</f>
        <v/>
      </c>
      <c r="I105" s="1557">
        <f t="shared" ref="I105:I111" si="18">IF(AND(OR(E105="X",E105=""),OR(F105="X",F105=""),OR(G105="X",G105=""),OR(H105="X",H105="")),1,ROUND(MIN(IF(OR(E105="",E105="X"),4,E105),IF(OR(F105="",F105="X"),4,F105),IF(OR(G105="",G105="X"),4,G105),IF(OR(H105="",H105="X"),4,H105)),0))</f>
        <v>1</v>
      </c>
      <c r="J105" s="1557">
        <f>IF(I105="","",IF(IndG=3,MAX(I105,Obj_Projets!J105),MAX(I105,Obj_PA!D105)))</f>
        <v>1</v>
      </c>
      <c r="K105" s="1560">
        <f t="shared" ref="K105:K111" si="19">IF(IF(OR(IndG=3,IndG=4),MAX(I105,J105),I105)&lt;1,1,IF(OR(IndG=3,IndG=4),MAX(I105,J105),I105))</f>
        <v>1</v>
      </c>
      <c r="L105" s="1650" t="str">
        <f t="shared" ref="L105:L111" si="20">IF(E105=""," n'a pas démarré","")</f>
        <v xml:space="preserve"> n'a pas démarré</v>
      </c>
      <c r="M105" s="154"/>
      <c r="N105" s="154"/>
      <c r="O105" s="154"/>
      <c r="P105" s="154"/>
      <c r="Q105" s="154"/>
      <c r="R105" s="154"/>
      <c r="S105" s="154"/>
      <c r="T105" s="154"/>
      <c r="U105" s="154"/>
      <c r="V105" s="154"/>
      <c r="W105" s="154"/>
      <c r="X105" s="154"/>
      <c r="Y105" s="154"/>
      <c r="Z105" s="154"/>
      <c r="AA105" s="154"/>
      <c r="AB105" s="154"/>
      <c r="AC105" s="154"/>
      <c r="AD105" s="154"/>
      <c r="AE105" s="154"/>
      <c r="AF105" s="154"/>
      <c r="AG105" s="154"/>
      <c r="AH105" s="154"/>
      <c r="AI105" s="154"/>
      <c r="AJ105" s="154"/>
      <c r="AK105" s="154"/>
      <c r="AL105" s="154"/>
      <c r="AM105" s="154"/>
      <c r="AN105" s="154"/>
      <c r="AO105" s="154"/>
      <c r="AP105" s="154"/>
      <c r="AQ105" s="154"/>
      <c r="AR105" s="154"/>
      <c r="AS105" s="154"/>
      <c r="AT105" s="154"/>
      <c r="AU105" s="154"/>
      <c r="AV105" s="154"/>
      <c r="AW105" s="154"/>
      <c r="AX105" s="154"/>
      <c r="AY105" s="154"/>
      <c r="AZ105" s="154"/>
      <c r="BA105" s="154"/>
      <c r="BB105" s="154"/>
    </row>
    <row r="106" spans="1:54" s="527" customFormat="1" ht="15.75" customHeight="1" outlineLevel="1" x14ac:dyDescent="0.2">
      <c r="A106" s="1212"/>
      <c r="B106" s="1212" t="s">
        <v>6468</v>
      </c>
      <c r="C106" s="1219" t="s">
        <v>6469</v>
      </c>
      <c r="D106" s="1562" t="s">
        <v>2109</v>
      </c>
      <c r="E106" s="1559" t="str">
        <f>IF(NOT('05 Lan'!C17 = ""),'05 Lan'!C17,IF(COUNTIF('05 Lan'!C18:C29,"&gt;=0")=0,"", MIN(MAX(SUMPRODUCT('05 Lan'!C18:C29,'05 Lan'!$G18:$G29)*4/(SUM('05 Lan'!$G18:$G29) - SUMIF('05 Lan'!C18:C29,"X",'05 Lan'!$G18:$G29)),MAX('05 Lan'!AA18:AA29)),MIN('05 Lan'!AE18:AE29))))</f>
        <v/>
      </c>
      <c r="F106" s="1559" t="str">
        <f>IF(NOT('05 Lan'!D17 = ""),'05 Lan'!D17,IF(COUNTIF('05 Lan'!D18:D29,"&gt;=0")=0,"", MIN(MAX(SUMPRODUCT('05 Lan'!D18:D29,'05 Lan'!$G18:$G29)*4/(SUM('05 Lan'!$G18:$G29) - SUMIF('05 Lan'!D18:D29,"X",'05 Lan'!$G18:$G29)),MAX('05 Lan'!AB18:AB29)),MIN('05 Lan'!AF18:AF29))))</f>
        <v/>
      </c>
      <c r="G106" s="1559" t="str">
        <f>IF(NOT('05 Lan'!E17 = ""),'05 Lan'!E17,IF(COUNTIF('05 Lan'!E18:E29,"&gt;=0")=0,"", MIN(MAX(SUMPRODUCT('05 Lan'!E18:E29,'05 Lan'!$G18:$G29)*4/(SUM('05 Lan'!$G18:$G29) - SUMIF('05 Lan'!E18:E29,"X",'05 Lan'!$G18:$G29)),MAX('05 Lan'!AC18:AC29)),MIN('05 Lan'!AG18:AG29))))</f>
        <v/>
      </c>
      <c r="H106" s="1559" t="str">
        <f>IF(NOT('05 Lan'!F17 = ""),'05 Lan'!F17,IF(COUNTIF('05 Lan'!F18:F29,"&gt;=0")=0,"", MIN(MAX(SUMPRODUCT('05 Lan'!F18:F29,'05 Lan'!$G18:$G29)*4/(SUM('05 Lan'!$G18:$G29) - SUMIF('05 Lan'!F18:F29,"X",'05 Lan'!$G18:$G29)),MAX('05 Lan'!AD18:AD29)),MIN('05 Lan'!AH18:AH29))))</f>
        <v/>
      </c>
      <c r="I106" s="1557">
        <f t="shared" si="18"/>
        <v>1</v>
      </c>
      <c r="J106" s="1557">
        <f>IF(I106="","",IF(IndG=3,MAX(I106,Obj_Projets!J106),MAX(I106,Obj_PA!D106)))</f>
        <v>1</v>
      </c>
      <c r="K106" s="1560">
        <f t="shared" si="19"/>
        <v>1</v>
      </c>
      <c r="L106" s="1650" t="str">
        <f t="shared" si="20"/>
        <v xml:space="preserve"> n'a pas démarré</v>
      </c>
      <c r="M106" s="154"/>
      <c r="N106" s="154"/>
      <c r="O106" s="154"/>
      <c r="P106" s="154"/>
      <c r="Q106" s="154"/>
      <c r="R106" s="154"/>
      <c r="S106" s="154"/>
      <c r="T106" s="154"/>
      <c r="U106" s="154"/>
      <c r="V106" s="154"/>
      <c r="W106" s="154"/>
      <c r="X106" s="154"/>
      <c r="Y106" s="154"/>
      <c r="Z106" s="154"/>
      <c r="AA106" s="154"/>
      <c r="AB106" s="154"/>
      <c r="AC106" s="154"/>
      <c r="AD106" s="154"/>
      <c r="AE106" s="154"/>
      <c r="AF106" s="154"/>
      <c r="AG106" s="154"/>
      <c r="AH106" s="154"/>
      <c r="AI106" s="154"/>
      <c r="AJ106" s="154"/>
      <c r="AK106" s="154"/>
      <c r="AL106" s="154"/>
      <c r="AM106" s="154"/>
      <c r="AN106" s="154"/>
      <c r="AO106" s="154"/>
      <c r="AP106" s="154"/>
      <c r="AQ106" s="154"/>
      <c r="AR106" s="154"/>
      <c r="AS106" s="154"/>
      <c r="AT106" s="154"/>
      <c r="AU106" s="154"/>
      <c r="AV106" s="154"/>
      <c r="AW106" s="154"/>
      <c r="AX106" s="154"/>
      <c r="AY106" s="154"/>
      <c r="AZ106" s="154"/>
      <c r="BA106" s="154"/>
      <c r="BB106" s="154"/>
    </row>
    <row r="107" spans="1:54" s="527" customFormat="1" ht="15.75" customHeight="1" outlineLevel="1" x14ac:dyDescent="0.2">
      <c r="A107" s="1212"/>
      <c r="B107" s="1212" t="s">
        <v>6470</v>
      </c>
      <c r="C107" s="1219" t="s">
        <v>6471</v>
      </c>
      <c r="D107" s="1562" t="s">
        <v>2771</v>
      </c>
      <c r="E107" s="1559" t="str">
        <f>IF(NOT('05 Lan'!C30 = ""),'05 Lan'!C30,IF(COUNTIF('05 Lan'!C31:C38,"&gt;=0")=0,"", MIN(MAX(SUMPRODUCT('05 Lan'!C31:C38,'05 Lan'!$G31:$G38)*4/(SUM('05 Lan'!$G31:$G38) - SUMIF('05 Lan'!C31:C38,"X",'05 Lan'!$G31:$G38)),MAX('05 Lan'!AA31:AA38)),MIN('05 Lan'!AE31:AE38))))</f>
        <v/>
      </c>
      <c r="F107" s="1559" t="str">
        <f>IF(NOT('05 Lan'!D30 = ""),'05 Lan'!D30,IF(COUNTIF('05 Lan'!D31:D38,"&gt;=0")=0,"", MIN(MAX(SUMPRODUCT('05 Lan'!D31:D38,'05 Lan'!$G31:$G38)*4/(SUM('05 Lan'!$G31:$G38) - SUMIF('05 Lan'!D31:D38,"X",'05 Lan'!$G31:$G38)),MAX('05 Lan'!AB31:AB38)),MIN('05 Lan'!AF31:AF38))))</f>
        <v/>
      </c>
      <c r="G107" s="1559" t="str">
        <f>IF(NOT('05 Lan'!E30 = ""),'05 Lan'!E30,IF(COUNTIF('05 Lan'!E31:E38,"&gt;=0")=0,"", MIN(MAX(SUMPRODUCT('05 Lan'!E31:E38,'05 Lan'!$G31:$G38)*4/(SUM('05 Lan'!$G31:$G38) - SUMIF('05 Lan'!E31:E38,"X",'05 Lan'!$G31:$G38)),MAX('05 Lan'!AC31:AC38)),MIN('05 Lan'!AG31:AG38))))</f>
        <v/>
      </c>
      <c r="H107" s="1559" t="str">
        <f>IF(NOT('05 Lan'!F30 = ""),'05 Lan'!F30,IF(COUNTIF('05 Lan'!F31:F38,"&gt;=0")=0,"", MIN(MAX(SUMPRODUCT('05 Lan'!F31:F38,'05 Lan'!$G31:$G38)*4/(SUM('05 Lan'!$G31:$G38) - SUMIF('05 Lan'!F31:F38,"X",'05 Lan'!$G31:$G38)),MAX('05 Lan'!AD31:AD38)),MIN('05 Lan'!AH31:AH38))))</f>
        <v/>
      </c>
      <c r="I107" s="1557">
        <f t="shared" si="18"/>
        <v>1</v>
      </c>
      <c r="J107" s="1557">
        <f>IF(I107="","",IF(IndG=3,MAX(I107,Obj_Projets!J107),MAX(I107,Obj_PA!D107)))</f>
        <v>1</v>
      </c>
      <c r="K107" s="1560">
        <f t="shared" si="19"/>
        <v>1</v>
      </c>
      <c r="L107" s="1650" t="str">
        <f t="shared" si="20"/>
        <v xml:space="preserve"> n'a pas démarré</v>
      </c>
      <c r="M107" s="154"/>
      <c r="N107" s="154"/>
      <c r="O107" s="154"/>
      <c r="P107" s="154"/>
      <c r="Q107" s="154"/>
      <c r="R107" s="154"/>
      <c r="S107" s="154"/>
      <c r="T107" s="154"/>
      <c r="U107" s="154"/>
      <c r="V107" s="154"/>
      <c r="W107" s="154"/>
      <c r="X107" s="154"/>
      <c r="Y107" s="154"/>
      <c r="Z107" s="154"/>
      <c r="AA107" s="154"/>
      <c r="AB107" s="154"/>
      <c r="AC107" s="154"/>
      <c r="AD107" s="154"/>
      <c r="AE107" s="154"/>
      <c r="AF107" s="154"/>
      <c r="AG107" s="154"/>
      <c r="AH107" s="154"/>
      <c r="AI107" s="154"/>
      <c r="AJ107" s="154"/>
      <c r="AK107" s="154"/>
      <c r="AL107" s="154"/>
      <c r="AM107" s="154"/>
      <c r="AN107" s="154"/>
      <c r="AO107" s="154"/>
      <c r="AP107" s="154"/>
      <c r="AQ107" s="154"/>
      <c r="AR107" s="154"/>
      <c r="AS107" s="154"/>
      <c r="AT107" s="154"/>
      <c r="AU107" s="154"/>
      <c r="AV107" s="154"/>
      <c r="AW107" s="154"/>
      <c r="AX107" s="154"/>
      <c r="AY107" s="154"/>
      <c r="AZ107" s="154"/>
      <c r="BA107" s="154"/>
      <c r="BB107" s="154"/>
    </row>
    <row r="108" spans="1:54" s="527" customFormat="1" ht="15.75" customHeight="1" outlineLevel="1" x14ac:dyDescent="0.2">
      <c r="A108" s="1212"/>
      <c r="B108" s="1212" t="s">
        <v>2962</v>
      </c>
      <c r="C108" s="1219" t="s">
        <v>6480</v>
      </c>
      <c r="D108" s="1562" t="s">
        <v>4246</v>
      </c>
      <c r="E108" s="1559" t="str">
        <f>IF(NOT('05 Lan'!C39 = ""),'05 Lan'!C39,IF(COUNTIF('05 Lan'!C40:C46,"&gt;=0")=0,"", MIN(MAX(SUMPRODUCT('05 Lan'!C40:C46,'05 Lan'!$G40:$G46)*4/(SUM('05 Lan'!$G40:$G46) - SUMIF('05 Lan'!C40:C46,"X",'05 Lan'!$G40:$G46)),MAX('05 Lan'!AA40:AA46)),MIN('05 Lan'!AE40:AE46))))</f>
        <v/>
      </c>
      <c r="F108" s="1559" t="str">
        <f>IF(NOT('05 Lan'!D39 = ""),'05 Lan'!D39,IF(COUNTIF('05 Lan'!D40:D46,"&gt;=0")=0,"", MIN(MAX(SUMPRODUCT('05 Lan'!D40:D46,'05 Lan'!$G40:$G46)*4/(SUM('05 Lan'!$G40:$G46) - SUMIF('05 Lan'!D40:D46,"X",'05 Lan'!$G40:$G46)),MAX('05 Lan'!AB40:AB46)),MIN('05 Lan'!AF40:AF46))))</f>
        <v/>
      </c>
      <c r="G108" s="1559" t="str">
        <f>IF(NOT('05 Lan'!E39 = ""),'05 Lan'!E39,IF(COUNTIF('05 Lan'!E40:E46,"&gt;=0")=0,"", MIN(MAX(SUMPRODUCT('05 Lan'!E40:E46,'05 Lan'!$G40:$G46)*4/(SUM('05 Lan'!$G40:$G46) - SUMIF('05 Lan'!E40:E46,"X",'05 Lan'!$G40:$G46)),MAX('05 Lan'!AC40:AC46)),MIN('05 Lan'!AG40:AG46))))</f>
        <v/>
      </c>
      <c r="H108" s="1559" t="str">
        <f>IF(NOT('05 Lan'!F39 = ""),'05 Lan'!F39,IF(COUNTIF('05 Lan'!F40:F46,"&gt;=0")=0,"", MIN(MAX(SUMPRODUCT('05 Lan'!F40:F46,'05 Lan'!$G40:$G46)*4/(SUM('05 Lan'!$G40:$G46) - SUMIF('05 Lan'!F40:F46,"X",'05 Lan'!$G40:$G46)),MAX('05 Lan'!AD40:AD46)),MIN('05 Lan'!AH40:AH46))))</f>
        <v/>
      </c>
      <c r="I108" s="1557">
        <f t="shared" si="18"/>
        <v>1</v>
      </c>
      <c r="J108" s="1557">
        <f>IF(I108="","",IF(IndG=3,MAX(I108,Obj_Projets!J108),MAX(I108,Obj_PA!D108)))</f>
        <v>1</v>
      </c>
      <c r="K108" s="1560">
        <f t="shared" si="19"/>
        <v>1</v>
      </c>
      <c r="L108" s="1650" t="str">
        <f t="shared" si="20"/>
        <v xml:space="preserve"> n'a pas démarré</v>
      </c>
      <c r="M108" s="154"/>
      <c r="N108" s="154"/>
      <c r="O108" s="154"/>
      <c r="P108" s="154"/>
      <c r="Q108" s="154"/>
      <c r="R108" s="154"/>
      <c r="S108" s="154"/>
      <c r="T108" s="154"/>
      <c r="U108" s="154"/>
      <c r="V108" s="154"/>
      <c r="W108" s="154"/>
      <c r="X108" s="154"/>
      <c r="Y108" s="154"/>
      <c r="Z108" s="154"/>
      <c r="AA108" s="154"/>
      <c r="AB108" s="154"/>
      <c r="AC108" s="154"/>
      <c r="AD108" s="154"/>
      <c r="AE108" s="154"/>
      <c r="AF108" s="154"/>
      <c r="AG108" s="154"/>
      <c r="AH108" s="154"/>
      <c r="AI108" s="154"/>
      <c r="AJ108" s="154"/>
      <c r="AK108" s="154"/>
      <c r="AL108" s="154"/>
      <c r="AM108" s="154"/>
      <c r="AN108" s="154"/>
      <c r="AO108" s="154"/>
      <c r="AP108" s="154"/>
      <c r="AQ108" s="154"/>
      <c r="AR108" s="154"/>
      <c r="AS108" s="154"/>
      <c r="AT108" s="154"/>
      <c r="AU108" s="154"/>
      <c r="AV108" s="154"/>
      <c r="AW108" s="154"/>
      <c r="AX108" s="154"/>
      <c r="AY108" s="154"/>
      <c r="AZ108" s="154"/>
      <c r="BA108" s="154"/>
      <c r="BB108" s="154"/>
    </row>
    <row r="109" spans="1:54" s="527" customFormat="1" ht="15.75" customHeight="1" outlineLevel="1" x14ac:dyDescent="0.2">
      <c r="A109" s="1212"/>
      <c r="B109" s="1212" t="s">
        <v>6472</v>
      </c>
      <c r="C109" s="1219" t="s">
        <v>6482</v>
      </c>
      <c r="D109" s="1562" t="s">
        <v>2769</v>
      </c>
      <c r="E109" s="1559" t="str">
        <f>IF(NOT('05 Lan'!C47 = ""),'05 Lan'!C47,IF(COUNTIF('05 Lan'!C48:C55,"&gt;=0")=0,"", MIN(MAX(SUMPRODUCT('05 Lan'!C48:C55,'05 Lan'!$G48:$G55)*4/(SUM('05 Lan'!$G48:$G55) - SUMIF('05 Lan'!C48:C55,"X",'05 Lan'!$G48:$G55)),MAX('05 Lan'!AA48:AA55)),MIN('05 Lan'!AE48:AE55))))</f>
        <v/>
      </c>
      <c r="F109" s="1559" t="str">
        <f>IF(NOT('05 Lan'!D47 = ""),'05 Lan'!D47,IF(COUNTIF('05 Lan'!D48:D55,"&gt;=0")=0,"", MIN(MAX(SUMPRODUCT('05 Lan'!D48:D55,'05 Lan'!$G48:$G55)*4/(SUM('05 Lan'!$G48:$G55) - SUMIF('05 Lan'!D48:D55,"X",'05 Lan'!$G48:$G55)),MAX('05 Lan'!AB48:AB55)),MIN('05 Lan'!AF48:AF55))))</f>
        <v/>
      </c>
      <c r="G109" s="1559" t="str">
        <f>IF(NOT('05 Lan'!E47 = ""),'05 Lan'!E47,IF(COUNTIF('05 Lan'!E48:E55,"&gt;=0")=0,"", MIN(MAX(SUMPRODUCT('05 Lan'!E48:E55,'05 Lan'!$G48:$G55)*4/(SUM('05 Lan'!$G48:$G55) - SUMIF('05 Lan'!E48:E55,"X",'05 Lan'!$G48:$G55)),MAX('05 Lan'!AC48:AC55)),MIN('05 Lan'!AG48:AG55))))</f>
        <v/>
      </c>
      <c r="H109" s="1559" t="str">
        <f>IF(NOT('05 Lan'!F47 = ""),'05 Lan'!F47,IF(COUNTIF('05 Lan'!F48:F55,"&gt;=0")=0,"", MIN(MAX(SUMPRODUCT('05 Lan'!F48:F55,'05 Lan'!$G48:$G55)*4/(SUM('05 Lan'!$G48:$G55) - SUMIF('05 Lan'!F48:F55,"X",'05 Lan'!$G48:$G55)),MAX('05 Lan'!AD48:AD55)),MIN('05 Lan'!AH48:AH55))))</f>
        <v/>
      </c>
      <c r="I109" s="1557">
        <f t="shared" si="18"/>
        <v>1</v>
      </c>
      <c r="J109" s="1557">
        <f>IF(I109="","",IF(IndG=3,MAX(I109,Obj_Projets!J109),MAX(I109,Obj_PA!D109)))</f>
        <v>1</v>
      </c>
      <c r="K109" s="1560">
        <f t="shared" si="19"/>
        <v>1</v>
      </c>
      <c r="L109" s="1650" t="str">
        <f t="shared" si="20"/>
        <v xml:space="preserve"> n'a pas démarré</v>
      </c>
      <c r="M109" s="154"/>
      <c r="N109" s="154"/>
      <c r="O109" s="154"/>
      <c r="P109" s="154"/>
      <c r="Q109" s="154"/>
      <c r="R109" s="154"/>
      <c r="S109" s="154"/>
      <c r="T109" s="154"/>
      <c r="U109" s="154"/>
      <c r="V109" s="154"/>
      <c r="W109" s="154"/>
      <c r="X109" s="154"/>
      <c r="Y109" s="154"/>
      <c r="Z109" s="154"/>
      <c r="AA109" s="154"/>
      <c r="AB109" s="154"/>
      <c r="AC109" s="154"/>
      <c r="AD109" s="154"/>
      <c r="AE109" s="154"/>
      <c r="AF109" s="154"/>
      <c r="AG109" s="154"/>
      <c r="AH109" s="154"/>
      <c r="AI109" s="154"/>
      <c r="AJ109" s="154"/>
      <c r="AK109" s="154"/>
      <c r="AL109" s="154"/>
      <c r="AM109" s="154"/>
      <c r="AN109" s="154"/>
      <c r="AO109" s="154"/>
      <c r="AP109" s="154"/>
      <c r="AQ109" s="154"/>
      <c r="AR109" s="154"/>
      <c r="AS109" s="154"/>
      <c r="AT109" s="154"/>
      <c r="AU109" s="154"/>
      <c r="AV109" s="154"/>
      <c r="AW109" s="154"/>
      <c r="AX109" s="154"/>
      <c r="AY109" s="154"/>
      <c r="AZ109" s="154"/>
      <c r="BA109" s="154"/>
      <c r="BB109" s="154"/>
    </row>
    <row r="110" spans="1:54" s="527" customFormat="1" ht="15.75" customHeight="1" outlineLevel="1" x14ac:dyDescent="0.2">
      <c r="A110" s="1212"/>
      <c r="B110" s="1212" t="s">
        <v>6481</v>
      </c>
      <c r="C110" s="1219" t="s">
        <v>6484</v>
      </c>
      <c r="D110" s="1562" t="s">
        <v>2767</v>
      </c>
      <c r="E110" s="1559" t="str">
        <f>IF(NOT('05 Lan'!C56 = ""),'05 Lan'!C56,IF(COUNTIF('05 Lan'!C57:C66,"&gt;=0")=0,"", MIN(MAX(SUMPRODUCT('05 Lan'!C57:C66,'05 Lan'!$G57:$G66)*4/(SUM('05 Lan'!$G57:$G66) - SUMIF('05 Lan'!C57:C66,"X",'05 Lan'!$G57:$G66)),MAX('05 Lan'!AA57:AA66)),MIN('05 Lan'!AE57:AE66))))</f>
        <v/>
      </c>
      <c r="F110" s="1559" t="str">
        <f>IF(NOT('05 Lan'!D56 = ""),'05 Lan'!D56,IF(COUNTIF('05 Lan'!D57:D66,"&gt;=0")=0,"", MIN(MAX(SUMPRODUCT('05 Lan'!D57:D66,'05 Lan'!$G57:$G66)*4/(SUM('05 Lan'!$G57:$G66) - SUMIF('05 Lan'!D57:D66,"X",'05 Lan'!$G57:$G66)),MAX('05 Lan'!AB57:AB66)),MIN('05 Lan'!AF57:AF66))))</f>
        <v/>
      </c>
      <c r="G110" s="1559" t="str">
        <f>IF(NOT('05 Lan'!E56 = ""),'05 Lan'!E56,IF(COUNTIF('05 Lan'!E57:E66,"&gt;=0")=0,"", MIN(MAX(SUMPRODUCT('05 Lan'!E57:E66,'05 Lan'!$G57:$G66)*4/(SUM('05 Lan'!$G57:$G66) - SUMIF('05 Lan'!E57:E66,"X",'05 Lan'!$G57:$G66)),MAX('05 Lan'!AC57:AC66)),MIN('05 Lan'!AG57:AG66))))</f>
        <v/>
      </c>
      <c r="H110" s="1559" t="str">
        <f>IF(NOT('05 Lan'!F56 = ""),'05 Lan'!F56,IF(COUNTIF('05 Lan'!F57:F66,"&gt;=0")=0,"", MIN(MAX(SUMPRODUCT('05 Lan'!F57:F66,'05 Lan'!$G57:$G66)*4/(SUM('05 Lan'!$G57:$G66) - SUMIF('05 Lan'!F57:F66,"X",'05 Lan'!$G57:$G66)),MAX('05 Lan'!AD57:AD66)),MIN('05 Lan'!AH57:AH66))))</f>
        <v/>
      </c>
      <c r="I110" s="1557">
        <f t="shared" si="18"/>
        <v>1</v>
      </c>
      <c r="J110" s="1557">
        <f>IF(I110="","",IF(IndG=3,MAX(I110,Obj_Projets!J110),MAX(I110,Obj_PA!D110)))</f>
        <v>1</v>
      </c>
      <c r="K110" s="1560">
        <f t="shared" si="19"/>
        <v>1</v>
      </c>
      <c r="L110" s="1650" t="str">
        <f t="shared" si="20"/>
        <v xml:space="preserve"> n'a pas démarré</v>
      </c>
      <c r="M110" s="154"/>
      <c r="N110" s="154"/>
      <c r="O110" s="154"/>
      <c r="P110" s="154"/>
      <c r="Q110" s="154"/>
      <c r="R110" s="154"/>
      <c r="S110" s="154"/>
      <c r="T110" s="154"/>
      <c r="U110" s="154"/>
      <c r="V110" s="154"/>
      <c r="W110" s="154"/>
      <c r="X110" s="154"/>
      <c r="Y110" s="154"/>
      <c r="Z110" s="154"/>
      <c r="AA110" s="154"/>
      <c r="AB110" s="154"/>
      <c r="AC110" s="154"/>
      <c r="AD110" s="154"/>
      <c r="AE110" s="154"/>
      <c r="AF110" s="154"/>
      <c r="AG110" s="154"/>
      <c r="AH110" s="154"/>
      <c r="AI110" s="154"/>
      <c r="AJ110" s="154"/>
      <c r="AK110" s="154"/>
      <c r="AL110" s="154"/>
      <c r="AM110" s="154"/>
      <c r="AN110" s="154"/>
      <c r="AO110" s="154"/>
      <c r="AP110" s="154"/>
      <c r="AQ110" s="154"/>
      <c r="AR110" s="154"/>
      <c r="AS110" s="154"/>
      <c r="AT110" s="154"/>
      <c r="AU110" s="154"/>
      <c r="AV110" s="154"/>
      <c r="AW110" s="154"/>
      <c r="AX110" s="154"/>
      <c r="AY110" s="154"/>
      <c r="AZ110" s="154"/>
      <c r="BA110" s="154"/>
      <c r="BB110" s="154"/>
    </row>
    <row r="111" spans="1:54" s="527" customFormat="1" ht="15.75" customHeight="1" outlineLevel="1" x14ac:dyDescent="0.2">
      <c r="A111" s="1212"/>
      <c r="B111" s="1212" t="s">
        <v>6483</v>
      </c>
      <c r="C111" s="1219" t="s">
        <v>5028</v>
      </c>
      <c r="D111" s="1562" t="s">
        <v>2771</v>
      </c>
      <c r="E111" s="1559" t="str">
        <f>IF(NOT('05 Lan'!C67 = ""),'05 Lan'!C67,IF(COUNTIF('05 Lan'!C68:C72,"&gt;=0")=0,"", MIN(MAX(SUMPRODUCT('05 Lan'!C68:C72,'05 Lan'!$G68:$G72)*4/(SUM('05 Lan'!$G68:$G72) - SUMIF('05 Lan'!C68:C72,"X",'05 Lan'!$G68:$G72)),MAX('05 Lan'!AA68:AA72)),MIN('05 Lan'!AE68:AE72))))</f>
        <v/>
      </c>
      <c r="F111" s="1559" t="str">
        <f>IF(NOT('05 Lan'!D67 = ""),'05 Lan'!D67,IF(COUNTIF('05 Lan'!D68:D72,"&gt;=0")=0,"", MIN(MAX(SUMPRODUCT('05 Lan'!D68:D72,'05 Lan'!$G68:$G72)*4/(SUM('05 Lan'!$G68:$G72) - SUMIF('05 Lan'!D68:D72,"X",'05 Lan'!$G68:$G72)),MAX('05 Lan'!AB68:AB72)),MIN('05 Lan'!AF68:AF72))))</f>
        <v/>
      </c>
      <c r="G111" s="1559" t="str">
        <f>IF(NOT('05 Lan'!E67 = ""),'05 Lan'!E67,IF(COUNTIF('05 Lan'!E68:E72,"&gt;=0")=0,"", MIN(MAX(SUMPRODUCT('05 Lan'!E68:E72,'05 Lan'!$G68:$G72)*4/(SUM('05 Lan'!$G68:$G72) - SUMIF('05 Lan'!E68:E72,"X",'05 Lan'!$G68:$G72)),MAX('05 Lan'!AC68:AC72)),MIN('05 Lan'!AG68:AG72))))</f>
        <v/>
      </c>
      <c r="H111" s="1559" t="str">
        <f>IF(NOT('05 Lan'!F67 = ""),'05 Lan'!F67,IF(COUNTIF('05 Lan'!F68:F72,"&gt;=0")=0,"", MIN(MAX(SUMPRODUCT('05 Lan'!F68:F72,'05 Lan'!$G68:$G72)*4/(SUM('05 Lan'!$G68:$G72) - SUMIF('05 Lan'!F68:F72,"X",'05 Lan'!$G68:$G72)),MAX('05 Lan'!AD68:AD72)),MIN('05 Lan'!AH68:AH72))))</f>
        <v/>
      </c>
      <c r="I111" s="1557">
        <f t="shared" si="18"/>
        <v>1</v>
      </c>
      <c r="J111" s="1557">
        <f>IF(I111="","",IF(IndG=3,MAX(I111,Obj_Projets!J111),MAX(I111,Obj_PA!D111)))</f>
        <v>1</v>
      </c>
      <c r="K111" s="1560">
        <f t="shared" si="19"/>
        <v>1</v>
      </c>
      <c r="L111" s="1650" t="str">
        <f t="shared" si="20"/>
        <v xml:space="preserve"> n'a pas démarré</v>
      </c>
      <c r="M111" s="154"/>
      <c r="N111" s="154"/>
      <c r="O111" s="154"/>
      <c r="P111" s="154"/>
      <c r="Q111" s="154"/>
      <c r="R111" s="154"/>
      <c r="S111" s="154"/>
      <c r="T111" s="154"/>
      <c r="U111" s="154"/>
      <c r="V111" s="154"/>
      <c r="W111" s="154"/>
      <c r="X111" s="154"/>
      <c r="Y111" s="154"/>
      <c r="Z111" s="154"/>
      <c r="AA111" s="154"/>
      <c r="AB111" s="154"/>
      <c r="AC111" s="154"/>
      <c r="AD111" s="154"/>
      <c r="AE111" s="154"/>
      <c r="AF111" s="154"/>
      <c r="AG111" s="154"/>
      <c r="AH111" s="154"/>
      <c r="AI111" s="154"/>
      <c r="AJ111" s="154"/>
      <c r="AK111" s="154"/>
      <c r="AL111" s="154"/>
      <c r="AM111" s="154"/>
      <c r="AN111" s="154"/>
      <c r="AO111" s="154"/>
      <c r="AP111" s="154"/>
      <c r="AQ111" s="154"/>
      <c r="AR111" s="154"/>
      <c r="AS111" s="154"/>
      <c r="AT111" s="154"/>
      <c r="AU111" s="154"/>
      <c r="AV111" s="154"/>
      <c r="AW111" s="154"/>
      <c r="AX111" s="154"/>
      <c r="AY111" s="154"/>
      <c r="AZ111" s="154"/>
      <c r="BA111" s="154"/>
      <c r="BB111" s="154"/>
    </row>
    <row r="112" spans="1:54" s="527" customFormat="1" ht="15.75" customHeight="1" outlineLevel="1" x14ac:dyDescent="0.2">
      <c r="A112" s="1212"/>
      <c r="B112" s="1213" t="s">
        <v>1751</v>
      </c>
      <c r="C112" s="1214" t="s">
        <v>7310</v>
      </c>
      <c r="D112" s="1554"/>
      <c r="E112" s="1559"/>
      <c r="F112" s="1559"/>
      <c r="G112" s="1559"/>
      <c r="H112" s="1559"/>
      <c r="I112" s="1561"/>
      <c r="J112" s="1561"/>
      <c r="K112" s="1561"/>
      <c r="L112" s="1650"/>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54"/>
      <c r="AY112" s="154"/>
      <c r="AZ112" s="154"/>
      <c r="BA112" s="154"/>
      <c r="BB112" s="154"/>
    </row>
    <row r="113" spans="1:54" s="527" customFormat="1" ht="15.75" customHeight="1" outlineLevel="1" x14ac:dyDescent="0.2">
      <c r="A113" s="1212"/>
      <c r="B113" s="1212" t="s">
        <v>1454</v>
      </c>
      <c r="C113" s="1219" t="s">
        <v>1455</v>
      </c>
      <c r="D113" s="1562" t="s">
        <v>2625</v>
      </c>
      <c r="E113" s="1559" t="str">
        <f>IF(NOT('05 Lan'!C74 = ""),'05 Lan'!C74,IF(COUNTIF('05 Lan'!C75:C82,"&gt;=0")=0,"", MIN(MAX(SUMPRODUCT('05 Lan'!C75:C82,'05 Lan'!$G75:$G82)*4/(SUM('05 Lan'!$G75:$G82) - SUMIF('05 Lan'!C75:C82,"X",'05 Lan'!$G75:$G82)),MAX('05 Lan'!AA75:AA82)),MIN('05 Lan'!AE75:AE82))))</f>
        <v/>
      </c>
      <c r="F113" s="1559" t="str">
        <f>IF(NOT('05 Lan'!D74 = ""),'05 Lan'!D74,IF(COUNTIF('05 Lan'!D75:D82,"&gt;=0")=0,"", MIN(MAX(SUMPRODUCT('05 Lan'!D75:D82,'05 Lan'!$G75:$G82)*4/(SUM('05 Lan'!$G75:$G82) - SUMIF('05 Lan'!D75:D82,"X",'05 Lan'!$G75:$G82)),MAX('05 Lan'!AB75:AB82)),MIN('05 Lan'!AF75:AF82))))</f>
        <v/>
      </c>
      <c r="G113" s="1559" t="str">
        <f>IF(NOT('05 Lan'!E74 = ""),'05 Lan'!E74,IF(COUNTIF('05 Lan'!E75:E82,"&gt;=0")=0,"", MIN(MAX(SUMPRODUCT('05 Lan'!E75:E82,'05 Lan'!$G75:$G82)*4/(SUM('05 Lan'!$G75:$G82) - SUMIF('05 Lan'!E75:E82,"X",'05 Lan'!$G75:$G82)),MAX('05 Lan'!AC75:AC82)),MIN('05 Lan'!AG75:AG82))))</f>
        <v/>
      </c>
      <c r="H113" s="1559" t="str">
        <f>IF(NOT('05 Lan'!F74 = ""),'05 Lan'!F74,IF(COUNTIF('05 Lan'!F75:F82,"&gt;=0")=0,"", MIN(MAX(SUMPRODUCT('05 Lan'!F75:F82,'05 Lan'!$G75:$G82)*4/(SUM('05 Lan'!$G75:$G82) - SUMIF('05 Lan'!F75:F82,"X",'05 Lan'!$G75:$G82)),MAX('05 Lan'!AD75:AD82)),MIN('05 Lan'!AH75:AH82))))</f>
        <v/>
      </c>
      <c r="I113" s="1557">
        <f t="shared" ref="I113:I121" si="21">IF(AND(OR(E113="X",E113=""),OR(F113="X",F113=""),OR(G113="X",G113=""),OR(H113="X",H113="")),1,ROUND(MIN(IF(OR(E113="",E113="X"),4,E113),IF(OR(F113="",F113="X"),4,F113),IF(OR(G113="",G113="X"),4,G113),IF(OR(H113="",H113="X"),4,H113)),0))</f>
        <v>1</v>
      </c>
      <c r="J113" s="1557">
        <f>IF(I113="","",IF(IndG=3,MAX(I113,Obj_Projets!J113),MAX(I113,Obj_PA!D113)))</f>
        <v>1</v>
      </c>
      <c r="K113" s="1560">
        <f t="shared" ref="K113:K121" si="22">IF(IF(OR(IndG=3,IndG=4),MAX(I113,J113),I113)&lt;1,1,IF(OR(IndG=3,IndG=4),MAX(I113,J113),I113))</f>
        <v>1</v>
      </c>
      <c r="L113" s="1650" t="str">
        <f t="shared" ref="L113:L121" si="23">IF(E113=""," n'a pas démarré","")</f>
        <v xml:space="preserve"> n'a pas démarré</v>
      </c>
      <c r="M113" s="154"/>
      <c r="N113" s="154"/>
      <c r="O113" s="154"/>
      <c r="P113" s="154"/>
      <c r="Q113" s="154"/>
      <c r="R113" s="154"/>
      <c r="S113" s="154"/>
      <c r="T113" s="154"/>
      <c r="U113" s="154"/>
      <c r="V113" s="154"/>
      <c r="W113" s="154"/>
      <c r="X113" s="154"/>
      <c r="Y113" s="154"/>
      <c r="Z113" s="154"/>
      <c r="AA113" s="154"/>
      <c r="AB113" s="154"/>
      <c r="AC113" s="154"/>
      <c r="AD113" s="154"/>
      <c r="AE113" s="154"/>
      <c r="AF113" s="154"/>
      <c r="AG113" s="154"/>
      <c r="AH113" s="154"/>
      <c r="AI113" s="154"/>
      <c r="AJ113" s="154"/>
      <c r="AK113" s="154"/>
      <c r="AL113" s="154"/>
      <c r="AM113" s="154"/>
      <c r="AN113" s="154"/>
      <c r="AO113" s="154"/>
      <c r="AP113" s="154"/>
      <c r="AQ113" s="154"/>
      <c r="AR113" s="154"/>
      <c r="AS113" s="154"/>
      <c r="AT113" s="154"/>
      <c r="AU113" s="154"/>
      <c r="AV113" s="154"/>
      <c r="AW113" s="154"/>
      <c r="AX113" s="154"/>
      <c r="AY113" s="154"/>
      <c r="AZ113" s="154"/>
      <c r="BA113" s="154"/>
      <c r="BB113" s="154"/>
    </row>
    <row r="114" spans="1:54" s="527" customFormat="1" ht="15.75" customHeight="1" outlineLevel="1" x14ac:dyDescent="0.2">
      <c r="A114" s="1212"/>
      <c r="B114" s="1212" t="s">
        <v>1456</v>
      </c>
      <c r="C114" s="1219" t="s">
        <v>1457</v>
      </c>
      <c r="D114" s="1562" t="s">
        <v>2625</v>
      </c>
      <c r="E114" s="1559" t="str">
        <f>IF(NOT('05 Lan'!C83 = ""),'05 Lan'!C83,IF(COUNTIF('05 Lan'!C84:C90,"&gt;=0")=0,"", MIN(MAX(SUMPRODUCT('05 Lan'!C84:C90,'05 Lan'!$G84:$G90)*4/(SUM('05 Lan'!$G84:$G90) - SUMIF('05 Lan'!C84:C90,"X",'05 Lan'!$G84:$G90)),MAX('05 Lan'!AA84:AA90)),MIN('05 Lan'!AE84:AE90))))</f>
        <v/>
      </c>
      <c r="F114" s="1559" t="str">
        <f>IF(NOT('05 Lan'!D83 = ""),'05 Lan'!D83,IF(COUNTIF('05 Lan'!D84:D90,"&gt;=0")=0,"", MIN(MAX(SUMPRODUCT('05 Lan'!D84:D90,'05 Lan'!$G84:$G90)*4/(SUM('05 Lan'!$G84:$G90) - SUMIF('05 Lan'!D84:D90,"X",'05 Lan'!$G84:$G90)),MAX('05 Lan'!AB84:AB90)),MIN('05 Lan'!AF84:AF90))))</f>
        <v/>
      </c>
      <c r="G114" s="1559" t="str">
        <f>IF(NOT('05 Lan'!E83 = ""),'05 Lan'!E83,IF(COUNTIF('05 Lan'!E84:E90,"&gt;=0")=0,"", MIN(MAX(SUMPRODUCT('05 Lan'!E84:E90,'05 Lan'!$G84:$G90)*4/(SUM('05 Lan'!$G84:$G90) - SUMIF('05 Lan'!E84:E90,"X",'05 Lan'!$G84:$G90)),MAX('05 Lan'!AC84:AC90)),MIN('05 Lan'!AG84:AG90))))</f>
        <v/>
      </c>
      <c r="H114" s="1559" t="str">
        <f>IF(NOT('05 Lan'!F83 = ""),'05 Lan'!F83,IF(COUNTIF('05 Lan'!F84:F90,"&gt;=0")=0,"", MIN(MAX(SUMPRODUCT('05 Lan'!F84:F90,'05 Lan'!$G84:$G90)*4/(SUM('05 Lan'!$G84:$G90) - SUMIF('05 Lan'!F84:F90,"X",'05 Lan'!$G84:$G90)),MAX('05 Lan'!AD84:AD90)),MIN('05 Lan'!AH84:AH90))))</f>
        <v/>
      </c>
      <c r="I114" s="1557">
        <f t="shared" si="21"/>
        <v>1</v>
      </c>
      <c r="J114" s="1557">
        <f>IF(I114="","",IF(IndG=3,MAX(I114,Obj_Projets!J114),MAX(I114,Obj_PA!D114)))</f>
        <v>1</v>
      </c>
      <c r="K114" s="1560">
        <f t="shared" si="22"/>
        <v>1</v>
      </c>
      <c r="L114" s="1650" t="str">
        <f t="shared" si="23"/>
        <v xml:space="preserve"> n'a pas démarré</v>
      </c>
      <c r="M114" s="154"/>
      <c r="N114" s="154"/>
      <c r="O114" s="154"/>
      <c r="P114" s="154"/>
      <c r="Q114" s="154"/>
      <c r="R114" s="154"/>
      <c r="S114" s="154"/>
      <c r="T114" s="154"/>
      <c r="U114" s="154"/>
      <c r="V114" s="154"/>
      <c r="W114" s="154"/>
      <c r="X114" s="154"/>
      <c r="Y114" s="154"/>
      <c r="Z114" s="154"/>
      <c r="AA114" s="154"/>
      <c r="AB114" s="154"/>
      <c r="AC114" s="154"/>
      <c r="AD114" s="154"/>
      <c r="AE114" s="154"/>
      <c r="AF114" s="154"/>
      <c r="AG114" s="154"/>
      <c r="AH114" s="154"/>
      <c r="AI114" s="154"/>
      <c r="AJ114" s="154"/>
      <c r="AK114" s="154"/>
      <c r="AL114" s="154"/>
      <c r="AM114" s="154"/>
      <c r="AN114" s="154"/>
      <c r="AO114" s="154"/>
      <c r="AP114" s="154"/>
      <c r="AQ114" s="154"/>
      <c r="AR114" s="154"/>
      <c r="AS114" s="154"/>
      <c r="AT114" s="154"/>
      <c r="AU114" s="154"/>
      <c r="AV114" s="154"/>
      <c r="AW114" s="154"/>
      <c r="AX114" s="154"/>
      <c r="AY114" s="154"/>
      <c r="AZ114" s="154"/>
      <c r="BA114" s="154"/>
      <c r="BB114" s="154"/>
    </row>
    <row r="115" spans="1:54" s="527" customFormat="1" ht="25.5" outlineLevel="1" x14ac:dyDescent="0.2">
      <c r="A115" s="1212"/>
      <c r="B115" s="1212" t="s">
        <v>1458</v>
      </c>
      <c r="C115" s="1219" t="s">
        <v>4994</v>
      </c>
      <c r="D115" s="1562" t="s">
        <v>2625</v>
      </c>
      <c r="E115" s="1559" t="str">
        <f>IF(NOT('05 Lan'!C91 = ""),'05 Lan'!C91,IF(COUNTIF('05 Lan'!C92:C101,"&gt;=0")=0,"", MIN(MAX(SUMPRODUCT('05 Lan'!C92:C101,'05 Lan'!$G92:$G101)*4/(SUM('05 Lan'!$G92:$G101) - SUMIF('05 Lan'!C92:C101,"X",'05 Lan'!$G92:$G101)),MAX('05 Lan'!AA92:AA101)),MIN('05 Lan'!AE92:AE101))))</f>
        <v/>
      </c>
      <c r="F115" s="1559" t="str">
        <f>IF(NOT('05 Lan'!D91 = ""),'05 Lan'!D91,IF(COUNTIF('05 Lan'!D92:D101,"&gt;=0")=0,"", MIN(MAX(SUMPRODUCT('05 Lan'!D92:D101,'05 Lan'!$G92:$G101)*4/(SUM('05 Lan'!$G92:$G101) - SUMIF('05 Lan'!D92:D101,"X",'05 Lan'!$G92:$G101)),MAX('05 Lan'!AB92:AB101)),MIN('05 Lan'!AF92:AF101))))</f>
        <v/>
      </c>
      <c r="G115" s="1559" t="str">
        <f>IF(NOT('05 Lan'!E91 = ""),'05 Lan'!E91,IF(COUNTIF('05 Lan'!E92:E101,"&gt;=0")=0,"", MIN(MAX(SUMPRODUCT('05 Lan'!E92:E101,'05 Lan'!$G92:$G101)*4/(SUM('05 Lan'!$G92:$G101) - SUMIF('05 Lan'!E92:E101,"X",'05 Lan'!$G92:$G101)),MAX('05 Lan'!AC92:AC101)),MIN('05 Lan'!AG92:AG101))))</f>
        <v/>
      </c>
      <c r="H115" s="1559" t="str">
        <f>IF(NOT('05 Lan'!F91 = ""),'05 Lan'!F91,IF(COUNTIF('05 Lan'!F92:F101,"&gt;=0")=0,"", MIN(MAX(SUMPRODUCT('05 Lan'!F92:F101,'05 Lan'!$G92:$G101)*4/(SUM('05 Lan'!$G92:$G101) - SUMIF('05 Lan'!F92:F101,"X",'05 Lan'!$G92:$G101)),MAX('05 Lan'!AD92:AD101)),MIN('05 Lan'!AH92:AH101))))</f>
        <v/>
      </c>
      <c r="I115" s="1557">
        <f t="shared" si="21"/>
        <v>1</v>
      </c>
      <c r="J115" s="1557">
        <f>IF(I115="","",IF(IndG=3,MAX(I115,Obj_Projets!J115),MAX(I115,Obj_PA!D115)))</f>
        <v>1</v>
      </c>
      <c r="K115" s="1560">
        <f t="shared" si="22"/>
        <v>1</v>
      </c>
      <c r="L115" s="1650" t="str">
        <f t="shared" si="23"/>
        <v xml:space="preserve"> n'a pas démarré</v>
      </c>
      <c r="M115" s="154"/>
      <c r="N115" s="154"/>
      <c r="O115" s="154"/>
      <c r="P115" s="154"/>
      <c r="Q115" s="154"/>
      <c r="R115" s="154"/>
      <c r="S115" s="154"/>
      <c r="T115" s="154"/>
      <c r="U115" s="154"/>
      <c r="V115" s="154"/>
      <c r="W115" s="154"/>
      <c r="X115" s="154"/>
      <c r="Y115" s="154"/>
      <c r="Z115" s="154"/>
      <c r="AA115" s="154"/>
      <c r="AB115" s="154"/>
      <c r="AC115" s="154"/>
      <c r="AD115" s="154"/>
      <c r="AE115" s="154"/>
      <c r="AF115" s="154"/>
      <c r="AG115" s="154"/>
      <c r="AH115" s="154"/>
      <c r="AI115" s="154"/>
      <c r="AJ115" s="154"/>
      <c r="AK115" s="154"/>
      <c r="AL115" s="154"/>
      <c r="AM115" s="154"/>
      <c r="AN115" s="154"/>
      <c r="AO115" s="154"/>
      <c r="AP115" s="154"/>
      <c r="AQ115" s="154"/>
      <c r="AR115" s="154"/>
      <c r="AS115" s="154"/>
      <c r="AT115" s="154"/>
      <c r="AU115" s="154"/>
      <c r="AV115" s="154"/>
      <c r="AW115" s="154"/>
      <c r="AX115" s="154"/>
      <c r="AY115" s="154"/>
      <c r="AZ115" s="154"/>
      <c r="BA115" s="154"/>
      <c r="BB115" s="154"/>
    </row>
    <row r="116" spans="1:54" s="527" customFormat="1" ht="15.75" customHeight="1" outlineLevel="1" x14ac:dyDescent="0.2">
      <c r="A116" s="1212"/>
      <c r="B116" s="1212" t="s">
        <v>5674</v>
      </c>
      <c r="C116" s="1219" t="s">
        <v>4995</v>
      </c>
      <c r="D116" s="1562" t="s">
        <v>2625</v>
      </c>
      <c r="E116" s="1559" t="str">
        <f>IF(NOT('05 Lan'!C102 = ""),'05 Lan'!C102,IF(COUNTIF('05 Lan'!C103:C106,"&gt;=0")=0,"", MIN(MAX(SUMPRODUCT('05 Lan'!C103:C106,'05 Lan'!$G103:$G106)*4/(SUM('05 Lan'!$G103:$G106) - SUMIF('05 Lan'!C103:C106,"X",'05 Lan'!$G103:$G106)),MAX('05 Lan'!AA103:AA106)),MIN('05 Lan'!AE103:AE106))))</f>
        <v/>
      </c>
      <c r="F116" s="1559" t="str">
        <f>IF(NOT('05 Lan'!D102 = ""),'05 Lan'!D102,IF(COUNTIF('05 Lan'!D103:D106,"&gt;=0")=0,"", MIN(MAX(SUMPRODUCT('05 Lan'!D103:D106,'05 Lan'!$G103:$G106)*4/(SUM('05 Lan'!$G103:$G106) - SUMIF('05 Lan'!D103:D106,"X",'05 Lan'!$G103:$G106)),MAX('05 Lan'!AB103:AB106)),MIN('05 Lan'!AF103:AF106))))</f>
        <v/>
      </c>
      <c r="G116" s="1559" t="str">
        <f>IF(NOT('05 Lan'!E102 = ""),'05 Lan'!E102,IF(COUNTIF('05 Lan'!E103:E106,"&gt;=0")=0,"", MIN(MAX(SUMPRODUCT('05 Lan'!E103:E106,'05 Lan'!$G103:$G106)*4/(SUM('05 Lan'!$G103:$G106) - SUMIF('05 Lan'!E103:E106,"X",'05 Lan'!$G103:$G106)),MAX('05 Lan'!AC103:AC106)),MIN('05 Lan'!AG103:AG106))))</f>
        <v/>
      </c>
      <c r="H116" s="1559" t="str">
        <f>IF(NOT('05 Lan'!F102 = ""),'05 Lan'!F102,IF(COUNTIF('05 Lan'!F103:F106,"&gt;=0")=0,"", MIN(MAX(SUMPRODUCT('05 Lan'!F103:F106,'05 Lan'!$G103:$G106)*4/(SUM('05 Lan'!$G103:$G106) - SUMIF('05 Lan'!F103:F106,"X",'05 Lan'!$G103:$G106)),MAX('05 Lan'!AD103:AD106)),MIN('05 Lan'!AH103:AH106))))</f>
        <v/>
      </c>
      <c r="I116" s="1557">
        <f t="shared" si="21"/>
        <v>1</v>
      </c>
      <c r="J116" s="1557">
        <f>IF(I116="","",IF(IndG=3,MAX(I116,Obj_Projets!J116),MAX(I116,Obj_PA!D116)))</f>
        <v>1</v>
      </c>
      <c r="K116" s="1560">
        <f t="shared" si="22"/>
        <v>1</v>
      </c>
      <c r="L116" s="1650" t="str">
        <f t="shared" si="23"/>
        <v xml:space="preserve"> n'a pas démarré</v>
      </c>
      <c r="M116" s="154"/>
      <c r="N116" s="154"/>
      <c r="O116" s="154"/>
      <c r="P116" s="154"/>
      <c r="Q116" s="154"/>
      <c r="R116" s="154"/>
      <c r="S116" s="154"/>
      <c r="T116" s="154"/>
      <c r="U116" s="154"/>
      <c r="V116" s="154"/>
      <c r="W116" s="154"/>
      <c r="X116" s="154"/>
      <c r="Y116" s="154"/>
      <c r="Z116" s="154"/>
      <c r="AA116" s="154"/>
      <c r="AB116" s="154"/>
      <c r="AC116" s="154"/>
      <c r="AD116" s="154"/>
      <c r="AE116" s="154"/>
      <c r="AF116" s="154"/>
      <c r="AG116" s="154"/>
      <c r="AH116" s="154"/>
      <c r="AI116" s="154"/>
      <c r="AJ116" s="154"/>
      <c r="AK116" s="154"/>
      <c r="AL116" s="154"/>
      <c r="AM116" s="154"/>
      <c r="AN116" s="154"/>
      <c r="AO116" s="154"/>
      <c r="AP116" s="154"/>
      <c r="AQ116" s="154"/>
      <c r="AR116" s="154"/>
      <c r="AS116" s="154"/>
      <c r="AT116" s="154"/>
      <c r="AU116" s="154"/>
      <c r="AV116" s="154"/>
      <c r="AW116" s="154"/>
      <c r="AX116" s="154"/>
      <c r="AY116" s="154"/>
      <c r="AZ116" s="154"/>
      <c r="BA116" s="154"/>
      <c r="BB116" s="154"/>
    </row>
    <row r="117" spans="1:54" s="527" customFormat="1" ht="25.5" outlineLevel="1" x14ac:dyDescent="0.2">
      <c r="A117" s="1212"/>
      <c r="B117" s="1212" t="s">
        <v>42</v>
      </c>
      <c r="C117" s="1219" t="s">
        <v>4993</v>
      </c>
      <c r="D117" s="1562" t="s">
        <v>2625</v>
      </c>
      <c r="E117" s="1559" t="str">
        <f>IF(NOT('05 Lan'!C107 = ""),'05 Lan'!C107,IF(COUNTIF('05 Lan'!C108:C117,"&gt;=0")=0,"", MIN(MAX(SUMPRODUCT('05 Lan'!C108:C117,'05 Lan'!$G108:$G117)*4/(SUM('05 Lan'!$G108:$G117) - SUMIF('05 Lan'!C108:C117,"X",'05 Lan'!$G108:$G117)),MAX('05 Lan'!AA108:AA117)),MIN('05 Lan'!AE108:AE117))))</f>
        <v/>
      </c>
      <c r="F117" s="1559" t="str">
        <f>IF(NOT('05 Lan'!D107 = ""),'05 Lan'!D107,IF(COUNTIF('05 Lan'!D108:D117,"&gt;=0")=0,"", MIN(MAX(SUMPRODUCT('05 Lan'!D108:D117,'05 Lan'!$G108:$G117)*4/(SUM('05 Lan'!$G108:$G117) - SUMIF('05 Lan'!D108:D117,"X",'05 Lan'!$G108:$G117)),MAX('05 Lan'!AB108:AB117)),MIN('05 Lan'!AF108:AF117))))</f>
        <v/>
      </c>
      <c r="G117" s="1559" t="str">
        <f>IF(NOT('05 Lan'!E107 = ""),'05 Lan'!E107,IF(COUNTIF('05 Lan'!E108:E117,"&gt;=0")=0,"", MIN(MAX(SUMPRODUCT('05 Lan'!E108:E117,'05 Lan'!$G108:$G117)*4/(SUM('05 Lan'!$G108:$G117) - SUMIF('05 Lan'!E108:E117,"X",'05 Lan'!$G108:$G117)),MAX('05 Lan'!AC108:AC117)),MIN('05 Lan'!AG108:AG117))))</f>
        <v/>
      </c>
      <c r="H117" s="1559" t="str">
        <f>IF(NOT('05 Lan'!F107 = ""),'05 Lan'!F107,IF(COUNTIF('05 Lan'!F108:F117,"&gt;=0")=0,"", MIN(MAX(SUMPRODUCT('05 Lan'!F108:F117,'05 Lan'!$G108:$G117)*4/(SUM('05 Lan'!$G108:$G117) - SUMIF('05 Lan'!F108:F117,"X",'05 Lan'!$G108:$G117)),MAX('05 Lan'!AD108:AD117)),MIN('05 Lan'!AH108:AH117))))</f>
        <v/>
      </c>
      <c r="I117" s="1557">
        <f t="shared" si="21"/>
        <v>1</v>
      </c>
      <c r="J117" s="1557">
        <f>IF(I117="","",IF(IndG=3,MAX(I117,Obj_Projets!J117),MAX(I117,Obj_PA!D117)))</f>
        <v>1</v>
      </c>
      <c r="K117" s="1560">
        <f t="shared" si="22"/>
        <v>1</v>
      </c>
      <c r="L117" s="1650" t="str">
        <f t="shared" si="23"/>
        <v xml:space="preserve"> n'a pas démarré</v>
      </c>
      <c r="M117" s="154"/>
      <c r="N117" s="154"/>
      <c r="O117" s="154"/>
      <c r="P117" s="154"/>
      <c r="Q117" s="154"/>
      <c r="R117" s="154"/>
      <c r="S117" s="154"/>
      <c r="T117" s="154"/>
      <c r="U117" s="154"/>
      <c r="V117" s="154"/>
      <c r="W117" s="154"/>
      <c r="X117" s="154"/>
      <c r="Y117" s="154"/>
      <c r="Z117" s="154"/>
      <c r="AA117" s="154"/>
      <c r="AB117" s="154"/>
      <c r="AC117" s="154"/>
      <c r="AD117" s="154"/>
      <c r="AE117" s="154"/>
      <c r="AF117" s="154"/>
      <c r="AG117" s="154"/>
      <c r="AH117" s="154"/>
      <c r="AI117" s="154"/>
      <c r="AJ117" s="154"/>
      <c r="AK117" s="154"/>
      <c r="AL117" s="154"/>
      <c r="AM117" s="154"/>
      <c r="AN117" s="154"/>
      <c r="AO117" s="154"/>
      <c r="AP117" s="154"/>
      <c r="AQ117" s="154"/>
      <c r="AR117" s="154"/>
      <c r="AS117" s="154"/>
      <c r="AT117" s="154"/>
      <c r="AU117" s="154"/>
      <c r="AV117" s="154"/>
      <c r="AW117" s="154"/>
      <c r="AX117" s="154"/>
      <c r="AY117" s="154"/>
      <c r="AZ117" s="154"/>
      <c r="BA117" s="154"/>
      <c r="BB117" s="154"/>
    </row>
    <row r="118" spans="1:54" s="527" customFormat="1" ht="15.75" customHeight="1" outlineLevel="1" x14ac:dyDescent="0.2">
      <c r="A118" s="1212"/>
      <c r="B118" s="1212" t="s">
        <v>5010</v>
      </c>
      <c r="C118" s="1219" t="s">
        <v>4996</v>
      </c>
      <c r="D118" s="1562" t="s">
        <v>2625</v>
      </c>
      <c r="E118" s="1559" t="str">
        <f>IF(NOT('05 Lan'!C118 = ""),'05 Lan'!C118,IF(COUNTIF('05 Lan'!C119:C129,"&gt;=0")=0,"", MIN(MAX(SUMPRODUCT('05 Lan'!C119:C129,'05 Lan'!$G119:$G129)*4/(SUM('05 Lan'!$G119:$G129) - SUMIF('05 Lan'!C119:C129,"X",'05 Lan'!$G119:$G129)),MAX('05 Lan'!AA119:AA129)),MIN('05 Lan'!AE119:AE129))))</f>
        <v/>
      </c>
      <c r="F118" s="1559" t="str">
        <f>IF(NOT('05 Lan'!D118 = ""),'05 Lan'!D118,IF(COUNTIF('05 Lan'!D119:D129,"&gt;=0")=0,"", MIN(MAX(SUMPRODUCT('05 Lan'!D119:D129,'05 Lan'!$G119:$G129)*4/(SUM('05 Lan'!$G119:$G129) - SUMIF('05 Lan'!D119:D129,"X",'05 Lan'!$G119:$G129)),MAX('05 Lan'!AB119:AB129)),MIN('05 Lan'!AF119:AF129))))</f>
        <v/>
      </c>
      <c r="G118" s="1559" t="str">
        <f>IF(NOT('05 Lan'!E118 = ""),'05 Lan'!E118,IF(COUNTIF('05 Lan'!E119:E129,"&gt;=0")=0,"", MIN(MAX(SUMPRODUCT('05 Lan'!E119:E129,'05 Lan'!$G119:$G129)*4/(SUM('05 Lan'!$G119:$G129) - SUMIF('05 Lan'!E119:E129,"X",'05 Lan'!$G119:$G129)),MAX('05 Lan'!AC119:AC129)),MIN('05 Lan'!AG119:AG129))))</f>
        <v/>
      </c>
      <c r="H118" s="1559" t="str">
        <f>IF(NOT('05 Lan'!F118 = ""),'05 Lan'!F118,IF(COUNTIF('05 Lan'!F119:F129,"&gt;=0")=0,"", MIN(MAX(SUMPRODUCT('05 Lan'!F119:F129,'05 Lan'!$G119:$G129)*4/(SUM('05 Lan'!$G119:$G129) - SUMIF('05 Lan'!F119:F129,"X",'05 Lan'!$G119:$G129)),MAX('05 Lan'!AD119:AD129)),MIN('05 Lan'!AH119:AH129))))</f>
        <v/>
      </c>
      <c r="I118" s="1557">
        <f t="shared" si="21"/>
        <v>1</v>
      </c>
      <c r="J118" s="1557">
        <f>IF(I118="","",IF(IndG=3,MAX(I118,Obj_Projets!J118),MAX(I118,Obj_PA!D118)))</f>
        <v>1</v>
      </c>
      <c r="K118" s="1560">
        <f t="shared" si="22"/>
        <v>1</v>
      </c>
      <c r="L118" s="1650" t="str">
        <f t="shared" si="23"/>
        <v xml:space="preserve"> n'a pas démarré</v>
      </c>
      <c r="M118" s="154"/>
      <c r="N118" s="154"/>
      <c r="O118" s="154"/>
      <c r="P118" s="154"/>
      <c r="Q118" s="154"/>
      <c r="R118" s="154"/>
      <c r="S118" s="154"/>
      <c r="T118" s="154"/>
      <c r="U118" s="154"/>
      <c r="V118" s="154"/>
      <c r="W118" s="154"/>
      <c r="X118" s="154"/>
      <c r="Y118" s="154"/>
      <c r="Z118" s="154"/>
      <c r="AA118" s="154"/>
      <c r="AB118" s="154"/>
      <c r="AC118" s="154"/>
      <c r="AD118" s="154"/>
      <c r="AE118" s="154"/>
      <c r="AF118" s="154"/>
      <c r="AG118" s="154"/>
      <c r="AH118" s="154"/>
      <c r="AI118" s="154"/>
      <c r="AJ118" s="154"/>
      <c r="AK118" s="154"/>
      <c r="AL118" s="154"/>
      <c r="AM118" s="154"/>
      <c r="AN118" s="154"/>
      <c r="AO118" s="154"/>
      <c r="AP118" s="154"/>
      <c r="AQ118" s="154"/>
      <c r="AR118" s="154"/>
      <c r="AS118" s="154"/>
      <c r="AT118" s="154"/>
      <c r="AU118" s="154"/>
      <c r="AV118" s="154"/>
      <c r="AW118" s="154"/>
      <c r="AX118" s="154"/>
      <c r="AY118" s="154"/>
      <c r="AZ118" s="154"/>
      <c r="BA118" s="154"/>
      <c r="BB118" s="154"/>
    </row>
    <row r="119" spans="1:54" s="527" customFormat="1" ht="15.75" customHeight="1" outlineLevel="1" x14ac:dyDescent="0.2">
      <c r="A119" s="1212"/>
      <c r="B119" s="1212" t="s">
        <v>5011</v>
      </c>
      <c r="C119" s="1219" t="s">
        <v>5012</v>
      </c>
      <c r="D119" s="1562" t="s">
        <v>2625</v>
      </c>
      <c r="E119" s="1559" t="str">
        <f>IF(NOT('05 Lan'!C130 = ""),'05 Lan'!C130,IF(COUNTIF('05 Lan'!C131:C140,"&gt;=0")=0,"", MIN(MAX(SUMPRODUCT('05 Lan'!C131:C140,'05 Lan'!$G131:$G140)*4/(SUM('05 Lan'!$G131:$G140) - SUMIF('05 Lan'!C131:C140,"X",'05 Lan'!$G131:$G140)),MAX('05 Lan'!AA131:AA140)),MIN('05 Lan'!AE131:AE140))))</f>
        <v/>
      </c>
      <c r="F119" s="1559" t="str">
        <f>IF(NOT('05 Lan'!D130 = ""),'05 Lan'!D130,IF(COUNTIF('05 Lan'!D131:D140,"&gt;=0")=0,"", MIN(MAX(SUMPRODUCT('05 Lan'!D131:D140,'05 Lan'!$G131:$G140)*4/(SUM('05 Lan'!$G131:$G140) - SUMIF('05 Lan'!D131:D140,"X",'05 Lan'!$G131:$G140)),MAX('05 Lan'!AB131:AB140)),MIN('05 Lan'!AF131:AF140))))</f>
        <v/>
      </c>
      <c r="G119" s="1559" t="str">
        <f>IF(NOT('05 Lan'!E130 = ""),'05 Lan'!E130,IF(COUNTIF('05 Lan'!E131:E140,"&gt;=0")=0,"", MIN(MAX(SUMPRODUCT('05 Lan'!E131:E140,'05 Lan'!$G131:$G140)*4/(SUM('05 Lan'!$G131:$G140) - SUMIF('05 Lan'!E131:E140,"X",'05 Lan'!$G131:$G140)),MAX('05 Lan'!AC131:AC140)),MIN('05 Lan'!AG131:AG140))))</f>
        <v/>
      </c>
      <c r="H119" s="1559" t="str">
        <f>IF(NOT('05 Lan'!F130 = ""),'05 Lan'!F130,IF(COUNTIF('05 Lan'!F131:F140,"&gt;=0")=0,"", MIN(MAX(SUMPRODUCT('05 Lan'!F131:F140,'05 Lan'!$G131:$G140)*4/(SUM('05 Lan'!$G131:$G140) - SUMIF('05 Lan'!F131:F140,"X",'05 Lan'!$G131:$G140)),MAX('05 Lan'!AD131:AD140)),MIN('05 Lan'!AH131:AH140))))</f>
        <v/>
      </c>
      <c r="I119" s="1557">
        <f t="shared" si="21"/>
        <v>1</v>
      </c>
      <c r="J119" s="1557">
        <f>IF(I119="","",IF(IndG=3,MAX(I119,Obj_Projets!J119),MAX(I119,Obj_PA!D119)))</f>
        <v>1</v>
      </c>
      <c r="K119" s="1560">
        <f t="shared" si="22"/>
        <v>1</v>
      </c>
      <c r="L119" s="1650" t="str">
        <f t="shared" si="23"/>
        <v xml:space="preserve"> n'a pas démarré</v>
      </c>
      <c r="M119" s="154"/>
      <c r="N119" s="154"/>
      <c r="O119" s="154"/>
      <c r="P119" s="154"/>
      <c r="Q119" s="154"/>
      <c r="R119" s="154"/>
      <c r="S119" s="154"/>
      <c r="T119" s="154"/>
      <c r="U119" s="154"/>
      <c r="V119" s="154"/>
      <c r="W119" s="154"/>
      <c r="X119" s="154"/>
      <c r="Y119" s="154"/>
      <c r="Z119" s="154"/>
      <c r="AA119" s="154"/>
      <c r="AB119" s="154"/>
      <c r="AC119" s="154"/>
      <c r="AD119" s="154"/>
      <c r="AE119" s="154"/>
      <c r="AF119" s="154"/>
      <c r="AG119" s="154"/>
      <c r="AH119" s="154"/>
      <c r="AI119" s="154"/>
      <c r="AJ119" s="154"/>
      <c r="AK119" s="154"/>
      <c r="AL119" s="154"/>
      <c r="AM119" s="154"/>
      <c r="AN119" s="154"/>
      <c r="AO119" s="154"/>
      <c r="AP119" s="154"/>
      <c r="AQ119" s="154"/>
      <c r="AR119" s="154"/>
      <c r="AS119" s="154"/>
      <c r="AT119" s="154"/>
      <c r="AU119" s="154"/>
      <c r="AV119" s="154"/>
      <c r="AW119" s="154"/>
      <c r="AX119" s="154"/>
      <c r="AY119" s="154"/>
      <c r="AZ119" s="154"/>
      <c r="BA119" s="154"/>
      <c r="BB119" s="154"/>
    </row>
    <row r="120" spans="1:54" s="527" customFormat="1" ht="15.75" customHeight="1" outlineLevel="1" x14ac:dyDescent="0.2">
      <c r="A120" s="1212"/>
      <c r="B120" s="1212" t="s">
        <v>5013</v>
      </c>
      <c r="C120" s="1219" t="s">
        <v>5014</v>
      </c>
      <c r="D120" s="1562" t="s">
        <v>2625</v>
      </c>
      <c r="E120" s="1559" t="str">
        <f>IF(NOT('05 Lan'!C141 = ""),'05 Lan'!C141,IF(COUNTIF('05 Lan'!C142:C149,"&gt;=0")=0,"", MIN(MAX(SUMPRODUCT('05 Lan'!C142:C149,'05 Lan'!$G142:$G149)*4/(SUM('05 Lan'!$G142:$G149) - SUMIF('05 Lan'!C142:C149,"X",'05 Lan'!$G142:$G149)),MAX('05 Lan'!AA142:AA149)),MIN('05 Lan'!AE142:AE149))))</f>
        <v/>
      </c>
      <c r="F120" s="1559" t="str">
        <f>IF(NOT('05 Lan'!D141 = ""),'05 Lan'!D141,IF(COUNTIF('05 Lan'!D142:D149,"&gt;=0")=0,"", MIN(MAX(SUMPRODUCT('05 Lan'!D142:D149,'05 Lan'!$G142:$G149)*4/(SUM('05 Lan'!$G142:$G149) - SUMIF('05 Lan'!D142:D149,"X",'05 Lan'!$G142:$G149)),MAX('05 Lan'!AB142:AB149)),MIN('05 Lan'!AF142:AF149))))</f>
        <v/>
      </c>
      <c r="G120" s="1559" t="str">
        <f>IF(NOT('05 Lan'!E141 = ""),'05 Lan'!E141,IF(COUNTIF('05 Lan'!E142:E149,"&gt;=0")=0,"", MIN(MAX(SUMPRODUCT('05 Lan'!E142:E149,'05 Lan'!$G142:$G149)*4/(SUM('05 Lan'!$G142:$G149) - SUMIF('05 Lan'!E142:E149,"X",'05 Lan'!$G142:$G149)),MAX('05 Lan'!AC142:AC149)),MIN('05 Lan'!AG142:AG149))))</f>
        <v/>
      </c>
      <c r="H120" s="1559" t="str">
        <f>IF(NOT('05 Lan'!F141 = ""),'05 Lan'!F141,IF(COUNTIF('05 Lan'!F142:F149,"&gt;=0")=0,"", MIN(MAX(SUMPRODUCT('05 Lan'!F142:F149,'05 Lan'!$G142:$G149)*4/(SUM('05 Lan'!$G142:$G149) - SUMIF('05 Lan'!F142:F149,"X",'05 Lan'!$G142:$G149)),MAX('05 Lan'!AD142:AD149)),MIN('05 Lan'!AH142:AH149))))</f>
        <v/>
      </c>
      <c r="I120" s="1557">
        <f t="shared" si="21"/>
        <v>1</v>
      </c>
      <c r="J120" s="1557">
        <f>IF(I120="","",IF(IndG=3,MAX(I120,Obj_Projets!J120),MAX(I120,Obj_PA!D120)))</f>
        <v>1</v>
      </c>
      <c r="K120" s="1560">
        <f t="shared" si="22"/>
        <v>1</v>
      </c>
      <c r="L120" s="1650" t="str">
        <f t="shared" si="23"/>
        <v xml:space="preserve"> n'a pas démarré</v>
      </c>
      <c r="M120" s="154"/>
      <c r="N120" s="154"/>
      <c r="O120" s="154"/>
      <c r="P120" s="154"/>
      <c r="Q120" s="154"/>
      <c r="R120" s="154"/>
      <c r="S120" s="154"/>
      <c r="T120" s="154"/>
      <c r="U120" s="154"/>
      <c r="V120" s="154"/>
      <c r="W120" s="154"/>
      <c r="X120" s="154"/>
      <c r="Y120" s="154"/>
      <c r="Z120" s="154"/>
      <c r="AA120" s="154"/>
      <c r="AB120" s="154"/>
      <c r="AC120" s="154"/>
      <c r="AD120" s="154"/>
      <c r="AE120" s="154"/>
      <c r="AF120" s="154"/>
      <c r="AG120" s="154"/>
      <c r="AH120" s="154"/>
      <c r="AI120" s="154"/>
      <c r="AJ120" s="154"/>
      <c r="AK120" s="154"/>
      <c r="AL120" s="154"/>
      <c r="AM120" s="154"/>
      <c r="AN120" s="154"/>
      <c r="AO120" s="154"/>
      <c r="AP120" s="154"/>
      <c r="AQ120" s="154"/>
      <c r="AR120" s="154"/>
      <c r="AS120" s="154"/>
      <c r="AT120" s="154"/>
      <c r="AU120" s="154"/>
      <c r="AV120" s="154"/>
      <c r="AW120" s="154"/>
      <c r="AX120" s="154"/>
      <c r="AY120" s="154"/>
      <c r="AZ120" s="154"/>
      <c r="BA120" s="154"/>
      <c r="BB120" s="154"/>
    </row>
    <row r="121" spans="1:54" s="527" customFormat="1" ht="15.75" customHeight="1" outlineLevel="1" x14ac:dyDescent="0.2">
      <c r="A121" s="1212"/>
      <c r="B121" s="1212" t="s">
        <v>5015</v>
      </c>
      <c r="C121" s="1219" t="s">
        <v>5070</v>
      </c>
      <c r="D121" s="1562" t="s">
        <v>2625</v>
      </c>
      <c r="E121" s="1559" t="str">
        <f>IF(NOT('05 Lan'!C150 = ""),'05 Lan'!C150,IF(COUNTIF('05 Lan'!C151:C158,"&gt;=0")=0,"", MIN(MAX(SUMPRODUCT('05 Lan'!C151:C158,'05 Lan'!$G151:$G158)*4/(SUM('05 Lan'!$G151:$G158) - SUMIF('05 Lan'!C151:C158,"X",'05 Lan'!$G151:$G158)),MAX('05 Lan'!AA151:AA158)),MIN('05 Lan'!AE151:AE158))))</f>
        <v/>
      </c>
      <c r="F121" s="1559" t="str">
        <f>IF(NOT('05 Lan'!D150 = ""),'05 Lan'!D150,IF(COUNTIF('05 Lan'!D151:D158,"&gt;=0")=0,"", MIN(MAX(SUMPRODUCT('05 Lan'!D151:D158,'05 Lan'!$G151:$G158)*4/(SUM('05 Lan'!$G151:$G158) - SUMIF('05 Lan'!D151:D158,"X",'05 Lan'!$G151:$G158)),MAX('05 Lan'!AB151:AB158)),MIN('05 Lan'!AF151:AF158))))</f>
        <v/>
      </c>
      <c r="G121" s="1559" t="str">
        <f>IF(NOT('05 Lan'!E150 = ""),'05 Lan'!E150,IF(COUNTIF('05 Lan'!E151:E158,"&gt;=0")=0,"", MIN(MAX(SUMPRODUCT('05 Lan'!E151:E158,'05 Lan'!$G151:$G158)*4/(SUM('05 Lan'!$G151:$G158) - SUMIF('05 Lan'!E151:E158,"X",'05 Lan'!$G151:$G158)),MAX('05 Lan'!AC151:AC158)),MIN('05 Lan'!AG151:AG158))))</f>
        <v/>
      </c>
      <c r="H121" s="1559" t="str">
        <f>IF(NOT('05 Lan'!F150 = ""),'05 Lan'!F150,IF(COUNTIF('05 Lan'!F151:F158,"&gt;=0")=0,"", MIN(MAX(SUMPRODUCT('05 Lan'!F151:F158,'05 Lan'!$G151:$G158)*4/(SUM('05 Lan'!$G151:$G158) - SUMIF('05 Lan'!F151:F158,"X",'05 Lan'!$G151:$G158)),MAX('05 Lan'!AD151:AD158)),MIN('05 Lan'!AH151:AH158))))</f>
        <v/>
      </c>
      <c r="I121" s="1557">
        <f t="shared" si="21"/>
        <v>1</v>
      </c>
      <c r="J121" s="1557">
        <f>IF(I121="","",IF(IndG=3,MAX(I121,Obj_Projets!J121),MAX(I121,Obj_PA!D121)))</f>
        <v>1</v>
      </c>
      <c r="K121" s="1560">
        <f t="shared" si="22"/>
        <v>1</v>
      </c>
      <c r="L121" s="1650" t="str">
        <f t="shared" si="23"/>
        <v xml:space="preserve"> n'a pas démarré</v>
      </c>
      <c r="M121" s="154"/>
      <c r="N121" s="154"/>
      <c r="O121" s="154"/>
      <c r="P121" s="154"/>
      <c r="Q121" s="154"/>
      <c r="R121" s="154"/>
      <c r="S121" s="154"/>
      <c r="T121" s="154"/>
      <c r="U121" s="154"/>
      <c r="V121" s="154"/>
      <c r="W121" s="154"/>
      <c r="X121" s="154"/>
      <c r="Y121" s="154"/>
      <c r="Z121" s="154"/>
      <c r="AA121" s="154"/>
      <c r="AB121" s="154"/>
      <c r="AC121" s="154"/>
      <c r="AD121" s="154"/>
      <c r="AE121" s="154"/>
      <c r="AF121" s="154"/>
      <c r="AG121" s="154"/>
      <c r="AH121" s="154"/>
      <c r="AI121" s="154"/>
      <c r="AJ121" s="154"/>
      <c r="AK121" s="154"/>
      <c r="AL121" s="154"/>
      <c r="AM121" s="154"/>
      <c r="AN121" s="154"/>
      <c r="AO121" s="154"/>
      <c r="AP121" s="154"/>
      <c r="AQ121" s="154"/>
      <c r="AR121" s="154"/>
      <c r="AS121" s="154"/>
      <c r="AT121" s="154"/>
      <c r="AU121" s="154"/>
      <c r="AV121" s="154"/>
      <c r="AW121" s="154"/>
      <c r="AX121" s="154"/>
      <c r="AY121" s="154"/>
      <c r="AZ121" s="154"/>
      <c r="BA121" s="154"/>
      <c r="BB121" s="154"/>
    </row>
    <row r="122" spans="1:54" s="527" customFormat="1" ht="15.75" customHeight="1" outlineLevel="1" x14ac:dyDescent="0.2">
      <c r="A122" s="1212"/>
      <c r="B122" s="1213" t="s">
        <v>2056</v>
      </c>
      <c r="C122" s="1214" t="s">
        <v>2124</v>
      </c>
      <c r="D122" s="1554"/>
      <c r="E122" s="1559"/>
      <c r="F122" s="1559"/>
      <c r="G122" s="1559"/>
      <c r="H122" s="1559"/>
      <c r="I122" s="1561"/>
      <c r="J122" s="1561"/>
      <c r="K122" s="1561"/>
      <c r="L122" s="1650"/>
      <c r="M122" s="154"/>
      <c r="N122" s="154"/>
      <c r="O122" s="154"/>
      <c r="P122" s="154"/>
      <c r="Q122" s="154"/>
      <c r="R122" s="154"/>
      <c r="S122" s="154"/>
      <c r="T122" s="154"/>
      <c r="U122" s="154"/>
      <c r="V122" s="154"/>
      <c r="W122" s="154"/>
      <c r="X122" s="154"/>
      <c r="Y122" s="154"/>
      <c r="Z122" s="154"/>
      <c r="AA122" s="154"/>
      <c r="AB122" s="154"/>
      <c r="AC122" s="154"/>
      <c r="AD122" s="154"/>
      <c r="AE122" s="154"/>
      <c r="AF122" s="154"/>
      <c r="AG122" s="154"/>
      <c r="AH122" s="154"/>
      <c r="AI122" s="154"/>
      <c r="AJ122" s="154"/>
      <c r="AK122" s="154"/>
      <c r="AL122" s="154"/>
      <c r="AM122" s="154"/>
      <c r="AN122" s="154"/>
      <c r="AO122" s="154"/>
      <c r="AP122" s="154"/>
      <c r="AQ122" s="154"/>
      <c r="AR122" s="154"/>
      <c r="AS122" s="154"/>
      <c r="AT122" s="154"/>
      <c r="AU122" s="154"/>
      <c r="AV122" s="154"/>
      <c r="AW122" s="154"/>
      <c r="AX122" s="154"/>
      <c r="AY122" s="154"/>
      <c r="AZ122" s="154"/>
      <c r="BA122" s="154"/>
      <c r="BB122" s="154"/>
    </row>
    <row r="123" spans="1:54" s="527" customFormat="1" ht="15.75" customHeight="1" outlineLevel="1" x14ac:dyDescent="0.2">
      <c r="A123" s="1212"/>
      <c r="B123" s="1212" t="s">
        <v>6766</v>
      </c>
      <c r="C123" s="1219" t="s">
        <v>6767</v>
      </c>
      <c r="D123" s="1562" t="s">
        <v>2964</v>
      </c>
      <c r="E123" s="1559" t="str">
        <f>IF(NOT('05 Lan'!C160 = ""),'05 Lan'!C160,IF(COUNTIF('05 Lan'!C161:C167,"&gt;=0")=0,"", MIN(MAX(SUMPRODUCT('05 Lan'!C161:C167,'05 Lan'!$G161:$G167)*4/(SUM('05 Lan'!$G161:$G167) - SUMIF('05 Lan'!C161:C167,"X",'05 Lan'!$G161:$G167)),MAX('05 Lan'!AA161:AA167)),MIN('05 Lan'!AE161:AE167))))</f>
        <v/>
      </c>
      <c r="F123" s="1559" t="str">
        <f>IF(NOT('05 Lan'!D160 = ""),'05 Lan'!D160,IF(COUNTIF('05 Lan'!D161:D167,"&gt;=0")=0,"", MIN(MAX(SUMPRODUCT('05 Lan'!D161:D167,'05 Lan'!$G161:$G167)*4/(SUM('05 Lan'!$G161:$G167) - SUMIF('05 Lan'!D161:D167,"X",'05 Lan'!$G161:$G167)),MAX('05 Lan'!AB161:AB167)),MIN('05 Lan'!AF161:AF167))))</f>
        <v/>
      </c>
      <c r="G123" s="1559" t="str">
        <f>IF(NOT('05 Lan'!E160 = ""),'05 Lan'!E160,IF(COUNTIF('05 Lan'!E161:E167,"&gt;=0")=0,"", MIN(MAX(SUMPRODUCT('05 Lan'!E161:E167,'05 Lan'!$G161:$G167)*4/(SUM('05 Lan'!$G161:$G167) - SUMIF('05 Lan'!E161:E167,"X",'05 Lan'!$G161:$G167)),MAX('05 Lan'!AC161:AC167)),MIN('05 Lan'!AG161:AG167))))</f>
        <v/>
      </c>
      <c r="H123" s="1559" t="str">
        <f>IF(NOT('05 Lan'!F160 = ""),'05 Lan'!F160,IF(COUNTIF('05 Lan'!F161:F167,"&gt;=0")=0,"", MIN(MAX(SUMPRODUCT('05 Lan'!F161:F167,'05 Lan'!$G161:$G167)*4/(SUM('05 Lan'!$G161:$G167) - SUMIF('05 Lan'!F161:F167,"X",'05 Lan'!$G161:$G167)),MAX('05 Lan'!AD161:AD167)),MIN('05 Lan'!AH161:AH167))))</f>
        <v/>
      </c>
      <c r="I123" s="1557">
        <f>IF(AND(OR(E123="X",E123=""),OR(F123="X",F123=""),OR(G123="X",G123=""),OR(H123="X",H123="")),1,ROUND(MIN(IF(OR(E123="",E123="X"),4,E123),IF(OR(F123="",F123="X"),4,F123),IF(OR(G123="",G123="X"),4,G123),IF(OR(H123="",H123="X"),4,H123)),0))</f>
        <v>1</v>
      </c>
      <c r="J123" s="1557">
        <f>IF(I123="","",IF(IndG=3,MAX(I123,Obj_Projets!J123),MAX(I123,Obj_PA!D123)))</f>
        <v>1</v>
      </c>
      <c r="K123" s="1560">
        <f>IF(IF(OR(IndG=3,IndG=4),MAX(I123,J123),I123)&lt;1,1,IF(OR(IndG=3,IndG=4),MAX(I123,J123),I123))</f>
        <v>1</v>
      </c>
      <c r="L123" s="1650" t="str">
        <f>IF(E123=""," n'a pas démarré","")</f>
        <v xml:space="preserve"> n'a pas démarré</v>
      </c>
      <c r="M123" s="154"/>
      <c r="N123" s="154"/>
      <c r="O123" s="154"/>
      <c r="P123" s="154"/>
      <c r="Q123" s="154"/>
      <c r="R123" s="154"/>
      <c r="S123" s="154"/>
      <c r="T123" s="154"/>
      <c r="U123" s="154"/>
      <c r="V123" s="154"/>
      <c r="W123" s="154"/>
      <c r="X123" s="154"/>
      <c r="Y123" s="154"/>
      <c r="Z123" s="154"/>
      <c r="AA123" s="154"/>
      <c r="AB123" s="154"/>
      <c r="AC123" s="154"/>
      <c r="AD123" s="154"/>
      <c r="AE123" s="154"/>
      <c r="AF123" s="154"/>
      <c r="AG123" s="154"/>
      <c r="AH123" s="154"/>
      <c r="AI123" s="154"/>
      <c r="AJ123" s="154"/>
      <c r="AK123" s="154"/>
      <c r="AL123" s="154"/>
      <c r="AM123" s="154"/>
      <c r="AN123" s="154"/>
      <c r="AO123" s="154"/>
      <c r="AP123" s="154"/>
      <c r="AQ123" s="154"/>
      <c r="AR123" s="154"/>
      <c r="AS123" s="154"/>
      <c r="AT123" s="154"/>
      <c r="AU123" s="154"/>
      <c r="AV123" s="154"/>
      <c r="AW123" s="154"/>
      <c r="AX123" s="154"/>
      <c r="AY123" s="154"/>
      <c r="AZ123" s="154"/>
      <c r="BA123" s="154"/>
      <c r="BB123" s="154"/>
    </row>
    <row r="124" spans="1:54" s="527" customFormat="1" ht="15.75" customHeight="1" outlineLevel="1" x14ac:dyDescent="0.2">
      <c r="A124" s="1212"/>
      <c r="B124" s="1212" t="s">
        <v>6768</v>
      </c>
      <c r="C124" s="1219" t="s">
        <v>6769</v>
      </c>
      <c r="D124" s="1562" t="s">
        <v>2964</v>
      </c>
      <c r="E124" s="1559" t="str">
        <f>IF(NOT('05 Lan'!C168 = ""),'05 Lan'!C168,IF(COUNTIF('05 Lan'!C169:C175,"&gt;=0")=0,"", MIN(MAX(SUMPRODUCT('05 Lan'!C169:C175,'05 Lan'!$G169:$G175)*4/(SUM('05 Lan'!$G169:$G175) - SUMIF('05 Lan'!C169:C175,"X",'05 Lan'!$G169:$G175)),MAX('05 Lan'!AA169:AA175)),MIN('05 Lan'!AE169:AE175))))</f>
        <v/>
      </c>
      <c r="F124" s="1559" t="str">
        <f>IF(NOT('05 Lan'!D168 = ""),'05 Lan'!D168,IF(COUNTIF('05 Lan'!D169:D175,"&gt;=0")=0,"", MIN(MAX(SUMPRODUCT('05 Lan'!D169:D175,'05 Lan'!$G169:$G175)*4/(SUM('05 Lan'!$G169:$G175) - SUMIF('05 Lan'!D169:D175,"X",'05 Lan'!$G169:$G175)),MAX('05 Lan'!AB169:AB175)),MIN('05 Lan'!AF169:AF175))))</f>
        <v/>
      </c>
      <c r="G124" s="1559" t="str">
        <f>IF(NOT('05 Lan'!E168 = ""),'05 Lan'!E168,IF(COUNTIF('05 Lan'!E169:E175,"&gt;=0")=0,"", MIN(MAX(SUMPRODUCT('05 Lan'!E169:E175,'05 Lan'!$G169:$G175)*4/(SUM('05 Lan'!$G169:$G175) - SUMIF('05 Lan'!E169:E175,"X",'05 Lan'!$G169:$G175)),MAX('05 Lan'!AC169:AC175)),MIN('05 Lan'!AG169:AG175))))</f>
        <v/>
      </c>
      <c r="H124" s="1559" t="str">
        <f>IF(NOT('05 Lan'!F168 = ""),'05 Lan'!F168,IF(COUNTIF('05 Lan'!F169:F175,"&gt;=0")=0,"", MIN(MAX(SUMPRODUCT('05 Lan'!F169:F175,'05 Lan'!$G169:$G175)*4/(SUM('05 Lan'!$G169:$G175) - SUMIF('05 Lan'!F169:F175,"X",'05 Lan'!$G169:$G175)),MAX('05 Lan'!AD169:AD175)),MIN('05 Lan'!AH169:AH175))))</f>
        <v/>
      </c>
      <c r="I124" s="1557">
        <f>IF(AND(OR(E124="X",E124=""),OR(F124="X",F124=""),OR(G124="X",G124=""),OR(H124="X",H124="")),1,ROUND(MIN(IF(OR(E124="",E124="X"),4,E124),IF(OR(F124="",F124="X"),4,F124),IF(OR(G124="",G124="X"),4,G124),IF(OR(H124="",H124="X"),4,H124)),0))</f>
        <v>1</v>
      </c>
      <c r="J124" s="1557">
        <f>IF(I124="","",IF(IndG=3,MAX(I124,Obj_Projets!J124),MAX(I124,Obj_PA!D124)))</f>
        <v>1</v>
      </c>
      <c r="K124" s="1560">
        <f>IF(IF(OR(IndG=3,IndG=4),MAX(I124,J124),I124)&lt;1,1,IF(OR(IndG=3,IndG=4),MAX(I124,J124),I124))</f>
        <v>1</v>
      </c>
      <c r="L124" s="1650" t="str">
        <f>IF(E124=""," n'a pas démarré","")</f>
        <v xml:space="preserve"> n'a pas démarré</v>
      </c>
      <c r="M124" s="154"/>
      <c r="N124" s="154"/>
      <c r="O124" s="154"/>
      <c r="P124" s="154"/>
      <c r="Q124" s="154"/>
      <c r="R124" s="154"/>
      <c r="S124" s="154"/>
      <c r="T124" s="154"/>
      <c r="U124" s="154"/>
      <c r="V124" s="154"/>
      <c r="W124" s="154"/>
      <c r="X124" s="154"/>
      <c r="Y124" s="154"/>
      <c r="Z124" s="154"/>
      <c r="AA124" s="154"/>
      <c r="AB124" s="154"/>
      <c r="AC124" s="154"/>
      <c r="AD124" s="154"/>
      <c r="AE124" s="154"/>
      <c r="AF124" s="154"/>
      <c r="AG124" s="154"/>
      <c r="AH124" s="154"/>
      <c r="AI124" s="154"/>
      <c r="AJ124" s="154"/>
      <c r="AK124" s="154"/>
      <c r="AL124" s="154"/>
      <c r="AM124" s="154"/>
      <c r="AN124" s="154"/>
      <c r="AO124" s="154"/>
      <c r="AP124" s="154"/>
      <c r="AQ124" s="154"/>
      <c r="AR124" s="154"/>
      <c r="AS124" s="154"/>
      <c r="AT124" s="154"/>
      <c r="AU124" s="154"/>
      <c r="AV124" s="154"/>
      <c r="AW124" s="154"/>
      <c r="AX124" s="154"/>
      <c r="AY124" s="154"/>
      <c r="AZ124" s="154"/>
      <c r="BA124" s="154"/>
      <c r="BB124" s="154"/>
    </row>
    <row r="125" spans="1:54" s="527" customFormat="1" ht="15.75" customHeight="1" outlineLevel="1" x14ac:dyDescent="0.2">
      <c r="A125" s="1212"/>
      <c r="B125" s="1212" t="s">
        <v>6770</v>
      </c>
      <c r="C125" s="1220" t="s">
        <v>6771</v>
      </c>
      <c r="D125" s="1562" t="s">
        <v>2964</v>
      </c>
      <c r="E125" s="1559" t="str">
        <f>IF(NOT('05 Lan'!C176 = ""),'05 Lan'!C176,IF(COUNTIF('05 Lan'!C177:C181,"&gt;=0")=0,"", MIN(MAX(SUMPRODUCT('05 Lan'!C177:C181,'05 Lan'!$G177:$G181)*4/(SUM('05 Lan'!$G177:$G181) - SUMIF('05 Lan'!C177:C181,"X",'05 Lan'!$G177:$G181)),MAX('05 Lan'!AA177:AA181)),MIN('05 Lan'!AE177:AE181))))</f>
        <v/>
      </c>
      <c r="F125" s="1559" t="str">
        <f>IF(NOT('05 Lan'!D176 = ""),'05 Lan'!D176,IF(COUNTIF('05 Lan'!D177:D181,"&gt;=0")=0,"", MIN(MAX(SUMPRODUCT('05 Lan'!D177:D181,'05 Lan'!$G177:$G181)*4/(SUM('05 Lan'!$G177:$G181) - SUMIF('05 Lan'!D177:D181,"X",'05 Lan'!$G177:$G181)),MAX('05 Lan'!AB177:AB181)),MIN('05 Lan'!AF177:AF181))))</f>
        <v/>
      </c>
      <c r="G125" s="1559" t="str">
        <f>IF(NOT('05 Lan'!E176 = ""),'05 Lan'!E176,IF(COUNTIF('05 Lan'!E177:E181,"&gt;=0")=0,"", MIN(MAX(SUMPRODUCT('05 Lan'!E177:E181,'05 Lan'!$G177:$G181)*4/(SUM('05 Lan'!$G177:$G181) - SUMIF('05 Lan'!E177:E181,"X",'05 Lan'!$G177:$G181)),MAX('05 Lan'!AC177:AC181)),MIN('05 Lan'!AG177:AG181))))</f>
        <v/>
      </c>
      <c r="H125" s="1559" t="str">
        <f>IF(NOT('05 Lan'!F176 = ""),'05 Lan'!F176,IF(COUNTIF('05 Lan'!F177:F181,"&gt;=0")=0,"", MIN(MAX(SUMPRODUCT('05 Lan'!F177:F181,'05 Lan'!$G177:$G181)*4/(SUM('05 Lan'!$G177:$G181) - SUMIF('05 Lan'!F177:F181,"X",'05 Lan'!$G177:$G181)),MAX('05 Lan'!AD177:AD181)),MIN('05 Lan'!AH177:AH181))))</f>
        <v/>
      </c>
      <c r="I125" s="1557">
        <f>IF(AND(OR(E125="X",E125=""),OR(F125="X",F125=""),OR(G125="X",G125=""),OR(H125="X",H125="")),1,ROUND(MIN(IF(OR(E125="",E125="X"),4,E125),IF(OR(F125="",F125="X"),4,F125),IF(OR(G125="",G125="X"),4,G125),IF(OR(H125="",H125="X"),4,H125)),0))</f>
        <v>1</v>
      </c>
      <c r="J125" s="1557">
        <f>IF(I125="","",IF(IndG=3,MAX(I125,Obj_Projets!J125),MAX(I125,Obj_PA!D125)))</f>
        <v>1</v>
      </c>
      <c r="K125" s="1560">
        <f>IF(IF(OR(IndG=3,IndG=4),MAX(I125,J125),I125)&lt;1,1,IF(OR(IndG=3,IndG=4),MAX(I125,J125),I125))</f>
        <v>1</v>
      </c>
      <c r="L125" s="1650" t="str">
        <f>IF(E125=""," n'a pas démarré","")</f>
        <v xml:space="preserve"> n'a pas démarré</v>
      </c>
      <c r="M125" s="154"/>
      <c r="N125" s="154"/>
      <c r="O125" s="154"/>
      <c r="P125" s="154"/>
      <c r="Q125" s="154"/>
      <c r="R125" s="154"/>
      <c r="S125" s="154"/>
      <c r="T125" s="154"/>
      <c r="U125" s="154"/>
      <c r="V125" s="154"/>
      <c r="W125" s="154"/>
      <c r="X125" s="154"/>
      <c r="Y125" s="154"/>
      <c r="Z125" s="154"/>
      <c r="AA125" s="154"/>
      <c r="AB125" s="154"/>
      <c r="AC125" s="154"/>
      <c r="AD125" s="154"/>
      <c r="AE125" s="154"/>
      <c r="AF125" s="154"/>
      <c r="AG125" s="154"/>
      <c r="AH125" s="154"/>
      <c r="AI125" s="154"/>
      <c r="AJ125" s="154"/>
      <c r="AK125" s="154"/>
      <c r="AL125" s="154"/>
      <c r="AM125" s="154"/>
      <c r="AN125" s="154"/>
      <c r="AO125" s="154"/>
      <c r="AP125" s="154"/>
      <c r="AQ125" s="154"/>
      <c r="AR125" s="154"/>
      <c r="AS125" s="154"/>
      <c r="AT125" s="154"/>
      <c r="AU125" s="154"/>
      <c r="AV125" s="154"/>
      <c r="AW125" s="154"/>
      <c r="AX125" s="154"/>
      <c r="AY125" s="154"/>
      <c r="AZ125" s="154"/>
      <c r="BA125" s="154"/>
      <c r="BB125" s="154"/>
    </row>
    <row r="126" spans="1:54" s="527" customFormat="1" ht="15.75" customHeight="1" outlineLevel="1" x14ac:dyDescent="0.2">
      <c r="A126" s="1212"/>
      <c r="B126" s="1212" t="s">
        <v>6772</v>
      </c>
      <c r="C126" s="1219" t="s">
        <v>6773</v>
      </c>
      <c r="D126" s="1562" t="s">
        <v>2964</v>
      </c>
      <c r="E126" s="1559" t="str">
        <f>IF(NOT('05 Lan'!C182 = ""),'05 Lan'!C182,IF(COUNTIF('05 Lan'!C183:C187,"&gt;=0")=0,"", MIN(MAX(SUMPRODUCT('05 Lan'!C183:C187,'05 Lan'!$G183:$G187)*4/(SUM('05 Lan'!$G183:$G187) - SUMIF('05 Lan'!C183:C187,"X",'05 Lan'!$G183:$G187)),MAX('05 Lan'!AA183:AA187)),MIN('05 Lan'!AE183:AE187))))</f>
        <v/>
      </c>
      <c r="F126" s="1559" t="str">
        <f>IF(NOT('05 Lan'!D182 = ""),'05 Lan'!D182,IF(COUNTIF('05 Lan'!D183:D187,"&gt;=0")=0,"", MIN(MAX(SUMPRODUCT('05 Lan'!D183:D187,'05 Lan'!$G183:$G187)*4/(SUM('05 Lan'!$G183:$G187) - SUMIF('05 Lan'!D183:D187,"X",'05 Lan'!$G183:$G187)),MAX('05 Lan'!AB183:AB187)),MIN('05 Lan'!AF183:AF187))))</f>
        <v/>
      </c>
      <c r="G126" s="1559" t="str">
        <f>IF(NOT('05 Lan'!E182 = ""),'05 Lan'!E182,IF(COUNTIF('05 Lan'!E183:E187,"&gt;=0")=0,"", MIN(MAX(SUMPRODUCT('05 Lan'!E183:E187,'05 Lan'!$G183:$G187)*4/(SUM('05 Lan'!$G183:$G187) - SUMIF('05 Lan'!E183:E187,"X",'05 Lan'!$G183:$G187)),MAX('05 Lan'!AC183:AC187)),MIN('05 Lan'!AG183:AG187))))</f>
        <v/>
      </c>
      <c r="H126" s="1559" t="str">
        <f>IF(NOT('05 Lan'!F182 = ""),'05 Lan'!F182,IF(COUNTIF('05 Lan'!F183:F187,"&gt;=0")=0,"", MIN(MAX(SUMPRODUCT('05 Lan'!F183:F187,'05 Lan'!$G183:$G187)*4/(SUM('05 Lan'!$G183:$G187) - SUMIF('05 Lan'!F183:F187,"X",'05 Lan'!$G183:$G187)),MAX('05 Lan'!AD183:AD187)),MIN('05 Lan'!AH183:AH187))))</f>
        <v/>
      </c>
      <c r="I126" s="1557">
        <f>IF(AND(OR(E126="X",E126=""),OR(F126="X",F126=""),OR(G126="X",G126=""),OR(H126="X",H126="")),1,ROUND(MIN(IF(OR(E126="",E126="X"),4,E126),IF(OR(F126="",F126="X"),4,F126),IF(OR(G126="",G126="X"),4,G126),IF(OR(H126="",H126="X"),4,H126)),0))</f>
        <v>1</v>
      </c>
      <c r="J126" s="1557">
        <f>IF(I126="","",IF(IndG=3,MAX(I126,Obj_Projets!J126),MAX(I126,Obj_PA!D126)))</f>
        <v>1</v>
      </c>
      <c r="K126" s="1560">
        <f>IF(IF(OR(IndG=3,IndG=4),MAX(I126,J126),I126)&lt;1,1,IF(OR(IndG=3,IndG=4),MAX(I126,J126),I126))</f>
        <v>1</v>
      </c>
      <c r="L126" s="1650" t="str">
        <f>IF(E126=""," n'a pas démarré","")</f>
        <v xml:space="preserve"> n'a pas démarré</v>
      </c>
      <c r="M126" s="154"/>
      <c r="N126" s="154"/>
      <c r="O126" s="154"/>
      <c r="P126" s="154"/>
      <c r="Q126" s="154"/>
      <c r="R126" s="154"/>
      <c r="S126" s="154"/>
      <c r="T126" s="154"/>
      <c r="U126" s="154"/>
      <c r="V126" s="154"/>
      <c r="W126" s="154"/>
      <c r="X126" s="154"/>
      <c r="Y126" s="154"/>
      <c r="Z126" s="154"/>
      <c r="AA126" s="154"/>
      <c r="AB126" s="154"/>
      <c r="AC126" s="154"/>
      <c r="AD126" s="154"/>
      <c r="AE126" s="154"/>
      <c r="AF126" s="154"/>
      <c r="AG126" s="154"/>
      <c r="AH126" s="154"/>
      <c r="AI126" s="154"/>
      <c r="AJ126" s="154"/>
      <c r="AK126" s="154"/>
      <c r="AL126" s="154"/>
      <c r="AM126" s="154"/>
      <c r="AN126" s="154"/>
      <c r="AO126" s="154"/>
      <c r="AP126" s="154"/>
      <c r="AQ126" s="154"/>
      <c r="AR126" s="154"/>
      <c r="AS126" s="154"/>
      <c r="AT126" s="154"/>
      <c r="AU126" s="154"/>
      <c r="AV126" s="154"/>
      <c r="AW126" s="154"/>
      <c r="AX126" s="154"/>
      <c r="AY126" s="154"/>
      <c r="AZ126" s="154"/>
      <c r="BA126" s="154"/>
      <c r="BB126" s="154"/>
    </row>
    <row r="127" spans="1:54" s="527" customFormat="1" ht="15.75" customHeight="1" outlineLevel="1" x14ac:dyDescent="0.2">
      <c r="A127" s="1212"/>
      <c r="B127" s="1213" t="s">
        <v>3869</v>
      </c>
      <c r="C127" s="1214" t="s">
        <v>6168</v>
      </c>
      <c r="D127" s="1554"/>
      <c r="E127" s="1559"/>
      <c r="F127" s="1559"/>
      <c r="G127" s="1559"/>
      <c r="H127" s="1559"/>
      <c r="I127" s="1561"/>
      <c r="J127" s="1561"/>
      <c r="K127" s="1561"/>
      <c r="L127" s="1650"/>
      <c r="M127" s="154"/>
      <c r="N127" s="154"/>
      <c r="O127" s="154"/>
      <c r="P127" s="154"/>
      <c r="Q127" s="154"/>
      <c r="R127" s="154"/>
      <c r="S127" s="154"/>
      <c r="T127" s="154"/>
      <c r="U127" s="154"/>
      <c r="V127" s="154"/>
      <c r="W127" s="154"/>
      <c r="X127" s="154"/>
      <c r="Y127" s="154"/>
      <c r="Z127" s="154"/>
      <c r="AA127" s="154"/>
      <c r="AB127" s="154"/>
      <c r="AC127" s="154"/>
      <c r="AD127" s="154"/>
      <c r="AE127" s="154"/>
      <c r="AF127" s="154"/>
      <c r="AG127" s="154"/>
      <c r="AH127" s="154"/>
      <c r="AI127" s="154"/>
      <c r="AJ127" s="154"/>
      <c r="AK127" s="154"/>
      <c r="AL127" s="154"/>
      <c r="AM127" s="154"/>
      <c r="AN127" s="154"/>
      <c r="AO127" s="154"/>
      <c r="AP127" s="154"/>
      <c r="AQ127" s="154"/>
      <c r="AR127" s="154"/>
      <c r="AS127" s="154"/>
      <c r="AT127" s="154"/>
      <c r="AU127" s="154"/>
      <c r="AV127" s="154"/>
      <c r="AW127" s="154"/>
      <c r="AX127" s="154"/>
      <c r="AY127" s="154"/>
      <c r="AZ127" s="154"/>
      <c r="BA127" s="154"/>
      <c r="BB127" s="154"/>
    </row>
    <row r="128" spans="1:54" s="527" customFormat="1" ht="15.75" customHeight="1" outlineLevel="1" x14ac:dyDescent="0.2">
      <c r="A128" s="1212"/>
      <c r="B128" s="1212" t="s">
        <v>6438</v>
      </c>
      <c r="C128" s="1219" t="s">
        <v>1139</v>
      </c>
      <c r="D128" s="1562" t="s">
        <v>2775</v>
      </c>
      <c r="E128" s="1559" t="str">
        <f>IF(NOT('05 Lan'!C189 = ""),'05 Lan'!C189,IF(COUNTIF('05 Lan'!C190:C199,"&gt;=0")=0,"", MIN(MAX(SUMPRODUCT('05 Lan'!C190:C199,'05 Lan'!$G190:$G199)*4/(SUM('05 Lan'!$G190:$G199) - SUMIF('05 Lan'!C190:C199,"X",'05 Lan'!$G190:$G199)),MAX('05 Lan'!AA190:AA199)),MIN('05 Lan'!AE190:AE199))))</f>
        <v/>
      </c>
      <c r="F128" s="1559" t="str">
        <f>IF(NOT('05 Lan'!D189 = ""),'05 Lan'!D189,IF(COUNTIF('05 Lan'!D190:D199,"&gt;=0")=0,"", MIN(MAX(SUMPRODUCT('05 Lan'!D190:D199,'05 Lan'!$G190:$G199)*4/(SUM('05 Lan'!$G190:$G199) - SUMIF('05 Lan'!D190:D199,"X",'05 Lan'!$G190:$G199)),MAX('05 Lan'!AB190:AB199)),MIN('05 Lan'!AF190:AF199))))</f>
        <v/>
      </c>
      <c r="G128" s="1559" t="str">
        <f>IF(NOT('05 Lan'!E189 = ""),'05 Lan'!E189,IF(COUNTIF('05 Lan'!E190:E199,"&gt;=0")=0,"", MIN(MAX(SUMPRODUCT('05 Lan'!E190:E199,'05 Lan'!$G190:$G199)*4/(SUM('05 Lan'!$G190:$G199) - SUMIF('05 Lan'!E190:E199,"X",'05 Lan'!$G190:$G199)),MAX('05 Lan'!AC190:AC199)),MIN('05 Lan'!AG190:AG199))))</f>
        <v/>
      </c>
      <c r="H128" s="1559" t="str">
        <f>IF(NOT('05 Lan'!F189 = ""),'05 Lan'!F189,IF(COUNTIF('05 Lan'!F190:F199,"&gt;=0")=0,"", MIN(MAX(SUMPRODUCT('05 Lan'!F190:F199,'05 Lan'!$G190:$G199)*4/(SUM('05 Lan'!$G190:$G199) - SUMIF('05 Lan'!F190:F199,"X",'05 Lan'!$G190:$G199)),MAX('05 Lan'!AD190:AD199)),MIN('05 Lan'!AH190:AH199))))</f>
        <v/>
      </c>
      <c r="I128" s="1557">
        <f>IF(AND(OR(E128="X",E128=""),OR(F128="X",F128=""),OR(G128="X",G128=""),OR(H128="X",H128="")),1,ROUND(MIN(IF(OR(E128="",E128="X"),4,E128),IF(OR(F128="",F128="X"),4,F128),IF(OR(G128="",G128="X"),4,G128),IF(OR(H128="",H128="X"),4,H128)),0))</f>
        <v>1</v>
      </c>
      <c r="J128" s="1557">
        <f>IF(I128="","",IF(IndG=3,MAX(I128,Obj_Projets!J128),MAX(I128,Obj_PA!D128)))</f>
        <v>1</v>
      </c>
      <c r="K128" s="1560">
        <f>IF(IF(OR(IndG=3,IndG=4),MAX(I128,J128),I128)&lt;1,1,IF(OR(IndG=3,IndG=4),MAX(I128,J128),I128))</f>
        <v>1</v>
      </c>
      <c r="L128" s="1650" t="str">
        <f>IF(E128=""," n'a pas démarré","")</f>
        <v xml:space="preserve"> n'a pas démarré</v>
      </c>
      <c r="M128" s="154"/>
      <c r="N128" s="154"/>
      <c r="O128" s="154"/>
      <c r="P128" s="154"/>
      <c r="Q128" s="154"/>
      <c r="R128" s="154"/>
      <c r="S128" s="154"/>
      <c r="T128" s="154"/>
      <c r="U128" s="154"/>
      <c r="V128" s="154"/>
      <c r="W128" s="154"/>
      <c r="X128" s="154"/>
      <c r="Y128" s="154"/>
      <c r="Z128" s="154"/>
      <c r="AA128" s="154"/>
      <c r="AB128" s="154"/>
      <c r="AC128" s="154"/>
      <c r="AD128" s="154"/>
      <c r="AE128" s="154"/>
      <c r="AF128" s="154"/>
      <c r="AG128" s="154"/>
      <c r="AH128" s="154"/>
      <c r="AI128" s="154"/>
      <c r="AJ128" s="154"/>
      <c r="AK128" s="154"/>
      <c r="AL128" s="154"/>
      <c r="AM128" s="154"/>
      <c r="AN128" s="154"/>
      <c r="AO128" s="154"/>
      <c r="AP128" s="154"/>
      <c r="AQ128" s="154"/>
      <c r="AR128" s="154"/>
      <c r="AS128" s="154"/>
      <c r="AT128" s="154"/>
      <c r="AU128" s="154"/>
      <c r="AV128" s="154"/>
      <c r="AW128" s="154"/>
      <c r="AX128" s="154"/>
      <c r="AY128" s="154"/>
      <c r="AZ128" s="154"/>
      <c r="BA128" s="154"/>
      <c r="BB128" s="154"/>
    </row>
    <row r="129" spans="1:54" s="527" customFormat="1" ht="15.75" customHeight="1" outlineLevel="1" x14ac:dyDescent="0.2">
      <c r="A129" s="1212"/>
      <c r="B129" s="1212" t="s">
        <v>1140</v>
      </c>
      <c r="C129" s="1219" t="s">
        <v>1141</v>
      </c>
      <c r="D129" s="1562" t="s">
        <v>2775</v>
      </c>
      <c r="E129" s="1559" t="str">
        <f>IF(NOT('05 Lan'!C200 = ""),'05 Lan'!C200,IF(COUNTIF('05 Lan'!C201:C210,"&gt;=0")=0,"", MIN(MAX(SUMPRODUCT('05 Lan'!C201:C210,'05 Lan'!$G201:$G210)*4/(SUM('05 Lan'!$G201:$G210) - SUMIF('05 Lan'!C201:C210,"X",'05 Lan'!$G201:$G210)),MAX('05 Lan'!AA201:AA210)),MIN('05 Lan'!AE201:AE210))))</f>
        <v/>
      </c>
      <c r="F129" s="1559" t="str">
        <f>IF(NOT('05 Lan'!D200 = ""),'05 Lan'!D200,IF(COUNTIF('05 Lan'!D201:D210,"&gt;=0")=0,"", MIN(MAX(SUMPRODUCT('05 Lan'!D201:D210,'05 Lan'!$G201:$G210)*4/(SUM('05 Lan'!$G201:$G210) - SUMIF('05 Lan'!D201:D210,"X",'05 Lan'!$G201:$G210)),MAX('05 Lan'!AB201:AB210)),MIN('05 Lan'!AF201:AF210))))</f>
        <v/>
      </c>
      <c r="G129" s="1559" t="str">
        <f>IF(NOT('05 Lan'!E200 = ""),'05 Lan'!E200,IF(COUNTIF('05 Lan'!E201:E210,"&gt;=0")=0,"", MIN(MAX(SUMPRODUCT('05 Lan'!E201:E210,'05 Lan'!$G201:$G210)*4/(SUM('05 Lan'!$G201:$G210) - SUMIF('05 Lan'!E201:E210,"X",'05 Lan'!$G201:$G210)),MAX('05 Lan'!AC201:AC210)),MIN('05 Lan'!AG201:AG210))))</f>
        <v/>
      </c>
      <c r="H129" s="1559" t="str">
        <f>IF(NOT('05 Lan'!F200 = ""),'05 Lan'!F200,IF(COUNTIF('05 Lan'!F201:F210,"&gt;=0")=0,"", MIN(MAX(SUMPRODUCT('05 Lan'!F201:F210,'05 Lan'!$G201:$G210)*4/(SUM('05 Lan'!$G201:$G210) - SUMIF('05 Lan'!F201:F210,"X",'05 Lan'!$G201:$G210)),MAX('05 Lan'!AD201:AD210)),MIN('05 Lan'!AH201:AH210))))</f>
        <v/>
      </c>
      <c r="I129" s="1557">
        <f>IF(AND(OR(E129="X",E129=""),OR(F129="X",F129=""),OR(G129="X",G129=""),OR(H129="X",H129="")),1,ROUND(MIN(IF(OR(E129="",E129="X"),4,E129),IF(OR(F129="",F129="X"),4,F129),IF(OR(G129="",G129="X"),4,G129),IF(OR(H129="",H129="X"),4,H129)),0))</f>
        <v>1</v>
      </c>
      <c r="J129" s="1557">
        <f>IF(I129="","",IF(IndG=3,MAX(I129,Obj_Projets!J129),MAX(I129,Obj_PA!D129)))</f>
        <v>1</v>
      </c>
      <c r="K129" s="1560">
        <f>IF(IF(OR(IndG=3,IndG=4),MAX(I129,J129),I129)&lt;1,1,IF(OR(IndG=3,IndG=4),MAX(I129,J129),I129))</f>
        <v>1</v>
      </c>
      <c r="L129" s="1650" t="str">
        <f>IF(E129=""," n'a pas démarré","")</f>
        <v xml:space="preserve"> n'a pas démarré</v>
      </c>
      <c r="M129" s="154"/>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54"/>
      <c r="AM129" s="154"/>
      <c r="AN129" s="154"/>
      <c r="AO129" s="154"/>
      <c r="AP129" s="154"/>
      <c r="AQ129" s="154"/>
      <c r="AR129" s="154"/>
      <c r="AS129" s="154"/>
      <c r="AT129" s="154"/>
      <c r="AU129" s="154"/>
      <c r="AV129" s="154"/>
      <c r="AW129" s="154"/>
      <c r="AX129" s="154"/>
      <c r="AY129" s="154"/>
      <c r="AZ129" s="154"/>
      <c r="BA129" s="154"/>
      <c r="BB129" s="154"/>
    </row>
    <row r="130" spans="1:54" s="527" customFormat="1" ht="15.75" customHeight="1" outlineLevel="1" x14ac:dyDescent="0.2">
      <c r="A130" s="1212"/>
      <c r="B130" s="1212" t="s">
        <v>1142</v>
      </c>
      <c r="C130" s="1219" t="s">
        <v>1143</v>
      </c>
      <c r="D130" s="1562" t="s">
        <v>2775</v>
      </c>
      <c r="E130" s="1559" t="str">
        <f>IF(NOT('05 Lan'!C211 = ""),'05 Lan'!C211,IF(COUNTIF('05 Lan'!C212:C219,"&gt;=0")=0,"", MIN(MAX(SUMPRODUCT('05 Lan'!C212:C219,'05 Lan'!$G212:$G219)*4/(SUM('05 Lan'!$G212:$G219) - SUMIF('05 Lan'!C212:C219,"X",'05 Lan'!$G212:$G219)),MAX('05 Lan'!AA212:AA219)),MIN('05 Lan'!AE212:AE219))))</f>
        <v/>
      </c>
      <c r="F130" s="1559" t="str">
        <f>IF(NOT('05 Lan'!D211 = ""),'05 Lan'!D211,IF(COUNTIF('05 Lan'!D212:D219,"&gt;=0")=0,"", MIN(MAX(SUMPRODUCT('05 Lan'!D212:D219,'05 Lan'!$G212:$G219)*4/(SUM('05 Lan'!$G212:$G219) - SUMIF('05 Lan'!D212:D219,"X",'05 Lan'!$G212:$G219)),MAX('05 Lan'!AB212:AB219)),MIN('05 Lan'!AF212:AF219))))</f>
        <v/>
      </c>
      <c r="G130" s="1559" t="str">
        <f>IF(NOT('05 Lan'!E211 = ""),'05 Lan'!E211,IF(COUNTIF('05 Lan'!E212:E219,"&gt;=0")=0,"", MIN(MAX(SUMPRODUCT('05 Lan'!E212:E219,'05 Lan'!$G212:$G219)*4/(SUM('05 Lan'!$G212:$G219) - SUMIF('05 Lan'!E212:E219,"X",'05 Lan'!$G212:$G219)),MAX('05 Lan'!AC212:AC219)),MIN('05 Lan'!AG212:AG219))))</f>
        <v/>
      </c>
      <c r="H130" s="1559" t="str">
        <f>IF(NOT('05 Lan'!F211 = ""),'05 Lan'!F211,IF(COUNTIF('05 Lan'!F212:F219,"&gt;=0")=0,"", MIN(MAX(SUMPRODUCT('05 Lan'!F212:F219,'05 Lan'!$G212:$G219)*4/(SUM('05 Lan'!$G212:$G219) - SUMIF('05 Lan'!F212:F219,"X",'05 Lan'!$G212:$G219)),MAX('05 Lan'!AD212:AD219)),MIN('05 Lan'!AH212:AH219))))</f>
        <v/>
      </c>
      <c r="I130" s="1557">
        <f>IF(AND(OR(E130="X",E130=""),OR(F130="X",F130=""),OR(G130="X",G130=""),OR(H130="X",H130="")),1,ROUND(MIN(IF(OR(E130="",E130="X"),4,E130),IF(OR(F130="",F130="X"),4,F130),IF(OR(G130="",G130="X"),4,G130),IF(OR(H130="",H130="X"),4,H130)),0))</f>
        <v>1</v>
      </c>
      <c r="J130" s="1557">
        <f>IF(I130="","",IF(IndG=3,MAX(I130,Obj_Projets!J130),MAX(I130,Obj_PA!D130)))</f>
        <v>1</v>
      </c>
      <c r="K130" s="1560">
        <f>IF(IF(OR(IndG=3,IndG=4),MAX(I130,J130),I130)&lt;1,1,IF(OR(IndG=3,IndG=4),MAX(I130,J130),I130))</f>
        <v>1</v>
      </c>
      <c r="L130" s="1650" t="str">
        <f>IF(E130=""," n'a pas démarré","")</f>
        <v xml:space="preserve"> n'a pas démarré</v>
      </c>
      <c r="M130" s="154"/>
      <c r="N130" s="154"/>
      <c r="O130" s="154"/>
      <c r="P130" s="154"/>
      <c r="Q130" s="154"/>
      <c r="R130" s="154"/>
      <c r="S130" s="154"/>
      <c r="T130" s="154"/>
      <c r="U130" s="154"/>
      <c r="V130" s="154"/>
      <c r="W130" s="154"/>
      <c r="X130" s="154"/>
      <c r="Y130" s="154"/>
      <c r="Z130" s="154"/>
      <c r="AA130" s="154"/>
      <c r="AB130" s="154"/>
      <c r="AC130" s="154"/>
      <c r="AD130" s="154"/>
      <c r="AE130" s="154"/>
      <c r="AF130" s="154"/>
      <c r="AG130" s="154"/>
      <c r="AH130" s="154"/>
      <c r="AI130" s="154"/>
      <c r="AJ130" s="154"/>
      <c r="AK130" s="154"/>
      <c r="AL130" s="154"/>
      <c r="AM130" s="154"/>
      <c r="AN130" s="154"/>
      <c r="AO130" s="154"/>
      <c r="AP130" s="154"/>
      <c r="AQ130" s="154"/>
      <c r="AR130" s="154"/>
      <c r="AS130" s="154"/>
      <c r="AT130" s="154"/>
      <c r="AU130" s="154"/>
      <c r="AV130" s="154"/>
      <c r="AW130" s="154"/>
      <c r="AX130" s="154"/>
      <c r="AY130" s="154"/>
      <c r="AZ130" s="154"/>
      <c r="BA130" s="154"/>
      <c r="BB130" s="154"/>
    </row>
    <row r="131" spans="1:54" ht="15.75" customHeight="1" x14ac:dyDescent="0.2">
      <c r="A131" s="1228" t="s">
        <v>2248</v>
      </c>
      <c r="B131" s="1990" t="s">
        <v>6416</v>
      </c>
      <c r="C131" s="1991"/>
      <c r="D131" s="1563"/>
      <c r="E131" s="1564"/>
      <c r="F131" s="1564"/>
      <c r="G131" s="1564"/>
      <c r="H131" s="1564"/>
      <c r="I131" s="1568"/>
      <c r="J131" s="1568"/>
      <c r="K131" s="1568"/>
      <c r="L131" s="1653"/>
    </row>
    <row r="132" spans="1:54" s="527" customFormat="1" ht="15.75" customHeight="1" outlineLevel="1" x14ac:dyDescent="0.2">
      <c r="A132" s="1212"/>
      <c r="B132" s="1213" t="s">
        <v>2667</v>
      </c>
      <c r="C132" s="1214" t="s">
        <v>2604</v>
      </c>
      <c r="D132" s="1554"/>
      <c r="E132" s="1559"/>
      <c r="F132" s="1559"/>
      <c r="G132" s="1559"/>
      <c r="H132" s="1559"/>
      <c r="I132" s="1561"/>
      <c r="J132" s="1561"/>
      <c r="K132" s="1561"/>
      <c r="L132" s="1650"/>
      <c r="M132" s="154"/>
      <c r="N132" s="154"/>
      <c r="O132" s="154"/>
      <c r="P132" s="154"/>
      <c r="Q132" s="154"/>
      <c r="R132" s="154"/>
      <c r="S132" s="154"/>
      <c r="T132" s="154"/>
      <c r="U132" s="154"/>
      <c r="V132" s="154"/>
      <c r="W132" s="154"/>
      <c r="X132" s="154"/>
      <c r="Y132" s="154"/>
      <c r="Z132" s="154"/>
      <c r="AA132" s="154"/>
      <c r="AB132" s="154"/>
      <c r="AC132" s="154"/>
      <c r="AD132" s="154"/>
      <c r="AE132" s="154"/>
      <c r="AF132" s="154"/>
      <c r="AG132" s="154"/>
      <c r="AH132" s="154"/>
      <c r="AI132" s="154"/>
      <c r="AJ132" s="154"/>
      <c r="AK132" s="154"/>
      <c r="AL132" s="154"/>
      <c r="AM132" s="154"/>
      <c r="AN132" s="154"/>
      <c r="AO132" s="154"/>
      <c r="AP132" s="154"/>
      <c r="AQ132" s="154"/>
      <c r="AR132" s="154"/>
      <c r="AS132" s="154"/>
      <c r="AT132" s="154"/>
      <c r="AU132" s="154"/>
      <c r="AV132" s="154"/>
      <c r="AW132" s="154"/>
      <c r="AX132" s="154"/>
      <c r="AY132" s="154"/>
      <c r="AZ132" s="154"/>
      <c r="BA132" s="154"/>
      <c r="BB132" s="154"/>
    </row>
    <row r="133" spans="1:54" s="527" customFormat="1" ht="15.75" customHeight="1" outlineLevel="1" x14ac:dyDescent="0.2">
      <c r="A133" s="1212"/>
      <c r="B133" s="1212" t="s">
        <v>41</v>
      </c>
      <c r="C133" s="1219" t="s">
        <v>4529</v>
      </c>
      <c r="D133" s="1562" t="s">
        <v>4246</v>
      </c>
      <c r="E133" s="1559" t="str">
        <f>IF(NOT('06 Exr'!C4 = ""),'06 Exr'!C4,IF(COUNTIF('06 Exr'!C5:C15,"&gt;=0")=0,"", MIN(MAX(SUMPRODUCT('06 Exr'!C5:C15,'06 Exr'!$G5:$G15)*4/(SUM('06 Exr'!$G5:$G15) - SUMIF('06 Exr'!C5:C15,"X",'06 Exr'!$G5:$G15)),MAX('06 Exr'!AA5:AA15)),MIN('06 Exr'!AE5:AE15))))</f>
        <v/>
      </c>
      <c r="F133" s="1559" t="str">
        <f>IF(NOT('06 Exr'!D4 = ""),'06 Exr'!D4,IF(COUNTIF('06 Exr'!D5:D15,"&gt;=0")=0,"", MIN(MAX(SUMPRODUCT('06 Exr'!D5:D15,'06 Exr'!$G5:$G15)*4/(SUM('06 Exr'!$G5:$G15) - SUMIF('06 Exr'!D5:D15,"X",'06 Exr'!$G5:$G15)),MAX('06 Exr'!AB5:AB15)),MIN('06 Exr'!AF5:AF15))))</f>
        <v/>
      </c>
      <c r="G133" s="1559" t="str">
        <f>IF(NOT('06 Exr'!E4 = ""),'06 Exr'!E4,IF(COUNTIF('06 Exr'!E5:E15,"&gt;=0")=0,"", MIN(MAX(SUMPRODUCT('06 Exr'!E5:E15,'06 Exr'!$G5:$G15)*4/(SUM('06 Exr'!$G5:$G15) - SUMIF('06 Exr'!E5:E15,"X",'06 Exr'!$G5:$G15)),MAX('06 Exr'!AC5:AC15)),MIN('06 Exr'!AG5:AG15))))</f>
        <v/>
      </c>
      <c r="H133" s="1559" t="str">
        <f>IF(NOT('06 Exr'!F4 = ""),'06 Exr'!F4,IF(COUNTIF('06 Exr'!F5:F15,"&gt;=0")=0,"", MIN(MAX(SUMPRODUCT('06 Exr'!F5:F15,'06 Exr'!$G5:$G15)*4/(SUM('06 Exr'!$G5:$G15) - SUMIF('06 Exr'!F5:F15,"X",'06 Exr'!$G5:$G15)),MAX('06 Exr'!AD5:AD15)),MIN('06 Exr'!AH5:AH15))))</f>
        <v/>
      </c>
      <c r="I133" s="1557">
        <f t="shared" ref="I133:I140" si="24">IF(AND(OR(E133="X",E133=""),OR(F133="X",F133=""),OR(G133="X",G133=""),OR(H133="X",H133="")),1,ROUND(MIN(IF(OR(E133="",E133="X"),4,E133),IF(OR(F133="",F133="X"),4,F133),IF(OR(G133="",G133="X"),4,G133),IF(OR(H133="",H133="X"),4,H133)),0))</f>
        <v>1</v>
      </c>
      <c r="J133" s="1557">
        <f>IF(I133="","",IF(IndG=3,MAX(I133,Obj_Projets!J133),MAX(I133,Obj_PA!D133)))</f>
        <v>1</v>
      </c>
      <c r="K133" s="1560">
        <f t="shared" ref="K133:K140" si="25">IF(IF(OR(IndG=3,IndG=4),MAX(I133,J133),I133)&lt;1,1,IF(OR(IndG=3,IndG=4),MAX(I133,J133),I133))</f>
        <v>1</v>
      </c>
      <c r="L133" s="1650" t="str">
        <f t="shared" ref="L133:L140" si="26">IF(E133=""," n'a pas démarré","")</f>
        <v xml:space="preserve"> n'a pas démarré</v>
      </c>
      <c r="M133" s="154"/>
      <c r="N133" s="154"/>
      <c r="O133" s="154"/>
      <c r="P133" s="154"/>
      <c r="Q133" s="154"/>
      <c r="R133" s="154"/>
      <c r="S133" s="154"/>
      <c r="T133" s="154"/>
      <c r="U133" s="154"/>
      <c r="V133" s="154"/>
      <c r="W133" s="154"/>
      <c r="X133" s="154"/>
      <c r="Y133" s="154"/>
      <c r="Z133" s="154"/>
      <c r="AA133" s="154"/>
      <c r="AB133" s="154"/>
      <c r="AC133" s="154"/>
      <c r="AD133" s="154"/>
      <c r="AE133" s="154"/>
      <c r="AF133" s="154"/>
      <c r="AG133" s="154"/>
      <c r="AH133" s="154"/>
      <c r="AI133" s="154"/>
      <c r="AJ133" s="154"/>
      <c r="AK133" s="154"/>
      <c r="AL133" s="154"/>
      <c r="AM133" s="154"/>
      <c r="AN133" s="154"/>
      <c r="AO133" s="154"/>
      <c r="AP133" s="154"/>
      <c r="AQ133" s="154"/>
      <c r="AR133" s="154"/>
      <c r="AS133" s="154"/>
      <c r="AT133" s="154"/>
      <c r="AU133" s="154"/>
      <c r="AV133" s="154"/>
      <c r="AW133" s="154"/>
      <c r="AX133" s="154"/>
      <c r="AY133" s="154"/>
      <c r="AZ133" s="154"/>
      <c r="BA133" s="154"/>
      <c r="BB133" s="154"/>
    </row>
    <row r="134" spans="1:54" s="527" customFormat="1" ht="15.75" customHeight="1" outlineLevel="1" x14ac:dyDescent="0.2">
      <c r="A134" s="1212"/>
      <c r="B134" s="1212" t="s">
        <v>4530</v>
      </c>
      <c r="C134" s="1219" t="s">
        <v>4510</v>
      </c>
      <c r="D134" s="1562" t="s">
        <v>4246</v>
      </c>
      <c r="E134" s="1559" t="str">
        <f>IF(NOT('06 Exr'!C16 = ""),'06 Exr'!C16,IF(COUNTIF('06 Exr'!C17:C31,"&gt;=0")=0,"", MIN(MAX(SUMPRODUCT('06 Exr'!C17:C31,'06 Exr'!$G17:$G31)*4/(SUM('06 Exr'!$G17:$G31) - SUMIF('06 Exr'!C17:C31,"X",'06 Exr'!$G17:$G31)),MAX('06 Exr'!AA17:AA31)),MIN('06 Exr'!AE17:AE31))))</f>
        <v/>
      </c>
      <c r="F134" s="1559" t="str">
        <f>IF(NOT('06 Exr'!D16 = ""),'06 Exr'!D16,IF(COUNTIF('06 Exr'!D17:D31,"&gt;=0")=0,"", MIN(MAX(SUMPRODUCT('06 Exr'!D17:D31,'06 Exr'!$G17:$G31)*4/(SUM('06 Exr'!$G17:$G31) - SUMIF('06 Exr'!D17:D31,"X",'06 Exr'!$G17:$G31)),MAX('06 Exr'!AB17:AB31)),MIN('06 Exr'!AF17:AF31))))</f>
        <v/>
      </c>
      <c r="G134" s="1559" t="str">
        <f>IF(NOT('06 Exr'!E16 = ""),'06 Exr'!E16,IF(COUNTIF('06 Exr'!E17:E31,"&gt;=0")=0,"", MIN(MAX(SUMPRODUCT('06 Exr'!E17:E31,'06 Exr'!$G17:$G31)*4/(SUM('06 Exr'!$G17:$G31) - SUMIF('06 Exr'!E17:E31,"X",'06 Exr'!$G17:$G31)),MAX('06 Exr'!AC17:AC31)),MIN('06 Exr'!AG17:AG31))))</f>
        <v/>
      </c>
      <c r="H134" s="1559" t="str">
        <f>IF(NOT('06 Exr'!F16 = ""),'06 Exr'!F16,IF(COUNTIF('06 Exr'!F17:F31,"&gt;=0")=0,"", MIN(MAX(SUMPRODUCT('06 Exr'!F17:F31,'06 Exr'!$G17:$G31)*4/(SUM('06 Exr'!$G17:$G31) - SUMIF('06 Exr'!F17:F31,"X",'06 Exr'!$G17:$G31)),MAX('06 Exr'!AD17:AD31)),MIN('06 Exr'!AH17:AH31))))</f>
        <v/>
      </c>
      <c r="I134" s="1557">
        <f t="shared" si="24"/>
        <v>1</v>
      </c>
      <c r="J134" s="1557">
        <f>IF(I134="","",IF(IndG=3,MAX(I134,Obj_Projets!J134),MAX(I134,Obj_PA!D134)))</f>
        <v>1</v>
      </c>
      <c r="K134" s="1560">
        <f t="shared" si="25"/>
        <v>1</v>
      </c>
      <c r="L134" s="1650" t="str">
        <f t="shared" si="26"/>
        <v xml:space="preserve"> n'a pas démarré</v>
      </c>
      <c r="M134" s="154"/>
      <c r="N134" s="154"/>
      <c r="O134" s="154"/>
      <c r="P134" s="154"/>
      <c r="Q134" s="154"/>
      <c r="R134" s="154"/>
      <c r="S134" s="154"/>
      <c r="T134" s="154"/>
      <c r="U134" s="154"/>
      <c r="V134" s="154"/>
      <c r="W134" s="154"/>
      <c r="X134" s="154"/>
      <c r="Y134" s="154"/>
      <c r="Z134" s="154"/>
      <c r="AA134" s="154"/>
      <c r="AB134" s="154"/>
      <c r="AC134" s="154"/>
      <c r="AD134" s="154"/>
      <c r="AE134" s="154"/>
      <c r="AF134" s="154"/>
      <c r="AG134" s="154"/>
      <c r="AH134" s="154"/>
      <c r="AI134" s="154"/>
      <c r="AJ134" s="154"/>
      <c r="AK134" s="154"/>
      <c r="AL134" s="154"/>
      <c r="AM134" s="154"/>
      <c r="AN134" s="154"/>
      <c r="AO134" s="154"/>
      <c r="AP134" s="154"/>
      <c r="AQ134" s="154"/>
      <c r="AR134" s="154"/>
      <c r="AS134" s="154"/>
      <c r="AT134" s="154"/>
      <c r="AU134" s="154"/>
      <c r="AV134" s="154"/>
      <c r="AW134" s="154"/>
      <c r="AX134" s="154"/>
      <c r="AY134" s="154"/>
      <c r="AZ134" s="154"/>
      <c r="BA134" s="154"/>
      <c r="BB134" s="154"/>
    </row>
    <row r="135" spans="1:54" s="527" customFormat="1" ht="15.75" customHeight="1" outlineLevel="1" x14ac:dyDescent="0.2">
      <c r="A135" s="1212"/>
      <c r="B135" s="1212" t="s">
        <v>4511</v>
      </c>
      <c r="C135" s="1219" t="s">
        <v>4512</v>
      </c>
      <c r="D135" s="1562" t="s">
        <v>4246</v>
      </c>
      <c r="E135" s="1559" t="str">
        <f>IF(NOT('06 Exr'!C32 = ""),'06 Exr'!C32,IF(COUNTIF('06 Exr'!C33:C38,"&gt;=0")=0,"", MIN(MAX(SUMPRODUCT('06 Exr'!C33:C38,'06 Exr'!$G33:$G38)*4/(SUM('06 Exr'!$G33:$G38) - SUMIF('06 Exr'!C33:C38,"X",'06 Exr'!$G33:$G38)),MAX('06 Exr'!AA33:AA38)),MIN('06 Exr'!AE33:AE38))))</f>
        <v/>
      </c>
      <c r="F135" s="1559" t="str">
        <f>IF(NOT('06 Exr'!D32 = ""),'06 Exr'!D32,IF(COUNTIF('06 Exr'!D33:D38,"&gt;=0")=0,"", MIN(MAX(SUMPRODUCT('06 Exr'!D33:D38,'06 Exr'!$G33:$G38)*4/(SUM('06 Exr'!$G33:$G38) - SUMIF('06 Exr'!D33:D38,"X",'06 Exr'!$G33:$G38)),MAX('06 Exr'!AB33:AB38)),MIN('06 Exr'!AF33:AF38))))</f>
        <v/>
      </c>
      <c r="G135" s="1559" t="str">
        <f>IF(NOT('06 Exr'!E32 = ""),'06 Exr'!E32,IF(COUNTIF('06 Exr'!E33:E38,"&gt;=0")=0,"", MIN(MAX(SUMPRODUCT('06 Exr'!E33:E38,'06 Exr'!$G33:$G38)*4/(SUM('06 Exr'!$G33:$G38) - SUMIF('06 Exr'!E33:E38,"X",'06 Exr'!$G33:$G38)),MAX('06 Exr'!AC33:AC38)),MIN('06 Exr'!AG33:AG38))))</f>
        <v/>
      </c>
      <c r="H135" s="1559" t="str">
        <f>IF(NOT('06 Exr'!F32 = ""),'06 Exr'!F32,IF(COUNTIF('06 Exr'!F33:F38,"&gt;=0")=0,"", MIN(MAX(SUMPRODUCT('06 Exr'!F33:F38,'06 Exr'!$G33:$G38)*4/(SUM('06 Exr'!$G33:$G38) - SUMIF('06 Exr'!F33:F38,"X",'06 Exr'!$G33:$G38)),MAX('06 Exr'!AD33:AD38)),MIN('06 Exr'!AH33:AH38))))</f>
        <v/>
      </c>
      <c r="I135" s="1557">
        <f t="shared" si="24"/>
        <v>1</v>
      </c>
      <c r="J135" s="1557">
        <f>IF(I135="","",IF(IndG=3,MAX(I135,Obj_Projets!J135),MAX(I135,Obj_PA!D135)))</f>
        <v>1</v>
      </c>
      <c r="K135" s="1560">
        <f t="shared" si="25"/>
        <v>1</v>
      </c>
      <c r="L135" s="1650" t="str">
        <f t="shared" si="26"/>
        <v xml:space="preserve"> n'a pas démarré</v>
      </c>
      <c r="M135" s="154"/>
      <c r="N135" s="154"/>
      <c r="O135" s="154"/>
      <c r="P135" s="154"/>
      <c r="Q135" s="154"/>
      <c r="R135" s="154"/>
      <c r="S135" s="154"/>
      <c r="T135" s="154"/>
      <c r="U135" s="154"/>
      <c r="V135" s="154"/>
      <c r="W135" s="154"/>
      <c r="X135" s="154"/>
      <c r="Y135" s="154"/>
      <c r="Z135" s="154"/>
      <c r="AA135" s="154"/>
      <c r="AB135" s="154"/>
      <c r="AC135" s="154"/>
      <c r="AD135" s="154"/>
      <c r="AE135" s="154"/>
      <c r="AF135" s="154"/>
      <c r="AG135" s="154"/>
      <c r="AH135" s="154"/>
      <c r="AI135" s="154"/>
      <c r="AJ135" s="154"/>
      <c r="AK135" s="154"/>
      <c r="AL135" s="154"/>
      <c r="AM135" s="154"/>
      <c r="AN135" s="154"/>
      <c r="AO135" s="154"/>
      <c r="AP135" s="154"/>
      <c r="AQ135" s="154"/>
      <c r="AR135" s="154"/>
      <c r="AS135" s="154"/>
      <c r="AT135" s="154"/>
      <c r="AU135" s="154"/>
      <c r="AV135" s="154"/>
      <c r="AW135" s="154"/>
      <c r="AX135" s="154"/>
      <c r="AY135" s="154"/>
      <c r="AZ135" s="154"/>
      <c r="BA135" s="154"/>
      <c r="BB135" s="154"/>
    </row>
    <row r="136" spans="1:54" s="527" customFormat="1" ht="15.75" customHeight="1" outlineLevel="1" x14ac:dyDescent="0.2">
      <c r="A136" s="1212"/>
      <c r="B136" s="1212" t="s">
        <v>4513</v>
      </c>
      <c r="C136" s="1219" t="s">
        <v>3716</v>
      </c>
      <c r="D136" s="1562" t="s">
        <v>4246</v>
      </c>
      <c r="E136" s="1559" t="str">
        <f>IF(NOT('06 Exr'!C39 = ""),'06 Exr'!C39,IF(COUNTIF('06 Exr'!C40:C46,"&gt;=0")=0,"", MIN(MAX(SUMPRODUCT('06 Exr'!C40:C46,'06 Exr'!$G40:$G46)*4/(SUM('06 Exr'!$G40:$G46) - SUMIF('06 Exr'!C40:C46,"X",'06 Exr'!$G40:$G46)),MAX('06 Exr'!AA40:AA46)),MIN('06 Exr'!AE40:AE46))))</f>
        <v/>
      </c>
      <c r="F136" s="1559" t="str">
        <f>IF(NOT('06 Exr'!D39 = ""),'06 Exr'!D39,IF(COUNTIF('06 Exr'!D40:D46,"&gt;=0")=0,"", MIN(MAX(SUMPRODUCT('06 Exr'!D40:D46,'06 Exr'!$G40:$G46)*4/(SUM('06 Exr'!$G40:$G46) - SUMIF('06 Exr'!D40:D46,"X",'06 Exr'!$G40:$G46)),MAX('06 Exr'!AB40:AB46)),MIN('06 Exr'!AF40:AF46))))</f>
        <v/>
      </c>
      <c r="G136" s="1559" t="str">
        <f>IF(NOT('06 Exr'!E39 = ""),'06 Exr'!E39,IF(COUNTIF('06 Exr'!E40:E46,"&gt;=0")=0,"", MIN(MAX(SUMPRODUCT('06 Exr'!E40:E46,'06 Exr'!$G40:$G46)*4/(SUM('06 Exr'!$G40:$G46) - SUMIF('06 Exr'!E40:E46,"X",'06 Exr'!$G40:$G46)),MAX('06 Exr'!AC40:AC46)),MIN('06 Exr'!AG40:AG46))))</f>
        <v/>
      </c>
      <c r="H136" s="1559" t="str">
        <f>IF(NOT('06 Exr'!F39 = ""),'06 Exr'!F39,IF(COUNTIF('06 Exr'!F40:F46,"&gt;=0")=0,"", MIN(MAX(SUMPRODUCT('06 Exr'!F40:F46,'06 Exr'!$G40:$G46)*4/(SUM('06 Exr'!$G40:$G46) - SUMIF('06 Exr'!F40:F46,"X",'06 Exr'!$G40:$G46)),MAX('06 Exr'!AD40:AD46)),MIN('06 Exr'!AH40:AH46))))</f>
        <v/>
      </c>
      <c r="I136" s="1557">
        <f t="shared" si="24"/>
        <v>1</v>
      </c>
      <c r="J136" s="1557">
        <f>IF(I136="","",IF(IndG=3,MAX(I136,Obj_Projets!J136),MAX(I136,Obj_PA!D136)))</f>
        <v>1</v>
      </c>
      <c r="K136" s="1560">
        <f t="shared" si="25"/>
        <v>1</v>
      </c>
      <c r="L136" s="1650" t="str">
        <f t="shared" si="26"/>
        <v xml:space="preserve"> n'a pas démarré</v>
      </c>
      <c r="M136" s="154"/>
      <c r="N136" s="154"/>
      <c r="O136" s="154"/>
      <c r="P136" s="154"/>
      <c r="Q136" s="154"/>
      <c r="R136" s="154"/>
      <c r="S136" s="154"/>
      <c r="T136" s="154"/>
      <c r="U136" s="154"/>
      <c r="V136" s="154"/>
      <c r="W136" s="154"/>
      <c r="X136" s="154"/>
      <c r="Y136" s="154"/>
      <c r="Z136" s="154"/>
      <c r="AA136" s="154"/>
      <c r="AB136" s="154"/>
      <c r="AC136" s="154"/>
      <c r="AD136" s="154"/>
      <c r="AE136" s="154"/>
      <c r="AF136" s="154"/>
      <c r="AG136" s="154"/>
      <c r="AH136" s="154"/>
      <c r="AI136" s="154"/>
      <c r="AJ136" s="154"/>
      <c r="AK136" s="154"/>
      <c r="AL136" s="154"/>
      <c r="AM136" s="154"/>
      <c r="AN136" s="154"/>
      <c r="AO136" s="154"/>
      <c r="AP136" s="154"/>
      <c r="AQ136" s="154"/>
      <c r="AR136" s="154"/>
      <c r="AS136" s="154"/>
      <c r="AT136" s="154"/>
      <c r="AU136" s="154"/>
      <c r="AV136" s="154"/>
      <c r="AW136" s="154"/>
      <c r="AX136" s="154"/>
      <c r="AY136" s="154"/>
      <c r="AZ136" s="154"/>
      <c r="BA136" s="154"/>
      <c r="BB136" s="154"/>
    </row>
    <row r="137" spans="1:54" s="527" customFormat="1" ht="15.75" customHeight="1" outlineLevel="1" x14ac:dyDescent="0.2">
      <c r="A137" s="1212"/>
      <c r="B137" s="1212" t="s">
        <v>5382</v>
      </c>
      <c r="C137" s="1219" t="s">
        <v>5383</v>
      </c>
      <c r="D137" s="1562" t="s">
        <v>4246</v>
      </c>
      <c r="E137" s="1559" t="str">
        <f>IF(NOT('06 Exr'!C47 = ""),'06 Exr'!C47,IF(COUNTIF('06 Exr'!C48:C53,"&gt;=0")=0,"", MIN(MAX(SUMPRODUCT('06 Exr'!C48:C53,'06 Exr'!$G48:$G53)*4/(SUM('06 Exr'!$G48:$G53) - SUMIF('06 Exr'!C48:C53,"X",'06 Exr'!$G48:$G53)),MAX('06 Exr'!AA48:AA53)),MIN('06 Exr'!AE48:AE53))))</f>
        <v/>
      </c>
      <c r="F137" s="1559" t="str">
        <f>IF(NOT('06 Exr'!D47 = ""),'06 Exr'!D47,IF(COUNTIF('06 Exr'!D48:D53,"&gt;=0")=0,"", MIN(MAX(SUMPRODUCT('06 Exr'!D48:D53,'06 Exr'!$G48:$G53)*4/(SUM('06 Exr'!$G48:$G53) - SUMIF('06 Exr'!D48:D53,"X",'06 Exr'!$G48:$G53)),MAX('06 Exr'!AB48:AB53)),MIN('06 Exr'!AF48:AF53))))</f>
        <v/>
      </c>
      <c r="G137" s="1559" t="str">
        <f>IF(NOT('06 Exr'!E47 = ""),'06 Exr'!E47,IF(COUNTIF('06 Exr'!E48:E53,"&gt;=0")=0,"", MIN(MAX(SUMPRODUCT('06 Exr'!E48:E53,'06 Exr'!$G48:$G53)*4/(SUM('06 Exr'!$G48:$G53) - SUMIF('06 Exr'!E48:E53,"X",'06 Exr'!$G48:$G53)),MAX('06 Exr'!AC48:AC53)),MIN('06 Exr'!AG48:AG53))))</f>
        <v/>
      </c>
      <c r="H137" s="1559" t="str">
        <f>IF(NOT('06 Exr'!F47 = ""),'06 Exr'!F47,IF(COUNTIF('06 Exr'!F48:F53,"&gt;=0")=0,"", MIN(MAX(SUMPRODUCT('06 Exr'!F48:F53,'06 Exr'!$G48:$G53)*4/(SUM('06 Exr'!$G48:$G53) - SUMIF('06 Exr'!F48:F53,"X",'06 Exr'!$G48:$G53)),MAX('06 Exr'!AD48:AD53)),MIN('06 Exr'!AH48:AH53))))</f>
        <v/>
      </c>
      <c r="I137" s="1557">
        <f t="shared" si="24"/>
        <v>1</v>
      </c>
      <c r="J137" s="1557">
        <f>IF(I137="","",IF(IndG=3,MAX(I137,Obj_Projets!J137),MAX(I137,Obj_PA!D137)))</f>
        <v>1</v>
      </c>
      <c r="K137" s="1560">
        <f t="shared" si="25"/>
        <v>1</v>
      </c>
      <c r="L137" s="1650" t="str">
        <f t="shared" si="26"/>
        <v xml:space="preserve"> n'a pas démarré</v>
      </c>
      <c r="M137" s="154"/>
      <c r="N137" s="154"/>
      <c r="O137" s="154"/>
      <c r="P137" s="154"/>
      <c r="Q137" s="154"/>
      <c r="R137" s="154"/>
      <c r="S137" s="154"/>
      <c r="T137" s="154"/>
      <c r="U137" s="154"/>
      <c r="V137" s="154"/>
      <c r="W137" s="154"/>
      <c r="X137" s="154"/>
      <c r="Y137" s="154"/>
      <c r="Z137" s="154"/>
      <c r="AA137" s="154"/>
      <c r="AB137" s="154"/>
      <c r="AC137" s="154"/>
      <c r="AD137" s="154"/>
      <c r="AE137" s="154"/>
      <c r="AF137" s="154"/>
      <c r="AG137" s="154"/>
      <c r="AH137" s="154"/>
      <c r="AI137" s="154"/>
      <c r="AJ137" s="154"/>
      <c r="AK137" s="154"/>
      <c r="AL137" s="154"/>
      <c r="AM137" s="154"/>
      <c r="AN137" s="154"/>
      <c r="AO137" s="154"/>
      <c r="AP137" s="154"/>
      <c r="AQ137" s="154"/>
      <c r="AR137" s="154"/>
      <c r="AS137" s="154"/>
      <c r="AT137" s="154"/>
      <c r="AU137" s="154"/>
      <c r="AV137" s="154"/>
      <c r="AW137" s="154"/>
      <c r="AX137" s="154"/>
      <c r="AY137" s="154"/>
      <c r="AZ137" s="154"/>
      <c r="BA137" s="154"/>
      <c r="BB137" s="154"/>
    </row>
    <row r="138" spans="1:54" s="527" customFormat="1" ht="15.75" customHeight="1" outlineLevel="1" x14ac:dyDescent="0.2">
      <c r="A138" s="1212"/>
      <c r="B138" s="1212" t="s">
        <v>5384</v>
      </c>
      <c r="C138" s="1219" t="s">
        <v>6372</v>
      </c>
      <c r="D138" s="1562" t="s">
        <v>4246</v>
      </c>
      <c r="E138" s="1559" t="str">
        <f>IF(NOT('06 Exr'!C54 = ""),'06 Exr'!C54,IF(COUNTIF('06 Exr'!C55:C60,"&gt;=0")=0,"", MIN(MAX(SUMPRODUCT('06 Exr'!C55:C60,'06 Exr'!$G55:$G60)*4/(SUM('06 Exr'!$G55:$G60) - SUMIF('06 Exr'!C55:C60,"X",'06 Exr'!$G55:$G60)),MAX('06 Exr'!AA55:AA60)),MIN('06 Exr'!AE55:AE60))))</f>
        <v/>
      </c>
      <c r="F138" s="1559" t="str">
        <f>IF(NOT('06 Exr'!D54 = ""),'06 Exr'!D54,IF(COUNTIF('06 Exr'!D55:D60,"&gt;=0")=0,"", MIN(MAX(SUMPRODUCT('06 Exr'!D55:D60,'06 Exr'!$G55:$G60)*4/(SUM('06 Exr'!$G55:$G60) - SUMIF('06 Exr'!D55:D60,"X",'06 Exr'!$G55:$G60)),MAX('06 Exr'!AB55:AB60)),MIN('06 Exr'!AF55:AF60))))</f>
        <v/>
      </c>
      <c r="G138" s="1559" t="str">
        <f>IF(NOT('06 Exr'!E54 = ""),'06 Exr'!E54,IF(COUNTIF('06 Exr'!E55:E60,"&gt;=0")=0,"", MIN(MAX(SUMPRODUCT('06 Exr'!E55:E60,'06 Exr'!$G55:$G60)*4/(SUM('06 Exr'!$G55:$G60) - SUMIF('06 Exr'!E55:E60,"X",'06 Exr'!$G55:$G60)),MAX('06 Exr'!AC55:AC60)),MIN('06 Exr'!AG55:AG60))))</f>
        <v/>
      </c>
      <c r="H138" s="1559" t="str">
        <f>IF(NOT('06 Exr'!F54 = ""),'06 Exr'!F54,IF(COUNTIF('06 Exr'!F55:F60,"&gt;=0")=0,"", MIN(MAX(SUMPRODUCT('06 Exr'!F55:F60,'06 Exr'!$G55:$G60)*4/(SUM('06 Exr'!$G55:$G60) - SUMIF('06 Exr'!F55:F60,"X",'06 Exr'!$G55:$G60)),MAX('06 Exr'!AD55:AD60)),MIN('06 Exr'!AH55:AH60))))</f>
        <v/>
      </c>
      <c r="I138" s="1557">
        <f t="shared" si="24"/>
        <v>1</v>
      </c>
      <c r="J138" s="1557">
        <f>IF(I138="","",IF(IndG=3,MAX(I138,Obj_Projets!J138),MAX(I138,Obj_PA!D138)))</f>
        <v>1</v>
      </c>
      <c r="K138" s="1560">
        <f t="shared" si="25"/>
        <v>1</v>
      </c>
      <c r="L138" s="1650" t="str">
        <f t="shared" si="26"/>
        <v xml:space="preserve"> n'a pas démarré</v>
      </c>
      <c r="M138" s="154"/>
      <c r="N138" s="154"/>
      <c r="O138" s="154"/>
      <c r="P138" s="154"/>
      <c r="Q138" s="154"/>
      <c r="R138" s="154"/>
      <c r="S138" s="154"/>
      <c r="T138" s="154"/>
      <c r="U138" s="154"/>
      <c r="V138" s="154"/>
      <c r="W138" s="154"/>
      <c r="X138" s="154"/>
      <c r="Y138" s="154"/>
      <c r="Z138" s="154"/>
      <c r="AA138" s="154"/>
      <c r="AB138" s="154"/>
      <c r="AC138" s="154"/>
      <c r="AD138" s="154"/>
      <c r="AE138" s="154"/>
      <c r="AF138" s="154"/>
      <c r="AG138" s="154"/>
      <c r="AH138" s="154"/>
      <c r="AI138" s="154"/>
      <c r="AJ138" s="154"/>
      <c r="AK138" s="154"/>
      <c r="AL138" s="154"/>
      <c r="AM138" s="154"/>
      <c r="AN138" s="154"/>
      <c r="AO138" s="154"/>
      <c r="AP138" s="154"/>
      <c r="AQ138" s="154"/>
      <c r="AR138" s="154"/>
      <c r="AS138" s="154"/>
      <c r="AT138" s="154"/>
      <c r="AU138" s="154"/>
      <c r="AV138" s="154"/>
      <c r="AW138" s="154"/>
      <c r="AX138" s="154"/>
      <c r="AY138" s="154"/>
      <c r="AZ138" s="154"/>
      <c r="BA138" s="154"/>
      <c r="BB138" s="154"/>
    </row>
    <row r="139" spans="1:54" s="527" customFormat="1" ht="15.75" customHeight="1" outlineLevel="1" x14ac:dyDescent="0.2">
      <c r="A139" s="1212"/>
      <c r="B139" s="1212" t="s">
        <v>5385</v>
      </c>
      <c r="C139" s="1219" t="s">
        <v>5386</v>
      </c>
      <c r="D139" s="1562" t="s">
        <v>4246</v>
      </c>
      <c r="E139" s="1559" t="str">
        <f>IF(NOT('06 Exr'!C61 = ""),'06 Exr'!C61,IF(COUNTIF('06 Exr'!C62:C66,"&gt;=0")=0,"", MIN(MAX(SUMPRODUCT('06 Exr'!C62:C66,'06 Exr'!$G62:$G66)*4/(SUM('06 Exr'!$G62:$G66) - SUMIF('06 Exr'!C62:C66,"X",'06 Exr'!$G62:$G66)),MAX('06 Exr'!AA62:AA66)),MIN('06 Exr'!AE62:AE66))))</f>
        <v/>
      </c>
      <c r="F139" s="1559" t="str">
        <f>IF(NOT('06 Exr'!D61 = ""),'06 Exr'!D61,IF(COUNTIF('06 Exr'!D62:D66,"&gt;=0")=0,"", MIN(MAX(SUMPRODUCT('06 Exr'!D62:D66,'06 Exr'!$G62:$G66)*4/(SUM('06 Exr'!$G62:$G66) - SUMIF('06 Exr'!D62:D66,"X",'06 Exr'!$G62:$G66)),MAX('06 Exr'!AB62:AB66)),MIN('06 Exr'!AF62:AF66))))</f>
        <v/>
      </c>
      <c r="G139" s="1559" t="str">
        <f>IF(NOT('06 Exr'!E61 = ""),'06 Exr'!E61,IF(COUNTIF('06 Exr'!E62:E66,"&gt;=0")=0,"", MIN(MAX(SUMPRODUCT('06 Exr'!E62:E66,'06 Exr'!$G62:$G66)*4/(SUM('06 Exr'!$G62:$G66) - SUMIF('06 Exr'!E62:E66,"X",'06 Exr'!$G62:$G66)),MAX('06 Exr'!AC62:AC66)),MIN('06 Exr'!AG62:AG66))))</f>
        <v/>
      </c>
      <c r="H139" s="1559" t="str">
        <f>IF(NOT('06 Exr'!F61 = ""),'06 Exr'!F61,IF(COUNTIF('06 Exr'!F62:F66,"&gt;=0")=0,"", MIN(MAX(SUMPRODUCT('06 Exr'!F62:F66,'06 Exr'!$G62:$G66)*4/(SUM('06 Exr'!$G62:$G66) - SUMIF('06 Exr'!F62:F66,"X",'06 Exr'!$G62:$G66)),MAX('06 Exr'!AD62:AD66)),MIN('06 Exr'!AH62:AH66))))</f>
        <v/>
      </c>
      <c r="I139" s="1557">
        <f t="shared" si="24"/>
        <v>1</v>
      </c>
      <c r="J139" s="1557">
        <f>IF(I139="","",IF(IndG=3,MAX(I139,Obj_Projets!J139),MAX(I139,Obj_PA!D139)))</f>
        <v>1</v>
      </c>
      <c r="K139" s="1560">
        <f t="shared" si="25"/>
        <v>1</v>
      </c>
      <c r="L139" s="1650" t="str">
        <f t="shared" si="26"/>
        <v xml:space="preserve"> n'a pas démarré</v>
      </c>
      <c r="M139" s="154"/>
      <c r="N139" s="154"/>
      <c r="O139" s="154"/>
      <c r="P139" s="154"/>
      <c r="Q139" s="154"/>
      <c r="R139" s="154"/>
      <c r="S139" s="154"/>
      <c r="T139" s="154"/>
      <c r="U139" s="154"/>
      <c r="V139" s="154"/>
      <c r="W139" s="154"/>
      <c r="X139" s="154"/>
      <c r="Y139" s="154"/>
      <c r="Z139" s="154"/>
      <c r="AA139" s="154"/>
      <c r="AB139" s="154"/>
      <c r="AC139" s="154"/>
      <c r="AD139" s="154"/>
      <c r="AE139" s="154"/>
      <c r="AF139" s="154"/>
      <c r="AG139" s="154"/>
      <c r="AH139" s="154"/>
      <c r="AI139" s="154"/>
      <c r="AJ139" s="154"/>
      <c r="AK139" s="154"/>
      <c r="AL139" s="154"/>
      <c r="AM139" s="154"/>
      <c r="AN139" s="154"/>
      <c r="AO139" s="154"/>
      <c r="AP139" s="154"/>
      <c r="AQ139" s="154"/>
      <c r="AR139" s="154"/>
      <c r="AS139" s="154"/>
      <c r="AT139" s="154"/>
      <c r="AU139" s="154"/>
      <c r="AV139" s="154"/>
      <c r="AW139" s="154"/>
      <c r="AX139" s="154"/>
      <c r="AY139" s="154"/>
      <c r="AZ139" s="154"/>
      <c r="BA139" s="154"/>
      <c r="BB139" s="154"/>
    </row>
    <row r="140" spans="1:54" s="527" customFormat="1" ht="15.75" customHeight="1" outlineLevel="1" x14ac:dyDescent="0.2">
      <c r="A140" s="1212"/>
      <c r="B140" s="1212" t="s">
        <v>5387</v>
      </c>
      <c r="C140" s="1219" t="s">
        <v>5388</v>
      </c>
      <c r="D140" s="1562" t="s">
        <v>4246</v>
      </c>
      <c r="E140" s="1559" t="str">
        <f>IF(NOT('06 Exr'!C67 = ""),'06 Exr'!C67,IF(COUNTIF('06 Exr'!C68:C70,"&gt;=0")=0,"", MIN(MAX(SUMPRODUCT('06 Exr'!C68:C70,'06 Exr'!$G68:$G70)*4/(SUM('06 Exr'!$G68:$G70) - SUMIF('06 Exr'!C68:C70,"X",'06 Exr'!$G68:$G70)),MAX('06 Exr'!AA68:AA70)),MIN('06 Exr'!AE68:AE70))))</f>
        <v/>
      </c>
      <c r="F140" s="1559" t="str">
        <f>IF(NOT('06 Exr'!D67 = ""),'06 Exr'!D67,IF(COUNTIF('06 Exr'!D68:D70,"&gt;=0")=0,"", MIN(MAX(SUMPRODUCT('06 Exr'!D68:D70,'06 Exr'!$G68:$G70)*4/(SUM('06 Exr'!$G68:$G70) - SUMIF('06 Exr'!D68:D70,"X",'06 Exr'!$G68:$G70)),MAX('06 Exr'!AB68:AB70)),MIN('06 Exr'!AF68:AF70))))</f>
        <v/>
      </c>
      <c r="G140" s="1559" t="str">
        <f>IF(NOT('06 Exr'!E67 = ""),'06 Exr'!E67,IF(COUNTIF('06 Exr'!E68:E70,"&gt;=0")=0,"", MIN(MAX(SUMPRODUCT('06 Exr'!E68:E70,'06 Exr'!$G68:$G70)*4/(SUM('06 Exr'!$G68:$G70) - SUMIF('06 Exr'!E68:E70,"X",'06 Exr'!$G68:$G70)),MAX('06 Exr'!AC68:AC70)),MIN('06 Exr'!AG68:AG70))))</f>
        <v/>
      </c>
      <c r="H140" s="1559" t="str">
        <f>IF(NOT('06 Exr'!F67 = ""),'06 Exr'!F67,IF(COUNTIF('06 Exr'!F68:F70,"&gt;=0")=0,"", MIN(MAX(SUMPRODUCT('06 Exr'!F68:F70,'06 Exr'!$G68:$G70)*4/(SUM('06 Exr'!$G68:$G70) - SUMIF('06 Exr'!F68:F70,"X",'06 Exr'!$G68:$G70)),MAX('06 Exr'!AD68:AD70)),MIN('06 Exr'!AH68:AH70))))</f>
        <v/>
      </c>
      <c r="I140" s="1557">
        <f t="shared" si="24"/>
        <v>1</v>
      </c>
      <c r="J140" s="1557">
        <f>IF(I140="","",IF(IndG=3,MAX(I140,Obj_Projets!J140),MAX(I140,Obj_PA!D140)))</f>
        <v>1</v>
      </c>
      <c r="K140" s="1560">
        <f t="shared" si="25"/>
        <v>1</v>
      </c>
      <c r="L140" s="1650" t="str">
        <f t="shared" si="26"/>
        <v xml:space="preserve"> n'a pas démarré</v>
      </c>
      <c r="M140" s="154"/>
      <c r="N140" s="154"/>
      <c r="O140" s="154"/>
      <c r="P140" s="154"/>
      <c r="Q140" s="154"/>
      <c r="R140" s="154"/>
      <c r="S140" s="154"/>
      <c r="T140" s="154"/>
      <c r="U140" s="154"/>
      <c r="V140" s="154"/>
      <c r="W140" s="154"/>
      <c r="X140" s="154"/>
      <c r="Y140" s="154"/>
      <c r="Z140" s="154"/>
      <c r="AA140" s="154"/>
      <c r="AB140" s="154"/>
      <c r="AC140" s="154"/>
      <c r="AD140" s="154"/>
      <c r="AE140" s="154"/>
      <c r="AF140" s="154"/>
      <c r="AG140" s="154"/>
      <c r="AH140" s="154"/>
      <c r="AI140" s="154"/>
      <c r="AJ140" s="154"/>
      <c r="AK140" s="154"/>
      <c r="AL140" s="154"/>
      <c r="AM140" s="154"/>
      <c r="AN140" s="154"/>
      <c r="AO140" s="154"/>
      <c r="AP140" s="154"/>
      <c r="AQ140" s="154"/>
      <c r="AR140" s="154"/>
      <c r="AS140" s="154"/>
      <c r="AT140" s="154"/>
      <c r="AU140" s="154"/>
      <c r="AV140" s="154"/>
      <c r="AW140" s="154"/>
      <c r="AX140" s="154"/>
      <c r="AY140" s="154"/>
      <c r="AZ140" s="154"/>
      <c r="BA140" s="154"/>
      <c r="BB140" s="154"/>
    </row>
    <row r="141" spans="1:54" s="527" customFormat="1" ht="15.75" customHeight="1" outlineLevel="1" x14ac:dyDescent="0.2">
      <c r="A141" s="1212"/>
      <c r="B141" s="1213" t="s">
        <v>5206</v>
      </c>
      <c r="C141" s="1214" t="s">
        <v>5207</v>
      </c>
      <c r="D141" s="1554"/>
      <c r="E141" s="1559"/>
      <c r="F141" s="1559"/>
      <c r="G141" s="1559"/>
      <c r="H141" s="1559"/>
      <c r="I141" s="1561"/>
      <c r="J141" s="1561"/>
      <c r="K141" s="1561"/>
      <c r="L141" s="1650"/>
      <c r="M141" s="154"/>
      <c r="N141" s="154"/>
      <c r="O141" s="154"/>
      <c r="P141" s="154"/>
      <c r="Q141" s="154"/>
      <c r="R141" s="154"/>
      <c r="S141" s="154"/>
      <c r="T141" s="154"/>
      <c r="U141" s="154"/>
      <c r="V141" s="154"/>
      <c r="W141" s="154"/>
      <c r="X141" s="154"/>
      <c r="Y141" s="154"/>
      <c r="Z141" s="154"/>
      <c r="AA141" s="154"/>
      <c r="AB141" s="154"/>
      <c r="AC141" s="154"/>
      <c r="AD141" s="154"/>
      <c r="AE141" s="154"/>
      <c r="AF141" s="154"/>
      <c r="AG141" s="154"/>
      <c r="AH141" s="154"/>
      <c r="AI141" s="154"/>
      <c r="AJ141" s="154"/>
      <c r="AK141" s="154"/>
      <c r="AL141" s="154"/>
      <c r="AM141" s="154"/>
      <c r="AN141" s="154"/>
      <c r="AO141" s="154"/>
      <c r="AP141" s="154"/>
      <c r="AQ141" s="154"/>
      <c r="AR141" s="154"/>
      <c r="AS141" s="154"/>
      <c r="AT141" s="154"/>
      <c r="AU141" s="154"/>
      <c r="AV141" s="154"/>
      <c r="AW141" s="154"/>
      <c r="AX141" s="154"/>
      <c r="AY141" s="154"/>
      <c r="AZ141" s="154"/>
      <c r="BA141" s="154"/>
      <c r="BB141" s="154"/>
    </row>
    <row r="142" spans="1:54" s="527" customFormat="1" ht="15.75" customHeight="1" outlineLevel="1" x14ac:dyDescent="0.2">
      <c r="A142" s="1212"/>
      <c r="B142" s="1212" t="s">
        <v>3643</v>
      </c>
      <c r="C142" s="1219" t="s">
        <v>3743</v>
      </c>
      <c r="D142" s="1562" t="s">
        <v>4246</v>
      </c>
      <c r="E142" s="1559" t="str">
        <f>IF(NOT('06 Exr'!C72 = ""),'06 Exr'!C72,IF(COUNTIF('06 Exr'!C73:C81,"&gt;=0")=0,"", MIN(MAX(SUMPRODUCT('06 Exr'!C73:C81,'06 Exr'!$G73:$G81)*4/(SUM('06 Exr'!$G73:$G81) - SUMIF('06 Exr'!C73:C81,"X",'06 Exr'!$G73:$G81)),MAX('06 Exr'!AA73:AA81)),MIN('06 Exr'!AE73:AE81))))</f>
        <v/>
      </c>
      <c r="F142" s="1559" t="str">
        <f>IF(NOT('06 Exr'!D72 = ""),'06 Exr'!D72,IF(COUNTIF('06 Exr'!D73:D81,"&gt;=0")=0,"", MIN(MAX(SUMPRODUCT('06 Exr'!D73:D81,'06 Exr'!$G73:$G81)*4/(SUM('06 Exr'!$G73:$G81) - SUMIF('06 Exr'!D73:D81,"X",'06 Exr'!$G73:$G81)),MAX('06 Exr'!AB73:AB81)),MIN('06 Exr'!AF73:AF81))))</f>
        <v/>
      </c>
      <c r="G142" s="1559" t="str">
        <f>IF(NOT('06 Exr'!E72 = ""),'06 Exr'!E72,IF(COUNTIF('06 Exr'!E73:E81,"&gt;=0")=0,"", MIN(MAX(SUMPRODUCT('06 Exr'!E73:E81,'06 Exr'!$G73:$G81)*4/(SUM('06 Exr'!$G73:$G81) - SUMIF('06 Exr'!E73:E81,"X",'06 Exr'!$G73:$G81)),MAX('06 Exr'!AC73:AC81)),MIN('06 Exr'!AG73:AG81))))</f>
        <v/>
      </c>
      <c r="H142" s="1559" t="str">
        <f>IF(NOT('06 Exr'!F72 = ""),'06 Exr'!F72,IF(COUNTIF('06 Exr'!F73:F81,"&gt;=0")=0,"", MIN(MAX(SUMPRODUCT('06 Exr'!F73:F81,'06 Exr'!$G73:$G81)*4/(SUM('06 Exr'!$G73:$G81) - SUMIF('06 Exr'!F73:F81,"X",'06 Exr'!$G73:$G81)),MAX('06 Exr'!AD73:AD81)),MIN('06 Exr'!AH73:AH81))))</f>
        <v/>
      </c>
      <c r="I142" s="1557">
        <f>IF(AND(OR(E142="X",E142=""),OR(F142="X",F142=""),OR(G142="X",G142=""),OR(H142="X",H142="")),1,ROUND(MIN(IF(OR(E142="",E142="X"),4,E142),IF(OR(F142="",F142="X"),4,F142),IF(OR(G142="",G142="X"),4,G142),IF(OR(H142="",H142="X"),4,H142)),0))</f>
        <v>1</v>
      </c>
      <c r="J142" s="1557">
        <f>IF(I142="","",IF(IndG=3,MAX(I142,Obj_Projets!J142),MAX(I142,Obj_PA!D142)))</f>
        <v>1</v>
      </c>
      <c r="K142" s="1560">
        <f>IF(IF(OR(IndG=3,IndG=4),MAX(I142,J142),I142)&lt;1,1,IF(OR(IndG=3,IndG=4),MAX(I142,J142),I142))</f>
        <v>1</v>
      </c>
      <c r="L142" s="1650" t="str">
        <f>IF(E142=""," n'a pas démarré","")</f>
        <v xml:space="preserve"> n'a pas démarré</v>
      </c>
      <c r="M142" s="154"/>
      <c r="N142" s="154"/>
      <c r="O142" s="154"/>
      <c r="P142" s="154"/>
      <c r="Q142" s="154"/>
      <c r="R142" s="154"/>
      <c r="S142" s="154"/>
      <c r="T142" s="154"/>
      <c r="U142" s="154"/>
      <c r="V142" s="154"/>
      <c r="W142" s="154"/>
      <c r="X142" s="154"/>
      <c r="Y142" s="154"/>
      <c r="Z142" s="154"/>
      <c r="AA142" s="154"/>
      <c r="AB142" s="154"/>
      <c r="AC142" s="154"/>
      <c r="AD142" s="154"/>
      <c r="AE142" s="154"/>
      <c r="AF142" s="154"/>
      <c r="AG142" s="154"/>
      <c r="AH142" s="154"/>
      <c r="AI142" s="154"/>
      <c r="AJ142" s="154"/>
      <c r="AK142" s="154"/>
      <c r="AL142" s="154"/>
      <c r="AM142" s="154"/>
      <c r="AN142" s="154"/>
      <c r="AO142" s="154"/>
      <c r="AP142" s="154"/>
      <c r="AQ142" s="154"/>
      <c r="AR142" s="154"/>
      <c r="AS142" s="154"/>
      <c r="AT142" s="154"/>
      <c r="AU142" s="154"/>
      <c r="AV142" s="154"/>
      <c r="AW142" s="154"/>
      <c r="AX142" s="154"/>
      <c r="AY142" s="154"/>
      <c r="AZ142" s="154"/>
      <c r="BA142" s="154"/>
      <c r="BB142" s="154"/>
    </row>
    <row r="143" spans="1:54" s="527" customFormat="1" ht="15.75" customHeight="1" outlineLevel="1" x14ac:dyDescent="0.2">
      <c r="A143" s="1212"/>
      <c r="B143" s="1212" t="s">
        <v>3744</v>
      </c>
      <c r="C143" s="1219" t="s">
        <v>2083</v>
      </c>
      <c r="D143" s="1562" t="s">
        <v>4246</v>
      </c>
      <c r="E143" s="1559" t="str">
        <f>IF(NOT('06 Exr'!C82 = ""),'06 Exr'!C82,IF(COUNTIF('06 Exr'!C83:C91,"&gt;=0")=0,"", MIN(MAX(SUMPRODUCT('06 Exr'!C83:C91,'06 Exr'!$G83:$G91)*4/(SUM('06 Exr'!$G83:$G91) - SUMIF('06 Exr'!C83:C91,"X",'06 Exr'!$G83:$G91)),MAX('06 Exr'!AA83:AA91)),MIN('06 Exr'!AE83:AE91))))</f>
        <v/>
      </c>
      <c r="F143" s="1559" t="str">
        <f>IF(NOT('06 Exr'!D82 = ""),'06 Exr'!D82,IF(COUNTIF('06 Exr'!D83:D91,"&gt;=0")=0,"", MIN(MAX(SUMPRODUCT('06 Exr'!D83:D91,'06 Exr'!$G83:$G91)*4/(SUM('06 Exr'!$G83:$G91) - SUMIF('06 Exr'!D83:D91,"X",'06 Exr'!$G83:$G91)),MAX('06 Exr'!AB83:AB91)),MIN('06 Exr'!AF83:AF91))))</f>
        <v/>
      </c>
      <c r="G143" s="1559" t="str">
        <f>IF(NOT('06 Exr'!E82 = ""),'06 Exr'!E82,IF(COUNTIF('06 Exr'!E83:E91,"&gt;=0")=0,"", MIN(MAX(SUMPRODUCT('06 Exr'!E83:E91,'06 Exr'!$G83:$G91)*4/(SUM('06 Exr'!$G83:$G91) - SUMIF('06 Exr'!E83:E91,"X",'06 Exr'!$G83:$G91)),MAX('06 Exr'!AC83:AC91)),MIN('06 Exr'!AG83:AG91))))</f>
        <v/>
      </c>
      <c r="H143" s="1559" t="str">
        <f>IF(NOT('06 Exr'!F82 = ""),'06 Exr'!F82,IF(COUNTIF('06 Exr'!F83:F91,"&gt;=0")=0,"", MIN(MAX(SUMPRODUCT('06 Exr'!F83:F91,'06 Exr'!$G83:$G91)*4/(SUM('06 Exr'!$G83:$G91) - SUMIF('06 Exr'!F83:F91,"X",'06 Exr'!$G83:$G91)),MAX('06 Exr'!AD83:AD91)),MIN('06 Exr'!AH83:AH91))))</f>
        <v/>
      </c>
      <c r="I143" s="1557">
        <f>IF(AND(OR(E143="X",E143=""),OR(F143="X",F143=""),OR(G143="X",G143=""),OR(H143="X",H143="")),1,ROUND(MIN(IF(OR(E143="",E143="X"),4,E143),IF(OR(F143="",F143="X"),4,F143),IF(OR(G143="",G143="X"),4,G143),IF(OR(H143="",H143="X"),4,H143)),0))</f>
        <v>1</v>
      </c>
      <c r="J143" s="1557">
        <f>IF(I143="","",IF(IndG=3,MAX(I143,Obj_Projets!J143),MAX(I143,Obj_PA!D143)))</f>
        <v>1</v>
      </c>
      <c r="K143" s="1560">
        <f>IF(IF(OR(IndG=3,IndG=4),MAX(I143,J143),I143)&lt;1,1,IF(OR(IndG=3,IndG=4),MAX(I143,J143),I143))</f>
        <v>1</v>
      </c>
      <c r="L143" s="1650" t="str">
        <f>IF(E143=""," n'a pas démarré","")</f>
        <v xml:space="preserve"> n'a pas démarré</v>
      </c>
      <c r="M143" s="154"/>
      <c r="N143" s="154"/>
      <c r="O143" s="154"/>
      <c r="P143" s="154"/>
      <c r="Q143" s="154"/>
      <c r="R143" s="154"/>
      <c r="S143" s="154"/>
      <c r="T143" s="154"/>
      <c r="U143" s="154"/>
      <c r="V143" s="154"/>
      <c r="W143" s="154"/>
      <c r="X143" s="154"/>
      <c r="Y143" s="154"/>
      <c r="Z143" s="154"/>
      <c r="AA143" s="154"/>
      <c r="AB143" s="154"/>
      <c r="AC143" s="154"/>
      <c r="AD143" s="154"/>
      <c r="AE143" s="154"/>
      <c r="AF143" s="154"/>
      <c r="AG143" s="154"/>
      <c r="AH143" s="154"/>
      <c r="AI143" s="154"/>
      <c r="AJ143" s="154"/>
      <c r="AK143" s="154"/>
      <c r="AL143" s="154"/>
      <c r="AM143" s="154"/>
      <c r="AN143" s="154"/>
      <c r="AO143" s="154"/>
      <c r="AP143" s="154"/>
      <c r="AQ143" s="154"/>
      <c r="AR143" s="154"/>
      <c r="AS143" s="154"/>
      <c r="AT143" s="154"/>
      <c r="AU143" s="154"/>
      <c r="AV143" s="154"/>
      <c r="AW143" s="154"/>
      <c r="AX143" s="154"/>
      <c r="AY143" s="154"/>
      <c r="AZ143" s="154"/>
      <c r="BA143" s="154"/>
      <c r="BB143" s="154"/>
    </row>
    <row r="144" spans="1:54" s="527" customFormat="1" ht="15.75" customHeight="1" outlineLevel="1" x14ac:dyDescent="0.2">
      <c r="A144" s="1212"/>
      <c r="B144" s="1213" t="s">
        <v>1025</v>
      </c>
      <c r="C144" s="1214" t="s">
        <v>1026</v>
      </c>
      <c r="D144" s="1554"/>
      <c r="E144" s="1559"/>
      <c r="F144" s="1559"/>
      <c r="G144" s="1559"/>
      <c r="H144" s="1559"/>
      <c r="I144" s="1561"/>
      <c r="J144" s="1561"/>
      <c r="K144" s="1561"/>
      <c r="L144" s="1650"/>
      <c r="M144" s="154"/>
      <c r="N144" s="154"/>
      <c r="O144" s="154"/>
      <c r="P144" s="154"/>
      <c r="Q144" s="154"/>
      <c r="R144" s="154"/>
      <c r="S144" s="154"/>
      <c r="T144" s="154"/>
      <c r="U144" s="154"/>
      <c r="V144" s="154"/>
      <c r="W144" s="154"/>
      <c r="X144" s="154"/>
      <c r="Y144" s="154"/>
      <c r="Z144" s="154"/>
      <c r="AA144" s="154"/>
      <c r="AB144" s="154"/>
      <c r="AC144" s="154"/>
      <c r="AD144" s="154"/>
      <c r="AE144" s="154"/>
      <c r="AF144" s="154"/>
      <c r="AG144" s="154"/>
      <c r="AH144" s="154"/>
      <c r="AI144" s="154"/>
      <c r="AJ144" s="154"/>
      <c r="AK144" s="154"/>
      <c r="AL144" s="154"/>
      <c r="AM144" s="154"/>
      <c r="AN144" s="154"/>
      <c r="AO144" s="154"/>
      <c r="AP144" s="154"/>
      <c r="AQ144" s="154"/>
      <c r="AR144" s="154"/>
      <c r="AS144" s="154"/>
      <c r="AT144" s="154"/>
      <c r="AU144" s="154"/>
      <c r="AV144" s="154"/>
      <c r="AW144" s="154"/>
      <c r="AX144" s="154"/>
      <c r="AY144" s="154"/>
      <c r="AZ144" s="154"/>
      <c r="BA144" s="154"/>
      <c r="BB144" s="154"/>
    </row>
    <row r="145" spans="1:85" s="527" customFormat="1" ht="15.75" customHeight="1" outlineLevel="1" x14ac:dyDescent="0.2">
      <c r="A145" s="1212"/>
      <c r="B145" s="1212" t="s">
        <v>4572</v>
      </c>
      <c r="C145" s="1219" t="s">
        <v>4573</v>
      </c>
      <c r="D145" s="1562" t="s">
        <v>2625</v>
      </c>
      <c r="E145" s="1559" t="str">
        <f>IF(NOT('06 Exr'!C93 = ""),'06 Exr'!C93,IF(COUNTIF('06 Exr'!C94:C102,"&gt;=0")=0,"", MIN(MAX(SUMPRODUCT('06 Exr'!C94:C102,'06 Exr'!$G94:$G102)*4/(SUM('06 Exr'!$G94:$G102) - SUMIF('06 Exr'!C94:C102,"X",'06 Exr'!$G94:$G102)),MAX('06 Exr'!AA94:AA102)),MIN('06 Exr'!AE94:AE102))))</f>
        <v/>
      </c>
      <c r="F145" s="1559" t="str">
        <f>IF(NOT('06 Exr'!D93 = ""),'06 Exr'!D93,IF(COUNTIF('06 Exr'!D94:D102,"&gt;=0")=0,"", MIN(MAX(SUMPRODUCT('06 Exr'!D94:D102,'06 Exr'!$G94:$G102)*4/(SUM('06 Exr'!$G94:$G102) - SUMIF('06 Exr'!D94:D102,"X",'06 Exr'!$G94:$G102)),MAX('06 Exr'!AB94:AB102)),MIN('06 Exr'!AF94:AF102))))</f>
        <v/>
      </c>
      <c r="G145" s="1559" t="str">
        <f>IF(NOT('06 Exr'!E93 = ""),'06 Exr'!E93,IF(COUNTIF('06 Exr'!E94:E102,"&gt;=0")=0,"", MIN(MAX(SUMPRODUCT('06 Exr'!E94:E102,'06 Exr'!$G94:$G102)*4/(SUM('06 Exr'!$G94:$G102) - SUMIF('06 Exr'!E94:E102,"X",'06 Exr'!$G94:$G102)),MAX('06 Exr'!AC94:AC102)),MIN('06 Exr'!AG94:AG102))))</f>
        <v/>
      </c>
      <c r="H145" s="1559" t="str">
        <f>IF(NOT('06 Exr'!F93 = ""),'06 Exr'!F93,IF(COUNTIF('06 Exr'!F94:F102,"&gt;=0")=0,"", MIN(MAX(SUMPRODUCT('06 Exr'!F94:F102,'06 Exr'!$G94:$G102)*4/(SUM('06 Exr'!$G94:$G102) - SUMIF('06 Exr'!F94:F102,"X",'06 Exr'!$G94:$G102)),MAX('06 Exr'!AD94:AD102)),MIN('06 Exr'!AH94:AH102))))</f>
        <v/>
      </c>
      <c r="I145" s="1557">
        <f>IF(AND(OR(E145="X",E145=""),OR(F145="X",F145=""),OR(G145="X",G145=""),OR(H145="X",H145="")),1,ROUND(MIN(IF(OR(E145="",E145="X"),4,E145),IF(OR(F145="",F145="X"),4,F145),IF(OR(G145="",G145="X"),4,G145),IF(OR(H145="",H145="X"),4,H145)),0))</f>
        <v>1</v>
      </c>
      <c r="J145" s="1557">
        <f>IF(I145="","",IF(IndG=3,MAX(I145,Obj_Projets!J145),MAX(I145,Obj_PA!D145)))</f>
        <v>1</v>
      </c>
      <c r="K145" s="1560">
        <f>IF(IF(OR(IndG=3,IndG=4),MAX(I145,J145),I145)&lt;1,1,IF(OR(IndG=3,IndG=4),MAX(I145,J145),I145))</f>
        <v>1</v>
      </c>
      <c r="L145" s="1650" t="str">
        <f>IF(E145=""," n'a pas démarré","")</f>
        <v xml:space="preserve"> n'a pas démarré</v>
      </c>
      <c r="M145" s="154"/>
      <c r="N145" s="154"/>
      <c r="O145" s="154"/>
      <c r="P145" s="154"/>
      <c r="Q145" s="154"/>
      <c r="R145" s="154"/>
      <c r="S145" s="154"/>
      <c r="T145" s="154"/>
      <c r="U145" s="154"/>
      <c r="V145" s="154"/>
      <c r="W145" s="154"/>
      <c r="X145" s="154"/>
      <c r="Y145" s="154"/>
      <c r="Z145" s="154"/>
      <c r="AA145" s="154"/>
      <c r="AB145" s="154"/>
      <c r="AC145" s="154"/>
      <c r="AD145" s="154"/>
      <c r="AE145" s="154"/>
      <c r="AF145" s="154"/>
      <c r="AG145" s="154"/>
      <c r="AH145" s="154"/>
      <c r="AI145" s="154"/>
      <c r="AJ145" s="154"/>
      <c r="AK145" s="154"/>
      <c r="AL145" s="154"/>
      <c r="AM145" s="154"/>
      <c r="AN145" s="154"/>
      <c r="AO145" s="154"/>
      <c r="AP145" s="154"/>
      <c r="AQ145" s="154"/>
      <c r="AR145" s="154"/>
      <c r="AS145" s="154"/>
      <c r="AT145" s="154"/>
      <c r="AU145" s="154"/>
      <c r="AV145" s="154"/>
      <c r="AW145" s="154"/>
      <c r="AX145" s="154"/>
      <c r="AY145" s="154"/>
      <c r="AZ145" s="154"/>
      <c r="BA145" s="154"/>
      <c r="BB145" s="154"/>
    </row>
    <row r="146" spans="1:85" s="527" customFormat="1" ht="15.75" customHeight="1" outlineLevel="1" x14ac:dyDescent="0.2">
      <c r="A146" s="1212"/>
      <c r="B146" s="1212" t="s">
        <v>4574</v>
      </c>
      <c r="C146" s="1219" t="s">
        <v>6216</v>
      </c>
      <c r="D146" s="1562" t="s">
        <v>2625</v>
      </c>
      <c r="E146" s="1559" t="str">
        <f>IF(NOT('06 Exr'!C103 = ""),'06 Exr'!C103,IF(COUNTIF('06 Exr'!C104:C111,"&gt;=0")=0,"", MIN(MAX(SUMPRODUCT('06 Exr'!C104:C111,'06 Exr'!$G104:$G111)*4/(SUM('06 Exr'!$G104:$G111) - SUMIF('06 Exr'!C104:C111,"X",'06 Exr'!$G104:$G111)),MAX('06 Exr'!AA104:AA111)),MIN('06 Exr'!AE104:AE111))))</f>
        <v/>
      </c>
      <c r="F146" s="1559" t="str">
        <f>IF(NOT('06 Exr'!D103 = ""),'06 Exr'!D103,IF(COUNTIF('06 Exr'!D104:D111,"&gt;=0")=0,"", MIN(MAX(SUMPRODUCT('06 Exr'!D104:D111,'06 Exr'!$G104:$G111)*4/(SUM('06 Exr'!$G104:$G111) - SUMIF('06 Exr'!D104:D111,"X",'06 Exr'!$G104:$G111)),MAX('06 Exr'!AB104:AB111)),MIN('06 Exr'!AF104:AF111))))</f>
        <v/>
      </c>
      <c r="G146" s="1559" t="str">
        <f>IF(NOT('06 Exr'!E103 = ""),'06 Exr'!E103,IF(COUNTIF('06 Exr'!E104:E111,"&gt;=0")=0,"", MIN(MAX(SUMPRODUCT('06 Exr'!E104:E111,'06 Exr'!$G104:$G111)*4/(SUM('06 Exr'!$G104:$G111) - SUMIF('06 Exr'!E104:E111,"X",'06 Exr'!$G104:$G111)),MAX('06 Exr'!AC104:AC111)),MIN('06 Exr'!AG104:AG111))))</f>
        <v/>
      </c>
      <c r="H146" s="1559" t="str">
        <f>IF(NOT('06 Exr'!F103 = ""),'06 Exr'!F103,IF(COUNTIF('06 Exr'!F104:F111,"&gt;=0")=0,"", MIN(MAX(SUMPRODUCT('06 Exr'!F104:F111,'06 Exr'!$G104:$G111)*4/(SUM('06 Exr'!$G104:$G111) - SUMIF('06 Exr'!F104:F111,"X",'06 Exr'!$G104:$G111)),MAX('06 Exr'!AD104:AD111)),MIN('06 Exr'!AH104:AH111))))</f>
        <v/>
      </c>
      <c r="I146" s="1557">
        <f>IF(AND(OR(E146="X",E146=""),OR(F146="X",F146=""),OR(G146="X",G146=""),OR(H146="X",H146="")),1,ROUND(MIN(IF(OR(E146="",E146="X"),4,E146),IF(OR(F146="",F146="X"),4,F146),IF(OR(G146="",G146="X"),4,G146),IF(OR(H146="",H146="X"),4,H146)),0))</f>
        <v>1</v>
      </c>
      <c r="J146" s="1557">
        <f>IF(I146="","",IF(IndG=3,MAX(I146,Obj_Projets!J146),MAX(I146,Obj_PA!D146)))</f>
        <v>1</v>
      </c>
      <c r="K146" s="1560">
        <f>IF(IF(OR(IndG=3,IndG=4),MAX(I146,J146),I146)&lt;1,1,IF(OR(IndG=3,IndG=4),MAX(I146,J146),I146))</f>
        <v>1</v>
      </c>
      <c r="L146" s="1650" t="str">
        <f>IF(E146=""," n'a pas démarré","")</f>
        <v xml:space="preserve"> n'a pas démarré</v>
      </c>
      <c r="M146" s="154"/>
      <c r="N146" s="154"/>
      <c r="O146" s="154"/>
      <c r="P146" s="154"/>
      <c r="Q146" s="154"/>
      <c r="R146" s="154"/>
      <c r="S146" s="154"/>
      <c r="T146" s="154"/>
      <c r="U146" s="154"/>
      <c r="V146" s="154"/>
      <c r="W146" s="154"/>
      <c r="X146" s="154"/>
      <c r="Y146" s="154"/>
      <c r="Z146" s="154"/>
      <c r="AA146" s="154"/>
      <c r="AB146" s="154"/>
      <c r="AC146" s="154"/>
      <c r="AD146" s="154"/>
      <c r="AE146" s="154"/>
      <c r="AF146" s="154"/>
      <c r="AG146" s="154"/>
      <c r="AH146" s="154"/>
      <c r="AI146" s="154"/>
      <c r="AJ146" s="154"/>
      <c r="AK146" s="154"/>
      <c r="AL146" s="154"/>
      <c r="AM146" s="154"/>
      <c r="AN146" s="154"/>
      <c r="AO146" s="154"/>
      <c r="AP146" s="154"/>
      <c r="AQ146" s="154"/>
      <c r="AR146" s="154"/>
      <c r="AS146" s="154"/>
      <c r="AT146" s="154"/>
      <c r="AU146" s="154"/>
      <c r="AV146" s="154"/>
      <c r="AW146" s="154"/>
      <c r="AX146" s="154"/>
      <c r="AY146" s="154"/>
      <c r="AZ146" s="154"/>
      <c r="BA146" s="154"/>
      <c r="BB146" s="154"/>
    </row>
    <row r="147" spans="1:85" s="527" customFormat="1" ht="15.75" customHeight="1" outlineLevel="1" x14ac:dyDescent="0.2">
      <c r="A147" s="1212"/>
      <c r="B147" s="1212" t="s">
        <v>4575</v>
      </c>
      <c r="C147" s="1219" t="s">
        <v>4576</v>
      </c>
      <c r="D147" s="1562" t="s">
        <v>2775</v>
      </c>
      <c r="E147" s="1559" t="str">
        <f>IF(NOT('06 Exr'!C112 = ""),'06 Exr'!C112,IF(COUNTIF('06 Exr'!C113:C121,"&gt;=0")=0,"", MIN(MAX(SUMPRODUCT('06 Exr'!C113:C121,'06 Exr'!$G113:$G121)*4/(SUM('06 Exr'!$G113:$G121) - SUMIF('06 Exr'!C113:C121,"X",'06 Exr'!$G113:$G121)),MAX('06 Exr'!AA113:AA121)),MIN('06 Exr'!AE113:AE121))))</f>
        <v/>
      </c>
      <c r="F147" s="1559" t="str">
        <f>IF(NOT('06 Exr'!D112 = ""),'06 Exr'!D112,IF(COUNTIF('06 Exr'!D113:D121,"&gt;=0")=0,"", MIN(MAX(SUMPRODUCT('06 Exr'!D113:D121,'06 Exr'!$G113:$G121)*4/(SUM('06 Exr'!$G113:$G121) - SUMIF('06 Exr'!D113:D121,"X",'06 Exr'!$G113:$G121)),MAX('06 Exr'!AB113:AB121)),MIN('06 Exr'!AF113:AF121))))</f>
        <v/>
      </c>
      <c r="G147" s="1559" t="str">
        <f>IF(NOT('06 Exr'!E112 = ""),'06 Exr'!E112,IF(COUNTIF('06 Exr'!E113:E121,"&gt;=0")=0,"", MIN(MAX(SUMPRODUCT('06 Exr'!E113:E121,'06 Exr'!$G113:$G121)*4/(SUM('06 Exr'!$G113:$G121) - SUMIF('06 Exr'!E113:E121,"X",'06 Exr'!$G113:$G121)),MAX('06 Exr'!AC113:AC121)),MIN('06 Exr'!AG113:AG121))))</f>
        <v/>
      </c>
      <c r="H147" s="1559" t="str">
        <f>IF(NOT('06 Exr'!F112 = ""),'06 Exr'!F112,IF(COUNTIF('06 Exr'!F113:F121,"&gt;=0")=0,"", MIN(MAX(SUMPRODUCT('06 Exr'!F113:F121,'06 Exr'!$G113:$G121)*4/(SUM('06 Exr'!$G113:$G121) - SUMIF('06 Exr'!F113:F121,"X",'06 Exr'!$G113:$G121)),MAX('06 Exr'!AD113:AD121)),MIN('06 Exr'!AH113:AH121))))</f>
        <v/>
      </c>
      <c r="I147" s="1557">
        <f>IF(AND(OR(E147="X",E147=""),OR(F147="X",F147=""),OR(G147="X",G147=""),OR(H147="X",H147="")),1,ROUND(MIN(IF(OR(E147="",E147="X"),4,E147),IF(OR(F147="",F147="X"),4,F147),IF(OR(G147="",G147="X"),4,G147),IF(OR(H147="",H147="X"),4,H147)),0))</f>
        <v>1</v>
      </c>
      <c r="J147" s="1557">
        <f>IF(I147="","",IF(IndG=3,MAX(I147,Obj_Projets!J147),MAX(I147,Obj_PA!D147)))</f>
        <v>1</v>
      </c>
      <c r="K147" s="1560">
        <f>IF(IF(OR(IndG=3,IndG=4),MAX(I147,J147),I147)&lt;1,1,IF(OR(IndG=3,IndG=4),MAX(I147,J147),I147))</f>
        <v>1</v>
      </c>
      <c r="L147" s="1650" t="str">
        <f>IF(E147=""," n'a pas démarré","")</f>
        <v xml:space="preserve"> n'a pas démarré</v>
      </c>
      <c r="M147" s="154"/>
      <c r="N147" s="154"/>
      <c r="O147" s="154"/>
      <c r="P147" s="154"/>
      <c r="Q147" s="154"/>
      <c r="R147" s="154"/>
      <c r="S147" s="154"/>
      <c r="T147" s="154"/>
      <c r="U147" s="154"/>
      <c r="V147" s="154"/>
      <c r="W147" s="154"/>
      <c r="X147" s="154"/>
      <c r="Y147" s="154"/>
      <c r="Z147" s="154"/>
      <c r="AA147" s="154"/>
      <c r="AB147" s="154"/>
      <c r="AC147" s="154"/>
      <c r="AD147" s="154"/>
      <c r="AE147" s="154"/>
      <c r="AF147" s="154"/>
      <c r="AG147" s="154"/>
      <c r="AH147" s="154"/>
      <c r="AI147" s="154"/>
      <c r="AJ147" s="154"/>
      <c r="AK147" s="154"/>
      <c r="AL147" s="154"/>
      <c r="AM147" s="154"/>
      <c r="AN147" s="154"/>
      <c r="AO147" s="154"/>
      <c r="AP147" s="154"/>
      <c r="AQ147" s="154"/>
      <c r="AR147" s="154"/>
      <c r="AS147" s="154"/>
      <c r="AT147" s="154"/>
      <c r="AU147" s="154"/>
      <c r="AV147" s="154"/>
      <c r="AW147" s="154"/>
      <c r="AX147" s="154"/>
      <c r="AY147" s="154"/>
      <c r="AZ147" s="154"/>
      <c r="BA147" s="154"/>
      <c r="BB147" s="154"/>
    </row>
    <row r="148" spans="1:85" s="527" customFormat="1" ht="15.75" customHeight="1" outlineLevel="1" x14ac:dyDescent="0.2">
      <c r="A148" s="1212"/>
      <c r="B148" s="1212" t="s">
        <v>4577</v>
      </c>
      <c r="C148" s="1219" t="s">
        <v>6217</v>
      </c>
      <c r="D148" s="1562" t="s">
        <v>4246</v>
      </c>
      <c r="E148" s="1559" t="str">
        <f>IF(NOT('06 Exr'!C122 = ""),'06 Exr'!C122,IF(COUNTIF('06 Exr'!C123:C128,"&gt;=0")=0,"", MIN(MAX(SUMPRODUCT('06 Exr'!C123:C128,'06 Exr'!$G123:$G128)*4/(SUM('06 Exr'!$G123:$G128) - SUMIF('06 Exr'!C123:C128,"X",'06 Exr'!$G123:$G128)),MAX('06 Exr'!AA123:AA128)),MIN('06 Exr'!AE123:AE128))))</f>
        <v/>
      </c>
      <c r="F148" s="1559" t="str">
        <f>IF(NOT('06 Exr'!D122 = ""),'06 Exr'!D122,IF(COUNTIF('06 Exr'!D123:D128,"&gt;=0")=0,"", MIN(MAX(SUMPRODUCT('06 Exr'!D123:D128,'06 Exr'!$G123:$G128)*4/(SUM('06 Exr'!$G123:$G128) - SUMIF('06 Exr'!D123:D128,"X",'06 Exr'!$G123:$G128)),MAX('06 Exr'!AB123:AB128)),MIN('06 Exr'!AF123:AF128))))</f>
        <v/>
      </c>
      <c r="G148" s="1559" t="str">
        <f>IF(NOT('06 Exr'!E122 = ""),'06 Exr'!E122,IF(COUNTIF('06 Exr'!E123:E128,"&gt;=0")=0,"", MIN(MAX(SUMPRODUCT('06 Exr'!E123:E128,'06 Exr'!$G123:$G128)*4/(SUM('06 Exr'!$G123:$G128) - SUMIF('06 Exr'!E123:E128,"X",'06 Exr'!$G123:$G128)),MAX('06 Exr'!AC123:AC128)),MIN('06 Exr'!AG123:AG128))))</f>
        <v/>
      </c>
      <c r="H148" s="1559" t="str">
        <f>IF(NOT('06 Exr'!F122 = ""),'06 Exr'!F122,IF(COUNTIF('06 Exr'!F123:F128,"&gt;=0")=0,"", MIN(MAX(SUMPRODUCT('06 Exr'!F123:F128,'06 Exr'!$G123:$G128)*4/(SUM('06 Exr'!$G123:$G128) - SUMIF('06 Exr'!F123:F128,"X",'06 Exr'!$G123:$G128)),MAX('06 Exr'!AD123:AD128)),MIN('06 Exr'!AH123:AH128))))</f>
        <v/>
      </c>
      <c r="I148" s="1557">
        <f>IF(AND(OR(E148="X",E148=""),OR(F148="X",F148=""),OR(G148="X",G148=""),OR(H148="X",H148="")),1,ROUND(MIN(IF(OR(E148="",E148="X"),4,E148),IF(OR(F148="",F148="X"),4,F148),IF(OR(G148="",G148="X"),4,G148),IF(OR(H148="",H148="X"),4,H148)),0))</f>
        <v>1</v>
      </c>
      <c r="J148" s="1557">
        <f>IF(I148="","",IF(IndG=3,MAX(I148,Obj_Projets!J148),MAX(I148,Obj_PA!D148)))</f>
        <v>1</v>
      </c>
      <c r="K148" s="1560">
        <f>IF(IF(OR(IndG=3,IndG=4),MAX(I148,J148),I148)&lt;1,1,IF(OR(IndG=3,IndG=4),MAX(I148,J148),I148))</f>
        <v>1</v>
      </c>
      <c r="L148" s="1650" t="str">
        <f>IF(E148=""," n'a pas démarré","")</f>
        <v xml:space="preserve"> n'a pas démarré</v>
      </c>
      <c r="M148" s="154"/>
      <c r="N148" s="154"/>
      <c r="O148" s="154"/>
      <c r="P148" s="154"/>
      <c r="Q148" s="154"/>
      <c r="R148" s="154"/>
      <c r="S148" s="154"/>
      <c r="T148" s="154"/>
      <c r="U148" s="154"/>
      <c r="V148" s="154"/>
      <c r="W148" s="154"/>
      <c r="X148" s="154"/>
      <c r="Y148" s="154"/>
      <c r="Z148" s="154"/>
      <c r="AA148" s="154"/>
      <c r="AB148" s="154"/>
      <c r="AC148" s="154"/>
      <c r="AD148" s="154"/>
      <c r="AE148" s="154"/>
      <c r="AF148" s="154"/>
      <c r="AG148" s="154"/>
      <c r="AH148" s="154"/>
      <c r="AI148" s="154"/>
      <c r="AJ148" s="154"/>
      <c r="AK148" s="154"/>
      <c r="AL148" s="154"/>
      <c r="AM148" s="154"/>
      <c r="AN148" s="154"/>
      <c r="AO148" s="154"/>
      <c r="AP148" s="154"/>
      <c r="AQ148" s="154"/>
      <c r="AR148" s="154"/>
      <c r="AS148" s="154"/>
      <c r="AT148" s="154"/>
      <c r="AU148" s="154"/>
      <c r="AV148" s="154"/>
      <c r="AW148" s="154"/>
      <c r="AX148" s="154"/>
      <c r="AY148" s="154"/>
      <c r="AZ148" s="154"/>
      <c r="BA148" s="154"/>
      <c r="BB148" s="154"/>
    </row>
    <row r="149" spans="1:85" s="527" customFormat="1" ht="15.75" customHeight="1" outlineLevel="1" x14ac:dyDescent="0.2">
      <c r="A149" s="1212"/>
      <c r="B149" s="1213" t="s">
        <v>1148</v>
      </c>
      <c r="C149" s="1214" t="s">
        <v>1149</v>
      </c>
      <c r="D149" s="1554"/>
      <c r="E149" s="1556"/>
      <c r="F149" s="1556"/>
      <c r="G149" s="1556"/>
      <c r="H149" s="1556"/>
      <c r="I149" s="1561"/>
      <c r="J149" s="1561"/>
      <c r="K149" s="1561"/>
      <c r="L149" s="1650"/>
      <c r="M149" s="154"/>
      <c r="N149" s="154"/>
      <c r="O149" s="154"/>
      <c r="P149" s="154"/>
      <c r="Q149" s="154"/>
      <c r="R149" s="154"/>
      <c r="S149" s="154"/>
      <c r="T149" s="154"/>
      <c r="U149" s="154"/>
      <c r="V149" s="154"/>
      <c r="W149" s="154"/>
      <c r="X149" s="154"/>
      <c r="Y149" s="154"/>
      <c r="Z149" s="154"/>
      <c r="AA149" s="154"/>
      <c r="AB149" s="154"/>
      <c r="AC149" s="154"/>
      <c r="AD149" s="154"/>
      <c r="AE149" s="154"/>
      <c r="AF149" s="154"/>
      <c r="AG149" s="154"/>
      <c r="AH149" s="154"/>
      <c r="AI149" s="154"/>
      <c r="AJ149" s="154"/>
      <c r="AK149" s="154"/>
      <c r="AL149" s="154"/>
      <c r="AM149" s="154"/>
      <c r="AN149" s="154"/>
      <c r="AO149" s="154"/>
      <c r="AP149" s="154"/>
      <c r="AQ149" s="154"/>
      <c r="AR149" s="154"/>
      <c r="AS149" s="154"/>
      <c r="AT149" s="154"/>
      <c r="AU149" s="154"/>
      <c r="AV149" s="154"/>
      <c r="AW149" s="154"/>
      <c r="AX149" s="154"/>
      <c r="AY149" s="154"/>
      <c r="AZ149" s="154"/>
      <c r="BA149" s="154"/>
      <c r="BB149" s="154"/>
    </row>
    <row r="150" spans="1:85" s="527" customFormat="1" ht="15.75" customHeight="1" outlineLevel="1" x14ac:dyDescent="0.2">
      <c r="A150" s="1212"/>
      <c r="B150" s="1212" t="s">
        <v>5493</v>
      </c>
      <c r="C150" s="1219" t="s">
        <v>4579</v>
      </c>
      <c r="D150" s="1569" t="s">
        <v>6359</v>
      </c>
      <c r="E150" s="1559" t="str">
        <f>IF(NOT('06 Exr'!C130 = ""),'06 Exr'!C130,IF(COUNTIF('06 Exr'!C131:C135,"&gt;=0")=0,"", MIN(MAX(SUMPRODUCT('06 Exr'!C131:C135,'06 Exr'!$G131:$G135)*4/(SUM('06 Exr'!$G131:$G135) - SUMIF('06 Exr'!C131:C135,"X",'06 Exr'!$G131:$G135)),MAX('06 Exr'!AA131:AA135)),MIN('06 Exr'!AE131:AE135))))</f>
        <v/>
      </c>
      <c r="F150" s="1556" t="str">
        <f>IF(NOT('06 Exr'!D130 = ""),'06 Exr'!D130,IF(COUNTIF('06 Exr'!D131:D135,"&gt;=0")=0,"", MIN(MAX(SUMPRODUCT('06 Exr'!D131:D135,'06 Exr'!$G131:$G135)*4/(SUM('06 Exr'!$G131:$G135) - SUMIF('06 Exr'!D131:D135,"X",'06 Exr'!$G131:$G135)),MAX('06 Exr'!AB131:AB135)),MIN('06 Exr'!AF131:AF135))))</f>
        <v/>
      </c>
      <c r="G150" s="1556" t="str">
        <f>IF(NOT('06 Exr'!E130 = ""),'06 Exr'!E130,IF(COUNTIF('06 Exr'!E131:E135,"&gt;=0")=0,"", MIN(MAX(SUMPRODUCT('06 Exr'!E131:E135,'06 Exr'!$G131:$G135)*4/(SUM('06 Exr'!$G131:$G135) - SUMIF('06 Exr'!E131:E135,"X",'06 Exr'!$G131:$G135)),MAX('06 Exr'!AC131:AC135)),MIN('06 Exr'!AG131:AG135))))</f>
        <v/>
      </c>
      <c r="H150" s="1556" t="str">
        <f>IF(NOT('06 Exr'!F130 = ""),'06 Exr'!F130,IF(COUNTIF('06 Exr'!F131:F135,"&gt;=0")=0,"", MIN(MAX(SUMPRODUCT('06 Exr'!F131:F135,'06 Exr'!$G131:$G135)*4/(SUM('06 Exr'!$G131:$G135) - SUMIF('06 Exr'!F131:F135,"X",'06 Exr'!$G131:$G135)),MAX('06 Exr'!AD131:AD135)),MIN('06 Exr'!AH131:AH135))))</f>
        <v/>
      </c>
      <c r="I150" s="1557">
        <f>IF(AND(OR(E150="X",E150=""),OR(F150="X",F150=""),OR(G150="X",G150=""),OR(H150="X",H150="")),1,ROUND(MIN(IF(OR(E150="",E150="X"),4,E150),IF(OR(F150="",F150="X"),4,F150),IF(OR(G150="",G150="X"),4,G150),IF(OR(H150="",H150="X"),4,H150)),0))</f>
        <v>1</v>
      </c>
      <c r="J150" s="1557">
        <f>IF(I150="","",IF(IndG=3,MAX(I150,Obj_Projets!J150),MAX(I150,Obj_PA!D150)))</f>
        <v>1</v>
      </c>
      <c r="K150" s="1560">
        <f>IF(IF(OR(IndG=3,IndG=4),MAX(I150,J150),I150)&lt;1,1,IF(OR(IndG=3,IndG=4),MAX(I150,J150),I150))</f>
        <v>1</v>
      </c>
      <c r="L150" s="1650" t="str">
        <f>IF(E150=""," n'a pas démarré","")</f>
        <v xml:space="preserve"> n'a pas démarré</v>
      </c>
      <c r="M150" s="154"/>
      <c r="N150" s="154"/>
      <c r="O150" s="154"/>
      <c r="P150" s="154"/>
      <c r="Q150" s="154"/>
      <c r="R150" s="154"/>
      <c r="S150" s="154"/>
      <c r="T150" s="154"/>
      <c r="U150" s="154"/>
      <c r="V150" s="154"/>
      <c r="W150" s="154"/>
      <c r="X150" s="154"/>
      <c r="Y150" s="154"/>
      <c r="Z150" s="154"/>
      <c r="AA150" s="154"/>
      <c r="AB150" s="154"/>
      <c r="AC150" s="154"/>
      <c r="AD150" s="154"/>
      <c r="AE150" s="154"/>
      <c r="AF150" s="154"/>
      <c r="AG150" s="154"/>
      <c r="AH150" s="154"/>
      <c r="AI150" s="154"/>
      <c r="AJ150" s="154"/>
      <c r="AK150" s="154"/>
      <c r="AL150" s="154"/>
      <c r="AM150" s="154"/>
      <c r="AN150" s="154"/>
      <c r="AO150" s="154"/>
      <c r="AP150" s="154"/>
      <c r="AQ150" s="154"/>
      <c r="AR150" s="154"/>
      <c r="AS150" s="154"/>
      <c r="AT150" s="154"/>
      <c r="AU150" s="154"/>
      <c r="AV150" s="154"/>
      <c r="AW150" s="154"/>
      <c r="AX150" s="154"/>
      <c r="AY150" s="154"/>
      <c r="AZ150" s="154"/>
      <c r="BA150" s="154"/>
      <c r="BB150" s="154"/>
    </row>
    <row r="151" spans="1:85" s="527" customFormat="1" ht="15.75" customHeight="1" outlineLevel="1" x14ac:dyDescent="0.2">
      <c r="A151" s="1212"/>
      <c r="B151" s="1212" t="s">
        <v>5494</v>
      </c>
      <c r="C151" s="1219" t="s">
        <v>4580</v>
      </c>
      <c r="D151" s="1569" t="s">
        <v>6359</v>
      </c>
      <c r="E151" s="1559" t="str">
        <f>IF(NOT('06 Exr'!C136 = ""),'06 Exr'!C136,IF(COUNTIF('06 Exr'!C137:C139,"&gt;=0")=0,"", MIN(MAX(SUMPRODUCT('06 Exr'!C137:C139,'06 Exr'!$G137:$G139)*4/(SUM('06 Exr'!$G137:$G139) - SUMIF('06 Exr'!C137:C139,"X",'06 Exr'!$G137:$G139)),MAX('06 Exr'!AA137:AA139)),MIN('06 Exr'!AE137:AE139))))</f>
        <v/>
      </c>
      <c r="F151" s="1556" t="str">
        <f>IF(NOT('06 Exr'!D136 = ""),'06 Exr'!D136,IF(COUNTIF('06 Exr'!D137:D139,"&gt;=0")=0,"", MIN(MAX(SUMPRODUCT('06 Exr'!D137:D139,'06 Exr'!$G137:$G139)*4/(SUM('06 Exr'!$G137:$G139) - SUMIF('06 Exr'!D137:D139,"X",'06 Exr'!$G137:$G139)),MAX('06 Exr'!AB137:AB139)),MIN('06 Exr'!AF137:AF139))))</f>
        <v/>
      </c>
      <c r="G151" s="1556" t="str">
        <f>IF(NOT('06 Exr'!E136 = ""),'06 Exr'!E136,IF(COUNTIF('06 Exr'!E137:E139,"&gt;=0")=0,"", MIN(MAX(SUMPRODUCT('06 Exr'!E137:E139,'06 Exr'!$G137:$G139)*4/(SUM('06 Exr'!$G137:$G139) - SUMIF('06 Exr'!E137:E139,"X",'06 Exr'!$G137:$G139)),MAX('06 Exr'!AC137:AC139)),MIN('06 Exr'!AG137:AG139))))</f>
        <v/>
      </c>
      <c r="H151" s="1556" t="str">
        <f>IF(NOT('06 Exr'!F136 = ""),'06 Exr'!F136,IF(COUNTIF('06 Exr'!F137:F139,"&gt;=0")=0,"", MIN(MAX(SUMPRODUCT('06 Exr'!F137:F139,'06 Exr'!$G137:$G139)*4/(SUM('06 Exr'!$G137:$G139) - SUMIF('06 Exr'!F137:F139,"X",'06 Exr'!$G137:$G139)),MAX('06 Exr'!AD137:AD139)),MIN('06 Exr'!AH137:AH139))))</f>
        <v/>
      </c>
      <c r="I151" s="1557">
        <f>IF(AND(OR(E151="X",E151=""),OR(F151="X",F151=""),OR(G151="X",G151=""),OR(H151="X",H151="")),1,ROUND(MIN(IF(OR(E151="",E151="X"),4,E151),IF(OR(F151="",F151="X"),4,F151),IF(OR(G151="",G151="X"),4,G151),IF(OR(H151="",H151="X"),4,H151)),0))</f>
        <v>1</v>
      </c>
      <c r="J151" s="1557">
        <f>IF(I151="","",IF(IndG=3,MAX(I151,Obj_Projets!J151),MAX(I151,Obj_PA!D151)))</f>
        <v>1</v>
      </c>
      <c r="K151" s="1560">
        <f>IF(IF(OR(IndG=3,IndG=4),MAX(I151,J151),I151)&lt;1,1,IF(OR(IndG=3,IndG=4),MAX(I151,J151),I151))</f>
        <v>1</v>
      </c>
      <c r="L151" s="1650" t="str">
        <f>IF(E151=""," n'a pas démarré","")</f>
        <v xml:space="preserve"> n'a pas démarré</v>
      </c>
      <c r="M151" s="154"/>
      <c r="N151" s="154"/>
      <c r="O151" s="154"/>
      <c r="P151" s="154"/>
      <c r="Q151" s="154"/>
      <c r="R151" s="154"/>
      <c r="S151" s="154"/>
      <c r="T151" s="154"/>
      <c r="U151" s="154"/>
      <c r="V151" s="154"/>
      <c r="W151" s="154"/>
      <c r="X151" s="154"/>
      <c r="Y151" s="154"/>
      <c r="Z151" s="154"/>
      <c r="AA151" s="154"/>
      <c r="AB151" s="154"/>
      <c r="AC151" s="154"/>
      <c r="AD151" s="154"/>
      <c r="AE151" s="154"/>
      <c r="AF151" s="154"/>
      <c r="AG151" s="154"/>
      <c r="AH151" s="154"/>
      <c r="AI151" s="154"/>
      <c r="AJ151" s="154"/>
      <c r="AK151" s="154"/>
      <c r="AL151" s="154"/>
      <c r="AM151" s="154"/>
      <c r="AN151" s="154"/>
      <c r="AO151" s="154"/>
      <c r="AP151" s="154"/>
      <c r="AQ151" s="154"/>
      <c r="AR151" s="154"/>
      <c r="AS151" s="154"/>
      <c r="AT151" s="154"/>
      <c r="AU151" s="154"/>
      <c r="AV151" s="154"/>
      <c r="AW151" s="154"/>
      <c r="AX151" s="154"/>
      <c r="AY151" s="154"/>
      <c r="AZ151" s="154"/>
      <c r="BA151" s="154"/>
      <c r="BB151" s="154"/>
    </row>
    <row r="152" spans="1:85" ht="15.75" customHeight="1" x14ac:dyDescent="0.2">
      <c r="A152" s="1227" t="s">
        <v>61</v>
      </c>
      <c r="B152" s="1981" t="s">
        <v>6347</v>
      </c>
      <c r="C152" s="1982"/>
      <c r="D152" s="1563"/>
      <c r="E152" s="1564"/>
      <c r="F152" s="1564"/>
      <c r="G152" s="1564"/>
      <c r="H152" s="1564"/>
      <c r="I152" s="1568"/>
      <c r="J152" s="1568"/>
      <c r="K152" s="1568"/>
      <c r="L152" s="1653"/>
    </row>
    <row r="153" spans="1:85" ht="15.75" customHeight="1" outlineLevel="1" x14ac:dyDescent="0.2">
      <c r="A153" s="1212"/>
      <c r="B153" s="1213" t="s">
        <v>3804</v>
      </c>
      <c r="C153" s="1214" t="s">
        <v>7311</v>
      </c>
      <c r="D153" s="1554"/>
      <c r="E153" s="1566"/>
      <c r="F153" s="1566"/>
      <c r="G153" s="1566"/>
      <c r="H153" s="1566"/>
      <c r="I153" s="1561"/>
      <c r="J153" s="1561"/>
      <c r="K153" s="1561"/>
      <c r="L153" s="1652"/>
    </row>
    <row r="154" spans="1:85" ht="15.75" customHeight="1" outlineLevel="1" x14ac:dyDescent="0.2">
      <c r="A154" s="1212"/>
      <c r="B154" s="1212" t="s">
        <v>5426</v>
      </c>
      <c r="C154" s="1219" t="s">
        <v>5427</v>
      </c>
      <c r="D154" s="1562" t="s">
        <v>2625</v>
      </c>
      <c r="E154" s="1566" t="str">
        <f>IF(NOT('07 Sys'!C4 = ""),'07 Sys'!C4,IF(COUNTIF('07 Sys'!C5:C12,"&gt;=0")=0,"", MIN(MAX(SUMPRODUCT('07 Sys'!C5:C12,'07 Sys'!$G5:$G12)*4/(SUM('07 Sys'!$G5:$G12) - SUMIF('07 Sys'!C5:C12,"X",'07 Sys'!$G5:$G12)),MAX('07 Sys'!AA5:AA12)),MIN('07 Sys'!AE5:AE12))))</f>
        <v/>
      </c>
      <c r="F154" s="1566" t="str">
        <f>IF(NOT('07 Sys'!D4 = ""),'07 Sys'!D4,IF(COUNTIF('07 Sys'!D5:D12,"&gt;=0")=0,"", MIN(MAX(SUMPRODUCT('07 Sys'!D5:D12,'07 Sys'!$G5:$G12)*4/(SUM('07 Sys'!$G5:$G12) - SUMIF('07 Sys'!D5:D12,"X",'07 Sys'!$G5:$G12)),MAX('07 Sys'!AB5:AB12)),MIN('07 Sys'!AF5:AF12))))</f>
        <v/>
      </c>
      <c r="G154" s="1566" t="str">
        <f>IF(NOT('07 Sys'!E4 = ""),'07 Sys'!E4,IF(COUNTIF('07 Sys'!E5:E12,"&gt;=0")=0,"", MIN(MAX(SUMPRODUCT('07 Sys'!E5:E12,'07 Sys'!$G5:$G12)*4/(SUM('07 Sys'!$G5:$G12) - SUMIF('07 Sys'!E5:E12,"X",'07 Sys'!$G5:$G12)),MAX('07 Sys'!AC5:AC12)),MIN('07 Sys'!AG5:AG12))))</f>
        <v/>
      </c>
      <c r="H154" s="1566" t="str">
        <f>IF(NOT('07 Sys'!F4 = ""),'07 Sys'!F4,IF(COUNTIF('07 Sys'!F5:F12,"&gt;=0")=0,"", MIN(MAX(SUMPRODUCT('07 Sys'!F5:F12,'07 Sys'!$G5:$G12)*4/(SUM('07 Sys'!$G5:$G12) - SUMIF('07 Sys'!F5:F12,"X",'07 Sys'!$G5:$G12)),MAX('07 Sys'!AD5:AD12)),MIN('07 Sys'!AH5:AH12))))</f>
        <v/>
      </c>
      <c r="I154" s="1557">
        <f>IF(AND(OR(E154="X",E154=""),OR(F154="X",F154=""),OR(G154="X",G154=""),OR(H154="X",H154="")),1,ROUND(MIN(IF(OR(E154="",E154="X"),4,E154),IF(OR(F154="",F154="X"),4,F154),IF(OR(G154="",G154="X"),4,G154),IF(OR(H154="",H154="X"),4,H154)),0))</f>
        <v>1</v>
      </c>
      <c r="J154" s="1557">
        <f>IF(I154="","",IF(IndG=3,MAX(I154,Obj_Projets!J154),MAX(I154,Obj_PA!D154)))</f>
        <v>1</v>
      </c>
      <c r="K154" s="1560">
        <f>IF(IF(OR(IndG=3,IndG=4),MAX(I154,J154),I154)&lt;1,1,IF(OR(IndG=3,IndG=4),MAX(I154,J154),I154))</f>
        <v>1</v>
      </c>
      <c r="L154" s="1652" t="str">
        <f>IF(E154=""," n'a pas démarré","")</f>
        <v xml:space="preserve"> n'a pas démarré</v>
      </c>
    </row>
    <row r="155" spans="1:85" ht="15.75" customHeight="1" outlineLevel="1" x14ac:dyDescent="0.2">
      <c r="A155" s="1212"/>
      <c r="B155" s="1212" t="s">
        <v>5428</v>
      </c>
      <c r="C155" s="1219" t="s">
        <v>1457</v>
      </c>
      <c r="D155" s="1562" t="s">
        <v>2625</v>
      </c>
      <c r="E155" s="1566" t="str">
        <f>IF(NOT('07 Sys'!C13 = ""),'07 Sys'!C13,IF(COUNTIF('07 Sys'!C14:C21,"&gt;=0")=0,"", MIN(MAX(SUMPRODUCT('07 Sys'!C14:C21,'07 Sys'!$G14:$G21)*4/(SUM('07 Sys'!$G14:$G21) - SUMIF('07 Sys'!C14:C21,"X",'07 Sys'!$G14:$G21)),MAX('07 Sys'!AA14:AA21)),MIN('07 Sys'!AE14:AE21))))</f>
        <v/>
      </c>
      <c r="F155" s="1566" t="str">
        <f>IF(NOT('07 Sys'!D13 = ""),'07 Sys'!D13,IF(COUNTIF('07 Sys'!D14:D21,"&gt;=0")=0,"", MIN(MAX(SUMPRODUCT('07 Sys'!D14:D21,'07 Sys'!$G14:$G21)*4/(SUM('07 Sys'!$G14:$G21) - SUMIF('07 Sys'!D14:D21,"X",'07 Sys'!$G14:$G21)),MAX('07 Sys'!AB14:AB21)),MIN('07 Sys'!AF14:AF21))))</f>
        <v/>
      </c>
      <c r="G155" s="1566" t="str">
        <f>IF(NOT('07 Sys'!E13 = ""),'07 Sys'!E13,IF(COUNTIF('07 Sys'!E14:E21,"&gt;=0")=0,"", MIN(MAX(SUMPRODUCT('07 Sys'!E14:E21,'07 Sys'!$G14:$G21)*4/(SUM('07 Sys'!$G14:$G21) - SUMIF('07 Sys'!E14:E21,"X",'07 Sys'!$G14:$G21)),MAX('07 Sys'!AC14:AC21)),MIN('07 Sys'!AG14:AG21))))</f>
        <v/>
      </c>
      <c r="H155" s="1566" t="str">
        <f>IF(NOT('07 Sys'!F13 = ""),'07 Sys'!F13,IF(COUNTIF('07 Sys'!F14:F21,"&gt;=0")=0,"", MIN(MAX(SUMPRODUCT('07 Sys'!F14:F21,'07 Sys'!$G14:$G21)*4/(SUM('07 Sys'!$G14:$G21) - SUMIF('07 Sys'!F14:F21,"X",'07 Sys'!$G14:$G21)),MAX('07 Sys'!AD14:AD21)),MIN('07 Sys'!AH14:AH21))))</f>
        <v/>
      </c>
      <c r="I155" s="1557">
        <f>IF(AND(OR(E155="X",E155=""),OR(F155="X",F155=""),OR(G155="X",G155=""),OR(H155="X",H155="")),1,ROUND(MIN(IF(OR(E155="",E155="X"),4,E155),IF(OR(F155="",F155="X"),4,F155),IF(OR(G155="",G155="X"),4,G155),IF(OR(H155="",H155="X"),4,H155)),0))</f>
        <v>1</v>
      </c>
      <c r="J155" s="1557">
        <f>IF(I155="","",IF(IndG=3,MAX(I155,Obj_Projets!J155),MAX(I155,Obj_PA!D155)))</f>
        <v>1</v>
      </c>
      <c r="K155" s="1560">
        <f>IF(IF(OR(IndG=3,IndG=4),MAX(I155,J155),I155)&lt;1,1,IF(OR(IndG=3,IndG=4),MAX(I155,J155),I155))</f>
        <v>1</v>
      </c>
      <c r="L155" s="1652" t="str">
        <f>IF(E155=""," n'a pas démarré","")</f>
        <v xml:space="preserve"> n'a pas démarré</v>
      </c>
      <c r="CG155" s="520">
        <f>IF(INDEX(Tab_actions,17,1)=1,INDEX(Tab_actions,17,4),0)</f>
        <v>0</v>
      </c>
    </row>
    <row r="156" spans="1:85" ht="15.75" customHeight="1" outlineLevel="1" x14ac:dyDescent="0.2">
      <c r="A156" s="1212"/>
      <c r="B156" s="1212" t="s">
        <v>5429</v>
      </c>
      <c r="C156" s="1219" t="s">
        <v>5114</v>
      </c>
      <c r="D156" s="1562" t="s">
        <v>2625</v>
      </c>
      <c r="E156" s="1566" t="str">
        <f>IF(NOT('07 Sys'!C22 = ""),'07 Sys'!C22,IF(COUNTIF('07 Sys'!C23:C33,"&gt;=0")=0,"", MIN(MAX(SUMPRODUCT('07 Sys'!C23:C33,'07 Sys'!$G23:$G33)*4/(SUM('07 Sys'!$G23:$G33) - SUMIF('07 Sys'!C23:C33,"X",'07 Sys'!$G23:$G33)),MAX('07 Sys'!AA23:AA33)),MIN('07 Sys'!AE23:AE33))))</f>
        <v/>
      </c>
      <c r="F156" s="1566" t="str">
        <f>IF(NOT('07 Sys'!D22 = ""),'07 Sys'!D22,IF(COUNTIF('07 Sys'!D23:D33,"&gt;=0")=0,"", MIN(MAX(SUMPRODUCT('07 Sys'!D23:D33,'07 Sys'!$G23:$G33)*4/(SUM('07 Sys'!$G23:$G33) - SUMIF('07 Sys'!D23:D33,"X",'07 Sys'!$G23:$G33)),MAX('07 Sys'!AB23:AB33)),MIN('07 Sys'!AF23:AF33))))</f>
        <v/>
      </c>
      <c r="G156" s="1566" t="str">
        <f>IF(NOT('07 Sys'!E22 = ""),'07 Sys'!E22,IF(COUNTIF('07 Sys'!E23:E33,"&gt;=0")=0,"", MIN(MAX(SUMPRODUCT('07 Sys'!E23:E33,'07 Sys'!$G23:$G33)*4/(SUM('07 Sys'!$G23:$G33) - SUMIF('07 Sys'!E23:E33,"X",'07 Sys'!$G23:$G33)),MAX('07 Sys'!AC23:AC33)),MIN('07 Sys'!AG23:AG33))))</f>
        <v/>
      </c>
      <c r="H156" s="1566" t="str">
        <f>IF(NOT('07 Sys'!F22 = ""),'07 Sys'!F22,IF(COUNTIF('07 Sys'!F23:F33,"&gt;=0")=0,"", MIN(MAX(SUMPRODUCT('07 Sys'!F23:F33,'07 Sys'!$G23:$G33)*4/(SUM('07 Sys'!$G23:$G33) - SUMIF('07 Sys'!F23:F33,"X",'07 Sys'!$G23:$G33)),MAX('07 Sys'!AD23:AD33)),MIN('07 Sys'!AH23:AH33))))</f>
        <v/>
      </c>
      <c r="I156" s="1557">
        <f>IF(AND(OR(E156="X",E156=""),OR(F156="X",F156=""),OR(G156="X",G156=""),OR(H156="X",H156="")),1,ROUND(MIN(IF(OR(E156="",E156="X"),4,E156),IF(OR(F156="",F156="X"),4,F156),IF(OR(G156="",G156="X"),4,G156),IF(OR(H156="",H156="X"),4,H156)),0))</f>
        <v>1</v>
      </c>
      <c r="J156" s="1557">
        <f>IF(I156="","",IF(IndG=3,MAX(I156,Obj_Projets!J156),MAX(I156,Obj_PA!D156)))</f>
        <v>1</v>
      </c>
      <c r="K156" s="1560">
        <f>IF(IF(OR(IndG=3,IndG=4),MAX(I156,J156),I156)&lt;1,1,IF(OR(IndG=3,IndG=4),MAX(I156,J156),I156))</f>
        <v>1</v>
      </c>
      <c r="L156" s="1652" t="str">
        <f>IF(E156=""," n'a pas démarré","")</f>
        <v xml:space="preserve"> n'a pas démarré</v>
      </c>
      <c r="CG156" s="520">
        <f>IF(INDEX(Tab_actions,80,1)=1,INDEX(Tab_actions,80,8),0)</f>
        <v>0</v>
      </c>
    </row>
    <row r="157" spans="1:85" ht="15.75" customHeight="1" outlineLevel="1" x14ac:dyDescent="0.2">
      <c r="A157" s="1212"/>
      <c r="B157" s="1212" t="s">
        <v>5137</v>
      </c>
      <c r="C157" s="1219" t="s">
        <v>5138</v>
      </c>
      <c r="D157" s="1562" t="s">
        <v>2625</v>
      </c>
      <c r="E157" s="1566" t="str">
        <f>IF(NOT('07 Sys'!C34 = ""),'07 Sys'!C34,IF(COUNTIF('07 Sys'!C35:C44,"&gt;=0")=0,"", MIN(MAX(SUMPRODUCT('07 Sys'!C35:C44,'07 Sys'!$G35:$G44)*4/(SUM('07 Sys'!$G35:$G44) - SUMIF('07 Sys'!C35:C44,"X",'07 Sys'!$G35:$G44)),MAX('07 Sys'!AA35:AA44)),MIN('07 Sys'!AE35:AE44))))</f>
        <v/>
      </c>
      <c r="F157" s="1566" t="str">
        <f>IF(NOT('07 Sys'!D34 = ""),'07 Sys'!D34,IF(COUNTIF('07 Sys'!D35:D44,"&gt;=0")=0,"", MIN(MAX(SUMPRODUCT('07 Sys'!D35:D44,'07 Sys'!$G35:$G44)*4/(SUM('07 Sys'!$G35:$G44) - SUMIF('07 Sys'!D35:D44,"X",'07 Sys'!$G35:$G44)),MAX('07 Sys'!AB35:AB44)),MIN('07 Sys'!AF35:AF44))))</f>
        <v/>
      </c>
      <c r="G157" s="1566" t="str">
        <f>IF(NOT('07 Sys'!E34 = ""),'07 Sys'!E34,IF(COUNTIF('07 Sys'!E35:E44,"&gt;=0")=0,"", MIN(MAX(SUMPRODUCT('07 Sys'!E35:E44,'07 Sys'!$G35:$G44)*4/(SUM('07 Sys'!$G35:$G44) - SUMIF('07 Sys'!E35:E44,"X",'07 Sys'!$G35:$G44)),MAX('07 Sys'!AC35:AC44)),MIN('07 Sys'!AG35:AG44))))</f>
        <v/>
      </c>
      <c r="H157" s="1566" t="str">
        <f>IF(NOT('07 Sys'!F34 = ""),'07 Sys'!F34,IF(COUNTIF('07 Sys'!F35:F44,"&gt;=0")=0,"", MIN(MAX(SUMPRODUCT('07 Sys'!F35:F44,'07 Sys'!$G35:$G44)*4/(SUM('07 Sys'!$G35:$G44) - SUMIF('07 Sys'!F35:F44,"X",'07 Sys'!$G35:$G44)),MAX('07 Sys'!AD35:AD44)),MIN('07 Sys'!AH35:AH44))))</f>
        <v/>
      </c>
      <c r="I157" s="1557">
        <f>IF(AND(OR(E157="X",E157=""),OR(F157="X",F157=""),OR(G157="X",G157=""),OR(H157="X",H157="")),1,ROUND(MIN(IF(OR(E157="",E157="X"),4,E157),IF(OR(F157="",F157="X"),4,F157),IF(OR(G157="",G157="X"),4,G157),IF(OR(H157="",H157="X"),4,H157)),0))</f>
        <v>1</v>
      </c>
      <c r="J157" s="1557">
        <f>IF(I157="","",IF(IndG=3,MAX(I157,Obj_Projets!J157),MAX(I157,Obj_PA!D157)))</f>
        <v>1</v>
      </c>
      <c r="K157" s="1560">
        <f>IF(IF(OR(IndG=3,IndG=4),MAX(I157,J157),I157)&lt;1,1,IF(OR(IndG=3,IndG=4),MAX(I157,J157),I157))</f>
        <v>1</v>
      </c>
      <c r="L157" s="1652" t="str">
        <f>IF(E157=""," n'a pas démarré","")</f>
        <v xml:space="preserve"> n'a pas démarré</v>
      </c>
      <c r="CG157" s="520">
        <f>IF(INDEX(Tab_actions,80,1)=1,INDEX(Tab_actions,80,10),0)</f>
        <v>0</v>
      </c>
    </row>
    <row r="158" spans="1:85" ht="15.75" customHeight="1" outlineLevel="1" x14ac:dyDescent="0.2">
      <c r="A158" s="1212"/>
      <c r="B158" s="1212" t="s">
        <v>1173</v>
      </c>
      <c r="C158" s="1219" t="s">
        <v>3827</v>
      </c>
      <c r="D158" s="1562" t="s">
        <v>2625</v>
      </c>
      <c r="E158" s="1566" t="str">
        <f>IF(NOT('07 Sys'!C45 = ""),'07 Sys'!C45,IF(COUNTIF('07 Sys'!C46:C53,"&gt;=0")=0,"", MIN(MAX(SUMPRODUCT('07 Sys'!C46:C53,'07 Sys'!$G46:$G53)*4/(SUM('07 Sys'!$G46:$G53) - SUMIF('07 Sys'!C46:C53,"X",'07 Sys'!$G46:$G53)),MAX('07 Sys'!AA46:AA53)),MIN('07 Sys'!AE46:AE53))))</f>
        <v/>
      </c>
      <c r="F158" s="1566" t="str">
        <f>IF(NOT('07 Sys'!D45 = ""),'07 Sys'!D45,IF(COUNTIF('07 Sys'!D46:D53,"&gt;=0")=0,"", MIN(MAX(SUMPRODUCT('07 Sys'!D46:D53,'07 Sys'!$G46:$G53)*4/(SUM('07 Sys'!$G46:$G53) - SUMIF('07 Sys'!D46:D53,"X",'07 Sys'!$G46:$G53)),MAX('07 Sys'!AB46:AB53)),MIN('07 Sys'!AF46:AF53))))</f>
        <v/>
      </c>
      <c r="G158" s="1566" t="str">
        <f>IF(NOT('07 Sys'!E45 = ""),'07 Sys'!E45,IF(COUNTIF('07 Sys'!E46:E53,"&gt;=0")=0,"", MIN(MAX(SUMPRODUCT('07 Sys'!E46:E53,'07 Sys'!$G46:$G53)*4/(SUM('07 Sys'!$G46:$G53) - SUMIF('07 Sys'!E46:E53,"X",'07 Sys'!$G46:$G53)),MAX('07 Sys'!AC46:AC53)),MIN('07 Sys'!AG46:AG53))))</f>
        <v/>
      </c>
      <c r="H158" s="1566" t="str">
        <f>IF(NOT('07 Sys'!F45 = ""),'07 Sys'!F45,IF(COUNTIF('07 Sys'!F46:F53,"&gt;=0")=0,"", MIN(MAX(SUMPRODUCT('07 Sys'!F46:F53,'07 Sys'!$G46:$G53)*4/(SUM('07 Sys'!$G46:$G53) - SUMIF('07 Sys'!F46:F53,"X",'07 Sys'!$G46:$G53)),MAX('07 Sys'!AD46:AD53)),MIN('07 Sys'!AH46:AH53))))</f>
        <v/>
      </c>
      <c r="I158" s="1557">
        <f>IF(AND(OR(E158="X",E158=""),OR(F158="X",F158=""),OR(G158="X",G158=""),OR(H158="X",H158="")),1,ROUND(MIN(IF(OR(E158="",E158="X"),4,E158),IF(OR(F158="",F158="X"),4,F158),IF(OR(G158="",G158="X"),4,G158),IF(OR(H158="",H158="X"),4,H158)),0))</f>
        <v>1</v>
      </c>
      <c r="J158" s="1557">
        <f>IF(I158="","",IF(IndG=3,MAX(I158,Obj_Projets!J158),MAX(I158,Obj_PA!D158)))</f>
        <v>1</v>
      </c>
      <c r="K158" s="1560">
        <f>IF(IF(OR(IndG=3,IndG=4),MAX(I158,J158),I158)&lt;1,1,IF(OR(IndG=3,IndG=4),MAX(I158,J158),I158))</f>
        <v>1</v>
      </c>
      <c r="L158" s="1652" t="str">
        <f>IF(E158=""," n'a pas démarré","")</f>
        <v xml:space="preserve"> n'a pas démarré</v>
      </c>
      <c r="CG158" s="520">
        <f>IF(INDEX(Tab_actions,80,1)=1,INDEX(Tab_actions,80,10),0)</f>
        <v>0</v>
      </c>
    </row>
    <row r="159" spans="1:85" ht="15.75" customHeight="1" outlineLevel="1" x14ac:dyDescent="0.2">
      <c r="A159" s="1212"/>
      <c r="B159" s="1213" t="s">
        <v>17</v>
      </c>
      <c r="C159" s="1214" t="s">
        <v>18</v>
      </c>
      <c r="D159" s="1554"/>
      <c r="E159" s="1566"/>
      <c r="F159" s="1566"/>
      <c r="G159" s="1566"/>
      <c r="H159" s="1566"/>
      <c r="I159" s="1561"/>
      <c r="J159" s="1561"/>
      <c r="K159" s="1561"/>
      <c r="L159" s="1652"/>
    </row>
    <row r="160" spans="1:85" ht="15.75" customHeight="1" outlineLevel="1" x14ac:dyDescent="0.2">
      <c r="A160" s="1212"/>
      <c r="B160" s="1212" t="s">
        <v>5139</v>
      </c>
      <c r="C160" s="1219" t="s">
        <v>4250</v>
      </c>
      <c r="D160" s="1562" t="s">
        <v>2625</v>
      </c>
      <c r="E160" s="1566" t="str">
        <f>IF(NOT('07 Sys'!C55 = ""),'07 Sys'!C55,IF(COUNTIF('07 Sys'!C56:C64,"&gt;=0")=0,"", MIN(MAX(SUMPRODUCT('07 Sys'!C56:C64,'07 Sys'!$G56:$G64)*4/(SUM('07 Sys'!$G56:$G64) - SUMIF('07 Sys'!C56:C64,"X",'07 Sys'!$G56:$G64)),MAX('07 Sys'!AA56:AA64)),MIN('07 Sys'!AE56:AE64))))</f>
        <v/>
      </c>
      <c r="F160" s="1566" t="str">
        <f>IF(NOT('07 Sys'!D55 = ""),'07 Sys'!D55,IF(COUNTIF('07 Sys'!D56:D64,"&gt;=0")=0,"", MIN(MAX(SUMPRODUCT('07 Sys'!D56:D64,'07 Sys'!$G56:$G64)*4/(SUM('07 Sys'!$G56:$G64) - SUMIF('07 Sys'!D56:D64,"X",'07 Sys'!$G56:$G64)),MAX('07 Sys'!AB56:AB64)),MIN('07 Sys'!AF56:AF64))))</f>
        <v/>
      </c>
      <c r="G160" s="1566" t="str">
        <f>IF(NOT('07 Sys'!E55 = ""),'07 Sys'!E55,IF(COUNTIF('07 Sys'!E56:E64,"&gt;=0")=0,"", MIN(MAX(SUMPRODUCT('07 Sys'!E56:E64,'07 Sys'!$G56:$G64)*4/(SUM('07 Sys'!$G56:$G64) - SUMIF('07 Sys'!E56:E64,"X",'07 Sys'!$G56:$G64)),MAX('07 Sys'!AC56:AC64)),MIN('07 Sys'!AG56:AG64))))</f>
        <v/>
      </c>
      <c r="H160" s="1566" t="str">
        <f>IF(NOT('07 Sys'!F55 = ""),'07 Sys'!F55,IF(COUNTIF('07 Sys'!F56:F64,"&gt;=0")=0,"", MIN(MAX(SUMPRODUCT('07 Sys'!F56:F64,'07 Sys'!$G56:$G64)*4/(SUM('07 Sys'!$G56:$G64) - SUMIF('07 Sys'!F56:F64,"X",'07 Sys'!$G56:$G64)),MAX('07 Sys'!AD56:AD64)),MIN('07 Sys'!AH56:AH64))))</f>
        <v/>
      </c>
      <c r="I160" s="1557">
        <f>IF(AND(OR(E160="X",E160=""),OR(F160="X",F160=""),OR(G160="X",G160=""),OR(H160="X",H160="")),1,ROUND(MIN(IF(OR(E160="",E160="X"),4,E160),IF(OR(F160="",F160="X"),4,F160),IF(OR(G160="",G160="X"),4,G160),IF(OR(H160="",H160="X"),4,H160)),0))</f>
        <v>1</v>
      </c>
      <c r="J160" s="1557">
        <f>IF(I160="","",IF(IndG=3,MAX(I160,Obj_Projets!J160),MAX(I160,Obj_PA!D160)))</f>
        <v>1</v>
      </c>
      <c r="K160" s="1560">
        <f>IF(IF(OR(IndG=3,IndG=4),MAX(I160,J160),I160)&lt;1,1,IF(OR(IndG=3,IndG=4),MAX(I160,J160),I160))</f>
        <v>1</v>
      </c>
      <c r="L160" s="1652" t="str">
        <f>IF(E160=""," n'a pas démarré","")</f>
        <v xml:space="preserve"> n'a pas démarré</v>
      </c>
    </row>
    <row r="161" spans="1:85" ht="15.75" customHeight="1" outlineLevel="1" x14ac:dyDescent="0.2">
      <c r="A161" s="1212"/>
      <c r="B161" s="1213" t="s">
        <v>6619</v>
      </c>
      <c r="C161" s="1214" t="s">
        <v>6620</v>
      </c>
      <c r="D161" s="1554"/>
      <c r="E161" s="1566"/>
      <c r="F161" s="1566"/>
      <c r="G161" s="1566"/>
      <c r="H161" s="1566"/>
      <c r="I161" s="1561"/>
      <c r="J161" s="1561"/>
      <c r="K161" s="1561"/>
      <c r="L161" s="1652"/>
    </row>
    <row r="162" spans="1:85" ht="15.75" customHeight="1" outlineLevel="1" x14ac:dyDescent="0.2">
      <c r="A162" s="1212"/>
      <c r="B162" s="1212" t="s">
        <v>5019</v>
      </c>
      <c r="C162" s="1219" t="s">
        <v>5020</v>
      </c>
      <c r="D162" s="1562" t="s">
        <v>2775</v>
      </c>
      <c r="E162" s="1566" t="str">
        <f>IF(NOT('07 Sys'!C66 = ""),'07 Sys'!C66,IF(COUNTIF('07 Sys'!C67:C75,"&gt;=0")=0,"", MIN(MAX(SUMPRODUCT('07 Sys'!C67:C75,'07 Sys'!$G67:$G75)*4/(SUM('07 Sys'!$G67:$G75) - SUMIF('07 Sys'!C67:C75,"X",'07 Sys'!$G67:$G75)),MAX('07 Sys'!AA67:AA75)),MIN('07 Sys'!AE67:AE75))))</f>
        <v/>
      </c>
      <c r="F162" s="1566" t="str">
        <f>IF(NOT('07 Sys'!D66 = ""),'07 Sys'!D66,IF(COUNTIF('07 Sys'!D67:D75,"&gt;=0")=0,"", MIN(MAX(SUMPRODUCT('07 Sys'!D67:D75,'07 Sys'!$G67:$G75)*4/(SUM('07 Sys'!$G67:$G75) - SUMIF('07 Sys'!D67:D75,"X",'07 Sys'!$G67:$G75)),MAX('07 Sys'!AB67:AB75)),MIN('07 Sys'!AF67:AF75))))</f>
        <v/>
      </c>
      <c r="G162" s="1566" t="str">
        <f>IF(NOT('07 Sys'!E66 = ""),'07 Sys'!E66,IF(COUNTIF('07 Sys'!E67:E75,"&gt;=0")=0,"", MIN(MAX(SUMPRODUCT('07 Sys'!E67:E75,'07 Sys'!$G67:$G75)*4/(SUM('07 Sys'!$G67:$G75) - SUMIF('07 Sys'!E67:E75,"X",'07 Sys'!$G67:$G75)),MAX('07 Sys'!AC67:AC75)),MIN('07 Sys'!AG67:AG75))))</f>
        <v/>
      </c>
      <c r="H162" s="1566" t="str">
        <f>IF(NOT('07 Sys'!F66 = ""),'07 Sys'!F66,IF(COUNTIF('07 Sys'!F67:F75,"&gt;=0")=0,"", MIN(MAX(SUMPRODUCT('07 Sys'!F67:F75,'07 Sys'!$G67:$G75)*4/(SUM('07 Sys'!$G67:$G75) - SUMIF('07 Sys'!F67:F75,"X",'07 Sys'!$G67:$G75)),MAX('07 Sys'!AD67:AD75)),MIN('07 Sys'!AH67:AH75))))</f>
        <v/>
      </c>
      <c r="I162" s="1557">
        <f>IF(AND(OR(E162="X",E162=""),OR(F162="X",F162=""),OR(G162="X",G162=""),OR(H162="X",H162="")),1,ROUND(MIN(IF(OR(E162="",E162="X"),4,E162),IF(OR(F162="",F162="X"),4,F162),IF(OR(G162="",G162="X"),4,G162),IF(OR(H162="",H162="X"),4,H162)),0))</f>
        <v>1</v>
      </c>
      <c r="J162" s="1557">
        <f>IF(I162="","",IF(IndG=3,MAX(I162,Obj_Projets!J162),MAX(I162,Obj_PA!D162)))</f>
        <v>1</v>
      </c>
      <c r="K162" s="1560">
        <f>IF(IF(OR(IndG=3,IndG=4),MAX(I162,J162),I162)&lt;1,1,IF(OR(IndG=3,IndG=4),MAX(I162,J162),I162))</f>
        <v>1</v>
      </c>
      <c r="L162" s="1652" t="str">
        <f>IF(E162=""," n'a pas démarré","")</f>
        <v xml:space="preserve"> n'a pas démarré</v>
      </c>
      <c r="CF162" s="520">
        <f>IF(INDEX(Tab_actions,16,1)=1,INDEX(Tab_actions,16,4),0)</f>
        <v>0</v>
      </c>
    </row>
    <row r="163" spans="1:85" ht="15.75" customHeight="1" outlineLevel="1" x14ac:dyDescent="0.2">
      <c r="A163" s="1212"/>
      <c r="B163" s="1212" t="s">
        <v>5021</v>
      </c>
      <c r="C163" s="1219" t="s">
        <v>5022</v>
      </c>
      <c r="D163" s="1562" t="s">
        <v>2775</v>
      </c>
      <c r="E163" s="1566" t="str">
        <f>IF(NOT('07 Sys'!C76 = ""),'07 Sys'!C76,IF(COUNTIF('07 Sys'!C77:C85,"&gt;=0")=0,"", MIN(MAX(SUMPRODUCT('07 Sys'!C77:C85,'07 Sys'!$G77:$G85)*4/(SUM('07 Sys'!$G77:$G85) - SUMIF('07 Sys'!C77:C85,"X",'07 Sys'!$G77:$G85)),MAX('07 Sys'!AA77:AA85)),MIN('07 Sys'!AE77:AE85))))</f>
        <v/>
      </c>
      <c r="F163" s="1566" t="str">
        <f>IF(NOT('07 Sys'!D76 = ""),'07 Sys'!D76,IF(COUNTIF('07 Sys'!D77:D85,"&gt;=0")=0,"", MIN(MAX(SUMPRODUCT('07 Sys'!D77:D85,'07 Sys'!$G77:$G85)*4/(SUM('07 Sys'!$G77:$G85) - SUMIF('07 Sys'!D77:D85,"X",'07 Sys'!$G77:$G85)),MAX('07 Sys'!AB77:AB85)),MIN('07 Sys'!AF77:AF85))))</f>
        <v/>
      </c>
      <c r="G163" s="1566" t="str">
        <f>IF(NOT('07 Sys'!E76 = ""),'07 Sys'!E76,IF(COUNTIF('07 Sys'!E77:E85,"&gt;=0")=0,"", MIN(MAX(SUMPRODUCT('07 Sys'!E77:E85,'07 Sys'!$G77:$G85)*4/(SUM('07 Sys'!$G77:$G85) - SUMIF('07 Sys'!E77:E85,"X",'07 Sys'!$G77:$G85)),MAX('07 Sys'!AC77:AC85)),MIN('07 Sys'!AG77:AG85))))</f>
        <v/>
      </c>
      <c r="H163" s="1566" t="str">
        <f>IF(NOT('07 Sys'!F76 = ""),'07 Sys'!F76,IF(COUNTIF('07 Sys'!F77:F85,"&gt;=0")=0,"", MIN(MAX(SUMPRODUCT('07 Sys'!F77:F85,'07 Sys'!$G77:$G85)*4/(SUM('07 Sys'!$G77:$G85) - SUMIF('07 Sys'!F77:F85,"X",'07 Sys'!$G77:$G85)),MAX('07 Sys'!AD77:AD85)),MIN('07 Sys'!AH77:AH85))))</f>
        <v/>
      </c>
      <c r="I163" s="1557">
        <f>IF(AND(OR(E163="X",E163=""),OR(F163="X",F163=""),OR(G163="X",G163=""),OR(H163="X",H163="")),1,ROUND(MIN(IF(OR(E163="",E163="X"),4,E163),IF(OR(F163="",F163="X"),4,F163),IF(OR(G163="",G163="X"),4,G163),IF(OR(H163="",H163="X"),4,H163)),0))</f>
        <v>1</v>
      </c>
      <c r="J163" s="1557">
        <f>IF(I163="","",IF(IndG=3,MAX(I163,Obj_Projets!J163),MAX(I163,Obj_PA!D163)))</f>
        <v>1</v>
      </c>
      <c r="K163" s="1560">
        <f>IF(IF(OR(IndG=3,IndG=4),MAX(I163,J163),I163)&lt;1,1,IF(OR(IndG=3,IndG=4),MAX(I163,J163),I163))</f>
        <v>1</v>
      </c>
      <c r="L163" s="1652" t="str">
        <f>IF(E163=""," n'a pas démarré","")</f>
        <v xml:space="preserve"> n'a pas démarré</v>
      </c>
      <c r="CF163" s="520">
        <f>IF(INDEX(Tab_actions,16,1)=1,INDEX(Tab_actions,16,6),0)</f>
        <v>0</v>
      </c>
    </row>
    <row r="164" spans="1:85" ht="15.75" customHeight="1" outlineLevel="1" x14ac:dyDescent="0.2">
      <c r="A164" s="1212"/>
      <c r="B164" s="1213" t="s">
        <v>2723</v>
      </c>
      <c r="C164" s="1214" t="s">
        <v>1747</v>
      </c>
      <c r="D164" s="1554"/>
      <c r="E164" s="1566"/>
      <c r="F164" s="1566"/>
      <c r="G164" s="1566"/>
      <c r="H164" s="1566"/>
      <c r="I164" s="1561"/>
      <c r="J164" s="1561"/>
      <c r="K164" s="1561"/>
      <c r="L164" s="1652"/>
    </row>
    <row r="165" spans="1:85" ht="15.75" customHeight="1" outlineLevel="1" x14ac:dyDescent="0.2">
      <c r="A165" s="1212"/>
      <c r="B165" s="1212" t="s">
        <v>4980</v>
      </c>
      <c r="C165" s="1219" t="s">
        <v>4981</v>
      </c>
      <c r="D165" s="1562" t="s">
        <v>2109</v>
      </c>
      <c r="E165" s="1566" t="str">
        <f>IF(NOT('07 Sys'!C87 = ""),'07 Sys'!C87,IF(COUNTIF('07 Sys'!C88:C94,"&gt;=0")=0,"", MIN(MAX(SUMPRODUCT('07 Sys'!C88:C94,'07 Sys'!$G88:$G94)*4/(SUM('07 Sys'!$G88:$G94) - SUMIF('07 Sys'!C88:C94,"X",'07 Sys'!$G88:$G94)),MAX('07 Sys'!AA88:AA94)),MIN('07 Sys'!AE88:AE94))))</f>
        <v/>
      </c>
      <c r="F165" s="1566" t="str">
        <f>IF(NOT('07 Sys'!D87 = ""),'07 Sys'!D87,IF(COUNTIF('07 Sys'!D88:D94,"&gt;=0")=0,"", MIN(MAX(SUMPRODUCT('07 Sys'!D88:D94,'07 Sys'!$G88:$G94)*4/(SUM('07 Sys'!$G88:$G94) - SUMIF('07 Sys'!D88:D94,"X",'07 Sys'!$G88:$G94)),MAX('07 Sys'!AB88:AB94)),MIN('07 Sys'!AF88:AF94))))</f>
        <v/>
      </c>
      <c r="G165" s="1566" t="str">
        <f>IF(NOT('07 Sys'!E87 = ""),'07 Sys'!E87,IF(COUNTIF('07 Sys'!E88:E94,"&gt;=0")=0,"", MIN(MAX(SUMPRODUCT('07 Sys'!E88:E94,'07 Sys'!$G88:$G94)*4/(SUM('07 Sys'!$G88:$G94) - SUMIF('07 Sys'!E88:E94,"X",'07 Sys'!$G88:$G94)),MAX('07 Sys'!AC88:AC94)),MIN('07 Sys'!AG88:AG94))))</f>
        <v/>
      </c>
      <c r="H165" s="1566" t="str">
        <f>IF(NOT('07 Sys'!F87 = ""),'07 Sys'!F87,IF(COUNTIF('07 Sys'!F88:F94,"&gt;=0")=0,"", MIN(MAX(SUMPRODUCT('07 Sys'!F88:F94,'07 Sys'!$G88:$G94)*4/(SUM('07 Sys'!$G88:$G94) - SUMIF('07 Sys'!F88:F94,"X",'07 Sys'!$G88:$G94)),MAX('07 Sys'!AD88:AD94)),MIN('07 Sys'!AH88:AH94))))</f>
        <v/>
      </c>
      <c r="I165" s="1557">
        <f>IF(AND(OR(E165="X",E165=""),OR(F165="X",F165=""),OR(G165="X",G165=""),OR(H165="X",H165="")),1,ROUND(MIN(IF(OR(E165="",E165="X"),4,E165),IF(OR(F165="",F165="X"),4,F165),IF(OR(G165="",G165="X"),4,G165),IF(OR(H165="",H165="X"),4,H165)),0))</f>
        <v>1</v>
      </c>
      <c r="J165" s="1557">
        <f>IF(I165="","",IF(IndG=3,MAX(I165,Obj_Projets!J165),MAX(I165,Obj_PA!D165)))</f>
        <v>1</v>
      </c>
      <c r="K165" s="1560">
        <f>IF(IF(OR(IndG=3,IndG=4),MAX(I165,J165),I165)&lt;1,1,IF(OR(IndG=3,IndG=4),MAX(I165,J165),I165))</f>
        <v>1</v>
      </c>
      <c r="L165" s="1652" t="str">
        <f>IF(E165=""," n'a pas démarré","")</f>
        <v xml:space="preserve"> n'a pas démarré</v>
      </c>
    </row>
    <row r="166" spans="1:85" s="527" customFormat="1" ht="15.75" customHeight="1" outlineLevel="1" x14ac:dyDescent="0.2">
      <c r="A166" s="1212"/>
      <c r="B166" s="1212" t="s">
        <v>4982</v>
      </c>
      <c r="C166" s="1219" t="s">
        <v>4983</v>
      </c>
      <c r="D166" s="1562" t="s">
        <v>2109</v>
      </c>
      <c r="E166" s="1559" t="str">
        <f>IF(NOT('07 Sys'!C95 = ""),'07 Sys'!C95,IF(COUNTIF('07 Sys'!C96:C98,"&gt;=0")=0,"", MIN(MAX(SUMPRODUCT('07 Sys'!C96:C98,'07 Sys'!$G96:$G98)*4/(SUM('07 Sys'!$G96:$G98) - SUMIF('07 Sys'!C96:C98,"X",'07 Sys'!$G96:$G98)),MAX('07 Sys'!AA96:AA98)),MIN('07 Sys'!AE96:AE98))))</f>
        <v/>
      </c>
      <c r="F166" s="1559" t="str">
        <f>IF(NOT('07 Sys'!D95 = ""),'07 Sys'!D95,IF(COUNTIF('07 Sys'!D96:D98,"&gt;=0")=0,"", MIN(MAX(SUMPRODUCT('07 Sys'!D96:D98,'07 Sys'!$G96:$G98)*4/(SUM('07 Sys'!$G96:$G98) - SUMIF('07 Sys'!D96:D98,"X",'07 Sys'!$G96:$G98)),MAX('07 Sys'!AB96:AB98)),MIN('07 Sys'!AF96:AF98))))</f>
        <v/>
      </c>
      <c r="G166" s="1559" t="str">
        <f>IF(NOT('07 Sys'!E95 = ""),'07 Sys'!E95,IF(COUNTIF('07 Sys'!E96:E98,"&gt;=0")=0,"", MIN(MAX(SUMPRODUCT('07 Sys'!E96:E98,'07 Sys'!$G96:$G98)*4/(SUM('07 Sys'!$G96:$G98) - SUMIF('07 Sys'!E96:E98,"X",'07 Sys'!$G96:$G98)),MAX('07 Sys'!AC96:AC98)),MIN('07 Sys'!AG96:AG98))))</f>
        <v/>
      </c>
      <c r="H166" s="1559" t="str">
        <f>IF(NOT('07 Sys'!F95 = ""),'07 Sys'!F95,IF(COUNTIF('07 Sys'!F96:F98,"&gt;=0")=0,"", MIN(MAX(SUMPRODUCT('07 Sys'!F96:F98,'07 Sys'!$G96:$G98)*4/(SUM('07 Sys'!$G96:$G98) - SUMIF('07 Sys'!F96:F98,"X",'07 Sys'!$G96:$G98)),MAX('07 Sys'!AD96:AD98)),MIN('07 Sys'!AH96:AH98))))</f>
        <v/>
      </c>
      <c r="I166" s="1557">
        <f>IF(AND(OR(E166="X",E166=""),OR(F166="X",F166=""),OR(G166="X",G166=""),OR(H166="X",H166="")),1,ROUND(MIN(IF(OR(E166="",E166="X"),4,E166),IF(OR(F166="",F166="X"),4,F166),IF(OR(G166="",G166="X"),4,G166),IF(OR(H166="",H166="X"),4,H166)),0))</f>
        <v>1</v>
      </c>
      <c r="J166" s="1557">
        <f>IF(I166="","",IF(IndG=3,MAX(I166,Obj_Projets!J166),MAX(I166,Obj_PA!D166)))</f>
        <v>1</v>
      </c>
      <c r="K166" s="1560">
        <f>IF(IF(OR(IndG=3,IndG=4),MAX(I166,J166),I166)&lt;1,1,IF(OR(IndG=3,IndG=4),MAX(I166,J166),I166))</f>
        <v>1</v>
      </c>
      <c r="L166" s="1650" t="str">
        <f>IF(E166=""," n'a pas démarré","")</f>
        <v xml:space="preserve"> n'a pas démarré</v>
      </c>
      <c r="M166" s="154"/>
      <c r="N166" s="154"/>
      <c r="O166" s="154"/>
      <c r="P166" s="154"/>
      <c r="Q166" s="154"/>
      <c r="R166" s="154"/>
      <c r="S166" s="154"/>
      <c r="T166" s="154"/>
      <c r="U166" s="154"/>
      <c r="V166" s="154"/>
      <c r="W166" s="154"/>
      <c r="X166" s="154"/>
      <c r="Y166" s="154"/>
      <c r="Z166" s="154"/>
      <c r="AA166" s="154"/>
      <c r="AB166" s="154"/>
      <c r="AC166" s="154"/>
      <c r="AD166" s="154"/>
      <c r="AE166" s="154"/>
      <c r="AF166" s="154"/>
      <c r="AG166" s="154"/>
      <c r="AH166" s="154"/>
      <c r="AI166" s="154"/>
      <c r="AJ166" s="154"/>
      <c r="AK166" s="154"/>
      <c r="AL166" s="154"/>
      <c r="AM166" s="154"/>
      <c r="AN166" s="154"/>
      <c r="AO166" s="154"/>
      <c r="AP166" s="154"/>
      <c r="AQ166" s="154"/>
      <c r="AR166" s="154"/>
      <c r="AS166" s="154"/>
      <c r="AT166" s="154"/>
      <c r="AU166" s="154"/>
      <c r="AV166" s="154"/>
      <c r="AW166" s="154"/>
      <c r="AX166" s="154"/>
      <c r="AY166" s="154"/>
      <c r="AZ166" s="154"/>
      <c r="BA166" s="154"/>
      <c r="BB166" s="154"/>
    </row>
    <row r="167" spans="1:85" ht="15.75" customHeight="1" x14ac:dyDescent="0.2">
      <c r="A167" s="1227" t="s">
        <v>4268</v>
      </c>
      <c r="B167" s="1981" t="s">
        <v>6348</v>
      </c>
      <c r="C167" s="1982"/>
      <c r="D167" s="1563"/>
      <c r="E167" s="1564"/>
      <c r="F167" s="1564"/>
      <c r="G167" s="1564"/>
      <c r="H167" s="1564"/>
      <c r="I167" s="1568"/>
      <c r="J167" s="1568"/>
      <c r="K167" s="1568"/>
      <c r="L167" s="1653"/>
    </row>
    <row r="168" spans="1:85" s="527" customFormat="1" ht="15.75" customHeight="1" outlineLevel="1" x14ac:dyDescent="0.2">
      <c r="A168" s="1212"/>
      <c r="B168" s="1213" t="s">
        <v>3190</v>
      </c>
      <c r="C168" s="1214" t="s">
        <v>2604</v>
      </c>
      <c r="D168" s="1554"/>
      <c r="E168" s="1559"/>
      <c r="F168" s="1559"/>
      <c r="G168" s="1559"/>
      <c r="H168" s="1559"/>
      <c r="I168" s="1561"/>
      <c r="J168" s="1561"/>
      <c r="K168" s="1561"/>
      <c r="L168" s="1650"/>
      <c r="M168" s="154"/>
      <c r="N168" s="154"/>
      <c r="O168" s="154"/>
      <c r="P168" s="154"/>
      <c r="Q168" s="154"/>
      <c r="R168" s="154"/>
      <c r="S168" s="154"/>
      <c r="T168" s="154"/>
      <c r="U168" s="154"/>
      <c r="V168" s="154"/>
      <c r="W168" s="154"/>
      <c r="X168" s="154"/>
      <c r="Y168" s="154"/>
      <c r="Z168" s="154"/>
      <c r="AA168" s="154"/>
      <c r="AB168" s="154"/>
      <c r="AC168" s="154"/>
      <c r="AD168" s="154"/>
      <c r="AE168" s="154"/>
      <c r="AF168" s="154"/>
      <c r="AG168" s="154"/>
      <c r="AH168" s="154"/>
      <c r="AI168" s="154"/>
      <c r="AJ168" s="154"/>
      <c r="AK168" s="154"/>
      <c r="AL168" s="154"/>
      <c r="AM168" s="154"/>
      <c r="AN168" s="154"/>
      <c r="AO168" s="154"/>
      <c r="AP168" s="154"/>
      <c r="AQ168" s="154"/>
      <c r="AR168" s="154"/>
      <c r="AS168" s="154"/>
      <c r="AT168" s="154"/>
      <c r="AU168" s="154"/>
      <c r="AV168" s="154"/>
      <c r="AW168" s="154"/>
      <c r="AX168" s="154"/>
      <c r="AY168" s="154"/>
      <c r="AZ168" s="154"/>
      <c r="BA168" s="154"/>
      <c r="BB168" s="154"/>
    </row>
    <row r="169" spans="1:85" s="527" customFormat="1" ht="15.75" customHeight="1" outlineLevel="1" x14ac:dyDescent="0.2">
      <c r="A169" s="1212"/>
      <c r="B169" s="1212" t="s">
        <v>4984</v>
      </c>
      <c r="C169" s="1219" t="s">
        <v>4529</v>
      </c>
      <c r="D169" s="1562" t="s">
        <v>4246</v>
      </c>
      <c r="E169" s="1559" t="str">
        <f>IF(NOT('08 Exs'!C4 = ""),'08 Exs'!C4,IF(COUNTIF('08 Exs'!C5:C15,"&gt;=0")=0,"", MIN(MAX(SUMPRODUCT('08 Exs'!C5:C15,'08 Exs'!$G5:$G15)*4/(SUM('08 Exs'!$G5:$G15) - SUMIF('08 Exs'!C5:C15,"X",'08 Exs'!$G5:$G15)),MAX('08 Exs'!AA5:AA15)),MIN('08 Exs'!AE5:AE15))))</f>
        <v/>
      </c>
      <c r="F169" s="1559" t="str">
        <f>IF(NOT('08 Exs'!D4 = ""),'08 Exs'!D4,IF(COUNTIF('08 Exs'!D5:D15,"&gt;=0")=0,"", MIN(MAX(SUMPRODUCT('08 Exs'!D5:D15,'08 Exs'!$G5:$G15)*4/(SUM('08 Exs'!$G5:$G15) - SUMIF('08 Exs'!D5:D15,"X",'08 Exs'!$G5:$G15)),MAX('08 Exs'!AB5:AB15)),MIN('08 Exs'!AF5:AF15))))</f>
        <v/>
      </c>
      <c r="G169" s="1559" t="str">
        <f>IF(NOT('08 Exs'!E4 = ""),'08 Exs'!E4,IF(COUNTIF('08 Exs'!E5:E15,"&gt;=0")=0,"", MIN(MAX(SUMPRODUCT('08 Exs'!E5:E15,'08 Exs'!$G5:$G15)*4/(SUM('08 Exs'!$G5:$G15) - SUMIF('08 Exs'!E5:E15,"X",'08 Exs'!$G5:$G15)),MAX('08 Exs'!AC5:AC15)),MIN('08 Exs'!AG5:AG15))))</f>
        <v/>
      </c>
      <c r="H169" s="1559" t="str">
        <f>IF(NOT('08 Exs'!F4 = ""),'08 Exs'!F4,IF(COUNTIF('08 Exs'!F5:F15,"&gt;=0")=0,"", MIN(MAX(SUMPRODUCT('08 Exs'!F5:F15,'08 Exs'!$G5:$G15)*4/(SUM('08 Exs'!$G5:$G15) - SUMIF('08 Exs'!F5:F15,"X",'08 Exs'!$G5:$G15)),MAX('08 Exs'!AD5:AD15)),MIN('08 Exs'!AH5:AH15))))</f>
        <v/>
      </c>
      <c r="I169" s="1557">
        <f t="shared" ref="I169:I177" si="27">IF(AND(OR(E169="X",E169=""),OR(F169="X",F169=""),OR(G169="X",G169=""),OR(H169="X",H169="")),1,ROUND(MIN(IF(OR(E169="",E169="X"),4,E169),IF(OR(F169="",F169="X"),4,F169),IF(OR(G169="",G169="X"),4,G169),IF(OR(H169="",H169="X"),4,H169)),0))</f>
        <v>1</v>
      </c>
      <c r="J169" s="1557">
        <f>IF(I169="","",IF(IndG=3,MAX(I169,Obj_Projets!J169),MAX(I169,Obj_PA!D169)))</f>
        <v>1</v>
      </c>
      <c r="K169" s="1560">
        <f t="shared" ref="K169:K177" si="28">IF(IF(OR(IndG=3,IndG=4),MAX(I169,J169),I169)&lt;1,1,IF(OR(IndG=3,IndG=4),MAX(I169,J169),I169))</f>
        <v>1</v>
      </c>
      <c r="L169" s="1650" t="str">
        <f t="shared" ref="L169:L177" si="29">IF(E169=""," n'a pas démarré","")</f>
        <v xml:space="preserve"> n'a pas démarré</v>
      </c>
      <c r="M169" s="154"/>
      <c r="N169" s="154"/>
      <c r="O169" s="154"/>
      <c r="P169" s="154"/>
      <c r="Q169" s="154"/>
      <c r="R169" s="154"/>
      <c r="S169" s="154"/>
      <c r="T169" s="154"/>
      <c r="U169" s="154"/>
      <c r="V169" s="154"/>
      <c r="W169" s="154"/>
      <c r="X169" s="154"/>
      <c r="Y169" s="154"/>
      <c r="Z169" s="154"/>
      <c r="AA169" s="154"/>
      <c r="AB169" s="154"/>
      <c r="AC169" s="154"/>
      <c r="AD169" s="154"/>
      <c r="AE169" s="154"/>
      <c r="AF169" s="154"/>
      <c r="AG169" s="154"/>
      <c r="AH169" s="154"/>
      <c r="AI169" s="154"/>
      <c r="AJ169" s="154"/>
      <c r="AK169" s="154"/>
      <c r="AL169" s="154"/>
      <c r="AM169" s="154"/>
      <c r="AN169" s="154"/>
      <c r="AO169" s="154"/>
      <c r="AP169" s="154"/>
      <c r="AQ169" s="154"/>
      <c r="AR169" s="154"/>
      <c r="AS169" s="154"/>
      <c r="AT169" s="154"/>
      <c r="AU169" s="154"/>
      <c r="AV169" s="154"/>
      <c r="AW169" s="154"/>
      <c r="AX169" s="154"/>
      <c r="AY169" s="154"/>
      <c r="AZ169" s="154"/>
      <c r="BA169" s="154"/>
      <c r="BB169" s="154"/>
    </row>
    <row r="170" spans="1:85" s="527" customFormat="1" ht="15.75" customHeight="1" outlineLevel="1" x14ac:dyDescent="0.2">
      <c r="A170" s="1212"/>
      <c r="B170" s="1212" t="s">
        <v>4423</v>
      </c>
      <c r="C170" s="1219" t="s">
        <v>4578</v>
      </c>
      <c r="D170" s="1562" t="s">
        <v>4246</v>
      </c>
      <c r="E170" s="1559" t="str">
        <f>IF(NOT('08 Exs'!C16 = ""),'08 Exs'!C16,IF(COUNTIF('08 Exs'!C17:C24,"&gt;=0")=0,"", MIN(MAX(SUMPRODUCT('08 Exs'!C17:C24,'08 Exs'!$G17:$G24)*4/(SUM('08 Exs'!$G17:$G24) - SUMIF('08 Exs'!C17:C24,"X",'08 Exs'!$G17:$G24)),MAX('08 Exs'!AA17:AA24)),MIN('08 Exs'!AE17:AE24))))</f>
        <v/>
      </c>
      <c r="F170" s="1559" t="str">
        <f>IF(NOT('08 Exs'!D16 = ""),'08 Exs'!D16,IF(COUNTIF('08 Exs'!D17:D24,"&gt;=0")=0,"", MIN(MAX(SUMPRODUCT('08 Exs'!D17:D24,'08 Exs'!$G17:$G24)*4/(SUM('08 Exs'!$G17:$G24) - SUMIF('08 Exs'!D17:D24,"X",'08 Exs'!$G17:$G24)),MAX('08 Exs'!AB17:AB24)),MIN('08 Exs'!AF17:AF24))))</f>
        <v/>
      </c>
      <c r="G170" s="1559" t="str">
        <f>IF(NOT('08 Exs'!E16 = ""),'08 Exs'!E16,IF(COUNTIF('08 Exs'!E17:E24,"&gt;=0")=0,"", MIN(MAX(SUMPRODUCT('08 Exs'!E17:E24,'08 Exs'!$G17:$G24)*4/(SUM('08 Exs'!$G17:$G24) - SUMIF('08 Exs'!E17:E24,"X",'08 Exs'!$G17:$G24)),MAX('08 Exs'!AC17:AC24)),MIN('08 Exs'!AG17:AG24))))</f>
        <v/>
      </c>
      <c r="H170" s="1559" t="str">
        <f>IF(NOT('08 Exs'!F16 = ""),'08 Exs'!F16,IF(COUNTIF('08 Exs'!F17:F24,"&gt;=0")=0,"", MIN(MAX(SUMPRODUCT('08 Exs'!F17:F24,'08 Exs'!$G17:$G24)*4/(SUM('08 Exs'!$G17:$G24) - SUMIF('08 Exs'!F17:F24,"X",'08 Exs'!$G17:$G24)),MAX('08 Exs'!AD17:AD24)),MIN('08 Exs'!AH17:AH24))))</f>
        <v/>
      </c>
      <c r="I170" s="1557">
        <f t="shared" si="27"/>
        <v>1</v>
      </c>
      <c r="J170" s="1557">
        <f>IF(I170="","",IF(IndG=3,MAX(I170,Obj_Projets!J170),MAX(I170,Obj_PA!D170)))</f>
        <v>1</v>
      </c>
      <c r="K170" s="1560">
        <f t="shared" si="28"/>
        <v>1</v>
      </c>
      <c r="L170" s="1650" t="str">
        <f t="shared" si="29"/>
        <v xml:space="preserve"> n'a pas démarré</v>
      </c>
      <c r="M170" s="154"/>
      <c r="N170" s="154"/>
      <c r="O170" s="154"/>
      <c r="P170" s="154"/>
      <c r="Q170" s="154"/>
      <c r="R170" s="154"/>
      <c r="S170" s="154"/>
      <c r="T170" s="154"/>
      <c r="U170" s="154"/>
      <c r="V170" s="154"/>
      <c r="W170" s="154"/>
      <c r="X170" s="154"/>
      <c r="Y170" s="154"/>
      <c r="Z170" s="154"/>
      <c r="AA170" s="154"/>
      <c r="AB170" s="154"/>
      <c r="AC170" s="154"/>
      <c r="AD170" s="154"/>
      <c r="AE170" s="154"/>
      <c r="AF170" s="154"/>
      <c r="AG170" s="154"/>
      <c r="AH170" s="154"/>
      <c r="AI170" s="154"/>
      <c r="AJ170" s="154"/>
      <c r="AK170" s="154"/>
      <c r="AL170" s="154"/>
      <c r="AM170" s="154"/>
      <c r="AN170" s="154"/>
      <c r="AO170" s="154"/>
      <c r="AP170" s="154"/>
      <c r="AQ170" s="154"/>
      <c r="AR170" s="154"/>
      <c r="AS170" s="154"/>
      <c r="AT170" s="154"/>
      <c r="AU170" s="154"/>
      <c r="AV170" s="154"/>
      <c r="AW170" s="154"/>
      <c r="AX170" s="154"/>
      <c r="AY170" s="154"/>
      <c r="AZ170" s="154"/>
      <c r="BA170" s="154"/>
      <c r="BB170" s="154"/>
      <c r="CG170" s="527">
        <f>IF(INDEX(Tab_actions,17,1)=1,INDEX(Tab_actions,17,10),0)</f>
        <v>0</v>
      </c>
    </row>
    <row r="171" spans="1:85" s="527" customFormat="1" ht="15.75" customHeight="1" outlineLevel="1" x14ac:dyDescent="0.2">
      <c r="A171" s="1212"/>
      <c r="B171" s="1212" t="s">
        <v>4324</v>
      </c>
      <c r="C171" s="1219" t="s">
        <v>2556</v>
      </c>
      <c r="D171" s="1562" t="s">
        <v>4246</v>
      </c>
      <c r="E171" s="1559" t="str">
        <f>IF(NOT('08 Exs'!C25 = ""),'08 Exs'!C25,IF(COUNTIF('08 Exs'!C26:C41,"&gt;=0")=0,"", MIN(MAX(SUMPRODUCT('08 Exs'!C26:C41,'08 Exs'!$G26:$G41)*4/(SUM('08 Exs'!$G26:$G41) - SUMIF('08 Exs'!C26:C41,"X",'08 Exs'!$G26:$G41)),MAX('08 Exs'!AA26:AA41)),MIN('08 Exs'!AE26:AE41))))</f>
        <v/>
      </c>
      <c r="F171" s="1559" t="str">
        <f>IF(NOT('08 Exs'!D25 = ""),'08 Exs'!D25,IF(COUNTIF('08 Exs'!D26:D41,"&gt;=0")=0,"", MIN(MAX(SUMPRODUCT('08 Exs'!D26:D41,'08 Exs'!$G26:$G41)*4/(SUM('08 Exs'!$G26:$G41) - SUMIF('08 Exs'!D26:D41,"X",'08 Exs'!$G26:$G41)),MAX('08 Exs'!AB26:AB41)),MIN('08 Exs'!AF26:AF41))))</f>
        <v/>
      </c>
      <c r="G171" s="1559" t="str">
        <f>IF(NOT('08 Exs'!E25 = ""),'08 Exs'!E25,IF(COUNTIF('08 Exs'!E26:E41,"&gt;=0")=0,"", MIN(MAX(SUMPRODUCT('08 Exs'!E26:E41,'08 Exs'!$G26:$G41)*4/(SUM('08 Exs'!$G26:$G41) - SUMIF('08 Exs'!E26:E41,"X",'08 Exs'!$G26:$G41)),MAX('08 Exs'!AC26:AC41)),MIN('08 Exs'!AG26:AG41))))</f>
        <v/>
      </c>
      <c r="H171" s="1559" t="str">
        <f>IF(NOT('08 Exs'!F25 = ""),'08 Exs'!F25,IF(COUNTIF('08 Exs'!F26:F41,"&gt;=0")=0,"", MIN(MAX(SUMPRODUCT('08 Exs'!F26:F41,'08 Exs'!$G26:$G41)*4/(SUM('08 Exs'!$G26:$G41) - SUMIF('08 Exs'!F26:F41,"X",'08 Exs'!$G26:$G41)),MAX('08 Exs'!AD26:AD41)),MIN('08 Exs'!AH26:AH41))))</f>
        <v/>
      </c>
      <c r="I171" s="1557">
        <f t="shared" si="27"/>
        <v>1</v>
      </c>
      <c r="J171" s="1557">
        <f>IF(I171="","",IF(IndG=3,MAX(I171,Obj_Projets!J171),MAX(I171,Obj_PA!D171)))</f>
        <v>1</v>
      </c>
      <c r="K171" s="1560">
        <f t="shared" si="28"/>
        <v>1</v>
      </c>
      <c r="L171" s="1650" t="str">
        <f t="shared" si="29"/>
        <v xml:space="preserve"> n'a pas démarré</v>
      </c>
      <c r="M171" s="154"/>
      <c r="N171" s="154"/>
      <c r="O171" s="154"/>
      <c r="P171" s="154"/>
      <c r="Q171" s="154"/>
      <c r="R171" s="154"/>
      <c r="S171" s="154"/>
      <c r="T171" s="154"/>
      <c r="U171" s="154"/>
      <c r="V171" s="154"/>
      <c r="W171" s="154"/>
      <c r="X171" s="154"/>
      <c r="Y171" s="154"/>
      <c r="Z171" s="154"/>
      <c r="AA171" s="154"/>
      <c r="AB171" s="154"/>
      <c r="AC171" s="154"/>
      <c r="AD171" s="154"/>
      <c r="AE171" s="154"/>
      <c r="AF171" s="154"/>
      <c r="AG171" s="154"/>
      <c r="AH171" s="154"/>
      <c r="AI171" s="154"/>
      <c r="AJ171" s="154"/>
      <c r="AK171" s="154"/>
      <c r="AL171" s="154"/>
      <c r="AM171" s="154"/>
      <c r="AN171" s="154"/>
      <c r="AO171" s="154"/>
      <c r="AP171" s="154"/>
      <c r="AQ171" s="154"/>
      <c r="AR171" s="154"/>
      <c r="AS171" s="154"/>
      <c r="AT171" s="154"/>
      <c r="AU171" s="154"/>
      <c r="AV171" s="154"/>
      <c r="AW171" s="154"/>
      <c r="AX171" s="154"/>
      <c r="AY171" s="154"/>
      <c r="AZ171" s="154"/>
      <c r="BA171" s="154"/>
      <c r="BB171" s="154"/>
      <c r="CG171" s="527">
        <f>IF(INDEX(Tab_actions,70,1)=1,INDEX(Tab_actions,70,8),0)</f>
        <v>0</v>
      </c>
    </row>
    <row r="172" spans="1:85" s="527" customFormat="1" ht="15.75" customHeight="1" outlineLevel="1" x14ac:dyDescent="0.2">
      <c r="A172" s="1212"/>
      <c r="B172" s="1212" t="s">
        <v>4325</v>
      </c>
      <c r="C172" s="1219" t="s">
        <v>4512</v>
      </c>
      <c r="D172" s="1562" t="s">
        <v>4246</v>
      </c>
      <c r="E172" s="1559" t="str">
        <f>IF(NOT('08 Exs'!C42 = ""),'08 Exs'!C42,IF(COUNTIF('08 Exs'!C43:C48,"&gt;=0")=0,"", MIN(MAX(SUMPRODUCT('08 Exs'!C43:C48,'08 Exs'!$G43:$G48)*4/(SUM('08 Exs'!$G43:$G48) - SUMIF('08 Exs'!C43:C48,"X",'08 Exs'!$G43:$G48)),MAX('08 Exs'!AA43:AA48)),MIN('08 Exs'!AE43:AE48))))</f>
        <v/>
      </c>
      <c r="F172" s="1559" t="str">
        <f>IF(NOT('08 Exs'!D42 = ""),'08 Exs'!D42,IF(COUNTIF('08 Exs'!D43:D48,"&gt;=0")=0,"", MIN(MAX(SUMPRODUCT('08 Exs'!D43:D48,'08 Exs'!$G43:$G48)*4/(SUM('08 Exs'!$G43:$G48) - SUMIF('08 Exs'!D43:D48,"X",'08 Exs'!$G43:$G48)),MAX('08 Exs'!AB43:AB48)),MIN('08 Exs'!AF43:AF48))))</f>
        <v/>
      </c>
      <c r="G172" s="1559" t="str">
        <f>IF(NOT('08 Exs'!E42 = ""),'08 Exs'!E42,IF(COUNTIF('08 Exs'!E43:E48,"&gt;=0")=0,"", MIN(MAX(SUMPRODUCT('08 Exs'!E43:E48,'08 Exs'!$G43:$G48)*4/(SUM('08 Exs'!$G43:$G48) - SUMIF('08 Exs'!E43:E48,"X",'08 Exs'!$G43:$G48)),MAX('08 Exs'!AC43:AC48)),MIN('08 Exs'!AG43:AG48))))</f>
        <v/>
      </c>
      <c r="H172" s="1559" t="str">
        <f>IF(NOT('08 Exs'!F42 = ""),'08 Exs'!F42,IF(COUNTIF('08 Exs'!F43:F48,"&gt;=0")=0,"", MIN(MAX(SUMPRODUCT('08 Exs'!F43:F48,'08 Exs'!$G43:$G48)*4/(SUM('08 Exs'!$G43:$G48) - SUMIF('08 Exs'!F43:F48,"X",'08 Exs'!$G43:$G48)),MAX('08 Exs'!AD43:AD48)),MIN('08 Exs'!AH43:AH48))))</f>
        <v/>
      </c>
      <c r="I172" s="1557">
        <f t="shared" si="27"/>
        <v>1</v>
      </c>
      <c r="J172" s="1557">
        <f>IF(I172="","",IF(IndG=3,MAX(I172,Obj_Projets!J172),MAX(I172,Obj_PA!D172)))</f>
        <v>1</v>
      </c>
      <c r="K172" s="1560">
        <f t="shared" si="28"/>
        <v>1</v>
      </c>
      <c r="L172" s="1650" t="str">
        <f t="shared" si="29"/>
        <v xml:space="preserve"> n'a pas démarré</v>
      </c>
      <c r="M172" s="154"/>
      <c r="N172" s="154"/>
      <c r="O172" s="154"/>
      <c r="P172" s="154"/>
      <c r="Q172" s="154"/>
      <c r="R172" s="154"/>
      <c r="S172" s="154"/>
      <c r="T172" s="154"/>
      <c r="U172" s="154"/>
      <c r="V172" s="154"/>
      <c r="W172" s="154"/>
      <c r="X172" s="154"/>
      <c r="Y172" s="154"/>
      <c r="Z172" s="154"/>
      <c r="AA172" s="154"/>
      <c r="AB172" s="154"/>
      <c r="AC172" s="154"/>
      <c r="AD172" s="154"/>
      <c r="AE172" s="154"/>
      <c r="AF172" s="154"/>
      <c r="AG172" s="154"/>
      <c r="AH172" s="154"/>
      <c r="AI172" s="154"/>
      <c r="AJ172" s="154"/>
      <c r="AK172" s="154"/>
      <c r="AL172" s="154"/>
      <c r="AM172" s="154"/>
      <c r="AN172" s="154"/>
      <c r="AO172" s="154"/>
      <c r="AP172" s="154"/>
      <c r="AQ172" s="154"/>
      <c r="AR172" s="154"/>
      <c r="AS172" s="154"/>
      <c r="AT172" s="154"/>
      <c r="AU172" s="154"/>
      <c r="AV172" s="154"/>
      <c r="AW172" s="154"/>
      <c r="AX172" s="154"/>
      <c r="AY172" s="154"/>
      <c r="AZ172" s="154"/>
      <c r="BA172" s="154"/>
      <c r="BB172" s="154"/>
    </row>
    <row r="173" spans="1:85" s="527" customFormat="1" ht="15.75" customHeight="1" outlineLevel="1" x14ac:dyDescent="0.2">
      <c r="A173" s="1212"/>
      <c r="B173" s="1212" t="s">
        <v>2557</v>
      </c>
      <c r="C173" s="1219" t="s">
        <v>6218</v>
      </c>
      <c r="D173" s="1562" t="s">
        <v>2627</v>
      </c>
      <c r="E173" s="1559" t="str">
        <f>IF(NOT('08 Exs'!C49 = ""),'08 Exs'!C49,IF(COUNTIF('08 Exs'!C50:C54,"&gt;=0")=0,"", MIN(MAX(SUMPRODUCT('08 Exs'!C50:C54,'08 Exs'!$G50:$G54)*4/(SUM('08 Exs'!$G50:$G54) - SUMIF('08 Exs'!C50:C54,"X",'08 Exs'!$G50:$G54)),MAX('08 Exs'!AA50:AA54)),MIN('08 Exs'!AE50:AE54))))</f>
        <v/>
      </c>
      <c r="F173" s="1559" t="str">
        <f>IF(NOT('08 Exs'!D49 = ""),'08 Exs'!D49,IF(COUNTIF('08 Exs'!D50:D54,"&gt;=0")=0,"", MIN(MAX(SUMPRODUCT('08 Exs'!D50:D54,'08 Exs'!$G50:$G54)*4/(SUM('08 Exs'!$G50:$G54) - SUMIF('08 Exs'!D50:D54,"X",'08 Exs'!$G50:$G54)),MAX('08 Exs'!AB50:AB54)),MIN('08 Exs'!AF50:AF54))))</f>
        <v/>
      </c>
      <c r="G173" s="1559" t="str">
        <f>IF(NOT('08 Exs'!E49 = ""),'08 Exs'!E49,IF(COUNTIF('08 Exs'!E50:E54,"&gt;=0")=0,"", MIN(MAX(SUMPRODUCT('08 Exs'!E50:E54,'08 Exs'!$G50:$G54)*4/(SUM('08 Exs'!$G50:$G54) - SUMIF('08 Exs'!E50:E54,"X",'08 Exs'!$G50:$G54)),MAX('08 Exs'!AC50:AC54)),MIN('08 Exs'!AG50:AG54))))</f>
        <v/>
      </c>
      <c r="H173" s="1559" t="str">
        <f>IF(NOT('08 Exs'!F49 = ""),'08 Exs'!F49,IF(COUNTIF('08 Exs'!F50:F54,"&gt;=0")=0,"", MIN(MAX(SUMPRODUCT('08 Exs'!F50:F54,'08 Exs'!$G50:$G54)*4/(SUM('08 Exs'!$G50:$G54) - SUMIF('08 Exs'!F50:F54,"X",'08 Exs'!$G50:$G54)),MAX('08 Exs'!AD50:AD54)),MIN('08 Exs'!AH50:AH54))))</f>
        <v/>
      </c>
      <c r="I173" s="1557">
        <f t="shared" si="27"/>
        <v>1</v>
      </c>
      <c r="J173" s="1557">
        <f>IF(I173="","",IF(IndG=3,MAX(I173,Obj_Projets!J173),MAX(I173,Obj_PA!D173)))</f>
        <v>1</v>
      </c>
      <c r="K173" s="1560">
        <f t="shared" si="28"/>
        <v>1</v>
      </c>
      <c r="L173" s="1650" t="str">
        <f t="shared" si="29"/>
        <v xml:space="preserve"> n'a pas démarré</v>
      </c>
      <c r="M173" s="154"/>
      <c r="N173" s="154"/>
      <c r="O173" s="154"/>
      <c r="P173" s="154"/>
      <c r="Q173" s="154"/>
      <c r="R173" s="154"/>
      <c r="S173" s="154"/>
      <c r="T173" s="154"/>
      <c r="U173" s="154"/>
      <c r="V173" s="154"/>
      <c r="W173" s="154"/>
      <c r="X173" s="154"/>
      <c r="Y173" s="154"/>
      <c r="Z173" s="154"/>
      <c r="AA173" s="154"/>
      <c r="AB173" s="154"/>
      <c r="AC173" s="154"/>
      <c r="AD173" s="154"/>
      <c r="AE173" s="154"/>
      <c r="AF173" s="154"/>
      <c r="AG173" s="154"/>
      <c r="AH173" s="154"/>
      <c r="AI173" s="154"/>
      <c r="AJ173" s="154"/>
      <c r="AK173" s="154"/>
      <c r="AL173" s="154"/>
      <c r="AM173" s="154"/>
      <c r="AN173" s="154"/>
      <c r="AO173" s="154"/>
      <c r="AP173" s="154"/>
      <c r="AQ173" s="154"/>
      <c r="AR173" s="154"/>
      <c r="AS173" s="154"/>
      <c r="AT173" s="154"/>
      <c r="AU173" s="154"/>
      <c r="AV173" s="154"/>
      <c r="AW173" s="154"/>
      <c r="AX173" s="154"/>
      <c r="AY173" s="154"/>
      <c r="AZ173" s="154"/>
      <c r="BA173" s="154"/>
      <c r="BB173" s="154"/>
      <c r="CG173" s="527">
        <f>IF(INDEX(Tab_actions,17,1)=1,INDEX(Tab_actions,17,12),0)</f>
        <v>0</v>
      </c>
    </row>
    <row r="174" spans="1:85" s="527" customFormat="1" ht="15.75" customHeight="1" outlineLevel="1" x14ac:dyDescent="0.2">
      <c r="A174" s="1212"/>
      <c r="B174" s="1212" t="s">
        <v>2558</v>
      </c>
      <c r="C174" s="1219" t="s">
        <v>3716</v>
      </c>
      <c r="D174" s="1562" t="s">
        <v>4246</v>
      </c>
      <c r="E174" s="1559" t="str">
        <f>IF(NOT('08 Exs'!C55 = ""),'08 Exs'!C55,IF(COUNTIF('08 Exs'!C56:C65,"&gt;=0")=0,"", MIN(MAX(SUMPRODUCT('08 Exs'!C56:C65,'08 Exs'!$G56:$G65)*4/(SUM('08 Exs'!$G56:$G65) - SUMIF('08 Exs'!C56:C65,"X",'08 Exs'!$G56:$G65)),MAX('08 Exs'!AA56:AA65)),MIN('08 Exs'!AE56:AE65))))</f>
        <v/>
      </c>
      <c r="F174" s="1559" t="str">
        <f>IF(NOT('08 Exs'!D55 = ""),'08 Exs'!D55,IF(COUNTIF('08 Exs'!D56:D65,"&gt;=0")=0,"", MIN(MAX(SUMPRODUCT('08 Exs'!D56:D65,'08 Exs'!$G56:$G65)*4/(SUM('08 Exs'!$G56:$G65) - SUMIF('08 Exs'!D56:D65,"X",'08 Exs'!$G56:$G65)),MAX('08 Exs'!AB56:AB65)),MIN('08 Exs'!AF56:AF65))))</f>
        <v/>
      </c>
      <c r="G174" s="1559" t="str">
        <f>IF(NOT('08 Exs'!E55 = ""),'08 Exs'!E55,IF(COUNTIF('08 Exs'!E56:E65,"&gt;=0")=0,"", MIN(MAX(SUMPRODUCT('08 Exs'!E56:E65,'08 Exs'!$G56:$G65)*4/(SUM('08 Exs'!$G56:$G65) - SUMIF('08 Exs'!E56:E65,"X",'08 Exs'!$G56:$G65)),MAX('08 Exs'!AC56:AC65)),MIN('08 Exs'!AG56:AG65))))</f>
        <v/>
      </c>
      <c r="H174" s="1559" t="str">
        <f>IF(NOT('08 Exs'!F55 = ""),'08 Exs'!F55,IF(COUNTIF('08 Exs'!F56:F65,"&gt;=0")=0,"", MIN(MAX(SUMPRODUCT('08 Exs'!F56:F65,'08 Exs'!$G56:$G65)*4/(SUM('08 Exs'!$G56:$G65) - SUMIF('08 Exs'!F56:F65,"X",'08 Exs'!$G56:$G65)),MAX('08 Exs'!AD56:AD65)),MIN('08 Exs'!AH56:AH65))))</f>
        <v/>
      </c>
      <c r="I174" s="1557">
        <f t="shared" si="27"/>
        <v>1</v>
      </c>
      <c r="J174" s="1557">
        <f>IF(I174="","",IF(IndG=3,MAX(I174,Obj_Projets!J174),MAX(I174,Obj_PA!D174)))</f>
        <v>1</v>
      </c>
      <c r="K174" s="1560">
        <f t="shared" si="28"/>
        <v>1</v>
      </c>
      <c r="L174" s="1650" t="str">
        <f t="shared" si="29"/>
        <v xml:space="preserve"> n'a pas démarré</v>
      </c>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row>
    <row r="175" spans="1:85" s="527" customFormat="1" ht="15.75" customHeight="1" outlineLevel="1" x14ac:dyDescent="0.2">
      <c r="A175" s="1212"/>
      <c r="B175" s="1212" t="s">
        <v>3603</v>
      </c>
      <c r="C175" s="1219" t="s">
        <v>6002</v>
      </c>
      <c r="D175" s="1562" t="s">
        <v>2329</v>
      </c>
      <c r="E175" s="1559" t="str">
        <f>IF(NOT('08 Exs'!C66 = ""),'08 Exs'!C66,IF(COUNTIF('08 Exs'!C67:C76,"&gt;=0")=0,"", MIN(MAX(SUMPRODUCT('08 Exs'!C67:C76,'08 Exs'!$G67:$G76)*4/(SUM('08 Exs'!$G67:$G76) - SUMIF('08 Exs'!C67:C76,"X",'08 Exs'!$G67:$G76)),MAX('08 Exs'!AA67:AA76)),MIN('08 Exs'!AE67:AE76))))</f>
        <v/>
      </c>
      <c r="F175" s="1559" t="str">
        <f>IF(NOT('08 Exs'!D66 = ""),'08 Exs'!D66,IF(COUNTIF('08 Exs'!D67:D76,"&gt;=0")=0,"", MIN(MAX(SUMPRODUCT('08 Exs'!D67:D76,'08 Exs'!$G67:$G76)*4/(SUM('08 Exs'!$G67:$G76) - SUMIF('08 Exs'!D67:D76,"X",'08 Exs'!$G67:$G76)),MAX('08 Exs'!AB67:AB76)),MIN('08 Exs'!AF67:AF76))))</f>
        <v/>
      </c>
      <c r="G175" s="1559" t="str">
        <f>IF(NOT('08 Exs'!E66 = ""),'08 Exs'!E66,IF(COUNTIF('08 Exs'!E67:E76,"&gt;=0")=0,"", MIN(MAX(SUMPRODUCT('08 Exs'!E67:E76,'08 Exs'!$G67:$G76)*4/(SUM('08 Exs'!$G67:$G76) - SUMIF('08 Exs'!E67:E76,"X",'08 Exs'!$G67:$G76)),MAX('08 Exs'!AC67:AC76)),MIN('08 Exs'!AG67:AG76))))</f>
        <v/>
      </c>
      <c r="H175" s="1559" t="str">
        <f>IF(NOT('08 Exs'!F66 = ""),'08 Exs'!F66,IF(COUNTIF('08 Exs'!F67:F76,"&gt;=0")=0,"", MIN(MAX(SUMPRODUCT('08 Exs'!F67:F76,'08 Exs'!$G67:$G76)*4/(SUM('08 Exs'!$G67:$G76) - SUMIF('08 Exs'!F67:F76,"X",'08 Exs'!$G67:$G76)),MAX('08 Exs'!AD67:AD76)),MIN('08 Exs'!AH67:AH76))))</f>
        <v/>
      </c>
      <c r="I175" s="1557">
        <f t="shared" si="27"/>
        <v>1</v>
      </c>
      <c r="J175" s="1557">
        <f>IF(I175="","",IF(IndG=3,MAX(I175,Obj_Projets!J175),MAX(I175,Obj_PA!D175)))</f>
        <v>1</v>
      </c>
      <c r="K175" s="1560">
        <f t="shared" si="28"/>
        <v>1</v>
      </c>
      <c r="L175" s="1650" t="str">
        <f t="shared" si="29"/>
        <v xml:space="preserve"> n'a pas démarré</v>
      </c>
      <c r="M175" s="154"/>
      <c r="N175" s="154"/>
      <c r="O175" s="154"/>
      <c r="P175" s="154"/>
      <c r="Q175" s="154"/>
      <c r="R175" s="154"/>
      <c r="S175" s="154"/>
      <c r="T175" s="154"/>
      <c r="U175" s="154"/>
      <c r="V175" s="154"/>
      <c r="W175" s="154"/>
      <c r="X175" s="154"/>
      <c r="Y175" s="154"/>
      <c r="Z175" s="154"/>
      <c r="AA175" s="154"/>
      <c r="AB175" s="154"/>
      <c r="AC175" s="154"/>
      <c r="AD175" s="154"/>
      <c r="AE175" s="154"/>
      <c r="AF175" s="154"/>
      <c r="AG175" s="154"/>
      <c r="AH175" s="154"/>
      <c r="AI175" s="154"/>
      <c r="AJ175" s="154"/>
      <c r="AK175" s="154"/>
      <c r="AL175" s="154"/>
      <c r="AM175" s="154"/>
      <c r="AN175" s="154"/>
      <c r="AO175" s="154"/>
      <c r="AP175" s="154"/>
      <c r="AQ175" s="154"/>
      <c r="AR175" s="154"/>
      <c r="AS175" s="154"/>
      <c r="AT175" s="154"/>
      <c r="AU175" s="154"/>
      <c r="AV175" s="154"/>
      <c r="AW175" s="154"/>
      <c r="AX175" s="154"/>
      <c r="AY175" s="154"/>
      <c r="AZ175" s="154"/>
      <c r="BA175" s="154"/>
      <c r="BB175" s="154"/>
    </row>
    <row r="176" spans="1:85" s="527" customFormat="1" ht="15.75" customHeight="1" outlineLevel="1" x14ac:dyDescent="0.2">
      <c r="A176" s="1212"/>
      <c r="B176" s="1212" t="s">
        <v>3604</v>
      </c>
      <c r="C176" s="1219" t="s">
        <v>3901</v>
      </c>
      <c r="D176" s="1562" t="s">
        <v>4246</v>
      </c>
      <c r="E176" s="1559" t="str">
        <f>IF(NOT('08 Exs'!C77 = ""),'08 Exs'!C77,IF(COUNTIF('08 Exs'!C78:C83,"&gt;=0")=0,"", MIN(MAX(SUMPRODUCT('08 Exs'!C78:C83,'08 Exs'!$G78:$G83)*4/(SUM('08 Exs'!$G78:$G83) - SUMIF('08 Exs'!C78:C83,"X",'08 Exs'!$G78:$G83)),MAX('08 Exs'!AA78:AA83)),MIN('08 Exs'!AE78:AE83))))</f>
        <v/>
      </c>
      <c r="F176" s="1559" t="str">
        <f>IF(NOT('08 Exs'!D77 = ""),'08 Exs'!D77,IF(COUNTIF('08 Exs'!D78:D83,"&gt;=0")=0,"", MIN(MAX(SUMPRODUCT('08 Exs'!D78:D83,'08 Exs'!$G78:$G83)*4/(SUM('08 Exs'!$G78:$G83) - SUMIF('08 Exs'!D78:D83,"X",'08 Exs'!$G78:$G83)),MAX('08 Exs'!AB78:AB83)),MIN('08 Exs'!AF78:AF83))))</f>
        <v/>
      </c>
      <c r="G176" s="1559" t="str">
        <f>IF(NOT('08 Exs'!E77 = ""),'08 Exs'!E77,IF(COUNTIF('08 Exs'!E78:E83,"&gt;=0")=0,"", MIN(MAX(SUMPRODUCT('08 Exs'!E78:E83,'08 Exs'!$G78:$G83)*4/(SUM('08 Exs'!$G78:$G83) - SUMIF('08 Exs'!E78:E83,"X",'08 Exs'!$G78:$G83)),MAX('08 Exs'!AC78:AC83)),MIN('08 Exs'!AG78:AG83))))</f>
        <v/>
      </c>
      <c r="H176" s="1559" t="str">
        <f>IF(NOT('08 Exs'!F77 = ""),'08 Exs'!F77,IF(COUNTIF('08 Exs'!F78:F83,"&gt;=0")=0,"", MIN(MAX(SUMPRODUCT('08 Exs'!F78:F83,'08 Exs'!$G78:$G83)*4/(SUM('08 Exs'!$G78:$G83) - SUMIF('08 Exs'!F78:F83,"X",'08 Exs'!$G78:$G83)),MAX('08 Exs'!AD78:AD83)),MIN('08 Exs'!AH78:AH83))))</f>
        <v/>
      </c>
      <c r="I176" s="1557">
        <f t="shared" si="27"/>
        <v>1</v>
      </c>
      <c r="J176" s="1557">
        <f>IF(I176="","",IF(IndG=3,MAX(I176,Obj_Projets!J176),MAX(I176,Obj_PA!D176)))</f>
        <v>1</v>
      </c>
      <c r="K176" s="1560">
        <f t="shared" si="28"/>
        <v>1</v>
      </c>
      <c r="L176" s="1650" t="str">
        <f t="shared" si="29"/>
        <v xml:space="preserve"> n'a pas démarré</v>
      </c>
      <c r="M176" s="154"/>
      <c r="N176" s="154"/>
      <c r="O176" s="154"/>
      <c r="P176" s="154"/>
      <c r="Q176" s="154"/>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row>
    <row r="177" spans="1:86" s="527" customFormat="1" ht="15.75" customHeight="1" outlineLevel="1" x14ac:dyDescent="0.2">
      <c r="A177" s="1212"/>
      <c r="B177" s="1212" t="s">
        <v>3605</v>
      </c>
      <c r="C177" s="1219" t="s">
        <v>6219</v>
      </c>
      <c r="D177" s="1562" t="s">
        <v>4246</v>
      </c>
      <c r="E177" s="1559" t="str">
        <f>IF(NOT('08 Exs'!C84 = ""),'08 Exs'!C84,IF(COUNTIF('08 Exs'!C85:C90,"&gt;=0")=0,"", MIN(MAX(SUMPRODUCT('08 Exs'!C85:C90,'08 Exs'!$G85:$G90)*4/(SUM('08 Exs'!$G85:$G90) - SUMIF('08 Exs'!C85:C90,"X",'08 Exs'!$G85:$G90)),MAX('08 Exs'!AA85:AA90)),MIN('08 Exs'!AE85:AE90))))</f>
        <v/>
      </c>
      <c r="F177" s="1559" t="str">
        <f>IF(NOT('08 Exs'!D84 = ""),'08 Exs'!D84,IF(COUNTIF('08 Exs'!D85:D90,"&gt;=0")=0,"", MIN(MAX(SUMPRODUCT('08 Exs'!D85:D90,'08 Exs'!$G85:$G90)*4/(SUM('08 Exs'!$G85:$G90) - SUMIF('08 Exs'!D85:D90,"X",'08 Exs'!$G85:$G90)),MAX('08 Exs'!AB85:AB90)),MIN('08 Exs'!AF85:AF90))))</f>
        <v/>
      </c>
      <c r="G177" s="1559" t="str">
        <f>IF(NOT('08 Exs'!E84 = ""),'08 Exs'!E84,IF(COUNTIF('08 Exs'!E85:E90,"&gt;=0")=0,"", MIN(MAX(SUMPRODUCT('08 Exs'!E85:E90,'08 Exs'!$G85:$G90)*4/(SUM('08 Exs'!$G85:$G90) - SUMIF('08 Exs'!E85:E90,"X",'08 Exs'!$G85:$G90)),MAX('08 Exs'!AC85:AC90)),MIN('08 Exs'!AG85:AG90))))</f>
        <v/>
      </c>
      <c r="H177" s="1559" t="str">
        <f>IF(NOT('08 Exs'!F84 = ""),'08 Exs'!F84,IF(COUNTIF('08 Exs'!F85:F90,"&gt;=0")=0,"", MIN(MAX(SUMPRODUCT('08 Exs'!F85:F90,'08 Exs'!$G85:$G90)*4/(SUM('08 Exs'!$G85:$G90) - SUMIF('08 Exs'!F85:F90,"X",'08 Exs'!$G85:$G90)),MAX('08 Exs'!AD85:AD90)),MIN('08 Exs'!AH85:AH90))))</f>
        <v/>
      </c>
      <c r="I177" s="1557">
        <f t="shared" si="27"/>
        <v>1</v>
      </c>
      <c r="J177" s="1557">
        <f>IF(I177="","",IF(IndG=3,MAX(I177,Obj_Projets!J177),MAX(I177,Obj_PA!D177)))</f>
        <v>1</v>
      </c>
      <c r="K177" s="1560">
        <f t="shared" si="28"/>
        <v>1</v>
      </c>
      <c r="L177" s="1650" t="str">
        <f t="shared" si="29"/>
        <v xml:space="preserve"> n'a pas démarré</v>
      </c>
      <c r="M177" s="154"/>
      <c r="N177" s="154"/>
      <c r="O177" s="154"/>
      <c r="P177" s="154"/>
      <c r="Q177" s="154"/>
      <c r="R177" s="154"/>
      <c r="S177" s="154"/>
      <c r="T177" s="154"/>
      <c r="U177" s="154"/>
      <c r="V177" s="154"/>
      <c r="W177" s="154"/>
      <c r="X177" s="154"/>
      <c r="Y177" s="154"/>
      <c r="Z177" s="154"/>
      <c r="AA177" s="154"/>
      <c r="AB177" s="154"/>
      <c r="AC177" s="154"/>
      <c r="AD177" s="154"/>
      <c r="AE177" s="154"/>
      <c r="AF177" s="154"/>
      <c r="AG177" s="154"/>
      <c r="AH177" s="154"/>
      <c r="AI177" s="154"/>
      <c r="AJ177" s="154"/>
      <c r="AK177" s="154"/>
      <c r="AL177" s="154"/>
      <c r="AM177" s="154"/>
      <c r="AN177" s="154"/>
      <c r="AO177" s="154"/>
      <c r="AP177" s="154"/>
      <c r="AQ177" s="154"/>
      <c r="AR177" s="154"/>
      <c r="AS177" s="154"/>
      <c r="AT177" s="154"/>
      <c r="AU177" s="154"/>
      <c r="AV177" s="154"/>
      <c r="AW177" s="154"/>
      <c r="AX177" s="154"/>
      <c r="AY177" s="154"/>
      <c r="AZ177" s="154"/>
      <c r="BA177" s="154"/>
      <c r="BB177" s="154"/>
    </row>
    <row r="178" spans="1:86" s="527" customFormat="1" ht="15.75" customHeight="1" outlineLevel="1" x14ac:dyDescent="0.2">
      <c r="A178" s="1212"/>
      <c r="B178" s="1213" t="s">
        <v>6720</v>
      </c>
      <c r="C178" s="1214" t="s">
        <v>6721</v>
      </c>
      <c r="D178" s="1554"/>
      <c r="E178" s="1559"/>
      <c r="F178" s="1559"/>
      <c r="G178" s="1559"/>
      <c r="H178" s="1559"/>
      <c r="I178" s="1561"/>
      <c r="J178" s="1561"/>
      <c r="K178" s="1561"/>
      <c r="L178" s="1650"/>
      <c r="M178" s="154"/>
      <c r="N178" s="154"/>
      <c r="O178" s="154"/>
      <c r="P178" s="154"/>
      <c r="Q178" s="154"/>
      <c r="R178" s="154"/>
      <c r="S178" s="154"/>
      <c r="T178" s="154"/>
      <c r="U178" s="154"/>
      <c r="V178" s="154"/>
      <c r="W178" s="154"/>
      <c r="X178" s="154"/>
      <c r="Y178" s="154"/>
      <c r="Z178" s="154"/>
      <c r="AA178" s="154"/>
      <c r="AB178" s="154"/>
      <c r="AC178" s="154"/>
      <c r="AD178" s="154"/>
      <c r="AE178" s="154"/>
      <c r="AF178" s="154"/>
      <c r="AG178" s="154"/>
      <c r="AH178" s="154"/>
      <c r="AI178" s="154"/>
      <c r="AJ178" s="154"/>
      <c r="AK178" s="154"/>
      <c r="AL178" s="154"/>
      <c r="AM178" s="154"/>
      <c r="AN178" s="154"/>
      <c r="AO178" s="154"/>
      <c r="AP178" s="154"/>
      <c r="AQ178" s="154"/>
      <c r="AR178" s="154"/>
      <c r="AS178" s="154"/>
      <c r="AT178" s="154"/>
      <c r="AU178" s="154"/>
      <c r="AV178" s="154"/>
      <c r="AW178" s="154"/>
      <c r="AX178" s="154"/>
      <c r="AY178" s="154"/>
      <c r="AZ178" s="154"/>
      <c r="BA178" s="154"/>
      <c r="BB178" s="154"/>
    </row>
    <row r="179" spans="1:86" s="527" customFormat="1" ht="15.75" customHeight="1" outlineLevel="1" x14ac:dyDescent="0.2">
      <c r="A179" s="1212"/>
      <c r="B179" s="1212" t="s">
        <v>4807</v>
      </c>
      <c r="C179" s="1219" t="s">
        <v>1766</v>
      </c>
      <c r="D179" s="1562" t="s">
        <v>4246</v>
      </c>
      <c r="E179" s="1559" t="str">
        <f>IF(NOT('08 Exs'!C92 = ""),'08 Exs'!C92,IF(COUNTIF('08 Exs'!C93:C101,"&gt;=0")=0,"", MIN(MAX(SUMPRODUCT('08 Exs'!C93:C101,'08 Exs'!$G93:$G101)*4/(SUM('08 Exs'!$G93:$G101) - SUMIF('08 Exs'!C93:C101,"X",'08 Exs'!$G93:$G101)),MAX('08 Exs'!AA93:AA101)),MIN('08 Exs'!AE93:AE101))))</f>
        <v/>
      </c>
      <c r="F179" s="1559" t="str">
        <f>IF(NOT('08 Exs'!D92 = ""),'08 Exs'!D92,IF(COUNTIF('08 Exs'!D93:D101,"&gt;=0")=0,"", MIN(MAX(SUMPRODUCT('08 Exs'!D93:D101,'08 Exs'!$G93:$G101)*4/(SUM('08 Exs'!$G93:$G101) - SUMIF('08 Exs'!D93:D101,"X",'08 Exs'!$G93:$G101)),MAX('08 Exs'!AB93:AB101)),MIN('08 Exs'!AF93:AF101))))</f>
        <v/>
      </c>
      <c r="G179" s="1559" t="str">
        <f>IF(NOT('08 Exs'!E92 = ""),'08 Exs'!E92,IF(COUNTIF('08 Exs'!E93:E101,"&gt;=0")=0,"", MIN(MAX(SUMPRODUCT('08 Exs'!E93:E101,'08 Exs'!$G93:$G101)*4/(SUM('08 Exs'!$G93:$G101) - SUMIF('08 Exs'!E93:E101,"X",'08 Exs'!$G93:$G101)),MAX('08 Exs'!AC93:AC101)),MIN('08 Exs'!AG93:AG101))))</f>
        <v/>
      </c>
      <c r="H179" s="1559" t="str">
        <f>IF(NOT('08 Exs'!F92 = ""),'08 Exs'!F92,IF(COUNTIF('08 Exs'!F93:F101,"&gt;=0")=0,"", MIN(MAX(SUMPRODUCT('08 Exs'!F93:F101,'08 Exs'!$G93:$G101)*4/(SUM('08 Exs'!$G93:$G101) - SUMIF('08 Exs'!F93:F101,"X",'08 Exs'!$G93:$G101)),MAX('08 Exs'!AD93:AD101)),MIN('08 Exs'!AH93:AH101))))</f>
        <v/>
      </c>
      <c r="I179" s="1557">
        <f>IF(AND(OR(E179="X",E179=""),OR(F179="X",F179=""),OR(G179="X",G179=""),OR(H179="X",H179="")),1,ROUND(MIN(IF(OR(E179="",E179="X"),4,E179),IF(OR(F179="",F179="X"),4,F179),IF(OR(G179="",G179="X"),4,G179),IF(OR(H179="",H179="X"),4,H179)),0))</f>
        <v>1</v>
      </c>
      <c r="J179" s="1557">
        <f>IF(I179="","",IF(IndG=3,MAX(I179,Obj_Projets!J179),MAX(I179,Obj_PA!D179)))</f>
        <v>1</v>
      </c>
      <c r="K179" s="1560">
        <f>IF(IF(OR(IndG=3,IndG=4),MAX(I179,J179),I179)&lt;1,1,IF(OR(IndG=3,IndG=4),MAX(I179,J179),I179))</f>
        <v>1</v>
      </c>
      <c r="L179" s="1650" t="str">
        <f>IF(E179=""," n'a pas démarré","")</f>
        <v xml:space="preserve"> n'a pas démarré</v>
      </c>
      <c r="M179" s="154"/>
      <c r="N179" s="154"/>
      <c r="O179" s="154"/>
      <c r="P179" s="154"/>
      <c r="Q179" s="154"/>
      <c r="R179" s="154"/>
      <c r="S179" s="154"/>
      <c r="T179" s="154"/>
      <c r="U179" s="154"/>
      <c r="V179" s="154"/>
      <c r="W179" s="154"/>
      <c r="X179" s="154"/>
      <c r="Y179" s="154"/>
      <c r="Z179" s="154"/>
      <c r="AA179" s="154"/>
      <c r="AB179" s="154"/>
      <c r="AC179" s="154"/>
      <c r="AD179" s="154"/>
      <c r="AE179" s="154"/>
      <c r="AF179" s="154"/>
      <c r="AG179" s="154"/>
      <c r="AH179" s="154"/>
      <c r="AI179" s="154"/>
      <c r="AJ179" s="154"/>
      <c r="AK179" s="154"/>
      <c r="AL179" s="154"/>
      <c r="AM179" s="154"/>
      <c r="AN179" s="154"/>
      <c r="AO179" s="154"/>
      <c r="AP179" s="154"/>
      <c r="AQ179" s="154"/>
      <c r="AR179" s="154"/>
      <c r="AS179" s="154"/>
      <c r="AT179" s="154"/>
      <c r="AU179" s="154"/>
      <c r="AV179" s="154"/>
      <c r="AW179" s="154"/>
      <c r="AX179" s="154"/>
      <c r="AY179" s="154"/>
      <c r="AZ179" s="154"/>
      <c r="BA179" s="154"/>
      <c r="BB179" s="154"/>
    </row>
    <row r="180" spans="1:86" s="527" customFormat="1" ht="15.75" customHeight="1" outlineLevel="1" x14ac:dyDescent="0.2">
      <c r="A180" s="1212"/>
      <c r="B180" s="1212" t="s">
        <v>1767</v>
      </c>
      <c r="C180" s="1219" t="s">
        <v>1768</v>
      </c>
      <c r="D180" s="1562" t="s">
        <v>4246</v>
      </c>
      <c r="E180" s="1559" t="str">
        <f>IF(NOT('08 Exs'!C102 = ""),'08 Exs'!C102,IF(COUNTIF('08 Exs'!C103:C110,"&gt;=0")=0,"", MIN(MAX(SUMPRODUCT('08 Exs'!C103:C110,'08 Exs'!$G103:$G110)*4/(SUM('08 Exs'!$G103:$G110) - SUMIF('08 Exs'!C103:C110,"X",'08 Exs'!$G103:$G110)),MAX('08 Exs'!AA103:AA110)),MIN('08 Exs'!AE103:AE110))))</f>
        <v/>
      </c>
      <c r="F180" s="1559" t="str">
        <f>IF(NOT('08 Exs'!D102 = ""),'08 Exs'!D102,IF(COUNTIF('08 Exs'!D103:D110,"&gt;=0")=0,"", MIN(MAX(SUMPRODUCT('08 Exs'!D103:D110,'08 Exs'!$G103:$G110)*4/(SUM('08 Exs'!$G103:$G110) - SUMIF('08 Exs'!D103:D110,"X",'08 Exs'!$G103:$G110)),MAX('08 Exs'!AB103:AB110)),MIN('08 Exs'!AF103:AF110))))</f>
        <v/>
      </c>
      <c r="G180" s="1559" t="str">
        <f>IF(NOT('08 Exs'!E102 = ""),'08 Exs'!E102,IF(COUNTIF('08 Exs'!E103:E110,"&gt;=0")=0,"", MIN(MAX(SUMPRODUCT('08 Exs'!E103:E110,'08 Exs'!$G103:$G110)*4/(SUM('08 Exs'!$G103:$G110) - SUMIF('08 Exs'!E103:E110,"X",'08 Exs'!$G103:$G110)),MAX('08 Exs'!AC103:AC110)),MIN('08 Exs'!AG103:AG110))))</f>
        <v/>
      </c>
      <c r="H180" s="1559" t="str">
        <f>IF(NOT('08 Exs'!F102 = ""),'08 Exs'!F102,IF(COUNTIF('08 Exs'!F103:F110,"&gt;=0")=0,"", MIN(MAX(SUMPRODUCT('08 Exs'!F103:F110,'08 Exs'!$G103:$G110)*4/(SUM('08 Exs'!$G103:$G110) - SUMIF('08 Exs'!F103:F110,"X",'08 Exs'!$G103:$G110)),MAX('08 Exs'!AD103:AD110)),MIN('08 Exs'!AH103:AH110))))</f>
        <v/>
      </c>
      <c r="I180" s="1557">
        <f>IF(AND(OR(E180="X",E180=""),OR(F180="X",F180=""),OR(G180="X",G180=""),OR(H180="X",H180="")),1,ROUND(MIN(IF(OR(E180="",E180="X"),4,E180),IF(OR(F180="",F180="X"),4,F180),IF(OR(G180="",G180="X"),4,G180),IF(OR(H180="",H180="X"),4,H180)),0))</f>
        <v>1</v>
      </c>
      <c r="J180" s="1557">
        <f>IF(I180="","",IF(IndG=3,MAX(I180,Obj_Projets!J180),MAX(I180,Obj_PA!D180)))</f>
        <v>1</v>
      </c>
      <c r="K180" s="1560">
        <f>IF(IF(OR(IndG=3,IndG=4),MAX(I180,J180),I180)&lt;1,1,IF(OR(IndG=3,IndG=4),MAX(I180,J180),I180))</f>
        <v>1</v>
      </c>
      <c r="L180" s="1650" t="str">
        <f>IF(E180=""," n'a pas démarré","")</f>
        <v xml:space="preserve"> n'a pas démarré</v>
      </c>
      <c r="M180" s="154"/>
      <c r="N180" s="154"/>
      <c r="O180" s="154"/>
      <c r="P180" s="154"/>
      <c r="Q180" s="154"/>
      <c r="R180" s="154"/>
      <c r="S180" s="154"/>
      <c r="T180" s="154"/>
      <c r="U180" s="154"/>
      <c r="V180" s="154"/>
      <c r="W180" s="154"/>
      <c r="X180" s="154"/>
      <c r="Y180" s="154"/>
      <c r="Z180" s="154"/>
      <c r="AA180" s="154"/>
      <c r="AB180" s="154"/>
      <c r="AC180" s="154"/>
      <c r="AD180" s="154"/>
      <c r="AE180" s="154"/>
      <c r="AF180" s="154"/>
      <c r="AG180" s="154"/>
      <c r="AH180" s="154"/>
      <c r="AI180" s="154"/>
      <c r="AJ180" s="154"/>
      <c r="AK180" s="154"/>
      <c r="AL180" s="154"/>
      <c r="AM180" s="154"/>
      <c r="AN180" s="154"/>
      <c r="AO180" s="154"/>
      <c r="AP180" s="154"/>
      <c r="AQ180" s="154"/>
      <c r="AR180" s="154"/>
      <c r="AS180" s="154"/>
      <c r="AT180" s="154"/>
      <c r="AU180" s="154"/>
      <c r="AV180" s="154"/>
      <c r="AW180" s="154"/>
      <c r="AX180" s="154"/>
      <c r="AY180" s="154"/>
      <c r="AZ180" s="154"/>
      <c r="BA180" s="154"/>
      <c r="BB180" s="154"/>
    </row>
    <row r="181" spans="1:86" s="527" customFormat="1" ht="15.75" customHeight="1" outlineLevel="1" x14ac:dyDescent="0.2">
      <c r="A181" s="1212"/>
      <c r="B181" s="1212" t="s">
        <v>1769</v>
      </c>
      <c r="C181" s="1219" t="s">
        <v>1770</v>
      </c>
      <c r="D181" s="1562" t="s">
        <v>4246</v>
      </c>
      <c r="E181" s="1559" t="str">
        <f>IF(NOT('08 Exs'!C111 = ""),'08 Exs'!C111,IF(COUNTIF('08 Exs'!C112:C119,"&gt;=0")=0,"", MIN(MAX(SUMPRODUCT('08 Exs'!C112:C119,'08 Exs'!$G112:$G119)*4/(SUM('08 Exs'!$G112:$G119) - SUMIF('08 Exs'!C112:C119,"X",'08 Exs'!$G112:$G119)),MAX('08 Exs'!AA112:AA119)),MIN('08 Exs'!AE112:AE119))))</f>
        <v/>
      </c>
      <c r="F181" s="1559" t="str">
        <f>IF(NOT('08 Exs'!D111 = ""),'08 Exs'!D111,IF(COUNTIF('08 Exs'!D112:D119,"&gt;=0")=0,"", MIN(MAX(SUMPRODUCT('08 Exs'!D112:D119,'08 Exs'!$G112:$G119)*4/(SUM('08 Exs'!$G112:$G119) - SUMIF('08 Exs'!D112:D119,"X",'08 Exs'!$G112:$G119)),MAX('08 Exs'!AB112:AB119)),MIN('08 Exs'!AF112:AF119))))</f>
        <v/>
      </c>
      <c r="G181" s="1559" t="str">
        <f>IF(NOT('08 Exs'!E111 = ""),'08 Exs'!E111,IF(COUNTIF('08 Exs'!E112:E119,"&gt;=0")=0,"", MIN(MAX(SUMPRODUCT('08 Exs'!E112:E119,'08 Exs'!$G112:$G119)*4/(SUM('08 Exs'!$G112:$G119) - SUMIF('08 Exs'!E112:E119,"X",'08 Exs'!$G112:$G119)),MAX('08 Exs'!AC112:AC119)),MIN('08 Exs'!AG112:AG119))))</f>
        <v/>
      </c>
      <c r="H181" s="1559" t="str">
        <f>IF(NOT('08 Exs'!F111 = ""),'08 Exs'!F111,IF(COUNTIF('08 Exs'!F112:F119,"&gt;=0")=0,"", MIN(MAX(SUMPRODUCT('08 Exs'!F112:F119,'08 Exs'!$G112:$G119)*4/(SUM('08 Exs'!$G112:$G119) - SUMIF('08 Exs'!F112:F119,"X",'08 Exs'!$G112:$G119)),MAX('08 Exs'!AD112:AD119)),MIN('08 Exs'!AH112:AH119))))</f>
        <v/>
      </c>
      <c r="I181" s="1557">
        <f>IF(AND(OR(E181="X",E181=""),OR(F181="X",F181=""),OR(G181="X",G181=""),OR(H181="X",H181="")),1,ROUND(MIN(IF(OR(E181="",E181="X"),4,E181),IF(OR(F181="",F181="X"),4,F181),IF(OR(G181="",G181="X"),4,G181),IF(OR(H181="",H181="X"),4,H181)),0))</f>
        <v>1</v>
      </c>
      <c r="J181" s="1557">
        <f>IF(I181="","",IF(IndG=3,MAX(I181,Obj_Projets!J181),MAX(I181,Obj_PA!D181)))</f>
        <v>1</v>
      </c>
      <c r="K181" s="1560">
        <f>IF(IF(OR(IndG=3,IndG=4),MAX(I181,J181),I181)&lt;1,1,IF(OR(IndG=3,IndG=4),MAX(I181,J181),I181))</f>
        <v>1</v>
      </c>
      <c r="L181" s="1650" t="str">
        <f>IF(E181=""," n'a pas démarré","")</f>
        <v xml:space="preserve"> n'a pas démarré</v>
      </c>
      <c r="M181" s="154"/>
      <c r="N181" s="154"/>
      <c r="O181" s="154"/>
      <c r="P181" s="154"/>
      <c r="Q181" s="154"/>
      <c r="R181" s="154"/>
      <c r="S181" s="154"/>
      <c r="T181" s="154"/>
      <c r="U181" s="154"/>
      <c r="V181" s="154"/>
      <c r="W181" s="154"/>
      <c r="X181" s="154"/>
      <c r="Y181" s="154"/>
      <c r="Z181" s="154"/>
      <c r="AA181" s="154"/>
      <c r="AB181" s="154"/>
      <c r="AC181" s="154"/>
      <c r="AD181" s="154"/>
      <c r="AE181" s="154"/>
      <c r="AF181" s="154"/>
      <c r="AG181" s="154"/>
      <c r="AH181" s="154"/>
      <c r="AI181" s="154"/>
      <c r="AJ181" s="154"/>
      <c r="AK181" s="154"/>
      <c r="AL181" s="154"/>
      <c r="AM181" s="154"/>
      <c r="AN181" s="154"/>
      <c r="AO181" s="154"/>
      <c r="AP181" s="154"/>
      <c r="AQ181" s="154"/>
      <c r="AR181" s="154"/>
      <c r="AS181" s="154"/>
      <c r="AT181" s="154"/>
      <c r="AU181" s="154"/>
      <c r="AV181" s="154"/>
      <c r="AW181" s="154"/>
      <c r="AX181" s="154"/>
      <c r="AY181" s="154"/>
      <c r="AZ181" s="154"/>
      <c r="BA181" s="154"/>
      <c r="BB181" s="154"/>
    </row>
    <row r="182" spans="1:86" s="527" customFormat="1" ht="15.75" customHeight="1" outlineLevel="1" x14ac:dyDescent="0.2">
      <c r="A182" s="1212"/>
      <c r="B182" s="1213" t="s">
        <v>4849</v>
      </c>
      <c r="C182" s="1214" t="s">
        <v>4850</v>
      </c>
      <c r="D182" s="1554"/>
      <c r="E182" s="1559"/>
      <c r="F182" s="1559"/>
      <c r="G182" s="1559"/>
      <c r="H182" s="1559"/>
      <c r="I182" s="1561"/>
      <c r="J182" s="1561"/>
      <c r="K182" s="1561"/>
      <c r="L182" s="1650"/>
      <c r="M182" s="154"/>
      <c r="N182" s="154"/>
      <c r="O182" s="154"/>
      <c r="P182" s="154"/>
      <c r="Q182" s="154"/>
      <c r="R182" s="154"/>
      <c r="S182" s="154"/>
      <c r="T182" s="154"/>
      <c r="U182" s="154"/>
      <c r="V182" s="154"/>
      <c r="W182" s="154"/>
      <c r="X182" s="154"/>
      <c r="Y182" s="154"/>
      <c r="Z182" s="154"/>
      <c r="AA182" s="154"/>
      <c r="AB182" s="154"/>
      <c r="AC182" s="154"/>
      <c r="AD182" s="154"/>
      <c r="AE182" s="154"/>
      <c r="AF182" s="154"/>
      <c r="AG182" s="154"/>
      <c r="AH182" s="154"/>
      <c r="AI182" s="154"/>
      <c r="AJ182" s="154"/>
      <c r="AK182" s="154"/>
      <c r="AL182" s="154"/>
      <c r="AM182" s="154"/>
      <c r="AN182" s="154"/>
      <c r="AO182" s="154"/>
      <c r="AP182" s="154"/>
      <c r="AQ182" s="154"/>
      <c r="AR182" s="154"/>
      <c r="AS182" s="154"/>
      <c r="AT182" s="154"/>
      <c r="AU182" s="154"/>
      <c r="AV182" s="154"/>
      <c r="AW182" s="154"/>
      <c r="AX182" s="154"/>
      <c r="AY182" s="154"/>
      <c r="AZ182" s="154"/>
      <c r="BA182" s="154"/>
      <c r="BB182" s="154"/>
    </row>
    <row r="183" spans="1:86" s="527" customFormat="1" ht="15.75" customHeight="1" outlineLevel="1" x14ac:dyDescent="0.2">
      <c r="A183" s="1212"/>
      <c r="B183" s="1212" t="s">
        <v>6293</v>
      </c>
      <c r="C183" s="1219" t="s">
        <v>1643</v>
      </c>
      <c r="D183" s="1562" t="s">
        <v>1592</v>
      </c>
      <c r="E183" s="1559" t="str">
        <f>IF(NOT('08 Exs'!C121 = ""),'08 Exs'!C121,IF(COUNTIF('08 Exs'!C122:C130,"&gt;=0")=0,"", MIN(MAX(SUMPRODUCT('08 Exs'!C122:C130,'08 Exs'!$G122:$G130)*4/(SUM('08 Exs'!$G122:$G130) - SUMIF('08 Exs'!C122:C130,"X",'08 Exs'!$G122:$G130)),MAX('08 Exs'!AA122:AA130)),MIN('08 Exs'!AE122:AE130))))</f>
        <v/>
      </c>
      <c r="F183" s="1559" t="str">
        <f>IF(NOT('08 Exs'!D121 = ""),'08 Exs'!D121,IF(COUNTIF('08 Exs'!D122:D130,"&gt;=0")=0,"", MIN(MAX(SUMPRODUCT('08 Exs'!D122:D130,'08 Exs'!$G122:$G130)*4/(SUM('08 Exs'!$G122:$G130) - SUMIF('08 Exs'!D122:D130,"X",'08 Exs'!$G122:$G130)),MAX('08 Exs'!AB122:AB130)),MIN('08 Exs'!AF122:AF130))))</f>
        <v/>
      </c>
      <c r="G183" s="1559" t="str">
        <f>IF(NOT('08 Exs'!E121 = ""),'08 Exs'!E121,IF(COUNTIF('08 Exs'!E122:E130,"&gt;=0")=0,"", MIN(MAX(SUMPRODUCT('08 Exs'!E122:E130,'08 Exs'!$G122:$G130)*4/(SUM('08 Exs'!$G122:$G130) - SUMIF('08 Exs'!E122:E130,"X",'08 Exs'!$G122:$G130)),MAX('08 Exs'!AC122:AC130)),MIN('08 Exs'!AG122:AG130))))</f>
        <v/>
      </c>
      <c r="H183" s="1559" t="str">
        <f>IF(NOT('08 Exs'!F121 = ""),'08 Exs'!F121,IF(COUNTIF('08 Exs'!F122:F130,"&gt;=0")=0,"", MIN(MAX(SUMPRODUCT('08 Exs'!F122:F130,'08 Exs'!$G122:$G130)*4/(SUM('08 Exs'!$G122:$G130) - SUMIF('08 Exs'!F122:F130,"X",'08 Exs'!$G122:$G130)),MAX('08 Exs'!AD122:AD130)),MIN('08 Exs'!AH122:AH130))))</f>
        <v/>
      </c>
      <c r="I183" s="1557">
        <f t="shared" ref="I183:I189" si="30">IF(AND(OR(E183="X",E183=""),OR(F183="X",F183=""),OR(G183="X",G183=""),OR(H183="X",H183="")),1,ROUND(MIN(IF(OR(E183="",E183="X"),4,E183),IF(OR(F183="",F183="X"),4,F183),IF(OR(G183="",G183="X"),4,G183),IF(OR(H183="",H183="X"),4,H183)),0))</f>
        <v>1</v>
      </c>
      <c r="J183" s="1557">
        <f>IF(I183="","",IF(IndG=3,MAX(I183,Obj_Projets!J183),MAX(I183,Obj_PA!D183)))</f>
        <v>1</v>
      </c>
      <c r="K183" s="1560">
        <f t="shared" ref="K183:K189" si="31">IF(IF(OR(IndG=3,IndG=4),MAX(I183,J183),I183)&lt;1,1,IF(OR(IndG=3,IndG=4),MAX(I183,J183),I183))</f>
        <v>1</v>
      </c>
      <c r="L183" s="1650" t="str">
        <f t="shared" ref="L183:L189" si="32">IF(E183=""," n'a pas démarré","")</f>
        <v xml:space="preserve"> n'a pas démarré</v>
      </c>
      <c r="M183" s="154"/>
      <c r="N183" s="154"/>
      <c r="O183" s="154"/>
      <c r="P183" s="154"/>
      <c r="Q183" s="154"/>
      <c r="R183" s="154"/>
      <c r="S183" s="154"/>
      <c r="T183" s="154"/>
      <c r="U183" s="154"/>
      <c r="V183" s="154"/>
      <c r="W183" s="154"/>
      <c r="X183" s="154"/>
      <c r="Y183" s="154"/>
      <c r="Z183" s="154"/>
      <c r="AA183" s="154"/>
      <c r="AB183" s="154"/>
      <c r="AC183" s="154"/>
      <c r="AD183" s="154"/>
      <c r="AE183" s="154"/>
      <c r="AF183" s="154"/>
      <c r="AG183" s="154"/>
      <c r="AH183" s="154"/>
      <c r="AI183" s="154"/>
      <c r="AJ183" s="154"/>
      <c r="AK183" s="154"/>
      <c r="AL183" s="154"/>
      <c r="AM183" s="154"/>
      <c r="AN183" s="154"/>
      <c r="AO183" s="154"/>
      <c r="AP183" s="154"/>
      <c r="AQ183" s="154"/>
      <c r="AR183" s="154"/>
      <c r="AS183" s="154"/>
      <c r="AT183" s="154"/>
      <c r="AU183" s="154"/>
      <c r="AV183" s="154"/>
      <c r="AW183" s="154"/>
      <c r="AX183" s="154"/>
      <c r="AY183" s="154"/>
      <c r="AZ183" s="154"/>
      <c r="BA183" s="154"/>
      <c r="BB183" s="154"/>
      <c r="CH183" s="527">
        <f>IF(INDEX(Tab_actions,18,1)=1,INDEX(Tab_actions,18,4),0)</f>
        <v>0</v>
      </c>
    </row>
    <row r="184" spans="1:86" s="527" customFormat="1" ht="15.75" customHeight="1" outlineLevel="1" x14ac:dyDescent="0.2">
      <c r="A184" s="1212"/>
      <c r="B184" s="1212" t="s">
        <v>3656</v>
      </c>
      <c r="C184" s="1219" t="s">
        <v>62</v>
      </c>
      <c r="D184" s="1562" t="s">
        <v>1592</v>
      </c>
      <c r="E184" s="1559" t="str">
        <f>IF(NOT('08 Exs'!C131 = ""),'08 Exs'!C131,IF(COUNTIF('08 Exs'!C132:C134,"&gt;=0")=0,"", MIN(MAX(SUMPRODUCT('08 Exs'!C132:C134,'08 Exs'!$G132:$G134)*4/(SUM('08 Exs'!$G132:$G134) - SUMIF('08 Exs'!C132:C134,"X",'08 Exs'!$G132:$G134)),MAX('08 Exs'!AA132:AA134)),MIN('08 Exs'!AE132:AE134))))</f>
        <v/>
      </c>
      <c r="F184" s="1559" t="str">
        <f>IF(NOT('08 Exs'!D131 = ""),'08 Exs'!D131,IF(COUNTIF('08 Exs'!D132:D134,"&gt;=0")=0,"", MIN(MAX(SUMPRODUCT('08 Exs'!D132:D134,'08 Exs'!$G132:$G134)*4/(SUM('08 Exs'!$G132:$G134) - SUMIF('08 Exs'!D132:D134,"X",'08 Exs'!$G132:$G134)),MAX('08 Exs'!AB132:AB134)),MIN('08 Exs'!AF132:AF134))))</f>
        <v/>
      </c>
      <c r="G184" s="1559" t="str">
        <f>IF(NOT('08 Exs'!E131 = ""),'08 Exs'!E131,IF(COUNTIF('08 Exs'!E132:E134,"&gt;=0")=0,"", MIN(MAX(SUMPRODUCT('08 Exs'!E132:E134,'08 Exs'!$G132:$G134)*4/(SUM('08 Exs'!$G132:$G134) - SUMIF('08 Exs'!E132:E134,"X",'08 Exs'!$G132:$G134)),MAX('08 Exs'!AC132:AC134)),MIN('08 Exs'!AG132:AG134))))</f>
        <v/>
      </c>
      <c r="H184" s="1559" t="str">
        <f>IF(NOT('08 Exs'!F131 = ""),'08 Exs'!F131,IF(COUNTIF('08 Exs'!F132:F134,"&gt;=0")=0,"", MIN(MAX(SUMPRODUCT('08 Exs'!F132:F134,'08 Exs'!$G132:$G134)*4/(SUM('08 Exs'!$G132:$G134) - SUMIF('08 Exs'!F132:F134,"X",'08 Exs'!$G132:$G134)),MAX('08 Exs'!AD132:AD134)),MIN('08 Exs'!AH132:AH134))))</f>
        <v/>
      </c>
      <c r="I184" s="1557">
        <f t="shared" si="30"/>
        <v>1</v>
      </c>
      <c r="J184" s="1557">
        <f>IF(I184="","",IF(IndG=3,MAX(I184,Obj_Projets!J184),MAX(I184,Obj_PA!D184)))</f>
        <v>1</v>
      </c>
      <c r="K184" s="1560">
        <f t="shared" si="31"/>
        <v>1</v>
      </c>
      <c r="L184" s="1650" t="str">
        <f t="shared" si="32"/>
        <v xml:space="preserve"> n'a pas démarré</v>
      </c>
      <c r="M184" s="154"/>
      <c r="N184" s="154"/>
      <c r="O184" s="154"/>
      <c r="P184" s="154"/>
      <c r="Q184" s="154"/>
      <c r="R184" s="154"/>
      <c r="S184" s="154"/>
      <c r="T184" s="154"/>
      <c r="U184" s="154"/>
      <c r="V184" s="154"/>
      <c r="W184" s="154"/>
      <c r="X184" s="154"/>
      <c r="Y184" s="154"/>
      <c r="Z184" s="154"/>
      <c r="AA184" s="154"/>
      <c r="AB184" s="154"/>
      <c r="AC184" s="154"/>
      <c r="AD184" s="154"/>
      <c r="AE184" s="154"/>
      <c r="AF184" s="154"/>
      <c r="AG184" s="154"/>
      <c r="AH184" s="154"/>
      <c r="AI184" s="154"/>
      <c r="AJ184" s="154"/>
      <c r="AK184" s="154"/>
      <c r="AL184" s="154"/>
      <c r="AM184" s="154"/>
      <c r="AN184" s="154"/>
      <c r="AO184" s="154"/>
      <c r="AP184" s="154"/>
      <c r="AQ184" s="154"/>
      <c r="AR184" s="154"/>
      <c r="AS184" s="154"/>
      <c r="AT184" s="154"/>
      <c r="AU184" s="154"/>
      <c r="AV184" s="154"/>
      <c r="AW184" s="154"/>
      <c r="AX184" s="154"/>
      <c r="AY184" s="154"/>
      <c r="AZ184" s="154"/>
      <c r="BA184" s="154"/>
      <c r="BB184" s="154"/>
    </row>
    <row r="185" spans="1:86" s="527" customFormat="1" ht="15.75" customHeight="1" outlineLevel="1" x14ac:dyDescent="0.2">
      <c r="A185" s="1212"/>
      <c r="B185" s="1212" t="s">
        <v>63</v>
      </c>
      <c r="C185" s="1219" t="s">
        <v>3026</v>
      </c>
      <c r="D185" s="1562" t="s">
        <v>1592</v>
      </c>
      <c r="E185" s="1559" t="str">
        <f>IF(NOT('08 Exs'!C135 = ""),'08 Exs'!C135,IF(COUNTIF('08 Exs'!C136:C148,"&gt;=0")=0,"", MIN(MAX(SUMPRODUCT('08 Exs'!C136:C148,'08 Exs'!$G136:$G148)*4/(SUM('08 Exs'!$G136:$G148) - SUMIF('08 Exs'!C136:C148,"X",'08 Exs'!$G136:$G148)),MAX('08 Exs'!AA136:AA148)),MIN('08 Exs'!AE136:AE148))))</f>
        <v/>
      </c>
      <c r="F185" s="1559" t="str">
        <f>IF(NOT('08 Exs'!D135 = ""),'08 Exs'!D135,IF(COUNTIF('08 Exs'!D136:D148,"&gt;=0")=0,"", MIN(MAX(SUMPRODUCT('08 Exs'!D136:D148,'08 Exs'!$G136:$G148)*4/(SUM('08 Exs'!$G136:$G148) - SUMIF('08 Exs'!D136:D148,"X",'08 Exs'!$G136:$G148)),MAX('08 Exs'!AB136:AB148)),MIN('08 Exs'!AF136:AF148))))</f>
        <v/>
      </c>
      <c r="G185" s="1559" t="str">
        <f>IF(NOT('08 Exs'!E135 = ""),'08 Exs'!E135,IF(COUNTIF('08 Exs'!E136:E148,"&gt;=0")=0,"", MIN(MAX(SUMPRODUCT('08 Exs'!E136:E148,'08 Exs'!$G136:$G148)*4/(SUM('08 Exs'!$G136:$G148) - SUMIF('08 Exs'!E136:E148,"X",'08 Exs'!$G136:$G148)),MAX('08 Exs'!AC136:AC148)),MIN('08 Exs'!AG136:AG148))))</f>
        <v/>
      </c>
      <c r="H185" s="1559" t="str">
        <f>IF(NOT('08 Exs'!F135 = ""),'08 Exs'!F135,IF(COUNTIF('08 Exs'!F136:F148,"&gt;=0")=0,"", MIN(MAX(SUMPRODUCT('08 Exs'!F136:F148,'08 Exs'!$G136:$G148)*4/(SUM('08 Exs'!$G136:$G148) - SUMIF('08 Exs'!F136:F148,"X",'08 Exs'!$G136:$G148)),MAX('08 Exs'!AD136:AD148)),MIN('08 Exs'!AH136:AH148))))</f>
        <v/>
      </c>
      <c r="I185" s="1557">
        <f t="shared" si="30"/>
        <v>1</v>
      </c>
      <c r="J185" s="1557">
        <f>IF(I185="","",IF(IndG=3,MAX(I185,Obj_Projets!J185),MAX(I185,Obj_PA!D185)))</f>
        <v>1</v>
      </c>
      <c r="K185" s="1560">
        <f t="shared" si="31"/>
        <v>1</v>
      </c>
      <c r="L185" s="1650" t="str">
        <f t="shared" si="32"/>
        <v xml:space="preserve"> n'a pas démarré</v>
      </c>
      <c r="M185" s="154"/>
      <c r="N185" s="154"/>
      <c r="O185" s="154"/>
      <c r="P185" s="154"/>
      <c r="Q185" s="154"/>
      <c r="R185" s="154"/>
      <c r="S185" s="154"/>
      <c r="T185" s="154"/>
      <c r="U185" s="154"/>
      <c r="V185" s="154"/>
      <c r="W185" s="154"/>
      <c r="X185" s="154"/>
      <c r="Y185" s="154"/>
      <c r="Z185" s="154"/>
      <c r="AA185" s="154"/>
      <c r="AB185" s="154"/>
      <c r="AC185" s="154"/>
      <c r="AD185" s="154"/>
      <c r="AE185" s="154"/>
      <c r="AF185" s="154"/>
      <c r="AG185" s="154"/>
      <c r="AH185" s="154"/>
      <c r="AI185" s="154"/>
      <c r="AJ185" s="154"/>
      <c r="AK185" s="154"/>
      <c r="AL185" s="154"/>
      <c r="AM185" s="154"/>
      <c r="AN185" s="154"/>
      <c r="AO185" s="154"/>
      <c r="AP185" s="154"/>
      <c r="AQ185" s="154"/>
      <c r="AR185" s="154"/>
      <c r="AS185" s="154"/>
      <c r="AT185" s="154"/>
      <c r="AU185" s="154"/>
      <c r="AV185" s="154"/>
      <c r="AW185" s="154"/>
      <c r="AX185" s="154"/>
      <c r="AY185" s="154"/>
      <c r="AZ185" s="154"/>
      <c r="BA185" s="154"/>
      <c r="BB185" s="154"/>
      <c r="CF185" s="527">
        <f>IF(INDEX(Tab_actions,33,1)=1,INDEX(Tab_actions,33,8),0)</f>
        <v>0</v>
      </c>
      <c r="CG185" s="527">
        <f>IF(INDEX(Tab_actions,40,1)=1,INDEX(Tab_actions,40,12),0)</f>
        <v>0</v>
      </c>
    </row>
    <row r="186" spans="1:86" s="527" customFormat="1" ht="15.75" customHeight="1" outlineLevel="1" x14ac:dyDescent="0.2">
      <c r="A186" s="1212"/>
      <c r="B186" s="1212" t="s">
        <v>2057</v>
      </c>
      <c r="C186" s="1219" t="s">
        <v>5848</v>
      </c>
      <c r="D186" s="1562" t="s">
        <v>1592</v>
      </c>
      <c r="E186" s="1559" t="str">
        <f>IF(NOT('08 Exs'!C149 = ""),'08 Exs'!C149,IF(COUNTIF('08 Exs'!C150:C156,"&gt;=0")=0,"", MIN(MAX(SUMPRODUCT('08 Exs'!C150:C156,'08 Exs'!$G150:$G156)*4/(SUM('08 Exs'!$G150:$G156) - SUMIF('08 Exs'!C150:C156,"X",'08 Exs'!$G150:$G156)),MAX('08 Exs'!AA150:AA156)),MIN('08 Exs'!AE150:AE156))))</f>
        <v/>
      </c>
      <c r="F186" s="1559" t="str">
        <f>IF(NOT('08 Exs'!D149 = ""),'08 Exs'!D149,IF(COUNTIF('08 Exs'!D150:D156,"&gt;=0")=0,"", MIN(MAX(SUMPRODUCT('08 Exs'!D150:D156,'08 Exs'!$G150:$G156)*4/(SUM('08 Exs'!$G150:$G156) - SUMIF('08 Exs'!D150:D156,"X",'08 Exs'!$G150:$G156)),MAX('08 Exs'!AB150:AB156)),MIN('08 Exs'!AF150:AF156))))</f>
        <v/>
      </c>
      <c r="G186" s="1559" t="str">
        <f>IF(NOT('08 Exs'!E149 = ""),'08 Exs'!E149,IF(COUNTIF('08 Exs'!E150:E156,"&gt;=0")=0,"", MIN(MAX(SUMPRODUCT('08 Exs'!E150:E156,'08 Exs'!$G150:$G156)*4/(SUM('08 Exs'!$G150:$G156) - SUMIF('08 Exs'!E150:E156,"X",'08 Exs'!$G150:$G156)),MAX('08 Exs'!AC150:AC156)),MIN('08 Exs'!AG150:AG156))))</f>
        <v/>
      </c>
      <c r="H186" s="1559" t="str">
        <f>IF(NOT('08 Exs'!F149 = ""),'08 Exs'!F149,IF(COUNTIF('08 Exs'!F150:F156,"&gt;=0")=0,"", MIN(MAX(SUMPRODUCT('08 Exs'!F150:F156,'08 Exs'!$G150:$G156)*4/(SUM('08 Exs'!$G150:$G156) - SUMIF('08 Exs'!F150:F156,"X",'08 Exs'!$G150:$G156)),MAX('08 Exs'!AD150:AD156)),MIN('08 Exs'!AH150:AH156))))</f>
        <v/>
      </c>
      <c r="I186" s="1557">
        <f t="shared" si="30"/>
        <v>1</v>
      </c>
      <c r="J186" s="1557">
        <f>IF(I186="","",IF(IndG=3,MAX(I186,Obj_Projets!J186),MAX(I186,Obj_PA!D186)))</f>
        <v>1</v>
      </c>
      <c r="K186" s="1560">
        <f t="shared" si="31"/>
        <v>1</v>
      </c>
      <c r="L186" s="1650" t="str">
        <f t="shared" si="32"/>
        <v xml:space="preserve"> n'a pas démarré</v>
      </c>
      <c r="M186" s="154"/>
      <c r="N186" s="154"/>
      <c r="O186" s="154"/>
      <c r="P186" s="154"/>
      <c r="Q186" s="154"/>
      <c r="R186" s="154"/>
      <c r="S186" s="154"/>
      <c r="T186" s="154"/>
      <c r="U186" s="154"/>
      <c r="V186" s="154"/>
      <c r="W186" s="154"/>
      <c r="X186" s="154"/>
      <c r="Y186" s="154"/>
      <c r="Z186" s="154"/>
      <c r="AA186" s="154"/>
      <c r="AB186" s="154"/>
      <c r="AC186" s="154"/>
      <c r="AD186" s="154"/>
      <c r="AE186" s="154"/>
      <c r="AF186" s="154"/>
      <c r="AG186" s="154"/>
      <c r="AH186" s="154"/>
      <c r="AI186" s="154"/>
      <c r="AJ186" s="154"/>
      <c r="AK186" s="154"/>
      <c r="AL186" s="154"/>
      <c r="AM186" s="154"/>
      <c r="AN186" s="154"/>
      <c r="AO186" s="154"/>
      <c r="AP186" s="154"/>
      <c r="AQ186" s="154"/>
      <c r="AR186" s="154"/>
      <c r="AS186" s="154"/>
      <c r="AT186" s="154"/>
      <c r="AU186" s="154"/>
      <c r="AV186" s="154"/>
      <c r="AW186" s="154"/>
      <c r="AX186" s="154"/>
      <c r="AY186" s="154"/>
      <c r="AZ186" s="154"/>
      <c r="BA186" s="154"/>
      <c r="BB186" s="154"/>
    </row>
    <row r="187" spans="1:86" s="527" customFormat="1" ht="15.75" customHeight="1" outlineLevel="1" x14ac:dyDescent="0.2">
      <c r="A187" s="1212"/>
      <c r="B187" s="1212" t="s">
        <v>2058</v>
      </c>
      <c r="C187" s="1219" t="s">
        <v>2059</v>
      </c>
      <c r="D187" s="1562" t="s">
        <v>1592</v>
      </c>
      <c r="E187" s="1559" t="str">
        <f>IF(NOT('08 Exs'!C157 = ""),'08 Exs'!C157,IF(COUNTIF('08 Exs'!C158:C164,"&gt;=0")=0,"", MIN(MAX(SUMPRODUCT('08 Exs'!C158:C164,'08 Exs'!$G158:$G164)*4/(SUM('08 Exs'!$G158:$G164) - SUMIF('08 Exs'!C158:C164,"X",'08 Exs'!$G158:$G164)),MAX('08 Exs'!AA158:AA164)),MIN('08 Exs'!AE158:AE164))))</f>
        <v/>
      </c>
      <c r="F187" s="1559" t="str">
        <f>IF(NOT('08 Exs'!D157 = ""),'08 Exs'!D157,IF(COUNTIF('08 Exs'!D158:D164,"&gt;=0")=0,"", MIN(MAX(SUMPRODUCT('08 Exs'!D158:D164,'08 Exs'!$G158:$G164)*4/(SUM('08 Exs'!$G158:$G164) - SUMIF('08 Exs'!D158:D164,"X",'08 Exs'!$G158:$G164)),MAX('08 Exs'!AB158:AB164)),MIN('08 Exs'!AF158:AF164))))</f>
        <v/>
      </c>
      <c r="G187" s="1559" t="str">
        <f>IF(NOT('08 Exs'!E157 = ""),'08 Exs'!E157,IF(COUNTIF('08 Exs'!E158:E164,"&gt;=0")=0,"", MIN(MAX(SUMPRODUCT('08 Exs'!E158:E164,'08 Exs'!$G158:$G164)*4/(SUM('08 Exs'!$G158:$G164) - SUMIF('08 Exs'!E158:E164,"X",'08 Exs'!$G158:$G164)),MAX('08 Exs'!AC158:AC164)),MIN('08 Exs'!AG158:AG164))))</f>
        <v/>
      </c>
      <c r="H187" s="1559" t="str">
        <f>IF(NOT('08 Exs'!F157 = ""),'08 Exs'!F157,IF(COUNTIF('08 Exs'!F158:F164,"&gt;=0")=0,"", MIN(MAX(SUMPRODUCT('08 Exs'!F158:F164,'08 Exs'!$G158:$G164)*4/(SUM('08 Exs'!$G158:$G164) - SUMIF('08 Exs'!F158:F164,"X",'08 Exs'!$G158:$G164)),MAX('08 Exs'!AD158:AD164)),MIN('08 Exs'!AH158:AH164))))</f>
        <v/>
      </c>
      <c r="I187" s="1557">
        <f t="shared" si="30"/>
        <v>1</v>
      </c>
      <c r="J187" s="1557">
        <f>IF(I187="","",IF(IndG=3,MAX(I187,Obj_Projets!J187),MAX(I187,Obj_PA!D187)))</f>
        <v>1</v>
      </c>
      <c r="K187" s="1560">
        <f t="shared" si="31"/>
        <v>1</v>
      </c>
      <c r="L187" s="1650" t="str">
        <f t="shared" si="32"/>
        <v xml:space="preserve"> n'a pas démarré</v>
      </c>
      <c r="M187" s="154"/>
      <c r="N187" s="154"/>
      <c r="O187" s="154"/>
      <c r="P187" s="154"/>
      <c r="Q187" s="154"/>
      <c r="R187" s="154"/>
      <c r="S187" s="154"/>
      <c r="T187" s="154"/>
      <c r="U187" s="154"/>
      <c r="V187" s="154"/>
      <c r="W187" s="154"/>
      <c r="X187" s="154"/>
      <c r="Y187" s="154"/>
      <c r="Z187" s="154"/>
      <c r="AA187" s="154"/>
      <c r="AB187" s="154"/>
      <c r="AC187" s="154"/>
      <c r="AD187" s="154"/>
      <c r="AE187" s="154"/>
      <c r="AF187" s="154"/>
      <c r="AG187" s="154"/>
      <c r="AH187" s="154"/>
      <c r="AI187" s="154"/>
      <c r="AJ187" s="154"/>
      <c r="AK187" s="154"/>
      <c r="AL187" s="154"/>
      <c r="AM187" s="154"/>
      <c r="AN187" s="154"/>
      <c r="AO187" s="154"/>
      <c r="AP187" s="154"/>
      <c r="AQ187" s="154"/>
      <c r="AR187" s="154"/>
      <c r="AS187" s="154"/>
      <c r="AT187" s="154"/>
      <c r="AU187" s="154"/>
      <c r="AV187" s="154"/>
      <c r="AW187" s="154"/>
      <c r="AX187" s="154"/>
      <c r="AY187" s="154"/>
      <c r="AZ187" s="154"/>
      <c r="BA187" s="154"/>
      <c r="BB187" s="154"/>
      <c r="CH187" s="527">
        <f>IF(INDEX(Tab_actions,18,1)=1,INDEX(Tab_actions,18,6),0)</f>
        <v>0</v>
      </c>
    </row>
    <row r="188" spans="1:86" s="527" customFormat="1" ht="15.75" customHeight="1" outlineLevel="1" x14ac:dyDescent="0.2">
      <c r="A188" s="1212"/>
      <c r="B188" s="1212" t="s">
        <v>2060</v>
      </c>
      <c r="C188" s="1219" t="s">
        <v>2700</v>
      </c>
      <c r="D188" s="1562" t="s">
        <v>1592</v>
      </c>
      <c r="E188" s="1559" t="str">
        <f>IF(NOT('08 Exs'!C165 = ""),'08 Exs'!C165,IF(COUNTIF('08 Exs'!C166:C175,"&gt;=0")=0,"", MIN(MAX(SUMPRODUCT('08 Exs'!C166:C175,'08 Exs'!$G166:$G175)*4/(SUM('08 Exs'!$G166:$G175) - SUMIF('08 Exs'!C166:C175,"X",'08 Exs'!$G166:$G175)),MAX('08 Exs'!AA166:AA175)),MIN('08 Exs'!AE166:AE175))))</f>
        <v/>
      </c>
      <c r="F188" s="1559" t="str">
        <f>IF(NOT('08 Exs'!D165 = ""),'08 Exs'!D165,IF(COUNTIF('08 Exs'!D166:D175,"&gt;=0")=0,"", MIN(MAX(SUMPRODUCT('08 Exs'!D166:D175,'08 Exs'!$G166:$G175)*4/(SUM('08 Exs'!$G166:$G175) - SUMIF('08 Exs'!D166:D175,"X",'08 Exs'!$G166:$G175)),MAX('08 Exs'!AB166:AB175)),MIN('08 Exs'!AF166:AF175))))</f>
        <v/>
      </c>
      <c r="G188" s="1559" t="str">
        <f>IF(NOT('08 Exs'!E165 = ""),'08 Exs'!E165,IF(COUNTIF('08 Exs'!E166:E175,"&gt;=0")=0,"", MIN(MAX(SUMPRODUCT('08 Exs'!E166:E175,'08 Exs'!$G166:$G175)*4/(SUM('08 Exs'!$G166:$G175) - SUMIF('08 Exs'!E166:E175,"X",'08 Exs'!$G166:$G175)),MAX('08 Exs'!AC166:AC175)),MIN('08 Exs'!AG166:AG175))))</f>
        <v/>
      </c>
      <c r="H188" s="1559" t="str">
        <f>IF(NOT('08 Exs'!F165 = ""),'08 Exs'!F165,IF(COUNTIF('08 Exs'!F166:F175,"&gt;=0")=0,"", MIN(MAX(SUMPRODUCT('08 Exs'!F166:F175,'08 Exs'!$G166:$G175)*4/(SUM('08 Exs'!$G166:$G175) - SUMIF('08 Exs'!F166:F175,"X",'08 Exs'!$G166:$G175)),MAX('08 Exs'!AD166:AD175)),MIN('08 Exs'!AH166:AH175))))</f>
        <v/>
      </c>
      <c r="I188" s="1557">
        <f t="shared" si="30"/>
        <v>1</v>
      </c>
      <c r="J188" s="1557">
        <f>IF(I188="","",IF(IndG=3,MAX(I188,Obj_Projets!J188),MAX(I188,Obj_PA!D188)))</f>
        <v>1</v>
      </c>
      <c r="K188" s="1560">
        <f t="shared" si="31"/>
        <v>1</v>
      </c>
      <c r="L188" s="1650" t="str">
        <f t="shared" si="32"/>
        <v xml:space="preserve"> n'a pas démarré</v>
      </c>
      <c r="M188" s="154"/>
      <c r="N188" s="154"/>
      <c r="O188" s="154"/>
      <c r="P188" s="154"/>
      <c r="Q188" s="154"/>
      <c r="R188" s="154"/>
      <c r="S188" s="154"/>
      <c r="T188" s="154"/>
      <c r="U188" s="154"/>
      <c r="V188" s="154"/>
      <c r="W188" s="154"/>
      <c r="X188" s="154"/>
      <c r="Y188" s="154"/>
      <c r="Z188" s="154"/>
      <c r="AA188" s="154"/>
      <c r="AB188" s="154"/>
      <c r="AC188" s="154"/>
      <c r="AD188" s="154"/>
      <c r="AE188" s="154"/>
      <c r="AF188" s="154"/>
      <c r="AG188" s="154"/>
      <c r="AH188" s="154"/>
      <c r="AI188" s="154"/>
      <c r="AJ188" s="154"/>
      <c r="AK188" s="154"/>
      <c r="AL188" s="154"/>
      <c r="AM188" s="154"/>
      <c r="AN188" s="154"/>
      <c r="AO188" s="154"/>
      <c r="AP188" s="154"/>
      <c r="AQ188" s="154"/>
      <c r="AR188" s="154"/>
      <c r="AS188" s="154"/>
      <c r="AT188" s="154"/>
      <c r="AU188" s="154"/>
      <c r="AV188" s="154"/>
      <c r="AW188" s="154"/>
      <c r="AX188" s="154"/>
      <c r="AY188" s="154"/>
      <c r="AZ188" s="154"/>
      <c r="BA188" s="154"/>
      <c r="BB188" s="154"/>
    </row>
    <row r="189" spans="1:86" s="527" customFormat="1" ht="15.75" customHeight="1" outlineLevel="1" x14ac:dyDescent="0.2">
      <c r="A189" s="1212"/>
      <c r="B189" s="1212" t="s">
        <v>2061</v>
      </c>
      <c r="C189" s="1219" t="s">
        <v>6521</v>
      </c>
      <c r="D189" s="1562" t="s">
        <v>1592</v>
      </c>
      <c r="E189" s="1559" t="str">
        <f>IF(NOT('08 Exs'!C176 = ""),'08 Exs'!C176,IF(COUNTIF('08 Exs'!C177:C181,"&gt;=0")=0,"", MIN(MAX(SUMPRODUCT('08 Exs'!C177:C181,'08 Exs'!$G177:$G181)*4/(SUM('08 Exs'!$G177:$G181) - SUMIF('08 Exs'!C177:C181,"X",'08 Exs'!$G177:$G181)),MAX('08 Exs'!AA177:AA181)),MIN('08 Exs'!AE177:AE181))))</f>
        <v/>
      </c>
      <c r="F189" s="1559" t="str">
        <f>IF(NOT('08 Exs'!D176 = ""),'08 Exs'!D176,IF(COUNTIF('08 Exs'!D177:D181,"&gt;=0")=0,"", MIN(MAX(SUMPRODUCT('08 Exs'!D177:D181,'08 Exs'!$G177:$G181)*4/(SUM('08 Exs'!$G177:$G181) - SUMIF('08 Exs'!D177:D181,"X",'08 Exs'!$G177:$G181)),MAX('08 Exs'!AB177:AB181)),MIN('08 Exs'!AF177:AF181))))</f>
        <v/>
      </c>
      <c r="G189" s="1559" t="str">
        <f>IF(NOT('08 Exs'!E176 = ""),'08 Exs'!E176,IF(COUNTIF('08 Exs'!E177:E181,"&gt;=0")=0,"", MIN(MAX(SUMPRODUCT('08 Exs'!E177:E181,'08 Exs'!$G177:$G181)*4/(SUM('08 Exs'!$G177:$G181) - SUMIF('08 Exs'!E177:E181,"X",'08 Exs'!$G177:$G181)),MAX('08 Exs'!AC177:AC181)),MIN('08 Exs'!AG177:AG181))))</f>
        <v/>
      </c>
      <c r="H189" s="1559" t="str">
        <f>IF(NOT('08 Exs'!F176 = ""),'08 Exs'!F176,IF(COUNTIF('08 Exs'!F177:F181,"&gt;=0")=0,"", MIN(MAX(SUMPRODUCT('08 Exs'!F177:F181,'08 Exs'!$G177:$G181)*4/(SUM('08 Exs'!$G177:$G181) - SUMIF('08 Exs'!F177:F181,"X",'08 Exs'!$G177:$G181)),MAX('08 Exs'!AD177:AD181)),MIN('08 Exs'!AH177:AH181))))</f>
        <v/>
      </c>
      <c r="I189" s="1557">
        <f t="shared" si="30"/>
        <v>1</v>
      </c>
      <c r="J189" s="1557">
        <f>IF(I189="","",IF(IndG=3,MAX(I189,Obj_Projets!J189),MAX(I189,Obj_PA!D189)))</f>
        <v>1</v>
      </c>
      <c r="K189" s="1560">
        <f t="shared" si="31"/>
        <v>1</v>
      </c>
      <c r="L189" s="1650" t="str">
        <f t="shared" si="32"/>
        <v xml:space="preserve"> n'a pas démarré</v>
      </c>
      <c r="M189" s="154"/>
      <c r="N189" s="154"/>
      <c r="O189" s="154"/>
      <c r="P189" s="154"/>
      <c r="Q189" s="154"/>
      <c r="R189" s="154"/>
      <c r="S189" s="154"/>
      <c r="T189" s="154"/>
      <c r="U189" s="154"/>
      <c r="V189" s="154"/>
      <c r="W189" s="154"/>
      <c r="X189" s="154"/>
      <c r="Y189" s="154"/>
      <c r="Z189" s="154"/>
      <c r="AA189" s="154"/>
      <c r="AB189" s="154"/>
      <c r="AC189" s="154"/>
      <c r="AD189" s="154"/>
      <c r="AE189" s="154"/>
      <c r="AF189" s="154"/>
      <c r="AG189" s="154"/>
      <c r="AH189" s="154"/>
      <c r="AI189" s="154"/>
      <c r="AJ189" s="154"/>
      <c r="AK189" s="154"/>
      <c r="AL189" s="154"/>
      <c r="AM189" s="154"/>
      <c r="AN189" s="154"/>
      <c r="AO189" s="154"/>
      <c r="AP189" s="154"/>
      <c r="AQ189" s="154"/>
      <c r="AR189" s="154"/>
      <c r="AS189" s="154"/>
      <c r="AT189" s="154"/>
      <c r="AU189" s="154"/>
      <c r="AV189" s="154"/>
      <c r="AW189" s="154"/>
      <c r="AX189" s="154"/>
      <c r="AY189" s="154"/>
      <c r="AZ189" s="154"/>
      <c r="BA189" s="154"/>
      <c r="BB189" s="154"/>
    </row>
    <row r="190" spans="1:86" s="527" customFormat="1" ht="15.75" customHeight="1" outlineLevel="1" x14ac:dyDescent="0.2">
      <c r="A190" s="1212"/>
      <c r="B190" s="1213" t="s">
        <v>5048</v>
      </c>
      <c r="C190" s="1214" t="s">
        <v>5049</v>
      </c>
      <c r="D190" s="1554"/>
      <c r="E190" s="1559"/>
      <c r="F190" s="1559"/>
      <c r="G190" s="1559"/>
      <c r="H190" s="1559"/>
      <c r="I190" s="1561"/>
      <c r="J190" s="1561"/>
      <c r="K190" s="1561"/>
      <c r="L190" s="1650"/>
      <c r="M190" s="154"/>
      <c r="N190" s="154"/>
      <c r="O190" s="154"/>
      <c r="P190" s="154"/>
      <c r="Q190" s="154"/>
      <c r="R190" s="154"/>
      <c r="S190" s="154"/>
      <c r="T190" s="154"/>
      <c r="U190" s="154"/>
      <c r="V190" s="154"/>
      <c r="W190" s="154"/>
      <c r="X190" s="154"/>
      <c r="Y190" s="154"/>
      <c r="Z190" s="154"/>
      <c r="AA190" s="154"/>
      <c r="AB190" s="154"/>
      <c r="AC190" s="154"/>
      <c r="AD190" s="154"/>
      <c r="AE190" s="154"/>
      <c r="AF190" s="154"/>
      <c r="AG190" s="154"/>
      <c r="AH190" s="154"/>
      <c r="AI190" s="154"/>
      <c r="AJ190" s="154"/>
      <c r="AK190" s="154"/>
      <c r="AL190" s="154"/>
      <c r="AM190" s="154"/>
      <c r="AN190" s="154"/>
      <c r="AO190" s="154"/>
      <c r="AP190" s="154"/>
      <c r="AQ190" s="154"/>
      <c r="AR190" s="154"/>
      <c r="AS190" s="154"/>
      <c r="AT190" s="154"/>
      <c r="AU190" s="154"/>
      <c r="AV190" s="154"/>
      <c r="AW190" s="154"/>
      <c r="AX190" s="154"/>
      <c r="AY190" s="154"/>
      <c r="AZ190" s="154"/>
      <c r="BA190" s="154"/>
      <c r="BB190" s="154"/>
    </row>
    <row r="191" spans="1:86" s="527" customFormat="1" ht="15.75" customHeight="1" outlineLevel="1" x14ac:dyDescent="0.2">
      <c r="A191" s="1212"/>
      <c r="B191" s="1212" t="s">
        <v>1137</v>
      </c>
      <c r="C191" s="1219" t="s">
        <v>6520</v>
      </c>
      <c r="D191" s="1562" t="s">
        <v>2771</v>
      </c>
      <c r="E191" s="1559" t="str">
        <f>IF(NOT('08 Exs'!C183 = ""),'08 Exs'!C183,IF(COUNTIF('08 Exs'!C184:C191,"&gt;=0")=0,"", MIN(MAX(SUMPRODUCT('08 Exs'!C184:C191,'08 Exs'!$G184:$G191)*4/(SUM('08 Exs'!$G184:$G191) - SUMIF('08 Exs'!C184:C191,"X",'08 Exs'!$G184:$G191)),MAX('08 Exs'!AA184:AA191)),MIN('08 Exs'!AE184:AE191))))</f>
        <v/>
      </c>
      <c r="F191" s="1559" t="str">
        <f>IF(NOT('08 Exs'!D183 = ""),'08 Exs'!D183,IF(COUNTIF('08 Exs'!D184:D191,"&gt;=0")=0,"", MIN(MAX(SUMPRODUCT('08 Exs'!D184:D191,'08 Exs'!$G184:$G191)*4/(SUM('08 Exs'!$G184:$G191) - SUMIF('08 Exs'!D184:D191,"X",'08 Exs'!$G184:$G191)),MAX('08 Exs'!AB184:AB191)),MIN('08 Exs'!AF184:AF191))))</f>
        <v/>
      </c>
      <c r="G191" s="1559" t="str">
        <f>IF(NOT('08 Exs'!E183 = ""),'08 Exs'!E183,IF(COUNTIF('08 Exs'!E184:E191,"&gt;=0")=0,"", MIN(MAX(SUMPRODUCT('08 Exs'!E184:E191,'08 Exs'!$G184:$G191)*4/(SUM('08 Exs'!$G184:$G191) - SUMIF('08 Exs'!E184:E191,"X",'08 Exs'!$G184:$G191)),MAX('08 Exs'!AC184:AC191)),MIN('08 Exs'!AG184:AG191))))</f>
        <v/>
      </c>
      <c r="H191" s="1559" t="str">
        <f>IF(NOT('08 Exs'!F183 = ""),'08 Exs'!F183,IF(COUNTIF('08 Exs'!F184:F191,"&gt;=0")=0,"", MIN(MAX(SUMPRODUCT('08 Exs'!F184:F191,'08 Exs'!$G184:$G191)*4/(SUM('08 Exs'!$G184:$G191) - SUMIF('08 Exs'!F184:F191,"X",'08 Exs'!$G184:$G191)),MAX('08 Exs'!AD184:AD191)),MIN('08 Exs'!AH184:AH191))))</f>
        <v/>
      </c>
      <c r="I191" s="1557">
        <f t="shared" ref="I191:I200" si="33">IF(AND(OR(E191="X",E191=""),OR(F191="X",F191=""),OR(G191="X",G191=""),OR(H191="X",H191="")),1,ROUND(MIN(IF(OR(E191="",E191="X"),4,E191),IF(OR(F191="",F191="X"),4,F191),IF(OR(G191="",G191="X"),4,G191),IF(OR(H191="",H191="X"),4,H191)),0))</f>
        <v>1</v>
      </c>
      <c r="J191" s="1557">
        <f>IF(I191="","",IF(IndG=3,MAX(I191,Obj_Projets!J191),MAX(I191,Obj_PA!D191)))</f>
        <v>1</v>
      </c>
      <c r="K191" s="1560">
        <f t="shared" ref="K191:K200" si="34">IF(IF(OR(IndG=3,IndG=4),MAX(I191,J191),I191)&lt;1,1,IF(OR(IndG=3,IndG=4),MAX(I191,J191),I191))</f>
        <v>1</v>
      </c>
      <c r="L191" s="1650" t="str">
        <f t="shared" ref="L191:L200" si="35">IF(E191=""," n'a pas démarré","")</f>
        <v xml:space="preserve"> n'a pas démarré</v>
      </c>
      <c r="M191" s="154"/>
      <c r="N191" s="154"/>
      <c r="O191" s="154"/>
      <c r="P191" s="154"/>
      <c r="Q191" s="154"/>
      <c r="R191" s="154"/>
      <c r="S191" s="154"/>
      <c r="T191" s="154"/>
      <c r="U191" s="154"/>
      <c r="V191" s="154"/>
      <c r="W191" s="154"/>
      <c r="X191" s="154"/>
      <c r="Y191" s="154"/>
      <c r="Z191" s="154"/>
      <c r="AA191" s="154"/>
      <c r="AB191" s="154"/>
      <c r="AC191" s="154"/>
      <c r="AD191" s="154"/>
      <c r="AE191" s="154"/>
      <c r="AF191" s="154"/>
      <c r="AG191" s="154"/>
      <c r="AH191" s="154"/>
      <c r="AI191" s="154"/>
      <c r="AJ191" s="154"/>
      <c r="AK191" s="154"/>
      <c r="AL191" s="154"/>
      <c r="AM191" s="154"/>
      <c r="AN191" s="154"/>
      <c r="AO191" s="154"/>
      <c r="AP191" s="154"/>
      <c r="AQ191" s="154"/>
      <c r="AR191" s="154"/>
      <c r="AS191" s="154"/>
      <c r="AT191" s="154"/>
      <c r="AU191" s="154"/>
      <c r="AV191" s="154"/>
      <c r="AW191" s="154"/>
      <c r="AX191" s="154"/>
      <c r="AY191" s="154"/>
      <c r="AZ191" s="154"/>
      <c r="BA191" s="154"/>
      <c r="BB191" s="154"/>
    </row>
    <row r="192" spans="1:86" s="527" customFormat="1" ht="15.75" customHeight="1" outlineLevel="1" x14ac:dyDescent="0.2">
      <c r="A192" s="1212"/>
      <c r="B192" s="1212" t="s">
        <v>1662</v>
      </c>
      <c r="C192" s="1219" t="s">
        <v>4999</v>
      </c>
      <c r="D192" s="1562" t="s">
        <v>2771</v>
      </c>
      <c r="E192" s="1559" t="str">
        <f>IF(NOT('08 Exs'!C192 = ""),'08 Exs'!C192,IF(COUNTIF('08 Exs'!C193:C201,"&gt;=0")=0,"", MIN(MAX(SUMPRODUCT('08 Exs'!C193:C201,'08 Exs'!$G193:$G201)*4/(SUM('08 Exs'!$G193:$G201) - SUMIF('08 Exs'!C193:C201,"X",'08 Exs'!$G193:$G201)),MAX('08 Exs'!AA193:AA201)),MIN('08 Exs'!AE193:AE201))))</f>
        <v/>
      </c>
      <c r="F192" s="1559" t="str">
        <f>IF(NOT('08 Exs'!D192 = ""),'08 Exs'!D192,IF(COUNTIF('08 Exs'!D193:D201,"&gt;=0")=0,"", MIN(MAX(SUMPRODUCT('08 Exs'!D193:D201,'08 Exs'!$G193:$G201)*4/(SUM('08 Exs'!$G193:$G201) - SUMIF('08 Exs'!D193:D201,"X",'08 Exs'!$G193:$G201)),MAX('08 Exs'!AB193:AB201)),MIN('08 Exs'!AF193:AF201))))</f>
        <v/>
      </c>
      <c r="G192" s="1559" t="str">
        <f>IF(NOT('08 Exs'!E192 = ""),'08 Exs'!E192,IF(COUNTIF('08 Exs'!E193:E201,"&gt;=0")=0,"", MIN(MAX(SUMPRODUCT('08 Exs'!E193:E201,'08 Exs'!$G193:$G201)*4/(SUM('08 Exs'!$G193:$G201) - SUMIF('08 Exs'!E193:E201,"X",'08 Exs'!$G193:$G201)),MAX('08 Exs'!AC193:AC201)),MIN('08 Exs'!AG193:AG201))))</f>
        <v/>
      </c>
      <c r="H192" s="1559" t="str">
        <f>IF(NOT('08 Exs'!F192 = ""),'08 Exs'!F192,IF(COUNTIF('08 Exs'!F193:F201,"&gt;=0")=0,"", MIN(MAX(SUMPRODUCT('08 Exs'!F193:F201,'08 Exs'!$G193:$G201)*4/(SUM('08 Exs'!$G193:$G201) - SUMIF('08 Exs'!F193:F201,"X",'08 Exs'!$G193:$G201)),MAX('08 Exs'!AD193:AD201)),MIN('08 Exs'!AH193:AH201))))</f>
        <v/>
      </c>
      <c r="I192" s="1557">
        <f t="shared" si="33"/>
        <v>1</v>
      </c>
      <c r="J192" s="1557">
        <f>IF(I192="","",IF(IndG=3,MAX(I192,Obj_Projets!J192),MAX(I192,Obj_PA!D192)))</f>
        <v>1</v>
      </c>
      <c r="K192" s="1560">
        <f t="shared" si="34"/>
        <v>1</v>
      </c>
      <c r="L192" s="1650" t="str">
        <f t="shared" si="35"/>
        <v xml:space="preserve"> n'a pas démarré</v>
      </c>
      <c r="M192" s="154"/>
      <c r="N192" s="154"/>
      <c r="O192" s="154"/>
      <c r="P192" s="154"/>
      <c r="Q192" s="154"/>
      <c r="R192" s="154"/>
      <c r="S192" s="154"/>
      <c r="T192" s="154"/>
      <c r="U192" s="154"/>
      <c r="V192" s="154"/>
      <c r="W192" s="154"/>
      <c r="X192" s="154"/>
      <c r="Y192" s="154"/>
      <c r="Z192" s="154"/>
      <c r="AA192" s="154"/>
      <c r="AB192" s="154"/>
      <c r="AC192" s="154"/>
      <c r="AD192" s="154"/>
      <c r="AE192" s="154"/>
      <c r="AF192" s="154"/>
      <c r="AG192" s="154"/>
      <c r="AH192" s="154"/>
      <c r="AI192" s="154"/>
      <c r="AJ192" s="154"/>
      <c r="AK192" s="154"/>
      <c r="AL192" s="154"/>
      <c r="AM192" s="154"/>
      <c r="AN192" s="154"/>
      <c r="AO192" s="154"/>
      <c r="AP192" s="154"/>
      <c r="AQ192" s="154"/>
      <c r="AR192" s="154"/>
      <c r="AS192" s="154"/>
      <c r="AT192" s="154"/>
      <c r="AU192" s="154"/>
      <c r="AV192" s="154"/>
      <c r="AW192" s="154"/>
      <c r="AX192" s="154"/>
      <c r="AY192" s="154"/>
      <c r="AZ192" s="154"/>
      <c r="BA192" s="154"/>
      <c r="BB192" s="154"/>
    </row>
    <row r="193" spans="1:87" s="527" customFormat="1" ht="15.75" customHeight="1" outlineLevel="1" x14ac:dyDescent="0.2">
      <c r="A193" s="1212"/>
      <c r="B193" s="1212" t="s">
        <v>1663</v>
      </c>
      <c r="C193" s="1219" t="s">
        <v>6220</v>
      </c>
      <c r="D193" s="1562" t="s">
        <v>4246</v>
      </c>
      <c r="E193" s="1559" t="str">
        <f>IF(NOT('08 Exs'!C202 = ""),'08 Exs'!C202,IF(COUNTIF('08 Exs'!C203:C212,"&gt;=0")=0,"", MIN(MAX(SUMPRODUCT('08 Exs'!C203:C212,'08 Exs'!$G203:$G212)*4/(SUM('08 Exs'!$G203:$G212) - SUMIF('08 Exs'!C203:C212,"X",'08 Exs'!$G203:$G212)),MAX('08 Exs'!AA203:AA212)),MIN('08 Exs'!AE203:AE212))))</f>
        <v/>
      </c>
      <c r="F193" s="1559" t="str">
        <f>IF(NOT('08 Exs'!D202 = ""),'08 Exs'!D202,IF(COUNTIF('08 Exs'!D203:D212,"&gt;=0")=0,"", MIN(MAX(SUMPRODUCT('08 Exs'!D203:D212,'08 Exs'!$G203:$G212)*4/(SUM('08 Exs'!$G203:$G212) - SUMIF('08 Exs'!D203:D212,"X",'08 Exs'!$G203:$G212)),MAX('08 Exs'!AB203:AB212)),MIN('08 Exs'!AF203:AF212))))</f>
        <v/>
      </c>
      <c r="G193" s="1559" t="str">
        <f>IF(NOT('08 Exs'!E202 = ""),'08 Exs'!E202,IF(COUNTIF('08 Exs'!E203:E212,"&gt;=0")=0,"", MIN(MAX(SUMPRODUCT('08 Exs'!E203:E212,'08 Exs'!$G203:$G212)*4/(SUM('08 Exs'!$G203:$G212) - SUMIF('08 Exs'!E203:E212,"X",'08 Exs'!$G203:$G212)),MAX('08 Exs'!AC203:AC212)),MIN('08 Exs'!AG203:AG212))))</f>
        <v/>
      </c>
      <c r="H193" s="1559" t="str">
        <f>IF(NOT('08 Exs'!F202 = ""),'08 Exs'!F202,IF(COUNTIF('08 Exs'!F203:F212,"&gt;=0")=0,"", MIN(MAX(SUMPRODUCT('08 Exs'!F203:F212,'08 Exs'!$G203:$G212)*4/(SUM('08 Exs'!$G203:$G212) - SUMIF('08 Exs'!F203:F212,"X",'08 Exs'!$G203:$G212)),MAX('08 Exs'!AD203:AD212)),MIN('08 Exs'!AH203:AH212))))</f>
        <v/>
      </c>
      <c r="I193" s="1557">
        <f t="shared" si="33"/>
        <v>1</v>
      </c>
      <c r="J193" s="1557">
        <f>IF(I193="","",IF(IndG=3,MAX(I193,Obj_Projets!J193),MAX(I193,Obj_PA!D193)))</f>
        <v>1</v>
      </c>
      <c r="K193" s="1560">
        <f t="shared" si="34"/>
        <v>1</v>
      </c>
      <c r="L193" s="1650" t="str">
        <f t="shared" si="35"/>
        <v xml:space="preserve"> n'a pas démarré</v>
      </c>
      <c r="M193" s="154"/>
      <c r="N193" s="154"/>
      <c r="O193" s="154"/>
      <c r="P193" s="154"/>
      <c r="Q193" s="154"/>
      <c r="R193" s="154"/>
      <c r="S193" s="154"/>
      <c r="T193" s="154"/>
      <c r="U193" s="154"/>
      <c r="V193" s="154"/>
      <c r="W193" s="154"/>
      <c r="X193" s="154"/>
      <c r="Y193" s="154"/>
      <c r="Z193" s="154"/>
      <c r="AA193" s="154"/>
      <c r="AB193" s="154"/>
      <c r="AC193" s="154"/>
      <c r="AD193" s="154"/>
      <c r="AE193" s="154"/>
      <c r="AF193" s="154"/>
      <c r="AG193" s="154"/>
      <c r="AH193" s="154"/>
      <c r="AI193" s="154"/>
      <c r="AJ193" s="154"/>
      <c r="AK193" s="154"/>
      <c r="AL193" s="154"/>
      <c r="AM193" s="154"/>
      <c r="AN193" s="154"/>
      <c r="AO193" s="154"/>
      <c r="AP193" s="154"/>
      <c r="AQ193" s="154"/>
      <c r="AR193" s="154"/>
      <c r="AS193" s="154"/>
      <c r="AT193" s="154"/>
      <c r="AU193" s="154"/>
      <c r="AV193" s="154"/>
      <c r="AW193" s="154"/>
      <c r="AX193" s="154"/>
      <c r="AY193" s="154"/>
      <c r="AZ193" s="154"/>
      <c r="BA193" s="154"/>
      <c r="BB193" s="154"/>
      <c r="CG193" s="527">
        <f>IF(INDEX(Tab_actions,57,1)=1,INDEX(Tab_actions,57,4),0)</f>
        <v>0</v>
      </c>
      <c r="CH193" s="527">
        <f>IF(INDEX(Tab_actions,103,1)=1,INDEX(Tab_actions,103,4),0)</f>
        <v>0</v>
      </c>
    </row>
    <row r="194" spans="1:87" s="527" customFormat="1" ht="15.75" customHeight="1" outlineLevel="1" x14ac:dyDescent="0.2">
      <c r="A194" s="1212"/>
      <c r="B194" s="1212" t="s">
        <v>4954</v>
      </c>
      <c r="C194" s="1219" t="s">
        <v>6236</v>
      </c>
      <c r="D194" s="1562" t="s">
        <v>2769</v>
      </c>
      <c r="E194" s="1559" t="str">
        <f>IF(NOT('08 Exs'!C213 = ""),'08 Exs'!C213,IF(COUNTIF('08 Exs'!C214:C221,"&gt;=0")=0,"", MIN(MAX(SUMPRODUCT('08 Exs'!C214:C221,'08 Exs'!$G214:$G221)*4/(SUM('08 Exs'!$G214:$G221) - SUMIF('08 Exs'!C214:C221,"X",'08 Exs'!$G214:$G221)),MAX('08 Exs'!AA214:AA221)),MIN('08 Exs'!AE214:AE221))))</f>
        <v/>
      </c>
      <c r="F194" s="1559" t="str">
        <f>IF(NOT('08 Exs'!D213 = ""),'08 Exs'!D213,IF(COUNTIF('08 Exs'!D214:D221,"&gt;=0")=0,"", MIN(MAX(SUMPRODUCT('08 Exs'!D214:D221,'08 Exs'!$G214:$G221)*4/(SUM('08 Exs'!$G214:$G221) - SUMIF('08 Exs'!D214:D221,"X",'08 Exs'!$G214:$G221)),MAX('08 Exs'!AB214:AB221)),MIN('08 Exs'!AF214:AF221))))</f>
        <v/>
      </c>
      <c r="G194" s="1559" t="str">
        <f>IF(NOT('08 Exs'!E213 = ""),'08 Exs'!E213,IF(COUNTIF('08 Exs'!E214:E221,"&gt;=0")=0,"", MIN(MAX(SUMPRODUCT('08 Exs'!E214:E221,'08 Exs'!$G214:$G221)*4/(SUM('08 Exs'!$G214:$G221) - SUMIF('08 Exs'!E214:E221,"X",'08 Exs'!$G214:$G221)),MAX('08 Exs'!AC214:AC221)),MIN('08 Exs'!AG214:AG221))))</f>
        <v/>
      </c>
      <c r="H194" s="1559" t="str">
        <f>IF(NOT('08 Exs'!F213 = ""),'08 Exs'!F213,IF(COUNTIF('08 Exs'!F214:F221,"&gt;=0")=0,"", MIN(MAX(SUMPRODUCT('08 Exs'!F214:F221,'08 Exs'!$G214:$G221)*4/(SUM('08 Exs'!$G214:$G221) - SUMIF('08 Exs'!F214:F221,"X",'08 Exs'!$G214:$G221)),MAX('08 Exs'!AD214:AD221)),MIN('08 Exs'!AH214:AH221))))</f>
        <v/>
      </c>
      <c r="I194" s="1557">
        <f t="shared" si="33"/>
        <v>1</v>
      </c>
      <c r="J194" s="1557">
        <f>IF(I194="","",IF(IndG=3,MAX(I194,Obj_Projets!J194),MAX(I194,Obj_PA!D194)))</f>
        <v>1</v>
      </c>
      <c r="K194" s="1560">
        <f t="shared" si="34"/>
        <v>1</v>
      </c>
      <c r="L194" s="1650" t="str">
        <f t="shared" si="35"/>
        <v xml:space="preserve"> n'a pas démarré</v>
      </c>
      <c r="M194" s="154"/>
      <c r="N194" s="154"/>
      <c r="O194" s="154"/>
      <c r="P194" s="154"/>
      <c r="Q194" s="154"/>
      <c r="R194" s="154"/>
      <c r="S194" s="154"/>
      <c r="T194" s="154"/>
      <c r="U194" s="154"/>
      <c r="V194" s="154"/>
      <c r="W194" s="154"/>
      <c r="X194" s="154"/>
      <c r="Y194" s="154"/>
      <c r="Z194" s="154"/>
      <c r="AA194" s="154"/>
      <c r="AB194" s="154"/>
      <c r="AC194" s="154"/>
      <c r="AD194" s="154"/>
      <c r="AE194" s="154"/>
      <c r="AF194" s="154"/>
      <c r="AG194" s="154"/>
      <c r="AH194" s="154"/>
      <c r="AI194" s="154"/>
      <c r="AJ194" s="154"/>
      <c r="AK194" s="154"/>
      <c r="AL194" s="154"/>
      <c r="AM194" s="154"/>
      <c r="AN194" s="154"/>
      <c r="AO194" s="154"/>
      <c r="AP194" s="154"/>
      <c r="AQ194" s="154"/>
      <c r="AR194" s="154"/>
      <c r="AS194" s="154"/>
      <c r="AT194" s="154"/>
      <c r="AU194" s="154"/>
      <c r="AV194" s="154"/>
      <c r="AW194" s="154"/>
      <c r="AX194" s="154"/>
      <c r="AY194" s="154"/>
      <c r="AZ194" s="154"/>
      <c r="BA194" s="154"/>
      <c r="BB194" s="154"/>
    </row>
    <row r="195" spans="1:87" s="527" customFormat="1" ht="15.75" customHeight="1" outlineLevel="1" x14ac:dyDescent="0.2">
      <c r="A195" s="1212"/>
      <c r="B195" s="1212" t="s">
        <v>4439</v>
      </c>
      <c r="C195" s="1219" t="s">
        <v>4955</v>
      </c>
      <c r="D195" s="1562" t="s">
        <v>2769</v>
      </c>
      <c r="E195" s="1559" t="str">
        <f>IF(NOT('08 Exs'!C222 = ""),'08 Exs'!C222,IF(COUNTIF('08 Exs'!C223:C236,"&gt;=0")=0,"", MIN(MAX(SUMPRODUCT('08 Exs'!C223:C236,'08 Exs'!$G223:$G236)*4/(SUM('08 Exs'!$G223:$G236) - SUMIF('08 Exs'!C223:C236,"X",'08 Exs'!$G223:$G236)),MAX('08 Exs'!AA223:AA236)),MIN('08 Exs'!AE223:AE236))))</f>
        <v/>
      </c>
      <c r="F195" s="1559" t="str">
        <f>IF(NOT('08 Exs'!D222 = ""),'08 Exs'!D222,IF(COUNTIF('08 Exs'!D223:D236,"&gt;=0")=0,"", MIN(MAX(SUMPRODUCT('08 Exs'!D223:D236,'08 Exs'!$G223:$G236)*4/(SUM('08 Exs'!$G223:$G236) - SUMIF('08 Exs'!D223:D236,"X",'08 Exs'!$G223:$G236)),MAX('08 Exs'!AB223:AB236)),MIN('08 Exs'!AF223:AF236))))</f>
        <v/>
      </c>
      <c r="G195" s="1559" t="str">
        <f>IF(NOT('08 Exs'!E222 = ""),'08 Exs'!E222,IF(COUNTIF('08 Exs'!E223:E236,"&gt;=0")=0,"", MIN(MAX(SUMPRODUCT('08 Exs'!E223:E236,'08 Exs'!$G223:$G236)*4/(SUM('08 Exs'!$G223:$G236) - SUMIF('08 Exs'!E223:E236,"X",'08 Exs'!$G223:$G236)),MAX('08 Exs'!AC223:AC236)),MIN('08 Exs'!AG223:AG236))))</f>
        <v/>
      </c>
      <c r="H195" s="1559" t="str">
        <f>IF(NOT('08 Exs'!F222 = ""),'08 Exs'!F222,IF(COUNTIF('08 Exs'!F223:F236,"&gt;=0")=0,"", MIN(MAX(SUMPRODUCT('08 Exs'!F223:F236,'08 Exs'!$G223:$G236)*4/(SUM('08 Exs'!$G223:$G236) - SUMIF('08 Exs'!F223:F236,"X",'08 Exs'!$G223:$G236)),MAX('08 Exs'!AD223:AD236)),MIN('08 Exs'!AH223:AH236))))</f>
        <v/>
      </c>
      <c r="I195" s="1557">
        <f t="shared" si="33"/>
        <v>1</v>
      </c>
      <c r="J195" s="1557">
        <f>IF(I195="","",IF(IndG=3,MAX(I195,Obj_Projets!J195),MAX(I195,Obj_PA!D195)))</f>
        <v>1</v>
      </c>
      <c r="K195" s="1560">
        <f t="shared" si="34"/>
        <v>1</v>
      </c>
      <c r="L195" s="1650" t="str">
        <f t="shared" si="35"/>
        <v xml:space="preserve"> n'a pas démarré</v>
      </c>
      <c r="M195" s="154"/>
      <c r="N195" s="154"/>
      <c r="O195" s="154"/>
      <c r="P195" s="154"/>
      <c r="Q195" s="154"/>
      <c r="R195" s="154"/>
      <c r="S195" s="154"/>
      <c r="T195" s="154"/>
      <c r="U195" s="154"/>
      <c r="V195" s="154"/>
      <c r="W195" s="154"/>
      <c r="X195" s="154"/>
      <c r="Y195" s="154"/>
      <c r="Z195" s="154"/>
      <c r="AA195" s="154"/>
      <c r="AB195" s="154"/>
      <c r="AC195" s="154"/>
      <c r="AD195" s="154"/>
      <c r="AE195" s="154"/>
      <c r="AF195" s="154"/>
      <c r="AG195" s="154"/>
      <c r="AH195" s="154"/>
      <c r="AI195" s="154"/>
      <c r="AJ195" s="154"/>
      <c r="AK195" s="154"/>
      <c r="AL195" s="154"/>
      <c r="AM195" s="154"/>
      <c r="AN195" s="154"/>
      <c r="AO195" s="154"/>
      <c r="AP195" s="154"/>
      <c r="AQ195" s="154"/>
      <c r="AR195" s="154"/>
      <c r="AS195" s="154"/>
      <c r="AT195" s="154"/>
      <c r="AU195" s="154"/>
      <c r="AV195" s="154"/>
      <c r="AW195" s="154"/>
      <c r="AX195" s="154"/>
      <c r="AY195" s="154"/>
      <c r="AZ195" s="154"/>
      <c r="BA195" s="154"/>
      <c r="BB195" s="154"/>
      <c r="CI195" s="527">
        <f>IF(INDEX(Tab_actions,65,1)=1,INDEX(Tab_actions,65,4),0)</f>
        <v>0</v>
      </c>
    </row>
    <row r="196" spans="1:87" s="527" customFormat="1" ht="15.75" customHeight="1" outlineLevel="1" x14ac:dyDescent="0.2">
      <c r="A196" s="1212"/>
      <c r="B196" s="1212" t="s">
        <v>5965</v>
      </c>
      <c r="C196" s="1219" t="s">
        <v>5739</v>
      </c>
      <c r="D196" s="1562" t="s">
        <v>2767</v>
      </c>
      <c r="E196" s="1559" t="str">
        <f>IF(NOT('08 Exs'!C237 = ""),'08 Exs'!C237,IF(COUNTIF('08 Exs'!C238:C251,"&gt;=0")=0,"", MIN(MAX(SUMPRODUCT('08 Exs'!C238:C251,'08 Exs'!$G238:$G251)*4/(SUM('08 Exs'!$G238:$G251) - SUMIF('08 Exs'!C238:C251,"X",'08 Exs'!$G238:$G251)),MAX('08 Exs'!AA238:AA251)),MIN('08 Exs'!AE238:AE251))))</f>
        <v/>
      </c>
      <c r="F196" s="1559" t="str">
        <f>IF(NOT('08 Exs'!D237 = ""),'08 Exs'!D237,IF(COUNTIF('08 Exs'!D238:D251,"&gt;=0")=0,"", MIN(MAX(SUMPRODUCT('08 Exs'!D238:D251,'08 Exs'!$G238:$G251)*4/(SUM('08 Exs'!$G238:$G251) - SUMIF('08 Exs'!D238:D251,"X",'08 Exs'!$G238:$G251)),MAX('08 Exs'!AB238:AB251)),MIN('08 Exs'!AF238:AF251))))</f>
        <v/>
      </c>
      <c r="G196" s="1559" t="str">
        <f>IF(NOT('08 Exs'!E237 = ""),'08 Exs'!E237,IF(COUNTIF('08 Exs'!E238:E251,"&gt;=0")=0,"", MIN(MAX(SUMPRODUCT('08 Exs'!E238:E251,'08 Exs'!$G238:$G251)*4/(SUM('08 Exs'!$G238:$G251) - SUMIF('08 Exs'!E238:E251,"X",'08 Exs'!$G238:$G251)),MAX('08 Exs'!AC238:AC251)),MIN('08 Exs'!AG238:AG251))))</f>
        <v/>
      </c>
      <c r="H196" s="1559" t="str">
        <f>IF(NOT('08 Exs'!F237 = ""),'08 Exs'!F237,IF(COUNTIF('08 Exs'!F238:F251,"&gt;=0")=0,"", MIN(MAX(SUMPRODUCT('08 Exs'!F238:F251,'08 Exs'!$G238:$G251)*4/(SUM('08 Exs'!$G238:$G251) - SUMIF('08 Exs'!F238:F251,"X",'08 Exs'!$G238:$G251)),MAX('08 Exs'!AD238:AD251)),MIN('08 Exs'!AH238:AH251))))</f>
        <v/>
      </c>
      <c r="I196" s="1557">
        <f t="shared" si="33"/>
        <v>1</v>
      </c>
      <c r="J196" s="1557">
        <f>IF(I196="","",IF(IndG=3,MAX(I196,Obj_Projets!J196),MAX(I196,Obj_PA!D196)))</f>
        <v>1</v>
      </c>
      <c r="K196" s="1560">
        <f t="shared" si="34"/>
        <v>1</v>
      </c>
      <c r="L196" s="1650" t="str">
        <f t="shared" si="35"/>
        <v xml:space="preserve"> n'a pas démarré</v>
      </c>
      <c r="M196" s="154"/>
      <c r="N196" s="154"/>
      <c r="O196" s="154"/>
      <c r="P196" s="154"/>
      <c r="Q196" s="154"/>
      <c r="R196" s="154"/>
      <c r="S196" s="154"/>
      <c r="T196" s="154"/>
      <c r="U196" s="154"/>
      <c r="V196" s="154"/>
      <c r="W196" s="154"/>
      <c r="X196" s="154"/>
      <c r="Y196" s="154"/>
      <c r="Z196" s="154"/>
      <c r="AA196" s="154"/>
      <c r="AB196" s="154"/>
      <c r="AC196" s="154"/>
      <c r="AD196" s="154"/>
      <c r="AE196" s="154"/>
      <c r="AF196" s="154"/>
      <c r="AG196" s="154"/>
      <c r="AH196" s="154"/>
      <c r="AI196" s="154"/>
      <c r="AJ196" s="154"/>
      <c r="AK196" s="154"/>
      <c r="AL196" s="154"/>
      <c r="AM196" s="154"/>
      <c r="AN196" s="154"/>
      <c r="AO196" s="154"/>
      <c r="AP196" s="154"/>
      <c r="AQ196" s="154"/>
      <c r="AR196" s="154"/>
      <c r="AS196" s="154"/>
      <c r="AT196" s="154"/>
      <c r="AU196" s="154"/>
      <c r="AV196" s="154"/>
      <c r="AW196" s="154"/>
      <c r="AX196" s="154"/>
      <c r="AY196" s="154"/>
      <c r="AZ196" s="154"/>
      <c r="BA196" s="154"/>
      <c r="BB196" s="154"/>
    </row>
    <row r="197" spans="1:87" s="527" customFormat="1" ht="15.75" customHeight="1" outlineLevel="1" x14ac:dyDescent="0.2">
      <c r="A197" s="1212"/>
      <c r="B197" s="1212" t="s">
        <v>1992</v>
      </c>
      <c r="C197" s="1219" t="s">
        <v>1993</v>
      </c>
      <c r="D197" s="1562" t="s">
        <v>2627</v>
      </c>
      <c r="E197" s="1559" t="str">
        <f>IF(NOT('08 Exs'!C252 = ""),'08 Exs'!C252,IF(COUNTIF('08 Exs'!C253:C259,"&gt;=0")=0,"", MIN(MAX(SUMPRODUCT('08 Exs'!C253:C259,'08 Exs'!$G253:$G259)*4/(SUM('08 Exs'!$G253:$G259) - SUMIF('08 Exs'!C253:C259,"X",'08 Exs'!$G253:$G259)),MAX('08 Exs'!AA253:AA259)),MIN('08 Exs'!AE253:AE259))))</f>
        <v/>
      </c>
      <c r="F197" s="1559" t="str">
        <f>IF(NOT('08 Exs'!D252 = ""),'08 Exs'!D252,IF(COUNTIF('08 Exs'!D253:D259,"&gt;=0")=0,"", MIN(MAX(SUMPRODUCT('08 Exs'!D253:D259,'08 Exs'!$G253:$G259)*4/(SUM('08 Exs'!$G253:$G259) - SUMIF('08 Exs'!D253:D259,"X",'08 Exs'!$G253:$G259)),MAX('08 Exs'!AB253:AB259)),MIN('08 Exs'!AF253:AF259))))</f>
        <v/>
      </c>
      <c r="G197" s="1559" t="str">
        <f>IF(NOT('08 Exs'!E252 = ""),'08 Exs'!E252,IF(COUNTIF('08 Exs'!E253:E259,"&gt;=0")=0,"", MIN(MAX(SUMPRODUCT('08 Exs'!E253:E259,'08 Exs'!$G253:$G259)*4/(SUM('08 Exs'!$G253:$G259) - SUMIF('08 Exs'!E253:E259,"X",'08 Exs'!$G253:$G259)),MAX('08 Exs'!AC253:AC259)),MIN('08 Exs'!AG253:AG259))))</f>
        <v/>
      </c>
      <c r="H197" s="1559" t="str">
        <f>IF(NOT('08 Exs'!F252 = ""),'08 Exs'!F252,IF(COUNTIF('08 Exs'!F253:F259,"&gt;=0")=0,"", MIN(MAX(SUMPRODUCT('08 Exs'!F253:F259,'08 Exs'!$G253:$G259)*4/(SUM('08 Exs'!$G253:$G259) - SUMIF('08 Exs'!F253:F259,"X",'08 Exs'!$G253:$G259)),MAX('08 Exs'!AD253:AD259)),MIN('08 Exs'!AH253:AH259))))</f>
        <v/>
      </c>
      <c r="I197" s="1557">
        <f t="shared" si="33"/>
        <v>1</v>
      </c>
      <c r="J197" s="1557">
        <f>IF(I197="","",IF(IndG=3,MAX(I197,Obj_Projets!J197),MAX(I197,Obj_PA!D197)))</f>
        <v>1</v>
      </c>
      <c r="K197" s="1560">
        <f t="shared" si="34"/>
        <v>1</v>
      </c>
      <c r="L197" s="1650" t="str">
        <f t="shared" si="35"/>
        <v xml:space="preserve"> n'a pas démarré</v>
      </c>
      <c r="M197" s="154"/>
      <c r="N197" s="154"/>
      <c r="O197" s="154"/>
      <c r="P197" s="154"/>
      <c r="Q197" s="154"/>
      <c r="R197" s="154"/>
      <c r="S197" s="154"/>
      <c r="T197" s="154"/>
      <c r="U197" s="154"/>
      <c r="V197" s="154"/>
      <c r="W197" s="154"/>
      <c r="X197" s="154"/>
      <c r="Y197" s="154"/>
      <c r="Z197" s="154"/>
      <c r="AA197" s="154"/>
      <c r="AB197" s="154"/>
      <c r="AC197" s="154"/>
      <c r="AD197" s="154"/>
      <c r="AE197" s="154"/>
      <c r="AF197" s="154"/>
      <c r="AG197" s="154"/>
      <c r="AH197" s="154"/>
      <c r="AI197" s="154"/>
      <c r="AJ197" s="154"/>
      <c r="AK197" s="154"/>
      <c r="AL197" s="154"/>
      <c r="AM197" s="154"/>
      <c r="AN197" s="154"/>
      <c r="AO197" s="154"/>
      <c r="AP197" s="154"/>
      <c r="AQ197" s="154"/>
      <c r="AR197" s="154"/>
      <c r="AS197" s="154"/>
      <c r="AT197" s="154"/>
      <c r="AU197" s="154"/>
      <c r="AV197" s="154"/>
      <c r="AW197" s="154"/>
      <c r="AX197" s="154"/>
      <c r="AY197" s="154"/>
      <c r="AZ197" s="154"/>
      <c r="BA197" s="154"/>
      <c r="BB197" s="154"/>
      <c r="CG197" s="527">
        <f>IF(INDEX(Tab_actions,7,1)=1,INDEX(Tab_actions,7,6),0)</f>
        <v>0</v>
      </c>
    </row>
    <row r="198" spans="1:87" s="527" customFormat="1" ht="15.75" customHeight="1" outlineLevel="1" x14ac:dyDescent="0.2">
      <c r="A198" s="1212"/>
      <c r="B198" s="1212" t="s">
        <v>1994</v>
      </c>
      <c r="C198" s="1219" t="s">
        <v>4076</v>
      </c>
      <c r="D198" s="1562" t="s">
        <v>2771</v>
      </c>
      <c r="E198" s="1559" t="str">
        <f>IF(NOT('08 Exs'!C260 = ""),'08 Exs'!C260,IF(COUNTIF('08 Exs'!C261:C265,"&gt;=0")=0,"", MIN(MAX(SUMPRODUCT('08 Exs'!C261:C265,'08 Exs'!$G261:$G265)*4/(SUM('08 Exs'!$G261:$G265) - SUMIF('08 Exs'!C261:C265,"X",'08 Exs'!$G261:$G265)),MAX('08 Exs'!AA261:AA265)),MIN('08 Exs'!AE261:AE265))))</f>
        <v/>
      </c>
      <c r="F198" s="1559" t="str">
        <f>IF(NOT('08 Exs'!D260 = ""),'08 Exs'!D260,IF(COUNTIF('08 Exs'!D261:D265,"&gt;=0")=0,"", MIN(MAX(SUMPRODUCT('08 Exs'!D261:D265,'08 Exs'!$G261:$G265)*4/(SUM('08 Exs'!$G261:$G265) - SUMIF('08 Exs'!D261:D265,"X",'08 Exs'!$G261:$G265)),MAX('08 Exs'!AB261:AB265)),MIN('08 Exs'!AF261:AF265))))</f>
        <v/>
      </c>
      <c r="G198" s="1559" t="str">
        <f>IF(NOT('08 Exs'!E260 = ""),'08 Exs'!E260,IF(COUNTIF('08 Exs'!E261:E265,"&gt;=0")=0,"", MIN(MAX(SUMPRODUCT('08 Exs'!E261:E265,'08 Exs'!$G261:$G265)*4/(SUM('08 Exs'!$G261:$G265) - SUMIF('08 Exs'!E261:E265,"X",'08 Exs'!$G261:$G265)),MAX('08 Exs'!AC261:AC265)),MIN('08 Exs'!AG261:AG265))))</f>
        <v/>
      </c>
      <c r="H198" s="1559" t="str">
        <f>IF(NOT('08 Exs'!F260 = ""),'08 Exs'!F260,IF(COUNTIF('08 Exs'!F261:F265,"&gt;=0")=0,"", MIN(MAX(SUMPRODUCT('08 Exs'!F261:F265,'08 Exs'!$G261:$G265)*4/(SUM('08 Exs'!$G261:$G265) - SUMIF('08 Exs'!F261:F265,"X",'08 Exs'!$G261:$G265)),MAX('08 Exs'!AD261:AD265)),MIN('08 Exs'!AH261:AH265))))</f>
        <v/>
      </c>
      <c r="I198" s="1557">
        <f t="shared" si="33"/>
        <v>1</v>
      </c>
      <c r="J198" s="1557">
        <f>IF(I198="","",IF(IndG=3,MAX(I198,Obj_Projets!J198),MAX(I198,Obj_PA!D198)))</f>
        <v>1</v>
      </c>
      <c r="K198" s="1560">
        <f t="shared" si="34"/>
        <v>1</v>
      </c>
      <c r="L198" s="1650" t="str">
        <f t="shared" si="35"/>
        <v xml:space="preserve"> n'a pas démarré</v>
      </c>
      <c r="M198" s="154"/>
      <c r="N198" s="154"/>
      <c r="O198" s="154"/>
      <c r="P198" s="154"/>
      <c r="Q198" s="154"/>
      <c r="R198" s="154"/>
      <c r="S198" s="154"/>
      <c r="T198" s="154"/>
      <c r="U198" s="154"/>
      <c r="V198" s="154"/>
      <c r="W198" s="154"/>
      <c r="X198" s="154"/>
      <c r="Y198" s="154"/>
      <c r="Z198" s="154"/>
      <c r="AA198" s="154"/>
      <c r="AB198" s="154"/>
      <c r="AC198" s="154"/>
      <c r="AD198" s="154"/>
      <c r="AE198" s="154"/>
      <c r="AF198" s="154"/>
      <c r="AG198" s="154"/>
      <c r="AH198" s="154"/>
      <c r="AI198" s="154"/>
      <c r="AJ198" s="154"/>
      <c r="AK198" s="154"/>
      <c r="AL198" s="154"/>
      <c r="AM198" s="154"/>
      <c r="AN198" s="154"/>
      <c r="AO198" s="154"/>
      <c r="AP198" s="154"/>
      <c r="AQ198" s="154"/>
      <c r="AR198" s="154"/>
      <c r="AS198" s="154"/>
      <c r="AT198" s="154"/>
      <c r="AU198" s="154"/>
      <c r="AV198" s="154"/>
      <c r="AW198" s="154"/>
      <c r="AX198" s="154"/>
      <c r="AY198" s="154"/>
      <c r="AZ198" s="154"/>
      <c r="BA198" s="154"/>
      <c r="BB198" s="154"/>
    </row>
    <row r="199" spans="1:87" s="527" customFormat="1" ht="15.75" customHeight="1" outlineLevel="1" x14ac:dyDescent="0.2">
      <c r="A199" s="1212"/>
      <c r="B199" s="1212" t="s">
        <v>2514</v>
      </c>
      <c r="C199" s="1219" t="s">
        <v>5740</v>
      </c>
      <c r="D199" s="1562" t="s">
        <v>2769</v>
      </c>
      <c r="E199" s="1559" t="str">
        <f>IF(NOT('08 Exs'!C266 = ""),'08 Exs'!C266,IF(COUNTIF('08 Exs'!C267:C269,"&gt;=0")=0,"", MIN(MAX(SUMPRODUCT('08 Exs'!C267:C269,'08 Exs'!$G267:$G269)*4/(SUM('08 Exs'!$G267:$G269) - SUMIF('08 Exs'!C267:C269,"X",'08 Exs'!$G267:$G269)),MAX('08 Exs'!AA267:AA269)),MIN('08 Exs'!AE267:AE269))))</f>
        <v/>
      </c>
      <c r="F199" s="1559" t="str">
        <f>IF(NOT('08 Exs'!D266 = ""),'08 Exs'!D266,IF(COUNTIF('08 Exs'!D267:D269,"&gt;=0")=0,"", MIN(MAX(SUMPRODUCT('08 Exs'!D267:D269,'08 Exs'!$G267:$G269)*4/(SUM('08 Exs'!$G267:$G269) - SUMIF('08 Exs'!D267:D269,"X",'08 Exs'!$G267:$G269)),MAX('08 Exs'!AB267:AB269)),MIN('08 Exs'!AF267:AF269))))</f>
        <v/>
      </c>
      <c r="G199" s="1559" t="str">
        <f>IF(NOT('08 Exs'!E266 = ""),'08 Exs'!E266,IF(COUNTIF('08 Exs'!E267:E269,"&gt;=0")=0,"", MIN(MAX(SUMPRODUCT('08 Exs'!E267:E269,'08 Exs'!$G267:$G269)*4/(SUM('08 Exs'!$G267:$G269) - SUMIF('08 Exs'!E267:E269,"X",'08 Exs'!$G267:$G269)),MAX('08 Exs'!AC267:AC269)),MIN('08 Exs'!AG267:AG269))))</f>
        <v/>
      </c>
      <c r="H199" s="1559" t="str">
        <f>IF(NOT('08 Exs'!F266 = ""),'08 Exs'!F266,IF(COUNTIF('08 Exs'!F267:F269,"&gt;=0")=0,"", MIN(MAX(SUMPRODUCT('08 Exs'!F267:F269,'08 Exs'!$G267:$G269)*4/(SUM('08 Exs'!$G267:$G269) - SUMIF('08 Exs'!F267:F269,"X",'08 Exs'!$G267:$G269)),MAX('08 Exs'!AD267:AD269)),MIN('08 Exs'!AH267:AH269))))</f>
        <v/>
      </c>
      <c r="I199" s="1557">
        <f t="shared" si="33"/>
        <v>1</v>
      </c>
      <c r="J199" s="1557">
        <f>IF(I199="","",IF(IndG=3,MAX(I199,Obj_Projets!J199),MAX(I199,Obj_PA!D199)))</f>
        <v>1</v>
      </c>
      <c r="K199" s="1560">
        <f t="shared" si="34"/>
        <v>1</v>
      </c>
      <c r="L199" s="1650" t="str">
        <f t="shared" si="35"/>
        <v xml:space="preserve"> n'a pas démarré</v>
      </c>
      <c r="M199" s="154"/>
      <c r="N199" s="154"/>
      <c r="O199" s="154"/>
      <c r="P199" s="154"/>
      <c r="Q199" s="154"/>
      <c r="R199" s="154"/>
      <c r="S199" s="154"/>
      <c r="T199" s="154"/>
      <c r="U199" s="154"/>
      <c r="V199" s="154"/>
      <c r="W199" s="154"/>
      <c r="X199" s="154"/>
      <c r="Y199" s="154"/>
      <c r="Z199" s="154"/>
      <c r="AA199" s="154"/>
      <c r="AB199" s="154"/>
      <c r="AC199" s="154"/>
      <c r="AD199" s="154"/>
      <c r="AE199" s="154"/>
      <c r="AF199" s="154"/>
      <c r="AG199" s="154"/>
      <c r="AH199" s="154"/>
      <c r="AI199" s="154"/>
      <c r="AJ199" s="154"/>
      <c r="AK199" s="154"/>
      <c r="AL199" s="154"/>
      <c r="AM199" s="154"/>
      <c r="AN199" s="154"/>
      <c r="AO199" s="154"/>
      <c r="AP199" s="154"/>
      <c r="AQ199" s="154"/>
      <c r="AR199" s="154"/>
      <c r="AS199" s="154"/>
      <c r="AT199" s="154"/>
      <c r="AU199" s="154"/>
      <c r="AV199" s="154"/>
      <c r="AW199" s="154"/>
      <c r="AX199" s="154"/>
      <c r="AY199" s="154"/>
      <c r="AZ199" s="154"/>
      <c r="BA199" s="154"/>
      <c r="BB199" s="154"/>
    </row>
    <row r="200" spans="1:87" s="530" customFormat="1" ht="15.75" customHeight="1" outlineLevel="1" x14ac:dyDescent="0.2">
      <c r="A200" s="1212"/>
      <c r="B200" s="1212" t="s">
        <v>1324</v>
      </c>
      <c r="C200" s="1219" t="s">
        <v>1325</v>
      </c>
      <c r="D200" s="1562" t="s">
        <v>4246</v>
      </c>
      <c r="E200" s="1559" t="str">
        <f>IF(NOT('08 Exs'!C270 = ""),'08 Exs'!C270,IF(COUNTIF('08 Exs'!C271:C277,"&gt;=0")=0,"", MIN(MAX(SUMPRODUCT('08 Exs'!C271:C277,'08 Exs'!$G271:$G277)*4/(SUM('08 Exs'!$G271:$G277) - SUMIF('08 Exs'!C271:C277,"X",'08 Exs'!$G271:$G277)),MAX('08 Exs'!AA271:AA277)),MIN('08 Exs'!AE271:AE277))))</f>
        <v/>
      </c>
      <c r="F200" s="1559" t="str">
        <f>IF(NOT('08 Exs'!D270 = ""),'08 Exs'!D270,IF(COUNTIF('08 Exs'!D271:D277,"&gt;=0")=0,"", MIN(MAX(SUMPRODUCT('08 Exs'!D271:D277,'08 Exs'!$G271:$G277)*4/(SUM('08 Exs'!$G271:$G277) - SUMIF('08 Exs'!D271:D277,"X",'08 Exs'!$G271:$G277)),MAX('08 Exs'!AB271:AB277)),MIN('08 Exs'!AF271:AF277))))</f>
        <v/>
      </c>
      <c r="G200" s="1559" t="str">
        <f>IF(NOT('08 Exs'!E270 = ""),'08 Exs'!E270,IF(COUNTIF('08 Exs'!E271:E277,"&gt;=0")=0,"", MIN(MAX(SUMPRODUCT('08 Exs'!E271:E277,'08 Exs'!$G271:$G277)*4/(SUM('08 Exs'!$G271:$G277) - SUMIF('08 Exs'!E271:E277,"X",'08 Exs'!$G271:$G277)),MAX('08 Exs'!AC271:AC277)),MIN('08 Exs'!AG271:AG277))))</f>
        <v/>
      </c>
      <c r="H200" s="1559" t="str">
        <f>IF(NOT('08 Exs'!F270 = ""),'08 Exs'!F270,IF(COUNTIF('08 Exs'!F271:F277,"&gt;=0")=0,"", MIN(MAX(SUMPRODUCT('08 Exs'!F271:F277,'08 Exs'!$G271:$G277)*4/(SUM('08 Exs'!$G271:$G277) - SUMIF('08 Exs'!F271:F277,"X",'08 Exs'!$G271:$G277)),MAX('08 Exs'!AD271:AD277)),MIN('08 Exs'!AH271:AH277))))</f>
        <v/>
      </c>
      <c r="I200" s="1557">
        <f t="shared" si="33"/>
        <v>1</v>
      </c>
      <c r="J200" s="1557">
        <f>IF(I200="","",IF(IndG=3,MAX(I200,Obj_Projets!J200),MAX(I200,Obj_PA!D200)))</f>
        <v>1</v>
      </c>
      <c r="K200" s="1560">
        <f t="shared" si="34"/>
        <v>1</v>
      </c>
      <c r="L200" s="1654" t="str">
        <f t="shared" si="35"/>
        <v xml:space="preserve"> n'a pas démarré</v>
      </c>
      <c r="M200" s="529"/>
      <c r="N200" s="529"/>
      <c r="O200" s="529"/>
      <c r="P200" s="529"/>
      <c r="Q200" s="529"/>
      <c r="R200" s="529"/>
      <c r="S200" s="529"/>
      <c r="T200" s="529"/>
      <c r="U200" s="529"/>
      <c r="V200" s="529"/>
      <c r="W200" s="529"/>
      <c r="X200" s="529"/>
      <c r="Y200" s="529"/>
      <c r="Z200" s="529"/>
      <c r="AA200" s="529"/>
      <c r="AB200" s="529"/>
      <c r="AC200" s="529"/>
      <c r="AD200" s="529"/>
      <c r="AE200" s="529"/>
      <c r="AF200" s="529"/>
      <c r="AG200" s="529"/>
      <c r="AH200" s="529"/>
      <c r="AI200" s="529"/>
      <c r="AJ200" s="529"/>
      <c r="AK200" s="529"/>
      <c r="AL200" s="529"/>
      <c r="AM200" s="529"/>
      <c r="AN200" s="529"/>
      <c r="AO200" s="529"/>
      <c r="AP200" s="529"/>
      <c r="AQ200" s="529"/>
      <c r="AR200" s="529"/>
      <c r="AS200" s="529"/>
      <c r="AT200" s="529"/>
      <c r="AU200" s="529"/>
      <c r="AV200" s="529"/>
      <c r="AW200" s="529"/>
      <c r="AX200" s="529"/>
      <c r="AY200" s="529"/>
      <c r="AZ200" s="529"/>
      <c r="BA200" s="529"/>
      <c r="BB200" s="529"/>
    </row>
    <row r="201" spans="1:87" s="527" customFormat="1" ht="15.75" customHeight="1" outlineLevel="1" x14ac:dyDescent="0.2">
      <c r="A201" s="1212"/>
      <c r="B201" s="1213" t="s">
        <v>6821</v>
      </c>
      <c r="C201" s="1214" t="s">
        <v>6822</v>
      </c>
      <c r="D201" s="1554"/>
      <c r="E201" s="1559"/>
      <c r="F201" s="1559"/>
      <c r="G201" s="1559"/>
      <c r="H201" s="1559"/>
      <c r="I201" s="1561"/>
      <c r="J201" s="1561"/>
      <c r="K201" s="1561"/>
      <c r="L201" s="1650"/>
      <c r="M201" s="154"/>
      <c r="N201" s="154"/>
      <c r="O201" s="154"/>
      <c r="P201" s="154"/>
      <c r="Q201" s="154"/>
      <c r="R201" s="154"/>
      <c r="S201" s="154"/>
      <c r="T201" s="154"/>
      <c r="U201" s="154"/>
      <c r="V201" s="154"/>
      <c r="W201" s="154"/>
      <c r="X201" s="154"/>
      <c r="Y201" s="154"/>
      <c r="Z201" s="154"/>
      <c r="AA201" s="154"/>
      <c r="AB201" s="154"/>
      <c r="AC201" s="154"/>
      <c r="AD201" s="154"/>
      <c r="AE201" s="154"/>
      <c r="AF201" s="154"/>
      <c r="AG201" s="154"/>
      <c r="AH201" s="154"/>
      <c r="AI201" s="154"/>
      <c r="AJ201" s="154"/>
      <c r="AK201" s="154"/>
      <c r="AL201" s="154"/>
      <c r="AM201" s="154"/>
      <c r="AN201" s="154"/>
      <c r="AO201" s="154"/>
      <c r="AP201" s="154"/>
      <c r="AQ201" s="154"/>
      <c r="AR201" s="154"/>
      <c r="AS201" s="154"/>
      <c r="AT201" s="154"/>
      <c r="AU201" s="154"/>
      <c r="AV201" s="154"/>
      <c r="AW201" s="154"/>
      <c r="AX201" s="154"/>
      <c r="AY201" s="154"/>
      <c r="AZ201" s="154"/>
      <c r="BA201" s="154"/>
      <c r="BB201" s="154"/>
    </row>
    <row r="202" spans="1:87" s="527" customFormat="1" ht="15.75" customHeight="1" outlineLevel="1" x14ac:dyDescent="0.2">
      <c r="A202" s="1212"/>
      <c r="B202" s="1212" t="s">
        <v>2800</v>
      </c>
      <c r="C202" s="1219" t="s">
        <v>5741</v>
      </c>
      <c r="D202" s="1562" t="s">
        <v>2775</v>
      </c>
      <c r="E202" s="1559" t="str">
        <f>IF(NOT('08 Exs'!C279 = ""),'08 Exs'!C279,IF(COUNTIF('08 Exs'!C280:C288,"&gt;=0")=0,"", MIN(MAX(SUMPRODUCT('08 Exs'!C280:C288,'08 Exs'!$G280:$G288)*4/(SUM('08 Exs'!$G280:$G288) - SUMIF('08 Exs'!C280:C288,"X",'08 Exs'!$G280:$G288)),MAX('08 Exs'!AA280:AA288)),MIN('08 Exs'!AE280:AE288))))</f>
        <v/>
      </c>
      <c r="F202" s="1559" t="str">
        <f>IF(NOT('08 Exs'!D279 = ""),'08 Exs'!D279,IF(COUNTIF('08 Exs'!D280:D288,"&gt;=0")=0,"", MIN(MAX(SUMPRODUCT('08 Exs'!D280:D288,'08 Exs'!$G280:$G288)*4/(SUM('08 Exs'!$G280:$G288) - SUMIF('08 Exs'!D280:D288,"X",'08 Exs'!$G280:$G288)),MAX('08 Exs'!AB280:AB288)),MIN('08 Exs'!AF280:AF288))))</f>
        <v/>
      </c>
      <c r="G202" s="1559" t="str">
        <f>IF(NOT('08 Exs'!E279 = ""),'08 Exs'!E279,IF(COUNTIF('08 Exs'!E280:E288,"&gt;=0")=0,"", MIN(MAX(SUMPRODUCT('08 Exs'!E280:E288,'08 Exs'!$G280:$G288)*4/(SUM('08 Exs'!$G280:$G288) - SUMIF('08 Exs'!E280:E288,"X",'08 Exs'!$G280:$G288)),MAX('08 Exs'!AC280:AC288)),MIN('08 Exs'!AG280:AG288))))</f>
        <v/>
      </c>
      <c r="H202" s="1559" t="str">
        <f>IF(NOT('08 Exs'!F279 = ""),'08 Exs'!F279,IF(COUNTIF('08 Exs'!F280:F288,"&gt;=0")=0,"", MIN(MAX(SUMPRODUCT('08 Exs'!F280:F288,'08 Exs'!$G280:$G288)*4/(SUM('08 Exs'!$G280:$G288) - SUMIF('08 Exs'!F280:F288,"X",'08 Exs'!$G280:$G288)),MAX('08 Exs'!AD280:AD288)),MIN('08 Exs'!AH280:AH288))))</f>
        <v/>
      </c>
      <c r="I202" s="1557">
        <f>IF(AND(OR(E202="X",E202=""),OR(F202="X",F202=""),OR(G202="X",G202=""),OR(H202="X",H202="")),1,ROUND(MIN(IF(OR(E202="",E202="X"),4,E202),IF(OR(F202="",F202="X"),4,F202),IF(OR(G202="",G202="X"),4,G202),IF(OR(H202="",H202="X"),4,H202)),0))</f>
        <v>1</v>
      </c>
      <c r="J202" s="1557">
        <f>IF(I202="","",IF(IndG=3,MAX(I202,Obj_Projets!J202),MAX(I202,Obj_PA!D202)))</f>
        <v>1</v>
      </c>
      <c r="K202" s="1560">
        <f>IF(IF(OR(IndG=3,IndG=4),MAX(I202,J202),I202)&lt;1,1,IF(OR(IndG=3,IndG=4),MAX(I202,J202),I202))</f>
        <v>1</v>
      </c>
      <c r="L202" s="1650" t="str">
        <f>IF(E202=""," n'a pas démarré","")</f>
        <v xml:space="preserve"> n'a pas démarré</v>
      </c>
      <c r="M202" s="154"/>
      <c r="N202" s="154"/>
      <c r="O202" s="154"/>
      <c r="P202" s="154"/>
      <c r="Q202" s="154"/>
      <c r="R202" s="154"/>
      <c r="S202" s="154"/>
      <c r="T202" s="154"/>
      <c r="U202" s="154"/>
      <c r="V202" s="154"/>
      <c r="W202" s="154"/>
      <c r="X202" s="154"/>
      <c r="Y202" s="154"/>
      <c r="Z202" s="154"/>
      <c r="AA202" s="154"/>
      <c r="AB202" s="154"/>
      <c r="AC202" s="154"/>
      <c r="AD202" s="154"/>
      <c r="AE202" s="154"/>
      <c r="AF202" s="154"/>
      <c r="AG202" s="154"/>
      <c r="AH202" s="154"/>
      <c r="AI202" s="154"/>
      <c r="AJ202" s="154"/>
      <c r="AK202" s="154"/>
      <c r="AL202" s="154"/>
      <c r="AM202" s="154"/>
      <c r="AN202" s="154"/>
      <c r="AO202" s="154"/>
      <c r="AP202" s="154"/>
      <c r="AQ202" s="154"/>
      <c r="AR202" s="154"/>
      <c r="AS202" s="154"/>
      <c r="AT202" s="154"/>
      <c r="AU202" s="154"/>
      <c r="AV202" s="154"/>
      <c r="AW202" s="154"/>
      <c r="AX202" s="154"/>
      <c r="AY202" s="154"/>
      <c r="AZ202" s="154"/>
      <c r="BA202" s="154"/>
      <c r="BB202" s="154"/>
    </row>
    <row r="203" spans="1:87" s="527" customFormat="1" ht="15.75" customHeight="1" outlineLevel="1" x14ac:dyDescent="0.2">
      <c r="A203" s="1212"/>
      <c r="B203" s="1212" t="s">
        <v>1498</v>
      </c>
      <c r="C203" s="1219" t="s">
        <v>2531</v>
      </c>
      <c r="D203" s="1562" t="s">
        <v>2775</v>
      </c>
      <c r="E203" s="1559" t="str">
        <f>IF(NOT('08 Exs'!C289 = ""),'08 Exs'!C289,IF(COUNTIF('08 Exs'!C290:C298,"&gt;=0")=0,"", MIN(MAX(SUMPRODUCT('08 Exs'!C290:C298,'08 Exs'!$G290:$G298)*4/(SUM('08 Exs'!$G290:$G298) - SUMIF('08 Exs'!C290:C298,"X",'08 Exs'!$G290:$G298)),MAX('08 Exs'!AA290:AA298)),MIN('08 Exs'!AE290:AE298))))</f>
        <v/>
      </c>
      <c r="F203" s="1559" t="str">
        <f>IF(NOT('08 Exs'!D289 = ""),'08 Exs'!D289,IF(COUNTIF('08 Exs'!D290:D298,"&gt;=0")=0,"", MIN(MAX(SUMPRODUCT('08 Exs'!D290:D298,'08 Exs'!$G290:$G298)*4/(SUM('08 Exs'!$G290:$G298) - SUMIF('08 Exs'!D290:D298,"X",'08 Exs'!$G290:$G298)),MAX('08 Exs'!AB290:AB298)),MIN('08 Exs'!AF290:AF298))))</f>
        <v/>
      </c>
      <c r="G203" s="1559" t="str">
        <f>IF(NOT('08 Exs'!E289 = ""),'08 Exs'!E289,IF(COUNTIF('08 Exs'!E290:E298,"&gt;=0")=0,"", MIN(MAX(SUMPRODUCT('08 Exs'!E290:E298,'08 Exs'!$G290:$G298)*4/(SUM('08 Exs'!$G290:$G298) - SUMIF('08 Exs'!E290:E298,"X",'08 Exs'!$G290:$G298)),MAX('08 Exs'!AC290:AC298)),MIN('08 Exs'!AG290:AG298))))</f>
        <v/>
      </c>
      <c r="H203" s="1559" t="str">
        <f>IF(NOT('08 Exs'!F289 = ""),'08 Exs'!F289,IF(COUNTIF('08 Exs'!F290:F298,"&gt;=0")=0,"", MIN(MAX(SUMPRODUCT('08 Exs'!F290:F298,'08 Exs'!$G290:$G298)*4/(SUM('08 Exs'!$G290:$G298) - SUMIF('08 Exs'!F290:F298,"X",'08 Exs'!$G290:$G298)),MAX('08 Exs'!AD290:AD298)),MIN('08 Exs'!AH290:AH298))))</f>
        <v/>
      </c>
      <c r="I203" s="1557">
        <f>IF(AND(OR(E203="X",E203=""),OR(F203="X",F203=""),OR(G203="X",G203=""),OR(H203="X",H203="")),1,ROUND(MIN(IF(OR(E203="",E203="X"),4,E203),IF(OR(F203="",F203="X"),4,F203),IF(OR(G203="",G203="X"),4,G203),IF(OR(H203="",H203="X"),4,H203)),0))</f>
        <v>1</v>
      </c>
      <c r="J203" s="1557">
        <f>IF(I203="","",IF(IndG=3,MAX(I203,Obj_Projets!J203),MAX(I203,Obj_PA!D203)))</f>
        <v>1</v>
      </c>
      <c r="K203" s="1560">
        <f>IF(IF(OR(IndG=3,IndG=4),MAX(I203,J203),I203)&lt;1,1,IF(OR(IndG=3,IndG=4),MAX(I203,J203),I203))</f>
        <v>1</v>
      </c>
      <c r="L203" s="1650" t="str">
        <f>IF(E203=""," n'a pas démarré","")</f>
        <v xml:space="preserve"> n'a pas démarré</v>
      </c>
      <c r="M203" s="154"/>
      <c r="N203" s="154"/>
      <c r="O203" s="154"/>
      <c r="P203" s="154"/>
      <c r="Q203" s="154"/>
      <c r="R203" s="154"/>
      <c r="S203" s="154"/>
      <c r="T203" s="154"/>
      <c r="U203" s="154"/>
      <c r="V203" s="154"/>
      <c r="W203" s="154"/>
      <c r="X203" s="154"/>
      <c r="Y203" s="154"/>
      <c r="Z203" s="154"/>
      <c r="AA203" s="154"/>
      <c r="AB203" s="154"/>
      <c r="AC203" s="154"/>
      <c r="AD203" s="154"/>
      <c r="AE203" s="154"/>
      <c r="AF203" s="154"/>
      <c r="AG203" s="154"/>
      <c r="AH203" s="154"/>
      <c r="AI203" s="154"/>
      <c r="AJ203" s="154"/>
      <c r="AK203" s="154"/>
      <c r="AL203" s="154"/>
      <c r="AM203" s="154"/>
      <c r="AN203" s="154"/>
      <c r="AO203" s="154"/>
      <c r="AP203" s="154"/>
      <c r="AQ203" s="154"/>
      <c r="AR203" s="154"/>
      <c r="AS203" s="154"/>
      <c r="AT203" s="154"/>
      <c r="AU203" s="154"/>
      <c r="AV203" s="154"/>
      <c r="AW203" s="154"/>
      <c r="AX203" s="154"/>
      <c r="AY203" s="154"/>
      <c r="AZ203" s="154"/>
      <c r="BA203" s="154"/>
      <c r="BB203" s="154"/>
      <c r="CF203" s="527">
        <f>IF(INDEX(Tab_actions,16,1)=1,INDEX(Tab_actions,16,8),0)</f>
        <v>0</v>
      </c>
    </row>
    <row r="204" spans="1:87" s="527" customFormat="1" ht="15.75" customHeight="1" outlineLevel="1" x14ac:dyDescent="0.2">
      <c r="A204" s="1212"/>
      <c r="B204" s="1212" t="s">
        <v>2532</v>
      </c>
      <c r="C204" s="1219" t="s">
        <v>5146</v>
      </c>
      <c r="D204" s="1562" t="s">
        <v>2775</v>
      </c>
      <c r="E204" s="1559" t="str">
        <f>IF(NOT('08 Exs'!C299 = ""),'08 Exs'!C299,IF(COUNTIF('08 Exs'!C300:C307,"&gt;=0")=0,"", MIN(MAX(SUMPRODUCT('08 Exs'!C300:C307,'08 Exs'!$G300:$G307)*4/(SUM('08 Exs'!$G300:$G307) - SUMIF('08 Exs'!C300:C307,"X",'08 Exs'!$G300:$G307)),MAX('08 Exs'!AA300:AA307)),MIN('08 Exs'!AE300:AE307))))</f>
        <v/>
      </c>
      <c r="F204" s="1559" t="str">
        <f>IF(NOT('08 Exs'!D299 = ""),'08 Exs'!D299,IF(COUNTIF('08 Exs'!D300:D307,"&gt;=0")=0,"", MIN(MAX(SUMPRODUCT('08 Exs'!D300:D307,'08 Exs'!$G300:$G307)*4/(SUM('08 Exs'!$G300:$G307) - SUMIF('08 Exs'!D300:D307,"X",'08 Exs'!$G300:$G307)),MAX('08 Exs'!AB300:AB307)),MIN('08 Exs'!AF300:AF307))))</f>
        <v/>
      </c>
      <c r="G204" s="1559" t="str">
        <f>IF(NOT('08 Exs'!E299 = ""),'08 Exs'!E299,IF(COUNTIF('08 Exs'!E300:E307,"&gt;=0")=0,"", MIN(MAX(SUMPRODUCT('08 Exs'!E300:E307,'08 Exs'!$G300:$G307)*4/(SUM('08 Exs'!$G300:$G307) - SUMIF('08 Exs'!E300:E307,"X",'08 Exs'!$G300:$G307)),MAX('08 Exs'!AC300:AC307)),MIN('08 Exs'!AG300:AG307))))</f>
        <v/>
      </c>
      <c r="H204" s="1559" t="str">
        <f>IF(NOT('08 Exs'!F299 = ""),'08 Exs'!F299,IF(COUNTIF('08 Exs'!F300:F307,"&gt;=0")=0,"", MIN(MAX(SUMPRODUCT('08 Exs'!F300:F307,'08 Exs'!$G300:$G307)*4/(SUM('08 Exs'!$G300:$G307) - SUMIF('08 Exs'!F300:F307,"X",'08 Exs'!$G300:$G307)),MAX('08 Exs'!AD300:AD307)),MIN('08 Exs'!AH300:AH307))))</f>
        <v/>
      </c>
      <c r="I204" s="1557">
        <f>IF(AND(OR(E204="X",E204=""),OR(F204="X",F204=""),OR(G204="X",G204=""),OR(H204="X",H204="")),1,ROUND(MIN(IF(OR(E204="",E204="X"),4,E204),IF(OR(F204="",F204="X"),4,F204),IF(OR(G204="",G204="X"),4,G204),IF(OR(H204="",H204="X"),4,H204)),0))</f>
        <v>1</v>
      </c>
      <c r="J204" s="1557">
        <f>IF(I204="","",IF(IndG=3,MAX(I204,Obj_Projets!J204),MAX(I204,Obj_PA!D204)))</f>
        <v>1</v>
      </c>
      <c r="K204" s="1560">
        <f>IF(IF(OR(IndG=3,IndG=4),MAX(I204,J204),I204)&lt;1,1,IF(OR(IndG=3,IndG=4),MAX(I204,J204),I204))</f>
        <v>1</v>
      </c>
      <c r="L204" s="1650" t="str">
        <f>IF(E204=""," n'a pas démarré","")</f>
        <v xml:space="preserve"> n'a pas démarré</v>
      </c>
      <c r="M204" s="154"/>
      <c r="N204" s="154"/>
      <c r="O204" s="154"/>
      <c r="P204" s="154"/>
      <c r="Q204" s="154"/>
      <c r="R204" s="154"/>
      <c r="S204" s="154"/>
      <c r="T204" s="154"/>
      <c r="U204" s="154"/>
      <c r="V204" s="154"/>
      <c r="W204" s="154"/>
      <c r="X204" s="154"/>
      <c r="Y204" s="154"/>
      <c r="Z204" s="154"/>
      <c r="AA204" s="154"/>
      <c r="AB204" s="154"/>
      <c r="AC204" s="154"/>
      <c r="AD204" s="154"/>
      <c r="AE204" s="154"/>
      <c r="AF204" s="154"/>
      <c r="AG204" s="154"/>
      <c r="AH204" s="154"/>
      <c r="AI204" s="154"/>
      <c r="AJ204" s="154"/>
      <c r="AK204" s="154"/>
      <c r="AL204" s="154"/>
      <c r="AM204" s="154"/>
      <c r="AN204" s="154"/>
      <c r="AO204" s="154"/>
      <c r="AP204" s="154"/>
      <c r="AQ204" s="154"/>
      <c r="AR204" s="154"/>
      <c r="AS204" s="154"/>
      <c r="AT204" s="154"/>
      <c r="AU204" s="154"/>
      <c r="AV204" s="154"/>
      <c r="AW204" s="154"/>
      <c r="AX204" s="154"/>
      <c r="AY204" s="154"/>
      <c r="AZ204" s="154"/>
      <c r="BA204" s="154"/>
      <c r="BB204" s="154"/>
    </row>
    <row r="205" spans="1:87" s="527" customFormat="1" ht="15.75" customHeight="1" outlineLevel="1" x14ac:dyDescent="0.2">
      <c r="A205" s="1212"/>
      <c r="B205" s="1213" t="s">
        <v>4121</v>
      </c>
      <c r="C205" s="1214" t="s">
        <v>1026</v>
      </c>
      <c r="D205" s="1554"/>
      <c r="E205" s="1559"/>
      <c r="F205" s="1559"/>
      <c r="G205" s="1559"/>
      <c r="H205" s="1559"/>
      <c r="I205" s="1561"/>
      <c r="J205" s="1561"/>
      <c r="K205" s="1561"/>
      <c r="L205" s="1650"/>
      <c r="M205" s="154"/>
      <c r="N205" s="154"/>
      <c r="O205" s="154"/>
      <c r="P205" s="154"/>
      <c r="Q205" s="154"/>
      <c r="R205" s="154"/>
      <c r="S205" s="154"/>
      <c r="T205" s="154"/>
      <c r="U205" s="154"/>
      <c r="V205" s="154"/>
      <c r="W205" s="154"/>
      <c r="X205" s="154"/>
      <c r="Y205" s="154"/>
      <c r="Z205" s="154"/>
      <c r="AA205" s="154"/>
      <c r="AB205" s="154"/>
      <c r="AC205" s="154"/>
      <c r="AD205" s="154"/>
      <c r="AE205" s="154"/>
      <c r="AF205" s="154"/>
      <c r="AG205" s="154"/>
      <c r="AH205" s="154"/>
      <c r="AI205" s="154"/>
      <c r="AJ205" s="154"/>
      <c r="AK205" s="154"/>
      <c r="AL205" s="154"/>
      <c r="AM205" s="154"/>
      <c r="AN205" s="154"/>
      <c r="AO205" s="154"/>
      <c r="AP205" s="154"/>
      <c r="AQ205" s="154"/>
      <c r="AR205" s="154"/>
      <c r="AS205" s="154"/>
      <c r="AT205" s="154"/>
      <c r="AU205" s="154"/>
      <c r="AV205" s="154"/>
      <c r="AW205" s="154"/>
      <c r="AX205" s="154"/>
      <c r="AY205" s="154"/>
      <c r="AZ205" s="154"/>
      <c r="BA205" s="154"/>
      <c r="BB205" s="154"/>
    </row>
    <row r="206" spans="1:87" s="527" customFormat="1" ht="15.75" customHeight="1" outlineLevel="1" x14ac:dyDescent="0.2">
      <c r="A206" s="1212"/>
      <c r="B206" s="1212" t="s">
        <v>5147</v>
      </c>
      <c r="C206" s="1219" t="s">
        <v>4298</v>
      </c>
      <c r="D206" s="1562" t="s">
        <v>2625</v>
      </c>
      <c r="E206" s="1559" t="str">
        <f>IF(NOT('08 Exs'!C309 = ""),'08 Exs'!C309,IF(COUNTIF('08 Exs'!C310:C316,"&gt;=0")=0,"", MIN(MAX(SUMPRODUCT('08 Exs'!C310:C316,'08 Exs'!$G310:$G316)*4/(SUM('08 Exs'!$G310:$G316) - SUMIF('08 Exs'!C310:C316,"X",'08 Exs'!$G310:$G316)),MAX('08 Exs'!AA310:AA316)),MIN('08 Exs'!AE310:AE316))))</f>
        <v/>
      </c>
      <c r="F206" s="1559" t="str">
        <f>IF(NOT('08 Exs'!D309 = ""),'08 Exs'!D309,IF(COUNTIF('08 Exs'!D310:D316,"&gt;=0")=0,"", MIN(MAX(SUMPRODUCT('08 Exs'!D310:D316,'08 Exs'!$G310:$G316)*4/(SUM('08 Exs'!$G310:$G316) - SUMIF('08 Exs'!D310:D316,"X",'08 Exs'!$G310:$G316)),MAX('08 Exs'!AB310:AB316)),MIN('08 Exs'!AF310:AF316))))</f>
        <v/>
      </c>
      <c r="G206" s="1559" t="str">
        <f>IF(NOT('08 Exs'!E309 = ""),'08 Exs'!E309,IF(COUNTIF('08 Exs'!E310:E316,"&gt;=0")=0,"", MIN(MAX(SUMPRODUCT('08 Exs'!E310:E316,'08 Exs'!$G310:$G316)*4/(SUM('08 Exs'!$G310:$G316) - SUMIF('08 Exs'!E310:E316,"X",'08 Exs'!$G310:$G316)),MAX('08 Exs'!AC310:AC316)),MIN('08 Exs'!AG310:AG316))))</f>
        <v/>
      </c>
      <c r="H206" s="1559" t="str">
        <f>IF(NOT('08 Exs'!F309 = ""),'08 Exs'!F309,IF(COUNTIF('08 Exs'!F310:F316,"&gt;=0")=0,"", MIN(MAX(SUMPRODUCT('08 Exs'!F310:F316,'08 Exs'!$G310:$G316)*4/(SUM('08 Exs'!$G310:$G316) - SUMIF('08 Exs'!F310:F316,"X",'08 Exs'!$G310:$G316)),MAX('08 Exs'!AD310:AD316)),MIN('08 Exs'!AH310:AH316))))</f>
        <v/>
      </c>
      <c r="I206" s="1557">
        <f>IF(AND(OR(E206="X",E206=""),OR(F206="X",F206=""),OR(G206="X",G206=""),OR(H206="X",H206="")),1,ROUND(MIN(IF(OR(E206="",E206="X"),4,E206),IF(OR(F206="",F206="X"),4,F206),IF(OR(G206="",G206="X"),4,G206),IF(OR(H206="",H206="X"),4,H206)),0))</f>
        <v>1</v>
      </c>
      <c r="J206" s="1557">
        <f>IF(I206="","",IF(IndG=3,MAX(I206,Obj_Projets!J206),MAX(I206,Obj_PA!D206)))</f>
        <v>1</v>
      </c>
      <c r="K206" s="1560">
        <f>IF(IF(OR(IndG=3,IndG=4),MAX(I206,J206),I206)&lt;1,1,IF(OR(IndG=3,IndG=4),MAX(I206,J206),I206))</f>
        <v>1</v>
      </c>
      <c r="L206" s="1650" t="str">
        <f>IF(E206=""," n'a pas démarré","")</f>
        <v xml:space="preserve"> n'a pas démarré</v>
      </c>
      <c r="M206" s="154"/>
      <c r="N206" s="154"/>
      <c r="O206" s="154"/>
      <c r="P206" s="154"/>
      <c r="Q206" s="154"/>
      <c r="R206" s="154"/>
      <c r="S206" s="154"/>
      <c r="T206" s="154"/>
      <c r="U206" s="154"/>
      <c r="V206" s="154"/>
      <c r="W206" s="154"/>
      <c r="X206" s="154"/>
      <c r="Y206" s="154"/>
      <c r="Z206" s="154"/>
      <c r="AA206" s="154"/>
      <c r="AB206" s="154"/>
      <c r="AC206" s="154"/>
      <c r="AD206" s="154"/>
      <c r="AE206" s="154"/>
      <c r="AF206" s="154"/>
      <c r="AG206" s="154"/>
      <c r="AH206" s="154"/>
      <c r="AI206" s="154"/>
      <c r="AJ206" s="154"/>
      <c r="AK206" s="154"/>
      <c r="AL206" s="154"/>
      <c r="AM206" s="154"/>
      <c r="AN206" s="154"/>
      <c r="AO206" s="154"/>
      <c r="AP206" s="154"/>
      <c r="AQ206" s="154"/>
      <c r="AR206" s="154"/>
      <c r="AS206" s="154"/>
      <c r="AT206" s="154"/>
      <c r="AU206" s="154"/>
      <c r="AV206" s="154"/>
      <c r="AW206" s="154"/>
      <c r="AX206" s="154"/>
      <c r="AY206" s="154"/>
      <c r="AZ206" s="154"/>
      <c r="BA206" s="154"/>
      <c r="BB206" s="154"/>
    </row>
    <row r="207" spans="1:87" s="527" customFormat="1" ht="15.75" customHeight="1" outlineLevel="1" x14ac:dyDescent="0.2">
      <c r="A207" s="1212"/>
      <c r="B207" s="1212" t="s">
        <v>4299</v>
      </c>
      <c r="C207" s="1219" t="s">
        <v>1377</v>
      </c>
      <c r="D207" s="1562" t="s">
        <v>2625</v>
      </c>
      <c r="E207" s="1559" t="str">
        <f>IF(NOT('08 Exs'!C317 = ""),'08 Exs'!C317,IF(COUNTIF('08 Exs'!C318:C324,"&gt;=0")=0,"", MIN(MAX(SUMPRODUCT('08 Exs'!C318:C324,'08 Exs'!$G318:$G324)*4/(SUM('08 Exs'!$G318:$G324) - SUMIF('08 Exs'!C318:C324,"X",'08 Exs'!$G318:$G324)),MAX('08 Exs'!AA318:AA324)),MIN('08 Exs'!AE318:AE324))))</f>
        <v/>
      </c>
      <c r="F207" s="1559" t="str">
        <f>IF(NOT('08 Exs'!D317 = ""),'08 Exs'!D317,IF(COUNTIF('08 Exs'!D318:D324,"&gt;=0")=0,"", MIN(MAX(SUMPRODUCT('08 Exs'!D318:D324,'08 Exs'!$G318:$G324)*4/(SUM('08 Exs'!$G318:$G324) - SUMIF('08 Exs'!D318:D324,"X",'08 Exs'!$G318:$G324)),MAX('08 Exs'!AB318:AB324)),MIN('08 Exs'!AF318:AF324))))</f>
        <v/>
      </c>
      <c r="G207" s="1559" t="str">
        <f>IF(NOT('08 Exs'!E317 = ""),'08 Exs'!E317,IF(COUNTIF('08 Exs'!E318:E324,"&gt;=0")=0,"", MIN(MAX(SUMPRODUCT('08 Exs'!E318:E324,'08 Exs'!$G318:$G324)*4/(SUM('08 Exs'!$G318:$G324) - SUMIF('08 Exs'!E318:E324,"X",'08 Exs'!$G318:$G324)),MAX('08 Exs'!AC318:AC324)),MIN('08 Exs'!AG318:AG324))))</f>
        <v/>
      </c>
      <c r="H207" s="1559" t="str">
        <f>IF(NOT('08 Exs'!F317 = ""),'08 Exs'!F317,IF(COUNTIF('08 Exs'!F318:F324,"&gt;=0")=0,"", MIN(MAX(SUMPRODUCT('08 Exs'!F318:F324,'08 Exs'!$G318:$G324)*4/(SUM('08 Exs'!$G318:$G324) - SUMIF('08 Exs'!F318:F324,"X",'08 Exs'!$G318:$G324)),MAX('08 Exs'!AD318:AD324)),MIN('08 Exs'!AH318:AH324))))</f>
        <v/>
      </c>
      <c r="I207" s="1557">
        <f>IF(AND(OR(E207="X",E207=""),OR(F207="X",F207=""),OR(G207="X",G207=""),OR(H207="X",H207="")),1,ROUND(MIN(IF(OR(E207="",E207="X"),4,E207),IF(OR(F207="",F207="X"),4,F207),IF(OR(G207="",G207="X"),4,G207),IF(OR(H207="",H207="X"),4,H207)),0))</f>
        <v>1</v>
      </c>
      <c r="J207" s="1557">
        <f>IF(I207="","",IF(IndG=3,MAX(I207,Obj_Projets!J207),MAX(I207,Obj_PA!D207)))</f>
        <v>1</v>
      </c>
      <c r="K207" s="1560">
        <f>IF(IF(OR(IndG=3,IndG=4),MAX(I207,J207),I207)&lt;1,1,IF(OR(IndG=3,IndG=4),MAX(I207,J207),I207))</f>
        <v>1</v>
      </c>
      <c r="L207" s="1650" t="str">
        <f>IF(E207=""," n'a pas démarré","")</f>
        <v xml:space="preserve"> n'a pas démarré</v>
      </c>
      <c r="M207" s="154"/>
      <c r="N207" s="154"/>
      <c r="O207" s="154"/>
      <c r="P207" s="154"/>
      <c r="Q207" s="154"/>
      <c r="R207" s="154"/>
      <c r="S207" s="154"/>
      <c r="T207" s="154"/>
      <c r="U207" s="154"/>
      <c r="V207" s="154"/>
      <c r="W207" s="154"/>
      <c r="X207" s="154"/>
      <c r="Y207" s="154"/>
      <c r="Z207" s="154"/>
      <c r="AA207" s="154"/>
      <c r="AB207" s="154"/>
      <c r="AC207" s="154"/>
      <c r="AD207" s="154"/>
      <c r="AE207" s="154"/>
      <c r="AF207" s="154"/>
      <c r="AG207" s="154"/>
      <c r="AH207" s="154"/>
      <c r="AI207" s="154"/>
      <c r="AJ207" s="154"/>
      <c r="AK207" s="154"/>
      <c r="AL207" s="154"/>
      <c r="AM207" s="154"/>
      <c r="AN207" s="154"/>
      <c r="AO207" s="154"/>
      <c r="AP207" s="154"/>
      <c r="AQ207" s="154"/>
      <c r="AR207" s="154"/>
      <c r="AS207" s="154"/>
      <c r="AT207" s="154"/>
      <c r="AU207" s="154"/>
      <c r="AV207" s="154"/>
      <c r="AW207" s="154"/>
      <c r="AX207" s="154"/>
      <c r="AY207" s="154"/>
      <c r="AZ207" s="154"/>
      <c r="BA207" s="154"/>
      <c r="BB207" s="154"/>
      <c r="CF207" s="527">
        <f>IF(INDEX(Tab_actions,16,1)=1,INDEX(Tab_actions,16,10),0)</f>
        <v>0</v>
      </c>
      <c r="CG207" s="527">
        <f>IF(INDEX(Tab_actions,80,1)=1,INDEX(Tab_actions,80,4),0)</f>
        <v>0</v>
      </c>
    </row>
    <row r="208" spans="1:87" s="527" customFormat="1" ht="15.75" customHeight="1" outlineLevel="1" x14ac:dyDescent="0.2">
      <c r="A208" s="1212"/>
      <c r="B208" s="1212" t="s">
        <v>4300</v>
      </c>
      <c r="C208" s="1219" t="s">
        <v>4659</v>
      </c>
      <c r="D208" s="1562" t="s">
        <v>2775</v>
      </c>
      <c r="E208" s="1559" t="str">
        <f>IF(NOT('08 Exs'!C325 = ""),'08 Exs'!C325,IF(COUNTIF('08 Exs'!C326:C334,"&gt;=0")=0,"", MIN(MAX(SUMPRODUCT('08 Exs'!C326:C334,'08 Exs'!$G326:$G334)*4/(SUM('08 Exs'!$G326:$G334) - SUMIF('08 Exs'!C326:C334,"X",'08 Exs'!$G326:$G334)),MAX('08 Exs'!AA326:AA334)),MIN('08 Exs'!AE326:AE334))))</f>
        <v/>
      </c>
      <c r="F208" s="1559" t="str">
        <f>IF(NOT('08 Exs'!D325 = ""),'08 Exs'!D325,IF(COUNTIF('08 Exs'!D326:D334,"&gt;=0")=0,"", MIN(MAX(SUMPRODUCT('08 Exs'!D326:D334,'08 Exs'!$G326:$G334)*4/(SUM('08 Exs'!$G326:$G334) - SUMIF('08 Exs'!D326:D334,"X",'08 Exs'!$G326:$G334)),MAX('08 Exs'!AB326:AB334)),MIN('08 Exs'!AF326:AF334))))</f>
        <v/>
      </c>
      <c r="G208" s="1559" t="str">
        <f>IF(NOT('08 Exs'!E325 = ""),'08 Exs'!E325,IF(COUNTIF('08 Exs'!E326:E334,"&gt;=0")=0,"", MIN(MAX(SUMPRODUCT('08 Exs'!E326:E334,'08 Exs'!$G326:$G334)*4/(SUM('08 Exs'!$G326:$G334) - SUMIF('08 Exs'!E326:E334,"X",'08 Exs'!$G326:$G334)),MAX('08 Exs'!AC326:AC334)),MIN('08 Exs'!AG326:AG334))))</f>
        <v/>
      </c>
      <c r="H208" s="1559" t="str">
        <f>IF(NOT('08 Exs'!F325 = ""),'08 Exs'!F325,IF(COUNTIF('08 Exs'!F326:F334,"&gt;=0")=0,"", MIN(MAX(SUMPRODUCT('08 Exs'!F326:F334,'08 Exs'!$G326:$G334)*4/(SUM('08 Exs'!$G326:$G334) - SUMIF('08 Exs'!F326:F334,"X",'08 Exs'!$G326:$G334)),MAX('08 Exs'!AD326:AD334)),MIN('08 Exs'!AH326:AH334))))</f>
        <v/>
      </c>
      <c r="I208" s="1557">
        <f>IF(AND(OR(E208="X",E208=""),OR(F208="X",F208=""),OR(G208="X",G208=""),OR(H208="X",H208="")),1,ROUND(MIN(IF(OR(E208="",E208="X"),4,E208),IF(OR(F208="",F208="X"),4,F208),IF(OR(G208="",G208="X"),4,G208),IF(OR(H208="",H208="X"),4,H208)),0))</f>
        <v>1</v>
      </c>
      <c r="J208" s="1557">
        <f>IF(I208="","",IF(IndG=3,MAX(I208,Obj_Projets!J208),MAX(I208,Obj_PA!D208)))</f>
        <v>1</v>
      </c>
      <c r="K208" s="1560">
        <f>IF(IF(OR(IndG=3,IndG=4),MAX(I208,J208),I208)&lt;1,1,IF(OR(IndG=3,IndG=4),MAX(I208,J208),I208))</f>
        <v>1</v>
      </c>
      <c r="L208" s="1650" t="str">
        <f>IF(E208=""," n'a pas démarré","")</f>
        <v xml:space="preserve"> n'a pas démarré</v>
      </c>
      <c r="M208" s="154"/>
      <c r="N208" s="154"/>
      <c r="O208" s="154"/>
      <c r="P208" s="154"/>
      <c r="Q208" s="154"/>
      <c r="R208" s="154"/>
      <c r="S208" s="154"/>
      <c r="T208" s="154"/>
      <c r="U208" s="154"/>
      <c r="V208" s="154"/>
      <c r="W208" s="154"/>
      <c r="X208" s="154"/>
      <c r="Y208" s="154"/>
      <c r="Z208" s="154"/>
      <c r="AA208" s="154"/>
      <c r="AB208" s="154"/>
      <c r="AC208" s="154"/>
      <c r="AD208" s="154"/>
      <c r="AE208" s="154"/>
      <c r="AF208" s="154"/>
      <c r="AG208" s="154"/>
      <c r="AH208" s="154"/>
      <c r="AI208" s="154"/>
      <c r="AJ208" s="154"/>
      <c r="AK208" s="154"/>
      <c r="AL208" s="154"/>
      <c r="AM208" s="154"/>
      <c r="AN208" s="154"/>
      <c r="AO208" s="154"/>
      <c r="AP208" s="154"/>
      <c r="AQ208" s="154"/>
      <c r="AR208" s="154"/>
      <c r="AS208" s="154"/>
      <c r="AT208" s="154"/>
      <c r="AU208" s="154"/>
      <c r="AV208" s="154"/>
      <c r="AW208" s="154"/>
      <c r="AX208" s="154"/>
      <c r="AY208" s="154"/>
      <c r="AZ208" s="154"/>
      <c r="BA208" s="154"/>
      <c r="BB208" s="154"/>
      <c r="CF208" s="527">
        <f>IF(INDEX(Tab_actions,16,1)=1,INDEX(Tab_actions,16,12),0)</f>
        <v>0</v>
      </c>
      <c r="CG208" s="527">
        <f>IF(INDEX(Tab_actions,80,1)=1,INDEX(Tab_actions,80,6),0)</f>
        <v>0</v>
      </c>
    </row>
    <row r="209" spans="1:87" s="527" customFormat="1" ht="15.75" customHeight="1" outlineLevel="1" x14ac:dyDescent="0.2">
      <c r="A209" s="1212"/>
      <c r="B209" s="1213" t="s">
        <v>1731</v>
      </c>
      <c r="C209" s="1214" t="s">
        <v>1732</v>
      </c>
      <c r="D209" s="1554"/>
      <c r="E209" s="1559"/>
      <c r="F209" s="1559"/>
      <c r="G209" s="1559"/>
      <c r="H209" s="1559"/>
      <c r="I209" s="1561"/>
      <c r="J209" s="1561"/>
      <c r="K209" s="1561"/>
      <c r="L209" s="1650"/>
      <c r="M209" s="154"/>
      <c r="N209" s="154"/>
      <c r="O209" s="154"/>
      <c r="P209" s="154"/>
      <c r="Q209" s="154"/>
      <c r="R209" s="154"/>
      <c r="S209" s="154"/>
      <c r="T209" s="154"/>
      <c r="U209" s="154"/>
      <c r="V209" s="154"/>
      <c r="W209" s="154"/>
      <c r="X209" s="154"/>
      <c r="Y209" s="154"/>
      <c r="Z209" s="154"/>
      <c r="AA209" s="154"/>
      <c r="AB209" s="154"/>
      <c r="AC209" s="154"/>
      <c r="AD209" s="154"/>
      <c r="AE209" s="154"/>
      <c r="AF209" s="154"/>
      <c r="AG209" s="154"/>
      <c r="AH209" s="154"/>
      <c r="AI209" s="154"/>
      <c r="AJ209" s="154"/>
      <c r="AK209" s="154"/>
      <c r="AL209" s="154"/>
      <c r="AM209" s="154"/>
      <c r="AN209" s="154"/>
      <c r="AO209" s="154"/>
      <c r="AP209" s="154"/>
      <c r="AQ209" s="154"/>
      <c r="AR209" s="154"/>
      <c r="AS209" s="154"/>
      <c r="AT209" s="154"/>
      <c r="AU209" s="154"/>
      <c r="AV209" s="154"/>
      <c r="AW209" s="154"/>
      <c r="AX209" s="154"/>
      <c r="AY209" s="154"/>
      <c r="AZ209" s="154"/>
      <c r="BA209" s="154"/>
      <c r="BB209" s="154"/>
    </row>
    <row r="210" spans="1:87" s="527" customFormat="1" ht="15.75" customHeight="1" outlineLevel="1" x14ac:dyDescent="0.2">
      <c r="A210" s="1212"/>
      <c r="B210" s="1212" t="s">
        <v>4301</v>
      </c>
      <c r="C210" s="1219" t="s">
        <v>4579</v>
      </c>
      <c r="D210" s="1569" t="s">
        <v>6359</v>
      </c>
      <c r="E210" s="1559" t="str">
        <f>IF(NOT('08 Exs'!C336 = ""),'08 Exs'!C336,IF(COUNTIF('08 Exs'!C337:C340,"&gt;=0")=0,"", MIN(MAX(SUMPRODUCT('08 Exs'!C337:C340,'08 Exs'!$G337:$G340)*4/(SUM('08 Exs'!$G337:$G340) - SUMIF('08 Exs'!C337:C340,"X",'08 Exs'!$G337:$G340)),MAX('08 Exs'!AA337:AA340)),MIN('08 Exs'!AE337:AE340))))</f>
        <v/>
      </c>
      <c r="F210" s="1559" t="str">
        <f>IF(NOT('08 Exs'!D336 = ""),'08 Exs'!D336,IF(COUNTIF('08 Exs'!D337:D340,"&gt;=0")=0,"", MIN(MAX(SUMPRODUCT('08 Exs'!D337:D340,'08 Exs'!$G337:$G340)*4/(SUM('08 Exs'!$G337:$G340) - SUMIF('08 Exs'!D337:D340,"X",'08 Exs'!$G337:$G340)),MAX('08 Exs'!AB337:AB340)),MIN('08 Exs'!AF337:AF340))))</f>
        <v/>
      </c>
      <c r="G210" s="1559" t="str">
        <f>IF(NOT('08 Exs'!E336 = ""),'08 Exs'!E336,IF(COUNTIF('08 Exs'!E337:E340,"&gt;=0")=0,"", MIN(MAX(SUMPRODUCT('08 Exs'!E337:E340,'08 Exs'!$G337:$G340)*4/(SUM('08 Exs'!$G337:$G340) - SUMIF('08 Exs'!E337:E340,"X",'08 Exs'!$G337:$G340)),MAX('08 Exs'!AC337:AC340)),MIN('08 Exs'!AG337:AG340))))</f>
        <v/>
      </c>
      <c r="H210" s="1559" t="str">
        <f>IF(NOT('08 Exs'!F336 = ""),'08 Exs'!F336,IF(COUNTIF('08 Exs'!F337:F340,"&gt;=0")=0,"", MIN(MAX(SUMPRODUCT('08 Exs'!F337:F340,'08 Exs'!$G337:$G340)*4/(SUM('08 Exs'!$G337:$G340) - SUMIF('08 Exs'!F337:F340,"X",'08 Exs'!$G337:$G340)),MAX('08 Exs'!AD337:AD340)),MIN('08 Exs'!AH337:AH340))))</f>
        <v/>
      </c>
      <c r="I210" s="1557">
        <f>IF(AND(OR(E210="X",E210=""),OR(F210="X",F210=""),OR(G210="X",G210=""),OR(H210="X",H210="")),1,ROUND(MIN(IF(OR(E210="",E210="X"),4,E210),IF(OR(F210="",F210="X"),4,F210),IF(OR(G210="",G210="X"),4,G210),IF(OR(H210="",H210="X"),4,H210)),0))</f>
        <v>1</v>
      </c>
      <c r="J210" s="1557">
        <f>IF(I210="","",IF(IndG=3,MAX(I210,Obj_Projets!J210),MAX(I210,Obj_PA!D210)))</f>
        <v>1</v>
      </c>
      <c r="K210" s="1560">
        <f>IF(IF(OR(IndG=3,IndG=4),MAX(I210,J210),I210)&lt;1,1,IF(OR(IndG=3,IndG=4),MAX(I210,J210),I210))</f>
        <v>1</v>
      </c>
      <c r="L210" s="1650" t="str">
        <f>IF(E210=""," n'a pas démarré","")</f>
        <v xml:space="preserve"> n'a pas démarré</v>
      </c>
      <c r="M210" s="154"/>
      <c r="N210" s="154"/>
      <c r="O210" s="154"/>
      <c r="P210" s="154"/>
      <c r="Q210" s="154"/>
      <c r="R210" s="154"/>
      <c r="S210" s="154"/>
      <c r="T210" s="154"/>
      <c r="U210" s="154"/>
      <c r="V210" s="154"/>
      <c r="W210" s="154"/>
      <c r="X210" s="154"/>
      <c r="Y210" s="154"/>
      <c r="Z210" s="154"/>
      <c r="AA210" s="154"/>
      <c r="AB210" s="154"/>
      <c r="AC210" s="154"/>
      <c r="AD210" s="154"/>
      <c r="AE210" s="154"/>
      <c r="AF210" s="154"/>
      <c r="AG210" s="154"/>
      <c r="AH210" s="154"/>
      <c r="AI210" s="154"/>
      <c r="AJ210" s="154"/>
      <c r="AK210" s="154"/>
      <c r="AL210" s="154"/>
      <c r="AM210" s="154"/>
      <c r="AN210" s="154"/>
      <c r="AO210" s="154"/>
      <c r="AP210" s="154"/>
      <c r="AQ210" s="154"/>
      <c r="AR210" s="154"/>
      <c r="AS210" s="154"/>
      <c r="AT210" s="154"/>
      <c r="AU210" s="154"/>
      <c r="AV210" s="154"/>
      <c r="AW210" s="154"/>
      <c r="AX210" s="154"/>
      <c r="AY210" s="154"/>
      <c r="AZ210" s="154"/>
      <c r="BA210" s="154"/>
      <c r="BB210" s="154"/>
    </row>
    <row r="211" spans="1:87" s="527" customFormat="1" ht="15.75" customHeight="1" outlineLevel="1" x14ac:dyDescent="0.2">
      <c r="A211" s="1212"/>
      <c r="B211" s="1212" t="s">
        <v>4302</v>
      </c>
      <c r="C211" s="1219" t="s">
        <v>4580</v>
      </c>
      <c r="D211" s="1569" t="s">
        <v>6359</v>
      </c>
      <c r="E211" s="1559" t="str">
        <f>IF(NOT('08 Exs'!C341 = ""),'08 Exs'!C341,IF(COUNTIF('08 Exs'!C342:C344,"&gt;=0")=0,"", MIN(MAX(SUMPRODUCT('08 Exs'!C342:C344,'08 Exs'!$G342:$G344)*4/(SUM('08 Exs'!$G342:$G344) - SUMIF('08 Exs'!C342:C344,"X",'08 Exs'!$G342:$G344)),MAX('08 Exs'!AA342:AA344)),MIN('08 Exs'!AE342:AE344))))</f>
        <v/>
      </c>
      <c r="F211" s="1559" t="str">
        <f>IF(NOT('08 Exs'!D341 = ""),'08 Exs'!D341,IF(COUNTIF('08 Exs'!D342:D344,"&gt;=0")=0,"", MIN(MAX(SUMPRODUCT('08 Exs'!D342:D344,'08 Exs'!$G342:$G344)*4/(SUM('08 Exs'!$G342:$G344) - SUMIF('08 Exs'!D342:D344,"X",'08 Exs'!$G342:$G344)),MAX('08 Exs'!AB342:AB344)),MIN('08 Exs'!AF342:AF344))))</f>
        <v/>
      </c>
      <c r="G211" s="1559" t="str">
        <f>IF(NOT('08 Exs'!E341 = ""),'08 Exs'!E341,IF(COUNTIF('08 Exs'!E342:E344,"&gt;=0")=0,"", MIN(MAX(SUMPRODUCT('08 Exs'!E342:E344,'08 Exs'!$G342:$G344)*4/(SUM('08 Exs'!$G342:$G344) - SUMIF('08 Exs'!E342:E344,"X",'08 Exs'!$G342:$G344)),MAX('08 Exs'!AC342:AC344)),MIN('08 Exs'!AG342:AG344))))</f>
        <v/>
      </c>
      <c r="H211" s="1559" t="str">
        <f>IF(NOT('08 Exs'!F341 = ""),'08 Exs'!F341,IF(COUNTIF('08 Exs'!F342:F344,"&gt;=0")=0,"", MIN(MAX(SUMPRODUCT('08 Exs'!F342:F344,'08 Exs'!$G342:$G344)*4/(SUM('08 Exs'!$G342:$G344) - SUMIF('08 Exs'!F342:F344,"X",'08 Exs'!$G342:$G344)),MAX('08 Exs'!AD342:AD344)),MIN('08 Exs'!AH342:AH344))))</f>
        <v/>
      </c>
      <c r="I211" s="1557">
        <f>IF(AND(OR(E211="X",E211=""),OR(F211="X",F211=""),OR(G211="X",G211=""),OR(H211="X",H211="")),1,ROUND(MIN(IF(OR(E211="",E211="X"),4,E211),IF(OR(F211="",F211="X"),4,F211),IF(OR(G211="",G211="X"),4,G211),IF(OR(H211="",H211="X"),4,H211)),0))</f>
        <v>1</v>
      </c>
      <c r="J211" s="1557">
        <f>IF(I211="","",IF(IndG=3,MAX(I211,Obj_Projets!J211),MAX(I211,Obj_PA!D211)))</f>
        <v>1</v>
      </c>
      <c r="K211" s="1560">
        <f>IF(IF(OR(IndG=3,IndG=4),MAX(I211,J211),I211)&lt;1,1,IF(OR(IndG=3,IndG=4),MAX(I211,J211),I211))</f>
        <v>1</v>
      </c>
      <c r="L211" s="1650" t="str">
        <f>IF(E211=""," n'a pas démarré","")</f>
        <v xml:space="preserve"> n'a pas démarré</v>
      </c>
      <c r="M211" s="154"/>
      <c r="N211" s="154"/>
      <c r="O211" s="154"/>
      <c r="P211" s="154"/>
      <c r="Q211" s="154"/>
      <c r="R211" s="154"/>
      <c r="S211" s="154"/>
      <c r="T211" s="154"/>
      <c r="U211" s="154"/>
      <c r="V211" s="154"/>
      <c r="W211" s="154"/>
      <c r="X211" s="154"/>
      <c r="Y211" s="154"/>
      <c r="Z211" s="154"/>
      <c r="AA211" s="154"/>
      <c r="AB211" s="154"/>
      <c r="AC211" s="154"/>
      <c r="AD211" s="154"/>
      <c r="AE211" s="154"/>
      <c r="AF211" s="154"/>
      <c r="AG211" s="154"/>
      <c r="AH211" s="154"/>
      <c r="AI211" s="154"/>
      <c r="AJ211" s="154"/>
      <c r="AK211" s="154"/>
      <c r="AL211" s="154"/>
      <c r="AM211" s="154"/>
      <c r="AN211" s="154"/>
      <c r="AO211" s="154"/>
      <c r="AP211" s="154"/>
      <c r="AQ211" s="154"/>
      <c r="AR211" s="154"/>
      <c r="AS211" s="154"/>
      <c r="AT211" s="154"/>
      <c r="AU211" s="154"/>
      <c r="AV211" s="154"/>
      <c r="AW211" s="154"/>
      <c r="AX211" s="154"/>
      <c r="AY211" s="154"/>
      <c r="AZ211" s="154"/>
      <c r="BA211" s="154"/>
      <c r="BB211" s="154"/>
    </row>
    <row r="212" spans="1:87" s="527" customFormat="1" ht="15.75" customHeight="1" outlineLevel="1" x14ac:dyDescent="0.2">
      <c r="A212" s="1212"/>
      <c r="B212" s="1213" t="s">
        <v>1741</v>
      </c>
      <c r="C212" s="1214" t="s">
        <v>1138</v>
      </c>
      <c r="D212" s="1554"/>
      <c r="E212" s="1559"/>
      <c r="F212" s="1559"/>
      <c r="G212" s="1559"/>
      <c r="H212" s="1559"/>
      <c r="I212" s="1561"/>
      <c r="J212" s="1561"/>
      <c r="K212" s="1561"/>
      <c r="L212" s="1650"/>
      <c r="M212" s="154"/>
      <c r="N212" s="154"/>
      <c r="O212" s="154"/>
      <c r="P212" s="154"/>
      <c r="Q212" s="154"/>
      <c r="R212" s="154"/>
      <c r="S212" s="154"/>
      <c r="T212" s="154"/>
      <c r="U212" s="154"/>
      <c r="V212" s="154"/>
      <c r="W212" s="154"/>
      <c r="X212" s="154"/>
      <c r="Y212" s="154"/>
      <c r="Z212" s="154"/>
      <c r="AA212" s="154"/>
      <c r="AB212" s="154"/>
      <c r="AC212" s="154"/>
      <c r="AD212" s="154"/>
      <c r="AE212" s="154"/>
      <c r="AF212" s="154"/>
      <c r="AG212" s="154"/>
      <c r="AH212" s="154"/>
      <c r="AI212" s="154"/>
      <c r="AJ212" s="154"/>
      <c r="AK212" s="154"/>
      <c r="AL212" s="154"/>
      <c r="AM212" s="154"/>
      <c r="AN212" s="154"/>
      <c r="AO212" s="154"/>
      <c r="AP212" s="154"/>
      <c r="AQ212" s="154"/>
      <c r="AR212" s="154"/>
      <c r="AS212" s="154"/>
      <c r="AT212" s="154"/>
      <c r="AU212" s="154"/>
      <c r="AV212" s="154"/>
      <c r="AW212" s="154"/>
      <c r="AX212" s="154"/>
      <c r="AY212" s="154"/>
      <c r="AZ212" s="154"/>
      <c r="BA212" s="154"/>
      <c r="BB212" s="154"/>
    </row>
    <row r="213" spans="1:87" s="527" customFormat="1" ht="15.75" customHeight="1" outlineLevel="1" x14ac:dyDescent="0.2">
      <c r="A213" s="1212"/>
      <c r="B213" s="1212" t="s">
        <v>4253</v>
      </c>
      <c r="C213" s="1219" t="s">
        <v>5564</v>
      </c>
      <c r="D213" s="1562" t="s">
        <v>1592</v>
      </c>
      <c r="E213" s="1559" t="str">
        <f>IF(NOT('08 Exs'!C346 = ""),'08 Exs'!C346,IF(COUNTIF('08 Exs'!C347:C357,"&gt;=0")=0,"", MIN(MAX(SUMPRODUCT('08 Exs'!C347:C357,'08 Exs'!$G347:$G357)*4/(SUM('08 Exs'!$G347:$G357) - SUMIF('08 Exs'!C347:C357,"X",'08 Exs'!$G347:$G357)),MAX('08 Exs'!AA347:AA357)),MIN('08 Exs'!AE347:AE357))))</f>
        <v/>
      </c>
      <c r="F213" s="1559" t="str">
        <f>IF(NOT('08 Exs'!D346 = ""),'08 Exs'!D346,IF(COUNTIF('08 Exs'!D347:D357,"&gt;=0")=0,"", MIN(MAX(SUMPRODUCT('08 Exs'!D347:D357,'08 Exs'!$G347:$G357)*4/(SUM('08 Exs'!$G347:$G357) - SUMIF('08 Exs'!D347:D357,"X",'08 Exs'!$G347:$G357)),MAX('08 Exs'!AB347:AB357)),MIN('08 Exs'!AF347:AF357))))</f>
        <v/>
      </c>
      <c r="G213" s="1559" t="str">
        <f>IF(NOT('08 Exs'!E346 = ""),'08 Exs'!E346,IF(COUNTIF('08 Exs'!E347:E357,"&gt;=0")=0,"", MIN(MAX(SUMPRODUCT('08 Exs'!E347:E357,'08 Exs'!$G347:$G357)*4/(SUM('08 Exs'!$G347:$G357) - SUMIF('08 Exs'!E347:E357,"X",'08 Exs'!$G347:$G357)),MAX('08 Exs'!AC347:AC357)),MIN('08 Exs'!AG347:AG357))))</f>
        <v/>
      </c>
      <c r="H213" s="1559" t="str">
        <f>IF(NOT('08 Exs'!F346 = ""),'08 Exs'!F346,IF(COUNTIF('08 Exs'!F347:F357,"&gt;=0")=0,"", MIN(MAX(SUMPRODUCT('08 Exs'!F347:F357,'08 Exs'!$G347:$G357)*4/(SUM('08 Exs'!$G347:$G357) - SUMIF('08 Exs'!F347:F357,"X",'08 Exs'!$G347:$G357)),MAX('08 Exs'!AD347:AD357)),MIN('08 Exs'!AH347:AH357))))</f>
        <v/>
      </c>
      <c r="I213" s="1557">
        <f>IF(AND(OR(E213="X",E213=""),OR(F213="X",F213=""),OR(G213="X",G213=""),OR(H213="X",H213="")),1,ROUND(MIN(IF(OR(E213="",E213="X"),4,E213),IF(OR(F213="",F213="X"),4,F213),IF(OR(G213="",G213="X"),4,G213),IF(OR(H213="",H213="X"),4,H213)),0))</f>
        <v>1</v>
      </c>
      <c r="J213" s="1557">
        <f>IF(I213="","",IF(IndG=3,MAX(I213,Obj_Projets!J213),MAX(I213,Obj_PA!D213)))</f>
        <v>1</v>
      </c>
      <c r="K213" s="1560">
        <f>IF(IF(OR(IndG=3,IndG=4),MAX(I213,J213),I213)&lt;1,1,IF(OR(IndG=3,IndG=4),MAX(I213,J213),I213))</f>
        <v>1</v>
      </c>
      <c r="L213" s="1650" t="str">
        <f>IF(E213=""," n'a pas démarré","")</f>
        <v xml:space="preserve"> n'a pas démarré</v>
      </c>
      <c r="M213" s="154"/>
      <c r="N213" s="154"/>
      <c r="O213" s="154"/>
      <c r="P213" s="154"/>
      <c r="Q213" s="154"/>
      <c r="R213" s="154"/>
      <c r="S213" s="154"/>
      <c r="T213" s="154"/>
      <c r="U213" s="154"/>
      <c r="V213" s="154"/>
      <c r="W213" s="154"/>
      <c r="X213" s="154"/>
      <c r="Y213" s="154"/>
      <c r="Z213" s="154"/>
      <c r="AA213" s="154"/>
      <c r="AB213" s="154"/>
      <c r="AC213" s="154"/>
      <c r="AD213" s="154"/>
      <c r="AE213" s="154"/>
      <c r="AF213" s="154"/>
      <c r="AG213" s="154"/>
      <c r="AH213" s="154"/>
      <c r="AI213" s="154"/>
      <c r="AJ213" s="154"/>
      <c r="AK213" s="154"/>
      <c r="AL213" s="154"/>
      <c r="AM213" s="154"/>
      <c r="AN213" s="154"/>
      <c r="AO213" s="154"/>
      <c r="AP213" s="154"/>
      <c r="AQ213" s="154"/>
      <c r="AR213" s="154"/>
      <c r="AS213" s="154"/>
      <c r="AT213" s="154"/>
      <c r="AU213" s="154"/>
      <c r="AV213" s="154"/>
      <c r="AW213" s="154"/>
      <c r="AX213" s="154"/>
      <c r="AY213" s="154"/>
      <c r="AZ213" s="154"/>
      <c r="BA213" s="154"/>
      <c r="BB213" s="154"/>
      <c r="CG213" s="527">
        <f>IF(INDEX(Tab_actions,34,1)=1,INDEX(Tab_actions,34,6),0)</f>
        <v>0</v>
      </c>
    </row>
    <row r="214" spans="1:87" s="527" customFormat="1" ht="15.75" customHeight="1" outlineLevel="1" x14ac:dyDescent="0.2">
      <c r="A214" s="1212"/>
      <c r="B214" s="1212" t="s">
        <v>4252</v>
      </c>
      <c r="C214" s="1219" t="s">
        <v>4254</v>
      </c>
      <c r="D214" s="1562" t="s">
        <v>1592</v>
      </c>
      <c r="E214" s="1559" t="str">
        <f>IF(NOT('08 Exs'!C358 = ""),'08 Exs'!C358,IF(COUNTIF('08 Exs'!C359:C368,"&gt;=0")=0,"", MIN(MAX(SUMPRODUCT('08 Exs'!C359:C368,'08 Exs'!$G359:$G368)*4/(SUM('08 Exs'!$G359:$G368) - SUMIF('08 Exs'!C359:C368,"X",'08 Exs'!$G359:$G368)),MAX('08 Exs'!AA359:AA368)),MIN('08 Exs'!AE359:AE368))))</f>
        <v/>
      </c>
      <c r="F214" s="1559" t="str">
        <f>IF(NOT('08 Exs'!D358 = ""),'08 Exs'!D358,IF(COUNTIF('08 Exs'!D359:D368,"&gt;=0")=0,"", MIN(MAX(SUMPRODUCT('08 Exs'!D359:D368,'08 Exs'!$G359:$G368)*4/(SUM('08 Exs'!$G359:$G368) - SUMIF('08 Exs'!D359:D368,"X",'08 Exs'!$G359:$G368)),MAX('08 Exs'!AB359:AB368)),MIN('08 Exs'!AF359:AF368))))</f>
        <v/>
      </c>
      <c r="G214" s="1559" t="str">
        <f>IF(NOT('08 Exs'!E358 = ""),'08 Exs'!E358,IF(COUNTIF('08 Exs'!E359:E368,"&gt;=0")=0,"", MIN(MAX(SUMPRODUCT('08 Exs'!E359:E368,'08 Exs'!$G359:$G368)*4/(SUM('08 Exs'!$G359:$G368) - SUMIF('08 Exs'!E359:E368,"X",'08 Exs'!$G359:$G368)),MAX('08 Exs'!AC359:AC368)),MIN('08 Exs'!AG359:AG368))))</f>
        <v/>
      </c>
      <c r="H214" s="1559" t="str">
        <f>IF(NOT('08 Exs'!F358 = ""),'08 Exs'!F358,IF(COUNTIF('08 Exs'!F359:F368,"&gt;=0")=0,"", MIN(MAX(SUMPRODUCT('08 Exs'!F359:F368,'08 Exs'!$G359:$G368)*4/(SUM('08 Exs'!$G359:$G368) - SUMIF('08 Exs'!F359:F368,"X",'08 Exs'!$G359:$G368)),MAX('08 Exs'!AD359:AD368)),MIN('08 Exs'!AH359:AH368))))</f>
        <v/>
      </c>
      <c r="I214" s="1557">
        <f>IF(AND(OR(E214="X",E214=""),OR(F214="X",F214=""),OR(G214="X",G214=""),OR(H214="X",H214="")),1,ROUND(MIN(IF(OR(E214="",E214="X"),4,E214),IF(OR(F214="",F214="X"),4,F214),IF(OR(G214="",G214="X"),4,G214),IF(OR(H214="",H214="X"),4,H214)),0))</f>
        <v>1</v>
      </c>
      <c r="J214" s="1557">
        <f>IF(I214="","",IF(IndG=3,MAX(I214,Obj_Projets!J214),MAX(I214,Obj_PA!D214)))</f>
        <v>1</v>
      </c>
      <c r="K214" s="1560">
        <f>IF(IF(OR(IndG=3,IndG=4),MAX(I214,J214),I214)&lt;1,1,IF(OR(IndG=3,IndG=4),MAX(I214,J214),I214))</f>
        <v>1</v>
      </c>
      <c r="L214" s="1650" t="str">
        <f>IF(E214=""," n'a pas démarré","")</f>
        <v xml:space="preserve"> n'a pas démarré</v>
      </c>
      <c r="M214" s="154"/>
      <c r="N214" s="154"/>
      <c r="O214" s="154"/>
      <c r="P214" s="154"/>
      <c r="Q214" s="154"/>
      <c r="R214" s="154"/>
      <c r="S214" s="154"/>
      <c r="T214" s="154"/>
      <c r="U214" s="154"/>
      <c r="V214" s="154"/>
      <c r="W214" s="154"/>
      <c r="X214" s="154"/>
      <c r="Y214" s="154"/>
      <c r="Z214" s="154"/>
      <c r="AA214" s="154"/>
      <c r="AB214" s="154"/>
      <c r="AC214" s="154"/>
      <c r="AD214" s="154"/>
      <c r="AE214" s="154"/>
      <c r="AF214" s="154"/>
      <c r="AG214" s="154"/>
      <c r="AH214" s="154"/>
      <c r="AI214" s="154"/>
      <c r="AJ214" s="154"/>
      <c r="AK214" s="154"/>
      <c r="AL214" s="154"/>
      <c r="AM214" s="154"/>
      <c r="AN214" s="154"/>
      <c r="AO214" s="154"/>
      <c r="AP214" s="154"/>
      <c r="AQ214" s="154"/>
      <c r="AR214" s="154"/>
      <c r="AS214" s="154"/>
      <c r="AT214" s="154"/>
      <c r="AU214" s="154"/>
      <c r="AV214" s="154"/>
      <c r="AW214" s="154"/>
      <c r="AX214" s="154"/>
      <c r="AY214" s="154"/>
      <c r="AZ214" s="154"/>
      <c r="BA214" s="154"/>
      <c r="BB214" s="154"/>
      <c r="CI214" s="527">
        <f>IF(INDEX(Tab_actions,42,1)=1,INDEX(Tab_actions,42,6),0)</f>
        <v>0</v>
      </c>
    </row>
    <row r="215" spans="1:87" s="527" customFormat="1" ht="15.75" customHeight="1" outlineLevel="1" x14ac:dyDescent="0.2">
      <c r="A215" s="1212"/>
      <c r="B215" s="1212" t="s">
        <v>5417</v>
      </c>
      <c r="C215" s="1219" t="s">
        <v>5418</v>
      </c>
      <c r="D215" s="1562" t="s">
        <v>1592</v>
      </c>
      <c r="E215" s="1559" t="str">
        <f>IF(NOT('08 Exs'!C369 = ""),'08 Exs'!C369,IF(COUNTIF('08 Exs'!C370:C378,"&gt;=0")=0,"", MIN(MAX(SUMPRODUCT('08 Exs'!C370:C378,'08 Exs'!$G370:$G378)*4/(SUM('08 Exs'!$G370:$G378) - SUMIF('08 Exs'!C370:C378,"X",'08 Exs'!$G370:$G378)),MAX('08 Exs'!AA370:AA378)),MIN('08 Exs'!AE370:AE378))))</f>
        <v/>
      </c>
      <c r="F215" s="1559" t="str">
        <f>IF(NOT('08 Exs'!D369 = ""),'08 Exs'!D369,IF(COUNTIF('08 Exs'!D370:D378,"&gt;=0")=0,"", MIN(MAX(SUMPRODUCT('08 Exs'!D370:D378,'08 Exs'!$G370:$G378)*4/(SUM('08 Exs'!$G370:$G378) - SUMIF('08 Exs'!D370:D378,"X",'08 Exs'!$G370:$G378)),MAX('08 Exs'!AB370:AB378)),MIN('08 Exs'!AF370:AF378))))</f>
        <v/>
      </c>
      <c r="G215" s="1559" t="str">
        <f>IF(NOT('08 Exs'!E369 = ""),'08 Exs'!E369,IF(COUNTIF('08 Exs'!E370:E378,"&gt;=0")=0,"", MIN(MAX(SUMPRODUCT('08 Exs'!E370:E378,'08 Exs'!$G370:$G378)*4/(SUM('08 Exs'!$G370:$G378) - SUMIF('08 Exs'!E370:E378,"X",'08 Exs'!$G370:$G378)),MAX('08 Exs'!AC370:AC378)),MIN('08 Exs'!AG370:AG378))))</f>
        <v/>
      </c>
      <c r="H215" s="1559" t="str">
        <f>IF(NOT('08 Exs'!F369 = ""),'08 Exs'!F369,IF(COUNTIF('08 Exs'!F370:F378,"&gt;=0")=0,"", MIN(MAX(SUMPRODUCT('08 Exs'!F370:F378,'08 Exs'!$G370:$G378)*4/(SUM('08 Exs'!$G370:$G378) - SUMIF('08 Exs'!F370:F378,"X",'08 Exs'!$G370:$G378)),MAX('08 Exs'!AD370:AD378)),MIN('08 Exs'!AH370:AH378))))</f>
        <v/>
      </c>
      <c r="I215" s="1557">
        <f>IF(AND(OR(E215="X",E215=""),OR(F215="X",F215=""),OR(G215="X",G215=""),OR(H215="X",H215="")),1,ROUND(MIN(IF(OR(E215="",E215="X"),4,E215),IF(OR(F215="",F215="X"),4,F215),IF(OR(G215="",G215="X"),4,G215),IF(OR(H215="",H215="X"),4,H215)),0))</f>
        <v>1</v>
      </c>
      <c r="J215" s="1557">
        <f>IF(I215="","",IF(IndG=3,MAX(I215,Obj_Projets!J215),MAX(I215,Obj_PA!D215)))</f>
        <v>1</v>
      </c>
      <c r="K215" s="1560">
        <f>IF(IF(OR(IndG=3,IndG=4),MAX(I215,J215),I215)&lt;1,1,IF(OR(IndG=3,IndG=4),MAX(I215,J215),I215))</f>
        <v>1</v>
      </c>
      <c r="L215" s="1650" t="str">
        <f>IF(E215=""," n'a pas démarré","")</f>
        <v xml:space="preserve"> n'a pas démarré</v>
      </c>
      <c r="M215" s="154"/>
      <c r="N215" s="154"/>
      <c r="O215" s="154"/>
      <c r="P215" s="154"/>
      <c r="Q215" s="154"/>
      <c r="R215" s="154"/>
      <c r="S215" s="154"/>
      <c r="T215" s="154"/>
      <c r="U215" s="154"/>
      <c r="V215" s="154"/>
      <c r="W215" s="154"/>
      <c r="X215" s="154"/>
      <c r="Y215" s="154"/>
      <c r="Z215" s="154"/>
      <c r="AA215" s="154"/>
      <c r="AB215" s="154"/>
      <c r="AC215" s="154"/>
      <c r="AD215" s="154"/>
      <c r="AE215" s="154"/>
      <c r="AF215" s="154"/>
      <c r="AG215" s="154"/>
      <c r="AH215" s="154"/>
      <c r="AI215" s="154"/>
      <c r="AJ215" s="154"/>
      <c r="AK215" s="154"/>
      <c r="AL215" s="154"/>
      <c r="AM215" s="154"/>
      <c r="AN215" s="154"/>
      <c r="AO215" s="154"/>
      <c r="AP215" s="154"/>
      <c r="AQ215" s="154"/>
      <c r="AR215" s="154"/>
      <c r="AS215" s="154"/>
      <c r="AT215" s="154"/>
      <c r="AU215" s="154"/>
      <c r="AV215" s="154"/>
      <c r="AW215" s="154"/>
      <c r="AX215" s="154"/>
      <c r="AY215" s="154"/>
      <c r="AZ215" s="154"/>
      <c r="BA215" s="154"/>
      <c r="BB215" s="154"/>
      <c r="CG215" s="527">
        <f>IF(INDEX(Tab_actions,23,1)=1,INDEX(Tab_actions,23,8),0)</f>
        <v>0</v>
      </c>
    </row>
    <row r="216" spans="1:87" ht="15.75" customHeight="1" x14ac:dyDescent="0.2">
      <c r="A216" s="1227" t="s">
        <v>1881</v>
      </c>
      <c r="B216" s="1981" t="s">
        <v>6349</v>
      </c>
      <c r="C216" s="1982"/>
      <c r="D216" s="1563"/>
      <c r="E216" s="1564"/>
      <c r="F216" s="1564"/>
      <c r="G216" s="1564"/>
      <c r="H216" s="1564"/>
      <c r="I216" s="1568"/>
      <c r="J216" s="1568"/>
      <c r="K216" s="1568"/>
      <c r="L216" s="1653"/>
    </row>
    <row r="217" spans="1:87" ht="15.75" customHeight="1" outlineLevel="1" x14ac:dyDescent="0.2">
      <c r="A217" s="1212"/>
      <c r="B217" s="1213" t="s">
        <v>5706</v>
      </c>
      <c r="C217" s="1214" t="s">
        <v>5707</v>
      </c>
      <c r="D217" s="1554"/>
      <c r="E217" s="1566"/>
      <c r="F217" s="1566"/>
      <c r="G217" s="1566"/>
      <c r="H217" s="1566"/>
      <c r="I217" s="1561"/>
      <c r="J217" s="1561"/>
      <c r="K217" s="1561"/>
      <c r="L217" s="1652"/>
    </row>
    <row r="218" spans="1:87" ht="15.75" customHeight="1" outlineLevel="1" x14ac:dyDescent="0.2">
      <c r="A218" s="1212"/>
      <c r="B218" s="1212" t="s">
        <v>3657</v>
      </c>
      <c r="C218" s="1219" t="s">
        <v>3658</v>
      </c>
      <c r="D218" s="1562" t="s">
        <v>2625</v>
      </c>
      <c r="E218" s="1566" t="str">
        <f>IF(NOT('09 App'!C4 = ""),'09 App'!C4,IF(COUNTIF('09 App'!C5:C12,"&gt;=0")=0,"", MIN(MAX(SUMPRODUCT('09 App'!C5:C12,'09 App'!$G5:$G12)*4/(SUM('09 App'!$G5:$G12) - SUMIF('09 App'!C5:C12,"X",'09 App'!$G5:$G12)),MAX('09 App'!AA5:AA12)),MIN('09 App'!AE5:AE12))))</f>
        <v/>
      </c>
      <c r="F218" s="1566" t="str">
        <f>IF(NOT('09 App'!D4 = ""),'09 App'!D4,IF(COUNTIF('09 App'!D5:D12,"&gt;=0")=0,"", MIN(MAX(SUMPRODUCT('09 App'!D5:D12,'09 App'!$G5:$G12)*4/(SUM('09 App'!$G5:$G12) - SUMIF('09 App'!D5:D12,"X",'09 App'!$G5:$G12)),MAX('09 App'!AB5:AB12)),MIN('09 App'!AF5:AF12))))</f>
        <v/>
      </c>
      <c r="G218" s="1566" t="str">
        <f>IF(NOT('09 App'!E4 = ""),'09 App'!E4,IF(COUNTIF('09 App'!E5:E12,"&gt;=0")=0,"", MIN(MAX(SUMPRODUCT('09 App'!E5:E12,'09 App'!$G5:$G12)*4/(SUM('09 App'!$G5:$G12) - SUMIF('09 App'!E5:E12,"X",'09 App'!$G5:$G12)),MAX('09 App'!AC5:AC12)),MIN('09 App'!AG5:AG12))))</f>
        <v/>
      </c>
      <c r="H218" s="1566" t="str">
        <f>IF(NOT('09 App'!F4 = ""),'09 App'!F4,IF(COUNTIF('09 App'!F5:F12,"&gt;=0")=0,"", MIN(MAX(SUMPRODUCT('09 App'!F5:F12,'09 App'!$G5:$G12)*4/(SUM('09 App'!$G5:$G12) - SUMIF('09 App'!F5:F12,"X",'09 App'!$G5:$G12)),MAX('09 App'!AD5:AD12)),MIN('09 App'!AH5:AH12))))</f>
        <v/>
      </c>
      <c r="I218" s="1557">
        <f>IF(AND(OR(E218="X",E218=""),OR(F218="X",F218=""),OR(G218="X",G218=""),OR(H218="X",H218="")),1,ROUND(MIN(IF(OR(E218="",E218="X"),4,E218),IF(OR(F218="",F218="X"),4,F218),IF(OR(G218="",G218="X"),4,G218),IF(OR(H218="",H218="X"),4,H218)),0))</f>
        <v>1</v>
      </c>
      <c r="J218" s="1557">
        <f>IF(I218="","",IF(IndG=3,MAX(I218,Obj_Projets!J218),MAX(I218,Obj_PA!D218)))</f>
        <v>1</v>
      </c>
      <c r="K218" s="1560">
        <f>IF(IF(OR(IndG=3,IndG=4),MAX(I218,J218),I218)&lt;1,1,IF(OR(IndG=3,IndG=4),MAX(I218,J218),I218))</f>
        <v>1</v>
      </c>
      <c r="L218" s="1652" t="str">
        <f>IF(E218=""," n'a pas démarré","")</f>
        <v xml:space="preserve"> n'a pas démarré</v>
      </c>
    </row>
    <row r="219" spans="1:87" ht="15.75" customHeight="1" outlineLevel="1" x14ac:dyDescent="0.2">
      <c r="A219" s="1212"/>
      <c r="B219" s="1212" t="s">
        <v>3659</v>
      </c>
      <c r="C219" s="1219" t="s">
        <v>3660</v>
      </c>
      <c r="D219" s="1562" t="s">
        <v>2625</v>
      </c>
      <c r="E219" s="1566" t="str">
        <f>IF(NOT('09 App'!C13 = ""),'09 App'!C13,IF(COUNTIF('09 App'!C14:C21,"&gt;=0")=0,"", MIN(MAX(SUMPRODUCT('09 App'!C14:C21,'09 App'!$G14:$G21)*4/(SUM('09 App'!$G14:$G21) - SUMIF('09 App'!C14:C21,"X",'09 App'!$G14:$G21)),MAX('09 App'!AA14:AA21)),MIN('09 App'!AE14:AE21))))</f>
        <v/>
      </c>
      <c r="F219" s="1566" t="str">
        <f>IF(NOT('09 App'!D13 = ""),'09 App'!D13,IF(COUNTIF('09 App'!D14:D21,"&gt;=0")=0,"", MIN(MAX(SUMPRODUCT('09 App'!D14:D21,'09 App'!$G14:$G21)*4/(SUM('09 App'!$G14:$G21) - SUMIF('09 App'!D14:D21,"X",'09 App'!$G14:$G21)),MAX('09 App'!AB14:AB21)),MIN('09 App'!AF14:AF21))))</f>
        <v/>
      </c>
      <c r="G219" s="1566" t="str">
        <f>IF(NOT('09 App'!E13 = ""),'09 App'!E13,IF(COUNTIF('09 App'!E14:E21,"&gt;=0")=0,"", MIN(MAX(SUMPRODUCT('09 App'!E14:E21,'09 App'!$G14:$G21)*4/(SUM('09 App'!$G14:$G21) - SUMIF('09 App'!E14:E21,"X",'09 App'!$G14:$G21)),MAX('09 App'!AC14:AC21)),MIN('09 App'!AG14:AG21))))</f>
        <v/>
      </c>
      <c r="H219" s="1566" t="str">
        <f>IF(NOT('09 App'!F13 = ""),'09 App'!F13,IF(COUNTIF('09 App'!F14:F21,"&gt;=0")=0,"", MIN(MAX(SUMPRODUCT('09 App'!F14:F21,'09 App'!$G14:$G21)*4/(SUM('09 App'!$G14:$G21) - SUMIF('09 App'!F14:F21,"X",'09 App'!$G14:$G21)),MAX('09 App'!AD14:AD21)),MIN('09 App'!AH14:AH21))))</f>
        <v/>
      </c>
      <c r="I219" s="1557">
        <f>IF(AND(OR(E219="X",E219=""),OR(F219="X",F219=""),OR(G219="X",G219=""),OR(H219="X",H219="")),1,ROUND(MIN(IF(OR(E219="",E219="X"),4,E219),IF(OR(F219="",F219="X"),4,F219),IF(OR(G219="",G219="X"),4,G219),IF(OR(H219="",H219="X"),4,H219)),0))</f>
        <v>1</v>
      </c>
      <c r="J219" s="1557">
        <f>IF(I219="","",IF(IndG=3,MAX(I219,Obj_Projets!J219),MAX(I219,Obj_PA!D219)))</f>
        <v>1</v>
      </c>
      <c r="K219" s="1560">
        <f>IF(IF(OR(IndG=3,IndG=4),MAX(I219,J219),I219)&lt;1,1,IF(OR(IndG=3,IndG=4),MAX(I219,J219),I219))</f>
        <v>1</v>
      </c>
      <c r="L219" s="1652" t="str">
        <f>IF(E219=""," n'a pas démarré","")</f>
        <v xml:space="preserve"> n'a pas démarré</v>
      </c>
    </row>
    <row r="220" spans="1:87" ht="15.75" customHeight="1" outlineLevel="1" x14ac:dyDescent="0.2">
      <c r="A220" s="1212"/>
      <c r="B220" s="1212" t="s">
        <v>3661</v>
      </c>
      <c r="C220" s="1219" t="s">
        <v>5114</v>
      </c>
      <c r="D220" s="1562" t="s">
        <v>2625</v>
      </c>
      <c r="E220" s="1566" t="str">
        <f>IF(NOT('09 App'!C22 = ""),'09 App'!C22,IF(COUNTIF('09 App'!C23:C32,"&gt;=0")=0,"", MIN(MAX(SUMPRODUCT('09 App'!C23:C32,'09 App'!$G23:$G32)*4/(SUM('09 App'!$G23:$G32) - SUMIF('09 App'!C23:C32,"X",'09 App'!$G23:$G32)),MAX('09 App'!AA23:AA32)),MIN('09 App'!AE23:AE32))))</f>
        <v/>
      </c>
      <c r="F220" s="1566" t="str">
        <f>IF(NOT('09 App'!D22 = ""),'09 App'!D22,IF(COUNTIF('09 App'!D23:D32,"&gt;=0")=0,"", MIN(MAX(SUMPRODUCT('09 App'!D23:D32,'09 App'!$G23:$G32)*4/(SUM('09 App'!$G23:$G32) - SUMIF('09 App'!D23:D32,"X",'09 App'!$G23:$G32)),MAX('09 App'!AB23:AB32)),MIN('09 App'!AF23:AF32))))</f>
        <v/>
      </c>
      <c r="G220" s="1566" t="str">
        <f>IF(NOT('09 App'!E22 = ""),'09 App'!E22,IF(COUNTIF('09 App'!E23:E32,"&gt;=0")=0,"", MIN(MAX(SUMPRODUCT('09 App'!E23:E32,'09 App'!$G23:$G32)*4/(SUM('09 App'!$G23:$G32) - SUMIF('09 App'!E23:E32,"X",'09 App'!$G23:$G32)),MAX('09 App'!AC23:AC32)),MIN('09 App'!AG23:AG32))))</f>
        <v/>
      </c>
      <c r="H220" s="1566" t="str">
        <f>IF(NOT('09 App'!F22 = ""),'09 App'!F22,IF(COUNTIF('09 App'!F23:F32,"&gt;=0")=0,"", MIN(MAX(SUMPRODUCT('09 App'!F23:F32,'09 App'!$G23:$G32)*4/(SUM('09 App'!$G23:$G32) - SUMIF('09 App'!F23:F32,"X",'09 App'!$G23:$G32)),MAX('09 App'!AD23:AD32)),MIN('09 App'!AH23:AH32))))</f>
        <v/>
      </c>
      <c r="I220" s="1557">
        <f>IF(AND(OR(E220="X",E220=""),OR(F220="X",F220=""),OR(G220="X",G220=""),OR(H220="X",H220="")),1,ROUND(MIN(IF(OR(E220="",E220="X"),4,E220),IF(OR(F220="",F220="X"),4,F220),IF(OR(G220="",G220="X"),4,G220),IF(OR(H220="",H220="X"),4,H220)),0))</f>
        <v>1</v>
      </c>
      <c r="J220" s="1557">
        <f>IF(I220="","",IF(IndG=3,MAX(I220,Obj_Projets!J220),MAX(I220,Obj_PA!D220)))</f>
        <v>1</v>
      </c>
      <c r="K220" s="1560">
        <f>IF(IF(OR(IndG=3,IndG=4),MAX(I220,J220),I220)&lt;1,1,IF(OR(IndG=3,IndG=4),MAX(I220,J220),I220))</f>
        <v>1</v>
      </c>
      <c r="L220" s="1652" t="str">
        <f>IF(E220=""," n'a pas démarré","")</f>
        <v xml:space="preserve"> n'a pas démarré</v>
      </c>
      <c r="CG220" s="520">
        <f>IF(INDEX(Tab_actions,80,1)=1,INDEX(Tab_actions,80,12),0)</f>
        <v>0</v>
      </c>
    </row>
    <row r="221" spans="1:87" ht="15.75" customHeight="1" outlineLevel="1" x14ac:dyDescent="0.2">
      <c r="A221" s="1212"/>
      <c r="B221" s="1212" t="s">
        <v>3662</v>
      </c>
      <c r="C221" s="1219" t="s">
        <v>5138</v>
      </c>
      <c r="D221" s="1562" t="s">
        <v>2625</v>
      </c>
      <c r="E221" s="1566" t="str">
        <f>IF(NOT('09 App'!C33 = ""),'09 App'!C33,IF(COUNTIF('09 App'!C34:C43,"&gt;=0")=0,"", MIN(MAX(SUMPRODUCT('09 App'!C34:C43,'09 App'!$G34:$G43)*4/(SUM('09 App'!$G34:$G43) - SUMIF('09 App'!C34:C43,"X",'09 App'!$G34:$G43)),MAX('09 App'!AA34:AA43)),MIN('09 App'!AE34:AE43))))</f>
        <v/>
      </c>
      <c r="F221" s="1566" t="str">
        <f>IF(NOT('09 App'!D33 = ""),'09 App'!D33,IF(COUNTIF('09 App'!D34:D43,"&gt;=0")=0,"", MIN(MAX(SUMPRODUCT('09 App'!D34:D43,'09 App'!$G34:$G43)*4/(SUM('09 App'!$G34:$G43) - SUMIF('09 App'!D34:D43,"X",'09 App'!$G34:$G43)),MAX('09 App'!AB34:AB43)),MIN('09 App'!AF34:AF43))))</f>
        <v/>
      </c>
      <c r="G221" s="1566" t="str">
        <f>IF(NOT('09 App'!E33 = ""),'09 App'!E33,IF(COUNTIF('09 App'!E34:E43,"&gt;=0")=0,"", MIN(MAX(SUMPRODUCT('09 App'!E34:E43,'09 App'!$G34:$G43)*4/(SUM('09 App'!$G34:$G43) - SUMIF('09 App'!E34:E43,"X",'09 App'!$G34:$G43)),MAX('09 App'!AC34:AC43)),MIN('09 App'!AG34:AG43))))</f>
        <v/>
      </c>
      <c r="H221" s="1566" t="str">
        <f>IF(NOT('09 App'!F33 = ""),'09 App'!F33,IF(COUNTIF('09 App'!F34:F43,"&gt;=0")=0,"", MIN(MAX(SUMPRODUCT('09 App'!F34:F43,'09 App'!$G34:$G43)*4/(SUM('09 App'!$G34:$G43) - SUMIF('09 App'!F34:F43,"X",'09 App'!$G34:$G43)),MAX('09 App'!AD34:AD43)),MIN('09 App'!AH34:AH43))))</f>
        <v/>
      </c>
      <c r="I221" s="1557">
        <f>IF(AND(OR(E221="X",E221=""),OR(F221="X",F221=""),OR(G221="X",G221=""),OR(H221="X",H221="")),1,ROUND(MIN(IF(OR(E221="",E221="X"),4,E221),IF(OR(F221="",F221="X"),4,F221),IF(OR(G221="",G221="X"),4,G221),IF(OR(H221="",H221="X"),4,H221)),0))</f>
        <v>1</v>
      </c>
      <c r="J221" s="1557">
        <f>IF(I221="","",IF(IndG=3,MAX(I221,Obj_Projets!J221),MAX(I221,Obj_PA!D221)))</f>
        <v>1</v>
      </c>
      <c r="K221" s="1560">
        <f>IF(IF(OR(IndG=3,IndG=4),MAX(I221,J221),I221)&lt;1,1,IF(OR(IndG=3,IndG=4),MAX(I221,J221),I221))</f>
        <v>1</v>
      </c>
      <c r="L221" s="1652" t="str">
        <f>IF(E221=""," n'a pas démarré","")</f>
        <v xml:space="preserve"> n'a pas démarré</v>
      </c>
      <c r="CG221" s="520">
        <f>IF(INDEX(Tab_actions,80,1)=1,INDEX(Tab_actions,80,14),0)</f>
        <v>0</v>
      </c>
    </row>
    <row r="222" spans="1:87" ht="15.75" customHeight="1" outlineLevel="1" x14ac:dyDescent="0.2">
      <c r="A222" s="1212"/>
      <c r="B222" s="1212" t="s">
        <v>1182</v>
      </c>
      <c r="C222" s="1219" t="s">
        <v>3426</v>
      </c>
      <c r="D222" s="1562" t="s">
        <v>2625</v>
      </c>
      <c r="E222" s="1566" t="str">
        <f>IF(NOT('09 App'!C44 = ""),'09 App'!C44,IF(COUNTIF('09 App'!C45:C52,"&gt;=0")=0,"", MIN(MAX(SUMPRODUCT('09 App'!C45:C52,'09 App'!$G45:$G52)*4/(SUM('09 App'!$G45:$G52) - SUMIF('09 App'!C45:C52,"X",'09 App'!$G45:$G52)),MAX('09 App'!AA45:AA52)),MIN('09 App'!AE45:AE52))))</f>
        <v/>
      </c>
      <c r="F222" s="1566" t="str">
        <f>IF(NOT('09 App'!D44 = ""),'09 App'!D44,IF(COUNTIF('09 App'!D45:D52,"&gt;=0")=0,"", MIN(MAX(SUMPRODUCT('09 App'!D45:D52,'09 App'!$G45:$G52)*4/(SUM('09 App'!$G45:$G52) - SUMIF('09 App'!D45:D52,"X",'09 App'!$G45:$G52)),MAX('09 App'!AB45:AB52)),MIN('09 App'!AF45:AF52))))</f>
        <v/>
      </c>
      <c r="G222" s="1566" t="str">
        <f>IF(NOT('09 App'!E44 = ""),'09 App'!E44,IF(COUNTIF('09 App'!E45:E52,"&gt;=0")=0,"", MIN(MAX(SUMPRODUCT('09 App'!E45:E52,'09 App'!$G45:$G52)*4/(SUM('09 App'!$G45:$G52) - SUMIF('09 App'!E45:E52,"X",'09 App'!$G45:$G52)),MAX('09 App'!AC45:AC52)),MIN('09 App'!AG45:AG52))))</f>
        <v/>
      </c>
      <c r="H222" s="1566" t="str">
        <f>IF(NOT('09 App'!F44 = ""),'09 App'!F44,IF(COUNTIF('09 App'!F45:F52,"&gt;=0")=0,"", MIN(MAX(SUMPRODUCT('09 App'!F45:F52,'09 App'!$G45:$G52)*4/(SUM('09 App'!$G45:$G52) - SUMIF('09 App'!F45:F52,"X",'09 App'!$G45:$G52)),MAX('09 App'!AD45:AD52)),MIN('09 App'!AH45:AH52))))</f>
        <v/>
      </c>
      <c r="I222" s="1557">
        <f>IF(AND(OR(E222="X",E222=""),OR(F222="X",F222=""),OR(G222="X",G222=""),OR(H222="X",H222="")),1,ROUND(MIN(IF(OR(E222="",E222="X"),4,E222),IF(OR(F222="",F222="X"),4,F222),IF(OR(G222="",G222="X"),4,G222),IF(OR(H222="",H222="X"),4,H222)),0))</f>
        <v>1</v>
      </c>
      <c r="J222" s="1557">
        <f>IF(I222="","",IF(IndG=3,MAX(I222,Obj_Projets!J222),MAX(I222,Obj_PA!D222)))</f>
        <v>1</v>
      </c>
      <c r="K222" s="1560">
        <f>IF(IF(OR(IndG=3,IndG=4),MAX(I222,J222),I222)&lt;1,1,IF(OR(IndG=3,IndG=4),MAX(I222,J222),I222))</f>
        <v>1</v>
      </c>
      <c r="L222" s="1652" t="str">
        <f>IF(E222=""," n'a pas démarré","")</f>
        <v xml:space="preserve"> n'a pas démarré</v>
      </c>
      <c r="CG222" s="520">
        <f>IF(INDEX(Tab_actions,80,1)=1,INDEX(Tab_actions,80,10),0)</f>
        <v>0</v>
      </c>
    </row>
    <row r="223" spans="1:87" ht="15.75" customHeight="1" outlineLevel="1" x14ac:dyDescent="0.2">
      <c r="A223" s="1212"/>
      <c r="B223" s="1213" t="s">
        <v>5233</v>
      </c>
      <c r="C223" s="1214" t="s">
        <v>5234</v>
      </c>
      <c r="D223" s="1554"/>
      <c r="E223" s="1566"/>
      <c r="F223" s="1566"/>
      <c r="G223" s="1566"/>
      <c r="H223" s="1566"/>
      <c r="I223" s="1561"/>
      <c r="J223" s="1561"/>
      <c r="K223" s="1561"/>
      <c r="L223" s="1652"/>
    </row>
    <row r="224" spans="1:87" ht="15.75" customHeight="1" outlineLevel="1" x14ac:dyDescent="0.2">
      <c r="A224" s="1212"/>
      <c r="B224" s="1212" t="s">
        <v>3663</v>
      </c>
      <c r="C224" s="1219" t="s">
        <v>3664</v>
      </c>
      <c r="D224" s="1562" t="s">
        <v>2627</v>
      </c>
      <c r="E224" s="1566" t="str">
        <f>IF(NOT('09 App'!C54 = ""),'09 App'!C54,IF(COUNTIF('09 App'!C55:C62,"&gt;=0")=0,"", MIN(MAX(SUMPRODUCT('09 App'!C55:C62,'09 App'!$G55:$G62)*4/(SUM('09 App'!$G55:$G62) - SUMIF('09 App'!C55:C62,"X",'09 App'!$G55:$G62)),MAX('09 App'!AA55:AA62)),MIN('09 App'!AE55:AE62))))</f>
        <v/>
      </c>
      <c r="F224" s="1566" t="str">
        <f>IF(NOT('09 App'!D54 = ""),'09 App'!D54,IF(COUNTIF('09 App'!D55:D62,"&gt;=0")=0,"", MIN(MAX(SUMPRODUCT('09 App'!D55:D62,'09 App'!$G55:$G62)*4/(SUM('09 App'!$G55:$G62) - SUMIF('09 App'!D55:D62,"X",'09 App'!$G55:$G62)),MAX('09 App'!AB55:AB62)),MIN('09 App'!AF55:AF62))))</f>
        <v/>
      </c>
      <c r="G224" s="1566" t="str">
        <f>IF(NOT('09 App'!E54 = ""),'09 App'!E54,IF(COUNTIF('09 App'!E55:E62,"&gt;=0")=0,"", MIN(MAX(SUMPRODUCT('09 App'!E55:E62,'09 App'!$G55:$G62)*4/(SUM('09 App'!$G55:$G62) - SUMIF('09 App'!E55:E62,"X",'09 App'!$G55:$G62)),MAX('09 App'!AC55:AC62)),MIN('09 App'!AG55:AG62))))</f>
        <v/>
      </c>
      <c r="H224" s="1566" t="str">
        <f>IF(NOT('09 App'!F54 = ""),'09 App'!F54,IF(COUNTIF('09 App'!F55:F62,"&gt;=0")=0,"", MIN(MAX(SUMPRODUCT('09 App'!F55:F62,'09 App'!$G55:$G62)*4/(SUM('09 App'!$G55:$G62) - SUMIF('09 App'!F55:F62,"X",'09 App'!$G55:$G62)),MAX('09 App'!AD55:AD62)),MIN('09 App'!AH55:AH62))))</f>
        <v/>
      </c>
      <c r="I224" s="1557">
        <f>IF(AND(OR(E224="X",E224=""),OR(F224="X",F224=""),OR(G224="X",G224=""),OR(H224="X",H224="")),1,ROUND(MIN(IF(OR(E224="",E224="X"),4,E224),IF(OR(F224="",F224="X"),4,F224),IF(OR(G224="",G224="X"),4,G224),IF(OR(H224="",H224="X"),4,H224)),0))</f>
        <v>1</v>
      </c>
      <c r="J224" s="1557">
        <f>IF(I224="","",IF(IndG=3,MAX(I224,Obj_Projets!J224),MAX(I224,Obj_PA!D224)))</f>
        <v>1</v>
      </c>
      <c r="K224" s="1560">
        <f>IF(IF(OR(IndG=3,IndG=4),MAX(I224,J224),I224)&lt;1,1,IF(OR(IndG=3,IndG=4),MAX(I224,J224),I224))</f>
        <v>1</v>
      </c>
      <c r="L224" s="1652" t="str">
        <f>IF(E224=""," n'a pas démarré","")</f>
        <v xml:space="preserve"> n'a pas démarré</v>
      </c>
    </row>
    <row r="225" spans="1:87" ht="15.75" customHeight="1" outlineLevel="1" x14ac:dyDescent="0.2">
      <c r="A225" s="1212"/>
      <c r="B225" s="1212" t="s">
        <v>3665</v>
      </c>
      <c r="C225" s="1219" t="s">
        <v>3666</v>
      </c>
      <c r="D225" s="1562" t="s">
        <v>2627</v>
      </c>
      <c r="E225" s="1566" t="str">
        <f>IF(NOT('09 App'!C63 = ""),'09 App'!C63,IF(COUNTIF('09 App'!C64:C71,"&gt;=0")=0,"", MIN(MAX(SUMPRODUCT('09 App'!C64:C71,'09 App'!$G64:$G71)*4/(SUM('09 App'!$G64:$G71) - SUMIF('09 App'!C64:C71,"X",'09 App'!$G64:$G71)),MAX('09 App'!AA64:AA71)),MIN('09 App'!AE64:AE71))))</f>
        <v/>
      </c>
      <c r="F225" s="1566" t="str">
        <f>IF(NOT('09 App'!D63 = ""),'09 App'!D63,IF(COUNTIF('09 App'!D64:D71,"&gt;=0")=0,"", MIN(MAX(SUMPRODUCT('09 App'!D64:D71,'09 App'!$G64:$G71)*4/(SUM('09 App'!$G64:$G71) - SUMIF('09 App'!D64:D71,"X",'09 App'!$G64:$G71)),MAX('09 App'!AB64:AB71)),MIN('09 App'!AF64:AF71))))</f>
        <v/>
      </c>
      <c r="G225" s="1566" t="str">
        <f>IF(NOT('09 App'!E63 = ""),'09 App'!E63,IF(COUNTIF('09 App'!E64:E71,"&gt;=0")=0,"", MIN(MAX(SUMPRODUCT('09 App'!E64:E71,'09 App'!$G64:$G71)*4/(SUM('09 App'!$G64:$G71) - SUMIF('09 App'!E64:E71,"X",'09 App'!$G64:$G71)),MAX('09 App'!AC64:AC71)),MIN('09 App'!AG64:AG71))))</f>
        <v/>
      </c>
      <c r="H225" s="1566" t="str">
        <f>IF(NOT('09 App'!F63 = ""),'09 App'!F63,IF(COUNTIF('09 App'!F64:F71,"&gt;=0")=0,"", MIN(MAX(SUMPRODUCT('09 App'!F64:F71,'09 App'!$G64:$G71)*4/(SUM('09 App'!$G64:$G71) - SUMIF('09 App'!F64:F71,"X",'09 App'!$G64:$G71)),MAX('09 App'!AD64:AD71)),MIN('09 App'!AH64:AH71))))</f>
        <v/>
      </c>
      <c r="I225" s="1557">
        <f>IF(AND(OR(E225="X",E225=""),OR(F225="X",F225=""),OR(G225="X",G225=""),OR(H225="X",H225="")),1,ROUND(MIN(IF(OR(E225="",E225="X"),4,E225),IF(OR(F225="",F225="X"),4,F225),IF(OR(G225="",G225="X"),4,G225),IF(OR(H225="",H225="X"),4,H225)),0))</f>
        <v>1</v>
      </c>
      <c r="J225" s="1557">
        <f>IF(I225="","",IF(IndG=3,MAX(I225,Obj_Projets!J225),MAX(I225,Obj_PA!D225)))</f>
        <v>1</v>
      </c>
      <c r="K225" s="1560">
        <f>IF(IF(OR(IndG=3,IndG=4),MAX(I225,J225),I225)&lt;1,1,IF(OR(IndG=3,IndG=4),MAX(I225,J225),I225))</f>
        <v>1</v>
      </c>
      <c r="L225" s="1652" t="str">
        <f>IF(E225=""," n'a pas démarré","")</f>
        <v xml:space="preserve"> n'a pas démarré</v>
      </c>
    </row>
    <row r="226" spans="1:87" ht="15.75" customHeight="1" outlineLevel="1" x14ac:dyDescent="0.2">
      <c r="A226" s="1212"/>
      <c r="B226" s="1212" t="s">
        <v>3667</v>
      </c>
      <c r="C226" s="1219" t="s">
        <v>3668</v>
      </c>
      <c r="D226" s="1562" t="s">
        <v>2627</v>
      </c>
      <c r="E226" s="1566" t="str">
        <f>IF(NOT('09 App'!C72 = ""),'09 App'!C72,IF(COUNTIF('09 App'!C73:C81,"&gt;=0")=0,"", MIN(MAX(SUMPRODUCT('09 App'!C73:C81,'09 App'!$G73:$G81)*4/(SUM('09 App'!$G73:$G81) - SUMIF('09 App'!C73:C81,"X",'09 App'!$G73:$G81)),MAX('09 App'!AA73:AA81)),MIN('09 App'!AE73:AE81))))</f>
        <v/>
      </c>
      <c r="F226" s="1566" t="str">
        <f>IF(NOT('09 App'!D72 = ""),'09 App'!D72,IF(COUNTIF('09 App'!D73:D81,"&gt;=0")=0,"", MIN(MAX(SUMPRODUCT('09 App'!D73:D81,'09 App'!$G73:$G81)*4/(SUM('09 App'!$G73:$G81) - SUMIF('09 App'!D73:D81,"X",'09 App'!$G73:$G81)),MAX('09 App'!AB73:AB81)),MIN('09 App'!AF73:AF81))))</f>
        <v/>
      </c>
      <c r="G226" s="1566" t="str">
        <f>IF(NOT('09 App'!E72 = ""),'09 App'!E72,IF(COUNTIF('09 App'!E73:E81,"&gt;=0")=0,"", MIN(MAX(SUMPRODUCT('09 App'!E73:E81,'09 App'!$G73:$G81)*4/(SUM('09 App'!$G73:$G81) - SUMIF('09 App'!E73:E81,"X",'09 App'!$G73:$G81)),MAX('09 App'!AC73:AC81)),MIN('09 App'!AG73:AG81))))</f>
        <v/>
      </c>
      <c r="H226" s="1566" t="str">
        <f>IF(NOT('09 App'!F72 = ""),'09 App'!F72,IF(COUNTIF('09 App'!F73:F81,"&gt;=0")=0,"", MIN(MAX(SUMPRODUCT('09 App'!F73:F81,'09 App'!$G73:$G81)*4/(SUM('09 App'!$G73:$G81) - SUMIF('09 App'!F73:F81,"X",'09 App'!$G73:$G81)),MAX('09 App'!AD73:AD81)),MIN('09 App'!AH73:AH81))))</f>
        <v/>
      </c>
      <c r="I226" s="1557">
        <f>IF(AND(OR(E226="X",E226=""),OR(F226="X",F226=""),OR(G226="X",G226=""),OR(H226="X",H226="")),1,ROUND(MIN(IF(OR(E226="",E226="X"),4,E226),IF(OR(F226="",F226="X"),4,F226),IF(OR(G226="",G226="X"),4,G226),IF(OR(H226="",H226="X"),4,H226)),0))</f>
        <v>1</v>
      </c>
      <c r="J226" s="1557">
        <f>IF(I226="","",IF(IndG=3,MAX(I226,Obj_Projets!J226),MAX(I226,Obj_PA!D226)))</f>
        <v>1</v>
      </c>
      <c r="K226" s="1560">
        <f>IF(IF(OR(IndG=3,IndG=4),MAX(I226,J226),I226)&lt;1,1,IF(OR(IndG=3,IndG=4),MAX(I226,J226),I226))</f>
        <v>1</v>
      </c>
      <c r="L226" s="1652" t="str">
        <f>IF(E226=""," n'a pas démarré","")</f>
        <v xml:space="preserve"> n'a pas démarré</v>
      </c>
    </row>
    <row r="227" spans="1:87" ht="15.75" customHeight="1" outlineLevel="1" x14ac:dyDescent="0.2">
      <c r="A227" s="1212"/>
      <c r="B227" s="1212" t="s">
        <v>3669</v>
      </c>
      <c r="C227" s="1219" t="s">
        <v>6331</v>
      </c>
      <c r="D227" s="1562" t="s">
        <v>2627</v>
      </c>
      <c r="E227" s="1566" t="str">
        <f>IF(NOT('09 App'!C82 = ""),'09 App'!C82,IF(COUNTIF('09 App'!C83:C87,"&gt;=0")=0,"", MIN(MAX(SUMPRODUCT('09 App'!C83:C87,'09 App'!$G83:$G87)*4/(SUM('09 App'!$G83:$G87) - SUMIF('09 App'!C83:C87,"X",'09 App'!$G83:$G87)),MAX('09 App'!AA83:AA87)),MIN('09 App'!AE83:AE87))))</f>
        <v/>
      </c>
      <c r="F227" s="1566" t="str">
        <f>IF(NOT('09 App'!D82 = ""),'09 App'!D82,IF(COUNTIF('09 App'!D83:D87,"&gt;=0")=0,"", MIN(MAX(SUMPRODUCT('09 App'!D83:D87,'09 App'!$G83:$G87)*4/(SUM('09 App'!$G83:$G87) - SUMIF('09 App'!D83:D87,"X",'09 App'!$G83:$G87)),MAX('09 App'!AB83:AB87)),MIN('09 App'!AF83:AF87))))</f>
        <v/>
      </c>
      <c r="G227" s="1566" t="str">
        <f>IF(NOT('09 App'!E82 = ""),'09 App'!E82,IF(COUNTIF('09 App'!E83:E87,"&gt;=0")=0,"", MIN(MAX(SUMPRODUCT('09 App'!E83:E87,'09 App'!$G83:$G87)*4/(SUM('09 App'!$G83:$G87) - SUMIF('09 App'!E83:E87,"X",'09 App'!$G83:$G87)),MAX('09 App'!AC83:AC87)),MIN('09 App'!AG83:AG87))))</f>
        <v/>
      </c>
      <c r="H227" s="1566" t="str">
        <f>IF(NOT('09 App'!F82 = ""),'09 App'!F82,IF(COUNTIF('09 App'!F83:F87,"&gt;=0")=0,"", MIN(MAX(SUMPRODUCT('09 App'!F83:F87,'09 App'!$G83:$G87)*4/(SUM('09 App'!$G83:$G87) - SUMIF('09 App'!F83:F87,"X",'09 App'!$G83:$G87)),MAX('09 App'!AD83:AD87)),MIN('09 App'!AH83:AH87))))</f>
        <v/>
      </c>
      <c r="I227" s="1557">
        <f>IF(AND(OR(E227="X",E227=""),OR(F227="X",F227=""),OR(G227="X",G227=""),OR(H227="X",H227="")),1,ROUND(MIN(IF(OR(E227="",E227="X"),4,E227),IF(OR(F227="",F227="X"),4,F227),IF(OR(G227="",G227="X"),4,G227),IF(OR(H227="",H227="X"),4,H227)),0))</f>
        <v>1</v>
      </c>
      <c r="J227" s="1557">
        <f>IF(I227="","",IF(IndG=3,MAX(I227,Obj_Projets!J227),MAX(I227,Obj_PA!D227)))</f>
        <v>1</v>
      </c>
      <c r="K227" s="1560">
        <f>IF(IF(OR(IndG=3,IndG=4),MAX(I227,J227),I227)&lt;1,1,IF(OR(IndG=3,IndG=4),MAX(I227,J227),I227))</f>
        <v>1</v>
      </c>
      <c r="L227" s="1652" t="str">
        <f>IF(E227=""," n'a pas démarré","")</f>
        <v xml:space="preserve"> n'a pas démarré</v>
      </c>
      <c r="CI227" s="520">
        <f>IF(INDEX(Tab_actions,104,1)=1,INDEX(Tab_actions,104,4),0)</f>
        <v>0</v>
      </c>
    </row>
    <row r="228" spans="1:87" s="527" customFormat="1" ht="15.75" customHeight="1" outlineLevel="1" x14ac:dyDescent="0.2">
      <c r="A228" s="1212"/>
      <c r="B228" s="1212" t="s">
        <v>1957</v>
      </c>
      <c r="C228" s="1219" t="s">
        <v>2901</v>
      </c>
      <c r="D228" s="1562" t="s">
        <v>2627</v>
      </c>
      <c r="E228" s="1566" t="str">
        <f>IF(NOT('09 App'!C88 = ""),'09 App'!C88,IF(COUNTIF('09 App'!C89:C93,"&gt;=0")=0,"", MIN(MAX(SUMPRODUCT('09 App'!C89:C93,'09 App'!$G89:$G93)*4/(SUM('09 App'!$G89:$G93) - SUMIF('09 App'!C89:C93,"X",'09 App'!$G89:$G93)),MAX('09 App'!AA89:AA93)),MIN('09 App'!AE89:AE93))))</f>
        <v/>
      </c>
      <c r="F228" s="1559" t="str">
        <f>IF(NOT('09 App'!D88 = ""),'09 App'!D88,IF(COUNTIF('09 App'!D89:D93,"&gt;=0")=0,"", MIN(MAX(SUMPRODUCT('09 App'!D89:D93,'09 App'!$G89:$G93)*4/(SUM('09 App'!$G89:$G93) - SUMIF('09 App'!D89:D93,"X",'09 App'!$G89:$G93)),MAX('09 App'!AB89:AB93)),MIN('09 App'!AF89:AF93))))</f>
        <v/>
      </c>
      <c r="G228" s="1559" t="str">
        <f>IF(NOT('09 App'!E88 = ""),'09 App'!E88,IF(COUNTIF('09 App'!E89:E93,"&gt;=0")=0,"", MIN(MAX(SUMPRODUCT('09 App'!E89:E93,'09 App'!$G89:$G93)*4/(SUM('09 App'!$G89:$G93) - SUMIF('09 App'!E89:E93,"X",'09 App'!$G89:$G93)),MAX('09 App'!AC89:AC93)),MIN('09 App'!AG89:AG93))))</f>
        <v/>
      </c>
      <c r="H228" s="1559" t="str">
        <f>IF(NOT('09 App'!F88 = ""),'09 App'!F88,IF(COUNTIF('09 App'!F89:F93,"&gt;=0")=0,"", MIN(MAX(SUMPRODUCT('09 App'!F89:F93,'09 App'!$G89:$G93)*4/(SUM('09 App'!$G89:$G93) - SUMIF('09 App'!F89:F93,"X",'09 App'!$G89:$G93)),MAX('09 App'!AD89:AD93)),MIN('09 App'!AH89:AH93))))</f>
        <v/>
      </c>
      <c r="I228" s="1557">
        <f>IF(AND(OR(E228="X",E228=""),OR(F228="X",F228=""),OR(G228="X",G228=""),OR(H228="X",H228="")),1,ROUND(MIN(IF(OR(E228="",E228="X"),4,E228),IF(OR(F228="",F228="X"),4,F228),IF(OR(G228="",G228="X"),4,G228),IF(OR(H228="",H228="X"),4,H228)),0))</f>
        <v>1</v>
      </c>
      <c r="J228" s="1557">
        <f>IF(I228="","",IF(IndG=3,MAX(I228,Obj_Projets!J228),MAX(I228,Obj_PA!D228)))</f>
        <v>1</v>
      </c>
      <c r="K228" s="1560">
        <f>IF(IF(OR(IndG=3,IndG=4),MAX(I228,J228),I228)&lt;1,1,IF(OR(IndG=3,IndG=4),MAX(I228,J228),I228))</f>
        <v>1</v>
      </c>
      <c r="L228" s="1650" t="str">
        <f>IF(E228=""," n'a pas démarré","")</f>
        <v xml:space="preserve"> n'a pas démarré</v>
      </c>
      <c r="M228" s="154"/>
      <c r="N228" s="154"/>
      <c r="O228" s="154"/>
      <c r="P228" s="154"/>
      <c r="Q228" s="154"/>
      <c r="R228" s="154"/>
      <c r="S228" s="154"/>
      <c r="T228" s="154"/>
      <c r="U228" s="154"/>
      <c r="V228" s="154"/>
      <c r="W228" s="154"/>
      <c r="X228" s="154"/>
      <c r="Y228" s="154"/>
      <c r="Z228" s="154"/>
      <c r="AA228" s="154"/>
      <c r="AB228" s="154"/>
      <c r="AC228" s="154"/>
      <c r="AD228" s="154"/>
      <c r="AE228" s="154"/>
      <c r="AF228" s="154"/>
      <c r="AG228" s="154"/>
      <c r="AH228" s="154"/>
      <c r="AI228" s="154"/>
      <c r="AJ228" s="154"/>
      <c r="AK228" s="154"/>
      <c r="AL228" s="154"/>
      <c r="AM228" s="154"/>
      <c r="AN228" s="154"/>
      <c r="AO228" s="154"/>
      <c r="AP228" s="154"/>
      <c r="AQ228" s="154"/>
      <c r="AR228" s="154"/>
      <c r="AS228" s="154"/>
      <c r="AT228" s="154"/>
      <c r="AU228" s="154"/>
      <c r="AV228" s="154"/>
      <c r="AW228" s="154"/>
      <c r="AX228" s="154"/>
      <c r="AY228" s="154"/>
      <c r="AZ228" s="154"/>
      <c r="BA228" s="154"/>
      <c r="BB228" s="154"/>
      <c r="CG228" s="527">
        <f>IF(INDEX(Tab_actions,102,1)=1,INDEX(Tab_actions,102,4),0)</f>
        <v>0</v>
      </c>
    </row>
    <row r="229" spans="1:87" ht="15.75" customHeight="1" outlineLevel="1" x14ac:dyDescent="0.2">
      <c r="A229" s="1212"/>
      <c r="B229" s="1213" t="s">
        <v>1609</v>
      </c>
      <c r="C229" s="1214" t="s">
        <v>1610</v>
      </c>
      <c r="D229" s="1554"/>
      <c r="E229" s="1566"/>
      <c r="F229" s="1566"/>
      <c r="G229" s="1566"/>
      <c r="H229" s="1566"/>
      <c r="I229" s="1561"/>
      <c r="J229" s="1561"/>
      <c r="K229" s="1561"/>
      <c r="L229" s="1652"/>
    </row>
    <row r="230" spans="1:87" ht="15.75" customHeight="1" outlineLevel="1" x14ac:dyDescent="0.2">
      <c r="A230" s="1212"/>
      <c r="B230" s="1212" t="s">
        <v>3670</v>
      </c>
      <c r="C230" s="1219" t="s">
        <v>2552</v>
      </c>
      <c r="D230" s="1562" t="s">
        <v>2627</v>
      </c>
      <c r="E230" s="1566" t="str">
        <f>IF(NOT('09 App'!C95 = ""),'09 App'!C95,IF(COUNTIF('09 App'!C96:C101,"&gt;=0")=0,"", MIN(MAX(SUMPRODUCT('09 App'!C96:C101,'09 App'!$G96:$G101)*4/(SUM('09 App'!$G96:$G101) - SUMIF('09 App'!C96:C101,"X",'09 App'!$G96:$G101)),MAX('09 App'!AA96:AA101)),MIN('09 App'!AE96:AE101))))</f>
        <v/>
      </c>
      <c r="F230" s="1566" t="str">
        <f>IF(NOT('09 App'!D95 = ""),'09 App'!D95,IF(COUNTIF('09 App'!D96:D101,"&gt;=0")=0,"", MIN(MAX(SUMPRODUCT('09 App'!D96:D101,'09 App'!$G96:$G101)*4/(SUM('09 App'!$G96:$G101) - SUMIF('09 App'!D96:D101,"X",'09 App'!$G96:$G101)),MAX('09 App'!AB96:AB101)),MIN('09 App'!AF96:AF101))))</f>
        <v/>
      </c>
      <c r="G230" s="1566" t="str">
        <f>IF(NOT('09 App'!E95 = ""),'09 App'!E95,IF(COUNTIF('09 App'!E96:E101,"&gt;=0")=0,"", MIN(MAX(SUMPRODUCT('09 App'!E96:E101,'09 App'!$G96:$G101)*4/(SUM('09 App'!$G96:$G101) - SUMIF('09 App'!E96:E101,"X",'09 App'!$G96:$G101)),MAX('09 App'!AC96:AC101)),MIN('09 App'!AG96:AG101))))</f>
        <v/>
      </c>
      <c r="H230" s="1566" t="str">
        <f>IF(NOT('09 App'!F95 = ""),'09 App'!F95,IF(COUNTIF('09 App'!F96:F101,"&gt;=0")=0,"", MIN(MAX(SUMPRODUCT('09 App'!F96:F101,'09 App'!$G96:$G101)*4/(SUM('09 App'!$G96:$G101) - SUMIF('09 App'!F96:F101,"X",'09 App'!$G96:$G101)),MAX('09 App'!AD96:AD101)),MIN('09 App'!AH96:AH101))))</f>
        <v/>
      </c>
      <c r="I230" s="1557">
        <f>IF(AND(OR(E230="X",E230=""),OR(F230="X",F230=""),OR(G230="X",G230=""),OR(H230="X",H230="")),1,ROUND(MIN(IF(OR(E230="",E230="X"),4,E230),IF(OR(F230="",F230="X"),4,F230),IF(OR(G230="",G230="X"),4,G230),IF(OR(H230="",H230="X"),4,H230)),0))</f>
        <v>1</v>
      </c>
      <c r="J230" s="1557">
        <f>IF(I230="","",IF(IndG=3,MAX(I230,Obj_Projets!J230),MAX(I230,Obj_PA!D230)))</f>
        <v>1</v>
      </c>
      <c r="K230" s="1560">
        <f>IF(IF(OR(IndG=3,IndG=4),MAX(I230,J230),I230)&lt;1,1,IF(OR(IndG=3,IndG=4),MAX(I230,J230),I230))</f>
        <v>1</v>
      </c>
      <c r="L230" s="1652" t="str">
        <f>IF(E230=""," n'a pas démarré","")</f>
        <v xml:space="preserve"> n'a pas démarré</v>
      </c>
    </row>
    <row r="231" spans="1:87" ht="15.75" customHeight="1" outlineLevel="1" x14ac:dyDescent="0.2">
      <c r="A231" s="1212"/>
      <c r="B231" s="1212" t="s">
        <v>2553</v>
      </c>
      <c r="C231" s="1219" t="s">
        <v>2554</v>
      </c>
      <c r="D231" s="1562" t="s">
        <v>2627</v>
      </c>
      <c r="E231" s="1566" t="str">
        <f>IF(NOT('09 App'!C102 = ""),'09 App'!C102,IF(COUNTIF('09 App'!C103:C110,"&gt;=0")=0,"", MIN(MAX(SUMPRODUCT('09 App'!C103:C110,'09 App'!$G103:$G110)*4/(SUM('09 App'!$G103:$G110) - SUMIF('09 App'!C103:C110,"X",'09 App'!$G103:$G110)),MAX('09 App'!AA103:AA110)),MIN('09 App'!AE103:AE110))))</f>
        <v/>
      </c>
      <c r="F231" s="1566" t="str">
        <f>IF(NOT('09 App'!D102 = ""),'09 App'!D102,IF(COUNTIF('09 App'!D103:D110,"&gt;=0")=0,"", MIN(MAX(SUMPRODUCT('09 App'!D103:D110,'09 App'!$G103:$G110)*4/(SUM('09 App'!$G103:$G110) - SUMIF('09 App'!D103:D110,"X",'09 App'!$G103:$G110)),MAX('09 App'!AB103:AB110)),MIN('09 App'!AF103:AF110))))</f>
        <v/>
      </c>
      <c r="G231" s="1566" t="str">
        <f>IF(NOT('09 App'!E102 = ""),'09 App'!E102,IF(COUNTIF('09 App'!E103:E110,"&gt;=0")=0,"", MIN(MAX(SUMPRODUCT('09 App'!E103:E110,'09 App'!$G103:$G110)*4/(SUM('09 App'!$G103:$G110) - SUMIF('09 App'!E103:E110,"X",'09 App'!$G103:$G110)),MAX('09 App'!AC103:AC110)),MIN('09 App'!AG103:AG110))))</f>
        <v/>
      </c>
      <c r="H231" s="1566" t="str">
        <f>IF(NOT('09 App'!F102 = ""),'09 App'!F102,IF(COUNTIF('09 App'!F103:F110,"&gt;=0")=0,"", MIN(MAX(SUMPRODUCT('09 App'!F103:F110,'09 App'!$G103:$G110)*4/(SUM('09 App'!$G103:$G110) - SUMIF('09 App'!F103:F110,"X",'09 App'!$G103:$G110)),MAX('09 App'!AD103:AD110)),MIN('09 App'!AH103:AH110))))</f>
        <v/>
      </c>
      <c r="I231" s="1557">
        <f>IF(AND(OR(E231="X",E231=""),OR(F231="X",F231=""),OR(G231="X",G231=""),OR(H231="X",H231="")),1,ROUND(MIN(IF(OR(E231="",E231="X"),4,E231),IF(OR(F231="",F231="X"),4,F231),IF(OR(G231="",G231="X"),4,G231),IF(OR(H231="",H231="X"),4,H231)),0))</f>
        <v>1</v>
      </c>
      <c r="J231" s="1557">
        <f>IF(I231="","",IF(IndG=3,MAX(I231,Obj_Projets!J231),MAX(I231,Obj_PA!D231)))</f>
        <v>1</v>
      </c>
      <c r="K231" s="1560">
        <f>IF(IF(OR(IndG=3,IndG=4),MAX(I231,J231),I231)&lt;1,1,IF(OR(IndG=3,IndG=4),MAX(I231,J231),I231))</f>
        <v>1</v>
      </c>
      <c r="L231" s="1652" t="str">
        <f>IF(E231=""," n'a pas démarré","")</f>
        <v xml:space="preserve"> n'a pas démarré</v>
      </c>
    </row>
    <row r="232" spans="1:87" ht="15.75" customHeight="1" outlineLevel="1" x14ac:dyDescent="0.2">
      <c r="A232" s="1212"/>
      <c r="B232" s="1212" t="s">
        <v>2555</v>
      </c>
      <c r="C232" s="1219" t="s">
        <v>6332</v>
      </c>
      <c r="D232" s="1562" t="s">
        <v>2627</v>
      </c>
      <c r="E232" s="1566" t="str">
        <f>IF(NOT('09 App'!C111 = ""),'09 App'!C111,IF(COUNTIF('09 App'!C112:C113,"&gt;=0")=0,"", MIN(MAX(SUMPRODUCT('09 App'!C112:C113,'09 App'!$G112:$G113)*4/(SUM('09 App'!$G112:$G113) - SUMIF('09 App'!C112:C113,"X",'09 App'!$G112:$G113)),MAX('09 App'!AA112:AA113)),MIN('09 App'!AE112:AE113))))</f>
        <v/>
      </c>
      <c r="F232" s="1566" t="str">
        <f>IF(NOT('09 App'!D111 = ""),'09 App'!D111,IF(COUNTIF('09 App'!D112:D113,"&gt;=0")=0,"", MIN(MAX(SUMPRODUCT('09 App'!D112:D113,'09 App'!$G112:$G113)*4/(SUM('09 App'!$G112:$G113) - SUMIF('09 App'!D112:D113,"X",'09 App'!$G112:$G113)),MAX('09 App'!AB112:AB113)),MIN('09 App'!AF112:AF113))))</f>
        <v/>
      </c>
      <c r="G232" s="1566" t="str">
        <f>IF(NOT('09 App'!E111 = ""),'09 App'!E111,IF(COUNTIF('09 App'!E112:E113,"&gt;=0")=0,"", MIN(MAX(SUMPRODUCT('09 App'!E112:E113,'09 App'!$G112:$G113)*4/(SUM('09 App'!$G112:$G113) - SUMIF('09 App'!E112:E113,"X",'09 App'!$G112:$G113)),MAX('09 App'!AC112:AC113)),MIN('09 App'!AG112:AG113))))</f>
        <v/>
      </c>
      <c r="H232" s="1566" t="str">
        <f>IF(NOT('09 App'!F111 = ""),'09 App'!F111,IF(COUNTIF('09 App'!F112:F113,"&gt;=0")=0,"", MIN(MAX(SUMPRODUCT('09 App'!F112:F113,'09 App'!$G112:$G113)*4/(SUM('09 App'!$G112:$G113) - SUMIF('09 App'!F112:F113,"X",'09 App'!$G112:$G113)),MAX('09 App'!AD112:AD113)),MIN('09 App'!AH112:AH113))))</f>
        <v/>
      </c>
      <c r="I232" s="1557">
        <f>IF(AND(OR(E232="X",E232=""),OR(F232="X",F232=""),OR(G232="X",G232=""),OR(H232="X",H232="")),1,ROUND(MIN(IF(OR(E232="",E232="X"),4,E232),IF(OR(F232="",F232="X"),4,F232),IF(OR(G232="",G232="X"),4,G232),IF(OR(H232="",H232="X"),4,H232)),0))</f>
        <v>1</v>
      </c>
      <c r="J232" s="1557">
        <f>IF(I232="","",IF(IndG=3,MAX(I232,Obj_Projets!J232),MAX(I232,Obj_PA!D232)))</f>
        <v>1</v>
      </c>
      <c r="K232" s="1560">
        <f>IF(IF(OR(IndG=3,IndG=4),MAX(I232,J232),I232)&lt;1,1,IF(OR(IndG=3,IndG=4),MAX(I232,J232),I232))</f>
        <v>1</v>
      </c>
      <c r="L232" s="1652" t="str">
        <f>IF(E232=""," n'a pas démarré","")</f>
        <v xml:space="preserve"> n'a pas démarré</v>
      </c>
    </row>
    <row r="233" spans="1:87" ht="15.75" customHeight="1" outlineLevel="1" x14ac:dyDescent="0.2">
      <c r="A233" s="1212"/>
      <c r="B233" s="1213" t="s">
        <v>5809</v>
      </c>
      <c r="C233" s="1214" t="s">
        <v>6086</v>
      </c>
      <c r="D233" s="1554"/>
      <c r="E233" s="1566"/>
      <c r="F233" s="1566"/>
      <c r="G233" s="1566"/>
      <c r="H233" s="1566"/>
      <c r="I233" s="1561"/>
      <c r="J233" s="1561"/>
      <c r="K233" s="1561"/>
      <c r="L233" s="1652"/>
    </row>
    <row r="234" spans="1:87" ht="15.75" customHeight="1" outlineLevel="1" x14ac:dyDescent="0.2">
      <c r="A234" s="1212"/>
      <c r="B234" s="1212" t="s">
        <v>4189</v>
      </c>
      <c r="C234" s="1219" t="s">
        <v>4190</v>
      </c>
      <c r="D234" s="1562" t="s">
        <v>2627</v>
      </c>
      <c r="E234" s="1566" t="str">
        <f>IF(NOT('09 App'!C115 = ""),'09 App'!C115,IF(COUNTIF('09 App'!C116:C119,"&gt;=0")=0,"", MIN(MAX(SUMPRODUCT('09 App'!C116:C119,'09 App'!$G116:$G119)*4/(SUM('09 App'!$G116:$G119) - SUMIF('09 App'!C116:C119,"X",'09 App'!$G116:$G119)),MAX('09 App'!AA116:AA119)),MIN('09 App'!AE116:AE119))))</f>
        <v/>
      </c>
      <c r="F234" s="1566" t="str">
        <f>IF(NOT('09 App'!D115 = ""),'09 App'!D115,IF(COUNTIF('09 App'!D116:D119,"&gt;=0")=0,"", MIN(MAX(SUMPRODUCT('09 App'!D116:D119,'09 App'!$G116:$G119)*4/(SUM('09 App'!$G116:$G119) - SUMIF('09 App'!D116:D119,"X",'09 App'!$G116:$G119)),MAX('09 App'!AB116:AB119)),MIN('09 App'!AF116:AF119))))</f>
        <v/>
      </c>
      <c r="G234" s="1566" t="str">
        <f>IF(NOT('09 App'!E115 = ""),'09 App'!E115,IF(COUNTIF('09 App'!E116:E119,"&gt;=0")=0,"", MIN(MAX(SUMPRODUCT('09 App'!E116:E119,'09 App'!$G116:$G119)*4/(SUM('09 App'!$G116:$G119) - SUMIF('09 App'!E116:E119,"X",'09 App'!$G116:$G119)),MAX('09 App'!AC116:AC119)),MIN('09 App'!AG116:AG119))))</f>
        <v/>
      </c>
      <c r="H234" s="1566" t="str">
        <f>IF(NOT('09 App'!F115 = ""),'09 App'!F115,IF(COUNTIF('09 App'!F116:F119,"&gt;=0")=0,"", MIN(MAX(SUMPRODUCT('09 App'!F116:F119,'09 App'!$G116:$G119)*4/(SUM('09 App'!$G116:$G119) - SUMIF('09 App'!F116:F119,"X",'09 App'!$G116:$G119)),MAX('09 App'!AD116:AD119)),MIN('09 App'!AH116:AH119))))</f>
        <v/>
      </c>
      <c r="I234" s="1557">
        <f>IF(AND(OR(E234="X",E234=""),OR(F234="X",F234=""),OR(G234="X",G234=""),OR(H234="X",H234="")),1,ROUND(MIN(IF(OR(E234="",E234="X"),4,E234),IF(OR(F234="",F234="X"),4,F234),IF(OR(G234="",G234="X"),4,G234),IF(OR(H234="",H234="X"),4,H234)),0))</f>
        <v>1</v>
      </c>
      <c r="J234" s="1557">
        <f>IF(I234="","",IF(IndG=3,MAX(I234,Obj_Projets!J234),MAX(I234,Obj_PA!D234)))</f>
        <v>1</v>
      </c>
      <c r="K234" s="1560">
        <f>IF(IF(OR(IndG=3,IndG=4),MAX(I234,J234),I234)&lt;1,1,IF(OR(IndG=3,IndG=4),MAX(I234,J234),I234))</f>
        <v>1</v>
      </c>
      <c r="L234" s="1652" t="str">
        <f>IF(E234=""," n'a pas démarré","")</f>
        <v xml:space="preserve"> n'a pas démarré</v>
      </c>
    </row>
    <row r="235" spans="1:87" ht="15.75" customHeight="1" outlineLevel="1" x14ac:dyDescent="0.2">
      <c r="A235" s="1212"/>
      <c r="B235" s="1212" t="s">
        <v>5998</v>
      </c>
      <c r="C235" s="1219" t="s">
        <v>4255</v>
      </c>
      <c r="D235" s="1562" t="s">
        <v>2627</v>
      </c>
      <c r="E235" s="1566" t="str">
        <f>IF(NOT('09 App'!C120 = ""),'09 App'!C120,IF(COUNTIF('09 App'!C121:C125,"&gt;=0")=0,"", MIN(MAX(SUMPRODUCT('09 App'!C121:C125,'09 App'!$G121:$G125)*4/(SUM('09 App'!$G121:$G125) - SUMIF('09 App'!C121:C125,"X",'09 App'!$G121:$G125)),MAX('09 App'!AA121:AA125)),MIN('09 App'!AE121:AE125))))</f>
        <v/>
      </c>
      <c r="F235" s="1566" t="str">
        <f>IF(NOT('09 App'!D120 = ""),'09 App'!D120,IF(COUNTIF('09 App'!D121:D125,"&gt;=0")=0,"", MIN(MAX(SUMPRODUCT('09 App'!D121:D125,'09 App'!$G121:$G125)*4/(SUM('09 App'!$G121:$G125) - SUMIF('09 App'!D121:D125,"X",'09 App'!$G121:$G125)),MAX('09 App'!AB121:AB125)),MIN('09 App'!AF121:AF125))))</f>
        <v/>
      </c>
      <c r="G235" s="1566" t="str">
        <f>IF(NOT('09 App'!E120 = ""),'09 App'!E120,IF(COUNTIF('09 App'!E121:E125,"&gt;=0")=0,"", MIN(MAX(SUMPRODUCT('09 App'!E121:E125,'09 App'!$G121:$G125)*4/(SUM('09 App'!$G121:$G125) - SUMIF('09 App'!E121:E125,"X",'09 App'!$G121:$G125)),MAX('09 App'!AC121:AC125)),MIN('09 App'!AG121:AG125))))</f>
        <v/>
      </c>
      <c r="H235" s="1566" t="str">
        <f>IF(NOT('09 App'!F120 = ""),'09 App'!F120,IF(COUNTIF('09 App'!F121:F125,"&gt;=0")=0,"", MIN(MAX(SUMPRODUCT('09 App'!F121:F125,'09 App'!$G121:$G125)*4/(SUM('09 App'!$G121:$G125) - SUMIF('09 App'!F121:F125,"X",'09 App'!$G121:$G125)),MAX('09 App'!AD121:AD125)),MIN('09 App'!AH121:AH125))))</f>
        <v/>
      </c>
      <c r="I235" s="1557">
        <f>IF(AND(OR(E235="X",E235=""),OR(F235="X",F235=""),OR(G235="X",G235=""),OR(H235="X",H235="")),1,ROUND(MIN(IF(OR(E235="",E235="X"),4,E235),IF(OR(F235="",F235="X"),4,F235),IF(OR(G235="",G235="X"),4,G235),IF(OR(H235="",H235="X"),4,H235)),0))</f>
        <v>1</v>
      </c>
      <c r="J235" s="1557">
        <f>IF(I235="","",IF(IndG=3,MAX(I235,Obj_Projets!J235),MAX(I235,Obj_PA!D235)))</f>
        <v>1</v>
      </c>
      <c r="K235" s="1560">
        <f>IF(IF(OR(IndG=3,IndG=4),MAX(I235,J235),I235)&lt;1,1,IF(OR(IndG=3,IndG=4),MAX(I235,J235),I235))</f>
        <v>1</v>
      </c>
      <c r="L235" s="1652" t="str">
        <f>IF(E235=""," n'a pas démarré","")</f>
        <v xml:space="preserve"> n'a pas démarré</v>
      </c>
      <c r="CI235" s="520">
        <f>IF(INDEX(Tab_actions,53,1)=1,INDEX(Tab_actions,53,4),0)</f>
        <v>0</v>
      </c>
    </row>
    <row r="236" spans="1:87" s="527" customFormat="1" ht="15.75" customHeight="1" outlineLevel="1" x14ac:dyDescent="0.2">
      <c r="A236" s="1212"/>
      <c r="B236" s="1213" t="s">
        <v>6686</v>
      </c>
      <c r="C236" s="1214" t="s">
        <v>5049</v>
      </c>
      <c r="D236" s="1554"/>
      <c r="E236" s="1559"/>
      <c r="F236" s="1559"/>
      <c r="G236" s="1559"/>
      <c r="H236" s="1559"/>
      <c r="I236" s="1561"/>
      <c r="J236" s="1561"/>
      <c r="K236" s="1561"/>
      <c r="L236" s="1650"/>
      <c r="M236" s="154"/>
      <c r="N236" s="154"/>
      <c r="O236" s="154"/>
      <c r="P236" s="154"/>
      <c r="Q236" s="154"/>
      <c r="R236" s="154"/>
      <c r="S236" s="154"/>
      <c r="T236" s="154"/>
      <c r="U236" s="154"/>
      <c r="V236" s="154"/>
      <c r="W236" s="154"/>
      <c r="X236" s="154"/>
      <c r="Y236" s="154"/>
      <c r="Z236" s="154"/>
      <c r="AA236" s="154"/>
      <c r="AB236" s="154"/>
      <c r="AC236" s="154"/>
      <c r="AD236" s="154"/>
      <c r="AE236" s="154"/>
      <c r="AF236" s="154"/>
      <c r="AG236" s="154"/>
      <c r="AH236" s="154"/>
      <c r="AI236" s="154"/>
      <c r="AJ236" s="154"/>
      <c r="AK236" s="154"/>
      <c r="AL236" s="154"/>
      <c r="AM236" s="154"/>
      <c r="AN236" s="154"/>
      <c r="AO236" s="154"/>
      <c r="AP236" s="154"/>
      <c r="AQ236" s="154"/>
      <c r="AR236" s="154"/>
      <c r="AS236" s="154"/>
      <c r="AT236" s="154"/>
      <c r="AU236" s="154"/>
      <c r="AV236" s="154"/>
      <c r="AW236" s="154"/>
      <c r="AX236" s="154"/>
      <c r="AY236" s="154"/>
      <c r="AZ236" s="154"/>
      <c r="BA236" s="154"/>
      <c r="BB236" s="154"/>
    </row>
    <row r="237" spans="1:87" s="527" customFormat="1" ht="15.75" customHeight="1" outlineLevel="1" x14ac:dyDescent="0.2">
      <c r="A237" s="1212"/>
      <c r="B237" s="1212" t="s">
        <v>5928</v>
      </c>
      <c r="C237" s="1219" t="s">
        <v>3209</v>
      </c>
      <c r="D237" s="1562" t="s">
        <v>2109</v>
      </c>
      <c r="E237" s="1566" t="str">
        <f>IF(NOT('09 App'!C127 = ""),'09 App'!C127,IF(COUNTIF('09 App'!C128:C132,"&gt;=0")=0,"", MIN(MAX(SUMPRODUCT('09 App'!C128:C132,'09 App'!$G128:$G132)*4/(SUM('09 App'!$G128:$G132) - SUMIF('09 App'!C128:C132,"X",'09 App'!$G128:$G132)),MAX('09 App'!AA128:AA132)),MIN('09 App'!AE128:AE132))))</f>
        <v/>
      </c>
      <c r="F237" s="1559" t="str">
        <f>IF(NOT('09 App'!D127 = ""),'09 App'!D127,IF(COUNTIF('09 App'!D128:D132,"&gt;=0")=0,"", MIN(MAX(SUMPRODUCT('09 App'!D128:D132,'09 App'!$G128:$G132)*4/(SUM('09 App'!$G128:$G132) - SUMIF('09 App'!D128:D132,"X",'09 App'!$G128:$G132)),MAX('09 App'!AB128:AB132)),MIN('09 App'!AF128:AF132))))</f>
        <v/>
      </c>
      <c r="G237" s="1559" t="str">
        <f>IF(NOT('09 App'!E127 = ""),'09 App'!E127,IF(COUNTIF('09 App'!E128:E132,"&gt;=0")=0,"", MIN(MAX(SUMPRODUCT('09 App'!E128:E132,'09 App'!$G128:$G132)*4/(SUM('09 App'!$G128:$G132) - SUMIF('09 App'!E128:E132,"X",'09 App'!$G128:$G132)),MAX('09 App'!AC128:AC132)),MIN('09 App'!AG128:AG132))))</f>
        <v/>
      </c>
      <c r="H237" s="1559" t="str">
        <f>IF(NOT('09 App'!F127 = ""),'09 App'!F127,IF(COUNTIF('09 App'!F128:F132,"&gt;=0")=0,"", MIN(MAX(SUMPRODUCT('09 App'!F128:F132,'09 App'!$G128:$G132)*4/(SUM('09 App'!$G128:$G132) - SUMIF('09 App'!F128:F132,"X",'09 App'!$G128:$G132)),MAX('09 App'!AD128:AD132)),MIN('09 App'!AH128:AH132))))</f>
        <v/>
      </c>
      <c r="I237" s="1557">
        <f>IF(AND(OR(E237="X",E237=""),OR(F237="X",F237=""),OR(G237="X",G237=""),OR(H237="X",H237="")),1,ROUND(MIN(IF(OR(E237="",E237="X"),4,E237),IF(OR(F237="",F237="X"),4,F237),IF(OR(G237="",G237="X"),4,G237),IF(OR(H237="",H237="X"),4,H237)),0))</f>
        <v>1</v>
      </c>
      <c r="J237" s="1557">
        <f>IF(I237="","",IF(IndG=3,MAX(I237,Obj_Projets!J237),MAX(I237,Obj_PA!D237)))</f>
        <v>1</v>
      </c>
      <c r="K237" s="1560">
        <f>IF(IF(OR(IndG=3,IndG=4),MAX(I237,J237),I237)&lt;1,1,IF(OR(IndG=3,IndG=4),MAX(I237,J237),I237))</f>
        <v>1</v>
      </c>
      <c r="L237" s="1650" t="str">
        <f>IF(E237=""," n'a pas démarré","")</f>
        <v xml:space="preserve"> n'a pas démarré</v>
      </c>
      <c r="M237" s="154"/>
      <c r="N237" s="154"/>
      <c r="O237" s="154"/>
      <c r="P237" s="154"/>
      <c r="Q237" s="154"/>
      <c r="R237" s="154"/>
      <c r="S237" s="154"/>
      <c r="T237" s="154"/>
      <c r="U237" s="154"/>
      <c r="V237" s="154"/>
      <c r="W237" s="154"/>
      <c r="X237" s="154"/>
      <c r="Y237" s="154"/>
      <c r="Z237" s="154"/>
      <c r="AA237" s="154"/>
      <c r="AB237" s="154"/>
      <c r="AC237" s="154"/>
      <c r="AD237" s="154"/>
      <c r="AE237" s="154"/>
      <c r="AF237" s="154"/>
      <c r="AG237" s="154"/>
      <c r="AH237" s="154"/>
      <c r="AI237" s="154"/>
      <c r="AJ237" s="154"/>
      <c r="AK237" s="154"/>
      <c r="AL237" s="154"/>
      <c r="AM237" s="154"/>
      <c r="AN237" s="154"/>
      <c r="AO237" s="154"/>
      <c r="AP237" s="154"/>
      <c r="AQ237" s="154"/>
      <c r="AR237" s="154"/>
      <c r="AS237" s="154"/>
      <c r="AT237" s="154"/>
      <c r="AU237" s="154"/>
      <c r="AV237" s="154"/>
      <c r="AW237" s="154"/>
      <c r="AX237" s="154"/>
      <c r="AY237" s="154"/>
      <c r="AZ237" s="154"/>
      <c r="BA237" s="154"/>
      <c r="BB237" s="154"/>
    </row>
    <row r="238" spans="1:87" s="527" customFormat="1" ht="15.75" customHeight="1" outlineLevel="1" x14ac:dyDescent="0.2">
      <c r="A238" s="1212"/>
      <c r="B238" s="1212" t="s">
        <v>3210</v>
      </c>
      <c r="C238" s="1219" t="s">
        <v>3212</v>
      </c>
      <c r="D238" s="1562" t="s">
        <v>2767</v>
      </c>
      <c r="E238" s="1566" t="str">
        <f>IF(NOT('09 App'!C133 = ""),'09 App'!C133,IF(COUNTIF('09 App'!C134:C143,"&gt;=0")=0,"", MIN(MAX(SUMPRODUCT('09 App'!C134:C143,'09 App'!$G134:$G143)*4/(SUM('09 App'!$G134:$G143) - SUMIF('09 App'!C134:C143,"X",'09 App'!$G134:$G143)),MAX('09 App'!AA134:AA143)),MIN('09 App'!AE134:AE143))))</f>
        <v/>
      </c>
      <c r="F238" s="1559" t="str">
        <f>IF(NOT('09 App'!D133 = ""),'09 App'!D133,IF(COUNTIF('09 App'!D134:D143,"&gt;=0")=0,"", MIN(MAX(SUMPRODUCT('09 App'!D134:D143,'09 App'!$G134:$G143)*4/(SUM('09 App'!$G134:$G143) - SUMIF('09 App'!D134:D143,"X",'09 App'!$G134:$G143)),MAX('09 App'!AB134:AB143)),MIN('09 App'!AF134:AF143))))</f>
        <v/>
      </c>
      <c r="G238" s="1559" t="str">
        <f>IF(NOT('09 App'!E133 = ""),'09 App'!E133,IF(COUNTIF('09 App'!E134:E143,"&gt;=0")=0,"", MIN(MAX(SUMPRODUCT('09 App'!E134:E143,'09 App'!$G134:$G143)*4/(SUM('09 App'!$G134:$G143) - SUMIF('09 App'!E134:E143,"X",'09 App'!$G134:$G143)),MAX('09 App'!AC134:AC143)),MIN('09 App'!AG134:AG143))))</f>
        <v/>
      </c>
      <c r="H238" s="1559" t="str">
        <f>IF(NOT('09 App'!F133 = ""),'09 App'!F133,IF(COUNTIF('09 App'!F134:F143,"&gt;=0")=0,"", MIN(MAX(SUMPRODUCT('09 App'!F134:F143,'09 App'!$G134:$G143)*4/(SUM('09 App'!$G134:$G143) - SUMIF('09 App'!F134:F143,"X",'09 App'!$G134:$G143)),MAX('09 App'!AD134:AD143)),MIN('09 App'!AH134:AH143))))</f>
        <v/>
      </c>
      <c r="I238" s="1557">
        <f>IF(AND(OR(E238="X",E238=""),OR(F238="X",F238=""),OR(G238="X",G238=""),OR(H238="X",H238="")),1,ROUND(MIN(IF(OR(E238="",E238="X"),4,E238),IF(OR(F238="",F238="X"),4,F238),IF(OR(G238="",G238="X"),4,G238),IF(OR(H238="",H238="X"),4,H238)),0))</f>
        <v>1</v>
      </c>
      <c r="J238" s="1557">
        <f>IF(I238="","",IF(IndG=3,MAX(I238,Obj_Projets!J238),MAX(I238,Obj_PA!D238)))</f>
        <v>1</v>
      </c>
      <c r="K238" s="1560">
        <f>IF(IF(OR(IndG=3,IndG=4),MAX(I238,J238),I238)&lt;1,1,IF(OR(IndG=3,IndG=4),MAX(I238,J238),I238))</f>
        <v>1</v>
      </c>
      <c r="L238" s="1650" t="str">
        <f>IF(E238=""," n'a pas démarré","")</f>
        <v xml:space="preserve"> n'a pas démarré</v>
      </c>
      <c r="M238" s="154"/>
      <c r="N238" s="154"/>
      <c r="O238" s="154"/>
      <c r="P238" s="154"/>
      <c r="Q238" s="154"/>
      <c r="R238" s="154"/>
      <c r="S238" s="154"/>
      <c r="T238" s="154"/>
      <c r="U238" s="154"/>
      <c r="V238" s="154"/>
      <c r="W238" s="154"/>
      <c r="X238" s="154"/>
      <c r="Y238" s="154"/>
      <c r="Z238" s="154"/>
      <c r="AA238" s="154"/>
      <c r="AB238" s="154"/>
      <c r="AC238" s="154"/>
      <c r="AD238" s="154"/>
      <c r="AE238" s="154"/>
      <c r="AF238" s="154"/>
      <c r="AG238" s="154"/>
      <c r="AH238" s="154"/>
      <c r="AI238" s="154"/>
      <c r="AJ238" s="154"/>
      <c r="AK238" s="154"/>
      <c r="AL238" s="154"/>
      <c r="AM238" s="154"/>
      <c r="AN238" s="154"/>
      <c r="AO238" s="154"/>
      <c r="AP238" s="154"/>
      <c r="AQ238" s="154"/>
      <c r="AR238" s="154"/>
      <c r="AS238" s="154"/>
      <c r="AT238" s="154"/>
      <c r="AU238" s="154"/>
      <c r="AV238" s="154"/>
      <c r="AW238" s="154"/>
      <c r="AX238" s="154"/>
      <c r="AY238" s="154"/>
      <c r="AZ238" s="154"/>
      <c r="BA238" s="154"/>
      <c r="BB238" s="154"/>
    </row>
    <row r="239" spans="1:87" s="527" customFormat="1" ht="15.75" customHeight="1" outlineLevel="1" x14ac:dyDescent="0.2">
      <c r="A239" s="1212"/>
      <c r="B239" s="1212" t="s">
        <v>3213</v>
      </c>
      <c r="C239" s="1219" t="s">
        <v>3214</v>
      </c>
      <c r="D239" s="1562" t="s">
        <v>2771</v>
      </c>
      <c r="E239" s="1566" t="str">
        <f>IF(NOT('09 App'!C144 = ""),'09 App'!C144,IF(COUNTIF('09 App'!C145:C149,"&gt;=0")=0,"", MIN(MAX(SUMPRODUCT('09 App'!C145:C149,'09 App'!$G145:$G149)*4/(SUM('09 App'!$G145:$G149) - SUMIF('09 App'!C145:C149,"X",'09 App'!$G145:$G149)),MAX('09 App'!AA145:AA149)),MIN('09 App'!AE145:AE149))))</f>
        <v/>
      </c>
      <c r="F239" s="1559" t="str">
        <f>IF(NOT('09 App'!D144 = ""),'09 App'!D144,IF(COUNTIF('09 App'!D145:D149,"&gt;=0")=0,"", MIN(MAX(SUMPRODUCT('09 App'!D145:D149,'09 App'!$G145:$G149)*4/(SUM('09 App'!$G145:$G149) - SUMIF('09 App'!D145:D149,"X",'09 App'!$G145:$G149)),MAX('09 App'!AB145:AB149)),MIN('09 App'!AF145:AF149))))</f>
        <v/>
      </c>
      <c r="G239" s="1559" t="str">
        <f>IF(NOT('09 App'!E144 = ""),'09 App'!E144,IF(COUNTIF('09 App'!E145:E149,"&gt;=0")=0,"", MIN(MAX(SUMPRODUCT('09 App'!E145:E149,'09 App'!$G145:$G149)*4/(SUM('09 App'!$G145:$G149) - SUMIF('09 App'!E145:E149,"X",'09 App'!$G145:$G149)),MAX('09 App'!AC145:AC149)),MIN('09 App'!AG145:AG149))))</f>
        <v/>
      </c>
      <c r="H239" s="1559" t="str">
        <f>IF(NOT('09 App'!F144 = ""),'09 App'!F144,IF(COUNTIF('09 App'!F145:F149,"&gt;=0")=0,"", MIN(MAX(SUMPRODUCT('09 App'!F145:F149,'09 App'!$G145:$G149)*4/(SUM('09 App'!$G145:$G149) - SUMIF('09 App'!F145:F149,"X",'09 App'!$G145:$G149)),MAX('09 App'!AD145:AD149)),MIN('09 App'!AH145:AH149))))</f>
        <v/>
      </c>
      <c r="I239" s="1557">
        <f>IF(AND(OR(E239="X",E239=""),OR(F239="X",F239=""),OR(G239="X",G239=""),OR(H239="X",H239="")),1,ROUND(MIN(IF(OR(E239="",E239="X"),4,E239),IF(OR(F239="",F239="X"),4,F239),IF(OR(G239="",G239="X"),4,G239),IF(OR(H239="",H239="X"),4,H239)),0))</f>
        <v>1</v>
      </c>
      <c r="J239" s="1557">
        <f>IF(I239="","",IF(IndG=3,MAX(I239,Obj_Projets!J239),MAX(I239,Obj_PA!D239)))</f>
        <v>1</v>
      </c>
      <c r="K239" s="1560">
        <f>IF(IF(OR(IndG=3,IndG=4),MAX(I239,J239),I239)&lt;1,1,IF(OR(IndG=3,IndG=4),MAX(I239,J239),I239))</f>
        <v>1</v>
      </c>
      <c r="L239" s="1650" t="str">
        <f>IF(E239=""," n'a pas démarré","")</f>
        <v xml:space="preserve"> n'a pas démarré</v>
      </c>
      <c r="M239" s="154"/>
      <c r="N239" s="154"/>
      <c r="O239" s="154"/>
      <c r="P239" s="154"/>
      <c r="Q239" s="154"/>
      <c r="R239" s="154"/>
      <c r="S239" s="154"/>
      <c r="T239" s="154"/>
      <c r="U239" s="154"/>
      <c r="V239" s="154"/>
      <c r="W239" s="154"/>
      <c r="X239" s="154"/>
      <c r="Y239" s="154"/>
      <c r="Z239" s="154"/>
      <c r="AA239" s="154"/>
      <c r="AB239" s="154"/>
      <c r="AC239" s="154"/>
      <c r="AD239" s="154"/>
      <c r="AE239" s="154"/>
      <c r="AF239" s="154"/>
      <c r="AG239" s="154"/>
      <c r="AH239" s="154"/>
      <c r="AI239" s="154"/>
      <c r="AJ239" s="154"/>
      <c r="AK239" s="154"/>
      <c r="AL239" s="154"/>
      <c r="AM239" s="154"/>
      <c r="AN239" s="154"/>
      <c r="AO239" s="154"/>
      <c r="AP239" s="154"/>
      <c r="AQ239" s="154"/>
      <c r="AR239" s="154"/>
      <c r="AS239" s="154"/>
      <c r="AT239" s="154"/>
      <c r="AU239" s="154"/>
      <c r="AV239" s="154"/>
      <c r="AW239" s="154"/>
      <c r="AX239" s="154"/>
      <c r="AY239" s="154"/>
      <c r="AZ239" s="154"/>
      <c r="BA239" s="154"/>
      <c r="BB239" s="154"/>
    </row>
    <row r="240" spans="1:87" ht="15.75" customHeight="1" outlineLevel="1" x14ac:dyDescent="0.2">
      <c r="A240" s="1212"/>
      <c r="B240" s="1213" t="s">
        <v>4168</v>
      </c>
      <c r="C240" s="1214" t="s">
        <v>4169</v>
      </c>
      <c r="D240" s="1554"/>
      <c r="E240" s="1566"/>
      <c r="F240" s="1566"/>
      <c r="G240" s="1566"/>
      <c r="H240" s="1566"/>
      <c r="I240" s="1561"/>
      <c r="J240" s="1561"/>
      <c r="K240" s="1561"/>
      <c r="L240" s="1652"/>
    </row>
    <row r="241" spans="1:87" ht="15.75" customHeight="1" outlineLevel="1" x14ac:dyDescent="0.2">
      <c r="A241" s="1212"/>
      <c r="B241" s="1212" t="s">
        <v>3215</v>
      </c>
      <c r="C241" s="1219" t="s">
        <v>2589</v>
      </c>
      <c r="D241" s="1562" t="s">
        <v>2627</v>
      </c>
      <c r="E241" s="1566" t="str">
        <f>IF(NOT('09 App'!C151 = ""),'09 App'!C151,IF(COUNTIF('09 App'!C152:C159,"&gt;=0")=0,"", MIN(MAX(SUMPRODUCT('09 App'!C152:C159,'09 App'!$G152:$G159)*4/(SUM('09 App'!$G152:$G159) - SUMIF('09 App'!C152:C159,"X",'09 App'!$G152:$G159)),MAX('09 App'!AA152:AA159)),MIN('09 App'!AE152:AE159))))</f>
        <v/>
      </c>
      <c r="F241" s="1566" t="str">
        <f>IF(NOT('09 App'!D151 = ""),'09 App'!D151,IF(COUNTIF('09 App'!D152:D159,"&gt;=0")=0,"", MIN(MAX(SUMPRODUCT('09 App'!D152:D159,'09 App'!$G152:$G159)*4/(SUM('09 App'!$G152:$G159) - SUMIF('09 App'!D152:D159,"X",'09 App'!$G152:$G159)),MAX('09 App'!AB152:AB159)),MIN('09 App'!AF152:AF159))))</f>
        <v/>
      </c>
      <c r="G241" s="1566" t="str">
        <f>IF(NOT('09 App'!E151 = ""),'09 App'!E151,IF(COUNTIF('09 App'!E152:E159,"&gt;=0")=0,"", MIN(MAX(SUMPRODUCT('09 App'!E152:E159,'09 App'!$G152:$G159)*4/(SUM('09 App'!$G152:$G159) - SUMIF('09 App'!E152:E159,"X",'09 App'!$G152:$G159)),MAX('09 App'!AC152:AC159)),MIN('09 App'!AG152:AG159))))</f>
        <v/>
      </c>
      <c r="H241" s="1566" t="str">
        <f>IF(NOT('09 App'!F151 = ""),'09 App'!F151,IF(COUNTIF('09 App'!F152:F159,"&gt;=0")=0,"", MIN(MAX(SUMPRODUCT('09 App'!F152:F159,'09 App'!$G152:$G159)*4/(SUM('09 App'!$G152:$G159) - SUMIF('09 App'!F152:F159,"X",'09 App'!$G152:$G159)),MAX('09 App'!AD152:AD159)),MIN('09 App'!AH152:AH159))))</f>
        <v/>
      </c>
      <c r="I241" s="1557">
        <f>IF(AND(OR(E241="X",E241=""),OR(F241="X",F241=""),OR(G241="X",G241=""),OR(H241="X",H241="")),1,ROUND(MIN(IF(OR(E241="",E241="X"),4,E241),IF(OR(F241="",F241="X"),4,F241),IF(OR(G241="",G241="X"),4,G241),IF(OR(H241="",H241="X"),4,H241)),0))</f>
        <v>1</v>
      </c>
      <c r="J241" s="1557">
        <f>IF(I241="","",IF(IndG=3,MAX(I241,Obj_Projets!J241),MAX(I241,Obj_PA!D241)))</f>
        <v>1</v>
      </c>
      <c r="K241" s="1560">
        <f>IF(IF(OR(IndG=3,IndG=4),MAX(I241,J241),I241)&lt;1,1,IF(OR(IndG=3,IndG=4),MAX(I241,J241),I241))</f>
        <v>1</v>
      </c>
      <c r="L241" s="1652" t="str">
        <f>IF(E241=""," n'a pas démarré","")</f>
        <v xml:space="preserve"> n'a pas démarré</v>
      </c>
    </row>
    <row r="242" spans="1:87" ht="15.75" customHeight="1" outlineLevel="1" x14ac:dyDescent="0.2">
      <c r="A242" s="1212"/>
      <c r="B242" s="1212" t="s">
        <v>3216</v>
      </c>
      <c r="C242" s="1219" t="s">
        <v>4210</v>
      </c>
      <c r="D242" s="1562" t="s">
        <v>2627</v>
      </c>
      <c r="E242" s="1566" t="str">
        <f>IF(NOT('09 App'!C160 = ""),'09 App'!C160,IF(COUNTIF('09 App'!C161:C167,"&gt;=0")=0,"", MIN(MAX(SUMPRODUCT('09 App'!C161:C167,'09 App'!$G161:$G167)*4/(SUM('09 App'!$G161:$G167) - SUMIF('09 App'!C161:C167,"X",'09 App'!$G161:$G167)),MAX('09 App'!AA161:AA167)),MIN('09 App'!AE161:AE167))))</f>
        <v/>
      </c>
      <c r="F242" s="1566" t="str">
        <f>IF(NOT('09 App'!D160 = ""),'09 App'!D160,IF(COUNTIF('09 App'!D161:D167,"&gt;=0")=0,"", MIN(MAX(SUMPRODUCT('09 App'!D161:D167,'09 App'!$G161:$G167)*4/(SUM('09 App'!$G161:$G167) - SUMIF('09 App'!D161:D167,"X",'09 App'!$G161:$G167)),MAX('09 App'!AB161:AB167)),MIN('09 App'!AF161:AF167))))</f>
        <v/>
      </c>
      <c r="G242" s="1566" t="str">
        <f>IF(NOT('09 App'!E160 = ""),'09 App'!E160,IF(COUNTIF('09 App'!E161:E167,"&gt;=0")=0,"", MIN(MAX(SUMPRODUCT('09 App'!E161:E167,'09 App'!$G161:$G167)*4/(SUM('09 App'!$G161:$G167) - SUMIF('09 App'!E161:E167,"X",'09 App'!$G161:$G167)),MAX('09 App'!AC161:AC167)),MIN('09 App'!AG161:AG167))))</f>
        <v/>
      </c>
      <c r="H242" s="1566" t="str">
        <f>IF(NOT('09 App'!F160 = ""),'09 App'!F160,IF(COUNTIF('09 App'!F161:F167,"&gt;=0")=0,"", MIN(MAX(SUMPRODUCT('09 App'!F161:F167,'09 App'!$G161:$G167)*4/(SUM('09 App'!$G161:$G167) - SUMIF('09 App'!F161:F167,"X",'09 App'!$G161:$G167)),MAX('09 App'!AD161:AD167)),MIN('09 App'!AH161:AH167))))</f>
        <v/>
      </c>
      <c r="I242" s="1557">
        <f>IF(AND(OR(E242="X",E242=""),OR(F242="X",F242=""),OR(G242="X",G242=""),OR(H242="X",H242="")),1,ROUND(MIN(IF(OR(E242="",E242="X"),4,E242),IF(OR(F242="",F242="X"),4,F242),IF(OR(G242="",G242="X"),4,G242),IF(OR(H242="",H242="X"),4,H242)),0))</f>
        <v>1</v>
      </c>
      <c r="J242" s="1557">
        <f>IF(I242="","",IF(IndG=3,MAX(I242,Obj_Projets!J242),MAX(I242,Obj_PA!D242)))</f>
        <v>1</v>
      </c>
      <c r="K242" s="1560">
        <f>IF(IF(OR(IndG=3,IndG=4),MAX(I242,J242),I242)&lt;1,1,IF(OR(IndG=3,IndG=4),MAX(I242,J242),I242))</f>
        <v>1</v>
      </c>
      <c r="L242" s="1652" t="str">
        <f>IF(E242=""," n'a pas démarré","")</f>
        <v xml:space="preserve"> n'a pas démarré</v>
      </c>
    </row>
    <row r="243" spans="1:87" ht="15.75" customHeight="1" outlineLevel="1" x14ac:dyDescent="0.2">
      <c r="A243" s="1212"/>
      <c r="B243" s="1212" t="s">
        <v>4211</v>
      </c>
      <c r="C243" s="1219" t="s">
        <v>2219</v>
      </c>
      <c r="D243" s="1562" t="s">
        <v>2627</v>
      </c>
      <c r="E243" s="1566" t="str">
        <f>IF(NOT('09 App'!C168 = ""),'09 App'!C168,IF(COUNTIF('09 App'!C169:C174,"&gt;=0")=0,"", MIN(MAX(SUMPRODUCT('09 App'!C169:C174,'09 App'!$G169:$G174)*4/(SUM('09 App'!$G169:$G174) - SUMIF('09 App'!C169:C174,"X",'09 App'!$G169:$G174)),MAX('09 App'!AA169:AA174)),MIN('09 App'!AE169:AE174))))</f>
        <v/>
      </c>
      <c r="F243" s="1566" t="str">
        <f>IF(NOT('09 App'!D168 = ""),'09 App'!D168,IF(COUNTIF('09 App'!D169:D174,"&gt;=0")=0,"", MIN(MAX(SUMPRODUCT('09 App'!D169:D174,'09 App'!$G169:$G174)*4/(SUM('09 App'!$G169:$G174) - SUMIF('09 App'!D169:D174,"X",'09 App'!$G169:$G174)),MAX('09 App'!AB169:AB174)),MIN('09 App'!AF169:AF174))))</f>
        <v/>
      </c>
      <c r="G243" s="1566" t="str">
        <f>IF(NOT('09 App'!E168 = ""),'09 App'!E168,IF(COUNTIF('09 App'!E169:E174,"&gt;=0")=0,"", MIN(MAX(SUMPRODUCT('09 App'!E169:E174,'09 App'!$G169:$G174)*4/(SUM('09 App'!$G169:$G174) - SUMIF('09 App'!E169:E174,"X",'09 App'!$G169:$G174)),MAX('09 App'!AC169:AC174)),MIN('09 App'!AG169:AG174))))</f>
        <v/>
      </c>
      <c r="H243" s="1566" t="str">
        <f>IF(NOT('09 App'!F168 = ""),'09 App'!F168,IF(COUNTIF('09 App'!F169:F174,"&gt;=0")=0,"", MIN(MAX(SUMPRODUCT('09 App'!F169:F174,'09 App'!$G169:$G174)*4/(SUM('09 App'!$G169:$G174) - SUMIF('09 App'!F169:F174,"X",'09 App'!$G169:$G174)),MAX('09 App'!AD169:AD174)),MIN('09 App'!AH169:AH174))))</f>
        <v/>
      </c>
      <c r="I243" s="1557">
        <f>IF(AND(OR(E243="X",E243=""),OR(F243="X",F243=""),OR(G243="X",G243=""),OR(H243="X",H243="")),1,ROUND(MIN(IF(OR(E243="",E243="X"),4,E243),IF(OR(F243="",F243="X"),4,F243),IF(OR(G243="",G243="X"),4,G243),IF(OR(H243="",H243="X"),4,H243)),0))</f>
        <v>1</v>
      </c>
      <c r="J243" s="1557">
        <f>IF(I243="","",IF(IndG=3,MAX(I243,Obj_Projets!J243),MAX(I243,Obj_PA!D243)))</f>
        <v>1</v>
      </c>
      <c r="K243" s="1560">
        <f>IF(IF(OR(IndG=3,IndG=4),MAX(I243,J243),I243)&lt;1,1,IF(OR(IndG=3,IndG=4),MAX(I243,J243),I243))</f>
        <v>1</v>
      </c>
      <c r="L243" s="1652" t="str">
        <f>IF(E243=""," n'a pas démarré","")</f>
        <v xml:space="preserve"> n'a pas démarré</v>
      </c>
      <c r="CI243" s="520">
        <f>IF(INDEX(Tab_actions,82,1)=1,INDEX(Tab_actions,82,4),0)</f>
        <v>0</v>
      </c>
    </row>
    <row r="244" spans="1:87" ht="15.75" customHeight="1" outlineLevel="1" x14ac:dyDescent="0.2">
      <c r="A244" s="1212"/>
      <c r="B244" s="1213" t="s">
        <v>3456</v>
      </c>
      <c r="C244" s="1214" t="s">
        <v>3457</v>
      </c>
      <c r="D244" s="1554"/>
      <c r="E244" s="1566"/>
      <c r="F244" s="1566"/>
      <c r="G244" s="1566"/>
      <c r="H244" s="1566"/>
      <c r="I244" s="1561"/>
      <c r="J244" s="1561"/>
      <c r="K244" s="1561"/>
      <c r="L244" s="1652"/>
    </row>
    <row r="245" spans="1:87" ht="15.75" customHeight="1" outlineLevel="1" x14ac:dyDescent="0.2">
      <c r="A245" s="1212"/>
      <c r="B245" s="1212" t="s">
        <v>2220</v>
      </c>
      <c r="C245" s="1219" t="s">
        <v>2221</v>
      </c>
      <c r="D245" s="1570" t="s">
        <v>2775</v>
      </c>
      <c r="E245" s="1566" t="str">
        <f>IF(NOT('09 App'!C176 = ""),'09 App'!C176,IF(COUNTIF('09 App'!C177:C187,"&gt;=0")=0,"", MIN(MAX(SUMPRODUCT('09 App'!C177:C187,'09 App'!$G177:$G187)*4/(SUM('09 App'!$G177:$G187) - SUMIF('09 App'!C177:C187,"X",'09 App'!$G177:$G187)),MAX('09 App'!AA177:AA187)),MIN('09 App'!AE177:AE187))))</f>
        <v/>
      </c>
      <c r="F245" s="1566" t="str">
        <f>IF(NOT('09 App'!D176 = ""),'09 App'!D176,IF(COUNTIF('09 App'!D177:D187,"&gt;=0")=0,"", MIN(MAX(SUMPRODUCT('09 App'!D177:D187,'09 App'!$G177:$G187)*4/(SUM('09 App'!$G177:$G187) - SUMIF('09 App'!D177:D187,"X",'09 App'!$G177:$G187)),MAX('09 App'!AB177:AB187)),MIN('09 App'!AF177:AF187))))</f>
        <v/>
      </c>
      <c r="G245" s="1566" t="str">
        <f>IF(NOT('09 App'!E176 = ""),'09 App'!E176,IF(COUNTIF('09 App'!E177:E187,"&gt;=0")=0,"", MIN(MAX(SUMPRODUCT('09 App'!E177:E187,'09 App'!$G177:$G187)*4/(SUM('09 App'!$G177:$G187) - SUMIF('09 App'!E177:E187,"X",'09 App'!$G177:$G187)),MAX('09 App'!AC177:AC187)),MIN('09 App'!AG177:AG187))))</f>
        <v/>
      </c>
      <c r="H245" s="1566" t="str">
        <f>IF(NOT('09 App'!F176 = ""),'09 App'!F176,IF(COUNTIF('09 App'!F177:F187,"&gt;=0")=0,"", MIN(MAX(SUMPRODUCT('09 App'!F177:F187,'09 App'!$G177:$G187)*4/(SUM('09 App'!$G177:$G187) - SUMIF('09 App'!F177:F187,"X",'09 App'!$G177:$G187)),MAX('09 App'!AD177:AD187)),MIN('09 App'!AH177:AH187))))</f>
        <v/>
      </c>
      <c r="I245" s="1557">
        <f>IF(AND(OR(E245="X",E245=""),OR(F245="X",F245=""),OR(G245="X",G245=""),OR(H245="X",H245="")),1,ROUND(MIN(IF(OR(E245="",E245="X"),4,E245),IF(OR(F245="",F245="X"),4,F245),IF(OR(G245="",G245="X"),4,G245),IF(OR(H245="",H245="X"),4,H245)),0))</f>
        <v>1</v>
      </c>
      <c r="J245" s="1557">
        <f>IF(I245="","",IF(IndG=3,MAX(I245,Obj_Projets!J245),MAX(I245,Obj_PA!D245)))</f>
        <v>1</v>
      </c>
      <c r="K245" s="1560">
        <f>IF(IF(OR(IndG=3,IndG=4),MAX(I245,J245),I245)&lt;1,1,IF(OR(IndG=3,IndG=4),MAX(I245,J245),I245))</f>
        <v>1</v>
      </c>
      <c r="L245" s="1652" t="str">
        <f>IF(E245=""," n'a pas démarré","")</f>
        <v xml:space="preserve"> n'a pas démarré</v>
      </c>
    </row>
    <row r="246" spans="1:87" s="532" customFormat="1" ht="15.75" customHeight="1" outlineLevel="1" x14ac:dyDescent="0.2">
      <c r="A246" s="1212"/>
      <c r="B246" s="1221" t="s">
        <v>1000</v>
      </c>
      <c r="C246" s="1222" t="s">
        <v>7473</v>
      </c>
      <c r="D246" s="1554"/>
      <c r="E246" s="1559"/>
      <c r="F246" s="1559"/>
      <c r="G246" s="1559"/>
      <c r="H246" s="1559"/>
      <c r="I246" s="1561"/>
      <c r="J246" s="1561"/>
      <c r="K246" s="1561"/>
      <c r="L246" s="1650"/>
      <c r="M246" s="531"/>
      <c r="N246" s="531"/>
      <c r="O246" s="531"/>
      <c r="P246" s="531"/>
      <c r="Q246" s="531"/>
      <c r="R246" s="531"/>
      <c r="S246" s="531"/>
      <c r="T246" s="531"/>
      <c r="U246" s="531"/>
      <c r="V246" s="531"/>
      <c r="W246" s="531"/>
      <c r="X246" s="531"/>
      <c r="Y246" s="531"/>
      <c r="Z246" s="531"/>
      <c r="AA246" s="531"/>
      <c r="AB246" s="531"/>
      <c r="AC246" s="531"/>
      <c r="AD246" s="531"/>
      <c r="AE246" s="531"/>
      <c r="AF246" s="531"/>
      <c r="AG246" s="531"/>
      <c r="AH246" s="531"/>
      <c r="AI246" s="531"/>
      <c r="AJ246" s="531"/>
      <c r="AK246" s="531"/>
      <c r="AL246" s="531"/>
      <c r="AM246" s="531"/>
      <c r="AN246" s="531"/>
      <c r="AO246" s="531"/>
      <c r="AP246" s="531"/>
      <c r="AQ246" s="531"/>
      <c r="AR246" s="531"/>
      <c r="AS246" s="531"/>
      <c r="AT246" s="531"/>
      <c r="AU246" s="531"/>
      <c r="AV246" s="531"/>
      <c r="AW246" s="531"/>
      <c r="AX246" s="531"/>
      <c r="AY246" s="531"/>
      <c r="AZ246" s="531"/>
      <c r="BA246" s="531"/>
      <c r="BB246" s="531"/>
    </row>
    <row r="247" spans="1:87" s="527" customFormat="1" ht="15.75" customHeight="1" outlineLevel="1" x14ac:dyDescent="0.2">
      <c r="A247" s="1212"/>
      <c r="B247" s="1223" t="s">
        <v>2222</v>
      </c>
      <c r="C247" s="1224" t="s">
        <v>7002</v>
      </c>
      <c r="D247" s="1562" t="s">
        <v>2627</v>
      </c>
      <c r="E247" s="1559" t="str">
        <f>IF(NOT('09 App'!C189 = ""),'09 App'!C189,IF(COUNTIF('09 App'!C190:C200,"&gt;=0")=0,"", MIN(MAX(SUMPRODUCT('09 App'!C190:C200,'09 App'!$G190:$G200)*4/(SUM('09 App'!$G190:$G200) - SUMIF('09 App'!C190:C200,"X",'09 App'!$G190:$G200)),MAX('09 App'!AA190:AA200)),MIN('09 App'!AE190:AE200))))</f>
        <v/>
      </c>
      <c r="F247" s="1559" t="str">
        <f>IF(NOT('09 App'!D189 = ""),'09 App'!D189,IF(COUNTIF('09 App'!D190:D200,"&gt;=0")=0,"", MIN(MAX(SUMPRODUCT('09 App'!D190:D200,'09 App'!$G190:$G200)*4/(SUM('09 App'!$G190:$G200) - SUMIF('09 App'!D190:D200,"X",'09 App'!$G190:$G200)),MAX('09 App'!AB190:AB200)),MIN('09 App'!AF190:AF200))))</f>
        <v/>
      </c>
      <c r="G247" s="1559" t="str">
        <f>IF(NOT('09 App'!E189 = ""),'09 App'!E189,IF(COUNTIF('09 App'!E190:E200,"&gt;=0")=0,"", MIN(MAX(SUMPRODUCT('09 App'!E190:E200,'09 App'!$G190:$G200)*4/(SUM('09 App'!$G190:$G200) - SUMIF('09 App'!E190:E200,"X",'09 App'!$G190:$G200)),MAX('09 App'!AC190:AC200)),MIN('09 App'!AG190:AG200))))</f>
        <v/>
      </c>
      <c r="H247" s="1559" t="str">
        <f>IF(NOT('09 App'!F189 = ""),'09 App'!F189,IF(COUNTIF('09 App'!F190:F200,"&gt;=0")=0,"", MIN(MAX(SUMPRODUCT('09 App'!F190:F200,'09 App'!$G190:$G200)*4/(SUM('09 App'!$G190:$G200) - SUMIF('09 App'!F190:F200,"X",'09 App'!$G190:$G200)),MAX('09 App'!AD190:AD200)),MIN('09 App'!AH190:AH200))))</f>
        <v/>
      </c>
      <c r="I247" s="1557">
        <f>IF(AND(OR(E247="X",E247=""),OR(F247="X",F247=""),OR(G247="X",G247=""),OR(H247="X",H247="")),1,ROUND(MIN(IF(OR(E247="",E247="X"),4,E247),IF(OR(F247="",F247="X"),4,F247),IF(OR(G247="",G247="X"),4,G247),IF(OR(H247="",H247="X"),4,H247)),0))</f>
        <v>1</v>
      </c>
      <c r="J247" s="1557">
        <f>IF(I247="","",IF(IndG=3,MAX(I247,Obj_Projets!J247),MAX(I247,Obj_PA!D247)))</f>
        <v>1</v>
      </c>
      <c r="K247" s="1560">
        <f>IF(IF(OR(IndG=3,IndG=4),MAX(I247,J247),I247)&lt;1,1,IF(OR(IndG=3,IndG=4),MAX(I247,J247),I247))</f>
        <v>1</v>
      </c>
      <c r="L247" s="1650" t="str">
        <f>IF(E247=""," n'a pas démarré","")</f>
        <v xml:space="preserve"> n'a pas démarré</v>
      </c>
      <c r="M247" s="154"/>
      <c r="N247" s="154"/>
      <c r="O247" s="154"/>
      <c r="P247" s="154"/>
      <c r="Q247" s="154"/>
      <c r="R247" s="154"/>
      <c r="S247" s="154"/>
      <c r="T247" s="154"/>
      <c r="U247" s="154"/>
      <c r="V247" s="154"/>
      <c r="W247" s="154"/>
      <c r="X247" s="154"/>
      <c r="Y247" s="154"/>
      <c r="Z247" s="154"/>
      <c r="AA247" s="154"/>
      <c r="AB247" s="154"/>
      <c r="AC247" s="154"/>
      <c r="AD247" s="154"/>
      <c r="AE247" s="154"/>
      <c r="AF247" s="154"/>
      <c r="AG247" s="154"/>
      <c r="AH247" s="154"/>
      <c r="AI247" s="154"/>
      <c r="AJ247" s="154"/>
      <c r="AK247" s="154"/>
      <c r="AL247" s="154"/>
      <c r="AM247" s="154"/>
      <c r="AN247" s="154"/>
      <c r="AO247" s="154"/>
      <c r="AP247" s="154"/>
      <c r="AQ247" s="154"/>
      <c r="AR247" s="154"/>
      <c r="AS247" s="154"/>
      <c r="AT247" s="154"/>
      <c r="AU247" s="154"/>
      <c r="AV247" s="154"/>
      <c r="AW247" s="154"/>
      <c r="AX247" s="154"/>
      <c r="AY247" s="154"/>
      <c r="AZ247" s="154"/>
      <c r="BA247" s="154"/>
      <c r="BB247" s="154"/>
    </row>
    <row r="248" spans="1:87" s="527" customFormat="1" ht="15.75" customHeight="1" outlineLevel="1" x14ac:dyDescent="0.2">
      <c r="A248" s="1212"/>
      <c r="B248" s="1225" t="s">
        <v>7301</v>
      </c>
      <c r="C248" s="1219" t="s">
        <v>7312</v>
      </c>
      <c r="D248" s="1562" t="s">
        <v>2627</v>
      </c>
      <c r="E248" s="1559" t="str">
        <f>IF(NOT('09 App'!C201 = ""),'09 App'!C201,IF(COUNTIF('09 App'!C202:C207,"&gt;=0")=0,"", MIN(MAX(SUMPRODUCT('09 App'!C202:C207,'09 App'!$G202:$G207)*4/(SUM('09 App'!$G202:$G207) - SUMIF('09 App'!C202:C207,"X",'09 App'!$G202:$G207)),MAX('09 App'!AA202:AA207)),MIN('09 App'!AE202:AE207))))</f>
        <v/>
      </c>
      <c r="F248" s="1559" t="str">
        <f>IF(NOT('09 App'!D201 = ""),'09 App'!D201,IF(COUNTIF('09 App'!D202:D207,"&gt;=0")=0,"", MIN(MAX(SUMPRODUCT('09 App'!D202:D207,'09 App'!$G202:$G207)*4/(SUM('09 App'!$G202:$G207) - SUMIF('09 App'!D202:D207,"X",'09 App'!$G202:$G207)),MAX('09 App'!AB202:AB207)),MIN('09 App'!AF202:AF207))))</f>
        <v/>
      </c>
      <c r="G248" s="1559" t="str">
        <f>IF(NOT('09 App'!E201 = ""),'09 App'!E201,IF(COUNTIF('09 App'!E202:E207,"&gt;=0")=0,"", MIN(MAX(SUMPRODUCT('09 App'!E202:E207,'09 App'!$G202:$G207)*4/(SUM('09 App'!$G202:$G207) - SUMIF('09 App'!E202:E207,"X",'09 App'!$G202:$G207)),MAX('09 App'!AC202:AC207)),MIN('09 App'!AG202:AG207))))</f>
        <v/>
      </c>
      <c r="H248" s="1559" t="str">
        <f>IF(NOT('09 App'!F201 = ""),'09 App'!F201,IF(COUNTIF('09 App'!F202:F207,"&gt;=0")=0,"", MIN(MAX(SUMPRODUCT('09 App'!F202:F207,'09 App'!$G202:$G207)*4/(SUM('09 App'!$G202:$G207) - SUMIF('09 App'!F202:F207,"X",'09 App'!$G202:$G207)),MAX('09 App'!AD202:AD207)),MIN('09 App'!AH202:AH207))))</f>
        <v/>
      </c>
      <c r="I248" s="1557">
        <f>IF(AND(OR(E248="X",E248=""),OR(F248="X",F248=""),OR(G248="X",G248=""),OR(H248="X",H248="")),1,ROUND(MIN(IF(OR(E248="",E248="X"),4,E248),IF(OR(F248="",F248="X"),4,F248),IF(OR(G248="",G248="X"),4,G248),IF(OR(H248="",H248="X"),4,H248)),0))</f>
        <v>1</v>
      </c>
      <c r="J248" s="1557">
        <f>IF(I248="","",IF(IndG=3,MAX(I248,Obj_Projets!J248),MAX(I248,Obj_PA!D248)))</f>
        <v>1</v>
      </c>
      <c r="K248" s="1560">
        <f>IF(IF(OR(IndG=3,IndG=4),MAX(I248,J248),I248)&lt;1,1,IF(OR(IndG=3,IndG=4),MAX(I248,J248),I248))</f>
        <v>1</v>
      </c>
      <c r="L248" s="1650" t="str">
        <f>IF(E248=""," n'a pas démarré","")</f>
        <v xml:space="preserve"> n'a pas démarré</v>
      </c>
      <c r="M248" s="154"/>
      <c r="N248" s="154"/>
      <c r="O248" s="154"/>
      <c r="P248" s="154"/>
      <c r="Q248" s="154"/>
      <c r="R248" s="154"/>
      <c r="S248" s="154"/>
      <c r="T248" s="154"/>
      <c r="U248" s="154"/>
      <c r="V248" s="154"/>
      <c r="W248" s="154"/>
      <c r="X248" s="154"/>
      <c r="Y248" s="154"/>
      <c r="Z248" s="154"/>
      <c r="AA248" s="154"/>
      <c r="AB248" s="154"/>
      <c r="AC248" s="154"/>
      <c r="AD248" s="154"/>
      <c r="AE248" s="154"/>
      <c r="AF248" s="154"/>
      <c r="AG248" s="154"/>
      <c r="AH248" s="154"/>
      <c r="AI248" s="154"/>
      <c r="AJ248" s="154"/>
      <c r="AK248" s="154"/>
      <c r="AL248" s="154"/>
      <c r="AM248" s="154"/>
      <c r="AN248" s="154"/>
      <c r="AO248" s="154"/>
      <c r="AP248" s="154"/>
      <c r="AQ248" s="154"/>
      <c r="AR248" s="154"/>
      <c r="AS248" s="154"/>
      <c r="AT248" s="154"/>
      <c r="AU248" s="154"/>
      <c r="AV248" s="154"/>
      <c r="AW248" s="154"/>
      <c r="AX248" s="154"/>
      <c r="AY248" s="154"/>
      <c r="AZ248" s="154"/>
      <c r="BA248" s="154"/>
      <c r="BB248" s="154"/>
    </row>
    <row r="249" spans="1:87" s="527" customFormat="1" ht="15.75" customHeight="1" outlineLevel="1" x14ac:dyDescent="0.2">
      <c r="A249" s="1212"/>
      <c r="B249" s="1223" t="s">
        <v>7302</v>
      </c>
      <c r="C249" s="1219" t="s">
        <v>5726</v>
      </c>
      <c r="D249" s="1562" t="s">
        <v>2627</v>
      </c>
      <c r="E249" s="1559" t="str">
        <f>IF(NOT('09 App'!C208 = ""),'09 App'!C208,IF(COUNTIF('09 App'!C209:C213,"&gt;=0")=0,"", MIN(MAX(SUMPRODUCT('09 App'!C209:C213,'09 App'!$G209:$G213)*4/(SUM('09 App'!$G209:$G213) - SUMIF('09 App'!C209:C213,"X",'09 App'!$G209:$G213)),MAX('09 App'!AA209:AA213)),MIN('09 App'!AE209:AE213))))</f>
        <v/>
      </c>
      <c r="F249" s="1559" t="str">
        <f>IF(NOT('09 App'!D208 = ""),'09 App'!D208,IF(COUNTIF('09 App'!D209:D213,"&gt;=0")=0,"", MIN(MAX(SUMPRODUCT('09 App'!D209:D213,'09 App'!$G209:$G213)*4/(SUM('09 App'!$G209:$G213) - SUMIF('09 App'!D209:D213,"X",'09 App'!$G209:$G213)),MAX('09 App'!AB209:AB213)),MIN('09 App'!AF209:AF213))))</f>
        <v/>
      </c>
      <c r="G249" s="1559" t="str">
        <f>IF(NOT('09 App'!E208 = ""),'09 App'!E208,IF(COUNTIF('09 App'!E209:E213,"&gt;=0")=0,"", MIN(MAX(SUMPRODUCT('09 App'!E209:E213,'09 App'!$G209:$G213)*4/(SUM('09 App'!$G209:$G213) - SUMIF('09 App'!E209:E213,"X",'09 App'!$G209:$G213)),MAX('09 App'!AC209:AC213)),MIN('09 App'!AG209:AG213))))</f>
        <v/>
      </c>
      <c r="H249" s="1559" t="str">
        <f>IF(NOT('09 App'!F208 = ""),'09 App'!F208,IF(COUNTIF('09 App'!F209:F213,"&gt;=0")=0,"", MIN(MAX(SUMPRODUCT('09 App'!F209:F213,'09 App'!$G209:$G213)*4/(SUM('09 App'!$G209:$G213) - SUMIF('09 App'!F209:F213,"X",'09 App'!$G209:$G213)),MAX('09 App'!AD209:AD213)),MIN('09 App'!AH209:AH213))))</f>
        <v/>
      </c>
      <c r="I249" s="1557">
        <f>IF(AND(OR(E249="X",E249=""),OR(F249="X",F249=""),OR(G249="X",G249=""),OR(H249="X",H249="")),1,ROUND(MIN(IF(OR(E249="",E249="X"),4,E249),IF(OR(F249="",F249="X"),4,F249),IF(OR(G249="",G249="X"),4,G249),IF(OR(H249="",H249="X"),4,H249)),0))</f>
        <v>1</v>
      </c>
      <c r="J249" s="1557">
        <f>IF(I249="","",IF(IndG=3,MAX(I249,Obj_Projets!J249),MAX(I249,Obj_PA!D249)))</f>
        <v>1</v>
      </c>
      <c r="K249" s="1560">
        <f>IF(IF(OR(IndG=3,IndG=4),MAX(I249,J249),I249)&lt;1,1,IF(OR(IndG=3,IndG=4),MAX(I249,J249),I249))</f>
        <v>1</v>
      </c>
      <c r="L249" s="1650" t="str">
        <f>IF(E249=""," n'a pas démarré","")</f>
        <v xml:space="preserve"> n'a pas démarré</v>
      </c>
      <c r="M249" s="154"/>
      <c r="N249" s="154"/>
      <c r="O249" s="154"/>
      <c r="P249" s="154"/>
      <c r="Q249" s="154"/>
      <c r="R249" s="154"/>
      <c r="S249" s="154"/>
      <c r="T249" s="154"/>
      <c r="U249" s="154"/>
      <c r="V249" s="154"/>
      <c r="W249" s="154"/>
      <c r="X249" s="154"/>
      <c r="Y249" s="154"/>
      <c r="Z249" s="154"/>
      <c r="AA249" s="154"/>
      <c r="AB249" s="154"/>
      <c r="AC249" s="154"/>
      <c r="AD249" s="154"/>
      <c r="AE249" s="154"/>
      <c r="AF249" s="154"/>
      <c r="AG249" s="154"/>
      <c r="AH249" s="154"/>
      <c r="AI249" s="154"/>
      <c r="AJ249" s="154"/>
      <c r="AK249" s="154"/>
      <c r="AL249" s="154"/>
      <c r="AM249" s="154"/>
      <c r="AN249" s="154"/>
      <c r="AO249" s="154"/>
      <c r="AP249" s="154"/>
      <c r="AQ249" s="154"/>
      <c r="AR249" s="154"/>
      <c r="AS249" s="154"/>
      <c r="AT249" s="154"/>
      <c r="AU249" s="154"/>
      <c r="AV249" s="154"/>
      <c r="AW249" s="154"/>
      <c r="AX249" s="154"/>
      <c r="AY249" s="154"/>
      <c r="AZ249" s="154"/>
      <c r="BA249" s="154"/>
      <c r="BB249" s="154"/>
    </row>
    <row r="250" spans="1:87" ht="15.75" customHeight="1" x14ac:dyDescent="0.2">
      <c r="A250" s="1227" t="s">
        <v>40</v>
      </c>
      <c r="B250" s="1981" t="s">
        <v>6350</v>
      </c>
      <c r="C250" s="1982"/>
      <c r="D250" s="1563"/>
      <c r="E250" s="1564"/>
      <c r="F250" s="1564"/>
      <c r="G250" s="1564"/>
      <c r="H250" s="1564"/>
      <c r="I250" s="1568"/>
      <c r="J250" s="1568"/>
      <c r="K250" s="1568"/>
      <c r="L250" s="1653"/>
    </row>
    <row r="251" spans="1:87" s="527" customFormat="1" ht="15.75" customHeight="1" outlineLevel="1" x14ac:dyDescent="0.2">
      <c r="A251" s="1212"/>
      <c r="B251" s="1213" t="s">
        <v>4436</v>
      </c>
      <c r="C251" s="1214" t="s">
        <v>5076</v>
      </c>
      <c r="D251" s="1554"/>
      <c r="E251" s="1559"/>
      <c r="F251" s="1559"/>
      <c r="G251" s="1559"/>
      <c r="H251" s="1559"/>
      <c r="I251" s="1561"/>
      <c r="J251" s="1561"/>
      <c r="K251" s="1561"/>
      <c r="L251" s="1650"/>
      <c r="M251" s="154"/>
      <c r="N251" s="154"/>
      <c r="O251" s="154"/>
      <c r="P251" s="154"/>
      <c r="Q251" s="154"/>
      <c r="R251" s="154"/>
      <c r="S251" s="154"/>
      <c r="T251" s="154"/>
      <c r="U251" s="154"/>
      <c r="V251" s="154"/>
      <c r="W251" s="154"/>
      <c r="X251" s="154"/>
      <c r="Y251" s="154"/>
      <c r="Z251" s="154"/>
      <c r="AA251" s="154"/>
      <c r="AB251" s="154"/>
      <c r="AC251" s="154"/>
      <c r="AD251" s="154"/>
      <c r="AE251" s="154"/>
      <c r="AF251" s="154"/>
      <c r="AG251" s="154"/>
      <c r="AH251" s="154"/>
      <c r="AI251" s="154"/>
      <c r="AJ251" s="154"/>
      <c r="AK251" s="154"/>
      <c r="AL251" s="154"/>
      <c r="AM251" s="154"/>
      <c r="AN251" s="154"/>
      <c r="AO251" s="154"/>
      <c r="AP251" s="154"/>
      <c r="AQ251" s="154"/>
      <c r="AR251" s="154"/>
      <c r="AS251" s="154"/>
      <c r="AT251" s="154"/>
      <c r="AU251" s="154"/>
      <c r="AV251" s="154"/>
      <c r="AW251" s="154"/>
      <c r="AX251" s="154"/>
      <c r="AY251" s="154"/>
      <c r="AZ251" s="154"/>
      <c r="BA251" s="154"/>
      <c r="BB251" s="154"/>
    </row>
    <row r="252" spans="1:87" s="527" customFormat="1" ht="15.75" customHeight="1" outlineLevel="1" x14ac:dyDescent="0.2">
      <c r="A252" s="1212"/>
      <c r="B252" s="1212" t="s">
        <v>2223</v>
      </c>
      <c r="C252" s="1219" t="s">
        <v>5906</v>
      </c>
      <c r="D252" s="1562" t="s">
        <v>2773</v>
      </c>
      <c r="E252" s="1559" t="str">
        <f>IF(NOT('10 Dev'!C5 = ""),'10 Dev'!C5,IF(COUNTIF('10 Dev'!C6:C12,"&gt;=0")=0,"", MIN(MAX(SUMPRODUCT('10 Dev'!C6:C12,'10 Dev'!$G6:$G12)*4/(SUM('10 Dev'!$G6:$G12) - SUMIF('10 Dev'!C6:C12,"X",'10 Dev'!$G6:$G12)),MAX('10 Dev'!AA6:AA12)),MIN('10 Dev'!AE6:AE12))))</f>
        <v/>
      </c>
      <c r="F252" s="1559" t="str">
        <f>IF(NOT('10 Dev'!D5 = ""),'10 Dev'!D5,IF(COUNTIF('10 Dev'!D6:D12,"&gt;=0")=0,"", MIN(MAX(SUMPRODUCT('10 Dev'!D6:D12,'10 Dev'!$G6:$G12)*4/(SUM('10 Dev'!$G6:$G12) - SUMIF('10 Dev'!D6:D12,"X",'10 Dev'!$G6:$G12)),MAX('10 Dev'!AB6:AB12)),MIN('10 Dev'!AF6:AF12))))</f>
        <v/>
      </c>
      <c r="G252" s="1559" t="str">
        <f>IF(NOT('10 Dev'!E5 = ""),'10 Dev'!E5,IF(COUNTIF('10 Dev'!E6:E12,"&gt;=0")=0,"", MIN(MAX(SUMPRODUCT('10 Dev'!E6:E12,'10 Dev'!$G6:$G12)*4/(SUM('10 Dev'!$G6:$G12) - SUMIF('10 Dev'!E6:E12,"X",'10 Dev'!$G6:$G12)),MAX('10 Dev'!AC6:AC12)),MIN('10 Dev'!AG6:AG12))))</f>
        <v/>
      </c>
      <c r="H252" s="1559" t="str">
        <f>IF(NOT('10 Dev'!F5 = ""),'10 Dev'!F5,IF(COUNTIF('10 Dev'!F6:F12,"&gt;=0")=0,"", MIN(MAX(SUMPRODUCT('10 Dev'!F6:F12,'10 Dev'!$G6:$G12)*4/(SUM('10 Dev'!$G6:$G12) - SUMIF('10 Dev'!F6:F12,"X",'10 Dev'!$G6:$G12)),MAX('10 Dev'!AD6:AD12)),MIN('10 Dev'!AH6:AH12))))</f>
        <v/>
      </c>
      <c r="I252" s="1557">
        <f>IF(AND(OR(E252="X",E252=""),OR(F252="X",F252=""),OR(G252="X",G252=""),OR(H252="X",H252="")),1,ROUND(MIN(IF(OR(E252="",E252="X"),4,E252),IF(OR(F252="",F252="X"),4,F252),IF(OR(G252="",G252="X"),4,G252),IF(OR(H252="",H252="X"),4,H252)),0))</f>
        <v>1</v>
      </c>
      <c r="J252" s="1557">
        <f>IF(I252="","",IF(IndG=3,MAX(I252,Obj_Projets!J252),MAX(I252,Obj_PA!D252)))</f>
        <v>1</v>
      </c>
      <c r="K252" s="1560">
        <f>IF(IF(OR(IndG=3,IndG=4),MAX(I252,J252),I252)&lt;1,1,IF(OR(IndG=3,IndG=4),MAX(I252,J252),I252))</f>
        <v>1</v>
      </c>
      <c r="L252" s="1650" t="str">
        <f>IF(E252=""," n'a pas démarré","")</f>
        <v xml:space="preserve"> n'a pas démarré</v>
      </c>
      <c r="M252" s="154"/>
      <c r="N252" s="154"/>
      <c r="O252" s="154"/>
      <c r="P252" s="154"/>
      <c r="Q252" s="154"/>
      <c r="R252" s="154"/>
      <c r="S252" s="154"/>
      <c r="T252" s="154"/>
      <c r="U252" s="154"/>
      <c r="V252" s="154"/>
      <c r="W252" s="154"/>
      <c r="X252" s="154"/>
      <c r="Y252" s="154"/>
      <c r="Z252" s="154"/>
      <c r="AA252" s="154"/>
      <c r="AB252" s="154"/>
      <c r="AC252" s="154"/>
      <c r="AD252" s="154"/>
      <c r="AE252" s="154"/>
      <c r="AF252" s="154"/>
      <c r="AG252" s="154"/>
      <c r="AH252" s="154"/>
      <c r="AI252" s="154"/>
      <c r="AJ252" s="154"/>
      <c r="AK252" s="154"/>
      <c r="AL252" s="154"/>
      <c r="AM252" s="154"/>
      <c r="AN252" s="154"/>
      <c r="AO252" s="154"/>
      <c r="AP252" s="154"/>
      <c r="AQ252" s="154"/>
      <c r="AR252" s="154"/>
      <c r="AS252" s="154"/>
      <c r="AT252" s="154"/>
      <c r="AU252" s="154"/>
      <c r="AV252" s="154"/>
      <c r="AW252" s="154"/>
      <c r="AX252" s="154"/>
      <c r="AY252" s="154"/>
      <c r="AZ252" s="154"/>
      <c r="BA252" s="154"/>
      <c r="BB252" s="154"/>
    </row>
    <row r="253" spans="1:87" s="527" customFormat="1" ht="15.75" customHeight="1" outlineLevel="1" x14ac:dyDescent="0.2">
      <c r="A253" s="1212"/>
      <c r="B253" s="1212" t="s">
        <v>2224</v>
      </c>
      <c r="C253" s="1219" t="s">
        <v>2225</v>
      </c>
      <c r="D253" s="1562" t="s">
        <v>2773</v>
      </c>
      <c r="E253" s="1559" t="str">
        <f>IF(NOT('10 Dev'!C13 = ""),'10 Dev'!C13,IF(COUNTIF('10 Dev'!C14:C20,"&gt;=0")=0,"", MIN(MAX(SUMPRODUCT('10 Dev'!C14:C20,'10 Dev'!$G14:$G20)*4/(SUM('10 Dev'!$G14:$G20) - SUMIF('10 Dev'!C14:C20,"X",'10 Dev'!$G14:$G20)),MAX('10 Dev'!AA14:AA20)),MIN('10 Dev'!AE14:AE20))))</f>
        <v/>
      </c>
      <c r="F253" s="1559" t="str">
        <f>IF(NOT('10 Dev'!D13 = ""),'10 Dev'!D13,IF(COUNTIF('10 Dev'!D14:D20,"&gt;=0")=0,"", MIN(MAX(SUMPRODUCT('10 Dev'!D14:D20,'10 Dev'!$G14:$G20)*4/(SUM('10 Dev'!$G14:$G20) - SUMIF('10 Dev'!D14:D20,"X",'10 Dev'!$G14:$G20)),MAX('10 Dev'!AB14:AB20)),MIN('10 Dev'!AF14:AF20))))</f>
        <v/>
      </c>
      <c r="G253" s="1559" t="str">
        <f>IF(NOT('10 Dev'!E13 = ""),'10 Dev'!E13,IF(COUNTIF('10 Dev'!E14:E20,"&gt;=0")=0,"", MIN(MAX(SUMPRODUCT('10 Dev'!E14:E20,'10 Dev'!$G14:$G20)*4/(SUM('10 Dev'!$G14:$G20) - SUMIF('10 Dev'!E14:E20,"X",'10 Dev'!$G14:$G20)),MAX('10 Dev'!AC14:AC20)),MIN('10 Dev'!AG14:AG20))))</f>
        <v/>
      </c>
      <c r="H253" s="1559" t="str">
        <f>IF(NOT('10 Dev'!F13 = ""),'10 Dev'!F13,IF(COUNTIF('10 Dev'!F14:F20,"&gt;=0")=0,"", MIN(MAX(SUMPRODUCT('10 Dev'!F14:F20,'10 Dev'!$G14:$G20)*4/(SUM('10 Dev'!$G14:$G20) - SUMIF('10 Dev'!F14:F20,"X",'10 Dev'!$G14:$G20)),MAX('10 Dev'!AD14:AD20)),MIN('10 Dev'!AH14:AH20))))</f>
        <v/>
      </c>
      <c r="I253" s="1557">
        <f>IF(AND(OR(E253="X",E253=""),OR(F253="X",F253=""),OR(G253="X",G253=""),OR(H253="X",H253="")),1,ROUND(MIN(IF(OR(E253="",E253="X"),4,E253),IF(OR(F253="",F253="X"),4,F253),IF(OR(G253="",G253="X"),4,G253),IF(OR(H253="",H253="X"),4,H253)),0))</f>
        <v>1</v>
      </c>
      <c r="J253" s="1557">
        <f>IF(I253="","",IF(IndG=3,MAX(I253,Obj_Projets!J253),MAX(I253,Obj_PA!D253)))</f>
        <v>1</v>
      </c>
      <c r="K253" s="1560">
        <f>IF(IF(OR(IndG=3,IndG=4),MAX(I253,J253),I253)&lt;1,1,IF(OR(IndG=3,IndG=4),MAX(I253,J253),I253))</f>
        <v>1</v>
      </c>
      <c r="L253" s="1650" t="str">
        <f>IF(E253=""," n'a pas démarré","")</f>
        <v xml:space="preserve"> n'a pas démarré</v>
      </c>
      <c r="M253" s="154"/>
      <c r="N253" s="154"/>
      <c r="O253" s="154"/>
      <c r="P253" s="154"/>
      <c r="Q253" s="154"/>
      <c r="R253" s="154"/>
      <c r="S253" s="154"/>
      <c r="T253" s="154"/>
      <c r="U253" s="154"/>
      <c r="V253" s="154"/>
      <c r="W253" s="154"/>
      <c r="X253" s="154"/>
      <c r="Y253" s="154"/>
      <c r="Z253" s="154"/>
      <c r="AA253" s="154"/>
      <c r="AB253" s="154"/>
      <c r="AC253" s="154"/>
      <c r="AD253" s="154"/>
      <c r="AE253" s="154"/>
      <c r="AF253" s="154"/>
      <c r="AG253" s="154"/>
      <c r="AH253" s="154"/>
      <c r="AI253" s="154"/>
      <c r="AJ253" s="154"/>
      <c r="AK253" s="154"/>
      <c r="AL253" s="154"/>
      <c r="AM253" s="154"/>
      <c r="AN253" s="154"/>
      <c r="AO253" s="154"/>
      <c r="AP253" s="154"/>
      <c r="AQ253" s="154"/>
      <c r="AR253" s="154"/>
      <c r="AS253" s="154"/>
      <c r="AT253" s="154"/>
      <c r="AU253" s="154"/>
      <c r="AV253" s="154"/>
      <c r="AW253" s="154"/>
      <c r="AX253" s="154"/>
      <c r="AY253" s="154"/>
      <c r="AZ253" s="154"/>
      <c r="BA253" s="154"/>
      <c r="BB253" s="154"/>
    </row>
    <row r="254" spans="1:87" s="527" customFormat="1" ht="15.75" customHeight="1" outlineLevel="1" x14ac:dyDescent="0.2">
      <c r="A254" s="1212"/>
      <c r="B254" s="1212" t="s">
        <v>2226</v>
      </c>
      <c r="C254" s="1219" t="s">
        <v>5742</v>
      </c>
      <c r="D254" s="1562" t="s">
        <v>2773</v>
      </c>
      <c r="E254" s="1559" t="str">
        <f>IF(NOT('10 Dev'!C21 = ""),'10 Dev'!C21,IF(COUNTIF('10 Dev'!C22:C26,"&gt;=0")=0,"", MIN(MAX(SUMPRODUCT('10 Dev'!C22:C26,'10 Dev'!$G22:$G26)*4/(SUM('10 Dev'!$G22:$G26) - SUMIF('10 Dev'!C22:C26,"X",'10 Dev'!$G22:$G26)),MAX('10 Dev'!AA22:AA26)),MIN('10 Dev'!AE22:AE26))))</f>
        <v/>
      </c>
      <c r="F254" s="1559" t="str">
        <f>IF(NOT('10 Dev'!D21 = ""),'10 Dev'!D21,IF(COUNTIF('10 Dev'!D22:D26,"&gt;=0")=0,"", MIN(MAX(SUMPRODUCT('10 Dev'!D22:D26,'10 Dev'!$G22:$G26)*4/(SUM('10 Dev'!$G22:$G26) - SUMIF('10 Dev'!D22:D26,"X",'10 Dev'!$G22:$G26)),MAX('10 Dev'!AB22:AB26)),MIN('10 Dev'!AF22:AF26))))</f>
        <v/>
      </c>
      <c r="G254" s="1559" t="str">
        <f>IF(NOT('10 Dev'!E21 = ""),'10 Dev'!E21,IF(COUNTIF('10 Dev'!E22:E26,"&gt;=0")=0,"", MIN(MAX(SUMPRODUCT('10 Dev'!E22:E26,'10 Dev'!$G22:$G26)*4/(SUM('10 Dev'!$G22:$G26) - SUMIF('10 Dev'!E22:E26,"X",'10 Dev'!$G22:$G26)),MAX('10 Dev'!AC22:AC26)),MIN('10 Dev'!AG22:AG26))))</f>
        <v/>
      </c>
      <c r="H254" s="1559" t="str">
        <f>IF(NOT('10 Dev'!F21 = ""),'10 Dev'!F21,IF(COUNTIF('10 Dev'!F22:F26,"&gt;=0")=0,"", MIN(MAX(SUMPRODUCT('10 Dev'!F22:F26,'10 Dev'!$G22:$G26)*4/(SUM('10 Dev'!$G22:$G26) - SUMIF('10 Dev'!F22:F26,"X",'10 Dev'!$G22:$G26)),MAX('10 Dev'!AD22:AD26)),MIN('10 Dev'!AH22:AH26))))</f>
        <v/>
      </c>
      <c r="I254" s="1557">
        <f>IF(AND(OR(E254="X",E254=""),OR(F254="X",F254=""),OR(G254="X",G254=""),OR(H254="X",H254="")),1,ROUND(MIN(IF(OR(E254="",E254="X"),4,E254),IF(OR(F254="",F254="X"),4,F254),IF(OR(G254="",G254="X"),4,G254),IF(OR(H254="",H254="X"),4,H254)),0))</f>
        <v>1</v>
      </c>
      <c r="J254" s="1557">
        <f>IF(I254="","",IF(IndG=3,MAX(I254,Obj_Projets!J254),MAX(I254,Obj_PA!D254)))</f>
        <v>1</v>
      </c>
      <c r="K254" s="1560">
        <f>IF(IF(OR(IndG=3,IndG=4),MAX(I254,J254),I254)&lt;1,1,IF(OR(IndG=3,IndG=4),MAX(I254,J254),I254))</f>
        <v>1</v>
      </c>
      <c r="L254" s="1650" t="str">
        <f>IF(E254=""," n'a pas démarré","")</f>
        <v xml:space="preserve"> n'a pas démarré</v>
      </c>
      <c r="M254" s="154"/>
      <c r="N254" s="154"/>
      <c r="O254" s="154"/>
      <c r="P254" s="154"/>
      <c r="Q254" s="154"/>
      <c r="R254" s="154"/>
      <c r="S254" s="154"/>
      <c r="T254" s="154"/>
      <c r="U254" s="154"/>
      <c r="V254" s="154"/>
      <c r="W254" s="154"/>
      <c r="X254" s="154"/>
      <c r="Y254" s="154"/>
      <c r="Z254" s="154"/>
      <c r="AA254" s="154"/>
      <c r="AB254" s="154"/>
      <c r="AC254" s="154"/>
      <c r="AD254" s="154"/>
      <c r="AE254" s="154"/>
      <c r="AF254" s="154"/>
      <c r="AG254" s="154"/>
      <c r="AH254" s="154"/>
      <c r="AI254" s="154"/>
      <c r="AJ254" s="154"/>
      <c r="AK254" s="154"/>
      <c r="AL254" s="154"/>
      <c r="AM254" s="154"/>
      <c r="AN254" s="154"/>
      <c r="AO254" s="154"/>
      <c r="AP254" s="154"/>
      <c r="AQ254" s="154"/>
      <c r="AR254" s="154"/>
      <c r="AS254" s="154"/>
      <c r="AT254" s="154"/>
      <c r="AU254" s="154"/>
      <c r="AV254" s="154"/>
      <c r="AW254" s="154"/>
      <c r="AX254" s="154"/>
      <c r="AY254" s="154"/>
      <c r="AZ254" s="154"/>
      <c r="BA254" s="154"/>
      <c r="BB254" s="154"/>
    </row>
    <row r="255" spans="1:87" s="527" customFormat="1" ht="15.75" customHeight="1" outlineLevel="1" x14ac:dyDescent="0.2">
      <c r="A255" s="1212"/>
      <c r="B255" s="1212" t="s">
        <v>1202</v>
      </c>
      <c r="C255" s="1219" t="s">
        <v>2162</v>
      </c>
      <c r="D255" s="1562" t="s">
        <v>2773</v>
      </c>
      <c r="E255" s="1559" t="str">
        <f>IF(NOT('10 Dev'!C27 = ""),'10 Dev'!C27,IF(COUNTIF('10 Dev'!C28:C32,"&gt;=0")=0,"", MIN(MAX(SUMPRODUCT('10 Dev'!C28:C32,'10 Dev'!$G28:$G32)*4/(SUM('10 Dev'!$G28:$G32) - SUMIF('10 Dev'!C28:C32,"X",'10 Dev'!$G28:$G32)),MAX('10 Dev'!AA28:AA32)),MIN('10 Dev'!AE28:AE32))))</f>
        <v/>
      </c>
      <c r="F255" s="1559" t="str">
        <f>IF(NOT('10 Dev'!D27 = ""),'10 Dev'!D27,IF(COUNTIF('10 Dev'!D28:D32,"&gt;=0")=0,"", MIN(MAX(SUMPRODUCT('10 Dev'!D28:D32,'10 Dev'!$G28:$G32)*4/(SUM('10 Dev'!$G28:$G32) - SUMIF('10 Dev'!D28:D32,"X",'10 Dev'!$G28:$G32)),MAX('10 Dev'!AB28:AB32)),MIN('10 Dev'!AF28:AF32))))</f>
        <v/>
      </c>
      <c r="G255" s="1559" t="str">
        <f>IF(NOT('10 Dev'!E27 = ""),'10 Dev'!E27,IF(COUNTIF('10 Dev'!E28:E32,"&gt;=0")=0,"", MIN(MAX(SUMPRODUCT('10 Dev'!E28:E32,'10 Dev'!$G28:$G32)*4/(SUM('10 Dev'!$G28:$G32) - SUMIF('10 Dev'!E28:E32,"X",'10 Dev'!$G28:$G32)),MAX('10 Dev'!AC28:AC32)),MIN('10 Dev'!AG28:AG32))))</f>
        <v/>
      </c>
      <c r="H255" s="1559" t="str">
        <f>IF(NOT('10 Dev'!F27 = ""),'10 Dev'!F27,IF(COUNTIF('10 Dev'!F28:F32,"&gt;=0")=0,"", MIN(MAX(SUMPRODUCT('10 Dev'!F28:F32,'10 Dev'!$G28:$G32)*4/(SUM('10 Dev'!$G28:$G32) - SUMIF('10 Dev'!F28:F32,"X",'10 Dev'!$G28:$G32)),MAX('10 Dev'!AD28:AD32)),MIN('10 Dev'!AH28:AH32))))</f>
        <v/>
      </c>
      <c r="I255" s="1557">
        <f>IF(AND(OR(E255="X",E255=""),OR(F255="X",F255=""),OR(G255="X",G255=""),OR(H255="X",H255="")),1,ROUND(MIN(IF(OR(E255="",E255="X"),4,E255),IF(OR(F255="",F255="X"),4,F255),IF(OR(G255="",G255="X"),4,G255),IF(OR(H255="",H255="X"),4,H255)),0))</f>
        <v>1</v>
      </c>
      <c r="J255" s="1557">
        <f>IF(I255="","",IF(IndG=3,MAX(I255,Obj_Projets!J255),MAX(I255,Obj_PA!D255)))</f>
        <v>1</v>
      </c>
      <c r="K255" s="1560">
        <f>IF(IF(OR(IndG=3,IndG=4),MAX(I255,J255),I255)&lt;1,1,IF(OR(IndG=3,IndG=4),MAX(I255,J255),I255))</f>
        <v>1</v>
      </c>
      <c r="L255" s="1650" t="str">
        <f>IF(E255=""," n'a pas démarré","")</f>
        <v xml:space="preserve"> n'a pas démarré</v>
      </c>
      <c r="M255" s="154"/>
      <c r="N255" s="154"/>
      <c r="O255" s="154"/>
      <c r="P255" s="154"/>
      <c r="Q255" s="154"/>
      <c r="R255" s="154"/>
      <c r="S255" s="154"/>
      <c r="T255" s="154"/>
      <c r="U255" s="154"/>
      <c r="V255" s="154"/>
      <c r="W255" s="154"/>
      <c r="X255" s="154"/>
      <c r="Y255" s="154"/>
      <c r="Z255" s="154"/>
      <c r="AA255" s="154"/>
      <c r="AB255" s="154"/>
      <c r="AC255" s="154"/>
      <c r="AD255" s="154"/>
      <c r="AE255" s="154"/>
      <c r="AF255" s="154"/>
      <c r="AG255" s="154"/>
      <c r="AH255" s="154"/>
      <c r="AI255" s="154"/>
      <c r="AJ255" s="154"/>
      <c r="AK255" s="154"/>
      <c r="AL255" s="154"/>
      <c r="AM255" s="154"/>
      <c r="AN255" s="154"/>
      <c r="AO255" s="154"/>
      <c r="AP255" s="154"/>
      <c r="AQ255" s="154"/>
      <c r="AR255" s="154"/>
      <c r="AS255" s="154"/>
      <c r="AT255" s="154"/>
      <c r="AU255" s="154"/>
      <c r="AV255" s="154"/>
      <c r="AW255" s="154"/>
      <c r="AX255" s="154"/>
      <c r="AY255" s="154"/>
      <c r="AZ255" s="154"/>
      <c r="BA255" s="154"/>
      <c r="BB255" s="154"/>
    </row>
    <row r="256" spans="1:87" s="527" customFormat="1" ht="15.75" customHeight="1" outlineLevel="1" x14ac:dyDescent="0.2">
      <c r="A256" s="1212"/>
      <c r="B256" s="1212" t="s">
        <v>2163</v>
      </c>
      <c r="C256" s="1219" t="s">
        <v>2164</v>
      </c>
      <c r="D256" s="1562" t="s">
        <v>2773</v>
      </c>
      <c r="E256" s="1559" t="str">
        <f>IF(NOT('10 Dev'!C33 = ""),'10 Dev'!C33,IF(COUNTIF('10 Dev'!C34:C37,"&gt;=0")=0,"", MIN(MAX(SUMPRODUCT('10 Dev'!C34:C37,'10 Dev'!$G34:$G37)*4/(SUM('10 Dev'!$G34:$G37) - SUMIF('10 Dev'!C34:C37,"X",'10 Dev'!$G34:$G37)),MAX('10 Dev'!AA34:AA37)),MIN('10 Dev'!AE34:AE37))))</f>
        <v/>
      </c>
      <c r="F256" s="1559" t="str">
        <f>IF(NOT('10 Dev'!D33 = ""),'10 Dev'!D33,IF(COUNTIF('10 Dev'!D34:D37,"&gt;=0")=0,"", MIN(MAX(SUMPRODUCT('10 Dev'!D34:D37,'10 Dev'!$G34:$G37)*4/(SUM('10 Dev'!$G34:$G37) - SUMIF('10 Dev'!D34:D37,"X",'10 Dev'!$G34:$G37)),MAX('10 Dev'!AB34:AB37)),MIN('10 Dev'!AF34:AF37))))</f>
        <v/>
      </c>
      <c r="G256" s="1559" t="str">
        <f>IF(NOT('10 Dev'!E33 = ""),'10 Dev'!E33,IF(COUNTIF('10 Dev'!E34:E37,"&gt;=0")=0,"", MIN(MAX(SUMPRODUCT('10 Dev'!E34:E37,'10 Dev'!$G34:$G37)*4/(SUM('10 Dev'!$G34:$G37) - SUMIF('10 Dev'!E34:E37,"X",'10 Dev'!$G34:$G37)),MAX('10 Dev'!AC34:AC37)),MIN('10 Dev'!AG34:AG37))))</f>
        <v/>
      </c>
      <c r="H256" s="1559" t="str">
        <f>IF(NOT('10 Dev'!F33 = ""),'10 Dev'!F33,IF(COUNTIF('10 Dev'!F34:F37,"&gt;=0")=0,"", MIN(MAX(SUMPRODUCT('10 Dev'!F34:F37,'10 Dev'!$G34:$G37)*4/(SUM('10 Dev'!$G34:$G37) - SUMIF('10 Dev'!F34:F37,"X",'10 Dev'!$G34:$G37)),MAX('10 Dev'!AD34:AD37)),MIN('10 Dev'!AH34:AH37))))</f>
        <v/>
      </c>
      <c r="I256" s="1557">
        <f>IF(AND(OR(E256="X",E256=""),OR(F256="X",F256=""),OR(G256="X",G256=""),OR(H256="X",H256="")),1,ROUND(MIN(IF(OR(E256="",E256="X"),4,E256),IF(OR(F256="",F256="X"),4,F256),IF(OR(G256="",G256="X"),4,G256),IF(OR(H256="",H256="X"),4,H256)),0))</f>
        <v>1</v>
      </c>
      <c r="J256" s="1557">
        <f>IF(I256="","",IF(IndG=3,MAX(I256,Obj_Projets!J256),MAX(I256,Obj_PA!D256)))</f>
        <v>1</v>
      </c>
      <c r="K256" s="1560">
        <f>IF(IF(OR(IndG=3,IndG=4),MAX(I256,J256),I256)&lt;1,1,IF(OR(IndG=3,IndG=4),MAX(I256,J256),I256))</f>
        <v>1</v>
      </c>
      <c r="L256" s="1650" t="str">
        <f>IF(E256=""," n'a pas démarré","")</f>
        <v xml:space="preserve"> n'a pas démarré</v>
      </c>
      <c r="M256" s="154"/>
      <c r="N256" s="154"/>
      <c r="O256" s="154"/>
      <c r="P256" s="154"/>
      <c r="Q256" s="154"/>
      <c r="R256" s="154"/>
      <c r="S256" s="154"/>
      <c r="T256" s="154"/>
      <c r="U256" s="154"/>
      <c r="V256" s="154"/>
      <c r="W256" s="154"/>
      <c r="X256" s="154"/>
      <c r="Y256" s="154"/>
      <c r="Z256" s="154"/>
      <c r="AA256" s="154"/>
      <c r="AB256" s="154"/>
      <c r="AC256" s="154"/>
      <c r="AD256" s="154"/>
      <c r="AE256" s="154"/>
      <c r="AF256" s="154"/>
      <c r="AG256" s="154"/>
      <c r="AH256" s="154"/>
      <c r="AI256" s="154"/>
      <c r="AJ256" s="154"/>
      <c r="AK256" s="154"/>
      <c r="AL256" s="154"/>
      <c r="AM256" s="154"/>
      <c r="AN256" s="154"/>
      <c r="AO256" s="154"/>
      <c r="AP256" s="154"/>
      <c r="AQ256" s="154"/>
      <c r="AR256" s="154"/>
      <c r="AS256" s="154"/>
      <c r="AT256" s="154"/>
      <c r="AU256" s="154"/>
      <c r="AV256" s="154"/>
      <c r="AW256" s="154"/>
      <c r="AX256" s="154"/>
      <c r="AY256" s="154"/>
      <c r="AZ256" s="154"/>
      <c r="BA256" s="154"/>
      <c r="BB256" s="154"/>
    </row>
    <row r="257" spans="1:86" s="527" customFormat="1" ht="15.75" customHeight="1" outlineLevel="1" x14ac:dyDescent="0.2">
      <c r="A257" s="1212"/>
      <c r="B257" s="1213" t="s">
        <v>5090</v>
      </c>
      <c r="C257" s="1214" t="s">
        <v>5091</v>
      </c>
      <c r="D257" s="1554"/>
      <c r="E257" s="1559"/>
      <c r="F257" s="1559"/>
      <c r="G257" s="1559"/>
      <c r="H257" s="1559"/>
      <c r="I257" s="1561"/>
      <c r="J257" s="1557"/>
      <c r="K257" s="1561"/>
      <c r="L257" s="1650"/>
      <c r="M257" s="154"/>
      <c r="N257" s="154"/>
      <c r="O257" s="154"/>
      <c r="P257" s="154"/>
      <c r="Q257" s="154"/>
      <c r="R257" s="154"/>
      <c r="S257" s="154"/>
      <c r="T257" s="154"/>
      <c r="U257" s="154"/>
      <c r="V257" s="154"/>
      <c r="W257" s="154"/>
      <c r="X257" s="154"/>
      <c r="Y257" s="154"/>
      <c r="Z257" s="154"/>
      <c r="AA257" s="154"/>
      <c r="AB257" s="154"/>
      <c r="AC257" s="154"/>
      <c r="AD257" s="154"/>
      <c r="AE257" s="154"/>
      <c r="AF257" s="154"/>
      <c r="AG257" s="154"/>
      <c r="AH257" s="154"/>
      <c r="AI257" s="154"/>
      <c r="AJ257" s="154"/>
      <c r="AK257" s="154"/>
      <c r="AL257" s="154"/>
      <c r="AM257" s="154"/>
      <c r="AN257" s="154"/>
      <c r="AO257" s="154"/>
      <c r="AP257" s="154"/>
      <c r="AQ257" s="154"/>
      <c r="AR257" s="154"/>
      <c r="AS257" s="154"/>
      <c r="AT257" s="154"/>
      <c r="AU257" s="154"/>
      <c r="AV257" s="154"/>
      <c r="AW257" s="154"/>
      <c r="AX257" s="154"/>
      <c r="AY257" s="154"/>
      <c r="AZ257" s="154"/>
      <c r="BA257" s="154"/>
      <c r="BB257" s="154"/>
    </row>
    <row r="258" spans="1:86" s="527" customFormat="1" ht="15.75" customHeight="1" outlineLevel="1" x14ac:dyDescent="0.2">
      <c r="A258" s="1212"/>
      <c r="B258" s="1212" t="s">
        <v>3217</v>
      </c>
      <c r="C258" s="1219" t="s">
        <v>3218</v>
      </c>
      <c r="D258" s="1562" t="s">
        <v>2773</v>
      </c>
      <c r="E258" s="1559" t="str">
        <f>IF(NOT('10 Dev'!C39 = ""),'10 Dev'!C39,IF(COUNTIF('10 Dev'!C40:C53,"&gt;=0")=0,"", MIN(MAX(SUMPRODUCT('10 Dev'!C40:C53,'10 Dev'!$G40:$G53)*4/(SUM('10 Dev'!$G40:$G53) - SUMIF('10 Dev'!C40:C53,"X",'10 Dev'!$G40:$G53)),MAX('10 Dev'!AA40:AA53)),MIN('10 Dev'!AE40:AE53))))</f>
        <v/>
      </c>
      <c r="F258" s="1559" t="str">
        <f>IF(NOT('10 Dev'!D39 = ""),'10 Dev'!D39,IF(COUNTIF('10 Dev'!D40:D53,"&gt;=0")=0,"", MIN(MAX(SUMPRODUCT('10 Dev'!D40:D53,'10 Dev'!$G40:$G53)*4/(SUM('10 Dev'!$G40:$G53) - SUMIF('10 Dev'!D40:D53,"X",'10 Dev'!$G40:$G53)),MAX('10 Dev'!AB40:AB53)),MIN('10 Dev'!AF40:AF53))))</f>
        <v/>
      </c>
      <c r="G258" s="1559" t="str">
        <f>IF(NOT('10 Dev'!E39 = ""),'10 Dev'!E39,IF(COUNTIF('10 Dev'!E40:E53,"&gt;=0")=0,"", MIN(MAX(SUMPRODUCT('10 Dev'!E40:E53,'10 Dev'!$G40:$G53)*4/(SUM('10 Dev'!$G40:$G53) - SUMIF('10 Dev'!E40:E53,"X",'10 Dev'!$G40:$G53)),MAX('10 Dev'!AC40:AC53)),MIN('10 Dev'!AG40:AG53))))</f>
        <v/>
      </c>
      <c r="H258" s="1559" t="str">
        <f>IF(NOT('10 Dev'!F39 = ""),'10 Dev'!F39,IF(COUNTIF('10 Dev'!F40:F53,"&gt;=0")=0,"", MIN(MAX(SUMPRODUCT('10 Dev'!F40:F53,'10 Dev'!$G40:$G53)*4/(SUM('10 Dev'!$G40:$G53) - SUMIF('10 Dev'!F40:F53,"X",'10 Dev'!$G40:$G53)),MAX('10 Dev'!AD40:AD53)),MIN('10 Dev'!AH40:AH53))))</f>
        <v/>
      </c>
      <c r="I258" s="1557">
        <f t="shared" ref="I258:I264" si="36">IF(AND(OR(E258="X",E258=""),OR(F258="X",F258=""),OR(G258="X",G258=""),OR(H258="X",H258="")),1,ROUND(MIN(IF(OR(E258="",E258="X"),4,E258),IF(OR(F258="",F258="X"),4,F258),IF(OR(G258="",G258="X"),4,G258),IF(OR(H258="",H258="X"),4,H258)),0))</f>
        <v>1</v>
      </c>
      <c r="J258" s="1557">
        <f>IF(I258="","",IF(IndG=3,MAX(I258,Obj_Projets!J258),MAX(I258,Obj_PA!D258)))</f>
        <v>1</v>
      </c>
      <c r="K258" s="1560">
        <f t="shared" ref="K258:K264" si="37">IF(IF(OR(IndG=3,IndG=4),MAX(I258,J258),I258)&lt;1,1,IF(OR(IndG=3,IndG=4),MAX(I258,J258),I258))</f>
        <v>1</v>
      </c>
      <c r="L258" s="1650" t="str">
        <f t="shared" ref="L258:L264" si="38">IF(E258=""," n'a pas démarré","")</f>
        <v xml:space="preserve"> n'a pas démarré</v>
      </c>
      <c r="M258" s="154"/>
      <c r="N258" s="154"/>
      <c r="O258" s="154"/>
      <c r="P258" s="154"/>
      <c r="Q258" s="154"/>
      <c r="R258" s="154"/>
      <c r="S258" s="154"/>
      <c r="T258" s="154"/>
      <c r="U258" s="154"/>
      <c r="V258" s="154"/>
      <c r="W258" s="154"/>
      <c r="X258" s="154"/>
      <c r="Y258" s="154"/>
      <c r="Z258" s="154"/>
      <c r="AA258" s="154"/>
      <c r="AB258" s="154"/>
      <c r="AC258" s="154"/>
      <c r="AD258" s="154"/>
      <c r="AE258" s="154"/>
      <c r="AF258" s="154"/>
      <c r="AG258" s="154"/>
      <c r="AH258" s="154"/>
      <c r="AI258" s="154"/>
      <c r="AJ258" s="154"/>
      <c r="AK258" s="154"/>
      <c r="AL258" s="154"/>
      <c r="AM258" s="154"/>
      <c r="AN258" s="154"/>
      <c r="AO258" s="154"/>
      <c r="AP258" s="154"/>
      <c r="AQ258" s="154"/>
      <c r="AR258" s="154"/>
      <c r="AS258" s="154"/>
      <c r="AT258" s="154"/>
      <c r="AU258" s="154"/>
      <c r="AV258" s="154"/>
      <c r="AW258" s="154"/>
      <c r="AX258" s="154"/>
      <c r="AY258" s="154"/>
      <c r="AZ258" s="154"/>
      <c r="BA258" s="154"/>
      <c r="BB258" s="154"/>
    </row>
    <row r="259" spans="1:86" s="527" customFormat="1" ht="15.75" customHeight="1" outlineLevel="1" x14ac:dyDescent="0.2">
      <c r="A259" s="1212"/>
      <c r="B259" s="1212" t="s">
        <v>3219</v>
      </c>
      <c r="C259" s="1219" t="s">
        <v>3220</v>
      </c>
      <c r="D259" s="1562" t="s">
        <v>2773</v>
      </c>
      <c r="E259" s="1559" t="str">
        <f>IF(NOT('10 Dev'!C54 = ""),'10 Dev'!C54,IF(COUNTIF('10 Dev'!C55:C62,"&gt;=0")=0,"", MIN(MAX(SUMPRODUCT('10 Dev'!C55:C62,'10 Dev'!$G55:$G62)*4/(SUM('10 Dev'!$G55:$G62) - SUMIF('10 Dev'!C55:C62,"X",'10 Dev'!$G55:$G62)),MAX('10 Dev'!AA55:AA62)),MIN('10 Dev'!AE55:AE62))))</f>
        <v/>
      </c>
      <c r="F259" s="1559" t="str">
        <f>IF(NOT('10 Dev'!D54 = ""),'10 Dev'!D54,IF(COUNTIF('10 Dev'!D55:D62,"&gt;=0")=0,"", MIN(MAX(SUMPRODUCT('10 Dev'!D55:D62,'10 Dev'!$G55:$G62)*4/(SUM('10 Dev'!$G55:$G62) - SUMIF('10 Dev'!D55:D62,"X",'10 Dev'!$G55:$G62)),MAX('10 Dev'!AB55:AB62)),MIN('10 Dev'!AF55:AF62))))</f>
        <v/>
      </c>
      <c r="G259" s="1559" t="str">
        <f>IF(NOT('10 Dev'!E54 = ""),'10 Dev'!E54,IF(COUNTIF('10 Dev'!E55:E62,"&gt;=0")=0,"", MIN(MAX(SUMPRODUCT('10 Dev'!E55:E62,'10 Dev'!$G55:$G62)*4/(SUM('10 Dev'!$G55:$G62) - SUMIF('10 Dev'!E55:E62,"X",'10 Dev'!$G55:$G62)),MAX('10 Dev'!AC55:AC62)),MIN('10 Dev'!AG55:AG62))))</f>
        <v/>
      </c>
      <c r="H259" s="1559" t="str">
        <f>IF(NOT('10 Dev'!F54 = ""),'10 Dev'!F54,IF(COUNTIF('10 Dev'!F55:F62,"&gt;=0")=0,"", MIN(MAX(SUMPRODUCT('10 Dev'!F55:F62,'10 Dev'!$G55:$G62)*4/(SUM('10 Dev'!$G55:$G62) - SUMIF('10 Dev'!F55:F62,"X",'10 Dev'!$G55:$G62)),MAX('10 Dev'!AD55:AD62)),MIN('10 Dev'!AH55:AH62))))</f>
        <v/>
      </c>
      <c r="I259" s="1557">
        <f t="shared" si="36"/>
        <v>1</v>
      </c>
      <c r="J259" s="1557">
        <f>IF(I259="","",IF(IndG=3,MAX(I259,Obj_Projets!J259),MAX(I259,Obj_PA!D259)))</f>
        <v>1</v>
      </c>
      <c r="K259" s="1560">
        <f t="shared" si="37"/>
        <v>1</v>
      </c>
      <c r="L259" s="1650" t="str">
        <f t="shared" si="38"/>
        <v xml:space="preserve"> n'a pas démarré</v>
      </c>
      <c r="M259" s="154"/>
      <c r="N259" s="154"/>
      <c r="O259" s="154"/>
      <c r="P259" s="154"/>
      <c r="Q259" s="154"/>
      <c r="R259" s="154"/>
      <c r="S259" s="154"/>
      <c r="T259" s="154"/>
      <c r="U259" s="154"/>
      <c r="V259" s="154"/>
      <c r="W259" s="154"/>
      <c r="X259" s="154"/>
      <c r="Y259" s="154"/>
      <c r="Z259" s="154"/>
      <c r="AA259" s="154"/>
      <c r="AB259" s="154"/>
      <c r="AC259" s="154"/>
      <c r="AD259" s="154"/>
      <c r="AE259" s="154"/>
      <c r="AF259" s="154"/>
      <c r="AG259" s="154"/>
      <c r="AH259" s="154"/>
      <c r="AI259" s="154"/>
      <c r="AJ259" s="154"/>
      <c r="AK259" s="154"/>
      <c r="AL259" s="154"/>
      <c r="AM259" s="154"/>
      <c r="AN259" s="154"/>
      <c r="AO259" s="154"/>
      <c r="AP259" s="154"/>
      <c r="AQ259" s="154"/>
      <c r="AR259" s="154"/>
      <c r="AS259" s="154"/>
      <c r="AT259" s="154"/>
      <c r="AU259" s="154"/>
      <c r="AV259" s="154"/>
      <c r="AW259" s="154"/>
      <c r="AX259" s="154"/>
      <c r="AY259" s="154"/>
      <c r="AZ259" s="154"/>
      <c r="BA259" s="154"/>
      <c r="BB259" s="154"/>
    </row>
    <row r="260" spans="1:86" s="527" customFormat="1" ht="15.75" customHeight="1" outlineLevel="1" x14ac:dyDescent="0.2">
      <c r="A260" s="1212"/>
      <c r="B260" s="1212" t="s">
        <v>3221</v>
      </c>
      <c r="C260" s="1219" t="s">
        <v>5024</v>
      </c>
      <c r="D260" s="1562" t="s">
        <v>2773</v>
      </c>
      <c r="E260" s="1559" t="str">
        <f>IF(NOT('10 Dev'!C63 = ""),'10 Dev'!C63,IF(COUNTIF('10 Dev'!C64:C67,"&gt;=0")=0,"", MIN(MAX(SUMPRODUCT('10 Dev'!C64:C67,'10 Dev'!$G64:$G67)*4/(SUM('10 Dev'!$G64:$G67) - SUMIF('10 Dev'!C64:C67,"X",'10 Dev'!$G64:$G67)),MAX('10 Dev'!AA64:AA67)),MIN('10 Dev'!AE64:AE67))))</f>
        <v/>
      </c>
      <c r="F260" s="1559" t="str">
        <f>IF(NOT('10 Dev'!D63 = ""),'10 Dev'!D63,IF(COUNTIF('10 Dev'!D64:D67,"&gt;=0")=0,"", MIN(MAX(SUMPRODUCT('10 Dev'!D64:D67,'10 Dev'!$G64:$G67)*4/(SUM('10 Dev'!$G64:$G67) - SUMIF('10 Dev'!D64:D67,"X",'10 Dev'!$G64:$G67)),MAX('10 Dev'!AB64:AB67)),MIN('10 Dev'!AF64:AF67))))</f>
        <v/>
      </c>
      <c r="G260" s="1559" t="str">
        <f>IF(NOT('10 Dev'!E63 = ""),'10 Dev'!E63,IF(COUNTIF('10 Dev'!E64:E67,"&gt;=0")=0,"", MIN(MAX(SUMPRODUCT('10 Dev'!E64:E67,'10 Dev'!$G64:$G67)*4/(SUM('10 Dev'!$G64:$G67) - SUMIF('10 Dev'!E64:E67,"X",'10 Dev'!$G64:$G67)),MAX('10 Dev'!AC64:AC67)),MIN('10 Dev'!AG64:AG67))))</f>
        <v/>
      </c>
      <c r="H260" s="1559" t="str">
        <f>IF(NOT('10 Dev'!F63 = ""),'10 Dev'!F63,IF(COUNTIF('10 Dev'!F64:F67,"&gt;=0")=0,"", MIN(MAX(SUMPRODUCT('10 Dev'!F64:F67,'10 Dev'!$G64:$G67)*4/(SUM('10 Dev'!$G64:$G67) - SUMIF('10 Dev'!F64:F67,"X",'10 Dev'!$G64:$G67)),MAX('10 Dev'!AD64:AD67)),MIN('10 Dev'!AH64:AH67))))</f>
        <v/>
      </c>
      <c r="I260" s="1557">
        <f t="shared" si="36"/>
        <v>1</v>
      </c>
      <c r="J260" s="1557">
        <f>IF(I260="","",IF(IndG=3,MAX(I260,Obj_Projets!J260),MAX(I260,Obj_PA!D260)))</f>
        <v>1</v>
      </c>
      <c r="K260" s="1560">
        <f t="shared" si="37"/>
        <v>1</v>
      </c>
      <c r="L260" s="1650" t="str">
        <f t="shared" si="38"/>
        <v xml:space="preserve"> n'a pas démarré</v>
      </c>
      <c r="M260" s="154"/>
      <c r="N260" s="154"/>
      <c r="O260" s="154"/>
      <c r="P260" s="154"/>
      <c r="Q260" s="154"/>
      <c r="R260" s="154"/>
      <c r="S260" s="154"/>
      <c r="T260" s="154"/>
      <c r="U260" s="154"/>
      <c r="V260" s="154"/>
      <c r="W260" s="154"/>
      <c r="X260" s="154"/>
      <c r="Y260" s="154"/>
      <c r="Z260" s="154"/>
      <c r="AA260" s="154"/>
      <c r="AB260" s="154"/>
      <c r="AC260" s="154"/>
      <c r="AD260" s="154"/>
      <c r="AE260" s="154"/>
      <c r="AF260" s="154"/>
      <c r="AG260" s="154"/>
      <c r="AH260" s="154"/>
      <c r="AI260" s="154"/>
      <c r="AJ260" s="154"/>
      <c r="AK260" s="154"/>
      <c r="AL260" s="154"/>
      <c r="AM260" s="154"/>
      <c r="AN260" s="154"/>
      <c r="AO260" s="154"/>
      <c r="AP260" s="154"/>
      <c r="AQ260" s="154"/>
      <c r="AR260" s="154"/>
      <c r="AS260" s="154"/>
      <c r="AT260" s="154"/>
      <c r="AU260" s="154"/>
      <c r="AV260" s="154"/>
      <c r="AW260" s="154"/>
      <c r="AX260" s="154"/>
      <c r="AY260" s="154"/>
      <c r="AZ260" s="154"/>
      <c r="BA260" s="154"/>
      <c r="BB260" s="154"/>
    </row>
    <row r="261" spans="1:86" s="527" customFormat="1" ht="15.75" customHeight="1" outlineLevel="1" x14ac:dyDescent="0.2">
      <c r="A261" s="1212"/>
      <c r="B261" s="1212" t="s">
        <v>3222</v>
      </c>
      <c r="C261" s="1219" t="s">
        <v>3223</v>
      </c>
      <c r="D261" s="1562" t="s">
        <v>2773</v>
      </c>
      <c r="E261" s="1559" t="str">
        <f>IF(NOT('10 Dev'!C68 = ""),'10 Dev'!C68,IF(COUNTIF('10 Dev'!C69:C73,"&gt;=0")=0,"", MIN(MAX(SUMPRODUCT('10 Dev'!C69:C73,'10 Dev'!$G69:$G73)*4/(SUM('10 Dev'!$G69:$G73) - SUMIF('10 Dev'!C69:C73,"X",'10 Dev'!$G69:$G73)),MAX('10 Dev'!AA69:AA73)),MIN('10 Dev'!AE69:AE73))))</f>
        <v/>
      </c>
      <c r="F261" s="1559" t="str">
        <f>IF(NOT('10 Dev'!D68 = ""),'10 Dev'!D68,IF(COUNTIF('10 Dev'!D69:D73,"&gt;=0")=0,"", MIN(MAX(SUMPRODUCT('10 Dev'!D69:D73,'10 Dev'!$G69:$G73)*4/(SUM('10 Dev'!$G69:$G73) - SUMIF('10 Dev'!D69:D73,"X",'10 Dev'!$G69:$G73)),MAX('10 Dev'!AB69:AB73)),MIN('10 Dev'!AF69:AF73))))</f>
        <v/>
      </c>
      <c r="G261" s="1559" t="str">
        <f>IF(NOT('10 Dev'!E68 = ""),'10 Dev'!E68,IF(COUNTIF('10 Dev'!E69:E73,"&gt;=0")=0,"", MIN(MAX(SUMPRODUCT('10 Dev'!E69:E73,'10 Dev'!$G69:$G73)*4/(SUM('10 Dev'!$G69:$G73) - SUMIF('10 Dev'!E69:E73,"X",'10 Dev'!$G69:$G73)),MAX('10 Dev'!AC69:AC73)),MIN('10 Dev'!AG69:AG73))))</f>
        <v/>
      </c>
      <c r="H261" s="1559" t="str">
        <f>IF(NOT('10 Dev'!F68 = ""),'10 Dev'!F68,IF(COUNTIF('10 Dev'!F69:F73,"&gt;=0")=0,"", MIN(MAX(SUMPRODUCT('10 Dev'!F69:F73,'10 Dev'!$G69:$G73)*4/(SUM('10 Dev'!$G69:$G73) - SUMIF('10 Dev'!F69:F73,"X",'10 Dev'!$G69:$G73)),MAX('10 Dev'!AD69:AD73)),MIN('10 Dev'!AH69:AH73))))</f>
        <v/>
      </c>
      <c r="I261" s="1557">
        <f t="shared" si="36"/>
        <v>1</v>
      </c>
      <c r="J261" s="1557">
        <f>IF(I261="","",IF(IndG=3,MAX(I261,Obj_Projets!J261),MAX(I261,Obj_PA!D261)))</f>
        <v>1</v>
      </c>
      <c r="K261" s="1560">
        <f t="shared" si="37"/>
        <v>1</v>
      </c>
      <c r="L261" s="1650" t="str">
        <f t="shared" si="38"/>
        <v xml:space="preserve"> n'a pas démarré</v>
      </c>
      <c r="M261" s="154"/>
      <c r="N261" s="154"/>
      <c r="O261" s="154"/>
      <c r="P261" s="154"/>
      <c r="Q261" s="154"/>
      <c r="R261" s="154"/>
      <c r="S261" s="154"/>
      <c r="T261" s="154"/>
      <c r="U261" s="154"/>
      <c r="V261" s="154"/>
      <c r="W261" s="154"/>
      <c r="X261" s="154"/>
      <c r="Y261" s="154"/>
      <c r="Z261" s="154"/>
      <c r="AA261" s="154"/>
      <c r="AB261" s="154"/>
      <c r="AC261" s="154"/>
      <c r="AD261" s="154"/>
      <c r="AE261" s="154"/>
      <c r="AF261" s="154"/>
      <c r="AG261" s="154"/>
      <c r="AH261" s="154"/>
      <c r="AI261" s="154"/>
      <c r="AJ261" s="154"/>
      <c r="AK261" s="154"/>
      <c r="AL261" s="154"/>
      <c r="AM261" s="154"/>
      <c r="AN261" s="154"/>
      <c r="AO261" s="154"/>
      <c r="AP261" s="154"/>
      <c r="AQ261" s="154"/>
      <c r="AR261" s="154"/>
      <c r="AS261" s="154"/>
      <c r="AT261" s="154"/>
      <c r="AU261" s="154"/>
      <c r="AV261" s="154"/>
      <c r="AW261" s="154"/>
      <c r="AX261" s="154"/>
      <c r="AY261" s="154"/>
      <c r="AZ261" s="154"/>
      <c r="BA261" s="154"/>
      <c r="BB261" s="154"/>
    </row>
    <row r="262" spans="1:86" s="527" customFormat="1" ht="15.75" customHeight="1" outlineLevel="1" x14ac:dyDescent="0.2">
      <c r="A262" s="1212"/>
      <c r="B262" s="1212" t="s">
        <v>3224</v>
      </c>
      <c r="C262" s="1219" t="s">
        <v>3225</v>
      </c>
      <c r="D262" s="1562" t="s">
        <v>2773</v>
      </c>
      <c r="E262" s="1559" t="str">
        <f>IF(NOT('10 Dev'!C74 = ""),'10 Dev'!C74,IF(COUNTIF('10 Dev'!C75:C88,"&gt;=0")=0,"", MIN(MAX(SUMPRODUCT('10 Dev'!C75:C88,'10 Dev'!$G75:$G88)*4/(SUM('10 Dev'!$G75:$G88) - SUMIF('10 Dev'!C75:C88,"X",'10 Dev'!$G75:$G88)),MAX('10 Dev'!AA75:AA88)),MIN('10 Dev'!AE75:AE88))))</f>
        <v/>
      </c>
      <c r="F262" s="1559" t="str">
        <f>IF(NOT('10 Dev'!D74 = ""),'10 Dev'!D74,IF(COUNTIF('10 Dev'!D75:D88,"&gt;=0")=0,"", MIN(MAX(SUMPRODUCT('10 Dev'!D75:D88,'10 Dev'!$G75:$G88)*4/(SUM('10 Dev'!$G75:$G88) - SUMIF('10 Dev'!D75:D88,"X",'10 Dev'!$G75:$G88)),MAX('10 Dev'!AB75:AB88)),MIN('10 Dev'!AF75:AF88))))</f>
        <v/>
      </c>
      <c r="G262" s="1559" t="str">
        <f>IF(NOT('10 Dev'!E74 = ""),'10 Dev'!E74,IF(COUNTIF('10 Dev'!E75:E88,"&gt;=0")=0,"", MIN(MAX(SUMPRODUCT('10 Dev'!E75:E88,'10 Dev'!$G75:$G88)*4/(SUM('10 Dev'!$G75:$G88) - SUMIF('10 Dev'!E75:E88,"X",'10 Dev'!$G75:$G88)),MAX('10 Dev'!AC75:AC88)),MIN('10 Dev'!AG75:AG88))))</f>
        <v/>
      </c>
      <c r="H262" s="1559" t="str">
        <f>IF(NOT('10 Dev'!F74 = ""),'10 Dev'!F74,IF(COUNTIF('10 Dev'!F75:F88,"&gt;=0")=0,"", MIN(MAX(SUMPRODUCT('10 Dev'!F75:F88,'10 Dev'!$G75:$G88)*4/(SUM('10 Dev'!$G75:$G88) - SUMIF('10 Dev'!F75:F88,"X",'10 Dev'!$G75:$G88)),MAX('10 Dev'!AD75:AD88)),MIN('10 Dev'!AH75:AH88))))</f>
        <v/>
      </c>
      <c r="I262" s="1557">
        <f t="shared" si="36"/>
        <v>1</v>
      </c>
      <c r="J262" s="1557">
        <f>IF(I262="","",IF(IndG=3,MAX(I262,Obj_Projets!J262),MAX(I262,Obj_PA!D262)))</f>
        <v>1</v>
      </c>
      <c r="K262" s="1560">
        <f t="shared" si="37"/>
        <v>1</v>
      </c>
      <c r="L262" s="1650" t="str">
        <f t="shared" si="38"/>
        <v xml:space="preserve"> n'a pas démarré</v>
      </c>
      <c r="M262" s="154"/>
      <c r="N262" s="154"/>
      <c r="O262" s="154"/>
      <c r="P262" s="154"/>
      <c r="Q262" s="154"/>
      <c r="R262" s="154"/>
      <c r="S262" s="154"/>
      <c r="T262" s="154"/>
      <c r="U262" s="154"/>
      <c r="V262" s="154"/>
      <c r="W262" s="154"/>
      <c r="X262" s="154"/>
      <c r="Y262" s="154"/>
      <c r="Z262" s="154"/>
      <c r="AA262" s="154"/>
      <c r="AB262" s="154"/>
      <c r="AC262" s="154"/>
      <c r="AD262" s="154"/>
      <c r="AE262" s="154"/>
      <c r="AF262" s="154"/>
      <c r="AG262" s="154"/>
      <c r="AH262" s="154"/>
      <c r="AI262" s="154"/>
      <c r="AJ262" s="154"/>
      <c r="AK262" s="154"/>
      <c r="AL262" s="154"/>
      <c r="AM262" s="154"/>
      <c r="AN262" s="154"/>
      <c r="AO262" s="154"/>
      <c r="AP262" s="154"/>
      <c r="AQ262" s="154"/>
      <c r="AR262" s="154"/>
      <c r="AS262" s="154"/>
      <c r="AT262" s="154"/>
      <c r="AU262" s="154"/>
      <c r="AV262" s="154"/>
      <c r="AW262" s="154"/>
      <c r="AX262" s="154"/>
      <c r="AY262" s="154"/>
      <c r="AZ262" s="154"/>
      <c r="BA262" s="154"/>
      <c r="BB262" s="154"/>
      <c r="CG262" s="527">
        <f>IF(INDEX(Tab_actions,57,1)=1,INDEX(Tab_actions,57,6),0)</f>
        <v>0</v>
      </c>
      <c r="CH262" s="527">
        <f>IF(INDEX(Tab_actions,103,1)=1,INDEX(Tab_actions,103,6),0)</f>
        <v>0</v>
      </c>
    </row>
    <row r="263" spans="1:86" s="527" customFormat="1" ht="15.75" customHeight="1" outlineLevel="1" x14ac:dyDescent="0.2">
      <c r="A263" s="1212"/>
      <c r="B263" s="1212" t="s">
        <v>3226</v>
      </c>
      <c r="C263" s="1219" t="s">
        <v>3227</v>
      </c>
      <c r="D263" s="1562" t="s">
        <v>2773</v>
      </c>
      <c r="E263" s="1559" t="str">
        <f>IF(NOT('10 Dev'!C89 = ""),'10 Dev'!C89,IF(COUNTIF('10 Dev'!C90:C94,"&gt;=0")=0,"", MIN(MAX(SUMPRODUCT('10 Dev'!C90:C94,'10 Dev'!$G90:$G94)*4/(SUM('10 Dev'!$G90:$G94) - SUMIF('10 Dev'!C90:C94,"X",'10 Dev'!$G90:$G94)),MAX('10 Dev'!AA90:AA94)),MIN('10 Dev'!AE90:AE94))))</f>
        <v/>
      </c>
      <c r="F263" s="1559" t="str">
        <f>IF(NOT('10 Dev'!D89 = ""),'10 Dev'!D89,IF(COUNTIF('10 Dev'!D90:D94,"&gt;=0")=0,"", MIN(MAX(SUMPRODUCT('10 Dev'!D90:D94,'10 Dev'!$G90:$G94)*4/(SUM('10 Dev'!$G90:$G94) - SUMIF('10 Dev'!D90:D94,"X",'10 Dev'!$G90:$G94)),MAX('10 Dev'!AB90:AB94)),MIN('10 Dev'!AF90:AF94))))</f>
        <v/>
      </c>
      <c r="G263" s="1559" t="str">
        <f>IF(NOT('10 Dev'!E89 = ""),'10 Dev'!E89,IF(COUNTIF('10 Dev'!E90:E94,"&gt;=0")=0,"", MIN(MAX(SUMPRODUCT('10 Dev'!E90:E94,'10 Dev'!$G90:$G94)*4/(SUM('10 Dev'!$G90:$G94) - SUMIF('10 Dev'!E90:E94,"X",'10 Dev'!$G90:$G94)),MAX('10 Dev'!AC90:AC94)),MIN('10 Dev'!AG90:AG94))))</f>
        <v/>
      </c>
      <c r="H263" s="1559" t="str">
        <f>IF(NOT('10 Dev'!F89 = ""),'10 Dev'!F89,IF(COUNTIF('10 Dev'!F90:F94,"&gt;=0")=0,"", MIN(MAX(SUMPRODUCT('10 Dev'!F90:F94,'10 Dev'!$G90:$G94)*4/(SUM('10 Dev'!$G90:$G94) - SUMIF('10 Dev'!F90:F94,"X",'10 Dev'!$G90:$G94)),MAX('10 Dev'!AD90:AD94)),MIN('10 Dev'!AH90:AH94))))</f>
        <v/>
      </c>
      <c r="I263" s="1557">
        <f t="shared" si="36"/>
        <v>1</v>
      </c>
      <c r="J263" s="1557">
        <f>IF(I263="","",IF(IndG=3,MAX(I263,Obj_Projets!J263),MAX(I263,Obj_PA!D263)))</f>
        <v>1</v>
      </c>
      <c r="K263" s="1560">
        <f t="shared" si="37"/>
        <v>1</v>
      </c>
      <c r="L263" s="1650" t="str">
        <f t="shared" si="38"/>
        <v xml:space="preserve"> n'a pas démarré</v>
      </c>
      <c r="M263" s="154"/>
      <c r="N263" s="154"/>
      <c r="O263" s="154"/>
      <c r="P263" s="154"/>
      <c r="Q263" s="154"/>
      <c r="R263" s="154"/>
      <c r="S263" s="154"/>
      <c r="T263" s="154"/>
      <c r="U263" s="154"/>
      <c r="V263" s="154"/>
      <c r="W263" s="154"/>
      <c r="X263" s="154"/>
      <c r="Y263" s="154"/>
      <c r="Z263" s="154"/>
      <c r="AA263" s="154"/>
      <c r="AB263" s="154"/>
      <c r="AC263" s="154"/>
      <c r="AD263" s="154"/>
      <c r="AE263" s="154"/>
      <c r="AF263" s="154"/>
      <c r="AG263" s="154"/>
      <c r="AH263" s="154"/>
      <c r="AI263" s="154"/>
      <c r="AJ263" s="154"/>
      <c r="AK263" s="154"/>
      <c r="AL263" s="154"/>
      <c r="AM263" s="154"/>
      <c r="AN263" s="154"/>
      <c r="AO263" s="154"/>
      <c r="AP263" s="154"/>
      <c r="AQ263" s="154"/>
      <c r="AR263" s="154"/>
      <c r="AS263" s="154"/>
      <c r="AT263" s="154"/>
      <c r="AU263" s="154"/>
      <c r="AV263" s="154"/>
      <c r="AW263" s="154"/>
      <c r="AX263" s="154"/>
      <c r="AY263" s="154"/>
      <c r="AZ263" s="154"/>
      <c r="BA263" s="154"/>
      <c r="BB263" s="154"/>
      <c r="CG263" s="527">
        <f>IF(INDEX(Tab_actions,57,1)=1,INDEX(Tab_actions,57,8),0)</f>
        <v>0</v>
      </c>
      <c r="CH263" s="527">
        <f>IF(INDEX(Tab_actions,103,1)=1,INDEX(Tab_actions,103,8),0)</f>
        <v>0</v>
      </c>
    </row>
    <row r="264" spans="1:86" s="527" customFormat="1" ht="15.75" customHeight="1" outlineLevel="1" x14ac:dyDescent="0.2">
      <c r="A264" s="1212"/>
      <c r="B264" s="1212" t="s">
        <v>7568</v>
      </c>
      <c r="C264" s="1219" t="s">
        <v>7006</v>
      </c>
      <c r="D264" s="1562" t="s">
        <v>2773</v>
      </c>
      <c r="E264" s="1559" t="str">
        <f>IF(NOT('10 Dev'!C95 = ""),'10 Dev'!C95,IF(COUNTIF('10 Dev'!C96:C101,"&gt;=0")=0,"", MIN(MAX(SUMPRODUCT('10 Dev'!C96:C101,'10 Dev'!$G96:$G101)*4/(SUM('10 Dev'!$G96:$G101) - SUMIF('10 Dev'!C96:C101,"X",'10 Dev'!$G96:$G101)),MAX('10 Dev'!AA96:AA101)),MIN('10 Dev'!AE96:AE101))))</f>
        <v/>
      </c>
      <c r="F264" s="1559" t="str">
        <f>IF(NOT('10 Dev'!D95 = ""),'10 Dev'!D95,IF(COUNTIF('10 Dev'!D96:D101,"&gt;=0")=0,"", MIN(MAX(SUMPRODUCT('10 Dev'!D96:D101,'10 Dev'!$G96:$G101)*4/(SUM('10 Dev'!$G96:$G101) - SUMIF('10 Dev'!D96:D101,"X",'10 Dev'!$G96:$G101)),MAX('10 Dev'!AB96:AB101)),MIN('10 Dev'!AF96:AF101))))</f>
        <v/>
      </c>
      <c r="G264" s="1559" t="str">
        <f>IF(NOT('10 Dev'!E95 = ""),'10 Dev'!E95,IF(COUNTIF('10 Dev'!E96:E101,"&gt;=0")=0,"", MIN(MAX(SUMPRODUCT('10 Dev'!E96:E101,'10 Dev'!$G96:$G101)*4/(SUM('10 Dev'!$G96:$G101) - SUMIF('10 Dev'!E96:E101,"X",'10 Dev'!$G96:$G101)),MAX('10 Dev'!AC96:AC101)),MIN('10 Dev'!AG96:AG101))))</f>
        <v/>
      </c>
      <c r="H264" s="1559" t="str">
        <f>IF(NOT('10 Dev'!F95 = ""),'10 Dev'!F95,IF(COUNTIF('10 Dev'!F96:F101,"&gt;=0")=0,"", MIN(MAX(SUMPRODUCT('10 Dev'!F96:F101,'10 Dev'!$G96:$G101)*4/(SUM('10 Dev'!$G96:$G101) - SUMIF('10 Dev'!F96:F101,"X",'10 Dev'!$G96:$G101)),MAX('10 Dev'!AD96:AD101)),MIN('10 Dev'!AH96:AH101))))</f>
        <v/>
      </c>
      <c r="I264" s="1557">
        <f t="shared" si="36"/>
        <v>1</v>
      </c>
      <c r="J264" s="1557">
        <f>IF(I264="","",IF(IndG=3,MAX(I264,Obj_Projets!J264),MAX(I264,Obj_PA!D264)))</f>
        <v>1</v>
      </c>
      <c r="K264" s="1560">
        <f t="shared" si="37"/>
        <v>1</v>
      </c>
      <c r="L264" s="1650" t="str">
        <f t="shared" si="38"/>
        <v xml:space="preserve"> n'a pas démarré</v>
      </c>
      <c r="M264" s="154"/>
      <c r="N264" s="154"/>
      <c r="O264" s="154"/>
      <c r="P264" s="154"/>
      <c r="Q264" s="154"/>
      <c r="R264" s="154"/>
      <c r="S264" s="154"/>
      <c r="T264" s="154"/>
      <c r="U264" s="154"/>
      <c r="V264" s="154"/>
      <c r="W264" s="154"/>
      <c r="X264" s="154"/>
      <c r="Y264" s="154"/>
      <c r="Z264" s="154"/>
      <c r="AA264" s="154"/>
      <c r="AB264" s="154"/>
      <c r="AC264" s="154"/>
      <c r="AD264" s="154"/>
      <c r="AE264" s="154"/>
      <c r="AF264" s="154"/>
      <c r="AG264" s="154"/>
      <c r="AH264" s="154"/>
      <c r="AI264" s="154"/>
      <c r="AJ264" s="154"/>
      <c r="AK264" s="154"/>
      <c r="AL264" s="154"/>
      <c r="AM264" s="154"/>
      <c r="AN264" s="154"/>
      <c r="AO264" s="154"/>
      <c r="AP264" s="154"/>
      <c r="AQ264" s="154"/>
      <c r="AR264" s="154"/>
      <c r="AS264" s="154"/>
      <c r="AT264" s="154"/>
      <c r="AU264" s="154"/>
      <c r="AV264" s="154"/>
      <c r="AW264" s="154"/>
      <c r="AX264" s="154"/>
      <c r="AY264" s="154"/>
      <c r="AZ264" s="154"/>
      <c r="BA264" s="154"/>
      <c r="BB264" s="154"/>
    </row>
    <row r="265" spans="1:86" ht="15.75" customHeight="1" x14ac:dyDescent="0.2">
      <c r="A265" s="1227" t="s">
        <v>39</v>
      </c>
      <c r="B265" s="1981" t="s">
        <v>3589</v>
      </c>
      <c r="C265" s="1982"/>
      <c r="D265" s="1563"/>
      <c r="E265" s="1564"/>
      <c r="F265" s="1564"/>
      <c r="G265" s="1564"/>
      <c r="H265" s="1564"/>
      <c r="I265" s="1568"/>
      <c r="J265" s="1568"/>
      <c r="K265" s="1568"/>
      <c r="L265" s="1653"/>
    </row>
    <row r="266" spans="1:86" s="527" customFormat="1" ht="15.75" customHeight="1" outlineLevel="1" x14ac:dyDescent="0.2">
      <c r="A266" s="1212"/>
      <c r="B266" s="1213" t="s">
        <v>1715</v>
      </c>
      <c r="C266" s="1214" t="s">
        <v>1199</v>
      </c>
      <c r="D266" s="1554"/>
      <c r="E266" s="1559"/>
      <c r="F266" s="1559"/>
      <c r="G266" s="1559"/>
      <c r="H266" s="1559"/>
      <c r="I266" s="1561"/>
      <c r="J266" s="1561"/>
      <c r="K266" s="1561"/>
      <c r="L266" s="1650"/>
      <c r="M266" s="154"/>
      <c r="N266" s="154"/>
      <c r="O266" s="154"/>
      <c r="P266" s="154"/>
      <c r="Q266" s="154"/>
      <c r="R266" s="154"/>
      <c r="S266" s="154"/>
      <c r="T266" s="154"/>
      <c r="U266" s="154"/>
      <c r="V266" s="154"/>
      <c r="W266" s="154"/>
      <c r="X266" s="154"/>
      <c r="Y266" s="154"/>
      <c r="Z266" s="154"/>
      <c r="AA266" s="154"/>
      <c r="AB266" s="154"/>
      <c r="AC266" s="154"/>
      <c r="AD266" s="154"/>
      <c r="AE266" s="154"/>
      <c r="AF266" s="154"/>
      <c r="AG266" s="154"/>
      <c r="AH266" s="154"/>
      <c r="AI266" s="154"/>
      <c r="AJ266" s="154"/>
      <c r="AK266" s="154"/>
      <c r="AL266" s="154"/>
      <c r="AM266" s="154"/>
      <c r="AN266" s="154"/>
      <c r="AO266" s="154"/>
      <c r="AP266" s="154"/>
      <c r="AQ266" s="154"/>
      <c r="AR266" s="154"/>
      <c r="AS266" s="154"/>
      <c r="AT266" s="154"/>
      <c r="AU266" s="154"/>
      <c r="AV266" s="154"/>
      <c r="AW266" s="154"/>
      <c r="AX266" s="154"/>
      <c r="AY266" s="154"/>
      <c r="AZ266" s="154"/>
      <c r="BA266" s="154"/>
      <c r="BB266" s="154"/>
    </row>
    <row r="267" spans="1:86" s="527" customFormat="1" ht="15.75" customHeight="1" outlineLevel="1" x14ac:dyDescent="0.2">
      <c r="A267" s="1212"/>
      <c r="B267" s="1212" t="s">
        <v>3228</v>
      </c>
      <c r="C267" s="1219" t="s">
        <v>3809</v>
      </c>
      <c r="D267" s="1562" t="s">
        <v>4246</v>
      </c>
      <c r="E267" s="1559" t="str">
        <f>IF(NOT('11 Mic'!C4 = ""),'11 Mic'!C4,IF(COUNTIF('11 Mic'!C5:C11,"&gt;=0")=0,"", MIN(MAX(SUMPRODUCT('11 Mic'!C5:C11,'11 Mic'!$G5:$G11)*4/(SUM('11 Mic'!$G5:$G11) - SUMIF('11 Mic'!C5:C11,"X",'11 Mic'!$G5:$G11)),MAX('11 Mic'!AA5:AA11)),MIN('11 Mic'!AE5:AE11))))</f>
        <v/>
      </c>
      <c r="F267" s="1559" t="str">
        <f>IF(NOT('11 Mic'!D4 = ""),'11 Mic'!D4,IF(COUNTIF('11 Mic'!D5:D11,"&gt;=0")=0,"", MIN(MAX(SUMPRODUCT('11 Mic'!D5:D11,'11 Mic'!$G5:$G11)*4/(SUM('11 Mic'!$G5:$G11) - SUMIF('11 Mic'!D5:D11,"X",'11 Mic'!$G5:$G11)),MAX('11 Mic'!AB5:AB11)),MIN('11 Mic'!AF5:AF11))))</f>
        <v/>
      </c>
      <c r="G267" s="1559" t="str">
        <f>IF(NOT('11 Mic'!E4 = ""),'11 Mic'!E4,IF(COUNTIF('11 Mic'!E5:E11,"&gt;=0")=0,"", MIN(MAX(SUMPRODUCT('11 Mic'!E5:E11,'11 Mic'!$G5:$G11)*4/(SUM('11 Mic'!$G5:$G11) - SUMIF('11 Mic'!E5:E11,"X",'11 Mic'!$G5:$G11)),MAX('11 Mic'!AC5:AC11)),MIN('11 Mic'!AG5:AG11))))</f>
        <v/>
      </c>
      <c r="H267" s="1559" t="str">
        <f>IF(NOT('11 Mic'!F4 = ""),'11 Mic'!F4,IF(COUNTIF('11 Mic'!F5:F11,"&gt;=0")=0,"", MIN(MAX(SUMPRODUCT('11 Mic'!F5:F11,'11 Mic'!$G5:$G11)*4/(SUM('11 Mic'!$G5:$G11) - SUMIF('11 Mic'!F5:F11,"X",'11 Mic'!$G5:$G11)),MAX('11 Mic'!AD5:AD11)),MIN('11 Mic'!AH5:AH11))))</f>
        <v/>
      </c>
      <c r="I267" s="1557">
        <f>IF(AND(OR(E267="X",E267=""),OR(F267="X",F267=""),OR(G267="X",G267=""),OR(H267="X",H267="")),1,ROUND(MIN(IF(OR(E267="",E267="X"),4,E267),IF(OR(F267="",F267="X"),4,F267),IF(OR(G267="",G267="X"),4,G267),IF(OR(H267="",H267="X"),4,H267)),0))</f>
        <v>1</v>
      </c>
      <c r="J267" s="1557">
        <f>IF(I267="","",IF(IndG=3,MAX(I267,Obj_Projets!J267),MAX(I267,Obj_PA!D267)))</f>
        <v>1</v>
      </c>
      <c r="K267" s="1560">
        <f>IF(IF(OR(IndG=3,IndG=4),MAX(I267,J267),I267)&lt;1,1,IF(OR(IndG=3,IndG=4),MAX(I267,J267),I267))</f>
        <v>1</v>
      </c>
      <c r="L267" s="1650" t="str">
        <f>IF(E267=""," n'a pas démarré","")</f>
        <v xml:space="preserve"> n'a pas démarré</v>
      </c>
      <c r="M267" s="154"/>
      <c r="N267" s="154"/>
      <c r="O267" s="154"/>
      <c r="P267" s="154"/>
      <c r="Q267" s="154"/>
      <c r="R267" s="154"/>
      <c r="S267" s="154"/>
      <c r="T267" s="154"/>
      <c r="U267" s="154"/>
      <c r="V267" s="154"/>
      <c r="W267" s="154"/>
      <c r="X267" s="154"/>
      <c r="Y267" s="154"/>
      <c r="Z267" s="154"/>
      <c r="AA267" s="154"/>
      <c r="AB267" s="154"/>
      <c r="AC267" s="154"/>
      <c r="AD267" s="154"/>
      <c r="AE267" s="154"/>
      <c r="AF267" s="154"/>
      <c r="AG267" s="154"/>
      <c r="AH267" s="154"/>
      <c r="AI267" s="154"/>
      <c r="AJ267" s="154"/>
      <c r="AK267" s="154"/>
      <c r="AL267" s="154"/>
      <c r="AM267" s="154"/>
      <c r="AN267" s="154"/>
      <c r="AO267" s="154"/>
      <c r="AP267" s="154"/>
      <c r="AQ267" s="154"/>
      <c r="AR267" s="154"/>
      <c r="AS267" s="154"/>
      <c r="AT267" s="154"/>
      <c r="AU267" s="154"/>
      <c r="AV267" s="154"/>
      <c r="AW267" s="154"/>
      <c r="AX267" s="154"/>
      <c r="AY267" s="154"/>
      <c r="AZ267" s="154"/>
      <c r="BA267" s="154"/>
      <c r="BB267" s="154"/>
    </row>
    <row r="268" spans="1:86" s="527" customFormat="1" ht="15.75" customHeight="1" outlineLevel="1" x14ac:dyDescent="0.2">
      <c r="A268" s="1212"/>
      <c r="B268" s="1212" t="s">
        <v>3229</v>
      </c>
      <c r="C268" s="1219" t="s">
        <v>5743</v>
      </c>
      <c r="D268" s="1562" t="s">
        <v>4246</v>
      </c>
      <c r="E268" s="1559" t="str">
        <f>IF(NOT('11 Mic'!C12 = ""),'11 Mic'!C12,IF(COUNTIF('11 Mic'!C13:C21,"&gt;=0")=0,"", MIN(MAX(SUMPRODUCT('11 Mic'!C13:C21,'11 Mic'!$G13:$G21)*4/(SUM('11 Mic'!$G13:$G21) - SUMIF('11 Mic'!C13:C21,"X",'11 Mic'!$G13:$G21)),MAX('11 Mic'!AA13:AA21)),MIN('11 Mic'!AE13:AE21))))</f>
        <v/>
      </c>
      <c r="F268" s="1559" t="str">
        <f>IF(NOT('11 Mic'!D12 = ""),'11 Mic'!D12,IF(COUNTIF('11 Mic'!D13:D21,"&gt;=0")=0,"", MIN(MAX(SUMPRODUCT('11 Mic'!D13:D21,'11 Mic'!$G13:$G21)*4/(SUM('11 Mic'!$G13:$G21) - SUMIF('11 Mic'!D13:D21,"X",'11 Mic'!$G13:$G21)),MAX('11 Mic'!AB13:AB21)),MIN('11 Mic'!AF13:AF21))))</f>
        <v/>
      </c>
      <c r="G268" s="1559" t="str">
        <f>IF(NOT('11 Mic'!E12 = ""),'11 Mic'!E12,IF(COUNTIF('11 Mic'!E13:E21,"&gt;=0")=0,"", MIN(MAX(SUMPRODUCT('11 Mic'!E13:E21,'11 Mic'!$G13:$G21)*4/(SUM('11 Mic'!$G13:$G21) - SUMIF('11 Mic'!E13:E21,"X",'11 Mic'!$G13:$G21)),MAX('11 Mic'!AC13:AC21)),MIN('11 Mic'!AG13:AG21))))</f>
        <v/>
      </c>
      <c r="H268" s="1559" t="str">
        <f>IF(NOT('11 Mic'!F12 = ""),'11 Mic'!F12,IF(COUNTIF('11 Mic'!F13:F21,"&gt;=0")=0,"", MIN(MAX(SUMPRODUCT('11 Mic'!F13:F21,'11 Mic'!$G13:$G21)*4/(SUM('11 Mic'!$G13:$G21) - SUMIF('11 Mic'!F13:F21,"X",'11 Mic'!$G13:$G21)),MAX('11 Mic'!AD13:AD21)),MIN('11 Mic'!AH13:AH21))))</f>
        <v/>
      </c>
      <c r="I268" s="1557">
        <f>IF(AND(OR(E268="X",E268=""),OR(F268="X",F268=""),OR(G268="X",G268=""),OR(H268="X",H268="")),1,ROUND(MIN(IF(OR(E268="",E268="X"),4,E268),IF(OR(F268="",F268="X"),4,F268),IF(OR(G268="",G268="X"),4,G268),IF(OR(H268="",H268="X"),4,H268)),0))</f>
        <v>1</v>
      </c>
      <c r="J268" s="1557">
        <f>IF(I268="","",IF(IndG=3,MAX(I268,Obj_Projets!J268),MAX(I268,Obj_PA!D268)))</f>
        <v>1</v>
      </c>
      <c r="K268" s="1560">
        <f>IF(IF(OR(IndG=3,IndG=4),MAX(I268,J268),I268)&lt;1,1,IF(OR(IndG=3,IndG=4),MAX(I268,J268),I268))</f>
        <v>1</v>
      </c>
      <c r="L268" s="1650" t="str">
        <f>IF(E268=""," n'a pas démarré","")</f>
        <v xml:space="preserve"> n'a pas démarré</v>
      </c>
      <c r="M268" s="154"/>
      <c r="N268" s="154"/>
      <c r="O268" s="154"/>
      <c r="P268" s="154"/>
      <c r="Q268" s="154"/>
      <c r="R268" s="154"/>
      <c r="S268" s="154"/>
      <c r="T268" s="154"/>
      <c r="U268" s="154"/>
      <c r="V268" s="154"/>
      <c r="W268" s="154"/>
      <c r="X268" s="154"/>
      <c r="Y268" s="154"/>
      <c r="Z268" s="154"/>
      <c r="AA268" s="154"/>
      <c r="AB268" s="154"/>
      <c r="AC268" s="154"/>
      <c r="AD268" s="154"/>
      <c r="AE268" s="154"/>
      <c r="AF268" s="154"/>
      <c r="AG268" s="154"/>
      <c r="AH268" s="154"/>
      <c r="AI268" s="154"/>
      <c r="AJ268" s="154"/>
      <c r="AK268" s="154"/>
      <c r="AL268" s="154"/>
      <c r="AM268" s="154"/>
      <c r="AN268" s="154"/>
      <c r="AO268" s="154"/>
      <c r="AP268" s="154"/>
      <c r="AQ268" s="154"/>
      <c r="AR268" s="154"/>
      <c r="AS268" s="154"/>
      <c r="AT268" s="154"/>
      <c r="AU268" s="154"/>
      <c r="AV268" s="154"/>
      <c r="AW268" s="154"/>
      <c r="AX268" s="154"/>
      <c r="AY268" s="154"/>
      <c r="AZ268" s="154"/>
      <c r="BA268" s="154"/>
      <c r="BB268" s="154"/>
    </row>
    <row r="269" spans="1:86" s="527" customFormat="1" ht="15.75" customHeight="1" outlineLevel="1" x14ac:dyDescent="0.2">
      <c r="A269" s="1212"/>
      <c r="B269" s="1212" t="s">
        <v>3231</v>
      </c>
      <c r="C269" s="1219" t="s">
        <v>5744</v>
      </c>
      <c r="D269" s="1562" t="s">
        <v>4246</v>
      </c>
      <c r="E269" s="1559" t="str">
        <f>IF(NOT('11 Mic'!C22 = ""),'11 Mic'!C22,IF(COUNTIF('11 Mic'!C23:C27,"&gt;=0")=0,"", MIN(MAX(SUMPRODUCT('11 Mic'!C23:C27,'11 Mic'!$G23:$G27)*4/(SUM('11 Mic'!$G23:$G27) - SUMIF('11 Mic'!C23:C27,"X",'11 Mic'!$G23:$G27)),MAX('11 Mic'!AA23:AA27)),MIN('11 Mic'!AE23:AE27))))</f>
        <v/>
      </c>
      <c r="F269" s="1559" t="str">
        <f>IF(NOT('11 Mic'!D22 = ""),'11 Mic'!D22,IF(COUNTIF('11 Mic'!D23:D27,"&gt;=0")=0,"", MIN(MAX(SUMPRODUCT('11 Mic'!D23:D27,'11 Mic'!$G23:$G27)*4/(SUM('11 Mic'!$G23:$G27) - SUMIF('11 Mic'!D23:D27,"X",'11 Mic'!$G23:$G27)),MAX('11 Mic'!AB23:AB27)),MIN('11 Mic'!AF23:AF27))))</f>
        <v/>
      </c>
      <c r="G269" s="1559" t="str">
        <f>IF(NOT('11 Mic'!E22 = ""),'11 Mic'!E22,IF(COUNTIF('11 Mic'!E23:E27,"&gt;=0")=0,"", MIN(MAX(SUMPRODUCT('11 Mic'!E23:E27,'11 Mic'!$G23:$G27)*4/(SUM('11 Mic'!$G23:$G27) - SUMIF('11 Mic'!E23:E27,"X",'11 Mic'!$G23:$G27)),MAX('11 Mic'!AC23:AC27)),MIN('11 Mic'!AG23:AG27))))</f>
        <v/>
      </c>
      <c r="H269" s="1559" t="str">
        <f>IF(NOT('11 Mic'!F22 = ""),'11 Mic'!F22,IF(COUNTIF('11 Mic'!F23:F27,"&gt;=0")=0,"", MIN(MAX(SUMPRODUCT('11 Mic'!F23:F27,'11 Mic'!$G23:$G27)*4/(SUM('11 Mic'!$G23:$G27) - SUMIF('11 Mic'!F23:F27,"X",'11 Mic'!$G23:$G27)),MAX('11 Mic'!AD23:AD27)),MIN('11 Mic'!AH23:AH27))))</f>
        <v/>
      </c>
      <c r="I269" s="1557">
        <f>IF(AND(OR(E269="X",E269=""),OR(F269="X",F269=""),OR(G269="X",G269=""),OR(H269="X",H269="")),1,ROUND(MIN(IF(OR(E269="",E269="X"),4,E269),IF(OR(F269="",F269="X"),4,F269),IF(OR(G269="",G269="X"),4,G269),IF(OR(H269="",H269="X"),4,H269)),0))</f>
        <v>1</v>
      </c>
      <c r="J269" s="1557">
        <f>IF(I269="","",IF(IndG=3,MAX(I269,Obj_Projets!J269),MAX(I269,Obj_PA!D269)))</f>
        <v>1</v>
      </c>
      <c r="K269" s="1560">
        <f>IF(IF(OR(IndG=3,IndG=4),MAX(I269,J269),I269)&lt;1,1,IF(OR(IndG=3,IndG=4),MAX(I269,J269),I269))</f>
        <v>1</v>
      </c>
      <c r="L269" s="1650" t="str">
        <f>IF(E269=""," n'a pas démarré","")</f>
        <v xml:space="preserve"> n'a pas démarré</v>
      </c>
      <c r="M269" s="154"/>
      <c r="N269" s="154"/>
      <c r="O269" s="154"/>
      <c r="P269" s="154"/>
      <c r="Q269" s="154"/>
      <c r="R269" s="154"/>
      <c r="S269" s="154"/>
      <c r="T269" s="154"/>
      <c r="U269" s="154"/>
      <c r="V269" s="154"/>
      <c r="W269" s="154"/>
      <c r="X269" s="154"/>
      <c r="Y269" s="154"/>
      <c r="Z269" s="154"/>
      <c r="AA269" s="154"/>
      <c r="AB269" s="154"/>
      <c r="AC269" s="154"/>
      <c r="AD269" s="154"/>
      <c r="AE269" s="154"/>
      <c r="AF269" s="154"/>
      <c r="AG269" s="154"/>
      <c r="AH269" s="154"/>
      <c r="AI269" s="154"/>
      <c r="AJ269" s="154"/>
      <c r="AK269" s="154"/>
      <c r="AL269" s="154"/>
      <c r="AM269" s="154"/>
      <c r="AN269" s="154"/>
      <c r="AO269" s="154"/>
      <c r="AP269" s="154"/>
      <c r="AQ269" s="154"/>
      <c r="AR269" s="154"/>
      <c r="AS269" s="154"/>
      <c r="AT269" s="154"/>
      <c r="AU269" s="154"/>
      <c r="AV269" s="154"/>
      <c r="AW269" s="154"/>
      <c r="AX269" s="154"/>
      <c r="AY269" s="154"/>
      <c r="AZ269" s="154"/>
      <c r="BA269" s="154"/>
      <c r="BB269" s="154"/>
    </row>
    <row r="270" spans="1:86" s="527" customFormat="1" ht="15.75" customHeight="1" outlineLevel="1" x14ac:dyDescent="0.2">
      <c r="A270" s="1212"/>
      <c r="B270" s="1212" t="s">
        <v>2170</v>
      </c>
      <c r="C270" s="1219" t="s">
        <v>1316</v>
      </c>
      <c r="D270" s="1562" t="s">
        <v>4246</v>
      </c>
      <c r="E270" s="1559" t="str">
        <f>IF(NOT('11 Mic'!C28 = ""),'11 Mic'!C28,IF(COUNTIF('11 Mic'!C29:C34,"&gt;=0")=0,"", MIN(MAX(SUMPRODUCT('11 Mic'!C29:C34,'11 Mic'!$G29:$G34)*4/(SUM('11 Mic'!$G29:$G34) - SUMIF('11 Mic'!C29:C34,"X",'11 Mic'!$G29:$G34)),MAX('11 Mic'!AA29:AA34)),MIN('11 Mic'!AE29:AE34))))</f>
        <v/>
      </c>
      <c r="F270" s="1559" t="str">
        <f>IF(NOT('11 Mic'!D28 = ""),'11 Mic'!D28,IF(COUNTIF('11 Mic'!D29:D34,"&gt;=0")=0,"", MIN(MAX(SUMPRODUCT('11 Mic'!D29:D34,'11 Mic'!$G29:$G34)*4/(SUM('11 Mic'!$G29:$G34) - SUMIF('11 Mic'!D29:D34,"X",'11 Mic'!$G29:$G34)),MAX('11 Mic'!AB29:AB34)),MIN('11 Mic'!AF29:AF34))))</f>
        <v/>
      </c>
      <c r="G270" s="1559" t="str">
        <f>IF(NOT('11 Mic'!E28 = ""),'11 Mic'!E28,IF(COUNTIF('11 Mic'!E29:E34,"&gt;=0")=0,"", MIN(MAX(SUMPRODUCT('11 Mic'!E29:E34,'11 Mic'!$G29:$G34)*4/(SUM('11 Mic'!$G29:$G34) - SUMIF('11 Mic'!E29:E34,"X",'11 Mic'!$G29:$G34)),MAX('11 Mic'!AC29:AC34)),MIN('11 Mic'!AG29:AG34))))</f>
        <v/>
      </c>
      <c r="H270" s="1559" t="str">
        <f>IF(NOT('11 Mic'!F28 = ""),'11 Mic'!F28,IF(COUNTIF('11 Mic'!F29:F34,"&gt;=0")=0,"", MIN(MAX(SUMPRODUCT('11 Mic'!F29:F34,'11 Mic'!$G29:$G34)*4/(SUM('11 Mic'!$G29:$G34) - SUMIF('11 Mic'!F29:F34,"X",'11 Mic'!$G29:$G34)),MAX('11 Mic'!AD29:AD34)),MIN('11 Mic'!AH29:AH34))))</f>
        <v/>
      </c>
      <c r="I270" s="1557">
        <f>IF(AND(OR(E270="X",E270=""),OR(F270="X",F270=""),OR(G270="X",G270=""),OR(H270="X",H270="")),1,ROUND(MIN(IF(OR(E270="",E270="X"),4,E270),IF(OR(F270="",F270="X"),4,F270),IF(OR(G270="",G270="X"),4,G270),IF(OR(H270="",H270="X"),4,H270)),0))</f>
        <v>1</v>
      </c>
      <c r="J270" s="1557">
        <f>IF(I270="","",IF(IndG=3,MAX(I270,Obj_Projets!J270),MAX(I270,Obj_PA!D270)))</f>
        <v>1</v>
      </c>
      <c r="K270" s="1560">
        <f>IF(IF(OR(IndG=3,IndG=4),MAX(I270,J270),I270)&lt;1,1,IF(OR(IndG=3,IndG=4),MAX(I270,J270),I270))</f>
        <v>1</v>
      </c>
      <c r="L270" s="1650" t="str">
        <f>IF(E270=""," n'a pas démarré","")</f>
        <v xml:space="preserve"> n'a pas démarré</v>
      </c>
      <c r="M270" s="154"/>
      <c r="N270" s="154"/>
      <c r="O270" s="154"/>
      <c r="P270" s="154"/>
      <c r="Q270" s="154"/>
      <c r="R270" s="154"/>
      <c r="S270" s="154"/>
      <c r="T270" s="154"/>
      <c r="U270" s="154"/>
      <c r="V270" s="154"/>
      <c r="W270" s="154"/>
      <c r="X270" s="154"/>
      <c r="Y270" s="154"/>
      <c r="Z270" s="154"/>
      <c r="AA270" s="154"/>
      <c r="AB270" s="154"/>
      <c r="AC270" s="154"/>
      <c r="AD270" s="154"/>
      <c r="AE270" s="154"/>
      <c r="AF270" s="154"/>
      <c r="AG270" s="154"/>
      <c r="AH270" s="154"/>
      <c r="AI270" s="154"/>
      <c r="AJ270" s="154"/>
      <c r="AK270" s="154"/>
      <c r="AL270" s="154"/>
      <c r="AM270" s="154"/>
      <c r="AN270" s="154"/>
      <c r="AO270" s="154"/>
      <c r="AP270" s="154"/>
      <c r="AQ270" s="154"/>
      <c r="AR270" s="154"/>
      <c r="AS270" s="154"/>
      <c r="AT270" s="154"/>
      <c r="AU270" s="154"/>
      <c r="AV270" s="154"/>
      <c r="AW270" s="154"/>
      <c r="AX270" s="154"/>
      <c r="AY270" s="154"/>
      <c r="AZ270" s="154"/>
      <c r="BA270" s="154"/>
      <c r="BB270" s="154"/>
    </row>
    <row r="271" spans="1:86" s="527" customFormat="1" ht="15.75" customHeight="1" outlineLevel="1" x14ac:dyDescent="0.2">
      <c r="A271" s="1212"/>
      <c r="B271" s="1212" t="s">
        <v>3824</v>
      </c>
      <c r="C271" s="1219" t="s">
        <v>6557</v>
      </c>
      <c r="D271" s="1562" t="s">
        <v>4246</v>
      </c>
      <c r="E271" s="1559" t="str">
        <f>IF(NOT('11 Mic'!C35 = ""),'11 Mic'!C35,IF(COUNTIF('11 Mic'!C36:C41,"&gt;=0")=0,"", MIN(MAX(SUMPRODUCT('11 Mic'!C36:C41,'11 Mic'!$G36:$G41)*4/(SUM('11 Mic'!$G36:$G41) - SUMIF('11 Mic'!C36:C41,"X",'11 Mic'!$G36:$G41)),MAX('11 Mic'!AA36:AA41)),MIN('11 Mic'!AE36:AE41))))</f>
        <v/>
      </c>
      <c r="F271" s="1556" t="str">
        <f>IF(NOT('11 Mic'!D35 = ""),'11 Mic'!D35,IF(COUNTIF('11 Mic'!D36:D41,"&gt;=0")=0,"", MIN(MAX(SUMPRODUCT('11 Mic'!D36:D41,'11 Mic'!$G36:$G41)*4/(SUM('11 Mic'!$G36:$G41) - SUMIF('11 Mic'!D36:D41,"X",'11 Mic'!$G36:$G41)),MAX('11 Mic'!AB36:AB41)),MIN('11 Mic'!AF36:AF41))))</f>
        <v/>
      </c>
      <c r="G271" s="1556" t="str">
        <f>IF(NOT('11 Mic'!E35 = ""),'11 Mic'!E35,IF(COUNTIF('11 Mic'!E36:E41,"&gt;=0")=0,"", MIN(MAX(SUMPRODUCT('11 Mic'!E36:E41,'11 Mic'!$G36:$G41)*4/(SUM('11 Mic'!$G36:$G41) - SUMIF('11 Mic'!E36:E41,"X",'11 Mic'!$G36:$G41)),MAX('11 Mic'!AC36:AC41)),MIN('11 Mic'!AG36:AG41))))</f>
        <v/>
      </c>
      <c r="H271" s="1556" t="str">
        <f>IF(NOT('11 Mic'!F35 = ""),'11 Mic'!F35,IF(COUNTIF('11 Mic'!F36:F41,"&gt;=0")=0,"", MIN(MAX(SUMPRODUCT('11 Mic'!F36:F41,'11 Mic'!$G36:$G41)*4/(SUM('11 Mic'!$G36:$G41) - SUMIF('11 Mic'!F36:F41,"X",'11 Mic'!$G36:$G41)),MAX('11 Mic'!AD36:AD41)),MIN('11 Mic'!AH36:AH41))))</f>
        <v/>
      </c>
      <c r="I271" s="1557">
        <f>IF(AND(OR(E271="X",E271=""),OR(F271="X",F271=""),OR(G271="X",G271=""),OR(H271="X",H271="")),1,ROUND(MIN(IF(OR(E271="",E271="X"),4,E271),IF(OR(F271="",F271="X"),4,F271),IF(OR(G271="",G271="X"),4,G271),IF(OR(H271="",H271="X"),4,H271)),0))</f>
        <v>1</v>
      </c>
      <c r="J271" s="1557">
        <f>IF(I271="","",IF(IndG=3,MAX(I271,Obj_Projets!J271),MAX(I271,Obj_PA!D271)))</f>
        <v>1</v>
      </c>
      <c r="K271" s="1560">
        <f>IF(IF(OR(IndG=3,IndG=4),MAX(I271,J271),I271)&lt;1,1,IF(OR(IndG=3,IndG=4),MAX(I271,J271),I271))</f>
        <v>1</v>
      </c>
      <c r="L271" s="1650" t="str">
        <f>IF(E271=""," n'a pas démarré","")</f>
        <v xml:space="preserve"> n'a pas démarré</v>
      </c>
      <c r="M271" s="154"/>
      <c r="N271" s="154"/>
      <c r="O271" s="154"/>
      <c r="P271" s="154"/>
      <c r="Q271" s="154"/>
      <c r="R271" s="154"/>
      <c r="S271" s="154"/>
      <c r="T271" s="154"/>
      <c r="U271" s="154"/>
      <c r="V271" s="154"/>
      <c r="W271" s="154"/>
      <c r="X271" s="154"/>
      <c r="Y271" s="154"/>
      <c r="Z271" s="154"/>
      <c r="AA271" s="154"/>
      <c r="AB271" s="154"/>
      <c r="AC271" s="154"/>
      <c r="AD271" s="154"/>
      <c r="AE271" s="154"/>
      <c r="AF271" s="154"/>
      <c r="AG271" s="154"/>
      <c r="AH271" s="154"/>
      <c r="AI271" s="154"/>
      <c r="AJ271" s="154"/>
      <c r="AK271" s="154"/>
      <c r="AL271" s="154"/>
      <c r="AM271" s="154"/>
      <c r="AN271" s="154"/>
      <c r="AO271" s="154"/>
      <c r="AP271" s="154"/>
      <c r="AQ271" s="154"/>
      <c r="AR271" s="154"/>
      <c r="AS271" s="154"/>
      <c r="AT271" s="154"/>
      <c r="AU271" s="154"/>
      <c r="AV271" s="154"/>
      <c r="AW271" s="154"/>
      <c r="AX271" s="154"/>
      <c r="AY271" s="154"/>
      <c r="AZ271" s="154"/>
      <c r="BA271" s="154"/>
      <c r="BB271" s="154"/>
    </row>
    <row r="272" spans="1:86" s="527" customFormat="1" ht="15.75" customHeight="1" outlineLevel="1" x14ac:dyDescent="0.2">
      <c r="A272" s="1212"/>
      <c r="B272" s="1213" t="s">
        <v>5257</v>
      </c>
      <c r="C272" s="1214" t="s">
        <v>7309</v>
      </c>
      <c r="D272" s="1554"/>
      <c r="E272" s="1559"/>
      <c r="F272" s="1559"/>
      <c r="G272" s="1559"/>
      <c r="H272" s="1559"/>
      <c r="I272" s="1561"/>
      <c r="J272" s="1557"/>
      <c r="K272" s="1561"/>
      <c r="L272" s="1650"/>
      <c r="M272" s="154"/>
      <c r="N272" s="154"/>
      <c r="O272" s="154"/>
      <c r="P272" s="154"/>
      <c r="Q272" s="154"/>
      <c r="R272" s="154"/>
      <c r="S272" s="154"/>
      <c r="T272" s="154"/>
      <c r="U272" s="154"/>
      <c r="V272" s="154"/>
      <c r="W272" s="154"/>
      <c r="X272" s="154"/>
      <c r="Y272" s="154"/>
      <c r="Z272" s="154"/>
      <c r="AA272" s="154"/>
      <c r="AB272" s="154"/>
      <c r="AC272" s="154"/>
      <c r="AD272" s="154"/>
      <c r="AE272" s="154"/>
      <c r="AF272" s="154"/>
      <c r="AG272" s="154"/>
      <c r="AH272" s="154"/>
      <c r="AI272" s="154"/>
      <c r="AJ272" s="154"/>
      <c r="AK272" s="154"/>
      <c r="AL272" s="154"/>
      <c r="AM272" s="154"/>
      <c r="AN272" s="154"/>
      <c r="AO272" s="154"/>
      <c r="AP272" s="154"/>
      <c r="AQ272" s="154"/>
      <c r="AR272" s="154"/>
      <c r="AS272" s="154"/>
      <c r="AT272" s="154"/>
      <c r="AU272" s="154"/>
      <c r="AV272" s="154"/>
      <c r="AW272" s="154"/>
      <c r="AX272" s="154"/>
      <c r="AY272" s="154"/>
      <c r="AZ272" s="154"/>
      <c r="BA272" s="154"/>
      <c r="BB272" s="154"/>
    </row>
    <row r="273" spans="1:87" s="527" customFormat="1" ht="15.75" customHeight="1" outlineLevel="1" x14ac:dyDescent="0.2">
      <c r="A273" s="1212"/>
      <c r="B273" s="1212" t="s">
        <v>4148</v>
      </c>
      <c r="C273" s="1219" t="s">
        <v>1319</v>
      </c>
      <c r="D273" s="1562" t="s">
        <v>2627</v>
      </c>
      <c r="E273" s="1559" t="str">
        <f>IF(NOT('11 Mic'!C43 = ""),'11 Mic'!C43,IF(COUNTIF('11 Mic'!C44:C53,"&gt;=0")=0,"", MIN(MAX(SUMPRODUCT('11 Mic'!C44:C53,'11 Mic'!$G44:$G53)*4/(SUM('11 Mic'!$G44:$G53) - SUMIF('11 Mic'!C44:C53,"X",'11 Mic'!$G44:$G53)),MAX('11 Mic'!AA44:AA53)),MIN('11 Mic'!AE44:AE53))))</f>
        <v/>
      </c>
      <c r="F273" s="1559" t="str">
        <f>IF(NOT('11 Mic'!D43 = ""),'11 Mic'!D43,IF(COUNTIF('11 Mic'!D44:D53,"&gt;=0")=0,"", MIN(MAX(SUMPRODUCT('11 Mic'!D44:D53,'11 Mic'!$G44:$G53)*4/(SUM('11 Mic'!$G44:$G53) - SUMIF('11 Mic'!D44:D53,"X",'11 Mic'!$G44:$G53)),MAX('11 Mic'!AB44:AB53)),MIN('11 Mic'!AF44:AF53))))</f>
        <v/>
      </c>
      <c r="G273" s="1559" t="str">
        <f>IF(NOT('11 Mic'!E43 = ""),'11 Mic'!E43,IF(COUNTIF('11 Mic'!E44:E53,"&gt;=0")=0,"", MIN(MAX(SUMPRODUCT('11 Mic'!E44:E53,'11 Mic'!$G44:$G53)*4/(SUM('11 Mic'!$G44:$G53) - SUMIF('11 Mic'!E44:E53,"X",'11 Mic'!$G44:$G53)),MAX('11 Mic'!AC44:AC53)),MIN('11 Mic'!AG44:AG53))))</f>
        <v/>
      </c>
      <c r="H273" s="1559" t="str">
        <f>IF(NOT('11 Mic'!F43 = ""),'11 Mic'!F43,IF(COUNTIF('11 Mic'!F44:F53,"&gt;=0")=0,"", MIN(MAX(SUMPRODUCT('11 Mic'!F44:F53,'11 Mic'!$G44:$G53)*4/(SUM('11 Mic'!$G44:$G53) - SUMIF('11 Mic'!F44:F53,"X",'11 Mic'!$G44:$G53)),MAX('11 Mic'!AD44:AD53)),MIN('11 Mic'!AH44:AH53))))</f>
        <v/>
      </c>
      <c r="I273" s="1557">
        <f>IF(AND(OR(E273="X",E273=""),OR(F273="X",F273=""),OR(G273="X",G273=""),OR(H273="X",H273="")),1,ROUND(MIN(IF(OR(E273="",E273="X"),4,E273),IF(OR(F273="",F273="X"),4,F273),IF(OR(G273="",G273="X"),4,G273),IF(OR(H273="",H273="X"),4,H273)),0))</f>
        <v>1</v>
      </c>
      <c r="J273" s="1557">
        <f>IF(I273="","",IF(IndG=3,MAX(I273,Obj_Projets!J273),MAX(I273,Obj_PA!D273)))</f>
        <v>1</v>
      </c>
      <c r="K273" s="1560">
        <f>IF(IF(OR(IndG=3,IndG=4),MAX(I273,J273),I273)&lt;1,1,IF(OR(IndG=3,IndG=4),MAX(I273,J273),I273))</f>
        <v>1</v>
      </c>
      <c r="L273" s="1650" t="str">
        <f>IF(E273=""," n'a pas démarré","")</f>
        <v xml:space="preserve"> n'a pas démarré</v>
      </c>
      <c r="M273" s="154"/>
      <c r="N273" s="154"/>
      <c r="O273" s="154"/>
      <c r="P273" s="154"/>
      <c r="Q273" s="154"/>
      <c r="R273" s="154"/>
      <c r="S273" s="154"/>
      <c r="T273" s="154"/>
      <c r="U273" s="154"/>
      <c r="V273" s="154"/>
      <c r="W273" s="154"/>
      <c r="X273" s="154"/>
      <c r="Y273" s="154"/>
      <c r="Z273" s="154"/>
      <c r="AA273" s="154"/>
      <c r="AB273" s="154"/>
      <c r="AC273" s="154"/>
      <c r="AD273" s="154"/>
      <c r="AE273" s="154"/>
      <c r="AF273" s="154"/>
      <c r="AG273" s="154"/>
      <c r="AH273" s="154"/>
      <c r="AI273" s="154"/>
      <c r="AJ273" s="154"/>
      <c r="AK273" s="154"/>
      <c r="AL273" s="154"/>
      <c r="AM273" s="154"/>
      <c r="AN273" s="154"/>
      <c r="AO273" s="154"/>
      <c r="AP273" s="154"/>
      <c r="AQ273" s="154"/>
      <c r="AR273" s="154"/>
      <c r="AS273" s="154"/>
      <c r="AT273" s="154"/>
      <c r="AU273" s="154"/>
      <c r="AV273" s="154"/>
      <c r="AW273" s="154"/>
      <c r="AX273" s="154"/>
      <c r="AY273" s="154"/>
      <c r="AZ273" s="154"/>
      <c r="BA273" s="154"/>
      <c r="BB273" s="154"/>
    </row>
    <row r="274" spans="1:87" s="527" customFormat="1" ht="15.75" customHeight="1" outlineLevel="1" x14ac:dyDescent="0.2">
      <c r="A274" s="1212"/>
      <c r="B274" s="1212" t="s">
        <v>4149</v>
      </c>
      <c r="C274" s="1219" t="s">
        <v>1598</v>
      </c>
      <c r="D274" s="1562" t="s">
        <v>2627</v>
      </c>
      <c r="E274" s="1559" t="str">
        <f>IF(NOT('11 Mic'!C54 = ""),'11 Mic'!C54,IF(COUNTIF('11 Mic'!C55:C60,"&gt;=0")=0,"", MIN(MAX(SUMPRODUCT('11 Mic'!C55:C60,'11 Mic'!$G55:$G60)*4/(SUM('11 Mic'!$G55:$G60) - SUMIF('11 Mic'!C55:C60,"X",'11 Mic'!$G55:$G60)),MAX('11 Mic'!AA55:AA60)),MIN('11 Mic'!AE55:AE60))))</f>
        <v/>
      </c>
      <c r="F274" s="1559" t="str">
        <f>IF(NOT('11 Mic'!D54 = ""),'11 Mic'!D54,IF(COUNTIF('11 Mic'!D55:D60,"&gt;=0")=0,"", MIN(MAX(SUMPRODUCT('11 Mic'!D55:D60,'11 Mic'!$G55:$G60)*4/(SUM('11 Mic'!$G55:$G60) - SUMIF('11 Mic'!D55:D60,"X",'11 Mic'!$G55:$G60)),MAX('11 Mic'!AB55:AB60)),MIN('11 Mic'!AF55:AF60))))</f>
        <v/>
      </c>
      <c r="G274" s="1559" t="str">
        <f>IF(NOT('11 Mic'!E54 = ""),'11 Mic'!E54,IF(COUNTIF('11 Mic'!E55:E60,"&gt;=0")=0,"", MIN(MAX(SUMPRODUCT('11 Mic'!E55:E60,'11 Mic'!$G55:$G60)*4/(SUM('11 Mic'!$G55:$G60) - SUMIF('11 Mic'!E55:E60,"X",'11 Mic'!$G55:$G60)),MAX('11 Mic'!AC55:AC60)),MIN('11 Mic'!AG55:AG60))))</f>
        <v/>
      </c>
      <c r="H274" s="1559" t="str">
        <f>IF(NOT('11 Mic'!F54 = ""),'11 Mic'!F54,IF(COUNTIF('11 Mic'!F55:F60,"&gt;=0")=0,"", MIN(MAX(SUMPRODUCT('11 Mic'!F55:F60,'11 Mic'!$G55:$G60)*4/(SUM('11 Mic'!$G55:$G60) - SUMIF('11 Mic'!F55:F60,"X",'11 Mic'!$G55:$G60)),MAX('11 Mic'!AD55:AD60)),MIN('11 Mic'!AH55:AH60))))</f>
        <v/>
      </c>
      <c r="I274" s="1557">
        <f>IF(AND(OR(E274="X",E274=""),OR(F274="X",F274=""),OR(G274="X",G274=""),OR(H274="X",H274="")),1,ROUND(MIN(IF(OR(E274="",E274="X"),4,E274),IF(OR(F274="",F274="X"),4,F274),IF(OR(G274="",G274="X"),4,G274),IF(OR(H274="",H274="X"),4,H274)),0))</f>
        <v>1</v>
      </c>
      <c r="J274" s="1557">
        <f>IF(I274="","",IF(IndG=3,MAX(I274,Obj_Projets!J274),MAX(I274,Obj_PA!D274)))</f>
        <v>1</v>
      </c>
      <c r="K274" s="1560">
        <f>IF(IF(OR(IndG=3,IndG=4),MAX(I274,J274),I274)&lt;1,1,IF(OR(IndG=3,IndG=4),MAX(I274,J274),I274))</f>
        <v>1</v>
      </c>
      <c r="L274" s="1650" t="str">
        <f>IF(E274=""," n'a pas démarré","")</f>
        <v xml:space="preserve"> n'a pas démarré</v>
      </c>
      <c r="M274" s="154"/>
      <c r="N274" s="154"/>
      <c r="O274" s="154"/>
      <c r="P274" s="154"/>
      <c r="Q274" s="154"/>
      <c r="R274" s="154"/>
      <c r="S274" s="154"/>
      <c r="T274" s="154"/>
      <c r="U274" s="154"/>
      <c r="V274" s="154"/>
      <c r="W274" s="154"/>
      <c r="X274" s="154"/>
      <c r="Y274" s="154"/>
      <c r="Z274" s="154"/>
      <c r="AA274" s="154"/>
      <c r="AB274" s="154"/>
      <c r="AC274" s="154"/>
      <c r="AD274" s="154"/>
      <c r="AE274" s="154"/>
      <c r="AF274" s="154"/>
      <c r="AG274" s="154"/>
      <c r="AH274" s="154"/>
      <c r="AI274" s="154"/>
      <c r="AJ274" s="154"/>
      <c r="AK274" s="154"/>
      <c r="AL274" s="154"/>
      <c r="AM274" s="154"/>
      <c r="AN274" s="154"/>
      <c r="AO274" s="154"/>
      <c r="AP274" s="154"/>
      <c r="AQ274" s="154"/>
      <c r="AR274" s="154"/>
      <c r="AS274" s="154"/>
      <c r="AT274" s="154"/>
      <c r="AU274" s="154"/>
      <c r="AV274" s="154"/>
      <c r="AW274" s="154"/>
      <c r="AX274" s="154"/>
      <c r="AY274" s="154"/>
      <c r="AZ274" s="154"/>
      <c r="BA274" s="154"/>
      <c r="BB274" s="154"/>
    </row>
    <row r="275" spans="1:87" s="527" customFormat="1" ht="15.75" customHeight="1" outlineLevel="1" x14ac:dyDescent="0.2">
      <c r="A275" s="1212"/>
      <c r="B275" s="1212" t="s">
        <v>4150</v>
      </c>
      <c r="C275" s="1219" t="s">
        <v>1849</v>
      </c>
      <c r="D275" s="1562" t="s">
        <v>2627</v>
      </c>
      <c r="E275" s="1559" t="str">
        <f>IF(NOT('11 Mic'!C61 = ""),'11 Mic'!C61,IF(COUNTIF('11 Mic'!C62:C68,"&gt;=0")=0,"", MIN(MAX(SUMPRODUCT('11 Mic'!C62:C68,'11 Mic'!$G62:$G68)*4/(SUM('11 Mic'!$G62:$G68) - SUMIF('11 Mic'!C62:C68,"X",'11 Mic'!$G62:$G68)),MAX('11 Mic'!AA62:AA68)),MIN('11 Mic'!AE62:AE68))))</f>
        <v/>
      </c>
      <c r="F275" s="1559" t="str">
        <f>IF(NOT('11 Mic'!D61 = ""),'11 Mic'!D61,IF(COUNTIF('11 Mic'!D62:D68,"&gt;=0")=0,"", MIN(MAX(SUMPRODUCT('11 Mic'!D62:D68,'11 Mic'!$G62:$G68)*4/(SUM('11 Mic'!$G62:$G68) - SUMIF('11 Mic'!D62:D68,"X",'11 Mic'!$G62:$G68)),MAX('11 Mic'!AB62:AB68)),MIN('11 Mic'!AF62:AF68))))</f>
        <v/>
      </c>
      <c r="G275" s="1559" t="str">
        <f>IF(NOT('11 Mic'!E61 = ""),'11 Mic'!E61,IF(COUNTIF('11 Mic'!E62:E68,"&gt;=0")=0,"", MIN(MAX(SUMPRODUCT('11 Mic'!E62:E68,'11 Mic'!$G62:$G68)*4/(SUM('11 Mic'!$G62:$G68) - SUMIF('11 Mic'!E62:E68,"X",'11 Mic'!$G62:$G68)),MAX('11 Mic'!AC62:AC68)),MIN('11 Mic'!AG62:AG68))))</f>
        <v/>
      </c>
      <c r="H275" s="1559" t="str">
        <f>IF(NOT('11 Mic'!F61 = ""),'11 Mic'!F61,IF(COUNTIF('11 Mic'!F62:F68,"&gt;=0")=0,"", MIN(MAX(SUMPRODUCT('11 Mic'!F62:F68,'11 Mic'!$G62:$G68)*4/(SUM('11 Mic'!$G62:$G68) - SUMIF('11 Mic'!F62:F68,"X",'11 Mic'!$G62:$G68)),MAX('11 Mic'!AD62:AD68)),MIN('11 Mic'!AH62:AH68))))</f>
        <v/>
      </c>
      <c r="I275" s="1557">
        <f>IF(AND(OR(E275="X",E275=""),OR(F275="X",F275=""),OR(G275="X",G275=""),OR(H275="X",H275="")),1,ROUND(MIN(IF(OR(E275="",E275="X"),4,E275),IF(OR(F275="",F275="X"),4,F275),IF(OR(G275="",G275="X"),4,G275),IF(OR(H275="",H275="X"),4,H275)),0))</f>
        <v>1</v>
      </c>
      <c r="J275" s="1557">
        <f>IF(I275="","",IF(IndG=3,MAX(I275,Obj_Projets!J275),MAX(I275,Obj_PA!D275)))</f>
        <v>1</v>
      </c>
      <c r="K275" s="1560">
        <f>IF(IF(OR(IndG=3,IndG=4),MAX(I275,J275),I275)&lt;1,1,IF(OR(IndG=3,IndG=4),MAX(I275,J275),I275))</f>
        <v>1</v>
      </c>
      <c r="L275" s="1650" t="str">
        <f>IF(E275=""," n'a pas démarré","")</f>
        <v xml:space="preserve"> n'a pas démarré</v>
      </c>
      <c r="M275" s="154"/>
      <c r="N275" s="154"/>
      <c r="O275" s="154"/>
      <c r="P275" s="154"/>
      <c r="Q275" s="154"/>
      <c r="R275" s="154"/>
      <c r="S275" s="154"/>
      <c r="T275" s="154"/>
      <c r="U275" s="154"/>
      <c r="V275" s="154"/>
      <c r="W275" s="154"/>
      <c r="X275" s="154"/>
      <c r="Y275" s="154"/>
      <c r="Z275" s="154"/>
      <c r="AA275" s="154"/>
      <c r="AB275" s="154"/>
      <c r="AC275" s="154"/>
      <c r="AD275" s="154"/>
      <c r="AE275" s="154"/>
      <c r="AF275" s="154"/>
      <c r="AG275" s="154"/>
      <c r="AH275" s="154"/>
      <c r="AI275" s="154"/>
      <c r="AJ275" s="154"/>
      <c r="AK275" s="154"/>
      <c r="AL275" s="154"/>
      <c r="AM275" s="154"/>
      <c r="AN275" s="154"/>
      <c r="AO275" s="154"/>
      <c r="AP275" s="154"/>
      <c r="AQ275" s="154"/>
      <c r="AR275" s="154"/>
      <c r="AS275" s="154"/>
      <c r="AT275" s="154"/>
      <c r="AU275" s="154"/>
      <c r="AV275" s="154"/>
      <c r="AW275" s="154"/>
      <c r="AX275" s="154"/>
      <c r="AY275" s="154"/>
      <c r="AZ275" s="154"/>
      <c r="BA275" s="154"/>
      <c r="BB275" s="154"/>
      <c r="CI275" s="527">
        <f>IF(INDEX(Tab_actions,82,1)=1,INDEX(Tab_actions,82,10),0)</f>
        <v>0</v>
      </c>
    </row>
    <row r="276" spans="1:87" s="527" customFormat="1" ht="15.75" customHeight="1" outlineLevel="1" x14ac:dyDescent="0.2">
      <c r="A276" s="1212"/>
      <c r="B276" s="1213" t="s">
        <v>2868</v>
      </c>
      <c r="C276" s="1214" t="s">
        <v>7308</v>
      </c>
      <c r="D276" s="1554"/>
      <c r="E276" s="1559"/>
      <c r="F276" s="1559"/>
      <c r="G276" s="1559"/>
      <c r="H276" s="1559"/>
      <c r="I276" s="1561"/>
      <c r="J276" s="1557"/>
      <c r="K276" s="1561"/>
      <c r="L276" s="1650"/>
      <c r="M276" s="154"/>
      <c r="N276" s="154"/>
      <c r="O276" s="154"/>
      <c r="P276" s="154"/>
      <c r="Q276" s="154"/>
      <c r="R276" s="154"/>
      <c r="S276" s="154"/>
      <c r="T276" s="154"/>
      <c r="U276" s="154"/>
      <c r="V276" s="154"/>
      <c r="W276" s="154"/>
      <c r="X276" s="154"/>
      <c r="Y276" s="154"/>
      <c r="Z276" s="154"/>
      <c r="AA276" s="154"/>
      <c r="AB276" s="154"/>
      <c r="AC276" s="154"/>
      <c r="AD276" s="154"/>
      <c r="AE276" s="154"/>
      <c r="AF276" s="154"/>
      <c r="AG276" s="154"/>
      <c r="AH276" s="154"/>
      <c r="AI276" s="154"/>
      <c r="AJ276" s="154"/>
      <c r="AK276" s="154"/>
      <c r="AL276" s="154"/>
      <c r="AM276" s="154"/>
      <c r="AN276" s="154"/>
      <c r="AO276" s="154"/>
      <c r="AP276" s="154"/>
      <c r="AQ276" s="154"/>
      <c r="AR276" s="154"/>
      <c r="AS276" s="154"/>
      <c r="AT276" s="154"/>
      <c r="AU276" s="154"/>
      <c r="AV276" s="154"/>
      <c r="AW276" s="154"/>
      <c r="AX276" s="154"/>
      <c r="AY276" s="154"/>
      <c r="AZ276" s="154"/>
      <c r="BA276" s="154"/>
      <c r="BB276" s="154"/>
    </row>
    <row r="277" spans="1:87" s="527" customFormat="1" ht="25.5" outlineLevel="1" x14ac:dyDescent="0.2">
      <c r="A277" s="1212"/>
      <c r="B277" s="1212" t="s">
        <v>12</v>
      </c>
      <c r="C277" s="1219" t="s">
        <v>5745</v>
      </c>
      <c r="D277" s="1562" t="s">
        <v>2627</v>
      </c>
      <c r="E277" s="1559" t="str">
        <f>IF(NOT('11 Mic'!C70 = ""),'11 Mic'!C70,IF(COUNTIF('11 Mic'!C71:C78,"&gt;=0")=0,"", MIN(MAX(SUMPRODUCT('11 Mic'!C71:C78,'11 Mic'!$G71:$G78)*4/(SUM('11 Mic'!$G71:$G78) - SUMIF('11 Mic'!C71:C78,"X",'11 Mic'!$G71:$G78)),MAX('11 Mic'!AA71:AA78)),MIN('11 Mic'!AE71:AE78))))</f>
        <v/>
      </c>
      <c r="F277" s="1559" t="str">
        <f>IF(NOT('11 Mic'!D70 = ""),'11 Mic'!D70,IF(COUNTIF('11 Mic'!D71:D78,"&gt;=0")=0,"", MIN(MAX(SUMPRODUCT('11 Mic'!D71:D78,'11 Mic'!$G71:$G78)*4/(SUM('11 Mic'!$G71:$G78) - SUMIF('11 Mic'!D71:D78,"X",'11 Mic'!$G71:$G78)),MAX('11 Mic'!AB71:AB78)),MIN('11 Mic'!AF71:AF78))))</f>
        <v/>
      </c>
      <c r="G277" s="1559" t="str">
        <f>IF(NOT('11 Mic'!E70 = ""),'11 Mic'!E70,IF(COUNTIF('11 Mic'!E71:E78,"&gt;=0")=0,"", MIN(MAX(SUMPRODUCT('11 Mic'!E71:E78,'11 Mic'!$G71:$G78)*4/(SUM('11 Mic'!$G71:$G78) - SUMIF('11 Mic'!E71:E78,"X",'11 Mic'!$G71:$G78)),MAX('11 Mic'!AC71:AC78)),MIN('11 Mic'!AG71:AG78))))</f>
        <v/>
      </c>
      <c r="H277" s="1559" t="str">
        <f>IF(NOT('11 Mic'!F70 = ""),'11 Mic'!F70,IF(COUNTIF('11 Mic'!F71:F78,"&gt;=0")=0,"", MIN(MAX(SUMPRODUCT('11 Mic'!F71:F78,'11 Mic'!$G71:$G78)*4/(SUM('11 Mic'!$G71:$G78) - SUMIF('11 Mic'!F71:F78,"X",'11 Mic'!$G71:$G78)),MAX('11 Mic'!AD71:AD78)),MIN('11 Mic'!AH71:AH78))))</f>
        <v/>
      </c>
      <c r="I277" s="1557">
        <f t="shared" ref="I277:I282" si="39">IF(AND(OR(E277="X",E277=""),OR(F277="X",F277=""),OR(G277="X",G277=""),OR(H277="X",H277="")),1,ROUND(MIN(IF(OR(E277="",E277="X"),4,E277),IF(OR(F277="",F277="X"),4,F277),IF(OR(G277="",G277="X"),4,G277),IF(OR(H277="",H277="X"),4,H277)),0))</f>
        <v>1</v>
      </c>
      <c r="J277" s="1557">
        <f>IF(I277="","",IF(IndG=3,MAX(I277,Obj_Projets!J277),MAX(I277,Obj_PA!D277)))</f>
        <v>1</v>
      </c>
      <c r="K277" s="1560">
        <f t="shared" ref="K277:K282" si="40">IF(IF(OR(IndG=3,IndG=4),MAX(I277,J277),I277)&lt;1,1,IF(OR(IndG=3,IndG=4),MAX(I277,J277),I277))</f>
        <v>1</v>
      </c>
      <c r="L277" s="1650" t="str">
        <f t="shared" ref="L277:L282" si="41">IF(E277=""," n'a pas démarré","")</f>
        <v xml:space="preserve"> n'a pas démarré</v>
      </c>
      <c r="M277" s="154"/>
      <c r="N277" s="154"/>
      <c r="O277" s="154"/>
      <c r="P277" s="154"/>
      <c r="Q277" s="154"/>
      <c r="R277" s="154"/>
      <c r="S277" s="154"/>
      <c r="T277" s="154"/>
      <c r="U277" s="154"/>
      <c r="V277" s="154"/>
      <c r="W277" s="154"/>
      <c r="X277" s="154"/>
      <c r="Y277" s="154"/>
      <c r="Z277" s="154"/>
      <c r="AA277" s="154"/>
      <c r="AB277" s="154"/>
      <c r="AC277" s="154"/>
      <c r="AD277" s="154"/>
      <c r="AE277" s="154"/>
      <c r="AF277" s="154"/>
      <c r="AG277" s="154"/>
      <c r="AH277" s="154"/>
      <c r="AI277" s="154"/>
      <c r="AJ277" s="154"/>
      <c r="AK277" s="154"/>
      <c r="AL277" s="154"/>
      <c r="AM277" s="154"/>
      <c r="AN277" s="154"/>
      <c r="AO277" s="154"/>
      <c r="AP277" s="154"/>
      <c r="AQ277" s="154"/>
      <c r="AR277" s="154"/>
      <c r="AS277" s="154"/>
      <c r="AT277" s="154"/>
      <c r="AU277" s="154"/>
      <c r="AV277" s="154"/>
      <c r="AW277" s="154"/>
      <c r="AX277" s="154"/>
      <c r="AY277" s="154"/>
      <c r="AZ277" s="154"/>
      <c r="BA277" s="154"/>
      <c r="BB277" s="154"/>
    </row>
    <row r="278" spans="1:87" s="527" customFormat="1" ht="15.75" customHeight="1" outlineLevel="1" x14ac:dyDescent="0.2">
      <c r="A278" s="1212"/>
      <c r="B278" s="1212" t="s">
        <v>1320</v>
      </c>
      <c r="C278" s="1219" t="s">
        <v>4869</v>
      </c>
      <c r="D278" s="1562" t="s">
        <v>2627</v>
      </c>
      <c r="E278" s="1559" t="str">
        <f>IF(NOT('11 Mic'!C79 = ""),'11 Mic'!C79,IF(COUNTIF('11 Mic'!C80:C82,"&gt;=0")=0,"", MIN(MAX(SUMPRODUCT('11 Mic'!C80:C82,'11 Mic'!$G80:$G82)*4/(SUM('11 Mic'!$G80:$G82) - SUMIF('11 Mic'!C80:C82,"X",'11 Mic'!$G80:$G82)),MAX('11 Mic'!AA80:AA82)),MIN('11 Mic'!AE80:AE82))))</f>
        <v/>
      </c>
      <c r="F278" s="1559" t="str">
        <f>IF(NOT('11 Mic'!D79 = ""),'11 Mic'!D79,IF(COUNTIF('11 Mic'!D80:D82,"&gt;=0")=0,"", MIN(MAX(SUMPRODUCT('11 Mic'!D80:D82,'11 Mic'!$G80:$G82)*4/(SUM('11 Mic'!$G80:$G82) - SUMIF('11 Mic'!D80:D82,"X",'11 Mic'!$G80:$G82)),MAX('11 Mic'!AB80:AB82)),MIN('11 Mic'!AF80:AF82))))</f>
        <v/>
      </c>
      <c r="G278" s="1559" t="str">
        <f>IF(NOT('11 Mic'!E79 = ""),'11 Mic'!E79,IF(COUNTIF('11 Mic'!E80:E82,"&gt;=0")=0,"", MIN(MAX(SUMPRODUCT('11 Mic'!E80:E82,'11 Mic'!$G80:$G82)*4/(SUM('11 Mic'!$G80:$G82) - SUMIF('11 Mic'!E80:E82,"X",'11 Mic'!$G80:$G82)),MAX('11 Mic'!AC80:AC82)),MIN('11 Mic'!AG80:AG82))))</f>
        <v/>
      </c>
      <c r="H278" s="1559" t="str">
        <f>IF(NOT('11 Mic'!F79 = ""),'11 Mic'!F79,IF(COUNTIF('11 Mic'!F80:F82,"&gt;=0")=0,"", MIN(MAX(SUMPRODUCT('11 Mic'!F80:F82,'11 Mic'!$G80:$G82)*4/(SUM('11 Mic'!$G80:$G82) - SUMIF('11 Mic'!F80:F82,"X",'11 Mic'!$G80:$G82)),MAX('11 Mic'!AD80:AD82)),MIN('11 Mic'!AH80:AH82))))</f>
        <v/>
      </c>
      <c r="I278" s="1557">
        <f t="shared" si="39"/>
        <v>1</v>
      </c>
      <c r="J278" s="1557">
        <f>IF(I278="","",IF(IndG=3,MAX(I278,Obj_Projets!J278),MAX(I278,Obj_PA!D278)))</f>
        <v>1</v>
      </c>
      <c r="K278" s="1560">
        <f t="shared" si="40"/>
        <v>1</v>
      </c>
      <c r="L278" s="1650" t="str">
        <f t="shared" si="41"/>
        <v xml:space="preserve"> n'a pas démarré</v>
      </c>
      <c r="M278" s="154"/>
      <c r="N278" s="154"/>
      <c r="O278" s="154"/>
      <c r="P278" s="154"/>
      <c r="Q278" s="154"/>
      <c r="R278" s="154"/>
      <c r="S278" s="154"/>
      <c r="T278" s="154"/>
      <c r="U278" s="154"/>
      <c r="V278" s="154"/>
      <c r="W278" s="154"/>
      <c r="X278" s="154"/>
      <c r="Y278" s="154"/>
      <c r="Z278" s="154"/>
      <c r="AA278" s="154"/>
      <c r="AB278" s="154"/>
      <c r="AC278" s="154"/>
      <c r="AD278" s="154"/>
      <c r="AE278" s="154"/>
      <c r="AF278" s="154"/>
      <c r="AG278" s="154"/>
      <c r="AH278" s="154"/>
      <c r="AI278" s="154"/>
      <c r="AJ278" s="154"/>
      <c r="AK278" s="154"/>
      <c r="AL278" s="154"/>
      <c r="AM278" s="154"/>
      <c r="AN278" s="154"/>
      <c r="AO278" s="154"/>
      <c r="AP278" s="154"/>
      <c r="AQ278" s="154"/>
      <c r="AR278" s="154"/>
      <c r="AS278" s="154"/>
      <c r="AT278" s="154"/>
      <c r="AU278" s="154"/>
      <c r="AV278" s="154"/>
      <c r="AW278" s="154"/>
      <c r="AX278" s="154"/>
      <c r="AY278" s="154"/>
      <c r="AZ278" s="154"/>
      <c r="BA278" s="154"/>
      <c r="BB278" s="154"/>
    </row>
    <row r="279" spans="1:87" s="527" customFormat="1" ht="15.75" customHeight="1" outlineLevel="1" x14ac:dyDescent="0.2">
      <c r="A279" s="1212"/>
      <c r="B279" s="1212" t="s">
        <v>1651</v>
      </c>
      <c r="C279" s="1219" t="s">
        <v>1652</v>
      </c>
      <c r="D279" s="1562" t="s">
        <v>2627</v>
      </c>
      <c r="E279" s="1559" t="str">
        <f>IF(NOT('11 Mic'!C83 = ""),'11 Mic'!C83,IF(COUNTIF('11 Mic'!C84:C88,"&gt;=0")=0,"", MIN(MAX(SUMPRODUCT('11 Mic'!C84:C88,'11 Mic'!$G84:$G88)*4/(SUM('11 Mic'!$G84:$G88) - SUMIF('11 Mic'!C84:C88,"X",'11 Mic'!$G84:$G88)),MAX('11 Mic'!AA84:AA88)),MIN('11 Mic'!AE84:AE88))))</f>
        <v/>
      </c>
      <c r="F279" s="1559" t="str">
        <f>IF(NOT('11 Mic'!D83 = ""),'11 Mic'!D83,IF(COUNTIF('11 Mic'!D84:D88,"&gt;=0")=0,"", MIN(MAX(SUMPRODUCT('11 Mic'!D84:D88,'11 Mic'!$G84:$G88)*4/(SUM('11 Mic'!$G84:$G88) - SUMIF('11 Mic'!D84:D88,"X",'11 Mic'!$G84:$G88)),MAX('11 Mic'!AB84:AB88)),MIN('11 Mic'!AF84:AF88))))</f>
        <v/>
      </c>
      <c r="G279" s="1559" t="str">
        <f>IF(NOT('11 Mic'!E83 = ""),'11 Mic'!E83,IF(COUNTIF('11 Mic'!E84:E88,"&gt;=0")=0,"", MIN(MAX(SUMPRODUCT('11 Mic'!E84:E88,'11 Mic'!$G84:$G88)*4/(SUM('11 Mic'!$G84:$G88) - SUMIF('11 Mic'!E84:E88,"X",'11 Mic'!$G84:$G88)),MAX('11 Mic'!AC84:AC88)),MIN('11 Mic'!AG84:AG88))))</f>
        <v/>
      </c>
      <c r="H279" s="1559" t="str">
        <f>IF(NOT('11 Mic'!F83 = ""),'11 Mic'!F83,IF(COUNTIF('11 Mic'!F84:F88,"&gt;=0")=0,"", MIN(MAX(SUMPRODUCT('11 Mic'!F84:F88,'11 Mic'!$G84:$G88)*4/(SUM('11 Mic'!$G84:$G88) - SUMIF('11 Mic'!F84:F88,"X",'11 Mic'!$G84:$G88)),MAX('11 Mic'!AD84:AD88)),MIN('11 Mic'!AH84:AH88))))</f>
        <v/>
      </c>
      <c r="I279" s="1557">
        <f t="shared" si="39"/>
        <v>1</v>
      </c>
      <c r="J279" s="1557">
        <f>IF(I279="","",IF(IndG=3,MAX(I279,Obj_Projets!J279),MAX(I279,Obj_PA!D279)))</f>
        <v>1</v>
      </c>
      <c r="K279" s="1560">
        <f t="shared" si="40"/>
        <v>1</v>
      </c>
      <c r="L279" s="1650" t="str">
        <f t="shared" si="41"/>
        <v xml:space="preserve"> n'a pas démarré</v>
      </c>
      <c r="M279" s="154"/>
      <c r="N279" s="154"/>
      <c r="O279" s="154"/>
      <c r="P279" s="154"/>
      <c r="Q279" s="154"/>
      <c r="R279" s="154"/>
      <c r="S279" s="154"/>
      <c r="T279" s="154"/>
      <c r="U279" s="154"/>
      <c r="V279" s="154"/>
      <c r="W279" s="154"/>
      <c r="X279" s="154"/>
      <c r="Y279" s="154"/>
      <c r="Z279" s="154"/>
      <c r="AA279" s="154"/>
      <c r="AB279" s="154"/>
      <c r="AC279" s="154"/>
      <c r="AD279" s="154"/>
      <c r="AE279" s="154"/>
      <c r="AF279" s="154"/>
      <c r="AG279" s="154"/>
      <c r="AH279" s="154"/>
      <c r="AI279" s="154"/>
      <c r="AJ279" s="154"/>
      <c r="AK279" s="154"/>
      <c r="AL279" s="154"/>
      <c r="AM279" s="154"/>
      <c r="AN279" s="154"/>
      <c r="AO279" s="154"/>
      <c r="AP279" s="154"/>
      <c r="AQ279" s="154"/>
      <c r="AR279" s="154"/>
      <c r="AS279" s="154"/>
      <c r="AT279" s="154"/>
      <c r="AU279" s="154"/>
      <c r="AV279" s="154"/>
      <c r="AW279" s="154"/>
      <c r="AX279" s="154"/>
      <c r="AY279" s="154"/>
      <c r="AZ279" s="154"/>
      <c r="BA279" s="154"/>
      <c r="BB279" s="154"/>
    </row>
    <row r="280" spans="1:87" s="527" customFormat="1" ht="25.5" outlineLevel="1" x14ac:dyDescent="0.2">
      <c r="A280" s="1212"/>
      <c r="B280" s="1212" t="s">
        <v>1653</v>
      </c>
      <c r="C280" s="1219" t="s">
        <v>1596</v>
      </c>
      <c r="D280" s="1562" t="s">
        <v>2627</v>
      </c>
      <c r="E280" s="1559" t="str">
        <f>IF(NOT('11 Mic'!C89 = ""),'11 Mic'!C89,IF(COUNTIF('11 Mic'!C90:C95,"&gt;=0")=0,"", MIN(MAX(SUMPRODUCT('11 Mic'!C90:C95,'11 Mic'!$G90:$G95)*4/(SUM('11 Mic'!$G90:$G95) - SUMIF('11 Mic'!C90:C95,"X",'11 Mic'!$G90:$G95)),MAX('11 Mic'!AA90:AA95)),MIN('11 Mic'!AE90:AE95))))</f>
        <v/>
      </c>
      <c r="F280" s="1559" t="str">
        <f>IF(NOT('11 Mic'!D89 = ""),'11 Mic'!D89,IF(COUNTIF('11 Mic'!D90:D95,"&gt;=0")=0,"", MIN(MAX(SUMPRODUCT('11 Mic'!D90:D95,'11 Mic'!$G90:$G95)*4/(SUM('11 Mic'!$G90:$G95) - SUMIF('11 Mic'!D90:D95,"X",'11 Mic'!$G90:$G95)),MAX('11 Mic'!AB90:AB95)),MIN('11 Mic'!AF90:AF95))))</f>
        <v/>
      </c>
      <c r="G280" s="1559" t="str">
        <f>IF(NOT('11 Mic'!E89 = ""),'11 Mic'!E89,IF(COUNTIF('11 Mic'!E90:E95,"&gt;=0")=0,"", MIN(MAX(SUMPRODUCT('11 Mic'!E90:E95,'11 Mic'!$G90:$G95)*4/(SUM('11 Mic'!$G90:$G95) - SUMIF('11 Mic'!E90:E95,"X",'11 Mic'!$G90:$G95)),MAX('11 Mic'!AC90:AC95)),MIN('11 Mic'!AG90:AG95))))</f>
        <v/>
      </c>
      <c r="H280" s="1559" t="str">
        <f>IF(NOT('11 Mic'!F89 = ""),'11 Mic'!F89,IF(COUNTIF('11 Mic'!F90:F95,"&gt;=0")=0,"", MIN(MAX(SUMPRODUCT('11 Mic'!F90:F95,'11 Mic'!$G90:$G95)*4/(SUM('11 Mic'!$G90:$G95) - SUMIF('11 Mic'!F90:F95,"X",'11 Mic'!$G90:$G95)),MAX('11 Mic'!AD90:AD95)),MIN('11 Mic'!AH90:AH95))))</f>
        <v/>
      </c>
      <c r="I280" s="1557">
        <f t="shared" si="39"/>
        <v>1</v>
      </c>
      <c r="J280" s="1557">
        <f>IF(I280="","",IF(IndG=3,MAX(I280,Obj_Projets!J280),MAX(I280,Obj_PA!D280)))</f>
        <v>1</v>
      </c>
      <c r="K280" s="1560">
        <f t="shared" si="40"/>
        <v>1</v>
      </c>
      <c r="L280" s="1650" t="str">
        <f t="shared" si="41"/>
        <v xml:space="preserve"> n'a pas démarré</v>
      </c>
      <c r="M280" s="154"/>
      <c r="N280" s="154"/>
      <c r="O280" s="154"/>
      <c r="P280" s="154"/>
      <c r="Q280" s="154"/>
      <c r="R280" s="154"/>
      <c r="S280" s="154"/>
      <c r="T280" s="154"/>
      <c r="U280" s="154"/>
      <c r="V280" s="154"/>
      <c r="W280" s="154"/>
      <c r="X280" s="154"/>
      <c r="Y280" s="154"/>
      <c r="Z280" s="154"/>
      <c r="AA280" s="154"/>
      <c r="AB280" s="154"/>
      <c r="AC280" s="154"/>
      <c r="AD280" s="154"/>
      <c r="AE280" s="154"/>
      <c r="AF280" s="154"/>
      <c r="AG280" s="154"/>
      <c r="AH280" s="154"/>
      <c r="AI280" s="154"/>
      <c r="AJ280" s="154"/>
      <c r="AK280" s="154"/>
      <c r="AL280" s="154"/>
      <c r="AM280" s="154"/>
      <c r="AN280" s="154"/>
      <c r="AO280" s="154"/>
      <c r="AP280" s="154"/>
      <c r="AQ280" s="154"/>
      <c r="AR280" s="154"/>
      <c r="AS280" s="154"/>
      <c r="AT280" s="154"/>
      <c r="AU280" s="154"/>
      <c r="AV280" s="154"/>
      <c r="AW280" s="154"/>
      <c r="AX280" s="154"/>
      <c r="AY280" s="154"/>
      <c r="AZ280" s="154"/>
      <c r="BA280" s="154"/>
      <c r="BB280" s="154"/>
    </row>
    <row r="281" spans="1:87" s="527" customFormat="1" ht="15.75" customHeight="1" outlineLevel="1" x14ac:dyDescent="0.2">
      <c r="A281" s="1212"/>
      <c r="B281" s="1212" t="s">
        <v>1597</v>
      </c>
      <c r="C281" s="1219" t="s">
        <v>5746</v>
      </c>
      <c r="D281" s="1562" t="s">
        <v>2627</v>
      </c>
      <c r="E281" s="1559" t="str">
        <f>IF(NOT('11 Mic'!C96 = ""),'11 Mic'!C96,IF(COUNTIF('11 Mic'!C97:C104,"&gt;=0")=0,"", MIN(MAX(SUMPRODUCT('11 Mic'!C97:C104,'11 Mic'!$G97:$G104)*4/(SUM('11 Mic'!$G97:$G104) - SUMIF('11 Mic'!C97:C104,"X",'11 Mic'!$G97:$G104)),MAX('11 Mic'!AA97:AA104)),MIN('11 Mic'!AE97:AE104))))</f>
        <v/>
      </c>
      <c r="F281" s="1559" t="str">
        <f>IF(NOT('11 Mic'!D96 = ""),'11 Mic'!D96,IF(COUNTIF('11 Mic'!D97:D104,"&gt;=0")=0,"", MIN(MAX(SUMPRODUCT('11 Mic'!D97:D104,'11 Mic'!$G97:$G104)*4/(SUM('11 Mic'!$G97:$G104) - SUMIF('11 Mic'!D97:D104,"X",'11 Mic'!$G97:$G104)),MAX('11 Mic'!AB97:AB104)),MIN('11 Mic'!AF97:AF104))))</f>
        <v/>
      </c>
      <c r="G281" s="1559" t="str">
        <f>IF(NOT('11 Mic'!E96 = ""),'11 Mic'!E96,IF(COUNTIF('11 Mic'!E97:E104,"&gt;=0")=0,"", MIN(MAX(SUMPRODUCT('11 Mic'!E97:E104,'11 Mic'!$G97:$G104)*4/(SUM('11 Mic'!$G97:$G104) - SUMIF('11 Mic'!E97:E104,"X",'11 Mic'!$G97:$G104)),MAX('11 Mic'!AC97:AC104)),MIN('11 Mic'!AG97:AG104))))</f>
        <v/>
      </c>
      <c r="H281" s="1559" t="str">
        <f>IF(NOT('11 Mic'!F96 = ""),'11 Mic'!F96,IF(COUNTIF('11 Mic'!F97:F104,"&gt;=0")=0,"", MIN(MAX(SUMPRODUCT('11 Mic'!F97:F104,'11 Mic'!$G97:$G104)*4/(SUM('11 Mic'!$G97:$G104) - SUMIF('11 Mic'!F97:F104,"X",'11 Mic'!$G97:$G104)),MAX('11 Mic'!AD97:AD104)),MIN('11 Mic'!AH97:AH104))))</f>
        <v/>
      </c>
      <c r="I281" s="1557">
        <f t="shared" si="39"/>
        <v>1</v>
      </c>
      <c r="J281" s="1557">
        <f>IF(I281="","",IF(IndG=3,MAX(I281,Obj_Projets!J281),MAX(I281,Obj_PA!D281)))</f>
        <v>1</v>
      </c>
      <c r="K281" s="1560">
        <f t="shared" si="40"/>
        <v>1</v>
      </c>
      <c r="L281" s="1650" t="str">
        <f t="shared" si="41"/>
        <v xml:space="preserve"> n'a pas démarré</v>
      </c>
      <c r="M281" s="154"/>
      <c r="N281" s="154"/>
      <c r="O281" s="154"/>
      <c r="P281" s="154"/>
      <c r="Q281" s="154"/>
      <c r="R281" s="154"/>
      <c r="S281" s="154"/>
      <c r="T281" s="154"/>
      <c r="U281" s="154"/>
      <c r="V281" s="154"/>
      <c r="W281" s="154"/>
      <c r="X281" s="154"/>
      <c r="Y281" s="154"/>
      <c r="Z281" s="154"/>
      <c r="AA281" s="154"/>
      <c r="AB281" s="154"/>
      <c r="AC281" s="154"/>
      <c r="AD281" s="154"/>
      <c r="AE281" s="154"/>
      <c r="AF281" s="154"/>
      <c r="AG281" s="154"/>
      <c r="AH281" s="154"/>
      <c r="AI281" s="154"/>
      <c r="AJ281" s="154"/>
      <c r="AK281" s="154"/>
      <c r="AL281" s="154"/>
      <c r="AM281" s="154"/>
      <c r="AN281" s="154"/>
      <c r="AO281" s="154"/>
      <c r="AP281" s="154"/>
      <c r="AQ281" s="154"/>
      <c r="AR281" s="154"/>
      <c r="AS281" s="154"/>
      <c r="AT281" s="154"/>
      <c r="AU281" s="154"/>
      <c r="AV281" s="154"/>
      <c r="AW281" s="154"/>
      <c r="AX281" s="154"/>
      <c r="AY281" s="154"/>
      <c r="AZ281" s="154"/>
      <c r="BA281" s="154"/>
      <c r="BB281" s="154"/>
      <c r="CG281" s="527">
        <f>IF(INDEX(Tab_actions,96,1)=1,INDEX(Tab_actions,96,6),0)</f>
        <v>0</v>
      </c>
    </row>
    <row r="282" spans="1:87" s="527" customFormat="1" ht="15.75" customHeight="1" outlineLevel="1" x14ac:dyDescent="0.2">
      <c r="A282" s="1212"/>
      <c r="B282" s="1212" t="s">
        <v>1599</v>
      </c>
      <c r="C282" s="1219" t="s">
        <v>5954</v>
      </c>
      <c r="D282" s="1562" t="s">
        <v>2627</v>
      </c>
      <c r="E282" s="1559" t="str">
        <f>IF(NOT('11 Mic'!C105 = ""),'11 Mic'!C105,IF(COUNTIF('11 Mic'!C106:C111,"&gt;=0")=0,"", MIN(MAX(SUMPRODUCT('11 Mic'!C106:C111,'11 Mic'!$G106:$G111)*4/(SUM('11 Mic'!$G106:$G111) - SUMIF('11 Mic'!C106:C111,"X",'11 Mic'!$G106:$G111)),MAX('11 Mic'!AA106:AA111)),MIN('11 Mic'!AE106:AE111))))</f>
        <v/>
      </c>
      <c r="F282" s="1559" t="str">
        <f>IF(NOT('11 Mic'!D105 = ""),'11 Mic'!D105,IF(COUNTIF('11 Mic'!D106:D111,"&gt;=0")=0,"", MIN(MAX(SUMPRODUCT('11 Mic'!D106:D111,'11 Mic'!$G106:$G111)*4/(SUM('11 Mic'!$G106:$G111) - SUMIF('11 Mic'!D106:D111,"X",'11 Mic'!$G106:$G111)),MAX('11 Mic'!AB106:AB111)),MIN('11 Mic'!AF106:AF111))))</f>
        <v/>
      </c>
      <c r="G282" s="1559" t="str">
        <f>IF(NOT('11 Mic'!E105 = ""),'11 Mic'!E105,IF(COUNTIF('11 Mic'!E106:E111,"&gt;=0")=0,"", MIN(MAX(SUMPRODUCT('11 Mic'!E106:E111,'11 Mic'!$G106:$G111)*4/(SUM('11 Mic'!$G106:$G111) - SUMIF('11 Mic'!E106:E111,"X",'11 Mic'!$G106:$G111)),MAX('11 Mic'!AC106:AC111)),MIN('11 Mic'!AG106:AG111))))</f>
        <v/>
      </c>
      <c r="H282" s="1559" t="str">
        <f>IF(NOT('11 Mic'!F105 = ""),'11 Mic'!F105,IF(COUNTIF('11 Mic'!F106:F111,"&gt;=0")=0,"", MIN(MAX(SUMPRODUCT('11 Mic'!F106:F111,'11 Mic'!$G106:$G111)*4/(SUM('11 Mic'!$G106:$G111) - SUMIF('11 Mic'!F106:F111,"X",'11 Mic'!$G106:$G111)),MAX('11 Mic'!AD106:AD111)),MIN('11 Mic'!AH106:AH111))))</f>
        <v/>
      </c>
      <c r="I282" s="1557">
        <f t="shared" si="39"/>
        <v>1</v>
      </c>
      <c r="J282" s="1557">
        <f>IF(I282="","",IF(IndG=3,MAX(I282,Obj_Projets!J282),MAX(I282,Obj_PA!D282)))</f>
        <v>1</v>
      </c>
      <c r="K282" s="1560">
        <f t="shared" si="40"/>
        <v>1</v>
      </c>
      <c r="L282" s="1650" t="str">
        <f t="shared" si="41"/>
        <v xml:space="preserve"> n'a pas démarré</v>
      </c>
      <c r="M282" s="154"/>
      <c r="N282" s="154"/>
      <c r="O282" s="154"/>
      <c r="P282" s="154"/>
      <c r="Q282" s="154"/>
      <c r="R282" s="154"/>
      <c r="S282" s="154"/>
      <c r="T282" s="154"/>
      <c r="U282" s="154"/>
      <c r="V282" s="154"/>
      <c r="W282" s="154"/>
      <c r="X282" s="154"/>
      <c r="Y282" s="154"/>
      <c r="Z282" s="154"/>
      <c r="AA282" s="154"/>
      <c r="AB282" s="154"/>
      <c r="AC282" s="154"/>
      <c r="AD282" s="154"/>
      <c r="AE282" s="154"/>
      <c r="AF282" s="154"/>
      <c r="AG282" s="154"/>
      <c r="AH282" s="154"/>
      <c r="AI282" s="154"/>
      <c r="AJ282" s="154"/>
      <c r="AK282" s="154"/>
      <c r="AL282" s="154"/>
      <c r="AM282" s="154"/>
      <c r="AN282" s="154"/>
      <c r="AO282" s="154"/>
      <c r="AP282" s="154"/>
      <c r="AQ282" s="154"/>
      <c r="AR282" s="154"/>
      <c r="AS282" s="154"/>
      <c r="AT282" s="154"/>
      <c r="AU282" s="154"/>
      <c r="AV282" s="154"/>
      <c r="AW282" s="154"/>
      <c r="AX282" s="154"/>
      <c r="AY282" s="154"/>
      <c r="AZ282" s="154"/>
      <c r="BA282" s="154"/>
      <c r="BB282" s="154"/>
      <c r="CG282" s="527">
        <f>IF(INDEX(Tab_actions,96,1)=1,INDEX(Tab_actions,96,6),0)</f>
        <v>0</v>
      </c>
    </row>
    <row r="283" spans="1:87" s="527" customFormat="1" ht="15.75" customHeight="1" outlineLevel="1" x14ac:dyDescent="0.2">
      <c r="A283" s="1212"/>
      <c r="B283" s="1213" t="s">
        <v>3701</v>
      </c>
      <c r="C283" s="1214" t="s">
        <v>3624</v>
      </c>
      <c r="D283" s="1554"/>
      <c r="E283" s="1559"/>
      <c r="F283" s="1559"/>
      <c r="G283" s="1559"/>
      <c r="H283" s="1559"/>
      <c r="I283" s="1561"/>
      <c r="J283" s="1557"/>
      <c r="K283" s="1561"/>
      <c r="L283" s="1650"/>
      <c r="M283" s="154"/>
      <c r="N283" s="154"/>
      <c r="O283" s="154"/>
      <c r="P283" s="154"/>
      <c r="Q283" s="154"/>
      <c r="R283" s="154"/>
      <c r="S283" s="154"/>
      <c r="T283" s="154"/>
      <c r="U283" s="154"/>
      <c r="V283" s="154"/>
      <c r="W283" s="154"/>
      <c r="X283" s="154"/>
      <c r="Y283" s="154"/>
      <c r="Z283" s="154"/>
      <c r="AA283" s="154"/>
      <c r="AB283" s="154"/>
      <c r="AC283" s="154"/>
      <c r="AD283" s="154"/>
      <c r="AE283" s="154"/>
      <c r="AF283" s="154"/>
      <c r="AG283" s="154"/>
      <c r="AH283" s="154"/>
      <c r="AI283" s="154"/>
      <c r="AJ283" s="154"/>
      <c r="AK283" s="154"/>
      <c r="AL283" s="154"/>
      <c r="AM283" s="154"/>
      <c r="AN283" s="154"/>
      <c r="AO283" s="154"/>
      <c r="AP283" s="154"/>
      <c r="AQ283" s="154"/>
      <c r="AR283" s="154"/>
      <c r="AS283" s="154"/>
      <c r="AT283" s="154"/>
      <c r="AU283" s="154"/>
      <c r="AV283" s="154"/>
      <c r="AW283" s="154"/>
      <c r="AX283" s="154"/>
      <c r="AY283" s="154"/>
      <c r="AZ283" s="154"/>
      <c r="BA283" s="154"/>
      <c r="BB283" s="154"/>
    </row>
    <row r="284" spans="1:87" s="527" customFormat="1" ht="15.75" customHeight="1" outlineLevel="1" x14ac:dyDescent="0.2">
      <c r="A284" s="1212"/>
      <c r="B284" s="1212" t="s">
        <v>1600</v>
      </c>
      <c r="C284" s="1219" t="s">
        <v>5944</v>
      </c>
      <c r="D284" s="1562" t="s">
        <v>2771</v>
      </c>
      <c r="E284" s="1559" t="str">
        <f>IF(NOT('11 Mic'!C113 = ""),'11 Mic'!C113,IF(COUNTIF('11 Mic'!C114:C118,"&gt;=0")=0,"", MIN(MAX(SUMPRODUCT('11 Mic'!C114:C118,'11 Mic'!$G114:$G118)*4/(SUM('11 Mic'!$G114:$G118) - SUMIF('11 Mic'!C114:C118,"X",'11 Mic'!$G114:$G118)),MAX('11 Mic'!AA114:AA118)),MIN('11 Mic'!AE114:AE118))))</f>
        <v/>
      </c>
      <c r="F284" s="1559" t="str">
        <f>IF(NOT('11 Mic'!D113 = ""),'11 Mic'!D113,IF(COUNTIF('11 Mic'!D114:D118,"&gt;=0")=0,"", MIN(MAX(SUMPRODUCT('11 Mic'!D114:D118,'11 Mic'!$G114:$G118)*4/(SUM('11 Mic'!$G114:$G118) - SUMIF('11 Mic'!D114:D118,"X",'11 Mic'!$G114:$G118)),MAX('11 Mic'!AB114:AB118)),MIN('11 Mic'!AF114:AF118))))</f>
        <v/>
      </c>
      <c r="G284" s="1559" t="str">
        <f>IF(NOT('11 Mic'!E113 = ""),'11 Mic'!E113,IF(COUNTIF('11 Mic'!E114:E118,"&gt;=0")=0,"", MIN(MAX(SUMPRODUCT('11 Mic'!E114:E118,'11 Mic'!$G114:$G118)*4/(SUM('11 Mic'!$G114:$G118) - SUMIF('11 Mic'!E114:E118,"X",'11 Mic'!$G114:$G118)),MAX('11 Mic'!AC114:AC118)),MIN('11 Mic'!AG114:AG118))))</f>
        <v/>
      </c>
      <c r="H284" s="1559" t="str">
        <f>IF(NOT('11 Mic'!F113 = ""),'11 Mic'!F113,IF(COUNTIF('11 Mic'!F114:F118,"&gt;=0")=0,"", MIN(MAX(SUMPRODUCT('11 Mic'!F114:F118,'11 Mic'!$G114:$G118)*4/(SUM('11 Mic'!$G114:$G118) - SUMIF('11 Mic'!F114:F118,"X",'11 Mic'!$G114:$G118)),MAX('11 Mic'!AD114:AD118)),MIN('11 Mic'!AH114:AH118))))</f>
        <v/>
      </c>
      <c r="I284" s="1557">
        <f t="shared" ref="I284:I291" si="42">IF(AND(OR(E284="X",E284=""),OR(F284="X",F284=""),OR(G284="X",G284=""),OR(H284="X",H284="")),1,ROUND(MIN(IF(OR(E284="",E284="X"),4,E284),IF(OR(F284="",F284="X"),4,F284),IF(OR(G284="",G284="X"),4,G284),IF(OR(H284="",H284="X"),4,H284)),0))</f>
        <v>1</v>
      </c>
      <c r="J284" s="1557">
        <f>IF(I284="","",IF(IndG=3,MAX(I284,Obj_Projets!J284),MAX(I284,Obj_PA!D284)))</f>
        <v>1</v>
      </c>
      <c r="K284" s="1560">
        <f t="shared" ref="K284:K291" si="43">IF(IF(OR(IndG=3,IndG=4),MAX(I284,J284),I284)&lt;1,1,IF(OR(IndG=3,IndG=4),MAX(I284,J284),I284))</f>
        <v>1</v>
      </c>
      <c r="L284" s="1650" t="str">
        <f t="shared" ref="L284:L291" si="44">IF(E284=""," n'a pas démarré","")</f>
        <v xml:space="preserve"> n'a pas démarré</v>
      </c>
      <c r="M284" s="154"/>
      <c r="N284" s="154"/>
      <c r="O284" s="154"/>
      <c r="P284" s="154"/>
      <c r="Q284" s="154"/>
      <c r="R284" s="154"/>
      <c r="S284" s="154"/>
      <c r="T284" s="154"/>
      <c r="U284" s="154"/>
      <c r="V284" s="154"/>
      <c r="W284" s="154"/>
      <c r="X284" s="154"/>
      <c r="Y284" s="154"/>
      <c r="Z284" s="154"/>
      <c r="AA284" s="154"/>
      <c r="AB284" s="154"/>
      <c r="AC284" s="154"/>
      <c r="AD284" s="154"/>
      <c r="AE284" s="154"/>
      <c r="AF284" s="154"/>
      <c r="AG284" s="154"/>
      <c r="AH284" s="154"/>
      <c r="AI284" s="154"/>
      <c r="AJ284" s="154"/>
      <c r="AK284" s="154"/>
      <c r="AL284" s="154"/>
      <c r="AM284" s="154"/>
      <c r="AN284" s="154"/>
      <c r="AO284" s="154"/>
      <c r="AP284" s="154"/>
      <c r="AQ284" s="154"/>
      <c r="AR284" s="154"/>
      <c r="AS284" s="154"/>
      <c r="AT284" s="154"/>
      <c r="AU284" s="154"/>
      <c r="AV284" s="154"/>
      <c r="AW284" s="154"/>
      <c r="AX284" s="154"/>
      <c r="AY284" s="154"/>
      <c r="AZ284" s="154"/>
      <c r="BA284" s="154"/>
      <c r="BB284" s="154"/>
    </row>
    <row r="285" spans="1:87" s="527" customFormat="1" ht="15.75" customHeight="1" outlineLevel="1" x14ac:dyDescent="0.2">
      <c r="A285" s="1212"/>
      <c r="B285" s="1212" t="s">
        <v>5945</v>
      </c>
      <c r="C285" s="1219" t="s">
        <v>6330</v>
      </c>
      <c r="D285" s="1562" t="s">
        <v>2771</v>
      </c>
      <c r="E285" s="1559" t="str">
        <f>IF(NOT('11 Mic'!C119 = ""),'11 Mic'!C119,IF(COUNTIF('11 Mic'!C120:C123,"&gt;=0")=0,"", MIN(MAX(SUMPRODUCT('11 Mic'!C120:C123,'11 Mic'!$G120:$G123)*4/(SUM('11 Mic'!$G120:$G123) - SUMIF('11 Mic'!C120:C123,"X",'11 Mic'!$G120:$G123)),MAX('11 Mic'!AA120:AA123)),MIN('11 Mic'!AE120:AE123))))</f>
        <v/>
      </c>
      <c r="F285" s="1559" t="str">
        <f>IF(NOT('11 Mic'!D119 = ""),'11 Mic'!D119,IF(COUNTIF('11 Mic'!D120:D123,"&gt;=0")=0,"", MIN(MAX(SUMPRODUCT('11 Mic'!D120:D123,'11 Mic'!$G120:$G123)*4/(SUM('11 Mic'!$G120:$G123) - SUMIF('11 Mic'!D120:D123,"X",'11 Mic'!$G120:$G123)),MAX('11 Mic'!AB120:AB123)),MIN('11 Mic'!AF120:AF123))))</f>
        <v/>
      </c>
      <c r="G285" s="1559" t="str">
        <f>IF(NOT('11 Mic'!E119 = ""),'11 Mic'!E119,IF(COUNTIF('11 Mic'!E120:E123,"&gt;=0")=0,"", MIN(MAX(SUMPRODUCT('11 Mic'!E120:E123,'11 Mic'!$G120:$G123)*4/(SUM('11 Mic'!$G120:$G123) - SUMIF('11 Mic'!E120:E123,"X",'11 Mic'!$G120:$G123)),MAX('11 Mic'!AC120:AC123)),MIN('11 Mic'!AG120:AG123))))</f>
        <v/>
      </c>
      <c r="H285" s="1559" t="str">
        <f>IF(NOT('11 Mic'!F119 = ""),'11 Mic'!F119,IF(COUNTIF('11 Mic'!F120:F123,"&gt;=0")=0,"", MIN(MAX(SUMPRODUCT('11 Mic'!F120:F123,'11 Mic'!$G120:$G123)*4/(SUM('11 Mic'!$G120:$G123) - SUMIF('11 Mic'!F120:F123,"X",'11 Mic'!$G120:$G123)),MAX('11 Mic'!AD120:AD123)),MIN('11 Mic'!AH120:AH123))))</f>
        <v/>
      </c>
      <c r="I285" s="1557">
        <f t="shared" si="42"/>
        <v>1</v>
      </c>
      <c r="J285" s="1557">
        <f>IF(I285="","",IF(IndG=3,MAX(I285,Obj_Projets!J285),MAX(I285,Obj_PA!D285)))</f>
        <v>1</v>
      </c>
      <c r="K285" s="1560">
        <f t="shared" si="43"/>
        <v>1</v>
      </c>
      <c r="L285" s="1650" t="str">
        <f t="shared" si="44"/>
        <v xml:space="preserve"> n'a pas démarré</v>
      </c>
      <c r="M285" s="154"/>
      <c r="N285" s="154"/>
      <c r="O285" s="154"/>
      <c r="P285" s="154"/>
      <c r="Q285" s="154"/>
      <c r="R285" s="154"/>
      <c r="S285" s="154"/>
      <c r="T285" s="154"/>
      <c r="U285" s="154"/>
      <c r="V285" s="154"/>
      <c r="W285" s="154"/>
      <c r="X285" s="154"/>
      <c r="Y285" s="154"/>
      <c r="Z285" s="154"/>
      <c r="AA285" s="154"/>
      <c r="AB285" s="154"/>
      <c r="AC285" s="154"/>
      <c r="AD285" s="154"/>
      <c r="AE285" s="154"/>
      <c r="AF285" s="154"/>
      <c r="AG285" s="154"/>
      <c r="AH285" s="154"/>
      <c r="AI285" s="154"/>
      <c r="AJ285" s="154"/>
      <c r="AK285" s="154"/>
      <c r="AL285" s="154"/>
      <c r="AM285" s="154"/>
      <c r="AN285" s="154"/>
      <c r="AO285" s="154"/>
      <c r="AP285" s="154"/>
      <c r="AQ285" s="154"/>
      <c r="AR285" s="154"/>
      <c r="AS285" s="154"/>
      <c r="AT285" s="154"/>
      <c r="AU285" s="154"/>
      <c r="AV285" s="154"/>
      <c r="AW285" s="154"/>
      <c r="AX285" s="154"/>
      <c r="AY285" s="154"/>
      <c r="AZ285" s="154"/>
      <c r="BA285" s="154"/>
      <c r="BB285" s="154"/>
    </row>
    <row r="286" spans="1:87" s="527" customFormat="1" ht="15.75" customHeight="1" outlineLevel="1" x14ac:dyDescent="0.2">
      <c r="A286" s="1212"/>
      <c r="B286" s="1212" t="s">
        <v>5946</v>
      </c>
      <c r="C286" s="1219" t="s">
        <v>5947</v>
      </c>
      <c r="D286" s="1562" t="s">
        <v>2769</v>
      </c>
      <c r="E286" s="1559" t="str">
        <f>IF(NOT('11 Mic'!C124 = ""),'11 Mic'!C124,IF(COUNTIF('11 Mic'!C125:C129,"&gt;=0")=0,"", MIN(MAX(SUMPRODUCT('11 Mic'!C125:C129,'11 Mic'!$G125:$G129)*4/(SUM('11 Mic'!$G125:$G129) - SUMIF('11 Mic'!C125:C129,"X",'11 Mic'!$G125:$G129)),MAX('11 Mic'!AA125:AA129)),MIN('11 Mic'!AE125:AE129))))</f>
        <v/>
      </c>
      <c r="F286" s="1559" t="str">
        <f>IF(NOT('11 Mic'!D124 = ""),'11 Mic'!D124,IF(COUNTIF('11 Mic'!D125:D129,"&gt;=0")=0,"", MIN(MAX(SUMPRODUCT('11 Mic'!D125:D129,'11 Mic'!$G125:$G129)*4/(SUM('11 Mic'!$G125:$G129) - SUMIF('11 Mic'!D125:D129,"X",'11 Mic'!$G125:$G129)),MAX('11 Mic'!AB125:AB129)),MIN('11 Mic'!AF125:AF129))))</f>
        <v/>
      </c>
      <c r="G286" s="1559" t="str">
        <f>IF(NOT('11 Mic'!E124 = ""),'11 Mic'!E124,IF(COUNTIF('11 Mic'!E125:E129,"&gt;=0")=0,"", MIN(MAX(SUMPRODUCT('11 Mic'!E125:E129,'11 Mic'!$G125:$G129)*4/(SUM('11 Mic'!$G125:$G129) - SUMIF('11 Mic'!E125:E129,"X",'11 Mic'!$G125:$G129)),MAX('11 Mic'!AC125:AC129)),MIN('11 Mic'!AG125:AG129))))</f>
        <v/>
      </c>
      <c r="H286" s="1559" t="str">
        <f>IF(NOT('11 Mic'!F124 = ""),'11 Mic'!F124,IF(COUNTIF('11 Mic'!F125:F129,"&gt;=0")=0,"", MIN(MAX(SUMPRODUCT('11 Mic'!F125:F129,'11 Mic'!$G125:$G129)*4/(SUM('11 Mic'!$G125:$G129) - SUMIF('11 Mic'!F125:F129,"X",'11 Mic'!$G125:$G129)),MAX('11 Mic'!AD125:AD129)),MIN('11 Mic'!AH125:AH129))))</f>
        <v/>
      </c>
      <c r="I286" s="1557">
        <f t="shared" si="42"/>
        <v>1</v>
      </c>
      <c r="J286" s="1557">
        <f>IF(I286="","",IF(IndG=3,MAX(I286,Obj_Projets!J286),MAX(I286,Obj_PA!D286)))</f>
        <v>1</v>
      </c>
      <c r="K286" s="1560">
        <f t="shared" si="43"/>
        <v>1</v>
      </c>
      <c r="L286" s="1650" t="str">
        <f t="shared" si="44"/>
        <v xml:space="preserve"> n'a pas démarré</v>
      </c>
      <c r="M286" s="154"/>
      <c r="N286" s="154"/>
      <c r="O286" s="154"/>
      <c r="P286" s="154"/>
      <c r="Q286" s="154"/>
      <c r="R286" s="154"/>
      <c r="S286" s="154"/>
      <c r="T286" s="154"/>
      <c r="U286" s="154"/>
      <c r="V286" s="154"/>
      <c r="W286" s="154"/>
      <c r="X286" s="154"/>
      <c r="Y286" s="154"/>
      <c r="Z286" s="154"/>
      <c r="AA286" s="154"/>
      <c r="AB286" s="154"/>
      <c r="AC286" s="154"/>
      <c r="AD286" s="154"/>
      <c r="AE286" s="154"/>
      <c r="AF286" s="154"/>
      <c r="AG286" s="154"/>
      <c r="AH286" s="154"/>
      <c r="AI286" s="154"/>
      <c r="AJ286" s="154"/>
      <c r="AK286" s="154"/>
      <c r="AL286" s="154"/>
      <c r="AM286" s="154"/>
      <c r="AN286" s="154"/>
      <c r="AO286" s="154"/>
      <c r="AP286" s="154"/>
      <c r="AQ286" s="154"/>
      <c r="AR286" s="154"/>
      <c r="AS286" s="154"/>
      <c r="AT286" s="154"/>
      <c r="AU286" s="154"/>
      <c r="AV286" s="154"/>
      <c r="AW286" s="154"/>
      <c r="AX286" s="154"/>
      <c r="AY286" s="154"/>
      <c r="AZ286" s="154"/>
      <c r="BA286" s="154"/>
      <c r="BB286" s="154"/>
    </row>
    <row r="287" spans="1:87" s="527" customFormat="1" ht="15.75" customHeight="1" outlineLevel="1" x14ac:dyDescent="0.2">
      <c r="A287" s="1212"/>
      <c r="B287" s="1212" t="s">
        <v>4440</v>
      </c>
      <c r="C287" s="1219" t="s">
        <v>5948</v>
      </c>
      <c r="D287" s="1562" t="s">
        <v>2769</v>
      </c>
      <c r="E287" s="1559" t="str">
        <f>IF(NOT('11 Mic'!C130 = ""),'11 Mic'!C130,IF(COUNTIF('11 Mic'!C131:C135,"&gt;=0")=0,"", MIN(MAX(SUMPRODUCT('11 Mic'!C131:C135,'11 Mic'!$G131:$G135)*4/(SUM('11 Mic'!$G131:$G135) - SUMIF('11 Mic'!C131:C135,"X",'11 Mic'!$G131:$G135)),MAX('11 Mic'!AA131:AA135)),MIN('11 Mic'!AE131:AE135))))</f>
        <v/>
      </c>
      <c r="F287" s="1559" t="str">
        <f>IF(NOT('11 Mic'!D130 = ""),'11 Mic'!D130,IF(COUNTIF('11 Mic'!D131:D135,"&gt;=0")=0,"", MIN(MAX(SUMPRODUCT('11 Mic'!D131:D135,'11 Mic'!$G131:$G135)*4/(SUM('11 Mic'!$G131:$G135) - SUMIF('11 Mic'!D131:D135,"X",'11 Mic'!$G131:$G135)),MAX('11 Mic'!AB131:AB135)),MIN('11 Mic'!AF131:AF135))))</f>
        <v/>
      </c>
      <c r="G287" s="1559" t="str">
        <f>IF(NOT('11 Mic'!E130 = ""),'11 Mic'!E130,IF(COUNTIF('11 Mic'!E131:E135,"&gt;=0")=0,"", MIN(MAX(SUMPRODUCT('11 Mic'!E131:E135,'11 Mic'!$G131:$G135)*4/(SUM('11 Mic'!$G131:$G135) - SUMIF('11 Mic'!E131:E135,"X",'11 Mic'!$G131:$G135)),MAX('11 Mic'!AC131:AC135)),MIN('11 Mic'!AG131:AG135))))</f>
        <v/>
      </c>
      <c r="H287" s="1559" t="str">
        <f>IF(NOT('11 Mic'!F130 = ""),'11 Mic'!F130,IF(COUNTIF('11 Mic'!F131:F135,"&gt;=0")=0,"", MIN(MAX(SUMPRODUCT('11 Mic'!F131:F135,'11 Mic'!$G131:$G135)*4/(SUM('11 Mic'!$G131:$G135) - SUMIF('11 Mic'!F131:F135,"X",'11 Mic'!$G131:$G135)),MAX('11 Mic'!AD131:AD135)),MIN('11 Mic'!AH131:AH135))))</f>
        <v/>
      </c>
      <c r="I287" s="1557">
        <f t="shared" si="42"/>
        <v>1</v>
      </c>
      <c r="J287" s="1557">
        <f>IF(I287="","",IF(IndG=3,MAX(I287,Obj_Projets!J287),MAX(I287,Obj_PA!D287)))</f>
        <v>1</v>
      </c>
      <c r="K287" s="1560">
        <f t="shared" si="43"/>
        <v>1</v>
      </c>
      <c r="L287" s="1650" t="str">
        <f t="shared" si="44"/>
        <v xml:space="preserve"> n'a pas démarré</v>
      </c>
      <c r="M287" s="154"/>
      <c r="N287" s="154"/>
      <c r="O287" s="154"/>
      <c r="P287" s="154"/>
      <c r="Q287" s="154"/>
      <c r="R287" s="154"/>
      <c r="S287" s="154"/>
      <c r="T287" s="154"/>
      <c r="U287" s="154"/>
      <c r="V287" s="154"/>
      <c r="W287" s="154"/>
      <c r="X287" s="154"/>
      <c r="Y287" s="154"/>
      <c r="Z287" s="154"/>
      <c r="AA287" s="154"/>
      <c r="AB287" s="154"/>
      <c r="AC287" s="154"/>
      <c r="AD287" s="154"/>
      <c r="AE287" s="154"/>
      <c r="AF287" s="154"/>
      <c r="AG287" s="154"/>
      <c r="AH287" s="154"/>
      <c r="AI287" s="154"/>
      <c r="AJ287" s="154"/>
      <c r="AK287" s="154"/>
      <c r="AL287" s="154"/>
      <c r="AM287" s="154"/>
      <c r="AN287" s="154"/>
      <c r="AO287" s="154"/>
      <c r="AP287" s="154"/>
      <c r="AQ287" s="154"/>
      <c r="AR287" s="154"/>
      <c r="AS287" s="154"/>
      <c r="AT287" s="154"/>
      <c r="AU287" s="154"/>
      <c r="AV287" s="154"/>
      <c r="AW287" s="154"/>
      <c r="AX287" s="154"/>
      <c r="AY287" s="154"/>
      <c r="AZ287" s="154"/>
      <c r="BA287" s="154"/>
      <c r="BB287" s="154"/>
      <c r="CI287" s="527">
        <f>IF(INDEX(Tab_actions,42,1)=1,INDEX(Tab_actions,42,8),0)</f>
        <v>0</v>
      </c>
    </row>
    <row r="288" spans="1:87" s="527" customFormat="1" ht="15.75" customHeight="1" outlineLevel="1" x14ac:dyDescent="0.2">
      <c r="A288" s="1212"/>
      <c r="B288" s="1212" t="s">
        <v>5949</v>
      </c>
      <c r="C288" s="1219" t="s">
        <v>3235</v>
      </c>
      <c r="D288" s="1562" t="s">
        <v>2769</v>
      </c>
      <c r="E288" s="1559" t="str">
        <f>IF(NOT('11 Mic'!C136 = ""),'11 Mic'!C136,IF(COUNTIF('11 Mic'!C137:C142,"&gt;=0")=0,"", MIN(MAX(SUMPRODUCT('11 Mic'!C137:C142,'11 Mic'!$G137:$G142)*4/(SUM('11 Mic'!$G137:$G142) - SUMIF('11 Mic'!C137:C142,"X",'11 Mic'!$G137:$G142)),MAX('11 Mic'!AA137:AA142)),MIN('11 Mic'!AE137:AE142))))</f>
        <v/>
      </c>
      <c r="F288" s="1559" t="str">
        <f>IF(NOT('11 Mic'!D136 = ""),'11 Mic'!D136,IF(COUNTIF('11 Mic'!D137:D142,"&gt;=0")=0,"", MIN(MAX(SUMPRODUCT('11 Mic'!D137:D142,'11 Mic'!$G137:$G142)*4/(SUM('11 Mic'!$G137:$G142) - SUMIF('11 Mic'!D137:D142,"X",'11 Mic'!$G137:$G142)),MAX('11 Mic'!AB137:AB142)),MIN('11 Mic'!AF137:AF142))))</f>
        <v/>
      </c>
      <c r="G288" s="1559" t="str">
        <f>IF(NOT('11 Mic'!E136 = ""),'11 Mic'!E136,IF(COUNTIF('11 Mic'!E137:E142,"&gt;=0")=0,"", MIN(MAX(SUMPRODUCT('11 Mic'!E137:E142,'11 Mic'!$G137:$G142)*4/(SUM('11 Mic'!$G137:$G142) - SUMIF('11 Mic'!E137:E142,"X",'11 Mic'!$G137:$G142)),MAX('11 Mic'!AC137:AC142)),MIN('11 Mic'!AG137:AG142))))</f>
        <v/>
      </c>
      <c r="H288" s="1559" t="str">
        <f>IF(NOT('11 Mic'!F136 = ""),'11 Mic'!F136,IF(COUNTIF('11 Mic'!F137:F142,"&gt;=0")=0,"", MIN(MAX(SUMPRODUCT('11 Mic'!F137:F142,'11 Mic'!$G137:$G142)*4/(SUM('11 Mic'!$G137:$G142) - SUMIF('11 Mic'!F137:F142,"X",'11 Mic'!$G137:$G142)),MAX('11 Mic'!AD137:AD142)),MIN('11 Mic'!AH137:AH142))))</f>
        <v/>
      </c>
      <c r="I288" s="1557">
        <f t="shared" si="42"/>
        <v>1</v>
      </c>
      <c r="J288" s="1557">
        <f>IF(I288="","",IF(IndG=3,MAX(I288,Obj_Projets!J288),MAX(I288,Obj_PA!D288)))</f>
        <v>1</v>
      </c>
      <c r="K288" s="1560">
        <f t="shared" si="43"/>
        <v>1</v>
      </c>
      <c r="L288" s="1650" t="str">
        <f t="shared" si="44"/>
        <v xml:space="preserve"> n'a pas démarré</v>
      </c>
      <c r="M288" s="154"/>
      <c r="N288" s="154"/>
      <c r="O288" s="154"/>
      <c r="P288" s="154"/>
      <c r="Q288" s="154"/>
      <c r="R288" s="154"/>
      <c r="S288" s="154"/>
      <c r="T288" s="154"/>
      <c r="U288" s="154"/>
      <c r="V288" s="154"/>
      <c r="W288" s="154"/>
      <c r="X288" s="154"/>
      <c r="Y288" s="154"/>
      <c r="Z288" s="154"/>
      <c r="AA288" s="154"/>
      <c r="AB288" s="154"/>
      <c r="AC288" s="154"/>
      <c r="AD288" s="154"/>
      <c r="AE288" s="154"/>
      <c r="AF288" s="154"/>
      <c r="AG288" s="154"/>
      <c r="AH288" s="154"/>
      <c r="AI288" s="154"/>
      <c r="AJ288" s="154"/>
      <c r="AK288" s="154"/>
      <c r="AL288" s="154"/>
      <c r="AM288" s="154"/>
      <c r="AN288" s="154"/>
      <c r="AO288" s="154"/>
      <c r="AP288" s="154"/>
      <c r="AQ288" s="154"/>
      <c r="AR288" s="154"/>
      <c r="AS288" s="154"/>
      <c r="AT288" s="154"/>
      <c r="AU288" s="154"/>
      <c r="AV288" s="154"/>
      <c r="AW288" s="154"/>
      <c r="AX288" s="154"/>
      <c r="AY288" s="154"/>
      <c r="AZ288" s="154"/>
      <c r="BA288" s="154"/>
      <c r="BB288" s="154"/>
      <c r="CI288" s="527">
        <f>IF(INDEX(Tab_actions,42,1)=1,INDEX(Tab_actions,42,10),0)</f>
        <v>0</v>
      </c>
    </row>
    <row r="289" spans="1:87" s="527" customFormat="1" ht="15.75" customHeight="1" outlineLevel="1" x14ac:dyDescent="0.2">
      <c r="A289" s="1212"/>
      <c r="B289" s="1212" t="s">
        <v>3236</v>
      </c>
      <c r="C289" s="1219" t="s">
        <v>6629</v>
      </c>
      <c r="D289" s="1562" t="s">
        <v>2627</v>
      </c>
      <c r="E289" s="1559" t="str">
        <f>IF(NOT('11 Mic'!C143 = ""),'11 Mic'!C143,IF(COUNTIF('11 Mic'!C144:C151,"&gt;=0")=0,"", MIN(MAX(SUMPRODUCT('11 Mic'!C144:C151,'11 Mic'!$G144:$G151)*4/(SUM('11 Mic'!$G144:$G151) - SUMIF('11 Mic'!C144:C151,"X",'11 Mic'!$G144:$G151)),MAX('11 Mic'!AA144:AA151)),MIN('11 Mic'!AE144:AE151))))</f>
        <v/>
      </c>
      <c r="F289" s="1559" t="str">
        <f>IF(NOT('11 Mic'!D143 = ""),'11 Mic'!D143,IF(COUNTIF('11 Mic'!D144:D151,"&gt;=0")=0,"", MIN(MAX(SUMPRODUCT('11 Mic'!D144:D151,'11 Mic'!$G144:$G151)*4/(SUM('11 Mic'!$G144:$G151) - SUMIF('11 Mic'!D144:D151,"X",'11 Mic'!$G144:$G151)),MAX('11 Mic'!AB144:AB151)),MIN('11 Mic'!AF144:AF151))))</f>
        <v/>
      </c>
      <c r="G289" s="1559" t="str">
        <f>IF(NOT('11 Mic'!E143 = ""),'11 Mic'!E143,IF(COUNTIF('11 Mic'!E144:E151,"&gt;=0")=0,"", MIN(MAX(SUMPRODUCT('11 Mic'!E144:E151,'11 Mic'!$G144:$G151)*4/(SUM('11 Mic'!$G144:$G151) - SUMIF('11 Mic'!E144:E151,"X",'11 Mic'!$G144:$G151)),MAX('11 Mic'!AC144:AC151)),MIN('11 Mic'!AG144:AG151))))</f>
        <v/>
      </c>
      <c r="H289" s="1559" t="str">
        <f>IF(NOT('11 Mic'!F143 = ""),'11 Mic'!F143,IF(COUNTIF('11 Mic'!F144:F151,"&gt;=0")=0,"", MIN(MAX(SUMPRODUCT('11 Mic'!F144:F151,'11 Mic'!$G144:$G151)*4/(SUM('11 Mic'!$G144:$G151) - SUMIF('11 Mic'!F144:F151,"X",'11 Mic'!$G144:$G151)),MAX('11 Mic'!AD144:AD151)),MIN('11 Mic'!AH144:AH151))))</f>
        <v/>
      </c>
      <c r="I289" s="1557">
        <f t="shared" si="42"/>
        <v>1</v>
      </c>
      <c r="J289" s="1557">
        <f>IF(I289="","",IF(IndG=3,MAX(I289,Obj_Projets!J289),MAX(I289,Obj_PA!D289)))</f>
        <v>1</v>
      </c>
      <c r="K289" s="1560">
        <f t="shared" si="43"/>
        <v>1</v>
      </c>
      <c r="L289" s="1650" t="str">
        <f t="shared" si="44"/>
        <v xml:space="preserve"> n'a pas démarré</v>
      </c>
      <c r="M289" s="154"/>
      <c r="N289" s="154"/>
      <c r="O289" s="154"/>
      <c r="P289" s="154"/>
      <c r="Q289" s="154"/>
      <c r="R289" s="154"/>
      <c r="S289" s="154"/>
      <c r="T289" s="154"/>
      <c r="U289" s="154"/>
      <c r="V289" s="154"/>
      <c r="W289" s="154"/>
      <c r="X289" s="154"/>
      <c r="Y289" s="154"/>
      <c r="Z289" s="154"/>
      <c r="AA289" s="154"/>
      <c r="AB289" s="154"/>
      <c r="AC289" s="154"/>
      <c r="AD289" s="154"/>
      <c r="AE289" s="154"/>
      <c r="AF289" s="154"/>
      <c r="AG289" s="154"/>
      <c r="AH289" s="154"/>
      <c r="AI289" s="154"/>
      <c r="AJ289" s="154"/>
      <c r="AK289" s="154"/>
      <c r="AL289" s="154"/>
      <c r="AM289" s="154"/>
      <c r="AN289" s="154"/>
      <c r="AO289" s="154"/>
      <c r="AP289" s="154"/>
      <c r="AQ289" s="154"/>
      <c r="AR289" s="154"/>
      <c r="AS289" s="154"/>
      <c r="AT289" s="154"/>
      <c r="AU289" s="154"/>
      <c r="AV289" s="154"/>
      <c r="AW289" s="154"/>
      <c r="AX289" s="154"/>
      <c r="AY289" s="154"/>
      <c r="AZ289" s="154"/>
      <c r="BA289" s="154"/>
      <c r="BB289" s="154"/>
      <c r="CG289" s="527">
        <f>IF(INDEX(Tab_actions,7,1)=1,INDEX(Tab_actions,7,8),0)</f>
        <v>0</v>
      </c>
    </row>
    <row r="290" spans="1:87" s="527" customFormat="1" ht="15.75" customHeight="1" outlineLevel="1" x14ac:dyDescent="0.2">
      <c r="A290" s="1212"/>
      <c r="B290" s="1212" t="s">
        <v>3237</v>
      </c>
      <c r="C290" s="1219" t="s">
        <v>6190</v>
      </c>
      <c r="D290" s="1562" t="s">
        <v>2769</v>
      </c>
      <c r="E290" s="1559" t="str">
        <f>IF(NOT('11 Mic'!C152 = ""),'11 Mic'!C152,IF(COUNTIF('11 Mic'!C153:C163,"&gt;=0")=0,"", MIN(MAX(SUMPRODUCT('11 Mic'!C153:C163,'11 Mic'!$G153:$G163)*4/(SUM('11 Mic'!$G153:$G163) - SUMIF('11 Mic'!C153:C163,"X",'11 Mic'!$G153:$G163)),MAX('11 Mic'!AA153:AA163)),MIN('11 Mic'!AE153:AE163))))</f>
        <v/>
      </c>
      <c r="F290" s="1559" t="str">
        <f>IF(NOT('11 Mic'!D152 = ""),'11 Mic'!D152,IF(COUNTIF('11 Mic'!D153:D163,"&gt;=0")=0,"", MIN(MAX(SUMPRODUCT('11 Mic'!D153:D163,'11 Mic'!$G153:$G163)*4/(SUM('11 Mic'!$G153:$G163) - SUMIF('11 Mic'!D153:D163,"X",'11 Mic'!$G153:$G163)),MAX('11 Mic'!AB153:AB163)),MIN('11 Mic'!AF153:AF163))))</f>
        <v/>
      </c>
      <c r="G290" s="1559" t="str">
        <f>IF(NOT('11 Mic'!E152 = ""),'11 Mic'!E152,IF(COUNTIF('11 Mic'!E153:E163,"&gt;=0")=0,"", MIN(MAX(SUMPRODUCT('11 Mic'!E153:E163,'11 Mic'!$G153:$G163)*4/(SUM('11 Mic'!$G153:$G163) - SUMIF('11 Mic'!E153:E163,"X",'11 Mic'!$G153:$G163)),MAX('11 Mic'!AC153:AC163)),MIN('11 Mic'!AG153:AG163))))</f>
        <v/>
      </c>
      <c r="H290" s="1559" t="str">
        <f>IF(NOT('11 Mic'!F152 = ""),'11 Mic'!F152,IF(COUNTIF('11 Mic'!F153:F163,"&gt;=0")=0,"", MIN(MAX(SUMPRODUCT('11 Mic'!F153:F163,'11 Mic'!$G153:$G163)*4/(SUM('11 Mic'!$G153:$G163) - SUMIF('11 Mic'!F153:F163,"X",'11 Mic'!$G153:$G163)),MAX('11 Mic'!AD153:AD163)),MIN('11 Mic'!AH153:AH163))))</f>
        <v/>
      </c>
      <c r="I290" s="1557">
        <f t="shared" si="42"/>
        <v>1</v>
      </c>
      <c r="J290" s="1557">
        <f>IF(I290="","",IF(IndG=3,MAX(I290,Obj_Projets!J290),MAX(I290,Obj_PA!D290)))</f>
        <v>1</v>
      </c>
      <c r="K290" s="1560">
        <f t="shared" si="43"/>
        <v>1</v>
      </c>
      <c r="L290" s="1650" t="str">
        <f t="shared" si="44"/>
        <v xml:space="preserve"> n'a pas démarré</v>
      </c>
      <c r="M290" s="154"/>
      <c r="N290" s="154"/>
      <c r="O290" s="154"/>
      <c r="P290" s="154"/>
      <c r="Q290" s="154"/>
      <c r="R290" s="154"/>
      <c r="S290" s="154"/>
      <c r="T290" s="154"/>
      <c r="U290" s="154"/>
      <c r="V290" s="154"/>
      <c r="W290" s="154"/>
      <c r="X290" s="154"/>
      <c r="Y290" s="154"/>
      <c r="Z290" s="154"/>
      <c r="AA290" s="154"/>
      <c r="AB290" s="154"/>
      <c r="AC290" s="154"/>
      <c r="AD290" s="154"/>
      <c r="AE290" s="154"/>
      <c r="AF290" s="154"/>
      <c r="AG290" s="154"/>
      <c r="AH290" s="154"/>
      <c r="AI290" s="154"/>
      <c r="AJ290" s="154"/>
      <c r="AK290" s="154"/>
      <c r="AL290" s="154"/>
      <c r="AM290" s="154"/>
      <c r="AN290" s="154"/>
      <c r="AO290" s="154"/>
      <c r="AP290" s="154"/>
      <c r="AQ290" s="154"/>
      <c r="AR290" s="154"/>
      <c r="AS290" s="154"/>
      <c r="AT290" s="154"/>
      <c r="AU290" s="154"/>
      <c r="AV290" s="154"/>
      <c r="AW290" s="154"/>
      <c r="AX290" s="154"/>
      <c r="AY290" s="154"/>
      <c r="AZ290" s="154"/>
      <c r="BA290" s="154"/>
      <c r="BB290" s="154"/>
      <c r="CI290" s="527">
        <f>IF(INDEX(Tab_actions,53,1)=1,INDEX(Tab_actions,53,6),0)</f>
        <v>0</v>
      </c>
    </row>
    <row r="291" spans="1:87" s="527" customFormat="1" ht="15.75" customHeight="1" outlineLevel="1" x14ac:dyDescent="0.2">
      <c r="A291" s="1212"/>
      <c r="B291" s="1212" t="s">
        <v>4256</v>
      </c>
      <c r="C291" s="1219" t="s">
        <v>6558</v>
      </c>
      <c r="D291" s="1562" t="s">
        <v>2769</v>
      </c>
      <c r="E291" s="1559" t="str">
        <f>IF(NOT('11 Mic'!C164 = ""),'11 Mic'!C164,IF(COUNTIF('11 Mic'!C165:C169,"&gt;=0")=0,"", MIN(MAX(SUMPRODUCT('11 Mic'!C165:C169,'11 Mic'!$G165:$G169)*4/(SUM('11 Mic'!$G165:$G169) - SUMIF('11 Mic'!C165:C169,"X",'11 Mic'!$G165:$G169)),MAX('11 Mic'!AA165:AA169)),MIN('11 Mic'!AE165:AE169))))</f>
        <v/>
      </c>
      <c r="F291" s="1559" t="str">
        <f>IF(NOT('11 Mic'!D164 = ""),'11 Mic'!D164,IF(COUNTIF('11 Mic'!D165:D169,"&gt;=0")=0,"", MIN(MAX(SUMPRODUCT('11 Mic'!D165:D169,'11 Mic'!$G165:$G169)*4/(SUM('11 Mic'!$G165:$G169) - SUMIF('11 Mic'!D165:D169,"X",'11 Mic'!$G165:$G169)),MAX('11 Mic'!AB165:AB169)),MIN('11 Mic'!AF165:AF169))))</f>
        <v/>
      </c>
      <c r="G291" s="1559" t="str">
        <f>IF(NOT('11 Mic'!E164 = ""),'11 Mic'!E164,IF(COUNTIF('11 Mic'!E165:E169,"&gt;=0")=0,"", MIN(MAX(SUMPRODUCT('11 Mic'!E165:E169,'11 Mic'!$G165:$G169)*4/(SUM('11 Mic'!$G165:$G169) - SUMIF('11 Mic'!E165:E169,"X",'11 Mic'!$G165:$G169)),MAX('11 Mic'!AC165:AC169)),MIN('11 Mic'!AG165:AG169))))</f>
        <v/>
      </c>
      <c r="H291" s="1559" t="str">
        <f>IF(NOT('11 Mic'!F164 = ""),'11 Mic'!F164,IF(COUNTIF('11 Mic'!F165:F169,"&gt;=0")=0,"", MIN(MAX(SUMPRODUCT('11 Mic'!F165:F169,'11 Mic'!$G165:$G169)*4/(SUM('11 Mic'!$G165:$G169) - SUMIF('11 Mic'!F165:F169,"X",'11 Mic'!$G165:$G169)),MAX('11 Mic'!AD165:AD169)),MIN('11 Mic'!AH165:AH169))))</f>
        <v/>
      </c>
      <c r="I291" s="1557">
        <f t="shared" si="42"/>
        <v>1</v>
      </c>
      <c r="J291" s="1557">
        <f>IF(I291="","",IF(IndG=3,MAX(I291,Obj_Projets!J291),MAX(I291,Obj_PA!D291)))</f>
        <v>1</v>
      </c>
      <c r="K291" s="1560">
        <f t="shared" si="43"/>
        <v>1</v>
      </c>
      <c r="L291" s="1650" t="str">
        <f t="shared" si="44"/>
        <v xml:space="preserve"> n'a pas démarré</v>
      </c>
      <c r="M291" s="154"/>
      <c r="N291" s="154"/>
      <c r="O291" s="154"/>
      <c r="P291" s="154"/>
      <c r="Q291" s="154"/>
      <c r="R291" s="154"/>
      <c r="S291" s="154"/>
      <c r="T291" s="154"/>
      <c r="U291" s="154"/>
      <c r="V291" s="154"/>
      <c r="W291" s="154"/>
      <c r="X291" s="154"/>
      <c r="Y291" s="154"/>
      <c r="Z291" s="154"/>
      <c r="AA291" s="154"/>
      <c r="AB291" s="154"/>
      <c r="AC291" s="154"/>
      <c r="AD291" s="154"/>
      <c r="AE291" s="154"/>
      <c r="AF291" s="154"/>
      <c r="AG291" s="154"/>
      <c r="AH291" s="154"/>
      <c r="AI291" s="154"/>
      <c r="AJ291" s="154"/>
      <c r="AK291" s="154"/>
      <c r="AL291" s="154"/>
      <c r="AM291" s="154"/>
      <c r="AN291" s="154"/>
      <c r="AO291" s="154"/>
      <c r="AP291" s="154"/>
      <c r="AQ291" s="154"/>
      <c r="AR291" s="154"/>
      <c r="AS291" s="154"/>
      <c r="AT291" s="154"/>
      <c r="AU291" s="154"/>
      <c r="AV291" s="154"/>
      <c r="AW291" s="154"/>
      <c r="AX291" s="154"/>
      <c r="AY291" s="154"/>
      <c r="AZ291" s="154"/>
      <c r="BA291" s="154"/>
      <c r="BB291" s="154"/>
      <c r="CI291" s="527">
        <f>IF(INDEX(Tab_actions,53,1)=1,INDEX(Tab_actions,53,6),0)</f>
        <v>0</v>
      </c>
    </row>
    <row r="292" spans="1:87" s="527" customFormat="1" ht="15.75" customHeight="1" outlineLevel="1" x14ac:dyDescent="0.2">
      <c r="A292" s="1212"/>
      <c r="B292" s="1213" t="s">
        <v>3418</v>
      </c>
      <c r="C292" s="1214" t="s">
        <v>1026</v>
      </c>
      <c r="D292" s="1554"/>
      <c r="E292" s="1559"/>
      <c r="F292" s="1559"/>
      <c r="G292" s="1559"/>
      <c r="H292" s="1559"/>
      <c r="I292" s="1561"/>
      <c r="J292" s="1557"/>
      <c r="K292" s="1561"/>
      <c r="L292" s="1650"/>
      <c r="M292" s="154"/>
      <c r="N292" s="154"/>
      <c r="O292" s="154"/>
      <c r="P292" s="154"/>
      <c r="Q292" s="154"/>
      <c r="R292" s="154"/>
      <c r="S292" s="154"/>
      <c r="T292" s="154"/>
      <c r="U292" s="154"/>
      <c r="V292" s="154"/>
      <c r="W292" s="154"/>
      <c r="X292" s="154"/>
      <c r="Y292" s="154"/>
      <c r="Z292" s="154"/>
      <c r="AA292" s="154"/>
      <c r="AB292" s="154"/>
      <c r="AC292" s="154"/>
      <c r="AD292" s="154"/>
      <c r="AE292" s="154"/>
      <c r="AF292" s="154"/>
      <c r="AG292" s="154"/>
      <c r="AH292" s="154"/>
      <c r="AI292" s="154"/>
      <c r="AJ292" s="154"/>
      <c r="AK292" s="154"/>
      <c r="AL292" s="154"/>
      <c r="AM292" s="154"/>
      <c r="AN292" s="154"/>
      <c r="AO292" s="154"/>
      <c r="AP292" s="154"/>
      <c r="AQ292" s="154"/>
      <c r="AR292" s="154"/>
      <c r="AS292" s="154"/>
      <c r="AT292" s="154"/>
      <c r="AU292" s="154"/>
      <c r="AV292" s="154"/>
      <c r="AW292" s="154"/>
      <c r="AX292" s="154"/>
      <c r="AY292" s="154"/>
      <c r="AZ292" s="154"/>
      <c r="BA292" s="154"/>
      <c r="BB292" s="154"/>
    </row>
    <row r="293" spans="1:87" s="527" customFormat="1" ht="15.75" customHeight="1" outlineLevel="1" x14ac:dyDescent="0.2">
      <c r="A293" s="1212"/>
      <c r="B293" s="1212" t="s">
        <v>947</v>
      </c>
      <c r="C293" s="1219" t="s">
        <v>3411</v>
      </c>
      <c r="D293" s="1562" t="s">
        <v>2625</v>
      </c>
      <c r="E293" s="1559" t="str">
        <f>IF(NOT('11 Mic'!C171 = ""),'11 Mic'!C171,IF(COUNTIF('11 Mic'!C172:C178,"&gt;=0")=0,"", MIN(MAX(SUMPRODUCT('11 Mic'!C172:C178,'11 Mic'!$G172:$G178)*4/(SUM('11 Mic'!$G172:$G178) - SUMIF('11 Mic'!C172:C178,"X",'11 Mic'!$G172:$G178)),MAX('11 Mic'!AA172:AA178)),MIN('11 Mic'!AE172:AE178))))</f>
        <v/>
      </c>
      <c r="F293" s="1559" t="str">
        <f>IF(NOT('11 Mic'!D171 = ""),'11 Mic'!D171,IF(COUNTIF('11 Mic'!D172:D178,"&gt;=0")=0,"", MIN(MAX(SUMPRODUCT('11 Mic'!D172:D178,'11 Mic'!$G172:$G178)*4/(SUM('11 Mic'!$G172:$G178) - SUMIF('11 Mic'!D172:D178,"X",'11 Mic'!$G172:$G178)),MAX('11 Mic'!AB172:AB178)),MIN('11 Mic'!AF172:AF178))))</f>
        <v/>
      </c>
      <c r="G293" s="1559" t="str">
        <f>IF(NOT('11 Mic'!E171 = ""),'11 Mic'!E171,IF(COUNTIF('11 Mic'!E172:E178,"&gt;=0")=0,"", MIN(MAX(SUMPRODUCT('11 Mic'!E172:E178,'11 Mic'!$G172:$G178)*4/(SUM('11 Mic'!$G172:$G178) - SUMIF('11 Mic'!E172:E178,"X",'11 Mic'!$G172:$G178)),MAX('11 Mic'!AC172:AC178)),MIN('11 Mic'!AG172:AG178))))</f>
        <v/>
      </c>
      <c r="H293" s="1559" t="str">
        <f>IF(NOT('11 Mic'!F171 = ""),'11 Mic'!F171,IF(COUNTIF('11 Mic'!F172:F178,"&gt;=0")=0,"", MIN(MAX(SUMPRODUCT('11 Mic'!F172:F178,'11 Mic'!$G172:$G178)*4/(SUM('11 Mic'!$G172:$G178) - SUMIF('11 Mic'!F172:F178,"X",'11 Mic'!$G172:$G178)),MAX('11 Mic'!AD172:AD178)),MIN('11 Mic'!AH172:AH178))))</f>
        <v/>
      </c>
      <c r="I293" s="1557">
        <f>IF(AND(OR(E293="X",E293=""),OR(F293="X",F293=""),OR(G293="X",G293=""),OR(H293="X",H293="")),1,ROUND(MIN(IF(OR(E293="",E293="X"),4,E293),IF(OR(F293="",F293="X"),4,F293),IF(OR(G293="",G293="X"),4,G293),IF(OR(H293="",H293="X"),4,H293)),0))</f>
        <v>1</v>
      </c>
      <c r="J293" s="1557">
        <f>IF(I293="","",IF(IndG=3,MAX(I293,Obj_Projets!J293),MAX(I293,Obj_PA!D293)))</f>
        <v>1</v>
      </c>
      <c r="K293" s="1560">
        <f>IF(IF(OR(IndG=3,IndG=4),MAX(I293,J293),I293)&lt;1,1,IF(OR(IndG=3,IndG=4),MAX(I293,J293),I293))</f>
        <v>1</v>
      </c>
      <c r="L293" s="1650" t="str">
        <f>IF(E293=""," n'a pas démarré","")</f>
        <v xml:space="preserve"> n'a pas démarré</v>
      </c>
      <c r="M293" s="154"/>
      <c r="N293" s="154"/>
      <c r="O293" s="154"/>
      <c r="P293" s="154"/>
      <c r="Q293" s="154"/>
      <c r="R293" s="154"/>
      <c r="S293" s="154"/>
      <c r="T293" s="154"/>
      <c r="U293" s="154"/>
      <c r="V293" s="154"/>
      <c r="W293" s="154"/>
      <c r="X293" s="154"/>
      <c r="Y293" s="154"/>
      <c r="Z293" s="154"/>
      <c r="AA293" s="154"/>
      <c r="AB293" s="154"/>
      <c r="AC293" s="154"/>
      <c r="AD293" s="154"/>
      <c r="AE293" s="154"/>
      <c r="AF293" s="154"/>
      <c r="AG293" s="154"/>
      <c r="AH293" s="154"/>
      <c r="AI293" s="154"/>
      <c r="AJ293" s="154"/>
      <c r="AK293" s="154"/>
      <c r="AL293" s="154"/>
      <c r="AM293" s="154"/>
      <c r="AN293" s="154"/>
      <c r="AO293" s="154"/>
      <c r="AP293" s="154"/>
      <c r="AQ293" s="154"/>
      <c r="AR293" s="154"/>
      <c r="AS293" s="154"/>
      <c r="AT293" s="154"/>
      <c r="AU293" s="154"/>
      <c r="AV293" s="154"/>
      <c r="AW293" s="154"/>
      <c r="AX293" s="154"/>
      <c r="AY293" s="154"/>
      <c r="AZ293" s="154"/>
      <c r="BA293" s="154"/>
      <c r="BB293" s="154"/>
    </row>
    <row r="294" spans="1:87" s="527" customFormat="1" ht="15.75" customHeight="1" outlineLevel="1" x14ac:dyDescent="0.2">
      <c r="A294" s="1212"/>
      <c r="B294" s="1212" t="s">
        <v>948</v>
      </c>
      <c r="C294" s="1219" t="s">
        <v>1377</v>
      </c>
      <c r="D294" s="1562" t="s">
        <v>2625</v>
      </c>
      <c r="E294" s="1559" t="str">
        <f>IF(NOT('11 Mic'!C179 = ""),'11 Mic'!C179,IF(COUNTIF('11 Mic'!C180:C186,"&gt;=0")=0,"", MIN(MAX(SUMPRODUCT('11 Mic'!C180:C186,'11 Mic'!$G180:$G186)*4/(SUM('11 Mic'!$G180:$G186) - SUMIF('11 Mic'!C180:C186,"X",'11 Mic'!$G180:$G186)),MAX('11 Mic'!AA180:AA186)),MIN('11 Mic'!AE180:AE186))))</f>
        <v/>
      </c>
      <c r="F294" s="1559" t="str">
        <f>IF(NOT('11 Mic'!D179 = ""),'11 Mic'!D179,IF(COUNTIF('11 Mic'!D180:D186,"&gt;=0")=0,"", MIN(MAX(SUMPRODUCT('11 Mic'!D180:D186,'11 Mic'!$G180:$G186)*4/(SUM('11 Mic'!$G180:$G186) - SUMIF('11 Mic'!D180:D186,"X",'11 Mic'!$G180:$G186)),MAX('11 Mic'!AB180:AB186)),MIN('11 Mic'!AF180:AF186))))</f>
        <v/>
      </c>
      <c r="G294" s="1559" t="str">
        <f>IF(NOT('11 Mic'!E179 = ""),'11 Mic'!E179,IF(COUNTIF('11 Mic'!E180:E186,"&gt;=0")=0,"", MIN(MAX(SUMPRODUCT('11 Mic'!E180:E186,'11 Mic'!$G180:$G186)*4/(SUM('11 Mic'!$G180:$G186) - SUMIF('11 Mic'!E180:E186,"X",'11 Mic'!$G180:$G186)),MAX('11 Mic'!AC180:AC186)),MIN('11 Mic'!AG180:AG186))))</f>
        <v/>
      </c>
      <c r="H294" s="1559" t="str">
        <f>IF(NOT('11 Mic'!F179 = ""),'11 Mic'!F179,IF(COUNTIF('11 Mic'!F180:F186,"&gt;=0")=0,"", MIN(MAX(SUMPRODUCT('11 Mic'!F180:F186,'11 Mic'!$G180:$G186)*4/(SUM('11 Mic'!$G180:$G186) - SUMIF('11 Mic'!F180:F186,"X",'11 Mic'!$G180:$G186)),MAX('11 Mic'!AD180:AD186)),MIN('11 Mic'!AH180:AH186))))</f>
        <v/>
      </c>
      <c r="I294" s="1557">
        <f>IF(AND(OR(E294="X",E294=""),OR(F294="X",F294=""),OR(G294="X",G294=""),OR(H294="X",H294="")),1,ROUND(MIN(IF(OR(E294="",E294="X"),4,E294),IF(OR(F294="",F294="X"),4,F294),IF(OR(G294="",G294="X"),4,G294),IF(OR(H294="",H294="X"),4,H294)),0))</f>
        <v>1</v>
      </c>
      <c r="J294" s="1557">
        <f>IF(I294="","",IF(IndG=3,MAX(I294,Obj_Projets!J294),MAX(I294,Obj_PA!D294)))</f>
        <v>1</v>
      </c>
      <c r="K294" s="1560">
        <f>IF(IF(OR(IndG=3,IndG=4),MAX(I294,J294),I294)&lt;1,1,IF(OR(IndG=3,IndG=4),MAX(I294,J294),I294))</f>
        <v>1</v>
      </c>
      <c r="L294" s="1650" t="str">
        <f>IF(E294=""," n'a pas démarré","")</f>
        <v xml:space="preserve"> n'a pas démarré</v>
      </c>
      <c r="M294" s="154"/>
      <c r="N294" s="154"/>
      <c r="O294" s="154"/>
      <c r="P294" s="154"/>
      <c r="Q294" s="154"/>
      <c r="R294" s="154"/>
      <c r="S294" s="154"/>
      <c r="T294" s="154"/>
      <c r="U294" s="154"/>
      <c r="V294" s="154"/>
      <c r="W294" s="154"/>
      <c r="X294" s="154"/>
      <c r="Y294" s="154"/>
      <c r="Z294" s="154"/>
      <c r="AA294" s="154"/>
      <c r="AB294" s="154"/>
      <c r="AC294" s="154"/>
      <c r="AD294" s="154"/>
      <c r="AE294" s="154"/>
      <c r="AF294" s="154"/>
      <c r="AG294" s="154"/>
      <c r="AH294" s="154"/>
      <c r="AI294" s="154"/>
      <c r="AJ294" s="154"/>
      <c r="AK294" s="154"/>
      <c r="AL294" s="154"/>
      <c r="AM294" s="154"/>
      <c r="AN294" s="154"/>
      <c r="AO294" s="154"/>
      <c r="AP294" s="154"/>
      <c r="AQ294" s="154"/>
      <c r="AR294" s="154"/>
      <c r="AS294" s="154"/>
      <c r="AT294" s="154"/>
      <c r="AU294" s="154"/>
      <c r="AV294" s="154"/>
      <c r="AW294" s="154"/>
      <c r="AX294" s="154"/>
      <c r="AY294" s="154"/>
      <c r="AZ294" s="154"/>
      <c r="BA294" s="154"/>
      <c r="BB294" s="154"/>
    </row>
    <row r="295" spans="1:87" s="527" customFormat="1" ht="15.75" customHeight="1" outlineLevel="1" x14ac:dyDescent="0.2">
      <c r="A295" s="1212"/>
      <c r="B295" s="1212" t="s">
        <v>949</v>
      </c>
      <c r="C295" s="1219" t="s">
        <v>2504</v>
      </c>
      <c r="D295" s="1570" t="s">
        <v>2775</v>
      </c>
      <c r="E295" s="1559" t="str">
        <f>IF(NOT('11 Mic'!C187 = ""),'11 Mic'!C187,IF(COUNTIF('11 Mic'!C188:C196,"&gt;=0")=0,"", MIN(MAX(SUMPRODUCT('11 Mic'!C188:C196,'11 Mic'!$G188:$G196)*4/(SUM('11 Mic'!$G188:$G196) - SUMIF('11 Mic'!C188:C196,"X",'11 Mic'!$G188:$G196)),MAX('11 Mic'!AA188:AA196)),MIN('11 Mic'!AE188:AE196))))</f>
        <v/>
      </c>
      <c r="F295" s="1559" t="str">
        <f>IF(NOT('11 Mic'!D187 = ""),'11 Mic'!D187,IF(COUNTIF('11 Mic'!D188:D196,"&gt;=0")=0,"", MIN(MAX(SUMPRODUCT('11 Mic'!D188:D196,'11 Mic'!$G188:$G196)*4/(SUM('11 Mic'!$G188:$G196) - SUMIF('11 Mic'!D188:D196,"X",'11 Mic'!$G188:$G196)),MAX('11 Mic'!AB188:AB196)),MIN('11 Mic'!AF188:AF196))))</f>
        <v/>
      </c>
      <c r="G295" s="1559" t="str">
        <f>IF(NOT('11 Mic'!E187 = ""),'11 Mic'!E187,IF(COUNTIF('11 Mic'!E188:E196,"&gt;=0")=0,"", MIN(MAX(SUMPRODUCT('11 Mic'!E188:E196,'11 Mic'!$G188:$G196)*4/(SUM('11 Mic'!$G188:$G196) - SUMIF('11 Mic'!E188:E196,"X",'11 Mic'!$G188:$G196)),MAX('11 Mic'!AC188:AC196)),MIN('11 Mic'!AG188:AG196))))</f>
        <v/>
      </c>
      <c r="H295" s="1559" t="str">
        <f>IF(NOT('11 Mic'!F187 = ""),'11 Mic'!F187,IF(COUNTIF('11 Mic'!F188:F196,"&gt;=0")=0,"", MIN(MAX(SUMPRODUCT('11 Mic'!F188:F196,'11 Mic'!$G188:$G196)*4/(SUM('11 Mic'!$G188:$G196) - SUMIF('11 Mic'!F188:F196,"X",'11 Mic'!$G188:$G196)),MAX('11 Mic'!AD188:AD196)),MIN('11 Mic'!AH188:AH196))))</f>
        <v/>
      </c>
      <c r="I295" s="1557">
        <f>IF(AND(OR(E295="X",E295=""),OR(F295="X",F295=""),OR(G295="X",G295=""),OR(H295="X",H295="")),1,ROUND(MIN(IF(OR(E295="",E295="X"),4,E295),IF(OR(F295="",F295="X"),4,F295),IF(OR(G295="",G295="X"),4,G295),IF(OR(H295="",H295="X"),4,H295)),0))</f>
        <v>1</v>
      </c>
      <c r="J295" s="1557">
        <f>IF(I295="","",IF(IndG=3,MAX(I295,Obj_Projets!J295),MAX(I295,Obj_PA!D295)))</f>
        <v>1</v>
      </c>
      <c r="K295" s="1560">
        <f>IF(IF(OR(IndG=3,IndG=4),MAX(I295,J295),I295)&lt;1,1,IF(OR(IndG=3,IndG=4),MAX(I295,J295),I295))</f>
        <v>1</v>
      </c>
      <c r="L295" s="1650" t="str">
        <f>IF(E295=""," n'a pas démarré","")</f>
        <v xml:space="preserve"> n'a pas démarré</v>
      </c>
      <c r="M295" s="154"/>
      <c r="N295" s="154"/>
      <c r="O295" s="154"/>
      <c r="P295" s="154"/>
      <c r="Q295" s="154"/>
      <c r="R295" s="154"/>
      <c r="S295" s="154"/>
      <c r="T295" s="154"/>
      <c r="U295" s="154"/>
      <c r="V295" s="154"/>
      <c r="W295" s="154"/>
      <c r="X295" s="154"/>
      <c r="Y295" s="154"/>
      <c r="Z295" s="154"/>
      <c r="AA295" s="154"/>
      <c r="AB295" s="154"/>
      <c r="AC295" s="154"/>
      <c r="AD295" s="154"/>
      <c r="AE295" s="154"/>
      <c r="AF295" s="154"/>
      <c r="AG295" s="154"/>
      <c r="AH295" s="154"/>
      <c r="AI295" s="154"/>
      <c r="AJ295" s="154"/>
      <c r="AK295" s="154"/>
      <c r="AL295" s="154"/>
      <c r="AM295" s="154"/>
      <c r="AN295" s="154"/>
      <c r="AO295" s="154"/>
      <c r="AP295" s="154"/>
      <c r="AQ295" s="154"/>
      <c r="AR295" s="154"/>
      <c r="AS295" s="154"/>
      <c r="AT295" s="154"/>
      <c r="AU295" s="154"/>
      <c r="AV295" s="154"/>
      <c r="AW295" s="154"/>
      <c r="AX295" s="154"/>
      <c r="AY295" s="154"/>
      <c r="AZ295" s="154"/>
      <c r="BA295" s="154"/>
      <c r="BB295" s="154"/>
    </row>
    <row r="296" spans="1:87" s="527" customFormat="1" ht="15.75" customHeight="1" x14ac:dyDescent="0.2">
      <c r="A296" s="1229" t="s">
        <v>5810</v>
      </c>
      <c r="B296" s="1992" t="s">
        <v>5880</v>
      </c>
      <c r="C296" s="1993"/>
      <c r="D296" s="1563"/>
      <c r="E296" s="1564"/>
      <c r="F296" s="1564"/>
      <c r="G296" s="1564"/>
      <c r="H296" s="1564"/>
      <c r="I296" s="1568"/>
      <c r="J296" s="1568"/>
      <c r="K296" s="1568"/>
      <c r="L296" s="1653"/>
      <c r="M296" s="154"/>
      <c r="N296" s="154"/>
      <c r="O296" s="154"/>
      <c r="P296" s="154"/>
      <c r="Q296" s="154"/>
      <c r="R296" s="154"/>
      <c r="S296" s="154"/>
      <c r="T296" s="154"/>
      <c r="U296" s="154"/>
      <c r="V296" s="154"/>
      <c r="W296" s="154"/>
      <c r="X296" s="154"/>
      <c r="Y296" s="154"/>
      <c r="Z296" s="154"/>
      <c r="AA296" s="154"/>
      <c r="AB296" s="154"/>
      <c r="AC296" s="154"/>
      <c r="AD296" s="154"/>
      <c r="AE296" s="154"/>
      <c r="AF296" s="154"/>
      <c r="AG296" s="154"/>
      <c r="AH296" s="154"/>
      <c r="AI296" s="154"/>
      <c r="AJ296" s="154"/>
      <c r="AK296" s="154"/>
      <c r="AL296" s="154"/>
      <c r="AM296" s="154"/>
      <c r="AN296" s="154"/>
      <c r="AO296" s="154"/>
      <c r="AP296" s="154"/>
      <c r="AQ296" s="154"/>
      <c r="AR296" s="154"/>
      <c r="AS296" s="154"/>
      <c r="AT296" s="154"/>
      <c r="AU296" s="154"/>
      <c r="AV296" s="154"/>
      <c r="AW296" s="154"/>
      <c r="AX296" s="154"/>
      <c r="AY296" s="154"/>
      <c r="AZ296" s="154"/>
      <c r="BA296" s="154"/>
      <c r="BB296" s="154"/>
    </row>
    <row r="297" spans="1:87" s="527" customFormat="1" ht="15.75" customHeight="1" outlineLevel="1" x14ac:dyDescent="0.2">
      <c r="A297" s="1212"/>
      <c r="B297" s="1213" t="s">
        <v>1490</v>
      </c>
      <c r="C297" s="1214" t="s">
        <v>2604</v>
      </c>
      <c r="D297" s="1554"/>
      <c r="E297" s="1556"/>
      <c r="F297" s="1556"/>
      <c r="G297" s="1556"/>
      <c r="H297" s="1556"/>
      <c r="I297" s="1561"/>
      <c r="J297" s="1561"/>
      <c r="K297" s="1561"/>
      <c r="L297" s="1650"/>
      <c r="M297" s="154"/>
      <c r="N297" s="154"/>
      <c r="O297" s="154"/>
      <c r="P297" s="154"/>
      <c r="Q297" s="154"/>
      <c r="R297" s="154"/>
      <c r="S297" s="154"/>
      <c r="T297" s="154"/>
      <c r="U297" s="154"/>
      <c r="V297" s="154"/>
      <c r="W297" s="154"/>
      <c r="X297" s="154"/>
      <c r="Y297" s="154"/>
      <c r="Z297" s="154"/>
      <c r="AA297" s="154"/>
      <c r="AB297" s="154"/>
      <c r="AC297" s="154"/>
      <c r="AD297" s="154"/>
      <c r="AE297" s="154"/>
      <c r="AF297" s="154"/>
      <c r="AG297" s="154"/>
      <c r="AH297" s="154"/>
      <c r="AI297" s="154"/>
      <c r="AJ297" s="154"/>
      <c r="AK297" s="154"/>
      <c r="AL297" s="154"/>
      <c r="AM297" s="154"/>
      <c r="AN297" s="154"/>
      <c r="AO297" s="154"/>
      <c r="AP297" s="154"/>
      <c r="AQ297" s="154"/>
      <c r="AR297" s="154"/>
      <c r="AS297" s="154"/>
      <c r="AT297" s="154"/>
      <c r="AU297" s="154"/>
      <c r="AV297" s="154"/>
      <c r="AW297" s="154"/>
      <c r="AX297" s="154"/>
      <c r="AY297" s="154"/>
      <c r="AZ297" s="154"/>
      <c r="BA297" s="154"/>
      <c r="BB297" s="154"/>
    </row>
    <row r="298" spans="1:87" s="527" customFormat="1" ht="15.75" customHeight="1" outlineLevel="1" x14ac:dyDescent="0.2">
      <c r="A298" s="1212"/>
      <c r="B298" s="1212" t="s">
        <v>3266</v>
      </c>
      <c r="C298" s="1219" t="s">
        <v>4529</v>
      </c>
      <c r="D298" s="1562" t="s">
        <v>4246</v>
      </c>
      <c r="E298" s="1559" t="str">
        <f>IF(NOT('12 Ext'!C4 = ""),'12 Ext'!C4,IF(COUNTIF('12 Ext'!C5:C13,"&gt;=0")=0,"", MIN(MAX(SUMPRODUCT('12 Ext'!C5:C13,'12 Ext'!$G5:$G13)*4/(SUM('12 Ext'!$G5:$G13) - SUMIF('12 Ext'!C5:C13,"X",'12 Ext'!$G5:$G13)),MAX('12 Ext'!AA5:AA13)),MIN('12 Ext'!AE5:AE13))))</f>
        <v/>
      </c>
      <c r="F298" s="1556" t="str">
        <f>IF(NOT('12 Ext'!D4 = ""),'12 Ext'!D4,IF(COUNTIF('12 Ext'!D5:D13,"&gt;=0")=0,"", MIN(MAX(SUMPRODUCT('12 Ext'!D5:D13,'12 Ext'!$G5:$G13)*4/(SUM('12 Ext'!$G5:$G13) - SUMIF('12 Ext'!D5:D13,"X",'12 Ext'!$G5:$G13)),MAX('12 Ext'!AB5:AB13)),MIN('12 Ext'!AF5:AF13))))</f>
        <v/>
      </c>
      <c r="G298" s="1556" t="str">
        <f>IF(NOT('12 Ext'!E4 = ""),'12 Ext'!E4,IF(COUNTIF('12 Ext'!E5:E13,"&gt;=0")=0,"", MIN(MAX(SUMPRODUCT('12 Ext'!E5:E13,'12 Ext'!$G5:$G13)*4/(SUM('12 Ext'!$G5:$G13) - SUMIF('12 Ext'!E5:E13,"X",'12 Ext'!$G5:$G13)),MAX('12 Ext'!AC5:AC13)),MIN('12 Ext'!AG5:AG13))))</f>
        <v/>
      </c>
      <c r="H298" s="1556" t="str">
        <f>IF(NOT('12 Ext'!F4 = ""),'12 Ext'!F4,IF(COUNTIF('12 Ext'!F5:F13,"&gt;=0")=0,"", MIN(MAX(SUMPRODUCT('12 Ext'!F5:F13,'12 Ext'!$G5:$G13)*4/(SUM('12 Ext'!$G5:$G13) - SUMIF('12 Ext'!F5:F13,"X",'12 Ext'!$G5:$G13)),MAX('12 Ext'!AD5:AD13)),MIN('12 Ext'!AH5:AH13))))</f>
        <v/>
      </c>
      <c r="I298" s="1557">
        <f t="shared" ref="I298:I303" si="45">IF(AND(OR(E298="X",E298=""),OR(F298="X",F298=""),OR(G298="X",G298=""),OR(H298="X",H298="")),1,ROUND(MIN(IF(OR(E298="",E298="X"),4,E298),IF(OR(F298="",F298="X"),4,F298),IF(OR(G298="",G298="X"),4,G298),IF(OR(H298="",H298="X"),4,H298)),0))</f>
        <v>1</v>
      </c>
      <c r="J298" s="1557">
        <f>IF(I298="","",IF(IndG=3,MAX(I298,Obj_Projets!J298),MAX(I298,Obj_PA!D298)))</f>
        <v>1</v>
      </c>
      <c r="K298" s="1560">
        <f t="shared" ref="K298:K303" si="46">IF(IF(OR(IndG=3,IndG=4),MAX(I298,J298),I298)&lt;1,1,IF(OR(IndG=3,IndG=4),MAX(I298,J298),I298))</f>
        <v>1</v>
      </c>
      <c r="L298" s="1650" t="str">
        <f t="shared" ref="L298:L303" si="47">IF(E298=""," n'a pas démarré","")</f>
        <v xml:space="preserve"> n'a pas démarré</v>
      </c>
      <c r="M298" s="154"/>
      <c r="N298" s="154"/>
      <c r="O298" s="154"/>
      <c r="P298" s="154"/>
      <c r="Q298" s="154"/>
      <c r="R298" s="154"/>
      <c r="S298" s="154"/>
      <c r="T298" s="154"/>
      <c r="U298" s="154"/>
      <c r="V298" s="154"/>
      <c r="W298" s="154"/>
      <c r="X298" s="154"/>
      <c r="Y298" s="154"/>
      <c r="Z298" s="154"/>
      <c r="AA298" s="154"/>
      <c r="AB298" s="154"/>
      <c r="AC298" s="154"/>
      <c r="AD298" s="154"/>
      <c r="AE298" s="154"/>
      <c r="AF298" s="154"/>
      <c r="AG298" s="154"/>
      <c r="AH298" s="154"/>
      <c r="AI298" s="154"/>
      <c r="AJ298" s="154"/>
      <c r="AK298" s="154"/>
      <c r="AL298" s="154"/>
      <c r="AM298" s="154"/>
      <c r="AN298" s="154"/>
      <c r="AO298" s="154"/>
      <c r="AP298" s="154"/>
      <c r="AQ298" s="154"/>
      <c r="AR298" s="154"/>
      <c r="AS298" s="154"/>
      <c r="AT298" s="154"/>
      <c r="AU298" s="154"/>
      <c r="AV298" s="154"/>
      <c r="AW298" s="154"/>
      <c r="AX298" s="154"/>
      <c r="AY298" s="154"/>
      <c r="AZ298" s="154"/>
      <c r="BA298" s="154"/>
      <c r="BB298" s="154"/>
    </row>
    <row r="299" spans="1:87" s="527" customFormat="1" ht="15.75" customHeight="1" outlineLevel="1" x14ac:dyDescent="0.2">
      <c r="A299" s="1212"/>
      <c r="B299" s="1212" t="s">
        <v>3267</v>
      </c>
      <c r="C299" s="1219" t="s">
        <v>2556</v>
      </c>
      <c r="D299" s="1562" t="s">
        <v>4246</v>
      </c>
      <c r="E299" s="1559" t="str">
        <f>IF(NOT('12 Ext'!C14 = ""),'12 Ext'!C14,IF(COUNTIF('12 Ext'!C15:C30,"&gt;=0")=0,"", MIN(MAX(SUMPRODUCT('12 Ext'!C15:C30,'12 Ext'!$G15:$G30)*4/(SUM('12 Ext'!$G15:$G30) - SUMIF('12 Ext'!C15:C30,"X",'12 Ext'!$G15:$G30)),MAX('12 Ext'!AA15:AA30)),MIN('12 Ext'!AE15:AE30))))</f>
        <v/>
      </c>
      <c r="F299" s="1556" t="str">
        <f>IF(NOT('12 Ext'!D14 = ""),'12 Ext'!D14,IF(COUNTIF('12 Ext'!D15:D30,"&gt;=0")=0,"", MIN(MAX(SUMPRODUCT('12 Ext'!D15:D30,'12 Ext'!$G15:$G30)*4/(SUM('12 Ext'!$G15:$G30) - SUMIF('12 Ext'!D15:D30,"X",'12 Ext'!$G15:$G30)),MAX('12 Ext'!AB15:AB30)),MIN('12 Ext'!AF15:AF30))))</f>
        <v/>
      </c>
      <c r="G299" s="1556" t="str">
        <f>IF(NOT('12 Ext'!E14 = ""),'12 Ext'!E14,IF(COUNTIF('12 Ext'!E15:E30,"&gt;=0")=0,"", MIN(MAX(SUMPRODUCT('12 Ext'!E15:E30,'12 Ext'!$G15:$G30)*4/(SUM('12 Ext'!$G15:$G30) - SUMIF('12 Ext'!E15:E30,"X",'12 Ext'!$G15:$G30)),MAX('12 Ext'!AC15:AC30)),MIN('12 Ext'!AG15:AG30))))</f>
        <v/>
      </c>
      <c r="H299" s="1556" t="str">
        <f>IF(NOT('12 Ext'!F14 = ""),'12 Ext'!F14,IF(COUNTIF('12 Ext'!F15:F30,"&gt;=0")=0,"", MIN(MAX(SUMPRODUCT('12 Ext'!F15:F30,'12 Ext'!$G15:$G30)*4/(SUM('12 Ext'!$G15:$G30) - SUMIF('12 Ext'!F15:F30,"X",'12 Ext'!$G15:$G30)),MAX('12 Ext'!AD15:AD30)),MIN('12 Ext'!AH15:AH30))))</f>
        <v/>
      </c>
      <c r="I299" s="1557">
        <f t="shared" si="45"/>
        <v>1</v>
      </c>
      <c r="J299" s="1557">
        <f>IF(I299="","",IF(IndG=3,MAX(I299,Obj_Projets!J299),MAX(I299,Obj_PA!D299)))</f>
        <v>1</v>
      </c>
      <c r="K299" s="1560">
        <f t="shared" si="46"/>
        <v>1</v>
      </c>
      <c r="L299" s="1650" t="str">
        <f t="shared" si="47"/>
        <v xml:space="preserve"> n'a pas démarré</v>
      </c>
      <c r="M299" s="154"/>
      <c r="N299" s="154"/>
      <c r="O299" s="154"/>
      <c r="P299" s="154"/>
      <c r="Q299" s="154"/>
      <c r="R299" s="154"/>
      <c r="S299" s="154"/>
      <c r="T299" s="154"/>
      <c r="U299" s="154"/>
      <c r="V299" s="154"/>
      <c r="W299" s="154"/>
      <c r="X299" s="154"/>
      <c r="Y299" s="154"/>
      <c r="Z299" s="154"/>
      <c r="AA299" s="154"/>
      <c r="AB299" s="154"/>
      <c r="AC299" s="154"/>
      <c r="AD299" s="154"/>
      <c r="AE299" s="154"/>
      <c r="AF299" s="154"/>
      <c r="AG299" s="154"/>
      <c r="AH299" s="154"/>
      <c r="AI299" s="154"/>
      <c r="AJ299" s="154"/>
      <c r="AK299" s="154"/>
      <c r="AL299" s="154"/>
      <c r="AM299" s="154"/>
      <c r="AN299" s="154"/>
      <c r="AO299" s="154"/>
      <c r="AP299" s="154"/>
      <c r="AQ299" s="154"/>
      <c r="AR299" s="154"/>
      <c r="AS299" s="154"/>
      <c r="AT299" s="154"/>
      <c r="AU299" s="154"/>
      <c r="AV299" s="154"/>
      <c r="AW299" s="154"/>
      <c r="AX299" s="154"/>
      <c r="AY299" s="154"/>
      <c r="AZ299" s="154"/>
      <c r="BA299" s="154"/>
      <c r="BB299" s="154"/>
    </row>
    <row r="300" spans="1:87" s="527" customFormat="1" ht="15.75" customHeight="1" outlineLevel="1" x14ac:dyDescent="0.2">
      <c r="A300" s="1212"/>
      <c r="B300" s="1212" t="s">
        <v>4024</v>
      </c>
      <c r="C300" s="1219" t="s">
        <v>4512</v>
      </c>
      <c r="D300" s="1562" t="s">
        <v>4246</v>
      </c>
      <c r="E300" s="1559" t="str">
        <f>IF(NOT('12 Ext'!C31 = ""),'12 Ext'!C31,IF(COUNTIF('12 Ext'!C32:C37,"&gt;=0")=0,"", MIN(MAX(SUMPRODUCT('12 Ext'!C32:C37,'12 Ext'!$G32:$G37)*4/(SUM('12 Ext'!$G32:$G37) - SUMIF('12 Ext'!C32:C37,"X",'12 Ext'!$G32:$G37)),MAX('12 Ext'!AA32:AA37)),MIN('12 Ext'!AE32:AE37))))</f>
        <v/>
      </c>
      <c r="F300" s="1556" t="str">
        <f>IF(NOT('12 Ext'!D31 = ""),'12 Ext'!D31,IF(COUNTIF('12 Ext'!D32:D37,"&gt;=0")=0,"", MIN(MAX(SUMPRODUCT('12 Ext'!D32:D37,'12 Ext'!$G32:$G37)*4/(SUM('12 Ext'!$G32:$G37) - SUMIF('12 Ext'!D32:D37,"X",'12 Ext'!$G32:$G37)),MAX('12 Ext'!AB32:AB37)),MIN('12 Ext'!AF32:AF37))))</f>
        <v/>
      </c>
      <c r="G300" s="1556" t="str">
        <f>IF(NOT('12 Ext'!E31 = ""),'12 Ext'!E31,IF(COUNTIF('12 Ext'!E32:E37,"&gt;=0")=0,"", MIN(MAX(SUMPRODUCT('12 Ext'!E32:E37,'12 Ext'!$G32:$G37)*4/(SUM('12 Ext'!$G32:$G37) - SUMIF('12 Ext'!E32:E37,"X",'12 Ext'!$G32:$G37)),MAX('12 Ext'!AC32:AC37)),MIN('12 Ext'!AG32:AG37))))</f>
        <v/>
      </c>
      <c r="H300" s="1556" t="str">
        <f>IF(NOT('12 Ext'!F31 = ""),'12 Ext'!F31,IF(COUNTIF('12 Ext'!F32:F37,"&gt;=0")=0,"", MIN(MAX(SUMPRODUCT('12 Ext'!F32:F37,'12 Ext'!$G32:$G37)*4/(SUM('12 Ext'!$G32:$G37) - SUMIF('12 Ext'!F32:F37,"X",'12 Ext'!$G32:$G37)),MAX('12 Ext'!AD32:AD37)),MIN('12 Ext'!AH32:AH37))))</f>
        <v/>
      </c>
      <c r="I300" s="1557">
        <f t="shared" si="45"/>
        <v>1</v>
      </c>
      <c r="J300" s="1557">
        <f>IF(I300="","",IF(IndG=3,MAX(I300,Obj_Projets!J300),MAX(I300,Obj_PA!D300)))</f>
        <v>1</v>
      </c>
      <c r="K300" s="1560">
        <f t="shared" si="46"/>
        <v>1</v>
      </c>
      <c r="L300" s="1650" t="str">
        <f t="shared" si="47"/>
        <v xml:space="preserve"> n'a pas démarré</v>
      </c>
      <c r="M300" s="154"/>
      <c r="N300" s="154"/>
      <c r="O300" s="154"/>
      <c r="P300" s="154"/>
      <c r="Q300" s="154"/>
      <c r="R300" s="154"/>
      <c r="S300" s="154"/>
      <c r="T300" s="154"/>
      <c r="U300" s="154"/>
      <c r="V300" s="154"/>
      <c r="W300" s="154"/>
      <c r="X300" s="154"/>
      <c r="Y300" s="154"/>
      <c r="Z300" s="154"/>
      <c r="AA300" s="154"/>
      <c r="AB300" s="154"/>
      <c r="AC300" s="154"/>
      <c r="AD300" s="154"/>
      <c r="AE300" s="154"/>
      <c r="AF300" s="154"/>
      <c r="AG300" s="154"/>
      <c r="AH300" s="154"/>
      <c r="AI300" s="154"/>
      <c r="AJ300" s="154"/>
      <c r="AK300" s="154"/>
      <c r="AL300" s="154"/>
      <c r="AM300" s="154"/>
      <c r="AN300" s="154"/>
      <c r="AO300" s="154"/>
      <c r="AP300" s="154"/>
      <c r="AQ300" s="154"/>
      <c r="AR300" s="154"/>
      <c r="AS300" s="154"/>
      <c r="AT300" s="154"/>
      <c r="AU300" s="154"/>
      <c r="AV300" s="154"/>
      <c r="AW300" s="154"/>
      <c r="AX300" s="154"/>
      <c r="AY300" s="154"/>
      <c r="AZ300" s="154"/>
      <c r="BA300" s="154"/>
      <c r="BB300" s="154"/>
    </row>
    <row r="301" spans="1:87" s="527" customFormat="1" ht="15.75" customHeight="1" outlineLevel="1" x14ac:dyDescent="0.2">
      <c r="A301" s="1212"/>
      <c r="B301" s="1212" t="s">
        <v>4031</v>
      </c>
      <c r="C301" s="1219" t="s">
        <v>3716</v>
      </c>
      <c r="D301" s="1562" t="s">
        <v>4246</v>
      </c>
      <c r="E301" s="1559" t="str">
        <f>IF(NOT('12 Ext'!C38 = ""),'12 Ext'!C38,IF(COUNTIF('12 Ext'!C39:C44,"&gt;=0")=0,"", MIN(MAX(SUMPRODUCT('12 Ext'!C39:C44,'12 Ext'!$G39:$G44)*4/(SUM('12 Ext'!$G39:$G44) - SUMIF('12 Ext'!C39:C44,"X",'12 Ext'!$G39:$G44)),MAX('12 Ext'!AA39:AA44)),MIN('12 Ext'!AE39:AE44))))</f>
        <v/>
      </c>
      <c r="F301" s="1556" t="str">
        <f>IF(NOT('12 Ext'!D38 = ""),'12 Ext'!D38,IF(COUNTIF('12 Ext'!D39:D44,"&gt;=0")=0,"", MIN(MAX(SUMPRODUCT('12 Ext'!D39:D44,'12 Ext'!$G39:$G44)*4/(SUM('12 Ext'!$G39:$G44) - SUMIF('12 Ext'!D39:D44,"X",'12 Ext'!$G39:$G44)),MAX('12 Ext'!AB39:AB44)),MIN('12 Ext'!AF39:AF44))))</f>
        <v/>
      </c>
      <c r="G301" s="1556" t="str">
        <f>IF(NOT('12 Ext'!E38 = ""),'12 Ext'!E38,IF(COUNTIF('12 Ext'!E39:E44,"&gt;=0")=0,"", MIN(MAX(SUMPRODUCT('12 Ext'!E39:E44,'12 Ext'!$G39:$G44)*4/(SUM('12 Ext'!$G39:$G44) - SUMIF('12 Ext'!E39:E44,"X",'12 Ext'!$G39:$G44)),MAX('12 Ext'!AC39:AC44)),MIN('12 Ext'!AG39:AG44))))</f>
        <v/>
      </c>
      <c r="H301" s="1556" t="str">
        <f>IF(NOT('12 Ext'!F38 = ""),'12 Ext'!F38,IF(COUNTIF('12 Ext'!F39:F44,"&gt;=0")=0,"", MIN(MAX(SUMPRODUCT('12 Ext'!F39:F44,'12 Ext'!$G39:$G44)*4/(SUM('12 Ext'!$G39:$G44) - SUMIF('12 Ext'!F39:F44,"X",'12 Ext'!$G39:$G44)),MAX('12 Ext'!AD39:AD44)),MIN('12 Ext'!AH39:AH44))))</f>
        <v/>
      </c>
      <c r="I301" s="1557">
        <f t="shared" si="45"/>
        <v>1</v>
      </c>
      <c r="J301" s="1557">
        <f>IF(I301="","",IF(IndG=3,MAX(I301,Obj_Projets!J301),MAX(I301,Obj_PA!D301)))</f>
        <v>1</v>
      </c>
      <c r="K301" s="1560">
        <f t="shared" si="46"/>
        <v>1</v>
      </c>
      <c r="L301" s="1650" t="str">
        <f t="shared" si="47"/>
        <v xml:space="preserve"> n'a pas démarré</v>
      </c>
      <c r="M301" s="154"/>
      <c r="N301" s="154"/>
      <c r="O301" s="154"/>
      <c r="P301" s="154"/>
      <c r="Q301" s="154"/>
      <c r="R301" s="154"/>
      <c r="S301" s="154"/>
      <c r="T301" s="154"/>
      <c r="U301" s="154"/>
      <c r="V301" s="154"/>
      <c r="W301" s="154"/>
      <c r="X301" s="154"/>
      <c r="Y301" s="154"/>
      <c r="Z301" s="154"/>
      <c r="AA301" s="154"/>
      <c r="AB301" s="154"/>
      <c r="AC301" s="154"/>
      <c r="AD301" s="154"/>
      <c r="AE301" s="154"/>
      <c r="AF301" s="154"/>
      <c r="AG301" s="154"/>
      <c r="AH301" s="154"/>
      <c r="AI301" s="154"/>
      <c r="AJ301" s="154"/>
      <c r="AK301" s="154"/>
      <c r="AL301" s="154"/>
      <c r="AM301" s="154"/>
      <c r="AN301" s="154"/>
      <c r="AO301" s="154"/>
      <c r="AP301" s="154"/>
      <c r="AQ301" s="154"/>
      <c r="AR301" s="154"/>
      <c r="AS301" s="154"/>
      <c r="AT301" s="154"/>
      <c r="AU301" s="154"/>
      <c r="AV301" s="154"/>
      <c r="AW301" s="154"/>
      <c r="AX301" s="154"/>
      <c r="AY301" s="154"/>
      <c r="AZ301" s="154"/>
      <c r="BA301" s="154"/>
      <c r="BB301" s="154"/>
    </row>
    <row r="302" spans="1:87" s="527" customFormat="1" ht="15.75" customHeight="1" outlineLevel="1" x14ac:dyDescent="0.2">
      <c r="A302" s="1212"/>
      <c r="B302" s="1212" t="s">
        <v>4307</v>
      </c>
      <c r="C302" s="1219" t="s">
        <v>3946</v>
      </c>
      <c r="D302" s="1562" t="s">
        <v>4246</v>
      </c>
      <c r="E302" s="1559" t="str">
        <f>IF(NOT('12 Ext'!C45 = ""),'12 Ext'!C45,IF(COUNTIF('12 Ext'!C46:C51,"&gt;=0")=0,"", MIN(MAX(SUMPRODUCT('12 Ext'!C46:C51,'12 Ext'!$G46:$G51)*4/(SUM('12 Ext'!$G46:$G51) - SUMIF('12 Ext'!C46:C51,"X",'12 Ext'!$G46:$G51)),MAX('12 Ext'!AA46:AA51)),MIN('12 Ext'!AE46:AE51))))</f>
        <v/>
      </c>
      <c r="F302" s="1556" t="str">
        <f>IF(NOT('12 Ext'!D45 = ""),'12 Ext'!D45,IF(COUNTIF('12 Ext'!D46:D51,"&gt;=0")=0,"", MIN(MAX(SUMPRODUCT('12 Ext'!D46:D51,'12 Ext'!$G46:$G51)*4/(SUM('12 Ext'!$G46:$G51) - SUMIF('12 Ext'!D46:D51,"X",'12 Ext'!$G46:$G51)),MAX('12 Ext'!AB46:AB51)),MIN('12 Ext'!AF46:AF51))))</f>
        <v/>
      </c>
      <c r="G302" s="1556" t="str">
        <f>IF(NOT('12 Ext'!E45 = ""),'12 Ext'!E45,IF(COUNTIF('12 Ext'!E46:E51,"&gt;=0")=0,"", MIN(MAX(SUMPRODUCT('12 Ext'!E46:E51,'12 Ext'!$G46:$G51)*4/(SUM('12 Ext'!$G46:$G51) - SUMIF('12 Ext'!E46:E51,"X",'12 Ext'!$G46:$G51)),MAX('12 Ext'!AC46:AC51)),MIN('12 Ext'!AG46:AG51))))</f>
        <v/>
      </c>
      <c r="H302" s="1556" t="str">
        <f>IF(NOT('12 Ext'!F45 = ""),'12 Ext'!F45,IF(COUNTIF('12 Ext'!F46:F51,"&gt;=0")=0,"", MIN(MAX(SUMPRODUCT('12 Ext'!F46:F51,'12 Ext'!$G46:$G51)*4/(SUM('12 Ext'!$G46:$G51) - SUMIF('12 Ext'!F46:F51,"X",'12 Ext'!$G46:$G51)),MAX('12 Ext'!AD46:AD51)),MIN('12 Ext'!AH46:AH51))))</f>
        <v/>
      </c>
      <c r="I302" s="1557">
        <f t="shared" si="45"/>
        <v>1</v>
      </c>
      <c r="J302" s="1557">
        <f>IF(I302="","",IF(IndG=3,MAX(I302,Obj_Projets!J302),MAX(I302,Obj_PA!D302)))</f>
        <v>1</v>
      </c>
      <c r="K302" s="1560">
        <f t="shared" si="46"/>
        <v>1</v>
      </c>
      <c r="L302" s="1650" t="str">
        <f t="shared" si="47"/>
        <v xml:space="preserve"> n'a pas démarré</v>
      </c>
      <c r="M302" s="154"/>
      <c r="N302" s="154"/>
      <c r="O302" s="154"/>
      <c r="P302" s="154"/>
      <c r="Q302" s="154"/>
      <c r="R302" s="154"/>
      <c r="S302" s="154"/>
      <c r="T302" s="154"/>
      <c r="U302" s="154"/>
      <c r="V302" s="154"/>
      <c r="W302" s="154"/>
      <c r="X302" s="154"/>
      <c r="Y302" s="154"/>
      <c r="Z302" s="154"/>
      <c r="AA302" s="154"/>
      <c r="AB302" s="154"/>
      <c r="AC302" s="154"/>
      <c r="AD302" s="154"/>
      <c r="AE302" s="154"/>
      <c r="AF302" s="154"/>
      <c r="AG302" s="154"/>
      <c r="AH302" s="154"/>
      <c r="AI302" s="154"/>
      <c r="AJ302" s="154"/>
      <c r="AK302" s="154"/>
      <c r="AL302" s="154"/>
      <c r="AM302" s="154"/>
      <c r="AN302" s="154"/>
      <c r="AO302" s="154"/>
      <c r="AP302" s="154"/>
      <c r="AQ302" s="154"/>
      <c r="AR302" s="154"/>
      <c r="AS302" s="154"/>
      <c r="AT302" s="154"/>
      <c r="AU302" s="154"/>
      <c r="AV302" s="154"/>
      <c r="AW302" s="154"/>
      <c r="AX302" s="154"/>
      <c r="AY302" s="154"/>
      <c r="AZ302" s="154"/>
      <c r="BA302" s="154"/>
      <c r="BB302" s="154"/>
    </row>
    <row r="303" spans="1:87" s="527" customFormat="1" ht="15.75" customHeight="1" outlineLevel="1" x14ac:dyDescent="0.2">
      <c r="A303" s="1212"/>
      <c r="B303" s="1212" t="s">
        <v>2270</v>
      </c>
      <c r="C303" s="1219" t="s">
        <v>2277</v>
      </c>
      <c r="D303" s="1562" t="s">
        <v>4246</v>
      </c>
      <c r="E303" s="1559" t="str">
        <f>IF(NOT('12 Ext'!C52 = ""),'12 Ext'!C52,IF(COUNTIF('12 Ext'!C53:C58,"&gt;=0")=0,"", MIN(MAX(SUMPRODUCT('12 Ext'!C53:C58,'12 Ext'!$G53:$G58)*4/(SUM('12 Ext'!$G53:$G58) - SUMIF('12 Ext'!C53:C58,"X",'12 Ext'!$G53:$G58)),MAX('12 Ext'!AA53:AA58)),MIN('12 Ext'!AE53:AE58))))</f>
        <v/>
      </c>
      <c r="F303" s="1556" t="str">
        <f>IF(NOT('12 Ext'!D52 = ""),'12 Ext'!D52,IF(COUNTIF('12 Ext'!D53:D58,"&gt;=0")=0,"", MIN(MAX(SUMPRODUCT('12 Ext'!D53:D58,'12 Ext'!$G53:$G58)*4/(SUM('12 Ext'!$G53:$G58) - SUMIF('12 Ext'!D53:D58,"X",'12 Ext'!$G53:$G58)),MAX('12 Ext'!AB53:AB58)),MIN('12 Ext'!AF53:AF58))))</f>
        <v/>
      </c>
      <c r="G303" s="1556" t="str">
        <f>IF(NOT('12 Ext'!E52 = ""),'12 Ext'!E52,IF(COUNTIF('12 Ext'!E53:E58,"&gt;=0")=0,"", MIN(MAX(SUMPRODUCT('12 Ext'!E53:E58,'12 Ext'!$G53:$G58)*4/(SUM('12 Ext'!$G53:$G58) - SUMIF('12 Ext'!E53:E58,"X",'12 Ext'!$G53:$G58)),MAX('12 Ext'!AC53:AC58)),MIN('12 Ext'!AG53:AG58))))</f>
        <v/>
      </c>
      <c r="H303" s="1556" t="str">
        <f>IF(NOT('12 Ext'!F52 = ""),'12 Ext'!F52,IF(COUNTIF('12 Ext'!F53:F58,"&gt;=0")=0,"", MIN(MAX(SUMPRODUCT('12 Ext'!F53:F58,'12 Ext'!$G53:$G58)*4/(SUM('12 Ext'!$G53:$G58) - SUMIF('12 Ext'!F53:F58,"X",'12 Ext'!$G53:$G58)),MAX('12 Ext'!AD53:AD58)),MIN('12 Ext'!AH53:AH58))))</f>
        <v/>
      </c>
      <c r="I303" s="1557">
        <f t="shared" si="45"/>
        <v>1</v>
      </c>
      <c r="J303" s="1557">
        <f>IF(I303="","",IF(IndG=3,MAX(I303,Obj_Projets!J303),MAX(I303,Obj_PA!D303)))</f>
        <v>1</v>
      </c>
      <c r="K303" s="1560">
        <f t="shared" si="46"/>
        <v>1</v>
      </c>
      <c r="L303" s="1650" t="str">
        <f t="shared" si="47"/>
        <v xml:space="preserve"> n'a pas démarré</v>
      </c>
      <c r="M303" s="154"/>
      <c r="N303" s="154"/>
      <c r="O303" s="154"/>
      <c r="P303" s="154"/>
      <c r="Q303" s="154"/>
      <c r="R303" s="154"/>
      <c r="S303" s="154"/>
      <c r="T303" s="154"/>
      <c r="U303" s="154"/>
      <c r="V303" s="154"/>
      <c r="W303" s="154"/>
      <c r="X303" s="154"/>
      <c r="Y303" s="154"/>
      <c r="Z303" s="154"/>
      <c r="AA303" s="154"/>
      <c r="AB303" s="154"/>
      <c r="AC303" s="154"/>
      <c r="AD303" s="154"/>
      <c r="AE303" s="154"/>
      <c r="AF303" s="154"/>
      <c r="AG303" s="154"/>
      <c r="AH303" s="154"/>
      <c r="AI303" s="154"/>
      <c r="AJ303" s="154"/>
      <c r="AK303" s="154"/>
      <c r="AL303" s="154"/>
      <c r="AM303" s="154"/>
      <c r="AN303" s="154"/>
      <c r="AO303" s="154"/>
      <c r="AP303" s="154"/>
      <c r="AQ303" s="154"/>
      <c r="AR303" s="154"/>
      <c r="AS303" s="154"/>
      <c r="AT303" s="154"/>
      <c r="AU303" s="154"/>
      <c r="AV303" s="154"/>
      <c r="AW303" s="154"/>
      <c r="AX303" s="154"/>
      <c r="AY303" s="154"/>
      <c r="AZ303" s="154"/>
      <c r="BA303" s="154"/>
      <c r="BB303" s="154"/>
    </row>
    <row r="304" spans="1:87" s="527" customFormat="1" ht="15.75" customHeight="1" outlineLevel="1" x14ac:dyDescent="0.2">
      <c r="A304" s="1212"/>
      <c r="B304" s="1213" t="s">
        <v>2814</v>
      </c>
      <c r="C304" s="1214" t="s">
        <v>6721</v>
      </c>
      <c r="D304" s="1554"/>
      <c r="E304" s="1559"/>
      <c r="F304" s="1556"/>
      <c r="G304" s="1556"/>
      <c r="H304" s="1556"/>
      <c r="I304" s="1561"/>
      <c r="J304" s="1557"/>
      <c r="K304" s="1561"/>
      <c r="L304" s="1650"/>
      <c r="M304" s="154"/>
      <c r="N304" s="154"/>
      <c r="O304" s="154"/>
      <c r="P304" s="154"/>
      <c r="Q304" s="154"/>
      <c r="R304" s="154"/>
      <c r="S304" s="154"/>
      <c r="T304" s="154"/>
      <c r="U304" s="154"/>
      <c r="V304" s="154"/>
      <c r="W304" s="154"/>
      <c r="X304" s="154"/>
      <c r="Y304" s="154"/>
      <c r="Z304" s="154"/>
      <c r="AA304" s="154"/>
      <c r="AB304" s="154"/>
      <c r="AC304" s="154"/>
      <c r="AD304" s="154"/>
      <c r="AE304" s="154"/>
      <c r="AF304" s="154"/>
      <c r="AG304" s="154"/>
      <c r="AH304" s="154"/>
      <c r="AI304" s="154"/>
      <c r="AJ304" s="154"/>
      <c r="AK304" s="154"/>
      <c r="AL304" s="154"/>
      <c r="AM304" s="154"/>
      <c r="AN304" s="154"/>
      <c r="AO304" s="154"/>
      <c r="AP304" s="154"/>
      <c r="AQ304" s="154"/>
      <c r="AR304" s="154"/>
      <c r="AS304" s="154"/>
      <c r="AT304" s="154"/>
      <c r="AU304" s="154"/>
      <c r="AV304" s="154"/>
      <c r="AW304" s="154"/>
      <c r="AX304" s="154"/>
      <c r="AY304" s="154"/>
      <c r="AZ304" s="154"/>
      <c r="BA304" s="154"/>
      <c r="BB304" s="154"/>
    </row>
    <row r="305" spans="1:54" s="527" customFormat="1" ht="15.75" customHeight="1" outlineLevel="1" x14ac:dyDescent="0.2">
      <c r="A305" s="1212"/>
      <c r="B305" s="1212" t="s">
        <v>3268</v>
      </c>
      <c r="C305" s="1219" t="s">
        <v>3870</v>
      </c>
      <c r="D305" s="1562" t="s">
        <v>4246</v>
      </c>
      <c r="E305" s="1559" t="str">
        <f>IF(NOT('12 Ext'!C60 = ""),'12 Ext'!C60,IF(COUNTIF('12 Ext'!C61:C71,"&gt;=0")=0,"", MIN(MAX(SUMPRODUCT('12 Ext'!C61:C71,'12 Ext'!$G61:$G71)*4/(SUM('12 Ext'!$G61:$G71) - SUMIF('12 Ext'!C61:C71,"X",'12 Ext'!$G61:$G71)),MAX('12 Ext'!AA61:AA71)),MIN('12 Ext'!AE61:AE71))))</f>
        <v/>
      </c>
      <c r="F305" s="1556" t="str">
        <f>IF(NOT('12 Ext'!D60 = ""),'12 Ext'!D60,IF(COUNTIF('12 Ext'!D61:D71,"&gt;=0")=0,"", MIN(MAX(SUMPRODUCT('12 Ext'!D61:D71,'12 Ext'!$G61:$G71)*4/(SUM('12 Ext'!$G61:$G71) - SUMIF('12 Ext'!D61:D71,"X",'12 Ext'!$G61:$G71)),MAX('12 Ext'!AB61:AB71)),MIN('12 Ext'!AF61:AF71))))</f>
        <v/>
      </c>
      <c r="G305" s="1556" t="str">
        <f>IF(NOT('12 Ext'!E60 = ""),'12 Ext'!E60,IF(COUNTIF('12 Ext'!E61:E71,"&gt;=0")=0,"", MIN(MAX(SUMPRODUCT('12 Ext'!E61:E71,'12 Ext'!$G61:$G71)*4/(SUM('12 Ext'!$G61:$G71) - SUMIF('12 Ext'!E61:E71,"X",'12 Ext'!$G61:$G71)),MAX('12 Ext'!AC61:AC71)),MIN('12 Ext'!AG61:AG71))))</f>
        <v/>
      </c>
      <c r="H305" s="1556" t="str">
        <f>IF(NOT('12 Ext'!F60 = ""),'12 Ext'!F60,IF(COUNTIF('12 Ext'!F61:F71,"&gt;=0")=0,"", MIN(MAX(SUMPRODUCT('12 Ext'!F61:F71,'12 Ext'!$G61:$G71)*4/(SUM('12 Ext'!$G61:$G71) - SUMIF('12 Ext'!F61:F71,"X",'12 Ext'!$G61:$G71)),MAX('12 Ext'!AD61:AD71)),MIN('12 Ext'!AH61:AH71))))</f>
        <v/>
      </c>
      <c r="I305" s="1557">
        <f>IF(AND(OR(E305="X",E305=""),OR(F305="X",F305=""),OR(G305="X",G305=""),OR(H305="X",H305="")),1,ROUND(MIN(IF(OR(E305="",E305="X"),4,E305),IF(OR(F305="",F305="X"),4,F305),IF(OR(G305="",G305="X"),4,G305),IF(OR(H305="",H305="X"),4,H305)),0))</f>
        <v>1</v>
      </c>
      <c r="J305" s="1557">
        <f>IF(I305="","",IF(IndG=3,MAX(I305,Obj_Projets!J305),MAX(I305,Obj_PA!D305)))</f>
        <v>1</v>
      </c>
      <c r="K305" s="1560">
        <f>IF(IF(OR(IndG=3,IndG=4),MAX(I305,J305),I305)&lt;1,1,IF(OR(IndG=3,IndG=4),MAX(I305,J305),I305))</f>
        <v>1</v>
      </c>
      <c r="L305" s="1650" t="str">
        <f>IF(E305=""," n'a pas démarré","")</f>
        <v xml:space="preserve"> n'a pas démarré</v>
      </c>
      <c r="M305" s="154"/>
      <c r="N305" s="154"/>
      <c r="O305" s="154"/>
      <c r="P305" s="154"/>
      <c r="Q305" s="154"/>
      <c r="R305" s="154"/>
      <c r="S305" s="154"/>
      <c r="T305" s="154"/>
      <c r="U305" s="154"/>
      <c r="V305" s="154"/>
      <c r="W305" s="154"/>
      <c r="X305" s="154"/>
      <c r="Y305" s="154"/>
      <c r="Z305" s="154"/>
      <c r="AA305" s="154"/>
      <c r="AB305" s="154"/>
      <c r="AC305" s="154"/>
      <c r="AD305" s="154"/>
      <c r="AE305" s="154"/>
      <c r="AF305" s="154"/>
      <c r="AG305" s="154"/>
      <c r="AH305" s="154"/>
      <c r="AI305" s="154"/>
      <c r="AJ305" s="154"/>
      <c r="AK305" s="154"/>
      <c r="AL305" s="154"/>
      <c r="AM305" s="154"/>
      <c r="AN305" s="154"/>
      <c r="AO305" s="154"/>
      <c r="AP305" s="154"/>
      <c r="AQ305" s="154"/>
      <c r="AR305" s="154"/>
      <c r="AS305" s="154"/>
      <c r="AT305" s="154"/>
      <c r="AU305" s="154"/>
      <c r="AV305" s="154"/>
      <c r="AW305" s="154"/>
      <c r="AX305" s="154"/>
      <c r="AY305" s="154"/>
      <c r="AZ305" s="154"/>
      <c r="BA305" s="154"/>
      <c r="BB305" s="154"/>
    </row>
    <row r="306" spans="1:54" s="527" customFormat="1" ht="15.75" customHeight="1" outlineLevel="1" x14ac:dyDescent="0.2">
      <c r="A306" s="1212"/>
      <c r="B306" s="1212" t="s">
        <v>2987</v>
      </c>
      <c r="C306" s="1219" t="s">
        <v>1198</v>
      </c>
      <c r="D306" s="1562" t="s">
        <v>4246</v>
      </c>
      <c r="E306" s="1559" t="str">
        <f>IF(NOT('12 Ext'!C72 = ""),'12 Ext'!C72,IF(COUNTIF('12 Ext'!C73:C80,"&gt;=0")=0,"", MIN(MAX(SUMPRODUCT('12 Ext'!C73:C80,'12 Ext'!$G73:$G80)*4/(SUM('12 Ext'!$G73:$G80) - SUMIF('12 Ext'!C73:C80,"X",'12 Ext'!$G73:$G80)),MAX('12 Ext'!AA73:AA80)),MIN('12 Ext'!AE73:AE80))))</f>
        <v/>
      </c>
      <c r="F306" s="1556" t="str">
        <f>IF(NOT('12 Ext'!D72 = ""),'12 Ext'!D72,IF(COUNTIF('12 Ext'!D73:D80,"&gt;=0")=0,"", MIN(MAX(SUMPRODUCT('12 Ext'!D73:D80,'12 Ext'!$G73:$G80)*4/(SUM('12 Ext'!$G73:$G80) - SUMIF('12 Ext'!D73:D80,"X",'12 Ext'!$G73:$G80)),MAX('12 Ext'!AB73:AB80)),MIN('12 Ext'!AF73:AF80))))</f>
        <v/>
      </c>
      <c r="G306" s="1556" t="str">
        <f>IF(NOT('12 Ext'!E72 = ""),'12 Ext'!E72,IF(COUNTIF('12 Ext'!E73:E80,"&gt;=0")=0,"", MIN(MAX(SUMPRODUCT('12 Ext'!E73:E80,'12 Ext'!$G73:$G80)*4/(SUM('12 Ext'!$G73:$G80) - SUMIF('12 Ext'!E73:E80,"X",'12 Ext'!$G73:$G80)),MAX('12 Ext'!AC73:AC80)),MIN('12 Ext'!AG73:AG80))))</f>
        <v/>
      </c>
      <c r="H306" s="1556" t="str">
        <f>IF(NOT('12 Ext'!F72 = ""),'12 Ext'!F72,IF(COUNTIF('12 Ext'!F73:F80,"&gt;=0")=0,"", MIN(MAX(SUMPRODUCT('12 Ext'!F73:F80,'12 Ext'!$G73:$G80)*4/(SUM('12 Ext'!$G73:$G80) - SUMIF('12 Ext'!F73:F80,"X",'12 Ext'!$G73:$G80)),MAX('12 Ext'!AD73:AD80)),MIN('12 Ext'!AH73:AH80))))</f>
        <v/>
      </c>
      <c r="I306" s="1557">
        <f>IF(AND(OR(E306="X",E306=""),OR(F306="X",F306=""),OR(G306="X",G306=""),OR(H306="X",H306="")),1,ROUND(MIN(IF(OR(E306="",E306="X"),4,E306),IF(OR(F306="",F306="X"),4,F306),IF(OR(G306="",G306="X"),4,G306),IF(OR(H306="",H306="X"),4,H306)),0))</f>
        <v>1</v>
      </c>
      <c r="J306" s="1557">
        <f>IF(I306="","",IF(IndG=3,MAX(I306,Obj_Projets!J306),MAX(I306,Obj_PA!D306)))</f>
        <v>1</v>
      </c>
      <c r="K306" s="1560">
        <f>IF(IF(OR(IndG=3,IndG=4),MAX(I306,J306),I306)&lt;1,1,IF(OR(IndG=3,IndG=4),MAX(I306,J306),I306))</f>
        <v>1</v>
      </c>
      <c r="L306" s="1650" t="str">
        <f>IF(E306=""," n'a pas démarré","")</f>
        <v xml:space="preserve"> n'a pas démarré</v>
      </c>
      <c r="M306" s="154"/>
      <c r="N306" s="154"/>
      <c r="O306" s="154"/>
      <c r="P306" s="154"/>
      <c r="Q306" s="154"/>
      <c r="R306" s="154"/>
      <c r="S306" s="154"/>
      <c r="T306" s="154"/>
      <c r="U306" s="154"/>
      <c r="V306" s="154"/>
      <c r="W306" s="154"/>
      <c r="X306" s="154"/>
      <c r="Y306" s="154"/>
      <c r="Z306" s="154"/>
      <c r="AA306" s="154"/>
      <c r="AB306" s="154"/>
      <c r="AC306" s="154"/>
      <c r="AD306" s="154"/>
      <c r="AE306" s="154"/>
      <c r="AF306" s="154"/>
      <c r="AG306" s="154"/>
      <c r="AH306" s="154"/>
      <c r="AI306" s="154"/>
      <c r="AJ306" s="154"/>
      <c r="AK306" s="154"/>
      <c r="AL306" s="154"/>
      <c r="AM306" s="154"/>
      <c r="AN306" s="154"/>
      <c r="AO306" s="154"/>
      <c r="AP306" s="154"/>
      <c r="AQ306" s="154"/>
      <c r="AR306" s="154"/>
      <c r="AS306" s="154"/>
      <c r="AT306" s="154"/>
      <c r="AU306" s="154"/>
      <c r="AV306" s="154"/>
      <c r="AW306" s="154"/>
      <c r="AX306" s="154"/>
      <c r="AY306" s="154"/>
      <c r="AZ306" s="154"/>
      <c r="BA306" s="154"/>
      <c r="BB306" s="154"/>
    </row>
    <row r="307" spans="1:54" s="527" customFormat="1" ht="15.75" customHeight="1" outlineLevel="1" x14ac:dyDescent="0.2">
      <c r="A307" s="1212"/>
      <c r="B307" s="1213" t="s">
        <v>3979</v>
      </c>
      <c r="C307" s="1214" t="s">
        <v>5049</v>
      </c>
      <c r="D307" s="1554"/>
      <c r="E307" s="1559"/>
      <c r="F307" s="1556"/>
      <c r="G307" s="1556"/>
      <c r="H307" s="1556"/>
      <c r="I307" s="1561"/>
      <c r="J307" s="1557"/>
      <c r="K307" s="1561"/>
      <c r="L307" s="1650"/>
      <c r="M307" s="154"/>
      <c r="N307" s="154"/>
      <c r="O307" s="154"/>
      <c r="P307" s="154"/>
      <c r="Q307" s="154"/>
      <c r="R307" s="154"/>
      <c r="S307" s="154"/>
      <c r="T307" s="154"/>
      <c r="U307" s="154"/>
      <c r="V307" s="154"/>
      <c r="W307" s="154"/>
      <c r="X307" s="154"/>
      <c r="Y307" s="154"/>
      <c r="Z307" s="154"/>
      <c r="AA307" s="154"/>
      <c r="AB307" s="154"/>
      <c r="AC307" s="154"/>
      <c r="AD307" s="154"/>
      <c r="AE307" s="154"/>
      <c r="AF307" s="154"/>
      <c r="AG307" s="154"/>
      <c r="AH307" s="154"/>
      <c r="AI307" s="154"/>
      <c r="AJ307" s="154"/>
      <c r="AK307" s="154"/>
      <c r="AL307" s="154"/>
      <c r="AM307" s="154"/>
      <c r="AN307" s="154"/>
      <c r="AO307" s="154"/>
      <c r="AP307" s="154"/>
      <c r="AQ307" s="154"/>
      <c r="AR307" s="154"/>
      <c r="AS307" s="154"/>
      <c r="AT307" s="154"/>
      <c r="AU307" s="154"/>
      <c r="AV307" s="154"/>
      <c r="AW307" s="154"/>
      <c r="AX307" s="154"/>
      <c r="AY307" s="154"/>
      <c r="AZ307" s="154"/>
      <c r="BA307" s="154"/>
      <c r="BB307" s="154"/>
    </row>
    <row r="308" spans="1:54" s="527" customFormat="1" ht="15.75" customHeight="1" outlineLevel="1" x14ac:dyDescent="0.2">
      <c r="A308" s="1212"/>
      <c r="B308" s="1212" t="s">
        <v>3269</v>
      </c>
      <c r="C308" s="1219" t="s">
        <v>3034</v>
      </c>
      <c r="D308" s="1569" t="s">
        <v>2771</v>
      </c>
      <c r="E308" s="1559" t="str">
        <f>IF(NOT('12 Ext'!C82 = ""),'12 Ext'!C82,IF(COUNTIF('12 Ext'!C83:C90,"&gt;=0")=0,"", MIN(MAX(SUMPRODUCT('12 Ext'!C83:C90,'12 Ext'!$G83:$G90)*4/(SUM('12 Ext'!$G83:$G90) - SUMIF('12 Ext'!C83:C90,"X",'12 Ext'!$G83:$G90)),MAX('12 Ext'!AA83:AA90)),MIN('12 Ext'!AE83:AE90))))</f>
        <v/>
      </c>
      <c r="F308" s="1556" t="str">
        <f>IF(NOT('12 Ext'!D82 = ""),'12 Ext'!D82,IF(COUNTIF('12 Ext'!D83:D90,"&gt;=0")=0,"", MIN(MAX(SUMPRODUCT('12 Ext'!D83:D90,'12 Ext'!$G83:$G90)*4/(SUM('12 Ext'!$G83:$G90) - SUMIF('12 Ext'!D83:D90,"X",'12 Ext'!$G83:$G90)),MAX('12 Ext'!AB83:AB90)),MIN('12 Ext'!AF83:AF90))))</f>
        <v/>
      </c>
      <c r="G308" s="1556" t="str">
        <f>IF(NOT('12 Ext'!E82 = ""),'12 Ext'!E82,IF(COUNTIF('12 Ext'!E83:E90,"&gt;=0")=0,"", MIN(MAX(SUMPRODUCT('12 Ext'!E83:E90,'12 Ext'!$G83:$G90)*4/(SUM('12 Ext'!$G83:$G90) - SUMIF('12 Ext'!E83:E90,"X",'12 Ext'!$G83:$G90)),MAX('12 Ext'!AC83:AC90)),MIN('12 Ext'!AG83:AG90))))</f>
        <v/>
      </c>
      <c r="H308" s="1556" t="str">
        <f>IF(NOT('12 Ext'!F82 = ""),'12 Ext'!F82,IF(COUNTIF('12 Ext'!F83:F90,"&gt;=0")=0,"", MIN(MAX(SUMPRODUCT('12 Ext'!F83:F90,'12 Ext'!$G83:$G90)*4/(SUM('12 Ext'!$G83:$G90) - SUMIF('12 Ext'!F83:F90,"X",'12 Ext'!$G83:$G90)),MAX('12 Ext'!AD83:AD90)),MIN('12 Ext'!AH83:AH90))))</f>
        <v/>
      </c>
      <c r="I308" s="1557">
        <f>IF(AND(OR(E308="X",E308=""),OR(F308="X",F308=""),OR(G308="X",G308=""),OR(H308="X",H308="")),1,ROUND(MIN(IF(OR(E308="",E308="X"),4,E308),IF(OR(F308="",F308="X"),4,F308),IF(OR(G308="",G308="X"),4,G308),IF(OR(H308="",H308="X"),4,H308)),0))</f>
        <v>1</v>
      </c>
      <c r="J308" s="1557">
        <f>IF(I308="","",IF(IndG=3,MAX(I308,Obj_Projets!J308),MAX(I308,Obj_PA!D308)))</f>
        <v>1</v>
      </c>
      <c r="K308" s="1560">
        <f>IF(IF(OR(IndG=3,IndG=4),MAX(I308,J308),I308)&lt;1,1,IF(OR(IndG=3,IndG=4),MAX(I308,J308),I308))</f>
        <v>1</v>
      </c>
      <c r="L308" s="1650" t="str">
        <f>IF(E308=""," n'a pas démarré","")</f>
        <v xml:space="preserve"> n'a pas démarré</v>
      </c>
      <c r="M308" s="154"/>
      <c r="N308" s="154"/>
      <c r="O308" s="154"/>
      <c r="P308" s="154"/>
      <c r="Q308" s="154"/>
      <c r="R308" s="154"/>
      <c r="S308" s="154"/>
      <c r="T308" s="154"/>
      <c r="U308" s="154"/>
      <c r="V308" s="154"/>
      <c r="W308" s="154"/>
      <c r="X308" s="154"/>
      <c r="Y308" s="154"/>
      <c r="Z308" s="154"/>
      <c r="AA308" s="154"/>
      <c r="AB308" s="154"/>
      <c r="AC308" s="154"/>
      <c r="AD308" s="154"/>
      <c r="AE308" s="154"/>
      <c r="AF308" s="154"/>
      <c r="AG308" s="154"/>
      <c r="AH308" s="154"/>
      <c r="AI308" s="154"/>
      <c r="AJ308" s="154"/>
      <c r="AK308" s="154"/>
      <c r="AL308" s="154"/>
      <c r="AM308" s="154"/>
      <c r="AN308" s="154"/>
      <c r="AO308" s="154"/>
      <c r="AP308" s="154"/>
      <c r="AQ308" s="154"/>
      <c r="AR308" s="154"/>
      <c r="AS308" s="154"/>
      <c r="AT308" s="154"/>
      <c r="AU308" s="154"/>
      <c r="AV308" s="154"/>
      <c r="AW308" s="154"/>
      <c r="AX308" s="154"/>
      <c r="AY308" s="154"/>
      <c r="AZ308" s="154"/>
      <c r="BA308" s="154"/>
      <c r="BB308" s="154"/>
    </row>
    <row r="309" spans="1:54" s="527" customFormat="1" ht="15.75" customHeight="1" outlineLevel="1" x14ac:dyDescent="0.2">
      <c r="A309" s="1212"/>
      <c r="B309" s="1212" t="s">
        <v>2997</v>
      </c>
      <c r="C309" s="1219" t="s">
        <v>6333</v>
      </c>
      <c r="D309" s="1569" t="s">
        <v>2771</v>
      </c>
      <c r="E309" s="1559" t="str">
        <f>IF(NOT('12 Ext'!C91 = ""),'12 Ext'!C91,IF(COUNTIF('12 Ext'!C92:C99,"&gt;=0")=0,"", MIN(MAX(SUMPRODUCT('12 Ext'!C92:C99,'12 Ext'!$G92:$G99)*4/(SUM('12 Ext'!$G92:$G99) - SUMIF('12 Ext'!C92:C99,"X",'12 Ext'!$G92:$G99)),MAX('12 Ext'!AA92:AA99)),MIN('12 Ext'!AE92:AE99))))</f>
        <v/>
      </c>
      <c r="F309" s="1556" t="str">
        <f>IF(NOT('12 Ext'!D91 = ""),'12 Ext'!D91,IF(COUNTIF('12 Ext'!D92:D99,"&gt;=0")=0,"", MIN(MAX(SUMPRODUCT('12 Ext'!D92:D99,'12 Ext'!$G92:$G99)*4/(SUM('12 Ext'!$G92:$G99) - SUMIF('12 Ext'!D92:D99,"X",'12 Ext'!$G92:$G99)),MAX('12 Ext'!AB92:AB99)),MIN('12 Ext'!AF92:AF99))))</f>
        <v/>
      </c>
      <c r="G309" s="1556" t="str">
        <f>IF(NOT('12 Ext'!E91 = ""),'12 Ext'!E91,IF(COUNTIF('12 Ext'!E92:E99,"&gt;=0")=0,"", MIN(MAX(SUMPRODUCT('12 Ext'!E92:E99,'12 Ext'!$G92:$G99)*4/(SUM('12 Ext'!$G92:$G99) - SUMIF('12 Ext'!E92:E99,"X",'12 Ext'!$G92:$G99)),MAX('12 Ext'!AC92:AC99)),MIN('12 Ext'!AG92:AG99))))</f>
        <v/>
      </c>
      <c r="H309" s="1556" t="str">
        <f>IF(NOT('12 Ext'!F91 = ""),'12 Ext'!F91,IF(COUNTIF('12 Ext'!F92:F99,"&gt;=0")=0,"", MIN(MAX(SUMPRODUCT('12 Ext'!F92:F99,'12 Ext'!$G92:$G99)*4/(SUM('12 Ext'!$G92:$G99) - SUMIF('12 Ext'!F92:F99,"X",'12 Ext'!$G92:$G99)),MAX('12 Ext'!AD92:AD99)),MIN('12 Ext'!AH92:AH99))))</f>
        <v/>
      </c>
      <c r="I309" s="1557">
        <f>IF(AND(OR(E309="X",E309=""),OR(F309="X",F309=""),OR(G309="X",G309=""),OR(H309="X",H309="")),1,ROUND(MIN(IF(OR(E309="",E309="X"),4,E309),IF(OR(F309="",F309="X"),4,F309),IF(OR(G309="",G309="X"),4,G309),IF(OR(H309="",H309="X"),4,H309)),0))</f>
        <v>1</v>
      </c>
      <c r="J309" s="1557">
        <f>IF(I309="","",IF(IndG=3,MAX(I309,Obj_Projets!J309),MAX(I309,Obj_PA!D309)))</f>
        <v>1</v>
      </c>
      <c r="K309" s="1560">
        <f>IF(IF(OR(IndG=3,IndG=4),MAX(I309,J309),I309)&lt;1,1,IF(OR(IndG=3,IndG=4),MAX(I309,J309),I309))</f>
        <v>1</v>
      </c>
      <c r="L309" s="1650" t="str">
        <f>IF(E309=""," n'a pas démarré","")</f>
        <v xml:space="preserve"> n'a pas démarré</v>
      </c>
      <c r="M309" s="154"/>
      <c r="N309" s="154"/>
      <c r="O309" s="154"/>
      <c r="P309" s="154"/>
      <c r="Q309" s="154"/>
      <c r="R309" s="154"/>
      <c r="S309" s="154"/>
      <c r="T309" s="154"/>
      <c r="U309" s="154"/>
      <c r="V309" s="154"/>
      <c r="W309" s="154"/>
      <c r="X309" s="154"/>
      <c r="Y309" s="154"/>
      <c r="Z309" s="154"/>
      <c r="AA309" s="154"/>
      <c r="AB309" s="154"/>
      <c r="AC309" s="154"/>
      <c r="AD309" s="154"/>
      <c r="AE309" s="154"/>
      <c r="AF309" s="154"/>
      <c r="AG309" s="154"/>
      <c r="AH309" s="154"/>
      <c r="AI309" s="154"/>
      <c r="AJ309" s="154"/>
      <c r="AK309" s="154"/>
      <c r="AL309" s="154"/>
      <c r="AM309" s="154"/>
      <c r="AN309" s="154"/>
      <c r="AO309" s="154"/>
      <c r="AP309" s="154"/>
      <c r="AQ309" s="154"/>
      <c r="AR309" s="154"/>
      <c r="AS309" s="154"/>
      <c r="AT309" s="154"/>
      <c r="AU309" s="154"/>
      <c r="AV309" s="154"/>
      <c r="AW309" s="154"/>
      <c r="AX309" s="154"/>
      <c r="AY309" s="154"/>
      <c r="AZ309" s="154"/>
      <c r="BA309" s="154"/>
      <c r="BB309" s="154"/>
    </row>
    <row r="310" spans="1:54" s="527" customFormat="1" ht="15.75" customHeight="1" outlineLevel="1" x14ac:dyDescent="0.2">
      <c r="A310" s="1212"/>
      <c r="B310" s="1212" t="s">
        <v>4882</v>
      </c>
      <c r="C310" s="1219" t="s">
        <v>1410</v>
      </c>
      <c r="D310" s="1562" t="s">
        <v>2769</v>
      </c>
      <c r="E310" s="1571" t="str">
        <f>IF(NOT('12 Ext'!C100 = ""),'12 Ext'!C100,IF(COUNTIF('12 Ext'!C101:C107,"&gt;=0")=0,"", MIN(MAX(SUMPRODUCT('12 Ext'!C101:C107,'12 Ext'!$G101:$G107)*4/(SUM('12 Ext'!$G101:$G107) - SUMIF('12 Ext'!C101:C107,"X",'12 Ext'!$G101:$G107)),MAX('12 Ext'!AA101:AA107)),MIN('12 Ext'!AE101:AE107))))</f>
        <v/>
      </c>
      <c r="F310" s="1572" t="str">
        <f>IF(NOT('12 Ext'!D100 = ""),'12 Ext'!D100,IF(COUNTIF('12 Ext'!D101:D107,"&gt;=0")=0,"", MIN(MAX(SUMPRODUCT('12 Ext'!D101:D107,'12 Ext'!$G101:$G107)*4/(SUM('12 Ext'!$G101:$G107) - SUMIF('12 Ext'!D101:D107,"X",'12 Ext'!$G101:$G107)),MAX('12 Ext'!AB101:AB107)),MIN('12 Ext'!AF101:AF107))))</f>
        <v/>
      </c>
      <c r="G310" s="1572" t="str">
        <f>IF(NOT('12 Ext'!E100 = ""),'12 Ext'!E100,IF(COUNTIF('12 Ext'!E101:E107,"&gt;=0")=0,"", MIN(MAX(SUMPRODUCT('12 Ext'!E101:E107,'12 Ext'!$G101:$G107)*4/(SUM('12 Ext'!$G101:$G107) - SUMIF('12 Ext'!E101:E107,"X",'12 Ext'!$G101:$G107)),MAX('12 Ext'!AC101:AC107)),MIN('12 Ext'!AG101:AG107))))</f>
        <v/>
      </c>
      <c r="H310" s="1572" t="str">
        <f>IF(NOT('12 Ext'!F100 = ""),'12 Ext'!F100,IF(COUNTIF('12 Ext'!F101:F107,"&gt;=0")=0,"", MIN(MAX(SUMPRODUCT('12 Ext'!F101:F107,'12 Ext'!$G101:$G107)*4/(SUM('12 Ext'!$G101:$G107) - SUMIF('12 Ext'!F101:F107,"X",'12 Ext'!$G101:$G107)),MAX('12 Ext'!AD101:AD107)),MIN('12 Ext'!AH101:AH107))))</f>
        <v/>
      </c>
      <c r="I310" s="1557">
        <f>IF(AND(OR(E310="X",E310=""),OR(F310="X",F310=""),OR(G310="X",G310=""),OR(H310="X",H310="")),1,ROUND(MIN(IF(OR(E310="",E310="X"),4,E310),IF(OR(F310="",F310="X"),4,F310),IF(OR(G310="",G310="X"),4,G310),IF(OR(H310="",H310="X"),4,H310)),0))</f>
        <v>1</v>
      </c>
      <c r="J310" s="1557">
        <f>IF(I310="","",IF(IndG=3,MAX(I310,Obj_Projets!J310),MAX(I310,Obj_PA!D310)))</f>
        <v>1</v>
      </c>
      <c r="K310" s="1560">
        <f>IF(IF(OR(IndG=3,IndG=4),MAX(I310,J310),I310)&lt;1,1,IF(OR(IndG=3,IndG=4),MAX(I310,J310),I310))</f>
        <v>1</v>
      </c>
      <c r="L310" s="1650" t="str">
        <f>IF(E310=""," n'a pas démarré","")</f>
        <v xml:space="preserve"> n'a pas démarré</v>
      </c>
      <c r="M310" s="154"/>
      <c r="N310" s="154"/>
      <c r="O310" s="154"/>
      <c r="P310" s="154"/>
      <c r="Q310" s="154"/>
      <c r="R310" s="154"/>
      <c r="S310" s="154"/>
      <c r="T310" s="154"/>
      <c r="U310" s="154"/>
      <c r="V310" s="154"/>
      <c r="W310" s="154"/>
      <c r="X310" s="154"/>
      <c r="Y310" s="154"/>
      <c r="Z310" s="154"/>
      <c r="AA310" s="154"/>
      <c r="AB310" s="154"/>
      <c r="AC310" s="154"/>
      <c r="AD310" s="154"/>
      <c r="AE310" s="154"/>
      <c r="AF310" s="154"/>
      <c r="AG310" s="154"/>
      <c r="AH310" s="154"/>
      <c r="AI310" s="154"/>
      <c r="AJ310" s="154"/>
      <c r="AK310" s="154"/>
      <c r="AL310" s="154"/>
      <c r="AM310" s="154"/>
      <c r="AN310" s="154"/>
      <c r="AO310" s="154"/>
      <c r="AP310" s="154"/>
      <c r="AQ310" s="154"/>
      <c r="AR310" s="154"/>
      <c r="AS310" s="154"/>
      <c r="AT310" s="154"/>
      <c r="AU310" s="154"/>
      <c r="AV310" s="154"/>
      <c r="AW310" s="154"/>
      <c r="AX310" s="154"/>
      <c r="AY310" s="154"/>
      <c r="AZ310" s="154"/>
      <c r="BA310" s="154"/>
      <c r="BB310" s="154"/>
    </row>
    <row r="311" spans="1:54" s="527" customFormat="1" ht="15.75" customHeight="1" outlineLevel="1" x14ac:dyDescent="0.2">
      <c r="A311" s="1212"/>
      <c r="B311" s="1212" t="s">
        <v>4890</v>
      </c>
      <c r="C311" s="1219" t="s">
        <v>5966</v>
      </c>
      <c r="D311" s="1562" t="s">
        <v>2767</v>
      </c>
      <c r="E311" s="1559" t="str">
        <f>IF(NOT('12 Ext'!C108 = ""),'12 Ext'!C108,IF(COUNTIF('12 Ext'!C109:C122,"&gt;=0")=0,"", MIN(MAX(SUMPRODUCT('12 Ext'!C109:C122,'12 Ext'!$G109:$G122)*4/(SUM('12 Ext'!$G109:$G122) - SUMIF('12 Ext'!C109:C122,"X",'12 Ext'!$G109:$G122)),MAX('12 Ext'!AA109:AA122)),MIN('12 Ext'!AE109:AE122))))</f>
        <v/>
      </c>
      <c r="F311" s="1556" t="str">
        <f>IF(NOT('12 Ext'!D108 = ""),'12 Ext'!D108,IF(COUNTIF('12 Ext'!D109:D122,"&gt;=0")=0,"", MIN(MAX(SUMPRODUCT('12 Ext'!D109:D122,'12 Ext'!$G109:$G122)*4/(SUM('12 Ext'!$G109:$G122) - SUMIF('12 Ext'!D109:D122,"X",'12 Ext'!$G109:$G122)),MAX('12 Ext'!AB109:AB122)),MIN('12 Ext'!AF109:AF122))))</f>
        <v/>
      </c>
      <c r="G311" s="1556" t="str">
        <f>IF(NOT('12 Ext'!E108 = ""),'12 Ext'!E108,IF(COUNTIF('12 Ext'!E109:E122,"&gt;=0")=0,"", MIN(MAX(SUMPRODUCT('12 Ext'!E109:E122,'12 Ext'!$G109:$G122)*4/(SUM('12 Ext'!$G109:$G122) - SUMIF('12 Ext'!E109:E122,"X",'12 Ext'!$G109:$G122)),MAX('12 Ext'!AC109:AC122)),MIN('12 Ext'!AG109:AG122))))</f>
        <v/>
      </c>
      <c r="H311" s="1556" t="str">
        <f>IF(NOT('12 Ext'!F108 = ""),'12 Ext'!F108,IF(COUNTIF('12 Ext'!F109:F122,"&gt;=0")=0,"", MIN(MAX(SUMPRODUCT('12 Ext'!F109:F122,'12 Ext'!$G109:$G122)*4/(SUM('12 Ext'!$G109:$G122) - SUMIF('12 Ext'!F109:F122,"X",'12 Ext'!$G109:$G122)),MAX('12 Ext'!AD109:AD122)),MIN('12 Ext'!AH109:AH122))))</f>
        <v/>
      </c>
      <c r="I311" s="1557">
        <f>IF(AND(OR(E311="X",E311=""),OR(F311="X",F311=""),OR(G311="X",G311=""),OR(H311="X",H311="")),1,ROUND(MIN(IF(OR(E311="",E311="X"),4,E311),IF(OR(F311="",F311="X"),4,F311),IF(OR(G311="",G311="X"),4,G311),IF(OR(H311="",H311="X"),4,H311)),0))</f>
        <v>1</v>
      </c>
      <c r="J311" s="1557">
        <f>IF(I311="","",IF(IndG=3,MAX(I311,Obj_Projets!J311),MAX(I311,Obj_PA!D311)))</f>
        <v>1</v>
      </c>
      <c r="K311" s="1560">
        <f>IF(IF(OR(IndG=3,IndG=4),MAX(I311,J311),I311)&lt;1,1,IF(OR(IndG=3,IndG=4),MAX(I311,J311),I311))</f>
        <v>1</v>
      </c>
      <c r="L311" s="1650" t="str">
        <f>IF(E311=""," n'a pas démarré","")</f>
        <v xml:space="preserve"> n'a pas démarré</v>
      </c>
      <c r="M311" s="154"/>
      <c r="N311" s="154"/>
      <c r="O311" s="154"/>
      <c r="P311" s="154"/>
      <c r="Q311" s="154"/>
      <c r="R311" s="154"/>
      <c r="S311" s="154"/>
      <c r="T311" s="154"/>
      <c r="U311" s="154"/>
      <c r="V311" s="154"/>
      <c r="W311" s="154"/>
      <c r="X311" s="154"/>
      <c r="Y311" s="154"/>
      <c r="Z311" s="154"/>
      <c r="AA311" s="154"/>
      <c r="AB311" s="154"/>
      <c r="AC311" s="154"/>
      <c r="AD311" s="154"/>
      <c r="AE311" s="154"/>
      <c r="AF311" s="154"/>
      <c r="AG311" s="154"/>
      <c r="AH311" s="154"/>
      <c r="AI311" s="154"/>
      <c r="AJ311" s="154"/>
      <c r="AK311" s="154"/>
      <c r="AL311" s="154"/>
      <c r="AM311" s="154"/>
      <c r="AN311" s="154"/>
      <c r="AO311" s="154"/>
      <c r="AP311" s="154"/>
      <c r="AQ311" s="154"/>
      <c r="AR311" s="154"/>
      <c r="AS311" s="154"/>
      <c r="AT311" s="154"/>
      <c r="AU311" s="154"/>
      <c r="AV311" s="154"/>
      <c r="AW311" s="154"/>
      <c r="AX311" s="154"/>
      <c r="AY311" s="154"/>
      <c r="AZ311" s="154"/>
      <c r="BA311" s="154"/>
      <c r="BB311" s="154"/>
    </row>
    <row r="312" spans="1:54" s="527" customFormat="1" ht="15.75" customHeight="1" outlineLevel="1" x14ac:dyDescent="0.2">
      <c r="A312" s="1212"/>
      <c r="B312" s="1212" t="s">
        <v>6248</v>
      </c>
      <c r="C312" s="1219" t="s">
        <v>4076</v>
      </c>
      <c r="D312" s="1569" t="s">
        <v>2771</v>
      </c>
      <c r="E312" s="1559" t="str">
        <f>IF(NOT('12 Ext'!C123 = ""),'12 Ext'!C123,IF(COUNTIF('12 Ext'!C124:C128,"&gt;=0")=0,"", MIN(MAX(SUMPRODUCT('12 Ext'!C124:C128,'12 Ext'!$G124:$G128)*4/(SUM('12 Ext'!$G124:$G128) - SUMIF('12 Ext'!C124:C128,"X",'12 Ext'!$G124:$G128)),MAX('12 Ext'!AA124:AA128)),MIN('12 Ext'!AE124:AE128))))</f>
        <v/>
      </c>
      <c r="F312" s="1556" t="str">
        <f>IF(NOT('12 Ext'!D123 = ""),'12 Ext'!D123,IF(COUNTIF('12 Ext'!D124:D128,"&gt;=0")=0,"", MIN(MAX(SUMPRODUCT('12 Ext'!D124:D128,'12 Ext'!$G124:$G128)*4/(SUM('12 Ext'!$G124:$G128) - SUMIF('12 Ext'!D124:D128,"X",'12 Ext'!$G124:$G128)),MAX('12 Ext'!AB124:AB128)),MIN('12 Ext'!AF124:AF128))))</f>
        <v/>
      </c>
      <c r="G312" s="1556" t="str">
        <f>IF(NOT('12 Ext'!E123 = ""),'12 Ext'!E123,IF(COUNTIF('12 Ext'!E124:E128,"&gt;=0")=0,"", MIN(MAX(SUMPRODUCT('12 Ext'!E124:E128,'12 Ext'!$G124:$G128)*4/(SUM('12 Ext'!$G124:$G128) - SUMIF('12 Ext'!E124:E128,"X",'12 Ext'!$G124:$G128)),MAX('12 Ext'!AC124:AC128)),MIN('12 Ext'!AG124:AG128))))</f>
        <v/>
      </c>
      <c r="H312" s="1556" t="str">
        <f>IF(NOT('12 Ext'!F123 = ""),'12 Ext'!F123,IF(COUNTIF('12 Ext'!F124:F128,"&gt;=0")=0,"", MIN(MAX(SUMPRODUCT('12 Ext'!F124:F128,'12 Ext'!$G124:$G128)*4/(SUM('12 Ext'!$G124:$G128) - SUMIF('12 Ext'!F124:F128,"X",'12 Ext'!$G124:$G128)),MAX('12 Ext'!AD124:AD128)),MIN('12 Ext'!AH124:AH128))))</f>
        <v/>
      </c>
      <c r="I312" s="1557">
        <f>IF(AND(OR(E312="X",E312=""),OR(F312="X",F312=""),OR(G312="X",G312=""),OR(H312="X",H312="")),1,ROUND(MIN(IF(OR(E312="",E312="X"),4,E312),IF(OR(F312="",F312="X"),4,F312),IF(OR(G312="",G312="X"),4,G312),IF(OR(H312="",H312="X"),4,H312)),0))</f>
        <v>1</v>
      </c>
      <c r="J312" s="1557">
        <f>IF(I312="","",IF(IndG=3,MAX(I312,Obj_Projets!J312),MAX(I312,Obj_PA!D312)))</f>
        <v>1</v>
      </c>
      <c r="K312" s="1560">
        <f>IF(IF(OR(IndG=3,IndG=4),MAX(I312,J312),I312)&lt;1,1,IF(OR(IndG=3,IndG=4),MAX(I312,J312),I312))</f>
        <v>1</v>
      </c>
      <c r="L312" s="1650" t="str">
        <f>IF(E312=""," n'a pas démarré","")</f>
        <v xml:space="preserve"> n'a pas démarré</v>
      </c>
      <c r="M312" s="154"/>
      <c r="N312" s="154"/>
      <c r="O312" s="154"/>
      <c r="P312" s="154"/>
      <c r="Q312" s="154"/>
      <c r="R312" s="154"/>
      <c r="S312" s="154"/>
      <c r="T312" s="154"/>
      <c r="U312" s="154"/>
      <c r="V312" s="154"/>
      <c r="W312" s="154"/>
      <c r="X312" s="154"/>
      <c r="Y312" s="154"/>
      <c r="Z312" s="154"/>
      <c r="AA312" s="154"/>
      <c r="AB312" s="154"/>
      <c r="AC312" s="154"/>
      <c r="AD312" s="154"/>
      <c r="AE312" s="154"/>
      <c r="AF312" s="154"/>
      <c r="AG312" s="154"/>
      <c r="AH312" s="154"/>
      <c r="AI312" s="154"/>
      <c r="AJ312" s="154"/>
      <c r="AK312" s="154"/>
      <c r="AL312" s="154"/>
      <c r="AM312" s="154"/>
      <c r="AN312" s="154"/>
      <c r="AO312" s="154"/>
      <c r="AP312" s="154"/>
      <c r="AQ312" s="154"/>
      <c r="AR312" s="154"/>
      <c r="AS312" s="154"/>
      <c r="AT312" s="154"/>
      <c r="AU312" s="154"/>
      <c r="AV312" s="154"/>
      <c r="AW312" s="154"/>
      <c r="AX312" s="154"/>
      <c r="AY312" s="154"/>
      <c r="AZ312" s="154"/>
      <c r="BA312" s="154"/>
      <c r="BB312" s="154"/>
    </row>
    <row r="313" spans="1:54" s="527" customFormat="1" ht="15.75" customHeight="1" outlineLevel="1" x14ac:dyDescent="0.2">
      <c r="A313" s="1212"/>
      <c r="B313" s="1213" t="s">
        <v>6445</v>
      </c>
      <c r="C313" s="1214" t="s">
        <v>2028</v>
      </c>
      <c r="D313" s="1554"/>
      <c r="E313" s="1559"/>
      <c r="F313" s="1556"/>
      <c r="G313" s="1556"/>
      <c r="H313" s="1556"/>
      <c r="I313" s="1561"/>
      <c r="J313" s="1557"/>
      <c r="K313" s="1561"/>
      <c r="L313" s="1650"/>
      <c r="M313" s="154"/>
      <c r="N313" s="154"/>
      <c r="O313" s="154"/>
      <c r="P313" s="154"/>
      <c r="Q313" s="154"/>
      <c r="R313" s="154"/>
      <c r="S313" s="154"/>
      <c r="T313" s="154"/>
      <c r="U313" s="154"/>
      <c r="V313" s="154"/>
      <c r="W313" s="154"/>
      <c r="X313" s="154"/>
      <c r="Y313" s="154"/>
      <c r="Z313" s="154"/>
      <c r="AA313" s="154"/>
      <c r="AB313" s="154"/>
      <c r="AC313" s="154"/>
      <c r="AD313" s="154"/>
      <c r="AE313" s="154"/>
      <c r="AF313" s="154"/>
      <c r="AG313" s="154"/>
      <c r="AH313" s="154"/>
      <c r="AI313" s="154"/>
      <c r="AJ313" s="154"/>
      <c r="AK313" s="154"/>
      <c r="AL313" s="154"/>
      <c r="AM313" s="154"/>
      <c r="AN313" s="154"/>
      <c r="AO313" s="154"/>
      <c r="AP313" s="154"/>
      <c r="AQ313" s="154"/>
      <c r="AR313" s="154"/>
      <c r="AS313" s="154"/>
      <c r="AT313" s="154"/>
      <c r="AU313" s="154"/>
      <c r="AV313" s="154"/>
      <c r="AW313" s="154"/>
      <c r="AX313" s="154"/>
      <c r="AY313" s="154"/>
      <c r="AZ313" s="154"/>
      <c r="BA313" s="154"/>
      <c r="BB313" s="154"/>
    </row>
    <row r="314" spans="1:54" s="527" customFormat="1" ht="15.75" customHeight="1" outlineLevel="1" x14ac:dyDescent="0.2">
      <c r="A314" s="1212"/>
      <c r="B314" s="1212" t="s">
        <v>2047</v>
      </c>
      <c r="C314" s="1219" t="s">
        <v>2040</v>
      </c>
      <c r="D314" s="1570" t="s">
        <v>4246</v>
      </c>
      <c r="E314" s="1559" t="str">
        <f>IF(NOT('12 Ext'!C130 = ""),'12 Ext'!C130,IF(COUNTIF('12 Ext'!C131:C136,"&gt;=0")=0,"", MIN(MAX(SUMPRODUCT('12 Ext'!C131:C136,'12 Ext'!$G131:$G136)*4/(SUM('12 Ext'!$G131:$G136) - SUMIF('12 Ext'!C131:C136,"X",'12 Ext'!$G131:$G136)),MAX('12 Ext'!AA131:AA136)),MIN('12 Ext'!AE131:AE136))))</f>
        <v/>
      </c>
      <c r="F314" s="1556" t="str">
        <f>IF(NOT('12 Ext'!D130 = ""),'12 Ext'!D130,IF(COUNTIF('12 Ext'!D131:D136,"&gt;=0")=0,"", MIN(MAX(SUMPRODUCT('12 Ext'!D131:D136,'12 Ext'!$G131:$G136)*4/(SUM('12 Ext'!$G131:$G136) - SUMIF('12 Ext'!D131:D136,"X",'12 Ext'!$G131:$G136)),MAX('12 Ext'!AB131:AB136)),MIN('12 Ext'!AF131:AF136))))</f>
        <v/>
      </c>
      <c r="G314" s="1556" t="str">
        <f>IF(NOT('12 Ext'!E130 = ""),'12 Ext'!E130,IF(COUNTIF('12 Ext'!E131:E136,"&gt;=0")=0,"", MIN(MAX(SUMPRODUCT('12 Ext'!E131:E136,'12 Ext'!$G131:$G136)*4/(SUM('12 Ext'!$G131:$G136) - SUMIF('12 Ext'!E131:E136,"X",'12 Ext'!$G131:$G136)),MAX('12 Ext'!AC131:AC136)),MIN('12 Ext'!AG131:AG136))))</f>
        <v/>
      </c>
      <c r="H314" s="1556" t="str">
        <f>IF(NOT('12 Ext'!F130 = ""),'12 Ext'!F130,IF(COUNTIF('12 Ext'!F131:F136,"&gt;=0")=0,"", MIN(MAX(SUMPRODUCT('12 Ext'!F131:F136,'12 Ext'!$G131:$G136)*4/(SUM('12 Ext'!$G131:$G136) - SUMIF('12 Ext'!F131:F136,"X",'12 Ext'!$G131:$G136)),MAX('12 Ext'!AD131:AD136)),MIN('12 Ext'!AH131:AH136))))</f>
        <v/>
      </c>
      <c r="I314" s="1557">
        <f>IF(AND(OR(E314="X",E314=""),OR(F314="X",F314=""),OR(G314="X",G314=""),OR(H314="X",H314="")),1,ROUND(MIN(IF(OR(E314="",E314="X"),4,E314),IF(OR(F314="",F314="X"),4,F314),IF(OR(G314="",G314="X"),4,G314),IF(OR(H314="",H314="X"),4,H314)),0))</f>
        <v>1</v>
      </c>
      <c r="J314" s="1557">
        <f>IF(I314="","",IF(IndG=3,MAX(I314,Obj_Projets!J314),MAX(I314,Obj_PA!D314)))</f>
        <v>1</v>
      </c>
      <c r="K314" s="1560">
        <f>IF(IF(OR(IndG=3,IndG=4),MAX(I314,J314),I314)&lt;1,1,IF(OR(IndG=3,IndG=4),MAX(I314,J314),I314))</f>
        <v>1</v>
      </c>
      <c r="L314" s="1650" t="str">
        <f>IF(E314=""," n'a pas démarré","")</f>
        <v xml:space="preserve"> n'a pas démarré</v>
      </c>
      <c r="M314" s="154"/>
      <c r="N314" s="154"/>
      <c r="O314" s="154"/>
      <c r="P314" s="154"/>
      <c r="Q314" s="154"/>
      <c r="R314" s="154"/>
      <c r="S314" s="154"/>
      <c r="T314" s="154"/>
      <c r="U314" s="154"/>
      <c r="V314" s="154"/>
      <c r="W314" s="154"/>
      <c r="X314" s="154"/>
      <c r="Y314" s="154"/>
      <c r="Z314" s="154"/>
      <c r="AA314" s="154"/>
      <c r="AB314" s="154"/>
      <c r="AC314" s="154"/>
      <c r="AD314" s="154"/>
      <c r="AE314" s="154"/>
      <c r="AF314" s="154"/>
      <c r="AG314" s="154"/>
      <c r="AH314" s="154"/>
      <c r="AI314" s="154"/>
      <c r="AJ314" s="154"/>
      <c r="AK314" s="154"/>
      <c r="AL314" s="154"/>
      <c r="AM314" s="154"/>
      <c r="AN314" s="154"/>
      <c r="AO314" s="154"/>
      <c r="AP314" s="154"/>
      <c r="AQ314" s="154"/>
      <c r="AR314" s="154"/>
      <c r="AS314" s="154"/>
      <c r="AT314" s="154"/>
      <c r="AU314" s="154"/>
      <c r="AV314" s="154"/>
      <c r="AW314" s="154"/>
      <c r="AX314" s="154"/>
      <c r="AY314" s="154"/>
      <c r="AZ314" s="154"/>
      <c r="BA314" s="154"/>
      <c r="BB314" s="154"/>
    </row>
    <row r="315" spans="1:54" s="527" customFormat="1" ht="15.75" customHeight="1" outlineLevel="1" x14ac:dyDescent="0.2">
      <c r="A315" s="1212"/>
      <c r="B315" s="1212" t="s">
        <v>5762</v>
      </c>
      <c r="C315" s="1219" t="s">
        <v>2029</v>
      </c>
      <c r="D315" s="1570" t="s">
        <v>2619</v>
      </c>
      <c r="E315" s="1559" t="str">
        <f>IF(NOT('12 Ext'!C137 = ""),'12 Ext'!C137,IF(COUNTIF('12 Ext'!C138:C142,"&gt;=0")=0,"", MIN(MAX(SUMPRODUCT('12 Ext'!C138:C142,'12 Ext'!$G138:$G142)*4/(SUM('12 Ext'!$G138:$G142) - SUMIF('12 Ext'!C138:C142,"X",'12 Ext'!$G138:$G142)),MAX('12 Ext'!AA138:AA142)),MIN('12 Ext'!AE138:AE142))))</f>
        <v/>
      </c>
      <c r="F315" s="1556" t="str">
        <f>IF(NOT('12 Ext'!D137 = ""),'12 Ext'!D137,IF(COUNTIF('12 Ext'!D138:D142,"&gt;=0")=0,"", MIN(MAX(SUMPRODUCT('12 Ext'!D138:D142,'12 Ext'!$G138:$G142)*4/(SUM('12 Ext'!$G138:$G142) - SUMIF('12 Ext'!D138:D142,"X",'12 Ext'!$G138:$G142)),MAX('12 Ext'!AB138:AB142)),MIN('12 Ext'!AF138:AF142))))</f>
        <v/>
      </c>
      <c r="G315" s="1556" t="str">
        <f>IF(NOT('12 Ext'!E137 = ""),'12 Ext'!E137,IF(COUNTIF('12 Ext'!E138:E142,"&gt;=0")=0,"", MIN(MAX(SUMPRODUCT('12 Ext'!E138:E142,'12 Ext'!$G138:$G142)*4/(SUM('12 Ext'!$G138:$G142) - SUMIF('12 Ext'!E138:E142,"X",'12 Ext'!$G138:$G142)),MAX('12 Ext'!AC138:AC142)),MIN('12 Ext'!AG138:AG142))))</f>
        <v/>
      </c>
      <c r="H315" s="1556" t="str">
        <f>IF(NOT('12 Ext'!F137 = ""),'12 Ext'!F137,IF(COUNTIF('12 Ext'!F138:F142,"&gt;=0")=0,"", MIN(MAX(SUMPRODUCT('12 Ext'!F138:F142,'12 Ext'!$G138:$G142)*4/(SUM('12 Ext'!$G138:$G142) - SUMIF('12 Ext'!F138:F142,"X",'12 Ext'!$G138:$G142)),MAX('12 Ext'!AD138:AD142)),MIN('12 Ext'!AH138:AH142))))</f>
        <v/>
      </c>
      <c r="I315" s="1557">
        <f>IF(AND(OR(E315="X",E315=""),OR(F315="X",F315=""),OR(G315="X",G315=""),OR(H315="X",H315="")),1,ROUND(MIN(IF(OR(E315="",E315="X"),4,E315),IF(OR(F315="",F315="X"),4,F315),IF(OR(G315="",G315="X"),4,G315),IF(OR(H315="",H315="X"),4,H315)),0))</f>
        <v>1</v>
      </c>
      <c r="J315" s="1557">
        <f>IF(I315="","",IF(IndG=3,MAX(I315,Obj_Projets!J315),MAX(I315,Obj_PA!D315)))</f>
        <v>1</v>
      </c>
      <c r="K315" s="1560">
        <f>IF(IF(OR(IndG=3,IndG=4),MAX(I315,J315),I315)&lt;1,1,IF(OR(IndG=3,IndG=4),MAX(I315,J315),I315))</f>
        <v>1</v>
      </c>
      <c r="L315" s="1650" t="str">
        <f>IF(E315=""," n'a pas démarré","")</f>
        <v xml:space="preserve"> n'a pas démarré</v>
      </c>
      <c r="M315" s="154"/>
      <c r="N315" s="154"/>
      <c r="O315" s="154"/>
      <c r="P315" s="154"/>
      <c r="Q315" s="154"/>
      <c r="R315" s="154"/>
      <c r="S315" s="154"/>
      <c r="T315" s="154"/>
      <c r="U315" s="154"/>
      <c r="V315" s="154"/>
      <c r="W315" s="154"/>
      <c r="X315" s="154"/>
      <c r="Y315" s="154"/>
      <c r="Z315" s="154"/>
      <c r="AA315" s="154"/>
      <c r="AB315" s="154"/>
      <c r="AC315" s="154"/>
      <c r="AD315" s="154"/>
      <c r="AE315" s="154"/>
      <c r="AF315" s="154"/>
      <c r="AG315" s="154"/>
      <c r="AH315" s="154"/>
      <c r="AI315" s="154"/>
      <c r="AJ315" s="154"/>
      <c r="AK315" s="154"/>
      <c r="AL315" s="154"/>
      <c r="AM315" s="154"/>
      <c r="AN315" s="154"/>
      <c r="AO315" s="154"/>
      <c r="AP315" s="154"/>
      <c r="AQ315" s="154"/>
      <c r="AR315" s="154"/>
      <c r="AS315" s="154"/>
      <c r="AT315" s="154"/>
      <c r="AU315" s="154"/>
      <c r="AV315" s="154"/>
      <c r="AW315" s="154"/>
      <c r="AX315" s="154"/>
      <c r="AY315" s="154"/>
      <c r="AZ315" s="154"/>
      <c r="BA315" s="154"/>
      <c r="BB315" s="154"/>
    </row>
    <row r="316" spans="1:54" s="527" customFormat="1" ht="15.75" customHeight="1" outlineLevel="1" x14ac:dyDescent="0.2">
      <c r="A316" s="1212"/>
      <c r="B316" s="1212" t="s">
        <v>5768</v>
      </c>
      <c r="C316" s="1219" t="s">
        <v>994</v>
      </c>
      <c r="D316" s="1570" t="s">
        <v>2964</v>
      </c>
      <c r="E316" s="1559" t="str">
        <f>IF(NOT('12 Ext'!C143 = ""),'12 Ext'!C143,IF(COUNTIF('12 Ext'!C144:C147,"&gt;=0")=0,"", MIN(MAX(SUMPRODUCT('12 Ext'!C144:C147,'12 Ext'!$G144:$G147)*4/(SUM('12 Ext'!$G144:$G147) - SUMIF('12 Ext'!C144:C147,"X",'12 Ext'!$G144:$G147)),MAX('12 Ext'!AA144:AA147)),MIN('12 Ext'!AE144:AE147))))</f>
        <v/>
      </c>
      <c r="F316" s="1556" t="str">
        <f>IF(NOT('12 Ext'!D143 = ""),'12 Ext'!D143,IF(COUNTIF('12 Ext'!D144:D147,"&gt;=0")=0,"", MIN(MAX(SUMPRODUCT('12 Ext'!D144:D147,'12 Ext'!$G144:$G147)*4/(SUM('12 Ext'!$G144:$G147) - SUMIF('12 Ext'!D144:D147,"X",'12 Ext'!$G144:$G147)),MAX('12 Ext'!AB144:AB147)),MIN('12 Ext'!AF144:AF147))))</f>
        <v/>
      </c>
      <c r="G316" s="1556" t="str">
        <f>IF(NOT('12 Ext'!E143 = ""),'12 Ext'!E143,IF(COUNTIF('12 Ext'!E144:E147,"&gt;=0")=0,"", MIN(MAX(SUMPRODUCT('12 Ext'!E144:E147,'12 Ext'!$G144:$G147)*4/(SUM('12 Ext'!$G144:$G147) - SUMIF('12 Ext'!E144:E147,"X",'12 Ext'!$G144:$G147)),MAX('12 Ext'!AC144:AC147)),MIN('12 Ext'!AG144:AG147))))</f>
        <v/>
      </c>
      <c r="H316" s="1556" t="str">
        <f>IF(NOT('12 Ext'!F143 = ""),'12 Ext'!F143,IF(COUNTIF('12 Ext'!F144:F147,"&gt;=0")=0,"", MIN(MAX(SUMPRODUCT('12 Ext'!F144:F147,'12 Ext'!$G144:$G147)*4/(SUM('12 Ext'!$G144:$G147) - SUMIF('12 Ext'!F144:F147,"X",'12 Ext'!$G144:$G147)),MAX('12 Ext'!AD144:AD147)),MIN('12 Ext'!AH144:AH147))))</f>
        <v/>
      </c>
      <c r="I316" s="1557">
        <f>IF(AND(OR(E316="X",E316=""),OR(F316="X",F316=""),OR(G316="X",G316=""),OR(H316="X",H316="")),1,ROUND(MIN(IF(OR(E316="",E316="X"),4,E316),IF(OR(F316="",F316="X"),4,F316),IF(OR(G316="",G316="X"),4,G316),IF(OR(H316="",H316="X"),4,H316)),0))</f>
        <v>1</v>
      </c>
      <c r="J316" s="1557">
        <f>IF(I316="","",IF(IndG=3,MAX(I316,Obj_Projets!J316),MAX(I316,Obj_PA!D316)))</f>
        <v>1</v>
      </c>
      <c r="K316" s="1560">
        <f>IF(IF(OR(IndG=3,IndG=4),MAX(I316,J316),I316)&lt;1,1,IF(OR(IndG=3,IndG=4),MAX(I316,J316),I316))</f>
        <v>1</v>
      </c>
      <c r="L316" s="1650" t="str">
        <f>IF(E316=""," n'a pas démarré","")</f>
        <v xml:space="preserve"> n'a pas démarré</v>
      </c>
      <c r="M316" s="154"/>
      <c r="N316" s="154"/>
      <c r="O316" s="154"/>
      <c r="P316" s="154"/>
      <c r="Q316" s="154"/>
      <c r="R316" s="154"/>
      <c r="S316" s="154"/>
      <c r="T316" s="154"/>
      <c r="U316" s="154"/>
      <c r="V316" s="154"/>
      <c r="W316" s="154"/>
      <c r="X316" s="154"/>
      <c r="Y316" s="154"/>
      <c r="Z316" s="154"/>
      <c r="AA316" s="154"/>
      <c r="AB316" s="154"/>
      <c r="AC316" s="154"/>
      <c r="AD316" s="154"/>
      <c r="AE316" s="154"/>
      <c r="AF316" s="154"/>
      <c r="AG316" s="154"/>
      <c r="AH316" s="154"/>
      <c r="AI316" s="154"/>
      <c r="AJ316" s="154"/>
      <c r="AK316" s="154"/>
      <c r="AL316" s="154"/>
      <c r="AM316" s="154"/>
      <c r="AN316" s="154"/>
      <c r="AO316" s="154"/>
      <c r="AP316" s="154"/>
      <c r="AQ316" s="154"/>
      <c r="AR316" s="154"/>
      <c r="AS316" s="154"/>
      <c r="AT316" s="154"/>
      <c r="AU316" s="154"/>
      <c r="AV316" s="154"/>
      <c r="AW316" s="154"/>
      <c r="AX316" s="154"/>
      <c r="AY316" s="154"/>
      <c r="AZ316" s="154"/>
      <c r="BA316" s="154"/>
      <c r="BB316" s="154"/>
    </row>
    <row r="317" spans="1:54" s="527" customFormat="1" ht="15.75" customHeight="1" outlineLevel="1" x14ac:dyDescent="0.2">
      <c r="A317" s="1212"/>
      <c r="B317" s="1213" t="s">
        <v>3035</v>
      </c>
      <c r="C317" s="1214" t="s">
        <v>1026</v>
      </c>
      <c r="D317" s="1554"/>
      <c r="E317" s="1559"/>
      <c r="F317" s="1556"/>
      <c r="G317" s="1556"/>
      <c r="H317" s="1556"/>
      <c r="I317" s="1561"/>
      <c r="J317" s="1557"/>
      <c r="K317" s="1561"/>
      <c r="L317" s="1650"/>
      <c r="M317" s="154"/>
      <c r="N317" s="154"/>
      <c r="O317" s="154"/>
      <c r="P317" s="154"/>
      <c r="Q317" s="154"/>
      <c r="R317" s="154"/>
      <c r="S317" s="154"/>
      <c r="T317" s="154"/>
      <c r="U317" s="154"/>
      <c r="V317" s="154"/>
      <c r="W317" s="154"/>
      <c r="X317" s="154"/>
      <c r="Y317" s="154"/>
      <c r="Z317" s="154"/>
      <c r="AA317" s="154"/>
      <c r="AB317" s="154"/>
      <c r="AC317" s="154"/>
      <c r="AD317" s="154"/>
      <c r="AE317" s="154"/>
      <c r="AF317" s="154"/>
      <c r="AG317" s="154"/>
      <c r="AH317" s="154"/>
      <c r="AI317" s="154"/>
      <c r="AJ317" s="154"/>
      <c r="AK317" s="154"/>
      <c r="AL317" s="154"/>
      <c r="AM317" s="154"/>
      <c r="AN317" s="154"/>
      <c r="AO317" s="154"/>
      <c r="AP317" s="154"/>
      <c r="AQ317" s="154"/>
      <c r="AR317" s="154"/>
      <c r="AS317" s="154"/>
      <c r="AT317" s="154"/>
      <c r="AU317" s="154"/>
      <c r="AV317" s="154"/>
      <c r="AW317" s="154"/>
      <c r="AX317" s="154"/>
      <c r="AY317" s="154"/>
      <c r="AZ317" s="154"/>
      <c r="BA317" s="154"/>
      <c r="BB317" s="154"/>
    </row>
    <row r="318" spans="1:54" s="527" customFormat="1" ht="15.75" customHeight="1" outlineLevel="1" x14ac:dyDescent="0.2">
      <c r="A318" s="1212"/>
      <c r="B318" s="1212" t="s">
        <v>2048</v>
      </c>
      <c r="C318" s="1219" t="s">
        <v>5749</v>
      </c>
      <c r="D318" s="1562" t="s">
        <v>2625</v>
      </c>
      <c r="E318" s="1559" t="str">
        <f>IF(NOT('12 Ext'!C149 = ""),'12 Ext'!C149,IF(COUNTIF('12 Ext'!C150:C157,"&gt;=0")=0,"", MIN(MAX(SUMPRODUCT('12 Ext'!C150:C157,'12 Ext'!$G150:$G157)*4/(SUM('12 Ext'!$G150:$G157) - SUMIF('12 Ext'!C150:C157,"X",'12 Ext'!$G150:$G157)),MAX('12 Ext'!AA150:AA157)),MIN('12 Ext'!AE150:AE157))))</f>
        <v/>
      </c>
      <c r="F318" s="1556" t="str">
        <f>IF(NOT('12 Ext'!D149 = ""),'12 Ext'!D149,IF(COUNTIF('12 Ext'!D150:D157,"&gt;=0")=0,"", MIN(MAX(SUMPRODUCT('12 Ext'!D150:D157,'12 Ext'!$G150:$G157)*4/(SUM('12 Ext'!$G150:$G157) - SUMIF('12 Ext'!D150:D157,"X",'12 Ext'!$G150:$G157)),MAX('12 Ext'!AB150:AB157)),MIN('12 Ext'!AF150:AF157))))</f>
        <v/>
      </c>
      <c r="G318" s="1556" t="str">
        <f>IF(NOT('12 Ext'!E149 = ""),'12 Ext'!E149,IF(COUNTIF('12 Ext'!E150:E157,"&gt;=0")=0,"", MIN(MAX(SUMPRODUCT('12 Ext'!E150:E157,'12 Ext'!$G150:$G157)*4/(SUM('12 Ext'!$G150:$G157) - SUMIF('12 Ext'!E150:E157,"X",'12 Ext'!$G150:$G157)),MAX('12 Ext'!AC150:AC157)),MIN('12 Ext'!AG150:AG157))))</f>
        <v/>
      </c>
      <c r="H318" s="1556" t="str">
        <f>IF(NOT('12 Ext'!F149 = ""),'12 Ext'!F149,IF(COUNTIF('12 Ext'!F150:F157,"&gt;=0")=0,"", MIN(MAX(SUMPRODUCT('12 Ext'!F150:F157,'12 Ext'!$G150:$G157)*4/(SUM('12 Ext'!$G150:$G157) - SUMIF('12 Ext'!F150:F157,"X",'12 Ext'!$G150:$G157)),MAX('12 Ext'!AD150:AD157)),MIN('12 Ext'!AH150:AH157))))</f>
        <v/>
      </c>
      <c r="I318" s="1557">
        <f>IF(AND(OR(E318="X",E318=""),OR(F318="X",F318=""),OR(G318="X",G318=""),OR(H318="X",H318="")),1,ROUND(MIN(IF(OR(E318="",E318="X"),4,E318),IF(OR(F318="",F318="X"),4,F318),IF(OR(G318="",G318="X"),4,G318),IF(OR(H318="",H318="X"),4,H318)),0))</f>
        <v>1</v>
      </c>
      <c r="J318" s="1557">
        <f>IF(I318="","",IF(IndG=3,MAX(I318,Obj_Projets!J318),MAX(I318,Obj_PA!D318)))</f>
        <v>1</v>
      </c>
      <c r="K318" s="1560">
        <f>IF(IF(OR(IndG=3,IndG=4),MAX(I318,J318),I318)&lt;1,1,IF(OR(IndG=3,IndG=4),MAX(I318,J318),I318))</f>
        <v>1</v>
      </c>
      <c r="L318" s="1650" t="str">
        <f>IF(E318=""," n'a pas démarré","")</f>
        <v xml:space="preserve"> n'a pas démarré</v>
      </c>
      <c r="M318" s="154"/>
      <c r="N318" s="154"/>
      <c r="O318" s="154"/>
      <c r="P318" s="154"/>
      <c r="Q318" s="154"/>
      <c r="R318" s="154"/>
      <c r="S318" s="154"/>
      <c r="T318" s="154"/>
      <c r="U318" s="154"/>
      <c r="V318" s="154"/>
      <c r="W318" s="154"/>
      <c r="X318" s="154"/>
      <c r="Y318" s="154"/>
      <c r="Z318" s="154"/>
      <c r="AA318" s="154"/>
      <c r="AB318" s="154"/>
      <c r="AC318" s="154"/>
      <c r="AD318" s="154"/>
      <c r="AE318" s="154"/>
      <c r="AF318" s="154"/>
      <c r="AG318" s="154"/>
      <c r="AH318" s="154"/>
      <c r="AI318" s="154"/>
      <c r="AJ318" s="154"/>
      <c r="AK318" s="154"/>
      <c r="AL318" s="154"/>
      <c r="AM318" s="154"/>
      <c r="AN318" s="154"/>
      <c r="AO318" s="154"/>
      <c r="AP318" s="154"/>
      <c r="AQ318" s="154"/>
      <c r="AR318" s="154"/>
      <c r="AS318" s="154"/>
      <c r="AT318" s="154"/>
      <c r="AU318" s="154"/>
      <c r="AV318" s="154"/>
      <c r="AW318" s="154"/>
      <c r="AX318" s="154"/>
      <c r="AY318" s="154"/>
      <c r="AZ318" s="154"/>
      <c r="BA318" s="154"/>
      <c r="BB318" s="154"/>
    </row>
    <row r="319" spans="1:54" ht="15.75" customHeight="1" outlineLevel="1" x14ac:dyDescent="0.2">
      <c r="A319" s="1212"/>
      <c r="B319" s="1212" t="s">
        <v>2050</v>
      </c>
      <c r="C319" s="1219" t="s">
        <v>1377</v>
      </c>
      <c r="D319" s="1562" t="s">
        <v>2625</v>
      </c>
      <c r="E319" s="1559" t="str">
        <f>IF(NOT('12 Ext'!C158 = ""),'12 Ext'!C158,IF(COUNTIF('12 Ext'!C159:C164,"&gt;=0")=0,"", MIN(MAX(SUMPRODUCT('12 Ext'!C159:C164,'12 Ext'!$G159:$G164)*4/(SUM('12 Ext'!$G159:$G164) - SUMIF('12 Ext'!C159:C164,"X",'12 Ext'!$G159:$G164)),MAX('12 Ext'!AA159:AA164)),MIN('12 Ext'!AE159:AE164))))</f>
        <v/>
      </c>
      <c r="F319" s="1556" t="str">
        <f>IF(NOT('12 Ext'!D158 = ""),'12 Ext'!D158,IF(COUNTIF('12 Ext'!D159:D164,"&gt;=0")=0,"", MIN(MAX(SUMPRODUCT('12 Ext'!D159:D164,'12 Ext'!$G159:$G164)*4/(SUM('12 Ext'!$G159:$G164) - SUMIF('12 Ext'!D159:D164,"X",'12 Ext'!$G159:$G164)),MAX('12 Ext'!AB159:AB164)),MIN('12 Ext'!AF159:AF164))))</f>
        <v/>
      </c>
      <c r="G319" s="1556" t="str">
        <f>IF(NOT('12 Ext'!E158 = ""),'12 Ext'!E158,IF(COUNTIF('12 Ext'!E159:E164,"&gt;=0")=0,"", MIN(MAX(SUMPRODUCT('12 Ext'!E159:E164,'12 Ext'!$G159:$G164)*4/(SUM('12 Ext'!$G159:$G164) - SUMIF('12 Ext'!E159:E164,"X",'12 Ext'!$G159:$G164)),MAX('12 Ext'!AC159:AC164)),MIN('12 Ext'!AG159:AG164))))</f>
        <v/>
      </c>
      <c r="H319" s="1556" t="str">
        <f>IF(NOT('12 Ext'!F158 = ""),'12 Ext'!F158,IF(COUNTIF('12 Ext'!F159:F164,"&gt;=0")=0,"", MIN(MAX(SUMPRODUCT('12 Ext'!F159:F164,'12 Ext'!$G159:$G164)*4/(SUM('12 Ext'!$G159:$G164) - SUMIF('12 Ext'!F159:F164,"X",'12 Ext'!$G159:$G164)),MAX('12 Ext'!AD159:AD164)),MIN('12 Ext'!AH159:AH164))))</f>
        <v/>
      </c>
      <c r="I319" s="1557">
        <f>IF(AND(OR(E319="X",E319=""),OR(F319="X",F319=""),OR(G319="X",G319=""),OR(H319="X",H319="")),1,ROUND(MIN(IF(OR(E319="",E319="X"),4,E319),IF(OR(F319="",F319="X"),4,F319),IF(OR(G319="",G319="X"),4,G319),IF(OR(H319="",H319="X"),4,H319)),0))</f>
        <v>1</v>
      </c>
      <c r="J319" s="1557">
        <f>IF(I319="","",IF(IndG=3,MAX(I319,Obj_Projets!J319),MAX(I319,Obj_PA!D319)))</f>
        <v>1</v>
      </c>
      <c r="K319" s="1560">
        <f>IF(IF(OR(IndG=3,IndG=4),MAX(I319,J319),I319)&lt;1,1,IF(OR(IndG=3,IndG=4),MAX(I319,J319),I319))</f>
        <v>1</v>
      </c>
      <c r="L319" s="1652" t="str">
        <f>IF(E319=""," n'a pas démarré","")</f>
        <v xml:space="preserve"> n'a pas démarré</v>
      </c>
    </row>
    <row r="320" spans="1:54" s="527" customFormat="1" ht="15.75" customHeight="1" outlineLevel="1" x14ac:dyDescent="0.2">
      <c r="A320" s="1212"/>
      <c r="B320" s="1212" t="s">
        <v>3945</v>
      </c>
      <c r="C320" s="1219" t="s">
        <v>5750</v>
      </c>
      <c r="D320" s="1570" t="s">
        <v>2775</v>
      </c>
      <c r="E320" s="1559" t="str">
        <f>IF(NOT('12 Ext'!C165 = ""),'12 Ext'!C165,IF(COUNTIF('12 Ext'!C166:C174,"&gt;=0")=0,"", MIN(MAX(SUMPRODUCT('12 Ext'!C166:C174,'12 Ext'!$G166:$G174)*4/(SUM('12 Ext'!$G166:$G174) - SUMIF('12 Ext'!C166:C174,"X",'12 Ext'!$G166:$G174)),MAX('12 Ext'!AA166:AA174)),MIN('12 Ext'!AE166:AE174))))</f>
        <v/>
      </c>
      <c r="F320" s="1556" t="str">
        <f>IF(NOT('12 Ext'!D165 = ""),'12 Ext'!D165,IF(COUNTIF('12 Ext'!D166:D174,"&gt;=0")=0,"", MIN(MAX(SUMPRODUCT('12 Ext'!D166:D174,'12 Ext'!$G166:$G174)*4/(SUM('12 Ext'!$G166:$G174) - SUMIF('12 Ext'!D166:D174,"X",'12 Ext'!$G166:$G174)),MAX('12 Ext'!AB166:AB174)),MIN('12 Ext'!AF166:AF174))))</f>
        <v/>
      </c>
      <c r="G320" s="1556" t="str">
        <f>IF(NOT('12 Ext'!E165 = ""),'12 Ext'!E165,IF(COUNTIF('12 Ext'!E166:E174,"&gt;=0")=0,"", MIN(MAX(SUMPRODUCT('12 Ext'!E166:E174,'12 Ext'!$G166:$G174)*4/(SUM('12 Ext'!$G166:$G174) - SUMIF('12 Ext'!E166:E174,"X",'12 Ext'!$G166:$G174)),MAX('12 Ext'!AC166:AC174)),MIN('12 Ext'!AG166:AG174))))</f>
        <v/>
      </c>
      <c r="H320" s="1556" t="str">
        <f>IF(NOT('12 Ext'!F165 = ""),'12 Ext'!F165,IF(COUNTIF('12 Ext'!F166:F174,"&gt;=0")=0,"", MIN(MAX(SUMPRODUCT('12 Ext'!F166:F174,'12 Ext'!$G166:$G174)*4/(SUM('12 Ext'!$G166:$G174) - SUMIF('12 Ext'!F166:F174,"X",'12 Ext'!$G166:$G174)),MAX('12 Ext'!AD166:AD174)),MIN('12 Ext'!AH166:AH174))))</f>
        <v/>
      </c>
      <c r="I320" s="1557">
        <f>IF(AND(OR(E320="X",E320=""),OR(F320="X",F320=""),OR(G320="X",G320=""),OR(H320="X",H320="")),1,ROUND(MIN(IF(OR(E320="",E320="X"),4,E320),IF(OR(F320="",F320="X"),4,F320),IF(OR(G320="",G320="X"),4,G320),IF(OR(H320="",H320="X"),4,H320)),0))</f>
        <v>1</v>
      </c>
      <c r="J320" s="1557">
        <f>IF(I320="","",IF(IndG=3,MAX(I320,Obj_Projets!J320),MAX(I320,Obj_PA!D320)))</f>
        <v>1</v>
      </c>
      <c r="K320" s="1560">
        <f>IF(IF(OR(IndG=3,IndG=4),MAX(I320,J320),I320)&lt;1,1,IF(OR(IndG=3,IndG=4),MAX(I320,J320),I320))</f>
        <v>1</v>
      </c>
      <c r="L320" s="1650" t="str">
        <f>IF(E320=""," n'a pas démarré","")</f>
        <v xml:space="preserve"> n'a pas démarré</v>
      </c>
      <c r="M320" s="154"/>
      <c r="N320" s="154"/>
      <c r="O320" s="154"/>
      <c r="P320" s="154"/>
      <c r="Q320" s="154"/>
      <c r="R320" s="154"/>
      <c r="S320" s="154"/>
      <c r="T320" s="154"/>
      <c r="U320" s="154"/>
      <c r="V320" s="154"/>
      <c r="W320" s="154"/>
      <c r="X320" s="154"/>
      <c r="Y320" s="154"/>
      <c r="Z320" s="154"/>
      <c r="AA320" s="154"/>
      <c r="AB320" s="154"/>
      <c r="AC320" s="154"/>
      <c r="AD320" s="154"/>
      <c r="AE320" s="154"/>
      <c r="AF320" s="154"/>
      <c r="AG320" s="154"/>
      <c r="AH320" s="154"/>
      <c r="AI320" s="154"/>
      <c r="AJ320" s="154"/>
      <c r="AK320" s="154"/>
      <c r="AL320" s="154"/>
      <c r="AM320" s="154"/>
      <c r="AN320" s="154"/>
      <c r="AO320" s="154"/>
      <c r="AP320" s="154"/>
      <c r="AQ320" s="154"/>
      <c r="AR320" s="154"/>
      <c r="AS320" s="154"/>
      <c r="AT320" s="154"/>
      <c r="AU320" s="154"/>
      <c r="AV320" s="154"/>
      <c r="AW320" s="154"/>
      <c r="AX320" s="154"/>
      <c r="AY320" s="154"/>
      <c r="AZ320" s="154"/>
      <c r="BA320" s="154"/>
      <c r="BB320" s="154"/>
    </row>
    <row r="321" spans="1:54" s="527" customFormat="1" ht="15.75" customHeight="1" x14ac:dyDescent="0.2">
      <c r="A321" s="1227" t="s">
        <v>5811</v>
      </c>
      <c r="B321" s="1981" t="s">
        <v>989</v>
      </c>
      <c r="C321" s="1982"/>
      <c r="D321" s="1563"/>
      <c r="E321" s="1564"/>
      <c r="F321" s="1564"/>
      <c r="G321" s="1564"/>
      <c r="H321" s="1564"/>
      <c r="I321" s="1568"/>
      <c r="J321" s="1568"/>
      <c r="K321" s="1568"/>
      <c r="L321" s="1653"/>
      <c r="M321" s="154"/>
      <c r="N321" s="154"/>
      <c r="O321" s="154"/>
      <c r="P321" s="154"/>
      <c r="Q321" s="154"/>
      <c r="R321" s="154"/>
      <c r="S321" s="154"/>
      <c r="T321" s="154"/>
      <c r="U321" s="154"/>
      <c r="V321" s="154"/>
      <c r="W321" s="154"/>
      <c r="X321" s="154"/>
      <c r="Y321" s="154"/>
      <c r="Z321" s="154"/>
      <c r="AA321" s="154"/>
      <c r="AB321" s="154"/>
      <c r="AC321" s="154"/>
      <c r="AD321" s="154"/>
      <c r="AE321" s="154"/>
      <c r="AF321" s="154"/>
      <c r="AG321" s="154"/>
      <c r="AH321" s="154"/>
      <c r="AI321" s="154"/>
      <c r="AJ321" s="154"/>
      <c r="AK321" s="154"/>
      <c r="AL321" s="154"/>
      <c r="AM321" s="154"/>
      <c r="AN321" s="154"/>
      <c r="AO321" s="154"/>
      <c r="AP321" s="154"/>
      <c r="AQ321" s="154"/>
      <c r="AR321" s="154"/>
      <c r="AS321" s="154"/>
      <c r="AT321" s="154"/>
      <c r="AU321" s="154"/>
      <c r="AV321" s="154"/>
      <c r="AW321" s="154"/>
      <c r="AX321" s="154"/>
      <c r="AY321" s="154"/>
      <c r="AZ321" s="154"/>
      <c r="BA321" s="154"/>
      <c r="BB321" s="154"/>
    </row>
    <row r="322" spans="1:54" s="527" customFormat="1" ht="15.75" customHeight="1" outlineLevel="1" x14ac:dyDescent="0.2">
      <c r="A322" s="1212"/>
      <c r="B322" s="1213" t="s">
        <v>2981</v>
      </c>
      <c r="C322" s="1214" t="s">
        <v>4355</v>
      </c>
      <c r="D322" s="1554"/>
      <c r="E322" s="1559"/>
      <c r="F322" s="1559"/>
      <c r="G322" s="1559"/>
      <c r="H322" s="1559"/>
      <c r="I322" s="1561"/>
      <c r="J322" s="1561"/>
      <c r="K322" s="1561"/>
      <c r="L322" s="1650"/>
      <c r="M322" s="154"/>
      <c r="N322" s="154"/>
      <c r="O322" s="154"/>
      <c r="P322" s="154"/>
      <c r="Q322" s="154"/>
      <c r="R322" s="154"/>
      <c r="S322" s="154"/>
      <c r="T322" s="154"/>
      <c r="U322" s="154"/>
      <c r="V322" s="154"/>
      <c r="W322" s="154"/>
      <c r="X322" s="154"/>
      <c r="Y322" s="154"/>
      <c r="Z322" s="154"/>
      <c r="AA322" s="154"/>
      <c r="AB322" s="154"/>
      <c r="AC322" s="154"/>
      <c r="AD322" s="154"/>
      <c r="AE322" s="154"/>
      <c r="AF322" s="154"/>
      <c r="AG322" s="154"/>
      <c r="AH322" s="154"/>
      <c r="AI322" s="154"/>
      <c r="AJ322" s="154"/>
      <c r="AK322" s="154"/>
      <c r="AL322" s="154"/>
      <c r="AM322" s="154"/>
      <c r="AN322" s="154"/>
      <c r="AO322" s="154"/>
      <c r="AP322" s="154"/>
      <c r="AQ322" s="154"/>
      <c r="AR322" s="154"/>
      <c r="AS322" s="154"/>
      <c r="AT322" s="154"/>
      <c r="AU322" s="154"/>
      <c r="AV322" s="154"/>
      <c r="AW322" s="154"/>
      <c r="AX322" s="154"/>
      <c r="AY322" s="154"/>
      <c r="AZ322" s="154"/>
      <c r="BA322" s="154"/>
      <c r="BB322" s="154"/>
    </row>
    <row r="323" spans="1:54" s="527" customFormat="1" ht="15.75" customHeight="1" outlineLevel="1" x14ac:dyDescent="0.2">
      <c r="A323" s="1212"/>
      <c r="B323" s="1212" t="s">
        <v>3806</v>
      </c>
      <c r="C323" s="1219" t="s">
        <v>4391</v>
      </c>
      <c r="D323" s="1562" t="s">
        <v>2619</v>
      </c>
      <c r="E323" s="1559" t="str">
        <f>IF(NOT('13 Man'!C4 = ""),'13 Man'!C4,IF(COUNTIF('13 Man'!C5:C17,"&gt;=0")=0,"", MIN(MAX(SUMPRODUCT('13 Man'!C5:C17,'13 Man'!$G5:$G17)*4/(SUM('13 Man'!$G5:$G17) - SUMIF('13 Man'!C5:C17,"X",'13 Man'!$G5:$G17)),MAX('13 Man'!AA5:AA17)),MIN('13 Man'!AE5:AE17))))</f>
        <v/>
      </c>
      <c r="F323" s="1559" t="str">
        <f>IF(NOT('13 Man'!D4 = ""),'13 Man'!D4,IF(COUNTIF('13 Man'!D5:D17,"&gt;=0")=0,"", MIN(MAX(SUMPRODUCT('13 Man'!D5:D17,'13 Man'!$G5:$G17)*4/(SUM('13 Man'!$G5:$G17) - SUMIF('13 Man'!D5:D17,"X",'13 Man'!$G5:$G17)),MAX('13 Man'!AB5:AB17)),MIN('13 Man'!AF5:AF17))))</f>
        <v/>
      </c>
      <c r="G323" s="1559" t="str">
        <f>IF(NOT('13 Man'!E4 = ""),'13 Man'!E4,IF(COUNTIF('13 Man'!E5:E17,"&gt;=0")=0,"", MIN(MAX(SUMPRODUCT('13 Man'!E5:E17,'13 Man'!$G5:$G17)*4/(SUM('13 Man'!$G5:$G17) - SUMIF('13 Man'!E5:E17,"X",'13 Man'!$G5:$G17)),MAX('13 Man'!AC5:AC17)),MIN('13 Man'!AG5:AG17))))</f>
        <v/>
      </c>
      <c r="H323" s="1559" t="str">
        <f>IF(NOT('13 Man'!F4 = ""),'13 Man'!F4,IF(COUNTIF('13 Man'!F5:F17,"&gt;=0")=0,"", MIN(MAX(SUMPRODUCT('13 Man'!F5:F17,'13 Man'!$G5:$G17)*4/(SUM('13 Man'!$G5:$G17) - SUMIF('13 Man'!F5:F17,"X",'13 Man'!$G5:$G17)),MAX('13 Man'!AD5:AD17)),MIN('13 Man'!AH5:AH17))))</f>
        <v/>
      </c>
      <c r="I323" s="1557">
        <f>IF(AND(OR(E323="X",E323=""),OR(F323="X",F323=""),OR(G323="X",G323=""),OR(H323="X",H323="")),1,ROUND(MIN(IF(OR(E323="",E323="X"),4,E323),IF(OR(F323="",F323="X"),4,F323),IF(OR(G323="",G323="X"),4,G323),IF(OR(H323="",H323="X"),4,H323)),0))</f>
        <v>1</v>
      </c>
      <c r="J323" s="1557">
        <f>IF(I323="","",IF(IndG=3,MAX(I323,Obj_Projets!J323),MAX(I323,Obj_PA!D323)))</f>
        <v>1</v>
      </c>
      <c r="K323" s="1560">
        <f>IF(IF(OR(IndG=3,IndG=4),MAX(I323,J323),I323)&lt;1,1,IF(OR(IndG=3,IndG=4),MAX(I323,J323),I323))</f>
        <v>1</v>
      </c>
      <c r="L323" s="1650" t="str">
        <f>IF(E323=""," n'a pas démarré","")</f>
        <v xml:space="preserve"> n'a pas démarré</v>
      </c>
      <c r="M323" s="154"/>
      <c r="N323" s="154"/>
      <c r="O323" s="154"/>
      <c r="P323" s="154"/>
      <c r="Q323" s="154"/>
      <c r="R323" s="154"/>
      <c r="S323" s="154"/>
      <c r="T323" s="154"/>
      <c r="U323" s="154"/>
      <c r="V323" s="154"/>
      <c r="W323" s="154"/>
      <c r="X323" s="154"/>
      <c r="Y323" s="154"/>
      <c r="Z323" s="154"/>
      <c r="AA323" s="154"/>
      <c r="AB323" s="154"/>
      <c r="AC323" s="154"/>
      <c r="AD323" s="154"/>
      <c r="AE323" s="154"/>
      <c r="AF323" s="154"/>
      <c r="AG323" s="154"/>
      <c r="AH323" s="154"/>
      <c r="AI323" s="154"/>
      <c r="AJ323" s="154"/>
      <c r="AK323" s="154"/>
      <c r="AL323" s="154"/>
      <c r="AM323" s="154"/>
      <c r="AN323" s="154"/>
      <c r="AO323" s="154"/>
      <c r="AP323" s="154"/>
      <c r="AQ323" s="154"/>
      <c r="AR323" s="154"/>
      <c r="AS323" s="154"/>
      <c r="AT323" s="154"/>
      <c r="AU323" s="154"/>
      <c r="AV323" s="154"/>
      <c r="AW323" s="154"/>
      <c r="AX323" s="154"/>
      <c r="AY323" s="154"/>
      <c r="AZ323" s="154"/>
      <c r="BA323" s="154"/>
      <c r="BB323" s="154"/>
    </row>
    <row r="324" spans="1:54" s="527" customFormat="1" ht="15.75" customHeight="1" outlineLevel="1" x14ac:dyDescent="0.2">
      <c r="A324" s="1212"/>
      <c r="B324" s="1212" t="s">
        <v>3807</v>
      </c>
      <c r="C324" s="1219" t="s">
        <v>3808</v>
      </c>
      <c r="D324" s="1562" t="s">
        <v>2619</v>
      </c>
      <c r="E324" s="1559" t="str">
        <f>IF(NOT('13 Man'!C18 = ""),'13 Man'!C18,IF(COUNTIF('13 Man'!C19:C28,"&gt;=0")=0,"", MIN(MAX(SUMPRODUCT('13 Man'!C19:C28,'13 Man'!$G19:$G28)*4/(SUM('13 Man'!$G19:$G28) - SUMIF('13 Man'!C19:C28,"X",'13 Man'!$G19:$G28)),MAX('13 Man'!AA19:AA28)),MIN('13 Man'!AE19:AE28))))</f>
        <v/>
      </c>
      <c r="F324" s="1559" t="str">
        <f>IF(NOT('13 Man'!D18 = ""),'13 Man'!D18,IF(COUNTIF('13 Man'!D19:D28,"&gt;=0")=0,"", MIN(MAX(SUMPRODUCT('13 Man'!D19:D28,'13 Man'!$G19:$G28)*4/(SUM('13 Man'!$G19:$G28) - SUMIF('13 Man'!D19:D28,"X",'13 Man'!$G19:$G28)),MAX('13 Man'!AB19:AB28)),MIN('13 Man'!AF19:AF28))))</f>
        <v/>
      </c>
      <c r="G324" s="1559" t="str">
        <f>IF(NOT('13 Man'!E18 = ""),'13 Man'!E18,IF(COUNTIF('13 Man'!E19:E28,"&gt;=0")=0,"", MIN(MAX(SUMPRODUCT('13 Man'!E19:E28,'13 Man'!$G19:$G28)*4/(SUM('13 Man'!$G19:$G28) - SUMIF('13 Man'!E19:E28,"X",'13 Man'!$G19:$G28)),MAX('13 Man'!AC19:AC28)),MIN('13 Man'!AG19:AG28))))</f>
        <v/>
      </c>
      <c r="H324" s="1559" t="str">
        <f>IF(NOT('13 Man'!F18 = ""),'13 Man'!F18,IF(COUNTIF('13 Man'!F19:F28,"&gt;=0")=0,"", MIN(MAX(SUMPRODUCT('13 Man'!F19:F28,'13 Man'!$G19:$G28)*4/(SUM('13 Man'!$G19:$G28) - SUMIF('13 Man'!F19:F28,"X",'13 Man'!$G19:$G28)),MAX('13 Man'!AD19:AD28)),MIN('13 Man'!AH19:AH28))))</f>
        <v/>
      </c>
      <c r="I324" s="1557">
        <f>IF(AND(OR(E324="X",E324=""),OR(F324="X",F324=""),OR(G324="X",G324=""),OR(H324="X",H324="")),1,ROUND(MIN(IF(OR(E324="",E324="X"),4,E324),IF(OR(F324="",F324="X"),4,F324),IF(OR(G324="",G324="X"),4,G324),IF(OR(H324="",H324="X"),4,H324)),0))</f>
        <v>1</v>
      </c>
      <c r="J324" s="1557">
        <f>IF(I324="","",IF(IndG=3,MAX(I324,Obj_Projets!J324),MAX(I324,Obj_PA!D324)))</f>
        <v>1</v>
      </c>
      <c r="K324" s="1560">
        <f>IF(IF(OR(IndG=3,IndG=4),MAX(I324,J324),I324)&lt;1,1,IF(OR(IndG=3,IndG=4),MAX(I324,J324),I324))</f>
        <v>1</v>
      </c>
      <c r="L324" s="1650" t="str">
        <f>IF(E324=""," n'a pas démarré","")</f>
        <v xml:space="preserve"> n'a pas démarré</v>
      </c>
      <c r="M324" s="154"/>
      <c r="N324" s="154"/>
      <c r="O324" s="154"/>
      <c r="P324" s="154"/>
      <c r="Q324" s="154"/>
      <c r="R324" s="154"/>
      <c r="S324" s="154"/>
      <c r="T324" s="154"/>
      <c r="U324" s="154"/>
      <c r="V324" s="154"/>
      <c r="W324" s="154"/>
      <c r="X324" s="154"/>
      <c r="Y324" s="154"/>
      <c r="Z324" s="154"/>
      <c r="AA324" s="154"/>
      <c r="AB324" s="154"/>
      <c r="AC324" s="154"/>
      <c r="AD324" s="154"/>
      <c r="AE324" s="154"/>
      <c r="AF324" s="154"/>
      <c r="AG324" s="154"/>
      <c r="AH324" s="154"/>
      <c r="AI324" s="154"/>
      <c r="AJ324" s="154"/>
      <c r="AK324" s="154"/>
      <c r="AL324" s="154"/>
      <c r="AM324" s="154"/>
      <c r="AN324" s="154"/>
      <c r="AO324" s="154"/>
      <c r="AP324" s="154"/>
      <c r="AQ324" s="154"/>
      <c r="AR324" s="154"/>
      <c r="AS324" s="154"/>
      <c r="AT324" s="154"/>
      <c r="AU324" s="154"/>
      <c r="AV324" s="154"/>
      <c r="AW324" s="154"/>
      <c r="AX324" s="154"/>
      <c r="AY324" s="154"/>
      <c r="AZ324" s="154"/>
      <c r="BA324" s="154"/>
      <c r="BB324" s="154"/>
    </row>
    <row r="325" spans="1:54" s="527" customFormat="1" ht="15.75" customHeight="1" outlineLevel="1" x14ac:dyDescent="0.2">
      <c r="A325" s="1212"/>
      <c r="B325" s="1212" t="s">
        <v>2612</v>
      </c>
      <c r="C325" s="1219" t="s">
        <v>5173</v>
      </c>
      <c r="D325" s="1562" t="s">
        <v>2617</v>
      </c>
      <c r="E325" s="1559" t="str">
        <f>IF(NOT('13 Man'!C29 = ""),'13 Man'!C29,IF(COUNTIF('13 Man'!C30:C32,"&gt;=0")=0,"", MIN(MAX(SUMPRODUCT('13 Man'!C30:C32,'13 Man'!$G30:$G32)*4/(SUM('13 Man'!$G30:$G32) - SUMIF('13 Man'!C30:C32,"X",'13 Man'!$G30:$G32)),MAX('13 Man'!AA30:AA32)),MIN('13 Man'!AE30:AE32))))</f>
        <v/>
      </c>
      <c r="F325" s="1559" t="str">
        <f>IF(NOT('13 Man'!D29 = ""),'13 Man'!D29,IF(COUNTIF('13 Man'!D30:D32,"&gt;=0")=0,"", MIN(MAX(SUMPRODUCT('13 Man'!D30:D32,'13 Man'!$G30:$G32)*4/(SUM('13 Man'!$G30:$G32) - SUMIF('13 Man'!D30:D32,"X",'13 Man'!$G30:$G32)),MAX('13 Man'!AB30:AB32)),MIN('13 Man'!AF30:AF32))))</f>
        <v/>
      </c>
      <c r="G325" s="1559" t="str">
        <f>IF(NOT('13 Man'!E29 = ""),'13 Man'!E29,IF(COUNTIF('13 Man'!E30:E32,"&gt;=0")=0,"", MIN(MAX(SUMPRODUCT('13 Man'!E30:E32,'13 Man'!$G30:$G32)*4/(SUM('13 Man'!$G30:$G32) - SUMIF('13 Man'!E30:E32,"X",'13 Man'!$G30:$G32)),MAX('13 Man'!AC30:AC32)),MIN('13 Man'!AG30:AG32))))</f>
        <v/>
      </c>
      <c r="H325" s="1559" t="str">
        <f>IF(NOT('13 Man'!F29 = ""),'13 Man'!F29,IF(COUNTIF('13 Man'!F30:F32,"&gt;=0")=0,"", MIN(MAX(SUMPRODUCT('13 Man'!F30:F32,'13 Man'!$G30:$G32)*4/(SUM('13 Man'!$G30:$G32) - SUMIF('13 Man'!F30:F32,"X",'13 Man'!$G30:$G32)),MAX('13 Man'!AD30:AD32)),MIN('13 Man'!AH30:AH32))))</f>
        <v/>
      </c>
      <c r="I325" s="1557">
        <f>IF(AND(OR(E325="X",E325=""),OR(F325="X",F325=""),OR(G325="X",G325=""),OR(H325="X",H325="")),1,ROUND(MIN(IF(OR(E325="",E325="X"),4,E325),IF(OR(F325="",F325="X"),4,F325),IF(OR(G325="",G325="X"),4,G325),IF(OR(H325="",H325="X"),4,H325)),0))</f>
        <v>1</v>
      </c>
      <c r="J325" s="1557">
        <f>IF(I325="","",IF(IndG=3,MAX(I325,Obj_Projets!J325),MAX(I325,Obj_PA!D325)))</f>
        <v>1</v>
      </c>
      <c r="K325" s="1560">
        <f>IF(IF(OR(IndG=3,IndG=4),MAX(I325,J325),I325)&lt;1,1,IF(OR(IndG=3,IndG=4),MAX(I325,J325),I325))</f>
        <v>1</v>
      </c>
      <c r="L325" s="1650" t="str">
        <f>IF(E325=""," n'a pas démarré","")</f>
        <v xml:space="preserve"> n'a pas démarré</v>
      </c>
      <c r="M325" s="154"/>
      <c r="N325" s="154"/>
      <c r="O325" s="154"/>
      <c r="P325" s="154"/>
      <c r="Q325" s="154"/>
      <c r="R325" s="154"/>
      <c r="S325" s="154"/>
      <c r="T325" s="154"/>
      <c r="U325" s="154"/>
      <c r="V325" s="154"/>
      <c r="W325" s="154"/>
      <c r="X325" s="154"/>
      <c r="Y325" s="154"/>
      <c r="Z325" s="154"/>
      <c r="AA325" s="154"/>
      <c r="AB325" s="154"/>
      <c r="AC325" s="154"/>
      <c r="AD325" s="154"/>
      <c r="AE325" s="154"/>
      <c r="AF325" s="154"/>
      <c r="AG325" s="154"/>
      <c r="AH325" s="154"/>
      <c r="AI325" s="154"/>
      <c r="AJ325" s="154"/>
      <c r="AK325" s="154"/>
      <c r="AL325" s="154"/>
      <c r="AM325" s="154"/>
      <c r="AN325" s="154"/>
      <c r="AO325" s="154"/>
      <c r="AP325" s="154"/>
      <c r="AQ325" s="154"/>
      <c r="AR325" s="154"/>
      <c r="AS325" s="154"/>
      <c r="AT325" s="154"/>
      <c r="AU325" s="154"/>
      <c r="AV325" s="154"/>
      <c r="AW325" s="154"/>
      <c r="AX325" s="154"/>
      <c r="AY325" s="154"/>
      <c r="AZ325" s="154"/>
      <c r="BA325" s="154"/>
      <c r="BB325" s="154"/>
    </row>
    <row r="326" spans="1:54" s="527" customFormat="1" ht="15.75" customHeight="1" outlineLevel="1" x14ac:dyDescent="0.2">
      <c r="A326" s="1212"/>
      <c r="B326" s="1212" t="s">
        <v>5408</v>
      </c>
      <c r="C326" s="1219" t="s">
        <v>4356</v>
      </c>
      <c r="D326" s="1562" t="s">
        <v>2617</v>
      </c>
      <c r="E326" s="1559" t="str">
        <f>IF(NOT('13 Man'!C33 = ""),'13 Man'!C33,IF(COUNTIF('13 Man'!C34:C36,"&gt;=0")=0,"", MIN(MAX(SUMPRODUCT('13 Man'!C34:C36,'13 Man'!$G34:$G36)*4/(SUM('13 Man'!$G34:$G36) - SUMIF('13 Man'!C34:C36,"X",'13 Man'!$G34:$G36)),MAX('13 Man'!AA34:AA36)),MIN('13 Man'!AE34:AE36))))</f>
        <v/>
      </c>
      <c r="F326" s="1573" t="str">
        <f>IF(NOT('13 Man'!D33 = ""),'13 Man'!D33,IF(COUNTIF('13 Man'!D34:D36,"&gt;=0")=0,"", MIN(MAX(SUMPRODUCT('13 Man'!D34:D36,'13 Man'!$G34:$G36)*4/(SUM('13 Man'!$G34:$G36) - SUMIF('13 Man'!D34:D36,"X",'13 Man'!$G34:$G36)),MAX('13 Man'!AB34:AB36)),MIN('13 Man'!AF34:AF36))))</f>
        <v/>
      </c>
      <c r="G326" s="1559" t="str">
        <f>IF(NOT('13 Man'!E33 = ""),'13 Man'!E33,IF(COUNTIF('13 Man'!E34:E36,"&gt;=0")=0,"", MIN(MAX(SUMPRODUCT('13 Man'!E34:E36,'13 Man'!$G34:$G36)*4/(SUM('13 Man'!$G34:$G36) - SUMIF('13 Man'!E34:E36,"X",'13 Man'!$G34:$G36)),MAX('13 Man'!AC34:AC36)),MIN('13 Man'!AG34:AG36))))</f>
        <v/>
      </c>
      <c r="H326" s="1559" t="str">
        <f>IF(NOT('13 Man'!F33 = ""),'13 Man'!F33,IF(COUNTIF('13 Man'!F34:F36,"&gt;=0")=0,"", MIN(MAX(SUMPRODUCT('13 Man'!F34:F36,'13 Man'!$G34:$G36)*4/(SUM('13 Man'!$G34:$G36) - SUMIF('13 Man'!F34:F36,"X",'13 Man'!$G34:$G36)),MAX('13 Man'!AD34:AD36)),MIN('13 Man'!AH34:AH36))))</f>
        <v/>
      </c>
      <c r="I326" s="1557">
        <f>IF(AND(OR(E326="X",E326=""),OR(F326="X",F326=""),OR(G326="X",G326=""),OR(H326="X",H326="")),1,ROUND(MIN(IF(OR(E326="",E326="X"),4,E326),IF(OR(F326="",F326="X"),4,F326),IF(OR(G326="",G326="X"),4,G326),IF(OR(H326="",H326="X"),4,H326)),0))</f>
        <v>1</v>
      </c>
      <c r="J326" s="1557">
        <f>IF(I326="","",IF(IndG=3,MAX(I326,Obj_Projets!J326),MAX(I326,Obj_PA!D326)))</f>
        <v>1</v>
      </c>
      <c r="K326" s="1560">
        <f>IF(IF(OR(IndG=3,IndG=4),MAX(I326,J326),I326)&lt;1,1,IF(OR(IndG=3,IndG=4),MAX(I326,J326),I326))</f>
        <v>1</v>
      </c>
      <c r="L326" s="1650" t="str">
        <f>IF(E326=""," n'a pas démarré","")</f>
        <v xml:space="preserve"> n'a pas démarré</v>
      </c>
      <c r="M326" s="154"/>
      <c r="N326" s="154"/>
      <c r="O326" s="154"/>
      <c r="P326" s="154"/>
      <c r="Q326" s="154"/>
      <c r="R326" s="154"/>
      <c r="S326" s="154"/>
      <c r="T326" s="154"/>
      <c r="U326" s="154"/>
      <c r="V326" s="154"/>
      <c r="W326" s="154"/>
      <c r="X326" s="154"/>
      <c r="Y326" s="154"/>
      <c r="Z326" s="154"/>
      <c r="AA326" s="154"/>
      <c r="AB326" s="154"/>
      <c r="AC326" s="154"/>
      <c r="AD326" s="154"/>
      <c r="AE326" s="154"/>
      <c r="AF326" s="154"/>
      <c r="AG326" s="154"/>
      <c r="AH326" s="154"/>
      <c r="AI326" s="154"/>
      <c r="AJ326" s="154"/>
      <c r="AK326" s="154"/>
      <c r="AL326" s="154"/>
      <c r="AM326" s="154"/>
      <c r="AN326" s="154"/>
      <c r="AO326" s="154"/>
      <c r="AP326" s="154"/>
      <c r="AQ326" s="154"/>
      <c r="AR326" s="154"/>
      <c r="AS326" s="154"/>
      <c r="AT326" s="154"/>
      <c r="AU326" s="154"/>
      <c r="AV326" s="154"/>
      <c r="AW326" s="154"/>
      <c r="AX326" s="154"/>
      <c r="AY326" s="154"/>
      <c r="AZ326" s="154"/>
      <c r="BA326" s="154"/>
      <c r="BB326" s="154"/>
    </row>
    <row r="327" spans="1:54" s="527" customFormat="1" ht="15.75" customHeight="1" outlineLevel="1" x14ac:dyDescent="0.2">
      <c r="A327" s="1212"/>
      <c r="B327" s="1213" t="s">
        <v>3142</v>
      </c>
      <c r="C327" s="1214" t="s">
        <v>2411</v>
      </c>
      <c r="D327" s="1554"/>
      <c r="E327" s="1559"/>
      <c r="F327" s="1559"/>
      <c r="G327" s="1559"/>
      <c r="H327" s="1559"/>
      <c r="I327" s="1561"/>
      <c r="J327" s="1557"/>
      <c r="K327" s="1561"/>
      <c r="L327" s="1650"/>
      <c r="M327" s="154"/>
      <c r="N327" s="154"/>
      <c r="O327" s="154"/>
      <c r="P327" s="154"/>
      <c r="Q327" s="154"/>
      <c r="R327" s="154"/>
      <c r="S327" s="154"/>
      <c r="T327" s="154"/>
      <c r="U327" s="154"/>
      <c r="V327" s="154"/>
      <c r="W327" s="154"/>
      <c r="X327" s="154"/>
      <c r="Y327" s="154"/>
      <c r="Z327" s="154"/>
      <c r="AA327" s="154"/>
      <c r="AB327" s="154"/>
      <c r="AC327" s="154"/>
      <c r="AD327" s="154"/>
      <c r="AE327" s="154"/>
      <c r="AF327" s="154"/>
      <c r="AG327" s="154"/>
      <c r="AH327" s="154"/>
      <c r="AI327" s="154"/>
      <c r="AJ327" s="154"/>
      <c r="AK327" s="154"/>
      <c r="AL327" s="154"/>
      <c r="AM327" s="154"/>
      <c r="AN327" s="154"/>
      <c r="AO327" s="154"/>
      <c r="AP327" s="154"/>
      <c r="AQ327" s="154"/>
      <c r="AR327" s="154"/>
      <c r="AS327" s="154"/>
      <c r="AT327" s="154"/>
      <c r="AU327" s="154"/>
      <c r="AV327" s="154"/>
      <c r="AW327" s="154"/>
      <c r="AX327" s="154"/>
      <c r="AY327" s="154"/>
      <c r="AZ327" s="154"/>
      <c r="BA327" s="154"/>
      <c r="BB327" s="154"/>
    </row>
    <row r="328" spans="1:54" s="527" customFormat="1" ht="15.75" customHeight="1" outlineLevel="1" x14ac:dyDescent="0.2">
      <c r="A328" s="1212"/>
      <c r="B328" s="1212" t="s">
        <v>3671</v>
      </c>
      <c r="C328" s="1219" t="s">
        <v>4392</v>
      </c>
      <c r="D328" s="1562" t="s">
        <v>2619</v>
      </c>
      <c r="E328" s="1559" t="str">
        <f>IF(NOT('13 Man'!C38 = ""),'13 Man'!C38,IF(COUNTIF('13 Man'!C39:C53,"&gt;=0")=0,"", MIN(MAX(SUMPRODUCT('13 Man'!C39:C53,'13 Man'!$G39:$G53)*4/(SUM('13 Man'!$G39:$G53) - SUMIF('13 Man'!C39:C53,"X",'13 Man'!$G39:$G53)),MAX('13 Man'!AA39:AA53)),MIN('13 Man'!AE39:AE53))))</f>
        <v/>
      </c>
      <c r="F328" s="1559" t="str">
        <f>IF(NOT('13 Man'!D38 = ""),'13 Man'!D38,IF(COUNTIF('13 Man'!D39:D53,"&gt;=0")=0,"", MIN(MAX(SUMPRODUCT('13 Man'!D39:D53,'13 Man'!$G39:$G53)*4/(SUM('13 Man'!$G39:$G53) - SUMIF('13 Man'!D39:D53,"X",'13 Man'!$G39:$G53)),MAX('13 Man'!AB39:AB53)),MIN('13 Man'!AF39:AF53))))</f>
        <v/>
      </c>
      <c r="G328" s="1559" t="str">
        <f>IF(NOT('13 Man'!E38 = ""),'13 Man'!E38,IF(COUNTIF('13 Man'!E39:E53,"&gt;=0")=0,"", MIN(MAX(SUMPRODUCT('13 Man'!E39:E53,'13 Man'!$G39:$G53)*4/(SUM('13 Man'!$G39:$G53) - SUMIF('13 Man'!E39:E53,"X",'13 Man'!$G39:$G53)),MAX('13 Man'!AC39:AC53)),MIN('13 Man'!AG39:AG53))))</f>
        <v/>
      </c>
      <c r="H328" s="1559" t="str">
        <f>IF(NOT('13 Man'!F38 = ""),'13 Man'!F38,IF(COUNTIF('13 Man'!F39:F53,"&gt;=0")=0,"", MIN(MAX(SUMPRODUCT('13 Man'!F39:F53,'13 Man'!$G39:$G53)*4/(SUM('13 Man'!$G39:$G53) - SUMIF('13 Man'!F39:F53,"X",'13 Man'!$G39:$G53)),MAX('13 Man'!AD39:AD53)),MIN('13 Man'!AH39:AH53))))</f>
        <v/>
      </c>
      <c r="I328" s="1557">
        <f>IF(AND(OR(E328="X",E328=""),OR(F328="X",F328=""),OR(G328="X",G328=""),OR(H328="X",H328="")),1,ROUND(MIN(IF(OR(E328="",E328="X"),4,E328),IF(OR(F328="",F328="X"),4,F328),IF(OR(G328="",G328="X"),4,G328),IF(OR(H328="",H328="X"),4,H328)),0))</f>
        <v>1</v>
      </c>
      <c r="J328" s="1557">
        <f>IF(I328="","",IF(IndG=3,MAX(I328,Obj_Projets!J328),MAX(I328,Obj_PA!D328)))</f>
        <v>1</v>
      </c>
      <c r="K328" s="1560">
        <f>IF(IF(OR(IndG=3,IndG=4),MAX(I328,J328),I328)&lt;1,1,IF(OR(IndG=3,IndG=4),MAX(I328,J328),I328))</f>
        <v>1</v>
      </c>
      <c r="L328" s="1650" t="str">
        <f>IF(E328=""," n'a pas démarré","")</f>
        <v xml:space="preserve"> n'a pas démarré</v>
      </c>
      <c r="M328" s="154"/>
      <c r="N328" s="154"/>
      <c r="O328" s="154"/>
      <c r="P328" s="154"/>
      <c r="Q328" s="154"/>
      <c r="R328" s="154"/>
      <c r="S328" s="154"/>
      <c r="T328" s="154"/>
      <c r="U328" s="154"/>
      <c r="V328" s="154"/>
      <c r="W328" s="154"/>
      <c r="X328" s="154"/>
      <c r="Y328" s="154"/>
      <c r="Z328" s="154"/>
      <c r="AA328" s="154"/>
      <c r="AB328" s="154"/>
      <c r="AC328" s="154"/>
      <c r="AD328" s="154"/>
      <c r="AE328" s="154"/>
      <c r="AF328" s="154"/>
      <c r="AG328" s="154"/>
      <c r="AH328" s="154"/>
      <c r="AI328" s="154"/>
      <c r="AJ328" s="154"/>
      <c r="AK328" s="154"/>
      <c r="AL328" s="154"/>
      <c r="AM328" s="154"/>
      <c r="AN328" s="154"/>
      <c r="AO328" s="154"/>
      <c r="AP328" s="154"/>
      <c r="AQ328" s="154"/>
      <c r="AR328" s="154"/>
      <c r="AS328" s="154"/>
      <c r="AT328" s="154"/>
      <c r="AU328" s="154"/>
      <c r="AV328" s="154"/>
      <c r="AW328" s="154"/>
      <c r="AX328" s="154"/>
      <c r="AY328" s="154"/>
      <c r="AZ328" s="154"/>
      <c r="BA328" s="154"/>
      <c r="BB328" s="154"/>
    </row>
    <row r="329" spans="1:54" s="527" customFormat="1" ht="15.75" customHeight="1" outlineLevel="1" x14ac:dyDescent="0.2">
      <c r="A329" s="1212"/>
      <c r="B329" s="1212" t="s">
        <v>4380</v>
      </c>
      <c r="C329" s="1219" t="s">
        <v>2933</v>
      </c>
      <c r="D329" s="1562" t="s">
        <v>2619</v>
      </c>
      <c r="E329" s="1559" t="str">
        <f>IF(NOT('13 Man'!C54 = ""),'13 Man'!C54,IF(COUNTIF('13 Man'!C55:C63,"&gt;=0")=0,"", MIN(MAX(SUMPRODUCT('13 Man'!C55:C63,'13 Man'!$G55:$G63)*4/(SUM('13 Man'!$G55:$G63) - SUMIF('13 Man'!C55:C63,"X",'13 Man'!$G55:$G63)),MAX('13 Man'!AA55:AA63)),MIN('13 Man'!AE55:AE63))))</f>
        <v/>
      </c>
      <c r="F329" s="1559" t="str">
        <f>IF(NOT('13 Man'!D54 = ""),'13 Man'!D54,IF(COUNTIF('13 Man'!D55:D63,"&gt;=0")=0,"", MIN(MAX(SUMPRODUCT('13 Man'!D55:D63,'13 Man'!$G55:$G63)*4/(SUM('13 Man'!$G55:$G63) - SUMIF('13 Man'!D55:D63,"X",'13 Man'!$G55:$G63)),MAX('13 Man'!AB55:AB63)),MIN('13 Man'!AF55:AF63))))</f>
        <v/>
      </c>
      <c r="G329" s="1559" t="str">
        <f>IF(NOT('13 Man'!E54 = ""),'13 Man'!E54,IF(COUNTIF('13 Man'!E55:E63,"&gt;=0")=0,"", MIN(MAX(SUMPRODUCT('13 Man'!E55:E63,'13 Man'!$G55:$G63)*4/(SUM('13 Man'!$G55:$G63) - SUMIF('13 Man'!E55:E63,"X",'13 Man'!$G55:$G63)),MAX('13 Man'!AC55:AC63)),MIN('13 Man'!AG55:AG63))))</f>
        <v/>
      </c>
      <c r="H329" s="1559" t="str">
        <f>IF(NOT('13 Man'!F54 = ""),'13 Man'!F54,IF(COUNTIF('13 Man'!F55:F63,"&gt;=0")=0,"", MIN(MAX(SUMPRODUCT('13 Man'!F55:F63,'13 Man'!$G55:$G63)*4/(SUM('13 Man'!$G55:$G63) - SUMIF('13 Man'!F55:F63,"X",'13 Man'!$G55:$G63)),MAX('13 Man'!AD55:AD63)),MIN('13 Man'!AH55:AH63))))</f>
        <v/>
      </c>
      <c r="I329" s="1557">
        <f>IF(AND(OR(E329="X",E329=""),OR(F329="X",F329=""),OR(G329="X",G329=""),OR(H329="X",H329="")),1,ROUND(MIN(IF(OR(E329="",E329="X"),4,E329),IF(OR(F329="",F329="X"),4,F329),IF(OR(G329="",G329="X"),4,G329),IF(OR(H329="",H329="X"),4,H329)),0))</f>
        <v>1</v>
      </c>
      <c r="J329" s="1557">
        <f>IF(I329="","",IF(IndG=3,MAX(I329,Obj_Projets!J329),MAX(I329,Obj_PA!D329)))</f>
        <v>1</v>
      </c>
      <c r="K329" s="1560">
        <f>IF(IF(OR(IndG=3,IndG=4),MAX(I329,J329),I329)&lt;1,1,IF(OR(IndG=3,IndG=4),MAX(I329,J329),I329))</f>
        <v>1</v>
      </c>
      <c r="L329" s="1650" t="str">
        <f>IF(E329=""," n'a pas démarré","")</f>
        <v xml:space="preserve"> n'a pas démarré</v>
      </c>
      <c r="M329" s="154"/>
      <c r="N329" s="154"/>
      <c r="O329" s="154"/>
      <c r="P329" s="154"/>
      <c r="Q329" s="154"/>
      <c r="R329" s="154"/>
      <c r="S329" s="154"/>
      <c r="T329" s="154"/>
      <c r="U329" s="154"/>
      <c r="V329" s="154"/>
      <c r="W329" s="154"/>
      <c r="X329" s="154"/>
      <c r="Y329" s="154"/>
      <c r="Z329" s="154"/>
      <c r="AA329" s="154"/>
      <c r="AB329" s="154"/>
      <c r="AC329" s="154"/>
      <c r="AD329" s="154"/>
      <c r="AE329" s="154"/>
      <c r="AF329" s="154"/>
      <c r="AG329" s="154"/>
      <c r="AH329" s="154"/>
      <c r="AI329" s="154"/>
      <c r="AJ329" s="154"/>
      <c r="AK329" s="154"/>
      <c r="AL329" s="154"/>
      <c r="AM329" s="154"/>
      <c r="AN329" s="154"/>
      <c r="AO329" s="154"/>
      <c r="AP329" s="154"/>
      <c r="AQ329" s="154"/>
      <c r="AR329" s="154"/>
      <c r="AS329" s="154"/>
      <c r="AT329" s="154"/>
      <c r="AU329" s="154"/>
      <c r="AV329" s="154"/>
      <c r="AW329" s="154"/>
      <c r="AX329" s="154"/>
      <c r="AY329" s="154"/>
      <c r="AZ329" s="154"/>
      <c r="BA329" s="154"/>
      <c r="BB329" s="154"/>
    </row>
    <row r="330" spans="1:54" s="527" customFormat="1" ht="15.75" customHeight="1" outlineLevel="1" x14ac:dyDescent="0.2">
      <c r="A330" s="1212"/>
      <c r="B330" s="1212" t="s">
        <v>4389</v>
      </c>
      <c r="C330" s="1219" t="s">
        <v>5174</v>
      </c>
      <c r="D330" s="1562" t="s">
        <v>2617</v>
      </c>
      <c r="E330" s="1559" t="str">
        <f>IF(NOT('13 Man'!C64 = ""),'13 Man'!C64,IF(COUNTIF('13 Man'!C65:C67,"&gt;=0")=0,"", MIN(MAX(SUMPRODUCT('13 Man'!C65:C67,'13 Man'!$G65:$G67)*4/(SUM('13 Man'!$G65:$G67) - SUMIF('13 Man'!C65:C67,"X",'13 Man'!$G65:$G67)),MAX('13 Man'!AA65:AA67)),MIN('13 Man'!AE65:AE67))))</f>
        <v/>
      </c>
      <c r="F330" s="1559" t="str">
        <f>IF(NOT('13 Man'!D64 = ""),'13 Man'!D64,IF(COUNTIF('13 Man'!D65:D67,"&gt;=0")=0,"", MIN(MAX(SUMPRODUCT('13 Man'!D65:D67,'13 Man'!$G65:$G67)*4/(SUM('13 Man'!$G65:$G67) - SUMIF('13 Man'!D65:D67,"X",'13 Man'!$G65:$G67)),MAX('13 Man'!AB65:AB67)),MIN('13 Man'!AF65:AF67))))</f>
        <v/>
      </c>
      <c r="G330" s="1559" t="str">
        <f>IF(NOT('13 Man'!E64 = ""),'13 Man'!E64,IF(COUNTIF('13 Man'!E65:E67,"&gt;=0")=0,"", MIN(MAX(SUMPRODUCT('13 Man'!E65:E67,'13 Man'!$G65:$G67)*4/(SUM('13 Man'!$G65:$G67) - SUMIF('13 Man'!E65:E67,"X",'13 Man'!$G65:$G67)),MAX('13 Man'!AC65:AC67)),MIN('13 Man'!AG65:AG67))))</f>
        <v/>
      </c>
      <c r="H330" s="1559" t="str">
        <f>IF(NOT('13 Man'!F64 = ""),'13 Man'!F64,IF(COUNTIF('13 Man'!F65:F67,"&gt;=0")=0,"", MIN(MAX(SUMPRODUCT('13 Man'!F65:F67,'13 Man'!$G65:$G67)*4/(SUM('13 Man'!$G65:$G67) - SUMIF('13 Man'!F65:F67,"X",'13 Man'!$G65:$G67)),MAX('13 Man'!AD65:AD67)),MIN('13 Man'!AH65:AH67))))</f>
        <v/>
      </c>
      <c r="I330" s="1557">
        <f>IF(AND(OR(E330="X",E330=""),OR(F330="X",F330=""),OR(G330="X",G330=""),OR(H330="X",H330="")),1,ROUND(MIN(IF(OR(E330="",E330="X"),4,E330),IF(OR(F330="",F330="X"),4,F330),IF(OR(G330="",G330="X"),4,G330),IF(OR(H330="",H330="X"),4,H330)),0))</f>
        <v>1</v>
      </c>
      <c r="J330" s="1557">
        <f>IF(I330="","",IF(IndG=3,MAX(I330,Obj_Projets!J330),MAX(I330,Obj_PA!D330)))</f>
        <v>1</v>
      </c>
      <c r="K330" s="1560">
        <f>IF(IF(OR(IndG=3,IndG=4),MAX(I330,J330),I330)&lt;1,1,IF(OR(IndG=3,IndG=4),MAX(I330,J330),I330))</f>
        <v>1</v>
      </c>
      <c r="L330" s="1650" t="str">
        <f>IF(E330=""," n'a pas démarré","")</f>
        <v xml:space="preserve"> n'a pas démarré</v>
      </c>
      <c r="M330" s="154"/>
      <c r="N330" s="154"/>
      <c r="O330" s="154"/>
      <c r="P330" s="154"/>
      <c r="Q330" s="154"/>
      <c r="R330" s="154"/>
      <c r="S330" s="154"/>
      <c r="T330" s="154"/>
      <c r="U330" s="154"/>
      <c r="V330" s="154"/>
      <c r="W330" s="154"/>
      <c r="X330" s="154"/>
      <c r="Y330" s="154"/>
      <c r="Z330" s="154"/>
      <c r="AA330" s="154"/>
      <c r="AB330" s="154"/>
      <c r="AC330" s="154"/>
      <c r="AD330" s="154"/>
      <c r="AE330" s="154"/>
      <c r="AF330" s="154"/>
      <c r="AG330" s="154"/>
      <c r="AH330" s="154"/>
      <c r="AI330" s="154"/>
      <c r="AJ330" s="154"/>
      <c r="AK330" s="154"/>
      <c r="AL330" s="154"/>
      <c r="AM330" s="154"/>
      <c r="AN330" s="154"/>
      <c r="AO330" s="154"/>
      <c r="AP330" s="154"/>
      <c r="AQ330" s="154"/>
      <c r="AR330" s="154"/>
      <c r="AS330" s="154"/>
      <c r="AT330" s="154"/>
      <c r="AU330" s="154"/>
      <c r="AV330" s="154"/>
      <c r="AW330" s="154"/>
      <c r="AX330" s="154"/>
      <c r="AY330" s="154"/>
      <c r="AZ330" s="154"/>
      <c r="BA330" s="154"/>
      <c r="BB330" s="154"/>
    </row>
    <row r="331" spans="1:54" s="527" customFormat="1" ht="15.75" customHeight="1" outlineLevel="1" x14ac:dyDescent="0.2">
      <c r="A331" s="1212"/>
      <c r="B331" s="1212" t="s">
        <v>4390</v>
      </c>
      <c r="C331" s="1219" t="s">
        <v>5397</v>
      </c>
      <c r="D331" s="1562" t="s">
        <v>2617</v>
      </c>
      <c r="E331" s="1559" t="str">
        <f>IF(NOT('13 Man'!C68 = ""),'13 Man'!C68,IF(COUNTIF('13 Man'!C69:C71,"&gt;=0")=0,"", MIN(MAX(SUMPRODUCT('13 Man'!C69:C71,'13 Man'!$G69:$G71)*4/(SUM('13 Man'!$G69:$G71) - SUMIF('13 Man'!C69:C71,"X",'13 Man'!$G69:$G71)),MAX('13 Man'!AA69:AA71)),MIN('13 Man'!AE69:AE71))))</f>
        <v/>
      </c>
      <c r="F331" s="1559" t="str">
        <f>IF(NOT('13 Man'!D68 = ""),'13 Man'!D68,IF(COUNTIF('13 Man'!D69:D71,"&gt;=0")=0,"", MIN(MAX(SUMPRODUCT('13 Man'!D69:D71,'13 Man'!$G69:$G71)*4/(SUM('13 Man'!$G69:$G71) - SUMIF('13 Man'!D69:D71,"X",'13 Man'!$G69:$G71)),MAX('13 Man'!AB69:AB71)),MIN('13 Man'!AF69:AF71))))</f>
        <v/>
      </c>
      <c r="G331" s="1559" t="str">
        <f>IF(NOT('13 Man'!E68 = ""),'13 Man'!E68,IF(COUNTIF('13 Man'!E69:E71,"&gt;=0")=0,"", MIN(MAX(SUMPRODUCT('13 Man'!E69:E71,'13 Man'!$G69:$G71)*4/(SUM('13 Man'!$G69:$G71) - SUMIF('13 Man'!E69:E71,"X",'13 Man'!$G69:$G71)),MAX('13 Man'!AC69:AC71)),MIN('13 Man'!AG69:AG71))))</f>
        <v/>
      </c>
      <c r="H331" s="1559" t="str">
        <f>IF(NOT('13 Man'!F68 = ""),'13 Man'!F68,IF(COUNTIF('13 Man'!F69:F71,"&gt;=0")=0,"", MIN(MAX(SUMPRODUCT('13 Man'!F69:F71,'13 Man'!$G69:$G71)*4/(SUM('13 Man'!$G69:$G71) - SUMIF('13 Man'!F69:F71,"X",'13 Man'!$G69:$G71)),MAX('13 Man'!AD69:AD71)),MIN('13 Man'!AH69:AH71))))</f>
        <v/>
      </c>
      <c r="I331" s="1557">
        <f>IF(AND(OR(E331="X",E331=""),OR(F331="X",F331=""),OR(G331="X",G331=""),OR(H331="X",H331="")),1,ROUND(MIN(IF(OR(E331="",E331="X"),4,E331),IF(OR(F331="",F331="X"),4,F331),IF(OR(G331="",G331="X"),4,G331),IF(OR(H331="",H331="X"),4,H331)),0))</f>
        <v>1</v>
      </c>
      <c r="J331" s="1557">
        <f>IF(I331="","",IF(IndG=3,MAX(I331,Obj_Projets!J331),MAX(I331,Obj_PA!D331)))</f>
        <v>1</v>
      </c>
      <c r="K331" s="1560">
        <f>IF(IF(OR(IndG=3,IndG=4),MAX(I331,J331),I331)&lt;1,1,IF(OR(IndG=3,IndG=4),MAX(I331,J331),I331))</f>
        <v>1</v>
      </c>
      <c r="L331" s="1650" t="str">
        <f>IF(E331=""," n'a pas démarré","")</f>
        <v xml:space="preserve"> n'a pas démarré</v>
      </c>
      <c r="M331" s="154"/>
      <c r="N331" s="154"/>
      <c r="O331" s="154"/>
      <c r="P331" s="154"/>
      <c r="Q331" s="154"/>
      <c r="R331" s="154"/>
      <c r="S331" s="154"/>
      <c r="T331" s="154"/>
      <c r="U331" s="154"/>
      <c r="V331" s="154"/>
      <c r="W331" s="154"/>
      <c r="X331" s="154"/>
      <c r="Y331" s="154"/>
      <c r="Z331" s="154"/>
      <c r="AA331" s="154"/>
      <c r="AB331" s="154"/>
      <c r="AC331" s="154"/>
      <c r="AD331" s="154"/>
      <c r="AE331" s="154"/>
      <c r="AF331" s="154"/>
      <c r="AG331" s="154"/>
      <c r="AH331" s="154"/>
      <c r="AI331" s="154"/>
      <c r="AJ331" s="154"/>
      <c r="AK331" s="154"/>
      <c r="AL331" s="154"/>
      <c r="AM331" s="154"/>
      <c r="AN331" s="154"/>
      <c r="AO331" s="154"/>
      <c r="AP331" s="154"/>
      <c r="AQ331" s="154"/>
      <c r="AR331" s="154"/>
      <c r="AS331" s="154"/>
      <c r="AT331" s="154"/>
      <c r="AU331" s="154"/>
      <c r="AV331" s="154"/>
      <c r="AW331" s="154"/>
      <c r="AX331" s="154"/>
      <c r="AY331" s="154"/>
      <c r="AZ331" s="154"/>
      <c r="BA331" s="154"/>
      <c r="BB331" s="154"/>
    </row>
    <row r="332" spans="1:54" s="527" customFormat="1" ht="15.75" customHeight="1" outlineLevel="1" x14ac:dyDescent="0.2">
      <c r="A332" s="1212"/>
      <c r="B332" s="1213" t="s">
        <v>6580</v>
      </c>
      <c r="C332" s="1214" t="s">
        <v>1917</v>
      </c>
      <c r="D332" s="1554"/>
      <c r="E332" s="1559"/>
      <c r="F332" s="1559"/>
      <c r="G332" s="1559"/>
      <c r="H332" s="1559"/>
      <c r="I332" s="1561"/>
      <c r="J332" s="1557"/>
      <c r="K332" s="1561"/>
      <c r="L332" s="1650"/>
      <c r="M332" s="154"/>
      <c r="N332" s="154"/>
      <c r="O332" s="154"/>
      <c r="P332" s="154"/>
      <c r="Q332" s="154"/>
      <c r="R332" s="154"/>
      <c r="S332" s="154"/>
      <c r="T332" s="154"/>
      <c r="U332" s="154"/>
      <c r="V332" s="154"/>
      <c r="W332" s="154"/>
      <c r="X332" s="154"/>
      <c r="Y332" s="154"/>
      <c r="Z332" s="154"/>
      <c r="AA332" s="154"/>
      <c r="AB332" s="154"/>
      <c r="AC332" s="154"/>
      <c r="AD332" s="154"/>
      <c r="AE332" s="154"/>
      <c r="AF332" s="154"/>
      <c r="AG332" s="154"/>
      <c r="AH332" s="154"/>
      <c r="AI332" s="154"/>
      <c r="AJ332" s="154"/>
      <c r="AK332" s="154"/>
      <c r="AL332" s="154"/>
      <c r="AM332" s="154"/>
      <c r="AN332" s="154"/>
      <c r="AO332" s="154"/>
      <c r="AP332" s="154"/>
      <c r="AQ332" s="154"/>
      <c r="AR332" s="154"/>
      <c r="AS332" s="154"/>
      <c r="AT332" s="154"/>
      <c r="AU332" s="154"/>
      <c r="AV332" s="154"/>
      <c r="AW332" s="154"/>
      <c r="AX332" s="154"/>
      <c r="AY332" s="154"/>
      <c r="AZ332" s="154"/>
      <c r="BA332" s="154"/>
      <c r="BB332" s="154"/>
    </row>
    <row r="333" spans="1:54" s="527" customFormat="1" ht="15.75" customHeight="1" outlineLevel="1" x14ac:dyDescent="0.2">
      <c r="A333" s="1212"/>
      <c r="B333" s="1212" t="s">
        <v>3672</v>
      </c>
      <c r="C333" s="1219" t="s">
        <v>2049</v>
      </c>
      <c r="D333" s="1562" t="s">
        <v>2619</v>
      </c>
      <c r="E333" s="1559" t="str">
        <f>IF(NOT('13 Man'!C73 = ""),'13 Man'!C73,IF(COUNTIF('13 Man'!C74:C81,"&gt;=0")=0,"", MIN(MAX(SUMPRODUCT('13 Man'!C74:C81,'13 Man'!$G74:$G81)*4/(SUM('13 Man'!$G74:$G81) - SUMIF('13 Man'!C74:C81,"X",'13 Man'!$G74:$G81)),MAX('13 Man'!AA74:AA81)),MIN('13 Man'!AE74:AE81))))</f>
        <v/>
      </c>
      <c r="F333" s="1559" t="str">
        <f>IF(NOT('13 Man'!D73 = ""),'13 Man'!D73,IF(COUNTIF('13 Man'!D74:D81,"&gt;=0")=0,"", MIN(MAX(SUMPRODUCT('13 Man'!D74:D81,'13 Man'!$G74:$G81)*4/(SUM('13 Man'!$G74:$G81) - SUMIF('13 Man'!D74:D81,"X",'13 Man'!$G74:$G81)),MAX('13 Man'!AB74:AB81)),MIN('13 Man'!AF74:AF81))))</f>
        <v/>
      </c>
      <c r="G333" s="1559" t="str">
        <f>IF(NOT('13 Man'!E73 = ""),'13 Man'!E73,IF(COUNTIF('13 Man'!E74:E81,"&gt;=0")=0,"", MIN(MAX(SUMPRODUCT('13 Man'!E74:E81,'13 Man'!$G74:$G81)*4/(SUM('13 Man'!$G74:$G81) - SUMIF('13 Man'!E74:E81,"X",'13 Man'!$G74:$G81)),MAX('13 Man'!AC74:AC81)),MIN('13 Man'!AG74:AG81))))</f>
        <v/>
      </c>
      <c r="H333" s="1559" t="str">
        <f>IF(NOT('13 Man'!F73 = ""),'13 Man'!F73,IF(COUNTIF('13 Man'!F74:F81,"&gt;=0")=0,"", MIN(MAX(SUMPRODUCT('13 Man'!F74:F81,'13 Man'!$G74:$G81)*4/(SUM('13 Man'!$G74:$G81) - SUMIF('13 Man'!F74:F81,"X",'13 Man'!$G74:$G81)),MAX('13 Man'!AD74:AD81)),MIN('13 Man'!AH74:AH81))))</f>
        <v/>
      </c>
      <c r="I333" s="1557">
        <f>IF(AND(OR(E333="X",E333=""),OR(F333="X",F333=""),OR(G333="X",G333=""),OR(H333="X",H333="")),1,ROUND(MIN(IF(OR(E333="",E333="X"),4,E333),IF(OR(F333="",F333="X"),4,F333),IF(OR(G333="",G333="X"),4,G333),IF(OR(H333="",H333="X"),4,H333)),0))</f>
        <v>1</v>
      </c>
      <c r="J333" s="1557">
        <f>IF(I333="","",IF(IndG=3,MAX(I333,Obj_Projets!J333),MAX(I333,Obj_PA!D333)))</f>
        <v>1</v>
      </c>
      <c r="K333" s="1560">
        <f>IF(IF(OR(IndG=3,IndG=4),MAX(I333,J333),I333)&lt;1,1,IF(OR(IndG=3,IndG=4),MAX(I333,J333),I333))</f>
        <v>1</v>
      </c>
      <c r="L333" s="1650" t="str">
        <f>IF(E333=""," n'a pas démarré","")</f>
        <v xml:space="preserve"> n'a pas démarré</v>
      </c>
      <c r="M333" s="154"/>
      <c r="N333" s="154"/>
      <c r="O333" s="154"/>
      <c r="P333" s="154"/>
      <c r="Q333" s="154"/>
      <c r="R333" s="154"/>
      <c r="S333" s="154"/>
      <c r="T333" s="154"/>
      <c r="U333" s="154"/>
      <c r="V333" s="154"/>
      <c r="W333" s="154"/>
      <c r="X333" s="154"/>
      <c r="Y333" s="154"/>
      <c r="Z333" s="154"/>
      <c r="AA333" s="154"/>
      <c r="AB333" s="154"/>
      <c r="AC333" s="154"/>
      <c r="AD333" s="154"/>
      <c r="AE333" s="154"/>
      <c r="AF333" s="154"/>
      <c r="AG333" s="154"/>
      <c r="AH333" s="154"/>
      <c r="AI333" s="154"/>
      <c r="AJ333" s="154"/>
      <c r="AK333" s="154"/>
      <c r="AL333" s="154"/>
      <c r="AM333" s="154"/>
      <c r="AN333" s="154"/>
      <c r="AO333" s="154"/>
      <c r="AP333" s="154"/>
      <c r="AQ333" s="154"/>
      <c r="AR333" s="154"/>
      <c r="AS333" s="154"/>
      <c r="AT333" s="154"/>
      <c r="AU333" s="154"/>
      <c r="AV333" s="154"/>
      <c r="AW333" s="154"/>
      <c r="AX333" s="154"/>
      <c r="AY333" s="154"/>
      <c r="AZ333" s="154"/>
      <c r="BA333" s="154"/>
      <c r="BB333" s="154"/>
    </row>
    <row r="334" spans="1:54" s="527" customFormat="1" ht="15.75" customHeight="1" outlineLevel="1" x14ac:dyDescent="0.2">
      <c r="A334" s="1212"/>
      <c r="B334" s="1212" t="s">
        <v>3361</v>
      </c>
      <c r="C334" s="1219" t="s">
        <v>2051</v>
      </c>
      <c r="D334" s="1562" t="s">
        <v>2619</v>
      </c>
      <c r="E334" s="1559" t="str">
        <f>IF(NOT('13 Man'!C82 = ""),'13 Man'!C82,IF(COUNTIF('13 Man'!C83:C93,"&gt;=0")=0,"", MIN(MAX(SUMPRODUCT('13 Man'!C83:C93,'13 Man'!$G83:$G93)*4/(SUM('13 Man'!$G83:$G93) - SUMIF('13 Man'!C83:C93,"X",'13 Man'!$G83:$G93)),MAX('13 Man'!AA83:AA93)),MIN('13 Man'!AE83:AE93))))</f>
        <v/>
      </c>
      <c r="F334" s="1559" t="str">
        <f>IF(NOT('13 Man'!D82 = ""),'13 Man'!D82,IF(COUNTIF('13 Man'!D83:D93,"&gt;=0")=0,"", MIN(MAX(SUMPRODUCT('13 Man'!D83:D93,'13 Man'!$G83:$G93)*4/(SUM('13 Man'!$G83:$G93) - SUMIF('13 Man'!D83:D93,"X",'13 Man'!$G83:$G93)),MAX('13 Man'!AB83:AB93)),MIN('13 Man'!AF83:AF93))))</f>
        <v/>
      </c>
      <c r="G334" s="1559" t="str">
        <f>IF(NOT('13 Man'!E82 = ""),'13 Man'!E82,IF(COUNTIF('13 Man'!E83:E93,"&gt;=0")=0,"", MIN(MAX(SUMPRODUCT('13 Man'!E83:E93,'13 Man'!$G83:$G93)*4/(SUM('13 Man'!$G83:$G93) - SUMIF('13 Man'!E83:E93,"X",'13 Man'!$G83:$G93)),MAX('13 Man'!AC83:AC93)),MIN('13 Man'!AG83:AG93))))</f>
        <v/>
      </c>
      <c r="H334" s="1559" t="str">
        <f>IF(NOT('13 Man'!F82 = ""),'13 Man'!F82,IF(COUNTIF('13 Man'!F83:F93,"&gt;=0")=0,"", MIN(MAX(SUMPRODUCT('13 Man'!F83:F93,'13 Man'!$G83:$G93)*4/(SUM('13 Man'!$G83:$G93) - SUMIF('13 Man'!F83:F93,"X",'13 Man'!$G83:$G93)),MAX('13 Man'!AD83:AD93)),MIN('13 Man'!AH83:AH93))))</f>
        <v/>
      </c>
      <c r="I334" s="1557">
        <f>IF(AND(OR(E334="X",E334=""),OR(F334="X",F334=""),OR(G334="X",G334=""),OR(H334="X",H334="")),1,ROUND(MIN(IF(OR(E334="",E334="X"),4,E334),IF(OR(F334="",F334="X"),4,F334),IF(OR(G334="",G334="X"),4,G334),IF(OR(H334="",H334="X"),4,H334)),0))</f>
        <v>1</v>
      </c>
      <c r="J334" s="1557">
        <f>IF(I334="","",IF(IndG=3,MAX(I334,Obj_Projets!J334),MAX(I334,Obj_PA!D334)))</f>
        <v>1</v>
      </c>
      <c r="K334" s="1560">
        <f>IF(IF(OR(IndG=3,IndG=4),MAX(I334,J334),I334)&lt;1,1,IF(OR(IndG=3,IndG=4),MAX(I334,J334),I334))</f>
        <v>1</v>
      </c>
      <c r="L334" s="1650" t="str">
        <f>IF(E334=""," n'a pas démarré","")</f>
        <v xml:space="preserve"> n'a pas démarré</v>
      </c>
      <c r="M334" s="154"/>
      <c r="N334" s="154"/>
      <c r="O334" s="154"/>
      <c r="P334" s="154"/>
      <c r="Q334" s="154"/>
      <c r="R334" s="154"/>
      <c r="S334" s="154"/>
      <c r="T334" s="154"/>
      <c r="U334" s="154"/>
      <c r="V334" s="154"/>
      <c r="W334" s="154"/>
      <c r="X334" s="154"/>
      <c r="Y334" s="154"/>
      <c r="Z334" s="154"/>
      <c r="AA334" s="154"/>
      <c r="AB334" s="154"/>
      <c r="AC334" s="154"/>
      <c r="AD334" s="154"/>
      <c r="AE334" s="154"/>
      <c r="AF334" s="154"/>
      <c r="AG334" s="154"/>
      <c r="AH334" s="154"/>
      <c r="AI334" s="154"/>
      <c r="AJ334" s="154"/>
      <c r="AK334" s="154"/>
      <c r="AL334" s="154"/>
      <c r="AM334" s="154"/>
      <c r="AN334" s="154"/>
      <c r="AO334" s="154"/>
      <c r="AP334" s="154"/>
      <c r="AQ334" s="154"/>
      <c r="AR334" s="154"/>
      <c r="AS334" s="154"/>
      <c r="AT334" s="154"/>
      <c r="AU334" s="154"/>
      <c r="AV334" s="154"/>
      <c r="AW334" s="154"/>
      <c r="AX334" s="154"/>
      <c r="AY334" s="154"/>
      <c r="AZ334" s="154"/>
      <c r="BA334" s="154"/>
      <c r="BB334" s="154"/>
    </row>
    <row r="335" spans="1:54" s="527" customFormat="1" ht="15.75" customHeight="1" outlineLevel="1" x14ac:dyDescent="0.2">
      <c r="A335" s="1212"/>
      <c r="B335" s="1212" t="s">
        <v>3373</v>
      </c>
      <c r="C335" s="1219" t="s">
        <v>3082</v>
      </c>
      <c r="D335" s="1562" t="s">
        <v>2619</v>
      </c>
      <c r="E335" s="1559" t="str">
        <f>IF(NOT('13 Man'!C94 = ""),'13 Man'!C94,IF(COUNTIF('13 Man'!C95:C103,"&gt;=0")=0,"", MIN(MAX(SUMPRODUCT('13 Man'!C95:C103,'13 Man'!$G95:$G103)*4/(SUM('13 Man'!$G95:$G103) - SUMIF('13 Man'!C95:C103,"X",'13 Man'!$G95:$G103)),MAX('13 Man'!AA95:AA103)),MIN('13 Man'!AE95:AE103))))</f>
        <v/>
      </c>
      <c r="F335" s="1559" t="str">
        <f>IF(NOT('13 Man'!D94 = ""),'13 Man'!D94,IF(COUNTIF('13 Man'!D95:D103,"&gt;=0")=0,"", MIN(MAX(SUMPRODUCT('13 Man'!D95:D103,'13 Man'!$G95:$G103)*4/(SUM('13 Man'!$G95:$G103) - SUMIF('13 Man'!D95:D103,"X",'13 Man'!$G95:$G103)),MAX('13 Man'!AB95:AB103)),MIN('13 Man'!AF95:AF103))))</f>
        <v/>
      </c>
      <c r="G335" s="1559" t="str">
        <f>IF(NOT('13 Man'!E94 = ""),'13 Man'!E94,IF(COUNTIF('13 Man'!E95:E103,"&gt;=0")=0,"", MIN(MAX(SUMPRODUCT('13 Man'!E95:E103,'13 Man'!$G95:$G103)*4/(SUM('13 Man'!$G95:$G103) - SUMIF('13 Man'!E95:E103,"X",'13 Man'!$G95:$G103)),MAX('13 Man'!AC95:AC103)),MIN('13 Man'!AG95:AG103))))</f>
        <v/>
      </c>
      <c r="H335" s="1559" t="str">
        <f>IF(NOT('13 Man'!F94 = ""),'13 Man'!F94,IF(COUNTIF('13 Man'!F95:F103,"&gt;=0")=0,"", MIN(MAX(SUMPRODUCT('13 Man'!F95:F103,'13 Man'!$G95:$G103)*4/(SUM('13 Man'!$G95:$G103) - SUMIF('13 Man'!F95:F103,"X",'13 Man'!$G95:$G103)),MAX('13 Man'!AD95:AD103)),MIN('13 Man'!AH95:AH103))))</f>
        <v/>
      </c>
      <c r="I335" s="1557">
        <f>IF(AND(OR(E335="X",E335=""),OR(F335="X",F335=""),OR(G335="X",G335=""),OR(H335="X",H335="")),1,ROUND(MIN(IF(OR(E335="",E335="X"),4,E335),IF(OR(F335="",F335="X"),4,F335),IF(OR(G335="",G335="X"),4,G335),IF(OR(H335="",H335="X"),4,H335)),0))</f>
        <v>1</v>
      </c>
      <c r="J335" s="1557">
        <f>IF(I335="","",IF(IndG=3,MAX(I335,Obj_Projets!J335),MAX(I335,Obj_PA!D335)))</f>
        <v>1</v>
      </c>
      <c r="K335" s="1560">
        <f>IF(IF(OR(IndG=3,IndG=4),MAX(I335,J335),I335)&lt;1,1,IF(OR(IndG=3,IndG=4),MAX(I335,J335),I335))</f>
        <v>1</v>
      </c>
      <c r="L335" s="1650" t="str">
        <f>IF(E335=""," n'a pas démarré","")</f>
        <v xml:space="preserve"> n'a pas démarré</v>
      </c>
      <c r="M335" s="154"/>
      <c r="N335" s="154"/>
      <c r="O335" s="154"/>
      <c r="P335" s="154"/>
      <c r="Q335" s="154"/>
      <c r="R335" s="154"/>
      <c r="S335" s="154"/>
      <c r="T335" s="154"/>
      <c r="U335" s="154"/>
      <c r="V335" s="154"/>
      <c r="W335" s="154"/>
      <c r="X335" s="154"/>
      <c r="Y335" s="154"/>
      <c r="Z335" s="154"/>
      <c r="AA335" s="154"/>
      <c r="AB335" s="154"/>
      <c r="AC335" s="154"/>
      <c r="AD335" s="154"/>
      <c r="AE335" s="154"/>
      <c r="AF335" s="154"/>
      <c r="AG335" s="154"/>
      <c r="AH335" s="154"/>
      <c r="AI335" s="154"/>
      <c r="AJ335" s="154"/>
      <c r="AK335" s="154"/>
      <c r="AL335" s="154"/>
      <c r="AM335" s="154"/>
      <c r="AN335" s="154"/>
      <c r="AO335" s="154"/>
      <c r="AP335" s="154"/>
      <c r="AQ335" s="154"/>
      <c r="AR335" s="154"/>
      <c r="AS335" s="154"/>
      <c r="AT335" s="154"/>
      <c r="AU335" s="154"/>
      <c r="AV335" s="154"/>
      <c r="AW335" s="154"/>
      <c r="AX335" s="154"/>
      <c r="AY335" s="154"/>
      <c r="AZ335" s="154"/>
      <c r="BA335" s="154"/>
      <c r="BB335" s="154"/>
    </row>
    <row r="336" spans="1:54" s="527" customFormat="1" ht="15.75" customHeight="1" outlineLevel="1" x14ac:dyDescent="0.2">
      <c r="A336" s="1212"/>
      <c r="B336" s="1212" t="s">
        <v>3432</v>
      </c>
      <c r="C336" s="1219" t="s">
        <v>5175</v>
      </c>
      <c r="D336" s="1562" t="s">
        <v>2617</v>
      </c>
      <c r="E336" s="1559" t="str">
        <f>IF(NOT('13 Man'!C104 = ""),'13 Man'!C104,IF(COUNTIF('13 Man'!C105:C107,"&gt;=0")=0,"", MIN(MAX(SUMPRODUCT('13 Man'!C105:C107,'13 Man'!$G105:$G107)*4/(SUM('13 Man'!$G105:$G107) - SUMIF('13 Man'!C105:C107,"X",'13 Man'!$G105:$G107)),MAX('13 Man'!AA105:AA107)),MIN('13 Man'!AE105:AE107))))</f>
        <v/>
      </c>
      <c r="F336" s="1559" t="str">
        <f>IF(NOT('13 Man'!D104 = ""),'13 Man'!D104,IF(COUNTIF('13 Man'!D105:D107,"&gt;=0")=0,"", MIN(MAX(SUMPRODUCT('13 Man'!D105:D107,'13 Man'!$G105:$G107)*4/(SUM('13 Man'!$G105:$G107) - SUMIF('13 Man'!D105:D107,"X",'13 Man'!$G105:$G107)),MAX('13 Man'!AB105:AB107)),MIN('13 Man'!AF105:AF107))))</f>
        <v/>
      </c>
      <c r="G336" s="1559" t="str">
        <f>IF(NOT('13 Man'!E104 = ""),'13 Man'!E104,IF(COUNTIF('13 Man'!E105:E107,"&gt;=0")=0,"", MIN(MAX(SUMPRODUCT('13 Man'!E105:E107,'13 Man'!$G105:$G107)*4/(SUM('13 Man'!$G105:$G107) - SUMIF('13 Man'!E105:E107,"X",'13 Man'!$G105:$G107)),MAX('13 Man'!AC105:AC107)),MIN('13 Man'!AG105:AG107))))</f>
        <v/>
      </c>
      <c r="H336" s="1559" t="str">
        <f>IF(NOT('13 Man'!F104 = ""),'13 Man'!F104,IF(COUNTIF('13 Man'!F105:F107,"&gt;=0")=0,"", MIN(MAX(SUMPRODUCT('13 Man'!F105:F107,'13 Man'!$G105:$G107)*4/(SUM('13 Man'!$G105:$G107) - SUMIF('13 Man'!F105:F107,"X",'13 Man'!$G105:$G107)),MAX('13 Man'!AD105:AD107)),MIN('13 Man'!AH105:AH107))))</f>
        <v/>
      </c>
      <c r="I336" s="1557">
        <f>IF(AND(OR(E336="X",E336=""),OR(F336="X",F336=""),OR(G336="X",G336=""),OR(H336="X",H336="")),1,ROUND(MIN(IF(OR(E336="",E336="X"),4,E336),IF(OR(F336="",F336="X"),4,F336),IF(OR(G336="",G336="X"),4,G336),IF(OR(H336="",H336="X"),4,H336)),0))</f>
        <v>1</v>
      </c>
      <c r="J336" s="1557">
        <f>IF(I336="","",IF(IndG=3,MAX(I336,Obj_Projets!J336),MAX(I336,Obj_PA!D336)))</f>
        <v>1</v>
      </c>
      <c r="K336" s="1560">
        <f>IF(IF(OR(IndG=3,IndG=4),MAX(I336,J336),I336)&lt;1,1,IF(OR(IndG=3,IndG=4),MAX(I336,J336),I336))</f>
        <v>1</v>
      </c>
      <c r="L336" s="1650" t="str">
        <f>IF(E336=""," n'a pas démarré","")</f>
        <v xml:space="preserve"> n'a pas démarré</v>
      </c>
      <c r="M336" s="154"/>
      <c r="N336" s="154"/>
      <c r="O336" s="154"/>
      <c r="P336" s="154"/>
      <c r="Q336" s="154"/>
      <c r="R336" s="154"/>
      <c r="S336" s="154"/>
      <c r="T336" s="154"/>
      <c r="U336" s="154"/>
      <c r="V336" s="154"/>
      <c r="W336" s="154"/>
      <c r="X336" s="154"/>
      <c r="Y336" s="154"/>
      <c r="Z336" s="154"/>
      <c r="AA336" s="154"/>
      <c r="AB336" s="154"/>
      <c r="AC336" s="154"/>
      <c r="AD336" s="154"/>
      <c r="AE336" s="154"/>
      <c r="AF336" s="154"/>
      <c r="AG336" s="154"/>
      <c r="AH336" s="154"/>
      <c r="AI336" s="154"/>
      <c r="AJ336" s="154"/>
      <c r="AK336" s="154"/>
      <c r="AL336" s="154"/>
      <c r="AM336" s="154"/>
      <c r="AN336" s="154"/>
      <c r="AO336" s="154"/>
      <c r="AP336" s="154"/>
      <c r="AQ336" s="154"/>
      <c r="AR336" s="154"/>
      <c r="AS336" s="154"/>
      <c r="AT336" s="154"/>
      <c r="AU336" s="154"/>
      <c r="AV336" s="154"/>
      <c r="AW336" s="154"/>
      <c r="AX336" s="154"/>
      <c r="AY336" s="154"/>
      <c r="AZ336" s="154"/>
      <c r="BA336" s="154"/>
      <c r="BB336" s="154"/>
    </row>
    <row r="337" spans="1:54" s="527" customFormat="1" ht="15.75" customHeight="1" outlineLevel="1" x14ac:dyDescent="0.2">
      <c r="A337" s="1212"/>
      <c r="B337" s="1212" t="s">
        <v>3433</v>
      </c>
      <c r="C337" s="1219" t="s">
        <v>99</v>
      </c>
      <c r="D337" s="1562" t="s">
        <v>2617</v>
      </c>
      <c r="E337" s="1559" t="str">
        <f>IF(NOT('13 Man'!C108 = ""),'13 Man'!C108,IF(COUNTIF('13 Man'!C109:C111,"&gt;=0")=0,"", MIN(MAX(SUMPRODUCT('13 Man'!C109:C111,'13 Man'!$G109:$G111)*4/(SUM('13 Man'!$G109:$G111) - SUMIF('13 Man'!C109:C111,"X",'13 Man'!$G109:$G111)),MAX('13 Man'!AA109:AA111)),MIN('13 Man'!AE109:AE111))))</f>
        <v/>
      </c>
      <c r="F337" s="1573" t="str">
        <f>IF(NOT('13 Man'!D108 = ""),'13 Man'!D108,IF(COUNTIF('13 Man'!D109:D111,"&gt;=0")=0,"", MIN(MAX(SUMPRODUCT('13 Man'!D109:D111,'13 Man'!$G109:$G111)*4/(SUM('13 Man'!$G109:$G111) - SUMIF('13 Man'!D109:D111,"X",'13 Man'!$G109:$G111)),MAX('13 Man'!AB109:AB111)),MIN('13 Man'!AF109:AF111))))</f>
        <v/>
      </c>
      <c r="G337" s="1559" t="str">
        <f>IF(NOT('13 Man'!E108 = ""),'13 Man'!E108,IF(COUNTIF('13 Man'!E109:E111,"&gt;=0")=0,"", MIN(MAX(SUMPRODUCT('13 Man'!E109:E111,'13 Man'!$G109:$G111)*4/(SUM('13 Man'!$G109:$G111) - SUMIF('13 Man'!E109:E111,"X",'13 Man'!$G109:$G111)),MAX('13 Man'!AC109:AC111)),MIN('13 Man'!AG109:AG111))))</f>
        <v/>
      </c>
      <c r="H337" s="1559" t="str">
        <f>IF(NOT('13 Man'!F108 = ""),'13 Man'!F108,IF(COUNTIF('13 Man'!F109:F111,"&gt;=0")=0,"", MIN(MAX(SUMPRODUCT('13 Man'!F109:F111,'13 Man'!$G109:$G111)*4/(SUM('13 Man'!$G109:$G111) - SUMIF('13 Man'!F109:F111,"X",'13 Man'!$G109:$G111)),MAX('13 Man'!AD109:AD111)),MIN('13 Man'!AH109:AH111))))</f>
        <v/>
      </c>
      <c r="I337" s="1557">
        <f>IF(AND(OR(E337="X",E337=""),OR(F337="X",F337=""),OR(G337="X",G337=""),OR(H337="X",H337="")),1,ROUND(MIN(IF(OR(E337="",E337="X"),4,E337),IF(OR(F337="",F337="X"),4,F337),IF(OR(G337="",G337="X"),4,G337),IF(OR(H337="",H337="X"),4,H337)),0))</f>
        <v>1</v>
      </c>
      <c r="J337" s="1557">
        <f>IF(I337="","",IF(IndG=3,MAX(I337,Obj_Projets!J337),MAX(I337,Obj_PA!D337)))</f>
        <v>1</v>
      </c>
      <c r="K337" s="1560">
        <f>IF(IF(OR(IndG=3,IndG=4),MAX(I337,J337),I337)&lt;1,1,IF(OR(IndG=3,IndG=4),MAX(I337,J337),I337))</f>
        <v>1</v>
      </c>
      <c r="L337" s="1650" t="str">
        <f>IF(E337=""," n'a pas démarré","")</f>
        <v xml:space="preserve"> n'a pas démarré</v>
      </c>
      <c r="M337" s="154"/>
      <c r="N337" s="154"/>
      <c r="O337" s="154"/>
      <c r="P337" s="154"/>
      <c r="Q337" s="154"/>
      <c r="R337" s="154"/>
      <c r="S337" s="154"/>
      <c r="T337" s="154"/>
      <c r="U337" s="154"/>
      <c r="V337" s="154"/>
      <c r="W337" s="154"/>
      <c r="X337" s="154"/>
      <c r="Y337" s="154"/>
      <c r="Z337" s="154"/>
      <c r="AA337" s="154"/>
      <c r="AB337" s="154"/>
      <c r="AC337" s="154"/>
      <c r="AD337" s="154"/>
      <c r="AE337" s="154"/>
      <c r="AF337" s="154"/>
      <c r="AG337" s="154"/>
      <c r="AH337" s="154"/>
      <c r="AI337" s="154"/>
      <c r="AJ337" s="154"/>
      <c r="AK337" s="154"/>
      <c r="AL337" s="154"/>
      <c r="AM337" s="154"/>
      <c r="AN337" s="154"/>
      <c r="AO337" s="154"/>
      <c r="AP337" s="154"/>
      <c r="AQ337" s="154"/>
      <c r="AR337" s="154"/>
      <c r="AS337" s="154"/>
      <c r="AT337" s="154"/>
      <c r="AU337" s="154"/>
      <c r="AV337" s="154"/>
      <c r="AW337" s="154"/>
      <c r="AX337" s="154"/>
      <c r="AY337" s="154"/>
      <c r="AZ337" s="154"/>
      <c r="BA337" s="154"/>
      <c r="BB337" s="154"/>
    </row>
    <row r="338" spans="1:54" s="527" customFormat="1" ht="15.75" customHeight="1" outlineLevel="1" x14ac:dyDescent="0.2">
      <c r="A338" s="1212"/>
      <c r="B338" s="1213" t="s">
        <v>2852</v>
      </c>
      <c r="C338" s="1214" t="s">
        <v>2815</v>
      </c>
      <c r="D338" s="1554"/>
      <c r="E338" s="1559"/>
      <c r="F338" s="1559"/>
      <c r="G338" s="1559"/>
      <c r="H338" s="1559"/>
      <c r="I338" s="1561"/>
      <c r="J338" s="1557"/>
      <c r="K338" s="1561"/>
      <c r="L338" s="1650"/>
      <c r="M338" s="154"/>
      <c r="N338" s="154"/>
      <c r="O338" s="154"/>
      <c r="P338" s="154"/>
      <c r="Q338" s="154"/>
      <c r="R338" s="154"/>
      <c r="S338" s="154"/>
      <c r="T338" s="154"/>
      <c r="U338" s="154"/>
      <c r="V338" s="154"/>
      <c r="W338" s="154"/>
      <c r="X338" s="154"/>
      <c r="Y338" s="154"/>
      <c r="Z338" s="154"/>
      <c r="AA338" s="154"/>
      <c r="AB338" s="154"/>
      <c r="AC338" s="154"/>
      <c r="AD338" s="154"/>
      <c r="AE338" s="154"/>
      <c r="AF338" s="154"/>
      <c r="AG338" s="154"/>
      <c r="AH338" s="154"/>
      <c r="AI338" s="154"/>
      <c r="AJ338" s="154"/>
      <c r="AK338" s="154"/>
      <c r="AL338" s="154"/>
      <c r="AM338" s="154"/>
      <c r="AN338" s="154"/>
      <c r="AO338" s="154"/>
      <c r="AP338" s="154"/>
      <c r="AQ338" s="154"/>
      <c r="AR338" s="154"/>
      <c r="AS338" s="154"/>
      <c r="AT338" s="154"/>
      <c r="AU338" s="154"/>
      <c r="AV338" s="154"/>
      <c r="AW338" s="154"/>
      <c r="AX338" s="154"/>
      <c r="AY338" s="154"/>
      <c r="AZ338" s="154"/>
      <c r="BA338" s="154"/>
      <c r="BB338" s="154"/>
    </row>
    <row r="339" spans="1:54" s="527" customFormat="1" ht="15.75" customHeight="1" outlineLevel="1" x14ac:dyDescent="0.2">
      <c r="A339" s="1212"/>
      <c r="B339" s="1212" t="s">
        <v>3673</v>
      </c>
      <c r="C339" s="1219" t="s">
        <v>1913</v>
      </c>
      <c r="D339" s="1562" t="s">
        <v>2619</v>
      </c>
      <c r="E339" s="1559" t="str">
        <f>IF(NOT('13 Man'!C113 = ""),'13 Man'!C113,IF(COUNTIF('13 Man'!C114:C125,"&gt;=0")=0,"", MIN(MAX(SUMPRODUCT('13 Man'!C114:C125,'13 Man'!$G114:$G125)*4/(SUM('13 Man'!$G114:$G125) - SUMIF('13 Man'!C114:C125,"X",'13 Man'!$G114:$G125)),MAX('13 Man'!AA114:AA125)),MIN('13 Man'!AE114:AE125))))</f>
        <v/>
      </c>
      <c r="F339" s="1559" t="str">
        <f>IF(NOT('13 Man'!D113 = ""),'13 Man'!D113,IF(COUNTIF('13 Man'!D114:D125,"&gt;=0")=0,"", MIN(MAX(SUMPRODUCT('13 Man'!D114:D125,'13 Man'!$G114:$G125)*4/(SUM('13 Man'!$G114:$G125) - SUMIF('13 Man'!D114:D125,"X",'13 Man'!$G114:$G125)),MAX('13 Man'!AB114:AB125)),MIN('13 Man'!AF114:AF125))))</f>
        <v/>
      </c>
      <c r="G339" s="1559" t="str">
        <f>IF(NOT('13 Man'!E113 = ""),'13 Man'!E113,IF(COUNTIF('13 Man'!E114:E125,"&gt;=0")=0,"", MIN(MAX(SUMPRODUCT('13 Man'!E114:E125,'13 Man'!$G114:$G125)*4/(SUM('13 Man'!$G114:$G125) - SUMIF('13 Man'!E114:E125,"X",'13 Man'!$G114:$G125)),MAX('13 Man'!AC114:AC125)),MIN('13 Man'!AG114:AG125))))</f>
        <v/>
      </c>
      <c r="H339" s="1559" t="str">
        <f>IF(NOT('13 Man'!F113 = ""),'13 Man'!F113,IF(COUNTIF('13 Man'!F114:F125,"&gt;=0")=0,"", MIN(MAX(SUMPRODUCT('13 Man'!F114:F125,'13 Man'!$G114:$G125)*4/(SUM('13 Man'!$G114:$G125) - SUMIF('13 Man'!F114:F125,"X",'13 Man'!$G114:$G125)),MAX('13 Man'!AD114:AD125)),MIN('13 Man'!AH114:AH125))))</f>
        <v/>
      </c>
      <c r="I339" s="1557">
        <f>IF(AND(OR(E339="X",E339=""),OR(F339="X",F339=""),OR(G339="X",G339=""),OR(H339="X",H339="")),1,ROUND(MIN(IF(OR(E339="",E339="X"),4,E339),IF(OR(F339="",F339="X"),4,F339),IF(OR(G339="",G339="X"),4,G339),IF(OR(H339="",H339="X"),4,H339)),0))</f>
        <v>1</v>
      </c>
      <c r="J339" s="1557">
        <f>IF(I339="","",IF(IndG=3,MAX(I339,Obj_Projets!J339),MAX(I339,Obj_PA!D339)))</f>
        <v>1</v>
      </c>
      <c r="K339" s="1560">
        <f>IF(IF(OR(IndG=3,IndG=4),MAX(I339,J339),I339)&lt;1,1,IF(OR(IndG=3,IndG=4),MAX(I339,J339),I339))</f>
        <v>1</v>
      </c>
      <c r="L339" s="1650" t="str">
        <f>IF(E339=""," n'a pas démarré","")</f>
        <v xml:space="preserve"> n'a pas démarré</v>
      </c>
      <c r="M339" s="154"/>
      <c r="N339" s="154"/>
      <c r="O339" s="154"/>
      <c r="P339" s="154"/>
      <c r="Q339" s="154"/>
      <c r="R339" s="154"/>
      <c r="S339" s="154"/>
      <c r="T339" s="154"/>
      <c r="U339" s="154"/>
      <c r="V339" s="154"/>
      <c r="W339" s="154"/>
      <c r="X339" s="154"/>
      <c r="Y339" s="154"/>
      <c r="Z339" s="154"/>
      <c r="AA339" s="154"/>
      <c r="AB339" s="154"/>
      <c r="AC339" s="154"/>
      <c r="AD339" s="154"/>
      <c r="AE339" s="154"/>
      <c r="AF339" s="154"/>
      <c r="AG339" s="154"/>
      <c r="AH339" s="154"/>
      <c r="AI339" s="154"/>
      <c r="AJ339" s="154"/>
      <c r="AK339" s="154"/>
      <c r="AL339" s="154"/>
      <c r="AM339" s="154"/>
      <c r="AN339" s="154"/>
      <c r="AO339" s="154"/>
      <c r="AP339" s="154"/>
      <c r="AQ339" s="154"/>
      <c r="AR339" s="154"/>
      <c r="AS339" s="154"/>
      <c r="AT339" s="154"/>
      <c r="AU339" s="154"/>
      <c r="AV339" s="154"/>
      <c r="AW339" s="154"/>
      <c r="AX339" s="154"/>
      <c r="AY339" s="154"/>
      <c r="AZ339" s="154"/>
      <c r="BA339" s="154"/>
      <c r="BB339" s="154"/>
    </row>
    <row r="340" spans="1:54" s="527" customFormat="1" ht="15.75" customHeight="1" outlineLevel="1" x14ac:dyDescent="0.2">
      <c r="A340" s="1212"/>
      <c r="B340" s="1212" t="s">
        <v>3010</v>
      </c>
      <c r="C340" s="1219" t="s">
        <v>987</v>
      </c>
      <c r="D340" s="1562" t="s">
        <v>2619</v>
      </c>
      <c r="E340" s="1559" t="str">
        <f>IF(NOT('13 Man'!C126 = ""),'13 Man'!C126,IF(COUNTIF('13 Man'!C127:C134,"&gt;=0")=0,"", MIN(MAX(SUMPRODUCT('13 Man'!C127:C134,'13 Man'!$G127:$G134)*4/(SUM('13 Man'!$G127:$G134) - SUMIF('13 Man'!C127:C134,"X",'13 Man'!$G127:$G134)),MAX('13 Man'!AA127:AA134)),MIN('13 Man'!AE127:AE134))))</f>
        <v/>
      </c>
      <c r="F340" s="1559" t="str">
        <f>IF(NOT('13 Man'!D126 = ""),'13 Man'!D126,IF(COUNTIF('13 Man'!D127:D134,"&gt;=0")=0,"", MIN(MAX(SUMPRODUCT('13 Man'!D127:D134,'13 Man'!$G127:$G134)*4/(SUM('13 Man'!$G127:$G134) - SUMIF('13 Man'!D127:D134,"X",'13 Man'!$G127:$G134)),MAX('13 Man'!AB127:AB134)),MIN('13 Man'!AF127:AF134))))</f>
        <v/>
      </c>
      <c r="G340" s="1559" t="str">
        <f>IF(NOT('13 Man'!E126 = ""),'13 Man'!E126,IF(COUNTIF('13 Man'!E127:E134,"&gt;=0")=0,"", MIN(MAX(SUMPRODUCT('13 Man'!E127:E134,'13 Man'!$G127:$G134)*4/(SUM('13 Man'!$G127:$G134) - SUMIF('13 Man'!E127:E134,"X",'13 Man'!$G127:$G134)),MAX('13 Man'!AC127:AC134)),MIN('13 Man'!AG127:AG134))))</f>
        <v/>
      </c>
      <c r="H340" s="1559" t="str">
        <f>IF(NOT('13 Man'!F126 = ""),'13 Man'!F126,IF(COUNTIF('13 Man'!F127:F134,"&gt;=0")=0,"", MIN(MAX(SUMPRODUCT('13 Man'!F127:F134,'13 Man'!$G127:$G134)*4/(SUM('13 Man'!$G127:$G134) - SUMIF('13 Man'!F127:F134,"X",'13 Man'!$G127:$G134)),MAX('13 Man'!AD127:AD134)),MIN('13 Man'!AH127:AH134))))</f>
        <v/>
      </c>
      <c r="I340" s="1557">
        <f>IF(AND(OR(E340="X",E340=""),OR(F340="X",F340=""),OR(G340="X",G340=""),OR(H340="X",H340="")),1,ROUND(MIN(IF(OR(E340="",E340="X"),4,E340),IF(OR(F340="",F340="X"),4,F340),IF(OR(G340="",G340="X"),4,G340),IF(OR(H340="",H340="X"),4,H340)),0))</f>
        <v>1</v>
      </c>
      <c r="J340" s="1557">
        <f>IF(I340="","",IF(IndG=3,MAX(I340,Obj_Projets!J340),MAX(I340,Obj_PA!D340)))</f>
        <v>1</v>
      </c>
      <c r="K340" s="1560">
        <f>IF(IF(OR(IndG=3,IndG=4),MAX(I340,J340),I340)&lt;1,1,IF(OR(IndG=3,IndG=4),MAX(I340,J340),I340))</f>
        <v>1</v>
      </c>
      <c r="L340" s="1650" t="str">
        <f>IF(E340=""," n'a pas démarré","")</f>
        <v xml:space="preserve"> n'a pas démarré</v>
      </c>
      <c r="M340" s="154"/>
      <c r="N340" s="154"/>
      <c r="O340" s="154"/>
      <c r="P340" s="154"/>
      <c r="Q340" s="154"/>
      <c r="R340" s="154"/>
      <c r="S340" s="154"/>
      <c r="T340" s="154"/>
      <c r="U340" s="154"/>
      <c r="V340" s="154"/>
      <c r="W340" s="154"/>
      <c r="X340" s="154"/>
      <c r="Y340" s="154"/>
      <c r="Z340" s="154"/>
      <c r="AA340" s="154"/>
      <c r="AB340" s="154"/>
      <c r="AC340" s="154"/>
      <c r="AD340" s="154"/>
      <c r="AE340" s="154"/>
      <c r="AF340" s="154"/>
      <c r="AG340" s="154"/>
      <c r="AH340" s="154"/>
      <c r="AI340" s="154"/>
      <c r="AJ340" s="154"/>
      <c r="AK340" s="154"/>
      <c r="AL340" s="154"/>
      <c r="AM340" s="154"/>
      <c r="AN340" s="154"/>
      <c r="AO340" s="154"/>
      <c r="AP340" s="154"/>
      <c r="AQ340" s="154"/>
      <c r="AR340" s="154"/>
      <c r="AS340" s="154"/>
      <c r="AT340" s="154"/>
      <c r="AU340" s="154"/>
      <c r="AV340" s="154"/>
      <c r="AW340" s="154"/>
      <c r="AX340" s="154"/>
      <c r="AY340" s="154"/>
      <c r="AZ340" s="154"/>
      <c r="BA340" s="154"/>
      <c r="BB340" s="154"/>
    </row>
    <row r="341" spans="1:54" s="527" customFormat="1" ht="15.75" customHeight="1" outlineLevel="1" x14ac:dyDescent="0.2">
      <c r="A341" s="1212"/>
      <c r="B341" s="1212" t="s">
        <v>2358</v>
      </c>
      <c r="C341" s="1219" t="s">
        <v>5176</v>
      </c>
      <c r="D341" s="1562" t="s">
        <v>2617</v>
      </c>
      <c r="E341" s="1559" t="str">
        <f>IF(NOT('13 Man'!C135 = ""),'13 Man'!C135,IF(COUNTIF('13 Man'!C136:C138,"&gt;=0")=0,"", MIN(MAX(SUMPRODUCT('13 Man'!C136:C138,'13 Man'!$G136:$G138)*4/(SUM('13 Man'!$G136:$G138) - SUMIF('13 Man'!C136:C138,"X",'13 Man'!$G136:$G138)),MAX('13 Man'!AA136:AA138)),MIN('13 Man'!AE136:AE138))))</f>
        <v/>
      </c>
      <c r="F341" s="1559" t="str">
        <f>IF(NOT('13 Man'!D135 = ""),'13 Man'!D135,IF(COUNTIF('13 Man'!D136:D138,"&gt;=0")=0,"", MIN(MAX(SUMPRODUCT('13 Man'!D136:D138,'13 Man'!$G136:$G138)*4/(SUM('13 Man'!$G136:$G138) - SUMIF('13 Man'!D136:D138,"X",'13 Man'!$G136:$G138)),MAX('13 Man'!AB136:AB138)),MIN('13 Man'!AF136:AF138))))</f>
        <v/>
      </c>
      <c r="G341" s="1559" t="str">
        <f>IF(NOT('13 Man'!E135 = ""),'13 Man'!E135,IF(COUNTIF('13 Man'!E136:E138,"&gt;=0")=0,"", MIN(MAX(SUMPRODUCT('13 Man'!E136:E138,'13 Man'!$G136:$G138)*4/(SUM('13 Man'!$G136:$G138) - SUMIF('13 Man'!E136:E138,"X",'13 Man'!$G136:$G138)),MAX('13 Man'!AC136:AC138)),MIN('13 Man'!AG136:AG138))))</f>
        <v/>
      </c>
      <c r="H341" s="1559" t="str">
        <f>IF(NOT('13 Man'!F135 = ""),'13 Man'!F135,IF(COUNTIF('13 Man'!F136:F138,"&gt;=0")=0,"", MIN(MAX(SUMPRODUCT('13 Man'!F136:F138,'13 Man'!$G136:$G138)*4/(SUM('13 Man'!$G136:$G138) - SUMIF('13 Man'!F136:F138,"X",'13 Man'!$G136:$G138)),MAX('13 Man'!AD136:AD138)),MIN('13 Man'!AH136:AH138))))</f>
        <v/>
      </c>
      <c r="I341" s="1557">
        <f>IF(AND(OR(E341="X",E341=""),OR(F341="X",F341=""),OR(G341="X",G341=""),OR(H341="X",H341="")),1,ROUND(MIN(IF(OR(E341="",E341="X"),4,E341),IF(OR(F341="",F341="X"),4,F341),IF(OR(G341="",G341="X"),4,G341),IF(OR(H341="",H341="X"),4,H341)),0))</f>
        <v>1</v>
      </c>
      <c r="J341" s="1557">
        <f>IF(I341="","",IF(IndG=3,MAX(I341,Obj_Projets!J341),MAX(I341,Obj_PA!D341)))</f>
        <v>1</v>
      </c>
      <c r="K341" s="1560">
        <f>IF(IF(OR(IndG=3,IndG=4),MAX(I341,J341),I341)&lt;1,1,IF(OR(IndG=3,IndG=4),MAX(I341,J341),I341))</f>
        <v>1</v>
      </c>
      <c r="L341" s="1650" t="str">
        <f>IF(E341=""," n'a pas démarré","")</f>
        <v xml:space="preserve"> n'a pas démarré</v>
      </c>
      <c r="M341" s="154"/>
      <c r="N341" s="154"/>
      <c r="O341" s="154"/>
      <c r="P341" s="154"/>
      <c r="Q341" s="154"/>
      <c r="R341" s="154"/>
      <c r="S341" s="154"/>
      <c r="T341" s="154"/>
      <c r="U341" s="154"/>
      <c r="V341" s="154"/>
      <c r="W341" s="154"/>
      <c r="X341" s="154"/>
      <c r="Y341" s="154"/>
      <c r="Z341" s="154"/>
      <c r="AA341" s="154"/>
      <c r="AB341" s="154"/>
      <c r="AC341" s="154"/>
      <c r="AD341" s="154"/>
      <c r="AE341" s="154"/>
      <c r="AF341" s="154"/>
      <c r="AG341" s="154"/>
      <c r="AH341" s="154"/>
      <c r="AI341" s="154"/>
      <c r="AJ341" s="154"/>
      <c r="AK341" s="154"/>
      <c r="AL341" s="154"/>
      <c r="AM341" s="154"/>
      <c r="AN341" s="154"/>
      <c r="AO341" s="154"/>
      <c r="AP341" s="154"/>
      <c r="AQ341" s="154"/>
      <c r="AR341" s="154"/>
      <c r="AS341" s="154"/>
      <c r="AT341" s="154"/>
      <c r="AU341" s="154"/>
      <c r="AV341" s="154"/>
      <c r="AW341" s="154"/>
      <c r="AX341" s="154"/>
      <c r="AY341" s="154"/>
      <c r="AZ341" s="154"/>
      <c r="BA341" s="154"/>
      <c r="BB341" s="154"/>
    </row>
    <row r="342" spans="1:54" s="527" customFormat="1" ht="15.75" customHeight="1" outlineLevel="1" x14ac:dyDescent="0.2">
      <c r="A342" s="1212"/>
      <c r="B342" s="1212" t="s">
        <v>2362</v>
      </c>
      <c r="C342" s="1219" t="s">
        <v>4241</v>
      </c>
      <c r="D342" s="1562" t="s">
        <v>2617</v>
      </c>
      <c r="E342" s="1559" t="str">
        <f>IF(NOT('13 Man'!C139 = ""),'13 Man'!C139,IF(COUNTIF('13 Man'!C140:C142,"&gt;=0")=0,"", MIN(MAX(SUMPRODUCT('13 Man'!C140:C142,'13 Man'!$G140:$G142)*4/(SUM('13 Man'!$G140:$G142) - SUMIF('13 Man'!C140:C142,"X",'13 Man'!$G140:$G142)),MAX('13 Man'!AA140:AA142)),MIN('13 Man'!AE140:AE142))))</f>
        <v/>
      </c>
      <c r="F342" s="1559" t="str">
        <f>IF(NOT('13 Man'!D139 = ""),'13 Man'!D139,IF(COUNTIF('13 Man'!D140:D142,"&gt;=0")=0,"", MIN(MAX(SUMPRODUCT('13 Man'!D140:D142,'13 Man'!$G140:$G142)*4/(SUM('13 Man'!$G140:$G142) - SUMIF('13 Man'!D140:D142,"X",'13 Man'!$G140:$G142)),MAX('13 Man'!AB140:AB142)),MIN('13 Man'!AF140:AF142))))</f>
        <v/>
      </c>
      <c r="G342" s="1559" t="str">
        <f>IF(NOT('13 Man'!E139 = ""),'13 Man'!E139,IF(COUNTIF('13 Man'!E140:E142,"&gt;=0")=0,"", MIN(MAX(SUMPRODUCT('13 Man'!E140:E142,'13 Man'!$G140:$G142)*4/(SUM('13 Man'!$G140:$G142) - SUMIF('13 Man'!E140:E142,"X",'13 Man'!$G140:$G142)),MAX('13 Man'!AC140:AC142)),MIN('13 Man'!AG140:AG142))))</f>
        <v/>
      </c>
      <c r="H342" s="1559" t="str">
        <f>IF(NOT('13 Man'!F139 = ""),'13 Man'!F139,IF(COUNTIF('13 Man'!F140:F142,"&gt;=0")=0,"", MIN(MAX(SUMPRODUCT('13 Man'!F140:F142,'13 Man'!$G140:$G142)*4/(SUM('13 Man'!$G140:$G142) - SUMIF('13 Man'!F140:F142,"X",'13 Man'!$G140:$G142)),MAX('13 Man'!AD140:AD142)),MIN('13 Man'!AH140:AH142))))</f>
        <v/>
      </c>
      <c r="I342" s="1557">
        <f>IF(AND(OR(E342="X",E342=""),OR(F342="X",F342=""),OR(G342="X",G342=""),OR(H342="X",H342="")),1,ROUND(MIN(IF(OR(E342="",E342="X"),4,E342),IF(OR(F342="",F342="X"),4,F342),IF(OR(G342="",G342="X"),4,G342),IF(OR(H342="",H342="X"),4,H342)),0))</f>
        <v>1</v>
      </c>
      <c r="J342" s="1557">
        <f>IF(I342="","",IF(IndG=3,MAX(I342,Obj_Projets!J342),MAX(I342,Obj_PA!D342)))</f>
        <v>1</v>
      </c>
      <c r="K342" s="1560">
        <f>IF(IF(OR(IndG=3,IndG=4),MAX(I342,J342),I342)&lt;1,1,IF(OR(IndG=3,IndG=4),MAX(I342,J342),I342))</f>
        <v>1</v>
      </c>
      <c r="L342" s="1650" t="str">
        <f>IF(E342=""," n'a pas démarré","")</f>
        <v xml:space="preserve"> n'a pas démarré</v>
      </c>
      <c r="M342" s="154"/>
      <c r="N342" s="154"/>
      <c r="O342" s="154"/>
      <c r="P342" s="154"/>
      <c r="Q342" s="154"/>
      <c r="R342" s="154"/>
      <c r="S342" s="154"/>
      <c r="T342" s="154"/>
      <c r="U342" s="154"/>
      <c r="V342" s="154"/>
      <c r="W342" s="154"/>
      <c r="X342" s="154"/>
      <c r="Y342" s="154"/>
      <c r="Z342" s="154"/>
      <c r="AA342" s="154"/>
      <c r="AB342" s="154"/>
      <c r="AC342" s="154"/>
      <c r="AD342" s="154"/>
      <c r="AE342" s="154"/>
      <c r="AF342" s="154"/>
      <c r="AG342" s="154"/>
      <c r="AH342" s="154"/>
      <c r="AI342" s="154"/>
      <c r="AJ342" s="154"/>
      <c r="AK342" s="154"/>
      <c r="AL342" s="154"/>
      <c r="AM342" s="154"/>
      <c r="AN342" s="154"/>
      <c r="AO342" s="154"/>
      <c r="AP342" s="154"/>
      <c r="AQ342" s="154"/>
      <c r="AR342" s="154"/>
      <c r="AS342" s="154"/>
      <c r="AT342" s="154"/>
      <c r="AU342" s="154"/>
      <c r="AV342" s="154"/>
      <c r="AW342" s="154"/>
      <c r="AX342" s="154"/>
      <c r="AY342" s="154"/>
      <c r="AZ342" s="154"/>
      <c r="BA342" s="154"/>
      <c r="BB342" s="154"/>
    </row>
    <row r="343" spans="1:54" s="527" customFormat="1" ht="15.75" customHeight="1" outlineLevel="1" x14ac:dyDescent="0.2">
      <c r="A343" s="1212"/>
      <c r="B343" s="1213" t="s">
        <v>5355</v>
      </c>
      <c r="C343" s="1214" t="s">
        <v>3611</v>
      </c>
      <c r="D343" s="1554"/>
      <c r="E343" s="1559"/>
      <c r="F343" s="1559"/>
      <c r="G343" s="1559"/>
      <c r="H343" s="1559"/>
      <c r="I343" s="1561"/>
      <c r="J343" s="1557"/>
      <c r="K343" s="1561"/>
      <c r="L343" s="1650"/>
      <c r="M343" s="154"/>
      <c r="N343" s="154"/>
      <c r="O343" s="154"/>
      <c r="P343" s="154"/>
      <c r="Q343" s="154"/>
      <c r="R343" s="154"/>
      <c r="S343" s="154"/>
      <c r="T343" s="154"/>
      <c r="U343" s="154"/>
      <c r="V343" s="154"/>
      <c r="W343" s="154"/>
      <c r="X343" s="154"/>
      <c r="Y343" s="154"/>
      <c r="Z343" s="154"/>
      <c r="AA343" s="154"/>
      <c r="AB343" s="154"/>
      <c r="AC343" s="154"/>
      <c r="AD343" s="154"/>
      <c r="AE343" s="154"/>
      <c r="AF343" s="154"/>
      <c r="AG343" s="154"/>
      <c r="AH343" s="154"/>
      <c r="AI343" s="154"/>
      <c r="AJ343" s="154"/>
      <c r="AK343" s="154"/>
      <c r="AL343" s="154"/>
      <c r="AM343" s="154"/>
      <c r="AN343" s="154"/>
      <c r="AO343" s="154"/>
      <c r="AP343" s="154"/>
      <c r="AQ343" s="154"/>
      <c r="AR343" s="154"/>
      <c r="AS343" s="154"/>
      <c r="AT343" s="154"/>
      <c r="AU343" s="154"/>
      <c r="AV343" s="154"/>
      <c r="AW343" s="154"/>
      <c r="AX343" s="154"/>
      <c r="AY343" s="154"/>
      <c r="AZ343" s="154"/>
      <c r="BA343" s="154"/>
      <c r="BB343" s="154"/>
    </row>
    <row r="344" spans="1:54" s="527" customFormat="1" ht="15.75" customHeight="1" outlineLevel="1" x14ac:dyDescent="0.2">
      <c r="A344" s="1212"/>
      <c r="B344" s="1212" t="s">
        <v>3674</v>
      </c>
      <c r="C344" s="1219" t="s">
        <v>3871</v>
      </c>
      <c r="D344" s="1562" t="s">
        <v>2619</v>
      </c>
      <c r="E344" s="1559" t="str">
        <f>IF(NOT('13 Man'!C144 = ""),'13 Man'!C144,IF(COUNTIF('13 Man'!C145:C155,"&gt;=0")=0,"", MIN(MAX(SUMPRODUCT('13 Man'!C145:C155,'13 Man'!$G145:$G155)*4/(SUM('13 Man'!$G145:$G155) - SUMIF('13 Man'!C145:C155,"X",'13 Man'!$G145:$G155)),MAX('13 Man'!AA145:AA155)),MIN('13 Man'!AE145:AE155))))</f>
        <v/>
      </c>
      <c r="F344" s="1559" t="str">
        <f>IF(NOT('13 Man'!D144 = ""),'13 Man'!D144,IF(COUNTIF('13 Man'!D145:D155,"&gt;=0")=0,"", MIN(MAX(SUMPRODUCT('13 Man'!D145:D155,'13 Man'!$G145:$G155)*4/(SUM('13 Man'!$G145:$G155) - SUMIF('13 Man'!D145:D155,"X",'13 Man'!$G145:$G155)),MAX('13 Man'!AB145:AB155)),MIN('13 Man'!AF145:AF155))))</f>
        <v/>
      </c>
      <c r="G344" s="1559" t="str">
        <f>IF(NOT('13 Man'!E144 = ""),'13 Man'!E144,IF(COUNTIF('13 Man'!E145:E155,"&gt;=0")=0,"", MIN(MAX(SUMPRODUCT('13 Man'!E145:E155,'13 Man'!$G145:$G155)*4/(SUM('13 Man'!$G145:$G155) - SUMIF('13 Man'!E145:E155,"X",'13 Man'!$G145:$G155)),MAX('13 Man'!AC145:AC155)),MIN('13 Man'!AG145:AG155))))</f>
        <v/>
      </c>
      <c r="H344" s="1559" t="str">
        <f>IF(NOT('13 Man'!F144 = ""),'13 Man'!F144,IF(COUNTIF('13 Man'!F145:F155,"&gt;=0")=0,"", MIN(MAX(SUMPRODUCT('13 Man'!F145:F155,'13 Man'!$G145:$G155)*4/(SUM('13 Man'!$G145:$G155) - SUMIF('13 Man'!F145:F155,"X",'13 Man'!$G145:$G155)),MAX('13 Man'!AD145:AD155)),MIN('13 Man'!AH145:AH155))))</f>
        <v/>
      </c>
      <c r="I344" s="1557">
        <f>IF(AND(OR(E344="X",E344=""),OR(F344="X",F344=""),OR(G344="X",G344=""),OR(H344="X",H344="")),1,ROUND(MIN(IF(OR(E344="",E344="X"),4,E344),IF(OR(F344="",F344="X"),4,F344),IF(OR(G344="",G344="X"),4,G344),IF(OR(H344="",H344="X"),4,H344)),0))</f>
        <v>1</v>
      </c>
      <c r="J344" s="1557">
        <f>IF(I344="","",IF(IndG=3,MAX(I344,Obj_Projets!J344),MAX(I344,Obj_PA!D344)))</f>
        <v>1</v>
      </c>
      <c r="K344" s="1560">
        <f>IF(IF(OR(IndG=3,IndG=4),MAX(I344,J344),I344)&lt;1,1,IF(OR(IndG=3,IndG=4),MAX(I344,J344),I344))</f>
        <v>1</v>
      </c>
      <c r="L344" s="1650" t="str">
        <f>IF(E344=""," n'a pas démarré","")</f>
        <v xml:space="preserve"> n'a pas démarré</v>
      </c>
      <c r="M344" s="154"/>
      <c r="N344" s="154"/>
      <c r="O344" s="154"/>
      <c r="P344" s="154"/>
      <c r="Q344" s="154"/>
      <c r="R344" s="154"/>
      <c r="S344" s="154"/>
      <c r="T344" s="154"/>
      <c r="U344" s="154"/>
      <c r="V344" s="154"/>
      <c r="W344" s="154"/>
      <c r="X344" s="154"/>
      <c r="Y344" s="154"/>
      <c r="Z344" s="154"/>
      <c r="AA344" s="154"/>
      <c r="AB344" s="154"/>
      <c r="AC344" s="154"/>
      <c r="AD344" s="154"/>
      <c r="AE344" s="154"/>
      <c r="AF344" s="154"/>
      <c r="AG344" s="154"/>
      <c r="AH344" s="154"/>
      <c r="AI344" s="154"/>
      <c r="AJ344" s="154"/>
      <c r="AK344" s="154"/>
      <c r="AL344" s="154"/>
      <c r="AM344" s="154"/>
      <c r="AN344" s="154"/>
      <c r="AO344" s="154"/>
      <c r="AP344" s="154"/>
      <c r="AQ344" s="154"/>
      <c r="AR344" s="154"/>
      <c r="AS344" s="154"/>
      <c r="AT344" s="154"/>
      <c r="AU344" s="154"/>
      <c r="AV344" s="154"/>
      <c r="AW344" s="154"/>
      <c r="AX344" s="154"/>
      <c r="AY344" s="154"/>
      <c r="AZ344" s="154"/>
      <c r="BA344" s="154"/>
      <c r="BB344" s="154"/>
    </row>
    <row r="345" spans="1:54" s="527" customFormat="1" ht="15.75" customHeight="1" outlineLevel="1" x14ac:dyDescent="0.2">
      <c r="A345" s="1212"/>
      <c r="B345" s="1212" t="s">
        <v>5438</v>
      </c>
      <c r="C345" s="1219" t="s">
        <v>3346</v>
      </c>
      <c r="D345" s="1562" t="s">
        <v>2619</v>
      </c>
      <c r="E345" s="1559" t="str">
        <f>IF(NOT('13 Man'!C156 = ""),'13 Man'!C156,IF(COUNTIF('13 Man'!C157:C163,"&gt;=0")=0,"", MIN(MAX(SUMPRODUCT('13 Man'!C157:C163,'13 Man'!$G157:$G163)*4/(SUM('13 Man'!$G157:$G163) - SUMIF('13 Man'!C157:C163,"X",'13 Man'!$G157:$G163)),MAX('13 Man'!AA157:AA163)),MIN('13 Man'!AE157:AE163))))</f>
        <v/>
      </c>
      <c r="F345" s="1573" t="str">
        <f>IF(NOT('13 Man'!D156 = ""),'13 Man'!D156,IF(COUNTIF('13 Man'!D157:D163,"&gt;=0")=0,"", MIN(MAX(SUMPRODUCT('13 Man'!D157:D163,'13 Man'!$G157:$G163)*4/(SUM('13 Man'!$G157:$G163) - SUMIF('13 Man'!D157:D163,"X",'13 Man'!$G157:$G163)),MAX('13 Man'!AB157:AB163)),MIN('13 Man'!AF157:AF163))))</f>
        <v/>
      </c>
      <c r="G345" s="1559" t="str">
        <f>IF(NOT('13 Man'!E156 = ""),'13 Man'!E156,IF(COUNTIF('13 Man'!E157:E163,"&gt;=0")=0,"", MIN(MAX(SUMPRODUCT('13 Man'!E157:E163,'13 Man'!$G157:$G163)*4/(SUM('13 Man'!$G157:$G163) - SUMIF('13 Man'!E157:E163,"X",'13 Man'!$G157:$G163)),MAX('13 Man'!AC157:AC163)),MIN('13 Man'!AG157:AG163))))</f>
        <v/>
      </c>
      <c r="H345" s="1559" t="str">
        <f>IF(NOT('13 Man'!F156 = ""),'13 Man'!F156,IF(COUNTIF('13 Man'!F157:F163,"&gt;=0")=0,"", MIN(MAX(SUMPRODUCT('13 Man'!F157:F163,'13 Man'!$G157:$G163)*4/(SUM('13 Man'!$G157:$G163) - SUMIF('13 Man'!F157:F163,"X",'13 Man'!$G157:$G163)),MAX('13 Man'!AD157:AD163)),MIN('13 Man'!AH157:AH163))))</f>
        <v/>
      </c>
      <c r="I345" s="1557">
        <f>IF(AND(OR(E345="X",E345=""),OR(F345="X",F345=""),OR(G345="X",G345=""),OR(H345="X",H345="")),1,ROUND(MIN(IF(OR(E345="",E345="X"),4,E345),IF(OR(F345="",F345="X"),4,F345),IF(OR(G345="",G345="X"),4,G345),IF(OR(H345="",H345="X"),4,H345)),0))</f>
        <v>1</v>
      </c>
      <c r="J345" s="1557">
        <f>IF(I345="","",IF(IndG=3,MAX(I345,Obj_Projets!J345),MAX(I345,Obj_PA!D345)))</f>
        <v>1</v>
      </c>
      <c r="K345" s="1560">
        <f>IF(IF(OR(IndG=3,IndG=4),MAX(I345,J345),I345)&lt;1,1,IF(OR(IndG=3,IndG=4),MAX(I345,J345),I345))</f>
        <v>1</v>
      </c>
      <c r="L345" s="1650" t="str">
        <f>IF(E345=""," n'a pas démarré","")</f>
        <v xml:space="preserve"> n'a pas démarré</v>
      </c>
      <c r="M345" s="154"/>
      <c r="N345" s="154"/>
      <c r="O345" s="154"/>
      <c r="P345" s="154"/>
      <c r="Q345" s="154"/>
      <c r="R345" s="154"/>
      <c r="S345" s="154"/>
      <c r="T345" s="154"/>
      <c r="U345" s="154"/>
      <c r="V345" s="154"/>
      <c r="W345" s="154"/>
      <c r="X345" s="154"/>
      <c r="Y345" s="154"/>
      <c r="Z345" s="154"/>
      <c r="AA345" s="154"/>
      <c r="AB345" s="154"/>
      <c r="AC345" s="154"/>
      <c r="AD345" s="154"/>
      <c r="AE345" s="154"/>
      <c r="AF345" s="154"/>
      <c r="AG345" s="154"/>
      <c r="AH345" s="154"/>
      <c r="AI345" s="154"/>
      <c r="AJ345" s="154"/>
      <c r="AK345" s="154"/>
      <c r="AL345" s="154"/>
      <c r="AM345" s="154"/>
      <c r="AN345" s="154"/>
      <c r="AO345" s="154"/>
      <c r="AP345" s="154"/>
      <c r="AQ345" s="154"/>
      <c r="AR345" s="154"/>
      <c r="AS345" s="154"/>
      <c r="AT345" s="154"/>
      <c r="AU345" s="154"/>
      <c r="AV345" s="154"/>
      <c r="AW345" s="154"/>
      <c r="AX345" s="154"/>
      <c r="AY345" s="154"/>
      <c r="AZ345" s="154"/>
      <c r="BA345" s="154"/>
      <c r="BB345" s="154"/>
    </row>
    <row r="346" spans="1:54" s="527" customFormat="1" ht="15.75" customHeight="1" outlineLevel="1" x14ac:dyDescent="0.2">
      <c r="A346" s="1212"/>
      <c r="B346" s="1212" t="s">
        <v>1570</v>
      </c>
      <c r="C346" s="1219" t="s">
        <v>5177</v>
      </c>
      <c r="D346" s="1562" t="s">
        <v>2617</v>
      </c>
      <c r="E346" s="1559" t="str">
        <f>IF(NOT('13 Man'!C164 = ""),'13 Man'!C164,IF(COUNTIF('13 Man'!C165:C167,"&gt;=0")=0,"", MIN(MAX(SUMPRODUCT('13 Man'!C165:C167,'13 Man'!$G165:$G167)*4/(SUM('13 Man'!$G165:$G167) - SUMIF('13 Man'!C165:C167,"X",'13 Man'!$G165:$G167)),MAX('13 Man'!AA165:AA167)),MIN('13 Man'!AE165:AE167))))</f>
        <v/>
      </c>
      <c r="F346" s="1559" t="str">
        <f>IF(NOT('13 Man'!D164 = ""),'13 Man'!D164,IF(COUNTIF('13 Man'!D165:D167,"&gt;=0")=0,"", MIN(MAX(SUMPRODUCT('13 Man'!D165:D167,'13 Man'!$G165:$G167)*4/(SUM('13 Man'!$G165:$G167) - SUMIF('13 Man'!D165:D167,"X",'13 Man'!$G165:$G167)),MAX('13 Man'!AB165:AB167)),MIN('13 Man'!AF165:AF167))))</f>
        <v/>
      </c>
      <c r="G346" s="1559" t="str">
        <f>IF(NOT('13 Man'!E164 = ""),'13 Man'!E164,IF(COUNTIF('13 Man'!E165:E167,"&gt;=0")=0,"", MIN(MAX(SUMPRODUCT('13 Man'!E165:E167,'13 Man'!$G165:$G167)*4/(SUM('13 Man'!$G165:$G167) - SUMIF('13 Man'!E165:E167,"X",'13 Man'!$G165:$G167)),MAX('13 Man'!AC165:AC167)),MIN('13 Man'!AG165:AG167))))</f>
        <v/>
      </c>
      <c r="H346" s="1559" t="str">
        <f>IF(NOT('13 Man'!F164 = ""),'13 Man'!F164,IF(COUNTIF('13 Man'!F165:F167,"&gt;=0")=0,"", MIN(MAX(SUMPRODUCT('13 Man'!F165:F167,'13 Man'!$G165:$G167)*4/(SUM('13 Man'!$G165:$G167) - SUMIF('13 Man'!F165:F167,"X",'13 Man'!$G165:$G167)),MAX('13 Man'!AD165:AD167)),MIN('13 Man'!AH165:AH167))))</f>
        <v/>
      </c>
      <c r="I346" s="1557">
        <f>IF(AND(OR(E346="X",E346=""),OR(F346="X",F346=""),OR(G346="X",G346=""),OR(H346="X",H346="")),1,ROUND(MIN(IF(OR(E346="",E346="X"),4,E346),IF(OR(F346="",F346="X"),4,F346),IF(OR(G346="",G346="X"),4,G346),IF(OR(H346="",H346="X"),4,H346)),0))</f>
        <v>1</v>
      </c>
      <c r="J346" s="1557">
        <f>IF(I346="","",IF(IndG=3,MAX(I346,Obj_Projets!J346),MAX(I346,Obj_PA!D346)))</f>
        <v>1</v>
      </c>
      <c r="K346" s="1560">
        <f>IF(IF(OR(IndG=3,IndG=4),MAX(I346,J346),I346)&lt;1,1,IF(OR(IndG=3,IndG=4),MAX(I346,J346),I346))</f>
        <v>1</v>
      </c>
      <c r="L346" s="1650" t="str">
        <f>IF(E346=""," n'a pas démarré","")</f>
        <v xml:space="preserve"> n'a pas démarré</v>
      </c>
      <c r="M346" s="154"/>
      <c r="N346" s="154"/>
      <c r="O346" s="154"/>
      <c r="P346" s="154"/>
      <c r="Q346" s="154"/>
      <c r="R346" s="154"/>
      <c r="S346" s="154"/>
      <c r="T346" s="154"/>
      <c r="U346" s="154"/>
      <c r="V346" s="154"/>
      <c r="W346" s="154"/>
      <c r="X346" s="154"/>
      <c r="Y346" s="154"/>
      <c r="Z346" s="154"/>
      <c r="AA346" s="154"/>
      <c r="AB346" s="154"/>
      <c r="AC346" s="154"/>
      <c r="AD346" s="154"/>
      <c r="AE346" s="154"/>
      <c r="AF346" s="154"/>
      <c r="AG346" s="154"/>
      <c r="AH346" s="154"/>
      <c r="AI346" s="154"/>
      <c r="AJ346" s="154"/>
      <c r="AK346" s="154"/>
      <c r="AL346" s="154"/>
      <c r="AM346" s="154"/>
      <c r="AN346" s="154"/>
      <c r="AO346" s="154"/>
      <c r="AP346" s="154"/>
      <c r="AQ346" s="154"/>
      <c r="AR346" s="154"/>
      <c r="AS346" s="154"/>
      <c r="AT346" s="154"/>
      <c r="AU346" s="154"/>
      <c r="AV346" s="154"/>
      <c r="AW346" s="154"/>
      <c r="AX346" s="154"/>
      <c r="AY346" s="154"/>
      <c r="AZ346" s="154"/>
      <c r="BA346" s="154"/>
      <c r="BB346" s="154"/>
    </row>
    <row r="347" spans="1:54" s="527" customFormat="1" ht="15.75" customHeight="1" outlineLevel="1" x14ac:dyDescent="0.2">
      <c r="A347" s="1212"/>
      <c r="B347" s="1212" t="s">
        <v>1569</v>
      </c>
      <c r="C347" s="1219" t="s">
        <v>1686</v>
      </c>
      <c r="D347" s="1562" t="s">
        <v>2617</v>
      </c>
      <c r="E347" s="1559" t="str">
        <f>IF(NOT('13 Man'!C168 = ""),'13 Man'!C168,IF(COUNTIF('13 Man'!C169:C171,"&gt;=0")=0,"", MIN(MAX(SUMPRODUCT('13 Man'!C169:C171,'13 Man'!$G169:$G171)*4/(SUM('13 Man'!$G169:$G171) - SUMIF('13 Man'!C169:C171,"X",'13 Man'!$G169:$G171)),MAX('13 Man'!AA169:AA171)),MIN('13 Man'!AE169:AE171))))</f>
        <v/>
      </c>
      <c r="F347" s="1559" t="str">
        <f>IF(NOT('13 Man'!D168 = ""),'13 Man'!D168,IF(COUNTIF('13 Man'!D169:D171,"&gt;=0")=0,"", MIN(MAX(SUMPRODUCT('13 Man'!D169:D171,'13 Man'!$G169:$G171)*4/(SUM('13 Man'!$G169:$G171) - SUMIF('13 Man'!D169:D171,"X",'13 Man'!$G169:$G171)),MAX('13 Man'!AB169:AB171)),MIN('13 Man'!AF169:AF171))))</f>
        <v/>
      </c>
      <c r="G347" s="1559" t="str">
        <f>IF(NOT('13 Man'!E168 = ""),'13 Man'!E168,IF(COUNTIF('13 Man'!E169:E171,"&gt;=0")=0,"", MIN(MAX(SUMPRODUCT('13 Man'!E169:E171,'13 Man'!$G169:$G171)*4/(SUM('13 Man'!$G169:$G171) - SUMIF('13 Man'!E169:E171,"X",'13 Man'!$G169:$G171)),MAX('13 Man'!AC169:AC171)),MIN('13 Man'!AG169:AG171))))</f>
        <v/>
      </c>
      <c r="H347" s="1559" t="str">
        <f>IF(NOT('13 Man'!F168 = ""),'13 Man'!F168,IF(COUNTIF('13 Man'!F169:F171,"&gt;=0")=0,"", MIN(MAX(SUMPRODUCT('13 Man'!F169:F171,'13 Man'!$G169:$G171)*4/(SUM('13 Man'!$G169:$G171) - SUMIF('13 Man'!F169:F171,"X",'13 Man'!$G169:$G171)),MAX('13 Man'!AD169:AD171)),MIN('13 Man'!AH169:AH171))))</f>
        <v/>
      </c>
      <c r="I347" s="1557">
        <f>IF(AND(OR(E347="X",E347=""),OR(F347="X",F347=""),OR(G347="X",G347=""),OR(H347="X",H347="")),1,ROUND(MIN(IF(OR(E347="",E347="X"),4,E347),IF(OR(F347="",F347="X"),4,F347),IF(OR(G347="",G347="X"),4,G347),IF(OR(H347="",H347="X"),4,H347)),0))</f>
        <v>1</v>
      </c>
      <c r="J347" s="1557">
        <f>IF(I347="","",IF(IndG=3,MAX(I347,Obj_Projets!J347),MAX(I347,Obj_PA!D347)))</f>
        <v>1</v>
      </c>
      <c r="K347" s="1560">
        <f>IF(IF(OR(IndG=3,IndG=4),MAX(I347,J347),I347)&lt;1,1,IF(OR(IndG=3,IndG=4),MAX(I347,J347),I347))</f>
        <v>1</v>
      </c>
      <c r="L347" s="1650" t="str">
        <f>IF(E347=""," n'a pas démarré","")</f>
        <v xml:space="preserve"> n'a pas démarré</v>
      </c>
      <c r="M347" s="154"/>
      <c r="N347" s="154"/>
      <c r="O347" s="154"/>
      <c r="P347" s="154"/>
      <c r="Q347" s="154"/>
      <c r="R347" s="154"/>
      <c r="S347" s="154"/>
      <c r="T347" s="154"/>
      <c r="U347" s="154"/>
      <c r="V347" s="154"/>
      <c r="W347" s="154"/>
      <c r="X347" s="154"/>
      <c r="Y347" s="154"/>
      <c r="Z347" s="154"/>
      <c r="AA347" s="154"/>
      <c r="AB347" s="154"/>
      <c r="AC347" s="154"/>
      <c r="AD347" s="154"/>
      <c r="AE347" s="154"/>
      <c r="AF347" s="154"/>
      <c r="AG347" s="154"/>
      <c r="AH347" s="154"/>
      <c r="AI347" s="154"/>
      <c r="AJ347" s="154"/>
      <c r="AK347" s="154"/>
      <c r="AL347" s="154"/>
      <c r="AM347" s="154"/>
      <c r="AN347" s="154"/>
      <c r="AO347" s="154"/>
      <c r="AP347" s="154"/>
      <c r="AQ347" s="154"/>
      <c r="AR347" s="154"/>
      <c r="AS347" s="154"/>
      <c r="AT347" s="154"/>
      <c r="AU347" s="154"/>
      <c r="AV347" s="154"/>
      <c r="AW347" s="154"/>
      <c r="AX347" s="154"/>
      <c r="AY347" s="154"/>
      <c r="AZ347" s="154"/>
      <c r="BA347" s="154"/>
      <c r="BB347" s="154"/>
    </row>
    <row r="348" spans="1:54" s="527" customFormat="1" ht="15.75" customHeight="1" outlineLevel="1" x14ac:dyDescent="0.2">
      <c r="A348" s="1212"/>
      <c r="B348" s="1213" t="s">
        <v>1083</v>
      </c>
      <c r="C348" s="1214" t="s">
        <v>1571</v>
      </c>
      <c r="D348" s="1554"/>
      <c r="E348" s="1559"/>
      <c r="F348" s="1559"/>
      <c r="G348" s="1559"/>
      <c r="H348" s="1559"/>
      <c r="I348" s="1561"/>
      <c r="J348" s="1557"/>
      <c r="K348" s="1561"/>
      <c r="L348" s="1650"/>
      <c r="M348" s="154"/>
      <c r="N348" s="154"/>
      <c r="O348" s="154"/>
      <c r="P348" s="154"/>
      <c r="Q348" s="154"/>
      <c r="R348" s="154"/>
      <c r="S348" s="154"/>
      <c r="T348" s="154"/>
      <c r="U348" s="154"/>
      <c r="V348" s="154"/>
      <c r="W348" s="154"/>
      <c r="X348" s="154"/>
      <c r="Y348" s="154"/>
      <c r="Z348" s="154"/>
      <c r="AA348" s="154"/>
      <c r="AB348" s="154"/>
      <c r="AC348" s="154"/>
      <c r="AD348" s="154"/>
      <c r="AE348" s="154"/>
      <c r="AF348" s="154"/>
      <c r="AG348" s="154"/>
      <c r="AH348" s="154"/>
      <c r="AI348" s="154"/>
      <c r="AJ348" s="154"/>
      <c r="AK348" s="154"/>
      <c r="AL348" s="154"/>
      <c r="AM348" s="154"/>
      <c r="AN348" s="154"/>
      <c r="AO348" s="154"/>
      <c r="AP348" s="154"/>
      <c r="AQ348" s="154"/>
      <c r="AR348" s="154"/>
      <c r="AS348" s="154"/>
      <c r="AT348" s="154"/>
      <c r="AU348" s="154"/>
      <c r="AV348" s="154"/>
      <c r="AW348" s="154"/>
      <c r="AX348" s="154"/>
      <c r="AY348" s="154"/>
      <c r="AZ348" s="154"/>
      <c r="BA348" s="154"/>
      <c r="BB348" s="154"/>
    </row>
    <row r="349" spans="1:54" s="527" customFormat="1" ht="15.75" customHeight="1" outlineLevel="1" x14ac:dyDescent="0.2">
      <c r="A349" s="1212"/>
      <c r="B349" s="1212" t="s">
        <v>1084</v>
      </c>
      <c r="C349" s="1219" t="s">
        <v>1963</v>
      </c>
      <c r="D349" s="1562" t="s">
        <v>2619</v>
      </c>
      <c r="E349" s="1559" t="str">
        <f>IF(NOT('13 Man'!C173 = ""),'13 Man'!C173,IF(COUNTIF('13 Man'!C174:C184,"&gt;=0")=0,"", MIN(MAX(SUMPRODUCT('13 Man'!C174:C184,'13 Man'!$G174:$G184)*4/(SUM('13 Man'!$G174:$G184) - SUMIF('13 Man'!C174:C184,"X",'13 Man'!$G174:$G184)),MAX('13 Man'!AA174:AA184)),MIN('13 Man'!AE174:AE184))))</f>
        <v/>
      </c>
      <c r="F349" s="1559" t="str">
        <f>IF(NOT('13 Man'!D173 = ""),'13 Man'!D173,IF(COUNTIF('13 Man'!D174:D184,"&gt;=0")=0,"", MIN(MAX(SUMPRODUCT('13 Man'!D174:D184,'13 Man'!$G174:$G184)*4/(SUM('13 Man'!$G174:$G184) - SUMIF('13 Man'!D174:D184,"X",'13 Man'!$G174:$G184)),MAX('13 Man'!AB174:AB184)),MIN('13 Man'!AF174:AF184))))</f>
        <v/>
      </c>
      <c r="G349" s="1559" t="str">
        <f>IF(NOT('13 Man'!E173 = ""),'13 Man'!E173,IF(COUNTIF('13 Man'!E174:E184,"&gt;=0")=0,"", MIN(MAX(SUMPRODUCT('13 Man'!E174:E184,'13 Man'!$G174:$G184)*4/(SUM('13 Man'!$G174:$G184) - SUMIF('13 Man'!E174:E184,"X",'13 Man'!$G174:$G184)),MAX('13 Man'!AC174:AC184)),MIN('13 Man'!AG174:AG184))))</f>
        <v/>
      </c>
      <c r="H349" s="1559" t="str">
        <f>IF(NOT('13 Man'!F173 = ""),'13 Man'!F173,IF(COUNTIF('13 Man'!F174:F184,"&gt;=0")=0,"", MIN(MAX(SUMPRODUCT('13 Man'!F174:F184,'13 Man'!$G174:$G184)*4/(SUM('13 Man'!$G174:$G184) - SUMIF('13 Man'!F174:F184,"X",'13 Man'!$G174:$G184)),MAX('13 Man'!AD174:AD184)),MIN('13 Man'!AH174:AH184))))</f>
        <v/>
      </c>
      <c r="I349" s="1557">
        <f>IF(AND(OR(E349="X",E349=""),OR(F349="X",F349=""),OR(G349="X",G349=""),OR(H349="X",H349="")),1,ROUND(MIN(IF(OR(E349="",E349="X"),4,E349),IF(OR(F349="",F349="X"),4,F349),IF(OR(G349="",G349="X"),4,G349),IF(OR(H349="",H349="X"),4,H349)),0))</f>
        <v>1</v>
      </c>
      <c r="J349" s="1557">
        <f>IF(I349="","",IF(IndG=3,MAX(I349,Obj_Projets!J349),MAX(I349,Obj_PA!D349)))</f>
        <v>1</v>
      </c>
      <c r="K349" s="1560">
        <f>IF(IF(OR(IndG=3,IndG=4),MAX(I349,J349),I349)&lt;1,1,IF(OR(IndG=3,IndG=4),MAX(I349,J349),I349))</f>
        <v>1</v>
      </c>
      <c r="L349" s="1650" t="str">
        <f>IF(E349=""," n'a pas démarré","")</f>
        <v xml:space="preserve"> n'a pas démarré</v>
      </c>
      <c r="M349" s="154"/>
      <c r="N349" s="154"/>
      <c r="O349" s="154"/>
      <c r="P349" s="154"/>
      <c r="Q349" s="154"/>
      <c r="R349" s="154"/>
      <c r="S349" s="154"/>
      <c r="T349" s="154"/>
      <c r="U349" s="154"/>
      <c r="V349" s="154"/>
      <c r="W349" s="154"/>
      <c r="X349" s="154"/>
      <c r="Y349" s="154"/>
      <c r="Z349" s="154"/>
      <c r="AA349" s="154"/>
      <c r="AB349" s="154"/>
      <c r="AC349" s="154"/>
      <c r="AD349" s="154"/>
      <c r="AE349" s="154"/>
      <c r="AF349" s="154"/>
      <c r="AG349" s="154"/>
      <c r="AH349" s="154"/>
      <c r="AI349" s="154"/>
      <c r="AJ349" s="154"/>
      <c r="AK349" s="154"/>
      <c r="AL349" s="154"/>
      <c r="AM349" s="154"/>
      <c r="AN349" s="154"/>
      <c r="AO349" s="154"/>
      <c r="AP349" s="154"/>
      <c r="AQ349" s="154"/>
      <c r="AR349" s="154"/>
      <c r="AS349" s="154"/>
      <c r="AT349" s="154"/>
      <c r="AU349" s="154"/>
      <c r="AV349" s="154"/>
      <c r="AW349" s="154"/>
      <c r="AX349" s="154"/>
      <c r="AY349" s="154"/>
      <c r="AZ349" s="154"/>
      <c r="BA349" s="154"/>
      <c r="BB349" s="154"/>
    </row>
    <row r="350" spans="1:54" s="527" customFormat="1" ht="15.75" customHeight="1" outlineLevel="1" x14ac:dyDescent="0.2">
      <c r="A350" s="1212"/>
      <c r="B350" s="1212" t="s">
        <v>1096</v>
      </c>
      <c r="C350" s="1219" t="s">
        <v>3376</v>
      </c>
      <c r="D350" s="1562" t="s">
        <v>2619</v>
      </c>
      <c r="E350" s="1559" t="str">
        <f>IF(NOT('13 Man'!C185 = ""),'13 Man'!C185,IF(COUNTIF('13 Man'!C186:C192,"&gt;=0")=0,"", MIN(MAX(SUMPRODUCT('13 Man'!C186:C192,'13 Man'!$G186:$G192)*4/(SUM('13 Man'!$G186:$G192) - SUMIF('13 Man'!C186:C192,"X",'13 Man'!$G186:$G192)),MAX('13 Man'!AA186:AA192)),MIN('13 Man'!AE186:AE192))))</f>
        <v/>
      </c>
      <c r="F350" s="1559" t="str">
        <f>IF(NOT('13 Man'!D185 = ""),'13 Man'!D185,IF(COUNTIF('13 Man'!D186:D192,"&gt;=0")=0,"", MIN(MAX(SUMPRODUCT('13 Man'!D186:D192,'13 Man'!$G186:$G192)*4/(SUM('13 Man'!$G186:$G192) - SUMIF('13 Man'!D186:D192,"X",'13 Man'!$G186:$G192)),MAX('13 Man'!AB186:AB192)),MIN('13 Man'!AF186:AF192))))</f>
        <v/>
      </c>
      <c r="G350" s="1559" t="str">
        <f>IF(NOT('13 Man'!E185 = ""),'13 Man'!E185,IF(COUNTIF('13 Man'!E186:E192,"&gt;=0")=0,"", MIN(MAX(SUMPRODUCT('13 Man'!E186:E192,'13 Man'!$G186:$G192)*4/(SUM('13 Man'!$G186:$G192) - SUMIF('13 Man'!E186:E192,"X",'13 Man'!$G186:$G192)),MAX('13 Man'!AC186:AC192)),MIN('13 Man'!AG186:AG192))))</f>
        <v/>
      </c>
      <c r="H350" s="1559" t="str">
        <f>IF(NOT('13 Man'!F185 = ""),'13 Man'!F185,IF(COUNTIF('13 Man'!F186:F192,"&gt;=0")=0,"", MIN(MAX(SUMPRODUCT('13 Man'!F186:F192,'13 Man'!$G186:$G192)*4/(SUM('13 Man'!$G186:$G192) - SUMIF('13 Man'!F186:F192,"X",'13 Man'!$G186:$G192)),MAX('13 Man'!AD186:AD192)),MIN('13 Man'!AH186:AH192))))</f>
        <v/>
      </c>
      <c r="I350" s="1557">
        <f>IF(AND(OR(E350="X",E350=""),OR(F350="X",F350=""),OR(G350="X",G350=""),OR(H350="X",H350="")),1,ROUND(MIN(IF(OR(E350="",E350="X"),4,E350),IF(OR(F350="",F350="X"),4,F350),IF(OR(G350="",G350="X"),4,G350),IF(OR(H350="",H350="X"),4,H350)),0))</f>
        <v>1</v>
      </c>
      <c r="J350" s="1557">
        <f>IF(I350="","",IF(IndG=3,MAX(I350,Obj_Projets!J350),MAX(I350,Obj_PA!D350)))</f>
        <v>1</v>
      </c>
      <c r="K350" s="1560">
        <f>IF(IF(OR(IndG=3,IndG=4),MAX(I350,J350),I350)&lt;1,1,IF(OR(IndG=3,IndG=4),MAX(I350,J350),I350))</f>
        <v>1</v>
      </c>
      <c r="L350" s="1650" t="str">
        <f>IF(E350=""," n'a pas démarré","")</f>
        <v xml:space="preserve"> n'a pas démarré</v>
      </c>
      <c r="M350" s="154"/>
      <c r="N350" s="154"/>
      <c r="O350" s="154"/>
      <c r="P350" s="154"/>
      <c r="Q350" s="154"/>
      <c r="R350" s="154"/>
      <c r="S350" s="154"/>
      <c r="T350" s="154"/>
      <c r="U350" s="154"/>
      <c r="V350" s="154"/>
      <c r="W350" s="154"/>
      <c r="X350" s="154"/>
      <c r="Y350" s="154"/>
      <c r="Z350" s="154"/>
      <c r="AA350" s="154"/>
      <c r="AB350" s="154"/>
      <c r="AC350" s="154"/>
      <c r="AD350" s="154"/>
      <c r="AE350" s="154"/>
      <c r="AF350" s="154"/>
      <c r="AG350" s="154"/>
      <c r="AH350" s="154"/>
      <c r="AI350" s="154"/>
      <c r="AJ350" s="154"/>
      <c r="AK350" s="154"/>
      <c r="AL350" s="154"/>
      <c r="AM350" s="154"/>
      <c r="AN350" s="154"/>
      <c r="AO350" s="154"/>
      <c r="AP350" s="154"/>
      <c r="AQ350" s="154"/>
      <c r="AR350" s="154"/>
      <c r="AS350" s="154"/>
      <c r="AT350" s="154"/>
      <c r="AU350" s="154"/>
      <c r="AV350" s="154"/>
      <c r="AW350" s="154"/>
      <c r="AX350" s="154"/>
      <c r="AY350" s="154"/>
      <c r="AZ350" s="154"/>
      <c r="BA350" s="154"/>
      <c r="BB350" s="154"/>
    </row>
    <row r="351" spans="1:54" s="527" customFormat="1" ht="15.75" customHeight="1" outlineLevel="1" x14ac:dyDescent="0.2">
      <c r="A351" s="1212"/>
      <c r="B351" s="1212" t="s">
        <v>1104</v>
      </c>
      <c r="C351" s="1219" t="s">
        <v>5178</v>
      </c>
      <c r="D351" s="1562" t="s">
        <v>2617</v>
      </c>
      <c r="E351" s="1559" t="str">
        <f>IF(NOT('13 Man'!C193 = ""),'13 Man'!C193,IF(COUNTIF('13 Man'!C194:C196,"&gt;=0")=0,"", MIN(MAX(SUMPRODUCT('13 Man'!C194:C196,'13 Man'!$G194:$G196)*4/(SUM('13 Man'!$G194:$G196) - SUMIF('13 Man'!C194:C196,"X",'13 Man'!$G194:$G196)),MAX('13 Man'!AA194:AA196)),MIN('13 Man'!AE194:AE196))))</f>
        <v/>
      </c>
      <c r="F351" s="1559" t="str">
        <f>IF(NOT('13 Man'!D193 = ""),'13 Man'!D193,IF(COUNTIF('13 Man'!D194:D196,"&gt;=0")=0,"", MIN(MAX(SUMPRODUCT('13 Man'!D194:D196,'13 Man'!$G194:$G196)*4/(SUM('13 Man'!$G194:$G196) - SUMIF('13 Man'!D194:D196,"X",'13 Man'!$G194:$G196)),MAX('13 Man'!AB194:AB196)),MIN('13 Man'!AF194:AF196))))</f>
        <v/>
      </c>
      <c r="G351" s="1559" t="str">
        <f>IF(NOT('13 Man'!E193 = ""),'13 Man'!E193,IF(COUNTIF('13 Man'!E194:E196,"&gt;=0")=0,"", MIN(MAX(SUMPRODUCT('13 Man'!E194:E196,'13 Man'!$G194:$G196)*4/(SUM('13 Man'!$G194:$G196) - SUMIF('13 Man'!E194:E196,"X",'13 Man'!$G194:$G196)),MAX('13 Man'!AC194:AC196)),MIN('13 Man'!AG194:AG196))))</f>
        <v/>
      </c>
      <c r="H351" s="1559" t="str">
        <f>IF(NOT('13 Man'!F193 = ""),'13 Man'!F193,IF(COUNTIF('13 Man'!F194:F196,"&gt;=0")=0,"", MIN(MAX(SUMPRODUCT('13 Man'!F194:F196,'13 Man'!$G194:$G196)*4/(SUM('13 Man'!$G194:$G196) - SUMIF('13 Man'!F194:F196,"X",'13 Man'!$G194:$G196)),MAX('13 Man'!AD194:AD196)),MIN('13 Man'!AH194:AH196))))</f>
        <v/>
      </c>
      <c r="I351" s="1557">
        <f>IF(AND(OR(E351="X",E351=""),OR(F351="X",F351=""),OR(G351="X",G351=""),OR(H351="X",H351="")),1,ROUND(MIN(IF(OR(E351="",E351="X"),4,E351),IF(OR(F351="",F351="X"),4,F351),IF(OR(G351="",G351="X"),4,G351),IF(OR(H351="",H351="X"),4,H351)),0))</f>
        <v>1</v>
      </c>
      <c r="J351" s="1557">
        <f>IF(I351="","",IF(IndG=3,MAX(I351,Obj_Projets!J351),MAX(I351,Obj_PA!D351)))</f>
        <v>1</v>
      </c>
      <c r="K351" s="1560">
        <f>IF(IF(OR(IndG=3,IndG=4),MAX(I351,J351),I351)&lt;1,1,IF(OR(IndG=3,IndG=4),MAX(I351,J351),I351))</f>
        <v>1</v>
      </c>
      <c r="L351" s="1650" t="str">
        <f>IF(E351=""," n'a pas démarré","")</f>
        <v xml:space="preserve"> n'a pas démarré</v>
      </c>
      <c r="M351" s="154"/>
      <c r="N351" s="154"/>
      <c r="O351" s="154"/>
      <c r="P351" s="154"/>
      <c r="Q351" s="154"/>
      <c r="R351" s="154"/>
      <c r="S351" s="154"/>
      <c r="T351" s="154"/>
      <c r="U351" s="154"/>
      <c r="V351" s="154"/>
      <c r="W351" s="154"/>
      <c r="X351" s="154"/>
      <c r="Y351" s="154"/>
      <c r="Z351" s="154"/>
      <c r="AA351" s="154"/>
      <c r="AB351" s="154"/>
      <c r="AC351" s="154"/>
      <c r="AD351" s="154"/>
      <c r="AE351" s="154"/>
      <c r="AF351" s="154"/>
      <c r="AG351" s="154"/>
      <c r="AH351" s="154"/>
      <c r="AI351" s="154"/>
      <c r="AJ351" s="154"/>
      <c r="AK351" s="154"/>
      <c r="AL351" s="154"/>
      <c r="AM351" s="154"/>
      <c r="AN351" s="154"/>
      <c r="AO351" s="154"/>
      <c r="AP351" s="154"/>
      <c r="AQ351" s="154"/>
      <c r="AR351" s="154"/>
      <c r="AS351" s="154"/>
      <c r="AT351" s="154"/>
      <c r="AU351" s="154"/>
      <c r="AV351" s="154"/>
      <c r="AW351" s="154"/>
      <c r="AX351" s="154"/>
      <c r="AY351" s="154"/>
      <c r="AZ351" s="154"/>
      <c r="BA351" s="154"/>
      <c r="BB351" s="154"/>
    </row>
    <row r="352" spans="1:54" ht="15.75" customHeight="1" outlineLevel="1" x14ac:dyDescent="0.2">
      <c r="A352" s="1212"/>
      <c r="B352" s="1212" t="s">
        <v>1108</v>
      </c>
      <c r="C352" s="1219" t="s">
        <v>1082</v>
      </c>
      <c r="D352" s="1562" t="s">
        <v>2617</v>
      </c>
      <c r="E352" s="1559" t="str">
        <f>IF(NOT('13 Man'!C197 = ""),'13 Man'!C197,IF(COUNTIF('13 Man'!C198:C200,"&gt;=0")=0,"", MIN(MAX(SUMPRODUCT('13 Man'!C198:C200,'13 Man'!$G198:$G200)*4/(SUM('13 Man'!$G198:$G200) - SUMIF('13 Man'!C198:C200,"X",'13 Man'!$G198:$G200)),MAX('13 Man'!AA198:AA200)),MIN('13 Man'!AE198:AE200))))</f>
        <v/>
      </c>
      <c r="F352" s="1559" t="str">
        <f>IF(NOT('13 Man'!D197 = ""),'13 Man'!D197,IF(COUNTIF('13 Man'!D198:D200,"&gt;=0")=0,"", MIN(MAX(SUMPRODUCT('13 Man'!D198:D200,'13 Man'!$G198:$G200)*4/(SUM('13 Man'!$G198:$G200) - SUMIF('13 Man'!D198:D200,"X",'13 Man'!$G198:$G200)),MAX('13 Man'!AB198:AB200)),MIN('13 Man'!AF198:AF200))))</f>
        <v/>
      </c>
      <c r="G352" s="1559" t="str">
        <f>IF(NOT('13 Man'!E197 = ""),'13 Man'!E197,IF(COUNTIF('13 Man'!E198:E200,"&gt;=0")=0,"", MIN(MAX(SUMPRODUCT('13 Man'!E198:E200,'13 Man'!$G198:$G200)*4/(SUM('13 Man'!$G198:$G200) - SUMIF('13 Man'!E198:E200,"X",'13 Man'!$G198:$G200)),MAX('13 Man'!AC198:AC200)),MIN('13 Man'!AG198:AG200))))</f>
        <v/>
      </c>
      <c r="H352" s="1559" t="str">
        <f>IF(NOT('13 Man'!F197 = ""),'13 Man'!F197,IF(COUNTIF('13 Man'!F198:F200,"&gt;=0")=0,"", MIN(MAX(SUMPRODUCT('13 Man'!F198:F200,'13 Man'!$G198:$G200)*4/(SUM('13 Man'!$G198:$G200) - SUMIF('13 Man'!F198:F200,"X",'13 Man'!$G198:$G200)),MAX('13 Man'!AD198:AD200)),MIN('13 Man'!AH198:AH200))))</f>
        <v/>
      </c>
      <c r="I352" s="1557">
        <f>IF(AND(OR(E352="X",E352=""),OR(F352="X",F352=""),OR(G352="X",G352=""),OR(H352="X",H352="")),1,ROUND(MIN(IF(OR(E352="",E352="X"),4,E352),IF(OR(F352="",F352="X"),4,F352),IF(OR(G352="",G352="X"),4,G352),IF(OR(H352="",H352="X"),4,H352)),0))</f>
        <v>1</v>
      </c>
      <c r="J352" s="1557">
        <f>IF(I352="","",IF(IndG=3,MAX(I352,Obj_Projets!J352),MAX(I352,Obj_PA!D352)))</f>
        <v>1</v>
      </c>
      <c r="K352" s="1560">
        <f>IF(IF(OR(IndG=3,IndG=4),MAX(I352,J352),I352)&lt;1,1,IF(OR(IndG=3,IndG=4),MAX(I352,J352),I352))</f>
        <v>1</v>
      </c>
      <c r="L352" s="1652" t="str">
        <f>IF(E352=""," n'a pas démarré","")</f>
        <v xml:space="preserve"> n'a pas démarré</v>
      </c>
    </row>
    <row r="353" spans="1:54" s="527" customFormat="1" ht="15.75" customHeight="1" outlineLevel="1" x14ac:dyDescent="0.2">
      <c r="A353" s="1212"/>
      <c r="B353" s="1213" t="s">
        <v>1800</v>
      </c>
      <c r="C353" s="1214" t="s">
        <v>1801</v>
      </c>
      <c r="D353" s="1554"/>
      <c r="E353" s="1559"/>
      <c r="F353" s="1559"/>
      <c r="G353" s="1559"/>
      <c r="H353" s="1559"/>
      <c r="I353" s="1561"/>
      <c r="J353" s="1557"/>
      <c r="K353" s="1561"/>
      <c r="L353" s="1650"/>
      <c r="M353" s="154"/>
      <c r="N353" s="154"/>
      <c r="O353" s="154"/>
      <c r="P353" s="154"/>
      <c r="Q353" s="154"/>
      <c r="R353" s="154"/>
      <c r="S353" s="154"/>
      <c r="T353" s="154"/>
      <c r="U353" s="154"/>
      <c r="V353" s="154"/>
      <c r="W353" s="154"/>
      <c r="X353" s="154"/>
      <c r="Y353" s="154"/>
      <c r="Z353" s="154"/>
      <c r="AA353" s="154"/>
      <c r="AB353" s="154"/>
      <c r="AC353" s="154"/>
      <c r="AD353" s="154"/>
      <c r="AE353" s="154"/>
      <c r="AF353" s="154"/>
      <c r="AG353" s="154"/>
      <c r="AH353" s="154"/>
      <c r="AI353" s="154"/>
      <c r="AJ353" s="154"/>
      <c r="AK353" s="154"/>
      <c r="AL353" s="154"/>
      <c r="AM353" s="154"/>
      <c r="AN353" s="154"/>
      <c r="AO353" s="154"/>
      <c r="AP353" s="154"/>
      <c r="AQ353" s="154"/>
      <c r="AR353" s="154"/>
      <c r="AS353" s="154"/>
      <c r="AT353" s="154"/>
      <c r="AU353" s="154"/>
      <c r="AV353" s="154"/>
      <c r="AW353" s="154"/>
      <c r="AX353" s="154"/>
      <c r="AY353" s="154"/>
      <c r="AZ353" s="154"/>
      <c r="BA353" s="154"/>
      <c r="BB353" s="154"/>
    </row>
    <row r="354" spans="1:54" s="527" customFormat="1" ht="15.75" customHeight="1" outlineLevel="1" x14ac:dyDescent="0.2">
      <c r="A354" s="1212"/>
      <c r="B354" s="1212" t="s">
        <v>1803</v>
      </c>
      <c r="C354" s="1219" t="s">
        <v>1802</v>
      </c>
      <c r="D354" s="1562" t="s">
        <v>2619</v>
      </c>
      <c r="E354" s="1559" t="str">
        <f>IF(NOT('13 Man'!C202 = ""),'13 Man'!C202,IF(COUNTIF('13 Man'!C203:C208,"&gt;=0")=0,"", MIN(MAX(SUMPRODUCT('13 Man'!C203:C208,'13 Man'!$G203:$G208)*4/(SUM('13 Man'!$G203:$G208) - SUMIF('13 Man'!C203:C208,"X",'13 Man'!$G203:$G208)),MAX('13 Man'!AA203:AA208)),MIN('13 Man'!AE203:AE208))))</f>
        <v/>
      </c>
      <c r="F354" s="1559" t="str">
        <f>IF(NOT('13 Man'!D202 = ""),'13 Man'!D202,IF(COUNTIF('13 Man'!D203:D208,"&gt;=0")=0,"", MIN(MAX(SUMPRODUCT('13 Man'!D203:D208,'13 Man'!$G203:$G208)*4/(SUM('13 Man'!$G203:$G208) - SUMIF('13 Man'!D203:D208,"X",'13 Man'!$G203:$G208)),MAX('13 Man'!AB203:AB208)),MIN('13 Man'!AF203:AF208))))</f>
        <v/>
      </c>
      <c r="G354" s="1559" t="str">
        <f>IF(NOT('13 Man'!E202 = ""),'13 Man'!E202,IF(COUNTIF('13 Man'!E203:E208,"&gt;=0")=0,"", MIN(MAX(SUMPRODUCT('13 Man'!E203:E208,'13 Man'!$G203:$G208)*4/(SUM('13 Man'!$G203:$G208) - SUMIF('13 Man'!E203:E208,"X",'13 Man'!$G203:$G208)),MAX('13 Man'!AC203:AC208)),MIN('13 Man'!AG203:AG208))))</f>
        <v/>
      </c>
      <c r="H354" s="1559" t="str">
        <f>IF(NOT('13 Man'!F202 = ""),'13 Man'!F202,IF(COUNTIF('13 Man'!F203:F208,"&gt;=0")=0,"", MIN(MAX(SUMPRODUCT('13 Man'!F203:F208,'13 Man'!$G203:$G208)*4/(SUM('13 Man'!$G203:$G208) - SUMIF('13 Man'!F203:F208,"X",'13 Man'!$G203:$G208)),MAX('13 Man'!AD203:AD208)),MIN('13 Man'!AH203:AH208))))</f>
        <v/>
      </c>
      <c r="I354" s="1557">
        <f>IF(AND(OR(E354="X",E354=""),OR(F354="X",F354=""),OR(G354="X",G354=""),OR(H354="X",H354="")),1,ROUND(MIN(IF(OR(E354="",E354="X"),4,E354),IF(OR(F354="",F354="X"),4,F354),IF(OR(G354="",G354="X"),4,G354),IF(OR(H354="",H354="X"),4,H354)),0))</f>
        <v>1</v>
      </c>
      <c r="J354" s="1557">
        <f>IF(I354="","",IF(IndG=3,MAX(I354,Obj_Projets!J354),MAX(I354,Obj_PA!D354)))</f>
        <v>1</v>
      </c>
      <c r="K354" s="1560">
        <f>IF(IF(OR(IndG=3,IndG=4),MAX(I354,J354),I354)&lt;1,1,IF(OR(IndG=3,IndG=4),MAX(I354,J354),I354))</f>
        <v>1</v>
      </c>
      <c r="L354" s="1650" t="str">
        <f>IF(E354=""," n'a pas démarré","")</f>
        <v xml:space="preserve"> n'a pas démarré</v>
      </c>
      <c r="M354" s="154"/>
      <c r="N354" s="154"/>
      <c r="O354" s="154"/>
      <c r="P354" s="154"/>
      <c r="Q354" s="154"/>
      <c r="R354" s="154"/>
      <c r="S354" s="154"/>
      <c r="T354" s="154"/>
      <c r="U354" s="154"/>
      <c r="V354" s="154"/>
      <c r="W354" s="154"/>
      <c r="X354" s="154"/>
      <c r="Y354" s="154"/>
      <c r="Z354" s="154"/>
      <c r="AA354" s="154"/>
      <c r="AB354" s="154"/>
      <c r="AC354" s="154"/>
      <c r="AD354" s="154"/>
      <c r="AE354" s="154"/>
      <c r="AF354" s="154"/>
      <c r="AG354" s="154"/>
      <c r="AH354" s="154"/>
      <c r="AI354" s="154"/>
      <c r="AJ354" s="154"/>
      <c r="AK354" s="154"/>
      <c r="AL354" s="154"/>
      <c r="AM354" s="154"/>
      <c r="AN354" s="154"/>
      <c r="AO354" s="154"/>
      <c r="AP354" s="154"/>
      <c r="AQ354" s="154"/>
      <c r="AR354" s="154"/>
      <c r="AS354" s="154"/>
      <c r="AT354" s="154"/>
      <c r="AU354" s="154"/>
      <c r="AV354" s="154"/>
      <c r="AW354" s="154"/>
      <c r="AX354" s="154"/>
      <c r="AY354" s="154"/>
      <c r="AZ354" s="154"/>
      <c r="BA354" s="154"/>
      <c r="BB354" s="154"/>
    </row>
    <row r="355" spans="1:54" s="527" customFormat="1" ht="15.75" customHeight="1" outlineLevel="1" x14ac:dyDescent="0.2">
      <c r="A355" s="1212"/>
      <c r="B355" s="1212" t="s">
        <v>33</v>
      </c>
      <c r="C355" s="1219" t="s">
        <v>31</v>
      </c>
      <c r="D355" s="1562" t="s">
        <v>2619</v>
      </c>
      <c r="E355" s="1559" t="str">
        <f>IF(NOT('13 Man'!C209 = ""),'13 Man'!C209,IF(COUNTIF('13 Man'!C210:C211,"&gt;=0")=0,"", MIN(MAX(SUMPRODUCT('13 Man'!C210:C211,'13 Man'!$G210:$G211)*4/(SUM('13 Man'!$G210:$G211) - SUMIF('13 Man'!C210:C211,"X",'13 Man'!$G210:$G211)),MAX('13 Man'!AA210:AA211)),MIN('13 Man'!AE210:AE211))))</f>
        <v/>
      </c>
      <c r="F355" s="1559" t="str">
        <f>IF(NOT('13 Man'!D209 = ""),'13 Man'!D209,IF(COUNTIF('13 Man'!D210:D211,"&gt;=0")=0,"", MIN(MAX(SUMPRODUCT('13 Man'!D210:D211,'13 Man'!$G210:$G211)*4/(SUM('13 Man'!$G210:$G211) - SUMIF('13 Man'!D210:D211,"X",'13 Man'!$G210:$G211)),MAX('13 Man'!AB210:AB211)),MIN('13 Man'!AF210:AF211))))</f>
        <v/>
      </c>
      <c r="G355" s="1559" t="str">
        <f>IF(NOT('13 Man'!E209 = ""),'13 Man'!E209,IF(COUNTIF('13 Man'!E210:E211,"&gt;=0")=0,"", MIN(MAX(SUMPRODUCT('13 Man'!E210:E211,'13 Man'!$G210:$G211)*4/(SUM('13 Man'!$G210:$G211) - SUMIF('13 Man'!E210:E211,"X",'13 Man'!$G210:$G211)),MAX('13 Man'!AC210:AC211)),MIN('13 Man'!AG210:AG211))))</f>
        <v/>
      </c>
      <c r="H355" s="1559" t="str">
        <f>IF(NOT('13 Man'!F209 = ""),'13 Man'!F209,IF(COUNTIF('13 Man'!F210:F211,"&gt;=0")=0,"", MIN(MAX(SUMPRODUCT('13 Man'!F210:F211,'13 Man'!$G210:$G211)*4/(SUM('13 Man'!$G210:$G211) - SUMIF('13 Man'!F210:F211,"X",'13 Man'!$G210:$G211)),MAX('13 Man'!AD210:AD211)),MIN('13 Man'!AH210:AH211))))</f>
        <v/>
      </c>
      <c r="I355" s="1557">
        <f>IF(AND(OR(E355="X",E355=""),OR(F355="X",F355=""),OR(G355="X",G355=""),OR(H355="X",H355="")),1,ROUND(MIN(IF(OR(E355="",E355="X"),4,E355),IF(OR(F355="",F355="X"),4,F355),IF(OR(G355="",G355="X"),4,G355),IF(OR(H355="",H355="X"),4,H355)),0))</f>
        <v>1</v>
      </c>
      <c r="J355" s="1557">
        <f>IF(I355="","",IF(IndG=3,MAX(I355,Obj_Projets!J355),MAX(I355,Obj_PA!D355)))</f>
        <v>1</v>
      </c>
      <c r="K355" s="1560">
        <f>IF(IF(OR(IndG=3,IndG=4),MAX(I355,J355),I355)&lt;1,1,IF(OR(IndG=3,IndG=4),MAX(I355,J355),I355))</f>
        <v>1</v>
      </c>
      <c r="L355" s="1650" t="str">
        <f>IF(E355=""," n'a pas démarré","")</f>
        <v xml:space="preserve"> n'a pas démarré</v>
      </c>
      <c r="M355" s="154"/>
      <c r="N355" s="154"/>
      <c r="O355" s="154"/>
      <c r="P355" s="154"/>
      <c r="Q355" s="154"/>
      <c r="R355" s="154"/>
      <c r="S355" s="154"/>
      <c r="T355" s="154"/>
      <c r="U355" s="154"/>
      <c r="V355" s="154"/>
      <c r="W355" s="154"/>
      <c r="X355" s="154"/>
      <c r="Y355" s="154"/>
      <c r="Z355" s="154"/>
      <c r="AA355" s="154"/>
      <c r="AB355" s="154"/>
      <c r="AC355" s="154"/>
      <c r="AD355" s="154"/>
      <c r="AE355" s="154"/>
      <c r="AF355" s="154"/>
      <c r="AG355" s="154"/>
      <c r="AH355" s="154"/>
      <c r="AI355" s="154"/>
      <c r="AJ355" s="154"/>
      <c r="AK355" s="154"/>
      <c r="AL355" s="154"/>
      <c r="AM355" s="154"/>
      <c r="AN355" s="154"/>
      <c r="AO355" s="154"/>
      <c r="AP355" s="154"/>
      <c r="AQ355" s="154"/>
      <c r="AR355" s="154"/>
      <c r="AS355" s="154"/>
      <c r="AT355" s="154"/>
      <c r="AU355" s="154"/>
      <c r="AV355" s="154"/>
      <c r="AW355" s="154"/>
      <c r="AX355" s="154"/>
      <c r="AY355" s="154"/>
      <c r="AZ355" s="154"/>
      <c r="BA355" s="154"/>
      <c r="BB355" s="154"/>
    </row>
    <row r="356" spans="1:54" ht="15.75" customHeight="1" outlineLevel="1" x14ac:dyDescent="0.2">
      <c r="A356" s="1212"/>
      <c r="B356" s="1212" t="s">
        <v>1075</v>
      </c>
      <c r="C356" s="1219" t="s">
        <v>1029</v>
      </c>
      <c r="D356" s="1562" t="s">
        <v>2617</v>
      </c>
      <c r="E356" s="1559" t="str">
        <f>IF(NOT('13 Man'!C212 = ""),'13 Man'!C212,IF(COUNTIF('13 Man'!C213:C215,"&gt;=0")=0,"", MIN(MAX(SUMPRODUCT('13 Man'!C213:C215,'13 Man'!$G213:$G215)*4/(SUM('13 Man'!$G213:$G215) - SUMIF('13 Man'!C213:C215,"X",'13 Man'!$G213:$G215)),MAX('13 Man'!AA213:AA215)),MIN('13 Man'!AE213:AE215))))</f>
        <v/>
      </c>
      <c r="F356" s="1559" t="str">
        <f>IF(NOT('13 Man'!D212 = ""),'13 Man'!D212,IF(COUNTIF('13 Man'!D213:D215,"&gt;=0")=0,"", MIN(MAX(SUMPRODUCT('13 Man'!D213:D215,'13 Man'!$G213:$G215)*4/(SUM('13 Man'!$G213:$G215) - SUMIF('13 Man'!D213:D215,"X",'13 Man'!$G213:$G215)),MAX('13 Man'!AB213:AB215)),MIN('13 Man'!AF213:AF215))))</f>
        <v/>
      </c>
      <c r="G356" s="1559" t="str">
        <f>IF(NOT('13 Man'!E212 = ""),'13 Man'!E212,IF(COUNTIF('13 Man'!E213:E215,"&gt;=0")=0,"", MIN(MAX(SUMPRODUCT('13 Man'!E213:E215,'13 Man'!$G213:$G215)*4/(SUM('13 Man'!$G213:$G215) - SUMIF('13 Man'!E213:E215,"X",'13 Man'!$G213:$G215)),MAX('13 Man'!AC213:AC215)),MIN('13 Man'!AG213:AG215))))</f>
        <v/>
      </c>
      <c r="H356" s="1559" t="str">
        <f>IF(NOT('13 Man'!F212 = ""),'13 Man'!F212,IF(COUNTIF('13 Man'!F213:F215,"&gt;=0")=0,"", MIN(MAX(SUMPRODUCT('13 Man'!F213:F215,'13 Man'!$G213:$G215)*4/(SUM('13 Man'!$G213:$G215) - SUMIF('13 Man'!F213:F215,"X",'13 Man'!$G213:$G215)),MAX('13 Man'!AD213:AD215)),MIN('13 Man'!AH213:AH215))))</f>
        <v/>
      </c>
      <c r="I356" s="1557">
        <f>IF(AND(OR(E356="X",E356=""),OR(F356="X",F356=""),OR(G356="X",G356=""),OR(H356="X",H356="")),1,ROUND(MIN(IF(OR(E356="",E356="X"),4,E356),IF(OR(F356="",F356="X"),4,F356),IF(OR(G356="",G356="X"),4,G356),IF(OR(H356="",H356="X"),4,H356)),0))</f>
        <v>1</v>
      </c>
      <c r="J356" s="1557">
        <f>IF(I356="","",IF(IndG=3,MAX(I356,Obj_Projets!J356),MAX(I356,Obj_PA!D356)))</f>
        <v>1</v>
      </c>
      <c r="K356" s="1560">
        <f>IF(IF(OR(IndG=3,IndG=4),MAX(I356,J356),I356)&lt;1,1,IF(OR(IndG=3,IndG=4),MAX(I356,J356),I356))</f>
        <v>1</v>
      </c>
      <c r="L356" s="1652" t="str">
        <f>IF(E356=""," n'a pas démarré","")</f>
        <v xml:space="preserve"> n'a pas démarré</v>
      </c>
    </row>
    <row r="357" spans="1:54" ht="15.75" customHeight="1" x14ac:dyDescent="0.25">
      <c r="A357" s="1229">
        <v>14</v>
      </c>
      <c r="B357" s="1992" t="s">
        <v>6422</v>
      </c>
      <c r="C357" s="1993"/>
      <c r="D357" s="1574"/>
      <c r="E357" s="1575"/>
      <c r="F357" s="1564"/>
      <c r="G357" s="1564"/>
      <c r="H357" s="1564"/>
      <c r="I357" s="1568"/>
      <c r="J357" s="1568"/>
      <c r="K357" s="1568"/>
      <c r="L357" s="1651"/>
    </row>
    <row r="358" spans="1:54" ht="15.75" customHeight="1" outlineLevel="1" x14ac:dyDescent="0.2">
      <c r="A358" s="1579"/>
      <c r="B358" s="1580" t="s">
        <v>5189</v>
      </c>
      <c r="C358" s="1581" t="s">
        <v>5190</v>
      </c>
      <c r="D358" s="1554"/>
      <c r="E358" s="1566"/>
      <c r="F358" s="1566"/>
      <c r="G358" s="1566"/>
      <c r="H358" s="1566"/>
      <c r="I358" s="1561"/>
      <c r="J358" s="1561"/>
      <c r="K358" s="1561"/>
      <c r="L358" s="1652"/>
    </row>
    <row r="359" spans="1:54" ht="15.75" customHeight="1" outlineLevel="1" x14ac:dyDescent="0.2">
      <c r="A359" s="1579"/>
      <c r="B359" s="1579" t="s">
        <v>5191</v>
      </c>
      <c r="C359" s="1582" t="s">
        <v>5192</v>
      </c>
      <c r="D359" s="1554"/>
      <c r="E359" s="1566" t="str">
        <f>IF(NOT('14 Msi'!C4 = ""),'14 Msi'!C4,IF(COUNTIF('14 Msi'!C5:C6,"&gt;=0")=0,"", MIN(MAX(SUMPRODUCT('14 Msi'!C5:C6,'14 Msi'!$G5:$G6)*4/(SUM('14 Msi'!$G5:$G6) - SUMIF('14 Msi'!C5:C6,"X",'14 Msi'!$G5:$G6)),MAX('14 Msi'!AA5:AA6)),MIN('14 Msi'!AE5:AE6))))</f>
        <v/>
      </c>
      <c r="F359" s="1566" t="str">
        <f>IF(NOT('14 Msi'!D4 = ""),'14 Msi'!D4,IF(COUNTIF('14 Msi'!D5:D6,"&gt;=0")=0,"", MIN(MAX(SUMPRODUCT('14 Msi'!D5:D6,'14 Msi'!$G5:$G6)*4/(SUM('14 Msi'!$G5:$G6) - SUMIF('14 Msi'!D5:D6,"X",'14 Msi'!$G5:$G6)),MAX('14 Msi'!AB5:AB6)),MIN('14 Msi'!AF5:AF6))))</f>
        <v/>
      </c>
      <c r="G359" s="1566" t="str">
        <f>IF(NOT('14 Msi'!E4 = ""),'14 Msi'!E4,IF(COUNTIF('14 Msi'!E5:E6,"&gt;=0")=0,"", MIN(MAX(SUMPRODUCT('14 Msi'!E5:E6,'14 Msi'!$G5:$G6)*4/(SUM('14 Msi'!$G5:$G6) - SUMIF('14 Msi'!E5:E6,"X",'14 Msi'!$G5:$G6)),MAX('14 Msi'!AC5:AC6)),MIN('14 Msi'!AG5:AG6))))</f>
        <v/>
      </c>
      <c r="H359" s="1566" t="str">
        <f>IF(NOT('14 Msi'!F4 = ""),'14 Msi'!F4,IF(COUNTIF('14 Msi'!F5:F6,"&gt;=0")=0,"", MIN(MAX(SUMPRODUCT('14 Msi'!F5:F6,'14 Msi'!$G5:$G6)*4/(SUM('14 Msi'!$G5:$G6) - SUMIF('14 Msi'!F5:F6,"X",'14 Msi'!$G5:$G6)),MAX('14 Msi'!AD5:AD6)),MIN('14 Msi'!AH5:AH6))))</f>
        <v/>
      </c>
      <c r="I359" s="1557">
        <f t="shared" ref="I359:I366" si="48">IF(AND(OR(E359="X",E359=""),OR(F359="X",F359=""),OR(G359="X",G359=""),OR(H359="X",H359="")),1,ROUND(MIN(IF(OR(E359="",E359="X"),4,E359),IF(OR(F359="",F359="X"),4,F359),IF(OR(G359="",G359="X"),4,G359),IF(OR(H359="",H359="X"),4,H359)),0))</f>
        <v>1</v>
      </c>
      <c r="J359" s="1557">
        <f>IF(I359="","",IF(IndG=3,MAX(I359,Obj_Projets!J359),MAX(I359,Obj_PA!D359)))</f>
        <v>1</v>
      </c>
      <c r="K359" s="1560">
        <f t="shared" ref="K359:K366" si="49">IF(IF(OR(IndG=3,IndG=4),MAX(I359,J359),I359)&lt;1,1,IF(OR(IndG=3,IndG=4),MAX(I359,J359),I359))</f>
        <v>1</v>
      </c>
      <c r="L359" s="1652" t="str">
        <f t="shared" ref="L359:L366" si="50">IF(E359=""," n'a pas démarré","")</f>
        <v xml:space="preserve"> n'a pas démarré</v>
      </c>
    </row>
    <row r="360" spans="1:54" ht="15.75" customHeight="1" outlineLevel="1" x14ac:dyDescent="0.2">
      <c r="A360" s="1579"/>
      <c r="B360" s="1579" t="s">
        <v>5801</v>
      </c>
      <c r="C360" s="1582" t="s">
        <v>6297</v>
      </c>
      <c r="D360" s="1554"/>
      <c r="E360" s="1566" t="str">
        <f>IF(NOT('14 Msi'!C7 = ""),'14 Msi'!C7,IF(COUNTIF('14 Msi'!C8:C15,"&gt;=0")=0,"", MIN(MAX(SUMPRODUCT('14 Msi'!C8:C15,'14 Msi'!$G8:$G15)*4/(SUM('14 Msi'!$G8:$G15) - SUMIF('14 Msi'!C8:C15,"X",'14 Msi'!$G8:$G15)),MAX('14 Msi'!AA8:AA15)),MIN('14 Msi'!AE8:AE15))))</f>
        <v/>
      </c>
      <c r="F360" s="1566" t="str">
        <f>IF(NOT('14 Msi'!D7 = ""),'14 Msi'!D7,IF(COUNTIF('14 Msi'!D8:D15,"&gt;=0")=0,"", MIN(MAX(SUMPRODUCT('14 Msi'!D8:D15,'14 Msi'!$G8:$G15)*4/(SUM('14 Msi'!$G8:$G15) - SUMIF('14 Msi'!D8:D15,"X",'14 Msi'!$G8:$G15)),MAX('14 Msi'!AB8:AB15)),MIN('14 Msi'!AF8:AF15))))</f>
        <v/>
      </c>
      <c r="G360" s="1566" t="str">
        <f>IF(NOT('14 Msi'!E7 = ""),'14 Msi'!E7,IF(COUNTIF('14 Msi'!E8:E15,"&gt;=0")=0,"", MIN(MAX(SUMPRODUCT('14 Msi'!E8:E15,'14 Msi'!$G8:$G15)*4/(SUM('14 Msi'!$G8:$G15) - SUMIF('14 Msi'!E8:E15,"X",'14 Msi'!$G8:$G15)),MAX('14 Msi'!AC8:AC15)),MIN('14 Msi'!AG8:AG15))))</f>
        <v/>
      </c>
      <c r="H360" s="1566" t="str">
        <f>IF(NOT('14 Msi'!F7 = ""),'14 Msi'!F7,IF(COUNTIF('14 Msi'!F8:F15,"&gt;=0")=0,"", MIN(MAX(SUMPRODUCT('14 Msi'!F8:F15,'14 Msi'!$G8:$G15)*4/(SUM('14 Msi'!$G8:$G15) - SUMIF('14 Msi'!F8:F15,"X",'14 Msi'!$G8:$G15)),MAX('14 Msi'!AD8:AD15)),MIN('14 Msi'!AH8:AH15))))</f>
        <v/>
      </c>
      <c r="I360" s="1557">
        <f t="shared" si="48"/>
        <v>1</v>
      </c>
      <c r="J360" s="1557">
        <f>IF(I360="","",IF(IndG=3,MAX(I360,Obj_Projets!J360),MAX(I360,Obj_PA!D360)))</f>
        <v>1</v>
      </c>
      <c r="K360" s="1560">
        <f t="shared" si="49"/>
        <v>1</v>
      </c>
      <c r="L360" s="1652" t="str">
        <f t="shared" si="50"/>
        <v xml:space="preserve"> n'a pas démarré</v>
      </c>
    </row>
    <row r="361" spans="1:54" ht="15.75" customHeight="1" outlineLevel="1" x14ac:dyDescent="0.2">
      <c r="A361" s="1579"/>
      <c r="B361" s="1579" t="s">
        <v>6600</v>
      </c>
      <c r="C361" s="1582" t="s">
        <v>4170</v>
      </c>
      <c r="D361" s="1554"/>
      <c r="E361" s="1566" t="str">
        <f>IF(NOT('14 Msi'!C16 = ""),'14 Msi'!C16,IF(COUNTIF('14 Msi'!C17:C20,"&gt;=0")=0,"", MIN(MAX(SUMPRODUCT('14 Msi'!C17:C20,'14 Msi'!$G17:$G20)*4/(SUM('14 Msi'!$G17:$G20) - SUMIF('14 Msi'!C17:C20,"X",'14 Msi'!$G17:$G20)),MAX('14 Msi'!AA17:AA20)),MIN('14 Msi'!AE17:AE20))))</f>
        <v/>
      </c>
      <c r="F361" s="1566" t="str">
        <f>IF(NOT('14 Msi'!D16 = ""),'14 Msi'!D16,IF(COUNTIF('14 Msi'!D17:D20,"&gt;=0")=0,"", MIN(MAX(SUMPRODUCT('14 Msi'!D17:D20,'14 Msi'!$G17:$G20)*4/(SUM('14 Msi'!$G17:$G20) - SUMIF('14 Msi'!D17:D20,"X",'14 Msi'!$G17:$G20)),MAX('14 Msi'!AB17:AB20)),MIN('14 Msi'!AF17:AF20))))</f>
        <v/>
      </c>
      <c r="G361" s="1566" t="str">
        <f>IF(NOT('14 Msi'!E16 = ""),'14 Msi'!E16,IF(COUNTIF('14 Msi'!E17:E20,"&gt;=0")=0,"", MIN(MAX(SUMPRODUCT('14 Msi'!E17:E20,'14 Msi'!$G17:$G20)*4/(SUM('14 Msi'!$G17:$G20) - SUMIF('14 Msi'!E17:E20,"X",'14 Msi'!$G17:$G20)),MAX('14 Msi'!AC17:AC20)),MIN('14 Msi'!AG17:AG20))))</f>
        <v/>
      </c>
      <c r="H361" s="1566" t="str">
        <f>IF(NOT('14 Msi'!F16 = ""),'14 Msi'!F16,IF(COUNTIF('14 Msi'!F17:F20,"&gt;=0")=0,"", MIN(MAX(SUMPRODUCT('14 Msi'!F17:F20,'14 Msi'!$G17:$G20)*4/(SUM('14 Msi'!$G17:$G20) - SUMIF('14 Msi'!F17:F20,"X",'14 Msi'!$G17:$G20)),MAX('14 Msi'!AD17:AD20)),MIN('14 Msi'!AH17:AH20))))</f>
        <v/>
      </c>
      <c r="I361" s="1557">
        <f t="shared" si="48"/>
        <v>1</v>
      </c>
      <c r="J361" s="1557">
        <f>IF(I361="","",IF(IndG=3,MAX(I361,Obj_Projets!J361),MAX(I361,Obj_PA!D361)))</f>
        <v>1</v>
      </c>
      <c r="K361" s="1560">
        <f t="shared" si="49"/>
        <v>1</v>
      </c>
      <c r="L361" s="1652" t="str">
        <f t="shared" si="50"/>
        <v xml:space="preserve"> n'a pas démarré</v>
      </c>
    </row>
    <row r="362" spans="1:54" ht="15.75" customHeight="1" outlineLevel="1" x14ac:dyDescent="0.2">
      <c r="A362" s="1579"/>
      <c r="B362" s="1579" t="s">
        <v>6603</v>
      </c>
      <c r="C362" s="1582" t="s">
        <v>6604</v>
      </c>
      <c r="D362" s="1554"/>
      <c r="E362" s="1566" t="str">
        <f>IF(NOT('14 Msi'!C21 = ""),'14 Msi'!C21,IF(COUNTIF('14 Msi'!C22:C27,"&gt;=0")=0,"", MIN(MAX(SUMPRODUCT('14 Msi'!C22:C27,'14 Msi'!$G22:$G27)*4/(SUM('14 Msi'!$G22:$G27) - SUMIF('14 Msi'!C22:C27,"X",'14 Msi'!$G22:$G27)),MAX('14 Msi'!AA22:AA27)),MIN('14 Msi'!AE22:AE27))))</f>
        <v/>
      </c>
      <c r="F362" s="1566" t="str">
        <f>IF(NOT('14 Msi'!D21 = ""),'14 Msi'!D21,IF(COUNTIF('14 Msi'!D22:D27,"&gt;=0")=0,"", MIN(MAX(SUMPRODUCT('14 Msi'!D22:D27,'14 Msi'!$G22:$G27)*4/(SUM('14 Msi'!$G22:$G27) - SUMIF('14 Msi'!D22:D27,"X",'14 Msi'!$G22:$G27)),MAX('14 Msi'!AB22:AB27)),MIN('14 Msi'!AF22:AF27))))</f>
        <v/>
      </c>
      <c r="G362" s="1566" t="str">
        <f>IF(NOT('14 Msi'!E21 = ""),'14 Msi'!E21,IF(COUNTIF('14 Msi'!E22:E27,"&gt;=0")=0,"", MIN(MAX(SUMPRODUCT('14 Msi'!E22:E27,'14 Msi'!$G22:$G27)*4/(SUM('14 Msi'!$G22:$G27) - SUMIF('14 Msi'!E22:E27,"X",'14 Msi'!$G22:$G27)),MAX('14 Msi'!AC22:AC27)),MIN('14 Msi'!AG22:AG27))))</f>
        <v/>
      </c>
      <c r="H362" s="1566" t="str">
        <f>IF(NOT('14 Msi'!F21 = ""),'14 Msi'!F21,IF(COUNTIF('14 Msi'!F22:F27,"&gt;=0")=0,"", MIN(MAX(SUMPRODUCT('14 Msi'!F22:F27,'14 Msi'!$G22:$G27)*4/(SUM('14 Msi'!$G22:$G27) - SUMIF('14 Msi'!F22:F27,"X",'14 Msi'!$G22:$G27)),MAX('14 Msi'!AD22:AD27)),MIN('14 Msi'!AH22:AH27))))</f>
        <v/>
      </c>
      <c r="I362" s="1557">
        <f t="shared" si="48"/>
        <v>1</v>
      </c>
      <c r="J362" s="1557">
        <f>IF(I362="","",IF(IndG=3,MAX(I362,Obj_Projets!J362),MAX(I362,Obj_PA!D362)))</f>
        <v>1</v>
      </c>
      <c r="K362" s="1560">
        <f t="shared" si="49"/>
        <v>1</v>
      </c>
      <c r="L362" s="1652" t="str">
        <f t="shared" si="50"/>
        <v xml:space="preserve"> n'a pas démarré</v>
      </c>
    </row>
    <row r="363" spans="1:54" ht="15.75" customHeight="1" outlineLevel="1" x14ac:dyDescent="0.2">
      <c r="A363" s="1579"/>
      <c r="B363" s="1579" t="s">
        <v>5241</v>
      </c>
      <c r="C363" s="1582" t="s">
        <v>5242</v>
      </c>
      <c r="D363" s="1554"/>
      <c r="E363" s="1566" t="str">
        <f>IF(NOT('14 Msi'!C28 = ""),'14 Msi'!C28,IF(COUNTIF('14 Msi'!C29:C34,"&gt;=0")=0,"", MIN(MAX(SUMPRODUCT('14 Msi'!C29:C34,'14 Msi'!$G29:$G34)*4/(SUM('14 Msi'!$G29:$G34) - SUMIF('14 Msi'!C29:C34,"X",'14 Msi'!$G29:$G34)),MAX('14 Msi'!AA29:AA34)),MIN('14 Msi'!AE29:AE34))))</f>
        <v/>
      </c>
      <c r="F363" s="1566" t="str">
        <f>IF(NOT('14 Msi'!D28 = ""),'14 Msi'!D28,IF(COUNTIF('14 Msi'!D29:D34,"&gt;=0")=0,"", MIN(MAX(SUMPRODUCT('14 Msi'!D29:D34,'14 Msi'!$G29:$G34)*4/(SUM('14 Msi'!$G29:$G34) - SUMIF('14 Msi'!D29:D34,"X",'14 Msi'!$G29:$G34)),MAX('14 Msi'!AB29:AB34)),MIN('14 Msi'!AF29:AF34))))</f>
        <v/>
      </c>
      <c r="G363" s="1566" t="str">
        <f>IF(NOT('14 Msi'!E28 = ""),'14 Msi'!E28,IF(COUNTIF('14 Msi'!E29:E34,"&gt;=0")=0,"", MIN(MAX(SUMPRODUCT('14 Msi'!E29:E34,'14 Msi'!$G29:$G34)*4/(SUM('14 Msi'!$G29:$G34) - SUMIF('14 Msi'!E29:E34,"X",'14 Msi'!$G29:$G34)),MAX('14 Msi'!AC29:AC34)),MIN('14 Msi'!AG29:AG34))))</f>
        <v/>
      </c>
      <c r="H363" s="1566" t="str">
        <f>IF(NOT('14 Msi'!F28 = ""),'14 Msi'!F28,IF(COUNTIF('14 Msi'!F29:F34,"&gt;=0")=0,"", MIN(MAX(SUMPRODUCT('14 Msi'!F29:F34,'14 Msi'!$G29:$G34)*4/(SUM('14 Msi'!$G29:$G34) - SUMIF('14 Msi'!F29:F34,"X",'14 Msi'!$G29:$G34)),MAX('14 Msi'!AD29:AD34)),MIN('14 Msi'!AH29:AH34))))</f>
        <v/>
      </c>
      <c r="I363" s="1557">
        <f t="shared" si="48"/>
        <v>1</v>
      </c>
      <c r="J363" s="1557">
        <f>IF(I363="","",IF(IndG=3,MAX(I363,Obj_Projets!J363),MAX(I363,Obj_PA!D363)))</f>
        <v>1</v>
      </c>
      <c r="K363" s="1560">
        <f t="shared" si="49"/>
        <v>1</v>
      </c>
      <c r="L363" s="1652" t="str">
        <f t="shared" si="50"/>
        <v xml:space="preserve"> n'a pas démarré</v>
      </c>
    </row>
    <row r="364" spans="1:54" ht="15.75" customHeight="1" outlineLevel="1" x14ac:dyDescent="0.2">
      <c r="A364" s="1579"/>
      <c r="B364" s="1579" t="s">
        <v>4051</v>
      </c>
      <c r="C364" s="1582" t="s">
        <v>4052</v>
      </c>
      <c r="D364" s="1554"/>
      <c r="E364" s="1566" t="str">
        <f>IF(NOT('14 Msi'!C35 = ""),'14 Msi'!C35,IF(COUNTIF('14 Msi'!C36:C37,"&gt;=0")=0,"", MIN(MAX(SUMPRODUCT('14 Msi'!C36:C37,'14 Msi'!$G36:$G37)*4/(SUM('14 Msi'!$G36:$G37) - SUMIF('14 Msi'!C36:C37,"X",'14 Msi'!$G36:$G37)),MAX('14 Msi'!AA36:AA37)),MIN('14 Msi'!AE36:AE37))))</f>
        <v/>
      </c>
      <c r="F364" s="1566" t="str">
        <f>IF(NOT('14 Msi'!D35 = ""),'14 Msi'!D35,IF(COUNTIF('14 Msi'!D36:D37,"&gt;=0")=0,"", MIN(MAX(SUMPRODUCT('14 Msi'!D36:D37,'14 Msi'!$G36:$G37)*4/(SUM('14 Msi'!$G36:$G37) - SUMIF('14 Msi'!D36:D37,"X",'14 Msi'!$G36:$G37)),MAX('14 Msi'!AB36:AB37)),MIN('14 Msi'!AF36:AF37))))</f>
        <v/>
      </c>
      <c r="G364" s="1566" t="str">
        <f>IF(NOT('14 Msi'!E35 = ""),'14 Msi'!E35,IF(COUNTIF('14 Msi'!E36:E37,"&gt;=0")=0,"", MIN(MAX(SUMPRODUCT('14 Msi'!E36:E37,'14 Msi'!$G36:$G37)*4/(SUM('14 Msi'!$G36:$G37) - SUMIF('14 Msi'!E36:E37,"X",'14 Msi'!$G36:$G37)),MAX('14 Msi'!AC36:AC37)),MIN('14 Msi'!AG36:AG37))))</f>
        <v/>
      </c>
      <c r="H364" s="1566" t="str">
        <f>IF(NOT('14 Msi'!F35 = ""),'14 Msi'!F35,IF(COUNTIF('14 Msi'!F36:F37,"&gt;=0")=0,"", MIN(MAX(SUMPRODUCT('14 Msi'!F36:F37,'14 Msi'!$G36:$G37)*4/(SUM('14 Msi'!$G36:$G37) - SUMIF('14 Msi'!F36:F37,"X",'14 Msi'!$G36:$G37)),MAX('14 Msi'!AD36:AD37)),MIN('14 Msi'!AH36:AH37))))</f>
        <v/>
      </c>
      <c r="I364" s="1557">
        <f t="shared" si="48"/>
        <v>1</v>
      </c>
      <c r="J364" s="1557">
        <f>IF(I364="","",IF(IndG=3,MAX(I364,Obj_Projets!J364),MAX(I364,Obj_PA!D364)))</f>
        <v>1</v>
      </c>
      <c r="K364" s="1560">
        <f t="shared" si="49"/>
        <v>1</v>
      </c>
      <c r="L364" s="1652" t="str">
        <f t="shared" si="50"/>
        <v xml:space="preserve"> n'a pas démarré</v>
      </c>
    </row>
    <row r="365" spans="1:54" ht="15.75" customHeight="1" outlineLevel="1" x14ac:dyDescent="0.2">
      <c r="A365" s="1579"/>
      <c r="B365" s="1579" t="s">
        <v>1488</v>
      </c>
      <c r="C365" s="1582" t="s">
        <v>4624</v>
      </c>
      <c r="D365" s="1554"/>
      <c r="E365" s="1566" t="str">
        <f>IF(NOT('14 Msi'!C38 = ""),'14 Msi'!C38,IF(COUNTIF('14 Msi'!C39:C41,"&gt;=0")=0,"", MIN(MAX(SUMPRODUCT('14 Msi'!C39:C41,'14 Msi'!$G39:$G41)*4/(SUM('14 Msi'!$G39:$G41) - SUMIF('14 Msi'!C39:C41,"X",'14 Msi'!$G39:$G41)),MAX('14 Msi'!AA39:AA41)),MIN('14 Msi'!AE39:AE41))))</f>
        <v/>
      </c>
      <c r="F365" s="1566" t="str">
        <f>IF(NOT('14 Msi'!D38 = ""),'14 Msi'!D38,IF(COUNTIF('14 Msi'!D39:D41,"&gt;=0")=0,"", MIN(MAX(SUMPRODUCT('14 Msi'!D39:D41,'14 Msi'!$G39:$G41)*4/(SUM('14 Msi'!$G39:$G41) - SUMIF('14 Msi'!D39:D41,"X",'14 Msi'!$G39:$G41)),MAX('14 Msi'!AB39:AB41)),MIN('14 Msi'!AF39:AF41))))</f>
        <v/>
      </c>
      <c r="G365" s="1566" t="str">
        <f>IF(NOT('14 Msi'!E38 = ""),'14 Msi'!E38,IF(COUNTIF('14 Msi'!E39:E41,"&gt;=0")=0,"", MIN(MAX(SUMPRODUCT('14 Msi'!E39:E41,'14 Msi'!$G39:$G41)*4/(SUM('14 Msi'!$G39:$G41) - SUMIF('14 Msi'!E39:E41,"X",'14 Msi'!$G39:$G41)),MAX('14 Msi'!AC39:AC41)),MIN('14 Msi'!AG39:AG41))))</f>
        <v/>
      </c>
      <c r="H365" s="1566" t="str">
        <f>IF(NOT('14 Msi'!F38 = ""),'14 Msi'!F38,IF(COUNTIF('14 Msi'!F39:F41,"&gt;=0")=0,"", MIN(MAX(SUMPRODUCT('14 Msi'!F39:F41,'14 Msi'!$G39:$G41)*4/(SUM('14 Msi'!$G39:$G41) - SUMIF('14 Msi'!F39:F41,"X",'14 Msi'!$G39:$G41)),MAX('14 Msi'!AD39:AD41)),MIN('14 Msi'!AH39:AH41))))</f>
        <v/>
      </c>
      <c r="I365" s="1557">
        <f t="shared" si="48"/>
        <v>1</v>
      </c>
      <c r="J365" s="1557">
        <f>IF(I365="","",IF(IndG=3,MAX(I365,Obj_Projets!J365),MAX(I365,Obj_PA!D365)))</f>
        <v>1</v>
      </c>
      <c r="K365" s="1560">
        <f t="shared" si="49"/>
        <v>1</v>
      </c>
      <c r="L365" s="1652" t="str">
        <f t="shared" si="50"/>
        <v xml:space="preserve"> n'a pas démarré</v>
      </c>
    </row>
    <row r="366" spans="1:54" ht="15.75" customHeight="1" outlineLevel="1" x14ac:dyDescent="0.2">
      <c r="A366" s="1579"/>
      <c r="B366" s="1579" t="s">
        <v>1743</v>
      </c>
      <c r="C366" s="1582" t="s">
        <v>1744</v>
      </c>
      <c r="D366" s="1554"/>
      <c r="E366" s="1566" t="str">
        <f>IF(NOT('14 Msi'!C42 = ""),'14 Msi'!C42,IF(COUNTIF('14 Msi'!C43:C45,"&gt;=0")=0,"", MIN(MAX(SUMPRODUCT('14 Msi'!C43:C45,'14 Msi'!$G43:$G45)*4/(SUM('14 Msi'!$G43:$G45) - SUMIF('14 Msi'!C43:C45,"X",'14 Msi'!$G43:$G45)),MAX('14 Msi'!AA43:AA45)),MIN('14 Msi'!AE43:AE45))))</f>
        <v/>
      </c>
      <c r="F366" s="1566" t="str">
        <f>IF(NOT('14 Msi'!D42 = ""),'14 Msi'!D42,IF(COUNTIF('14 Msi'!D43:D45,"&gt;=0")=0,"", MIN(MAX(SUMPRODUCT('14 Msi'!D43:D45,'14 Msi'!$G43:$G45)*4/(SUM('14 Msi'!$G43:$G45) - SUMIF('14 Msi'!D43:D45,"X",'14 Msi'!$G43:$G45)),MAX('14 Msi'!AB43:AB45)),MIN('14 Msi'!AF43:AF45))))</f>
        <v/>
      </c>
      <c r="G366" s="1566" t="str">
        <f>IF(NOT('14 Msi'!E42 = ""),'14 Msi'!E42,IF(COUNTIF('14 Msi'!E43:E45,"&gt;=0")=0,"", MIN(MAX(SUMPRODUCT('14 Msi'!E43:E45,'14 Msi'!$G43:$G45)*4/(SUM('14 Msi'!$G43:$G45) - SUMIF('14 Msi'!E43:E45,"X",'14 Msi'!$G43:$G45)),MAX('14 Msi'!AC43:AC45)),MIN('14 Msi'!AG43:AG45))))</f>
        <v/>
      </c>
      <c r="H366" s="1566" t="str">
        <f>IF(NOT('14 Msi'!F42 = ""),'14 Msi'!F42,IF(COUNTIF('14 Msi'!F43:F45,"&gt;=0")=0,"", MIN(MAX(SUMPRODUCT('14 Msi'!F43:F45,'14 Msi'!$G43:$G45)*4/(SUM('14 Msi'!$G43:$G45) - SUMIF('14 Msi'!F43:F45,"X",'14 Msi'!$G43:$G45)),MAX('14 Msi'!AD43:AD45)),MIN('14 Msi'!AH43:AH45))))</f>
        <v/>
      </c>
      <c r="I366" s="1557">
        <f t="shared" si="48"/>
        <v>1</v>
      </c>
      <c r="J366" s="1557">
        <f>IF(I366="","",IF(IndG=3,MAX(I366,Obj_Projets!J366),MAX(I366,Obj_PA!D366)))</f>
        <v>1</v>
      </c>
      <c r="K366" s="1560">
        <f t="shared" si="49"/>
        <v>1</v>
      </c>
      <c r="L366" s="1652" t="str">
        <f t="shared" si="50"/>
        <v xml:space="preserve"> n'a pas démarré</v>
      </c>
    </row>
    <row r="367" spans="1:54" ht="15.75" customHeight="1" outlineLevel="1" x14ac:dyDescent="0.2">
      <c r="A367" s="1579"/>
      <c r="B367" s="1580" t="s">
        <v>3928</v>
      </c>
      <c r="C367" s="1581" t="s">
        <v>7303</v>
      </c>
      <c r="D367" s="1554"/>
      <c r="E367" s="1566"/>
      <c r="F367" s="1566"/>
      <c r="G367" s="1566"/>
      <c r="H367" s="1566"/>
      <c r="I367" s="1561"/>
      <c r="J367" s="1557"/>
      <c r="K367" s="1561"/>
      <c r="L367" s="1652"/>
    </row>
    <row r="368" spans="1:54" ht="15.75" customHeight="1" outlineLevel="1" x14ac:dyDescent="0.2">
      <c r="A368" s="1579"/>
      <c r="B368" s="1579" t="s">
        <v>3929</v>
      </c>
      <c r="C368" s="1582" t="s">
        <v>3930</v>
      </c>
      <c r="D368" s="1554"/>
      <c r="E368" s="1566" t="str">
        <f>IF(NOT('14 Msi'!C47 = ""),'14 Msi'!C47,IF(COUNTIF('14 Msi'!C48:C50,"&gt;=0")=0,"", MIN(MAX(SUMPRODUCT('14 Msi'!C48:C50,'14 Msi'!$G48:$G50)*4/(SUM('14 Msi'!$G48:$G50) - SUMIF('14 Msi'!C48:C50,"X",'14 Msi'!$G48:$G50)),MAX('14 Msi'!AA48:AA50)),MIN('14 Msi'!AE48:AE50))))</f>
        <v/>
      </c>
      <c r="F368" s="1566" t="str">
        <f>IF(NOT('14 Msi'!D47 = ""),'14 Msi'!D47,IF(COUNTIF('14 Msi'!D48:D50,"&gt;=0")=0,"", MIN(MAX(SUMPRODUCT('14 Msi'!D48:D50,'14 Msi'!$G48:$G50)*4/(SUM('14 Msi'!$G48:$G50) - SUMIF('14 Msi'!D48:D50,"X",'14 Msi'!$G48:$G50)),MAX('14 Msi'!AB48:AB50)),MIN('14 Msi'!AF48:AF50))))</f>
        <v/>
      </c>
      <c r="G368" s="1566" t="str">
        <f>IF(NOT('14 Msi'!E47 = ""),'14 Msi'!E47,IF(COUNTIF('14 Msi'!E48:E50,"&gt;=0")=0,"", MIN(MAX(SUMPRODUCT('14 Msi'!E48:E50,'14 Msi'!$G48:$G50)*4/(SUM('14 Msi'!$G48:$G50) - SUMIF('14 Msi'!E48:E50,"X",'14 Msi'!$G48:$G50)),MAX('14 Msi'!AC48:AC50)),MIN('14 Msi'!AG48:AG50))))</f>
        <v/>
      </c>
      <c r="H368" s="1566" t="str">
        <f>IF(NOT('14 Msi'!F47 = ""),'14 Msi'!F47,IF(COUNTIF('14 Msi'!F48:F50,"&gt;=0")=0,"", MIN(MAX(SUMPRODUCT('14 Msi'!F48:F50,'14 Msi'!$G48:$G50)*4/(SUM('14 Msi'!$G48:$G50) - SUMIF('14 Msi'!F48:F50,"X",'14 Msi'!$G48:$G50)),MAX('14 Msi'!AD48:AD50)),MIN('14 Msi'!AH48:AH50))))</f>
        <v/>
      </c>
      <c r="I368" s="1557">
        <f>IF(AND(OR(E368="X",E368=""),OR(F368="X",F368=""),OR(G368="X",G368=""),OR(H368="X",H368="")),1,ROUND(MIN(IF(OR(E368="",E368="X"),4,E368),IF(OR(F368="",F368="X"),4,F368),IF(OR(G368="",G368="X"),4,G368),IF(OR(H368="",H368="X"),4,H368)),0))</f>
        <v>1</v>
      </c>
      <c r="J368" s="1557">
        <f>IF(I368="","",IF(IndG=3,MAX(I368,Obj_Projets!J368),MAX(I368,Obj_PA!D368)))</f>
        <v>1</v>
      </c>
      <c r="K368" s="1560">
        <f>IF(IF(OR(IndG=3,IndG=4),MAX(I368,J368),I368)&lt;1,1,IF(OR(IndG=3,IndG=4),MAX(I368,J368),I368))</f>
        <v>1</v>
      </c>
      <c r="L368" s="1652" t="str">
        <f>IF(E368=""," n'a pas démarré","")</f>
        <v xml:space="preserve"> n'a pas démarré</v>
      </c>
    </row>
    <row r="369" spans="1:12" ht="15.75" customHeight="1" outlineLevel="1" x14ac:dyDescent="0.2">
      <c r="A369" s="1579"/>
      <c r="B369" s="1579" t="s">
        <v>3531</v>
      </c>
      <c r="C369" s="1582" t="s">
        <v>65</v>
      </c>
      <c r="D369" s="1554"/>
      <c r="E369" s="1566" t="str">
        <f>IF(NOT('14 Msi'!C51 = ""),'14 Msi'!C51,IF(COUNTIF('14 Msi'!C52:C56,"&gt;=0")=0,"", MIN(MAX(SUMPRODUCT('14 Msi'!C52:C56,'14 Msi'!$G52:$G56)*4/(SUM('14 Msi'!$G52:$G56) - SUMIF('14 Msi'!C52:C56,"X",'14 Msi'!$G52:$G56)),MAX('14 Msi'!AA52:AA56)),MIN('14 Msi'!AE52:AE56))))</f>
        <v/>
      </c>
      <c r="F369" s="1566" t="str">
        <f>IF(NOT('14 Msi'!D51 = ""),'14 Msi'!D51,IF(COUNTIF('14 Msi'!D52:D56,"&gt;=0")=0,"", MIN(MAX(SUMPRODUCT('14 Msi'!D52:D56,'14 Msi'!$G52:$G56)*4/(SUM('14 Msi'!$G52:$G56) - SUMIF('14 Msi'!D52:D56,"X",'14 Msi'!$G52:$G56)),MAX('14 Msi'!AB52:AB56)),MIN('14 Msi'!AF52:AF56))))</f>
        <v/>
      </c>
      <c r="G369" s="1566" t="str">
        <f>IF(NOT('14 Msi'!E51 = ""),'14 Msi'!E51,IF(COUNTIF('14 Msi'!E52:E56,"&gt;=0")=0,"", MIN(MAX(SUMPRODUCT('14 Msi'!E52:E56,'14 Msi'!$G52:$G56)*4/(SUM('14 Msi'!$G52:$G56) - SUMIF('14 Msi'!E52:E56,"X",'14 Msi'!$G52:$G56)),MAX('14 Msi'!AC52:AC56)),MIN('14 Msi'!AG52:AG56))))</f>
        <v/>
      </c>
      <c r="H369" s="1566" t="str">
        <f>IF(NOT('14 Msi'!F51 = ""),'14 Msi'!F51,IF(COUNTIF('14 Msi'!F52:F56,"&gt;=0")=0,"", MIN(MAX(SUMPRODUCT('14 Msi'!F52:F56,'14 Msi'!$G52:$G56)*4/(SUM('14 Msi'!$G52:$G56) - SUMIF('14 Msi'!F52:F56,"X",'14 Msi'!$G52:$G56)),MAX('14 Msi'!AD52:AD56)),MIN('14 Msi'!AH52:AH56))))</f>
        <v/>
      </c>
      <c r="I369" s="1557">
        <f>IF(AND(OR(E369="X",E369=""),OR(F369="X",F369=""),OR(G369="X",G369=""),OR(H369="X",H369="")),1,ROUND(MIN(IF(OR(E369="",E369="X"),4,E369),IF(OR(F369="",F369="X"),4,F369),IF(OR(G369="",G369="X"),4,G369),IF(OR(H369="",H369="X"),4,H369)),0))</f>
        <v>1</v>
      </c>
      <c r="J369" s="1557">
        <f>IF(I369="","",IF(IndG=3,MAX(I369,Obj_Projets!J369),MAX(I369,Obj_PA!D369)))</f>
        <v>1</v>
      </c>
      <c r="K369" s="1560">
        <f>IF(IF(OR(IndG=3,IndG=4),MAX(I369,J369),I369)&lt;1,1,IF(OR(IndG=3,IndG=4),MAX(I369,J369),I369))</f>
        <v>1</v>
      </c>
      <c r="L369" s="1652" t="str">
        <f>IF(E369=""," n'a pas démarré","")</f>
        <v xml:space="preserve"> n'a pas démarré</v>
      </c>
    </row>
    <row r="370" spans="1:12" ht="15.75" customHeight="1" outlineLevel="1" x14ac:dyDescent="0.2">
      <c r="A370" s="1579"/>
      <c r="B370" s="1579" t="s">
        <v>3537</v>
      </c>
      <c r="C370" s="1582" t="s">
        <v>1232</v>
      </c>
      <c r="D370" s="1554"/>
      <c r="E370" s="1566" t="str">
        <f>IF(NOT('14 Msi'!C57 = ""),'14 Msi'!C57,IF(COUNTIF('14 Msi'!C58:C63,"&gt;=0")=0,"", MIN(MAX(SUMPRODUCT('14 Msi'!C58:C63,'14 Msi'!$G58:$G63)*4/(SUM('14 Msi'!$G58:$G63) - SUMIF('14 Msi'!C58:C63,"X",'14 Msi'!$G58:$G63)),MAX('14 Msi'!AA58:AA63)),MIN('14 Msi'!AE58:AE63))))</f>
        <v/>
      </c>
      <c r="F370" s="1566" t="str">
        <f>IF(NOT('14 Msi'!D57 = ""),'14 Msi'!D57,IF(COUNTIF('14 Msi'!D58:D63,"&gt;=0")=0,"", MIN(MAX(SUMPRODUCT('14 Msi'!D58:D63,'14 Msi'!$G58:$G63)*4/(SUM('14 Msi'!$G58:$G63) - SUMIF('14 Msi'!D58:D63,"X",'14 Msi'!$G58:$G63)),MAX('14 Msi'!AB58:AB63)),MIN('14 Msi'!AF58:AF63))))</f>
        <v/>
      </c>
      <c r="G370" s="1566" t="str">
        <f>IF(NOT('14 Msi'!E57 = ""),'14 Msi'!E57,IF(COUNTIF('14 Msi'!E58:E63,"&gt;=0")=0,"", MIN(MAX(SUMPRODUCT('14 Msi'!E58:E63,'14 Msi'!$G58:$G63)*4/(SUM('14 Msi'!$G58:$G63) - SUMIF('14 Msi'!E58:E63,"X",'14 Msi'!$G58:$G63)),MAX('14 Msi'!AC58:AC63)),MIN('14 Msi'!AG58:AG63))))</f>
        <v/>
      </c>
      <c r="H370" s="1566" t="str">
        <f>IF(NOT('14 Msi'!F57 = ""),'14 Msi'!F57,IF(COUNTIF('14 Msi'!F58:F63,"&gt;=0")=0,"", MIN(MAX(SUMPRODUCT('14 Msi'!F58:F63,'14 Msi'!$G58:$G63)*4/(SUM('14 Msi'!$G58:$G63) - SUMIF('14 Msi'!F58:F63,"X",'14 Msi'!$G58:$G63)),MAX('14 Msi'!AD58:AD63)),MIN('14 Msi'!AH58:AH63))))</f>
        <v/>
      </c>
      <c r="I370" s="1557">
        <f>IF(AND(OR(E370="X",E370=""),OR(F370="X",F370=""),OR(G370="X",G370=""),OR(H370="X",H370="")),1,ROUND(MIN(IF(OR(E370="",E370="X"),4,E370),IF(OR(F370="",F370="X"),4,F370),IF(OR(G370="",G370="X"),4,G370),IF(OR(H370="",H370="X"),4,H370)),0))</f>
        <v>1</v>
      </c>
      <c r="J370" s="1557">
        <f>IF(I370="","",IF(IndG=3,MAX(I370,Obj_Projets!J370),MAX(I370,Obj_PA!D370)))</f>
        <v>1</v>
      </c>
      <c r="K370" s="1560">
        <f>IF(IF(OR(IndG=3,IndG=4),MAX(I370,J370),I370)&lt;1,1,IF(OR(IndG=3,IndG=4),MAX(I370,J370),I370))</f>
        <v>1</v>
      </c>
      <c r="L370" s="1652" t="str">
        <f>IF(E370=""," n'a pas démarré","")</f>
        <v xml:space="preserve"> n'a pas démarré</v>
      </c>
    </row>
    <row r="371" spans="1:12" ht="15.75" customHeight="1" outlineLevel="1" x14ac:dyDescent="0.2">
      <c r="A371" s="1579"/>
      <c r="B371" s="1579" t="s">
        <v>3544</v>
      </c>
      <c r="C371" s="1582" t="s">
        <v>6314</v>
      </c>
      <c r="D371" s="1554"/>
      <c r="E371" s="1566" t="str">
        <f>IF(NOT('14 Msi'!C64 = ""),'14 Msi'!C64,IF(COUNTIF('14 Msi'!C65:C69,"&gt;=0")=0,"", MIN(MAX(SUMPRODUCT('14 Msi'!C65:C69,'14 Msi'!$G65:$G69)*4/(SUM('14 Msi'!$G65:$G69) - SUMIF('14 Msi'!C65:C69,"X",'14 Msi'!$G65:$G69)),MAX('14 Msi'!AA65:AA69)),MIN('14 Msi'!AE65:AE69))))</f>
        <v/>
      </c>
      <c r="F371" s="1566" t="str">
        <f>IF(NOT('14 Msi'!D64 = ""),'14 Msi'!D64,IF(COUNTIF('14 Msi'!D65:D69,"&gt;=0")=0,"", MIN(MAX(SUMPRODUCT('14 Msi'!D65:D69,'14 Msi'!$G65:$G69)*4/(SUM('14 Msi'!$G65:$G69) - SUMIF('14 Msi'!D65:D69,"X",'14 Msi'!$G65:$G69)),MAX('14 Msi'!AB65:AB69)),MIN('14 Msi'!AF65:AF69))))</f>
        <v/>
      </c>
      <c r="G371" s="1566" t="str">
        <f>IF(NOT('14 Msi'!E64 = ""),'14 Msi'!E64,IF(COUNTIF('14 Msi'!E65:E69,"&gt;=0")=0,"", MIN(MAX(SUMPRODUCT('14 Msi'!E65:E69,'14 Msi'!$G65:$G69)*4/(SUM('14 Msi'!$G65:$G69) - SUMIF('14 Msi'!E65:E69,"X",'14 Msi'!$G65:$G69)),MAX('14 Msi'!AC65:AC69)),MIN('14 Msi'!AG65:AG69))))</f>
        <v/>
      </c>
      <c r="H371" s="1566" t="str">
        <f>IF(NOT('14 Msi'!F64 = ""),'14 Msi'!F64,IF(COUNTIF('14 Msi'!F65:F69,"&gt;=0")=0,"", MIN(MAX(SUMPRODUCT('14 Msi'!F65:F69,'14 Msi'!$G65:$G69)*4/(SUM('14 Msi'!$G65:$G69) - SUMIF('14 Msi'!F65:F69,"X",'14 Msi'!$G65:$G69)),MAX('14 Msi'!AD65:AD69)),MIN('14 Msi'!AH65:AH69))))</f>
        <v/>
      </c>
      <c r="I371" s="1557">
        <f>IF(AND(OR(E371="X",E371=""),OR(F371="X",F371=""),OR(G371="X",G371=""),OR(H371="X",H371="")),1,ROUND(MIN(IF(OR(E371="",E371="X"),4,E371),IF(OR(F371="",F371="X"),4,F371),IF(OR(G371="",G371="X"),4,G371),IF(OR(H371="",H371="X"),4,H371)),0))</f>
        <v>1</v>
      </c>
      <c r="J371" s="1557">
        <f>IF(I371="","",IF(IndG=3,MAX(I371,Obj_Projets!J371),MAX(I371,Obj_PA!D371)))</f>
        <v>1</v>
      </c>
      <c r="K371" s="1560">
        <f>IF(IF(OR(IndG=3,IndG=4),MAX(I371,J371),I371)&lt;1,1,IF(OR(IndG=3,IndG=4),MAX(I371,J371),I371))</f>
        <v>1</v>
      </c>
      <c r="L371" s="1652" t="str">
        <f>IF(E371=""," n'a pas démarré","")</f>
        <v xml:space="preserve"> n'a pas démarré</v>
      </c>
    </row>
    <row r="372" spans="1:12" ht="15.75" customHeight="1" outlineLevel="1" x14ac:dyDescent="0.2">
      <c r="A372" s="1579"/>
      <c r="B372" s="1579" t="s">
        <v>3549</v>
      </c>
      <c r="C372" s="1582" t="s">
        <v>5094</v>
      </c>
      <c r="D372" s="1554"/>
      <c r="E372" s="1566" t="str">
        <f>IF(NOT('14 Msi'!C70 = ""),'14 Msi'!C70,IF(COUNTIF('14 Msi'!C71:C71,"&gt;=0")=0,"", MIN(MAX(SUMPRODUCT('14 Msi'!C71:C71,'14 Msi'!$G71:$G71)*4/(SUM('14 Msi'!$G71:$G71) - SUMIF('14 Msi'!C71:C71,"X",'14 Msi'!$G71:$G71)),MAX('14 Msi'!AA71:AA71)),MIN('14 Msi'!AE71:AE71))))</f>
        <v/>
      </c>
      <c r="F372" s="1566" t="str">
        <f>IF(NOT('14 Msi'!D70 = ""),'14 Msi'!D70,IF(COUNTIF('14 Msi'!D71:D71,"&gt;=0")=0,"", MIN(MAX(SUMPRODUCT('14 Msi'!D71:D71,'14 Msi'!$G71:$G71)*4/(SUM('14 Msi'!$G71:$G71) - SUMIF('14 Msi'!D71:D71,"X",'14 Msi'!$G71:$G71)),MAX('14 Msi'!AB71:AB71)),MIN('14 Msi'!AF71:AF71))))</f>
        <v/>
      </c>
      <c r="G372" s="1566" t="str">
        <f>IF(NOT('14 Msi'!E70 = ""),'14 Msi'!E70,IF(COUNTIF('14 Msi'!E71:E71,"&gt;=0")=0,"", MIN(MAX(SUMPRODUCT('14 Msi'!E71:E71,'14 Msi'!$G71:$G71)*4/(SUM('14 Msi'!$G71:$G71) - SUMIF('14 Msi'!E71:E71,"X",'14 Msi'!$G71:$G71)),MAX('14 Msi'!AC71:AC71)),MIN('14 Msi'!AG71:AG71))))</f>
        <v/>
      </c>
      <c r="H372" s="1566" t="str">
        <f>IF(NOT('14 Msi'!F70 = ""),'14 Msi'!F70,IF(COUNTIF('14 Msi'!F71:F71,"&gt;=0")=0,"", MIN(MAX(SUMPRODUCT('14 Msi'!F71:F71,'14 Msi'!$G71:$G71)*4/(SUM('14 Msi'!$G71:$G71) - SUMIF('14 Msi'!F71:F71,"X",'14 Msi'!$G71:$G71)),MAX('14 Msi'!AD71:AD71)),MIN('14 Msi'!AH71:AH71))))</f>
        <v/>
      </c>
      <c r="I372" s="1557">
        <f>IF(AND(OR(E372="X",E372=""),OR(F372="X",F372=""),OR(G372="X",G372=""),OR(H372="X",H372="")),1,ROUND(MIN(IF(OR(E372="",E372="X"),4,E372),IF(OR(F372="",F372="X"),4,F372),IF(OR(G372="",G372="X"),4,G372),IF(OR(H372="",H372="X"),4,H372)),0))</f>
        <v>1</v>
      </c>
      <c r="J372" s="1557">
        <f>IF(I372="","",IF(IndG=3,MAX(I372,Obj_Projets!J372),MAX(I372,Obj_PA!D372)))</f>
        <v>1</v>
      </c>
      <c r="K372" s="1560">
        <f>IF(IF(OR(IndG=3,IndG=4),MAX(I372,J372),I372)&lt;1,1,IF(OR(IndG=3,IndG=4),MAX(I372,J372),I372))</f>
        <v>1</v>
      </c>
      <c r="L372" s="1652" t="str">
        <f>IF(E372=""," n'a pas démarré","")</f>
        <v xml:space="preserve"> n'a pas démarré</v>
      </c>
    </row>
    <row r="373" spans="1:12" ht="15.75" customHeight="1" outlineLevel="1" x14ac:dyDescent="0.2">
      <c r="A373" s="1579"/>
      <c r="B373" s="1580" t="s">
        <v>5096</v>
      </c>
      <c r="C373" s="1581" t="s">
        <v>5097</v>
      </c>
      <c r="D373" s="1554"/>
      <c r="E373" s="1566"/>
      <c r="F373" s="1566"/>
      <c r="G373" s="1566"/>
      <c r="H373" s="1566"/>
      <c r="I373" s="1561"/>
      <c r="J373" s="1557"/>
      <c r="K373" s="1561"/>
      <c r="L373" s="1652"/>
    </row>
    <row r="374" spans="1:12" ht="15.75" customHeight="1" outlineLevel="1" x14ac:dyDescent="0.2">
      <c r="A374" s="1579"/>
      <c r="B374" s="1579" t="s">
        <v>5098</v>
      </c>
      <c r="C374" s="1582" t="s">
        <v>5099</v>
      </c>
      <c r="D374" s="1554"/>
      <c r="E374" s="1566" t="str">
        <f>IF(NOT('14 Msi'!C73 = ""),'14 Msi'!C73,IF(COUNTIF('14 Msi'!C74:C80,"&gt;=0")=0,"", MIN(MAX(SUMPRODUCT('14 Msi'!C74:C80,'14 Msi'!$G74:$G80)*4/(SUM('14 Msi'!$G74:$G80) - SUMIF('14 Msi'!C74:C80,"X",'14 Msi'!$G74:$G80)),MAX('14 Msi'!AA74:AA80)),MIN('14 Msi'!AE74:AE80))))</f>
        <v/>
      </c>
      <c r="F374" s="1566" t="str">
        <f>IF(NOT('14 Msi'!D73 = ""),'14 Msi'!D73,IF(COUNTIF('14 Msi'!D74:D80,"&gt;=0")=0,"", MIN(MAX(SUMPRODUCT('14 Msi'!D74:D80,'14 Msi'!$G74:$G80)*4/(SUM('14 Msi'!$G74:$G80) - SUMIF('14 Msi'!D74:D80,"X",'14 Msi'!$G74:$G80)),MAX('14 Msi'!AB74:AB80)),MIN('14 Msi'!AF74:AF80))))</f>
        <v/>
      </c>
      <c r="G374" s="1566" t="str">
        <f>IF(NOT('14 Msi'!E73 = ""),'14 Msi'!E73,IF(COUNTIF('14 Msi'!E74:E80,"&gt;=0")=0,"", MIN(MAX(SUMPRODUCT('14 Msi'!E74:E80,'14 Msi'!$G74:$G80)*4/(SUM('14 Msi'!$G74:$G80) - SUMIF('14 Msi'!E74:E80,"X",'14 Msi'!$G74:$G80)),MAX('14 Msi'!AC74:AC80)),MIN('14 Msi'!AG74:AG80))))</f>
        <v/>
      </c>
      <c r="H374" s="1566" t="str">
        <f>IF(NOT('14 Msi'!F73 = ""),'14 Msi'!F73,IF(COUNTIF('14 Msi'!F74:F80,"&gt;=0")=0,"", MIN(MAX(SUMPRODUCT('14 Msi'!F74:F80,'14 Msi'!$G74:$G80)*4/(SUM('14 Msi'!$G74:$G80) - SUMIF('14 Msi'!F74:F80,"X",'14 Msi'!$G74:$G80)),MAX('14 Msi'!AD74:AD80)),MIN('14 Msi'!AH74:AH80))))</f>
        <v/>
      </c>
      <c r="I374" s="1557">
        <f>IF(AND(OR(E374="X",E374=""),OR(F374="X",F374=""),OR(G374="X",G374=""),OR(H374="X",H374="")),1,ROUND(MIN(IF(OR(E374="",E374="X"),4,E374),IF(OR(F374="",F374="X"),4,F374),IF(OR(G374="",G374="X"),4,G374),IF(OR(H374="",H374="X"),4,H374)),0))</f>
        <v>1</v>
      </c>
      <c r="J374" s="1557">
        <f>IF(I374="","",IF(IndG=3,MAX(I374,Obj_Projets!J374),MAX(I374,Obj_PA!D374)))</f>
        <v>1</v>
      </c>
      <c r="K374" s="1560">
        <f>IF(IF(OR(IndG=3,IndG=4),MAX(I374,J374),I374)&lt;1,1,IF(OR(IndG=3,IndG=4),MAX(I374,J374),I374))</f>
        <v>1</v>
      </c>
      <c r="L374" s="1652" t="str">
        <f>IF(E374=""," n'a pas démarré","")</f>
        <v xml:space="preserve"> n'a pas démarré</v>
      </c>
    </row>
    <row r="375" spans="1:12" ht="15.75" customHeight="1" outlineLevel="1" x14ac:dyDescent="0.2">
      <c r="A375" s="1579"/>
      <c r="B375" s="1579" t="s">
        <v>5677</v>
      </c>
      <c r="C375" s="1582" t="s">
        <v>6791</v>
      </c>
      <c r="D375" s="1554"/>
      <c r="E375" s="1566" t="str">
        <f>IF(NOT('14 Msi'!C81 = ""),'14 Msi'!C81,IF(COUNTIF('14 Msi'!C82:C85,"&gt;=0")=0,"", MIN(MAX(SUMPRODUCT('14 Msi'!C82:C85,'14 Msi'!$G82:$G85)*4/(SUM('14 Msi'!$G82:$G85) - SUMIF('14 Msi'!C82:C85,"X",'14 Msi'!$G82:$G85)),MAX('14 Msi'!AA82:AA85)),MIN('14 Msi'!AE82:AE85))))</f>
        <v/>
      </c>
      <c r="F375" s="1566" t="str">
        <f>IF(NOT('14 Msi'!D81 = ""),'14 Msi'!D81,IF(COUNTIF('14 Msi'!D82:D85,"&gt;=0")=0,"", MIN(MAX(SUMPRODUCT('14 Msi'!D82:D85,'14 Msi'!$G82:$G85)*4/(SUM('14 Msi'!$G82:$G85) - SUMIF('14 Msi'!D82:D85,"X",'14 Msi'!$G82:$G85)),MAX('14 Msi'!AB82:AB85)),MIN('14 Msi'!AF82:AF85))))</f>
        <v/>
      </c>
      <c r="G375" s="1566" t="str">
        <f>IF(NOT('14 Msi'!E81 = ""),'14 Msi'!E81,IF(COUNTIF('14 Msi'!E82:E85,"&gt;=0")=0,"", MIN(MAX(SUMPRODUCT('14 Msi'!E82:E85,'14 Msi'!$G82:$G85)*4/(SUM('14 Msi'!$G82:$G85) - SUMIF('14 Msi'!E82:E85,"X",'14 Msi'!$G82:$G85)),MAX('14 Msi'!AC82:AC85)),MIN('14 Msi'!AG82:AG85))))</f>
        <v/>
      </c>
      <c r="H375" s="1566" t="str">
        <f>IF(NOT('14 Msi'!F81 = ""),'14 Msi'!F81,IF(COUNTIF('14 Msi'!F82:F85,"&gt;=0")=0,"", MIN(MAX(SUMPRODUCT('14 Msi'!F82:F85,'14 Msi'!$G82:$G85)*4/(SUM('14 Msi'!$G82:$G85) - SUMIF('14 Msi'!F82:F85,"X",'14 Msi'!$G82:$G85)),MAX('14 Msi'!AD82:AD85)),MIN('14 Msi'!AH82:AH85))))</f>
        <v/>
      </c>
      <c r="I375" s="1557">
        <f>IF(AND(OR(E375="X",E375=""),OR(F375="X",F375=""),OR(G375="X",G375=""),OR(H375="X",H375="")),1,ROUND(MIN(IF(OR(E375="",E375="X"),4,E375),IF(OR(F375="",F375="X"),4,F375),IF(OR(G375="",G375="X"),4,G375),IF(OR(H375="",H375="X"),4,H375)),0))</f>
        <v>1</v>
      </c>
      <c r="J375" s="1557">
        <f>IF(I375="","",IF(IndG=3,MAX(I375,Obj_Projets!J375),MAX(I375,Obj_PA!D375)))</f>
        <v>1</v>
      </c>
      <c r="K375" s="1560">
        <f>IF(IF(OR(IndG=3,IndG=4),MAX(I375,J375),I375)&lt;1,1,IF(OR(IndG=3,IndG=4),MAX(I375,J375),I375))</f>
        <v>1</v>
      </c>
      <c r="L375" s="1652" t="str">
        <f>IF(E375=""," n'a pas démarré","")</f>
        <v xml:space="preserve"> n'a pas démarré</v>
      </c>
    </row>
    <row r="376" spans="1:12" ht="15.75" customHeight="1" outlineLevel="1" x14ac:dyDescent="0.2">
      <c r="A376" s="1579"/>
      <c r="B376" s="1579" t="s">
        <v>3551</v>
      </c>
      <c r="C376" s="1582" t="s">
        <v>6262</v>
      </c>
      <c r="D376" s="1554"/>
      <c r="E376" s="1566" t="str">
        <f>IF(NOT('14 Msi'!C86 = ""),'14 Msi'!C86,IF(COUNTIF('14 Msi'!C87:C93,"&gt;=0")=0,"", MIN(MAX(SUMPRODUCT('14 Msi'!C87:C93,'14 Msi'!$G87:$G93)*4/(SUM('14 Msi'!$G87:$G93) - SUMIF('14 Msi'!C87:C93,"X",'14 Msi'!$G87:$G93)),MAX('14 Msi'!AA87:AA93)),MIN('14 Msi'!AE87:AE93))))</f>
        <v/>
      </c>
      <c r="F376" s="1566" t="str">
        <f>IF(NOT('14 Msi'!D86 = ""),'14 Msi'!D86,IF(COUNTIF('14 Msi'!D87:D93,"&gt;=0")=0,"", MIN(MAX(SUMPRODUCT('14 Msi'!D87:D93,'14 Msi'!$G87:$G93)*4/(SUM('14 Msi'!$G87:$G93) - SUMIF('14 Msi'!D87:D93,"X",'14 Msi'!$G87:$G93)),MAX('14 Msi'!AB87:AB93)),MIN('14 Msi'!AF87:AF93))))</f>
        <v/>
      </c>
      <c r="G376" s="1566" t="str">
        <f>IF(NOT('14 Msi'!E86 = ""),'14 Msi'!E86,IF(COUNTIF('14 Msi'!E87:E93,"&gt;=0")=0,"", MIN(MAX(SUMPRODUCT('14 Msi'!E87:E93,'14 Msi'!$G87:$G93)*4/(SUM('14 Msi'!$G87:$G93) - SUMIF('14 Msi'!E87:E93,"X",'14 Msi'!$G87:$G93)),MAX('14 Msi'!AC87:AC93)),MIN('14 Msi'!AG87:AG93))))</f>
        <v/>
      </c>
      <c r="H376" s="1566" t="str">
        <f>IF(NOT('14 Msi'!F86 = ""),'14 Msi'!F86,IF(COUNTIF('14 Msi'!F87:F93,"&gt;=0")=0,"", MIN(MAX(SUMPRODUCT('14 Msi'!F87:F93,'14 Msi'!$G87:$G93)*4/(SUM('14 Msi'!$G87:$G93) - SUMIF('14 Msi'!F87:F93,"X",'14 Msi'!$G87:$G93)),MAX('14 Msi'!AD87:AD93)),MIN('14 Msi'!AH87:AH93))))</f>
        <v/>
      </c>
      <c r="I376" s="1557">
        <f>IF(AND(OR(E376="X",E376=""),OR(F376="X",F376=""),OR(G376="X",G376=""),OR(H376="X",H376="")),1,ROUND(MIN(IF(OR(E376="",E376="X"),4,E376),IF(OR(F376="",F376="X"),4,F376),IF(OR(G376="",G376="X"),4,G376),IF(OR(H376="",H376="X"),4,H376)),0))</f>
        <v>1</v>
      </c>
      <c r="J376" s="1557">
        <f>IF(I376="","",IF(IndG=3,MAX(I376,Obj_Projets!J376),MAX(I376,Obj_PA!D376)))</f>
        <v>1</v>
      </c>
      <c r="K376" s="1560">
        <f>IF(IF(OR(IndG=3,IndG=4),MAX(I376,J376),I376)&lt;1,1,IF(OR(IndG=3,IndG=4),MAX(I376,J376),I376))</f>
        <v>1</v>
      </c>
      <c r="L376" s="1652" t="str">
        <f>IF(E376=""," n'a pas démarré","")</f>
        <v xml:space="preserve"> n'a pas démarré</v>
      </c>
    </row>
    <row r="377" spans="1:12" ht="15.75" customHeight="1" outlineLevel="1" x14ac:dyDescent="0.2">
      <c r="A377" s="1579"/>
      <c r="B377" s="1580" t="s">
        <v>5657</v>
      </c>
      <c r="C377" s="1581" t="s">
        <v>6034</v>
      </c>
      <c r="D377" s="1554"/>
      <c r="E377" s="1566"/>
      <c r="F377" s="1566"/>
      <c r="G377" s="1566"/>
      <c r="H377" s="1566"/>
      <c r="I377" s="1561"/>
      <c r="J377" s="1557"/>
      <c r="K377" s="1561"/>
      <c r="L377" s="1652"/>
    </row>
    <row r="378" spans="1:12" ht="15.75" customHeight="1" outlineLevel="1" x14ac:dyDescent="0.2">
      <c r="A378" s="1579"/>
      <c r="B378" s="1579" t="s">
        <v>5832</v>
      </c>
      <c r="C378" s="1582" t="s">
        <v>2495</v>
      </c>
      <c r="D378" s="1554"/>
      <c r="E378" s="1566" t="str">
        <f>IF(NOT('14 Msi'!C95 = ""),'14 Msi'!C95,IF(COUNTIF('14 Msi'!C96:C99,"&gt;=0")=0,"", MIN(MAX(SUMPRODUCT('14 Msi'!C96:C99,'14 Msi'!$G96:$G99)*4/(SUM('14 Msi'!$G96:$G99) - SUMIF('14 Msi'!C96:C99,"X",'14 Msi'!$G96:$G99)),MAX('14 Msi'!AA96:AA99)),MIN('14 Msi'!AE96:AE99))))</f>
        <v/>
      </c>
      <c r="F378" s="1566" t="str">
        <f>IF(NOT('14 Msi'!D95 = ""),'14 Msi'!D95,IF(COUNTIF('14 Msi'!D96:D99,"&gt;=0")=0,"", MIN(MAX(SUMPRODUCT('14 Msi'!D96:D99,'14 Msi'!$G96:$G99)*4/(SUM('14 Msi'!$G96:$G99) - SUMIF('14 Msi'!D96:D99,"X",'14 Msi'!$G96:$G99)),MAX('14 Msi'!AB96:AB99)),MIN('14 Msi'!AF96:AF99))))</f>
        <v/>
      </c>
      <c r="G378" s="1566" t="str">
        <f>IF(NOT('14 Msi'!E95 = ""),'14 Msi'!E95,IF(COUNTIF('14 Msi'!E96:E99,"&gt;=0")=0,"", MIN(MAX(SUMPRODUCT('14 Msi'!E96:E99,'14 Msi'!$G96:$G99)*4/(SUM('14 Msi'!$G96:$G99) - SUMIF('14 Msi'!E96:E99,"X",'14 Msi'!$G96:$G99)),MAX('14 Msi'!AC96:AC99)),MIN('14 Msi'!AG96:AG99))))</f>
        <v/>
      </c>
      <c r="H378" s="1566" t="str">
        <f>IF(NOT('14 Msi'!F95 = ""),'14 Msi'!F95,IF(COUNTIF('14 Msi'!F96:F99,"&gt;=0")=0,"", MIN(MAX(SUMPRODUCT('14 Msi'!F96:F99,'14 Msi'!$G96:$G99)*4/(SUM('14 Msi'!$G96:$G99) - SUMIF('14 Msi'!F96:F99,"X",'14 Msi'!$G96:$G99)),MAX('14 Msi'!AD96:AD99)),MIN('14 Msi'!AH96:AH99))))</f>
        <v/>
      </c>
      <c r="I378" s="1557">
        <f>IF(AND(OR(E378="X",E378=""),OR(F378="X",F378=""),OR(G378="X",G378=""),OR(H378="X",H378="")),1,ROUND(MIN(IF(OR(E378="",E378="X"),4,E378),IF(OR(F378="",F378="X"),4,F378),IF(OR(G378="",G378="X"),4,G378),IF(OR(H378="",H378="X"),4,H378)),0))</f>
        <v>1</v>
      </c>
      <c r="J378" s="1557">
        <f>IF(I378="","",IF(IndG=3,MAX(I378,Obj_Projets!J378),MAX(I378,Obj_PA!D378)))</f>
        <v>1</v>
      </c>
      <c r="K378" s="1560">
        <f>IF(IF(OR(IndG=3,IndG=4),MAX(I378,J378),I378)&lt;1,1,IF(OR(IndG=3,IndG=4),MAX(I378,J378),I378))</f>
        <v>1</v>
      </c>
      <c r="L378" s="1652" t="str">
        <f>IF(E378=""," n'a pas démarré","")</f>
        <v xml:space="preserve"> n'a pas démarré</v>
      </c>
    </row>
    <row r="379" spans="1:12" ht="15.75" customHeight="1" outlineLevel="1" x14ac:dyDescent="0.2">
      <c r="A379" s="1579"/>
      <c r="B379" s="1579" t="s">
        <v>3559</v>
      </c>
      <c r="C379" s="1582" t="s">
        <v>5816</v>
      </c>
      <c r="D379" s="1554"/>
      <c r="E379" s="1566" t="str">
        <f>IF(NOT('14 Msi'!C100 = ""),'14 Msi'!C100,IF(COUNTIF('14 Msi'!C101:C108,"&gt;=0")=0,"", MIN(MAX(SUMPRODUCT('14 Msi'!C101:C108,'14 Msi'!$G101:$G108)*4/(SUM('14 Msi'!$G101:$G108) - SUMIF('14 Msi'!C101:C108,"X",'14 Msi'!$G101:$G108)),MAX('14 Msi'!AA101:AA108)),MIN('14 Msi'!AE101:AE108))))</f>
        <v/>
      </c>
      <c r="F379" s="1566" t="str">
        <f>IF(NOT('14 Msi'!D100 = ""),'14 Msi'!D100,IF(COUNTIF('14 Msi'!D101:D108,"&gt;=0")=0,"", MIN(MAX(SUMPRODUCT('14 Msi'!D101:D108,'14 Msi'!$G101:$G108)*4/(SUM('14 Msi'!$G101:$G108) - SUMIF('14 Msi'!D101:D108,"X",'14 Msi'!$G101:$G108)),MAX('14 Msi'!AB101:AB108)),MIN('14 Msi'!AF101:AF108))))</f>
        <v/>
      </c>
      <c r="G379" s="1566" t="str">
        <f>IF(NOT('14 Msi'!E100 = ""),'14 Msi'!E100,IF(COUNTIF('14 Msi'!E101:E108,"&gt;=0")=0,"", MIN(MAX(SUMPRODUCT('14 Msi'!E101:E108,'14 Msi'!$G101:$G108)*4/(SUM('14 Msi'!$G101:$G108) - SUMIF('14 Msi'!E101:E108,"X",'14 Msi'!$G101:$G108)),MAX('14 Msi'!AC101:AC108)),MIN('14 Msi'!AG101:AG108))))</f>
        <v/>
      </c>
      <c r="H379" s="1566" t="str">
        <f>IF(NOT('14 Msi'!F100 = ""),'14 Msi'!F100,IF(COUNTIF('14 Msi'!F101:F108,"&gt;=0")=0,"", MIN(MAX(SUMPRODUCT('14 Msi'!F101:F108,'14 Msi'!$G101:$G108)*4/(SUM('14 Msi'!$G101:$G108) - SUMIF('14 Msi'!F101:F108,"X",'14 Msi'!$G101:$G108)),MAX('14 Msi'!AD101:AD108)),MIN('14 Msi'!AH101:AH108))))</f>
        <v/>
      </c>
      <c r="I379" s="1557">
        <f>IF(AND(OR(E379="X",E379=""),OR(F379="X",F379=""),OR(G379="X",G379=""),OR(H379="X",H379="")),1,ROUND(MIN(IF(OR(E379="",E379="X"),4,E379),IF(OR(F379="",F379="X"),4,F379),IF(OR(G379="",G379="X"),4,G379),IF(OR(H379="",H379="X"),4,H379)),0))</f>
        <v>1</v>
      </c>
      <c r="J379" s="1557">
        <f>IF(I379="","",IF(IndG=3,MAX(I379,Obj_Projets!J379),MAX(I379,Obj_PA!D379)))</f>
        <v>1</v>
      </c>
      <c r="K379" s="1560">
        <f>IF(IF(OR(IndG=3,IndG=4),MAX(I379,J379),I379)&lt;1,1,IF(OR(IndG=3,IndG=4),MAX(I379,J379),I379))</f>
        <v>1</v>
      </c>
      <c r="L379" s="1652" t="str">
        <f>IF(E379=""," n'a pas démarré","")</f>
        <v xml:space="preserve"> n'a pas démarré</v>
      </c>
    </row>
    <row r="380" spans="1:12" ht="15.75" customHeight="1" outlineLevel="1" x14ac:dyDescent="0.2">
      <c r="A380" s="1579"/>
      <c r="B380" s="1579" t="s">
        <v>3567</v>
      </c>
      <c r="C380" s="1582" t="s">
        <v>3776</v>
      </c>
      <c r="D380" s="1554"/>
      <c r="E380" s="1566" t="str">
        <f>IF(NOT('14 Msi'!C109 = ""),'14 Msi'!C109,IF(COUNTIF('14 Msi'!C110:C115,"&gt;=0")=0,"", MIN(MAX(SUMPRODUCT('14 Msi'!C110:C115,'14 Msi'!$G110:$G115)*4/(SUM('14 Msi'!$G110:$G115) - SUMIF('14 Msi'!C110:C115,"X",'14 Msi'!$G110:$G115)),MAX('14 Msi'!AA110:AA115)),MIN('14 Msi'!AE110:AE115))))</f>
        <v/>
      </c>
      <c r="F380" s="1566" t="str">
        <f>IF(NOT('14 Msi'!D109 = ""),'14 Msi'!D109,IF(COUNTIF('14 Msi'!D110:D115,"&gt;=0")=0,"", MIN(MAX(SUMPRODUCT('14 Msi'!D110:D115,'14 Msi'!$G110:$G115)*4/(SUM('14 Msi'!$G110:$G115) - SUMIF('14 Msi'!D110:D115,"X",'14 Msi'!$G110:$G115)),MAX('14 Msi'!AB110:AB115)),MIN('14 Msi'!AF110:AF115))))</f>
        <v/>
      </c>
      <c r="G380" s="1566" t="str">
        <f>IF(NOT('14 Msi'!E109 = ""),'14 Msi'!E109,IF(COUNTIF('14 Msi'!E110:E115,"&gt;=0")=0,"", MIN(MAX(SUMPRODUCT('14 Msi'!E110:E115,'14 Msi'!$G110:$G115)*4/(SUM('14 Msi'!$G110:$G115) - SUMIF('14 Msi'!E110:E115,"X",'14 Msi'!$G110:$G115)),MAX('14 Msi'!AC110:AC115)),MIN('14 Msi'!AG110:AG115))))</f>
        <v/>
      </c>
      <c r="H380" s="1566" t="str">
        <f>IF(NOT('14 Msi'!F109 = ""),'14 Msi'!F109,IF(COUNTIF('14 Msi'!F110:F115,"&gt;=0")=0,"", MIN(MAX(SUMPRODUCT('14 Msi'!F110:F115,'14 Msi'!$G110:$G115)*4/(SUM('14 Msi'!$G110:$G115) - SUMIF('14 Msi'!F110:F115,"X",'14 Msi'!$G110:$G115)),MAX('14 Msi'!AD110:AD115)),MIN('14 Msi'!AH110:AH115))))</f>
        <v/>
      </c>
      <c r="I380" s="1557">
        <f>IF(AND(OR(E380="X",E380=""),OR(F380="X",F380=""),OR(G380="X",G380=""),OR(H380="X",H380="")),1,ROUND(MIN(IF(OR(E380="",E380="X"),4,E380),IF(OR(F380="",F380="X"),4,F380),IF(OR(G380="",G380="X"),4,G380),IF(OR(H380="",H380="X"),4,H380)),0))</f>
        <v>1</v>
      </c>
      <c r="J380" s="1557">
        <f>IF(I380="","",IF(IndG=3,MAX(I380,Obj_Projets!J380),MAX(I380,Obj_PA!D380)))</f>
        <v>1</v>
      </c>
      <c r="K380" s="1560">
        <f>IF(IF(OR(IndG=3,IndG=4),MAX(I380,J380),I380)&lt;1,1,IF(OR(IndG=3,IndG=4),MAX(I380,J380),I380))</f>
        <v>1</v>
      </c>
      <c r="L380" s="1652" t="str">
        <f>IF(E380=""," n'a pas démarré","")</f>
        <v xml:space="preserve"> n'a pas démarré</v>
      </c>
    </row>
    <row r="381" spans="1:12" ht="15.75" customHeight="1" outlineLevel="1" x14ac:dyDescent="0.2">
      <c r="A381" s="1579"/>
      <c r="B381" s="1579" t="s">
        <v>3501</v>
      </c>
      <c r="C381" s="1582" t="s">
        <v>1214</v>
      </c>
      <c r="D381" s="1554"/>
      <c r="E381" s="1566" t="str">
        <f>IF(NOT('14 Msi'!C116 = ""),'14 Msi'!C116,IF(COUNTIF('14 Msi'!C117:C118,"&gt;=0")=0,"", MIN(MAX(SUMPRODUCT('14 Msi'!C117:C118,'14 Msi'!$G117:$G118)*4/(SUM('14 Msi'!$G117:$G118) - SUMIF('14 Msi'!C117:C118,"X",'14 Msi'!$G117:$G118)),MAX('14 Msi'!AA117:AA118)),MIN('14 Msi'!AE117:AE118))))</f>
        <v/>
      </c>
      <c r="F381" s="1566" t="str">
        <f>IF(NOT('14 Msi'!D116 = ""),'14 Msi'!D116,IF(COUNTIF('14 Msi'!D117:D118,"&gt;=0")=0,"", MIN(MAX(SUMPRODUCT('14 Msi'!D117:D118,'14 Msi'!$G117:$G118)*4/(SUM('14 Msi'!$G117:$G118) - SUMIF('14 Msi'!D117:D118,"X",'14 Msi'!$G117:$G118)),MAX('14 Msi'!AB117:AB118)),MIN('14 Msi'!AF117:AF118))))</f>
        <v/>
      </c>
      <c r="G381" s="1566" t="str">
        <f>IF(NOT('14 Msi'!E116 = ""),'14 Msi'!E116,IF(COUNTIF('14 Msi'!E117:E118,"&gt;=0")=0,"", MIN(MAX(SUMPRODUCT('14 Msi'!E117:E118,'14 Msi'!$G117:$G118)*4/(SUM('14 Msi'!$G117:$G118) - SUMIF('14 Msi'!E117:E118,"X",'14 Msi'!$G117:$G118)),MAX('14 Msi'!AC117:AC118)),MIN('14 Msi'!AG117:AG118))))</f>
        <v/>
      </c>
      <c r="H381" s="1566" t="str">
        <f>IF(NOT('14 Msi'!F116 = ""),'14 Msi'!F116,IF(COUNTIF('14 Msi'!F117:F118,"&gt;=0")=0,"", MIN(MAX(SUMPRODUCT('14 Msi'!F117:F118,'14 Msi'!$G117:$G118)*4/(SUM('14 Msi'!$G117:$G118) - SUMIF('14 Msi'!F117:F118,"X",'14 Msi'!$G117:$G118)),MAX('14 Msi'!AD117:AD118)),MIN('14 Msi'!AH117:AH118))))</f>
        <v/>
      </c>
      <c r="I381" s="1557">
        <f>IF(AND(OR(E381="X",E381=""),OR(F381="X",F381=""),OR(G381="X",G381=""),OR(H381="X",H381="")),1,ROUND(MIN(IF(OR(E381="",E381="X"),4,E381),IF(OR(F381="",F381="X"),4,F381),IF(OR(G381="",G381="X"),4,G381),IF(OR(H381="",H381="X"),4,H381)),0))</f>
        <v>1</v>
      </c>
      <c r="J381" s="1557">
        <f>IF(I381="","",IF(IndG=3,MAX(I381,Obj_Projets!J381),MAX(I381,Obj_PA!D381)))</f>
        <v>1</v>
      </c>
      <c r="K381" s="1560">
        <f>IF(IF(OR(IndG=3,IndG=4),MAX(I381,J381),I381)&lt;1,1,IF(OR(IndG=3,IndG=4),MAX(I381,J381),I381))</f>
        <v>1</v>
      </c>
      <c r="L381" s="1652" t="str">
        <f>IF(E381=""," n'a pas démarré","")</f>
        <v xml:space="preserve"> n'a pas démarré</v>
      </c>
    </row>
    <row r="382" spans="1:12" ht="15.75" customHeight="1" outlineLevel="1" x14ac:dyDescent="0.2">
      <c r="A382" s="1579"/>
      <c r="B382" s="1580" t="s">
        <v>3158</v>
      </c>
      <c r="C382" s="1581" t="s">
        <v>3159</v>
      </c>
      <c r="D382" s="1554"/>
      <c r="E382" s="1566"/>
      <c r="F382" s="1566"/>
      <c r="G382" s="1566"/>
      <c r="H382" s="1566"/>
      <c r="I382" s="1561"/>
      <c r="J382" s="1557"/>
      <c r="K382" s="1561"/>
      <c r="L382" s="1652"/>
    </row>
    <row r="383" spans="1:12" ht="15.75" customHeight="1" outlineLevel="1" x14ac:dyDescent="0.2">
      <c r="A383" s="1579"/>
      <c r="B383" s="1579" t="s">
        <v>1248</v>
      </c>
      <c r="C383" s="1582" t="s">
        <v>3284</v>
      </c>
      <c r="D383" s="1554"/>
      <c r="E383" s="1566" t="str">
        <f>IF(NOT('14 Msi'!C120 = ""),'14 Msi'!C120,IF(COUNTIF('14 Msi'!C121:C124,"&gt;=0")=0,"", MIN(MAX(SUMPRODUCT('14 Msi'!C121:C124,'14 Msi'!$G121:$G124)*4/(SUM('14 Msi'!$G121:$G124) - SUMIF('14 Msi'!C121:C124,"X",'14 Msi'!$G121:$G124)),MAX('14 Msi'!AA121:AA124)),MIN('14 Msi'!AE121:AE124))))</f>
        <v/>
      </c>
      <c r="F383" s="1566" t="str">
        <f>IF(NOT('14 Msi'!D120 = ""),'14 Msi'!D120,IF(COUNTIF('14 Msi'!D121:D124,"&gt;=0")=0,"", MIN(MAX(SUMPRODUCT('14 Msi'!D121:D124,'14 Msi'!$G121:$G124)*4/(SUM('14 Msi'!$G121:$G124) - SUMIF('14 Msi'!D121:D124,"X",'14 Msi'!$G121:$G124)),MAX('14 Msi'!AB121:AB124)),MIN('14 Msi'!AF121:AF124))))</f>
        <v/>
      </c>
      <c r="G383" s="1566" t="str">
        <f>IF(NOT('14 Msi'!E120 = ""),'14 Msi'!E120,IF(COUNTIF('14 Msi'!E121:E124,"&gt;=0")=0,"", MIN(MAX(SUMPRODUCT('14 Msi'!E121:E124,'14 Msi'!$G121:$G124)*4/(SUM('14 Msi'!$G121:$G124) - SUMIF('14 Msi'!E121:E124,"X",'14 Msi'!$G121:$G124)),MAX('14 Msi'!AC121:AC124)),MIN('14 Msi'!AG121:AG124))))</f>
        <v/>
      </c>
      <c r="H383" s="1566" t="str">
        <f>IF(NOT('14 Msi'!F120 = ""),'14 Msi'!F120,IF(COUNTIF('14 Msi'!F121:F124,"&gt;=0")=0,"", MIN(MAX(SUMPRODUCT('14 Msi'!F121:F124,'14 Msi'!$G121:$G124)*4/(SUM('14 Msi'!$G121:$G124) - SUMIF('14 Msi'!F121:F124,"X",'14 Msi'!$G121:$G124)),MAX('14 Msi'!AD121:AD124)),MIN('14 Msi'!AH121:AH124))))</f>
        <v/>
      </c>
      <c r="I383" s="1557">
        <f t="shared" ref="I383:I388" si="51">IF(AND(OR(E383="X",E383=""),OR(F383="X",F383=""),OR(G383="X",G383=""),OR(H383="X",H383="")),1,ROUND(MIN(IF(OR(E383="",E383="X"),4,E383),IF(OR(F383="",F383="X"),4,F383),IF(OR(G383="",G383="X"),4,G383),IF(OR(H383="",H383="X"),4,H383)),0))</f>
        <v>1</v>
      </c>
      <c r="J383" s="1557">
        <f>IF(I383="","",IF(IndG=3,MAX(I383,Obj_Projets!J383),MAX(I383,Obj_PA!D383)))</f>
        <v>1</v>
      </c>
      <c r="K383" s="1560">
        <f t="shared" ref="K383:K388" si="52">IF(IF(OR(IndG=3,IndG=4),MAX(I383,J383),I383)&lt;1,1,IF(OR(IndG=3,IndG=4),MAX(I383,J383),I383))</f>
        <v>1</v>
      </c>
      <c r="L383" s="1652" t="str">
        <f t="shared" ref="L383:L388" si="53">IF(E383=""," n'a pas démarré","")</f>
        <v xml:space="preserve"> n'a pas démarré</v>
      </c>
    </row>
    <row r="384" spans="1:12" ht="15.75" customHeight="1" outlineLevel="1" x14ac:dyDescent="0.2">
      <c r="A384" s="1579"/>
      <c r="B384" s="1579" t="s">
        <v>1249</v>
      </c>
      <c r="C384" s="1582" t="s">
        <v>4556</v>
      </c>
      <c r="D384" s="1554"/>
      <c r="E384" s="1566" t="str">
        <f>IF(NOT('14 Msi'!C125 = ""),'14 Msi'!C125,IF(COUNTIF('14 Msi'!C126:C127,"&gt;=0")=0,"", MIN(MAX(SUMPRODUCT('14 Msi'!C126:C127,'14 Msi'!$G126:$G127)*4/(SUM('14 Msi'!$G126:$G127) - SUMIF('14 Msi'!C126:C127,"X",'14 Msi'!$G126:$G127)),MAX('14 Msi'!AA126:AA127)),MIN('14 Msi'!AE126:AE127))))</f>
        <v/>
      </c>
      <c r="F384" s="1566" t="str">
        <f>IF(NOT('14 Msi'!D125 = ""),'14 Msi'!D125,IF(COUNTIF('14 Msi'!D126:D127,"&gt;=0")=0,"", MIN(MAX(SUMPRODUCT('14 Msi'!D126:D127,'14 Msi'!$G126:$G127)*4/(SUM('14 Msi'!$G126:$G127) - SUMIF('14 Msi'!D126:D127,"X",'14 Msi'!$G126:$G127)),MAX('14 Msi'!AB126:AB127)),MIN('14 Msi'!AF126:AF127))))</f>
        <v/>
      </c>
      <c r="G384" s="1566" t="str">
        <f>IF(NOT('14 Msi'!E125 = ""),'14 Msi'!E125,IF(COUNTIF('14 Msi'!E126:E127,"&gt;=0")=0,"", MIN(MAX(SUMPRODUCT('14 Msi'!E126:E127,'14 Msi'!$G126:$G127)*4/(SUM('14 Msi'!$G126:$G127) - SUMIF('14 Msi'!E126:E127,"X",'14 Msi'!$G126:$G127)),MAX('14 Msi'!AC126:AC127)),MIN('14 Msi'!AG126:AG127))))</f>
        <v/>
      </c>
      <c r="H384" s="1566" t="str">
        <f>IF(NOT('14 Msi'!F125 = ""),'14 Msi'!F125,IF(COUNTIF('14 Msi'!F126:F127,"&gt;=0")=0,"", MIN(MAX(SUMPRODUCT('14 Msi'!F126:F127,'14 Msi'!$G126:$G127)*4/(SUM('14 Msi'!$G126:$G127) - SUMIF('14 Msi'!F126:F127,"X",'14 Msi'!$G126:$G127)),MAX('14 Msi'!AD126:AD127)),MIN('14 Msi'!AH126:AH127))))</f>
        <v/>
      </c>
      <c r="I384" s="1557">
        <f t="shared" si="51"/>
        <v>1</v>
      </c>
      <c r="J384" s="1557">
        <f>IF(I384="","",IF(IndG=3,MAX(I384,Obj_Projets!J384),MAX(I384,Obj_PA!D384)))</f>
        <v>1</v>
      </c>
      <c r="K384" s="1560">
        <f t="shared" si="52"/>
        <v>1</v>
      </c>
      <c r="L384" s="1652" t="str">
        <f t="shared" si="53"/>
        <v xml:space="preserve"> n'a pas démarré</v>
      </c>
    </row>
    <row r="385" spans="1:12" ht="15.75" customHeight="1" outlineLevel="1" x14ac:dyDescent="0.2">
      <c r="A385" s="1579"/>
      <c r="B385" s="1579" t="s">
        <v>1250</v>
      </c>
      <c r="C385" s="1582" t="s">
        <v>4558</v>
      </c>
      <c r="D385" s="1554"/>
      <c r="E385" s="1566" t="str">
        <f>IF(NOT('14 Msi'!C128 = ""),'14 Msi'!C128,IF(COUNTIF('14 Msi'!C129:C130,"&gt;=0")=0,"", MIN(MAX(SUMPRODUCT('14 Msi'!C129:C130,'14 Msi'!$G129:$G130)*4/(SUM('14 Msi'!$G129:$G130) - SUMIF('14 Msi'!C129:C130,"X",'14 Msi'!$G129:$G130)),MAX('14 Msi'!AA129:AA130)),MIN('14 Msi'!AE129:AE130))))</f>
        <v/>
      </c>
      <c r="F385" s="1566" t="str">
        <f>IF(NOT('14 Msi'!D128 = ""),'14 Msi'!D128,IF(COUNTIF('14 Msi'!D129:D130,"&gt;=0")=0,"", MIN(MAX(SUMPRODUCT('14 Msi'!D129:D130,'14 Msi'!$G129:$G130)*4/(SUM('14 Msi'!$G129:$G130) - SUMIF('14 Msi'!D129:D130,"X",'14 Msi'!$G129:$G130)),MAX('14 Msi'!AB129:AB130)),MIN('14 Msi'!AF129:AF130))))</f>
        <v/>
      </c>
      <c r="G385" s="1566" t="str">
        <f>IF(NOT('14 Msi'!E128 = ""),'14 Msi'!E128,IF(COUNTIF('14 Msi'!E129:E130,"&gt;=0")=0,"", MIN(MAX(SUMPRODUCT('14 Msi'!E129:E130,'14 Msi'!$G129:$G130)*4/(SUM('14 Msi'!$G129:$G130) - SUMIF('14 Msi'!E129:E130,"X",'14 Msi'!$G129:$G130)),MAX('14 Msi'!AC129:AC130)),MIN('14 Msi'!AG129:AG130))))</f>
        <v/>
      </c>
      <c r="H385" s="1566" t="str">
        <f>IF(NOT('14 Msi'!F128 = ""),'14 Msi'!F128,IF(COUNTIF('14 Msi'!F129:F130,"&gt;=0")=0,"", MIN(MAX(SUMPRODUCT('14 Msi'!F129:F130,'14 Msi'!$G129:$G130)*4/(SUM('14 Msi'!$G129:$G130) - SUMIF('14 Msi'!F129:F130,"X",'14 Msi'!$G129:$G130)),MAX('14 Msi'!AD129:AD130)),MIN('14 Msi'!AH129:AH130))))</f>
        <v/>
      </c>
      <c r="I385" s="1557">
        <f t="shared" si="51"/>
        <v>1</v>
      </c>
      <c r="J385" s="1557">
        <f>IF(I385="","",IF(IndG=3,MAX(I385,Obj_Projets!J385),MAX(I385,Obj_PA!D385)))</f>
        <v>1</v>
      </c>
      <c r="K385" s="1560">
        <f t="shared" si="52"/>
        <v>1</v>
      </c>
      <c r="L385" s="1652" t="str">
        <f t="shared" si="53"/>
        <v xml:space="preserve"> n'a pas démarré</v>
      </c>
    </row>
    <row r="386" spans="1:12" ht="15.75" customHeight="1" outlineLevel="1" x14ac:dyDescent="0.2">
      <c r="A386" s="1579"/>
      <c r="B386" s="1579" t="s">
        <v>1251</v>
      </c>
      <c r="C386" s="1582" t="s">
        <v>4526</v>
      </c>
      <c r="D386" s="1554"/>
      <c r="E386" s="1566" t="str">
        <f>IF(NOT('14 Msi'!C131 = ""),'14 Msi'!C131,IF(COUNTIF('14 Msi'!C132:C133,"&gt;=0")=0,"", MIN(MAX(SUMPRODUCT('14 Msi'!C132:C133,'14 Msi'!$G132:$G133)*4/(SUM('14 Msi'!$G132:$G133) - SUMIF('14 Msi'!C132:C133,"X",'14 Msi'!$G132:$G133)),MAX('14 Msi'!AA132:AA133)),MIN('14 Msi'!AE132:AE133))))</f>
        <v/>
      </c>
      <c r="F386" s="1566" t="str">
        <f>IF(NOT('14 Msi'!D131 = ""),'14 Msi'!D131,IF(COUNTIF('14 Msi'!D132:D133,"&gt;=0")=0,"", MIN(MAX(SUMPRODUCT('14 Msi'!D132:D133,'14 Msi'!$G132:$G133)*4/(SUM('14 Msi'!$G132:$G133) - SUMIF('14 Msi'!D132:D133,"X",'14 Msi'!$G132:$G133)),MAX('14 Msi'!AB132:AB133)),MIN('14 Msi'!AF132:AF133))))</f>
        <v/>
      </c>
      <c r="G386" s="1566" t="str">
        <f>IF(NOT('14 Msi'!E131 = ""),'14 Msi'!E131,IF(COUNTIF('14 Msi'!E132:E133,"&gt;=0")=0,"", MIN(MAX(SUMPRODUCT('14 Msi'!E132:E133,'14 Msi'!$G132:$G133)*4/(SUM('14 Msi'!$G132:$G133) - SUMIF('14 Msi'!E132:E133,"X",'14 Msi'!$G132:$G133)),MAX('14 Msi'!AC132:AC133)),MIN('14 Msi'!AG132:AG133))))</f>
        <v/>
      </c>
      <c r="H386" s="1566" t="str">
        <f>IF(NOT('14 Msi'!F131 = ""),'14 Msi'!F131,IF(COUNTIF('14 Msi'!F132:F133,"&gt;=0")=0,"", MIN(MAX(SUMPRODUCT('14 Msi'!F132:F133,'14 Msi'!$G132:$G133)*4/(SUM('14 Msi'!$G132:$G133) - SUMIF('14 Msi'!F132:F133,"X",'14 Msi'!$G132:$G133)),MAX('14 Msi'!AD132:AD133)),MIN('14 Msi'!AH132:AH133))))</f>
        <v/>
      </c>
      <c r="I386" s="1557">
        <f t="shared" si="51"/>
        <v>1</v>
      </c>
      <c r="J386" s="1557">
        <f>IF(I386="","",IF(IndG=3,MAX(I386,Obj_Projets!J386),MAX(I386,Obj_PA!D386)))</f>
        <v>1</v>
      </c>
      <c r="K386" s="1560">
        <f t="shared" si="52"/>
        <v>1</v>
      </c>
      <c r="L386" s="1652" t="str">
        <f t="shared" si="53"/>
        <v xml:space="preserve"> n'a pas démarré</v>
      </c>
    </row>
    <row r="387" spans="1:12" ht="15.75" customHeight="1" outlineLevel="1" x14ac:dyDescent="0.2">
      <c r="A387" s="1579"/>
      <c r="B387" s="1579" t="s">
        <v>1252</v>
      </c>
      <c r="C387" s="1582" t="s">
        <v>3700</v>
      </c>
      <c r="D387" s="1554"/>
      <c r="E387" s="1566" t="str">
        <f>IF(NOT('14 Msi'!C134 = ""),'14 Msi'!C134,IF(COUNTIF('14 Msi'!C135:C136,"&gt;=0")=0,"", MIN(MAX(SUMPRODUCT('14 Msi'!C135:C136,'14 Msi'!$G135:$G136)*4/(SUM('14 Msi'!$G135:$G136) - SUMIF('14 Msi'!C135:C136,"X",'14 Msi'!$G135:$G136)),MAX('14 Msi'!AA135:AA136)),MIN('14 Msi'!AE135:AE136))))</f>
        <v/>
      </c>
      <c r="F387" s="1566" t="str">
        <f>IF(NOT('14 Msi'!D134 = ""),'14 Msi'!D134,IF(COUNTIF('14 Msi'!D135:D136,"&gt;=0")=0,"", MIN(MAX(SUMPRODUCT('14 Msi'!D135:D136,'14 Msi'!$G135:$G136)*4/(SUM('14 Msi'!$G135:$G136) - SUMIF('14 Msi'!D135:D136,"X",'14 Msi'!$G135:$G136)),MAX('14 Msi'!AB135:AB136)),MIN('14 Msi'!AF135:AF136))))</f>
        <v/>
      </c>
      <c r="G387" s="1566" t="str">
        <f>IF(NOT('14 Msi'!E134 = ""),'14 Msi'!E134,IF(COUNTIF('14 Msi'!E135:E136,"&gt;=0")=0,"", MIN(MAX(SUMPRODUCT('14 Msi'!E135:E136,'14 Msi'!$G135:$G136)*4/(SUM('14 Msi'!$G135:$G136) - SUMIF('14 Msi'!E135:E136,"X",'14 Msi'!$G135:$G136)),MAX('14 Msi'!AC135:AC136)),MIN('14 Msi'!AG135:AG136))))</f>
        <v/>
      </c>
      <c r="H387" s="1566" t="str">
        <f>IF(NOT('14 Msi'!F134 = ""),'14 Msi'!F134,IF(COUNTIF('14 Msi'!F135:F136,"&gt;=0")=0,"", MIN(MAX(SUMPRODUCT('14 Msi'!F135:F136,'14 Msi'!$G135:$G136)*4/(SUM('14 Msi'!$G135:$G136) - SUMIF('14 Msi'!F135:F136,"X",'14 Msi'!$G135:$G136)),MAX('14 Msi'!AD135:AD136)),MIN('14 Msi'!AH135:AH136))))</f>
        <v/>
      </c>
      <c r="I387" s="1557">
        <f t="shared" si="51"/>
        <v>1</v>
      </c>
      <c r="J387" s="1557">
        <f>IF(I387="","",IF(IndG=3,MAX(I387,Obj_Projets!J387),MAX(I387,Obj_PA!D387)))</f>
        <v>1</v>
      </c>
      <c r="K387" s="1560">
        <f t="shared" si="52"/>
        <v>1</v>
      </c>
      <c r="L387" s="1652" t="str">
        <f t="shared" si="53"/>
        <v xml:space="preserve"> n'a pas démarré</v>
      </c>
    </row>
    <row r="388" spans="1:12" ht="15.75" customHeight="1" outlineLevel="1" thickBot="1" x14ac:dyDescent="0.25">
      <c r="A388" s="1583"/>
      <c r="B388" s="1583" t="s">
        <v>1253</v>
      </c>
      <c r="C388" s="1584" t="s">
        <v>4567</v>
      </c>
      <c r="D388" s="1576"/>
      <c r="E388" s="1576" t="str">
        <f>IF(NOT('14 Msi'!C137 = ""),'14 Msi'!C137,IF(COUNTIF('14 Msi'!C138:C139,"&gt;=0")=0,"", MIN(MAX(SUMPRODUCT('14 Msi'!C138:C139,'14 Msi'!$G138:$G139)*4/(SUM('14 Msi'!$G138:$G139) - SUMIF('14 Msi'!C138:C139,"X",'14 Msi'!$G138:$G139)),MAX('14 Msi'!AA138:AA139)),MIN('14 Msi'!AE138:AE139))))</f>
        <v/>
      </c>
      <c r="F388" s="1576" t="str">
        <f>IF(NOT('14 Msi'!D137 = ""),'14 Msi'!D137,IF(COUNTIF('14 Msi'!D138:D139,"&gt;=0")=0,"", MIN(MAX(SUMPRODUCT('14 Msi'!D138:D139,'14 Msi'!$G138:$G139)*4/(SUM('14 Msi'!$G138:$G139) - SUMIF('14 Msi'!D138:D139,"X",'14 Msi'!$G138:$G139)),MAX('14 Msi'!AB138:AB139)),MIN('14 Msi'!AF138:AF139))))</f>
        <v/>
      </c>
      <c r="G388" s="1576" t="str">
        <f>IF(NOT('14 Msi'!E137 = ""),'14 Msi'!E137,IF(COUNTIF('14 Msi'!E138:E139,"&gt;=0")=0,"", MIN(MAX(SUMPRODUCT('14 Msi'!E138:E139,'14 Msi'!$G138:$G139)*4/(SUM('14 Msi'!$G138:$G139) - SUMIF('14 Msi'!E138:E139,"X",'14 Msi'!$G138:$G139)),MAX('14 Msi'!AC138:AC139)),MIN('14 Msi'!AG138:AG139))))</f>
        <v/>
      </c>
      <c r="H388" s="1576" t="str">
        <f>IF(NOT('14 Msi'!F137 = ""),'14 Msi'!F137,IF(COUNTIF('14 Msi'!F138:F139,"&gt;=0")=0,"", MIN(MAX(SUMPRODUCT('14 Msi'!F138:F139,'14 Msi'!$G138:$G139)*4/(SUM('14 Msi'!$G138:$G139) - SUMIF('14 Msi'!F138:F139,"X",'14 Msi'!$G138:$G139)),MAX('14 Msi'!AD138:AD139)),MIN('14 Msi'!AH138:AH139))))</f>
        <v/>
      </c>
      <c r="I388" s="1577">
        <f t="shared" si="51"/>
        <v>1</v>
      </c>
      <c r="J388" s="1557">
        <f>IF(I388="","",IF(IndG=3,MAX(I388,Obj_Projets!J388),MAX(I388,Obj_PA!D388)))</f>
        <v>1</v>
      </c>
      <c r="K388" s="1578">
        <f t="shared" si="52"/>
        <v>1</v>
      </c>
      <c r="L388" s="1655" t="str">
        <f t="shared" si="53"/>
        <v xml:space="preserve"> n'a pas démarré</v>
      </c>
    </row>
    <row r="389" spans="1:12" ht="12.75" customHeight="1" x14ac:dyDescent="0.2">
      <c r="A389" s="190"/>
      <c r="B389" s="533"/>
      <c r="C389" s="190"/>
    </row>
    <row r="390" spans="1:12" ht="12.75" customHeight="1" x14ac:dyDescent="0.2">
      <c r="B390" s="533"/>
      <c r="C390" s="190"/>
    </row>
    <row r="391" spans="1:12" ht="12.75" customHeight="1" x14ac:dyDescent="0.2">
      <c r="B391" s="533"/>
      <c r="C391" s="190"/>
    </row>
    <row r="392" spans="1:12" ht="12.75" customHeight="1" x14ac:dyDescent="0.2">
      <c r="B392" s="533"/>
      <c r="C392" s="190"/>
    </row>
    <row r="393" spans="1:12" ht="12.75" customHeight="1" x14ac:dyDescent="0.2">
      <c r="B393" s="533"/>
      <c r="C393" s="190"/>
    </row>
    <row r="394" spans="1:12" ht="12.75" customHeight="1" x14ac:dyDescent="0.2">
      <c r="B394" s="533"/>
      <c r="C394" s="190"/>
    </row>
    <row r="395" spans="1:12" ht="12.75" customHeight="1" x14ac:dyDescent="0.2">
      <c r="B395" s="533"/>
      <c r="C395" s="190"/>
    </row>
    <row r="396" spans="1:12" ht="12.75" customHeight="1" x14ac:dyDescent="0.2">
      <c r="B396" s="533"/>
      <c r="C396" s="190"/>
    </row>
    <row r="397" spans="1:12" ht="12.75" customHeight="1" x14ac:dyDescent="0.2">
      <c r="B397" s="533"/>
      <c r="C397" s="190"/>
    </row>
    <row r="398" spans="1:12" ht="12.75" customHeight="1" x14ac:dyDescent="0.2">
      <c r="B398" s="533"/>
      <c r="C398" s="190"/>
    </row>
    <row r="399" spans="1:12" ht="12.75" customHeight="1" x14ac:dyDescent="0.2">
      <c r="B399" s="533"/>
      <c r="C399" s="190"/>
    </row>
    <row r="400" spans="1:12" ht="12.75" customHeight="1" x14ac:dyDescent="0.2">
      <c r="B400" s="533"/>
      <c r="C400" s="190"/>
    </row>
    <row r="401" spans="2:3" ht="12.75" customHeight="1" x14ac:dyDescent="0.2">
      <c r="B401" s="533"/>
      <c r="C401" s="190"/>
    </row>
    <row r="402" spans="2:3" ht="12.75" customHeight="1" x14ac:dyDescent="0.2">
      <c r="B402" s="533"/>
      <c r="C402" s="190"/>
    </row>
    <row r="403" spans="2:3" ht="12.75" customHeight="1" x14ac:dyDescent="0.2">
      <c r="B403" s="533"/>
      <c r="C403" s="190"/>
    </row>
    <row r="404" spans="2:3" ht="12.75" customHeight="1" x14ac:dyDescent="0.2">
      <c r="B404" s="533"/>
      <c r="C404" s="190"/>
    </row>
    <row r="405" spans="2:3" ht="12.75" customHeight="1" x14ac:dyDescent="0.2">
      <c r="B405" s="533"/>
      <c r="C405" s="190"/>
    </row>
    <row r="406" spans="2:3" ht="12.75" customHeight="1" x14ac:dyDescent="0.2">
      <c r="B406" s="533"/>
      <c r="C406" s="190"/>
    </row>
    <row r="407" spans="2:3" ht="12.75" customHeight="1" x14ac:dyDescent="0.2">
      <c r="B407" s="533"/>
      <c r="C407" s="190"/>
    </row>
    <row r="408" spans="2:3" ht="12.75" customHeight="1" x14ac:dyDescent="0.2">
      <c r="B408" s="533"/>
      <c r="C408" s="190"/>
    </row>
    <row r="409" spans="2:3" ht="12.75" customHeight="1" x14ac:dyDescent="0.2">
      <c r="B409" s="533"/>
      <c r="C409" s="190"/>
    </row>
    <row r="410" spans="2:3" ht="12.75" customHeight="1" x14ac:dyDescent="0.2">
      <c r="B410" s="533"/>
      <c r="C410" s="190"/>
    </row>
    <row r="411" spans="2:3" ht="12.75" customHeight="1" x14ac:dyDescent="0.2">
      <c r="B411" s="533"/>
      <c r="C411" s="190"/>
    </row>
    <row r="412" spans="2:3" ht="12.75" customHeight="1" x14ac:dyDescent="0.2">
      <c r="B412" s="533"/>
      <c r="C412" s="190"/>
    </row>
    <row r="413" spans="2:3" ht="12.75" customHeight="1" x14ac:dyDescent="0.2">
      <c r="B413" s="533"/>
      <c r="C413" s="190"/>
    </row>
    <row r="414" spans="2:3" ht="12.75" customHeight="1" x14ac:dyDescent="0.2">
      <c r="B414" s="533"/>
      <c r="C414" s="190"/>
    </row>
    <row r="415" spans="2:3" ht="12.75" customHeight="1" x14ac:dyDescent="0.2">
      <c r="B415" s="533"/>
      <c r="C415" s="190"/>
    </row>
    <row r="416" spans="2:3" ht="12.75" customHeight="1" x14ac:dyDescent="0.2">
      <c r="B416" s="533"/>
      <c r="C416" s="190"/>
    </row>
    <row r="417" spans="2:3" ht="12.75" customHeight="1" x14ac:dyDescent="0.2">
      <c r="B417" s="533"/>
      <c r="C417" s="190"/>
    </row>
    <row r="418" spans="2:3" ht="12.75" customHeight="1" x14ac:dyDescent="0.2">
      <c r="B418" s="533"/>
      <c r="C418" s="190"/>
    </row>
    <row r="419" spans="2:3" ht="12.75" customHeight="1" x14ac:dyDescent="0.2">
      <c r="B419" s="533"/>
      <c r="C419" s="190"/>
    </row>
    <row r="420" spans="2:3" ht="12.75" customHeight="1" x14ac:dyDescent="0.2">
      <c r="B420" s="533"/>
      <c r="C420" s="190"/>
    </row>
    <row r="421" spans="2:3" ht="12.75" customHeight="1" x14ac:dyDescent="0.2">
      <c r="B421" s="533"/>
      <c r="C421" s="190"/>
    </row>
    <row r="422" spans="2:3" ht="12.75" customHeight="1" x14ac:dyDescent="0.2">
      <c r="B422" s="533"/>
      <c r="C422" s="190"/>
    </row>
    <row r="423" spans="2:3" ht="12.75" customHeight="1" x14ac:dyDescent="0.2">
      <c r="B423" s="533"/>
      <c r="C423" s="190"/>
    </row>
    <row r="424" spans="2:3" ht="12.75" customHeight="1" x14ac:dyDescent="0.2">
      <c r="B424" s="533"/>
      <c r="C424" s="190"/>
    </row>
    <row r="425" spans="2:3" ht="12.75" customHeight="1" x14ac:dyDescent="0.2">
      <c r="B425" s="533"/>
      <c r="C425" s="190"/>
    </row>
    <row r="426" spans="2:3" ht="12.75" customHeight="1" x14ac:dyDescent="0.2">
      <c r="B426" s="533"/>
      <c r="C426" s="190"/>
    </row>
    <row r="427" spans="2:3" ht="12.75" customHeight="1" x14ac:dyDescent="0.2">
      <c r="B427" s="533"/>
      <c r="C427" s="190"/>
    </row>
    <row r="428" spans="2:3" ht="12.75" customHeight="1" x14ac:dyDescent="0.2">
      <c r="B428" s="533"/>
      <c r="C428" s="190"/>
    </row>
    <row r="429" spans="2:3" ht="12.75" customHeight="1" x14ac:dyDescent="0.2">
      <c r="B429" s="533"/>
      <c r="C429" s="190"/>
    </row>
    <row r="430" spans="2:3" ht="12.75" customHeight="1" x14ac:dyDescent="0.2">
      <c r="B430" s="533"/>
      <c r="C430" s="190"/>
    </row>
    <row r="431" spans="2:3" ht="12.75" customHeight="1" x14ac:dyDescent="0.2">
      <c r="B431" s="533"/>
      <c r="C431" s="190"/>
    </row>
  </sheetData>
  <sheetProtection sheet="1" objects="1" scenarios="1" formatCells="0" formatColumns="0" formatRows="0" insertRows="0"/>
  <mergeCells count="17">
    <mergeCell ref="B357:C357"/>
    <mergeCell ref="B216:C216"/>
    <mergeCell ref="B250:C250"/>
    <mergeCell ref="B265:C265"/>
    <mergeCell ref="B296:C296"/>
    <mergeCell ref="B321:C321"/>
    <mergeCell ref="B167:C167"/>
    <mergeCell ref="A1:C1"/>
    <mergeCell ref="B5:C5"/>
    <mergeCell ref="B3:C3"/>
    <mergeCell ref="B84:C84"/>
    <mergeCell ref="B103:C103"/>
    <mergeCell ref="A2:B2"/>
    <mergeCell ref="B59:C59"/>
    <mergeCell ref="B35:C35"/>
    <mergeCell ref="B131:C131"/>
    <mergeCell ref="B152:C152"/>
  </mergeCells>
  <phoneticPr fontId="20" type="noConversion"/>
  <conditionalFormatting sqref="B246:C247 B249">
    <cfRule type="expression" dxfId="113" priority="65">
      <formula>$E246=""</formula>
    </cfRule>
  </conditionalFormatting>
  <conditionalFormatting sqref="B248:C248">
    <cfRule type="expression" dxfId="112" priority="64">
      <formula>$E248=""</formula>
    </cfRule>
  </conditionalFormatting>
  <conditionalFormatting sqref="B248:C248">
    <cfRule type="expression" dxfId="111" priority="63">
      <formula>AND(NOT($K248=""),$K$1=1)</formula>
    </cfRule>
  </conditionalFormatting>
  <conditionalFormatting sqref="C249">
    <cfRule type="expression" dxfId="110" priority="62">
      <formula>$E249=""</formula>
    </cfRule>
  </conditionalFormatting>
  <conditionalFormatting sqref="C249">
    <cfRule type="expression" dxfId="109" priority="61">
      <formula>AND(NOT($K249=""),$K$1=1)</formula>
    </cfRule>
  </conditionalFormatting>
  <conditionalFormatting sqref="D323:D326 D298:D303 D267:D271 D252:D256 D218:D222 D169:D177 D154:D158 D133:D140 D8:D11 D105:D111 D86:D91 D61:D66 D37:D41 D13:D17 D19:D24 D26:D30 D32:D34 D43 D45:D50 D52:D58 D68:D75 D77:D79 D81:D83 D93:D95 D97:D98 D100:D102 D113:D121 D123:D126 D128:D130 D142:D143 D145:D148 D150:D151 D160 D162:D163 D165:D166 D179:D181 D183:D189 D191:D200 D202:D204 D206:D208 D210:D211 D213:D215 D224:D228 D230:D232 D234:D235 D237:D239 D241:D243 D245 D247:D249 D258:D264 D273:D275 D277:D282 D284:D291 D293:D295 D305:D306 D308:D312 D314:D316 D318:D320 D328:D331 D333:D337 D339:D342 D344:D347 D349:D352 D354:D356">
    <cfRule type="expression" dxfId="108" priority="60">
      <formula>$E8=""</formula>
    </cfRule>
  </conditionalFormatting>
  <conditionalFormatting sqref="B217:C245">
    <cfRule type="expression" dxfId="107" priority="56">
      <formula>$E217=""</formula>
    </cfRule>
  </conditionalFormatting>
  <conditionalFormatting sqref="B217:C245">
    <cfRule type="expression" dxfId="106" priority="55">
      <formula>AND(NOT($K217=""),$K$1=1)</formula>
    </cfRule>
  </conditionalFormatting>
  <conditionalFormatting sqref="A6:C34">
    <cfRule type="expression" dxfId="105" priority="54">
      <formula>$E6=""</formula>
    </cfRule>
  </conditionalFormatting>
  <conditionalFormatting sqref="A6:C34">
    <cfRule type="expression" dxfId="104" priority="53">
      <formula>AND(NOT($K6=""),$K$1=1)</formula>
    </cfRule>
  </conditionalFormatting>
  <conditionalFormatting sqref="A36:C58">
    <cfRule type="expression" dxfId="103" priority="52">
      <formula>$E36=""</formula>
    </cfRule>
  </conditionalFormatting>
  <conditionalFormatting sqref="A36:C58">
    <cfRule type="expression" dxfId="102" priority="51">
      <formula>AND(NOT($K36=""),$K$1=1)</formula>
    </cfRule>
  </conditionalFormatting>
  <conditionalFormatting sqref="A60:C83">
    <cfRule type="expression" dxfId="101" priority="50">
      <formula>$E60=""</formula>
    </cfRule>
  </conditionalFormatting>
  <conditionalFormatting sqref="A60:C83">
    <cfRule type="expression" dxfId="100" priority="49">
      <formula>AND(NOT($K60=""),$K$1=1)</formula>
    </cfRule>
  </conditionalFormatting>
  <conditionalFormatting sqref="A85:C102">
    <cfRule type="expression" dxfId="99" priority="48">
      <formula>$E85=""</formula>
    </cfRule>
  </conditionalFormatting>
  <conditionalFormatting sqref="A85:C102">
    <cfRule type="expression" dxfId="98" priority="47">
      <formula>AND(NOT($K85=""),$K$1=1)</formula>
    </cfRule>
  </conditionalFormatting>
  <conditionalFormatting sqref="A104:C130 A132:C151">
    <cfRule type="expression" dxfId="97" priority="46">
      <formula>$E104=""</formula>
    </cfRule>
  </conditionalFormatting>
  <conditionalFormatting sqref="A104:C130 A132:C151">
    <cfRule type="expression" dxfId="96" priority="45">
      <formula>AND(NOT($K104=""),$K$1=1)</formula>
    </cfRule>
  </conditionalFormatting>
  <conditionalFormatting sqref="A153:C166">
    <cfRule type="expression" dxfId="95" priority="44">
      <formula>$E153=""</formula>
    </cfRule>
  </conditionalFormatting>
  <conditionalFormatting sqref="A153:C166">
    <cfRule type="expression" dxfId="94" priority="43">
      <formula>AND(NOT($K153=""),$K$1=1)</formula>
    </cfRule>
  </conditionalFormatting>
  <conditionalFormatting sqref="A168:C215">
    <cfRule type="expression" dxfId="93" priority="42">
      <formula>$E168=""</formula>
    </cfRule>
  </conditionalFormatting>
  <conditionalFormatting sqref="A168:C215">
    <cfRule type="expression" dxfId="92" priority="41">
      <formula>AND(NOT($K168=""),$K$1=1)</formula>
    </cfRule>
  </conditionalFormatting>
  <conditionalFormatting sqref="A217:A249">
    <cfRule type="expression" dxfId="91" priority="40">
      <formula>$E217=""</formula>
    </cfRule>
  </conditionalFormatting>
  <conditionalFormatting sqref="A217:A249">
    <cfRule type="expression" dxfId="90" priority="39">
      <formula>AND(NOT($K217=""),$K$1=1)</formula>
    </cfRule>
  </conditionalFormatting>
  <conditionalFormatting sqref="A251:C264">
    <cfRule type="expression" dxfId="89" priority="38">
      <formula>$E251=""</formula>
    </cfRule>
  </conditionalFormatting>
  <conditionalFormatting sqref="A251:C264">
    <cfRule type="expression" dxfId="88" priority="37">
      <formula>AND(NOT($K251=""),$K$1=1)</formula>
    </cfRule>
  </conditionalFormatting>
  <conditionalFormatting sqref="A266:C295">
    <cfRule type="expression" dxfId="87" priority="36">
      <formula>$E266=""</formula>
    </cfRule>
  </conditionalFormatting>
  <conditionalFormatting sqref="A266:C295">
    <cfRule type="expression" dxfId="86" priority="35">
      <formula>AND(NOT($K266=""),$K$1=1)</formula>
    </cfRule>
  </conditionalFormatting>
  <conditionalFormatting sqref="A297:C320">
    <cfRule type="expression" dxfId="85" priority="34">
      <formula>$E297=""</formula>
    </cfRule>
  </conditionalFormatting>
  <conditionalFormatting sqref="A297:C320">
    <cfRule type="expression" dxfId="84" priority="33">
      <formula>AND(NOT($K297=""),$K$1=1)</formula>
    </cfRule>
  </conditionalFormatting>
  <conditionalFormatting sqref="A322:C356">
    <cfRule type="expression" dxfId="83" priority="32">
      <formula>$E322=""</formula>
    </cfRule>
  </conditionalFormatting>
  <conditionalFormatting sqref="A322:C356">
    <cfRule type="expression" dxfId="82" priority="31">
      <formula>AND(NOT($K322=""),$K$1=1)</formula>
    </cfRule>
  </conditionalFormatting>
  <conditionalFormatting sqref="A358:C388">
    <cfRule type="expression" dxfId="81" priority="28">
      <formula>$E358=""</formula>
    </cfRule>
  </conditionalFormatting>
  <conditionalFormatting sqref="A358:C388">
    <cfRule type="expression" dxfId="80" priority="27">
      <formula>AND(NOT($K358=""),$K$1=1)</formula>
    </cfRule>
  </conditionalFormatting>
  <conditionalFormatting sqref="D7">
    <cfRule type="expression" dxfId="79" priority="26">
      <formula>$E7=""</formula>
    </cfRule>
  </conditionalFormatting>
  <conditionalFormatting sqref="J1:J4 J7:J11 J13:J17 J19:J24 J26:J30 J32:J34 J37:J41 J43 J45:J50 J52:J58 J61:J66 J68:J75 J77:J79 J81:J83 J93:J95 J100:J102 J97:J98 J86:J91 J105:J111 J113:J121 J128:J130 J123:J126 J179:J181 J202:J204 J206:J208 J213:J215 J230:J232 J241:J243 J142:J143 J150:J151 J162:J163 J165:J166 J210:J211 J234:J235 J160 J245 J154:J158 J218:J222 J224:J228 J133:J140 J145:J148 J169:J177 J183:J189 J191:J200 J237:J239 J389:J1048576 J247:J249">
    <cfRule type="cellIs" dxfId="78" priority="21" operator="equal">
      <formula>4</formula>
    </cfRule>
    <cfRule type="cellIs" dxfId="77" priority="22" operator="equal">
      <formula>3</formula>
    </cfRule>
    <cfRule type="cellIs" dxfId="76" priority="23" operator="equal">
      <formula>2</formula>
    </cfRule>
    <cfRule type="cellIs" dxfId="75" priority="24" operator="equal">
      <formula>1</formula>
    </cfRule>
  </conditionalFormatting>
  <conditionalFormatting sqref="J252:J264">
    <cfRule type="cellIs" dxfId="74" priority="17" operator="equal">
      <formula>4</formula>
    </cfRule>
    <cfRule type="cellIs" dxfId="73" priority="18" operator="equal">
      <formula>3</formula>
    </cfRule>
    <cfRule type="cellIs" dxfId="72" priority="19" operator="equal">
      <formula>2</formula>
    </cfRule>
    <cfRule type="cellIs" dxfId="71" priority="20" operator="equal">
      <formula>1</formula>
    </cfRule>
  </conditionalFormatting>
  <conditionalFormatting sqref="J267:J295">
    <cfRule type="cellIs" dxfId="70" priority="13" operator="equal">
      <formula>4</formula>
    </cfRule>
    <cfRule type="cellIs" dxfId="69" priority="14" operator="equal">
      <formula>3</formula>
    </cfRule>
    <cfRule type="cellIs" dxfId="68" priority="15" operator="equal">
      <formula>2</formula>
    </cfRule>
    <cfRule type="cellIs" dxfId="67" priority="16" operator="equal">
      <formula>1</formula>
    </cfRule>
  </conditionalFormatting>
  <conditionalFormatting sqref="J298:J320">
    <cfRule type="cellIs" dxfId="66" priority="9" operator="equal">
      <formula>4</formula>
    </cfRule>
    <cfRule type="cellIs" dxfId="65" priority="10" operator="equal">
      <formula>3</formula>
    </cfRule>
    <cfRule type="cellIs" dxfId="64" priority="11" operator="equal">
      <formula>2</formula>
    </cfRule>
    <cfRule type="cellIs" dxfId="63" priority="12" operator="equal">
      <formula>1</formula>
    </cfRule>
  </conditionalFormatting>
  <conditionalFormatting sqref="J323:J356">
    <cfRule type="cellIs" dxfId="62" priority="5" operator="equal">
      <formula>4</formula>
    </cfRule>
    <cfRule type="cellIs" dxfId="61" priority="6" operator="equal">
      <formula>3</formula>
    </cfRule>
    <cfRule type="cellIs" dxfId="60" priority="7" operator="equal">
      <formula>2</formula>
    </cfRule>
    <cfRule type="cellIs" dxfId="59" priority="8" operator="equal">
      <formula>1</formula>
    </cfRule>
  </conditionalFormatting>
  <conditionalFormatting sqref="J359:J388">
    <cfRule type="cellIs" dxfId="58" priority="1" operator="equal">
      <formula>4</formula>
    </cfRule>
    <cfRule type="cellIs" dxfId="57" priority="2" operator="equal">
      <formula>3</formula>
    </cfRule>
    <cfRule type="cellIs" dxfId="56" priority="3" operator="equal">
      <formula>2</formula>
    </cfRule>
    <cfRule type="cellIs" dxfId="55" priority="4" operator="equal">
      <formula>1</formula>
    </cfRule>
  </conditionalFormatting>
  <printOptions gridLines="1"/>
  <pageMargins left="0.23" right="0.25" top="0.34" bottom="0.25" header="0.35" footer="0.33"/>
  <pageSetup paperSize="9" orientation="landscape" horizontalDpi="4294967292" r:id="rId1"/>
  <headerFooter alignWithMargins="0"/>
  <ignoredErrors>
    <ignoredError sqref="B383:B386 B293:B295 B344:B347 B319 B318 B320 B32:B34 B387:B388 B237:B239"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Line="0" autoPict="0">
                <anchor moveWithCells="1" sizeWithCells="1">
                  <from>
                    <xdr:col>2</xdr:col>
                    <xdr:colOff>1323975</xdr:colOff>
                    <xdr:row>0</xdr:row>
                    <xdr:rowOff>0</xdr:rowOff>
                  </from>
                  <to>
                    <xdr:col>2</xdr:col>
                    <xdr:colOff>3419475</xdr:colOff>
                    <xdr:row>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indexed="47"/>
  </sheetPr>
  <dimension ref="A1:E21"/>
  <sheetViews>
    <sheetView workbookViewId="0">
      <pane ySplit="2" topLeftCell="A3" activePane="bottomLeft" state="frozen"/>
      <selection activeCell="I304" sqref="I304"/>
      <selection pane="bottomLeft" sqref="A1:C1"/>
    </sheetView>
  </sheetViews>
  <sheetFormatPr baseColWidth="10" defaultColWidth="11.42578125" defaultRowHeight="12.75" x14ac:dyDescent="0.2"/>
  <cols>
    <col min="1" max="1" width="3.42578125" style="10" customWidth="1"/>
    <col min="2" max="2" width="31.42578125" style="10" customWidth="1"/>
    <col min="3" max="3" width="63.7109375" style="10" customWidth="1"/>
    <col min="4" max="4" width="12" style="10" customWidth="1"/>
    <col min="5" max="5" width="13.42578125" style="10" customWidth="1"/>
    <col min="6" max="16384" width="11.42578125" style="10"/>
  </cols>
  <sheetData>
    <row r="1" spans="1:5" ht="24.75" customHeight="1" x14ac:dyDescent="0.2">
      <c r="A1" s="1994" t="s">
        <v>7300</v>
      </c>
      <c r="B1" s="1995"/>
      <c r="C1" s="1996"/>
      <c r="D1" s="1997" t="s">
        <v>7299</v>
      </c>
      <c r="E1" s="1998"/>
    </row>
    <row r="2" spans="1:5" ht="33.75" customHeight="1" x14ac:dyDescent="0.2">
      <c r="A2" s="11" t="s">
        <v>1650</v>
      </c>
      <c r="B2" s="11" t="s">
        <v>2615</v>
      </c>
      <c r="C2" s="11" t="s">
        <v>2616</v>
      </c>
      <c r="D2" s="12" t="s">
        <v>2417</v>
      </c>
      <c r="E2" s="13" t="s">
        <v>2410</v>
      </c>
    </row>
    <row r="3" spans="1:5" ht="25.5" x14ac:dyDescent="0.2">
      <c r="A3" s="14" t="s">
        <v>2617</v>
      </c>
      <c r="B3" s="14" t="s">
        <v>2618</v>
      </c>
      <c r="C3" s="1585" t="s">
        <v>7589</v>
      </c>
      <c r="D3" s="1586">
        <f>AVERAGE(Services!I7:I11,Services!I26:I30,Services!I325:I326,Services!I330:I331,Services!I336:I337,Services!I341:I342,Services!I346:I347,Services!I351:I352,Services!I356)</f>
        <v>1</v>
      </c>
      <c r="E3" s="1587">
        <f>AVERAGE(Services!K7:K11,Services!K26:K30,Services!K325:K326,Services!K330:K331,Services!K336:K337,Services!K341:K342,Services!K346:K347,Services!K351:K352,Services!K356)</f>
        <v>1</v>
      </c>
    </row>
    <row r="4" spans="1:5" ht="38.25" x14ac:dyDescent="0.2">
      <c r="A4" s="15" t="s">
        <v>2619</v>
      </c>
      <c r="B4" s="15" t="s">
        <v>6421</v>
      </c>
      <c r="C4" s="1588" t="s">
        <v>7588</v>
      </c>
      <c r="D4" s="1589">
        <f>AVERAGE(Services!I13:I17,Services!I19:I24,Services!I315,Services!I323:I324,Services!I328:I329,Services!I333:I335,Services!I339:I340,Services!I344:I345,Services!I349:I350,Services!I354:I355)</f>
        <v>1</v>
      </c>
      <c r="E4" s="1590">
        <f>AVERAGE(Services!K13:K17,Services!K19:K24,Services!K315,Services!K323:K324,Services!K328:K329,Services!K333:K335,Services!K339:K340,Services!K344:K345,Services!K349:K350,Services!K354:K355)</f>
        <v>1</v>
      </c>
    </row>
    <row r="5" spans="1:5" ht="25.5" x14ac:dyDescent="0.2">
      <c r="A5" s="15" t="s">
        <v>2620</v>
      </c>
      <c r="B5" s="15" t="s">
        <v>6650</v>
      </c>
      <c r="C5" s="1588" t="s">
        <v>6362</v>
      </c>
      <c r="D5" s="1589">
        <f>AVERAGE(Services!I37:I41,Services!I45:I50,Services!I68:I75)</f>
        <v>1</v>
      </c>
      <c r="E5" s="1590">
        <f>AVERAGE(Services!K37:K41,Services!K45:K50,Services!K68:K75)</f>
        <v>1</v>
      </c>
    </row>
    <row r="6" spans="1:5" x14ac:dyDescent="0.2">
      <c r="A6" s="15" t="s">
        <v>2621</v>
      </c>
      <c r="B6" s="15" t="s">
        <v>2622</v>
      </c>
      <c r="C6" s="1588" t="s">
        <v>6651</v>
      </c>
      <c r="D6" s="1589">
        <f>AVERAGE(Services!I43:I43,Services!I61:I66,Services!I77:I79,Services!I81:I83)</f>
        <v>1</v>
      </c>
      <c r="E6" s="1590">
        <f>AVERAGE(Services!K43:K43,Services!K61:K66,Services!K77:K79,Services!K81:K83)</f>
        <v>1</v>
      </c>
    </row>
    <row r="7" spans="1:5" ht="17.25" customHeight="1" x14ac:dyDescent="0.2">
      <c r="A7" s="15" t="s">
        <v>2109</v>
      </c>
      <c r="B7" s="15" t="s">
        <v>2623</v>
      </c>
      <c r="C7" s="1588" t="s">
        <v>7581</v>
      </c>
      <c r="D7" s="1589">
        <f>AVERAGE(Services!I86,Services!I105:I106,Services!I165:I166,Services!I237)</f>
        <v>1</v>
      </c>
      <c r="E7" s="1590">
        <f>AVERAGE(Services!K86,Services!K105:K106,Services!K165:K166,Services!K237)</f>
        <v>1</v>
      </c>
    </row>
    <row r="8" spans="1:5" x14ac:dyDescent="0.2">
      <c r="A8" s="15" t="s">
        <v>2964</v>
      </c>
      <c r="B8" s="15" t="s">
        <v>2624</v>
      </c>
      <c r="C8" s="1588" t="s">
        <v>5773</v>
      </c>
      <c r="D8" s="1589">
        <f>AVERAGE(Services!I97:I98,Services!I123:I126,Services!I316)</f>
        <v>1</v>
      </c>
      <c r="E8" s="1590">
        <f>AVERAGE(Services!K97:K98,Services!K123:K126,Services!K316)</f>
        <v>1</v>
      </c>
    </row>
    <row r="9" spans="1:5" ht="25.5" x14ac:dyDescent="0.2">
      <c r="A9" s="15" t="s">
        <v>2625</v>
      </c>
      <c r="B9" s="15" t="s">
        <v>2626</v>
      </c>
      <c r="C9" s="1588" t="s">
        <v>7587</v>
      </c>
      <c r="D9" s="1589">
        <f>AVERAGE(Services!I93:I95,Services!I113:I121,Services!I145:I146,Services!I154:I158,Services!I160:I160,Services!I206:I207,Services!I218:I222,Services!I293:I294,Services!I318:I319)</f>
        <v>1</v>
      </c>
      <c r="E9" s="1590">
        <f>AVERAGE(Services!K93:K95,Services!K113:K121,Services!K145:K146,Services!K154:K158,Services!K160:K160,Services!K206:K207,Services!K218:K222,Services!K293:K294,Services!K318:K319)</f>
        <v>1</v>
      </c>
    </row>
    <row r="10" spans="1:5" ht="14.25" customHeight="1" x14ac:dyDescent="0.2">
      <c r="A10" s="15" t="s">
        <v>2627</v>
      </c>
      <c r="B10" s="15" t="s">
        <v>2765</v>
      </c>
      <c r="C10" s="1588" t="s">
        <v>6123</v>
      </c>
      <c r="D10" s="1589">
        <f>AVERAGE(Services!I173,Services!I197,Services!I224:I228,Services!I230:I232,Services!I234:I235,Services!I241:I243,Services!I247:I249,Services!I273:I275,Services!I277:I282,Services!I289)</f>
        <v>1</v>
      </c>
      <c r="E10" s="1590">
        <f>AVERAGE(Services!K173,Services!K197,Services!K224:K228,Services!K230:K232,Services!K234:K235,Services!K241:K243,Services!K247:K249,Services!K273:K275,Services!K277:K282,Services!K289)</f>
        <v>1</v>
      </c>
    </row>
    <row r="11" spans="1:5" ht="26.25" customHeight="1" x14ac:dyDescent="0.2">
      <c r="A11" s="15" t="s">
        <v>4246</v>
      </c>
      <c r="B11" s="15" t="s">
        <v>6364</v>
      </c>
      <c r="C11" s="1588" t="s">
        <v>7586</v>
      </c>
      <c r="D11" s="1589">
        <f>AVERAGE(Services!I88,Services!I108,Services!I133:I140,Services!I142:I143,Services!I148,Services!I169:I172,Services!I174,Services!I176:I177,Services!I179:I181,Services!I193,Services!I200,Services!I267:I271,Services!I298:I303,Services!I305:I306,Services!I314)</f>
        <v>1</v>
      </c>
      <c r="E11" s="1590">
        <f>AVERAGE(Services!K88,Services!K108,Services!K133:K140,Services!K142:K143,Services!K148,Services!K169:K172,Services!K174,Services!K176:K177,Services!K179:K181,Services!K193,Services!K200,Services!K267:K271,Services!K298:K303,Services!K305:K306,Services!K314)</f>
        <v>1</v>
      </c>
    </row>
    <row r="12" spans="1:5" x14ac:dyDescent="0.2">
      <c r="A12" s="15" t="s">
        <v>1592</v>
      </c>
      <c r="B12" s="15" t="s">
        <v>2766</v>
      </c>
      <c r="C12" s="1588" t="s">
        <v>6358</v>
      </c>
      <c r="D12" s="1589">
        <f>AVERAGE(Services!I183:I189,Services!I213:I215)</f>
        <v>1</v>
      </c>
      <c r="E12" s="1590">
        <f>AVERAGE(Services!K183:K189,Services!K213:K215)</f>
        <v>1</v>
      </c>
    </row>
    <row r="13" spans="1:5" ht="25.5" x14ac:dyDescent="0.2">
      <c r="A13" s="15" t="s">
        <v>2329</v>
      </c>
      <c r="B13" s="15" t="s">
        <v>6363</v>
      </c>
      <c r="C13" s="1588" t="s">
        <v>6124</v>
      </c>
      <c r="D13" s="1589">
        <f>AVERAGE(Services!I52:I58,Services!I175)</f>
        <v>1</v>
      </c>
      <c r="E13" s="1590">
        <f>AVERAGE(Services!K52:K58,Services!K175)</f>
        <v>1</v>
      </c>
    </row>
    <row r="14" spans="1:5" ht="15" customHeight="1" x14ac:dyDescent="0.2">
      <c r="A14" s="15" t="s">
        <v>2767</v>
      </c>
      <c r="B14" s="15" t="s">
        <v>2768</v>
      </c>
      <c r="C14" s="1588" t="s">
        <v>7584</v>
      </c>
      <c r="D14" s="1589">
        <f>AVERAGE(Services!I32:I34,Services!I90,Services!I110,Services!I196,Services!I238,Services!I311)</f>
        <v>1</v>
      </c>
      <c r="E14" s="1590">
        <f>AVERAGE(Services!K32:K34,Services!K90,Services!K110,Services!K196,Services!K238,Services!K311)</f>
        <v>1</v>
      </c>
    </row>
    <row r="15" spans="1:5" ht="26.25" customHeight="1" x14ac:dyDescent="0.2">
      <c r="A15" s="15" t="s">
        <v>2769</v>
      </c>
      <c r="B15" s="15" t="s">
        <v>2770</v>
      </c>
      <c r="C15" s="1588" t="s">
        <v>7583</v>
      </c>
      <c r="D15" s="1589">
        <f>AVERAGE(Services!I89,Services!I109,Services!I194:I195,Services!I199,Services!I286:I288,Services!I290:I291,Services!I310)</f>
        <v>1</v>
      </c>
      <c r="E15" s="1590">
        <f>AVERAGE(Services!K89,Services!K109,Services!K194:K195,Services!K199,Services!K286:K288,Services!K290:K291,Services!K310)</f>
        <v>1</v>
      </c>
    </row>
    <row r="16" spans="1:5" ht="27.75" customHeight="1" x14ac:dyDescent="0.2">
      <c r="A16" s="15" t="s">
        <v>2771</v>
      </c>
      <c r="B16" s="15" t="s">
        <v>2772</v>
      </c>
      <c r="C16" s="1588" t="s">
        <v>7585</v>
      </c>
      <c r="D16" s="1589">
        <f>AVERAGE(Services!I87,Services!I91,Services!I107,Services!I111,Services!I191:I192,Services!I198,Services!I239,Services!I284:I285,Services!I308:I309,Services!I312)</f>
        <v>1</v>
      </c>
      <c r="E16" s="1590">
        <f>AVERAGE(Services!K87,Services!K91,Services!K107,Services!K111,Services!K191:K192,Services!K198,Services!K239,Services!K284:K285,Services!K308:K309,Services!K312)</f>
        <v>1</v>
      </c>
    </row>
    <row r="17" spans="1:5" x14ac:dyDescent="0.2">
      <c r="A17" s="15" t="s">
        <v>2773</v>
      </c>
      <c r="B17" s="15" t="s">
        <v>2774</v>
      </c>
      <c r="C17" s="1588" t="s">
        <v>7582</v>
      </c>
      <c r="D17" s="1589">
        <f>AVERAGE(Services!I252:I256,Services!I258:I264)</f>
        <v>1</v>
      </c>
      <c r="E17" s="1590">
        <f>AVERAGE(Services!K252:K256,Services!K258:K264)</f>
        <v>1</v>
      </c>
    </row>
    <row r="18" spans="1:5" x14ac:dyDescent="0.2">
      <c r="A18" s="15" t="s">
        <v>2775</v>
      </c>
      <c r="B18" s="15" t="s">
        <v>6365</v>
      </c>
      <c r="C18" s="1588" t="s">
        <v>6366</v>
      </c>
      <c r="D18" s="1589">
        <f>AVERAGE(Services!I100:I102,Services!I128:I130,Services!I147,Services!I162:I163,Services!I202:I204,Services!I208,Services!I245:I245,Services!I295,Services!I320)</f>
        <v>1</v>
      </c>
      <c r="E18" s="1590">
        <f>AVERAGE(Services!K100:K102,Services!K128:K130,Services!K147,Services!K162:K163,Services!K202:K204,Services!K208,Services!K245:K245,Services!K295,Services!K320)</f>
        <v>1</v>
      </c>
    </row>
    <row r="19" spans="1:5" x14ac:dyDescent="0.2">
      <c r="A19" s="15" t="s">
        <v>6359</v>
      </c>
      <c r="B19" s="15" t="s">
        <v>6360</v>
      </c>
      <c r="C19" s="1588" t="s">
        <v>6361</v>
      </c>
      <c r="D19" s="1589">
        <f>AVERAGE(Services!I150:I151,Services!I210:I211)</f>
        <v>1</v>
      </c>
      <c r="E19" s="1590">
        <f>AVERAGE(Services!K150:K151,Services!K210:K211)</f>
        <v>1</v>
      </c>
    </row>
    <row r="20" spans="1:5" x14ac:dyDescent="0.2">
      <c r="A20" s="15" t="s">
        <v>5589</v>
      </c>
      <c r="B20" s="15" t="s">
        <v>5590</v>
      </c>
      <c r="C20" s="1588"/>
      <c r="D20" s="1589"/>
      <c r="E20" s="1590">
        <f>AVERAGE(Services!K326:K329,Services!K331:K334,Services!K336:K340,Services!K342:K345,Services!K347:K350,Services!K352:K355,Services!K357:K359)</f>
        <v>1</v>
      </c>
    </row>
    <row r="21" spans="1:5" ht="26.25" thickBot="1" x14ac:dyDescent="0.25">
      <c r="A21" s="16" t="s">
        <v>2415</v>
      </c>
      <c r="B21" s="16" t="s">
        <v>2416</v>
      </c>
      <c r="C21" s="1591"/>
      <c r="D21" s="1592"/>
      <c r="E21" s="1593">
        <f>AVERAGE(Services!K362:K369,Services!K371:K375,Services!K377:K379,Services!K381:K384,Services!K386:K391)</f>
        <v>1</v>
      </c>
    </row>
  </sheetData>
  <sheetProtection sheet="1" objects="1" scenarios="1"/>
  <mergeCells count="2">
    <mergeCell ref="A1:C1"/>
    <mergeCell ref="D1:E1"/>
  </mergeCells>
  <phoneticPr fontId="20" type="noConversion"/>
  <printOptions gridLines="1"/>
  <pageMargins left="0.46" right="0.41" top="0.49" bottom="0.6" header="0.41" footer="0.35"/>
  <pageSetup paperSize="9" orientation="landscape" horizontalDpi="4294967292" r:id="rId1"/>
  <headerFooter alignWithMargins="0">
    <oddFooter>&amp;L&amp;8&amp;F ! &amp;A&amp;C&amp;8&amp;P&amp;R&amp;8Décembre 2006</oddFooter>
  </headerFooter>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0">
    <tabColor indexed="47"/>
  </sheetPr>
  <dimension ref="A1:IN259"/>
  <sheetViews>
    <sheetView workbookViewId="0">
      <selection sqref="A1:D1"/>
    </sheetView>
  </sheetViews>
  <sheetFormatPr baseColWidth="10" defaultColWidth="11" defaultRowHeight="12.75" outlineLevelRow="1" x14ac:dyDescent="0.2"/>
  <cols>
    <col min="1" max="1" width="3" style="513" customWidth="1"/>
    <col min="2" max="2" width="5.140625" style="514" customWidth="1"/>
    <col min="3" max="3" width="6.7109375" style="516" customWidth="1"/>
    <col min="4" max="4" width="56.28515625" style="516" customWidth="1"/>
    <col min="5" max="5" width="48.28515625" style="517" customWidth="1"/>
    <col min="6" max="6" width="6.42578125" style="1183" customWidth="1"/>
    <col min="7" max="7" width="4.42578125" style="515" customWidth="1"/>
    <col min="8" max="8" width="33.28515625" style="496" customWidth="1"/>
    <col min="9" max="16384" width="11" style="496"/>
  </cols>
  <sheetData>
    <row r="1" spans="1:248" s="493" customFormat="1" ht="18" x14ac:dyDescent="0.25">
      <c r="A1" s="1999" t="s">
        <v>7290</v>
      </c>
      <c r="B1" s="1999"/>
      <c r="C1" s="1999"/>
      <c r="D1" s="1999"/>
      <c r="E1" s="1255"/>
      <c r="F1" s="1256"/>
      <c r="G1" s="1257"/>
      <c r="H1" s="1254"/>
      <c r="IH1" s="494"/>
      <c r="II1" s="494"/>
      <c r="IJ1" s="494"/>
      <c r="IK1" s="494"/>
      <c r="IL1" s="494"/>
      <c r="IM1" s="494"/>
      <c r="IN1" s="494"/>
    </row>
    <row r="2" spans="1:248" s="493" customFormat="1" ht="38.25" x14ac:dyDescent="0.25">
      <c r="A2" s="1251"/>
      <c r="B2" s="2000" t="s">
        <v>7465</v>
      </c>
      <c r="C2" s="2000"/>
      <c r="D2" s="2000"/>
      <c r="E2" s="1258" t="s">
        <v>7599</v>
      </c>
      <c r="F2" s="1684">
        <v>0</v>
      </c>
      <c r="G2" s="1261" t="s">
        <v>7558</v>
      </c>
      <c r="H2" s="1594" t="s">
        <v>7600</v>
      </c>
      <c r="I2" s="1594" t="s">
        <v>7598</v>
      </c>
      <c r="IH2" s="494"/>
      <c r="II2" s="494"/>
      <c r="IJ2" s="494"/>
      <c r="IK2" s="494"/>
      <c r="IL2" s="494"/>
      <c r="IM2" s="494"/>
      <c r="IN2" s="494"/>
    </row>
    <row r="3" spans="1:248" s="495" customFormat="1" x14ac:dyDescent="0.2">
      <c r="A3" s="1251"/>
      <c r="B3" s="1252"/>
      <c r="C3" s="1252"/>
      <c r="D3" s="1253" t="s">
        <v>7464</v>
      </c>
      <c r="E3" s="1259" t="s">
        <v>4497</v>
      </c>
      <c r="F3" s="1260" t="s">
        <v>38</v>
      </c>
      <c r="G3" s="1261"/>
      <c r="H3" s="1262"/>
      <c r="I3" s="1262"/>
      <c r="IH3" s="496"/>
      <c r="II3" s="496"/>
      <c r="IJ3" s="496"/>
      <c r="IK3" s="496"/>
      <c r="IL3" s="496"/>
      <c r="IM3" s="496"/>
      <c r="IN3" s="496"/>
    </row>
    <row r="4" spans="1:248" s="497" customFormat="1" ht="15" x14ac:dyDescent="0.25">
      <c r="A4" s="1208">
        <v>5</v>
      </c>
      <c r="B4" s="1208" t="s">
        <v>6908</v>
      </c>
      <c r="C4" s="1208"/>
      <c r="D4" s="1226"/>
      <c r="E4" s="1208"/>
      <c r="F4" s="1688">
        <f>SUM(F6,F7)/COUNT(F6,F7)</f>
        <v>0</v>
      </c>
      <c r="G4" s="1208"/>
      <c r="H4" s="1263"/>
      <c r="I4" s="1683"/>
      <c r="IH4" s="498"/>
      <c r="II4" s="498"/>
      <c r="IJ4" s="498"/>
      <c r="IK4" s="498"/>
      <c r="IL4" s="498"/>
      <c r="IM4" s="498"/>
      <c r="IN4" s="498"/>
    </row>
    <row r="5" spans="1:248" s="498" customFormat="1" x14ac:dyDescent="0.2">
      <c r="A5" s="1208"/>
      <c r="B5" s="1208">
        <v>5.0999999999999996</v>
      </c>
      <c r="C5" s="1208" t="s">
        <v>6909</v>
      </c>
      <c r="D5" s="1226"/>
      <c r="E5" s="1208"/>
      <c r="F5" s="1688"/>
      <c r="G5" s="1208"/>
      <c r="H5" s="1263"/>
      <c r="I5" s="1683"/>
    </row>
    <row r="6" spans="1:248" outlineLevel="1" x14ac:dyDescent="0.2">
      <c r="A6" s="1264"/>
      <c r="B6" s="174"/>
      <c r="C6" s="1264" t="s">
        <v>2078</v>
      </c>
      <c r="D6" s="1264" t="s">
        <v>6910</v>
      </c>
      <c r="E6" s="1265" t="s">
        <v>2352</v>
      </c>
      <c r="F6" s="1689">
        <f>10*(COUNTIF('01 Org'!C11, "=1"))/MAX(1,(1 -(COUNTIF('01 Org'!C11, "X"))))</f>
        <v>0</v>
      </c>
      <c r="G6" s="1266">
        <v>1</v>
      </c>
      <c r="H6" s="1267"/>
      <c r="I6" s="1267"/>
    </row>
    <row r="7" spans="1:248" outlineLevel="1" x14ac:dyDescent="0.2">
      <c r="A7" s="1264"/>
      <c r="B7" s="174"/>
      <c r="C7" s="1264" t="s">
        <v>3950</v>
      </c>
      <c r="D7" s="1264" t="s">
        <v>6911</v>
      </c>
      <c r="E7" s="1265" t="s">
        <v>7070</v>
      </c>
      <c r="F7" s="1689">
        <f>10*(COUNTIF('01 Org'!C12, "=1")+ COUNTIF('01 Org'!C18, "=1"))/MAX(1,(2 -(COUNTIF('01 Org'!C12, "X")+ COUNTIF('01 Org'!C18, "X"))))</f>
        <v>0</v>
      </c>
      <c r="G7" s="1266">
        <v>1</v>
      </c>
      <c r="H7" s="1267"/>
      <c r="I7" s="1267"/>
    </row>
    <row r="8" spans="1:248" s="497" customFormat="1" ht="15" x14ac:dyDescent="0.25">
      <c r="A8" s="1208">
        <v>6</v>
      </c>
      <c r="B8" s="1208" t="s">
        <v>6912</v>
      </c>
      <c r="C8" s="1208"/>
      <c r="D8" s="1226"/>
      <c r="E8" s="1208"/>
      <c r="F8" s="1688">
        <f>SUM(F10:F14,F16,F17)/COUNT(F10:F14,F16,F17)</f>
        <v>0</v>
      </c>
      <c r="G8" s="1208"/>
      <c r="H8" s="1263"/>
      <c r="I8" s="1683"/>
      <c r="IH8" s="498"/>
      <c r="II8" s="498"/>
      <c r="IJ8" s="498"/>
      <c r="IK8" s="498"/>
      <c r="IL8" s="498"/>
      <c r="IM8" s="498"/>
      <c r="IN8" s="498"/>
    </row>
    <row r="9" spans="1:248" s="497" customFormat="1" ht="15" x14ac:dyDescent="0.25">
      <c r="A9" s="1208"/>
      <c r="B9" s="1208">
        <v>6.1</v>
      </c>
      <c r="C9" s="1208" t="s">
        <v>6633</v>
      </c>
      <c r="D9" s="1226"/>
      <c r="E9" s="1208"/>
      <c r="F9" s="1688"/>
      <c r="G9" s="1208"/>
      <c r="H9" s="1263"/>
      <c r="I9" s="1683"/>
      <c r="IH9" s="498"/>
      <c r="II9" s="498"/>
      <c r="IJ9" s="498"/>
      <c r="IK9" s="498"/>
      <c r="IL9" s="498"/>
      <c r="IM9" s="498"/>
      <c r="IN9" s="498"/>
    </row>
    <row r="10" spans="1:248" outlineLevel="1" x14ac:dyDescent="0.2">
      <c r="A10" s="1264"/>
      <c r="B10" s="174"/>
      <c r="C10" s="1264" t="s">
        <v>4274</v>
      </c>
      <c r="D10" s="1264" t="s">
        <v>6913</v>
      </c>
      <c r="E10" s="1268" t="s">
        <v>7071</v>
      </c>
      <c r="F10" s="1689">
        <f>10*(COUNTIF('01 Org'!C13:C17, "=1")+ COUNTIF('01 Org'!C19, "=1")+ COUNTIF('01 Org'!C119, "=1"))/MAX(1,(7 -(COUNTIF('01 Org'!C13:C17, "X")+ COUNTIF('01 Org'!C19, "X")+ COUNTIF('01 Org'!C119, "X"))))</f>
        <v>0</v>
      </c>
      <c r="G10" s="1266">
        <v>1</v>
      </c>
      <c r="H10" s="1267"/>
      <c r="I10" s="1267"/>
    </row>
    <row r="11" spans="1:248" ht="25.5" outlineLevel="1" x14ac:dyDescent="0.2">
      <c r="A11" s="1264"/>
      <c r="B11" s="174"/>
      <c r="C11" s="1264" t="s">
        <v>3952</v>
      </c>
      <c r="D11" s="1264" t="s">
        <v>5309</v>
      </c>
      <c r="E11" s="1268" t="s">
        <v>7072</v>
      </c>
      <c r="F11" s="1689">
        <f>10*(COUNTIF('06 Exr'!C96:C99, "=1")+ COUNTIF('08 Exs'!C310:C313, "=1")+ COUNTIF('11 Mic'!C172:C175, "=1")+ COUNTIF('11 Mic'!C180:C183, "=1")+ COUNTIF('12 Ext'!C150:C153, "=1")+ COUNTIF('12 Ext'!C159:C162, "=1"))/MAX(1,(24 -(COUNTIF('06 Exr'!C96:C99, "X")+ COUNTIF('08 Exs'!C310:C313, "X")+ COUNTIF('11 Mic'!C172:C175, "X")+ COUNTIF('11 Mic'!C180:C183, "X")+ COUNTIF('12 Ext'!C150:C153, "X")+ COUNTIF('12 Ext'!C159:C162, "X"))))</f>
        <v>0</v>
      </c>
      <c r="G11" s="1266">
        <v>1</v>
      </c>
      <c r="H11" s="1267"/>
      <c r="I11" s="1267"/>
    </row>
    <row r="12" spans="1:248" outlineLevel="1" x14ac:dyDescent="0.2">
      <c r="A12" s="1264"/>
      <c r="B12" s="174"/>
      <c r="C12" s="1264" t="s">
        <v>4269</v>
      </c>
      <c r="D12" s="1264" t="s">
        <v>6914</v>
      </c>
      <c r="E12" s="1265" t="s">
        <v>4275</v>
      </c>
      <c r="F12" s="1689">
        <f>10*(COUNTIF('01 Org'!C20, "=1"))/MAX(1,(1 -(COUNTIF('01 Org'!C20, "X"))))</f>
        <v>0</v>
      </c>
      <c r="G12" s="1266">
        <v>1</v>
      </c>
      <c r="H12" s="1267"/>
      <c r="I12" s="1267"/>
    </row>
    <row r="13" spans="1:248" outlineLevel="1" x14ac:dyDescent="0.2">
      <c r="A13" s="1264"/>
      <c r="B13" s="174"/>
      <c r="C13" s="1264" t="s">
        <v>4345</v>
      </c>
      <c r="D13" s="1264" t="s">
        <v>6915</v>
      </c>
      <c r="E13" s="1265" t="s">
        <v>6083</v>
      </c>
      <c r="F13" s="1689">
        <f>10*(COUNTIF('01 Org'!C21, "=1"))/MAX(1,(1 -(COUNTIF('01 Org'!C21, "X"))))</f>
        <v>0</v>
      </c>
      <c r="G13" s="1266">
        <v>1</v>
      </c>
      <c r="H13" s="1267"/>
      <c r="I13" s="1267"/>
    </row>
    <row r="14" spans="1:248" outlineLevel="1" x14ac:dyDescent="0.2">
      <c r="A14" s="1264"/>
      <c r="B14" s="174"/>
      <c r="C14" s="1264" t="s">
        <v>3118</v>
      </c>
      <c r="D14" s="1264" t="s">
        <v>5820</v>
      </c>
      <c r="E14" s="1268" t="s">
        <v>7073</v>
      </c>
      <c r="F14" s="1689">
        <f>10*(COUNTIF('01 Org'!C67, "=1")+ COUNTIF('10 Dev'!C6:C11, "=1")+ COUNTIF('10 Dev'!C14, "=1")+ COUNTIF('10 Dev'!C18, "=1"))/MAX(1,(9 -(COUNTIF('01 Org'!C67, "X")+ COUNTIF('10 Dev'!C6:C11, "X")+ COUNTIF('10 Dev'!C14, "X")+ COUNTIF('10 Dev'!C18, "X"))))</f>
        <v>0</v>
      </c>
      <c r="G14" s="1266">
        <v>1</v>
      </c>
      <c r="H14" s="1267"/>
      <c r="I14" s="1267"/>
    </row>
    <row r="15" spans="1:248" s="497" customFormat="1" ht="15" x14ac:dyDescent="0.25">
      <c r="A15" s="1208"/>
      <c r="B15" s="1208">
        <v>6.2</v>
      </c>
      <c r="C15" s="1208" t="s">
        <v>6916</v>
      </c>
      <c r="D15" s="1226"/>
      <c r="E15" s="1208"/>
      <c r="F15" s="1688"/>
      <c r="G15" s="1208"/>
      <c r="H15" s="1263"/>
      <c r="I15" s="1683"/>
      <c r="IH15" s="498"/>
      <c r="II15" s="498"/>
      <c r="IJ15" s="498"/>
      <c r="IK15" s="498"/>
      <c r="IL15" s="498"/>
      <c r="IM15" s="498"/>
      <c r="IN15" s="498"/>
    </row>
    <row r="16" spans="1:248" outlineLevel="1" x14ac:dyDescent="0.2">
      <c r="A16" s="1264"/>
      <c r="B16" s="174"/>
      <c r="C16" s="1264" t="s">
        <v>3707</v>
      </c>
      <c r="D16" s="1264" t="s">
        <v>6917</v>
      </c>
      <c r="E16" s="1265" t="s">
        <v>7074</v>
      </c>
      <c r="F16" s="1689">
        <f>10*(COUNTIF('01 Org'!C69, "=1")+ COUNTIF('11 Mic'!C55, "=1")+ COUNTIF('11 Mic'!C57, "=1")+ COUNTIF('11 Mic'!C71, "=1")+ COUNTIF('11 Mic'!C137, "=1"))/MAX(1,(5 -(COUNTIF('01 Org'!C69, "X")+ COUNTIF('11 Mic'!C55, "X")+ COUNTIF('11 Mic'!C57, "X")+ COUNTIF('11 Mic'!C71, "X")+ COUNTIF('11 Mic'!C137, "X"))))</f>
        <v>0</v>
      </c>
      <c r="G16" s="1266">
        <v>1</v>
      </c>
      <c r="H16" s="1267"/>
      <c r="I16" s="1267"/>
    </row>
    <row r="17" spans="1:248" outlineLevel="1" x14ac:dyDescent="0.2">
      <c r="A17" s="1264"/>
      <c r="B17" s="174"/>
      <c r="C17" s="1264" t="s">
        <v>1900</v>
      </c>
      <c r="D17" s="1264" t="s">
        <v>6918</v>
      </c>
      <c r="E17" s="1265" t="s">
        <v>6842</v>
      </c>
      <c r="F17" s="1689">
        <f>10*(COUNTIF('11 Mic'!C55:C56, "=1")+ COUNTIF('11 Mic'!C58, "=1")+ COUNTIF('11 Mic'!C65, "=1"))/MAX(1,(4 -(COUNTIF('11 Mic'!C55:C56, "X")+ COUNTIF('11 Mic'!C58, "X")+ COUNTIF('11 Mic'!C65, "X"))))</f>
        <v>0</v>
      </c>
      <c r="G17" s="1266">
        <v>1</v>
      </c>
      <c r="H17" s="1267"/>
      <c r="I17" s="1267"/>
    </row>
    <row r="18" spans="1:248" s="497" customFormat="1" ht="15" x14ac:dyDescent="0.25">
      <c r="A18" s="1208">
        <v>7</v>
      </c>
      <c r="B18" s="1208" t="s">
        <v>6919</v>
      </c>
      <c r="C18" s="1208"/>
      <c r="D18" s="1226"/>
      <c r="E18" s="1208"/>
      <c r="F18" s="1688">
        <f>SUM(F20,F21,F23,F24,F25,F27)/COUNT(F20,F21,F23,F24,F25,F27)</f>
        <v>0</v>
      </c>
      <c r="G18" s="1208"/>
      <c r="H18" s="1263"/>
      <c r="I18" s="1683"/>
      <c r="IH18" s="498"/>
      <c r="II18" s="498"/>
      <c r="IJ18" s="498"/>
      <c r="IK18" s="498"/>
      <c r="IL18" s="498"/>
      <c r="IM18" s="498"/>
      <c r="IN18" s="498"/>
    </row>
    <row r="19" spans="1:248" s="497" customFormat="1" ht="15" x14ac:dyDescent="0.25">
      <c r="A19" s="1208"/>
      <c r="B19" s="1208">
        <v>7.1</v>
      </c>
      <c r="C19" s="1208" t="s">
        <v>6920</v>
      </c>
      <c r="D19" s="1226"/>
      <c r="E19" s="1208"/>
      <c r="F19" s="1688"/>
      <c r="G19" s="1208"/>
      <c r="H19" s="1263"/>
      <c r="I19" s="1683"/>
      <c r="IH19" s="498"/>
      <c r="II19" s="498"/>
      <c r="IJ19" s="498"/>
      <c r="IK19" s="498"/>
      <c r="IL19" s="498"/>
      <c r="IM19" s="498"/>
      <c r="IN19" s="498"/>
    </row>
    <row r="20" spans="1:248" outlineLevel="1" x14ac:dyDescent="0.2">
      <c r="A20" s="1264"/>
      <c r="B20" s="174"/>
      <c r="C20" s="1264" t="s">
        <v>5299</v>
      </c>
      <c r="D20" s="1264" t="s">
        <v>6921</v>
      </c>
      <c r="E20" s="1265" t="s">
        <v>5314</v>
      </c>
      <c r="F20" s="1689">
        <f>10*(COUNTIF('01 Org'!C120:C122, "=1"))/MAX(1,(3 -(COUNTIF('01 Org'!C120:C122, "X"))))</f>
        <v>0</v>
      </c>
      <c r="G20" s="1266">
        <v>1</v>
      </c>
      <c r="H20" s="1267"/>
      <c r="I20" s="1267"/>
    </row>
    <row r="21" spans="1:248" outlineLevel="1" x14ac:dyDescent="0.2">
      <c r="A21" s="1264"/>
      <c r="B21" s="174"/>
      <c r="C21" s="1264" t="s">
        <v>5303</v>
      </c>
      <c r="D21" s="1264" t="s">
        <v>6922</v>
      </c>
      <c r="E21" s="1265" t="s">
        <v>5316</v>
      </c>
      <c r="F21" s="1689">
        <f>10*(COUNTIF('01 Org'!C102:C103, "=1"))/MAX(1,(2 -(COUNTIF('01 Org'!C102:C103, "X"))))</f>
        <v>0</v>
      </c>
      <c r="G21" s="1266">
        <v>1</v>
      </c>
      <c r="H21" s="1267"/>
      <c r="I21" s="1267"/>
    </row>
    <row r="22" spans="1:248" s="497" customFormat="1" ht="15" x14ac:dyDescent="0.25">
      <c r="A22" s="1208"/>
      <c r="B22" s="1208">
        <v>7.2</v>
      </c>
      <c r="C22" s="1208" t="s">
        <v>5317</v>
      </c>
      <c r="D22" s="1226"/>
      <c r="E22" s="1208"/>
      <c r="F22" s="1688"/>
      <c r="G22" s="1208"/>
      <c r="H22" s="1263"/>
      <c r="I22" s="1683"/>
      <c r="IH22" s="498"/>
      <c r="II22" s="498"/>
      <c r="IJ22" s="498"/>
      <c r="IK22" s="498"/>
      <c r="IL22" s="498"/>
      <c r="IM22" s="498"/>
      <c r="IN22" s="498"/>
    </row>
    <row r="23" spans="1:248" s="499" customFormat="1" x14ac:dyDescent="0.2">
      <c r="A23" s="1264"/>
      <c r="B23" s="174"/>
      <c r="C23" s="1264" t="s">
        <v>2634</v>
      </c>
      <c r="D23" s="1264" t="s">
        <v>5318</v>
      </c>
      <c r="E23" s="1265" t="s">
        <v>3922</v>
      </c>
      <c r="F23" s="1689">
        <f>10*(COUNTIF('01 Org'!C107, "=1"))/MAX(1,(1 -(COUNTIF('01 Org'!C107, "X"))))</f>
        <v>0</v>
      </c>
      <c r="G23" s="1266">
        <v>1</v>
      </c>
      <c r="H23" s="1269"/>
      <c r="I23" s="1269"/>
      <c r="IH23" s="496"/>
      <c r="II23" s="496"/>
      <c r="IJ23" s="496"/>
      <c r="IK23" s="496"/>
      <c r="IL23" s="496"/>
      <c r="IM23" s="496"/>
      <c r="IN23" s="496"/>
    </row>
    <row r="24" spans="1:248" ht="25.5" outlineLevel="1" x14ac:dyDescent="0.2">
      <c r="A24" s="1264"/>
      <c r="B24" s="174"/>
      <c r="C24" s="1264" t="s">
        <v>2631</v>
      </c>
      <c r="D24" s="1264" t="s">
        <v>6923</v>
      </c>
      <c r="E24" s="1265" t="s">
        <v>6653</v>
      </c>
      <c r="F24" s="1689">
        <f>10*(COUNTIF('01 Org'!C124:C128, "=1"))/MAX(1,(5 -(COUNTIF('01 Org'!C124:C128, "X"))))</f>
        <v>0</v>
      </c>
      <c r="G24" s="1266">
        <v>1</v>
      </c>
      <c r="H24" s="1267"/>
      <c r="I24" s="1267"/>
    </row>
    <row r="25" spans="1:248" outlineLevel="1" x14ac:dyDescent="0.2">
      <c r="A25" s="1264"/>
      <c r="B25" s="174"/>
      <c r="C25" s="1264" t="s">
        <v>6883</v>
      </c>
      <c r="D25" s="1264" t="s">
        <v>6654</v>
      </c>
      <c r="E25" s="1265" t="s">
        <v>3652</v>
      </c>
      <c r="F25" s="1689">
        <f>10*(COUNTIF('01 Org'!C54, "=1"))/MAX(1,(1 -(COUNTIF('01 Org'!C54, "X"))))</f>
        <v>0</v>
      </c>
      <c r="G25" s="1266">
        <v>1</v>
      </c>
      <c r="H25" s="1267"/>
      <c r="I25" s="1267"/>
    </row>
    <row r="26" spans="1:248" s="497" customFormat="1" ht="15" x14ac:dyDescent="0.25">
      <c r="A26" s="1208"/>
      <c r="B26" s="1208">
        <v>7.3</v>
      </c>
      <c r="C26" s="1208" t="s">
        <v>6924</v>
      </c>
      <c r="D26" s="1226"/>
      <c r="E26" s="1208"/>
      <c r="F26" s="1688"/>
      <c r="G26" s="1208"/>
      <c r="H26" s="1263"/>
      <c r="I26" s="1683"/>
      <c r="IH26" s="498"/>
      <c r="II26" s="498"/>
      <c r="IJ26" s="498"/>
      <c r="IK26" s="498"/>
      <c r="IL26" s="498"/>
      <c r="IM26" s="498"/>
      <c r="IN26" s="498"/>
    </row>
    <row r="27" spans="1:248" s="499" customFormat="1" ht="25.5" x14ac:dyDescent="0.2">
      <c r="A27" s="1264"/>
      <c r="B27" s="174"/>
      <c r="C27" s="1264" t="s">
        <v>6884</v>
      </c>
      <c r="D27" s="1264" t="s">
        <v>6925</v>
      </c>
      <c r="E27" s="1265" t="s">
        <v>2629</v>
      </c>
      <c r="F27" s="1689">
        <f>10*(COUNTIF('01 Org'!C56, "=1"))/MAX(1,(1 -(COUNTIF('01 Org'!C56, "X"))))</f>
        <v>0</v>
      </c>
      <c r="G27" s="1266">
        <v>1</v>
      </c>
      <c r="H27" s="1269"/>
      <c r="I27" s="1269"/>
      <c r="IH27" s="496"/>
      <c r="II27" s="496"/>
      <c r="IJ27" s="496"/>
      <c r="IK27" s="496"/>
      <c r="IL27" s="496"/>
      <c r="IM27" s="496"/>
      <c r="IN27" s="496"/>
    </row>
    <row r="28" spans="1:248" s="497" customFormat="1" ht="15" x14ac:dyDescent="0.25">
      <c r="A28" s="1208">
        <v>8</v>
      </c>
      <c r="B28" s="1208" t="s">
        <v>6926</v>
      </c>
      <c r="C28" s="1208"/>
      <c r="D28" s="1226"/>
      <c r="E28" s="1208"/>
      <c r="F28" s="1688">
        <f>SUM(F30:F33,F35:F37,F39:F41)/COUNT(F30:F33,F35:F37,F39:F41)</f>
        <v>0</v>
      </c>
      <c r="G28" s="1208"/>
      <c r="H28" s="1263"/>
      <c r="I28" s="1683"/>
      <c r="IH28" s="498"/>
      <c r="II28" s="498"/>
      <c r="IJ28" s="498"/>
      <c r="IK28" s="498"/>
      <c r="IL28" s="498"/>
      <c r="IM28" s="498"/>
      <c r="IN28" s="498"/>
    </row>
    <row r="29" spans="1:248" s="497" customFormat="1" ht="15" x14ac:dyDescent="0.25">
      <c r="A29" s="1208"/>
      <c r="B29" s="1208">
        <v>8.1</v>
      </c>
      <c r="C29" s="1208" t="s">
        <v>6927</v>
      </c>
      <c r="D29" s="1226"/>
      <c r="E29" s="1208"/>
      <c r="F29" s="1688"/>
      <c r="G29" s="1208"/>
      <c r="H29" s="1263"/>
      <c r="I29" s="1683"/>
      <c r="IH29" s="498"/>
      <c r="II29" s="498"/>
      <c r="IJ29" s="498"/>
      <c r="IK29" s="498"/>
      <c r="IL29" s="498"/>
      <c r="IM29" s="498"/>
      <c r="IN29" s="498"/>
    </row>
    <row r="30" spans="1:248" s="497" customFormat="1" ht="15" x14ac:dyDescent="0.25">
      <c r="A30" s="1264"/>
      <c r="B30" s="174"/>
      <c r="C30" s="1264" t="s">
        <v>2244</v>
      </c>
      <c r="D30" s="1264" t="s">
        <v>6928</v>
      </c>
      <c r="E30" s="1265" t="s">
        <v>5311</v>
      </c>
      <c r="F30" s="1689">
        <f>10*(COUNTIF('01 Org'!C87:C88, "=1"))/MAX(1,(2 -(COUNTIF('01 Org'!C87:C88, "X"))))</f>
        <v>0</v>
      </c>
      <c r="G30" s="1266">
        <v>1</v>
      </c>
      <c r="H30" s="1269"/>
      <c r="I30" s="1269"/>
      <c r="IH30" s="500"/>
      <c r="II30" s="500"/>
      <c r="IJ30" s="500"/>
      <c r="IK30" s="500"/>
      <c r="IL30" s="500"/>
      <c r="IM30" s="500"/>
      <c r="IN30" s="500"/>
    </row>
    <row r="31" spans="1:248" s="499" customFormat="1" x14ac:dyDescent="0.2">
      <c r="A31" s="1264"/>
      <c r="B31" s="174"/>
      <c r="C31" s="1264" t="s">
        <v>5942</v>
      </c>
      <c r="D31" s="1264" t="s">
        <v>6929</v>
      </c>
      <c r="E31" s="1265" t="s">
        <v>5302</v>
      </c>
      <c r="F31" s="1689">
        <f>10*(COUNTIF('01 Org'!C89, "=1"))/MAX(1,(1 -(COUNTIF('01 Org'!C89, "X"))))</f>
        <v>0</v>
      </c>
      <c r="G31" s="1266">
        <v>1</v>
      </c>
      <c r="H31" s="1269"/>
      <c r="I31" s="1269"/>
      <c r="IH31" s="496"/>
      <c r="II31" s="496"/>
      <c r="IJ31" s="496"/>
      <c r="IK31" s="496"/>
      <c r="IL31" s="496"/>
      <c r="IM31" s="496"/>
      <c r="IN31" s="496"/>
    </row>
    <row r="32" spans="1:248" outlineLevel="1" x14ac:dyDescent="0.2">
      <c r="A32" s="1264"/>
      <c r="B32" s="174"/>
      <c r="C32" s="1264" t="s">
        <v>5315</v>
      </c>
      <c r="D32" s="1264" t="s">
        <v>6930</v>
      </c>
      <c r="E32" s="1265" t="s">
        <v>7075</v>
      </c>
      <c r="F32" s="1689">
        <f>10*(COUNTIF('01 Org'!C52, "=1")+ COUNTIF('01 Org'!C90, "=1"))/MAX(1,(2 -(COUNTIF('01 Org'!C52, "X")+ COUNTIF('01 Org'!C90, "X"))))</f>
        <v>0</v>
      </c>
      <c r="G32" s="1266">
        <v>1</v>
      </c>
      <c r="H32" s="1267"/>
      <c r="I32" s="1267"/>
    </row>
    <row r="33" spans="1:248" outlineLevel="1" x14ac:dyDescent="0.2">
      <c r="A33" s="1264"/>
      <c r="B33" s="174"/>
      <c r="C33" s="1264" t="s">
        <v>6894</v>
      </c>
      <c r="D33" s="1264" t="s">
        <v>6931</v>
      </c>
      <c r="E33" s="1265" t="s">
        <v>5305</v>
      </c>
      <c r="F33" s="1689">
        <f>10*(COUNTIF('01 Org'!C91, "=1"))/MAX(1,(1 -(COUNTIF('01 Org'!C91, "X"))))</f>
        <v>0</v>
      </c>
      <c r="G33" s="1266">
        <v>1</v>
      </c>
      <c r="H33" s="1267"/>
      <c r="I33" s="1267"/>
    </row>
    <row r="34" spans="1:248" s="497" customFormat="1" ht="15" x14ac:dyDescent="0.25">
      <c r="A34" s="1208"/>
      <c r="B34" s="1208">
        <v>8.1999999999999993</v>
      </c>
      <c r="C34" s="1208" t="s">
        <v>6932</v>
      </c>
      <c r="D34" s="1226"/>
      <c r="E34" s="1208"/>
      <c r="F34" s="1688"/>
      <c r="G34" s="1208"/>
      <c r="H34" s="1263"/>
      <c r="I34" s="1683"/>
      <c r="IH34" s="498"/>
      <c r="II34" s="498"/>
      <c r="IJ34" s="498"/>
      <c r="IK34" s="498"/>
      <c r="IL34" s="498"/>
      <c r="IM34" s="498"/>
      <c r="IN34" s="498"/>
    </row>
    <row r="35" spans="1:248" s="499" customFormat="1" x14ac:dyDescent="0.2">
      <c r="A35" s="1264"/>
      <c r="B35" s="174"/>
      <c r="C35" s="1264" t="s">
        <v>3924</v>
      </c>
      <c r="D35" s="1264" t="s">
        <v>5312</v>
      </c>
      <c r="E35" s="1265" t="s">
        <v>7076</v>
      </c>
      <c r="F35" s="1689">
        <f>10*(COUNTIF('01 Org'!C76:C79, "=1")+ COUNTIF('01 Org'!C85, "=1"))/MAX(1,(5 -(COUNTIF('01 Org'!C76:C79, "X")+ COUNTIF('01 Org'!C85, "X"))))</f>
        <v>0</v>
      </c>
      <c r="G35" s="1266">
        <v>1</v>
      </c>
      <c r="H35" s="1269"/>
      <c r="I35" s="1269"/>
      <c r="IH35" s="496"/>
      <c r="II35" s="496"/>
      <c r="IJ35" s="496"/>
      <c r="IK35" s="496"/>
      <c r="IL35" s="496"/>
      <c r="IM35" s="496"/>
      <c r="IN35" s="496"/>
    </row>
    <row r="36" spans="1:248" outlineLevel="1" x14ac:dyDescent="0.2">
      <c r="A36" s="1264"/>
      <c r="B36" s="174"/>
      <c r="C36" s="1264" t="s">
        <v>4490</v>
      </c>
      <c r="D36" s="1264" t="s">
        <v>6933</v>
      </c>
      <c r="E36" s="1265" t="s">
        <v>1443</v>
      </c>
      <c r="F36" s="1689">
        <f>10*(COUNTIF('01 Org'!C65, "=1")+ COUNTIF('01 Org'!C77, "=1"))/MAX(1,(2 -(COUNTIF('01 Org'!C65, "X")+ COUNTIF('01 Org'!C77, "X"))))</f>
        <v>0</v>
      </c>
      <c r="G36" s="1266">
        <v>1</v>
      </c>
      <c r="H36" s="1267"/>
      <c r="I36" s="1267"/>
    </row>
    <row r="37" spans="1:248" outlineLevel="1" x14ac:dyDescent="0.2">
      <c r="A37" s="1264"/>
      <c r="B37" s="174"/>
      <c r="C37" s="1264" t="s">
        <v>3654</v>
      </c>
      <c r="D37" s="1264" t="s">
        <v>6934</v>
      </c>
      <c r="E37" s="1268" t="s">
        <v>7077</v>
      </c>
      <c r="F37" s="1689">
        <f>10*(COUNTIF('01 Org'!C51, "=1")+ COUNTIF('01 Org'!C71:C72, "=1"))/MAX(1,(3 -(COUNTIF('01 Org'!C51, "X")+ COUNTIF('01 Org'!C71:C72, "X"))))</f>
        <v>0</v>
      </c>
      <c r="G37" s="1266">
        <v>1</v>
      </c>
      <c r="H37" s="1267"/>
      <c r="I37" s="1267"/>
    </row>
    <row r="38" spans="1:248" s="497" customFormat="1" ht="15" x14ac:dyDescent="0.25">
      <c r="A38" s="1208"/>
      <c r="B38" s="1208">
        <v>8.3000000000000007</v>
      </c>
      <c r="C38" s="1208" t="s">
        <v>5005</v>
      </c>
      <c r="D38" s="1226"/>
      <c r="E38" s="1208"/>
      <c r="F38" s="1688"/>
      <c r="G38" s="1208"/>
      <c r="H38" s="1263"/>
      <c r="I38" s="1683"/>
      <c r="IH38" s="498"/>
      <c r="II38" s="498"/>
      <c r="IJ38" s="498"/>
      <c r="IK38" s="498"/>
      <c r="IL38" s="498"/>
      <c r="IM38" s="498"/>
      <c r="IN38" s="498"/>
    </row>
    <row r="39" spans="1:248" s="499" customFormat="1" x14ac:dyDescent="0.2">
      <c r="A39" s="1264"/>
      <c r="B39" s="174"/>
      <c r="C39" s="1264" t="s">
        <v>3575</v>
      </c>
      <c r="D39" s="1264" t="s">
        <v>6549</v>
      </c>
      <c r="E39" s="1265" t="s">
        <v>6668</v>
      </c>
      <c r="F39" s="1689">
        <f>10*(COUNTIF('02 Sit'!C117, "=1")+ COUNTIF('08 Exs'!C122:C126, "=1")+ COUNTIF('08 Exs'!C146, "=1"))/MAX(1,(7 -(COUNTIF('02 Sit'!C117, "X")+ COUNTIF('08 Exs'!C122:C126, "X")+ COUNTIF('08 Exs'!C146, "X"))))</f>
        <v>0</v>
      </c>
      <c r="G39" s="1266">
        <v>1</v>
      </c>
      <c r="H39" s="1269"/>
      <c r="I39" s="1269"/>
      <c r="IH39" s="496"/>
      <c r="II39" s="496"/>
      <c r="IJ39" s="496"/>
      <c r="IK39" s="496"/>
      <c r="IL39" s="496"/>
      <c r="IM39" s="496"/>
      <c r="IN39" s="496"/>
    </row>
    <row r="40" spans="1:248" outlineLevel="1" x14ac:dyDescent="0.2">
      <c r="A40" s="1264"/>
      <c r="B40" s="174"/>
      <c r="C40" s="1264" t="s">
        <v>5254</v>
      </c>
      <c r="D40" s="1264" t="s">
        <v>6550</v>
      </c>
      <c r="E40" s="1265" t="s">
        <v>6669</v>
      </c>
      <c r="F40" s="1689">
        <f>10*(COUNTIF('07 Sys'!C63, "=1")+ COUNTIF('08 Exs'!C125, "=1"))/MAX(1,(2 -(COUNTIF('07 Sys'!C63, "X")+ COUNTIF('08 Exs'!C125, "X"))))</f>
        <v>0</v>
      </c>
      <c r="G40" s="1266">
        <v>1</v>
      </c>
      <c r="H40" s="1267"/>
      <c r="I40" s="1267"/>
    </row>
    <row r="41" spans="1:248" outlineLevel="1" x14ac:dyDescent="0.2">
      <c r="A41" s="1264"/>
      <c r="B41" s="174"/>
      <c r="C41" s="1264" t="s">
        <v>59</v>
      </c>
      <c r="D41" s="1264" t="s">
        <v>6935</v>
      </c>
      <c r="E41" s="1265" t="s">
        <v>1448</v>
      </c>
      <c r="F41" s="1689">
        <f>10*(COUNTIF('08 Exs'!C152, "=1")+ COUNTIF('08 Exs'!C177, "=1"))/MAX(1,(2 -(COUNTIF('08 Exs'!C152, "X")+ COUNTIF('08 Exs'!C177, "X"))))</f>
        <v>0</v>
      </c>
      <c r="G41" s="1266">
        <v>1</v>
      </c>
      <c r="H41" s="1267"/>
      <c r="I41" s="1267"/>
    </row>
    <row r="42" spans="1:248" s="497" customFormat="1" ht="15" x14ac:dyDescent="0.25">
      <c r="A42" s="1208">
        <v>9</v>
      </c>
      <c r="B42" s="1208" t="s">
        <v>6936</v>
      </c>
      <c r="C42" s="1208"/>
      <c r="D42" s="1226"/>
      <c r="E42" s="1208"/>
      <c r="F42" s="1688">
        <f>SUM(F44:F45,F47:F52,F54,F56:F60)/COUNT(F44:F45,F47:F52,F54,F56:F60)</f>
        <v>0</v>
      </c>
      <c r="G42" s="1208"/>
      <c r="H42" s="1263"/>
      <c r="I42" s="1683"/>
      <c r="IH42" s="498"/>
      <c r="II42" s="498"/>
      <c r="IJ42" s="498"/>
      <c r="IK42" s="498"/>
      <c r="IL42" s="498"/>
      <c r="IM42" s="498"/>
      <c r="IN42" s="498"/>
    </row>
    <row r="43" spans="1:248" s="497" customFormat="1" ht="15" x14ac:dyDescent="0.25">
      <c r="A43" s="1208"/>
      <c r="B43" s="1208">
        <v>9.1</v>
      </c>
      <c r="C43" s="1208" t="s">
        <v>6937</v>
      </c>
      <c r="D43" s="1226"/>
      <c r="E43" s="1208"/>
      <c r="F43" s="1688"/>
      <c r="G43" s="1208"/>
      <c r="H43" s="1263"/>
      <c r="I43" s="1683"/>
      <c r="IH43" s="498"/>
      <c r="II43" s="498"/>
      <c r="IJ43" s="498"/>
      <c r="IK43" s="498"/>
      <c r="IL43" s="498"/>
      <c r="IM43" s="498"/>
      <c r="IN43" s="498"/>
    </row>
    <row r="44" spans="1:248" s="499" customFormat="1" x14ac:dyDescent="0.2">
      <c r="A44" s="1264"/>
      <c r="B44" s="174"/>
      <c r="C44" s="1264" t="s">
        <v>1165</v>
      </c>
      <c r="D44" s="1264" t="s">
        <v>6938</v>
      </c>
      <c r="E44" s="1265" t="s">
        <v>6835</v>
      </c>
      <c r="F44" s="1689">
        <f>10*(COUNTIF('02 Sit'!C50, "=1")+ COUNTIF('05 Lan'!C75, "=1")+ COUNTIF('06 Exr'!C94, "=1")+ COUNTIF('07 Sys'!C5, "=1")+ COUNTIF('09 App'!C5, "=1"))/MAX(1,(5 -(COUNTIF('02 Sit'!C50, "X")+ COUNTIF('05 Lan'!C75, "X")+ COUNTIF('06 Exr'!C94, "X")+ COUNTIF('07 Sys'!C5, "X")+ COUNTIF('09 App'!C5, "X"))))</f>
        <v>0</v>
      </c>
      <c r="G44" s="1266">
        <v>1</v>
      </c>
      <c r="H44" s="1269"/>
      <c r="I44" s="1269"/>
      <c r="IH44" s="496"/>
      <c r="II44" s="496"/>
      <c r="IJ44" s="496"/>
      <c r="IK44" s="496"/>
      <c r="IL44" s="496"/>
      <c r="IM44" s="496"/>
      <c r="IN44" s="496"/>
    </row>
    <row r="45" spans="1:248" outlineLevel="1" x14ac:dyDescent="0.2">
      <c r="A45" s="1264"/>
      <c r="B45" s="174"/>
      <c r="C45" s="1264" t="s">
        <v>5107</v>
      </c>
      <c r="D45" s="1264" t="s">
        <v>6939</v>
      </c>
      <c r="E45" s="1265" t="s">
        <v>7078</v>
      </c>
      <c r="F45" s="1689">
        <f>10*(COUNTIF('01 Org'!C66, "=1")+ COUNTIF('05 Lan'!C84:C90, "=1"))/MAX(1,(8 -(COUNTIF('01 Org'!C66, "X")+ COUNTIF('05 Lan'!C84:C90, "X"))))</f>
        <v>0</v>
      </c>
      <c r="G45" s="1266">
        <v>1</v>
      </c>
      <c r="H45" s="1267"/>
      <c r="I45" s="1267"/>
    </row>
    <row r="46" spans="1:248" s="497" customFormat="1" ht="15" x14ac:dyDescent="0.25">
      <c r="A46" s="1208"/>
      <c r="B46" s="1208">
        <v>9.1999999999999993</v>
      </c>
      <c r="C46" s="1208" t="s">
        <v>6940</v>
      </c>
      <c r="D46" s="1226"/>
      <c r="E46" s="1208"/>
      <c r="F46" s="1688"/>
      <c r="G46" s="1208"/>
      <c r="H46" s="1263"/>
      <c r="I46" s="1683"/>
      <c r="IH46" s="498"/>
      <c r="II46" s="498"/>
      <c r="IJ46" s="498"/>
      <c r="IK46" s="498"/>
      <c r="IL46" s="498"/>
      <c r="IM46" s="498"/>
      <c r="IN46" s="498"/>
    </row>
    <row r="47" spans="1:248" outlineLevel="1" x14ac:dyDescent="0.2">
      <c r="A47" s="1264"/>
      <c r="B47" s="174"/>
      <c r="C47" s="1264" t="s">
        <v>3264</v>
      </c>
      <c r="D47" s="1264" t="s">
        <v>6941</v>
      </c>
      <c r="E47" s="1265" t="s">
        <v>4140</v>
      </c>
      <c r="F47" s="1689">
        <f>10*(COUNTIF('01 Org'!C140:C145, "=1"))/MAX(1,(6 -(COUNTIF('01 Org'!C140:C145, "X"))))</f>
        <v>0</v>
      </c>
      <c r="G47" s="1266">
        <v>1</v>
      </c>
      <c r="H47" s="1267"/>
      <c r="I47" s="1267"/>
    </row>
    <row r="48" spans="1:248" outlineLevel="1" x14ac:dyDescent="0.2">
      <c r="A48" s="1264"/>
      <c r="B48" s="174"/>
      <c r="C48" s="1264" t="s">
        <v>5608</v>
      </c>
      <c r="D48" s="1264" t="s">
        <v>6942</v>
      </c>
      <c r="E48" s="1268" t="s">
        <v>7079</v>
      </c>
      <c r="F48" s="1689">
        <f>10*(COUNTIF('07 Sys'!C14:C20, "=1"))/MAX(1,(7 -(COUNTIF('07 Sys'!C14:C20, "X"))))</f>
        <v>0</v>
      </c>
      <c r="G48" s="1266">
        <v>1</v>
      </c>
      <c r="H48" s="1267"/>
      <c r="I48" s="1267"/>
    </row>
    <row r="49" spans="1:248" ht="38.25" outlineLevel="1" x14ac:dyDescent="0.2">
      <c r="A49" s="1264"/>
      <c r="B49" s="174"/>
      <c r="C49" s="1264" t="s">
        <v>1019</v>
      </c>
      <c r="D49" s="1264" t="s">
        <v>4141</v>
      </c>
      <c r="E49" s="1265" t="s">
        <v>6836</v>
      </c>
      <c r="F49" s="1689">
        <f>10*(COUNTIF('05 Lan'!C76, "=1")+ COUNTIF('05 Lan'!C86, "=1")+ COUNTIF('06 Exr'!C96, "=1")+ COUNTIF('06 Exr'!C100, "=1")+ COUNTIF('07 Sys'!C6, "=1")+ COUNTIF('07 Sys'!C16, "=1")+ COUNTIF('08 Exs'!C310, "=1")+ COUNTIF('08 Exs'!C314, "=1")+ COUNTIF('09 App'!C6, "=1")+ COUNTIF('09 App'!C16, "=1")+ COUNTIF('11 Mic'!C172, "=1")+ COUNTIF('11 Mic'!C176, "=1")+ COUNTIF('12 Ext'!C150, "=1")+ COUNTIF('12 Ext'!C154, "=1"))/MAX(1,(14 -(COUNTIF('05 Lan'!C76, "X")+ COUNTIF('05 Lan'!C86, "X")+ COUNTIF('06 Exr'!C96, "X")+ COUNTIF('06 Exr'!C100, "X")+ COUNTIF('07 Sys'!C6, "X")+ COUNTIF('07 Sys'!C16, "X")+ COUNTIF('08 Exs'!C310, "X")+ COUNTIF('08 Exs'!C314, "X")+ COUNTIF('09 App'!C6, "X")+ COUNTIF('09 App'!C16, "X")+ COUNTIF('11 Mic'!C172, "X")+ COUNTIF('11 Mic'!C176, "X")+ COUNTIF('12 Ext'!C150, "X")+ COUNTIF('12 Ext'!C154, "X"))))</f>
        <v>0</v>
      </c>
      <c r="G49" s="1266">
        <v>1</v>
      </c>
      <c r="H49" s="1267"/>
      <c r="I49" s="1267"/>
    </row>
    <row r="50" spans="1:248" ht="25.5" outlineLevel="1" x14ac:dyDescent="0.2">
      <c r="A50" s="1264"/>
      <c r="B50" s="174"/>
      <c r="C50" s="1264" t="s">
        <v>1717</v>
      </c>
      <c r="D50" s="1264" t="s">
        <v>6943</v>
      </c>
      <c r="E50" s="1268" t="s">
        <v>7080</v>
      </c>
      <c r="F50" s="1689">
        <f>10*(COUNTIF('01 Org'!C49, "=1")+ COUNTIF('07 Sys'!C23:C27, "=1")+ COUNTIF('07 Sys'!C30:C31, "=1"))/MAX(1,(8 -(COUNTIF('01 Org'!C49, "X")+ COUNTIF('07 Sys'!C23:C27, "X")+ COUNTIF('07 Sys'!C30:C31, "X"))))</f>
        <v>0</v>
      </c>
      <c r="G50" s="1266">
        <v>1</v>
      </c>
      <c r="H50" s="1267"/>
      <c r="I50" s="1267"/>
    </row>
    <row r="51" spans="1:248" s="499" customFormat="1" ht="51" x14ac:dyDescent="0.2">
      <c r="A51" s="1264"/>
      <c r="B51" s="174"/>
      <c r="C51" s="1264" t="s">
        <v>6477</v>
      </c>
      <c r="D51" s="1264" t="s">
        <v>6944</v>
      </c>
      <c r="E51" s="1270" t="s">
        <v>6837</v>
      </c>
      <c r="F51" s="1689">
        <f>10*(COUNTIF('05 Lan'!C82, "=1")+ COUNTIF('05 Lan'!C87:C88, "=1")+ COUNTIF('05 Lan'!C90, "=1")+ COUNTIF('06 Exr'!C101:C102, "=1")+ COUNTIF('06 Exr'!C110, "=1")+ COUNTIF('07 Sys'!C12, "=1")+ COUNTIF('07 Sys'!C17:C18, "=1")+ COUNTIF('07 Sys'!C21, "=1")+ COUNTIF('08 Exs'!C315:C316, "=1")+ COUNTIF('08 Exs'!C323, "=1")+ COUNTIF('09 App'!C12, "=1")+ COUNTIF('09 App'!C17:C18, "=1")+ COUNTIF('09 App'!C21, "=1")+ COUNTIF('11 Mic'!C177:C178, "=1")+ COUNTIF('12 Ext'!C155:C157, "=1"))/MAX(1,(23 -(COUNTIF('05 Lan'!C82, "X")+ COUNTIF('05 Lan'!C87:C88, "X")+ COUNTIF('05 Lan'!C90, "X")+ COUNTIF('06 Exr'!C101:C102, "X")+ COUNTIF('06 Exr'!C110, "X")+ COUNTIF('07 Sys'!C12, "X")+ COUNTIF('07 Sys'!C17:C18, "X")+ COUNTIF('07 Sys'!C21, "X")+ COUNTIF('08 Exs'!C315:C316, "X")+ COUNTIF('08 Exs'!C323, "X")+ COUNTIF('09 App'!C12, "X")+ COUNTIF('09 App'!C17:C18, "X")+ COUNTIF('09 App'!C21, "X")+ COUNTIF('11 Mic'!C177:C178, "X")+ COUNTIF('12 Ext'!C155:C157, "X"))))</f>
        <v>0</v>
      </c>
      <c r="G51" s="1266">
        <v>1</v>
      </c>
      <c r="H51" s="1269"/>
      <c r="I51" s="1269"/>
      <c r="IH51" s="496"/>
      <c r="II51" s="496"/>
      <c r="IJ51" s="496"/>
      <c r="IK51" s="496"/>
      <c r="IL51" s="496"/>
      <c r="IM51" s="496"/>
      <c r="IN51" s="496"/>
    </row>
    <row r="52" spans="1:248" outlineLevel="1" x14ac:dyDescent="0.2">
      <c r="A52" s="1264"/>
      <c r="B52" s="174"/>
      <c r="C52" s="1264" t="s">
        <v>6177</v>
      </c>
      <c r="D52" s="1264" t="s">
        <v>6945</v>
      </c>
      <c r="E52" s="1265" t="s">
        <v>3576</v>
      </c>
      <c r="F52" s="1689">
        <f>10*(COUNTIF('01 Org'!C57, "=1"))/MAX(1,(1 -(COUNTIF('01 Org'!C57, "X"))))</f>
        <v>0</v>
      </c>
      <c r="G52" s="1266">
        <v>1</v>
      </c>
      <c r="H52" s="1267"/>
      <c r="I52" s="1267"/>
    </row>
    <row r="53" spans="1:248" s="497" customFormat="1" ht="15" x14ac:dyDescent="0.25">
      <c r="A53" s="1208"/>
      <c r="B53" s="1208">
        <v>9.3000000000000007</v>
      </c>
      <c r="C53" s="1208" t="s">
        <v>6946</v>
      </c>
      <c r="D53" s="1226"/>
      <c r="E53" s="1208"/>
      <c r="F53" s="1688"/>
      <c r="G53" s="1208"/>
      <c r="H53" s="1263"/>
      <c r="I53" s="1683"/>
      <c r="IH53" s="498"/>
      <c r="II53" s="498"/>
      <c r="IJ53" s="498"/>
      <c r="IK53" s="498"/>
      <c r="IL53" s="498"/>
      <c r="IM53" s="498"/>
      <c r="IN53" s="498"/>
    </row>
    <row r="54" spans="1:248" outlineLevel="1" x14ac:dyDescent="0.2">
      <c r="A54" s="1264"/>
      <c r="B54" s="174"/>
      <c r="C54" s="1264" t="s">
        <v>6881</v>
      </c>
      <c r="D54" s="1264" t="s">
        <v>6947</v>
      </c>
      <c r="E54" s="1265" t="s">
        <v>6593</v>
      </c>
      <c r="F54" s="1689">
        <f>10*(COUNTIF('01 Org'!C49, "=1"))/MAX(1,(1 -(COUNTIF('01 Org'!C49, "X"))))</f>
        <v>0</v>
      </c>
      <c r="G54" s="1266">
        <v>1</v>
      </c>
      <c r="H54" s="1267"/>
      <c r="I54" s="1267"/>
    </row>
    <row r="55" spans="1:248" s="497" customFormat="1" ht="15" x14ac:dyDescent="0.25">
      <c r="A55" s="1208"/>
      <c r="B55" s="1208">
        <v>9.4</v>
      </c>
      <c r="C55" s="1208" t="s">
        <v>6948</v>
      </c>
      <c r="D55" s="1226"/>
      <c r="E55" s="1208"/>
      <c r="F55" s="1688"/>
      <c r="G55" s="1208"/>
      <c r="H55" s="1263"/>
      <c r="I55" s="1683"/>
      <c r="IH55" s="498"/>
      <c r="II55" s="498"/>
      <c r="IJ55" s="498"/>
      <c r="IK55" s="498"/>
      <c r="IL55" s="498"/>
      <c r="IM55" s="498"/>
      <c r="IN55" s="498"/>
    </row>
    <row r="56" spans="1:248" outlineLevel="1" x14ac:dyDescent="0.2">
      <c r="A56" s="1264"/>
      <c r="B56" s="174"/>
      <c r="C56" s="1264" t="s">
        <v>6949</v>
      </c>
      <c r="D56" s="1264" t="s">
        <v>6950</v>
      </c>
      <c r="E56" s="1265" t="s">
        <v>960</v>
      </c>
      <c r="F56" s="1689">
        <f>10*(COUNTIF('09 App'!C6, "=1")+ COUNTIF('09 App'!C14:C15, "=1")+ COUNTIF('09 App'!C34:C35, "=1")+ COUNTIF('09 App'!C40, "=1"))/MAX(1,(6 -(COUNTIF('09 App'!C6, "X")+ COUNTIF('09 App'!C14:C15, "X")+ COUNTIF('09 App'!C34:C35, "X")+ COUNTIF('09 App'!C40, "X"))))</f>
        <v>0</v>
      </c>
      <c r="G56" s="1266">
        <v>1</v>
      </c>
      <c r="H56" s="1267"/>
      <c r="I56" s="1267"/>
    </row>
    <row r="57" spans="1:248" ht="25.5" outlineLevel="1" x14ac:dyDescent="0.2">
      <c r="A57" s="1264"/>
      <c r="B57" s="174"/>
      <c r="C57" s="1264" t="s">
        <v>6951</v>
      </c>
      <c r="D57" s="1264" t="s">
        <v>6952</v>
      </c>
      <c r="E57" s="1265" t="s">
        <v>7081</v>
      </c>
      <c r="F57" s="1689">
        <f>10*(COUNTIF('07 Sys'!C8:C9, "=1")+ COUNTIF('07 Sys'!C25:C29, "=1")+ COUNTIF('07 Sys'!C38:C40, "=1")+ COUNTIF('09 App'!C8, "=1")+ COUNTIF('09 App'!C38:C39, "=1"))/MAX(1,(13 -(COUNTIF('07 Sys'!C8:C9, "X")+ COUNTIF('07 Sys'!C25:C29, "X")+ COUNTIF('07 Sys'!C38:C40, "X")+ COUNTIF('09 App'!C8, "X")+ COUNTIF('09 App'!C38:C39, "X"))))</f>
        <v>0</v>
      </c>
      <c r="G57" s="1266">
        <v>1</v>
      </c>
      <c r="H57" s="1267"/>
      <c r="I57" s="1267"/>
    </row>
    <row r="58" spans="1:248" outlineLevel="1" x14ac:dyDescent="0.2">
      <c r="A58" s="1264"/>
      <c r="B58" s="174"/>
      <c r="C58" s="1264" t="s">
        <v>6953</v>
      </c>
      <c r="D58" s="1264" t="s">
        <v>4126</v>
      </c>
      <c r="E58" s="1265" t="s">
        <v>6840</v>
      </c>
      <c r="F58" s="1689">
        <f>10*(COUNTIF('07 Sys'!C23:C31, "=1")+ COUNTIF('09 App'!C23:C30, "=1"))/MAX(1,(17 -(COUNTIF('07 Sys'!C23:C31, "X")+ COUNTIF('09 App'!C23:C30, "X"))))</f>
        <v>0</v>
      </c>
      <c r="G58" s="1266">
        <v>1</v>
      </c>
      <c r="H58" s="1267"/>
      <c r="I58" s="1267"/>
    </row>
    <row r="59" spans="1:248" s="497" customFormat="1" ht="15" x14ac:dyDescent="0.25">
      <c r="A59" s="1264"/>
      <c r="B59" s="174"/>
      <c r="C59" s="1264" t="s">
        <v>6954</v>
      </c>
      <c r="D59" s="1264" t="s">
        <v>6955</v>
      </c>
      <c r="E59" s="1265" t="s">
        <v>6841</v>
      </c>
      <c r="F59" s="1689">
        <f>10*(COUNTIF('08 Exs'!C19:C23, "=1"))/MAX(1,(5 -(COUNTIF('08 Exs'!C19:C23, "X"))))</f>
        <v>0</v>
      </c>
      <c r="G59" s="1266">
        <v>1</v>
      </c>
      <c r="H59" s="1269"/>
      <c r="I59" s="1269"/>
      <c r="IH59" s="500"/>
      <c r="II59" s="500"/>
      <c r="IJ59" s="500"/>
      <c r="IK59" s="500"/>
      <c r="IL59" s="500"/>
      <c r="IM59" s="500"/>
      <c r="IN59" s="500"/>
    </row>
    <row r="60" spans="1:248" s="499" customFormat="1" x14ac:dyDescent="0.2">
      <c r="A60" s="1264"/>
      <c r="B60" s="174"/>
      <c r="C60" s="1264" t="s">
        <v>6956</v>
      </c>
      <c r="D60" s="1264" t="s">
        <v>6957</v>
      </c>
      <c r="E60" s="1265" t="s">
        <v>5649</v>
      </c>
      <c r="F60" s="1689">
        <f>10*(COUNTIF('10 Dev'!C58, "=1"))/MAX(1,(1 -(COUNTIF('10 Dev'!C58, "X"))))</f>
        <v>0</v>
      </c>
      <c r="G60" s="1266">
        <v>1</v>
      </c>
      <c r="H60" s="1269"/>
      <c r="I60" s="1269"/>
      <c r="IH60" s="496"/>
      <c r="II60" s="496"/>
      <c r="IJ60" s="496"/>
      <c r="IK60" s="496"/>
      <c r="IL60" s="496"/>
      <c r="IM60" s="496"/>
      <c r="IN60" s="496"/>
    </row>
    <row r="61" spans="1:248" s="497" customFormat="1" ht="15" x14ac:dyDescent="0.25">
      <c r="A61" s="1208">
        <v>10</v>
      </c>
      <c r="B61" s="1208" t="s">
        <v>6958</v>
      </c>
      <c r="C61" s="1208"/>
      <c r="D61" s="1226"/>
      <c r="E61" s="1208"/>
      <c r="F61" s="1688"/>
      <c r="G61" s="1208"/>
      <c r="H61" s="1263"/>
      <c r="I61" s="1683"/>
      <c r="IH61" s="498"/>
      <c r="II61" s="498"/>
      <c r="IJ61" s="498"/>
      <c r="IK61" s="498"/>
      <c r="IL61" s="498"/>
      <c r="IM61" s="498"/>
      <c r="IN61" s="498"/>
    </row>
    <row r="62" spans="1:248" s="497" customFormat="1" ht="15" x14ac:dyDescent="0.25">
      <c r="A62" s="1208"/>
      <c r="B62" s="1208">
        <v>10.1</v>
      </c>
      <c r="C62" s="1208" t="s">
        <v>4057</v>
      </c>
      <c r="D62" s="1226"/>
      <c r="E62" s="1208"/>
      <c r="F62" s="1688"/>
      <c r="G62" s="1208"/>
      <c r="H62" s="1263"/>
      <c r="I62" s="1683"/>
      <c r="IH62" s="498"/>
      <c r="II62" s="498"/>
      <c r="IJ62" s="498"/>
      <c r="IK62" s="498"/>
      <c r="IL62" s="498"/>
      <c r="IM62" s="498"/>
      <c r="IN62" s="498"/>
    </row>
    <row r="63" spans="1:248" ht="25.5" outlineLevel="1" x14ac:dyDescent="0.2">
      <c r="A63" s="1264"/>
      <c r="B63" s="174"/>
      <c r="C63" s="1264" t="s">
        <v>5882</v>
      </c>
      <c r="D63" s="1264" t="s">
        <v>6959</v>
      </c>
      <c r="E63" s="1265" t="s">
        <v>6334</v>
      </c>
      <c r="F63" s="1689">
        <f>10*(COUNTIF('04 Wan'!C93, "=1")+ COUNTIF('05 Lan'!C161, "=1")+ COUNTIF('05 Lan'!C177, "=1")+ COUNTIF('08 Exs'!C170, "=1")+ COUNTIF('09 App'!C96, "=1")+ COUNTIF('09 App'!C103, "=1")+ COUNTIF('09 App'!C152, "=1")+ COUNTIF('11 Mic'!C71, "=1"))/MAX(1,(8 -(COUNTIF('04 Wan'!C93, "X")+ COUNTIF('05 Lan'!C161, "X")+ COUNTIF('05 Lan'!C177, "X")+ COUNTIF('08 Exs'!C170, "X")+ COUNTIF('09 App'!C96, "X")+ COUNTIF('09 App'!C103, "X")+ COUNTIF('09 App'!C152, "X")+ COUNTIF('11 Mic'!C71, "X"))))</f>
        <v>0</v>
      </c>
      <c r="G63" s="1266">
        <v>1</v>
      </c>
      <c r="H63" s="1267"/>
      <c r="I63" s="1267"/>
    </row>
    <row r="64" spans="1:248" ht="25.5" outlineLevel="1" x14ac:dyDescent="0.2">
      <c r="A64" s="1264"/>
      <c r="B64" s="174"/>
      <c r="C64" s="1264" t="s">
        <v>5713</v>
      </c>
      <c r="D64" s="1264" t="s">
        <v>4058</v>
      </c>
      <c r="E64" s="1265" t="s">
        <v>6335</v>
      </c>
      <c r="F64" s="1689">
        <f>10*(COUNTIF('04 Wan'!C95, "=1")+ COUNTIF('05 Lan'!C163, "=1")+ COUNTIF('05 Lan'!C179, "=1")+ COUNTIF('08 Exs'!C212, "=1")+ COUNTIF('09 App'!C98, "=1")+ COUNTIF('09 App'!C107, "=1")+ COUNTIF('09 App'!C155, "=1"))/MAX(1,(7 -(COUNTIF('04 Wan'!C95, "X")+ COUNTIF('05 Lan'!C163, "X")+ COUNTIF('05 Lan'!C179, "X")+ COUNTIF('08 Exs'!C212, "X")+ COUNTIF('09 App'!C98, "X")+ COUNTIF('09 App'!C107, "X")+ COUNTIF('09 App'!C155, "X"))))</f>
        <v>0</v>
      </c>
      <c r="G64" s="1266">
        <v>1</v>
      </c>
      <c r="H64" s="1267"/>
      <c r="I64" s="1267"/>
    </row>
    <row r="65" spans="1:248" s="497" customFormat="1" ht="15" x14ac:dyDescent="0.25">
      <c r="A65" s="1208">
        <v>11</v>
      </c>
      <c r="B65" s="1208" t="s">
        <v>6960</v>
      </c>
      <c r="C65" s="1208"/>
      <c r="D65" s="1226"/>
      <c r="E65" s="1208"/>
      <c r="F65" s="1688">
        <f>SUM(F67:F72,F74:F82)/COUNT(F67:F72,F74:F82)</f>
        <v>0</v>
      </c>
      <c r="G65" s="1208"/>
      <c r="H65" s="1263"/>
      <c r="I65" s="1683"/>
      <c r="IH65" s="498"/>
      <c r="II65" s="498"/>
      <c r="IJ65" s="498"/>
      <c r="IK65" s="498"/>
      <c r="IL65" s="498"/>
      <c r="IM65" s="498"/>
      <c r="IN65" s="498"/>
    </row>
    <row r="66" spans="1:248" s="497" customFormat="1" ht="15" x14ac:dyDescent="0.25">
      <c r="A66" s="1208"/>
      <c r="B66" s="1208">
        <v>11.1</v>
      </c>
      <c r="C66" s="1208" t="s">
        <v>6440</v>
      </c>
      <c r="D66" s="1226"/>
      <c r="E66" s="1208"/>
      <c r="F66" s="1688"/>
      <c r="G66" s="1208"/>
      <c r="H66" s="1263"/>
      <c r="I66" s="1683"/>
      <c r="IH66" s="498"/>
      <c r="II66" s="498"/>
      <c r="IJ66" s="498"/>
      <c r="IK66" s="498"/>
      <c r="IL66" s="498"/>
      <c r="IM66" s="498"/>
      <c r="IN66" s="498"/>
    </row>
    <row r="67" spans="1:248" outlineLevel="1" x14ac:dyDescent="0.2">
      <c r="A67" s="1264"/>
      <c r="B67" s="174"/>
      <c r="C67" s="1264" t="s">
        <v>3577</v>
      </c>
      <c r="D67" s="1264" t="s">
        <v>5794</v>
      </c>
      <c r="E67" s="1265" t="s">
        <v>1444</v>
      </c>
      <c r="F67" s="1689">
        <f>10*(COUNTIF('02 Sit'!C21:C22, "=1")+ COUNTIF('02 Sit'!C26, "=1")+ COUNTIF('02 Sit'!C30, "=1"))/MAX(1,(4 -(COUNTIF('02 Sit'!C21:C22, "X")+ COUNTIF('02 Sit'!C26, "X")+ COUNTIF('02 Sit'!C30, "X"))))</f>
        <v>0</v>
      </c>
      <c r="G67" s="1266">
        <v>1</v>
      </c>
      <c r="H67" s="1267"/>
      <c r="I67" s="1267"/>
    </row>
    <row r="68" spans="1:248" outlineLevel="1" x14ac:dyDescent="0.2">
      <c r="A68" s="1264"/>
      <c r="B68" s="174"/>
      <c r="C68" s="1264" t="s">
        <v>6907</v>
      </c>
      <c r="D68" s="1264" t="s">
        <v>6961</v>
      </c>
      <c r="E68" s="1265" t="s">
        <v>6060</v>
      </c>
      <c r="F68" s="1689">
        <f>10*(COUNTIF('02 Sit'!C100:C103, "=1")+ COUNTIF('03 Loc'!C44, "=1")+ COUNTIF('03 Loc'!C50, "=1")+ COUNTIF('03 Loc'!C63, "=1"))/MAX(1,(7 -(COUNTIF('02 Sit'!C100:C103, "X")+ COUNTIF('03 Loc'!C44, "X")+ COUNTIF('03 Loc'!C50, "X")+ COUNTIF('03 Loc'!C63, "X"))))</f>
        <v>0</v>
      </c>
      <c r="G68" s="1266">
        <v>1</v>
      </c>
      <c r="H68" s="1267"/>
      <c r="I68" s="1267"/>
    </row>
    <row r="69" spans="1:248" s="499" customFormat="1" x14ac:dyDescent="0.2">
      <c r="A69" s="1264"/>
      <c r="B69" s="174"/>
      <c r="C69" s="1264" t="s">
        <v>6962</v>
      </c>
      <c r="D69" s="1264" t="s">
        <v>5795</v>
      </c>
      <c r="E69" s="1265" t="s">
        <v>5796</v>
      </c>
      <c r="F69" s="1689">
        <f>10*(COUNTIF('03 Loc'!C106:C108, "=1"))/MAX(1,(3 -(COUNTIF('03 Loc'!C106:C108, "X"))))</f>
        <v>0</v>
      </c>
      <c r="G69" s="1266">
        <v>1</v>
      </c>
      <c r="H69" s="1269"/>
      <c r="I69" s="1269"/>
      <c r="IH69" s="496"/>
      <c r="II69" s="496"/>
      <c r="IJ69" s="496"/>
      <c r="IK69" s="496"/>
      <c r="IL69" s="496"/>
      <c r="IM69" s="496"/>
      <c r="IN69" s="496"/>
    </row>
    <row r="70" spans="1:248" ht="25.5" outlineLevel="1" x14ac:dyDescent="0.2">
      <c r="A70" s="1264"/>
      <c r="B70" s="174"/>
      <c r="C70" s="1264" t="s">
        <v>6906</v>
      </c>
      <c r="D70" s="1264" t="s">
        <v>5797</v>
      </c>
      <c r="E70" s="1265" t="s">
        <v>111</v>
      </c>
      <c r="F70" s="1690">
        <f>10*(COUNTIF('02 Sit'!C45:C47, "=1")+ COUNTIF('03 Loc'!C111, "=1")+ COUNTIF('03 Loc'!C116:C118, "=1")+ COUNTIF('03 Loc'!C132, "=1")+ COUNTIF('03 Loc'!C138, "=1")+ COUNTIF('03 Loc'!C150, "=1"))/MAX(1,(10 -(COUNTIF('02 Sit'!C45:C47, "X")+ COUNTIF('03 Loc'!C111, "X")+ COUNTIF('03 Loc'!C116:C118, "X")+ COUNTIF('03 Loc'!C132, "X")+ COUNTIF('03 Loc'!C138, "X")+ COUNTIF('03 Loc'!C150, "X"))))</f>
        <v>0</v>
      </c>
      <c r="G70" s="1266">
        <v>1</v>
      </c>
      <c r="H70" s="1267"/>
      <c r="I70" s="1267"/>
    </row>
    <row r="71" spans="1:248" outlineLevel="1" x14ac:dyDescent="0.2">
      <c r="A71" s="1264"/>
      <c r="B71" s="174"/>
      <c r="C71" s="1264" t="s">
        <v>6963</v>
      </c>
      <c r="D71" s="1264" t="s">
        <v>5798</v>
      </c>
      <c r="E71" s="1265" t="s">
        <v>1445</v>
      </c>
      <c r="F71" s="1690">
        <f>10*(COUNTIF('03 Loc'!C59, "=1")+ COUNTIF('03 Loc'!C63, "=1")+ COUNTIF('03 Loc'!C91, "=1"))/MAX(1,(3 -(COUNTIF('03 Loc'!C59, "X")+ COUNTIF('03 Loc'!C63, "X")+ COUNTIF('03 Loc'!C91, "X"))))</f>
        <v>0</v>
      </c>
      <c r="G71" s="1266">
        <v>1</v>
      </c>
      <c r="H71" s="1267"/>
      <c r="I71" s="1267"/>
    </row>
    <row r="72" spans="1:248" s="499" customFormat="1" x14ac:dyDescent="0.2">
      <c r="A72" s="1264"/>
      <c r="B72" s="174"/>
      <c r="C72" s="1264" t="s">
        <v>6905</v>
      </c>
      <c r="D72" s="1264" t="s">
        <v>6964</v>
      </c>
      <c r="E72" s="1265" t="s">
        <v>2842</v>
      </c>
      <c r="F72" s="1689">
        <f>10*(COUNTIF('02 Sit'!C40:C42, "=1"))/MAX(1,(3 -(COUNTIF('02 Sit'!C40:C42, "X"))))</f>
        <v>0</v>
      </c>
      <c r="G72" s="1266">
        <v>1</v>
      </c>
      <c r="H72" s="1269"/>
      <c r="I72" s="1269"/>
      <c r="IH72" s="496"/>
      <c r="II72" s="496"/>
      <c r="IJ72" s="496"/>
      <c r="IK72" s="496"/>
      <c r="IL72" s="496"/>
      <c r="IM72" s="496"/>
      <c r="IN72" s="496"/>
    </row>
    <row r="73" spans="1:248" s="497" customFormat="1" ht="15" x14ac:dyDescent="0.25">
      <c r="A73" s="1208"/>
      <c r="B73" s="1208">
        <v>11.2</v>
      </c>
      <c r="C73" s="1208" t="s">
        <v>6965</v>
      </c>
      <c r="D73" s="1226"/>
      <c r="E73" s="1208"/>
      <c r="F73" s="1688"/>
      <c r="G73" s="1208"/>
      <c r="H73" s="1263"/>
      <c r="I73" s="1683"/>
      <c r="IH73" s="498"/>
      <c r="II73" s="498"/>
      <c r="IJ73" s="498"/>
      <c r="IK73" s="498"/>
      <c r="IL73" s="498"/>
      <c r="IM73" s="498"/>
      <c r="IN73" s="498"/>
    </row>
    <row r="74" spans="1:248" outlineLevel="1" x14ac:dyDescent="0.2">
      <c r="A74" s="1264"/>
      <c r="B74" s="174"/>
      <c r="C74" s="1264" t="s">
        <v>2952</v>
      </c>
      <c r="D74" s="1264" t="s">
        <v>6966</v>
      </c>
      <c r="E74" s="1265" t="s">
        <v>4991</v>
      </c>
      <c r="F74" s="1689">
        <f>10*(COUNTIF('06 Exr'!C19, "=1")+ COUNTIF('08 Exs'!C5, "=1")+ COUNTIF('08 Exs'!C28, "=1")+ COUNTIF('12 Ext'!C5, "=1")+ COUNTIF('12 Ext'!C17, "=1"))/MAX(1,(5 -(COUNTIF('06 Exr'!C19, "X")+ COUNTIF('08 Exs'!C5, "X")+ COUNTIF('08 Exs'!C28, "X")+ COUNTIF('12 Ext'!C5, "X")+ COUNTIF('12 Ext'!C17, "X"))))</f>
        <v>0</v>
      </c>
      <c r="G74" s="1266">
        <v>1</v>
      </c>
      <c r="H74" s="1271"/>
      <c r="I74" s="1271"/>
    </row>
    <row r="75" spans="1:248" s="499" customFormat="1" x14ac:dyDescent="0.2">
      <c r="A75" s="1264"/>
      <c r="B75" s="174"/>
      <c r="C75" s="1264" t="s">
        <v>3579</v>
      </c>
      <c r="D75" s="1264" t="s">
        <v>6473</v>
      </c>
      <c r="E75" s="1265" t="s">
        <v>6061</v>
      </c>
      <c r="F75" s="1689">
        <f>10*(COUNTIF('03 Loc'!C5:C7, "=1")+ COUNTIF('03 Loc'!C12:C13, "=1")+ COUNTIF('03 Loc'!C18, "=1")+ COUNTIF('03 Loc'!C20, "=1"))/MAX(1,(7 -(COUNTIF('03 Loc'!C5:C7, "X")+ COUNTIF('03 Loc'!C12:C13, "X")+ COUNTIF('03 Loc'!C18, "X")+ COUNTIF('03 Loc'!C20, "X"))))</f>
        <v>0</v>
      </c>
      <c r="G75" s="1266">
        <v>1</v>
      </c>
      <c r="H75" s="1269"/>
      <c r="I75" s="1269"/>
      <c r="IH75" s="496"/>
      <c r="II75" s="496"/>
      <c r="IJ75" s="496"/>
      <c r="IK75" s="496"/>
      <c r="IL75" s="496"/>
      <c r="IM75" s="496"/>
      <c r="IN75" s="496"/>
    </row>
    <row r="76" spans="1:248" outlineLevel="1" x14ac:dyDescent="0.2">
      <c r="A76" s="1264"/>
      <c r="B76" s="174"/>
      <c r="C76" s="1264" t="s">
        <v>6814</v>
      </c>
      <c r="D76" s="1264" t="s">
        <v>6474</v>
      </c>
      <c r="E76" s="1265" t="s">
        <v>6475</v>
      </c>
      <c r="F76" s="1689">
        <f>10*(COUNTIF('03 Loc'!C26:C29, "=1"))/MAX(1,(4 -(COUNTIF('03 Loc'!C26:C29, "X"))))</f>
        <v>0</v>
      </c>
      <c r="G76" s="1266">
        <v>1</v>
      </c>
      <c r="H76" s="1267"/>
      <c r="I76" s="1267"/>
    </row>
    <row r="77" spans="1:248" s="499" customFormat="1" ht="38.25" x14ac:dyDescent="0.2">
      <c r="A77" s="1264"/>
      <c r="B77" s="174"/>
      <c r="C77" s="1264" t="s">
        <v>4434</v>
      </c>
      <c r="D77" s="1264" t="s">
        <v>6476</v>
      </c>
      <c r="E77" s="1265" t="s">
        <v>6663</v>
      </c>
      <c r="F77" s="1690">
        <f>10*(COUNTIF('04 Wan'!C17, "=1")+ COUNTIF('05 Lan'!C31, "=1")+ COUNTIF('06 Exr'!C33, "=1")+ COUNTIF('06 Exr'!C62:C63, "=1")+ COUNTIF('08 Exs'!C43, "=1")+ COUNTIF('08 Exs'!C50:C51, "=1")+ COUNTIF('08 Exs'!C184, "=1")+ COUNTIF('11 Mic'!C114, "=1")+ COUNTIF('12 Ext'!C32, "=1")+ COUNTIF('12 Ext'!C83, "=1"))/MAX(1,(12 -(COUNTIF('04 Wan'!C17, "X")+ COUNTIF('05 Lan'!C31, "X")+ COUNTIF('06 Exr'!C33, "X")+ COUNTIF('06 Exr'!C62:C63, "X")+ COUNTIF('08 Exs'!C43, "X")+ COUNTIF('08 Exs'!C50:C51, "X")+ COUNTIF('08 Exs'!C184, "X")+ COUNTIF('11 Mic'!C114, "X")+ COUNTIF('12 Ext'!C32, "X")+ COUNTIF('12 Ext'!C83, "X"))))</f>
        <v>0</v>
      </c>
      <c r="G77" s="1266">
        <v>1</v>
      </c>
      <c r="H77" s="1269"/>
      <c r="I77" s="1269"/>
      <c r="IH77" s="496"/>
      <c r="II77" s="496"/>
      <c r="IJ77" s="496"/>
      <c r="IK77" s="496"/>
      <c r="IL77" s="496"/>
      <c r="IM77" s="496"/>
      <c r="IN77" s="496"/>
    </row>
    <row r="78" spans="1:248" outlineLevel="1" x14ac:dyDescent="0.2">
      <c r="A78" s="1264"/>
      <c r="B78" s="174"/>
      <c r="C78" s="1264" t="s">
        <v>6895</v>
      </c>
      <c r="D78" s="1264" t="s">
        <v>6967</v>
      </c>
      <c r="E78" s="1265" t="s">
        <v>5255</v>
      </c>
      <c r="F78" s="1689">
        <f>10*(COUNTIF('01 Org'!C92, "=1"))/MAX(1,(1 -(COUNTIF('01 Org'!C92, "X"))))</f>
        <v>0</v>
      </c>
      <c r="G78" s="1266">
        <v>1</v>
      </c>
      <c r="H78" s="1267"/>
      <c r="I78" s="1267"/>
    </row>
    <row r="79" spans="1:248" outlineLevel="1" x14ac:dyDescent="0.2">
      <c r="A79" s="1264"/>
      <c r="B79" s="174"/>
      <c r="C79" s="1264" t="s">
        <v>6968</v>
      </c>
      <c r="D79" s="1264" t="s">
        <v>6969</v>
      </c>
      <c r="E79" s="1265" t="s">
        <v>6062</v>
      </c>
      <c r="F79" s="1689">
        <f>10*(COUNTIF('11 Mic'!C55, "=1")+ COUNTIF('11 Mic'!C57, "=1"))/MAX(1,(2 -(COUNTIF('11 Mic'!C55, "X")+ COUNTIF('11 Mic'!C57, "X"))))</f>
        <v>0</v>
      </c>
      <c r="G79" s="1266">
        <v>1</v>
      </c>
      <c r="H79" s="1267"/>
      <c r="I79" s="1267"/>
    </row>
    <row r="80" spans="1:248" x14ac:dyDescent="0.2">
      <c r="A80" s="1264"/>
      <c r="B80" s="174"/>
      <c r="C80" s="1264" t="s">
        <v>6970</v>
      </c>
      <c r="D80" s="1264" t="s">
        <v>5026</v>
      </c>
      <c r="E80" s="1265" t="s">
        <v>6664</v>
      </c>
      <c r="F80" s="1689">
        <f>10*(COUNTIF('06 Exr'!C62, "=1")+ COUNTIF('08 Exs'!C50:C51, "=1")+ COUNTIF('08 Exs'!C126, "=1")+ COUNTIF('11 Mic'!C84, "=1"))/MAX(1,(5 -(COUNTIF('06 Exr'!C62, "X")+ COUNTIF('08 Exs'!C50:C51, "X")+ COUNTIF('08 Exs'!C126, "X")+ COUNTIF('11 Mic'!C84, "X"))))</f>
        <v>0</v>
      </c>
      <c r="G80" s="1266">
        <v>1</v>
      </c>
      <c r="H80" s="1267"/>
      <c r="I80" s="1267"/>
    </row>
    <row r="81" spans="1:248" outlineLevel="1" x14ac:dyDescent="0.2">
      <c r="A81" s="1264"/>
      <c r="B81" s="174"/>
      <c r="C81" s="1264" t="s">
        <v>6882</v>
      </c>
      <c r="D81" s="1264" t="s">
        <v>4068</v>
      </c>
      <c r="E81" s="1265" t="s">
        <v>6838</v>
      </c>
      <c r="F81" s="1689">
        <f>10*(COUNTIF('01 Org'!C50, "=1")+ COUNTIF('11 Mic'!C51, "=1"))/MAX(1,(2 -(COUNTIF('01 Org'!C50, "X")+ COUNTIF('11 Mic'!C51, "X"))))</f>
        <v>0</v>
      </c>
      <c r="G81" s="1266">
        <v>1</v>
      </c>
      <c r="H81" s="1267"/>
      <c r="I81" s="1267"/>
    </row>
    <row r="82" spans="1:248" outlineLevel="1" x14ac:dyDescent="0.2">
      <c r="A82" s="1264"/>
      <c r="B82" s="174"/>
      <c r="C82" s="1264" t="s">
        <v>6971</v>
      </c>
      <c r="D82" s="1264" t="s">
        <v>6972</v>
      </c>
      <c r="E82" s="1265" t="s">
        <v>3464</v>
      </c>
      <c r="F82" s="1689">
        <f>10*(COUNTIF('01 Org'!C68, "=1"))/MAX(1,(1 -(COUNTIF('01 Org'!C68, "X"))))</f>
        <v>0</v>
      </c>
      <c r="G82" s="1266">
        <v>1</v>
      </c>
      <c r="H82" s="1267"/>
      <c r="I82" s="1267"/>
    </row>
    <row r="83" spans="1:248" s="497" customFormat="1" ht="15" x14ac:dyDescent="0.25">
      <c r="A83" s="1208">
        <v>12</v>
      </c>
      <c r="B83" s="1208" t="s">
        <v>6973</v>
      </c>
      <c r="C83" s="1208"/>
      <c r="D83" s="1226"/>
      <c r="E83" s="1208"/>
      <c r="F83" s="1688">
        <f>SUM(F85:F88,F90,F92,F94:F97,F99,F101,F102,F104)/COUNT(F85:F88,F90,F92,F94:F97,F99,F101,F102)</f>
        <v>0</v>
      </c>
      <c r="G83" s="1208"/>
      <c r="H83" s="1263"/>
      <c r="I83" s="1683"/>
      <c r="IH83" s="498"/>
      <c r="II83" s="498"/>
      <c r="IJ83" s="498"/>
      <c r="IK83" s="498"/>
      <c r="IL83" s="498"/>
      <c r="IM83" s="498"/>
      <c r="IN83" s="498"/>
    </row>
    <row r="84" spans="1:248" s="497" customFormat="1" ht="15" x14ac:dyDescent="0.25">
      <c r="A84" s="1208"/>
      <c r="B84" s="1208">
        <v>12.1</v>
      </c>
      <c r="C84" s="1208" t="s">
        <v>6974</v>
      </c>
      <c r="D84" s="1226"/>
      <c r="E84" s="1208"/>
      <c r="F84" s="1688"/>
      <c r="G84" s="1208"/>
      <c r="H84" s="1263"/>
      <c r="I84" s="1683"/>
      <c r="IH84" s="498"/>
      <c r="II84" s="498"/>
      <c r="IJ84" s="498"/>
      <c r="IK84" s="498"/>
      <c r="IL84" s="498"/>
      <c r="IM84" s="498"/>
      <c r="IN84" s="498"/>
    </row>
    <row r="85" spans="1:248" s="1181" customFormat="1" x14ac:dyDescent="0.2">
      <c r="A85" s="1272"/>
      <c r="B85" s="1273"/>
      <c r="C85" s="1272" t="s">
        <v>5908</v>
      </c>
      <c r="D85" s="1272" t="s">
        <v>6975</v>
      </c>
      <c r="E85" s="1274" t="s">
        <v>6665</v>
      </c>
      <c r="F85" s="1689">
        <f>10*(COUNTIF('06 Exr'!C48:C51, "=1")+ COUNTIF('08 Exs'!C78:C81, "=1")+ COUNTIF('12 Ext'!C46:C49, "=1"))/MAX(1,(12 -(COUNTIF('06 Exr'!C48:C51, "X")+ COUNTIF('08 Exs'!C78:C81, "X")+ COUNTIF('12 Ext'!C46:C49, "X"))))</f>
        <v>0</v>
      </c>
      <c r="G85" s="1266">
        <v>1</v>
      </c>
      <c r="H85" s="1275"/>
      <c r="I85" s="1275"/>
    </row>
    <row r="86" spans="1:248" s="1181" customFormat="1" outlineLevel="1" x14ac:dyDescent="0.2">
      <c r="A86" s="1272"/>
      <c r="B86" s="1273"/>
      <c r="C86" s="1272" t="s">
        <v>6976</v>
      </c>
      <c r="D86" s="1272" t="s">
        <v>2225</v>
      </c>
      <c r="E86" s="1274" t="s">
        <v>4992</v>
      </c>
      <c r="F86" s="1689">
        <f>10*(COUNTIF('06 Exr'!C17, "=1")+ COUNTIF('08 Exs'!C26, "=1")+ COUNTIF('11 Mic'!C5, "=1")+ COUNTIF('12 Ext'!C15, "=1"))/MAX(1,(4 -(COUNTIF('06 Exr'!C17, "X")+ COUNTIF('08 Exs'!C26, "X")+ COUNTIF('11 Mic'!C5, "X")+ COUNTIF('12 Ext'!C15, "X"))))</f>
        <v>0</v>
      </c>
      <c r="G86" s="1266">
        <v>1</v>
      </c>
      <c r="H86" s="1275"/>
      <c r="I86" s="1275"/>
    </row>
    <row r="87" spans="1:248" s="1181" customFormat="1" outlineLevel="1" x14ac:dyDescent="0.2">
      <c r="A87" s="1272"/>
      <c r="B87" s="1273"/>
      <c r="C87" s="1272" t="s">
        <v>6977</v>
      </c>
      <c r="D87" s="1272" t="s">
        <v>5821</v>
      </c>
      <c r="E87" s="1274" t="s">
        <v>6708</v>
      </c>
      <c r="F87" s="1689">
        <f>10*(COUNTIF('06 Exr'!C18, "=1")+ COUNTIF('08 Exs'!C27, "=1")+ COUNTIF('11 Mic'!C5, "=1")+ COUNTIF('12 Ext'!C15:C16, "=1"))/MAX(1,(5 -(COUNTIF('06 Exr'!C18, "X")+ COUNTIF('08 Exs'!C27, "X")+ COUNTIF('11 Mic'!C5, "X")+ COUNTIF('12 Ext'!C15:C16, "X"))))</f>
        <v>0</v>
      </c>
      <c r="G87" s="1266">
        <v>1</v>
      </c>
      <c r="H87" s="1275"/>
      <c r="I87" s="1275"/>
    </row>
    <row r="88" spans="1:248" s="1181" customFormat="1" ht="15" customHeight="1" outlineLevel="1" x14ac:dyDescent="0.2">
      <c r="A88" s="1272"/>
      <c r="B88" s="1273"/>
      <c r="C88" s="1272" t="s">
        <v>6978</v>
      </c>
      <c r="D88" s="1272" t="s">
        <v>6979</v>
      </c>
      <c r="E88" s="1274" t="s">
        <v>7082</v>
      </c>
      <c r="F88" s="1689">
        <f>10*(COUNTIF('06 Exr'!C79:C81, "=1")+ COUNTIF('10 Dev'!C43:C49, "=1"))/MAX(1,(10 -(COUNTIF('06 Exr'!C79:C81, "X")+ COUNTIF('10 Dev'!C43:C49, "X"))))</f>
        <v>0</v>
      </c>
      <c r="G88" s="1266">
        <v>1</v>
      </c>
      <c r="H88" s="1275"/>
      <c r="I88" s="1275"/>
    </row>
    <row r="89" spans="1:248" s="497" customFormat="1" ht="15" x14ac:dyDescent="0.25">
      <c r="A89" s="1208"/>
      <c r="B89" s="1208">
        <v>12.2</v>
      </c>
      <c r="C89" s="1208" t="s">
        <v>6980</v>
      </c>
      <c r="D89" s="1226"/>
      <c r="E89" s="1208"/>
      <c r="F89" s="1688"/>
      <c r="G89" s="1208"/>
      <c r="H89" s="1263"/>
      <c r="I89" s="1683"/>
      <c r="IH89" s="498"/>
      <c r="II89" s="498"/>
      <c r="IJ89" s="498"/>
      <c r="IK89" s="498"/>
      <c r="IL89" s="498"/>
      <c r="IM89" s="498"/>
      <c r="IN89" s="498"/>
    </row>
    <row r="90" spans="1:248" s="1181" customFormat="1" outlineLevel="1" x14ac:dyDescent="0.2">
      <c r="A90" s="1272"/>
      <c r="B90" s="1273"/>
      <c r="C90" s="1272" t="s">
        <v>6100</v>
      </c>
      <c r="D90" s="1272" t="s">
        <v>6981</v>
      </c>
      <c r="E90" s="1274" t="s">
        <v>7083</v>
      </c>
      <c r="F90" s="1689">
        <f>10*(COUNTIF('08 Exs'!C253:C254, "=1")+ COUNTIF('11 Mic'!C144, "=1")+ COUNTIF('11 Mic'!C148, "=1")+ COUNTIF('11 Mic'!C150, "=1"))/MAX(1,(5 -(COUNTIF('08 Exs'!C253:C254, "X")+ COUNTIF('11 Mic'!C144, "X")+ COUNTIF('11 Mic'!C148, "X")+ COUNTIF('11 Mic'!C150, "X"))))</f>
        <v>0</v>
      </c>
      <c r="G90" s="1266">
        <v>1</v>
      </c>
      <c r="H90" s="1275"/>
      <c r="I90" s="1275"/>
    </row>
    <row r="91" spans="1:248" s="497" customFormat="1" ht="15" x14ac:dyDescent="0.25">
      <c r="A91" s="1208"/>
      <c r="B91" s="1208">
        <v>12.3</v>
      </c>
      <c r="C91" s="1208" t="s">
        <v>2770</v>
      </c>
      <c r="D91" s="1226"/>
      <c r="E91" s="1208"/>
      <c r="F91" s="1688"/>
      <c r="G91" s="1208"/>
      <c r="H91" s="1263"/>
      <c r="I91" s="1683"/>
      <c r="IH91" s="498"/>
      <c r="II91" s="498"/>
      <c r="IJ91" s="498"/>
      <c r="IK91" s="498"/>
      <c r="IL91" s="498"/>
      <c r="IM91" s="498"/>
      <c r="IN91" s="498"/>
    </row>
    <row r="92" spans="1:248" s="1181" customFormat="1" ht="26.25" customHeight="1" outlineLevel="1" x14ac:dyDescent="0.2">
      <c r="A92" s="1272"/>
      <c r="B92" s="1273"/>
      <c r="C92" s="1272" t="s">
        <v>978</v>
      </c>
      <c r="D92" s="1272" t="s">
        <v>5003</v>
      </c>
      <c r="E92" s="1274" t="s">
        <v>2263</v>
      </c>
      <c r="F92" s="1689">
        <f>10*(COUNTIF('04 Wan'!C34:C40, "=1")+ COUNTIF('05 Lan'!C48:C54, "=1")+ COUNTIF('08 Exs'!C214:C220, "=1")+ COUNTIF('08 Exs'!C223:C235, "=1")+ COUNTIF('11 Mic'!C125:C128, "=1")+ COUNTIF('11 Mic'!C131:C134, "=1")+ COUNTIF('11 Mic'!C137:C141, "=1")+ COUNTIF('12 Ext'!C101:C106, "=1"))/MAX(1,(53 -(COUNTIF('04 Wan'!C34:C40, "X")+ COUNTIF('05 Lan'!C48:C54, "X")+ COUNTIF('08 Exs'!C214:C220, "X")+ COUNTIF('08 Exs'!C223:C235, "X")+ COUNTIF('11 Mic'!C125:C128, "X")+ COUNTIF('11 Mic'!C131:C134, "X")+ COUNTIF('11 Mic'!C137:C141, "X")+ COUNTIF('12 Ext'!C101:C106, "X"))))</f>
        <v>0</v>
      </c>
      <c r="G92" s="1266">
        <v>1</v>
      </c>
      <c r="H92" s="1275"/>
      <c r="I92" s="1275"/>
    </row>
    <row r="93" spans="1:248" s="497" customFormat="1" ht="15" x14ac:dyDescent="0.25">
      <c r="A93" s="1208"/>
      <c r="B93" s="1208">
        <v>12.4</v>
      </c>
      <c r="C93" s="1208" t="s">
        <v>6982</v>
      </c>
      <c r="D93" s="1226"/>
      <c r="E93" s="1208"/>
      <c r="F93" s="1688"/>
      <c r="G93" s="1208"/>
      <c r="H93" s="1263"/>
      <c r="I93" s="1683"/>
      <c r="IH93" s="498"/>
      <c r="II93" s="498"/>
      <c r="IJ93" s="498"/>
      <c r="IK93" s="498"/>
      <c r="IL93" s="498"/>
      <c r="IM93" s="498"/>
      <c r="IN93" s="498"/>
    </row>
    <row r="94" spans="1:248" s="1181" customFormat="1" ht="51" outlineLevel="1" x14ac:dyDescent="0.2">
      <c r="A94" s="1272"/>
      <c r="B94" s="1273"/>
      <c r="C94" s="1272" t="s">
        <v>1369</v>
      </c>
      <c r="D94" s="1272" t="s">
        <v>6983</v>
      </c>
      <c r="E94" s="1274" t="s">
        <v>7084</v>
      </c>
      <c r="F94" s="1689">
        <f>10*(COUNTIF('04 Wan'!C110:C112, "=1")+ COUNTIF('04 Wan'!C117, "=1")+ COUNTIF('04 Wan'!C121:C122, "=1")+ COUNTIF('04 Wan'!C132:C136, "=1")+ COUNTIF('05 Lan'!C190:C192, "=1")+ COUNTIF('05 Lan'!C197, "=1")+ COUNTIF('05 Lan'!C201:C202, "=1")+ COUNTIF('05 Lan'!C212:C216, "=1")+ COUNTIF('07 Sys'!C67:C68, "=1")+ COUNTIF('07 Sys'!C71:C73, "=1")+ COUNTIF('07 Sys'!C77:C78, "=1")+ COUNTIF('07 Sys'!C81:C83, "=1"))/MAX(1,(32 -(COUNTIF('04 Wan'!C110:C112, "X")+ COUNTIF('04 Wan'!C117, "X")+ COUNTIF('04 Wan'!C121:C122, "X")+ COUNTIF('04 Wan'!C132:C136, "X")+ COUNTIF('05 Lan'!C190:C192, "X")+ COUNTIF('05 Lan'!C197, "X")+ COUNTIF('05 Lan'!C201:C202, "X")+ COUNTIF('05 Lan'!C212:C216, "X")+ COUNTIF('07 Sys'!C67:C68, "X")+ COUNTIF('07 Sys'!C71:C73, "X")+ COUNTIF('07 Sys'!C77:C78, "X")+ COUNTIF('07 Sys'!C81:C83, "X"))))</f>
        <v>0</v>
      </c>
      <c r="G94" s="1266">
        <v>1</v>
      </c>
      <c r="H94" s="1275"/>
      <c r="I94" s="1275"/>
    </row>
    <row r="95" spans="1:248" s="1181" customFormat="1" ht="25.5" x14ac:dyDescent="0.2">
      <c r="A95" s="1272"/>
      <c r="B95" s="1273"/>
      <c r="C95" s="1272" t="s">
        <v>2026</v>
      </c>
      <c r="D95" s="1272" t="s">
        <v>6984</v>
      </c>
      <c r="E95" s="1274" t="s">
        <v>6670</v>
      </c>
      <c r="F95" s="1689">
        <f>10*(COUNTIF('04 Wan'!C118, "=1")+ COUNTIF('04 Wan'!C126, "=1")+ COUNTIF('04 Wan'!C128:C129, "=1")+ COUNTIF('05 Lan'!C198, "=1")+ COUNTIF('05 Lan'!C206, "=1")+ COUNTIF('05 Lan'!C208:C209, "=1")+ COUNTIF('07 Sys'!C73:C74, "=1")+ COUNTIF('07 Sys'!C83:C84, "=1"))/MAX(1,(12 -(COUNTIF('04 Wan'!C118, "X")+ COUNTIF('04 Wan'!C126, "X")+ COUNTIF('04 Wan'!C128:C129, "X")+ COUNTIF('05 Lan'!C198, "X")+ COUNTIF('05 Lan'!C206, "X")+ COUNTIF('05 Lan'!C208:C209, "X")+ COUNTIF('07 Sys'!C73:C74, "X")+ COUNTIF('07 Sys'!C83:C84, "X"))))</f>
        <v>0</v>
      </c>
      <c r="G95" s="1266">
        <v>1</v>
      </c>
      <c r="H95" s="1275"/>
      <c r="I95" s="1275"/>
    </row>
    <row r="96" spans="1:248" s="1181" customFormat="1" outlineLevel="1" x14ac:dyDescent="0.2">
      <c r="A96" s="1272"/>
      <c r="B96" s="1273"/>
      <c r="C96" s="1272" t="s">
        <v>5650</v>
      </c>
      <c r="D96" s="1272" t="s">
        <v>6985</v>
      </c>
      <c r="E96" s="1274" t="s">
        <v>6671</v>
      </c>
      <c r="F96" s="1689">
        <f>10*(COUNTIF('06 Exr'!C113:C119, "=1")+ COUNTIF('08 Exs'!C326:C332, "=1")+ COUNTIF('11 Mic'!C188:C196, "=1")+ COUNTIF('12 Ext'!C166:C174, "=1"))/MAX(1,(32 -(COUNTIF('06 Exr'!C113:C119, "X")+ COUNTIF('08 Exs'!C326:C332, "X")+ COUNTIF('11 Mic'!C188:C196, "X")+ COUNTIF('12 Ext'!C166:C174, "X"))))</f>
        <v>0</v>
      </c>
      <c r="G96" s="1266">
        <v>1</v>
      </c>
      <c r="H96" s="1275"/>
      <c r="I96" s="1275"/>
    </row>
    <row r="97" spans="1:248" s="1181" customFormat="1" outlineLevel="1" x14ac:dyDescent="0.2">
      <c r="A97" s="1272"/>
      <c r="B97" s="1273"/>
      <c r="C97" s="1272" t="s">
        <v>6986</v>
      </c>
      <c r="D97" s="1272" t="s">
        <v>4139</v>
      </c>
      <c r="E97" s="1274" t="s">
        <v>6329</v>
      </c>
      <c r="F97" s="1689">
        <f>10*(COUNTIF('06 Exr'!C75, "=1")+ COUNTIF('08 Exs'!C96, "=1")+ COUNTIF('12 Ext'!C65, "=1"))/MAX(1,(3 -(COUNTIF('06 Exr'!C75, "X")+ COUNTIF('08 Exs'!C96, "X")+ COUNTIF('12 Ext'!C65, "X"))))</f>
        <v>0</v>
      </c>
      <c r="G97" s="1266">
        <v>1</v>
      </c>
      <c r="H97" s="1275"/>
      <c r="I97" s="1275"/>
    </row>
    <row r="98" spans="1:248" s="497" customFormat="1" ht="15" x14ac:dyDescent="0.25">
      <c r="A98" s="1208"/>
      <c r="B98" s="1208">
        <v>12.5</v>
      </c>
      <c r="C98" s="1208" t="s">
        <v>6987</v>
      </c>
      <c r="D98" s="1226"/>
      <c r="E98" s="1208"/>
      <c r="F98" s="1688"/>
      <c r="G98" s="1208"/>
      <c r="H98" s="1263"/>
      <c r="I98" s="1683"/>
      <c r="IH98" s="498"/>
      <c r="II98" s="498"/>
      <c r="IJ98" s="498"/>
      <c r="IK98" s="498"/>
      <c r="IL98" s="498"/>
      <c r="IM98" s="498"/>
      <c r="IN98" s="498"/>
    </row>
    <row r="99" spans="1:248" s="1181" customFormat="1" ht="25.5" outlineLevel="1" x14ac:dyDescent="0.2">
      <c r="A99" s="1272"/>
      <c r="B99" s="1273"/>
      <c r="C99" s="1272" t="s">
        <v>2672</v>
      </c>
      <c r="D99" s="1272" t="s">
        <v>6988</v>
      </c>
      <c r="E99" s="1274" t="s">
        <v>6710</v>
      </c>
      <c r="F99" s="1689">
        <f>10*(COUNTIF('06 Exr'!C20:C21, "=1")+ COUNTIF('06 Exr'!C29:C30, "=1")+ COUNTIF('08 Exs'!C29:C31, "=1")+ COUNTIF('08 Exs'!C38:C40, "=1")+ COUNTIF('08 Exs'!C112, "=1")+ COUNTIF('10 Dev'!C42, "=1")+ COUNTIF('11 Mic'!C29, "=1")+ COUNTIF('12 Ext'!C28:C29, "=1"))/MAX(1,(15 -(COUNTIF('06 Exr'!C20:C21, "X")+ COUNTIF('06 Exr'!C29:C30, "X")+ COUNTIF('08 Exs'!C29:C31, "X")+ COUNTIF('08 Exs'!C38:C40, "X")+ COUNTIF('08 Exs'!C112, "X")+ COUNTIF('10 Dev'!C42, "X")+ COUNTIF('11 Mic'!C29, "X")+ COUNTIF('12 Ext'!C28:C29, "X"))))</f>
        <v>0</v>
      </c>
      <c r="G99" s="1266">
        <v>1</v>
      </c>
      <c r="H99" s="1275"/>
      <c r="I99" s="1275"/>
    </row>
    <row r="100" spans="1:248" s="497" customFormat="1" ht="15" x14ac:dyDescent="0.25">
      <c r="A100" s="1208"/>
      <c r="B100" s="1208">
        <v>12.6</v>
      </c>
      <c r="C100" s="1208" t="s">
        <v>5722</v>
      </c>
      <c r="D100" s="1226"/>
      <c r="E100" s="1208"/>
      <c r="F100" s="1688"/>
      <c r="G100" s="1208"/>
      <c r="H100" s="1263"/>
      <c r="I100" s="1683"/>
      <c r="IH100" s="498"/>
      <c r="II100" s="498"/>
      <c r="IJ100" s="498"/>
      <c r="IK100" s="498"/>
      <c r="IL100" s="498"/>
      <c r="IM100" s="498"/>
      <c r="IN100" s="498"/>
    </row>
    <row r="101" spans="1:248" s="1181" customFormat="1" ht="25.5" outlineLevel="1" x14ac:dyDescent="0.2">
      <c r="A101" s="1272"/>
      <c r="B101" s="1273"/>
      <c r="C101" s="1272" t="s">
        <v>5723</v>
      </c>
      <c r="D101" s="1272" t="s">
        <v>5722</v>
      </c>
      <c r="E101" s="1274" t="s">
        <v>7085</v>
      </c>
      <c r="F101" s="1689">
        <f>10*(COUNTIF('01 Org'!C6:C8, "=1")+ COUNTIF('01 Org'!C31, "=1")+ COUNTIF('06 Exr'!C5:C9, "=1")+ COUNTIF('08 Exs'!C95, "=1")+ COUNTIF('08 Exs'!C106, "=1")+ COUNTIF('09 App'!C178, "=1")+ COUNTIF('12 Ext'!C64, "=1"))/MAX(1,(13 -(COUNTIF('01 Org'!C6:C8, "X")+ COUNTIF('01 Org'!C31, "X")+ COUNTIF('06 Exr'!C5:C9, "X")+ COUNTIF('08 Exs'!C95, "X")+ COUNTIF('08 Exs'!C106, "X")+ COUNTIF('09 App'!C178, "X")+ COUNTIF('12 Ext'!C64, "X"))))</f>
        <v>0</v>
      </c>
      <c r="G101" s="1266">
        <v>1</v>
      </c>
      <c r="H101" s="1275"/>
      <c r="I101" s="1275"/>
    </row>
    <row r="102" spans="1:248" s="1182" customFormat="1" ht="15" x14ac:dyDescent="0.25">
      <c r="A102" s="1272"/>
      <c r="B102" s="1273"/>
      <c r="C102" s="1272" t="s">
        <v>6989</v>
      </c>
      <c r="D102" s="1272" t="s">
        <v>6990</v>
      </c>
      <c r="E102" s="1276" t="s">
        <v>7086</v>
      </c>
      <c r="F102" s="1689">
        <f>10*(COUNTIF('08 Exs'!C17:C21, "=1")+ COUNTIF('08 Exs'!C26:C27, "=1")+ COUNTIF('08 Exs'!C29:C31, "=1")+ COUNTIF('11 Mic'!C5:C10, "=1"))/MAX(1,(16 -(COUNTIF('08 Exs'!C17:C21, "X")+ COUNTIF('08 Exs'!C26:C27, "X")+ COUNTIF('08 Exs'!C29:C31, "X")+ COUNTIF('11 Mic'!C5:C10, "X"))))</f>
        <v>0</v>
      </c>
      <c r="G102" s="1266">
        <v>1</v>
      </c>
      <c r="H102" s="1277"/>
      <c r="I102" s="1277"/>
      <c r="IH102" s="1181"/>
      <c r="II102" s="1181"/>
      <c r="IJ102" s="1181"/>
      <c r="IK102" s="1181"/>
      <c r="IL102" s="1181"/>
      <c r="IM102" s="1181"/>
      <c r="IN102" s="1181"/>
    </row>
    <row r="103" spans="1:248" s="497" customFormat="1" ht="15" x14ac:dyDescent="0.25">
      <c r="A103" s="1208"/>
      <c r="B103" s="1208">
        <v>12.7</v>
      </c>
      <c r="C103" s="1208" t="s">
        <v>6991</v>
      </c>
      <c r="D103" s="1226"/>
      <c r="E103" s="1208"/>
      <c r="F103" s="1688"/>
      <c r="G103" s="1208"/>
      <c r="H103" s="1263"/>
      <c r="I103" s="1683"/>
      <c r="IH103" s="498"/>
      <c r="II103" s="498"/>
      <c r="IJ103" s="498"/>
      <c r="IK103" s="498"/>
      <c r="IL103" s="498"/>
      <c r="IM103" s="498"/>
      <c r="IN103" s="498"/>
    </row>
    <row r="104" spans="1:248" s="1181" customFormat="1" outlineLevel="1" x14ac:dyDescent="0.2">
      <c r="A104" s="1272"/>
      <c r="B104" s="1273"/>
      <c r="C104" s="1272" t="s">
        <v>6880</v>
      </c>
      <c r="D104" s="1272" t="s">
        <v>6992</v>
      </c>
      <c r="E104" s="1274" t="s">
        <v>7087</v>
      </c>
      <c r="F104" s="1689">
        <f>10*(COUNTIF('01 Org'!C33:C38, "=1")+ COUNTIF('06 Exr'!C131:C134, "=1")+ COUNTIF('08 Exs'!C337:C340, "=1"))/MAX(1,(14 -(COUNTIF('01 Org'!C33:C38, "X")+ COUNTIF('06 Exr'!C131:C134, "X")+ COUNTIF('08 Exs'!C337:C340, "X"))))</f>
        <v>0</v>
      </c>
      <c r="G104" s="1266">
        <v>1</v>
      </c>
      <c r="H104" s="1275"/>
      <c r="I104" s="1275"/>
    </row>
    <row r="105" spans="1:248" s="497" customFormat="1" ht="15" x14ac:dyDescent="0.25">
      <c r="A105" s="1208">
        <v>13</v>
      </c>
      <c r="B105" s="1208" t="s">
        <v>6993</v>
      </c>
      <c r="C105" s="1208"/>
      <c r="D105" s="1226"/>
      <c r="E105" s="1208"/>
      <c r="F105" s="1688">
        <f>SUM(F107:F109,F111:F114)/COUNT(F107:F109,F111:F114)</f>
        <v>0</v>
      </c>
      <c r="G105" s="1208"/>
      <c r="H105" s="1263"/>
      <c r="I105" s="1683"/>
      <c r="IH105" s="498"/>
      <c r="II105" s="498"/>
      <c r="IJ105" s="498"/>
      <c r="IK105" s="498"/>
      <c r="IL105" s="498"/>
      <c r="IM105" s="498"/>
      <c r="IN105" s="498"/>
    </row>
    <row r="106" spans="1:248" s="497" customFormat="1" ht="15" x14ac:dyDescent="0.25">
      <c r="A106" s="1208"/>
      <c r="B106" s="1208">
        <v>13.1</v>
      </c>
      <c r="C106" s="1208" t="s">
        <v>5004</v>
      </c>
      <c r="D106" s="1226"/>
      <c r="E106" s="1208"/>
      <c r="F106" s="1688"/>
      <c r="G106" s="1208"/>
      <c r="H106" s="1263"/>
      <c r="I106" s="1683"/>
      <c r="IH106" s="498"/>
      <c r="II106" s="498"/>
      <c r="IJ106" s="498"/>
      <c r="IK106" s="498"/>
      <c r="IL106" s="498"/>
      <c r="IM106" s="498"/>
      <c r="IN106" s="498"/>
    </row>
    <row r="107" spans="1:248" outlineLevel="1" x14ac:dyDescent="0.2">
      <c r="A107" s="1264"/>
      <c r="B107" s="174"/>
      <c r="C107" s="1264" t="s">
        <v>2326</v>
      </c>
      <c r="D107" s="1264" t="s">
        <v>6994</v>
      </c>
      <c r="E107" s="1265" t="s">
        <v>1446</v>
      </c>
      <c r="F107" s="1689">
        <f>10*(COUNTIF('06 Exr'!C96:C97, "=1")+ COUNTIF('06 Exr'!C113:C114, "=1"))/MAX(1,(4 -(COUNTIF('06 Exr'!C96:C97, "X")+ COUNTIF('06 Exr'!C113:C114, "X"))))</f>
        <v>0</v>
      </c>
      <c r="G107" s="1266">
        <v>1</v>
      </c>
      <c r="H107" s="1267"/>
      <c r="I107" s="1267"/>
    </row>
    <row r="108" spans="1:248" outlineLevel="1" x14ac:dyDescent="0.2">
      <c r="A108" s="1264"/>
      <c r="B108" s="174"/>
      <c r="C108" s="1264" t="s">
        <v>2511</v>
      </c>
      <c r="D108" s="1264" t="s">
        <v>6995</v>
      </c>
      <c r="E108" s="1265" t="s">
        <v>6042</v>
      </c>
      <c r="F108" s="1689">
        <f>10*(COUNTIF('06 Exr'!C68:C70, "=1"))/MAX(1,(3 -(COUNTIF('06 Exr'!C68:C70, "X"))))</f>
        <v>0</v>
      </c>
      <c r="G108" s="1266">
        <v>1</v>
      </c>
      <c r="H108" s="1267"/>
      <c r="I108" s="1267"/>
    </row>
    <row r="109" spans="1:248" outlineLevel="1" x14ac:dyDescent="0.2">
      <c r="A109" s="1264"/>
      <c r="B109" s="174"/>
      <c r="C109" s="1264" t="s">
        <v>6886</v>
      </c>
      <c r="D109" s="1264" t="s">
        <v>4125</v>
      </c>
      <c r="E109" s="1265" t="s">
        <v>6839</v>
      </c>
      <c r="F109" s="1689">
        <f>10*(COUNTIF('01 Org'!C63, "=1")+ COUNTIF('05 Lan'!C6:C10, "=1"))/MAX(1,(6 -(COUNTIF('01 Org'!C63, "X")+ COUNTIF('05 Lan'!C6:C10, "X"))))</f>
        <v>0</v>
      </c>
      <c r="G109" s="1266">
        <v>1</v>
      </c>
      <c r="H109" s="1267"/>
      <c r="I109" s="1267"/>
    </row>
    <row r="110" spans="1:248" s="497" customFormat="1" ht="15" x14ac:dyDescent="0.25">
      <c r="A110" s="1208"/>
      <c r="B110" s="1208">
        <v>13.2</v>
      </c>
      <c r="C110" s="1208" t="s">
        <v>6996</v>
      </c>
      <c r="D110" s="1226"/>
      <c r="E110" s="1208"/>
      <c r="F110" s="1688"/>
      <c r="G110" s="1208"/>
      <c r="H110" s="1263"/>
      <c r="I110" s="1683"/>
      <c r="IH110" s="498"/>
      <c r="II110" s="498"/>
      <c r="IJ110" s="498"/>
      <c r="IK110" s="498"/>
      <c r="IL110" s="498"/>
      <c r="IM110" s="498"/>
      <c r="IN110" s="498"/>
    </row>
    <row r="111" spans="1:248" outlineLevel="1" x14ac:dyDescent="0.2">
      <c r="A111" s="1264"/>
      <c r="B111" s="174"/>
      <c r="C111" s="1264" t="s">
        <v>2666</v>
      </c>
      <c r="D111" s="1264" t="s">
        <v>6997</v>
      </c>
      <c r="E111" s="1265" t="s">
        <v>1447</v>
      </c>
      <c r="F111" s="1689">
        <f>10*(COUNTIF('01 Org'!C64:C66, "=1")+ COUNTIF('01 Org'!C68:C69, "=1"))/MAX(1,(5 -(COUNTIF('01 Org'!C64:C66, "X")+ COUNTIF('01 Org'!C68:C69, "X"))))</f>
        <v>0</v>
      </c>
      <c r="G111" s="1266">
        <v>1</v>
      </c>
      <c r="H111" s="1267"/>
      <c r="I111" s="1267"/>
    </row>
    <row r="112" spans="1:248" outlineLevel="1" x14ac:dyDescent="0.2">
      <c r="A112" s="1264"/>
      <c r="B112" s="174"/>
      <c r="C112" s="1264" t="s">
        <v>5904</v>
      </c>
      <c r="D112" s="1264" t="s">
        <v>6998</v>
      </c>
      <c r="E112" s="1265" t="s">
        <v>1901</v>
      </c>
      <c r="F112" s="1689">
        <f>10*(COUNTIF('01 Org'!C136, "=1"))/MAX(1,(1 -(COUNTIF('01 Org'!C136, "X"))))</f>
        <v>0</v>
      </c>
      <c r="G112" s="1266">
        <v>1</v>
      </c>
      <c r="H112" s="1267"/>
      <c r="I112" s="1267"/>
    </row>
    <row r="113" spans="1:248" outlineLevel="1" x14ac:dyDescent="0.2">
      <c r="A113" s="1264"/>
      <c r="B113" s="174"/>
      <c r="C113" s="1264" t="s">
        <v>6458</v>
      </c>
      <c r="D113" s="1264" t="s">
        <v>5726</v>
      </c>
      <c r="E113" s="1268" t="s">
        <v>7088</v>
      </c>
      <c r="F113" s="1689">
        <f>10*(COUNTIF('11 Mic'!C97, "=1")+ COUNTIF('11 Mic'!C100:C102, "=1"))/MAX(1,(4 -(COUNTIF('11 Mic'!C97, "X")+ COUNTIF('11 Mic'!C100:C102, "X"))))</f>
        <v>0</v>
      </c>
      <c r="G113" s="1266">
        <v>1</v>
      </c>
      <c r="H113" s="1267"/>
      <c r="I113" s="1267"/>
    </row>
    <row r="114" spans="1:248" s="499" customFormat="1" x14ac:dyDescent="0.2">
      <c r="A114" s="1264"/>
      <c r="B114" s="174"/>
      <c r="C114" s="1264" t="s">
        <v>6897</v>
      </c>
      <c r="D114" s="1264" t="s">
        <v>6999</v>
      </c>
      <c r="E114" s="1265" t="s">
        <v>5308</v>
      </c>
      <c r="F114" s="1689">
        <f>10*(COUNTIF('01 Org'!C102:C106, "=1"))/MAX(1,(5 -(COUNTIF('01 Org'!C102:C106, "X"))))</f>
        <v>0</v>
      </c>
      <c r="G114" s="1266">
        <v>1</v>
      </c>
      <c r="H114" s="1269"/>
      <c r="I114" s="1269"/>
      <c r="IH114" s="496"/>
      <c r="II114" s="496"/>
      <c r="IJ114" s="496"/>
      <c r="IK114" s="496"/>
      <c r="IL114" s="496"/>
      <c r="IM114" s="496"/>
      <c r="IN114" s="496"/>
    </row>
    <row r="115" spans="1:248" s="497" customFormat="1" ht="15" x14ac:dyDescent="0.25">
      <c r="A115" s="1208">
        <v>14</v>
      </c>
      <c r="B115" s="1208" t="s">
        <v>7000</v>
      </c>
      <c r="C115" s="1208"/>
      <c r="D115" s="1226"/>
      <c r="E115" s="1208"/>
      <c r="F115" s="1688">
        <f>SUM(F117:F119,F121:F129,F131)/COUNT(F117:F119,F121:F129,F131)</f>
        <v>0</v>
      </c>
      <c r="G115" s="1208"/>
      <c r="H115" s="1263"/>
      <c r="I115" s="1683"/>
      <c r="IH115" s="498"/>
      <c r="II115" s="498"/>
      <c r="IJ115" s="498"/>
      <c r="IK115" s="498"/>
      <c r="IL115" s="498"/>
      <c r="IM115" s="498"/>
      <c r="IN115" s="498"/>
    </row>
    <row r="116" spans="1:248" s="497" customFormat="1" ht="15" x14ac:dyDescent="0.25">
      <c r="A116" s="1208"/>
      <c r="B116" s="1208">
        <v>14.1</v>
      </c>
      <c r="C116" s="1208" t="s">
        <v>7001</v>
      </c>
      <c r="D116" s="1226"/>
      <c r="E116" s="1208"/>
      <c r="F116" s="1688"/>
      <c r="G116" s="1208"/>
      <c r="H116" s="1263"/>
      <c r="I116" s="1683"/>
      <c r="IH116" s="498"/>
      <c r="II116" s="498"/>
      <c r="IJ116" s="498"/>
      <c r="IK116" s="498"/>
      <c r="IL116" s="498"/>
      <c r="IM116" s="498"/>
      <c r="IN116" s="498"/>
    </row>
    <row r="117" spans="1:248" outlineLevel="1" x14ac:dyDescent="0.2">
      <c r="A117" s="1264"/>
      <c r="B117" s="174"/>
      <c r="C117" s="1264" t="s">
        <v>5891</v>
      </c>
      <c r="D117" s="1264" t="s">
        <v>4005</v>
      </c>
      <c r="E117" s="1265" t="s">
        <v>7297</v>
      </c>
      <c r="F117" s="1689">
        <f>10*(COUNTIF('09 App'!C191, "=1")+ COUNTIF('09 App'!C195, "=1")+ COUNTIF('09 App'!C198, "=1")+ COUNTIF('10 Dev'!C6:C8, "=1"))/MAX(1,(6 -(COUNTIF('09 App'!C191, "X")+ COUNTIF('09 App'!C195, "X")+ COUNTIF('09 App'!C198, "X")+ COUNTIF('10 Dev'!C6:C8, "X"))))</f>
        <v>0</v>
      </c>
      <c r="G117" s="1266">
        <v>1</v>
      </c>
      <c r="H117" s="1267"/>
      <c r="I117" s="1267"/>
    </row>
    <row r="118" spans="1:248" outlineLevel="1" x14ac:dyDescent="0.2">
      <c r="A118" s="1264"/>
      <c r="B118" s="174"/>
      <c r="C118" s="1264" t="s">
        <v>5994</v>
      </c>
      <c r="D118" s="1264" t="s">
        <v>7002</v>
      </c>
      <c r="E118" s="1265" t="s">
        <v>7296</v>
      </c>
      <c r="F118" s="1689">
        <f>10*(COUNTIF('09 App'!C190, "=1")+ COUNTIF('09 App'!C192, "=1")+ COUNTIF('09 App'!C194, "=1")+ COUNTIF('09 App'!C197, "=1")+ COUNTIF('09 App'!C199, "=1"))/MAX(1,(5 -(COUNTIF('09 App'!C190, "X")+ COUNTIF('09 App'!C192, "X")+ COUNTIF('09 App'!C194, "X")+ COUNTIF('09 App'!C197, "X")+ COUNTIF('09 App'!C199, "X"))))</f>
        <v>0</v>
      </c>
      <c r="G118" s="1266">
        <v>1</v>
      </c>
      <c r="H118" s="1267"/>
      <c r="I118" s="1267"/>
    </row>
    <row r="119" spans="1:248" outlineLevel="1" x14ac:dyDescent="0.2">
      <c r="A119" s="1264"/>
      <c r="B119" s="174"/>
      <c r="C119" s="1264" t="s">
        <v>5895</v>
      </c>
      <c r="D119" s="1264" t="s">
        <v>7003</v>
      </c>
      <c r="E119" s="1265" t="s">
        <v>7295</v>
      </c>
      <c r="F119" s="1689">
        <f>10*(COUNTIF('09 App'!C202:C205, "=1"))/MAX(1,(4 -(COUNTIF('09 App'!C202:C205, "X"))))</f>
        <v>0</v>
      </c>
      <c r="G119" s="1266">
        <v>1</v>
      </c>
      <c r="H119" s="1267"/>
      <c r="I119" s="1267"/>
    </row>
    <row r="120" spans="1:248" s="497" customFormat="1" ht="15" x14ac:dyDescent="0.25">
      <c r="A120" s="1208"/>
      <c r="B120" s="1208">
        <v>14.2</v>
      </c>
      <c r="C120" s="1208" t="s">
        <v>7004</v>
      </c>
      <c r="D120" s="1226"/>
      <c r="E120" s="1208"/>
      <c r="F120" s="1688"/>
      <c r="G120" s="1208"/>
      <c r="H120" s="1263"/>
      <c r="I120" s="1683"/>
      <c r="IH120" s="498"/>
      <c r="II120" s="498"/>
      <c r="IJ120" s="498"/>
      <c r="IK120" s="498"/>
      <c r="IL120" s="498"/>
      <c r="IM120" s="498"/>
      <c r="IN120" s="498"/>
    </row>
    <row r="121" spans="1:248" outlineLevel="1" x14ac:dyDescent="0.2">
      <c r="A121" s="1264"/>
      <c r="B121" s="174"/>
      <c r="C121" s="1264" t="s">
        <v>7005</v>
      </c>
      <c r="D121" s="1264" t="s">
        <v>7006</v>
      </c>
      <c r="E121" s="1268" t="s">
        <v>7298</v>
      </c>
      <c r="F121" s="1689">
        <f>10*(COUNTIF('10 Dev'!C44, "=1")+ COUNTIF('10 Dev'!C47:C50, "=1")+ COUNTIF('10 Dev'!C55:C58, "=1"))/MAX(1,(9 -(COUNTIF('10 Dev'!C44, "X")+ COUNTIF('10 Dev'!C47:C50, "X")+ COUNTIF('10 Dev'!C55:C58, "X"))))</f>
        <v>0</v>
      </c>
      <c r="G121" s="1266">
        <v>1</v>
      </c>
      <c r="H121" s="1267"/>
      <c r="I121" s="1267"/>
    </row>
    <row r="122" spans="1:248" s="499" customFormat="1" x14ac:dyDescent="0.2">
      <c r="A122" s="1264"/>
      <c r="B122" s="174"/>
      <c r="C122" s="1264" t="s">
        <v>7007</v>
      </c>
      <c r="D122" s="1264" t="s">
        <v>7008</v>
      </c>
      <c r="E122" s="1265" t="s">
        <v>6711</v>
      </c>
      <c r="F122" s="1689">
        <f>10*(COUNTIF('08 Exs'!C28:C29, "=1")+ COUNTIF('10 Dev'!C14:C16, "=1"))/MAX(1,(5 -(COUNTIF('08 Exs'!C28:C29, "X")+ COUNTIF('10 Dev'!C14:C16, "X"))))</f>
        <v>0</v>
      </c>
      <c r="G122" s="1266">
        <v>1</v>
      </c>
      <c r="H122" s="1269"/>
      <c r="I122" s="1269"/>
      <c r="IH122" s="496"/>
      <c r="II122" s="496"/>
      <c r="IJ122" s="496"/>
      <c r="IK122" s="496"/>
      <c r="IL122" s="496"/>
      <c r="IM122" s="496"/>
      <c r="IN122" s="496"/>
    </row>
    <row r="123" spans="1:248" ht="25.5" outlineLevel="1" x14ac:dyDescent="0.2">
      <c r="A123" s="1264"/>
      <c r="B123" s="174"/>
      <c r="C123" s="1264" t="s">
        <v>7009</v>
      </c>
      <c r="D123" s="1264" t="s">
        <v>7010</v>
      </c>
      <c r="E123" s="1265" t="s">
        <v>6336</v>
      </c>
      <c r="F123" s="1689">
        <f>10*(COUNTIF('10 Dev'!C18:C20, "=1"))/MAX(1,(3 -(COUNTIF('10 Dev'!C18:C20, "X"))))</f>
        <v>0</v>
      </c>
      <c r="G123" s="1266">
        <v>1</v>
      </c>
      <c r="H123" s="1267"/>
      <c r="I123" s="1267"/>
    </row>
    <row r="124" spans="1:248" outlineLevel="1" x14ac:dyDescent="0.2">
      <c r="A124" s="1264"/>
      <c r="B124" s="174"/>
      <c r="C124" s="1264" t="s">
        <v>7011</v>
      </c>
      <c r="D124" s="1264" t="s">
        <v>7012</v>
      </c>
      <c r="E124" s="1265" t="s">
        <v>6337</v>
      </c>
      <c r="F124" s="1689">
        <f>10*(COUNTIF('10 Dev'!C34:C37, "=1"))/MAX(1,(4 -(COUNTIF('10 Dev'!C34:C37, "X"))))</f>
        <v>0</v>
      </c>
      <c r="G124" s="1266">
        <v>1</v>
      </c>
      <c r="H124" s="1267"/>
      <c r="I124" s="1267"/>
    </row>
    <row r="125" spans="1:248" outlineLevel="1" x14ac:dyDescent="0.2">
      <c r="A125" s="1264"/>
      <c r="B125" s="174"/>
      <c r="C125" s="1264" t="s">
        <v>7013</v>
      </c>
      <c r="D125" s="1264" t="s">
        <v>7014</v>
      </c>
      <c r="E125" s="1268" t="s">
        <v>7089</v>
      </c>
      <c r="F125" s="1689">
        <f>10*(COUNTIF('10 Dev'!C6:C8, "=1")+ COUNTIF('10 Dev'!C14, "=1")+ COUNTIF('10 Dev'!C22:C23, "=1"))/MAX(1,(6 -(COUNTIF('10 Dev'!C6:C8, "X")+ COUNTIF('10 Dev'!C14, "X")+ COUNTIF('10 Dev'!C22:C23, "X"))))</f>
        <v>0</v>
      </c>
      <c r="G125" s="1266">
        <v>1</v>
      </c>
      <c r="H125" s="1267"/>
      <c r="I125" s="1267"/>
    </row>
    <row r="126" spans="1:248" ht="25.5" outlineLevel="1" x14ac:dyDescent="0.2">
      <c r="A126" s="1264"/>
      <c r="B126" s="174"/>
      <c r="C126" s="1264" t="s">
        <v>7015</v>
      </c>
      <c r="D126" s="1264" t="s">
        <v>7016</v>
      </c>
      <c r="E126" s="1268" t="s">
        <v>7090</v>
      </c>
      <c r="F126" s="1689">
        <f>10*(COUNTIF('10 Dev'!C10:C12, "=1")+ COUNTIF('10 Dev'!C19, "=1")+ COUNTIF('10 Dev'!C28, "=1")+ COUNTIF('10 Dev'!C40, "=1")+ COUNTIF('10 Dev'!C47:C51, "=1")+ COUNTIF('10 Dev'!C64, "=1"))/MAX(1,(12 -(COUNTIF('10 Dev'!C10:C12, "X")+ COUNTIF('10 Dev'!C19, "X")+ COUNTIF('10 Dev'!C28, "X")+ COUNTIF('10 Dev'!C40, "X")+ COUNTIF('10 Dev'!C47:C51, "X")+ COUNTIF('10 Dev'!C64, "X"))))</f>
        <v>0</v>
      </c>
      <c r="G126" s="1266">
        <v>1</v>
      </c>
      <c r="H126" s="1267"/>
      <c r="I126" s="1267"/>
    </row>
    <row r="127" spans="1:248" outlineLevel="1" x14ac:dyDescent="0.2">
      <c r="A127" s="1264"/>
      <c r="B127" s="174"/>
      <c r="C127" s="1264" t="s">
        <v>7017</v>
      </c>
      <c r="D127" s="1264" t="s">
        <v>7018</v>
      </c>
      <c r="E127" s="1265" t="s">
        <v>5721</v>
      </c>
      <c r="F127" s="1689">
        <f>10*(COUNTIF('10 Dev'!C22:C26, "=1"))/MAX(1,(5 -(COUNTIF('10 Dev'!C22:C26, "X"))))</f>
        <v>0</v>
      </c>
      <c r="G127" s="1266">
        <v>1</v>
      </c>
      <c r="H127" s="1267"/>
      <c r="I127" s="1267"/>
    </row>
    <row r="128" spans="1:248" outlineLevel="1" x14ac:dyDescent="0.2">
      <c r="A128" s="1264"/>
      <c r="B128" s="174"/>
      <c r="C128" s="1264" t="s">
        <v>7019</v>
      </c>
      <c r="D128" s="1264" t="s">
        <v>7020</v>
      </c>
      <c r="E128" s="1268" t="s">
        <v>7091</v>
      </c>
      <c r="F128" s="1689">
        <f>10*(COUNTIF('10 Dev'!C18:C19, "=1")+ COUNTIF('10 Dev'!C48:C51, "=1")+ COUNTIF('10 Dev'!C69, "=1")+ COUNTIF('10 Dev'!C78, "=1"))/MAX(1,(8 -(COUNTIF('10 Dev'!C18:C19, "X")+ COUNTIF('10 Dev'!C48:C51, "X")+ COUNTIF('10 Dev'!C69, "X")+ COUNTIF('10 Dev'!C78, "X"))))</f>
        <v>0</v>
      </c>
      <c r="G128" s="1266">
        <v>1</v>
      </c>
      <c r="H128" s="1267"/>
      <c r="I128" s="1267"/>
    </row>
    <row r="129" spans="1:248" s="499" customFormat="1" ht="25.5" x14ac:dyDescent="0.2">
      <c r="A129" s="1264"/>
      <c r="B129" s="174"/>
      <c r="C129" s="1264" t="s">
        <v>7021</v>
      </c>
      <c r="D129" s="1264" t="s">
        <v>7022</v>
      </c>
      <c r="E129" s="1265" t="s">
        <v>6709</v>
      </c>
      <c r="F129" s="1689">
        <f>10*(COUNTIF('06 Exr'!C20:C21, "=1")+ COUNTIF('06 Exr'!C24:C27, "=1")+ COUNTIF('08 Exs'!C30:C31, "=1")+ COUNTIF('08 Exs'!C34:C37, "=1")+ COUNTIF('11 Mic'!C8:C10, "=1")+ COUNTIF('12 Ext'!C19:C20, "=1")+ COUNTIF('12 Ext'!C23:C26, "=1"))/MAX(1,(21 -(COUNTIF('06 Exr'!C20:C21, "X")+ COUNTIF('06 Exr'!C24:C27, "X")+ COUNTIF('08 Exs'!C30:C31, "X")+ COUNTIF('08 Exs'!C34:C37, "X")+ COUNTIF('11 Mic'!C8:C10, "X")+ COUNTIF('12 Ext'!C19:C20, "X")+ COUNTIF('12 Ext'!C23:C26, "X"))))</f>
        <v>0</v>
      </c>
      <c r="G129" s="1266">
        <v>1</v>
      </c>
      <c r="H129" s="1269"/>
      <c r="I129" s="1269"/>
      <c r="IH129" s="496"/>
      <c r="II129" s="496"/>
      <c r="IJ129" s="496"/>
      <c r="IK129" s="496"/>
      <c r="IL129" s="496"/>
      <c r="IM129" s="496"/>
      <c r="IN129" s="496"/>
    </row>
    <row r="130" spans="1:248" s="497" customFormat="1" ht="15" x14ac:dyDescent="0.25">
      <c r="A130" s="1208"/>
      <c r="B130" s="1208">
        <v>14.3</v>
      </c>
      <c r="C130" s="1208" t="s">
        <v>7023</v>
      </c>
      <c r="D130" s="1226"/>
      <c r="E130" s="1208"/>
      <c r="F130" s="1688"/>
      <c r="G130" s="1208"/>
      <c r="H130" s="1263"/>
      <c r="I130" s="1683"/>
      <c r="IH130" s="498"/>
      <c r="II130" s="498"/>
      <c r="IJ130" s="498"/>
      <c r="IK130" s="498"/>
      <c r="IL130" s="498"/>
      <c r="IM130" s="498"/>
      <c r="IN130" s="498"/>
    </row>
    <row r="131" spans="1:248" outlineLevel="1" x14ac:dyDescent="0.2">
      <c r="A131" s="1264"/>
      <c r="B131" s="174"/>
      <c r="C131" s="1264" t="s">
        <v>7024</v>
      </c>
      <c r="D131" s="1264" t="s">
        <v>7025</v>
      </c>
      <c r="E131" s="1265" t="s">
        <v>4059</v>
      </c>
      <c r="F131" s="1689">
        <f>10*(COUNTIF('10 Dev'!C69:C73, "=1"))/MAX(1,(5 -(COUNTIF('10 Dev'!C69:C73, "X"))))</f>
        <v>0</v>
      </c>
      <c r="G131" s="1266">
        <v>1</v>
      </c>
      <c r="H131" s="1267"/>
      <c r="I131" s="1267"/>
    </row>
    <row r="132" spans="1:248" s="497" customFormat="1" ht="15" x14ac:dyDescent="0.25">
      <c r="A132" s="1208">
        <v>15</v>
      </c>
      <c r="B132" s="1208" t="s">
        <v>7026</v>
      </c>
      <c r="C132" s="1208"/>
      <c r="D132" s="1226"/>
      <c r="E132" s="1208"/>
      <c r="F132" s="1688">
        <f>SUM(F134:F136,F138:F139)/COUNT(F134:F136,F138:F139)</f>
        <v>0</v>
      </c>
      <c r="G132" s="1208"/>
      <c r="H132" s="1263"/>
      <c r="I132" s="1683"/>
      <c r="IH132" s="498"/>
      <c r="II132" s="498"/>
      <c r="IJ132" s="498"/>
      <c r="IK132" s="498"/>
      <c r="IL132" s="498"/>
      <c r="IM132" s="498"/>
      <c r="IN132" s="498"/>
    </row>
    <row r="133" spans="1:248" s="497" customFormat="1" ht="15" x14ac:dyDescent="0.25">
      <c r="A133" s="1208"/>
      <c r="B133" s="1208">
        <v>15.1</v>
      </c>
      <c r="C133" s="1208" t="s">
        <v>7027</v>
      </c>
      <c r="D133" s="1226"/>
      <c r="E133" s="1208"/>
      <c r="F133" s="1688"/>
      <c r="G133" s="1208"/>
      <c r="H133" s="1263"/>
      <c r="I133" s="1683"/>
      <c r="IH133" s="498"/>
      <c r="II133" s="498"/>
      <c r="IJ133" s="498"/>
      <c r="IK133" s="498"/>
      <c r="IL133" s="498"/>
      <c r="IM133" s="498"/>
      <c r="IN133" s="498"/>
    </row>
    <row r="134" spans="1:248" ht="17.25" customHeight="1" outlineLevel="1" x14ac:dyDescent="0.2">
      <c r="A134" s="1264"/>
      <c r="B134" s="174"/>
      <c r="C134" s="1264" t="s">
        <v>3197</v>
      </c>
      <c r="D134" s="1264" t="s">
        <v>7028</v>
      </c>
      <c r="E134" s="1268" t="s">
        <v>7092</v>
      </c>
      <c r="F134" s="1689">
        <f>10*(COUNTIF('01 Org'!C106, "=1")+ COUNTIF('01 Org'!C134:C138, "=1"))/MAX(1,(6 -(COUNTIF('01 Org'!C106, "X")+ COUNTIF('01 Org'!C134:C138, "X"))))</f>
        <v>0</v>
      </c>
      <c r="G134" s="1266">
        <v>1</v>
      </c>
      <c r="H134" s="1267"/>
      <c r="I134" s="1267"/>
    </row>
    <row r="135" spans="1:248" s="497" customFormat="1" ht="15" x14ac:dyDescent="0.25">
      <c r="A135" s="1264"/>
      <c r="B135" s="174"/>
      <c r="C135" s="1264" t="s">
        <v>3941</v>
      </c>
      <c r="D135" s="1264" t="s">
        <v>7029</v>
      </c>
      <c r="E135" s="1265" t="s">
        <v>5310</v>
      </c>
      <c r="F135" s="1689">
        <f>10*(COUNTIF('01 Org'!C137:C138, "=1"))/MAX(1,(2 -(COUNTIF('01 Org'!C137:C138, "X"))))</f>
        <v>0</v>
      </c>
      <c r="G135" s="1266">
        <v>1</v>
      </c>
      <c r="H135" s="1269"/>
      <c r="I135" s="1269"/>
      <c r="IH135" s="500"/>
      <c r="II135" s="500"/>
      <c r="IJ135" s="500"/>
      <c r="IK135" s="500"/>
      <c r="IL135" s="500"/>
      <c r="IM135" s="500"/>
      <c r="IN135" s="500"/>
    </row>
    <row r="136" spans="1:248" s="499" customFormat="1" x14ac:dyDescent="0.2">
      <c r="A136" s="1264"/>
      <c r="B136" s="174"/>
      <c r="C136" s="1264" t="s">
        <v>5072</v>
      </c>
      <c r="D136" s="1264" t="s">
        <v>7030</v>
      </c>
      <c r="E136" s="1268" t="s">
        <v>7093</v>
      </c>
      <c r="F136" s="1689">
        <f>10*(COUNTIF('04 Wan'!C54:C55, "=1")+ COUNTIF('05 Lan'!C68:C69, "=1")+ COUNTIF('08 Exs'!C85:C87, "=1")+ COUNTIF('11 Mic'!C36:C39, "=1"))/MAX(1,(11 -(COUNTIF('04 Wan'!C54:C55, "X")+ COUNTIF('05 Lan'!C68:C69, "X")+ COUNTIF('08 Exs'!C85:C87, "X")+ COUNTIF('11 Mic'!C36:C39, "X"))))</f>
        <v>0</v>
      </c>
      <c r="G136" s="1266">
        <v>1</v>
      </c>
      <c r="H136" s="1269"/>
      <c r="I136" s="1269"/>
      <c r="IH136" s="496"/>
      <c r="II136" s="496"/>
      <c r="IJ136" s="496"/>
      <c r="IK136" s="496"/>
      <c r="IL136" s="496"/>
      <c r="IM136" s="496"/>
      <c r="IN136" s="496"/>
    </row>
    <row r="137" spans="1:248" s="497" customFormat="1" ht="15" x14ac:dyDescent="0.25">
      <c r="A137" s="1208"/>
      <c r="B137" s="1208">
        <v>15.2</v>
      </c>
      <c r="C137" s="1208" t="s">
        <v>7031</v>
      </c>
      <c r="D137" s="1226"/>
      <c r="E137" s="1208"/>
      <c r="F137" s="1688"/>
      <c r="G137" s="1208"/>
      <c r="H137" s="1263"/>
      <c r="I137" s="1683"/>
      <c r="IH137" s="498"/>
      <c r="II137" s="498"/>
      <c r="IJ137" s="498"/>
      <c r="IK137" s="498"/>
      <c r="IL137" s="498"/>
      <c r="IM137" s="498"/>
      <c r="IN137" s="498"/>
    </row>
    <row r="138" spans="1:248" s="499" customFormat="1" x14ac:dyDescent="0.2">
      <c r="A138" s="1264"/>
      <c r="B138" s="174"/>
      <c r="C138" s="1264" t="s">
        <v>4282</v>
      </c>
      <c r="D138" s="1264" t="s">
        <v>7032</v>
      </c>
      <c r="E138" s="1265" t="s">
        <v>6121</v>
      </c>
      <c r="F138" s="1689">
        <f>10*(COUNTIF('06 Exr'!C57:C59, "=1")+ COUNTIF('08 Exs'!C87:C89, "=1")+ COUNTIF('11 Mic'!C38:C40, "=1")+ COUNTIF('12 Ext'!C55:C57, "=1"))/MAX(1,(12 -(COUNTIF('06 Exr'!C57:C59, "X")+ COUNTIF('08 Exs'!C87:C89, "X")+ COUNTIF('11 Mic'!C38:C40, "X")+ COUNTIF('12 Ext'!C55:C57, "X"))))</f>
        <v>0</v>
      </c>
      <c r="G138" s="1266">
        <v>1</v>
      </c>
      <c r="H138" s="1269"/>
      <c r="I138" s="1269"/>
      <c r="IH138" s="496"/>
      <c r="II138" s="496"/>
      <c r="IJ138" s="496"/>
      <c r="IK138" s="496"/>
      <c r="IL138" s="496"/>
      <c r="IM138" s="496"/>
      <c r="IN138" s="496"/>
    </row>
    <row r="139" spans="1:248" ht="25.5" outlineLevel="1" x14ac:dyDescent="0.2">
      <c r="A139" s="1264"/>
      <c r="B139" s="174"/>
      <c r="C139" s="1264" t="s">
        <v>4425</v>
      </c>
      <c r="D139" s="1264" t="s">
        <v>7033</v>
      </c>
      <c r="E139" s="1265" t="s">
        <v>6122</v>
      </c>
      <c r="F139" s="1689">
        <f>10*(COUNTIF('06 Exr'!C60, "=1")+ COUNTIF('08 Exs'!C90, "=1")+ COUNTIF('11 Mic'!C41, "=1")+ COUNTIF('12 Ext'!C58, "=1"))/MAX(1,(4 -(COUNTIF('06 Exr'!C60, "X")+ COUNTIF('08 Exs'!C90, "X")+ COUNTIF('11 Mic'!C41, "X")+ COUNTIF('12 Ext'!C58, "X"))))</f>
        <v>0</v>
      </c>
      <c r="G139" s="1266">
        <v>1</v>
      </c>
      <c r="H139" s="1267"/>
      <c r="I139" s="1267"/>
    </row>
    <row r="140" spans="1:248" s="497" customFormat="1" ht="15" x14ac:dyDescent="0.25">
      <c r="A140" s="1208">
        <v>16</v>
      </c>
      <c r="B140" s="1208" t="s">
        <v>7034</v>
      </c>
      <c r="C140" s="1208"/>
      <c r="D140" s="1226"/>
      <c r="E140" s="1208"/>
      <c r="F140" s="1688">
        <f>SUM(F142:F148)/COUNT(F142:F148)</f>
        <v>0</v>
      </c>
      <c r="G140" s="1208"/>
      <c r="H140" s="1263"/>
      <c r="I140" s="1683"/>
      <c r="IH140" s="498"/>
      <c r="II140" s="498"/>
      <c r="IJ140" s="498"/>
      <c r="IK140" s="498"/>
      <c r="IL140" s="498"/>
      <c r="IM140" s="498"/>
      <c r="IN140" s="498"/>
    </row>
    <row r="141" spans="1:248" s="497" customFormat="1" ht="15" x14ac:dyDescent="0.25">
      <c r="A141" s="1208"/>
      <c r="B141" s="1208">
        <v>16.100000000000001</v>
      </c>
      <c r="C141" s="1208" t="s">
        <v>7035</v>
      </c>
      <c r="D141" s="1226"/>
      <c r="E141" s="1208"/>
      <c r="F141" s="1688"/>
      <c r="G141" s="1208"/>
      <c r="H141" s="1263"/>
      <c r="I141" s="1683"/>
      <c r="IH141" s="498"/>
      <c r="II141" s="498"/>
      <c r="IJ141" s="498"/>
      <c r="IK141" s="498"/>
      <c r="IL141" s="498"/>
      <c r="IM141" s="498"/>
      <c r="IN141" s="498"/>
    </row>
    <row r="142" spans="1:248" outlineLevel="1" x14ac:dyDescent="0.2">
      <c r="A142" s="1264"/>
      <c r="B142" s="174"/>
      <c r="C142" s="1264" t="s">
        <v>7036</v>
      </c>
      <c r="D142" s="1264" t="s">
        <v>5695</v>
      </c>
      <c r="E142" s="1265" t="s">
        <v>6305</v>
      </c>
      <c r="F142" s="1689">
        <f>10*(COUNTIF('01 Org'!C22, "=1")+ COUNTIF('01 Org'!C28, "=1")+ COUNTIF('04 Wan'!C139, "=1")+ COUNTIF('05 Lan'!C219, "=1")+ COUNTIF('08 Exs'!C307, "=1"))/MAX(1,(5 -(COUNTIF('01 Org'!C22, "X")+ COUNTIF('01 Org'!C28, "X")+ COUNTIF('04 Wan'!C139, "X")+ COUNTIF('05 Lan'!C219, "X")+ COUNTIF('08 Exs'!C307, "X"))))</f>
        <v>0</v>
      </c>
      <c r="G142" s="1266">
        <v>1</v>
      </c>
      <c r="H142" s="1267"/>
      <c r="I142" s="1267"/>
    </row>
    <row r="143" spans="1:248" s="499" customFormat="1" x14ac:dyDescent="0.2">
      <c r="A143" s="1264"/>
      <c r="B143" s="174"/>
      <c r="C143" s="1264" t="s">
        <v>6877</v>
      </c>
      <c r="D143" s="1264" t="s">
        <v>7037</v>
      </c>
      <c r="E143" s="1265" t="s">
        <v>961</v>
      </c>
      <c r="F143" s="1689">
        <f>10*(COUNTIF('01 Org'!C22, "=1")+ COUNTIF('01 Org'!C25:C28, "=1"))/MAX(1,(5 -(COUNTIF('01 Org'!C22, "X")+ COUNTIF('01 Org'!C25:C28, "X"))))</f>
        <v>0</v>
      </c>
      <c r="G143" s="1266">
        <v>1</v>
      </c>
      <c r="H143" s="1269"/>
      <c r="I143" s="1269"/>
      <c r="IH143" s="496"/>
      <c r="II143" s="496"/>
      <c r="IJ143" s="496"/>
      <c r="IK143" s="496"/>
      <c r="IL143" s="496"/>
      <c r="IM143" s="496"/>
      <c r="IN143" s="496"/>
    </row>
    <row r="144" spans="1:248" outlineLevel="1" x14ac:dyDescent="0.2">
      <c r="A144" s="1264"/>
      <c r="B144" s="174"/>
      <c r="C144" s="1264" t="s">
        <v>6899</v>
      </c>
      <c r="D144" s="1264" t="s">
        <v>7038</v>
      </c>
      <c r="E144" s="1265" t="s">
        <v>3621</v>
      </c>
      <c r="F144" s="1689">
        <f>10*(COUNTIF('01 Org'!C129, "=1"))/MAX(1,(1 -(COUNTIF('01 Org'!C129, "X"))))</f>
        <v>0</v>
      </c>
      <c r="G144" s="1266">
        <v>1</v>
      </c>
      <c r="H144" s="1267"/>
      <c r="I144" s="1267"/>
    </row>
    <row r="145" spans="1:248" ht="12.75" customHeight="1" outlineLevel="1" x14ac:dyDescent="0.2">
      <c r="A145" s="1264"/>
      <c r="B145" s="174"/>
      <c r="C145" s="1264" t="s">
        <v>7039</v>
      </c>
      <c r="D145" s="1264" t="s">
        <v>7040</v>
      </c>
      <c r="E145" s="1265" t="s">
        <v>7094</v>
      </c>
      <c r="F145" s="1689">
        <f>10*(COUNTIF('04 Wan'!C110:C112, "=1")+ COUNTIF('05 Lan'!C190:C192, "=1")+ COUNTIF('08 Exs'!C280:C284, "=1")+ COUNTIF('09 App'!C177:C184, "=1"))/MAX(1,(19 -(COUNTIF('04 Wan'!C110:C112, "X")+ COUNTIF('05 Lan'!C190:C192, "X")+ COUNTIF('08 Exs'!C280:C284, "X")+ COUNTIF('09 App'!C177:C184, "X"))))</f>
        <v>0</v>
      </c>
      <c r="G145" s="1266">
        <v>1</v>
      </c>
      <c r="H145" s="1267"/>
      <c r="I145" s="1267"/>
    </row>
    <row r="146" spans="1:248" s="499" customFormat="1" x14ac:dyDescent="0.2">
      <c r="A146" s="1264"/>
      <c r="B146" s="174"/>
      <c r="C146" s="1264" t="s">
        <v>7041</v>
      </c>
      <c r="D146" s="1264" t="s">
        <v>7042</v>
      </c>
      <c r="E146" s="1268" t="s">
        <v>7095</v>
      </c>
      <c r="F146" s="1689">
        <f>10*(COUNTIF('04 Wan'!C132:C137, "=1")+ COUNTIF('05 Lan'!C212:C217, "=1")+ COUNTIF('08 Exs'!C300:C305, "=1"))/MAX(1,(18 -(COUNTIF('04 Wan'!C132:C137, "X")+ COUNTIF('05 Lan'!C212:C217, "X")+ COUNTIF('08 Exs'!C300:C305, "X"))))</f>
        <v>0</v>
      </c>
      <c r="G146" s="1266">
        <v>1</v>
      </c>
      <c r="H146" s="1269"/>
      <c r="I146" s="1269"/>
      <c r="IH146" s="496"/>
      <c r="II146" s="496"/>
      <c r="IJ146" s="496"/>
      <c r="IK146" s="496"/>
      <c r="IL146" s="496"/>
      <c r="IM146" s="496"/>
      <c r="IN146" s="496"/>
    </row>
    <row r="147" spans="1:248" ht="25.5" outlineLevel="1" x14ac:dyDescent="0.2">
      <c r="A147" s="1264"/>
      <c r="B147" s="174"/>
      <c r="C147" s="1264" t="s">
        <v>6878</v>
      </c>
      <c r="D147" s="1264" t="s">
        <v>7043</v>
      </c>
      <c r="E147" s="1265" t="s">
        <v>1708</v>
      </c>
      <c r="F147" s="1689">
        <f>10*(COUNTIF('01 Org'!C29, "=1"))/MAX(1,(1 -(COUNTIF('01 Org'!C29, "X"))))</f>
        <v>0</v>
      </c>
      <c r="G147" s="1266">
        <v>1</v>
      </c>
      <c r="H147" s="1267"/>
      <c r="I147" s="1267"/>
    </row>
    <row r="148" spans="1:248" outlineLevel="1" x14ac:dyDescent="0.2">
      <c r="A148" s="1264"/>
      <c r="B148" s="174"/>
      <c r="C148" s="1264" t="s">
        <v>6879</v>
      </c>
      <c r="D148" s="1264" t="s">
        <v>7044</v>
      </c>
      <c r="E148" s="1265" t="s">
        <v>6306</v>
      </c>
      <c r="F148" s="1689">
        <f>10*(COUNTIF('01 Org'!C30, "=1")+ COUNTIF('02 Sit'!C152:C153, "=1")+ COUNTIF('08 Exs'!C350, "=1"))/MAX(1,(4 -(COUNTIF('01 Org'!C30, "X")+ COUNTIF('02 Sit'!C152:C153, "X")+ COUNTIF('08 Exs'!C350, "X"))))</f>
        <v>0</v>
      </c>
      <c r="G148" s="1266">
        <v>1</v>
      </c>
      <c r="H148" s="1267"/>
      <c r="I148" s="1267"/>
    </row>
    <row r="149" spans="1:248" s="497" customFormat="1" ht="15" x14ac:dyDescent="0.25">
      <c r="A149" s="1208">
        <v>17</v>
      </c>
      <c r="B149" s="1208" t="s">
        <v>7045</v>
      </c>
      <c r="C149" s="1208"/>
      <c r="D149" s="1226"/>
      <c r="E149" s="1208"/>
      <c r="F149" s="1688">
        <f>SUM(F151:F153,F155)/COUNT(F151:F153,F155)</f>
        <v>0</v>
      </c>
      <c r="G149" s="1208"/>
      <c r="H149" s="1263"/>
      <c r="I149" s="1683"/>
      <c r="IH149" s="498"/>
      <c r="II149" s="498"/>
      <c r="IJ149" s="498"/>
      <c r="IK149" s="498"/>
      <c r="IL149" s="498"/>
      <c r="IM149" s="498"/>
      <c r="IN149" s="498"/>
    </row>
    <row r="150" spans="1:248" s="497" customFormat="1" ht="15" x14ac:dyDescent="0.25">
      <c r="A150" s="1208"/>
      <c r="B150" s="1208">
        <v>17.100000000000001</v>
      </c>
      <c r="C150" s="1208" t="s">
        <v>7046</v>
      </c>
      <c r="D150" s="1226"/>
      <c r="E150" s="1208"/>
      <c r="F150" s="1688"/>
      <c r="G150" s="1208"/>
      <c r="H150" s="1263"/>
      <c r="I150" s="1683"/>
      <c r="IH150" s="498"/>
      <c r="II150" s="498"/>
      <c r="IJ150" s="498"/>
      <c r="IK150" s="498"/>
      <c r="IL150" s="498"/>
      <c r="IM150" s="498"/>
      <c r="IN150" s="498"/>
    </row>
    <row r="151" spans="1:248" outlineLevel="1" x14ac:dyDescent="0.2">
      <c r="A151" s="1264"/>
      <c r="B151" s="174"/>
      <c r="C151" s="1264" t="s">
        <v>6902</v>
      </c>
      <c r="D151" s="1264" t="s">
        <v>7047</v>
      </c>
      <c r="E151" s="1265" t="s">
        <v>5696</v>
      </c>
      <c r="F151" s="1689">
        <f>10*(COUNTIF('01 Org'!C195:C196, "=1"))/MAX(1,(2 -(COUNTIF('01 Org'!C195:C196, "X"))))</f>
        <v>0</v>
      </c>
      <c r="G151" s="1266">
        <v>1</v>
      </c>
      <c r="H151" s="1267"/>
      <c r="I151" s="1267"/>
    </row>
    <row r="152" spans="1:248" ht="51" outlineLevel="1" x14ac:dyDescent="0.2">
      <c r="A152" s="1264"/>
      <c r="B152" s="174"/>
      <c r="C152" s="1264" t="s">
        <v>6903</v>
      </c>
      <c r="D152" s="1264" t="s">
        <v>7048</v>
      </c>
      <c r="E152" s="1268" t="s">
        <v>7096</v>
      </c>
      <c r="F152" s="1689">
        <f>10*(COUNTIF('01 Org'!C197, "=1")+ COUNTIF('01 Org'!C199:C203, "=1")+ COUNTIF('01 Org'!C206:C209, "=1")+ COUNTIF('04 Wan'!C43:C47, "=1")+ COUNTIF('05 Lan'!C57:C61, "=1")+ COUNTIF('08 Exs'!C218, "=1")+ COUNTIF('08 Exs'!C231, "=1")+ COUNTIF('08 Exs'!C238:C245, "=1")+ COUNTIF('09 App'!C134:C142, "=1")+ COUNTIF('10 Dev'!C20, "=1")+ COUNTIF('11 Mic'!C127, "=1")+ COUNTIF('11 Mic'!C153:C160, "=1")+ COUNTIF('12 Ext'!C104, "=1")+ COUNTIF('12 Ext'!C109:C116, "=1"))/MAX(1,(58 -(COUNTIF('01 Org'!C197, "X")+ COUNTIF('01 Org'!C199:C203, "X")+ COUNTIF('01 Org'!C206:C209, "X")+ COUNTIF('04 Wan'!C43:C47, "X")+ COUNTIF('05 Lan'!C57:C61, "X")+ COUNTIF('08 Exs'!C218, "X")+ COUNTIF('08 Exs'!C231, "X")+ COUNTIF('08 Exs'!C238:C245, "X")+ COUNTIF('09 App'!C134:C142, "X")+ COUNTIF('10 Dev'!C20, "X")+ COUNTIF('11 Mic'!C127, "X")+ COUNTIF('11 Mic'!C153:C160, "X")+ COUNTIF('12 Ext'!C104, "X")+ COUNTIF('12 Ext'!C109:C116, "X"))))</f>
        <v>0</v>
      </c>
      <c r="G152" s="1266">
        <v>1</v>
      </c>
      <c r="H152" s="1267"/>
      <c r="I152" s="1267"/>
    </row>
    <row r="153" spans="1:248" ht="38.25" outlineLevel="1" x14ac:dyDescent="0.2">
      <c r="A153" s="1264"/>
      <c r="B153" s="174"/>
      <c r="C153" s="1264" t="s">
        <v>7049</v>
      </c>
      <c r="D153" s="1264" t="s">
        <v>7050</v>
      </c>
      <c r="E153" s="1265" t="s">
        <v>2264</v>
      </c>
      <c r="F153" s="1689">
        <f>10*(COUNTIF('01 Org'!C206:C209, "=1")+ COUNTIF('04 Wan'!C46:C47, "=1")+ COUNTIF('05 Lan'!C60:C61, "=1")+ COUNTIF('08 Exs'!C218, "=1")+ COUNTIF('08 Exs'!C231, "=1")+ COUNTIF('08 Exs'!C244:C245, "=1")+ COUNTIF('09 App'!C142, "=1")+ COUNTIF('10 Dev'!C20, "=1")+ COUNTIF('11 Mic'!C127, "=1")+ COUNTIF('11 Mic'!C159:C160, "=1")+ COUNTIF('12 Ext'!C104, "=1")+ COUNTIF('12 Ext'!C115:C116, "=1"))/MAX(1,(20 -(COUNTIF('01 Org'!C206:C209, "X")+ COUNTIF('04 Wan'!C46:C47, "X")+ COUNTIF('05 Lan'!C60:C61, "X")+ COUNTIF('08 Exs'!C218, "X")+ COUNTIF('08 Exs'!C231, "X")+ COUNTIF('08 Exs'!C244:C245, "X")+ COUNTIF('09 App'!C142, "X")+ COUNTIF('10 Dev'!C20, "X")+ COUNTIF('11 Mic'!C127, "X")+ COUNTIF('11 Mic'!C159:C160, "X")+ COUNTIF('12 Ext'!C104, "X")+ COUNTIF('12 Ext'!C115:C116, "X"))))</f>
        <v>0</v>
      </c>
      <c r="G153" s="1266">
        <v>1</v>
      </c>
      <c r="H153" s="1267"/>
      <c r="I153" s="1267"/>
    </row>
    <row r="154" spans="1:248" s="497" customFormat="1" ht="15" x14ac:dyDescent="0.25">
      <c r="A154" s="1208"/>
      <c r="B154" s="1208">
        <v>17.2</v>
      </c>
      <c r="C154" s="1208" t="s">
        <v>7051</v>
      </c>
      <c r="D154" s="1226"/>
      <c r="E154" s="1208"/>
      <c r="F154" s="1688"/>
      <c r="G154" s="1208"/>
      <c r="H154" s="1263"/>
      <c r="I154" s="1683"/>
      <c r="IH154" s="498"/>
      <c r="II154" s="498"/>
      <c r="IJ154" s="498"/>
      <c r="IK154" s="498"/>
      <c r="IL154" s="498"/>
      <c r="IM154" s="498"/>
      <c r="IN154" s="498"/>
    </row>
    <row r="155" spans="1:248" outlineLevel="1" x14ac:dyDescent="0.2">
      <c r="A155" s="1264"/>
      <c r="B155" s="174"/>
      <c r="C155" s="1264" t="s">
        <v>7052</v>
      </c>
      <c r="D155" s="1264" t="s">
        <v>7053</v>
      </c>
      <c r="E155" s="1268" t="s">
        <v>7097</v>
      </c>
      <c r="F155" s="1689">
        <f>10*(COUNTIF('05 Lan'!C57:C61, "=1"))/MAX(1,(5 -(COUNTIF('05 Lan'!C57:C61, "X"))))</f>
        <v>0</v>
      </c>
      <c r="G155" s="1266">
        <v>1</v>
      </c>
      <c r="H155" s="1267"/>
      <c r="I155" s="1267"/>
    </row>
    <row r="156" spans="1:248" s="497" customFormat="1" ht="15" x14ac:dyDescent="0.25">
      <c r="A156" s="1208">
        <v>18</v>
      </c>
      <c r="B156" s="1208" t="s">
        <v>7054</v>
      </c>
      <c r="C156" s="1208"/>
      <c r="D156" s="1226"/>
      <c r="E156" s="1208"/>
      <c r="F156" s="1688">
        <f>SUM(F158:F162,F164:F166)/COUNT(F158:F162,F164:F166)</f>
        <v>0</v>
      </c>
      <c r="G156" s="1208"/>
      <c r="H156" s="1263"/>
      <c r="I156" s="1683"/>
      <c r="IH156" s="498"/>
      <c r="II156" s="498"/>
      <c r="IJ156" s="498"/>
      <c r="IK156" s="498"/>
      <c r="IL156" s="498"/>
      <c r="IM156" s="498"/>
      <c r="IN156" s="498"/>
    </row>
    <row r="157" spans="1:248" s="497" customFormat="1" ht="15" x14ac:dyDescent="0.25">
      <c r="A157" s="1208"/>
      <c r="B157" s="1208">
        <v>18.100000000000001</v>
      </c>
      <c r="C157" s="1208" t="s">
        <v>7055</v>
      </c>
      <c r="D157" s="1226"/>
      <c r="E157" s="1208"/>
      <c r="F157" s="1688"/>
      <c r="G157" s="1208"/>
      <c r="H157" s="1263"/>
      <c r="I157" s="1683"/>
      <c r="IH157" s="498"/>
      <c r="II157" s="498"/>
      <c r="IJ157" s="498"/>
      <c r="IK157" s="498"/>
      <c r="IL157" s="498"/>
      <c r="IM157" s="498"/>
      <c r="IN157" s="498"/>
    </row>
    <row r="158" spans="1:248" s="497" customFormat="1" ht="26.25" x14ac:dyDescent="0.25">
      <c r="A158" s="1264"/>
      <c r="B158" s="174"/>
      <c r="C158" s="1264" t="s">
        <v>7056</v>
      </c>
      <c r="D158" s="1264" t="s">
        <v>7057</v>
      </c>
      <c r="E158" s="1265" t="s">
        <v>5073</v>
      </c>
      <c r="F158" s="1689">
        <f>10*(COUNTIF('01 Org'!C71, "=1"))/MAX(1,(1 -(COUNTIF('01 Org'!C71, "X"))))</f>
        <v>0</v>
      </c>
      <c r="G158" s="1266">
        <v>1</v>
      </c>
      <c r="H158" s="1269"/>
      <c r="I158" s="1269"/>
      <c r="IH158" s="500"/>
      <c r="II158" s="500"/>
      <c r="IJ158" s="500"/>
      <c r="IK158" s="500"/>
      <c r="IL158" s="500"/>
      <c r="IM158" s="500"/>
      <c r="IN158" s="500"/>
    </row>
    <row r="159" spans="1:248" s="499" customFormat="1" x14ac:dyDescent="0.2">
      <c r="A159" s="1264"/>
      <c r="B159" s="174"/>
      <c r="C159" s="1264" t="s">
        <v>7058</v>
      </c>
      <c r="D159" s="1264" t="s">
        <v>7059</v>
      </c>
      <c r="E159" s="1265" t="s">
        <v>36</v>
      </c>
      <c r="F159" s="1689">
        <f>10*(COUNTIF('11 Mic'!C23:C25, "=1")+ COUNTIF('13 Man'!C114:C123, "=1")+ COUNTIF('13 Man'!C127:C130, "=1")+ COUNTIF('13 Man'!C140, "=1"))/MAX(1,(18 -(COUNTIF('11 Mic'!C23:C25, "X")+ COUNTIF('13 Man'!C114:C123, "X")+ COUNTIF('13 Man'!C127:C130, "X")+ COUNTIF('13 Man'!C140, "X"))))</f>
        <v>0</v>
      </c>
      <c r="G159" s="1266">
        <v>1</v>
      </c>
      <c r="H159" s="1269"/>
      <c r="I159" s="1269"/>
      <c r="IH159" s="496"/>
      <c r="II159" s="496"/>
      <c r="IJ159" s="496"/>
      <c r="IK159" s="496"/>
      <c r="IL159" s="496"/>
      <c r="IM159" s="496"/>
      <c r="IN159" s="496"/>
    </row>
    <row r="160" spans="1:248" outlineLevel="1" x14ac:dyDescent="0.2">
      <c r="A160" s="1264"/>
      <c r="B160" s="174"/>
      <c r="C160" s="1264" t="s">
        <v>6891</v>
      </c>
      <c r="D160" s="1264" t="s">
        <v>7060</v>
      </c>
      <c r="E160" s="1265" t="s">
        <v>6307</v>
      </c>
      <c r="F160" s="1689">
        <f>10*(COUNTIF('01 Org'!C70, "=1")+ COUNTIF('08 Exs'!C350:C352, "=1"))/MAX(1,(4 -(COUNTIF('01 Org'!C70, "X")+ COUNTIF('08 Exs'!C350:C352, "X"))))</f>
        <v>0</v>
      </c>
      <c r="G160" s="1266">
        <v>1</v>
      </c>
      <c r="H160" s="1267"/>
      <c r="I160" s="1267"/>
    </row>
    <row r="161" spans="1:248" ht="13.5" customHeight="1" outlineLevel="1" x14ac:dyDescent="0.2">
      <c r="A161" s="1264"/>
      <c r="B161" s="174"/>
      <c r="C161" s="1264" t="s">
        <v>7061</v>
      </c>
      <c r="D161" s="1264" t="s">
        <v>7062</v>
      </c>
      <c r="E161" s="1265" t="s">
        <v>37</v>
      </c>
      <c r="F161" s="1689">
        <f>10*(COUNTIF('13 Man'!C5:C10, "=1")+ COUNTIF('13 Man'!C19:C22, "=1")+ COUNTIF('13 Man'!C34, "=1"))/MAX(1,(11 -(COUNTIF('13 Man'!C5:C10, "X")+ COUNTIF('13 Man'!C19:C22, "X")+ COUNTIF('13 Man'!C34, "X"))))</f>
        <v>0</v>
      </c>
      <c r="G161" s="1266">
        <v>1</v>
      </c>
      <c r="H161" s="1267"/>
      <c r="I161" s="1267"/>
    </row>
    <row r="162" spans="1:248" s="499" customFormat="1" x14ac:dyDescent="0.2">
      <c r="A162" s="1264"/>
      <c r="B162" s="174"/>
      <c r="C162" s="1264" t="s">
        <v>7063</v>
      </c>
      <c r="D162" s="1264" t="s">
        <v>7064</v>
      </c>
      <c r="E162" s="1265" t="s">
        <v>1495</v>
      </c>
      <c r="F162" s="1689">
        <f>10*(COUNTIF('13 Man'!C203:C208, "=1")+ COUNTIF('13 Man'!C210:C211, "=1")+ COUNTIF('13 Man'!C213, "=1"))/MAX(1,(9 -(COUNTIF('13 Man'!C203:C208, "X")+ COUNTIF('13 Man'!C210:C211, "X")+ COUNTIF('13 Man'!C213, "X"))))</f>
        <v>0</v>
      </c>
      <c r="G162" s="1266">
        <v>1</v>
      </c>
      <c r="H162" s="1269"/>
      <c r="I162" s="1269"/>
      <c r="IH162" s="496"/>
      <c r="II162" s="496"/>
      <c r="IJ162" s="496"/>
      <c r="IK162" s="496"/>
      <c r="IL162" s="496"/>
      <c r="IM162" s="496"/>
      <c r="IN162" s="496"/>
    </row>
    <row r="163" spans="1:248" s="497" customFormat="1" ht="15" x14ac:dyDescent="0.25">
      <c r="A163" s="1208"/>
      <c r="B163" s="1208">
        <v>18.2</v>
      </c>
      <c r="C163" s="1208" t="s">
        <v>7065</v>
      </c>
      <c r="D163" s="1226"/>
      <c r="E163" s="1208"/>
      <c r="F163" s="1688"/>
      <c r="G163" s="1208"/>
      <c r="H163" s="1263"/>
      <c r="I163" s="1683"/>
      <c r="IH163" s="498"/>
      <c r="II163" s="498"/>
      <c r="IJ163" s="498"/>
      <c r="IK163" s="498"/>
      <c r="IL163" s="498"/>
      <c r="IM163" s="498"/>
      <c r="IN163" s="498"/>
    </row>
    <row r="164" spans="1:248" outlineLevel="1" x14ac:dyDescent="0.2">
      <c r="A164" s="1264"/>
      <c r="B164" s="174"/>
      <c r="C164" s="1264" t="s">
        <v>7066</v>
      </c>
      <c r="D164" s="1264" t="s">
        <v>7067</v>
      </c>
      <c r="E164" s="1265" t="s">
        <v>5479</v>
      </c>
      <c r="F164" s="1689">
        <f>10*(COUNTIF('01 Org'!C23, "=1"))/MAX(1,(1 -(COUNTIF('01 Org'!C23, "X"))))</f>
        <v>0</v>
      </c>
      <c r="G164" s="1266">
        <v>1</v>
      </c>
      <c r="H164" s="1267"/>
      <c r="I164" s="1267"/>
    </row>
    <row r="165" spans="1:248" outlineLevel="1" x14ac:dyDescent="0.2">
      <c r="A165" s="1264"/>
      <c r="B165" s="174"/>
      <c r="C165" s="1264" t="s">
        <v>6885</v>
      </c>
      <c r="D165" s="1264" t="s">
        <v>6155</v>
      </c>
      <c r="E165" s="1265" t="s">
        <v>1590</v>
      </c>
      <c r="F165" s="1689">
        <f>10*(COUNTIF('01 Org'!C59, "=1"))/MAX(1,(1 -(COUNTIF('01 Org'!C59, "X"))))</f>
        <v>0</v>
      </c>
      <c r="G165" s="1266">
        <v>1</v>
      </c>
      <c r="H165" s="1267"/>
      <c r="I165" s="1267"/>
    </row>
    <row r="166" spans="1:248" s="497" customFormat="1" ht="26.25" thickBot="1" x14ac:dyDescent="0.3">
      <c r="A166" s="1278"/>
      <c r="B166" s="187"/>
      <c r="C166" s="1278" t="s">
        <v>7068</v>
      </c>
      <c r="D166" s="1278" t="s">
        <v>7069</v>
      </c>
      <c r="E166" s="1279" t="s">
        <v>6214</v>
      </c>
      <c r="F166" s="1691">
        <f>10*(COUNTIF('05 Lan'!C140, "=1")+ COUNTIF('06 Exr'!C78:C80, "=1")+ COUNTIF('08 Exs'!C98:C100, "=1")+ COUNTIF('08 Exs'!C108:C110, "=1")+ COUNTIF('11 Mic'!C17:C18, "=1")+ COUNTIF('12 Ext'!C67:C69, "=1"))/MAX(1,(15 -(COUNTIF('05 Lan'!C140, "X")+ COUNTIF('06 Exr'!C78:C80, "X")+ COUNTIF('08 Exs'!C98:C100, "X")+ COUNTIF('08 Exs'!C108:C110, "X")+ COUNTIF('11 Mic'!C17:C18, "X")+ COUNTIF('12 Ext'!C67:C69, "X"))))</f>
        <v>0</v>
      </c>
      <c r="G166" s="1266">
        <v>1</v>
      </c>
      <c r="H166" s="1280"/>
      <c r="I166" s="1280"/>
      <c r="IH166" s="500"/>
      <c r="II166" s="500"/>
      <c r="IJ166" s="500"/>
      <c r="IK166" s="500"/>
      <c r="IL166" s="500"/>
      <c r="IM166" s="500"/>
      <c r="IN166" s="500"/>
    </row>
    <row r="167" spans="1:248" s="499" customFormat="1" x14ac:dyDescent="0.2">
      <c r="A167" s="501"/>
      <c r="B167" s="502"/>
      <c r="C167" s="503"/>
      <c r="D167" s="504"/>
      <c r="E167" s="505"/>
      <c r="F167" s="1183"/>
      <c r="G167" s="506"/>
      <c r="H167" s="507"/>
      <c r="IH167" s="496"/>
      <c r="II167" s="496"/>
      <c r="IJ167" s="496"/>
      <c r="IK167" s="496"/>
      <c r="IL167" s="496"/>
      <c r="IM167" s="496"/>
      <c r="IN167" s="496"/>
    </row>
    <row r="168" spans="1:248" outlineLevel="1" x14ac:dyDescent="0.2">
      <c r="A168" s="501"/>
      <c r="B168" s="502"/>
      <c r="C168" s="503"/>
      <c r="D168" s="508" t="s">
        <v>7292</v>
      </c>
      <c r="E168" s="505"/>
      <c r="G168" s="506"/>
      <c r="H168" s="507"/>
    </row>
    <row r="169" spans="1:248" outlineLevel="1" x14ac:dyDescent="0.2">
      <c r="A169" s="501"/>
      <c r="B169" s="502"/>
      <c r="C169" s="503"/>
      <c r="D169" s="508" t="s">
        <v>7293</v>
      </c>
      <c r="E169" s="505"/>
      <c r="G169" s="506"/>
      <c r="H169" s="507"/>
    </row>
    <row r="170" spans="1:248" outlineLevel="1" x14ac:dyDescent="0.2">
      <c r="A170" s="501"/>
      <c r="B170" s="502"/>
      <c r="C170" s="503"/>
      <c r="D170" s="508" t="s">
        <v>7294</v>
      </c>
      <c r="E170" s="505"/>
      <c r="G170" s="506"/>
      <c r="H170" s="507"/>
    </row>
    <row r="171" spans="1:248" outlineLevel="1" x14ac:dyDescent="0.2">
      <c r="A171" s="501"/>
      <c r="B171" s="502"/>
      <c r="C171" s="503"/>
      <c r="D171" s="508" t="s">
        <v>7291</v>
      </c>
      <c r="E171" s="505"/>
      <c r="G171" s="506"/>
      <c r="H171" s="507"/>
    </row>
    <row r="172" spans="1:248" outlineLevel="1" x14ac:dyDescent="0.2">
      <c r="A172" s="501"/>
      <c r="B172" s="502"/>
      <c r="C172" s="503"/>
      <c r="D172" s="504"/>
      <c r="E172" s="505"/>
      <c r="G172" s="506"/>
      <c r="H172" s="507"/>
    </row>
    <row r="173" spans="1:248" s="497" customFormat="1" ht="15" x14ac:dyDescent="0.25">
      <c r="A173" s="501"/>
      <c r="B173" s="502"/>
      <c r="C173" s="503"/>
      <c r="D173" s="504"/>
      <c r="E173" s="505"/>
      <c r="F173" s="1183"/>
      <c r="G173" s="506"/>
      <c r="H173" s="507"/>
      <c r="IH173" s="500"/>
      <c r="II173" s="500"/>
      <c r="IJ173" s="500"/>
      <c r="IK173" s="500"/>
      <c r="IL173" s="500"/>
      <c r="IM173" s="500"/>
      <c r="IN173" s="500"/>
    </row>
    <row r="174" spans="1:248" s="499" customFormat="1" x14ac:dyDescent="0.2">
      <c r="A174" s="501"/>
      <c r="B174" s="502"/>
      <c r="C174" s="503"/>
      <c r="D174" s="504"/>
      <c r="E174" s="505"/>
      <c r="F174" s="1183"/>
      <c r="G174" s="506"/>
      <c r="H174" s="507"/>
      <c r="IH174" s="496"/>
      <c r="II174" s="496"/>
      <c r="IJ174" s="496"/>
      <c r="IK174" s="496"/>
      <c r="IL174" s="496"/>
      <c r="IM174" s="496"/>
      <c r="IN174" s="496"/>
    </row>
    <row r="175" spans="1:248" outlineLevel="1" x14ac:dyDescent="0.2">
      <c r="A175" s="501"/>
      <c r="B175" s="502"/>
      <c r="C175" s="503"/>
      <c r="D175" s="504"/>
      <c r="E175" s="505"/>
      <c r="G175" s="506"/>
      <c r="H175" s="507"/>
    </row>
    <row r="176" spans="1:248" outlineLevel="1" x14ac:dyDescent="0.2">
      <c r="A176" s="501"/>
      <c r="B176" s="502"/>
      <c r="C176" s="503"/>
      <c r="D176" s="504"/>
      <c r="E176" s="505"/>
      <c r="G176" s="506"/>
      <c r="H176" s="507"/>
    </row>
    <row r="177" spans="1:248" outlineLevel="1" x14ac:dyDescent="0.2">
      <c r="A177" s="501"/>
      <c r="B177" s="502"/>
      <c r="C177" s="503"/>
      <c r="D177" s="504"/>
      <c r="E177" s="505"/>
      <c r="G177" s="506"/>
      <c r="H177" s="507"/>
    </row>
    <row r="178" spans="1:248" outlineLevel="1" x14ac:dyDescent="0.2">
      <c r="A178" s="501"/>
      <c r="B178" s="502"/>
      <c r="C178" s="503"/>
      <c r="D178" s="504"/>
      <c r="E178" s="505"/>
      <c r="G178" s="506"/>
      <c r="H178" s="507"/>
    </row>
    <row r="179" spans="1:248" outlineLevel="1" x14ac:dyDescent="0.2">
      <c r="A179" s="501"/>
      <c r="B179" s="502"/>
      <c r="C179" s="503"/>
      <c r="D179" s="504"/>
      <c r="E179" s="505"/>
      <c r="G179" s="506"/>
      <c r="H179" s="507"/>
    </row>
    <row r="180" spans="1:248" outlineLevel="1" x14ac:dyDescent="0.2">
      <c r="A180" s="501"/>
      <c r="B180" s="502"/>
      <c r="C180" s="503"/>
      <c r="D180" s="504"/>
      <c r="E180" s="505"/>
      <c r="G180" s="506"/>
      <c r="H180" s="507"/>
    </row>
    <row r="181" spans="1:248" s="499" customFormat="1" x14ac:dyDescent="0.2">
      <c r="A181" s="509"/>
      <c r="B181" s="510"/>
      <c r="C181" s="511"/>
      <c r="D181" s="504"/>
      <c r="E181" s="505"/>
      <c r="F181" s="1183"/>
      <c r="G181" s="506"/>
      <c r="H181" s="512"/>
      <c r="IH181" s="496"/>
      <c r="II181" s="496"/>
      <c r="IJ181" s="496"/>
      <c r="IK181" s="496"/>
      <c r="IL181" s="496"/>
      <c r="IM181" s="496"/>
      <c r="IN181" s="496"/>
    </row>
    <row r="182" spans="1:248" outlineLevel="1" x14ac:dyDescent="0.2">
      <c r="A182" s="501"/>
      <c r="B182" s="502"/>
      <c r="C182" s="503"/>
      <c r="D182" s="504"/>
      <c r="E182" s="505"/>
      <c r="G182" s="506"/>
      <c r="H182" s="507"/>
    </row>
    <row r="183" spans="1:248" outlineLevel="1" x14ac:dyDescent="0.2">
      <c r="A183" s="501"/>
      <c r="B183" s="502"/>
      <c r="C183" s="503"/>
      <c r="D183" s="504"/>
      <c r="E183" s="505"/>
      <c r="G183" s="506"/>
      <c r="H183" s="507"/>
    </row>
    <row r="184" spans="1:248" s="499" customFormat="1" x14ac:dyDescent="0.2">
      <c r="A184" s="509"/>
      <c r="B184" s="510"/>
      <c r="C184" s="511"/>
      <c r="D184" s="504"/>
      <c r="E184" s="505"/>
      <c r="F184" s="1183"/>
      <c r="G184" s="506"/>
      <c r="H184" s="512"/>
      <c r="IH184" s="496"/>
      <c r="II184" s="496"/>
      <c r="IJ184" s="496"/>
      <c r="IK184" s="496"/>
      <c r="IL184" s="496"/>
      <c r="IM184" s="496"/>
      <c r="IN184" s="496"/>
    </row>
    <row r="185" spans="1:248" outlineLevel="1" x14ac:dyDescent="0.2">
      <c r="A185" s="501"/>
      <c r="B185" s="502"/>
      <c r="C185" s="503"/>
      <c r="D185" s="504"/>
      <c r="E185" s="505"/>
      <c r="G185" s="506"/>
      <c r="H185" s="507"/>
    </row>
    <row r="186" spans="1:248" outlineLevel="1" x14ac:dyDescent="0.2">
      <c r="A186" s="501"/>
      <c r="B186" s="502"/>
      <c r="C186" s="503"/>
      <c r="D186" s="504"/>
      <c r="E186" s="505"/>
      <c r="G186" s="506"/>
      <c r="H186" s="507"/>
    </row>
    <row r="187" spans="1:248" x14ac:dyDescent="0.2">
      <c r="C187" s="503"/>
      <c r="D187" s="503"/>
      <c r="E187" s="505"/>
    </row>
    <row r="188" spans="1:248" x14ac:dyDescent="0.2">
      <c r="C188" s="503"/>
      <c r="D188" s="503"/>
      <c r="E188" s="505"/>
    </row>
    <row r="189" spans="1:248" x14ac:dyDescent="0.2">
      <c r="C189" s="503"/>
    </row>
    <row r="190" spans="1:248" x14ac:dyDescent="0.2">
      <c r="C190" s="503"/>
    </row>
    <row r="191" spans="1:248" x14ac:dyDescent="0.2">
      <c r="C191" s="503"/>
    </row>
    <row r="192" spans="1:248" x14ac:dyDescent="0.2">
      <c r="C192" s="503"/>
    </row>
    <row r="193" spans="3:3" x14ac:dyDescent="0.2">
      <c r="C193" s="503"/>
    </row>
    <row r="194" spans="3:3" x14ac:dyDescent="0.2">
      <c r="C194" s="503"/>
    </row>
    <row r="195" spans="3:3" x14ac:dyDescent="0.2">
      <c r="C195" s="503"/>
    </row>
    <row r="196" spans="3:3" x14ac:dyDescent="0.2">
      <c r="C196" s="503"/>
    </row>
    <row r="197" spans="3:3" x14ac:dyDescent="0.2">
      <c r="C197" s="503"/>
    </row>
    <row r="198" spans="3:3" x14ac:dyDescent="0.2">
      <c r="C198" s="503"/>
    </row>
    <row r="199" spans="3:3" x14ac:dyDescent="0.2">
      <c r="C199" s="503"/>
    </row>
    <row r="200" spans="3:3" x14ac:dyDescent="0.2">
      <c r="C200" s="503"/>
    </row>
    <row r="201" spans="3:3" x14ac:dyDescent="0.2">
      <c r="C201" s="503"/>
    </row>
    <row r="202" spans="3:3" x14ac:dyDescent="0.2">
      <c r="C202" s="503"/>
    </row>
    <row r="203" spans="3:3" x14ac:dyDescent="0.2">
      <c r="C203" s="503"/>
    </row>
    <row r="204" spans="3:3" x14ac:dyDescent="0.2">
      <c r="C204" s="503"/>
    </row>
    <row r="205" spans="3:3" x14ac:dyDescent="0.2">
      <c r="C205" s="503"/>
    </row>
    <row r="206" spans="3:3" x14ac:dyDescent="0.2">
      <c r="C206" s="503"/>
    </row>
    <row r="207" spans="3:3" x14ac:dyDescent="0.2">
      <c r="C207" s="503"/>
    </row>
    <row r="208" spans="3:3" x14ac:dyDescent="0.2">
      <c r="C208" s="503"/>
    </row>
    <row r="209" spans="3:3" x14ac:dyDescent="0.2">
      <c r="C209" s="503"/>
    </row>
    <row r="210" spans="3:3" x14ac:dyDescent="0.2">
      <c r="C210" s="503"/>
    </row>
    <row r="211" spans="3:3" x14ac:dyDescent="0.2">
      <c r="C211" s="503"/>
    </row>
    <row r="212" spans="3:3" x14ac:dyDescent="0.2">
      <c r="C212" s="503"/>
    </row>
    <row r="213" spans="3:3" x14ac:dyDescent="0.2">
      <c r="C213" s="503"/>
    </row>
    <row r="214" spans="3:3" x14ac:dyDescent="0.2">
      <c r="C214" s="503"/>
    </row>
    <row r="215" spans="3:3" x14ac:dyDescent="0.2">
      <c r="C215" s="503"/>
    </row>
    <row r="216" spans="3:3" x14ac:dyDescent="0.2">
      <c r="C216" s="503"/>
    </row>
    <row r="217" spans="3:3" x14ac:dyDescent="0.2">
      <c r="C217" s="503"/>
    </row>
    <row r="218" spans="3:3" x14ac:dyDescent="0.2">
      <c r="C218" s="503"/>
    </row>
    <row r="219" spans="3:3" x14ac:dyDescent="0.2">
      <c r="C219" s="503"/>
    </row>
    <row r="220" spans="3:3" x14ac:dyDescent="0.2">
      <c r="C220" s="503"/>
    </row>
    <row r="221" spans="3:3" x14ac:dyDescent="0.2">
      <c r="C221" s="503"/>
    </row>
    <row r="222" spans="3:3" x14ac:dyDescent="0.2">
      <c r="C222" s="503"/>
    </row>
    <row r="223" spans="3:3" x14ac:dyDescent="0.2">
      <c r="C223" s="503"/>
    </row>
    <row r="224" spans="3:3" x14ac:dyDescent="0.2">
      <c r="C224" s="503"/>
    </row>
    <row r="225" spans="3:3" x14ac:dyDescent="0.2">
      <c r="C225" s="503"/>
    </row>
    <row r="226" spans="3:3" x14ac:dyDescent="0.2">
      <c r="C226" s="503"/>
    </row>
    <row r="227" spans="3:3" x14ac:dyDescent="0.2">
      <c r="C227" s="503"/>
    </row>
    <row r="228" spans="3:3" x14ac:dyDescent="0.2">
      <c r="C228" s="503"/>
    </row>
    <row r="229" spans="3:3" x14ac:dyDescent="0.2">
      <c r="C229" s="503"/>
    </row>
    <row r="230" spans="3:3" x14ac:dyDescent="0.2">
      <c r="C230" s="503"/>
    </row>
    <row r="231" spans="3:3" x14ac:dyDescent="0.2">
      <c r="C231" s="503"/>
    </row>
    <row r="232" spans="3:3" x14ac:dyDescent="0.2">
      <c r="C232" s="503"/>
    </row>
    <row r="233" spans="3:3" x14ac:dyDescent="0.2">
      <c r="C233" s="503"/>
    </row>
    <row r="234" spans="3:3" x14ac:dyDescent="0.2">
      <c r="C234" s="503"/>
    </row>
    <row r="235" spans="3:3" x14ac:dyDescent="0.2">
      <c r="C235" s="503"/>
    </row>
    <row r="236" spans="3:3" x14ac:dyDescent="0.2">
      <c r="C236" s="503"/>
    </row>
    <row r="237" spans="3:3" x14ac:dyDescent="0.2">
      <c r="C237" s="503"/>
    </row>
    <row r="238" spans="3:3" x14ac:dyDescent="0.2">
      <c r="C238" s="503"/>
    </row>
    <row r="239" spans="3:3" x14ac:dyDescent="0.2">
      <c r="C239" s="503"/>
    </row>
    <row r="240" spans="3:3" x14ac:dyDescent="0.2">
      <c r="C240" s="503"/>
    </row>
    <row r="241" spans="3:3" x14ac:dyDescent="0.2">
      <c r="C241" s="503"/>
    </row>
    <row r="242" spans="3:3" x14ac:dyDescent="0.2">
      <c r="C242" s="503"/>
    </row>
    <row r="243" spans="3:3" x14ac:dyDescent="0.2">
      <c r="C243" s="503"/>
    </row>
    <row r="244" spans="3:3" x14ac:dyDescent="0.2">
      <c r="C244" s="503"/>
    </row>
    <row r="245" spans="3:3" x14ac:dyDescent="0.2">
      <c r="C245" s="503"/>
    </row>
    <row r="246" spans="3:3" x14ac:dyDescent="0.2">
      <c r="C246" s="503"/>
    </row>
    <row r="247" spans="3:3" x14ac:dyDescent="0.2">
      <c r="C247" s="503"/>
    </row>
    <row r="248" spans="3:3" x14ac:dyDescent="0.2">
      <c r="C248" s="503"/>
    </row>
    <row r="249" spans="3:3" x14ac:dyDescent="0.2">
      <c r="C249" s="503"/>
    </row>
    <row r="250" spans="3:3" x14ac:dyDescent="0.2">
      <c r="C250" s="503"/>
    </row>
    <row r="251" spans="3:3" x14ac:dyDescent="0.2">
      <c r="C251" s="503"/>
    </row>
    <row r="252" spans="3:3" x14ac:dyDescent="0.2">
      <c r="C252" s="503"/>
    </row>
    <row r="253" spans="3:3" x14ac:dyDescent="0.2">
      <c r="C253" s="503"/>
    </row>
    <row r="254" spans="3:3" x14ac:dyDescent="0.2">
      <c r="C254" s="503"/>
    </row>
    <row r="255" spans="3:3" x14ac:dyDescent="0.2">
      <c r="C255" s="503"/>
    </row>
    <row r="256" spans="3:3" x14ac:dyDescent="0.2">
      <c r="C256" s="503"/>
    </row>
    <row r="257" spans="3:3" x14ac:dyDescent="0.2">
      <c r="C257" s="503"/>
    </row>
    <row r="258" spans="3:3" x14ac:dyDescent="0.2">
      <c r="C258" s="503"/>
    </row>
    <row r="259" spans="3:3" x14ac:dyDescent="0.2">
      <c r="C259" s="503"/>
    </row>
  </sheetData>
  <sheetProtection sheet="1" objects="1" scenarios="1" formatCells="0" formatColumns="0" formatRows="0"/>
  <mergeCells count="2">
    <mergeCell ref="A1:D1"/>
    <mergeCell ref="B2:D2"/>
  </mergeCells>
  <phoneticPr fontId="5" type="noConversion"/>
  <printOptions gridLines="1"/>
  <pageMargins left="0.37" right="0.36" top="0.59" bottom="0.84" header="0.33" footer="0.48"/>
  <pageSetup paperSize="9" firstPageNumber="0" orientation="landscape" horizontalDpi="300" verticalDpi="300" r:id="rId1"/>
  <headerFooter alignWithMargins="0">
    <oddHeader>&amp;C&amp;A</oddHeader>
    <oddFooter>&amp;L&amp;9&amp;F ! &amp;A&amp;C&amp;9 &amp;P&amp;R&amp;9Décembre 2006</oddFooter>
  </headerFooter>
  <legacyDrawing r:id="rId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indexed="44"/>
  </sheetPr>
  <dimension ref="A1:AW975"/>
  <sheetViews>
    <sheetView workbookViewId="0">
      <pane xSplit="2" ySplit="4" topLeftCell="C5" activePane="bottomRight" state="frozenSplit"/>
      <selection activeCell="I304" sqref="I304"/>
      <selection pane="topRight" activeCell="I304" sqref="I304"/>
      <selection pane="bottomLeft" activeCell="I304" sqref="I304"/>
      <selection pane="bottomRight"/>
    </sheetView>
  </sheetViews>
  <sheetFormatPr baseColWidth="10" defaultColWidth="9.140625" defaultRowHeight="12.75" outlineLevelCol="1" x14ac:dyDescent="0.2"/>
  <cols>
    <col min="1" max="1" width="10.140625" style="53" customWidth="1"/>
    <col min="2" max="2" width="12.85546875" style="53" customWidth="1"/>
    <col min="3" max="3" width="10.140625" style="356" customWidth="1"/>
    <col min="4" max="4" width="7.42578125" style="357" customWidth="1"/>
    <col min="5" max="5" width="10.42578125" style="247" customWidth="1"/>
    <col min="6" max="6" width="13.42578125" style="247" customWidth="1"/>
    <col min="7" max="7" width="8.42578125" style="404" customWidth="1"/>
    <col min="8" max="8" width="6.140625" style="247" customWidth="1"/>
    <col min="9" max="9" width="6.28515625" style="247" customWidth="1"/>
    <col min="10" max="10" width="6.42578125" style="247" customWidth="1"/>
    <col min="11" max="11" width="7.42578125" style="247" customWidth="1"/>
    <col min="12" max="12" width="7.28515625" style="247" customWidth="1"/>
    <col min="13" max="13" width="9.28515625" style="247" customWidth="1"/>
    <col min="14" max="14" width="7.28515625" style="404" customWidth="1"/>
    <col min="15" max="15" width="66.42578125" style="1029" customWidth="1"/>
    <col min="16" max="16" width="4.42578125" style="116" customWidth="1"/>
    <col min="17" max="18" width="3.140625" style="42" customWidth="1"/>
    <col min="19" max="19" width="3.42578125" style="42" customWidth="1"/>
    <col min="20" max="20" width="4.42578125" style="42" customWidth="1"/>
    <col min="21" max="21" width="4.140625" style="42" customWidth="1"/>
    <col min="22" max="32" width="3.140625" style="42" customWidth="1"/>
    <col min="33" max="33" width="3.85546875" style="42" customWidth="1"/>
    <col min="34" max="34" width="3.28515625" style="42" customWidth="1"/>
    <col min="35" max="38" width="15.28515625" style="491" customWidth="1"/>
    <col min="39" max="42" width="18.42578125" style="250" hidden="1" customWidth="1" outlineLevel="1"/>
    <col min="43" max="43" width="13.140625" style="42" hidden="1" customWidth="1" outlineLevel="1"/>
    <col min="44" max="44" width="11.42578125" style="42" hidden="1" customWidth="1" outlineLevel="1"/>
    <col min="45" max="45" width="17" style="42" hidden="1" customWidth="1" outlineLevel="1"/>
    <col min="46" max="46" width="9.85546875" style="42" hidden="1" customWidth="1" outlineLevel="1"/>
    <col min="47" max="47" width="18.85546875" style="250" hidden="1" customWidth="1" outlineLevel="1"/>
    <col min="48" max="48" width="19.42578125" style="250" hidden="1" customWidth="1" outlineLevel="1"/>
    <col min="49" max="49" width="11.42578125" style="42" customWidth="1" collapsed="1"/>
    <col min="50" max="256" width="11.42578125" style="42" customWidth="1"/>
    <col min="257" max="16384" width="9.140625" style="42"/>
  </cols>
  <sheetData>
    <row r="1" spans="1:48" s="250" customFormat="1" ht="18" x14ac:dyDescent="0.2">
      <c r="A1" s="400" t="s">
        <v>2347</v>
      </c>
      <c r="B1" s="400"/>
      <c r="C1" s="401"/>
      <c r="D1" s="402"/>
      <c r="E1" s="402"/>
      <c r="F1" s="1294"/>
      <c r="G1" s="403"/>
      <c r="H1" s="403"/>
      <c r="I1" s="1187"/>
      <c r="J1" s="1187"/>
      <c r="K1" s="1187"/>
      <c r="L1" s="404"/>
      <c r="M1" s="404"/>
      <c r="N1" s="404"/>
      <c r="O1" s="1029"/>
      <c r="P1" s="1606"/>
      <c r="Q1" s="405"/>
      <c r="R1" s="405"/>
      <c r="S1" s="405"/>
      <c r="T1" s="405"/>
      <c r="U1" s="405"/>
      <c r="V1" s="405"/>
      <c r="W1" s="405"/>
      <c r="X1" s="405"/>
      <c r="Y1" s="405"/>
      <c r="Z1" s="405">
        <v>0</v>
      </c>
      <c r="AA1" s="406"/>
      <c r="AB1" s="405"/>
      <c r="AC1" s="405"/>
      <c r="AD1" s="405"/>
      <c r="AE1" s="405"/>
      <c r="AF1" s="405"/>
      <c r="AG1" s="405"/>
      <c r="AH1" s="405"/>
      <c r="AI1" s="2003"/>
      <c r="AJ1" s="2004"/>
      <c r="AK1" s="2004"/>
      <c r="AL1" s="2005"/>
      <c r="AU1" s="134"/>
      <c r="AV1" s="134"/>
    </row>
    <row r="2" spans="1:48" s="250" customFormat="1" x14ac:dyDescent="0.2">
      <c r="A2" s="2040" t="s">
        <v>2562</v>
      </c>
      <c r="B2" s="2041" t="s">
        <v>7273</v>
      </c>
      <c r="C2" s="407" t="s">
        <v>5410</v>
      </c>
      <c r="D2" s="2043" t="s">
        <v>4908</v>
      </c>
      <c r="E2" s="2044"/>
      <c r="F2" s="2044"/>
      <c r="G2" s="2045"/>
      <c r="H2" s="2029" t="s">
        <v>5411</v>
      </c>
      <c r="I2" s="2030"/>
      <c r="J2" s="2030"/>
      <c r="K2" s="2030"/>
      <c r="L2" s="2030"/>
      <c r="M2" s="2030"/>
      <c r="N2" s="2031"/>
      <c r="O2" s="2023" t="s">
        <v>3328</v>
      </c>
      <c r="P2" s="2034" t="s">
        <v>6464</v>
      </c>
      <c r="Q2" s="2021" t="s">
        <v>6091</v>
      </c>
      <c r="R2" s="2036" t="s">
        <v>7466</v>
      </c>
      <c r="S2" s="2017" t="s">
        <v>7471</v>
      </c>
      <c r="T2" s="2017"/>
      <c r="U2" s="2017"/>
      <c r="V2" s="2017" t="s">
        <v>7470</v>
      </c>
      <c r="W2" s="2017"/>
      <c r="X2" s="2017"/>
      <c r="Y2" s="2017"/>
      <c r="Z2" s="2017"/>
      <c r="AA2" s="2019" t="s">
        <v>7469</v>
      </c>
      <c r="AB2" s="2019"/>
      <c r="AC2" s="2019"/>
      <c r="AD2" s="2017" t="s">
        <v>7468</v>
      </c>
      <c r="AE2" s="2017"/>
      <c r="AF2" s="2017"/>
      <c r="AG2" s="2013" t="s">
        <v>7281</v>
      </c>
      <c r="AH2" s="2001" t="s">
        <v>1014</v>
      </c>
      <c r="AI2" s="2006" t="s">
        <v>6090</v>
      </c>
      <c r="AJ2" s="2007"/>
      <c r="AK2" s="2007"/>
      <c r="AL2" s="2008"/>
    </row>
    <row r="3" spans="1:48" s="250" customFormat="1" ht="12.75" customHeight="1" x14ac:dyDescent="0.2">
      <c r="A3" s="2040"/>
      <c r="B3" s="2042"/>
      <c r="C3" s="2049" t="s">
        <v>7461</v>
      </c>
      <c r="D3" s="2047" t="s">
        <v>7267</v>
      </c>
      <c r="E3" s="2048" t="s">
        <v>7460</v>
      </c>
      <c r="F3" s="2048" t="s">
        <v>7459</v>
      </c>
      <c r="G3" s="2046" t="s">
        <v>3830</v>
      </c>
      <c r="H3" s="2038" t="s">
        <v>1854</v>
      </c>
      <c r="I3" s="2039"/>
      <c r="J3" s="2026" t="s">
        <v>1866</v>
      </c>
      <c r="K3" s="2027"/>
      <c r="L3" s="2027"/>
      <c r="M3" s="2028"/>
      <c r="N3" s="2032" t="s">
        <v>1867</v>
      </c>
      <c r="O3" s="2024"/>
      <c r="P3" s="2035"/>
      <c r="Q3" s="2021"/>
      <c r="R3" s="2036"/>
      <c r="S3" s="2018"/>
      <c r="T3" s="2018"/>
      <c r="U3" s="2018"/>
      <c r="V3" s="2018"/>
      <c r="W3" s="2018"/>
      <c r="X3" s="2018"/>
      <c r="Y3" s="2018"/>
      <c r="Z3" s="2018"/>
      <c r="AA3" s="2020"/>
      <c r="AB3" s="2020"/>
      <c r="AC3" s="2020"/>
      <c r="AD3" s="2018"/>
      <c r="AE3" s="2018"/>
      <c r="AF3" s="2018"/>
      <c r="AG3" s="2013"/>
      <c r="AH3" s="2001"/>
      <c r="AI3" s="2009" t="s">
        <v>3606</v>
      </c>
      <c r="AJ3" s="2010" t="s">
        <v>3607</v>
      </c>
      <c r="AK3" s="2010" t="s">
        <v>3608</v>
      </c>
      <c r="AL3" s="2015" t="s">
        <v>3609</v>
      </c>
      <c r="AM3" s="2011" t="s">
        <v>7496</v>
      </c>
      <c r="AN3" s="2012"/>
      <c r="AO3" s="2012"/>
      <c r="AP3" s="2012"/>
      <c r="AR3" s="1292" t="s">
        <v>7495</v>
      </c>
      <c r="AS3" s="1291"/>
      <c r="AT3" s="1291"/>
    </row>
    <row r="4" spans="1:48" s="250" customFormat="1" ht="101.25" customHeight="1" x14ac:dyDescent="0.2">
      <c r="A4" s="2040"/>
      <c r="B4" s="2042"/>
      <c r="C4" s="2050"/>
      <c r="D4" s="2047"/>
      <c r="E4" s="2048"/>
      <c r="F4" s="2048"/>
      <c r="G4" s="2046"/>
      <c r="H4" s="409" t="s">
        <v>1533</v>
      </c>
      <c r="I4" s="410" t="s">
        <v>1532</v>
      </c>
      <c r="J4" s="411" t="s">
        <v>1868</v>
      </c>
      <c r="K4" s="411" t="s">
        <v>1869</v>
      </c>
      <c r="L4" s="411" t="s">
        <v>6540</v>
      </c>
      <c r="M4" s="412" t="s">
        <v>1870</v>
      </c>
      <c r="N4" s="2033"/>
      <c r="O4" s="2025"/>
      <c r="P4" s="2035"/>
      <c r="Q4" s="2022"/>
      <c r="R4" s="2037"/>
      <c r="S4" s="413" t="s">
        <v>7274</v>
      </c>
      <c r="T4" s="414" t="s">
        <v>7275</v>
      </c>
      <c r="U4" s="414" t="s">
        <v>7276</v>
      </c>
      <c r="V4" s="414" t="s">
        <v>6092</v>
      </c>
      <c r="W4" s="414" t="s">
        <v>6093</v>
      </c>
      <c r="X4" s="414" t="s">
        <v>5689</v>
      </c>
      <c r="Y4" s="414" t="s">
        <v>6094</v>
      </c>
      <c r="Z4" s="415" t="s">
        <v>7277</v>
      </c>
      <c r="AA4" s="416" t="s">
        <v>7278</v>
      </c>
      <c r="AB4" s="416" t="s">
        <v>7274</v>
      </c>
      <c r="AC4" s="416" t="s">
        <v>7279</v>
      </c>
      <c r="AD4" s="414" t="s">
        <v>7274</v>
      </c>
      <c r="AE4" s="414" t="s">
        <v>7280</v>
      </c>
      <c r="AF4" s="414" t="s">
        <v>7276</v>
      </c>
      <c r="AG4" s="2014"/>
      <c r="AH4" s="2002"/>
      <c r="AI4" s="2009"/>
      <c r="AJ4" s="2010"/>
      <c r="AK4" s="2010"/>
      <c r="AL4" s="2015"/>
      <c r="AM4" s="408" t="s">
        <v>4957</v>
      </c>
      <c r="AN4" s="408" t="s">
        <v>4958</v>
      </c>
      <c r="AO4" s="408" t="s">
        <v>4959</v>
      </c>
      <c r="AP4" s="408" t="s">
        <v>4960</v>
      </c>
      <c r="AQ4" s="1290" t="s">
        <v>7494</v>
      </c>
      <c r="AR4" s="1186" t="s">
        <v>6465</v>
      </c>
      <c r="AS4" s="1290" t="s">
        <v>7493</v>
      </c>
      <c r="AT4" s="1186" t="s">
        <v>6466</v>
      </c>
      <c r="AU4" s="417" t="s">
        <v>7268</v>
      </c>
      <c r="AV4" s="417" t="s">
        <v>7269</v>
      </c>
    </row>
    <row r="5" spans="1:48" ht="15" x14ac:dyDescent="0.2">
      <c r="A5" s="418" t="s">
        <v>4833</v>
      </c>
      <c r="B5" s="419"/>
      <c r="C5" s="420" t="s">
        <v>4735</v>
      </c>
      <c r="D5" s="425"/>
      <c r="E5" s="1348"/>
      <c r="F5" s="1348"/>
      <c r="G5" s="427"/>
      <c r="H5" s="1296"/>
      <c r="I5" s="421"/>
      <c r="J5" s="420"/>
      <c r="K5" s="420"/>
      <c r="L5" s="420"/>
      <c r="M5" s="420"/>
      <c r="N5" s="422"/>
      <c r="O5" s="1283"/>
      <c r="P5" s="1607"/>
      <c r="Q5" s="420"/>
      <c r="R5" s="420"/>
      <c r="S5" s="420"/>
      <c r="T5" s="420"/>
      <c r="U5" s="420"/>
      <c r="V5" s="420"/>
      <c r="W5" s="420"/>
      <c r="X5" s="420"/>
      <c r="Y5" s="420"/>
      <c r="Z5" s="420"/>
      <c r="AA5" s="420"/>
      <c r="AB5" s="420"/>
      <c r="AC5" s="420"/>
      <c r="AD5" s="420"/>
      <c r="AE5" s="420"/>
      <c r="AF5" s="424"/>
      <c r="AG5" s="420"/>
      <c r="AH5" s="420"/>
      <c r="AI5" s="425"/>
      <c r="AJ5" s="426"/>
      <c r="AK5" s="426"/>
      <c r="AL5" s="427"/>
    </row>
    <row r="6" spans="1:48" ht="24" x14ac:dyDescent="0.2">
      <c r="A6" s="428" t="s">
        <v>846</v>
      </c>
      <c r="B6" s="429" t="s">
        <v>5620</v>
      </c>
      <c r="C6" s="430" t="s">
        <v>1872</v>
      </c>
      <c r="D6" s="1349" t="s">
        <v>1873</v>
      </c>
      <c r="E6" s="1350" t="s">
        <v>2778</v>
      </c>
      <c r="F6" s="1350" t="s">
        <v>2779</v>
      </c>
      <c r="G6" s="1351" t="s">
        <v>3739</v>
      </c>
      <c r="H6" s="1342" t="s">
        <v>1465</v>
      </c>
      <c r="I6" s="432" t="s">
        <v>1880</v>
      </c>
      <c r="J6" s="431" t="s">
        <v>1880</v>
      </c>
      <c r="K6" s="431"/>
      <c r="L6" s="431"/>
      <c r="M6" s="433"/>
      <c r="N6" s="434"/>
      <c r="O6" s="1743" t="str">
        <f>VLOOKUP(B6,code_famille_scénario,2)&amp;VLOOKUP(C6,code_actif,2)&amp;", suite "&amp;VLOOKUP(I6,code_event,2)</f>
        <v>Effacement accidentel de fichiers de données applicatives, suite à un incident d'exploitation</v>
      </c>
      <c r="P6" s="435">
        <v>1</v>
      </c>
      <c r="Q6" s="1595" t="s">
        <v>1431</v>
      </c>
      <c r="R6" s="1595" t="s">
        <v>1873</v>
      </c>
      <c r="S6" s="1595" t="str">
        <f>Classif!C4</f>
        <v/>
      </c>
      <c r="T6" s="1595">
        <f t="shared" ref="T6:T45" si="0">VLOOKUP(H6&amp;"."&amp;I6,Tab_event,4)</f>
        <v>3</v>
      </c>
      <c r="U6" s="1744" t="str">
        <f t="shared" ref="U6:U45" si="1">IF(AND(NOT(S6=""),NOT(T6="")),INDEX(base_g,5-S6,T6),"")</f>
        <v/>
      </c>
      <c r="V6" s="1745">
        <v>1</v>
      </c>
      <c r="W6" s="1745">
        <f>S08A03</f>
        <v>1</v>
      </c>
      <c r="X6" s="1745">
        <f>S08E03</f>
        <v>1</v>
      </c>
      <c r="Y6" s="1745">
        <f t="shared" ref="Y6:Y17" si="2">S08D05</f>
        <v>1</v>
      </c>
      <c r="Z6" s="1746">
        <v>0</v>
      </c>
      <c r="AA6" s="1747"/>
      <c r="AB6" s="1748"/>
      <c r="AC6" s="1748"/>
      <c r="AD6" s="1595" t="str">
        <f t="shared" ref="AD6:AD37" si="3">IF(OR(R6="",S6=""),"",IF(R6="D",INDEX(base_i,IF(IF(AA6="",Z6,AA6)=0,4,5-X6),Y6+7*(S6-1)),IF(R6="I",INDEX(base_i,IF(IF(AA6="",Z6,AA6)=0,15,16-X6),Y6+7*(S6-1)),IF(R6="C",INDEX(base_i,IF(IF(AA6="",Z6,AA6)=0,26,27-X6),Y6+7*(S6-1)),INDEX(base_i,38-X6,Y6+7*(S6-1))))))</f>
        <v/>
      </c>
      <c r="AE6" s="1595">
        <f t="shared" ref="AE6:AE45" si="4">IF(OR(Q6="",T6=""),"",IF(Q6="A",INDEX(base_p,4,W6+7*(T6-1)),IF(Q6="E",INDEX(base_p,15,W6+7*(T6-1)),INDEX(base_p,27-V6,W6+7*(T6-1)))))</f>
        <v>3</v>
      </c>
      <c r="AF6" s="1595" t="str">
        <f t="shared" ref="AF6:AF45" si="5">IF(AT6=1,IF(IndG=1,U6,IF(AND(OR(NOT(AD6=""),NOT(AB6="")),OR(NOT(AE6=""),NOT(AC6="")),AT6=1),INDEX(base_g,5-IF(AB6="",AD6,AB6),IF(AC6="",AE6,AC6)),"")),0)</f>
        <v/>
      </c>
      <c r="AG6" s="1748"/>
      <c r="AH6" s="1749" t="str">
        <f>IF(OR(AG6="A",AG6="a",AG6="T",AG6="t",AF6=""),"",AF6)</f>
        <v/>
      </c>
      <c r="AI6" s="1615"/>
      <c r="AJ6" s="1616" t="s">
        <v>4324</v>
      </c>
      <c r="AK6" s="1617" t="s">
        <v>2532</v>
      </c>
      <c r="AL6" s="1617" t="s">
        <v>4439</v>
      </c>
      <c r="AM6" s="247" t="str">
        <f t="shared" ref="AM6:AM69" si="6">IF($AH6=1,$H6&amp;"."&amp;$I6&amp;$AH6,"")</f>
        <v/>
      </c>
      <c r="AN6" s="247" t="str">
        <f t="shared" ref="AN6:AN69" si="7">IF($AH6=2,$H6&amp;"."&amp;$I6&amp;$AH6,"")</f>
        <v/>
      </c>
      <c r="AO6" s="247" t="str">
        <f t="shared" ref="AO6:AO69" si="8">IF($AH6=3,$H6&amp;"."&amp;$I6&amp;$AH6,"")</f>
        <v/>
      </c>
      <c r="AP6" s="247" t="str">
        <f t="shared" ref="AP6:AP69" si="9">IF($AH6=4,$H6&amp;"."&amp;$I6&amp;$AH6,"")</f>
        <v/>
      </c>
      <c r="AQ6" s="42">
        <f t="shared" ref="AQ6:AQ45" si="10">VLOOKUP(LEFT(C6,3),Tab_classif_data,6)</f>
        <v>1</v>
      </c>
      <c r="AR6" s="42">
        <f t="shared" ref="AR6:AR45" si="11">VLOOKUP(G6,select_vul_data,2)</f>
        <v>1</v>
      </c>
      <c r="AS6" s="42">
        <f t="shared" ref="AS6:AS45" si="12">VLOOKUP(H6&amp;"."&amp;I6,select_men,5)</f>
        <v>1</v>
      </c>
      <c r="AT6" s="42">
        <f t="shared" ref="AT6:AT45" si="13">P6*AQ6*AR6*AS6</f>
        <v>1</v>
      </c>
      <c r="AU6" s="247" t="str">
        <f t="shared" ref="AU6:AU69" si="14">IF(S6="","",IF(T6="","",10*S6+T6))</f>
        <v/>
      </c>
      <c r="AV6" s="247" t="str">
        <f>IF(AD6="","",IF(AE6="","",10*AD6+AE6))</f>
        <v/>
      </c>
    </row>
    <row r="7" spans="1:48" ht="24" x14ac:dyDescent="0.2">
      <c r="A7" s="428" t="s">
        <v>847</v>
      </c>
      <c r="B7" s="429" t="s">
        <v>5624</v>
      </c>
      <c r="C7" s="430" t="s">
        <v>1872</v>
      </c>
      <c r="D7" s="1349" t="s">
        <v>1873</v>
      </c>
      <c r="E7" s="1350" t="s">
        <v>2778</v>
      </c>
      <c r="F7" s="1350" t="s">
        <v>2779</v>
      </c>
      <c r="G7" s="1351" t="s">
        <v>3739</v>
      </c>
      <c r="H7" s="1342" t="s">
        <v>1327</v>
      </c>
      <c r="I7" s="432" t="s">
        <v>1545</v>
      </c>
      <c r="J7" s="431" t="s">
        <v>1880</v>
      </c>
      <c r="K7" s="431"/>
      <c r="L7" s="431" t="s">
        <v>6541</v>
      </c>
      <c r="M7" s="433"/>
      <c r="N7" s="434" t="s">
        <v>1301</v>
      </c>
      <c r="O7" s="1743" t="str">
        <f t="shared" ref="O7:O18" si="15">VLOOKUP(B7,code_famille_scénario,2)&amp;VLOOKUP(C7,code_actif,2)&amp;", par "&amp;VLOOKUP(N7,code_acteur,2)&amp;", "&amp;VLOOKUP(L7,code_acces,2)</f>
        <v>Effacement par erreur de fichiers de données applicatives, par un utilisateur autorisé légitime, se connectant depuis le réseau interne</v>
      </c>
      <c r="P7" s="435">
        <v>1</v>
      </c>
      <c r="Q7" s="1595" t="s">
        <v>6403</v>
      </c>
      <c r="R7" s="1595" t="s">
        <v>1873</v>
      </c>
      <c r="S7" s="1595" t="str">
        <f>Classif!C4</f>
        <v/>
      </c>
      <c r="T7" s="1595">
        <f t="shared" si="0"/>
        <v>3</v>
      </c>
      <c r="U7" s="1744" t="str">
        <f t="shared" si="1"/>
        <v/>
      </c>
      <c r="V7" s="1745">
        <v>1</v>
      </c>
      <c r="W7" s="1745">
        <v>1</v>
      </c>
      <c r="X7" s="1745">
        <v>1</v>
      </c>
      <c r="Y7" s="1745">
        <f t="shared" si="2"/>
        <v>1</v>
      </c>
      <c r="Z7" s="1746">
        <v>0</v>
      </c>
      <c r="AA7" s="1747"/>
      <c r="AB7" s="1748"/>
      <c r="AC7" s="1748"/>
      <c r="AD7" s="1595" t="str">
        <f t="shared" si="3"/>
        <v/>
      </c>
      <c r="AE7" s="1595">
        <f t="shared" si="4"/>
        <v>3</v>
      </c>
      <c r="AF7" s="1595" t="str">
        <f t="shared" si="5"/>
        <v/>
      </c>
      <c r="AG7" s="1748"/>
      <c r="AH7" s="1749" t="str">
        <f t="shared" ref="AH7:AH69" si="16">IF(OR(AG7="A",AG7="a",AG7="T",AG7="t",AF7=""),"",AF7)</f>
        <v/>
      </c>
      <c r="AI7" s="1615"/>
      <c r="AJ7" s="1618"/>
      <c r="AK7" s="1618"/>
      <c r="AL7" s="1619" t="s">
        <v>4439</v>
      </c>
      <c r="AM7" s="247" t="str">
        <f t="shared" si="6"/>
        <v/>
      </c>
      <c r="AN7" s="247" t="str">
        <f t="shared" si="7"/>
        <v/>
      </c>
      <c r="AO7" s="247" t="str">
        <f t="shared" si="8"/>
        <v/>
      </c>
      <c r="AP7" s="247" t="str">
        <f t="shared" si="9"/>
        <v/>
      </c>
      <c r="AQ7" s="42">
        <f t="shared" si="10"/>
        <v>1</v>
      </c>
      <c r="AR7" s="42">
        <f t="shared" si="11"/>
        <v>1</v>
      </c>
      <c r="AS7" s="42">
        <f t="shared" si="12"/>
        <v>1</v>
      </c>
      <c r="AT7" s="42">
        <f t="shared" si="13"/>
        <v>1</v>
      </c>
      <c r="AU7" s="247" t="str">
        <f t="shared" si="14"/>
        <v/>
      </c>
      <c r="AV7" s="247" t="str">
        <f>IF(AD7="","",IF(AE7="","",10*AD7+AE7))</f>
        <v/>
      </c>
    </row>
    <row r="8" spans="1:48" ht="33.75" x14ac:dyDescent="0.2">
      <c r="A8" s="428" t="s">
        <v>848</v>
      </c>
      <c r="B8" s="429" t="s">
        <v>5624</v>
      </c>
      <c r="C8" s="430" t="s">
        <v>1872</v>
      </c>
      <c r="D8" s="1349" t="s">
        <v>1873</v>
      </c>
      <c r="E8" s="1350" t="s">
        <v>2778</v>
      </c>
      <c r="F8" s="1350" t="s">
        <v>2779</v>
      </c>
      <c r="G8" s="1351" t="s">
        <v>3739</v>
      </c>
      <c r="H8" s="1342" t="s">
        <v>1327</v>
      </c>
      <c r="I8" s="432" t="s">
        <v>1545</v>
      </c>
      <c r="J8" s="431" t="s">
        <v>1880</v>
      </c>
      <c r="K8" s="431"/>
      <c r="L8" s="431" t="s">
        <v>6541</v>
      </c>
      <c r="M8" s="433"/>
      <c r="N8" s="434" t="s">
        <v>1302</v>
      </c>
      <c r="O8" s="1743" t="str">
        <f t="shared" si="15"/>
        <v>Effacement par erreur de fichiers de données applicatives, par un utilisateur autorisé illégitime, se connectant depuis le réseau interne</v>
      </c>
      <c r="P8" s="435">
        <v>1</v>
      </c>
      <c r="Q8" s="1595" t="s">
        <v>6403</v>
      </c>
      <c r="R8" s="1595" t="s">
        <v>1873</v>
      </c>
      <c r="S8" s="1595" t="str">
        <f>Classif!C4</f>
        <v/>
      </c>
      <c r="T8" s="1595">
        <f t="shared" si="0"/>
        <v>3</v>
      </c>
      <c r="U8" s="1744" t="str">
        <f t="shared" si="1"/>
        <v/>
      </c>
      <c r="V8" s="1745">
        <v>1</v>
      </c>
      <c r="W8" s="1745">
        <f>MAX(MIN(S07A01,S07A02,S08F01),MIN(S09A01,S09A02))</f>
        <v>1</v>
      </c>
      <c r="X8" s="1745">
        <v>1</v>
      </c>
      <c r="Y8" s="1745">
        <f t="shared" si="2"/>
        <v>1</v>
      </c>
      <c r="Z8" s="1746">
        <v>0</v>
      </c>
      <c r="AA8" s="1747"/>
      <c r="AB8" s="1748"/>
      <c r="AC8" s="1748"/>
      <c r="AD8" s="1595" t="str">
        <f t="shared" si="3"/>
        <v/>
      </c>
      <c r="AE8" s="1595">
        <f t="shared" si="4"/>
        <v>3</v>
      </c>
      <c r="AF8" s="1595" t="str">
        <f t="shared" si="5"/>
        <v/>
      </c>
      <c r="AG8" s="1748"/>
      <c r="AH8" s="1749" t="str">
        <f t="shared" si="16"/>
        <v/>
      </c>
      <c r="AI8" s="1615"/>
      <c r="AJ8" s="1616" t="s">
        <v>6283</v>
      </c>
      <c r="AK8" s="1618"/>
      <c r="AL8" s="1619" t="s">
        <v>4439</v>
      </c>
      <c r="AM8" s="247" t="str">
        <f t="shared" si="6"/>
        <v/>
      </c>
      <c r="AN8" s="247" t="str">
        <f t="shared" si="7"/>
        <v/>
      </c>
      <c r="AO8" s="247" t="str">
        <f t="shared" si="8"/>
        <v/>
      </c>
      <c r="AP8" s="247" t="str">
        <f t="shared" si="9"/>
        <v/>
      </c>
      <c r="AQ8" s="42">
        <f t="shared" si="10"/>
        <v>1</v>
      </c>
      <c r="AR8" s="42">
        <f t="shared" si="11"/>
        <v>1</v>
      </c>
      <c r="AS8" s="42">
        <f t="shared" si="12"/>
        <v>1</v>
      </c>
      <c r="AT8" s="42">
        <f t="shared" si="13"/>
        <v>1</v>
      </c>
      <c r="AU8" s="247" t="str">
        <f t="shared" si="14"/>
        <v/>
      </c>
      <c r="AV8" s="247" t="str">
        <f t="shared" ref="AV8:AV69" si="17">IF(AD8="","",IF(AE8="","",10*AD8+AE8))</f>
        <v/>
      </c>
    </row>
    <row r="9" spans="1:48" ht="33.75" x14ac:dyDescent="0.2">
      <c r="A9" s="428" t="s">
        <v>849</v>
      </c>
      <c r="B9" s="429" t="s">
        <v>5624</v>
      </c>
      <c r="C9" s="430" t="s">
        <v>1872</v>
      </c>
      <c r="D9" s="1349" t="s">
        <v>1873</v>
      </c>
      <c r="E9" s="1350" t="s">
        <v>2778</v>
      </c>
      <c r="F9" s="1350" t="s">
        <v>2779</v>
      </c>
      <c r="G9" s="1351" t="s">
        <v>3739</v>
      </c>
      <c r="H9" s="1342" t="s">
        <v>1327</v>
      </c>
      <c r="I9" s="432" t="s">
        <v>1545</v>
      </c>
      <c r="J9" s="431" t="s">
        <v>1880</v>
      </c>
      <c r="K9" s="431"/>
      <c r="L9" s="431" t="s">
        <v>6541</v>
      </c>
      <c r="M9" s="433"/>
      <c r="N9" s="434" t="s">
        <v>1303</v>
      </c>
      <c r="O9" s="1743" t="str">
        <f t="shared" si="15"/>
        <v>Effacement par erreur de fichiers de données applicatives, par un utilisateur non autorisé, se connectant depuis le réseau interne</v>
      </c>
      <c r="P9" s="435">
        <v>1</v>
      </c>
      <c r="Q9" s="1595" t="s">
        <v>6403</v>
      </c>
      <c r="R9" s="1595" t="s">
        <v>1873</v>
      </c>
      <c r="S9" s="1595" t="str">
        <f>Classif!C4</f>
        <v/>
      </c>
      <c r="T9" s="1595">
        <f t="shared" si="0"/>
        <v>3</v>
      </c>
      <c r="U9" s="1744" t="str">
        <f t="shared" si="1"/>
        <v/>
      </c>
      <c r="V9" s="1745">
        <v>1</v>
      </c>
      <c r="W9" s="1745">
        <f>MAX(MIN(S07A03,S07A04,S08F02),MIN(S09A03,S09A04),S09C02)</f>
        <v>1</v>
      </c>
      <c r="X9" s="1745">
        <v>1</v>
      </c>
      <c r="Y9" s="1745">
        <f t="shared" si="2"/>
        <v>1</v>
      </c>
      <c r="Z9" s="1746">
        <v>0</v>
      </c>
      <c r="AA9" s="1747"/>
      <c r="AB9" s="1748"/>
      <c r="AC9" s="1748"/>
      <c r="AD9" s="1595" t="str">
        <f t="shared" si="3"/>
        <v/>
      </c>
      <c r="AE9" s="1595">
        <f t="shared" si="4"/>
        <v>3</v>
      </c>
      <c r="AF9" s="1595" t="str">
        <f t="shared" si="5"/>
        <v/>
      </c>
      <c r="AG9" s="1748"/>
      <c r="AH9" s="1749" t="str">
        <f t="shared" si="16"/>
        <v/>
      </c>
      <c r="AI9" s="1615"/>
      <c r="AJ9" s="1616" t="s">
        <v>6285</v>
      </c>
      <c r="AK9" s="1618"/>
      <c r="AL9" s="1619" t="s">
        <v>4439</v>
      </c>
      <c r="AM9" s="247" t="str">
        <f t="shared" si="6"/>
        <v/>
      </c>
      <c r="AN9" s="247" t="str">
        <f t="shared" si="7"/>
        <v/>
      </c>
      <c r="AO9" s="247" t="str">
        <f t="shared" si="8"/>
        <v/>
      </c>
      <c r="AP9" s="247" t="str">
        <f t="shared" si="9"/>
        <v/>
      </c>
      <c r="AQ9" s="42">
        <f t="shared" si="10"/>
        <v>1</v>
      </c>
      <c r="AR9" s="42">
        <f t="shared" si="11"/>
        <v>1</v>
      </c>
      <c r="AS9" s="42">
        <f t="shared" si="12"/>
        <v>1</v>
      </c>
      <c r="AT9" s="42">
        <f t="shared" si="13"/>
        <v>1</v>
      </c>
      <c r="AU9" s="247" t="str">
        <f t="shared" si="14"/>
        <v/>
      </c>
      <c r="AV9" s="247" t="str">
        <f t="shared" si="17"/>
        <v/>
      </c>
    </row>
    <row r="10" spans="1:48" ht="24" x14ac:dyDescent="0.2">
      <c r="A10" s="428" t="s">
        <v>850</v>
      </c>
      <c r="B10" s="429" t="s">
        <v>5624</v>
      </c>
      <c r="C10" s="430" t="s">
        <v>1872</v>
      </c>
      <c r="D10" s="1349" t="s">
        <v>1873</v>
      </c>
      <c r="E10" s="1350" t="s">
        <v>2778</v>
      </c>
      <c r="F10" s="1350" t="s">
        <v>2779</v>
      </c>
      <c r="G10" s="1351" t="s">
        <v>3739</v>
      </c>
      <c r="H10" s="1342" t="s">
        <v>1327</v>
      </c>
      <c r="I10" s="432" t="s">
        <v>1545</v>
      </c>
      <c r="J10" s="431" t="s">
        <v>1880</v>
      </c>
      <c r="K10" s="431"/>
      <c r="L10" s="431" t="s">
        <v>6541</v>
      </c>
      <c r="M10" s="433"/>
      <c r="N10" s="434" t="s">
        <v>6403</v>
      </c>
      <c r="O10" s="1743" t="str">
        <f t="shared" si="15"/>
        <v>Effacement par erreur de fichiers de données applicatives, par un membre du personnel d'exploitation, se connectant depuis le réseau interne</v>
      </c>
      <c r="P10" s="435">
        <v>1</v>
      </c>
      <c r="Q10" s="1595" t="s">
        <v>6403</v>
      </c>
      <c r="R10" s="1595" t="s">
        <v>1873</v>
      </c>
      <c r="S10" s="1595" t="str">
        <f>Classif!C4</f>
        <v/>
      </c>
      <c r="T10" s="1595">
        <f t="shared" si="0"/>
        <v>3</v>
      </c>
      <c r="U10" s="1744" t="str">
        <f t="shared" si="1"/>
        <v/>
      </c>
      <c r="V10" s="1745">
        <v>1</v>
      </c>
      <c r="W10" s="1745">
        <v>1</v>
      </c>
      <c r="X10" s="1745">
        <v>1</v>
      </c>
      <c r="Y10" s="1745">
        <f t="shared" si="2"/>
        <v>1</v>
      </c>
      <c r="Z10" s="1746">
        <v>0</v>
      </c>
      <c r="AA10" s="1747"/>
      <c r="AB10" s="1748"/>
      <c r="AC10" s="1748"/>
      <c r="AD10" s="1595" t="str">
        <f t="shared" si="3"/>
        <v/>
      </c>
      <c r="AE10" s="1595">
        <f t="shared" si="4"/>
        <v>3</v>
      </c>
      <c r="AF10" s="1595" t="str">
        <f t="shared" si="5"/>
        <v/>
      </c>
      <c r="AG10" s="1748"/>
      <c r="AH10" s="1749" t="str">
        <f t="shared" si="16"/>
        <v/>
      </c>
      <c r="AI10" s="1615"/>
      <c r="AJ10" s="1618"/>
      <c r="AK10" s="1618"/>
      <c r="AL10" s="1619" t="s">
        <v>4439</v>
      </c>
      <c r="AM10" s="247" t="str">
        <f t="shared" si="6"/>
        <v/>
      </c>
      <c r="AN10" s="247" t="str">
        <f t="shared" si="7"/>
        <v/>
      </c>
      <c r="AO10" s="247" t="str">
        <f t="shared" si="8"/>
        <v/>
      </c>
      <c r="AP10" s="247" t="str">
        <f t="shared" si="9"/>
        <v/>
      </c>
      <c r="AQ10" s="42">
        <f t="shared" si="10"/>
        <v>1</v>
      </c>
      <c r="AR10" s="42">
        <f t="shared" si="11"/>
        <v>1</v>
      </c>
      <c r="AS10" s="42">
        <f t="shared" si="12"/>
        <v>1</v>
      </c>
      <c r="AT10" s="42">
        <f t="shared" si="13"/>
        <v>1</v>
      </c>
      <c r="AU10" s="247" t="str">
        <f t="shared" si="14"/>
        <v/>
      </c>
      <c r="AV10" s="247" t="str">
        <f t="shared" si="17"/>
        <v/>
      </c>
    </row>
    <row r="11" spans="1:48" ht="24" x14ac:dyDescent="0.2">
      <c r="A11" s="428" t="s">
        <v>851</v>
      </c>
      <c r="B11" s="429" t="s">
        <v>5624</v>
      </c>
      <c r="C11" s="430" t="s">
        <v>1872</v>
      </c>
      <c r="D11" s="1349" t="s">
        <v>1873</v>
      </c>
      <c r="E11" s="1350" t="s">
        <v>2778</v>
      </c>
      <c r="F11" s="1350" t="s">
        <v>2779</v>
      </c>
      <c r="G11" s="1351" t="s">
        <v>3739</v>
      </c>
      <c r="H11" s="1342" t="s">
        <v>1327</v>
      </c>
      <c r="I11" s="432" t="s">
        <v>1545</v>
      </c>
      <c r="J11" s="431" t="s">
        <v>1880</v>
      </c>
      <c r="K11" s="431"/>
      <c r="L11" s="431" t="s">
        <v>6541</v>
      </c>
      <c r="M11" s="433"/>
      <c r="N11" s="434" t="s">
        <v>1299</v>
      </c>
      <c r="O11" s="1743" t="str">
        <f t="shared" si="15"/>
        <v>Effacement par erreur de fichiers de données applicatives, par un membre du personnel de maintenance, se connectant depuis le réseau interne</v>
      </c>
      <c r="P11" s="435">
        <v>1</v>
      </c>
      <c r="Q11" s="1595" t="s">
        <v>6403</v>
      </c>
      <c r="R11" s="1595" t="s">
        <v>1873</v>
      </c>
      <c r="S11" s="1595" t="str">
        <f>Classif!C4</f>
        <v/>
      </c>
      <c r="T11" s="1595">
        <f t="shared" si="0"/>
        <v>3</v>
      </c>
      <c r="U11" s="1744" t="str">
        <f t="shared" si="1"/>
        <v/>
      </c>
      <c r="V11" s="1745">
        <v>1</v>
      </c>
      <c r="W11" s="1745">
        <v>1</v>
      </c>
      <c r="X11" s="1745">
        <v>1</v>
      </c>
      <c r="Y11" s="1745">
        <f t="shared" si="2"/>
        <v>1</v>
      </c>
      <c r="Z11" s="1746">
        <v>0</v>
      </c>
      <c r="AA11" s="1747"/>
      <c r="AB11" s="1748"/>
      <c r="AC11" s="1748"/>
      <c r="AD11" s="1595" t="str">
        <f t="shared" si="3"/>
        <v/>
      </c>
      <c r="AE11" s="1595">
        <f t="shared" si="4"/>
        <v>3</v>
      </c>
      <c r="AF11" s="1595" t="str">
        <f t="shared" si="5"/>
        <v/>
      </c>
      <c r="AG11" s="1748"/>
      <c r="AH11" s="1749" t="str">
        <f t="shared" si="16"/>
        <v/>
      </c>
      <c r="AI11" s="1615"/>
      <c r="AJ11" s="1618"/>
      <c r="AK11" s="1618"/>
      <c r="AL11" s="1619" t="s">
        <v>4439</v>
      </c>
      <c r="AM11" s="247" t="str">
        <f t="shared" si="6"/>
        <v/>
      </c>
      <c r="AN11" s="247" t="str">
        <f t="shared" si="7"/>
        <v/>
      </c>
      <c r="AO11" s="247" t="str">
        <f t="shared" si="8"/>
        <v/>
      </c>
      <c r="AP11" s="247" t="str">
        <f t="shared" si="9"/>
        <v/>
      </c>
      <c r="AQ11" s="42">
        <f t="shared" si="10"/>
        <v>1</v>
      </c>
      <c r="AR11" s="42">
        <f t="shared" si="11"/>
        <v>1</v>
      </c>
      <c r="AS11" s="42">
        <f t="shared" si="12"/>
        <v>1</v>
      </c>
      <c r="AT11" s="42">
        <f t="shared" si="13"/>
        <v>1</v>
      </c>
      <c r="AU11" s="247" t="str">
        <f t="shared" si="14"/>
        <v/>
      </c>
      <c r="AV11" s="247" t="str">
        <f t="shared" si="17"/>
        <v/>
      </c>
    </row>
    <row r="12" spans="1:48" ht="24" x14ac:dyDescent="0.2">
      <c r="A12" s="428" t="s">
        <v>852</v>
      </c>
      <c r="B12" s="429" t="s">
        <v>5622</v>
      </c>
      <c r="C12" s="436" t="s">
        <v>1872</v>
      </c>
      <c r="D12" s="1349" t="s">
        <v>1873</v>
      </c>
      <c r="E12" s="1350" t="s">
        <v>2778</v>
      </c>
      <c r="F12" s="1350" t="s">
        <v>2779</v>
      </c>
      <c r="G12" s="1351" t="s">
        <v>3739</v>
      </c>
      <c r="H12" s="1297" t="s">
        <v>1328</v>
      </c>
      <c r="I12" s="437" t="s">
        <v>1546</v>
      </c>
      <c r="J12" s="431" t="s">
        <v>1880</v>
      </c>
      <c r="K12" s="431"/>
      <c r="L12" s="431" t="s">
        <v>6541</v>
      </c>
      <c r="M12" s="433"/>
      <c r="N12" s="434" t="s">
        <v>1301</v>
      </c>
      <c r="O12" s="1743" t="str">
        <f t="shared" si="15"/>
        <v>Effacement malveillant de fichiers de données applicatives, par un utilisateur autorisé légitime, se connectant depuis le réseau interne</v>
      </c>
      <c r="P12" s="435">
        <v>1</v>
      </c>
      <c r="Q12" s="1595" t="s">
        <v>1299</v>
      </c>
      <c r="R12" s="1595" t="s">
        <v>1873</v>
      </c>
      <c r="S12" s="1595" t="str">
        <f>Classif!C4</f>
        <v/>
      </c>
      <c r="T12" s="1595">
        <f t="shared" si="0"/>
        <v>2</v>
      </c>
      <c r="U12" s="1744" t="str">
        <f t="shared" si="1"/>
        <v/>
      </c>
      <c r="V12" s="1750">
        <f>MIN(S07C01,S08E02)</f>
        <v>1</v>
      </c>
      <c r="W12" s="1745">
        <v>1</v>
      </c>
      <c r="X12" s="1745">
        <v>1</v>
      </c>
      <c r="Y12" s="1745">
        <f t="shared" si="2"/>
        <v>1</v>
      </c>
      <c r="Z12" s="1746">
        <v>0</v>
      </c>
      <c r="AA12" s="1747"/>
      <c r="AB12" s="1748"/>
      <c r="AC12" s="1748"/>
      <c r="AD12" s="1595" t="str">
        <f t="shared" si="3"/>
        <v/>
      </c>
      <c r="AE12" s="1595">
        <f t="shared" si="4"/>
        <v>2</v>
      </c>
      <c r="AF12" s="1595" t="str">
        <f t="shared" si="5"/>
        <v/>
      </c>
      <c r="AG12" s="1748"/>
      <c r="AH12" s="1749" t="str">
        <f t="shared" si="16"/>
        <v/>
      </c>
      <c r="AI12" s="1620" t="s">
        <v>6492</v>
      </c>
      <c r="AJ12" s="1621"/>
      <c r="AK12" s="1618"/>
      <c r="AL12" s="1617" t="s">
        <v>4439</v>
      </c>
      <c r="AM12" s="247" t="str">
        <f t="shared" si="6"/>
        <v/>
      </c>
      <c r="AN12" s="247" t="str">
        <f t="shared" si="7"/>
        <v/>
      </c>
      <c r="AO12" s="247" t="str">
        <f t="shared" si="8"/>
        <v/>
      </c>
      <c r="AP12" s="247" t="str">
        <f t="shared" si="9"/>
        <v/>
      </c>
      <c r="AQ12" s="42">
        <f t="shared" si="10"/>
        <v>1</v>
      </c>
      <c r="AR12" s="42">
        <f t="shared" si="11"/>
        <v>1</v>
      </c>
      <c r="AS12" s="42">
        <f t="shared" si="12"/>
        <v>1</v>
      </c>
      <c r="AT12" s="42">
        <f t="shared" si="13"/>
        <v>1</v>
      </c>
      <c r="AU12" s="247" t="str">
        <f t="shared" si="14"/>
        <v/>
      </c>
      <c r="AV12" s="247" t="str">
        <f t="shared" si="17"/>
        <v/>
      </c>
    </row>
    <row r="13" spans="1:48" ht="33.75" x14ac:dyDescent="0.2">
      <c r="A13" s="428" t="s">
        <v>853</v>
      </c>
      <c r="B13" s="429" t="s">
        <v>5622</v>
      </c>
      <c r="C13" s="430" t="s">
        <v>1872</v>
      </c>
      <c r="D13" s="1349" t="s">
        <v>1873</v>
      </c>
      <c r="E13" s="1350" t="s">
        <v>2778</v>
      </c>
      <c r="F13" s="1350" t="s">
        <v>2779</v>
      </c>
      <c r="G13" s="1351" t="s">
        <v>3739</v>
      </c>
      <c r="H13" s="1342" t="s">
        <v>1328</v>
      </c>
      <c r="I13" s="432" t="s">
        <v>1546</v>
      </c>
      <c r="J13" s="431" t="s">
        <v>1880</v>
      </c>
      <c r="K13" s="431"/>
      <c r="L13" s="431" t="s">
        <v>6541</v>
      </c>
      <c r="M13" s="433"/>
      <c r="N13" s="434" t="s">
        <v>1302</v>
      </c>
      <c r="O13" s="1743" t="str">
        <f t="shared" si="15"/>
        <v>Effacement malveillant de fichiers de données applicatives, par un utilisateur autorisé illégitime, se connectant depuis le réseau interne</v>
      </c>
      <c r="P13" s="435">
        <v>1</v>
      </c>
      <c r="Q13" s="1595" t="s">
        <v>1299</v>
      </c>
      <c r="R13" s="1595" t="s">
        <v>1873</v>
      </c>
      <c r="S13" s="1595" t="str">
        <f>Classif!C4</f>
        <v/>
      </c>
      <c r="T13" s="1595">
        <f t="shared" si="0"/>
        <v>2</v>
      </c>
      <c r="U13" s="1744" t="str">
        <f t="shared" si="1"/>
        <v/>
      </c>
      <c r="V13" s="1750">
        <f>MIN(S07C01,S08E02)</f>
        <v>1</v>
      </c>
      <c r="W13" s="1745">
        <f>MAX(MIN(S07A01,S07A02,S08F01),MIN(S09A01,S09A02))</f>
        <v>1</v>
      </c>
      <c r="X13" s="1745">
        <v>1</v>
      </c>
      <c r="Y13" s="1745">
        <f t="shared" si="2"/>
        <v>1</v>
      </c>
      <c r="Z13" s="1746">
        <v>0</v>
      </c>
      <c r="AA13" s="1747"/>
      <c r="AB13" s="1748"/>
      <c r="AC13" s="1748"/>
      <c r="AD13" s="1595" t="str">
        <f t="shared" si="3"/>
        <v/>
      </c>
      <c r="AE13" s="1595">
        <f t="shared" si="4"/>
        <v>2</v>
      </c>
      <c r="AF13" s="1595" t="str">
        <f t="shared" si="5"/>
        <v/>
      </c>
      <c r="AG13" s="1748"/>
      <c r="AH13" s="1749" t="str">
        <f t="shared" si="16"/>
        <v/>
      </c>
      <c r="AI13" s="1620" t="s">
        <v>6492</v>
      </c>
      <c r="AJ13" s="1616" t="s">
        <v>6283</v>
      </c>
      <c r="AK13" s="1618"/>
      <c r="AL13" s="1617" t="s">
        <v>4439</v>
      </c>
      <c r="AM13" s="247" t="str">
        <f t="shared" si="6"/>
        <v/>
      </c>
      <c r="AN13" s="247" t="str">
        <f t="shared" si="7"/>
        <v/>
      </c>
      <c r="AO13" s="247" t="str">
        <f t="shared" si="8"/>
        <v/>
      </c>
      <c r="AP13" s="247" t="str">
        <f t="shared" si="9"/>
        <v/>
      </c>
      <c r="AQ13" s="42">
        <f t="shared" si="10"/>
        <v>1</v>
      </c>
      <c r="AR13" s="42">
        <f t="shared" si="11"/>
        <v>1</v>
      </c>
      <c r="AS13" s="42">
        <f t="shared" si="12"/>
        <v>1</v>
      </c>
      <c r="AT13" s="42">
        <f t="shared" si="13"/>
        <v>1</v>
      </c>
      <c r="AU13" s="247" t="str">
        <f t="shared" si="14"/>
        <v/>
      </c>
      <c r="AV13" s="247" t="str">
        <f t="shared" si="17"/>
        <v/>
      </c>
    </row>
    <row r="14" spans="1:48" ht="33.75" x14ac:dyDescent="0.2">
      <c r="A14" s="428" t="s">
        <v>854</v>
      </c>
      <c r="B14" s="429" t="s">
        <v>5622</v>
      </c>
      <c r="C14" s="430" t="s">
        <v>1872</v>
      </c>
      <c r="D14" s="1349" t="s">
        <v>1873</v>
      </c>
      <c r="E14" s="1350" t="s">
        <v>2778</v>
      </c>
      <c r="F14" s="1350" t="s">
        <v>2779</v>
      </c>
      <c r="G14" s="1351" t="s">
        <v>3739</v>
      </c>
      <c r="H14" s="1342" t="s">
        <v>1328</v>
      </c>
      <c r="I14" s="432" t="s">
        <v>1546</v>
      </c>
      <c r="J14" s="431" t="s">
        <v>1880</v>
      </c>
      <c r="K14" s="431"/>
      <c r="L14" s="431" t="s">
        <v>6541</v>
      </c>
      <c r="M14" s="433"/>
      <c r="N14" s="434" t="s">
        <v>1303</v>
      </c>
      <c r="O14" s="1743" t="str">
        <f t="shared" si="15"/>
        <v>Effacement malveillant de fichiers de données applicatives, par un utilisateur non autorisé, se connectant depuis le réseau interne</v>
      </c>
      <c r="P14" s="435">
        <v>1</v>
      </c>
      <c r="Q14" s="1595" t="s">
        <v>1299</v>
      </c>
      <c r="R14" s="1595" t="s">
        <v>1873</v>
      </c>
      <c r="S14" s="1595" t="str">
        <f>Classif!C4</f>
        <v/>
      </c>
      <c r="T14" s="1595">
        <f t="shared" si="0"/>
        <v>2</v>
      </c>
      <c r="U14" s="1744" t="str">
        <f t="shared" si="1"/>
        <v/>
      </c>
      <c r="V14" s="1745">
        <v>1</v>
      </c>
      <c r="W14" s="1745">
        <f>MAX(MIN(S07A03,S07A04,S08F02),MIN(S09A03,S09A04),S09C02)</f>
        <v>1</v>
      </c>
      <c r="X14" s="1745">
        <v>1</v>
      </c>
      <c r="Y14" s="1745">
        <f t="shared" si="2"/>
        <v>1</v>
      </c>
      <c r="Z14" s="1746">
        <v>0</v>
      </c>
      <c r="AA14" s="1747"/>
      <c r="AB14" s="1748"/>
      <c r="AC14" s="1748"/>
      <c r="AD14" s="1595" t="str">
        <f t="shared" si="3"/>
        <v/>
      </c>
      <c r="AE14" s="1595">
        <f t="shared" si="4"/>
        <v>2</v>
      </c>
      <c r="AF14" s="1595" t="str">
        <f t="shared" si="5"/>
        <v/>
      </c>
      <c r="AG14" s="1748"/>
      <c r="AH14" s="1749" t="str">
        <f t="shared" si="16"/>
        <v/>
      </c>
      <c r="AI14" s="1615"/>
      <c r="AJ14" s="1616" t="s">
        <v>6285</v>
      </c>
      <c r="AK14" s="1618"/>
      <c r="AL14" s="1617" t="s">
        <v>4439</v>
      </c>
      <c r="AM14" s="247" t="str">
        <f t="shared" si="6"/>
        <v/>
      </c>
      <c r="AN14" s="247" t="str">
        <f t="shared" si="7"/>
        <v/>
      </c>
      <c r="AO14" s="247" t="str">
        <f t="shared" si="8"/>
        <v/>
      </c>
      <c r="AP14" s="247" t="str">
        <f t="shared" si="9"/>
        <v/>
      </c>
      <c r="AQ14" s="42">
        <f t="shared" si="10"/>
        <v>1</v>
      </c>
      <c r="AR14" s="42">
        <f t="shared" si="11"/>
        <v>1</v>
      </c>
      <c r="AS14" s="42">
        <f t="shared" si="12"/>
        <v>1</v>
      </c>
      <c r="AT14" s="42">
        <f t="shared" si="13"/>
        <v>1</v>
      </c>
      <c r="AU14" s="247" t="str">
        <f t="shared" si="14"/>
        <v/>
      </c>
      <c r="AV14" s="247" t="str">
        <f t="shared" si="17"/>
        <v/>
      </c>
    </row>
    <row r="15" spans="1:48" ht="24" x14ac:dyDescent="0.2">
      <c r="A15" s="428" t="s">
        <v>855</v>
      </c>
      <c r="B15" s="429" t="s">
        <v>5622</v>
      </c>
      <c r="C15" s="430" t="s">
        <v>1872</v>
      </c>
      <c r="D15" s="1349" t="s">
        <v>1873</v>
      </c>
      <c r="E15" s="1350" t="s">
        <v>2778</v>
      </c>
      <c r="F15" s="1350" t="s">
        <v>2779</v>
      </c>
      <c r="G15" s="1351" t="s">
        <v>3739</v>
      </c>
      <c r="H15" s="1342" t="s">
        <v>1328</v>
      </c>
      <c r="I15" s="432" t="s">
        <v>1546</v>
      </c>
      <c r="J15" s="431" t="s">
        <v>1880</v>
      </c>
      <c r="K15" s="431"/>
      <c r="L15" s="431" t="s">
        <v>6541</v>
      </c>
      <c r="M15" s="433"/>
      <c r="N15" s="434" t="s">
        <v>6403</v>
      </c>
      <c r="O15" s="1743" t="str">
        <f t="shared" si="15"/>
        <v>Effacement malveillant de fichiers de données applicatives, par un membre du personnel d'exploitation, se connectant depuis le réseau interne</v>
      </c>
      <c r="P15" s="435">
        <v>1</v>
      </c>
      <c r="Q15" s="1595" t="s">
        <v>1299</v>
      </c>
      <c r="R15" s="1595" t="s">
        <v>1873</v>
      </c>
      <c r="S15" s="1595" t="str">
        <f>Classif!C4</f>
        <v/>
      </c>
      <c r="T15" s="1595">
        <f t="shared" si="0"/>
        <v>2</v>
      </c>
      <c r="U15" s="1744" t="str">
        <f t="shared" si="1"/>
        <v/>
      </c>
      <c r="V15" s="1745">
        <f>MIN(S08F02,S08F03)</f>
        <v>1</v>
      </c>
      <c r="W15" s="1745">
        <v>1</v>
      </c>
      <c r="X15" s="1745">
        <v>1</v>
      </c>
      <c r="Y15" s="1745">
        <f t="shared" si="2"/>
        <v>1</v>
      </c>
      <c r="Z15" s="1746">
        <v>0</v>
      </c>
      <c r="AA15" s="1747"/>
      <c r="AB15" s="1748"/>
      <c r="AC15" s="1748"/>
      <c r="AD15" s="1595" t="str">
        <f t="shared" si="3"/>
        <v/>
      </c>
      <c r="AE15" s="1595">
        <f t="shared" si="4"/>
        <v>2</v>
      </c>
      <c r="AF15" s="1595" t="str">
        <f t="shared" si="5"/>
        <v/>
      </c>
      <c r="AG15" s="1748"/>
      <c r="AH15" s="1749" t="str">
        <f t="shared" si="16"/>
        <v/>
      </c>
      <c r="AI15" s="1622" t="s">
        <v>6495</v>
      </c>
      <c r="AJ15" s="1621"/>
      <c r="AK15" s="1618"/>
      <c r="AL15" s="1617" t="s">
        <v>4439</v>
      </c>
      <c r="AM15" s="247" t="str">
        <f t="shared" si="6"/>
        <v/>
      </c>
      <c r="AN15" s="247" t="str">
        <f t="shared" si="7"/>
        <v/>
      </c>
      <c r="AO15" s="247" t="str">
        <f t="shared" si="8"/>
        <v/>
      </c>
      <c r="AP15" s="247" t="str">
        <f t="shared" si="9"/>
        <v/>
      </c>
      <c r="AQ15" s="42">
        <f t="shared" si="10"/>
        <v>1</v>
      </c>
      <c r="AR15" s="42">
        <f t="shared" si="11"/>
        <v>1</v>
      </c>
      <c r="AS15" s="42">
        <f t="shared" si="12"/>
        <v>1</v>
      </c>
      <c r="AT15" s="42">
        <f t="shared" si="13"/>
        <v>1</v>
      </c>
      <c r="AU15" s="247" t="str">
        <f t="shared" si="14"/>
        <v/>
      </c>
      <c r="AV15" s="247" t="str">
        <f t="shared" si="17"/>
        <v/>
      </c>
    </row>
    <row r="16" spans="1:48" ht="24" x14ac:dyDescent="0.2">
      <c r="A16" s="428" t="s">
        <v>856</v>
      </c>
      <c r="B16" s="429" t="s">
        <v>5622</v>
      </c>
      <c r="C16" s="430" t="s">
        <v>1872</v>
      </c>
      <c r="D16" s="1349" t="s">
        <v>1873</v>
      </c>
      <c r="E16" s="1350" t="s">
        <v>2778</v>
      </c>
      <c r="F16" s="1350" t="s">
        <v>2779</v>
      </c>
      <c r="G16" s="1351" t="s">
        <v>3739</v>
      </c>
      <c r="H16" s="1342" t="s">
        <v>1328</v>
      </c>
      <c r="I16" s="432" t="s">
        <v>1546</v>
      </c>
      <c r="J16" s="431" t="s">
        <v>1880</v>
      </c>
      <c r="K16" s="431"/>
      <c r="L16" s="431" t="s">
        <v>6541</v>
      </c>
      <c r="M16" s="433"/>
      <c r="N16" s="434" t="s">
        <v>1299</v>
      </c>
      <c r="O16" s="1743" t="str">
        <f t="shared" si="15"/>
        <v>Effacement malveillant de fichiers de données applicatives, par un membre du personnel de maintenance, se connectant depuis le réseau interne</v>
      </c>
      <c r="P16" s="435">
        <v>1</v>
      </c>
      <c r="Q16" s="1595" t="s">
        <v>1299</v>
      </c>
      <c r="R16" s="1595" t="s">
        <v>1873</v>
      </c>
      <c r="S16" s="1595" t="str">
        <f>Classif!C4</f>
        <v/>
      </c>
      <c r="T16" s="1595">
        <f t="shared" si="0"/>
        <v>2</v>
      </c>
      <c r="U16" s="1744" t="str">
        <f t="shared" si="1"/>
        <v/>
      </c>
      <c r="V16" s="1750">
        <f>MAX(S08A05,S08E02)</f>
        <v>1</v>
      </c>
      <c r="W16" s="1745">
        <v>1</v>
      </c>
      <c r="X16" s="1745">
        <v>1</v>
      </c>
      <c r="Y16" s="1745">
        <f t="shared" si="2"/>
        <v>1</v>
      </c>
      <c r="Z16" s="1746">
        <v>0</v>
      </c>
      <c r="AA16" s="1747"/>
      <c r="AB16" s="1748"/>
      <c r="AC16" s="1748"/>
      <c r="AD16" s="1595" t="str">
        <f t="shared" si="3"/>
        <v/>
      </c>
      <c r="AE16" s="1595">
        <f t="shared" si="4"/>
        <v>2</v>
      </c>
      <c r="AF16" s="1595" t="str">
        <f t="shared" si="5"/>
        <v/>
      </c>
      <c r="AG16" s="1748"/>
      <c r="AH16" s="1749" t="str">
        <f t="shared" si="16"/>
        <v/>
      </c>
      <c r="AI16" s="1620" t="s">
        <v>5009</v>
      </c>
      <c r="AJ16" s="1616"/>
      <c r="AK16" s="1616"/>
      <c r="AL16" s="1617" t="s">
        <v>4439</v>
      </c>
      <c r="AM16" s="247" t="str">
        <f t="shared" si="6"/>
        <v/>
      </c>
      <c r="AN16" s="247" t="str">
        <f t="shared" si="7"/>
        <v/>
      </c>
      <c r="AO16" s="247" t="str">
        <f t="shared" si="8"/>
        <v/>
      </c>
      <c r="AP16" s="247" t="str">
        <f t="shared" si="9"/>
        <v/>
      </c>
      <c r="AQ16" s="42">
        <f t="shared" si="10"/>
        <v>1</v>
      </c>
      <c r="AR16" s="42">
        <f t="shared" si="11"/>
        <v>1</v>
      </c>
      <c r="AS16" s="42">
        <f t="shared" si="12"/>
        <v>1</v>
      </c>
      <c r="AT16" s="42">
        <f t="shared" si="13"/>
        <v>1</v>
      </c>
      <c r="AU16" s="247" t="str">
        <f t="shared" si="14"/>
        <v/>
      </c>
      <c r="AV16" s="247" t="str">
        <f t="shared" si="17"/>
        <v/>
      </c>
    </row>
    <row r="17" spans="1:48" ht="24" x14ac:dyDescent="0.2">
      <c r="A17" s="428" t="s">
        <v>857</v>
      </c>
      <c r="B17" s="429" t="s">
        <v>5622</v>
      </c>
      <c r="C17" s="430" t="s">
        <v>1872</v>
      </c>
      <c r="D17" s="1349" t="s">
        <v>1873</v>
      </c>
      <c r="E17" s="1350" t="s">
        <v>2778</v>
      </c>
      <c r="F17" s="1350" t="s">
        <v>2779</v>
      </c>
      <c r="G17" s="1351" t="s">
        <v>3739</v>
      </c>
      <c r="H17" s="1342" t="s">
        <v>1328</v>
      </c>
      <c r="I17" s="432" t="s">
        <v>1546</v>
      </c>
      <c r="J17" s="431" t="s">
        <v>1880</v>
      </c>
      <c r="K17" s="431"/>
      <c r="L17" s="431" t="s">
        <v>6542</v>
      </c>
      <c r="M17" s="433"/>
      <c r="N17" s="434" t="s">
        <v>2835</v>
      </c>
      <c r="O17" s="1743" t="str">
        <f t="shared" si="15"/>
        <v>Effacement malveillant de fichiers de données applicatives, par un tiers non autorisé, se connectant par un port de télémaintenance</v>
      </c>
      <c r="P17" s="435">
        <v>1</v>
      </c>
      <c r="Q17" s="1595" t="s">
        <v>1299</v>
      </c>
      <c r="R17" s="1595" t="s">
        <v>1873</v>
      </c>
      <c r="S17" s="1595" t="str">
        <f>Classif!C4</f>
        <v/>
      </c>
      <c r="T17" s="1595">
        <f t="shared" si="0"/>
        <v>2</v>
      </c>
      <c r="U17" s="1744" t="str">
        <f t="shared" si="1"/>
        <v/>
      </c>
      <c r="V17" s="1750">
        <v>1</v>
      </c>
      <c r="W17" s="1745">
        <f>S08A06</f>
        <v>1</v>
      </c>
      <c r="X17" s="1745">
        <v>1</v>
      </c>
      <c r="Y17" s="1745">
        <f t="shared" si="2"/>
        <v>1</v>
      </c>
      <c r="Z17" s="1746">
        <v>0</v>
      </c>
      <c r="AA17" s="1747"/>
      <c r="AB17" s="1748"/>
      <c r="AC17" s="1748"/>
      <c r="AD17" s="1595" t="str">
        <f t="shared" si="3"/>
        <v/>
      </c>
      <c r="AE17" s="1595">
        <f t="shared" si="4"/>
        <v>2</v>
      </c>
      <c r="AF17" s="1595" t="str">
        <f t="shared" si="5"/>
        <v/>
      </c>
      <c r="AG17" s="1748"/>
      <c r="AH17" s="1749" t="str">
        <f t="shared" si="16"/>
        <v/>
      </c>
      <c r="AI17" s="1620"/>
      <c r="AJ17" s="1616" t="s">
        <v>2558</v>
      </c>
      <c r="AK17" s="1616"/>
      <c r="AL17" s="1617" t="s">
        <v>4439</v>
      </c>
      <c r="AM17" s="247" t="str">
        <f t="shared" si="6"/>
        <v/>
      </c>
      <c r="AN17" s="247" t="str">
        <f t="shared" si="7"/>
        <v/>
      </c>
      <c r="AO17" s="247" t="str">
        <f t="shared" si="8"/>
        <v/>
      </c>
      <c r="AP17" s="247" t="str">
        <f t="shared" si="9"/>
        <v/>
      </c>
      <c r="AQ17" s="42">
        <f t="shared" si="10"/>
        <v>1</v>
      </c>
      <c r="AR17" s="42">
        <f t="shared" si="11"/>
        <v>1</v>
      </c>
      <c r="AS17" s="42">
        <f t="shared" si="12"/>
        <v>1</v>
      </c>
      <c r="AT17" s="42">
        <f t="shared" si="13"/>
        <v>1</v>
      </c>
      <c r="AU17" s="247" t="str">
        <f t="shared" si="14"/>
        <v/>
      </c>
      <c r="AV17" s="247" t="str">
        <f t="shared" si="17"/>
        <v/>
      </c>
    </row>
    <row r="18" spans="1:48" ht="36" x14ac:dyDescent="0.2">
      <c r="A18" s="428" t="s">
        <v>858</v>
      </c>
      <c r="B18" s="429" t="s">
        <v>2602</v>
      </c>
      <c r="C18" s="430" t="s">
        <v>1872</v>
      </c>
      <c r="D18" s="1349" t="s">
        <v>1873</v>
      </c>
      <c r="E18" s="1350" t="s">
        <v>2778</v>
      </c>
      <c r="F18" s="1350" t="s">
        <v>2779</v>
      </c>
      <c r="G18" s="1351" t="s">
        <v>3739</v>
      </c>
      <c r="H18" s="1342" t="s">
        <v>1328</v>
      </c>
      <c r="I18" s="432" t="s">
        <v>1550</v>
      </c>
      <c r="J18" s="431"/>
      <c r="K18" s="431"/>
      <c r="L18" s="431" t="s">
        <v>6542</v>
      </c>
      <c r="M18" s="433"/>
      <c r="N18" s="434" t="s">
        <v>6403</v>
      </c>
      <c r="O18" s="1743" t="str">
        <f t="shared" si="15"/>
        <v>Effacement malveillant total de fichiers et fichiers de sauvegarde de données applicatives, par un membre du personnel d'exploitation, se connectant par un port de télémaintenance</v>
      </c>
      <c r="P18" s="435">
        <v>1</v>
      </c>
      <c r="Q18" s="1595" t="s">
        <v>1299</v>
      </c>
      <c r="R18" s="1595" t="s">
        <v>1873</v>
      </c>
      <c r="S18" s="1595" t="str">
        <f>Classif!C4</f>
        <v/>
      </c>
      <c r="T18" s="1595">
        <f t="shared" si="0"/>
        <v>2</v>
      </c>
      <c r="U18" s="1744" t="str">
        <f t="shared" si="1"/>
        <v/>
      </c>
      <c r="V18" s="1745">
        <f>MIN(S08F02,S08F03)</f>
        <v>1</v>
      </c>
      <c r="W18" s="1745">
        <v>1</v>
      </c>
      <c r="X18" s="1745">
        <v>1</v>
      </c>
      <c r="Y18" s="1745">
        <v>1</v>
      </c>
      <c r="Z18" s="1746">
        <v>0</v>
      </c>
      <c r="AA18" s="1747"/>
      <c r="AB18" s="1748"/>
      <c r="AC18" s="1748"/>
      <c r="AD18" s="1595" t="str">
        <f t="shared" si="3"/>
        <v/>
      </c>
      <c r="AE18" s="1595">
        <f t="shared" si="4"/>
        <v>2</v>
      </c>
      <c r="AF18" s="1595" t="str">
        <f t="shared" si="5"/>
        <v/>
      </c>
      <c r="AG18" s="1748"/>
      <c r="AH18" s="1749" t="str">
        <f t="shared" si="16"/>
        <v/>
      </c>
      <c r="AI18" s="1622" t="s">
        <v>6495</v>
      </c>
      <c r="AJ18" s="1621"/>
      <c r="AK18" s="1618"/>
      <c r="AL18" s="1617"/>
      <c r="AM18" s="247" t="str">
        <f t="shared" si="6"/>
        <v/>
      </c>
      <c r="AN18" s="247" t="str">
        <f t="shared" si="7"/>
        <v/>
      </c>
      <c r="AO18" s="247" t="str">
        <f t="shared" si="8"/>
        <v/>
      </c>
      <c r="AP18" s="247" t="str">
        <f t="shared" si="9"/>
        <v/>
      </c>
      <c r="AQ18" s="42">
        <f t="shared" si="10"/>
        <v>1</v>
      </c>
      <c r="AR18" s="42">
        <f t="shared" si="11"/>
        <v>1</v>
      </c>
      <c r="AS18" s="42">
        <f t="shared" si="12"/>
        <v>1</v>
      </c>
      <c r="AT18" s="42">
        <f t="shared" si="13"/>
        <v>1</v>
      </c>
      <c r="AU18" s="247" t="str">
        <f t="shared" si="14"/>
        <v/>
      </c>
      <c r="AV18" s="247" t="str">
        <f t="shared" si="17"/>
        <v/>
      </c>
    </row>
    <row r="19" spans="1:48" ht="24" x14ac:dyDescent="0.2">
      <c r="A19" s="428" t="s">
        <v>859</v>
      </c>
      <c r="B19" s="429" t="s">
        <v>5629</v>
      </c>
      <c r="C19" s="430" t="s">
        <v>1872</v>
      </c>
      <c r="D19" s="1349" t="s">
        <v>1873</v>
      </c>
      <c r="E19" s="1350" t="s">
        <v>2778</v>
      </c>
      <c r="F19" s="1350" t="s">
        <v>5162</v>
      </c>
      <c r="G19" s="1351" t="s">
        <v>3740</v>
      </c>
      <c r="H19" s="1342" t="s">
        <v>1327</v>
      </c>
      <c r="I19" s="432" t="s">
        <v>1545</v>
      </c>
      <c r="J19" s="431"/>
      <c r="K19" s="431"/>
      <c r="L19" s="431"/>
      <c r="M19" s="433" t="s">
        <v>5421</v>
      </c>
      <c r="N19" s="434" t="s">
        <v>1299</v>
      </c>
      <c r="O19" s="1743" t="str">
        <f>VLOOKUP(B19,code_famille_scénario,2)&amp;VLOOKUP(C19,code_actif,2)&amp;" due "&amp;VLOOKUP(I19,code_event,2)&amp;", "&amp;VLOOKUP(M19,code_process,2)</f>
        <v>Pollution accidentelle de fichiers de données applicatives due à une erreur de procédure, lors d'une opération de maintenance logicielle</v>
      </c>
      <c r="P19" s="435">
        <v>1</v>
      </c>
      <c r="Q19" s="1595" t="s">
        <v>1431</v>
      </c>
      <c r="R19" s="1595" t="s">
        <v>1873</v>
      </c>
      <c r="S19" s="1595" t="str">
        <f>Classif!C4</f>
        <v/>
      </c>
      <c r="T19" s="1595">
        <f t="shared" si="0"/>
        <v>3</v>
      </c>
      <c r="U19" s="1744" t="str">
        <f t="shared" si="1"/>
        <v/>
      </c>
      <c r="V19" s="1745">
        <v>1</v>
      </c>
      <c r="W19" s="1745">
        <f>S10B05</f>
        <v>1</v>
      </c>
      <c r="X19" s="1745">
        <v>1</v>
      </c>
      <c r="Y19" s="1745">
        <f t="shared" ref="Y19:Y25" si="18">S08D05</f>
        <v>1</v>
      </c>
      <c r="Z19" s="1746">
        <v>0</v>
      </c>
      <c r="AA19" s="1747"/>
      <c r="AB19" s="1748"/>
      <c r="AC19" s="1748"/>
      <c r="AD19" s="1595" t="str">
        <f t="shared" si="3"/>
        <v/>
      </c>
      <c r="AE19" s="1595">
        <f t="shared" si="4"/>
        <v>3</v>
      </c>
      <c r="AF19" s="1595" t="str">
        <f t="shared" si="5"/>
        <v/>
      </c>
      <c r="AG19" s="1748"/>
      <c r="AH19" s="1749" t="str">
        <f t="shared" si="16"/>
        <v/>
      </c>
      <c r="AI19" s="1615"/>
      <c r="AJ19" s="1616" t="s">
        <v>3224</v>
      </c>
      <c r="AK19" s="1616"/>
      <c r="AL19" s="1617" t="s">
        <v>4439</v>
      </c>
      <c r="AM19" s="247" t="str">
        <f t="shared" si="6"/>
        <v/>
      </c>
      <c r="AN19" s="247" t="str">
        <f t="shared" si="7"/>
        <v/>
      </c>
      <c r="AO19" s="247" t="str">
        <f t="shared" si="8"/>
        <v/>
      </c>
      <c r="AP19" s="247" t="str">
        <f t="shared" si="9"/>
        <v/>
      </c>
      <c r="AQ19" s="42">
        <f t="shared" si="10"/>
        <v>1</v>
      </c>
      <c r="AR19" s="42">
        <f t="shared" si="11"/>
        <v>1</v>
      </c>
      <c r="AS19" s="42">
        <f t="shared" si="12"/>
        <v>1</v>
      </c>
      <c r="AT19" s="42">
        <f t="shared" si="13"/>
        <v>1</v>
      </c>
      <c r="AU19" s="247" t="str">
        <f t="shared" si="14"/>
        <v/>
      </c>
      <c r="AV19" s="247" t="str">
        <f t="shared" si="17"/>
        <v/>
      </c>
    </row>
    <row r="20" spans="1:48" ht="24" x14ac:dyDescent="0.2">
      <c r="A20" s="428" t="s">
        <v>860</v>
      </c>
      <c r="B20" s="429" t="s">
        <v>5629</v>
      </c>
      <c r="C20" s="430" t="s">
        <v>1872</v>
      </c>
      <c r="D20" s="1349" t="s">
        <v>1873</v>
      </c>
      <c r="E20" s="1350" t="s">
        <v>2778</v>
      </c>
      <c r="F20" s="1350" t="s">
        <v>5162</v>
      </c>
      <c r="G20" s="1351" t="s">
        <v>3740</v>
      </c>
      <c r="H20" s="1342" t="s">
        <v>1327</v>
      </c>
      <c r="I20" s="432" t="s">
        <v>1545</v>
      </c>
      <c r="J20" s="431"/>
      <c r="K20" s="431"/>
      <c r="L20" s="431"/>
      <c r="M20" s="433" t="s">
        <v>5422</v>
      </c>
      <c r="N20" s="434" t="s">
        <v>1299</v>
      </c>
      <c r="O20" s="1743" t="str">
        <f>VLOOKUP(B20,code_famille_scénario,2)&amp;VLOOKUP(C20,code_actif,2)&amp;" due "&amp;VLOOKUP(I20,code_event,2)&amp;", "&amp;VLOOKUP(M20,code_process,2)</f>
        <v>Pollution accidentelle de fichiers de données applicatives due à une erreur de procédure, lors d'une opération de maintenance à chaud</v>
      </c>
      <c r="P20" s="435">
        <v>1</v>
      </c>
      <c r="Q20" s="1595" t="s">
        <v>1431</v>
      </c>
      <c r="R20" s="1595" t="s">
        <v>1873</v>
      </c>
      <c r="S20" s="1595" t="str">
        <f>Classif!C4</f>
        <v/>
      </c>
      <c r="T20" s="1595">
        <f t="shared" si="0"/>
        <v>3</v>
      </c>
      <c r="U20" s="1744" t="str">
        <f t="shared" si="1"/>
        <v/>
      </c>
      <c r="V20" s="1745">
        <v>1</v>
      </c>
      <c r="W20" s="1745">
        <f>S10B06</f>
        <v>1</v>
      </c>
      <c r="X20" s="1745">
        <v>1</v>
      </c>
      <c r="Y20" s="1745">
        <f t="shared" si="18"/>
        <v>1</v>
      </c>
      <c r="Z20" s="1746">
        <v>0</v>
      </c>
      <c r="AA20" s="1747"/>
      <c r="AB20" s="1748"/>
      <c r="AC20" s="1748"/>
      <c r="AD20" s="1595" t="str">
        <f t="shared" si="3"/>
        <v/>
      </c>
      <c r="AE20" s="1595">
        <f t="shared" si="4"/>
        <v>3</v>
      </c>
      <c r="AF20" s="1595" t="str">
        <f t="shared" si="5"/>
        <v/>
      </c>
      <c r="AG20" s="1748"/>
      <c r="AH20" s="1749" t="str">
        <f t="shared" si="16"/>
        <v/>
      </c>
      <c r="AI20" s="1615"/>
      <c r="AJ20" s="1616" t="s">
        <v>3226</v>
      </c>
      <c r="AK20" s="1616"/>
      <c r="AL20" s="1617" t="s">
        <v>4439</v>
      </c>
      <c r="AM20" s="247" t="str">
        <f t="shared" si="6"/>
        <v/>
      </c>
      <c r="AN20" s="247" t="str">
        <f t="shared" si="7"/>
        <v/>
      </c>
      <c r="AO20" s="247" t="str">
        <f t="shared" si="8"/>
        <v/>
      </c>
      <c r="AP20" s="247" t="str">
        <f t="shared" si="9"/>
        <v/>
      </c>
      <c r="AQ20" s="42">
        <f t="shared" si="10"/>
        <v>1</v>
      </c>
      <c r="AR20" s="42">
        <f t="shared" si="11"/>
        <v>1</v>
      </c>
      <c r="AS20" s="42">
        <f t="shared" si="12"/>
        <v>1</v>
      </c>
      <c r="AT20" s="42">
        <f t="shared" si="13"/>
        <v>1</v>
      </c>
      <c r="AU20" s="247" t="str">
        <f t="shared" si="14"/>
        <v/>
      </c>
      <c r="AV20" s="247" t="str">
        <f t="shared" si="17"/>
        <v/>
      </c>
    </row>
    <row r="21" spans="1:48" ht="24" x14ac:dyDescent="0.2">
      <c r="A21" s="428" t="s">
        <v>861</v>
      </c>
      <c r="B21" s="429" t="s">
        <v>5629</v>
      </c>
      <c r="C21" s="430" t="s">
        <v>1872</v>
      </c>
      <c r="D21" s="1349" t="s">
        <v>1873</v>
      </c>
      <c r="E21" s="1350" t="s">
        <v>2778</v>
      </c>
      <c r="F21" s="1350" t="s">
        <v>5162</v>
      </c>
      <c r="G21" s="1351" t="s">
        <v>3740</v>
      </c>
      <c r="H21" s="1342" t="s">
        <v>1465</v>
      </c>
      <c r="I21" s="432" t="s">
        <v>1880</v>
      </c>
      <c r="J21" s="431"/>
      <c r="K21" s="431"/>
      <c r="L21" s="431"/>
      <c r="M21" s="433"/>
      <c r="N21" s="434"/>
      <c r="O21" s="1743" t="str">
        <f>VLOOKUP(B21,code_famille_scénario,2)&amp;VLOOKUP(C21,code_actif,2)&amp;" due "&amp;VLOOKUP(I21,code_event,2)</f>
        <v>Pollution accidentelle de fichiers de données applicatives due à un incident d'exploitation</v>
      </c>
      <c r="P21" s="435">
        <v>1</v>
      </c>
      <c r="Q21" s="1595" t="s">
        <v>1431</v>
      </c>
      <c r="R21" s="1595" t="s">
        <v>1873</v>
      </c>
      <c r="S21" s="1595" t="str">
        <f>Classif!C4</f>
        <v/>
      </c>
      <c r="T21" s="1595">
        <f t="shared" si="0"/>
        <v>3</v>
      </c>
      <c r="U21" s="1744" t="str">
        <f t="shared" si="1"/>
        <v/>
      </c>
      <c r="V21" s="1745">
        <v>1</v>
      </c>
      <c r="W21" s="1745">
        <f>S08D03</f>
        <v>1</v>
      </c>
      <c r="X21" s="1745">
        <f>S08E02</f>
        <v>1</v>
      </c>
      <c r="Y21" s="1745">
        <f t="shared" si="18"/>
        <v>1</v>
      </c>
      <c r="Z21" s="1746">
        <v>0</v>
      </c>
      <c r="AA21" s="1747"/>
      <c r="AB21" s="1748"/>
      <c r="AC21" s="1748"/>
      <c r="AD21" s="1595" t="str">
        <f t="shared" si="3"/>
        <v/>
      </c>
      <c r="AE21" s="1595">
        <f t="shared" si="4"/>
        <v>3</v>
      </c>
      <c r="AF21" s="1595" t="str">
        <f t="shared" si="5"/>
        <v/>
      </c>
      <c r="AG21" s="1748"/>
      <c r="AH21" s="1749" t="str">
        <f t="shared" si="16"/>
        <v/>
      </c>
      <c r="AI21" s="1615"/>
      <c r="AJ21" s="1616" t="s">
        <v>1663</v>
      </c>
      <c r="AK21" s="1616" t="s">
        <v>1498</v>
      </c>
      <c r="AL21" s="1617" t="s">
        <v>4439</v>
      </c>
      <c r="AM21" s="247" t="str">
        <f t="shared" si="6"/>
        <v/>
      </c>
      <c r="AN21" s="247" t="str">
        <f t="shared" si="7"/>
        <v/>
      </c>
      <c r="AO21" s="247" t="str">
        <f t="shared" si="8"/>
        <v/>
      </c>
      <c r="AP21" s="247" t="str">
        <f t="shared" si="9"/>
        <v/>
      </c>
      <c r="AQ21" s="42">
        <f t="shared" si="10"/>
        <v>1</v>
      </c>
      <c r="AR21" s="42">
        <f t="shared" si="11"/>
        <v>1</v>
      </c>
      <c r="AS21" s="42">
        <f t="shared" si="12"/>
        <v>1</v>
      </c>
      <c r="AT21" s="42">
        <f t="shared" si="13"/>
        <v>1</v>
      </c>
      <c r="AU21" s="247" t="str">
        <f t="shared" si="14"/>
        <v/>
      </c>
      <c r="AV21" s="247" t="str">
        <f t="shared" si="17"/>
        <v/>
      </c>
    </row>
    <row r="22" spans="1:48" ht="33.75" x14ac:dyDescent="0.2">
      <c r="A22" s="428" t="s">
        <v>862</v>
      </c>
      <c r="B22" s="429" t="s">
        <v>5630</v>
      </c>
      <c r="C22" s="430" t="s">
        <v>1872</v>
      </c>
      <c r="D22" s="1349" t="s">
        <v>1873</v>
      </c>
      <c r="E22" s="1350" t="s">
        <v>2778</v>
      </c>
      <c r="F22" s="1350" t="s">
        <v>5162</v>
      </c>
      <c r="G22" s="1351" t="s">
        <v>3740</v>
      </c>
      <c r="H22" s="1342" t="s">
        <v>1328</v>
      </c>
      <c r="I22" s="432" t="s">
        <v>1548</v>
      </c>
      <c r="J22" s="431"/>
      <c r="K22" s="431"/>
      <c r="L22" s="431" t="s">
        <v>6541</v>
      </c>
      <c r="M22" s="433" t="s">
        <v>1880</v>
      </c>
      <c r="N22" s="434" t="s">
        <v>1302</v>
      </c>
      <c r="O22" s="1743" t="str">
        <f>VLOOKUP(B22,code_famille_scénario,2)&amp;VLOOKUP(C22,code_actif,2)&amp;", par "&amp;VLOOKUP(N22,code_acteur,2)&amp;", "&amp;VLOOKUP(L22,code_acces,2)</f>
        <v>Pollution malveillante de fichiers de données applicatives, par un utilisateur autorisé illégitime, se connectant depuis le réseau interne</v>
      </c>
      <c r="P22" s="435">
        <v>1</v>
      </c>
      <c r="Q22" s="1595" t="s">
        <v>1299</v>
      </c>
      <c r="R22" s="1595" t="s">
        <v>1873</v>
      </c>
      <c r="S22" s="1595" t="str">
        <f>Classif!C4</f>
        <v/>
      </c>
      <c r="T22" s="1595">
        <f t="shared" si="0"/>
        <v>3</v>
      </c>
      <c r="U22" s="1744" t="str">
        <f t="shared" si="1"/>
        <v/>
      </c>
      <c r="V22" s="1745">
        <v>1</v>
      </c>
      <c r="W22" s="1745">
        <f>MAX(MIN(S07A01,S07A02,S08F01),MIN(S09A01,S09A02))</f>
        <v>1</v>
      </c>
      <c r="X22" s="1745">
        <v>1</v>
      </c>
      <c r="Y22" s="1745">
        <f t="shared" si="18"/>
        <v>1</v>
      </c>
      <c r="Z22" s="1746">
        <v>0</v>
      </c>
      <c r="AA22" s="1747"/>
      <c r="AB22" s="1748"/>
      <c r="AC22" s="1748"/>
      <c r="AD22" s="1595" t="str">
        <f t="shared" si="3"/>
        <v/>
      </c>
      <c r="AE22" s="1595">
        <f t="shared" si="4"/>
        <v>3</v>
      </c>
      <c r="AF22" s="1595" t="str">
        <f t="shared" si="5"/>
        <v/>
      </c>
      <c r="AG22" s="1748"/>
      <c r="AH22" s="1749" t="str">
        <f t="shared" si="16"/>
        <v/>
      </c>
      <c r="AI22" s="1620"/>
      <c r="AJ22" s="1616" t="s">
        <v>6283</v>
      </c>
      <c r="AK22" s="1616"/>
      <c r="AL22" s="1617" t="s">
        <v>4439</v>
      </c>
      <c r="AM22" s="247" t="str">
        <f t="shared" si="6"/>
        <v/>
      </c>
      <c r="AN22" s="247" t="str">
        <f t="shared" si="7"/>
        <v/>
      </c>
      <c r="AO22" s="247" t="str">
        <f t="shared" si="8"/>
        <v/>
      </c>
      <c r="AP22" s="247" t="str">
        <f t="shared" si="9"/>
        <v/>
      </c>
      <c r="AQ22" s="42">
        <f t="shared" si="10"/>
        <v>1</v>
      </c>
      <c r="AR22" s="42">
        <f t="shared" si="11"/>
        <v>1</v>
      </c>
      <c r="AS22" s="42">
        <f t="shared" si="12"/>
        <v>1</v>
      </c>
      <c r="AT22" s="42">
        <f t="shared" si="13"/>
        <v>1</v>
      </c>
      <c r="AU22" s="247" t="str">
        <f t="shared" si="14"/>
        <v/>
      </c>
      <c r="AV22" s="247" t="str">
        <f t="shared" si="17"/>
        <v/>
      </c>
    </row>
    <row r="23" spans="1:48" ht="33.75" x14ac:dyDescent="0.2">
      <c r="A23" s="428" t="s">
        <v>863</v>
      </c>
      <c r="B23" s="429" t="s">
        <v>5630</v>
      </c>
      <c r="C23" s="430" t="s">
        <v>1872</v>
      </c>
      <c r="D23" s="1349" t="s">
        <v>1873</v>
      </c>
      <c r="E23" s="1350" t="s">
        <v>2778</v>
      </c>
      <c r="F23" s="1350" t="s">
        <v>5162</v>
      </c>
      <c r="G23" s="1351" t="s">
        <v>3740</v>
      </c>
      <c r="H23" s="1342" t="s">
        <v>1328</v>
      </c>
      <c r="I23" s="432" t="s">
        <v>1548</v>
      </c>
      <c r="J23" s="431"/>
      <c r="K23" s="431"/>
      <c r="L23" s="431" t="s">
        <v>6541</v>
      </c>
      <c r="M23" s="433" t="s">
        <v>1880</v>
      </c>
      <c r="N23" s="434" t="s">
        <v>1303</v>
      </c>
      <c r="O23" s="1743" t="str">
        <f>VLOOKUP(B23,code_famille_scénario,2)&amp;VLOOKUP(C23,code_actif,2)&amp;", par "&amp;VLOOKUP(N23,code_acteur,2)&amp;", "&amp;VLOOKUP(L23,code_acces,2)</f>
        <v>Pollution malveillante de fichiers de données applicatives, par un utilisateur non autorisé, se connectant depuis le réseau interne</v>
      </c>
      <c r="P23" s="435">
        <v>1</v>
      </c>
      <c r="Q23" s="1595" t="s">
        <v>1299</v>
      </c>
      <c r="R23" s="1595" t="s">
        <v>1873</v>
      </c>
      <c r="S23" s="1595" t="str">
        <f>Classif!C4</f>
        <v/>
      </c>
      <c r="T23" s="1595">
        <f t="shared" si="0"/>
        <v>3</v>
      </c>
      <c r="U23" s="1744" t="str">
        <f t="shared" si="1"/>
        <v/>
      </c>
      <c r="V23" s="1745">
        <v>1</v>
      </c>
      <c r="W23" s="1745">
        <f>MAX(MIN(S07A03,S07A04,S08F02),MIN(S09A03,S09A04),S09C02)</f>
        <v>1</v>
      </c>
      <c r="X23" s="1745">
        <v>1</v>
      </c>
      <c r="Y23" s="1745">
        <f t="shared" si="18"/>
        <v>1</v>
      </c>
      <c r="Z23" s="1746">
        <v>0</v>
      </c>
      <c r="AA23" s="1747"/>
      <c r="AB23" s="1748"/>
      <c r="AC23" s="1748"/>
      <c r="AD23" s="1595" t="str">
        <f t="shared" si="3"/>
        <v/>
      </c>
      <c r="AE23" s="1595">
        <f t="shared" si="4"/>
        <v>3</v>
      </c>
      <c r="AF23" s="1595" t="str">
        <f t="shared" si="5"/>
        <v/>
      </c>
      <c r="AG23" s="1748"/>
      <c r="AH23" s="1749" t="str">
        <f t="shared" si="16"/>
        <v/>
      </c>
      <c r="AI23" s="1620"/>
      <c r="AJ23" s="1616" t="s">
        <v>6285</v>
      </c>
      <c r="AK23" s="1616"/>
      <c r="AL23" s="1617" t="s">
        <v>4439</v>
      </c>
      <c r="AM23" s="247" t="str">
        <f t="shared" si="6"/>
        <v/>
      </c>
      <c r="AN23" s="247" t="str">
        <f t="shared" si="7"/>
        <v/>
      </c>
      <c r="AO23" s="247" t="str">
        <f t="shared" si="8"/>
        <v/>
      </c>
      <c r="AP23" s="247" t="str">
        <f t="shared" si="9"/>
        <v/>
      </c>
      <c r="AQ23" s="42">
        <f t="shared" si="10"/>
        <v>1</v>
      </c>
      <c r="AR23" s="42">
        <f t="shared" si="11"/>
        <v>1</v>
      </c>
      <c r="AS23" s="42">
        <f t="shared" si="12"/>
        <v>1</v>
      </c>
      <c r="AT23" s="42">
        <f t="shared" si="13"/>
        <v>1</v>
      </c>
      <c r="AU23" s="247" t="str">
        <f t="shared" si="14"/>
        <v/>
      </c>
      <c r="AV23" s="247" t="str">
        <f t="shared" si="17"/>
        <v/>
      </c>
    </row>
    <row r="24" spans="1:48" ht="24" x14ac:dyDescent="0.2">
      <c r="A24" s="428" t="s">
        <v>864</v>
      </c>
      <c r="B24" s="429" t="s">
        <v>5630</v>
      </c>
      <c r="C24" s="430" t="s">
        <v>1872</v>
      </c>
      <c r="D24" s="1349" t="s">
        <v>1873</v>
      </c>
      <c r="E24" s="1350" t="s">
        <v>2778</v>
      </c>
      <c r="F24" s="1350" t="s">
        <v>5162</v>
      </c>
      <c r="G24" s="1351" t="s">
        <v>3740</v>
      </c>
      <c r="H24" s="1342" t="s">
        <v>1328</v>
      </c>
      <c r="I24" s="432" t="s">
        <v>1548</v>
      </c>
      <c r="J24" s="431"/>
      <c r="K24" s="431"/>
      <c r="L24" s="431" t="s">
        <v>6541</v>
      </c>
      <c r="M24" s="433" t="s">
        <v>1880</v>
      </c>
      <c r="N24" s="434" t="s">
        <v>6403</v>
      </c>
      <c r="O24" s="1743" t="str">
        <f>VLOOKUP(B24,code_famille_scénario,2)&amp;VLOOKUP(C24,code_actif,2)&amp;", par "&amp;VLOOKUP(N24,code_acteur,2)&amp;", "&amp;VLOOKUP(L24,code_acces,2)</f>
        <v>Pollution malveillante de fichiers de données applicatives, par un membre du personnel d'exploitation, se connectant depuis le réseau interne</v>
      </c>
      <c r="P24" s="435">
        <v>1</v>
      </c>
      <c r="Q24" s="1595" t="s">
        <v>1299</v>
      </c>
      <c r="R24" s="1595" t="s">
        <v>1873</v>
      </c>
      <c r="S24" s="1595" t="str">
        <f>Classif!C4</f>
        <v/>
      </c>
      <c r="T24" s="1595">
        <f t="shared" si="0"/>
        <v>3</v>
      </c>
      <c r="U24" s="1744" t="str">
        <f t="shared" si="1"/>
        <v/>
      </c>
      <c r="V24" s="1745">
        <v>1</v>
      </c>
      <c r="W24" s="1745">
        <f>S09C02</f>
        <v>1</v>
      </c>
      <c r="X24" s="1745">
        <v>1</v>
      </c>
      <c r="Y24" s="1745">
        <f t="shared" si="18"/>
        <v>1</v>
      </c>
      <c r="Z24" s="1746">
        <v>0</v>
      </c>
      <c r="AA24" s="1747"/>
      <c r="AB24" s="1748"/>
      <c r="AC24" s="1748"/>
      <c r="AD24" s="1595" t="str">
        <f t="shared" si="3"/>
        <v/>
      </c>
      <c r="AE24" s="1595">
        <f t="shared" si="4"/>
        <v>3</v>
      </c>
      <c r="AF24" s="1595" t="str">
        <f t="shared" si="5"/>
        <v/>
      </c>
      <c r="AG24" s="1748"/>
      <c r="AH24" s="1749" t="str">
        <f t="shared" si="16"/>
        <v/>
      </c>
      <c r="AI24" s="1615"/>
      <c r="AJ24" s="1616" t="s">
        <v>2553</v>
      </c>
      <c r="AK24" s="1618"/>
      <c r="AL24" s="1617" t="s">
        <v>4439</v>
      </c>
      <c r="AM24" s="247" t="str">
        <f t="shared" si="6"/>
        <v/>
      </c>
      <c r="AN24" s="247" t="str">
        <f t="shared" si="7"/>
        <v/>
      </c>
      <c r="AO24" s="247" t="str">
        <f t="shared" si="8"/>
        <v/>
      </c>
      <c r="AP24" s="247" t="str">
        <f t="shared" si="9"/>
        <v/>
      </c>
      <c r="AQ24" s="42">
        <f t="shared" si="10"/>
        <v>1</v>
      </c>
      <c r="AR24" s="42">
        <f t="shared" si="11"/>
        <v>1</v>
      </c>
      <c r="AS24" s="42">
        <f t="shared" si="12"/>
        <v>1</v>
      </c>
      <c r="AT24" s="42">
        <f t="shared" si="13"/>
        <v>1</v>
      </c>
      <c r="AU24" s="247" t="str">
        <f t="shared" si="14"/>
        <v/>
      </c>
      <c r="AV24" s="247" t="str">
        <f t="shared" si="17"/>
        <v/>
      </c>
    </row>
    <row r="25" spans="1:48" ht="24" x14ac:dyDescent="0.2">
      <c r="A25" s="428" t="s">
        <v>865</v>
      </c>
      <c r="B25" s="429" t="s">
        <v>5630</v>
      </c>
      <c r="C25" s="430" t="s">
        <v>1872</v>
      </c>
      <c r="D25" s="1349" t="s">
        <v>1873</v>
      </c>
      <c r="E25" s="1350" t="s">
        <v>2778</v>
      </c>
      <c r="F25" s="1350" t="s">
        <v>5162</v>
      </c>
      <c r="G25" s="1351" t="s">
        <v>3740</v>
      </c>
      <c r="H25" s="1342" t="s">
        <v>1328</v>
      </c>
      <c r="I25" s="432" t="s">
        <v>1548</v>
      </c>
      <c r="J25" s="431"/>
      <c r="K25" s="431"/>
      <c r="L25" s="431" t="s">
        <v>6541</v>
      </c>
      <c r="M25" s="433" t="s">
        <v>1880</v>
      </c>
      <c r="N25" s="434" t="s">
        <v>1299</v>
      </c>
      <c r="O25" s="1743" t="str">
        <f>VLOOKUP(B25,code_famille_scénario,2)&amp;VLOOKUP(C25,code_actif,2)&amp;", par "&amp;VLOOKUP(N25,code_acteur,2)&amp;", "&amp;VLOOKUP(L25,code_acces,2)</f>
        <v>Pollution malveillante de fichiers de données applicatives, par un membre du personnel de maintenance, se connectant depuis le réseau interne</v>
      </c>
      <c r="P25" s="435">
        <v>1</v>
      </c>
      <c r="Q25" s="1595" t="s">
        <v>1299</v>
      </c>
      <c r="R25" s="1595" t="s">
        <v>1873</v>
      </c>
      <c r="S25" s="1595" t="str">
        <f>Classif!C4</f>
        <v/>
      </c>
      <c r="T25" s="1595">
        <f t="shared" si="0"/>
        <v>3</v>
      </c>
      <c r="U25" s="1744" t="str">
        <f t="shared" si="1"/>
        <v/>
      </c>
      <c r="V25" s="1745">
        <v>1</v>
      </c>
      <c r="W25" s="1745">
        <f>MAX(S09C02,S10B05)</f>
        <v>1</v>
      </c>
      <c r="X25" s="1745">
        <v>1</v>
      </c>
      <c r="Y25" s="1745">
        <f t="shared" si="18"/>
        <v>1</v>
      </c>
      <c r="Z25" s="1746">
        <v>0</v>
      </c>
      <c r="AA25" s="1747"/>
      <c r="AB25" s="1748"/>
      <c r="AC25" s="1748"/>
      <c r="AD25" s="1595" t="str">
        <f t="shared" si="3"/>
        <v/>
      </c>
      <c r="AE25" s="1595">
        <f t="shared" si="4"/>
        <v>3</v>
      </c>
      <c r="AF25" s="1595" t="str">
        <f t="shared" si="5"/>
        <v/>
      </c>
      <c r="AG25" s="1748"/>
      <c r="AH25" s="1749" t="str">
        <f t="shared" si="16"/>
        <v/>
      </c>
      <c r="AI25" s="1615"/>
      <c r="AJ25" s="1616" t="s">
        <v>6286</v>
      </c>
      <c r="AK25" s="1618"/>
      <c r="AL25" s="1617" t="s">
        <v>4439</v>
      </c>
      <c r="AM25" s="247" t="str">
        <f t="shared" si="6"/>
        <v/>
      </c>
      <c r="AN25" s="247" t="str">
        <f t="shared" si="7"/>
        <v/>
      </c>
      <c r="AO25" s="247" t="str">
        <f t="shared" si="8"/>
        <v/>
      </c>
      <c r="AP25" s="247" t="str">
        <f t="shared" si="9"/>
        <v/>
      </c>
      <c r="AQ25" s="42">
        <f t="shared" si="10"/>
        <v>1</v>
      </c>
      <c r="AR25" s="42">
        <f t="shared" si="11"/>
        <v>1</v>
      </c>
      <c r="AS25" s="42">
        <f t="shared" si="12"/>
        <v>1</v>
      </c>
      <c r="AT25" s="42">
        <f t="shared" si="13"/>
        <v>1</v>
      </c>
      <c r="AU25" s="247" t="str">
        <f t="shared" si="14"/>
        <v/>
      </c>
      <c r="AV25" s="247" t="str">
        <f t="shared" si="17"/>
        <v/>
      </c>
    </row>
    <row r="26" spans="1:48" ht="24" x14ac:dyDescent="0.2">
      <c r="A26" s="428" t="s">
        <v>866</v>
      </c>
      <c r="B26" s="429" t="s">
        <v>4475</v>
      </c>
      <c r="C26" s="430" t="s">
        <v>1872</v>
      </c>
      <c r="D26" s="1349" t="s">
        <v>1873</v>
      </c>
      <c r="E26" s="1350" t="s">
        <v>1874</v>
      </c>
      <c r="F26" s="1350" t="s">
        <v>1875</v>
      </c>
      <c r="G26" s="1351" t="s">
        <v>6070</v>
      </c>
      <c r="H26" s="1342" t="s">
        <v>3919</v>
      </c>
      <c r="I26" s="432" t="s">
        <v>1535</v>
      </c>
      <c r="J26" s="431" t="s">
        <v>1880</v>
      </c>
      <c r="K26" s="438"/>
      <c r="L26" s="438"/>
      <c r="M26" s="439"/>
      <c r="N26" s="440"/>
      <c r="O26" s="1743" t="str">
        <f>VLOOKUP(B26,code_famille_scénario,2)&amp;VLOOKUP(C26,code_actif,2)&amp;", "&amp;VLOOKUP(J26,Code_lieu,2)&amp;", suite "&amp;VLOOKUP(I26,code_event,2)</f>
        <v>Perte, par destruction accidentelle, de media support de fichiers  de données applicatives, dans les locaux de l'exploitation, suite à un incendie</v>
      </c>
      <c r="P26" s="435">
        <v>1</v>
      </c>
      <c r="Q26" s="1595" t="s">
        <v>1431</v>
      </c>
      <c r="R26" s="1595" t="s">
        <v>1873</v>
      </c>
      <c r="S26" s="1595" t="str">
        <f>Classif!C4</f>
        <v/>
      </c>
      <c r="T26" s="1595">
        <f t="shared" si="0"/>
        <v>2</v>
      </c>
      <c r="U26" s="1744" t="str">
        <f t="shared" si="1"/>
        <v/>
      </c>
      <c r="V26" s="1745">
        <v>1</v>
      </c>
      <c r="W26" s="1745">
        <f>S03D01</f>
        <v>1</v>
      </c>
      <c r="X26" s="1745">
        <v>1</v>
      </c>
      <c r="Y26" s="1750">
        <f>MIN(S08D05,S08D09)</f>
        <v>1</v>
      </c>
      <c r="Z26" s="1746">
        <v>0</v>
      </c>
      <c r="AA26" s="1747"/>
      <c r="AB26" s="1748"/>
      <c r="AC26" s="1748"/>
      <c r="AD26" s="1595" t="str">
        <f t="shared" si="3"/>
        <v/>
      </c>
      <c r="AE26" s="1595">
        <f t="shared" si="4"/>
        <v>2</v>
      </c>
      <c r="AF26" s="1595" t="str">
        <f t="shared" si="5"/>
        <v/>
      </c>
      <c r="AG26" s="1748"/>
      <c r="AH26" s="1749" t="str">
        <f t="shared" si="16"/>
        <v/>
      </c>
      <c r="AI26" s="1615"/>
      <c r="AJ26" s="1621" t="s">
        <v>5225</v>
      </c>
      <c r="AK26" s="1618"/>
      <c r="AL26" s="1617" t="s">
        <v>6855</v>
      </c>
      <c r="AM26" s="247" t="str">
        <f t="shared" si="6"/>
        <v/>
      </c>
      <c r="AN26" s="247" t="str">
        <f t="shared" si="7"/>
        <v/>
      </c>
      <c r="AO26" s="247" t="str">
        <f t="shared" si="8"/>
        <v/>
      </c>
      <c r="AP26" s="247" t="str">
        <f t="shared" si="9"/>
        <v/>
      </c>
      <c r="AQ26" s="42">
        <f t="shared" si="10"/>
        <v>1</v>
      </c>
      <c r="AR26" s="42">
        <f t="shared" si="11"/>
        <v>1</v>
      </c>
      <c r="AS26" s="42">
        <f t="shared" si="12"/>
        <v>1</v>
      </c>
      <c r="AT26" s="42">
        <f t="shared" si="13"/>
        <v>1</v>
      </c>
      <c r="AU26" s="247" t="str">
        <f t="shared" si="14"/>
        <v/>
      </c>
      <c r="AV26" s="247" t="str">
        <f t="shared" si="17"/>
        <v/>
      </c>
    </row>
    <row r="27" spans="1:48" ht="24" x14ac:dyDescent="0.2">
      <c r="A27" s="428" t="s">
        <v>867</v>
      </c>
      <c r="B27" s="429" t="s">
        <v>4475</v>
      </c>
      <c r="C27" s="430" t="s">
        <v>1872</v>
      </c>
      <c r="D27" s="1349" t="s">
        <v>1873</v>
      </c>
      <c r="E27" s="1350" t="s">
        <v>1874</v>
      </c>
      <c r="F27" s="1350" t="s">
        <v>1875</v>
      </c>
      <c r="G27" s="1351" t="s">
        <v>6070</v>
      </c>
      <c r="H27" s="1342" t="s">
        <v>3919</v>
      </c>
      <c r="I27" s="432" t="s">
        <v>1536</v>
      </c>
      <c r="J27" s="431" t="s">
        <v>1880</v>
      </c>
      <c r="K27" s="438"/>
      <c r="L27" s="438"/>
      <c r="M27" s="439"/>
      <c r="N27" s="440"/>
      <c r="O27" s="1743" t="str">
        <f>VLOOKUP(B27,code_famille_scénario,2)&amp;VLOOKUP(C27,code_actif,2)&amp;", "&amp;VLOOKUP(J27,Code_lieu,2)&amp;", suite "&amp;VLOOKUP(I27,code_event,2)</f>
        <v>Perte, par destruction accidentelle, de media support de fichiers  de données applicatives, dans les locaux de l'exploitation, suite à une inondation</v>
      </c>
      <c r="P27" s="435">
        <v>1</v>
      </c>
      <c r="Q27" s="1595" t="s">
        <v>1431</v>
      </c>
      <c r="R27" s="1595" t="s">
        <v>1873</v>
      </c>
      <c r="S27" s="1595" t="str">
        <f>Classif!C4</f>
        <v/>
      </c>
      <c r="T27" s="1595">
        <f t="shared" si="0"/>
        <v>2</v>
      </c>
      <c r="U27" s="1744" t="str">
        <f t="shared" si="1"/>
        <v/>
      </c>
      <c r="V27" s="1745">
        <v>1</v>
      </c>
      <c r="W27" s="1745">
        <v>1</v>
      </c>
      <c r="X27" s="1745">
        <v>1</v>
      </c>
      <c r="Y27" s="1750">
        <f>MIN(S08D05,S08D09)</f>
        <v>1</v>
      </c>
      <c r="Z27" s="1746">
        <v>0</v>
      </c>
      <c r="AA27" s="1747"/>
      <c r="AB27" s="1748"/>
      <c r="AC27" s="1748"/>
      <c r="AD27" s="1595" t="str">
        <f t="shared" si="3"/>
        <v/>
      </c>
      <c r="AE27" s="1595">
        <f t="shared" si="4"/>
        <v>2</v>
      </c>
      <c r="AF27" s="1595" t="str">
        <f t="shared" si="5"/>
        <v/>
      </c>
      <c r="AG27" s="1748"/>
      <c r="AH27" s="1749" t="str">
        <f t="shared" si="16"/>
        <v/>
      </c>
      <c r="AI27" s="1615"/>
      <c r="AJ27" s="1621"/>
      <c r="AK27" s="1618"/>
      <c r="AL27" s="1617" t="s">
        <v>6855</v>
      </c>
      <c r="AM27" s="247" t="str">
        <f t="shared" si="6"/>
        <v/>
      </c>
      <c r="AN27" s="247" t="str">
        <f t="shared" si="7"/>
        <v/>
      </c>
      <c r="AO27" s="247" t="str">
        <f t="shared" si="8"/>
        <v/>
      </c>
      <c r="AP27" s="247" t="str">
        <f t="shared" si="9"/>
        <v/>
      </c>
      <c r="AQ27" s="42">
        <f t="shared" si="10"/>
        <v>1</v>
      </c>
      <c r="AR27" s="42">
        <f t="shared" si="11"/>
        <v>1</v>
      </c>
      <c r="AS27" s="42">
        <f t="shared" si="12"/>
        <v>1</v>
      </c>
      <c r="AT27" s="42">
        <f t="shared" si="13"/>
        <v>1</v>
      </c>
      <c r="AU27" s="247" t="str">
        <f t="shared" si="14"/>
        <v/>
      </c>
      <c r="AV27" s="247" t="str">
        <f t="shared" si="17"/>
        <v/>
      </c>
    </row>
    <row r="28" spans="1:48" ht="24" x14ac:dyDescent="0.2">
      <c r="A28" s="428" t="s">
        <v>868</v>
      </c>
      <c r="B28" s="429" t="s">
        <v>4475</v>
      </c>
      <c r="C28" s="430" t="s">
        <v>1872</v>
      </c>
      <c r="D28" s="1349" t="s">
        <v>1873</v>
      </c>
      <c r="E28" s="1350" t="s">
        <v>1874</v>
      </c>
      <c r="F28" s="1350" t="s">
        <v>1875</v>
      </c>
      <c r="G28" s="1351" t="s">
        <v>6070</v>
      </c>
      <c r="H28" s="1342" t="s">
        <v>3919</v>
      </c>
      <c r="I28" s="432" t="s">
        <v>1535</v>
      </c>
      <c r="J28" s="431" t="s">
        <v>1876</v>
      </c>
      <c r="K28" s="438"/>
      <c r="L28" s="438"/>
      <c r="M28" s="439"/>
      <c r="N28" s="440"/>
      <c r="O28" s="1743" t="str">
        <f>VLOOKUP(B28,code_famille_scénario,2)&amp;VLOOKUP(C28,code_actif,2)&amp;", "&amp;VLOOKUP(J28,Code_lieu,2)&amp;", suite "&amp;VLOOKUP(I28,code_event,2)</f>
        <v>Perte, par destruction accidentelle, de media support de fichiers  de données applicatives, en médiathèque, suite à un incendie</v>
      </c>
      <c r="P28" s="435">
        <v>1</v>
      </c>
      <c r="Q28" s="1595" t="s">
        <v>1431</v>
      </c>
      <c r="R28" s="1595" t="s">
        <v>1873</v>
      </c>
      <c r="S28" s="1595" t="str">
        <f>Classif!C4</f>
        <v/>
      </c>
      <c r="T28" s="1595">
        <f t="shared" si="0"/>
        <v>2</v>
      </c>
      <c r="U28" s="1744" t="str">
        <f t="shared" si="1"/>
        <v/>
      </c>
      <c r="V28" s="1745">
        <v>1</v>
      </c>
      <c r="W28" s="1745">
        <f>S03D01</f>
        <v>1</v>
      </c>
      <c r="X28" s="1745">
        <v>1</v>
      </c>
      <c r="Y28" s="1750">
        <f>MIN(S08D05,S08D09)</f>
        <v>1</v>
      </c>
      <c r="Z28" s="1746">
        <v>0</v>
      </c>
      <c r="AA28" s="1747"/>
      <c r="AB28" s="1748"/>
      <c r="AC28" s="1748"/>
      <c r="AD28" s="1595" t="str">
        <f t="shared" si="3"/>
        <v/>
      </c>
      <c r="AE28" s="1595">
        <f t="shared" si="4"/>
        <v>2</v>
      </c>
      <c r="AF28" s="1595" t="str">
        <f t="shared" si="5"/>
        <v/>
      </c>
      <c r="AG28" s="1748"/>
      <c r="AH28" s="1749" t="str">
        <f t="shared" si="16"/>
        <v/>
      </c>
      <c r="AI28" s="1615"/>
      <c r="AJ28" s="1621" t="s">
        <v>5225</v>
      </c>
      <c r="AK28" s="1618"/>
      <c r="AL28" s="1617" t="s">
        <v>6855</v>
      </c>
      <c r="AM28" s="247" t="str">
        <f t="shared" si="6"/>
        <v/>
      </c>
      <c r="AN28" s="247" t="str">
        <f t="shared" si="7"/>
        <v/>
      </c>
      <c r="AO28" s="247" t="str">
        <f t="shared" si="8"/>
        <v/>
      </c>
      <c r="AP28" s="247" t="str">
        <f t="shared" si="9"/>
        <v/>
      </c>
      <c r="AQ28" s="42">
        <f t="shared" si="10"/>
        <v>1</v>
      </c>
      <c r="AR28" s="42">
        <f t="shared" si="11"/>
        <v>1</v>
      </c>
      <c r="AS28" s="42">
        <f t="shared" si="12"/>
        <v>1</v>
      </c>
      <c r="AT28" s="42">
        <f t="shared" si="13"/>
        <v>1</v>
      </c>
      <c r="AU28" s="247" t="str">
        <f t="shared" si="14"/>
        <v/>
      </c>
      <c r="AV28" s="247" t="str">
        <f t="shared" si="17"/>
        <v/>
      </c>
    </row>
    <row r="29" spans="1:48" ht="24" x14ac:dyDescent="0.2">
      <c r="A29" s="428" t="s">
        <v>869</v>
      </c>
      <c r="B29" s="429" t="s">
        <v>4475</v>
      </c>
      <c r="C29" s="430" t="s">
        <v>1872</v>
      </c>
      <c r="D29" s="1349" t="s">
        <v>1873</v>
      </c>
      <c r="E29" s="1350" t="s">
        <v>1874</v>
      </c>
      <c r="F29" s="1350" t="s">
        <v>1875</v>
      </c>
      <c r="G29" s="1351" t="s">
        <v>6070</v>
      </c>
      <c r="H29" s="1342" t="s">
        <v>3919</v>
      </c>
      <c r="I29" s="432" t="s">
        <v>1536</v>
      </c>
      <c r="J29" s="431" t="s">
        <v>1876</v>
      </c>
      <c r="K29" s="438"/>
      <c r="L29" s="438"/>
      <c r="M29" s="439"/>
      <c r="N29" s="440"/>
      <c r="O29" s="1743" t="str">
        <f>VLOOKUP(B29,code_famille_scénario,2)&amp;VLOOKUP(C29,code_actif,2)&amp;", "&amp;VLOOKUP(J29,Code_lieu,2)&amp;", suite "&amp;VLOOKUP(I29,code_event,2)</f>
        <v>Perte, par destruction accidentelle, de media support de fichiers  de données applicatives, en médiathèque, suite à une inondation</v>
      </c>
      <c r="P29" s="435">
        <v>1</v>
      </c>
      <c r="Q29" s="1595" t="s">
        <v>1431</v>
      </c>
      <c r="R29" s="1595" t="s">
        <v>1873</v>
      </c>
      <c r="S29" s="1595" t="str">
        <f>Classif!C4</f>
        <v/>
      </c>
      <c r="T29" s="1595">
        <f t="shared" si="0"/>
        <v>2</v>
      </c>
      <c r="U29" s="1744" t="str">
        <f t="shared" si="1"/>
        <v/>
      </c>
      <c r="V29" s="1745">
        <v>1</v>
      </c>
      <c r="W29" s="1745">
        <v>1</v>
      </c>
      <c r="X29" s="1745">
        <v>1</v>
      </c>
      <c r="Y29" s="1750">
        <f>MIN(S08D05,S08D09)</f>
        <v>1</v>
      </c>
      <c r="Z29" s="1746">
        <v>0</v>
      </c>
      <c r="AA29" s="1747"/>
      <c r="AB29" s="1748"/>
      <c r="AC29" s="1748"/>
      <c r="AD29" s="1595" t="str">
        <f t="shared" si="3"/>
        <v/>
      </c>
      <c r="AE29" s="1595">
        <f t="shared" si="4"/>
        <v>2</v>
      </c>
      <c r="AF29" s="1595" t="str">
        <f t="shared" si="5"/>
        <v/>
      </c>
      <c r="AG29" s="1748"/>
      <c r="AH29" s="1749" t="str">
        <f t="shared" si="16"/>
        <v/>
      </c>
      <c r="AI29" s="1615"/>
      <c r="AJ29" s="1621"/>
      <c r="AK29" s="1618"/>
      <c r="AL29" s="1617" t="s">
        <v>6855</v>
      </c>
      <c r="AM29" s="247" t="str">
        <f t="shared" si="6"/>
        <v/>
      </c>
      <c r="AN29" s="247" t="str">
        <f t="shared" si="7"/>
        <v/>
      </c>
      <c r="AO29" s="247" t="str">
        <f t="shared" si="8"/>
        <v/>
      </c>
      <c r="AP29" s="247" t="str">
        <f t="shared" si="9"/>
        <v/>
      </c>
      <c r="AQ29" s="42">
        <f t="shared" si="10"/>
        <v>1</v>
      </c>
      <c r="AR29" s="42">
        <f t="shared" si="11"/>
        <v>1</v>
      </c>
      <c r="AS29" s="42">
        <f t="shared" si="12"/>
        <v>1</v>
      </c>
      <c r="AT29" s="42">
        <f t="shared" si="13"/>
        <v>1</v>
      </c>
      <c r="AU29" s="247" t="str">
        <f t="shared" si="14"/>
        <v/>
      </c>
      <c r="AV29" s="247" t="str">
        <f t="shared" si="17"/>
        <v/>
      </c>
    </row>
    <row r="30" spans="1:48" ht="24" x14ac:dyDescent="0.2">
      <c r="A30" s="428" t="s">
        <v>870</v>
      </c>
      <c r="B30" s="429" t="s">
        <v>4478</v>
      </c>
      <c r="C30" s="430" t="s">
        <v>1872</v>
      </c>
      <c r="D30" s="1349" t="s">
        <v>1873</v>
      </c>
      <c r="E30" s="1350" t="s">
        <v>1874</v>
      </c>
      <c r="F30" s="1350" t="s">
        <v>4498</v>
      </c>
      <c r="G30" s="1351" t="s">
        <v>6071</v>
      </c>
      <c r="H30" s="1342" t="s">
        <v>1327</v>
      </c>
      <c r="I30" s="432" t="s">
        <v>2506</v>
      </c>
      <c r="J30" s="431" t="s">
        <v>1876</v>
      </c>
      <c r="K30" s="431"/>
      <c r="L30" s="431"/>
      <c r="M30" s="433"/>
      <c r="N30" s="434"/>
      <c r="O30" s="1743" t="str">
        <f>VLOOKUP(B30,code_famille_scénario,2)&amp;VLOOKUP(C30,code_actif,2)&amp;", "&amp;VLOOKUP(J30,Code_lieu,2)</f>
        <v>Perte, par disparition accidentelle, de media support de fichiers  de données applicatives, en médiathèque</v>
      </c>
      <c r="P30" s="435">
        <v>1</v>
      </c>
      <c r="Q30" s="1595" t="s">
        <v>1431</v>
      </c>
      <c r="R30" s="1595" t="s">
        <v>1873</v>
      </c>
      <c r="S30" s="1595" t="str">
        <f>Classif!C4</f>
        <v/>
      </c>
      <c r="T30" s="1595">
        <f t="shared" si="0"/>
        <v>3</v>
      </c>
      <c r="U30" s="1744" t="str">
        <f t="shared" si="1"/>
        <v/>
      </c>
      <c r="V30" s="1745">
        <v>1</v>
      </c>
      <c r="W30" s="1745">
        <v>1</v>
      </c>
      <c r="X30" s="1745">
        <v>1</v>
      </c>
      <c r="Y30" s="1750">
        <f t="shared" ref="Y30:Y43" si="19">S08D05</f>
        <v>1</v>
      </c>
      <c r="Z30" s="1746">
        <v>0</v>
      </c>
      <c r="AA30" s="1747"/>
      <c r="AB30" s="1748"/>
      <c r="AC30" s="1748"/>
      <c r="AD30" s="1595" t="str">
        <f t="shared" si="3"/>
        <v/>
      </c>
      <c r="AE30" s="1595">
        <f t="shared" si="4"/>
        <v>3</v>
      </c>
      <c r="AF30" s="1595" t="str">
        <f t="shared" si="5"/>
        <v/>
      </c>
      <c r="AG30" s="1748"/>
      <c r="AH30" s="1749" t="str">
        <f t="shared" si="16"/>
        <v/>
      </c>
      <c r="AI30" s="1615"/>
      <c r="AJ30" s="1621"/>
      <c r="AK30" s="1618"/>
      <c r="AL30" s="1617" t="s">
        <v>4439</v>
      </c>
      <c r="AM30" s="247" t="str">
        <f t="shared" si="6"/>
        <v/>
      </c>
      <c r="AN30" s="247" t="str">
        <f t="shared" si="7"/>
        <v/>
      </c>
      <c r="AO30" s="247" t="str">
        <f t="shared" si="8"/>
        <v/>
      </c>
      <c r="AP30" s="247" t="str">
        <f t="shared" si="9"/>
        <v/>
      </c>
      <c r="AQ30" s="42">
        <f t="shared" si="10"/>
        <v>1</v>
      </c>
      <c r="AR30" s="42">
        <f t="shared" si="11"/>
        <v>1</v>
      </c>
      <c r="AS30" s="42">
        <f t="shared" si="12"/>
        <v>1</v>
      </c>
      <c r="AT30" s="42">
        <f t="shared" si="13"/>
        <v>1</v>
      </c>
      <c r="AU30" s="247" t="str">
        <f t="shared" si="14"/>
        <v/>
      </c>
      <c r="AV30" s="247" t="str">
        <f t="shared" si="17"/>
        <v/>
      </c>
    </row>
    <row r="31" spans="1:48" ht="24" x14ac:dyDescent="0.2">
      <c r="A31" s="428" t="s">
        <v>871</v>
      </c>
      <c r="B31" s="429" t="s">
        <v>4478</v>
      </c>
      <c r="C31" s="430" t="s">
        <v>1872</v>
      </c>
      <c r="D31" s="1349" t="s">
        <v>1873</v>
      </c>
      <c r="E31" s="1350" t="s">
        <v>1874</v>
      </c>
      <c r="F31" s="1350" t="s">
        <v>4498</v>
      </c>
      <c r="G31" s="1351" t="s">
        <v>6071</v>
      </c>
      <c r="H31" s="1342" t="s">
        <v>1327</v>
      </c>
      <c r="I31" s="432" t="s">
        <v>2506</v>
      </c>
      <c r="J31" s="431" t="s">
        <v>1880</v>
      </c>
      <c r="K31" s="431"/>
      <c r="L31" s="431"/>
      <c r="M31" s="433"/>
      <c r="N31" s="434"/>
      <c r="O31" s="1743" t="str">
        <f>VLOOKUP(B31,code_famille_scénario,2)&amp;VLOOKUP(C31,code_actif,2)&amp;", "&amp;VLOOKUP(J31,Code_lieu,2)</f>
        <v>Perte, par disparition accidentelle, de media support de fichiers  de données applicatives, dans les locaux de l'exploitation</v>
      </c>
      <c r="P31" s="435">
        <v>1</v>
      </c>
      <c r="Q31" s="1595" t="s">
        <v>1431</v>
      </c>
      <c r="R31" s="1595" t="s">
        <v>1873</v>
      </c>
      <c r="S31" s="1595" t="str">
        <f>Classif!C4</f>
        <v/>
      </c>
      <c r="T31" s="1595">
        <f t="shared" si="0"/>
        <v>3</v>
      </c>
      <c r="U31" s="1744" t="str">
        <f t="shared" si="1"/>
        <v/>
      </c>
      <c r="V31" s="1745">
        <v>1</v>
      </c>
      <c r="W31" s="1745">
        <v>1</v>
      </c>
      <c r="X31" s="1745">
        <v>1</v>
      </c>
      <c r="Y31" s="1750">
        <f t="shared" si="19"/>
        <v>1</v>
      </c>
      <c r="Z31" s="1746">
        <v>0</v>
      </c>
      <c r="AA31" s="1747"/>
      <c r="AB31" s="1748"/>
      <c r="AC31" s="1748"/>
      <c r="AD31" s="1595" t="str">
        <f t="shared" si="3"/>
        <v/>
      </c>
      <c r="AE31" s="1595">
        <f t="shared" si="4"/>
        <v>3</v>
      </c>
      <c r="AF31" s="1595" t="str">
        <f t="shared" si="5"/>
        <v/>
      </c>
      <c r="AG31" s="1748"/>
      <c r="AH31" s="1749" t="str">
        <f t="shared" si="16"/>
        <v/>
      </c>
      <c r="AI31" s="1615"/>
      <c r="AJ31" s="1621"/>
      <c r="AK31" s="1618"/>
      <c r="AL31" s="1617" t="s">
        <v>4439</v>
      </c>
      <c r="AM31" s="247" t="str">
        <f t="shared" si="6"/>
        <v/>
      </c>
      <c r="AN31" s="247" t="str">
        <f t="shared" si="7"/>
        <v/>
      </c>
      <c r="AO31" s="247" t="str">
        <f t="shared" si="8"/>
        <v/>
      </c>
      <c r="AP31" s="247" t="str">
        <f t="shared" si="9"/>
        <v/>
      </c>
      <c r="AQ31" s="42">
        <f t="shared" si="10"/>
        <v>1</v>
      </c>
      <c r="AR31" s="42">
        <f t="shared" si="11"/>
        <v>1</v>
      </c>
      <c r="AS31" s="42">
        <f t="shared" si="12"/>
        <v>1</v>
      </c>
      <c r="AT31" s="42">
        <f t="shared" si="13"/>
        <v>1</v>
      </c>
      <c r="AU31" s="247" t="str">
        <f t="shared" si="14"/>
        <v/>
      </c>
      <c r="AV31" s="247" t="str">
        <f t="shared" si="17"/>
        <v/>
      </c>
    </row>
    <row r="32" spans="1:48" ht="24" x14ac:dyDescent="0.2">
      <c r="A32" s="428" t="s">
        <v>872</v>
      </c>
      <c r="B32" s="429" t="s">
        <v>1864</v>
      </c>
      <c r="C32" s="430" t="s">
        <v>1872</v>
      </c>
      <c r="D32" s="1349" t="s">
        <v>1873</v>
      </c>
      <c r="E32" s="1350" t="s">
        <v>1874</v>
      </c>
      <c r="F32" s="1350" t="s">
        <v>4498</v>
      </c>
      <c r="G32" s="1351" t="s">
        <v>6071</v>
      </c>
      <c r="H32" s="1342" t="s">
        <v>1329</v>
      </c>
      <c r="I32" s="432" t="s">
        <v>1305</v>
      </c>
      <c r="J32" s="431" t="s">
        <v>1880</v>
      </c>
      <c r="K32" s="431"/>
      <c r="L32" s="431"/>
      <c r="M32" s="433"/>
      <c r="N32" s="434" t="s">
        <v>3518</v>
      </c>
      <c r="O32" s="1743" t="str">
        <f t="shared" ref="O32:O37" si="20">VLOOKUP(B32,code_famille_scénario,2)&amp;VLOOKUP(C32,code_actif,2)&amp;", "&amp;VLOOKUP(J32,Code_lieu,2)&amp;", par "&amp;VLOOKUP(N32,code_acteur,2)</f>
        <v>Vol de media support de fichiers  de données applicatives, dans les locaux de l'exploitation, par un membre du personnel non autorisé</v>
      </c>
      <c r="P32" s="435">
        <v>1</v>
      </c>
      <c r="Q32" s="1595" t="s">
        <v>1299</v>
      </c>
      <c r="R32" s="1595" t="s">
        <v>1873</v>
      </c>
      <c r="S32" s="1595" t="str">
        <f>Classif!C4</f>
        <v/>
      </c>
      <c r="T32" s="1595">
        <f t="shared" si="0"/>
        <v>2</v>
      </c>
      <c r="U32" s="1744" t="str">
        <f t="shared" si="1"/>
        <v/>
      </c>
      <c r="V32" s="1745">
        <f t="shared" ref="V32:V37" si="21">S03B06</f>
        <v>1</v>
      </c>
      <c r="W32" s="1745">
        <f>MIN(S03B03,S03B04)</f>
        <v>1</v>
      </c>
      <c r="X32" s="1745">
        <v>1</v>
      </c>
      <c r="Y32" s="1750">
        <f t="shared" si="19"/>
        <v>1</v>
      </c>
      <c r="Z32" s="1746">
        <v>0</v>
      </c>
      <c r="AA32" s="1747"/>
      <c r="AB32" s="1748"/>
      <c r="AC32" s="1748"/>
      <c r="AD32" s="1595" t="str">
        <f t="shared" si="3"/>
        <v/>
      </c>
      <c r="AE32" s="1595">
        <f t="shared" si="4"/>
        <v>2</v>
      </c>
      <c r="AF32" s="1595" t="str">
        <f t="shared" si="5"/>
        <v/>
      </c>
      <c r="AG32" s="1748"/>
      <c r="AH32" s="1749" t="str">
        <f t="shared" si="16"/>
        <v/>
      </c>
      <c r="AI32" s="1623" t="s">
        <v>1665</v>
      </c>
      <c r="AJ32" s="1624" t="s">
        <v>5279</v>
      </c>
      <c r="AK32" s="1624"/>
      <c r="AL32" s="1617" t="s">
        <v>4439</v>
      </c>
      <c r="AM32" s="247" t="str">
        <f t="shared" si="6"/>
        <v/>
      </c>
      <c r="AN32" s="247" t="str">
        <f t="shared" si="7"/>
        <v/>
      </c>
      <c r="AO32" s="247" t="str">
        <f t="shared" si="8"/>
        <v/>
      </c>
      <c r="AP32" s="247" t="str">
        <f t="shared" si="9"/>
        <v/>
      </c>
      <c r="AQ32" s="42">
        <f t="shared" si="10"/>
        <v>1</v>
      </c>
      <c r="AR32" s="42">
        <f t="shared" si="11"/>
        <v>1</v>
      </c>
      <c r="AS32" s="42">
        <f t="shared" si="12"/>
        <v>1</v>
      </c>
      <c r="AT32" s="42">
        <f t="shared" si="13"/>
        <v>1</v>
      </c>
      <c r="AU32" s="247" t="str">
        <f t="shared" si="14"/>
        <v/>
      </c>
      <c r="AV32" s="247" t="str">
        <f t="shared" si="17"/>
        <v/>
      </c>
    </row>
    <row r="33" spans="1:48" ht="24" x14ac:dyDescent="0.2">
      <c r="A33" s="428" t="s">
        <v>873</v>
      </c>
      <c r="B33" s="429" t="s">
        <v>1864</v>
      </c>
      <c r="C33" s="436" t="s">
        <v>1872</v>
      </c>
      <c r="D33" s="1349" t="s">
        <v>1873</v>
      </c>
      <c r="E33" s="1350" t="s">
        <v>1874</v>
      </c>
      <c r="F33" s="1350" t="s">
        <v>4498</v>
      </c>
      <c r="G33" s="1351" t="s">
        <v>6071</v>
      </c>
      <c r="H33" s="1297" t="s">
        <v>1329</v>
      </c>
      <c r="I33" s="437" t="s">
        <v>1305</v>
      </c>
      <c r="J33" s="431" t="s">
        <v>1880</v>
      </c>
      <c r="K33" s="431"/>
      <c r="L33" s="431"/>
      <c r="M33" s="433"/>
      <c r="N33" s="434" t="s">
        <v>6403</v>
      </c>
      <c r="O33" s="1743" t="str">
        <f t="shared" si="20"/>
        <v>Vol de media support de fichiers  de données applicatives, dans les locaux de l'exploitation, par un membre du personnel d'exploitation</v>
      </c>
      <c r="P33" s="435">
        <v>1</v>
      </c>
      <c r="Q33" s="1595" t="s">
        <v>1299</v>
      </c>
      <c r="R33" s="1595" t="s">
        <v>1873</v>
      </c>
      <c r="S33" s="1595" t="str">
        <f>Classif!C4</f>
        <v/>
      </c>
      <c r="T33" s="1595">
        <f t="shared" si="0"/>
        <v>2</v>
      </c>
      <c r="U33" s="1744" t="str">
        <f t="shared" si="1"/>
        <v/>
      </c>
      <c r="V33" s="1745">
        <f t="shared" si="21"/>
        <v>1</v>
      </c>
      <c r="W33" s="1745">
        <v>1</v>
      </c>
      <c r="X33" s="1745">
        <v>1</v>
      </c>
      <c r="Y33" s="1750">
        <f t="shared" si="19"/>
        <v>1</v>
      </c>
      <c r="Z33" s="1746">
        <v>0</v>
      </c>
      <c r="AA33" s="1747"/>
      <c r="AB33" s="1748"/>
      <c r="AC33" s="1748"/>
      <c r="AD33" s="1595" t="str">
        <f t="shared" si="3"/>
        <v/>
      </c>
      <c r="AE33" s="1595">
        <f t="shared" si="4"/>
        <v>2</v>
      </c>
      <c r="AF33" s="1595" t="str">
        <f t="shared" si="5"/>
        <v/>
      </c>
      <c r="AG33" s="1748"/>
      <c r="AH33" s="1749" t="str">
        <f t="shared" si="16"/>
        <v/>
      </c>
      <c r="AI33" s="1623" t="s">
        <v>1665</v>
      </c>
      <c r="AJ33" s="1624"/>
      <c r="AK33" s="1624"/>
      <c r="AL33" s="1617" t="s">
        <v>4439</v>
      </c>
      <c r="AM33" s="247" t="str">
        <f t="shared" si="6"/>
        <v/>
      </c>
      <c r="AN33" s="247" t="str">
        <f t="shared" si="7"/>
        <v/>
      </c>
      <c r="AO33" s="247" t="str">
        <f t="shared" si="8"/>
        <v/>
      </c>
      <c r="AP33" s="247" t="str">
        <f t="shared" si="9"/>
        <v/>
      </c>
      <c r="AQ33" s="42">
        <f t="shared" si="10"/>
        <v>1</v>
      </c>
      <c r="AR33" s="42">
        <f t="shared" si="11"/>
        <v>1</v>
      </c>
      <c r="AS33" s="42">
        <f t="shared" si="12"/>
        <v>1</v>
      </c>
      <c r="AT33" s="42">
        <f t="shared" si="13"/>
        <v>1</v>
      </c>
      <c r="AU33" s="247" t="str">
        <f t="shared" si="14"/>
        <v/>
      </c>
      <c r="AV33" s="247" t="str">
        <f t="shared" si="17"/>
        <v/>
      </c>
    </row>
    <row r="34" spans="1:48" ht="24" x14ac:dyDescent="0.2">
      <c r="A34" s="428" t="s">
        <v>874</v>
      </c>
      <c r="B34" s="429" t="s">
        <v>1864</v>
      </c>
      <c r="C34" s="430" t="s">
        <v>1872</v>
      </c>
      <c r="D34" s="1349" t="s">
        <v>1873</v>
      </c>
      <c r="E34" s="1350" t="s">
        <v>1874</v>
      </c>
      <c r="F34" s="1350" t="s">
        <v>4498</v>
      </c>
      <c r="G34" s="1351" t="s">
        <v>6071</v>
      </c>
      <c r="H34" s="1342" t="s">
        <v>1329</v>
      </c>
      <c r="I34" s="432" t="s">
        <v>1305</v>
      </c>
      <c r="J34" s="431" t="s">
        <v>1880</v>
      </c>
      <c r="K34" s="431"/>
      <c r="L34" s="431"/>
      <c r="M34" s="433"/>
      <c r="N34" s="434" t="s">
        <v>2218</v>
      </c>
      <c r="O34" s="1743" t="str">
        <f t="shared" si="20"/>
        <v>Vol de media support de fichiers  de données applicatives, dans les locaux de l'exploitation, par un membre du personnel de service</v>
      </c>
      <c r="P34" s="435">
        <v>1</v>
      </c>
      <c r="Q34" s="1595" t="s">
        <v>1299</v>
      </c>
      <c r="R34" s="1595" t="s">
        <v>1873</v>
      </c>
      <c r="S34" s="1595" t="str">
        <f>Classif!C4</f>
        <v/>
      </c>
      <c r="T34" s="1595">
        <f t="shared" si="0"/>
        <v>2</v>
      </c>
      <c r="U34" s="1744" t="str">
        <f t="shared" si="1"/>
        <v/>
      </c>
      <c r="V34" s="1745">
        <f t="shared" si="21"/>
        <v>1</v>
      </c>
      <c r="W34" s="1745">
        <v>1</v>
      </c>
      <c r="X34" s="1745">
        <v>1</v>
      </c>
      <c r="Y34" s="1750">
        <f t="shared" si="19"/>
        <v>1</v>
      </c>
      <c r="Z34" s="1746">
        <v>0</v>
      </c>
      <c r="AA34" s="1747"/>
      <c r="AB34" s="1748"/>
      <c r="AC34" s="1748"/>
      <c r="AD34" s="1595" t="str">
        <f t="shared" si="3"/>
        <v/>
      </c>
      <c r="AE34" s="1595">
        <f t="shared" si="4"/>
        <v>2</v>
      </c>
      <c r="AF34" s="1595" t="str">
        <f t="shared" si="5"/>
        <v/>
      </c>
      <c r="AG34" s="1748"/>
      <c r="AH34" s="1749" t="str">
        <f t="shared" si="16"/>
        <v/>
      </c>
      <c r="AI34" s="1623" t="s">
        <v>1665</v>
      </c>
      <c r="AJ34" s="1624"/>
      <c r="AK34" s="1624"/>
      <c r="AL34" s="1617" t="s">
        <v>4439</v>
      </c>
      <c r="AM34" s="247" t="str">
        <f t="shared" si="6"/>
        <v/>
      </c>
      <c r="AN34" s="247" t="str">
        <f t="shared" si="7"/>
        <v/>
      </c>
      <c r="AO34" s="247" t="str">
        <f t="shared" si="8"/>
        <v/>
      </c>
      <c r="AP34" s="247" t="str">
        <f t="shared" si="9"/>
        <v/>
      </c>
      <c r="AQ34" s="42">
        <f t="shared" si="10"/>
        <v>1</v>
      </c>
      <c r="AR34" s="42">
        <f t="shared" si="11"/>
        <v>1</v>
      </c>
      <c r="AS34" s="42">
        <f t="shared" si="12"/>
        <v>1</v>
      </c>
      <c r="AT34" s="42">
        <f t="shared" si="13"/>
        <v>1</v>
      </c>
      <c r="AU34" s="247" t="str">
        <f t="shared" si="14"/>
        <v/>
      </c>
      <c r="AV34" s="247" t="str">
        <f t="shared" si="17"/>
        <v/>
      </c>
    </row>
    <row r="35" spans="1:48" ht="24" x14ac:dyDescent="0.2">
      <c r="A35" s="428" t="s">
        <v>875</v>
      </c>
      <c r="B35" s="429" t="s">
        <v>1864</v>
      </c>
      <c r="C35" s="430" t="s">
        <v>1872</v>
      </c>
      <c r="D35" s="1349" t="s">
        <v>1873</v>
      </c>
      <c r="E35" s="1350" t="s">
        <v>1874</v>
      </c>
      <c r="F35" s="1350" t="s">
        <v>4498</v>
      </c>
      <c r="G35" s="1351" t="s">
        <v>6071</v>
      </c>
      <c r="H35" s="1342" t="s">
        <v>1329</v>
      </c>
      <c r="I35" s="432" t="s">
        <v>1305</v>
      </c>
      <c r="J35" s="431" t="s">
        <v>1876</v>
      </c>
      <c r="K35" s="431"/>
      <c r="L35" s="431"/>
      <c r="M35" s="433"/>
      <c r="N35" s="434" t="s">
        <v>3518</v>
      </c>
      <c r="O35" s="1743" t="str">
        <f t="shared" si="20"/>
        <v>Vol de media support de fichiers  de données applicatives, en médiathèque, par un membre du personnel non autorisé</v>
      </c>
      <c r="P35" s="435">
        <v>1</v>
      </c>
      <c r="Q35" s="1595" t="s">
        <v>1299</v>
      </c>
      <c r="R35" s="1595" t="s">
        <v>1873</v>
      </c>
      <c r="S35" s="1595" t="str">
        <f>Classif!C4</f>
        <v/>
      </c>
      <c r="T35" s="1595">
        <f t="shared" si="0"/>
        <v>2</v>
      </c>
      <c r="U35" s="1744" t="str">
        <f t="shared" si="1"/>
        <v/>
      </c>
      <c r="V35" s="1745">
        <f t="shared" si="21"/>
        <v>1</v>
      </c>
      <c r="W35" s="1745">
        <f>S08C03</f>
        <v>1</v>
      </c>
      <c r="X35" s="1745">
        <v>1</v>
      </c>
      <c r="Y35" s="1750">
        <f t="shared" si="19"/>
        <v>1</v>
      </c>
      <c r="Z35" s="1746">
        <v>0</v>
      </c>
      <c r="AA35" s="1747"/>
      <c r="AB35" s="1748"/>
      <c r="AC35" s="1748"/>
      <c r="AD35" s="1595" t="str">
        <f t="shared" si="3"/>
        <v/>
      </c>
      <c r="AE35" s="1595">
        <f t="shared" si="4"/>
        <v>2</v>
      </c>
      <c r="AF35" s="1595" t="str">
        <f t="shared" si="5"/>
        <v/>
      </c>
      <c r="AG35" s="1748"/>
      <c r="AH35" s="1749" t="str">
        <f t="shared" si="16"/>
        <v/>
      </c>
      <c r="AI35" s="1623" t="s">
        <v>1665</v>
      </c>
      <c r="AJ35" s="1625" t="s">
        <v>63</v>
      </c>
      <c r="AK35" s="1624"/>
      <c r="AL35" s="1617" t="s">
        <v>4439</v>
      </c>
      <c r="AM35" s="247" t="str">
        <f t="shared" si="6"/>
        <v/>
      </c>
      <c r="AN35" s="247" t="str">
        <f t="shared" si="7"/>
        <v/>
      </c>
      <c r="AO35" s="247" t="str">
        <f t="shared" si="8"/>
        <v/>
      </c>
      <c r="AP35" s="247" t="str">
        <f t="shared" si="9"/>
        <v/>
      </c>
      <c r="AQ35" s="42">
        <f t="shared" si="10"/>
        <v>1</v>
      </c>
      <c r="AR35" s="42">
        <f t="shared" si="11"/>
        <v>1</v>
      </c>
      <c r="AS35" s="42">
        <f t="shared" si="12"/>
        <v>1</v>
      </c>
      <c r="AT35" s="42">
        <f t="shared" si="13"/>
        <v>1</v>
      </c>
      <c r="AU35" s="247" t="str">
        <f t="shared" si="14"/>
        <v/>
      </c>
      <c r="AV35" s="247" t="str">
        <f t="shared" si="17"/>
        <v/>
      </c>
    </row>
    <row r="36" spans="1:48" ht="24" x14ac:dyDescent="0.2">
      <c r="A36" s="428" t="s">
        <v>876</v>
      </c>
      <c r="B36" s="429" t="s">
        <v>1864</v>
      </c>
      <c r="C36" s="430" t="s">
        <v>1872</v>
      </c>
      <c r="D36" s="1349" t="s">
        <v>1873</v>
      </c>
      <c r="E36" s="1350" t="s">
        <v>1874</v>
      </c>
      <c r="F36" s="1350" t="s">
        <v>4498</v>
      </c>
      <c r="G36" s="1351" t="s">
        <v>6071</v>
      </c>
      <c r="H36" s="1342" t="s">
        <v>1329</v>
      </c>
      <c r="I36" s="432" t="s">
        <v>1305</v>
      </c>
      <c r="J36" s="431" t="s">
        <v>1876</v>
      </c>
      <c r="K36" s="431"/>
      <c r="L36" s="431"/>
      <c r="M36" s="433"/>
      <c r="N36" s="434" t="s">
        <v>6403</v>
      </c>
      <c r="O36" s="1743" t="str">
        <f t="shared" si="20"/>
        <v>Vol de media support de fichiers  de données applicatives, en médiathèque, par un membre du personnel d'exploitation</v>
      </c>
      <c r="P36" s="435">
        <v>1</v>
      </c>
      <c r="Q36" s="1595" t="s">
        <v>1299</v>
      </c>
      <c r="R36" s="1595" t="s">
        <v>1873</v>
      </c>
      <c r="S36" s="1595" t="str">
        <f>Classif!C4</f>
        <v/>
      </c>
      <c r="T36" s="1595">
        <f t="shared" si="0"/>
        <v>2</v>
      </c>
      <c r="U36" s="1744" t="str">
        <f t="shared" si="1"/>
        <v/>
      </c>
      <c r="V36" s="1745">
        <f t="shared" si="21"/>
        <v>1</v>
      </c>
      <c r="W36" s="1745">
        <v>1</v>
      </c>
      <c r="X36" s="1745">
        <v>1</v>
      </c>
      <c r="Y36" s="1750">
        <f t="shared" si="19"/>
        <v>1</v>
      </c>
      <c r="Z36" s="1746">
        <v>0</v>
      </c>
      <c r="AA36" s="1747"/>
      <c r="AB36" s="1748"/>
      <c r="AC36" s="1748"/>
      <c r="AD36" s="1595" t="str">
        <f t="shared" si="3"/>
        <v/>
      </c>
      <c r="AE36" s="1595">
        <f t="shared" si="4"/>
        <v>2</v>
      </c>
      <c r="AF36" s="1595" t="str">
        <f t="shared" si="5"/>
        <v/>
      </c>
      <c r="AG36" s="1748"/>
      <c r="AH36" s="1749" t="str">
        <f t="shared" si="16"/>
        <v/>
      </c>
      <c r="AI36" s="1623" t="s">
        <v>1665</v>
      </c>
      <c r="AJ36" s="1624"/>
      <c r="AK36" s="1624"/>
      <c r="AL36" s="1617" t="s">
        <v>4439</v>
      </c>
      <c r="AM36" s="247" t="str">
        <f t="shared" si="6"/>
        <v/>
      </c>
      <c r="AN36" s="247" t="str">
        <f t="shared" si="7"/>
        <v/>
      </c>
      <c r="AO36" s="247" t="str">
        <f t="shared" si="8"/>
        <v/>
      </c>
      <c r="AP36" s="247" t="str">
        <f t="shared" si="9"/>
        <v/>
      </c>
      <c r="AQ36" s="42">
        <f t="shared" si="10"/>
        <v>1</v>
      </c>
      <c r="AR36" s="42">
        <f t="shared" si="11"/>
        <v>1</v>
      </c>
      <c r="AS36" s="42">
        <f t="shared" si="12"/>
        <v>1</v>
      </c>
      <c r="AT36" s="42">
        <f t="shared" si="13"/>
        <v>1</v>
      </c>
      <c r="AU36" s="247" t="str">
        <f t="shared" si="14"/>
        <v/>
      </c>
      <c r="AV36" s="247" t="str">
        <f t="shared" si="17"/>
        <v/>
      </c>
    </row>
    <row r="37" spans="1:48" ht="24" x14ac:dyDescent="0.2">
      <c r="A37" s="428" t="s">
        <v>877</v>
      </c>
      <c r="B37" s="429" t="s">
        <v>1864</v>
      </c>
      <c r="C37" s="430" t="s">
        <v>1872</v>
      </c>
      <c r="D37" s="1349" t="s">
        <v>1873</v>
      </c>
      <c r="E37" s="1350" t="s">
        <v>1874</v>
      </c>
      <c r="F37" s="1350" t="s">
        <v>4498</v>
      </c>
      <c r="G37" s="1351" t="s">
        <v>6071</v>
      </c>
      <c r="H37" s="1342" t="s">
        <v>1329</v>
      </c>
      <c r="I37" s="432" t="s">
        <v>1305</v>
      </c>
      <c r="J37" s="431" t="s">
        <v>1876</v>
      </c>
      <c r="K37" s="431"/>
      <c r="L37" s="431"/>
      <c r="M37" s="433"/>
      <c r="N37" s="434" t="s">
        <v>2218</v>
      </c>
      <c r="O37" s="1743" t="str">
        <f t="shared" si="20"/>
        <v>Vol de media support de fichiers  de données applicatives, en médiathèque, par un membre du personnel de service</v>
      </c>
      <c r="P37" s="435">
        <v>1</v>
      </c>
      <c r="Q37" s="1595" t="s">
        <v>1299</v>
      </c>
      <c r="R37" s="1595" t="s">
        <v>1873</v>
      </c>
      <c r="S37" s="1595" t="str">
        <f>Classif!C4</f>
        <v/>
      </c>
      <c r="T37" s="1595">
        <f t="shared" si="0"/>
        <v>2</v>
      </c>
      <c r="U37" s="1744" t="str">
        <f t="shared" si="1"/>
        <v/>
      </c>
      <c r="V37" s="1745">
        <f t="shared" si="21"/>
        <v>1</v>
      </c>
      <c r="W37" s="1745">
        <v>1</v>
      </c>
      <c r="X37" s="1745">
        <v>1</v>
      </c>
      <c r="Y37" s="1750">
        <f t="shared" si="19"/>
        <v>1</v>
      </c>
      <c r="Z37" s="1746">
        <v>0</v>
      </c>
      <c r="AA37" s="1747"/>
      <c r="AB37" s="1748"/>
      <c r="AC37" s="1748"/>
      <c r="AD37" s="1595" t="str">
        <f t="shared" si="3"/>
        <v/>
      </c>
      <c r="AE37" s="1595">
        <f t="shared" si="4"/>
        <v>2</v>
      </c>
      <c r="AF37" s="1595" t="str">
        <f t="shared" si="5"/>
        <v/>
      </c>
      <c r="AG37" s="1748"/>
      <c r="AH37" s="1749" t="str">
        <f t="shared" si="16"/>
        <v/>
      </c>
      <c r="AI37" s="1623" t="s">
        <v>1665</v>
      </c>
      <c r="AJ37" s="1624"/>
      <c r="AK37" s="1624"/>
      <c r="AL37" s="1617" t="s">
        <v>4439</v>
      </c>
      <c r="AM37" s="247" t="str">
        <f t="shared" si="6"/>
        <v/>
      </c>
      <c r="AN37" s="247" t="str">
        <f t="shared" si="7"/>
        <v/>
      </c>
      <c r="AO37" s="247" t="str">
        <f t="shared" si="8"/>
        <v/>
      </c>
      <c r="AP37" s="247" t="str">
        <f t="shared" si="9"/>
        <v/>
      </c>
      <c r="AQ37" s="42">
        <f t="shared" si="10"/>
        <v>1</v>
      </c>
      <c r="AR37" s="42">
        <f t="shared" si="11"/>
        <v>1</v>
      </c>
      <c r="AS37" s="42">
        <f t="shared" si="12"/>
        <v>1</v>
      </c>
      <c r="AT37" s="42">
        <f t="shared" si="13"/>
        <v>1</v>
      </c>
      <c r="AU37" s="247" t="str">
        <f t="shared" si="14"/>
        <v/>
      </c>
      <c r="AV37" s="247" t="str">
        <f t="shared" si="17"/>
        <v/>
      </c>
    </row>
    <row r="38" spans="1:48" ht="24" x14ac:dyDescent="0.2">
      <c r="A38" s="428" t="s">
        <v>878</v>
      </c>
      <c r="B38" s="429" t="s">
        <v>4481</v>
      </c>
      <c r="C38" s="430" t="s">
        <v>1872</v>
      </c>
      <c r="D38" s="1349" t="s">
        <v>1873</v>
      </c>
      <c r="E38" s="1350" t="s">
        <v>1874</v>
      </c>
      <c r="F38" s="1350" t="s">
        <v>2777</v>
      </c>
      <c r="G38" s="1351" t="s">
        <v>4610</v>
      </c>
      <c r="H38" s="1342" t="s">
        <v>3920</v>
      </c>
      <c r="I38" s="432" t="s">
        <v>3526</v>
      </c>
      <c r="J38" s="431" t="s">
        <v>1880</v>
      </c>
      <c r="K38" s="431"/>
      <c r="L38" s="431"/>
      <c r="M38" s="433"/>
      <c r="N38" s="434"/>
      <c r="O38" s="1743" t="str">
        <f t="shared" ref="O38:O43" si="22">VLOOKUP(B38,code_famille_scénario,2)&amp;VLOOKUP(C38,code_actif,2)&amp;", "&amp;VLOOKUP(J38,Code_lieu,2)&amp;", due "&amp;VLOOKUP(I38,code_event,2)</f>
        <v>Inexploitabilité accidentelle de media support de fichiers  de données applicatives, dans les locaux de l'exploitation, due à une panne d'équipement</v>
      </c>
      <c r="P38" s="435">
        <v>1</v>
      </c>
      <c r="Q38" s="1595" t="s">
        <v>1431</v>
      </c>
      <c r="R38" s="1595" t="s">
        <v>1873</v>
      </c>
      <c r="S38" s="1595" t="str">
        <f>Classif!C4</f>
        <v/>
      </c>
      <c r="T38" s="1595">
        <f t="shared" si="0"/>
        <v>3</v>
      </c>
      <c r="U38" s="1744" t="str">
        <f t="shared" si="1"/>
        <v/>
      </c>
      <c r="V38" s="1745">
        <v>1</v>
      </c>
      <c r="W38" s="1745">
        <f>S09D01</f>
        <v>1</v>
      </c>
      <c r="X38" s="1745">
        <v>1</v>
      </c>
      <c r="Y38" s="1745">
        <f t="shared" si="19"/>
        <v>1</v>
      </c>
      <c r="Z38" s="1746">
        <v>0</v>
      </c>
      <c r="AA38" s="1747"/>
      <c r="AB38" s="1748"/>
      <c r="AC38" s="1748"/>
      <c r="AD38" s="1595" t="str">
        <f t="shared" ref="AD38:AD69" si="23">IF(OR(R38="",S38=""),"",IF(R38="D",INDEX(base_i,IF(IF(AA38="",Z38,AA38)=0,4,5-X38),Y38+7*(S38-1)),IF(R38="I",INDEX(base_i,IF(IF(AA38="",Z38,AA38)=0,15,16-X38),Y38+7*(S38-1)),IF(R38="C",INDEX(base_i,IF(IF(AA38="",Z38,AA38)=0,26,27-X38),Y38+7*(S38-1)),INDEX(base_i,38-X38,Y38+7*(S38-1))))))</f>
        <v/>
      </c>
      <c r="AE38" s="1595">
        <f t="shared" si="4"/>
        <v>3</v>
      </c>
      <c r="AF38" s="1595" t="str">
        <f t="shared" si="5"/>
        <v/>
      </c>
      <c r="AG38" s="1748"/>
      <c r="AH38" s="1749" t="str">
        <f t="shared" si="16"/>
        <v/>
      </c>
      <c r="AI38" s="1615"/>
      <c r="AJ38" s="1621" t="s">
        <v>4189</v>
      </c>
      <c r="AK38" s="1618"/>
      <c r="AL38" s="1617" t="s">
        <v>4439</v>
      </c>
      <c r="AM38" s="247" t="str">
        <f t="shared" si="6"/>
        <v/>
      </c>
      <c r="AN38" s="247" t="str">
        <f t="shared" si="7"/>
        <v/>
      </c>
      <c r="AO38" s="247" t="str">
        <f t="shared" si="8"/>
        <v/>
      </c>
      <c r="AP38" s="247" t="str">
        <f t="shared" si="9"/>
        <v/>
      </c>
      <c r="AQ38" s="42">
        <f t="shared" si="10"/>
        <v>1</v>
      </c>
      <c r="AR38" s="42">
        <f t="shared" si="11"/>
        <v>1</v>
      </c>
      <c r="AS38" s="42">
        <f t="shared" si="12"/>
        <v>1</v>
      </c>
      <c r="AT38" s="42">
        <f t="shared" si="13"/>
        <v>1</v>
      </c>
      <c r="AU38" s="247" t="str">
        <f t="shared" si="14"/>
        <v/>
      </c>
      <c r="AV38" s="247" t="str">
        <f t="shared" si="17"/>
        <v/>
      </c>
    </row>
    <row r="39" spans="1:48" ht="24" x14ac:dyDescent="0.2">
      <c r="A39" s="428" t="s">
        <v>879</v>
      </c>
      <c r="B39" s="429" t="s">
        <v>4481</v>
      </c>
      <c r="C39" s="430" t="s">
        <v>1872</v>
      </c>
      <c r="D39" s="1349" t="s">
        <v>1873</v>
      </c>
      <c r="E39" s="1350" t="s">
        <v>1874</v>
      </c>
      <c r="F39" s="1350" t="s">
        <v>2777</v>
      </c>
      <c r="G39" s="1351" t="s">
        <v>4610</v>
      </c>
      <c r="H39" s="1342" t="s">
        <v>1554</v>
      </c>
      <c r="I39" s="432" t="s">
        <v>1534</v>
      </c>
      <c r="J39" s="431" t="s">
        <v>1880</v>
      </c>
      <c r="K39" s="438"/>
      <c r="L39" s="438"/>
      <c r="M39" s="439"/>
      <c r="N39" s="440"/>
      <c r="O39" s="1743" t="str">
        <f t="shared" si="22"/>
        <v>Inexploitabilité accidentelle de media support de fichiers  de données applicatives, dans les locaux de l'exploitation, due à un dégât des eaux</v>
      </c>
      <c r="P39" s="435">
        <v>1</v>
      </c>
      <c r="Q39" s="1595" t="s">
        <v>1431</v>
      </c>
      <c r="R39" s="1595" t="s">
        <v>1873</v>
      </c>
      <c r="S39" s="1595" t="str">
        <f>Classif!C4</f>
        <v/>
      </c>
      <c r="T39" s="1595">
        <f t="shared" si="0"/>
        <v>3</v>
      </c>
      <c r="U39" s="1744" t="str">
        <f t="shared" si="1"/>
        <v/>
      </c>
      <c r="V39" s="1745">
        <v>1</v>
      </c>
      <c r="W39" s="1745">
        <f>S03C01</f>
        <v>1</v>
      </c>
      <c r="X39" s="1745">
        <v>1</v>
      </c>
      <c r="Y39" s="1745">
        <f t="shared" si="19"/>
        <v>1</v>
      </c>
      <c r="Z39" s="1746">
        <v>0</v>
      </c>
      <c r="AA39" s="1747"/>
      <c r="AB39" s="1748"/>
      <c r="AC39" s="1748"/>
      <c r="AD39" s="1595" t="str">
        <f t="shared" si="23"/>
        <v/>
      </c>
      <c r="AE39" s="1595">
        <f t="shared" si="4"/>
        <v>3</v>
      </c>
      <c r="AF39" s="1595" t="str">
        <f t="shared" si="5"/>
        <v/>
      </c>
      <c r="AG39" s="1748"/>
      <c r="AH39" s="1749" t="str">
        <f t="shared" si="16"/>
        <v/>
      </c>
      <c r="AI39" s="1615"/>
      <c r="AJ39" s="1616" t="s">
        <v>5220</v>
      </c>
      <c r="AK39" s="1618"/>
      <c r="AL39" s="1617" t="s">
        <v>4439</v>
      </c>
      <c r="AM39" s="247" t="str">
        <f t="shared" si="6"/>
        <v/>
      </c>
      <c r="AN39" s="247" t="str">
        <f t="shared" si="7"/>
        <v/>
      </c>
      <c r="AO39" s="247" t="str">
        <f t="shared" si="8"/>
        <v/>
      </c>
      <c r="AP39" s="247" t="str">
        <f t="shared" si="9"/>
        <v/>
      </c>
      <c r="AQ39" s="42">
        <f t="shared" si="10"/>
        <v>1</v>
      </c>
      <c r="AR39" s="42">
        <f t="shared" si="11"/>
        <v>1</v>
      </c>
      <c r="AS39" s="42">
        <f t="shared" si="12"/>
        <v>1</v>
      </c>
      <c r="AT39" s="42">
        <f t="shared" si="13"/>
        <v>1</v>
      </c>
      <c r="AU39" s="247" t="str">
        <f t="shared" si="14"/>
        <v/>
      </c>
      <c r="AV39" s="247" t="str">
        <f t="shared" si="17"/>
        <v/>
      </c>
    </row>
    <row r="40" spans="1:48" ht="24" x14ac:dyDescent="0.2">
      <c r="A40" s="428" t="s">
        <v>880</v>
      </c>
      <c r="B40" s="429" t="s">
        <v>4481</v>
      </c>
      <c r="C40" s="430" t="s">
        <v>1872</v>
      </c>
      <c r="D40" s="1349" t="s">
        <v>1873</v>
      </c>
      <c r="E40" s="1350" t="s">
        <v>1874</v>
      </c>
      <c r="F40" s="1350" t="s">
        <v>2777</v>
      </c>
      <c r="G40" s="1351" t="s">
        <v>4610</v>
      </c>
      <c r="H40" s="1342" t="s">
        <v>1554</v>
      </c>
      <c r="I40" s="432" t="s">
        <v>1537</v>
      </c>
      <c r="J40" s="431" t="s">
        <v>1880</v>
      </c>
      <c r="K40" s="431"/>
      <c r="L40" s="431"/>
      <c r="M40" s="433"/>
      <c r="N40" s="434"/>
      <c r="O40" s="1743" t="str">
        <f t="shared" si="22"/>
        <v>Inexploitabilité accidentelle de media support de fichiers  de données applicatives, dans les locaux de l'exploitation, due à une surcharge électrique</v>
      </c>
      <c r="P40" s="435">
        <v>1</v>
      </c>
      <c r="Q40" s="1595" t="s">
        <v>1431</v>
      </c>
      <c r="R40" s="1595" t="s">
        <v>1873</v>
      </c>
      <c r="S40" s="1595" t="str">
        <f>Classif!C4</f>
        <v/>
      </c>
      <c r="T40" s="1595">
        <f t="shared" si="0"/>
        <v>2</v>
      </c>
      <c r="U40" s="1744" t="str">
        <f t="shared" si="1"/>
        <v/>
      </c>
      <c r="V40" s="1745">
        <v>1</v>
      </c>
      <c r="W40" s="1745">
        <f>MIN(S03A01,S03A04)</f>
        <v>1</v>
      </c>
      <c r="X40" s="1745">
        <v>1</v>
      </c>
      <c r="Y40" s="1745">
        <f t="shared" si="19"/>
        <v>1</v>
      </c>
      <c r="Z40" s="1746">
        <v>0</v>
      </c>
      <c r="AA40" s="1747"/>
      <c r="AB40" s="1748"/>
      <c r="AC40" s="1748"/>
      <c r="AD40" s="1595" t="str">
        <f t="shared" si="23"/>
        <v/>
      </c>
      <c r="AE40" s="1595">
        <f t="shared" si="4"/>
        <v>2</v>
      </c>
      <c r="AF40" s="1595" t="str">
        <f t="shared" si="5"/>
        <v/>
      </c>
      <c r="AG40" s="1748"/>
      <c r="AH40" s="1749" t="str">
        <f t="shared" si="16"/>
        <v/>
      </c>
      <c r="AI40" s="1615"/>
      <c r="AJ40" s="1616" t="s">
        <v>5252</v>
      </c>
      <c r="AK40" s="1618"/>
      <c r="AL40" s="1617" t="s">
        <v>4439</v>
      </c>
      <c r="AM40" s="247" t="str">
        <f t="shared" si="6"/>
        <v/>
      </c>
      <c r="AN40" s="247" t="str">
        <f t="shared" si="7"/>
        <v/>
      </c>
      <c r="AO40" s="247" t="str">
        <f t="shared" si="8"/>
        <v/>
      </c>
      <c r="AP40" s="247" t="str">
        <f t="shared" si="9"/>
        <v/>
      </c>
      <c r="AQ40" s="42">
        <f t="shared" si="10"/>
        <v>1</v>
      </c>
      <c r="AR40" s="42">
        <f t="shared" si="11"/>
        <v>1</v>
      </c>
      <c r="AS40" s="42">
        <f t="shared" si="12"/>
        <v>1</v>
      </c>
      <c r="AT40" s="42">
        <f t="shared" si="13"/>
        <v>1</v>
      </c>
      <c r="AU40" s="247" t="str">
        <f t="shared" si="14"/>
        <v/>
      </c>
      <c r="AV40" s="247" t="str">
        <f t="shared" si="17"/>
        <v/>
      </c>
    </row>
    <row r="41" spans="1:48" ht="24" x14ac:dyDescent="0.2">
      <c r="A41" s="428" t="s">
        <v>881</v>
      </c>
      <c r="B41" s="429" t="s">
        <v>4481</v>
      </c>
      <c r="C41" s="430" t="s">
        <v>1872</v>
      </c>
      <c r="D41" s="1349" t="s">
        <v>1873</v>
      </c>
      <c r="E41" s="1350" t="s">
        <v>1874</v>
      </c>
      <c r="F41" s="1350" t="s">
        <v>2777</v>
      </c>
      <c r="G41" s="1351" t="s">
        <v>4610</v>
      </c>
      <c r="H41" s="1342" t="s">
        <v>1465</v>
      </c>
      <c r="I41" s="432" t="s">
        <v>1880</v>
      </c>
      <c r="J41" s="431" t="s">
        <v>1880</v>
      </c>
      <c r="K41" s="431"/>
      <c r="L41" s="431"/>
      <c r="M41" s="433"/>
      <c r="N41" s="434"/>
      <c r="O41" s="1743" t="str">
        <f t="shared" si="22"/>
        <v>Inexploitabilité accidentelle de media support de fichiers  de données applicatives, dans les locaux de l'exploitation, due à un incident d'exploitation</v>
      </c>
      <c r="P41" s="435">
        <v>1</v>
      </c>
      <c r="Q41" s="1595" t="s">
        <v>1431</v>
      </c>
      <c r="R41" s="1595" t="s">
        <v>1873</v>
      </c>
      <c r="S41" s="1595" t="str">
        <f>Classif!C4</f>
        <v/>
      </c>
      <c r="T41" s="1595">
        <f t="shared" si="0"/>
        <v>3</v>
      </c>
      <c r="U41" s="1744" t="str">
        <f t="shared" si="1"/>
        <v/>
      </c>
      <c r="V41" s="1745">
        <v>1</v>
      </c>
      <c r="W41" s="1745">
        <f>S08A03</f>
        <v>1</v>
      </c>
      <c r="X41" s="1745">
        <f>S08E03</f>
        <v>1</v>
      </c>
      <c r="Y41" s="1745">
        <f t="shared" si="19"/>
        <v>1</v>
      </c>
      <c r="Z41" s="1746">
        <v>0</v>
      </c>
      <c r="AA41" s="1747"/>
      <c r="AB41" s="1748"/>
      <c r="AC41" s="1748"/>
      <c r="AD41" s="1595" t="str">
        <f t="shared" si="23"/>
        <v/>
      </c>
      <c r="AE41" s="1595">
        <f t="shared" si="4"/>
        <v>3</v>
      </c>
      <c r="AF41" s="1595" t="str">
        <f t="shared" si="5"/>
        <v/>
      </c>
      <c r="AG41" s="1748"/>
      <c r="AH41" s="1749" t="str">
        <f t="shared" si="16"/>
        <v/>
      </c>
      <c r="AI41" s="1626"/>
      <c r="AJ41" s="1616" t="s">
        <v>4324</v>
      </c>
      <c r="AK41" s="1616" t="s">
        <v>2532</v>
      </c>
      <c r="AL41" s="1617" t="s">
        <v>4439</v>
      </c>
      <c r="AM41" s="247" t="str">
        <f t="shared" si="6"/>
        <v/>
      </c>
      <c r="AN41" s="247" t="str">
        <f t="shared" si="7"/>
        <v/>
      </c>
      <c r="AO41" s="247" t="str">
        <f t="shared" si="8"/>
        <v/>
      </c>
      <c r="AP41" s="247" t="str">
        <f t="shared" si="9"/>
        <v/>
      </c>
      <c r="AQ41" s="42">
        <f t="shared" si="10"/>
        <v>1</v>
      </c>
      <c r="AR41" s="42">
        <f t="shared" si="11"/>
        <v>1</v>
      </c>
      <c r="AS41" s="42">
        <f t="shared" si="12"/>
        <v>1</v>
      </c>
      <c r="AT41" s="42">
        <f t="shared" si="13"/>
        <v>1</v>
      </c>
      <c r="AU41" s="247" t="str">
        <f t="shared" si="14"/>
        <v/>
      </c>
      <c r="AV41" s="247" t="str">
        <f t="shared" si="17"/>
        <v/>
      </c>
    </row>
    <row r="42" spans="1:48" ht="24" x14ac:dyDescent="0.2">
      <c r="A42" s="428" t="s">
        <v>882</v>
      </c>
      <c r="B42" s="429" t="s">
        <v>4481</v>
      </c>
      <c r="C42" s="430" t="s">
        <v>1872</v>
      </c>
      <c r="D42" s="1349" t="s">
        <v>1873</v>
      </c>
      <c r="E42" s="1350" t="s">
        <v>1874</v>
      </c>
      <c r="F42" s="1350" t="s">
        <v>2777</v>
      </c>
      <c r="G42" s="1351" t="s">
        <v>4610</v>
      </c>
      <c r="H42" s="1342" t="s">
        <v>1554</v>
      </c>
      <c r="I42" s="432" t="s">
        <v>1464</v>
      </c>
      <c r="J42" s="431" t="s">
        <v>1876</v>
      </c>
      <c r="K42" s="431"/>
      <c r="L42" s="431"/>
      <c r="M42" s="433"/>
      <c r="N42" s="434"/>
      <c r="O42" s="1743" t="str">
        <f t="shared" si="22"/>
        <v>Inexploitabilité accidentelle de media support de fichiers  de données applicatives, en médiathèque, due à une pollution</v>
      </c>
      <c r="P42" s="435">
        <v>1</v>
      </c>
      <c r="Q42" s="1595" t="s">
        <v>1431</v>
      </c>
      <c r="R42" s="1595" t="s">
        <v>1873</v>
      </c>
      <c r="S42" s="1595" t="str">
        <f>Classif!C4</f>
        <v/>
      </c>
      <c r="T42" s="1595">
        <f t="shared" si="0"/>
        <v>2</v>
      </c>
      <c r="U42" s="1744" t="str">
        <f t="shared" si="1"/>
        <v/>
      </c>
      <c r="V42" s="1745">
        <v>1</v>
      </c>
      <c r="W42" s="1745">
        <v>1</v>
      </c>
      <c r="X42" s="1745">
        <v>1</v>
      </c>
      <c r="Y42" s="1745">
        <f t="shared" si="19"/>
        <v>1</v>
      </c>
      <c r="Z42" s="1746">
        <v>0</v>
      </c>
      <c r="AA42" s="1747"/>
      <c r="AB42" s="1748"/>
      <c r="AC42" s="1748"/>
      <c r="AD42" s="1595" t="str">
        <f t="shared" si="23"/>
        <v/>
      </c>
      <c r="AE42" s="1595">
        <f t="shared" si="4"/>
        <v>2</v>
      </c>
      <c r="AF42" s="1595" t="str">
        <f t="shared" si="5"/>
        <v/>
      </c>
      <c r="AG42" s="1748"/>
      <c r="AH42" s="1749" t="str">
        <f t="shared" si="16"/>
        <v/>
      </c>
      <c r="AI42" s="1615"/>
      <c r="AJ42" s="1616"/>
      <c r="AK42" s="1616"/>
      <c r="AL42" s="1617" t="s">
        <v>4439</v>
      </c>
      <c r="AM42" s="247" t="str">
        <f t="shared" si="6"/>
        <v/>
      </c>
      <c r="AN42" s="247" t="str">
        <f t="shared" si="7"/>
        <v/>
      </c>
      <c r="AO42" s="247" t="str">
        <f t="shared" si="8"/>
        <v/>
      </c>
      <c r="AP42" s="247" t="str">
        <f t="shared" si="9"/>
        <v/>
      </c>
      <c r="AQ42" s="42">
        <f t="shared" si="10"/>
        <v>1</v>
      </c>
      <c r="AR42" s="42">
        <f t="shared" si="11"/>
        <v>1</v>
      </c>
      <c r="AS42" s="42">
        <f t="shared" si="12"/>
        <v>1</v>
      </c>
      <c r="AT42" s="42">
        <f t="shared" si="13"/>
        <v>1</v>
      </c>
      <c r="AU42" s="247" t="str">
        <f t="shared" si="14"/>
        <v/>
      </c>
      <c r="AV42" s="247" t="str">
        <f t="shared" si="17"/>
        <v/>
      </c>
    </row>
    <row r="43" spans="1:48" ht="24" x14ac:dyDescent="0.2">
      <c r="A43" s="428" t="s">
        <v>883</v>
      </c>
      <c r="B43" s="429" t="s">
        <v>4481</v>
      </c>
      <c r="C43" s="430" t="s">
        <v>1872</v>
      </c>
      <c r="D43" s="1349" t="s">
        <v>1873</v>
      </c>
      <c r="E43" s="1350" t="s">
        <v>1874</v>
      </c>
      <c r="F43" s="1350" t="s">
        <v>2777</v>
      </c>
      <c r="G43" s="1351" t="s">
        <v>4610</v>
      </c>
      <c r="H43" s="1342" t="s">
        <v>1554</v>
      </c>
      <c r="I43" s="432" t="s">
        <v>1534</v>
      </c>
      <c r="J43" s="431" t="s">
        <v>1876</v>
      </c>
      <c r="K43" s="438"/>
      <c r="L43" s="438"/>
      <c r="M43" s="439"/>
      <c r="N43" s="440"/>
      <c r="O43" s="1743" t="str">
        <f t="shared" si="22"/>
        <v>Inexploitabilité accidentelle de media support de fichiers  de données applicatives, en médiathèque, due à un dégât des eaux</v>
      </c>
      <c r="P43" s="435">
        <v>1</v>
      </c>
      <c r="Q43" s="1595" t="s">
        <v>1431</v>
      </c>
      <c r="R43" s="1595" t="s">
        <v>1873</v>
      </c>
      <c r="S43" s="1595" t="str">
        <f>Classif!C4</f>
        <v/>
      </c>
      <c r="T43" s="1595">
        <f t="shared" si="0"/>
        <v>3</v>
      </c>
      <c r="U43" s="1744" t="str">
        <f t="shared" si="1"/>
        <v/>
      </c>
      <c r="V43" s="1745">
        <v>1</v>
      </c>
      <c r="W43" s="1745">
        <f>S08C03</f>
        <v>1</v>
      </c>
      <c r="X43" s="1745">
        <v>1</v>
      </c>
      <c r="Y43" s="1745">
        <f t="shared" si="19"/>
        <v>1</v>
      </c>
      <c r="Z43" s="1746">
        <v>0</v>
      </c>
      <c r="AA43" s="1747"/>
      <c r="AB43" s="1748"/>
      <c r="AC43" s="1748"/>
      <c r="AD43" s="1595" t="str">
        <f t="shared" si="23"/>
        <v/>
      </c>
      <c r="AE43" s="1595">
        <f t="shared" si="4"/>
        <v>3</v>
      </c>
      <c r="AF43" s="1595" t="str">
        <f t="shared" si="5"/>
        <v/>
      </c>
      <c r="AG43" s="1748"/>
      <c r="AH43" s="1749" t="str">
        <f t="shared" si="16"/>
        <v/>
      </c>
      <c r="AI43" s="1615"/>
      <c r="AJ43" s="1621" t="s">
        <v>63</v>
      </c>
      <c r="AK43" s="1618"/>
      <c r="AL43" s="1617" t="s">
        <v>4439</v>
      </c>
      <c r="AM43" s="247" t="str">
        <f t="shared" si="6"/>
        <v/>
      </c>
      <c r="AN43" s="247" t="str">
        <f t="shared" si="7"/>
        <v/>
      </c>
      <c r="AO43" s="247" t="str">
        <f t="shared" si="8"/>
        <v/>
      </c>
      <c r="AP43" s="247" t="str">
        <f t="shared" si="9"/>
        <v/>
      </c>
      <c r="AQ43" s="42">
        <f t="shared" si="10"/>
        <v>1</v>
      </c>
      <c r="AR43" s="42">
        <f t="shared" si="11"/>
        <v>1</v>
      </c>
      <c r="AS43" s="42">
        <f t="shared" si="12"/>
        <v>1</v>
      </c>
      <c r="AT43" s="42">
        <f t="shared" si="13"/>
        <v>1</v>
      </c>
      <c r="AU43" s="247" t="str">
        <f t="shared" si="14"/>
        <v/>
      </c>
      <c r="AV43" s="247" t="str">
        <f t="shared" si="17"/>
        <v/>
      </c>
    </row>
    <row r="44" spans="1:48" ht="24" x14ac:dyDescent="0.2">
      <c r="A44" s="428" t="s">
        <v>884</v>
      </c>
      <c r="B44" s="429" t="s">
        <v>2485</v>
      </c>
      <c r="C44" s="430" t="s">
        <v>1872</v>
      </c>
      <c r="D44" s="1349" t="s">
        <v>1873</v>
      </c>
      <c r="E44" s="1350" t="s">
        <v>2560</v>
      </c>
      <c r="F44" s="1350" t="s">
        <v>4498</v>
      </c>
      <c r="G44" s="1351" t="s">
        <v>4616</v>
      </c>
      <c r="H44" s="1342" t="s">
        <v>1327</v>
      </c>
      <c r="I44" s="432" t="s">
        <v>1545</v>
      </c>
      <c r="J44" s="431"/>
      <c r="K44" s="431"/>
      <c r="L44" s="431"/>
      <c r="M44" s="433"/>
      <c r="N44" s="434"/>
      <c r="O44" s="1743" t="str">
        <f>VLOOKUP(B44,code_famille_scénario,2)&amp;VLOOKUP(C44,code_actif,2)</f>
        <v>Disparition accidentelle de moyens nécessaires à l'accès aux fichiers de données applicatives</v>
      </c>
      <c r="P44" s="435">
        <v>1</v>
      </c>
      <c r="Q44" s="1595" t="s">
        <v>1431</v>
      </c>
      <c r="R44" s="1595" t="s">
        <v>1873</v>
      </c>
      <c r="S44" s="1595" t="str">
        <f>Classif!C4</f>
        <v/>
      </c>
      <c r="T44" s="1595">
        <f t="shared" si="0"/>
        <v>3</v>
      </c>
      <c r="U44" s="1744" t="str">
        <f t="shared" si="1"/>
        <v/>
      </c>
      <c r="V44" s="1745">
        <v>1</v>
      </c>
      <c r="W44" s="1745">
        <v>1</v>
      </c>
      <c r="X44" s="1745">
        <v>1</v>
      </c>
      <c r="Y44" s="1745">
        <f>S09D02</f>
        <v>1</v>
      </c>
      <c r="Z44" s="1746">
        <v>0</v>
      </c>
      <c r="AA44" s="1747"/>
      <c r="AB44" s="1751"/>
      <c r="AC44" s="1748"/>
      <c r="AD44" s="1595" t="str">
        <f t="shared" si="23"/>
        <v/>
      </c>
      <c r="AE44" s="1595">
        <f t="shared" si="4"/>
        <v>3</v>
      </c>
      <c r="AF44" s="1595" t="str">
        <f t="shared" si="5"/>
        <v/>
      </c>
      <c r="AG44" s="1748"/>
      <c r="AH44" s="1749" t="str">
        <f t="shared" si="16"/>
        <v/>
      </c>
      <c r="AI44" s="1615"/>
      <c r="AJ44" s="1621"/>
      <c r="AK44" s="1618"/>
      <c r="AL44" s="1617" t="s">
        <v>5998</v>
      </c>
      <c r="AM44" s="247" t="str">
        <f t="shared" si="6"/>
        <v/>
      </c>
      <c r="AN44" s="247" t="str">
        <f t="shared" si="7"/>
        <v/>
      </c>
      <c r="AO44" s="247" t="str">
        <f t="shared" si="8"/>
        <v/>
      </c>
      <c r="AP44" s="247" t="str">
        <f t="shared" si="9"/>
        <v/>
      </c>
      <c r="AQ44" s="42">
        <f t="shared" si="10"/>
        <v>1</v>
      </c>
      <c r="AR44" s="42">
        <f t="shared" si="11"/>
        <v>1</v>
      </c>
      <c r="AS44" s="42">
        <f t="shared" si="12"/>
        <v>1</v>
      </c>
      <c r="AT44" s="42">
        <f t="shared" si="13"/>
        <v>1</v>
      </c>
      <c r="AU44" s="247" t="str">
        <f t="shared" si="14"/>
        <v/>
      </c>
      <c r="AV44" s="247" t="str">
        <f t="shared" si="17"/>
        <v/>
      </c>
    </row>
    <row r="45" spans="1:48" ht="24" x14ac:dyDescent="0.2">
      <c r="A45" s="428" t="s">
        <v>885</v>
      </c>
      <c r="B45" s="429" t="s">
        <v>2486</v>
      </c>
      <c r="C45" s="430" t="s">
        <v>1872</v>
      </c>
      <c r="D45" s="1349" t="s">
        <v>1873</v>
      </c>
      <c r="E45" s="1350" t="s">
        <v>2560</v>
      </c>
      <c r="F45" s="1350" t="s">
        <v>4498</v>
      </c>
      <c r="G45" s="1351" t="s">
        <v>4616</v>
      </c>
      <c r="H45" s="1342" t="s">
        <v>1329</v>
      </c>
      <c r="I45" s="432" t="s">
        <v>1305</v>
      </c>
      <c r="J45" s="431"/>
      <c r="K45" s="431"/>
      <c r="L45" s="431"/>
      <c r="M45" s="433"/>
      <c r="N45" s="434"/>
      <c r="O45" s="1743" t="str">
        <f>VLOOKUP(B45,code_famille_scénario,2)&amp;VLOOKUP(C45,code_actif,2)</f>
        <v>Vol ou destruction malveillante de moyens nécessaires à l'accès aux fichiers de données applicatives</v>
      </c>
      <c r="P45" s="435">
        <v>1</v>
      </c>
      <c r="Q45" s="1595" t="s">
        <v>1299</v>
      </c>
      <c r="R45" s="1595" t="s">
        <v>1873</v>
      </c>
      <c r="S45" s="1595" t="str">
        <f>Classif!C4</f>
        <v/>
      </c>
      <c r="T45" s="1595">
        <f t="shared" si="0"/>
        <v>2</v>
      </c>
      <c r="U45" s="1744" t="str">
        <f t="shared" si="1"/>
        <v/>
      </c>
      <c r="V45" s="1745">
        <v>1</v>
      </c>
      <c r="W45" s="1745">
        <v>1</v>
      </c>
      <c r="X45" s="1745">
        <v>1</v>
      </c>
      <c r="Y45" s="1745">
        <f>S09D02</f>
        <v>1</v>
      </c>
      <c r="Z45" s="1746">
        <v>0</v>
      </c>
      <c r="AA45" s="1747"/>
      <c r="AB45" s="1748"/>
      <c r="AC45" s="1748"/>
      <c r="AD45" s="1595" t="str">
        <f t="shared" si="23"/>
        <v/>
      </c>
      <c r="AE45" s="1595">
        <f t="shared" si="4"/>
        <v>2</v>
      </c>
      <c r="AF45" s="1595" t="str">
        <f t="shared" si="5"/>
        <v/>
      </c>
      <c r="AG45" s="1748"/>
      <c r="AH45" s="1749" t="str">
        <f t="shared" si="16"/>
        <v/>
      </c>
      <c r="AI45" s="1615"/>
      <c r="AJ45" s="1621"/>
      <c r="AK45" s="1618"/>
      <c r="AL45" s="1617" t="s">
        <v>5998</v>
      </c>
      <c r="AM45" s="247" t="str">
        <f t="shared" si="6"/>
        <v/>
      </c>
      <c r="AN45" s="247" t="str">
        <f t="shared" si="7"/>
        <v/>
      </c>
      <c r="AO45" s="247" t="str">
        <f t="shared" si="8"/>
        <v/>
      </c>
      <c r="AP45" s="247" t="str">
        <f t="shared" si="9"/>
        <v/>
      </c>
      <c r="AQ45" s="42">
        <f t="shared" si="10"/>
        <v>1</v>
      </c>
      <c r="AR45" s="42">
        <f t="shared" si="11"/>
        <v>1</v>
      </c>
      <c r="AS45" s="42">
        <f t="shared" si="12"/>
        <v>1</v>
      </c>
      <c r="AT45" s="42">
        <f t="shared" si="13"/>
        <v>1</v>
      </c>
      <c r="AU45" s="247" t="str">
        <f t="shared" si="14"/>
        <v/>
      </c>
      <c r="AV45" s="247" t="str">
        <f t="shared" si="17"/>
        <v/>
      </c>
    </row>
    <row r="46" spans="1:48" ht="15" x14ac:dyDescent="0.2">
      <c r="A46" s="418" t="s">
        <v>4834</v>
      </c>
      <c r="B46" s="419"/>
      <c r="C46" s="420" t="s">
        <v>4736</v>
      </c>
      <c r="D46" s="425"/>
      <c r="E46" s="1348"/>
      <c r="F46" s="1348"/>
      <c r="G46" s="427"/>
      <c r="H46" s="1295"/>
      <c r="I46" s="420"/>
      <c r="J46" s="441"/>
      <c r="K46" s="441"/>
      <c r="L46" s="441"/>
      <c r="M46" s="442"/>
      <c r="N46" s="422"/>
      <c r="O46" s="1752"/>
      <c r="P46" s="1608"/>
      <c r="Q46" s="1596"/>
      <c r="R46" s="1596"/>
      <c r="S46" s="1597"/>
      <c r="T46" s="1597"/>
      <c r="U46" s="1597"/>
      <c r="V46" s="1598"/>
      <c r="W46" s="1598"/>
      <c r="X46" s="1598"/>
      <c r="Y46" s="1598"/>
      <c r="Z46" s="1599"/>
      <c r="AA46" s="443"/>
      <c r="AB46" s="444"/>
      <c r="AC46" s="444"/>
      <c r="AD46" s="1595"/>
      <c r="AE46" s="1597"/>
      <c r="AF46" s="1597"/>
      <c r="AG46" s="445"/>
      <c r="AH46" s="1749"/>
      <c r="AI46" s="1627"/>
      <c r="AJ46" s="1628"/>
      <c r="AK46" s="1628"/>
      <c r="AL46" s="1629"/>
      <c r="AM46" s="247" t="str">
        <f t="shared" si="6"/>
        <v/>
      </c>
      <c r="AN46" s="247" t="str">
        <f t="shared" si="7"/>
        <v/>
      </c>
      <c r="AO46" s="247" t="str">
        <f t="shared" si="8"/>
        <v/>
      </c>
      <c r="AP46" s="247" t="str">
        <f t="shared" si="9"/>
        <v/>
      </c>
      <c r="AU46" s="247" t="str">
        <f t="shared" si="14"/>
        <v/>
      </c>
      <c r="AV46" s="247" t="str">
        <f t="shared" si="17"/>
        <v/>
      </c>
    </row>
    <row r="47" spans="1:48" x14ac:dyDescent="0.2">
      <c r="A47" s="428" t="s">
        <v>886</v>
      </c>
      <c r="B47" s="429" t="s">
        <v>5620</v>
      </c>
      <c r="C47" s="430" t="s">
        <v>3519</v>
      </c>
      <c r="D47" s="1349" t="s">
        <v>1873</v>
      </c>
      <c r="E47" s="1350" t="s">
        <v>2778</v>
      </c>
      <c r="F47" s="1350" t="s">
        <v>2779</v>
      </c>
      <c r="G47" s="1351" t="s">
        <v>3739</v>
      </c>
      <c r="H47" s="1342" t="s">
        <v>1465</v>
      </c>
      <c r="I47" s="432" t="s">
        <v>1539</v>
      </c>
      <c r="J47" s="431" t="s">
        <v>1880</v>
      </c>
      <c r="K47" s="431"/>
      <c r="L47" s="431"/>
      <c r="M47" s="433"/>
      <c r="N47" s="434"/>
      <c r="O47" s="1743" t="str">
        <f>VLOOKUP(B47,code_famille_scénario,2)&amp;VLOOKUP(C47,code_actif,2)&amp;", suite "&amp;VLOOKUP(I47,code_event,2)</f>
        <v>Effacement accidentel de fichiers bureautiques partagés, suite à un virus</v>
      </c>
      <c r="P47" s="435">
        <v>1</v>
      </c>
      <c r="Q47" s="1595" t="s">
        <v>1431</v>
      </c>
      <c r="R47" s="1595" t="s">
        <v>1873</v>
      </c>
      <c r="S47" s="1595" t="str">
        <f>Classif!C5</f>
        <v/>
      </c>
      <c r="T47" s="1595">
        <f t="shared" ref="T47:T69" si="24">VLOOKUP(H47&amp;"."&amp;I47,Tab_event,4)</f>
        <v>4</v>
      </c>
      <c r="U47" s="1744" t="str">
        <f t="shared" ref="U47:U69" si="25">IF(AND(NOT(S47=""),NOT(T47="")),INDEX(base_g,5-S47,T47),"")</f>
        <v/>
      </c>
      <c r="V47" s="1745">
        <v>1</v>
      </c>
      <c r="W47" s="1745">
        <f>MIN(S08D07,S11D06)</f>
        <v>1</v>
      </c>
      <c r="X47" s="1745">
        <v>1</v>
      </c>
      <c r="Y47" s="1745">
        <f t="shared" ref="Y47:Y57" si="26">S11D04</f>
        <v>1</v>
      </c>
      <c r="Z47" s="1746">
        <v>0</v>
      </c>
      <c r="AA47" s="1747"/>
      <c r="AB47" s="1748"/>
      <c r="AC47" s="1748"/>
      <c r="AD47" s="1595" t="str">
        <f t="shared" si="23"/>
        <v/>
      </c>
      <c r="AE47" s="1595">
        <f t="shared" ref="AE47:AE69" si="27">IF(OR(Q47="",T47=""),"",IF(Q47="A",INDEX(base_p,4,W47+7*(T47-1)),IF(Q47="E",INDEX(base_p,15,W47+7*(T47-1)),INDEX(base_p,27-V47,W47+7*(T47-1)))))</f>
        <v>4</v>
      </c>
      <c r="AF47" s="1595" t="str">
        <f t="shared" ref="AF47:AF69" si="28">IF(AT47=1,IF(IndG=1,U47,IF(AND(OR(NOT(AD47=""),NOT(AB47="")),OR(NOT(AE47=""),NOT(AC47="")),AT47=1),INDEX(base_g,5-IF(AB47="",AD47,AB47),IF(AC47="",AE47,AC47)),"")),0)</f>
        <v/>
      </c>
      <c r="AG47" s="1748"/>
      <c r="AH47" s="1749" t="str">
        <f t="shared" si="16"/>
        <v/>
      </c>
      <c r="AI47" s="1615"/>
      <c r="AJ47" s="1616" t="s">
        <v>6490</v>
      </c>
      <c r="AK47" s="1616"/>
      <c r="AL47" s="1617" t="s">
        <v>4440</v>
      </c>
      <c r="AM47" s="247" t="str">
        <f t="shared" si="6"/>
        <v/>
      </c>
      <c r="AN47" s="247" t="str">
        <f t="shared" si="7"/>
        <v/>
      </c>
      <c r="AO47" s="247" t="str">
        <f t="shared" si="8"/>
        <v/>
      </c>
      <c r="AP47" s="247" t="str">
        <f t="shared" si="9"/>
        <v/>
      </c>
      <c r="AQ47" s="42">
        <f t="shared" ref="AQ47:AQ69" si="29">VLOOKUP(LEFT(C47,3),Tab_classif_data,6)</f>
        <v>1</v>
      </c>
      <c r="AR47" s="42">
        <f t="shared" ref="AR47:AR69" si="30">VLOOKUP(G47,select_vul_data,2)</f>
        <v>1</v>
      </c>
      <c r="AS47" s="42">
        <f t="shared" ref="AS47:AS69" si="31">VLOOKUP(H47&amp;"."&amp;I47,select_men,5)</f>
        <v>1</v>
      </c>
      <c r="AT47" s="42">
        <f t="shared" ref="AT47:AT69" si="32">P47*AQ47*AR47*AS47</f>
        <v>1</v>
      </c>
      <c r="AU47" s="247" t="str">
        <f t="shared" si="14"/>
        <v/>
      </c>
      <c r="AV47" s="247" t="str">
        <f t="shared" si="17"/>
        <v/>
      </c>
    </row>
    <row r="48" spans="1:48" ht="24" x14ac:dyDescent="0.2">
      <c r="A48" s="428" t="s">
        <v>887</v>
      </c>
      <c r="B48" s="429" t="s">
        <v>5624</v>
      </c>
      <c r="C48" s="430" t="s">
        <v>3519</v>
      </c>
      <c r="D48" s="1349" t="s">
        <v>1873</v>
      </c>
      <c r="E48" s="1350" t="s">
        <v>2778</v>
      </c>
      <c r="F48" s="1350" t="s">
        <v>2779</v>
      </c>
      <c r="G48" s="1351" t="s">
        <v>3739</v>
      </c>
      <c r="H48" s="1342" t="s">
        <v>1327</v>
      </c>
      <c r="I48" s="432" t="s">
        <v>1545</v>
      </c>
      <c r="J48" s="431" t="s">
        <v>1880</v>
      </c>
      <c r="K48" s="431"/>
      <c r="L48" s="431" t="s">
        <v>6541</v>
      </c>
      <c r="M48" s="433"/>
      <c r="N48" s="434" t="s">
        <v>1301</v>
      </c>
      <c r="O48" s="1743" t="str">
        <f t="shared" ref="O48:O58" si="33">VLOOKUP(B48,code_famille_scénario,2)&amp;VLOOKUP(C48,code_actif,2)&amp;", par "&amp;VLOOKUP(N48,code_acteur,2)&amp;", "&amp;VLOOKUP(L48,code_acces,2)</f>
        <v>Effacement par erreur de fichiers bureautiques partagés, par un utilisateur autorisé légitime, se connectant depuis le réseau interne</v>
      </c>
      <c r="P48" s="435">
        <v>1</v>
      </c>
      <c r="Q48" s="1595" t="s">
        <v>6403</v>
      </c>
      <c r="R48" s="1595" t="s">
        <v>1873</v>
      </c>
      <c r="S48" s="1595" t="str">
        <f>Classif!C5</f>
        <v/>
      </c>
      <c r="T48" s="1595">
        <f t="shared" si="24"/>
        <v>3</v>
      </c>
      <c r="U48" s="1744" t="str">
        <f t="shared" si="25"/>
        <v/>
      </c>
      <c r="V48" s="1745">
        <v>1</v>
      </c>
      <c r="W48" s="1745">
        <v>1</v>
      </c>
      <c r="X48" s="1745">
        <v>1</v>
      </c>
      <c r="Y48" s="1745">
        <f t="shared" si="26"/>
        <v>1</v>
      </c>
      <c r="Z48" s="1746">
        <v>0</v>
      </c>
      <c r="AA48" s="1747"/>
      <c r="AB48" s="1748"/>
      <c r="AC48" s="1748"/>
      <c r="AD48" s="1595" t="str">
        <f t="shared" si="23"/>
        <v/>
      </c>
      <c r="AE48" s="1595">
        <f t="shared" si="27"/>
        <v>3</v>
      </c>
      <c r="AF48" s="1595" t="str">
        <f t="shared" si="28"/>
        <v/>
      </c>
      <c r="AG48" s="1748"/>
      <c r="AH48" s="1749" t="str">
        <f t="shared" si="16"/>
        <v/>
      </c>
      <c r="AI48" s="1615"/>
      <c r="AJ48" s="1618"/>
      <c r="AK48" s="1618"/>
      <c r="AL48" s="1619" t="s">
        <v>4440</v>
      </c>
      <c r="AM48" s="247" t="str">
        <f t="shared" si="6"/>
        <v/>
      </c>
      <c r="AN48" s="247" t="str">
        <f t="shared" si="7"/>
        <v/>
      </c>
      <c r="AO48" s="247" t="str">
        <f t="shared" si="8"/>
        <v/>
      </c>
      <c r="AP48" s="247" t="str">
        <f t="shared" si="9"/>
        <v/>
      </c>
      <c r="AQ48" s="42">
        <f t="shared" si="29"/>
        <v>1</v>
      </c>
      <c r="AR48" s="42">
        <f t="shared" si="30"/>
        <v>1</v>
      </c>
      <c r="AS48" s="42">
        <f t="shared" si="31"/>
        <v>1</v>
      </c>
      <c r="AT48" s="42">
        <f t="shared" si="32"/>
        <v>1</v>
      </c>
      <c r="AU48" s="247" t="str">
        <f t="shared" si="14"/>
        <v/>
      </c>
      <c r="AV48" s="247" t="str">
        <f t="shared" si="17"/>
        <v/>
      </c>
    </row>
    <row r="49" spans="1:48" ht="24" x14ac:dyDescent="0.2">
      <c r="A49" s="428" t="s">
        <v>888</v>
      </c>
      <c r="B49" s="429" t="s">
        <v>5624</v>
      </c>
      <c r="C49" s="430" t="s">
        <v>3519</v>
      </c>
      <c r="D49" s="1349" t="s">
        <v>1873</v>
      </c>
      <c r="E49" s="1350" t="s">
        <v>2778</v>
      </c>
      <c r="F49" s="1350" t="s">
        <v>2779</v>
      </c>
      <c r="G49" s="1351" t="s">
        <v>3739</v>
      </c>
      <c r="H49" s="1342" t="s">
        <v>1327</v>
      </c>
      <c r="I49" s="432" t="s">
        <v>1545</v>
      </c>
      <c r="J49" s="431" t="s">
        <v>1880</v>
      </c>
      <c r="K49" s="431"/>
      <c r="L49" s="431" t="s">
        <v>6541</v>
      </c>
      <c r="M49" s="433"/>
      <c r="N49" s="434" t="s">
        <v>1302</v>
      </c>
      <c r="O49" s="1743" t="str">
        <f t="shared" si="33"/>
        <v>Effacement par erreur de fichiers bureautiques partagés, par un utilisateur autorisé illégitime, se connectant depuis le réseau interne</v>
      </c>
      <c r="P49" s="435">
        <v>1</v>
      </c>
      <c r="Q49" s="1595" t="s">
        <v>6403</v>
      </c>
      <c r="R49" s="1595" t="s">
        <v>1873</v>
      </c>
      <c r="S49" s="1595" t="str">
        <f>Classif!C5</f>
        <v/>
      </c>
      <c r="T49" s="1595">
        <f t="shared" si="24"/>
        <v>3</v>
      </c>
      <c r="U49" s="1744" t="str">
        <f t="shared" si="25"/>
        <v/>
      </c>
      <c r="V49" s="1745">
        <v>1</v>
      </c>
      <c r="W49" s="1745">
        <v>1</v>
      </c>
      <c r="X49" s="1745">
        <v>1</v>
      </c>
      <c r="Y49" s="1745">
        <f t="shared" si="26"/>
        <v>1</v>
      </c>
      <c r="Z49" s="1746">
        <v>0</v>
      </c>
      <c r="AA49" s="1747"/>
      <c r="AB49" s="1748"/>
      <c r="AC49" s="1748"/>
      <c r="AD49" s="1595" t="str">
        <f t="shared" si="23"/>
        <v/>
      </c>
      <c r="AE49" s="1595">
        <f t="shared" si="27"/>
        <v>3</v>
      </c>
      <c r="AF49" s="1595" t="str">
        <f t="shared" si="28"/>
        <v/>
      </c>
      <c r="AG49" s="1748"/>
      <c r="AH49" s="1749" t="str">
        <f t="shared" si="16"/>
        <v/>
      </c>
      <c r="AI49" s="1615"/>
      <c r="AJ49" s="1618"/>
      <c r="AK49" s="1618"/>
      <c r="AL49" s="1619" t="s">
        <v>4440</v>
      </c>
      <c r="AM49" s="247" t="str">
        <f t="shared" si="6"/>
        <v/>
      </c>
      <c r="AN49" s="247" t="str">
        <f t="shared" si="7"/>
        <v/>
      </c>
      <c r="AO49" s="247" t="str">
        <f t="shared" si="8"/>
        <v/>
      </c>
      <c r="AP49" s="247" t="str">
        <f t="shared" si="9"/>
        <v/>
      </c>
      <c r="AQ49" s="42">
        <f t="shared" si="29"/>
        <v>1</v>
      </c>
      <c r="AR49" s="42">
        <f t="shared" si="30"/>
        <v>1</v>
      </c>
      <c r="AS49" s="42">
        <f t="shared" si="31"/>
        <v>1</v>
      </c>
      <c r="AT49" s="42">
        <f t="shared" si="32"/>
        <v>1</v>
      </c>
      <c r="AU49" s="247" t="str">
        <f t="shared" si="14"/>
        <v/>
      </c>
      <c r="AV49" s="247" t="str">
        <f t="shared" si="17"/>
        <v/>
      </c>
    </row>
    <row r="50" spans="1:48" ht="24" x14ac:dyDescent="0.2">
      <c r="A50" s="428" t="s">
        <v>889</v>
      </c>
      <c r="B50" s="429" t="s">
        <v>5624</v>
      </c>
      <c r="C50" s="430" t="s">
        <v>3519</v>
      </c>
      <c r="D50" s="1349" t="s">
        <v>1873</v>
      </c>
      <c r="E50" s="1350" t="s">
        <v>2778</v>
      </c>
      <c r="F50" s="1350" t="s">
        <v>2779</v>
      </c>
      <c r="G50" s="1351" t="s">
        <v>3739</v>
      </c>
      <c r="H50" s="1342" t="s">
        <v>1327</v>
      </c>
      <c r="I50" s="432" t="s">
        <v>1545</v>
      </c>
      <c r="J50" s="431" t="s">
        <v>1880</v>
      </c>
      <c r="K50" s="431"/>
      <c r="L50" s="431" t="s">
        <v>6541</v>
      </c>
      <c r="M50" s="433"/>
      <c r="N50" s="434" t="s">
        <v>1303</v>
      </c>
      <c r="O50" s="1743" t="str">
        <f t="shared" si="33"/>
        <v>Effacement par erreur de fichiers bureautiques partagés, par un utilisateur non autorisé, se connectant depuis le réseau interne</v>
      </c>
      <c r="P50" s="435">
        <v>1</v>
      </c>
      <c r="Q50" s="1595" t="s">
        <v>6403</v>
      </c>
      <c r="R50" s="1595" t="s">
        <v>1873</v>
      </c>
      <c r="S50" s="1595" t="str">
        <f>Classif!C5</f>
        <v/>
      </c>
      <c r="T50" s="1595">
        <f t="shared" si="24"/>
        <v>3</v>
      </c>
      <c r="U50" s="1744" t="str">
        <f t="shared" si="25"/>
        <v/>
      </c>
      <c r="V50" s="1745">
        <v>1</v>
      </c>
      <c r="W50" s="1745">
        <v>1</v>
      </c>
      <c r="X50" s="1745">
        <v>1</v>
      </c>
      <c r="Y50" s="1745">
        <f t="shared" si="26"/>
        <v>1</v>
      </c>
      <c r="Z50" s="1746">
        <v>0</v>
      </c>
      <c r="AA50" s="1747"/>
      <c r="AB50" s="1748"/>
      <c r="AC50" s="1748"/>
      <c r="AD50" s="1595" t="str">
        <f t="shared" si="23"/>
        <v/>
      </c>
      <c r="AE50" s="1595">
        <f t="shared" si="27"/>
        <v>3</v>
      </c>
      <c r="AF50" s="1595" t="str">
        <f t="shared" si="28"/>
        <v/>
      </c>
      <c r="AG50" s="1748"/>
      <c r="AH50" s="1749" t="str">
        <f t="shared" si="16"/>
        <v/>
      </c>
      <c r="AI50" s="1615"/>
      <c r="AJ50" s="1618"/>
      <c r="AK50" s="1618"/>
      <c r="AL50" s="1619" t="s">
        <v>4440</v>
      </c>
      <c r="AM50" s="247" t="str">
        <f t="shared" si="6"/>
        <v/>
      </c>
      <c r="AN50" s="247" t="str">
        <f t="shared" si="7"/>
        <v/>
      </c>
      <c r="AO50" s="247" t="str">
        <f t="shared" si="8"/>
        <v/>
      </c>
      <c r="AP50" s="247" t="str">
        <f t="shared" si="9"/>
        <v/>
      </c>
      <c r="AQ50" s="42">
        <f t="shared" si="29"/>
        <v>1</v>
      </c>
      <c r="AR50" s="42">
        <f t="shared" si="30"/>
        <v>1</v>
      </c>
      <c r="AS50" s="42">
        <f t="shared" si="31"/>
        <v>1</v>
      </c>
      <c r="AT50" s="42">
        <f t="shared" si="32"/>
        <v>1</v>
      </c>
      <c r="AU50" s="247" t="str">
        <f t="shared" si="14"/>
        <v/>
      </c>
      <c r="AV50" s="247" t="str">
        <f t="shared" si="17"/>
        <v/>
      </c>
    </row>
    <row r="51" spans="1:48" ht="24" x14ac:dyDescent="0.2">
      <c r="A51" s="428" t="s">
        <v>890</v>
      </c>
      <c r="B51" s="429" t="s">
        <v>5624</v>
      </c>
      <c r="C51" s="430" t="s">
        <v>3519</v>
      </c>
      <c r="D51" s="1349" t="s">
        <v>1873</v>
      </c>
      <c r="E51" s="1350" t="s">
        <v>2778</v>
      </c>
      <c r="F51" s="1350" t="s">
        <v>2779</v>
      </c>
      <c r="G51" s="1351" t="s">
        <v>3739</v>
      </c>
      <c r="H51" s="1342" t="s">
        <v>1327</v>
      </c>
      <c r="I51" s="432" t="s">
        <v>1545</v>
      </c>
      <c r="J51" s="431" t="s">
        <v>1880</v>
      </c>
      <c r="K51" s="431"/>
      <c r="L51" s="431" t="s">
        <v>6541</v>
      </c>
      <c r="M51" s="433"/>
      <c r="N51" s="434" t="s">
        <v>6403</v>
      </c>
      <c r="O51" s="1743" t="str">
        <f t="shared" si="33"/>
        <v>Effacement par erreur de fichiers bureautiques partagés, par un membre du personnel d'exploitation, se connectant depuis le réseau interne</v>
      </c>
      <c r="P51" s="435">
        <v>1</v>
      </c>
      <c r="Q51" s="1595" t="s">
        <v>6403</v>
      </c>
      <c r="R51" s="1595" t="s">
        <v>1873</v>
      </c>
      <c r="S51" s="1595" t="str">
        <f>Classif!C5</f>
        <v/>
      </c>
      <c r="T51" s="1595">
        <f t="shared" si="24"/>
        <v>3</v>
      </c>
      <c r="U51" s="1744" t="str">
        <f t="shared" si="25"/>
        <v/>
      </c>
      <c r="V51" s="1745">
        <v>1</v>
      </c>
      <c r="W51" s="1745">
        <v>1</v>
      </c>
      <c r="X51" s="1745">
        <v>1</v>
      </c>
      <c r="Y51" s="1745">
        <f t="shared" si="26"/>
        <v>1</v>
      </c>
      <c r="Z51" s="1746">
        <v>0</v>
      </c>
      <c r="AA51" s="1747"/>
      <c r="AB51" s="1748"/>
      <c r="AC51" s="1748"/>
      <c r="AD51" s="1595" t="str">
        <f t="shared" si="23"/>
        <v/>
      </c>
      <c r="AE51" s="1595">
        <f t="shared" si="27"/>
        <v>3</v>
      </c>
      <c r="AF51" s="1595" t="str">
        <f t="shared" si="28"/>
        <v/>
      </c>
      <c r="AG51" s="1748"/>
      <c r="AH51" s="1749" t="str">
        <f t="shared" si="16"/>
        <v/>
      </c>
      <c r="AI51" s="1615"/>
      <c r="AJ51" s="1618"/>
      <c r="AK51" s="1618"/>
      <c r="AL51" s="1619" t="s">
        <v>4440</v>
      </c>
      <c r="AM51" s="247" t="str">
        <f t="shared" si="6"/>
        <v/>
      </c>
      <c r="AN51" s="247" t="str">
        <f t="shared" si="7"/>
        <v/>
      </c>
      <c r="AO51" s="247" t="str">
        <f t="shared" si="8"/>
        <v/>
      </c>
      <c r="AP51" s="247" t="str">
        <f t="shared" si="9"/>
        <v/>
      </c>
      <c r="AQ51" s="42">
        <f t="shared" si="29"/>
        <v>1</v>
      </c>
      <c r="AR51" s="42">
        <f t="shared" si="30"/>
        <v>1</v>
      </c>
      <c r="AS51" s="42">
        <f t="shared" si="31"/>
        <v>1</v>
      </c>
      <c r="AT51" s="42">
        <f t="shared" si="32"/>
        <v>1</v>
      </c>
      <c r="AU51" s="247" t="str">
        <f t="shared" si="14"/>
        <v/>
      </c>
      <c r="AV51" s="247" t="str">
        <f t="shared" si="17"/>
        <v/>
      </c>
    </row>
    <row r="52" spans="1:48" ht="24" x14ac:dyDescent="0.2">
      <c r="A52" s="428" t="s">
        <v>891</v>
      </c>
      <c r="B52" s="429" t="s">
        <v>5624</v>
      </c>
      <c r="C52" s="430" t="s">
        <v>3519</v>
      </c>
      <c r="D52" s="1349" t="s">
        <v>1873</v>
      </c>
      <c r="E52" s="1350" t="s">
        <v>2778</v>
      </c>
      <c r="F52" s="1350" t="s">
        <v>2779</v>
      </c>
      <c r="G52" s="1351" t="s">
        <v>3739</v>
      </c>
      <c r="H52" s="1342" t="s">
        <v>1327</v>
      </c>
      <c r="I52" s="432" t="s">
        <v>1545</v>
      </c>
      <c r="J52" s="431" t="s">
        <v>1880</v>
      </c>
      <c r="K52" s="431"/>
      <c r="L52" s="431" t="s">
        <v>6541</v>
      </c>
      <c r="M52" s="433"/>
      <c r="N52" s="434" t="s">
        <v>1299</v>
      </c>
      <c r="O52" s="1743" t="str">
        <f t="shared" si="33"/>
        <v>Effacement par erreur de fichiers bureautiques partagés, par un membre du personnel de maintenance, se connectant depuis le réseau interne</v>
      </c>
      <c r="P52" s="435">
        <v>1</v>
      </c>
      <c r="Q52" s="1595" t="s">
        <v>6403</v>
      </c>
      <c r="R52" s="1595" t="s">
        <v>1873</v>
      </c>
      <c r="S52" s="1595" t="str">
        <f>Classif!C5</f>
        <v/>
      </c>
      <c r="T52" s="1595">
        <f t="shared" si="24"/>
        <v>3</v>
      </c>
      <c r="U52" s="1744" t="str">
        <f t="shared" si="25"/>
        <v/>
      </c>
      <c r="V52" s="1745">
        <v>1</v>
      </c>
      <c r="W52" s="1745">
        <v>1</v>
      </c>
      <c r="X52" s="1745">
        <v>1</v>
      </c>
      <c r="Y52" s="1745">
        <f t="shared" si="26"/>
        <v>1</v>
      </c>
      <c r="Z52" s="1746">
        <v>0</v>
      </c>
      <c r="AA52" s="1747"/>
      <c r="AB52" s="1748"/>
      <c r="AC52" s="1748"/>
      <c r="AD52" s="1595" t="str">
        <f t="shared" si="23"/>
        <v/>
      </c>
      <c r="AE52" s="1595">
        <f t="shared" si="27"/>
        <v>3</v>
      </c>
      <c r="AF52" s="1595" t="str">
        <f t="shared" si="28"/>
        <v/>
      </c>
      <c r="AG52" s="1748"/>
      <c r="AH52" s="1749" t="str">
        <f t="shared" si="16"/>
        <v/>
      </c>
      <c r="AI52" s="1615"/>
      <c r="AJ52" s="1618"/>
      <c r="AK52" s="1618"/>
      <c r="AL52" s="1619" t="s">
        <v>4440</v>
      </c>
      <c r="AM52" s="247" t="str">
        <f t="shared" si="6"/>
        <v/>
      </c>
      <c r="AN52" s="247" t="str">
        <f t="shared" si="7"/>
        <v/>
      </c>
      <c r="AO52" s="247" t="str">
        <f t="shared" si="8"/>
        <v/>
      </c>
      <c r="AP52" s="247" t="str">
        <f t="shared" si="9"/>
        <v/>
      </c>
      <c r="AQ52" s="42">
        <f t="shared" si="29"/>
        <v>1</v>
      </c>
      <c r="AR52" s="42">
        <f t="shared" si="30"/>
        <v>1</v>
      </c>
      <c r="AS52" s="42">
        <f t="shared" si="31"/>
        <v>1</v>
      </c>
      <c r="AT52" s="42">
        <f t="shared" si="32"/>
        <v>1</v>
      </c>
      <c r="AU52" s="247" t="str">
        <f t="shared" si="14"/>
        <v/>
      </c>
      <c r="AV52" s="247" t="str">
        <f t="shared" si="17"/>
        <v/>
      </c>
    </row>
    <row r="53" spans="1:48" ht="24" x14ac:dyDescent="0.2">
      <c r="A53" s="428" t="s">
        <v>892</v>
      </c>
      <c r="B53" s="429" t="s">
        <v>5622</v>
      </c>
      <c r="C53" s="430" t="s">
        <v>3519</v>
      </c>
      <c r="D53" s="1349" t="s">
        <v>1873</v>
      </c>
      <c r="E53" s="1350" t="s">
        <v>2778</v>
      </c>
      <c r="F53" s="1350" t="s">
        <v>2779</v>
      </c>
      <c r="G53" s="1351" t="s">
        <v>3739</v>
      </c>
      <c r="H53" s="1342" t="s">
        <v>1328</v>
      </c>
      <c r="I53" s="432" t="s">
        <v>1546</v>
      </c>
      <c r="J53" s="431" t="s">
        <v>1880</v>
      </c>
      <c r="K53" s="431"/>
      <c r="L53" s="431" t="s">
        <v>6541</v>
      </c>
      <c r="M53" s="433"/>
      <c r="N53" s="434" t="s">
        <v>1301</v>
      </c>
      <c r="O53" s="1743" t="str">
        <f t="shared" si="33"/>
        <v>Effacement malveillant de fichiers bureautiques partagés, par un utilisateur autorisé légitime, se connectant depuis le réseau interne</v>
      </c>
      <c r="P53" s="435">
        <v>1</v>
      </c>
      <c r="Q53" s="1595" t="s">
        <v>1299</v>
      </c>
      <c r="R53" s="1595" t="s">
        <v>1873</v>
      </c>
      <c r="S53" s="1595" t="str">
        <f>Classif!C5</f>
        <v/>
      </c>
      <c r="T53" s="1595">
        <f t="shared" si="24"/>
        <v>2</v>
      </c>
      <c r="U53" s="1744" t="str">
        <f t="shared" si="25"/>
        <v/>
      </c>
      <c r="V53" s="1745">
        <v>1</v>
      </c>
      <c r="W53" s="1745">
        <v>1</v>
      </c>
      <c r="X53" s="1745">
        <v>1</v>
      </c>
      <c r="Y53" s="1745">
        <f t="shared" si="26"/>
        <v>1</v>
      </c>
      <c r="Z53" s="1746">
        <v>0</v>
      </c>
      <c r="AA53" s="1747"/>
      <c r="AB53" s="1748"/>
      <c r="AC53" s="1748"/>
      <c r="AD53" s="1595" t="str">
        <f t="shared" si="23"/>
        <v/>
      </c>
      <c r="AE53" s="1595">
        <f t="shared" si="27"/>
        <v>2</v>
      </c>
      <c r="AF53" s="1595" t="str">
        <f t="shared" si="28"/>
        <v/>
      </c>
      <c r="AG53" s="1748"/>
      <c r="AH53" s="1749" t="str">
        <f t="shared" si="16"/>
        <v/>
      </c>
      <c r="AI53" s="1615"/>
      <c r="AJ53" s="1621"/>
      <c r="AK53" s="1618"/>
      <c r="AL53" s="1619" t="s">
        <v>4440</v>
      </c>
      <c r="AM53" s="247" t="str">
        <f t="shared" si="6"/>
        <v/>
      </c>
      <c r="AN53" s="247" t="str">
        <f t="shared" si="7"/>
        <v/>
      </c>
      <c r="AO53" s="247" t="str">
        <f t="shared" si="8"/>
        <v/>
      </c>
      <c r="AP53" s="247" t="str">
        <f t="shared" si="9"/>
        <v/>
      </c>
      <c r="AQ53" s="42">
        <f t="shared" si="29"/>
        <v>1</v>
      </c>
      <c r="AR53" s="42">
        <f t="shared" si="30"/>
        <v>1</v>
      </c>
      <c r="AS53" s="42">
        <f t="shared" si="31"/>
        <v>1</v>
      </c>
      <c r="AT53" s="42">
        <f t="shared" si="32"/>
        <v>1</v>
      </c>
      <c r="AU53" s="247" t="str">
        <f t="shared" si="14"/>
        <v/>
      </c>
      <c r="AV53" s="247" t="str">
        <f t="shared" si="17"/>
        <v/>
      </c>
    </row>
    <row r="54" spans="1:48" ht="24" x14ac:dyDescent="0.2">
      <c r="A54" s="428" t="s">
        <v>893</v>
      </c>
      <c r="B54" s="429" t="s">
        <v>5622</v>
      </c>
      <c r="C54" s="430" t="s">
        <v>3519</v>
      </c>
      <c r="D54" s="1349" t="s">
        <v>1873</v>
      </c>
      <c r="E54" s="1350" t="s">
        <v>2778</v>
      </c>
      <c r="F54" s="1350" t="s">
        <v>2779</v>
      </c>
      <c r="G54" s="1351" t="s">
        <v>3739</v>
      </c>
      <c r="H54" s="1342" t="s">
        <v>1328</v>
      </c>
      <c r="I54" s="432" t="s">
        <v>1546</v>
      </c>
      <c r="J54" s="431" t="s">
        <v>1880</v>
      </c>
      <c r="K54" s="431"/>
      <c r="L54" s="431" t="s">
        <v>6541</v>
      </c>
      <c r="M54" s="433"/>
      <c r="N54" s="434" t="s">
        <v>1302</v>
      </c>
      <c r="O54" s="1743" t="str">
        <f t="shared" si="33"/>
        <v>Effacement malveillant de fichiers bureautiques partagés, par un utilisateur autorisé illégitime, se connectant depuis le réseau interne</v>
      </c>
      <c r="P54" s="435">
        <v>1</v>
      </c>
      <c r="Q54" s="1595" t="s">
        <v>1299</v>
      </c>
      <c r="R54" s="1595" t="s">
        <v>1873</v>
      </c>
      <c r="S54" s="1595" t="str">
        <f>Classif!C5</f>
        <v/>
      </c>
      <c r="T54" s="1595">
        <f t="shared" si="24"/>
        <v>2</v>
      </c>
      <c r="U54" s="1744" t="str">
        <f t="shared" si="25"/>
        <v/>
      </c>
      <c r="V54" s="1745">
        <v>1</v>
      </c>
      <c r="W54" s="1745">
        <f>S07A02</f>
        <v>1</v>
      </c>
      <c r="X54" s="1745">
        <v>1</v>
      </c>
      <c r="Y54" s="1745">
        <f t="shared" si="26"/>
        <v>1</v>
      </c>
      <c r="Z54" s="1746">
        <v>0</v>
      </c>
      <c r="AA54" s="1747"/>
      <c r="AB54" s="1748"/>
      <c r="AC54" s="1748"/>
      <c r="AD54" s="1595" t="str">
        <f t="shared" si="23"/>
        <v/>
      </c>
      <c r="AE54" s="1595">
        <f t="shared" si="27"/>
        <v>2</v>
      </c>
      <c r="AF54" s="1595" t="str">
        <f t="shared" si="28"/>
        <v/>
      </c>
      <c r="AG54" s="1748"/>
      <c r="AH54" s="1749" t="str">
        <f t="shared" si="16"/>
        <v/>
      </c>
      <c r="AI54" s="1615"/>
      <c r="AJ54" s="1621" t="s">
        <v>5428</v>
      </c>
      <c r="AK54" s="1618"/>
      <c r="AL54" s="1619" t="s">
        <v>4440</v>
      </c>
      <c r="AM54" s="247" t="str">
        <f t="shared" si="6"/>
        <v/>
      </c>
      <c r="AN54" s="247" t="str">
        <f t="shared" si="7"/>
        <v/>
      </c>
      <c r="AO54" s="247" t="str">
        <f t="shared" si="8"/>
        <v/>
      </c>
      <c r="AP54" s="247" t="str">
        <f t="shared" si="9"/>
        <v/>
      </c>
      <c r="AQ54" s="42">
        <f t="shared" si="29"/>
        <v>1</v>
      </c>
      <c r="AR54" s="42">
        <f t="shared" si="30"/>
        <v>1</v>
      </c>
      <c r="AS54" s="42">
        <f t="shared" si="31"/>
        <v>1</v>
      </c>
      <c r="AT54" s="42">
        <f t="shared" si="32"/>
        <v>1</v>
      </c>
      <c r="AU54" s="247" t="str">
        <f t="shared" si="14"/>
        <v/>
      </c>
      <c r="AV54" s="247" t="str">
        <f t="shared" si="17"/>
        <v/>
      </c>
    </row>
    <row r="55" spans="1:48" ht="24" x14ac:dyDescent="0.2">
      <c r="A55" s="428" t="s">
        <v>894</v>
      </c>
      <c r="B55" s="429" t="s">
        <v>5622</v>
      </c>
      <c r="C55" s="430" t="s">
        <v>3519</v>
      </c>
      <c r="D55" s="1349" t="s">
        <v>1873</v>
      </c>
      <c r="E55" s="1350" t="s">
        <v>2778</v>
      </c>
      <c r="F55" s="1350" t="s">
        <v>2779</v>
      </c>
      <c r="G55" s="1351" t="s">
        <v>3739</v>
      </c>
      <c r="H55" s="1342" t="s">
        <v>1328</v>
      </c>
      <c r="I55" s="432" t="s">
        <v>1546</v>
      </c>
      <c r="J55" s="431" t="s">
        <v>1880</v>
      </c>
      <c r="K55" s="431"/>
      <c r="L55" s="431" t="s">
        <v>6541</v>
      </c>
      <c r="M55" s="433"/>
      <c r="N55" s="434" t="s">
        <v>1303</v>
      </c>
      <c r="O55" s="1743" t="str">
        <f t="shared" si="33"/>
        <v>Effacement malveillant de fichiers bureautiques partagés, par un utilisateur non autorisé, se connectant depuis le réseau interne</v>
      </c>
      <c r="P55" s="435">
        <v>1</v>
      </c>
      <c r="Q55" s="1595" t="s">
        <v>1299</v>
      </c>
      <c r="R55" s="1595" t="s">
        <v>1873</v>
      </c>
      <c r="S55" s="1595" t="str">
        <f>Classif!C5</f>
        <v/>
      </c>
      <c r="T55" s="1595">
        <f t="shared" si="24"/>
        <v>2</v>
      </c>
      <c r="U55" s="1744" t="str">
        <f t="shared" si="25"/>
        <v/>
      </c>
      <c r="V55" s="1745">
        <v>1</v>
      </c>
      <c r="W55" s="1750">
        <f>MIN(S07A03,S07A04)</f>
        <v>1</v>
      </c>
      <c r="X55" s="1745">
        <v>1</v>
      </c>
      <c r="Y55" s="1745">
        <f t="shared" si="26"/>
        <v>1</v>
      </c>
      <c r="Z55" s="1746">
        <v>0</v>
      </c>
      <c r="AA55" s="1747"/>
      <c r="AB55" s="1748"/>
      <c r="AC55" s="1748"/>
      <c r="AD55" s="1595" t="str">
        <f t="shared" si="23"/>
        <v/>
      </c>
      <c r="AE55" s="1595">
        <f t="shared" si="27"/>
        <v>2</v>
      </c>
      <c r="AF55" s="1595" t="str">
        <f t="shared" si="28"/>
        <v/>
      </c>
      <c r="AG55" s="1748"/>
      <c r="AH55" s="1749" t="str">
        <f t="shared" si="16"/>
        <v/>
      </c>
      <c r="AI55" s="1615"/>
      <c r="AJ55" s="1621" t="s">
        <v>6494</v>
      </c>
      <c r="AK55" s="1618"/>
      <c r="AL55" s="1619" t="s">
        <v>4440</v>
      </c>
      <c r="AM55" s="247" t="str">
        <f t="shared" si="6"/>
        <v/>
      </c>
      <c r="AN55" s="247" t="str">
        <f t="shared" si="7"/>
        <v/>
      </c>
      <c r="AO55" s="247" t="str">
        <f t="shared" si="8"/>
        <v/>
      </c>
      <c r="AP55" s="247" t="str">
        <f t="shared" si="9"/>
        <v/>
      </c>
      <c r="AQ55" s="42">
        <f t="shared" si="29"/>
        <v>1</v>
      </c>
      <c r="AR55" s="42">
        <f t="shared" si="30"/>
        <v>1</v>
      </c>
      <c r="AS55" s="42">
        <f t="shared" si="31"/>
        <v>1</v>
      </c>
      <c r="AT55" s="42">
        <f t="shared" si="32"/>
        <v>1</v>
      </c>
      <c r="AU55" s="247" t="str">
        <f t="shared" si="14"/>
        <v/>
      </c>
      <c r="AV55" s="247" t="str">
        <f t="shared" si="17"/>
        <v/>
      </c>
    </row>
    <row r="56" spans="1:48" ht="24" x14ac:dyDescent="0.2">
      <c r="A56" s="428" t="s">
        <v>895</v>
      </c>
      <c r="B56" s="429" t="s">
        <v>5622</v>
      </c>
      <c r="C56" s="430" t="s">
        <v>3519</v>
      </c>
      <c r="D56" s="1349" t="s">
        <v>1873</v>
      </c>
      <c r="E56" s="1350" t="s">
        <v>2778</v>
      </c>
      <c r="F56" s="1350" t="s">
        <v>2779</v>
      </c>
      <c r="G56" s="1351" t="s">
        <v>3739</v>
      </c>
      <c r="H56" s="1342" t="s">
        <v>1328</v>
      </c>
      <c r="I56" s="432" t="s">
        <v>1546</v>
      </c>
      <c r="J56" s="431" t="s">
        <v>1880</v>
      </c>
      <c r="K56" s="431"/>
      <c r="L56" s="431" t="s">
        <v>6541</v>
      </c>
      <c r="M56" s="433"/>
      <c r="N56" s="434" t="s">
        <v>6403</v>
      </c>
      <c r="O56" s="1743" t="str">
        <f t="shared" si="33"/>
        <v>Effacement malveillant de fichiers bureautiques partagés, par un membre du personnel d'exploitation, se connectant depuis le réseau interne</v>
      </c>
      <c r="P56" s="435">
        <v>1</v>
      </c>
      <c r="Q56" s="1595" t="s">
        <v>1299</v>
      </c>
      <c r="R56" s="1595" t="s">
        <v>1873</v>
      </c>
      <c r="S56" s="1595" t="str">
        <f>Classif!C5</f>
        <v/>
      </c>
      <c r="T56" s="1595">
        <f t="shared" si="24"/>
        <v>2</v>
      </c>
      <c r="U56" s="1744" t="str">
        <f t="shared" si="25"/>
        <v/>
      </c>
      <c r="V56" s="1745">
        <f>MIN(S08F02,S08F03)</f>
        <v>1</v>
      </c>
      <c r="W56" s="1745">
        <v>1</v>
      </c>
      <c r="X56" s="1745">
        <v>1</v>
      </c>
      <c r="Y56" s="1745">
        <f t="shared" si="26"/>
        <v>1</v>
      </c>
      <c r="Z56" s="1746">
        <v>0</v>
      </c>
      <c r="AA56" s="1747"/>
      <c r="AB56" s="1748"/>
      <c r="AC56" s="1748"/>
      <c r="AD56" s="1595" t="str">
        <f t="shared" si="23"/>
        <v/>
      </c>
      <c r="AE56" s="1595">
        <f t="shared" si="27"/>
        <v>2</v>
      </c>
      <c r="AF56" s="1595" t="str">
        <f t="shared" si="28"/>
        <v/>
      </c>
      <c r="AG56" s="1748"/>
      <c r="AH56" s="1749" t="str">
        <f t="shared" si="16"/>
        <v/>
      </c>
      <c r="AI56" s="1622" t="s">
        <v>6495</v>
      </c>
      <c r="AJ56" s="1621"/>
      <c r="AK56" s="1618"/>
      <c r="AL56" s="1619" t="s">
        <v>4440</v>
      </c>
      <c r="AM56" s="247" t="str">
        <f t="shared" si="6"/>
        <v/>
      </c>
      <c r="AN56" s="247" t="str">
        <f t="shared" si="7"/>
        <v/>
      </c>
      <c r="AO56" s="247" t="str">
        <f t="shared" si="8"/>
        <v/>
      </c>
      <c r="AP56" s="247" t="str">
        <f t="shared" si="9"/>
        <v/>
      </c>
      <c r="AQ56" s="42">
        <f t="shared" si="29"/>
        <v>1</v>
      </c>
      <c r="AR56" s="42">
        <f t="shared" si="30"/>
        <v>1</v>
      </c>
      <c r="AS56" s="42">
        <f t="shared" si="31"/>
        <v>1</v>
      </c>
      <c r="AT56" s="42">
        <f t="shared" si="32"/>
        <v>1</v>
      </c>
      <c r="AU56" s="247" t="str">
        <f t="shared" si="14"/>
        <v/>
      </c>
      <c r="AV56" s="247" t="str">
        <f t="shared" si="17"/>
        <v/>
      </c>
    </row>
    <row r="57" spans="1:48" ht="24" x14ac:dyDescent="0.2">
      <c r="A57" s="428" t="s">
        <v>896</v>
      </c>
      <c r="B57" s="429" t="s">
        <v>5622</v>
      </c>
      <c r="C57" s="430" t="s">
        <v>3519</v>
      </c>
      <c r="D57" s="1349" t="s">
        <v>1873</v>
      </c>
      <c r="E57" s="1350" t="s">
        <v>2778</v>
      </c>
      <c r="F57" s="1350" t="s">
        <v>2779</v>
      </c>
      <c r="G57" s="1351" t="s">
        <v>3739</v>
      </c>
      <c r="H57" s="1342" t="s">
        <v>1328</v>
      </c>
      <c r="I57" s="432" t="s">
        <v>1546</v>
      </c>
      <c r="J57" s="431" t="s">
        <v>1880</v>
      </c>
      <c r="K57" s="431"/>
      <c r="L57" s="431" t="s">
        <v>6541</v>
      </c>
      <c r="M57" s="433"/>
      <c r="N57" s="434" t="s">
        <v>1299</v>
      </c>
      <c r="O57" s="1743" t="str">
        <f t="shared" si="33"/>
        <v>Effacement malveillant de fichiers bureautiques partagés, par un membre du personnel de maintenance, se connectant depuis le réseau interne</v>
      </c>
      <c r="P57" s="435">
        <v>1</v>
      </c>
      <c r="Q57" s="1595" t="s">
        <v>1299</v>
      </c>
      <c r="R57" s="1595" t="s">
        <v>1873</v>
      </c>
      <c r="S57" s="1595" t="str">
        <f>Classif!C5</f>
        <v/>
      </c>
      <c r="T57" s="1595">
        <f t="shared" si="24"/>
        <v>2</v>
      </c>
      <c r="U57" s="1744" t="str">
        <f t="shared" si="25"/>
        <v/>
      </c>
      <c r="V57" s="1745">
        <v>1</v>
      </c>
      <c r="W57" s="1745">
        <v>1</v>
      </c>
      <c r="X57" s="1745">
        <v>1</v>
      </c>
      <c r="Y57" s="1745">
        <f t="shared" si="26"/>
        <v>1</v>
      </c>
      <c r="Z57" s="1746">
        <v>0</v>
      </c>
      <c r="AA57" s="1747"/>
      <c r="AB57" s="1748"/>
      <c r="AC57" s="1748"/>
      <c r="AD57" s="1595" t="str">
        <f t="shared" si="23"/>
        <v/>
      </c>
      <c r="AE57" s="1595">
        <f t="shared" si="27"/>
        <v>2</v>
      </c>
      <c r="AF57" s="1595" t="str">
        <f t="shared" si="28"/>
        <v/>
      </c>
      <c r="AG57" s="1748"/>
      <c r="AH57" s="1749" t="str">
        <f t="shared" si="16"/>
        <v/>
      </c>
      <c r="AI57" s="1615"/>
      <c r="AJ57" s="1616"/>
      <c r="AK57" s="1618"/>
      <c r="AL57" s="1619" t="s">
        <v>4440</v>
      </c>
      <c r="AM57" s="247" t="str">
        <f t="shared" si="6"/>
        <v/>
      </c>
      <c r="AN57" s="247" t="str">
        <f t="shared" si="7"/>
        <v/>
      </c>
      <c r="AO57" s="247" t="str">
        <f t="shared" si="8"/>
        <v/>
      </c>
      <c r="AP57" s="247" t="str">
        <f t="shared" si="9"/>
        <v/>
      </c>
      <c r="AQ57" s="42">
        <f t="shared" si="29"/>
        <v>1</v>
      </c>
      <c r="AR57" s="42">
        <f t="shared" si="30"/>
        <v>1</v>
      </c>
      <c r="AS57" s="42">
        <f t="shared" si="31"/>
        <v>1</v>
      </c>
      <c r="AT57" s="42">
        <f t="shared" si="32"/>
        <v>1</v>
      </c>
      <c r="AU57" s="247" t="str">
        <f t="shared" si="14"/>
        <v/>
      </c>
      <c r="AV57" s="247" t="str">
        <f t="shared" si="17"/>
        <v/>
      </c>
    </row>
    <row r="58" spans="1:48" ht="36" x14ac:dyDescent="0.2">
      <c r="A58" s="428" t="s">
        <v>897</v>
      </c>
      <c r="B58" s="429" t="s">
        <v>2602</v>
      </c>
      <c r="C58" s="430" t="s">
        <v>3519</v>
      </c>
      <c r="D58" s="1349" t="s">
        <v>1873</v>
      </c>
      <c r="E58" s="1350" t="s">
        <v>2778</v>
      </c>
      <c r="F58" s="1350" t="s">
        <v>2779</v>
      </c>
      <c r="G58" s="1351" t="s">
        <v>3739</v>
      </c>
      <c r="H58" s="1342" t="s">
        <v>1328</v>
      </c>
      <c r="I58" s="432" t="s">
        <v>1550</v>
      </c>
      <c r="J58" s="431"/>
      <c r="K58" s="431"/>
      <c r="L58" s="431" t="s">
        <v>6541</v>
      </c>
      <c r="M58" s="433"/>
      <c r="N58" s="434" t="s">
        <v>6403</v>
      </c>
      <c r="O58" s="1743" t="str">
        <f t="shared" si="33"/>
        <v>Effacement malveillant total de fichiers et fichiers de sauvegarde bureautiques partagés, par un membre du personnel d'exploitation, se connectant depuis le réseau interne</v>
      </c>
      <c r="P58" s="435">
        <v>1</v>
      </c>
      <c r="Q58" s="1595" t="s">
        <v>1299</v>
      </c>
      <c r="R58" s="1595" t="s">
        <v>1873</v>
      </c>
      <c r="S58" s="1595" t="str">
        <f>Classif!C5</f>
        <v/>
      </c>
      <c r="T58" s="1595">
        <f t="shared" si="24"/>
        <v>2</v>
      </c>
      <c r="U58" s="1744" t="str">
        <f t="shared" si="25"/>
        <v/>
      </c>
      <c r="V58" s="1745">
        <f>MIN(S08F02,S08F03)</f>
        <v>1</v>
      </c>
      <c r="W58" s="1745">
        <v>1</v>
      </c>
      <c r="X58" s="1745">
        <v>1</v>
      </c>
      <c r="Y58" s="1745">
        <v>1</v>
      </c>
      <c r="Z58" s="1746">
        <v>0</v>
      </c>
      <c r="AA58" s="1747"/>
      <c r="AB58" s="1748"/>
      <c r="AC58" s="1748"/>
      <c r="AD58" s="1595" t="str">
        <f t="shared" si="23"/>
        <v/>
      </c>
      <c r="AE58" s="1595">
        <f t="shared" si="27"/>
        <v>2</v>
      </c>
      <c r="AF58" s="1595" t="str">
        <f t="shared" si="28"/>
        <v/>
      </c>
      <c r="AG58" s="1748"/>
      <c r="AH58" s="1749" t="str">
        <f t="shared" si="16"/>
        <v/>
      </c>
      <c r="AI58" s="1622" t="s">
        <v>6495</v>
      </c>
      <c r="AJ58" s="1621"/>
      <c r="AK58" s="1618"/>
      <c r="AL58" s="1619"/>
      <c r="AM58" s="247" t="str">
        <f t="shared" si="6"/>
        <v/>
      </c>
      <c r="AN58" s="247" t="str">
        <f t="shared" si="7"/>
        <v/>
      </c>
      <c r="AO58" s="247" t="str">
        <f t="shared" si="8"/>
        <v/>
      </c>
      <c r="AP58" s="247" t="str">
        <f t="shared" si="9"/>
        <v/>
      </c>
      <c r="AQ58" s="42">
        <f t="shared" si="29"/>
        <v>1</v>
      </c>
      <c r="AR58" s="42">
        <f t="shared" si="30"/>
        <v>1</v>
      </c>
      <c r="AS58" s="42">
        <f t="shared" si="31"/>
        <v>1</v>
      </c>
      <c r="AT58" s="42">
        <f t="shared" si="32"/>
        <v>1</v>
      </c>
      <c r="AU58" s="247" t="str">
        <f t="shared" si="14"/>
        <v/>
      </c>
      <c r="AV58" s="247" t="str">
        <f t="shared" si="17"/>
        <v/>
      </c>
    </row>
    <row r="59" spans="1:48" ht="24" x14ac:dyDescent="0.2">
      <c r="A59" s="428" t="s">
        <v>898</v>
      </c>
      <c r="B59" s="429" t="s">
        <v>4475</v>
      </c>
      <c r="C59" s="436" t="s">
        <v>3519</v>
      </c>
      <c r="D59" s="1349" t="s">
        <v>1873</v>
      </c>
      <c r="E59" s="1350" t="s">
        <v>1874</v>
      </c>
      <c r="F59" s="1350" t="s">
        <v>1875</v>
      </c>
      <c r="G59" s="1351" t="s">
        <v>6070</v>
      </c>
      <c r="H59" s="1297" t="s">
        <v>3919</v>
      </c>
      <c r="I59" s="437" t="s">
        <v>1535</v>
      </c>
      <c r="J59" s="431" t="s">
        <v>1880</v>
      </c>
      <c r="K59" s="431"/>
      <c r="L59" s="431"/>
      <c r="M59" s="433"/>
      <c r="N59" s="434"/>
      <c r="O59" s="1743" t="str">
        <f>VLOOKUP(B59,code_famille_scénario,2)&amp;VLOOKUP(C59,code_actif,2)&amp;", "&amp;VLOOKUP(J59,Code_lieu,2)&amp;", suite "&amp;VLOOKUP(I59,code_event,2)</f>
        <v>Perte, par destruction accidentelle, de media support de fichiers  bureautiques partagés, dans les locaux de l'exploitation, suite à un incendie</v>
      </c>
      <c r="P59" s="435">
        <v>1</v>
      </c>
      <c r="Q59" s="1595" t="s">
        <v>1431</v>
      </c>
      <c r="R59" s="1595" t="s">
        <v>1873</v>
      </c>
      <c r="S59" s="1595" t="str">
        <f>Classif!C5</f>
        <v/>
      </c>
      <c r="T59" s="1595">
        <f t="shared" si="24"/>
        <v>2</v>
      </c>
      <c r="U59" s="1744" t="str">
        <f t="shared" si="25"/>
        <v/>
      </c>
      <c r="V59" s="1745">
        <v>1</v>
      </c>
      <c r="W59" s="1745">
        <f>S03D01</f>
        <v>1</v>
      </c>
      <c r="X59" s="1745">
        <v>1</v>
      </c>
      <c r="Y59" s="1750">
        <f>MIN(S11D04,S08D09)</f>
        <v>1</v>
      </c>
      <c r="Z59" s="1746">
        <v>0</v>
      </c>
      <c r="AA59" s="1747"/>
      <c r="AB59" s="1748"/>
      <c r="AC59" s="1748"/>
      <c r="AD59" s="1595" t="str">
        <f t="shared" si="23"/>
        <v/>
      </c>
      <c r="AE59" s="1595">
        <f t="shared" si="27"/>
        <v>2</v>
      </c>
      <c r="AF59" s="1595" t="str">
        <f t="shared" si="28"/>
        <v/>
      </c>
      <c r="AG59" s="1748"/>
      <c r="AH59" s="1749" t="str">
        <f t="shared" si="16"/>
        <v/>
      </c>
      <c r="AI59" s="1615"/>
      <c r="AJ59" s="1621" t="s">
        <v>5225</v>
      </c>
      <c r="AK59" s="1618"/>
      <c r="AL59" s="1617" t="s">
        <v>6856</v>
      </c>
      <c r="AM59" s="247" t="str">
        <f t="shared" si="6"/>
        <v/>
      </c>
      <c r="AN59" s="247" t="str">
        <f t="shared" si="7"/>
        <v/>
      </c>
      <c r="AO59" s="247" t="str">
        <f t="shared" si="8"/>
        <v/>
      </c>
      <c r="AP59" s="247" t="str">
        <f t="shared" si="9"/>
        <v/>
      </c>
      <c r="AQ59" s="42">
        <f t="shared" si="29"/>
        <v>1</v>
      </c>
      <c r="AR59" s="42">
        <f t="shared" si="30"/>
        <v>1</v>
      </c>
      <c r="AS59" s="42">
        <f t="shared" si="31"/>
        <v>1</v>
      </c>
      <c r="AT59" s="42">
        <f t="shared" si="32"/>
        <v>1</v>
      </c>
      <c r="AU59" s="247" t="str">
        <f t="shared" si="14"/>
        <v/>
      </c>
      <c r="AV59" s="247" t="str">
        <f t="shared" si="17"/>
        <v/>
      </c>
    </row>
    <row r="60" spans="1:48" ht="24" x14ac:dyDescent="0.2">
      <c r="A60" s="428" t="s">
        <v>899</v>
      </c>
      <c r="B60" s="429" t="s">
        <v>4475</v>
      </c>
      <c r="C60" s="436" t="s">
        <v>3519</v>
      </c>
      <c r="D60" s="1349" t="s">
        <v>1873</v>
      </c>
      <c r="E60" s="1350" t="s">
        <v>1874</v>
      </c>
      <c r="F60" s="1350" t="s">
        <v>1875</v>
      </c>
      <c r="G60" s="1351" t="s">
        <v>6070</v>
      </c>
      <c r="H60" s="1343" t="s">
        <v>3919</v>
      </c>
      <c r="I60" s="446" t="s">
        <v>1536</v>
      </c>
      <c r="J60" s="431" t="s">
        <v>1880</v>
      </c>
      <c r="K60" s="431"/>
      <c r="L60" s="431"/>
      <c r="M60" s="433"/>
      <c r="N60" s="434"/>
      <c r="O60" s="1743" t="str">
        <f>VLOOKUP(B60,code_famille_scénario,2)&amp;VLOOKUP(C60,code_actif,2)&amp;", "&amp;VLOOKUP(J60,Code_lieu,2)&amp;", suite "&amp;VLOOKUP(I60,code_event,2)</f>
        <v>Perte, par destruction accidentelle, de media support de fichiers  bureautiques partagés, dans les locaux de l'exploitation, suite à une inondation</v>
      </c>
      <c r="P60" s="435">
        <v>1</v>
      </c>
      <c r="Q60" s="1595" t="s">
        <v>1431</v>
      </c>
      <c r="R60" s="1595" t="s">
        <v>1873</v>
      </c>
      <c r="S60" s="1595" t="str">
        <f>Classif!C5</f>
        <v/>
      </c>
      <c r="T60" s="1595">
        <f t="shared" si="24"/>
        <v>2</v>
      </c>
      <c r="U60" s="1744" t="str">
        <f t="shared" si="25"/>
        <v/>
      </c>
      <c r="V60" s="1745">
        <v>1</v>
      </c>
      <c r="W60" s="1745">
        <v>1</v>
      </c>
      <c r="X60" s="1745">
        <v>1</v>
      </c>
      <c r="Y60" s="1750">
        <f>MIN(S11D04,S08D09)</f>
        <v>1</v>
      </c>
      <c r="Z60" s="1746">
        <v>0</v>
      </c>
      <c r="AA60" s="1747"/>
      <c r="AB60" s="1748"/>
      <c r="AC60" s="1748"/>
      <c r="AD60" s="1595" t="str">
        <f t="shared" si="23"/>
        <v/>
      </c>
      <c r="AE60" s="1595">
        <f t="shared" si="27"/>
        <v>2</v>
      </c>
      <c r="AF60" s="1595" t="str">
        <f t="shared" si="28"/>
        <v/>
      </c>
      <c r="AG60" s="1748"/>
      <c r="AH60" s="1749" t="str">
        <f t="shared" si="16"/>
        <v/>
      </c>
      <c r="AI60" s="1615"/>
      <c r="AJ60" s="1621"/>
      <c r="AK60" s="1618"/>
      <c r="AL60" s="1617" t="s">
        <v>6856</v>
      </c>
      <c r="AM60" s="247" t="str">
        <f t="shared" si="6"/>
        <v/>
      </c>
      <c r="AN60" s="247" t="str">
        <f t="shared" si="7"/>
        <v/>
      </c>
      <c r="AO60" s="247" t="str">
        <f t="shared" si="8"/>
        <v/>
      </c>
      <c r="AP60" s="247" t="str">
        <f t="shared" si="9"/>
        <v/>
      </c>
      <c r="AQ60" s="42">
        <f t="shared" si="29"/>
        <v>1</v>
      </c>
      <c r="AR60" s="42">
        <f t="shared" si="30"/>
        <v>1</v>
      </c>
      <c r="AS60" s="42">
        <f t="shared" si="31"/>
        <v>1</v>
      </c>
      <c r="AT60" s="42">
        <f t="shared" si="32"/>
        <v>1</v>
      </c>
      <c r="AU60" s="247" t="str">
        <f t="shared" si="14"/>
        <v/>
      </c>
      <c r="AV60" s="247" t="str">
        <f t="shared" si="17"/>
        <v/>
      </c>
    </row>
    <row r="61" spans="1:48" ht="24" x14ac:dyDescent="0.2">
      <c r="A61" s="428" t="s">
        <v>900</v>
      </c>
      <c r="B61" s="429" t="s">
        <v>1864</v>
      </c>
      <c r="C61" s="430" t="s">
        <v>3519</v>
      </c>
      <c r="D61" s="1349" t="s">
        <v>1873</v>
      </c>
      <c r="E61" s="1350" t="s">
        <v>1874</v>
      </c>
      <c r="F61" s="1350" t="s">
        <v>4498</v>
      </c>
      <c r="G61" s="1351" t="s">
        <v>6071</v>
      </c>
      <c r="H61" s="1342" t="s">
        <v>1329</v>
      </c>
      <c r="I61" s="432" t="s">
        <v>1305</v>
      </c>
      <c r="J61" s="431" t="s">
        <v>1880</v>
      </c>
      <c r="K61" s="431"/>
      <c r="L61" s="431"/>
      <c r="M61" s="433"/>
      <c r="N61" s="434" t="s">
        <v>3518</v>
      </c>
      <c r="O61" s="1743" t="str">
        <f>VLOOKUP(B61,code_famille_scénario,2)&amp;VLOOKUP(C61,code_actif,2)&amp;", "&amp;VLOOKUP(J61,Code_lieu,2)&amp;", par "&amp;VLOOKUP(N61,code_acteur,2)</f>
        <v>Vol de media support de fichiers  bureautiques partagés, dans les locaux de l'exploitation, par un membre du personnel non autorisé</v>
      </c>
      <c r="P61" s="435">
        <v>1</v>
      </c>
      <c r="Q61" s="1595" t="s">
        <v>1299</v>
      </c>
      <c r="R61" s="1595" t="s">
        <v>1873</v>
      </c>
      <c r="S61" s="1595" t="str">
        <f>Classif!C5</f>
        <v/>
      </c>
      <c r="T61" s="1595">
        <f t="shared" si="24"/>
        <v>2</v>
      </c>
      <c r="U61" s="1744" t="str">
        <f t="shared" si="25"/>
        <v/>
      </c>
      <c r="V61" s="1745">
        <f>S03B06</f>
        <v>1</v>
      </c>
      <c r="W61" s="1745">
        <f>MIN(S03B03,S03B04)</f>
        <v>1</v>
      </c>
      <c r="X61" s="1745">
        <v>1</v>
      </c>
      <c r="Y61" s="1750">
        <f t="shared" ref="Y61:Y67" si="34">S11D04</f>
        <v>1</v>
      </c>
      <c r="Z61" s="1746">
        <v>0</v>
      </c>
      <c r="AA61" s="1747"/>
      <c r="AB61" s="1748"/>
      <c r="AC61" s="1748"/>
      <c r="AD61" s="1595" t="str">
        <f t="shared" si="23"/>
        <v/>
      </c>
      <c r="AE61" s="1595">
        <f t="shared" si="27"/>
        <v>2</v>
      </c>
      <c r="AF61" s="1595" t="str">
        <f t="shared" si="28"/>
        <v/>
      </c>
      <c r="AG61" s="1748"/>
      <c r="AH61" s="1749" t="str">
        <f t="shared" si="16"/>
        <v/>
      </c>
      <c r="AI61" s="1623" t="s">
        <v>1665</v>
      </c>
      <c r="AJ61" s="1624" t="s">
        <v>5279</v>
      </c>
      <c r="AK61" s="1618"/>
      <c r="AL61" s="1619" t="s">
        <v>4440</v>
      </c>
      <c r="AM61" s="247" t="str">
        <f t="shared" si="6"/>
        <v/>
      </c>
      <c r="AN61" s="247" t="str">
        <f t="shared" si="7"/>
        <v/>
      </c>
      <c r="AO61" s="247" t="str">
        <f t="shared" si="8"/>
        <v/>
      </c>
      <c r="AP61" s="247" t="str">
        <f t="shared" si="9"/>
        <v/>
      </c>
      <c r="AQ61" s="42">
        <f t="shared" si="29"/>
        <v>1</v>
      </c>
      <c r="AR61" s="42">
        <f t="shared" si="30"/>
        <v>1</v>
      </c>
      <c r="AS61" s="42">
        <f t="shared" si="31"/>
        <v>1</v>
      </c>
      <c r="AT61" s="42">
        <f t="shared" si="32"/>
        <v>1</v>
      </c>
      <c r="AU61" s="247" t="str">
        <f t="shared" si="14"/>
        <v/>
      </c>
      <c r="AV61" s="247" t="str">
        <f t="shared" si="17"/>
        <v/>
      </c>
    </row>
    <row r="62" spans="1:48" ht="24" x14ac:dyDescent="0.2">
      <c r="A62" s="428" t="s">
        <v>901</v>
      </c>
      <c r="B62" s="429" t="s">
        <v>1864</v>
      </c>
      <c r="C62" s="430" t="s">
        <v>3519</v>
      </c>
      <c r="D62" s="1349" t="s">
        <v>1873</v>
      </c>
      <c r="E62" s="1350" t="s">
        <v>1874</v>
      </c>
      <c r="F62" s="1350" t="s">
        <v>4498</v>
      </c>
      <c r="G62" s="1351" t="s">
        <v>6071</v>
      </c>
      <c r="H62" s="1342" t="s">
        <v>1329</v>
      </c>
      <c r="I62" s="432" t="s">
        <v>1305</v>
      </c>
      <c r="J62" s="431" t="s">
        <v>1880</v>
      </c>
      <c r="K62" s="431"/>
      <c r="L62" s="431"/>
      <c r="M62" s="433"/>
      <c r="N62" s="434" t="s">
        <v>6403</v>
      </c>
      <c r="O62" s="1743" t="str">
        <f>VLOOKUP(B62,code_famille_scénario,2)&amp;VLOOKUP(C62,code_actif,2)&amp;", "&amp;VLOOKUP(J62,Code_lieu,2)&amp;", par "&amp;VLOOKUP(N62,code_acteur,2)</f>
        <v>Vol de media support de fichiers  bureautiques partagés, dans les locaux de l'exploitation, par un membre du personnel d'exploitation</v>
      </c>
      <c r="P62" s="435">
        <v>1</v>
      </c>
      <c r="Q62" s="1595" t="s">
        <v>1299</v>
      </c>
      <c r="R62" s="1595" t="s">
        <v>1873</v>
      </c>
      <c r="S62" s="1595" t="str">
        <f>Classif!C5</f>
        <v/>
      </c>
      <c r="T62" s="1595">
        <f t="shared" si="24"/>
        <v>2</v>
      </c>
      <c r="U62" s="1744" t="str">
        <f t="shared" si="25"/>
        <v/>
      </c>
      <c r="V62" s="1745">
        <f>S03B06</f>
        <v>1</v>
      </c>
      <c r="W62" s="1745">
        <v>1</v>
      </c>
      <c r="X62" s="1745">
        <v>1</v>
      </c>
      <c r="Y62" s="1750">
        <f t="shared" si="34"/>
        <v>1</v>
      </c>
      <c r="Z62" s="1746">
        <v>0</v>
      </c>
      <c r="AA62" s="1747"/>
      <c r="AB62" s="1748"/>
      <c r="AC62" s="1748"/>
      <c r="AD62" s="1595" t="str">
        <f t="shared" si="23"/>
        <v/>
      </c>
      <c r="AE62" s="1595">
        <f t="shared" si="27"/>
        <v>2</v>
      </c>
      <c r="AF62" s="1595" t="str">
        <f t="shared" si="28"/>
        <v/>
      </c>
      <c r="AG62" s="1748"/>
      <c r="AH62" s="1749" t="str">
        <f t="shared" si="16"/>
        <v/>
      </c>
      <c r="AI62" s="1623" t="s">
        <v>1665</v>
      </c>
      <c r="AJ62" s="1624"/>
      <c r="AK62" s="1618"/>
      <c r="AL62" s="1619" t="s">
        <v>4440</v>
      </c>
      <c r="AM62" s="247" t="str">
        <f t="shared" si="6"/>
        <v/>
      </c>
      <c r="AN62" s="247" t="str">
        <f t="shared" si="7"/>
        <v/>
      </c>
      <c r="AO62" s="247" t="str">
        <f t="shared" si="8"/>
        <v/>
      </c>
      <c r="AP62" s="247" t="str">
        <f t="shared" si="9"/>
        <v/>
      </c>
      <c r="AQ62" s="42">
        <f t="shared" si="29"/>
        <v>1</v>
      </c>
      <c r="AR62" s="42">
        <f t="shared" si="30"/>
        <v>1</v>
      </c>
      <c r="AS62" s="42">
        <f t="shared" si="31"/>
        <v>1</v>
      </c>
      <c r="AT62" s="42">
        <f t="shared" si="32"/>
        <v>1</v>
      </c>
      <c r="AU62" s="247" t="str">
        <f t="shared" si="14"/>
        <v/>
      </c>
      <c r="AV62" s="247" t="str">
        <f t="shared" si="17"/>
        <v/>
      </c>
    </row>
    <row r="63" spans="1:48" ht="24" x14ac:dyDescent="0.2">
      <c r="A63" s="428" t="s">
        <v>696</v>
      </c>
      <c r="B63" s="429" t="s">
        <v>1864</v>
      </c>
      <c r="C63" s="436" t="s">
        <v>3519</v>
      </c>
      <c r="D63" s="1349" t="s">
        <v>1873</v>
      </c>
      <c r="E63" s="1350" t="s">
        <v>1874</v>
      </c>
      <c r="F63" s="1350" t="s">
        <v>4498</v>
      </c>
      <c r="G63" s="1351" t="s">
        <v>6071</v>
      </c>
      <c r="H63" s="1297" t="s">
        <v>1329</v>
      </c>
      <c r="I63" s="437" t="s">
        <v>1305</v>
      </c>
      <c r="J63" s="431" t="s">
        <v>1880</v>
      </c>
      <c r="K63" s="431"/>
      <c r="L63" s="431"/>
      <c r="M63" s="433"/>
      <c r="N63" s="434" t="s">
        <v>2218</v>
      </c>
      <c r="O63" s="1743" t="str">
        <f>VLOOKUP(B63,code_famille_scénario,2)&amp;VLOOKUP(C63,code_actif,2)&amp;", "&amp;VLOOKUP(J63,Code_lieu,2)&amp;", par "&amp;VLOOKUP(N63,code_acteur,2)</f>
        <v>Vol de media support de fichiers  bureautiques partagés, dans les locaux de l'exploitation, par un membre du personnel de service</v>
      </c>
      <c r="P63" s="435">
        <v>1</v>
      </c>
      <c r="Q63" s="1595" t="s">
        <v>1299</v>
      </c>
      <c r="R63" s="1595" t="s">
        <v>1873</v>
      </c>
      <c r="S63" s="1595" t="str">
        <f>Classif!C5</f>
        <v/>
      </c>
      <c r="T63" s="1595">
        <f t="shared" si="24"/>
        <v>2</v>
      </c>
      <c r="U63" s="1744" t="str">
        <f t="shared" si="25"/>
        <v/>
      </c>
      <c r="V63" s="1745">
        <f>S03B06</f>
        <v>1</v>
      </c>
      <c r="W63" s="1745">
        <v>1</v>
      </c>
      <c r="X63" s="1745">
        <v>1</v>
      </c>
      <c r="Y63" s="1750">
        <f t="shared" si="34"/>
        <v>1</v>
      </c>
      <c r="Z63" s="1746">
        <v>0</v>
      </c>
      <c r="AA63" s="1747"/>
      <c r="AB63" s="1748"/>
      <c r="AC63" s="1748"/>
      <c r="AD63" s="1595" t="str">
        <f t="shared" si="23"/>
        <v/>
      </c>
      <c r="AE63" s="1595">
        <f t="shared" si="27"/>
        <v>2</v>
      </c>
      <c r="AF63" s="1595" t="str">
        <f t="shared" si="28"/>
        <v/>
      </c>
      <c r="AG63" s="1748"/>
      <c r="AH63" s="1749" t="str">
        <f t="shared" si="16"/>
        <v/>
      </c>
      <c r="AI63" s="1623" t="s">
        <v>1665</v>
      </c>
      <c r="AJ63" s="1624"/>
      <c r="AK63" s="1618"/>
      <c r="AL63" s="1619" t="s">
        <v>4440</v>
      </c>
      <c r="AM63" s="247" t="str">
        <f t="shared" si="6"/>
        <v/>
      </c>
      <c r="AN63" s="247" t="str">
        <f t="shared" si="7"/>
        <v/>
      </c>
      <c r="AO63" s="247" t="str">
        <f t="shared" si="8"/>
        <v/>
      </c>
      <c r="AP63" s="247" t="str">
        <f t="shared" si="9"/>
        <v/>
      </c>
      <c r="AQ63" s="42">
        <f t="shared" si="29"/>
        <v>1</v>
      </c>
      <c r="AR63" s="42">
        <f t="shared" si="30"/>
        <v>1</v>
      </c>
      <c r="AS63" s="42">
        <f t="shared" si="31"/>
        <v>1</v>
      </c>
      <c r="AT63" s="42">
        <f t="shared" si="32"/>
        <v>1</v>
      </c>
      <c r="AU63" s="247" t="str">
        <f t="shared" si="14"/>
        <v/>
      </c>
      <c r="AV63" s="247" t="str">
        <f t="shared" si="17"/>
        <v/>
      </c>
    </row>
    <row r="64" spans="1:48" ht="24" x14ac:dyDescent="0.2">
      <c r="A64" s="428" t="s">
        <v>697</v>
      </c>
      <c r="B64" s="429" t="s">
        <v>4481</v>
      </c>
      <c r="C64" s="430" t="s">
        <v>3519</v>
      </c>
      <c r="D64" s="1349" t="s">
        <v>1873</v>
      </c>
      <c r="E64" s="1350" t="s">
        <v>1874</v>
      </c>
      <c r="F64" s="1350" t="s">
        <v>2777</v>
      </c>
      <c r="G64" s="1351" t="s">
        <v>4610</v>
      </c>
      <c r="H64" s="1342" t="s">
        <v>3920</v>
      </c>
      <c r="I64" s="432" t="s">
        <v>3526</v>
      </c>
      <c r="J64" s="431" t="s">
        <v>1880</v>
      </c>
      <c r="K64" s="431"/>
      <c r="L64" s="431"/>
      <c r="M64" s="433"/>
      <c r="N64" s="434"/>
      <c r="O64" s="1743" t="str">
        <f>VLOOKUP(B64,code_famille_scénario,2)&amp;VLOOKUP(C64,code_actif,2)&amp;", "&amp;VLOOKUP(J64,Code_lieu,2)&amp;", due "&amp;VLOOKUP(I64,code_event,2)</f>
        <v>Inexploitabilité accidentelle de media support de fichiers  bureautiques partagés, dans les locaux de l'exploitation, due à une panne d'équipement</v>
      </c>
      <c r="P64" s="435">
        <v>1</v>
      </c>
      <c r="Q64" s="1595" t="s">
        <v>1431</v>
      </c>
      <c r="R64" s="1595" t="s">
        <v>1873</v>
      </c>
      <c r="S64" s="1595" t="str">
        <f>Classif!C5</f>
        <v/>
      </c>
      <c r="T64" s="1595">
        <f t="shared" si="24"/>
        <v>3</v>
      </c>
      <c r="U64" s="1744" t="str">
        <f t="shared" si="25"/>
        <v/>
      </c>
      <c r="V64" s="1745">
        <v>1</v>
      </c>
      <c r="W64" s="1745">
        <v>1</v>
      </c>
      <c r="X64" s="1745">
        <v>1</v>
      </c>
      <c r="Y64" s="1745">
        <f t="shared" si="34"/>
        <v>1</v>
      </c>
      <c r="Z64" s="1746">
        <v>0</v>
      </c>
      <c r="AA64" s="1747"/>
      <c r="AB64" s="1748"/>
      <c r="AC64" s="1748"/>
      <c r="AD64" s="1595" t="str">
        <f t="shared" si="23"/>
        <v/>
      </c>
      <c r="AE64" s="1595">
        <f t="shared" si="27"/>
        <v>3</v>
      </c>
      <c r="AF64" s="1595" t="str">
        <f t="shared" si="28"/>
        <v/>
      </c>
      <c r="AG64" s="1748"/>
      <c r="AH64" s="1749" t="str">
        <f t="shared" si="16"/>
        <v/>
      </c>
      <c r="AI64" s="1615"/>
      <c r="AJ64" s="1621"/>
      <c r="AK64" s="1618"/>
      <c r="AL64" s="1619" t="s">
        <v>4440</v>
      </c>
      <c r="AM64" s="247" t="str">
        <f t="shared" si="6"/>
        <v/>
      </c>
      <c r="AN64" s="247" t="str">
        <f t="shared" si="7"/>
        <v/>
      </c>
      <c r="AO64" s="247" t="str">
        <f t="shared" si="8"/>
        <v/>
      </c>
      <c r="AP64" s="247" t="str">
        <f t="shared" si="9"/>
        <v/>
      </c>
      <c r="AQ64" s="42">
        <f t="shared" si="29"/>
        <v>1</v>
      </c>
      <c r="AR64" s="42">
        <f t="shared" si="30"/>
        <v>1</v>
      </c>
      <c r="AS64" s="42">
        <f t="shared" si="31"/>
        <v>1</v>
      </c>
      <c r="AT64" s="42">
        <f t="shared" si="32"/>
        <v>1</v>
      </c>
      <c r="AU64" s="247" t="str">
        <f t="shared" si="14"/>
        <v/>
      </c>
      <c r="AV64" s="247" t="str">
        <f t="shared" si="17"/>
        <v/>
      </c>
    </row>
    <row r="65" spans="1:48" ht="24" x14ac:dyDescent="0.2">
      <c r="A65" s="428" t="s">
        <v>698</v>
      </c>
      <c r="B65" s="429" t="s">
        <v>4481</v>
      </c>
      <c r="C65" s="430" t="s">
        <v>3519</v>
      </c>
      <c r="D65" s="1349" t="s">
        <v>1873</v>
      </c>
      <c r="E65" s="1350" t="s">
        <v>1874</v>
      </c>
      <c r="F65" s="1350" t="s">
        <v>2777</v>
      </c>
      <c r="G65" s="1351" t="s">
        <v>4610</v>
      </c>
      <c r="H65" s="1342" t="s">
        <v>1554</v>
      </c>
      <c r="I65" s="432" t="s">
        <v>1534</v>
      </c>
      <c r="J65" s="431" t="s">
        <v>1880</v>
      </c>
      <c r="K65" s="431"/>
      <c r="L65" s="431"/>
      <c r="M65" s="433"/>
      <c r="N65" s="434"/>
      <c r="O65" s="1743" t="str">
        <f>VLOOKUP(B65,code_famille_scénario,2)&amp;VLOOKUP(C65,code_actif,2)&amp;", "&amp;VLOOKUP(J65,Code_lieu,2)&amp;", due "&amp;VLOOKUP(I65,code_event,2)</f>
        <v>Inexploitabilité accidentelle de media support de fichiers  bureautiques partagés, dans les locaux de l'exploitation, due à un dégât des eaux</v>
      </c>
      <c r="P65" s="435">
        <v>1</v>
      </c>
      <c r="Q65" s="1595" t="s">
        <v>1431</v>
      </c>
      <c r="R65" s="1595" t="s">
        <v>1873</v>
      </c>
      <c r="S65" s="1595" t="str">
        <f>Classif!C5</f>
        <v/>
      </c>
      <c r="T65" s="1595">
        <f t="shared" si="24"/>
        <v>3</v>
      </c>
      <c r="U65" s="1744" t="str">
        <f t="shared" si="25"/>
        <v/>
      </c>
      <c r="V65" s="1745">
        <v>1</v>
      </c>
      <c r="W65" s="1745">
        <f>S03C01</f>
        <v>1</v>
      </c>
      <c r="X65" s="1745">
        <v>1</v>
      </c>
      <c r="Y65" s="1745">
        <f t="shared" si="34"/>
        <v>1</v>
      </c>
      <c r="Z65" s="1746">
        <v>0</v>
      </c>
      <c r="AA65" s="1747"/>
      <c r="AB65" s="1748"/>
      <c r="AC65" s="1748"/>
      <c r="AD65" s="1595" t="str">
        <f t="shared" si="23"/>
        <v/>
      </c>
      <c r="AE65" s="1595">
        <f t="shared" si="27"/>
        <v>3</v>
      </c>
      <c r="AF65" s="1595" t="str">
        <f t="shared" si="28"/>
        <v/>
      </c>
      <c r="AG65" s="1748"/>
      <c r="AH65" s="1749" t="str">
        <f t="shared" si="16"/>
        <v/>
      </c>
      <c r="AI65" s="1615"/>
      <c r="AJ65" s="1616" t="s">
        <v>5220</v>
      </c>
      <c r="AK65" s="1618"/>
      <c r="AL65" s="1619" t="s">
        <v>4440</v>
      </c>
      <c r="AM65" s="247" t="str">
        <f t="shared" si="6"/>
        <v/>
      </c>
      <c r="AN65" s="247" t="str">
        <f t="shared" si="7"/>
        <v/>
      </c>
      <c r="AO65" s="247" t="str">
        <f t="shared" si="8"/>
        <v/>
      </c>
      <c r="AP65" s="247" t="str">
        <f t="shared" si="9"/>
        <v/>
      </c>
      <c r="AQ65" s="42">
        <f t="shared" si="29"/>
        <v>1</v>
      </c>
      <c r="AR65" s="42">
        <f t="shared" si="30"/>
        <v>1</v>
      </c>
      <c r="AS65" s="42">
        <f t="shared" si="31"/>
        <v>1</v>
      </c>
      <c r="AT65" s="42">
        <f t="shared" si="32"/>
        <v>1</v>
      </c>
      <c r="AU65" s="247" t="str">
        <f t="shared" si="14"/>
        <v/>
      </c>
      <c r="AV65" s="247" t="str">
        <f t="shared" si="17"/>
        <v/>
      </c>
    </row>
    <row r="66" spans="1:48" ht="24" x14ac:dyDescent="0.2">
      <c r="A66" s="428" t="s">
        <v>699</v>
      </c>
      <c r="B66" s="429" t="s">
        <v>4481</v>
      </c>
      <c r="C66" s="430" t="s">
        <v>3519</v>
      </c>
      <c r="D66" s="1349" t="s">
        <v>1873</v>
      </c>
      <c r="E66" s="1350" t="s">
        <v>1874</v>
      </c>
      <c r="F66" s="1350" t="s">
        <v>2777</v>
      </c>
      <c r="G66" s="1351" t="s">
        <v>4610</v>
      </c>
      <c r="H66" s="1342" t="s">
        <v>1554</v>
      </c>
      <c r="I66" s="432" t="s">
        <v>1537</v>
      </c>
      <c r="J66" s="431" t="s">
        <v>1880</v>
      </c>
      <c r="K66" s="431"/>
      <c r="L66" s="431"/>
      <c r="M66" s="433"/>
      <c r="N66" s="434"/>
      <c r="O66" s="1743" t="str">
        <f>VLOOKUP(B66,code_famille_scénario,2)&amp;VLOOKUP(C66,code_actif,2)&amp;", "&amp;VLOOKUP(J66,Code_lieu,2)&amp;", due "&amp;VLOOKUP(I66,code_event,2)</f>
        <v>Inexploitabilité accidentelle de media support de fichiers  bureautiques partagés, dans les locaux de l'exploitation, due à une surcharge électrique</v>
      </c>
      <c r="P66" s="435">
        <v>1</v>
      </c>
      <c r="Q66" s="1595" t="s">
        <v>1431</v>
      </c>
      <c r="R66" s="1595" t="s">
        <v>1873</v>
      </c>
      <c r="S66" s="1595" t="str">
        <f>Classif!C5</f>
        <v/>
      </c>
      <c r="T66" s="1595">
        <f t="shared" si="24"/>
        <v>2</v>
      </c>
      <c r="U66" s="1744" t="str">
        <f t="shared" si="25"/>
        <v/>
      </c>
      <c r="V66" s="1745">
        <v>1</v>
      </c>
      <c r="W66" s="1745">
        <f>MIN(S03A01,S03A04)</f>
        <v>1</v>
      </c>
      <c r="X66" s="1745">
        <v>1</v>
      </c>
      <c r="Y66" s="1745">
        <f t="shared" si="34"/>
        <v>1</v>
      </c>
      <c r="Z66" s="1746">
        <v>0</v>
      </c>
      <c r="AA66" s="1747"/>
      <c r="AB66" s="1748"/>
      <c r="AC66" s="1748"/>
      <c r="AD66" s="1595" t="str">
        <f t="shared" si="23"/>
        <v/>
      </c>
      <c r="AE66" s="1595">
        <f t="shared" si="27"/>
        <v>2</v>
      </c>
      <c r="AF66" s="1595" t="str">
        <f t="shared" si="28"/>
        <v/>
      </c>
      <c r="AG66" s="1748"/>
      <c r="AH66" s="1749" t="str">
        <f t="shared" si="16"/>
        <v/>
      </c>
      <c r="AI66" s="1615"/>
      <c r="AJ66" s="1616" t="s">
        <v>5252</v>
      </c>
      <c r="AK66" s="1618"/>
      <c r="AL66" s="1619" t="s">
        <v>4440</v>
      </c>
      <c r="AM66" s="247" t="str">
        <f t="shared" si="6"/>
        <v/>
      </c>
      <c r="AN66" s="247" t="str">
        <f t="shared" si="7"/>
        <v/>
      </c>
      <c r="AO66" s="247" t="str">
        <f t="shared" si="8"/>
        <v/>
      </c>
      <c r="AP66" s="247" t="str">
        <f t="shared" si="9"/>
        <v/>
      </c>
      <c r="AQ66" s="42">
        <f t="shared" si="29"/>
        <v>1</v>
      </c>
      <c r="AR66" s="42">
        <f t="shared" si="30"/>
        <v>1</v>
      </c>
      <c r="AS66" s="42">
        <f t="shared" si="31"/>
        <v>1</v>
      </c>
      <c r="AT66" s="42">
        <f t="shared" si="32"/>
        <v>1</v>
      </c>
      <c r="AU66" s="247" t="str">
        <f t="shared" si="14"/>
        <v/>
      </c>
      <c r="AV66" s="247" t="str">
        <f t="shared" si="17"/>
        <v/>
      </c>
    </row>
    <row r="67" spans="1:48" ht="24" x14ac:dyDescent="0.2">
      <c r="A67" s="428" t="s">
        <v>700</v>
      </c>
      <c r="B67" s="429" t="s">
        <v>4481</v>
      </c>
      <c r="C67" s="430" t="s">
        <v>3519</v>
      </c>
      <c r="D67" s="1349" t="s">
        <v>1873</v>
      </c>
      <c r="E67" s="1350" t="s">
        <v>1874</v>
      </c>
      <c r="F67" s="1350" t="s">
        <v>2777</v>
      </c>
      <c r="G67" s="1351" t="s">
        <v>4610</v>
      </c>
      <c r="H67" s="1342" t="s">
        <v>1465</v>
      </c>
      <c r="I67" s="432" t="s">
        <v>1880</v>
      </c>
      <c r="J67" s="431" t="s">
        <v>1880</v>
      </c>
      <c r="K67" s="431"/>
      <c r="L67" s="431"/>
      <c r="M67" s="433"/>
      <c r="N67" s="434"/>
      <c r="O67" s="1743" t="str">
        <f>VLOOKUP(B67,code_famille_scénario,2)&amp;VLOOKUP(C67,code_actif,2)&amp;", "&amp;VLOOKUP(J67,Code_lieu,2)&amp;", due "&amp;VLOOKUP(I67,code_event,2)</f>
        <v>Inexploitabilité accidentelle de media support de fichiers  bureautiques partagés, dans les locaux de l'exploitation, due à un incident d'exploitation</v>
      </c>
      <c r="P67" s="435">
        <v>1</v>
      </c>
      <c r="Q67" s="1595" t="s">
        <v>1431</v>
      </c>
      <c r="R67" s="1595" t="s">
        <v>1873</v>
      </c>
      <c r="S67" s="1595" t="str">
        <f>Classif!C5</f>
        <v/>
      </c>
      <c r="T67" s="1595">
        <f t="shared" si="24"/>
        <v>3</v>
      </c>
      <c r="U67" s="1744" t="str">
        <f t="shared" si="25"/>
        <v/>
      </c>
      <c r="V67" s="1745">
        <v>1</v>
      </c>
      <c r="W67" s="1745">
        <f>S08A03</f>
        <v>1</v>
      </c>
      <c r="X67" s="1745">
        <f>S08E03</f>
        <v>1</v>
      </c>
      <c r="Y67" s="1745">
        <f t="shared" si="34"/>
        <v>1</v>
      </c>
      <c r="Z67" s="1746">
        <v>0</v>
      </c>
      <c r="AA67" s="1747"/>
      <c r="AB67" s="1748"/>
      <c r="AC67" s="1748"/>
      <c r="AD67" s="1595" t="str">
        <f t="shared" si="23"/>
        <v/>
      </c>
      <c r="AE67" s="1595">
        <f t="shared" si="27"/>
        <v>3</v>
      </c>
      <c r="AF67" s="1595" t="str">
        <f t="shared" si="28"/>
        <v/>
      </c>
      <c r="AG67" s="1748"/>
      <c r="AH67" s="1749" t="str">
        <f t="shared" si="16"/>
        <v/>
      </c>
      <c r="AI67" s="1615"/>
      <c r="AJ67" s="1616" t="s">
        <v>4324</v>
      </c>
      <c r="AK67" s="1616" t="s">
        <v>2532</v>
      </c>
      <c r="AL67" s="1619" t="s">
        <v>4440</v>
      </c>
      <c r="AM67" s="247" t="str">
        <f t="shared" si="6"/>
        <v/>
      </c>
      <c r="AN67" s="247" t="str">
        <f t="shared" si="7"/>
        <v/>
      </c>
      <c r="AO67" s="247" t="str">
        <f t="shared" si="8"/>
        <v/>
      </c>
      <c r="AP67" s="247" t="str">
        <f t="shared" si="9"/>
        <v/>
      </c>
      <c r="AQ67" s="42">
        <f t="shared" si="29"/>
        <v>1</v>
      </c>
      <c r="AR67" s="42">
        <f t="shared" si="30"/>
        <v>1</v>
      </c>
      <c r="AS67" s="42">
        <f t="shared" si="31"/>
        <v>1</v>
      </c>
      <c r="AT67" s="42">
        <f t="shared" si="32"/>
        <v>1</v>
      </c>
      <c r="AU67" s="247" t="str">
        <f t="shared" si="14"/>
        <v/>
      </c>
      <c r="AV67" s="247" t="str">
        <f t="shared" si="17"/>
        <v/>
      </c>
    </row>
    <row r="68" spans="1:48" ht="24" x14ac:dyDescent="0.2">
      <c r="A68" s="428" t="s">
        <v>701</v>
      </c>
      <c r="B68" s="429" t="s">
        <v>2485</v>
      </c>
      <c r="C68" s="430" t="s">
        <v>3519</v>
      </c>
      <c r="D68" s="1349" t="s">
        <v>1873</v>
      </c>
      <c r="E68" s="1350" t="s">
        <v>2560</v>
      </c>
      <c r="F68" s="1350" t="s">
        <v>4498</v>
      </c>
      <c r="G68" s="1351" t="s">
        <v>4616</v>
      </c>
      <c r="H68" s="1342" t="s">
        <v>1327</v>
      </c>
      <c r="I68" s="432" t="s">
        <v>1545</v>
      </c>
      <c r="J68" s="431"/>
      <c r="K68" s="431"/>
      <c r="L68" s="431"/>
      <c r="M68" s="433"/>
      <c r="N68" s="434"/>
      <c r="O68" s="1743" t="str">
        <f>VLOOKUP(B68,code_famille_scénario,2)&amp;VLOOKUP(C68,code_actif,2)</f>
        <v>Disparition accidentelle de moyens nécessaires à l'accès aux fichiers bureautiques partagés</v>
      </c>
      <c r="P68" s="435">
        <v>1</v>
      </c>
      <c r="Q68" s="1595" t="s">
        <v>1431</v>
      </c>
      <c r="R68" s="1595" t="s">
        <v>1873</v>
      </c>
      <c r="S68" s="1595" t="str">
        <f>Classif!C5</f>
        <v/>
      </c>
      <c r="T68" s="1595">
        <f t="shared" si="24"/>
        <v>3</v>
      </c>
      <c r="U68" s="1744" t="str">
        <f t="shared" si="25"/>
        <v/>
      </c>
      <c r="V68" s="1745">
        <v>1</v>
      </c>
      <c r="W68" s="1745">
        <v>1</v>
      </c>
      <c r="X68" s="1745">
        <v>1</v>
      </c>
      <c r="Y68" s="1745">
        <f>S11D08</f>
        <v>1</v>
      </c>
      <c r="Z68" s="1746">
        <v>0</v>
      </c>
      <c r="AA68" s="1747"/>
      <c r="AB68" s="1751"/>
      <c r="AC68" s="1748"/>
      <c r="AD68" s="1595" t="str">
        <f t="shared" si="23"/>
        <v/>
      </c>
      <c r="AE68" s="1595">
        <f t="shared" si="27"/>
        <v>3</v>
      </c>
      <c r="AF68" s="1595" t="str">
        <f t="shared" si="28"/>
        <v/>
      </c>
      <c r="AG68" s="1748"/>
      <c r="AH68" s="1749" t="str">
        <f t="shared" si="16"/>
        <v/>
      </c>
      <c r="AI68" s="1615"/>
      <c r="AJ68" s="1621"/>
      <c r="AK68" s="1618"/>
      <c r="AL68" s="1617" t="s">
        <v>4256</v>
      </c>
      <c r="AM68" s="247" t="str">
        <f t="shared" si="6"/>
        <v/>
      </c>
      <c r="AN68" s="247" t="str">
        <f t="shared" si="7"/>
        <v/>
      </c>
      <c r="AO68" s="247" t="str">
        <f t="shared" si="8"/>
        <v/>
      </c>
      <c r="AP68" s="247" t="str">
        <f t="shared" si="9"/>
        <v/>
      </c>
      <c r="AQ68" s="42">
        <f t="shared" si="29"/>
        <v>1</v>
      </c>
      <c r="AR68" s="42">
        <f t="shared" si="30"/>
        <v>1</v>
      </c>
      <c r="AS68" s="42">
        <f t="shared" si="31"/>
        <v>1</v>
      </c>
      <c r="AT68" s="42">
        <f t="shared" si="32"/>
        <v>1</v>
      </c>
      <c r="AU68" s="247" t="str">
        <f t="shared" si="14"/>
        <v/>
      </c>
      <c r="AV68" s="247" t="str">
        <f t="shared" si="17"/>
        <v/>
      </c>
    </row>
    <row r="69" spans="1:48" ht="24" x14ac:dyDescent="0.2">
      <c r="A69" s="428" t="s">
        <v>702</v>
      </c>
      <c r="B69" s="429" t="s">
        <v>2486</v>
      </c>
      <c r="C69" s="430" t="s">
        <v>3519</v>
      </c>
      <c r="D69" s="1349" t="s">
        <v>1873</v>
      </c>
      <c r="E69" s="1350" t="s">
        <v>2560</v>
      </c>
      <c r="F69" s="1350" t="s">
        <v>4498</v>
      </c>
      <c r="G69" s="1351" t="s">
        <v>4616</v>
      </c>
      <c r="H69" s="1342" t="s">
        <v>1329</v>
      </c>
      <c r="I69" s="432" t="s">
        <v>1305</v>
      </c>
      <c r="J69" s="431"/>
      <c r="K69" s="431"/>
      <c r="L69" s="431"/>
      <c r="M69" s="433"/>
      <c r="N69" s="434"/>
      <c r="O69" s="1743" t="str">
        <f>VLOOKUP(B69,code_famille_scénario,2)&amp;VLOOKUP(C69,code_actif,2)</f>
        <v>Vol ou destruction malveillante de moyens nécessaires à l'accès aux fichiers bureautiques partagés</v>
      </c>
      <c r="P69" s="435">
        <v>1</v>
      </c>
      <c r="Q69" s="1595" t="s">
        <v>1299</v>
      </c>
      <c r="R69" s="1595" t="s">
        <v>1873</v>
      </c>
      <c r="S69" s="1595" t="str">
        <f>Classif!C5</f>
        <v/>
      </c>
      <c r="T69" s="1595">
        <f t="shared" si="24"/>
        <v>2</v>
      </c>
      <c r="U69" s="1744" t="str">
        <f t="shared" si="25"/>
        <v/>
      </c>
      <c r="V69" s="1745">
        <v>1</v>
      </c>
      <c r="W69" s="1745">
        <v>1</v>
      </c>
      <c r="X69" s="1745">
        <v>1</v>
      </c>
      <c r="Y69" s="1745">
        <f>S11D08</f>
        <v>1</v>
      </c>
      <c r="Z69" s="1746">
        <v>0</v>
      </c>
      <c r="AA69" s="1747"/>
      <c r="AB69" s="1748"/>
      <c r="AC69" s="1748"/>
      <c r="AD69" s="1595" t="str">
        <f t="shared" si="23"/>
        <v/>
      </c>
      <c r="AE69" s="1595">
        <f t="shared" si="27"/>
        <v>2</v>
      </c>
      <c r="AF69" s="1595" t="str">
        <f t="shared" si="28"/>
        <v/>
      </c>
      <c r="AG69" s="1748"/>
      <c r="AH69" s="1749" t="str">
        <f t="shared" si="16"/>
        <v/>
      </c>
      <c r="AI69" s="1615"/>
      <c r="AJ69" s="1621"/>
      <c r="AK69" s="1618"/>
      <c r="AL69" s="1617" t="s">
        <v>4256</v>
      </c>
      <c r="AM69" s="247" t="str">
        <f t="shared" si="6"/>
        <v/>
      </c>
      <c r="AN69" s="247" t="str">
        <f t="shared" si="7"/>
        <v/>
      </c>
      <c r="AO69" s="247" t="str">
        <f t="shared" si="8"/>
        <v/>
      </c>
      <c r="AP69" s="247" t="str">
        <f t="shared" si="9"/>
        <v/>
      </c>
      <c r="AQ69" s="42">
        <f t="shared" si="29"/>
        <v>1</v>
      </c>
      <c r="AR69" s="42">
        <f t="shared" si="30"/>
        <v>1</v>
      </c>
      <c r="AS69" s="42">
        <f t="shared" si="31"/>
        <v>1</v>
      </c>
      <c r="AT69" s="42">
        <f t="shared" si="32"/>
        <v>1</v>
      </c>
      <c r="AU69" s="247" t="str">
        <f t="shared" si="14"/>
        <v/>
      </c>
      <c r="AV69" s="247" t="str">
        <f t="shared" si="17"/>
        <v/>
      </c>
    </row>
    <row r="70" spans="1:48" ht="15" x14ac:dyDescent="0.2">
      <c r="A70" s="418" t="s">
        <v>4835</v>
      </c>
      <c r="B70" s="419"/>
      <c r="C70" s="420" t="s">
        <v>4737</v>
      </c>
      <c r="D70" s="425"/>
      <c r="E70" s="1348"/>
      <c r="F70" s="1348"/>
      <c r="G70" s="1352"/>
      <c r="H70" s="1295"/>
      <c r="I70" s="420"/>
      <c r="J70" s="441"/>
      <c r="K70" s="441"/>
      <c r="L70" s="441"/>
      <c r="M70" s="442"/>
      <c r="N70" s="422"/>
      <c r="O70" s="1752"/>
      <c r="P70" s="1608"/>
      <c r="Q70" s="1596"/>
      <c r="R70" s="1596"/>
      <c r="S70" s="1597"/>
      <c r="T70" s="1595"/>
      <c r="U70" s="1744"/>
      <c r="V70" s="1598"/>
      <c r="W70" s="1598"/>
      <c r="X70" s="1598"/>
      <c r="Y70" s="1598"/>
      <c r="Z70" s="1599"/>
      <c r="AA70" s="443"/>
      <c r="AB70" s="444"/>
      <c r="AC70" s="444"/>
      <c r="AD70" s="1595"/>
      <c r="AE70" s="1597"/>
      <c r="AF70" s="1595"/>
      <c r="AG70" s="1748"/>
      <c r="AH70" s="1749"/>
      <c r="AI70" s="1627"/>
      <c r="AJ70" s="1628"/>
      <c r="AK70" s="1628"/>
      <c r="AL70" s="1629"/>
      <c r="AM70" s="247" t="str">
        <f t="shared" ref="AM70:AM133" si="35">IF($AH70=1,$H70&amp;"."&amp;$I70&amp;$AH70,"")</f>
        <v/>
      </c>
      <c r="AN70" s="247" t="str">
        <f t="shared" ref="AN70:AN133" si="36">IF($AH70=2,$H70&amp;"."&amp;$I70&amp;$AH70,"")</f>
        <v/>
      </c>
      <c r="AO70" s="247" t="str">
        <f t="shared" ref="AO70:AO133" si="37">IF($AH70=3,$H70&amp;"."&amp;$I70&amp;$AH70,"")</f>
        <v/>
      </c>
      <c r="AP70" s="247" t="str">
        <f t="shared" ref="AP70:AP133" si="38">IF($AH70=4,$H70&amp;"."&amp;$I70&amp;$AH70,"")</f>
        <v/>
      </c>
      <c r="AU70" s="247" t="str">
        <f t="shared" ref="AU70:AU133" si="39">IF(S70="","",IF(T70="","",10*S70+T70))</f>
        <v/>
      </c>
      <c r="AV70" s="247" t="str">
        <f t="shared" ref="AV70:AV133" si="40">IF(AD70="","",IF(AE70="","",10*AD70+AE70))</f>
        <v/>
      </c>
    </row>
    <row r="71" spans="1:48" x14ac:dyDescent="0.2">
      <c r="A71" s="428" t="s">
        <v>703</v>
      </c>
      <c r="B71" s="429" t="s">
        <v>5620</v>
      </c>
      <c r="C71" s="430" t="s">
        <v>3521</v>
      </c>
      <c r="D71" s="1349" t="s">
        <v>1873</v>
      </c>
      <c r="E71" s="1350" t="s">
        <v>2778</v>
      </c>
      <c r="F71" s="1350" t="s">
        <v>2779</v>
      </c>
      <c r="G71" s="1351" t="s">
        <v>3739</v>
      </c>
      <c r="H71" s="1342" t="s">
        <v>1465</v>
      </c>
      <c r="I71" s="432" t="s">
        <v>1539</v>
      </c>
      <c r="J71" s="431" t="s">
        <v>3522</v>
      </c>
      <c r="K71" s="431"/>
      <c r="L71" s="431"/>
      <c r="M71" s="433"/>
      <c r="N71" s="434"/>
      <c r="O71" s="1743" t="str">
        <f>VLOOKUP(B71,code_famille_scénario,2)&amp;VLOOKUP(C71,code_actif,2)&amp;", suite "&amp;VLOOKUP(I71,code_event,2)</f>
        <v>Effacement accidentel de fichiers bureautiques personnels , suite à un virus</v>
      </c>
      <c r="P71" s="435">
        <v>1</v>
      </c>
      <c r="Q71" s="1595" t="s">
        <v>1431</v>
      </c>
      <c r="R71" s="1595" t="s">
        <v>1873</v>
      </c>
      <c r="S71" s="1595" t="str">
        <f>Classif!C6</f>
        <v/>
      </c>
      <c r="T71" s="1595">
        <f t="shared" ref="T71:T96" si="41">VLOOKUP(H71&amp;"."&amp;I71,Tab_event,4)</f>
        <v>4</v>
      </c>
      <c r="U71" s="1744" t="str">
        <f t="shared" ref="U71:U96" si="42">IF(AND(NOT(S71=""),NOT(T71="")),INDEX(base_g,5-S71,T71),"")</f>
        <v/>
      </c>
      <c r="V71" s="1745">
        <v>1</v>
      </c>
      <c r="W71" s="1745">
        <f>MIN(S08D07,S11D06)</f>
        <v>1</v>
      </c>
      <c r="X71" s="1745">
        <v>1</v>
      </c>
      <c r="Y71" s="1745">
        <f t="shared" ref="Y71:Y94" si="43">S11D05</f>
        <v>1</v>
      </c>
      <c r="Z71" s="1746">
        <v>0</v>
      </c>
      <c r="AA71" s="1747"/>
      <c r="AB71" s="1748"/>
      <c r="AC71" s="1748"/>
      <c r="AD71" s="1595" t="str">
        <f t="shared" ref="AD71:AD134" si="44">IF(OR(R71="",S71=""),"",IF(R71="D",INDEX(base_i,IF(IF(AA71="",Z71,AA71)=0,4,5-X71),Y71+7*(S71-1)),IF(R71="I",INDEX(base_i,IF(IF(AA71="",Z71,AA71)=0,15,16-X71),Y71+7*(S71-1)),IF(R71="C",INDEX(base_i,IF(IF(AA71="",Z71,AA71)=0,26,27-X71),Y71+7*(S71-1)),INDEX(base_i,38-X71,Y71+7*(S71-1))))))</f>
        <v/>
      </c>
      <c r="AE71" s="1595">
        <f t="shared" ref="AE71:AE96" si="45">IF(OR(Q71="",T71=""),"",IF(Q71="A",INDEX(base_p,4,W71+7*(T71-1)),IF(Q71="E",INDEX(base_p,15,W71+7*(T71-1)),INDEX(base_p,27-V71,W71+7*(T71-1)))))</f>
        <v>4</v>
      </c>
      <c r="AF71" s="1595" t="str">
        <f t="shared" ref="AF71:AF96" si="46">IF(AT71=1,IF(IndG=1,U71,IF(AND(OR(NOT(AD71=""),NOT(AB71="")),OR(NOT(AE71=""),NOT(AC71="")),AT71=1),INDEX(base_g,5-IF(AB71="",AD71,AB71),IF(AC71="",AE71,AC71)),"")),0)</f>
        <v/>
      </c>
      <c r="AG71" s="1748"/>
      <c r="AH71" s="1749" t="str">
        <f t="shared" ref="AH71:AH134" si="47">IF(OR(AG71="A",AG71="a",AG71="T",AG71="t",AF71=""),"",AF71)</f>
        <v/>
      </c>
      <c r="AI71" s="1615"/>
      <c r="AJ71" s="1616" t="s">
        <v>6490</v>
      </c>
      <c r="AK71" s="1616"/>
      <c r="AL71" s="1617" t="s">
        <v>5949</v>
      </c>
      <c r="AM71" s="247" t="str">
        <f t="shared" si="35"/>
        <v/>
      </c>
      <c r="AN71" s="247" t="str">
        <f t="shared" si="36"/>
        <v/>
      </c>
      <c r="AO71" s="247" t="str">
        <f t="shared" si="37"/>
        <v/>
      </c>
      <c r="AP71" s="247" t="str">
        <f t="shared" si="38"/>
        <v/>
      </c>
      <c r="AQ71" s="42">
        <f t="shared" ref="AQ71:AQ96" si="48">VLOOKUP(LEFT(C71,3),Tab_classif_data,6)</f>
        <v>1</v>
      </c>
      <c r="AR71" s="42">
        <f t="shared" ref="AR71:AR96" si="49">VLOOKUP(G71,select_vul_data,2)</f>
        <v>1</v>
      </c>
      <c r="AS71" s="42">
        <f t="shared" ref="AS71:AS96" si="50">VLOOKUP(H71&amp;"."&amp;I71,select_men,5)</f>
        <v>1</v>
      </c>
      <c r="AT71" s="42">
        <f t="shared" ref="AT71:AT96" si="51">P71*AQ71*AR71*AS71</f>
        <v>1</v>
      </c>
      <c r="AU71" s="247" t="str">
        <f t="shared" si="39"/>
        <v/>
      </c>
      <c r="AV71" s="247" t="str">
        <f t="shared" si="40"/>
        <v/>
      </c>
    </row>
    <row r="72" spans="1:48" ht="24" x14ac:dyDescent="0.2">
      <c r="A72" s="428" t="s">
        <v>704</v>
      </c>
      <c r="B72" s="429" t="s">
        <v>5624</v>
      </c>
      <c r="C72" s="430" t="s">
        <v>3521</v>
      </c>
      <c r="D72" s="1349" t="s">
        <v>1873</v>
      </c>
      <c r="E72" s="1350" t="s">
        <v>2778</v>
      </c>
      <c r="F72" s="1350" t="s">
        <v>2779</v>
      </c>
      <c r="G72" s="1351" t="s">
        <v>3739</v>
      </c>
      <c r="H72" s="1342" t="s">
        <v>1327</v>
      </c>
      <c r="I72" s="432" t="s">
        <v>1545</v>
      </c>
      <c r="J72" s="431" t="s">
        <v>3522</v>
      </c>
      <c r="K72" s="431"/>
      <c r="L72" s="431" t="s">
        <v>1562</v>
      </c>
      <c r="M72" s="433"/>
      <c r="N72" s="434" t="s">
        <v>2781</v>
      </c>
      <c r="O72" s="1743" t="str">
        <f>VLOOKUP(B72,code_famille_scénario,2)&amp;VLOOKUP(C72,code_actif,2)&amp;", par "&amp;VLOOKUP(N72,code_acteur,2)&amp;", "&amp;VLOOKUP(L72,code_acces,2)</f>
        <v>Effacement par erreur de fichiers bureautiques personnels , par un utilisateur autorisé, se connectant directement au poste de travail</v>
      </c>
      <c r="P72" s="435">
        <v>1</v>
      </c>
      <c r="Q72" s="1595" t="s">
        <v>6403</v>
      </c>
      <c r="R72" s="1595" t="s">
        <v>1873</v>
      </c>
      <c r="S72" s="1595" t="str">
        <f>Classif!C6</f>
        <v/>
      </c>
      <c r="T72" s="1595">
        <f t="shared" si="41"/>
        <v>3</v>
      </c>
      <c r="U72" s="1744" t="str">
        <f t="shared" si="42"/>
        <v/>
      </c>
      <c r="V72" s="1745">
        <v>1</v>
      </c>
      <c r="W72" s="1745">
        <v>1</v>
      </c>
      <c r="X72" s="1745">
        <v>1</v>
      </c>
      <c r="Y72" s="1745">
        <f t="shared" si="43"/>
        <v>1</v>
      </c>
      <c r="Z72" s="1746">
        <v>0</v>
      </c>
      <c r="AA72" s="1747"/>
      <c r="AB72" s="1748"/>
      <c r="AC72" s="1748"/>
      <c r="AD72" s="1595" t="str">
        <f t="shared" si="44"/>
        <v/>
      </c>
      <c r="AE72" s="1595">
        <f t="shared" si="45"/>
        <v>3</v>
      </c>
      <c r="AF72" s="1595" t="str">
        <f t="shared" si="46"/>
        <v/>
      </c>
      <c r="AG72" s="1748"/>
      <c r="AH72" s="1749" t="str">
        <f t="shared" si="47"/>
        <v/>
      </c>
      <c r="AI72" s="1615"/>
      <c r="AJ72" s="1618"/>
      <c r="AK72" s="1618"/>
      <c r="AL72" s="1619" t="s">
        <v>5949</v>
      </c>
      <c r="AM72" s="247" t="str">
        <f t="shared" si="35"/>
        <v/>
      </c>
      <c r="AN72" s="247" t="str">
        <f t="shared" si="36"/>
        <v/>
      </c>
      <c r="AO72" s="247" t="str">
        <f t="shared" si="37"/>
        <v/>
      </c>
      <c r="AP72" s="247" t="str">
        <f t="shared" si="38"/>
        <v/>
      </c>
      <c r="AQ72" s="42">
        <f t="shared" si="48"/>
        <v>1</v>
      </c>
      <c r="AR72" s="42">
        <f t="shared" si="49"/>
        <v>1</v>
      </c>
      <c r="AS72" s="42">
        <f t="shared" si="50"/>
        <v>1</v>
      </c>
      <c r="AT72" s="42">
        <f t="shared" si="51"/>
        <v>1</v>
      </c>
      <c r="AU72" s="247" t="str">
        <f t="shared" si="39"/>
        <v/>
      </c>
      <c r="AV72" s="247" t="str">
        <f t="shared" si="40"/>
        <v/>
      </c>
    </row>
    <row r="73" spans="1:48" ht="24" x14ac:dyDescent="0.2">
      <c r="A73" s="428" t="s">
        <v>705</v>
      </c>
      <c r="B73" s="429" t="s">
        <v>5624</v>
      </c>
      <c r="C73" s="430" t="s">
        <v>3521</v>
      </c>
      <c r="D73" s="1349" t="s">
        <v>1873</v>
      </c>
      <c r="E73" s="1350" t="s">
        <v>2778</v>
      </c>
      <c r="F73" s="1350" t="s">
        <v>2779</v>
      </c>
      <c r="G73" s="1351" t="s">
        <v>3739</v>
      </c>
      <c r="H73" s="1342" t="s">
        <v>1327</v>
      </c>
      <c r="I73" s="432" t="s">
        <v>1545</v>
      </c>
      <c r="J73" s="431" t="s">
        <v>3522</v>
      </c>
      <c r="K73" s="431"/>
      <c r="L73" s="431" t="s">
        <v>6541</v>
      </c>
      <c r="M73" s="433"/>
      <c r="N73" s="434" t="s">
        <v>6403</v>
      </c>
      <c r="O73" s="1743" t="str">
        <f>VLOOKUP(B73,code_famille_scénario,2)&amp;VLOOKUP(C73,code_actif,2)&amp;", par "&amp;VLOOKUP(N73,code_acteur,2)&amp;", "&amp;VLOOKUP(L73,code_acces,2)</f>
        <v>Effacement par erreur de fichiers bureautiques personnels , par un membre du personnel d'exploitation, se connectant depuis le réseau interne</v>
      </c>
      <c r="P73" s="435">
        <v>1</v>
      </c>
      <c r="Q73" s="1595" t="s">
        <v>6403</v>
      </c>
      <c r="R73" s="1595" t="s">
        <v>1873</v>
      </c>
      <c r="S73" s="1595" t="str">
        <f>Classif!C6</f>
        <v/>
      </c>
      <c r="T73" s="1595">
        <f t="shared" si="41"/>
        <v>3</v>
      </c>
      <c r="U73" s="1744" t="str">
        <f t="shared" si="42"/>
        <v/>
      </c>
      <c r="V73" s="1745">
        <v>1</v>
      </c>
      <c r="W73" s="1745">
        <v>1</v>
      </c>
      <c r="X73" s="1745">
        <v>1</v>
      </c>
      <c r="Y73" s="1745">
        <f t="shared" si="43"/>
        <v>1</v>
      </c>
      <c r="Z73" s="1746">
        <v>0</v>
      </c>
      <c r="AA73" s="1747"/>
      <c r="AB73" s="1748"/>
      <c r="AC73" s="1748"/>
      <c r="AD73" s="1595" t="str">
        <f t="shared" si="44"/>
        <v/>
      </c>
      <c r="AE73" s="1595">
        <f t="shared" si="45"/>
        <v>3</v>
      </c>
      <c r="AF73" s="1595" t="str">
        <f t="shared" si="46"/>
        <v/>
      </c>
      <c r="AG73" s="1748"/>
      <c r="AH73" s="1749" t="str">
        <f t="shared" si="47"/>
        <v/>
      </c>
      <c r="AI73" s="1615"/>
      <c r="AJ73" s="1618"/>
      <c r="AK73" s="1618"/>
      <c r="AL73" s="1619" t="s">
        <v>5949</v>
      </c>
      <c r="AM73" s="247" t="str">
        <f t="shared" si="35"/>
        <v/>
      </c>
      <c r="AN73" s="247" t="str">
        <f t="shared" si="36"/>
        <v/>
      </c>
      <c r="AO73" s="247" t="str">
        <f t="shared" si="37"/>
        <v/>
      </c>
      <c r="AP73" s="247" t="str">
        <f t="shared" si="38"/>
        <v/>
      </c>
      <c r="AQ73" s="42">
        <f t="shared" si="48"/>
        <v>1</v>
      </c>
      <c r="AR73" s="42">
        <f t="shared" si="49"/>
        <v>1</v>
      </c>
      <c r="AS73" s="42">
        <f t="shared" si="50"/>
        <v>1</v>
      </c>
      <c r="AT73" s="42">
        <f t="shared" si="51"/>
        <v>1</v>
      </c>
      <c r="AU73" s="247" t="str">
        <f t="shared" si="39"/>
        <v/>
      </c>
      <c r="AV73" s="247" t="str">
        <f t="shared" si="40"/>
        <v/>
      </c>
    </row>
    <row r="74" spans="1:48" ht="24" x14ac:dyDescent="0.2">
      <c r="A74" s="428" t="s">
        <v>706</v>
      </c>
      <c r="B74" s="429" t="s">
        <v>5624</v>
      </c>
      <c r="C74" s="430" t="s">
        <v>3521</v>
      </c>
      <c r="D74" s="1349" t="s">
        <v>1873</v>
      </c>
      <c r="E74" s="1350" t="s">
        <v>2778</v>
      </c>
      <c r="F74" s="1350" t="s">
        <v>2779</v>
      </c>
      <c r="G74" s="1351" t="s">
        <v>3739</v>
      </c>
      <c r="H74" s="1342" t="s">
        <v>1327</v>
      </c>
      <c r="I74" s="432" t="s">
        <v>1545</v>
      </c>
      <c r="J74" s="431" t="s">
        <v>3522</v>
      </c>
      <c r="K74" s="431"/>
      <c r="L74" s="431"/>
      <c r="M74" s="433"/>
      <c r="N74" s="434" t="s">
        <v>1299</v>
      </c>
      <c r="O74" s="1743" t="str">
        <f>VLOOKUP(B74,code_famille_scénario,2)&amp;VLOOKUP(C74,code_actif,2)&amp;", par "&amp;VLOOKUP(N74,code_acteur,2)</f>
        <v>Effacement par erreur de fichiers bureautiques personnels , par un membre du personnel de maintenance</v>
      </c>
      <c r="P74" s="435">
        <v>1</v>
      </c>
      <c r="Q74" s="1595" t="s">
        <v>6403</v>
      </c>
      <c r="R74" s="1595" t="s">
        <v>1873</v>
      </c>
      <c r="S74" s="1595" t="str">
        <f>Classif!C6</f>
        <v/>
      </c>
      <c r="T74" s="1595">
        <f t="shared" si="41"/>
        <v>3</v>
      </c>
      <c r="U74" s="1744" t="str">
        <f t="shared" si="42"/>
        <v/>
      </c>
      <c r="V74" s="1745">
        <v>1</v>
      </c>
      <c r="W74" s="1745">
        <v>1</v>
      </c>
      <c r="X74" s="1745">
        <v>1</v>
      </c>
      <c r="Y74" s="1745">
        <f t="shared" si="43"/>
        <v>1</v>
      </c>
      <c r="Z74" s="1746">
        <v>0</v>
      </c>
      <c r="AA74" s="1747"/>
      <c r="AB74" s="1748"/>
      <c r="AC74" s="1748"/>
      <c r="AD74" s="1595" t="str">
        <f t="shared" si="44"/>
        <v/>
      </c>
      <c r="AE74" s="1595">
        <f t="shared" si="45"/>
        <v>3</v>
      </c>
      <c r="AF74" s="1595" t="str">
        <f t="shared" si="46"/>
        <v/>
      </c>
      <c r="AG74" s="1748"/>
      <c r="AH74" s="1749" t="str">
        <f t="shared" si="47"/>
        <v/>
      </c>
      <c r="AI74" s="1615"/>
      <c r="AJ74" s="1618"/>
      <c r="AK74" s="1618"/>
      <c r="AL74" s="1619" t="s">
        <v>5949</v>
      </c>
      <c r="AM74" s="247" t="str">
        <f t="shared" si="35"/>
        <v/>
      </c>
      <c r="AN74" s="247" t="str">
        <f t="shared" si="36"/>
        <v/>
      </c>
      <c r="AO74" s="247" t="str">
        <f t="shared" si="37"/>
        <v/>
      </c>
      <c r="AP74" s="247" t="str">
        <f t="shared" si="38"/>
        <v/>
      </c>
      <c r="AQ74" s="42">
        <f t="shared" si="48"/>
        <v>1</v>
      </c>
      <c r="AR74" s="42">
        <f t="shared" si="49"/>
        <v>1</v>
      </c>
      <c r="AS74" s="42">
        <f t="shared" si="50"/>
        <v>1</v>
      </c>
      <c r="AT74" s="42">
        <f t="shared" si="51"/>
        <v>1</v>
      </c>
      <c r="AU74" s="247" t="str">
        <f t="shared" si="39"/>
        <v/>
      </c>
      <c r="AV74" s="247" t="str">
        <f t="shared" si="40"/>
        <v/>
      </c>
    </row>
    <row r="75" spans="1:48" ht="36" x14ac:dyDescent="0.2">
      <c r="A75" s="428" t="s">
        <v>707</v>
      </c>
      <c r="B75" s="429" t="s">
        <v>5624</v>
      </c>
      <c r="C75" s="430" t="s">
        <v>3521</v>
      </c>
      <c r="D75" s="1349" t="s">
        <v>1873</v>
      </c>
      <c r="E75" s="1350" t="s">
        <v>2778</v>
      </c>
      <c r="F75" s="1350" t="s">
        <v>2779</v>
      </c>
      <c r="G75" s="1351" t="s">
        <v>3739</v>
      </c>
      <c r="H75" s="1342" t="s">
        <v>1327</v>
      </c>
      <c r="I75" s="432" t="s">
        <v>1545</v>
      </c>
      <c r="J75" s="431" t="s">
        <v>1880</v>
      </c>
      <c r="K75" s="431" t="s">
        <v>3523</v>
      </c>
      <c r="L75" s="431" t="s">
        <v>1562</v>
      </c>
      <c r="M75" s="433"/>
      <c r="N75" s="434" t="s">
        <v>1303</v>
      </c>
      <c r="O75" s="1743" t="str">
        <f>VLOOKUP(B75,code_famille_scénario,2)&amp;VLOOKUP(C75,code_actif,2)&amp;", par "&amp;VLOOKUP(N75,code_acteur,2)&amp;", "&amp;VLOOKUP(L75,code_acces,2)&amp;", "&amp;VLOOKUP(K75,code_temps,2)</f>
        <v>Effacement par erreur de fichiers bureautiques personnels , par un utilisateur non autorisé, se connectant directement au poste de travail, en l'absence de l'utilisateur</v>
      </c>
      <c r="P75" s="435">
        <v>1</v>
      </c>
      <c r="Q75" s="1595" t="s">
        <v>6403</v>
      </c>
      <c r="R75" s="1595" t="s">
        <v>1873</v>
      </c>
      <c r="S75" s="1595" t="str">
        <f>Classif!C6</f>
        <v/>
      </c>
      <c r="T75" s="1595">
        <f t="shared" si="41"/>
        <v>3</v>
      </c>
      <c r="U75" s="1744" t="str">
        <f t="shared" si="42"/>
        <v/>
      </c>
      <c r="V75" s="1745">
        <v>1</v>
      </c>
      <c r="W75" s="1745">
        <f>S11B01</f>
        <v>1</v>
      </c>
      <c r="X75" s="1745">
        <v>1</v>
      </c>
      <c r="Y75" s="1745">
        <f t="shared" si="43"/>
        <v>1</v>
      </c>
      <c r="Z75" s="1746">
        <v>0</v>
      </c>
      <c r="AA75" s="1747"/>
      <c r="AB75" s="1748"/>
      <c r="AC75" s="1748"/>
      <c r="AD75" s="1595" t="str">
        <f t="shared" si="44"/>
        <v/>
      </c>
      <c r="AE75" s="1595">
        <f t="shared" si="45"/>
        <v>3</v>
      </c>
      <c r="AF75" s="1595" t="str">
        <f t="shared" si="46"/>
        <v/>
      </c>
      <c r="AG75" s="1748"/>
      <c r="AH75" s="1749" t="str">
        <f t="shared" si="47"/>
        <v/>
      </c>
      <c r="AI75" s="1615"/>
      <c r="AJ75" s="1621" t="s">
        <v>4148</v>
      </c>
      <c r="AK75" s="1618"/>
      <c r="AL75" s="1619" t="s">
        <v>5949</v>
      </c>
      <c r="AM75" s="247" t="str">
        <f t="shared" si="35"/>
        <v/>
      </c>
      <c r="AN75" s="247" t="str">
        <f t="shared" si="36"/>
        <v/>
      </c>
      <c r="AO75" s="247" t="str">
        <f t="shared" si="37"/>
        <v/>
      </c>
      <c r="AP75" s="247" t="str">
        <f t="shared" si="38"/>
        <v/>
      </c>
      <c r="AQ75" s="42">
        <f t="shared" si="48"/>
        <v>1</v>
      </c>
      <c r="AR75" s="42">
        <f t="shared" si="49"/>
        <v>1</v>
      </c>
      <c r="AS75" s="42">
        <f t="shared" si="50"/>
        <v>1</v>
      </c>
      <c r="AT75" s="42">
        <f t="shared" si="51"/>
        <v>1</v>
      </c>
      <c r="AU75" s="247" t="str">
        <f t="shared" si="39"/>
        <v/>
      </c>
      <c r="AV75" s="247" t="str">
        <f t="shared" si="40"/>
        <v/>
      </c>
    </row>
    <row r="76" spans="1:48" ht="36" x14ac:dyDescent="0.2">
      <c r="A76" s="428" t="s">
        <v>708</v>
      </c>
      <c r="B76" s="429" t="s">
        <v>5622</v>
      </c>
      <c r="C76" s="430" t="s">
        <v>3521</v>
      </c>
      <c r="D76" s="1349" t="s">
        <v>1873</v>
      </c>
      <c r="E76" s="1350" t="s">
        <v>2778</v>
      </c>
      <c r="F76" s="1350" t="s">
        <v>2779</v>
      </c>
      <c r="G76" s="1351" t="s">
        <v>3739</v>
      </c>
      <c r="H76" s="1342" t="s">
        <v>1328</v>
      </c>
      <c r="I76" s="432" t="s">
        <v>1546</v>
      </c>
      <c r="J76" s="431" t="s">
        <v>3522</v>
      </c>
      <c r="K76" s="431" t="s">
        <v>3523</v>
      </c>
      <c r="L76" s="431" t="s">
        <v>1562</v>
      </c>
      <c r="M76" s="433"/>
      <c r="N76" s="434" t="s">
        <v>1303</v>
      </c>
      <c r="O76" s="1743" t="str">
        <f>VLOOKUP(B76,code_famille_scénario,2)&amp;VLOOKUP(C76,code_actif,2)&amp;", par "&amp;VLOOKUP(N76,code_acteur,2)&amp;", "&amp;VLOOKUP(L76,code_acces,2)&amp;", "&amp;VLOOKUP(K76,code_temps,2)</f>
        <v>Effacement malveillant de fichiers bureautiques personnels , par un utilisateur non autorisé, se connectant directement au poste de travail, en l'absence de l'utilisateur</v>
      </c>
      <c r="P76" s="435">
        <v>1</v>
      </c>
      <c r="Q76" s="1595" t="s">
        <v>1299</v>
      </c>
      <c r="R76" s="1595" t="s">
        <v>1873</v>
      </c>
      <c r="S76" s="1595" t="str">
        <f>Classif!C6</f>
        <v/>
      </c>
      <c r="T76" s="1595">
        <f t="shared" si="41"/>
        <v>2</v>
      </c>
      <c r="U76" s="1744" t="str">
        <f t="shared" si="42"/>
        <v/>
      </c>
      <c r="V76" s="1745">
        <v>1</v>
      </c>
      <c r="W76" s="1745">
        <f>S11B01</f>
        <v>1</v>
      </c>
      <c r="X76" s="1745">
        <v>1</v>
      </c>
      <c r="Y76" s="1745">
        <f t="shared" si="43"/>
        <v>1</v>
      </c>
      <c r="Z76" s="1746">
        <v>0</v>
      </c>
      <c r="AA76" s="1747"/>
      <c r="AB76" s="1748"/>
      <c r="AC76" s="1748"/>
      <c r="AD76" s="1595" t="str">
        <f t="shared" si="44"/>
        <v/>
      </c>
      <c r="AE76" s="1595">
        <f t="shared" si="45"/>
        <v>2</v>
      </c>
      <c r="AF76" s="1595" t="str">
        <f t="shared" si="46"/>
        <v/>
      </c>
      <c r="AG76" s="1748"/>
      <c r="AH76" s="1749" t="str">
        <f t="shared" si="47"/>
        <v/>
      </c>
      <c r="AI76" s="1615"/>
      <c r="AJ76" s="1621" t="s">
        <v>4148</v>
      </c>
      <c r="AK76" s="1618"/>
      <c r="AL76" s="1619" t="s">
        <v>5949</v>
      </c>
      <c r="AM76" s="247" t="str">
        <f t="shared" si="35"/>
        <v/>
      </c>
      <c r="AN76" s="247" t="str">
        <f t="shared" si="36"/>
        <v/>
      </c>
      <c r="AO76" s="247" t="str">
        <f t="shared" si="37"/>
        <v/>
      </c>
      <c r="AP76" s="247" t="str">
        <f t="shared" si="38"/>
        <v/>
      </c>
      <c r="AQ76" s="42">
        <f t="shared" si="48"/>
        <v>1</v>
      </c>
      <c r="AR76" s="42">
        <f t="shared" si="49"/>
        <v>1</v>
      </c>
      <c r="AS76" s="42">
        <f t="shared" si="50"/>
        <v>1</v>
      </c>
      <c r="AT76" s="42">
        <f t="shared" si="51"/>
        <v>1</v>
      </c>
      <c r="AU76" s="247" t="str">
        <f t="shared" si="39"/>
        <v/>
      </c>
      <c r="AV76" s="247" t="str">
        <f t="shared" si="40"/>
        <v/>
      </c>
    </row>
    <row r="77" spans="1:48" ht="36" x14ac:dyDescent="0.2">
      <c r="A77" s="428" t="s">
        <v>709</v>
      </c>
      <c r="B77" s="429" t="s">
        <v>5622</v>
      </c>
      <c r="C77" s="430" t="s">
        <v>3521</v>
      </c>
      <c r="D77" s="1349" t="s">
        <v>1873</v>
      </c>
      <c r="E77" s="1350" t="s">
        <v>2778</v>
      </c>
      <c r="F77" s="1350" t="s">
        <v>2779</v>
      </c>
      <c r="G77" s="1351" t="s">
        <v>3739</v>
      </c>
      <c r="H77" s="1342" t="s">
        <v>1328</v>
      </c>
      <c r="I77" s="432" t="s">
        <v>1546</v>
      </c>
      <c r="J77" s="431" t="s">
        <v>3522</v>
      </c>
      <c r="K77" s="431" t="s">
        <v>3524</v>
      </c>
      <c r="L77" s="431" t="s">
        <v>1562</v>
      </c>
      <c r="M77" s="433"/>
      <c r="N77" s="434" t="s">
        <v>1303</v>
      </c>
      <c r="O77" s="1743" t="str">
        <f>VLOOKUP(B77,code_famille_scénario,2)&amp;VLOOKUP(C77,code_actif,2)&amp;", par "&amp;VLOOKUP(N77,code_acteur,2)&amp;", "&amp;VLOOKUP(L77,code_acces,2)&amp;", "&amp;VLOOKUP(K77,code_temps,2)</f>
        <v>Effacement malveillant de fichiers bureautiques personnels , par un utilisateur non autorisé, se connectant directement au poste de travail, en dehors des heures ouvrables</v>
      </c>
      <c r="P77" s="435">
        <v>1</v>
      </c>
      <c r="Q77" s="1595" t="s">
        <v>1299</v>
      </c>
      <c r="R77" s="1595" t="s">
        <v>1873</v>
      </c>
      <c r="S77" s="1595" t="str">
        <f>Classif!C6</f>
        <v/>
      </c>
      <c r="T77" s="1595">
        <f t="shared" si="41"/>
        <v>2</v>
      </c>
      <c r="U77" s="1744" t="str">
        <f t="shared" si="42"/>
        <v/>
      </c>
      <c r="V77" s="1745">
        <v>1</v>
      </c>
      <c r="W77" s="1745">
        <f>S11B01</f>
        <v>1</v>
      </c>
      <c r="X77" s="1745">
        <v>1</v>
      </c>
      <c r="Y77" s="1745">
        <f t="shared" si="43"/>
        <v>1</v>
      </c>
      <c r="Z77" s="1746">
        <v>0</v>
      </c>
      <c r="AA77" s="1747"/>
      <c r="AB77" s="1748"/>
      <c r="AC77" s="1748"/>
      <c r="AD77" s="1595" t="str">
        <f t="shared" si="44"/>
        <v/>
      </c>
      <c r="AE77" s="1595">
        <f t="shared" si="45"/>
        <v>2</v>
      </c>
      <c r="AF77" s="1595" t="str">
        <f t="shared" si="46"/>
        <v/>
      </c>
      <c r="AG77" s="1748"/>
      <c r="AH77" s="1749" t="str">
        <f t="shared" si="47"/>
        <v/>
      </c>
      <c r="AI77" s="1615"/>
      <c r="AJ77" s="1621" t="s">
        <v>4148</v>
      </c>
      <c r="AK77" s="1618"/>
      <c r="AL77" s="1619" t="s">
        <v>5949</v>
      </c>
      <c r="AM77" s="247" t="str">
        <f t="shared" si="35"/>
        <v/>
      </c>
      <c r="AN77" s="247" t="str">
        <f t="shared" si="36"/>
        <v/>
      </c>
      <c r="AO77" s="247" t="str">
        <f t="shared" si="37"/>
        <v/>
      </c>
      <c r="AP77" s="247" t="str">
        <f t="shared" si="38"/>
        <v/>
      </c>
      <c r="AQ77" s="42">
        <f t="shared" si="48"/>
        <v>1</v>
      </c>
      <c r="AR77" s="42">
        <f t="shared" si="49"/>
        <v>1</v>
      </c>
      <c r="AS77" s="42">
        <f t="shared" si="50"/>
        <v>1</v>
      </c>
      <c r="AT77" s="42">
        <f t="shared" si="51"/>
        <v>1</v>
      </c>
      <c r="AU77" s="247" t="str">
        <f t="shared" si="39"/>
        <v/>
      </c>
      <c r="AV77" s="247" t="str">
        <f t="shared" si="40"/>
        <v/>
      </c>
    </row>
    <row r="78" spans="1:48" ht="24" x14ac:dyDescent="0.2">
      <c r="A78" s="428" t="s">
        <v>710</v>
      </c>
      <c r="B78" s="429" t="s">
        <v>5622</v>
      </c>
      <c r="C78" s="430" t="s">
        <v>3521</v>
      </c>
      <c r="D78" s="1349" t="s">
        <v>1873</v>
      </c>
      <c r="E78" s="1350" t="s">
        <v>2778</v>
      </c>
      <c r="F78" s="1350" t="s">
        <v>2779</v>
      </c>
      <c r="G78" s="1351" t="s">
        <v>3739</v>
      </c>
      <c r="H78" s="1342" t="s">
        <v>1328</v>
      </c>
      <c r="I78" s="432" t="s">
        <v>1546</v>
      </c>
      <c r="J78" s="431" t="s">
        <v>3522</v>
      </c>
      <c r="K78" s="431"/>
      <c r="L78" s="431" t="s">
        <v>6541</v>
      </c>
      <c r="M78" s="433"/>
      <c r="N78" s="434" t="s">
        <v>6403</v>
      </c>
      <c r="O78" s="1743" t="str">
        <f>VLOOKUP(B78,code_famille_scénario,2)&amp;VLOOKUP(C78,code_actif,2)&amp;", par "&amp;VLOOKUP(N78,code_acteur,2)&amp;", "&amp;VLOOKUP(L78,code_acces,2)</f>
        <v>Effacement malveillant de fichiers bureautiques personnels , par un membre du personnel d'exploitation, se connectant depuis le réseau interne</v>
      </c>
      <c r="P78" s="435">
        <v>1</v>
      </c>
      <c r="Q78" s="1595" t="s">
        <v>1299</v>
      </c>
      <c r="R78" s="1595" t="s">
        <v>1873</v>
      </c>
      <c r="S78" s="1595" t="str">
        <f>Classif!C6</f>
        <v/>
      </c>
      <c r="T78" s="1595">
        <f t="shared" si="41"/>
        <v>2</v>
      </c>
      <c r="U78" s="1744" t="str">
        <f t="shared" si="42"/>
        <v/>
      </c>
      <c r="V78" s="1745">
        <f>MIN(S08F02,S08F03)</f>
        <v>1</v>
      </c>
      <c r="W78" s="1745">
        <v>1</v>
      </c>
      <c r="X78" s="1745">
        <v>1</v>
      </c>
      <c r="Y78" s="1745">
        <f t="shared" si="43"/>
        <v>1</v>
      </c>
      <c r="Z78" s="1746">
        <v>0</v>
      </c>
      <c r="AA78" s="1747"/>
      <c r="AB78" s="1748"/>
      <c r="AC78" s="1748"/>
      <c r="AD78" s="1595" t="str">
        <f t="shared" si="44"/>
        <v/>
      </c>
      <c r="AE78" s="1595">
        <f t="shared" si="45"/>
        <v>2</v>
      </c>
      <c r="AF78" s="1595" t="str">
        <f t="shared" si="46"/>
        <v/>
      </c>
      <c r="AG78" s="1748"/>
      <c r="AH78" s="1749" t="str">
        <f t="shared" si="47"/>
        <v/>
      </c>
      <c r="AI78" s="1622" t="s">
        <v>6495</v>
      </c>
      <c r="AJ78" s="1621"/>
      <c r="AK78" s="1618"/>
      <c r="AL78" s="1619" t="s">
        <v>5949</v>
      </c>
      <c r="AM78" s="247" t="str">
        <f t="shared" si="35"/>
        <v/>
      </c>
      <c r="AN78" s="247" t="str">
        <f t="shared" si="36"/>
        <v/>
      </c>
      <c r="AO78" s="247" t="str">
        <f t="shared" si="37"/>
        <v/>
      </c>
      <c r="AP78" s="247" t="str">
        <f t="shared" si="38"/>
        <v/>
      </c>
      <c r="AQ78" s="42">
        <f t="shared" si="48"/>
        <v>1</v>
      </c>
      <c r="AR78" s="42">
        <f t="shared" si="49"/>
        <v>1</v>
      </c>
      <c r="AS78" s="42">
        <f t="shared" si="50"/>
        <v>1</v>
      </c>
      <c r="AT78" s="42">
        <f t="shared" si="51"/>
        <v>1</v>
      </c>
      <c r="AU78" s="247" t="str">
        <f t="shared" si="39"/>
        <v/>
      </c>
      <c r="AV78" s="247" t="str">
        <f t="shared" si="40"/>
        <v/>
      </c>
    </row>
    <row r="79" spans="1:48" ht="24" x14ac:dyDescent="0.2">
      <c r="A79" s="428" t="s">
        <v>711</v>
      </c>
      <c r="B79" s="429" t="s">
        <v>5622</v>
      </c>
      <c r="C79" s="430" t="s">
        <v>3521</v>
      </c>
      <c r="D79" s="1349" t="s">
        <v>1873</v>
      </c>
      <c r="E79" s="1350" t="s">
        <v>2778</v>
      </c>
      <c r="F79" s="1350" t="s">
        <v>2779</v>
      </c>
      <c r="G79" s="1351" t="s">
        <v>3739</v>
      </c>
      <c r="H79" s="1342" t="s">
        <v>1328</v>
      </c>
      <c r="I79" s="432" t="s">
        <v>1546</v>
      </c>
      <c r="J79" s="431" t="s">
        <v>3522</v>
      </c>
      <c r="K79" s="431"/>
      <c r="L79" s="431"/>
      <c r="M79" s="433"/>
      <c r="N79" s="434" t="s">
        <v>1299</v>
      </c>
      <c r="O79" s="1743" t="str">
        <f>VLOOKUP(B79,code_famille_scénario,2)&amp;VLOOKUP(C79,code_actif,2)&amp;", par "&amp;VLOOKUP(N79,code_acteur,2)</f>
        <v>Effacement malveillant de fichiers bureautiques personnels , par un membre du personnel de maintenance</v>
      </c>
      <c r="P79" s="435">
        <v>1</v>
      </c>
      <c r="Q79" s="1595" t="s">
        <v>1299</v>
      </c>
      <c r="R79" s="1595" t="s">
        <v>1873</v>
      </c>
      <c r="S79" s="1595" t="str">
        <f>Classif!C6</f>
        <v/>
      </c>
      <c r="T79" s="1595">
        <f t="shared" si="41"/>
        <v>2</v>
      </c>
      <c r="U79" s="1744" t="str">
        <f t="shared" si="42"/>
        <v/>
      </c>
      <c r="V79" s="1745">
        <v>1</v>
      </c>
      <c r="W79" s="1745">
        <v>1</v>
      </c>
      <c r="X79" s="1745">
        <v>1</v>
      </c>
      <c r="Y79" s="1745">
        <f t="shared" si="43"/>
        <v>1</v>
      </c>
      <c r="Z79" s="1746">
        <v>0</v>
      </c>
      <c r="AA79" s="1747"/>
      <c r="AB79" s="1748"/>
      <c r="AC79" s="1748"/>
      <c r="AD79" s="1595" t="str">
        <f t="shared" si="44"/>
        <v/>
      </c>
      <c r="AE79" s="1595">
        <f t="shared" si="45"/>
        <v>2</v>
      </c>
      <c r="AF79" s="1595" t="str">
        <f t="shared" si="46"/>
        <v/>
      </c>
      <c r="AG79" s="1748"/>
      <c r="AH79" s="1749" t="str">
        <f t="shared" si="47"/>
        <v/>
      </c>
      <c r="AI79" s="1615"/>
      <c r="AJ79" s="1616"/>
      <c r="AK79" s="1618"/>
      <c r="AL79" s="1619" t="s">
        <v>5949</v>
      </c>
      <c r="AM79" s="247" t="str">
        <f t="shared" si="35"/>
        <v/>
      </c>
      <c r="AN79" s="247" t="str">
        <f t="shared" si="36"/>
        <v/>
      </c>
      <c r="AO79" s="247" t="str">
        <f t="shared" si="37"/>
        <v/>
      </c>
      <c r="AP79" s="247" t="str">
        <f t="shared" si="38"/>
        <v/>
      </c>
      <c r="AQ79" s="42">
        <f t="shared" si="48"/>
        <v>1</v>
      </c>
      <c r="AR79" s="42">
        <f t="shared" si="49"/>
        <v>1</v>
      </c>
      <c r="AS79" s="42">
        <f t="shared" si="50"/>
        <v>1</v>
      </c>
      <c r="AT79" s="42">
        <f t="shared" si="51"/>
        <v>1</v>
      </c>
      <c r="AU79" s="247" t="str">
        <f t="shared" si="39"/>
        <v/>
      </c>
      <c r="AV79" s="247" t="str">
        <f t="shared" si="40"/>
        <v/>
      </c>
    </row>
    <row r="80" spans="1:48" ht="24" x14ac:dyDescent="0.2">
      <c r="A80" s="428" t="s">
        <v>712</v>
      </c>
      <c r="B80" s="429" t="s">
        <v>4475</v>
      </c>
      <c r="C80" s="430" t="s">
        <v>3521</v>
      </c>
      <c r="D80" s="1349" t="s">
        <v>1873</v>
      </c>
      <c r="E80" s="1350" t="s">
        <v>1874</v>
      </c>
      <c r="F80" s="1350" t="s">
        <v>1875</v>
      </c>
      <c r="G80" s="1351" t="s">
        <v>6070</v>
      </c>
      <c r="H80" s="1342" t="s">
        <v>3919</v>
      </c>
      <c r="I80" s="432" t="s">
        <v>1535</v>
      </c>
      <c r="J80" s="431" t="s">
        <v>3522</v>
      </c>
      <c r="K80" s="431"/>
      <c r="L80" s="431"/>
      <c r="M80" s="433"/>
      <c r="N80" s="434"/>
      <c r="O80" s="1743" t="str">
        <f>VLOOKUP(B80,code_famille_scénario,2)&amp;VLOOKUP(C80,code_actif,2)&amp;", "&amp;VLOOKUP(J80,Code_lieu,2)&amp;", suite "&amp;VLOOKUP(I80,code_event,2)</f>
        <v>Perte, par destruction accidentelle, de media support de fichiers  bureautiques personnels , dans les bureaux, suite à un incendie</v>
      </c>
      <c r="P80" s="435">
        <v>1</v>
      </c>
      <c r="Q80" s="1595" t="s">
        <v>1431</v>
      </c>
      <c r="R80" s="1595" t="s">
        <v>1873</v>
      </c>
      <c r="S80" s="1595" t="str">
        <f>Classif!C6</f>
        <v/>
      </c>
      <c r="T80" s="1595">
        <f t="shared" si="41"/>
        <v>2</v>
      </c>
      <c r="U80" s="1744" t="str">
        <f t="shared" si="42"/>
        <v/>
      </c>
      <c r="V80" s="1745">
        <v>1</v>
      </c>
      <c r="W80" s="1745">
        <v>1</v>
      </c>
      <c r="X80" s="1745">
        <v>1</v>
      </c>
      <c r="Y80" s="1750">
        <f t="shared" si="43"/>
        <v>1</v>
      </c>
      <c r="Z80" s="1746">
        <v>0</v>
      </c>
      <c r="AA80" s="1747"/>
      <c r="AB80" s="1748"/>
      <c r="AC80" s="1748"/>
      <c r="AD80" s="1595" t="str">
        <f t="shared" si="44"/>
        <v/>
      </c>
      <c r="AE80" s="1595">
        <f t="shared" si="45"/>
        <v>2</v>
      </c>
      <c r="AF80" s="1595" t="str">
        <f t="shared" si="46"/>
        <v/>
      </c>
      <c r="AG80" s="1748"/>
      <c r="AH80" s="1749" t="str">
        <f t="shared" si="47"/>
        <v/>
      </c>
      <c r="AI80" s="1615"/>
      <c r="AJ80" s="1621"/>
      <c r="AK80" s="1618"/>
      <c r="AL80" s="1617" t="s">
        <v>5949</v>
      </c>
      <c r="AM80" s="247" t="str">
        <f t="shared" si="35"/>
        <v/>
      </c>
      <c r="AN80" s="247" t="str">
        <f t="shared" si="36"/>
        <v/>
      </c>
      <c r="AO80" s="247" t="str">
        <f t="shared" si="37"/>
        <v/>
      </c>
      <c r="AP80" s="247" t="str">
        <f t="shared" si="38"/>
        <v/>
      </c>
      <c r="AQ80" s="42">
        <f t="shared" si="48"/>
        <v>1</v>
      </c>
      <c r="AR80" s="42">
        <f t="shared" si="49"/>
        <v>1</v>
      </c>
      <c r="AS80" s="42">
        <f t="shared" si="50"/>
        <v>1</v>
      </c>
      <c r="AT80" s="42">
        <f t="shared" si="51"/>
        <v>1</v>
      </c>
      <c r="AU80" s="247" t="str">
        <f t="shared" si="39"/>
        <v/>
      </c>
      <c r="AV80" s="247" t="str">
        <f t="shared" si="40"/>
        <v/>
      </c>
    </row>
    <row r="81" spans="1:48" ht="24" x14ac:dyDescent="0.2">
      <c r="A81" s="428" t="s">
        <v>713</v>
      </c>
      <c r="B81" s="429" t="s">
        <v>4475</v>
      </c>
      <c r="C81" s="430" t="s">
        <v>3521</v>
      </c>
      <c r="D81" s="1349" t="s">
        <v>1873</v>
      </c>
      <c r="E81" s="1350" t="s">
        <v>1874</v>
      </c>
      <c r="F81" s="1350" t="s">
        <v>1875</v>
      </c>
      <c r="G81" s="1351" t="s">
        <v>6070</v>
      </c>
      <c r="H81" s="1342" t="s">
        <v>3919</v>
      </c>
      <c r="I81" s="432" t="s">
        <v>1536</v>
      </c>
      <c r="J81" s="431" t="s">
        <v>3522</v>
      </c>
      <c r="K81" s="431"/>
      <c r="L81" s="431"/>
      <c r="M81" s="433"/>
      <c r="N81" s="434"/>
      <c r="O81" s="1743" t="str">
        <f>VLOOKUP(B81,code_famille_scénario,2)&amp;VLOOKUP(C81,code_actif,2)&amp;", "&amp;VLOOKUP(J81,Code_lieu,2)&amp;", suite "&amp;VLOOKUP(I81,code_event,2)</f>
        <v>Perte, par destruction accidentelle, de media support de fichiers  bureautiques personnels , dans les bureaux, suite à une inondation</v>
      </c>
      <c r="P81" s="435">
        <v>1</v>
      </c>
      <c r="Q81" s="1595" t="s">
        <v>1431</v>
      </c>
      <c r="R81" s="1595" t="s">
        <v>1873</v>
      </c>
      <c r="S81" s="1595" t="str">
        <f>Classif!C6</f>
        <v/>
      </c>
      <c r="T81" s="1595">
        <f t="shared" si="41"/>
        <v>2</v>
      </c>
      <c r="U81" s="1744" t="str">
        <f t="shared" si="42"/>
        <v/>
      </c>
      <c r="V81" s="1745">
        <v>1</v>
      </c>
      <c r="W81" s="1745">
        <v>1</v>
      </c>
      <c r="X81" s="1745">
        <v>1</v>
      </c>
      <c r="Y81" s="1750">
        <f t="shared" si="43"/>
        <v>1</v>
      </c>
      <c r="Z81" s="1746">
        <v>0</v>
      </c>
      <c r="AA81" s="1747"/>
      <c r="AB81" s="1748"/>
      <c r="AC81" s="1748"/>
      <c r="AD81" s="1595" t="str">
        <f t="shared" si="44"/>
        <v/>
      </c>
      <c r="AE81" s="1595">
        <f t="shared" si="45"/>
        <v>2</v>
      </c>
      <c r="AF81" s="1595" t="str">
        <f t="shared" si="46"/>
        <v/>
      </c>
      <c r="AG81" s="1748"/>
      <c r="AH81" s="1749" t="str">
        <f t="shared" si="47"/>
        <v/>
      </c>
      <c r="AI81" s="1615"/>
      <c r="AJ81" s="1621"/>
      <c r="AK81" s="1618"/>
      <c r="AL81" s="1617" t="s">
        <v>5949</v>
      </c>
      <c r="AM81" s="247" t="str">
        <f t="shared" si="35"/>
        <v/>
      </c>
      <c r="AN81" s="247" t="str">
        <f t="shared" si="36"/>
        <v/>
      </c>
      <c r="AO81" s="247" t="str">
        <f t="shared" si="37"/>
        <v/>
      </c>
      <c r="AP81" s="247" t="str">
        <f t="shared" si="38"/>
        <v/>
      </c>
      <c r="AQ81" s="42">
        <f t="shared" si="48"/>
        <v>1</v>
      </c>
      <c r="AR81" s="42">
        <f t="shared" si="49"/>
        <v>1</v>
      </c>
      <c r="AS81" s="42">
        <f t="shared" si="50"/>
        <v>1</v>
      </c>
      <c r="AT81" s="42">
        <f t="shared" si="51"/>
        <v>1</v>
      </c>
      <c r="AU81" s="247" t="str">
        <f t="shared" si="39"/>
        <v/>
      </c>
      <c r="AV81" s="247" t="str">
        <f t="shared" si="40"/>
        <v/>
      </c>
    </row>
    <row r="82" spans="1:48" ht="24" x14ac:dyDescent="0.2">
      <c r="A82" s="428" t="s">
        <v>714</v>
      </c>
      <c r="B82" s="429" t="s">
        <v>4478</v>
      </c>
      <c r="C82" s="430" t="s">
        <v>3521</v>
      </c>
      <c r="D82" s="1349" t="s">
        <v>1873</v>
      </c>
      <c r="E82" s="1350" t="s">
        <v>1874</v>
      </c>
      <c r="F82" s="1350" t="s">
        <v>4498</v>
      </c>
      <c r="G82" s="1351" t="s">
        <v>6071</v>
      </c>
      <c r="H82" s="1342" t="s">
        <v>1327</v>
      </c>
      <c r="I82" s="432" t="s">
        <v>2506</v>
      </c>
      <c r="J82" s="431" t="s">
        <v>3522</v>
      </c>
      <c r="K82" s="431"/>
      <c r="L82" s="431"/>
      <c r="M82" s="433"/>
      <c r="N82" s="434"/>
      <c r="O82" s="1743" t="str">
        <f>VLOOKUP(B82,code_famille_scénario,2)&amp;VLOOKUP(C82,code_actif,2)&amp;", "&amp;VLOOKUP(J82,Code_lieu,2)</f>
        <v>Perte, par disparition accidentelle, de media support de fichiers  bureautiques personnels , dans les bureaux</v>
      </c>
      <c r="P82" s="435">
        <v>1</v>
      </c>
      <c r="Q82" s="1595" t="s">
        <v>1431</v>
      </c>
      <c r="R82" s="1595" t="s">
        <v>1873</v>
      </c>
      <c r="S82" s="1595" t="str">
        <f>Classif!C6</f>
        <v/>
      </c>
      <c r="T82" s="1595">
        <f t="shared" si="41"/>
        <v>3</v>
      </c>
      <c r="U82" s="1744" t="str">
        <f t="shared" si="42"/>
        <v/>
      </c>
      <c r="V82" s="1745">
        <v>1</v>
      </c>
      <c r="W82" s="1745">
        <v>1</v>
      </c>
      <c r="X82" s="1745">
        <v>1</v>
      </c>
      <c r="Y82" s="1750">
        <f t="shared" si="43"/>
        <v>1</v>
      </c>
      <c r="Z82" s="1746">
        <v>0</v>
      </c>
      <c r="AA82" s="1747"/>
      <c r="AB82" s="1748"/>
      <c r="AC82" s="1748"/>
      <c r="AD82" s="1595" t="str">
        <f t="shared" si="44"/>
        <v/>
      </c>
      <c r="AE82" s="1595">
        <f t="shared" si="45"/>
        <v>3</v>
      </c>
      <c r="AF82" s="1595" t="str">
        <f t="shared" si="46"/>
        <v/>
      </c>
      <c r="AG82" s="1748"/>
      <c r="AH82" s="1749" t="str">
        <f t="shared" si="47"/>
        <v/>
      </c>
      <c r="AI82" s="1615"/>
      <c r="AJ82" s="1621"/>
      <c r="AK82" s="1618"/>
      <c r="AL82" s="1617" t="s">
        <v>5949</v>
      </c>
      <c r="AM82" s="247" t="str">
        <f t="shared" si="35"/>
        <v/>
      </c>
      <c r="AN82" s="247" t="str">
        <f t="shared" si="36"/>
        <v/>
      </c>
      <c r="AO82" s="247" t="str">
        <f t="shared" si="37"/>
        <v/>
      </c>
      <c r="AP82" s="247" t="str">
        <f t="shared" si="38"/>
        <v/>
      </c>
      <c r="AQ82" s="42">
        <f t="shared" si="48"/>
        <v>1</v>
      </c>
      <c r="AR82" s="42">
        <f t="shared" si="49"/>
        <v>1</v>
      </c>
      <c r="AS82" s="42">
        <f t="shared" si="50"/>
        <v>1</v>
      </c>
      <c r="AT82" s="42">
        <f t="shared" si="51"/>
        <v>1</v>
      </c>
      <c r="AU82" s="247" t="str">
        <f t="shared" si="39"/>
        <v/>
      </c>
      <c r="AV82" s="247" t="str">
        <f t="shared" si="40"/>
        <v/>
      </c>
    </row>
    <row r="83" spans="1:48" ht="24" x14ac:dyDescent="0.2">
      <c r="A83" s="428" t="s">
        <v>715</v>
      </c>
      <c r="B83" s="429" t="s">
        <v>4478</v>
      </c>
      <c r="C83" s="430" t="s">
        <v>3521</v>
      </c>
      <c r="D83" s="1349" t="s">
        <v>1873</v>
      </c>
      <c r="E83" s="1350" t="s">
        <v>1874</v>
      </c>
      <c r="F83" s="1350" t="s">
        <v>4498</v>
      </c>
      <c r="G83" s="1351" t="s">
        <v>6071</v>
      </c>
      <c r="H83" s="1342" t="s">
        <v>1327</v>
      </c>
      <c r="I83" s="432" t="s">
        <v>2506</v>
      </c>
      <c r="J83" s="431" t="s">
        <v>3525</v>
      </c>
      <c r="K83" s="431"/>
      <c r="L83" s="431"/>
      <c r="M83" s="433"/>
      <c r="N83" s="434"/>
      <c r="O83" s="1743" t="str">
        <f>VLOOKUP(B83,code_famille_scénario,2)&amp;VLOOKUP(C83,code_actif,2)&amp;", "&amp;VLOOKUP(J83,Code_lieu,2)</f>
        <v>Perte, par disparition accidentelle, de media support de fichiers  bureautiques personnels , en dehors de l'entreprise</v>
      </c>
      <c r="P83" s="435">
        <v>1</v>
      </c>
      <c r="Q83" s="1595" t="s">
        <v>1431</v>
      </c>
      <c r="R83" s="1595" t="s">
        <v>1873</v>
      </c>
      <c r="S83" s="1595" t="str">
        <f>Classif!C6</f>
        <v/>
      </c>
      <c r="T83" s="1595">
        <f t="shared" si="41"/>
        <v>3</v>
      </c>
      <c r="U83" s="1744" t="str">
        <f t="shared" si="42"/>
        <v/>
      </c>
      <c r="V83" s="1745">
        <v>1</v>
      </c>
      <c r="W83" s="1745">
        <v>1</v>
      </c>
      <c r="X83" s="1745">
        <v>1</v>
      </c>
      <c r="Y83" s="1750">
        <f t="shared" si="43"/>
        <v>1</v>
      </c>
      <c r="Z83" s="1746">
        <v>0</v>
      </c>
      <c r="AA83" s="1747"/>
      <c r="AB83" s="1748"/>
      <c r="AC83" s="1748"/>
      <c r="AD83" s="1595" t="str">
        <f t="shared" si="44"/>
        <v/>
      </c>
      <c r="AE83" s="1595">
        <f t="shared" si="45"/>
        <v>3</v>
      </c>
      <c r="AF83" s="1595" t="str">
        <f t="shared" si="46"/>
        <v/>
      </c>
      <c r="AG83" s="1748"/>
      <c r="AH83" s="1749" t="str">
        <f t="shared" si="47"/>
        <v/>
      </c>
      <c r="AI83" s="1615"/>
      <c r="AJ83" s="1621"/>
      <c r="AK83" s="1618"/>
      <c r="AL83" s="1617" t="s">
        <v>5949</v>
      </c>
      <c r="AM83" s="247" t="str">
        <f t="shared" si="35"/>
        <v/>
      </c>
      <c r="AN83" s="247" t="str">
        <f t="shared" si="36"/>
        <v/>
      </c>
      <c r="AO83" s="247" t="str">
        <f t="shared" si="37"/>
        <v/>
      </c>
      <c r="AP83" s="247" t="str">
        <f t="shared" si="38"/>
        <v/>
      </c>
      <c r="AQ83" s="42">
        <f t="shared" si="48"/>
        <v>1</v>
      </c>
      <c r="AR83" s="42">
        <f t="shared" si="49"/>
        <v>1</v>
      </c>
      <c r="AS83" s="42">
        <f t="shared" si="50"/>
        <v>1</v>
      </c>
      <c r="AT83" s="42">
        <f t="shared" si="51"/>
        <v>1</v>
      </c>
      <c r="AU83" s="247" t="str">
        <f t="shared" si="39"/>
        <v/>
      </c>
      <c r="AV83" s="247" t="str">
        <f t="shared" si="40"/>
        <v/>
      </c>
    </row>
    <row r="84" spans="1:48" ht="24" x14ac:dyDescent="0.2">
      <c r="A84" s="428" t="s">
        <v>716</v>
      </c>
      <c r="B84" s="429" t="s">
        <v>1864</v>
      </c>
      <c r="C84" s="430" t="s">
        <v>3521</v>
      </c>
      <c r="D84" s="1349" t="s">
        <v>1873</v>
      </c>
      <c r="E84" s="1350" t="s">
        <v>844</v>
      </c>
      <c r="F84" s="1350" t="s">
        <v>4498</v>
      </c>
      <c r="G84" s="1351" t="s">
        <v>6071</v>
      </c>
      <c r="H84" s="1342" t="s">
        <v>1329</v>
      </c>
      <c r="I84" s="432" t="s">
        <v>1305</v>
      </c>
      <c r="J84" s="431" t="s">
        <v>3522</v>
      </c>
      <c r="K84" s="431"/>
      <c r="L84" s="431"/>
      <c r="M84" s="433"/>
      <c r="N84" s="434" t="s">
        <v>4814</v>
      </c>
      <c r="O84" s="1743" t="str">
        <f>"Vol de PC portable contenant des fichiers "&amp;VLOOKUP(C84,code_actif,2)&amp;", "&amp;VLOOKUP(J84,Code_lieu,2)&amp;", par "&amp;VLOOKUP(N84,code_acteur,2)</f>
        <v>Vol de PC portable contenant des fichiers  bureautiques personnels , dans les bureaux, par un membre du personnel de l'entreprise</v>
      </c>
      <c r="P84" s="435">
        <v>1</v>
      </c>
      <c r="Q84" s="1595" t="s">
        <v>1299</v>
      </c>
      <c r="R84" s="1595" t="s">
        <v>1873</v>
      </c>
      <c r="S84" s="1595" t="str">
        <f>Classif!C6</f>
        <v/>
      </c>
      <c r="T84" s="1595">
        <f t="shared" si="41"/>
        <v>2</v>
      </c>
      <c r="U84" s="1744" t="str">
        <f t="shared" si="42"/>
        <v/>
      </c>
      <c r="V84" s="1745">
        <f>S02C05</f>
        <v>1</v>
      </c>
      <c r="W84" s="1745">
        <f>S02D02</f>
        <v>1</v>
      </c>
      <c r="X84" s="1745">
        <v>1</v>
      </c>
      <c r="Y84" s="1745">
        <f t="shared" si="43"/>
        <v>1</v>
      </c>
      <c r="Z84" s="1746">
        <v>0</v>
      </c>
      <c r="AA84" s="1747"/>
      <c r="AB84" s="1748"/>
      <c r="AC84" s="1748"/>
      <c r="AD84" s="1595" t="str">
        <f t="shared" si="44"/>
        <v/>
      </c>
      <c r="AE84" s="1595">
        <f t="shared" si="45"/>
        <v>2</v>
      </c>
      <c r="AF84" s="1595" t="str">
        <f t="shared" si="46"/>
        <v/>
      </c>
      <c r="AG84" s="1748"/>
      <c r="AH84" s="1749" t="str">
        <f t="shared" si="47"/>
        <v/>
      </c>
      <c r="AI84" s="1620" t="s">
        <v>3120</v>
      </c>
      <c r="AJ84" s="1616" t="s">
        <v>3122</v>
      </c>
      <c r="AK84" s="1618"/>
      <c r="AL84" s="1619" t="s">
        <v>5949</v>
      </c>
      <c r="AM84" s="247" t="str">
        <f t="shared" si="35"/>
        <v/>
      </c>
      <c r="AN84" s="247" t="str">
        <f t="shared" si="36"/>
        <v/>
      </c>
      <c r="AO84" s="247" t="str">
        <f t="shared" si="37"/>
        <v/>
      </c>
      <c r="AP84" s="247" t="str">
        <f t="shared" si="38"/>
        <v/>
      </c>
      <c r="AQ84" s="42">
        <f t="shared" si="48"/>
        <v>1</v>
      </c>
      <c r="AR84" s="42">
        <f t="shared" si="49"/>
        <v>1</v>
      </c>
      <c r="AS84" s="42">
        <f t="shared" si="50"/>
        <v>1</v>
      </c>
      <c r="AT84" s="42">
        <f t="shared" si="51"/>
        <v>1</v>
      </c>
      <c r="AU84" s="247" t="str">
        <f t="shared" si="39"/>
        <v/>
      </c>
      <c r="AV84" s="247" t="str">
        <f t="shared" si="40"/>
        <v/>
      </c>
    </row>
    <row r="85" spans="1:48" ht="24" x14ac:dyDescent="0.2">
      <c r="A85" s="428" t="s">
        <v>717</v>
      </c>
      <c r="B85" s="429" t="s">
        <v>1864</v>
      </c>
      <c r="C85" s="436" t="s">
        <v>3521</v>
      </c>
      <c r="D85" s="1349" t="s">
        <v>1873</v>
      </c>
      <c r="E85" s="1350" t="s">
        <v>844</v>
      </c>
      <c r="F85" s="1350" t="s">
        <v>4498</v>
      </c>
      <c r="G85" s="1351" t="s">
        <v>6071</v>
      </c>
      <c r="H85" s="1297" t="s">
        <v>1329</v>
      </c>
      <c r="I85" s="437" t="s">
        <v>1305</v>
      </c>
      <c r="J85" s="431" t="s">
        <v>3522</v>
      </c>
      <c r="K85" s="431"/>
      <c r="L85" s="431"/>
      <c r="M85" s="433"/>
      <c r="N85" s="434" t="s">
        <v>2218</v>
      </c>
      <c r="O85" s="1743" t="str">
        <f>"Vol de PC portable contenant des fichiers "&amp;VLOOKUP(C85,code_actif,2)&amp;", "&amp;VLOOKUP(J85,Code_lieu,2)&amp;", par "&amp;VLOOKUP(N85,code_acteur,2)</f>
        <v>Vol de PC portable contenant des fichiers  bureautiques personnels , dans les bureaux, par un membre du personnel de service</v>
      </c>
      <c r="P85" s="435">
        <v>1</v>
      </c>
      <c r="Q85" s="1595" t="s">
        <v>1299</v>
      </c>
      <c r="R85" s="1595" t="s">
        <v>1873</v>
      </c>
      <c r="S85" s="1595" t="str">
        <f>Classif!C6</f>
        <v/>
      </c>
      <c r="T85" s="1595">
        <f t="shared" si="41"/>
        <v>2</v>
      </c>
      <c r="U85" s="1744" t="str">
        <f t="shared" si="42"/>
        <v/>
      </c>
      <c r="V85" s="1745">
        <f>S02C05</f>
        <v>1</v>
      </c>
      <c r="W85" s="1745">
        <f>S02D02</f>
        <v>1</v>
      </c>
      <c r="X85" s="1745">
        <v>1</v>
      </c>
      <c r="Y85" s="1745">
        <f t="shared" si="43"/>
        <v>1</v>
      </c>
      <c r="Z85" s="1746">
        <v>0</v>
      </c>
      <c r="AA85" s="1747"/>
      <c r="AB85" s="1748"/>
      <c r="AC85" s="1748"/>
      <c r="AD85" s="1595" t="str">
        <f t="shared" si="44"/>
        <v/>
      </c>
      <c r="AE85" s="1595">
        <f t="shared" si="45"/>
        <v>2</v>
      </c>
      <c r="AF85" s="1595" t="str">
        <f t="shared" si="46"/>
        <v/>
      </c>
      <c r="AG85" s="1748"/>
      <c r="AH85" s="1749" t="str">
        <f t="shared" si="47"/>
        <v/>
      </c>
      <c r="AI85" s="1620" t="s">
        <v>3120</v>
      </c>
      <c r="AJ85" s="1616" t="s">
        <v>3122</v>
      </c>
      <c r="AK85" s="1618"/>
      <c r="AL85" s="1619" t="s">
        <v>5949</v>
      </c>
      <c r="AM85" s="247" t="str">
        <f t="shared" si="35"/>
        <v/>
      </c>
      <c r="AN85" s="247" t="str">
        <f t="shared" si="36"/>
        <v/>
      </c>
      <c r="AO85" s="247" t="str">
        <f t="shared" si="37"/>
        <v/>
      </c>
      <c r="AP85" s="247" t="str">
        <f t="shared" si="38"/>
        <v/>
      </c>
      <c r="AQ85" s="42">
        <f t="shared" si="48"/>
        <v>1</v>
      </c>
      <c r="AR85" s="42">
        <f t="shared" si="49"/>
        <v>1</v>
      </c>
      <c r="AS85" s="42">
        <f t="shared" si="50"/>
        <v>1</v>
      </c>
      <c r="AT85" s="42">
        <f t="shared" si="51"/>
        <v>1</v>
      </c>
      <c r="AU85" s="247" t="str">
        <f t="shared" si="39"/>
        <v/>
      </c>
      <c r="AV85" s="247" t="str">
        <f t="shared" si="40"/>
        <v/>
      </c>
    </row>
    <row r="86" spans="1:48" ht="24" x14ac:dyDescent="0.2">
      <c r="A86" s="428" t="s">
        <v>718</v>
      </c>
      <c r="B86" s="429" t="s">
        <v>1864</v>
      </c>
      <c r="C86" s="430" t="s">
        <v>3521</v>
      </c>
      <c r="D86" s="1349" t="s">
        <v>1873</v>
      </c>
      <c r="E86" s="1350" t="s">
        <v>844</v>
      </c>
      <c r="F86" s="1350" t="s">
        <v>4498</v>
      </c>
      <c r="G86" s="1351" t="s">
        <v>6071</v>
      </c>
      <c r="H86" s="1342" t="s">
        <v>1329</v>
      </c>
      <c r="I86" s="432" t="s">
        <v>1305</v>
      </c>
      <c r="J86" s="431" t="s">
        <v>3522</v>
      </c>
      <c r="K86" s="431"/>
      <c r="L86" s="431"/>
      <c r="M86" s="433"/>
      <c r="N86" s="434" t="s">
        <v>4815</v>
      </c>
      <c r="O86" s="1743" t="str">
        <f>"Vol de PC portable contenant des fichiers "&amp;VLOOKUP(C86,code_actif,2)&amp;", "&amp;VLOOKUP(J86,Code_lieu,2)&amp;", par "&amp;VLOOKUP(N86,code_acteur,2)</f>
        <v>Vol de PC portable contenant des fichiers  bureautiques personnels , dans les bureaux, par un visiteur</v>
      </c>
      <c r="P86" s="435">
        <v>1</v>
      </c>
      <c r="Q86" s="1595" t="s">
        <v>1299</v>
      </c>
      <c r="R86" s="1595" t="s">
        <v>1873</v>
      </c>
      <c r="S86" s="1595" t="str">
        <f>Classif!C6</f>
        <v/>
      </c>
      <c r="T86" s="1595">
        <f t="shared" si="41"/>
        <v>2</v>
      </c>
      <c r="U86" s="1744" t="str">
        <f t="shared" si="42"/>
        <v/>
      </c>
      <c r="V86" s="1745">
        <f>S02C05</f>
        <v>1</v>
      </c>
      <c r="W86" s="1745">
        <f>MAX(S02C03,S02D02)</f>
        <v>1</v>
      </c>
      <c r="X86" s="1745">
        <v>1</v>
      </c>
      <c r="Y86" s="1745">
        <f t="shared" si="43"/>
        <v>1</v>
      </c>
      <c r="Z86" s="1746">
        <v>0</v>
      </c>
      <c r="AA86" s="1747"/>
      <c r="AB86" s="1748"/>
      <c r="AC86" s="1748"/>
      <c r="AD86" s="1595" t="str">
        <f t="shared" si="44"/>
        <v/>
      </c>
      <c r="AE86" s="1595">
        <f t="shared" si="45"/>
        <v>2</v>
      </c>
      <c r="AF86" s="1595" t="str">
        <f t="shared" si="46"/>
        <v/>
      </c>
      <c r="AG86" s="1748"/>
      <c r="AH86" s="1749" t="str">
        <f t="shared" si="47"/>
        <v/>
      </c>
      <c r="AI86" s="1620" t="s">
        <v>3120</v>
      </c>
      <c r="AJ86" s="1616" t="s">
        <v>5266</v>
      </c>
      <c r="AK86" s="1618"/>
      <c r="AL86" s="1619" t="s">
        <v>5949</v>
      </c>
      <c r="AM86" s="247" t="str">
        <f t="shared" si="35"/>
        <v/>
      </c>
      <c r="AN86" s="247" t="str">
        <f t="shared" si="36"/>
        <v/>
      </c>
      <c r="AO86" s="247" t="str">
        <f t="shared" si="37"/>
        <v/>
      </c>
      <c r="AP86" s="247" t="str">
        <f t="shared" si="38"/>
        <v/>
      </c>
      <c r="AQ86" s="42">
        <f t="shared" si="48"/>
        <v>1</v>
      </c>
      <c r="AR86" s="42">
        <f t="shared" si="49"/>
        <v>1</v>
      </c>
      <c r="AS86" s="42">
        <f t="shared" si="50"/>
        <v>1</v>
      </c>
      <c r="AT86" s="42">
        <f t="shared" si="51"/>
        <v>1</v>
      </c>
      <c r="AU86" s="247" t="str">
        <f t="shared" si="39"/>
        <v/>
      </c>
      <c r="AV86" s="247" t="str">
        <f t="shared" si="40"/>
        <v/>
      </c>
    </row>
    <row r="87" spans="1:48" ht="24" x14ac:dyDescent="0.2">
      <c r="A87" s="428" t="s">
        <v>719</v>
      </c>
      <c r="B87" s="429" t="s">
        <v>1864</v>
      </c>
      <c r="C87" s="430" t="s">
        <v>3521</v>
      </c>
      <c r="D87" s="1349" t="s">
        <v>1873</v>
      </c>
      <c r="E87" s="1350" t="s">
        <v>844</v>
      </c>
      <c r="F87" s="1350" t="s">
        <v>4498</v>
      </c>
      <c r="G87" s="1351" t="s">
        <v>6071</v>
      </c>
      <c r="H87" s="1342" t="s">
        <v>1329</v>
      </c>
      <c r="I87" s="432" t="s">
        <v>1305</v>
      </c>
      <c r="J87" s="431" t="s">
        <v>3525</v>
      </c>
      <c r="K87" s="431"/>
      <c r="L87" s="431"/>
      <c r="M87" s="433"/>
      <c r="N87" s="434"/>
      <c r="O87" s="1743" t="str">
        <f>"Vol de PC portable contenant des fichiers "&amp;VLOOKUP(C87,code_actif,2)&amp;", "&amp;VLOOKUP(J87,Code_lieu,2)</f>
        <v>Vol de PC portable contenant des fichiers  bureautiques personnels , en dehors de l'entreprise</v>
      </c>
      <c r="P87" s="435">
        <v>1</v>
      </c>
      <c r="Q87" s="1595" t="s">
        <v>1299</v>
      </c>
      <c r="R87" s="1595" t="s">
        <v>1873</v>
      </c>
      <c r="S87" s="1595" t="str">
        <f>Classif!C6</f>
        <v/>
      </c>
      <c r="T87" s="1595">
        <f t="shared" si="41"/>
        <v>2</v>
      </c>
      <c r="U87" s="1744" t="str">
        <f t="shared" si="42"/>
        <v/>
      </c>
      <c r="V87" s="1745">
        <v>1</v>
      </c>
      <c r="W87" s="1745">
        <v>1</v>
      </c>
      <c r="X87" s="1745">
        <v>1</v>
      </c>
      <c r="Y87" s="1745">
        <f t="shared" si="43"/>
        <v>1</v>
      </c>
      <c r="Z87" s="1746">
        <v>0</v>
      </c>
      <c r="AA87" s="1747"/>
      <c r="AB87" s="1748"/>
      <c r="AC87" s="1748"/>
      <c r="AD87" s="1595" t="str">
        <f t="shared" si="44"/>
        <v/>
      </c>
      <c r="AE87" s="1595">
        <f t="shared" si="45"/>
        <v>2</v>
      </c>
      <c r="AF87" s="1595" t="str">
        <f t="shared" si="46"/>
        <v/>
      </c>
      <c r="AG87" s="1748"/>
      <c r="AH87" s="1749" t="str">
        <f t="shared" si="47"/>
        <v/>
      </c>
      <c r="AI87" s="1615"/>
      <c r="AJ87" s="1621"/>
      <c r="AK87" s="1618"/>
      <c r="AL87" s="1619" t="s">
        <v>5949</v>
      </c>
      <c r="AM87" s="247" t="str">
        <f t="shared" si="35"/>
        <v/>
      </c>
      <c r="AN87" s="247" t="str">
        <f t="shared" si="36"/>
        <v/>
      </c>
      <c r="AO87" s="247" t="str">
        <f t="shared" si="37"/>
        <v/>
      </c>
      <c r="AP87" s="247" t="str">
        <f t="shared" si="38"/>
        <v/>
      </c>
      <c r="AQ87" s="42">
        <f t="shared" si="48"/>
        <v>1</v>
      </c>
      <c r="AR87" s="42">
        <f t="shared" si="49"/>
        <v>1</v>
      </c>
      <c r="AS87" s="42">
        <f t="shared" si="50"/>
        <v>1</v>
      </c>
      <c r="AT87" s="42">
        <f t="shared" si="51"/>
        <v>1</v>
      </c>
      <c r="AU87" s="247" t="str">
        <f t="shared" si="39"/>
        <v/>
      </c>
      <c r="AV87" s="247" t="str">
        <f t="shared" si="40"/>
        <v/>
      </c>
    </row>
    <row r="88" spans="1:48" ht="24" x14ac:dyDescent="0.2">
      <c r="A88" s="428" t="s">
        <v>720</v>
      </c>
      <c r="B88" s="429" t="s">
        <v>1864</v>
      </c>
      <c r="C88" s="436" t="s">
        <v>3521</v>
      </c>
      <c r="D88" s="1349" t="s">
        <v>1873</v>
      </c>
      <c r="E88" s="1353" t="s">
        <v>1874</v>
      </c>
      <c r="F88" s="1350" t="s">
        <v>4498</v>
      </c>
      <c r="G88" s="1351" t="s">
        <v>6071</v>
      </c>
      <c r="H88" s="1297" t="s">
        <v>1329</v>
      </c>
      <c r="I88" s="437" t="s">
        <v>1305</v>
      </c>
      <c r="J88" s="431" t="s">
        <v>3522</v>
      </c>
      <c r="K88" s="431"/>
      <c r="L88" s="431"/>
      <c r="M88" s="433"/>
      <c r="N88" s="434" t="s">
        <v>4814</v>
      </c>
      <c r="O88" s="1743" t="str">
        <f>VLOOKUP(B88,code_famille_scénario,2)&amp;VLOOKUP(C88,code_actif,2)&amp;", "&amp;VLOOKUP(J88,Code_lieu,2)&amp;", par "&amp;VLOOKUP(N88,code_acteur,2)</f>
        <v>Vol de media support de fichiers  bureautiques personnels , dans les bureaux, par un membre du personnel de l'entreprise</v>
      </c>
      <c r="P88" s="435">
        <v>1</v>
      </c>
      <c r="Q88" s="1595" t="s">
        <v>1299</v>
      </c>
      <c r="R88" s="1595" t="s">
        <v>1873</v>
      </c>
      <c r="S88" s="1595" t="str">
        <f>Classif!C6</f>
        <v/>
      </c>
      <c r="T88" s="1595">
        <f t="shared" si="41"/>
        <v>2</v>
      </c>
      <c r="U88" s="1744" t="str">
        <f t="shared" si="42"/>
        <v/>
      </c>
      <c r="V88" s="1745">
        <f>S02C05</f>
        <v>1</v>
      </c>
      <c r="W88" s="1745">
        <f>S02D02</f>
        <v>1</v>
      </c>
      <c r="X88" s="1745">
        <v>1</v>
      </c>
      <c r="Y88" s="1745">
        <f t="shared" si="43"/>
        <v>1</v>
      </c>
      <c r="Z88" s="1746">
        <v>0</v>
      </c>
      <c r="AA88" s="1747"/>
      <c r="AB88" s="1748"/>
      <c r="AC88" s="1748"/>
      <c r="AD88" s="1595" t="str">
        <f t="shared" si="44"/>
        <v/>
      </c>
      <c r="AE88" s="1595">
        <f t="shared" si="45"/>
        <v>2</v>
      </c>
      <c r="AF88" s="1595" t="str">
        <f t="shared" si="46"/>
        <v/>
      </c>
      <c r="AG88" s="1748"/>
      <c r="AH88" s="1749" t="str">
        <f t="shared" si="47"/>
        <v/>
      </c>
      <c r="AI88" s="1620" t="s">
        <v>3120</v>
      </c>
      <c r="AJ88" s="1616" t="s">
        <v>3122</v>
      </c>
      <c r="AK88" s="1618"/>
      <c r="AL88" s="1619" t="s">
        <v>5949</v>
      </c>
      <c r="AM88" s="247" t="str">
        <f t="shared" si="35"/>
        <v/>
      </c>
      <c r="AN88" s="247" t="str">
        <f t="shared" si="36"/>
        <v/>
      </c>
      <c r="AO88" s="247" t="str">
        <f t="shared" si="37"/>
        <v/>
      </c>
      <c r="AP88" s="247" t="str">
        <f t="shared" si="38"/>
        <v/>
      </c>
      <c r="AQ88" s="42">
        <f t="shared" si="48"/>
        <v>1</v>
      </c>
      <c r="AR88" s="42">
        <f t="shared" si="49"/>
        <v>1</v>
      </c>
      <c r="AS88" s="42">
        <f t="shared" si="50"/>
        <v>1</v>
      </c>
      <c r="AT88" s="42">
        <f t="shared" si="51"/>
        <v>1</v>
      </c>
      <c r="AU88" s="247" t="str">
        <f t="shared" si="39"/>
        <v/>
      </c>
      <c r="AV88" s="247" t="str">
        <f t="shared" si="40"/>
        <v/>
      </c>
    </row>
    <row r="89" spans="1:48" ht="24" x14ac:dyDescent="0.2">
      <c r="A89" s="428" t="s">
        <v>721</v>
      </c>
      <c r="B89" s="429" t="s">
        <v>1864</v>
      </c>
      <c r="C89" s="436" t="s">
        <v>3521</v>
      </c>
      <c r="D89" s="1349" t="s">
        <v>1873</v>
      </c>
      <c r="E89" s="1353" t="s">
        <v>1874</v>
      </c>
      <c r="F89" s="1350" t="s">
        <v>4498</v>
      </c>
      <c r="G89" s="1351" t="s">
        <v>6071</v>
      </c>
      <c r="H89" s="1297" t="s">
        <v>1329</v>
      </c>
      <c r="I89" s="437" t="s">
        <v>1305</v>
      </c>
      <c r="J89" s="431" t="s">
        <v>3522</v>
      </c>
      <c r="K89" s="431"/>
      <c r="L89" s="431"/>
      <c r="M89" s="433"/>
      <c r="N89" s="434" t="s">
        <v>2218</v>
      </c>
      <c r="O89" s="1743" t="str">
        <f>VLOOKUP(B89,code_famille_scénario,2)&amp;VLOOKUP(C89,code_actif,2)&amp;", "&amp;VLOOKUP(J89,Code_lieu,2)&amp;", par "&amp;VLOOKUP(N89,code_acteur,2)</f>
        <v>Vol de media support de fichiers  bureautiques personnels , dans les bureaux, par un membre du personnel de service</v>
      </c>
      <c r="P89" s="435">
        <v>1</v>
      </c>
      <c r="Q89" s="1595" t="s">
        <v>1299</v>
      </c>
      <c r="R89" s="1595" t="s">
        <v>1873</v>
      </c>
      <c r="S89" s="1595" t="str">
        <f>Classif!C6</f>
        <v/>
      </c>
      <c r="T89" s="1595">
        <f t="shared" si="41"/>
        <v>2</v>
      </c>
      <c r="U89" s="1744" t="str">
        <f t="shared" si="42"/>
        <v/>
      </c>
      <c r="V89" s="1745">
        <f>S02C05</f>
        <v>1</v>
      </c>
      <c r="W89" s="1745">
        <f>S02D02</f>
        <v>1</v>
      </c>
      <c r="X89" s="1745">
        <v>1</v>
      </c>
      <c r="Y89" s="1745">
        <f t="shared" si="43"/>
        <v>1</v>
      </c>
      <c r="Z89" s="1746">
        <v>0</v>
      </c>
      <c r="AA89" s="1747"/>
      <c r="AB89" s="1748"/>
      <c r="AC89" s="1748"/>
      <c r="AD89" s="1595" t="str">
        <f t="shared" si="44"/>
        <v/>
      </c>
      <c r="AE89" s="1595">
        <f t="shared" si="45"/>
        <v>2</v>
      </c>
      <c r="AF89" s="1595" t="str">
        <f t="shared" si="46"/>
        <v/>
      </c>
      <c r="AG89" s="1748"/>
      <c r="AH89" s="1749" t="str">
        <f t="shared" si="47"/>
        <v/>
      </c>
      <c r="AI89" s="1620" t="s">
        <v>3120</v>
      </c>
      <c r="AJ89" s="1616" t="s">
        <v>3122</v>
      </c>
      <c r="AK89" s="1618"/>
      <c r="AL89" s="1619" t="s">
        <v>5949</v>
      </c>
      <c r="AM89" s="247" t="str">
        <f t="shared" si="35"/>
        <v/>
      </c>
      <c r="AN89" s="247" t="str">
        <f t="shared" si="36"/>
        <v/>
      </c>
      <c r="AO89" s="247" t="str">
        <f t="shared" si="37"/>
        <v/>
      </c>
      <c r="AP89" s="247" t="str">
        <f t="shared" si="38"/>
        <v/>
      </c>
      <c r="AQ89" s="42">
        <f t="shared" si="48"/>
        <v>1</v>
      </c>
      <c r="AR89" s="42">
        <f t="shared" si="49"/>
        <v>1</v>
      </c>
      <c r="AS89" s="42">
        <f t="shared" si="50"/>
        <v>1</v>
      </c>
      <c r="AT89" s="42">
        <f t="shared" si="51"/>
        <v>1</v>
      </c>
      <c r="AU89" s="247" t="str">
        <f t="shared" si="39"/>
        <v/>
      </c>
      <c r="AV89" s="247" t="str">
        <f t="shared" si="40"/>
        <v/>
      </c>
    </row>
    <row r="90" spans="1:48" ht="24" x14ac:dyDescent="0.2">
      <c r="A90" s="428" t="s">
        <v>722</v>
      </c>
      <c r="B90" s="429" t="s">
        <v>1864</v>
      </c>
      <c r="C90" s="430" t="s">
        <v>3521</v>
      </c>
      <c r="D90" s="1349" t="s">
        <v>1873</v>
      </c>
      <c r="E90" s="1353" t="s">
        <v>1874</v>
      </c>
      <c r="F90" s="1350" t="s">
        <v>4498</v>
      </c>
      <c r="G90" s="1351" t="s">
        <v>6071</v>
      </c>
      <c r="H90" s="1342" t="s">
        <v>1329</v>
      </c>
      <c r="I90" s="432" t="s">
        <v>1305</v>
      </c>
      <c r="J90" s="431" t="s">
        <v>3522</v>
      </c>
      <c r="K90" s="431"/>
      <c r="L90" s="431"/>
      <c r="M90" s="433"/>
      <c r="N90" s="434" t="s">
        <v>4815</v>
      </c>
      <c r="O90" s="1743" t="str">
        <f>VLOOKUP(B90,code_famille_scénario,2)&amp;VLOOKUP(C90,code_actif,2)&amp;", "&amp;VLOOKUP(J90,Code_lieu,2)&amp;", par "&amp;VLOOKUP(N90,code_acteur,2)</f>
        <v>Vol de media support de fichiers  bureautiques personnels , dans les bureaux, par un visiteur</v>
      </c>
      <c r="P90" s="435">
        <v>1</v>
      </c>
      <c r="Q90" s="1595" t="s">
        <v>1299</v>
      </c>
      <c r="R90" s="1595" t="s">
        <v>1873</v>
      </c>
      <c r="S90" s="1595" t="str">
        <f>Classif!C6</f>
        <v/>
      </c>
      <c r="T90" s="1595">
        <f t="shared" si="41"/>
        <v>2</v>
      </c>
      <c r="U90" s="1744" t="str">
        <f t="shared" si="42"/>
        <v/>
      </c>
      <c r="V90" s="1745">
        <f>S02C05</f>
        <v>1</v>
      </c>
      <c r="W90" s="1745">
        <f>MAX(S02C03,S02D02)</f>
        <v>1</v>
      </c>
      <c r="X90" s="1745">
        <v>1</v>
      </c>
      <c r="Y90" s="1745">
        <f t="shared" si="43"/>
        <v>1</v>
      </c>
      <c r="Z90" s="1746">
        <v>0</v>
      </c>
      <c r="AA90" s="1747"/>
      <c r="AB90" s="1748"/>
      <c r="AC90" s="1748"/>
      <c r="AD90" s="1595" t="str">
        <f t="shared" si="44"/>
        <v/>
      </c>
      <c r="AE90" s="1595">
        <f t="shared" si="45"/>
        <v>2</v>
      </c>
      <c r="AF90" s="1595" t="str">
        <f t="shared" si="46"/>
        <v/>
      </c>
      <c r="AG90" s="1748"/>
      <c r="AH90" s="1749" t="str">
        <f t="shared" si="47"/>
        <v/>
      </c>
      <c r="AI90" s="1620" t="s">
        <v>3120</v>
      </c>
      <c r="AJ90" s="1616" t="s">
        <v>5266</v>
      </c>
      <c r="AK90" s="1618"/>
      <c r="AL90" s="1619" t="s">
        <v>5949</v>
      </c>
      <c r="AM90" s="247" t="str">
        <f t="shared" si="35"/>
        <v/>
      </c>
      <c r="AN90" s="247" t="str">
        <f t="shared" si="36"/>
        <v/>
      </c>
      <c r="AO90" s="247" t="str">
        <f t="shared" si="37"/>
        <v/>
      </c>
      <c r="AP90" s="247" t="str">
        <f t="shared" si="38"/>
        <v/>
      </c>
      <c r="AQ90" s="42">
        <f t="shared" si="48"/>
        <v>1</v>
      </c>
      <c r="AR90" s="42">
        <f t="shared" si="49"/>
        <v>1</v>
      </c>
      <c r="AS90" s="42">
        <f t="shared" si="50"/>
        <v>1</v>
      </c>
      <c r="AT90" s="42">
        <f t="shared" si="51"/>
        <v>1</v>
      </c>
      <c r="AU90" s="247" t="str">
        <f t="shared" si="39"/>
        <v/>
      </c>
      <c r="AV90" s="247" t="str">
        <f t="shared" si="40"/>
        <v/>
      </c>
    </row>
    <row r="91" spans="1:48" ht="24" x14ac:dyDescent="0.2">
      <c r="A91" s="428" t="s">
        <v>723</v>
      </c>
      <c r="B91" s="429" t="s">
        <v>4481</v>
      </c>
      <c r="C91" s="430" t="s">
        <v>3521</v>
      </c>
      <c r="D91" s="1349" t="s">
        <v>1873</v>
      </c>
      <c r="E91" s="1350" t="s">
        <v>1874</v>
      </c>
      <c r="F91" s="1350" t="s">
        <v>2777</v>
      </c>
      <c r="G91" s="1351" t="s">
        <v>4610</v>
      </c>
      <c r="H91" s="1342" t="s">
        <v>3920</v>
      </c>
      <c r="I91" s="432" t="s">
        <v>3526</v>
      </c>
      <c r="J91" s="431" t="s">
        <v>3522</v>
      </c>
      <c r="K91" s="431"/>
      <c r="L91" s="431"/>
      <c r="M91" s="433"/>
      <c r="N91" s="434"/>
      <c r="O91" s="1743" t="str">
        <f>VLOOKUP(B91,code_famille_scénario,2)&amp;VLOOKUP(C91,code_actif,2)&amp;", "&amp;VLOOKUP(J91,Code_lieu,2)&amp;", due "&amp;VLOOKUP(I91,code_event,2)</f>
        <v>Inexploitabilité accidentelle de media support de fichiers  bureautiques personnels , dans les bureaux, due à une panne d'équipement</v>
      </c>
      <c r="P91" s="435">
        <v>1</v>
      </c>
      <c r="Q91" s="1595" t="s">
        <v>1431</v>
      </c>
      <c r="R91" s="1595" t="s">
        <v>1873</v>
      </c>
      <c r="S91" s="1595" t="str">
        <f>Classif!C6</f>
        <v/>
      </c>
      <c r="T91" s="1595">
        <f t="shared" si="41"/>
        <v>3</v>
      </c>
      <c r="U91" s="1744" t="str">
        <f t="shared" si="42"/>
        <v/>
      </c>
      <c r="V91" s="1745">
        <v>1</v>
      </c>
      <c r="W91" s="1745">
        <v>1</v>
      </c>
      <c r="X91" s="1745">
        <v>1</v>
      </c>
      <c r="Y91" s="1745">
        <f t="shared" si="43"/>
        <v>1</v>
      </c>
      <c r="Z91" s="1746">
        <v>0</v>
      </c>
      <c r="AA91" s="1747"/>
      <c r="AB91" s="1748"/>
      <c r="AC91" s="1748"/>
      <c r="AD91" s="1595" t="str">
        <f t="shared" si="44"/>
        <v/>
      </c>
      <c r="AE91" s="1595">
        <f t="shared" si="45"/>
        <v>3</v>
      </c>
      <c r="AF91" s="1595" t="str">
        <f t="shared" si="46"/>
        <v/>
      </c>
      <c r="AG91" s="1748"/>
      <c r="AH91" s="1749" t="str">
        <f t="shared" si="47"/>
        <v/>
      </c>
      <c r="AI91" s="1615"/>
      <c r="AJ91" s="1621"/>
      <c r="AK91" s="1618"/>
      <c r="AL91" s="1619" t="s">
        <v>5949</v>
      </c>
      <c r="AM91" s="247" t="str">
        <f t="shared" si="35"/>
        <v/>
      </c>
      <c r="AN91" s="247" t="str">
        <f t="shared" si="36"/>
        <v/>
      </c>
      <c r="AO91" s="247" t="str">
        <f t="shared" si="37"/>
        <v/>
      </c>
      <c r="AP91" s="247" t="str">
        <f t="shared" si="38"/>
        <v/>
      </c>
      <c r="AQ91" s="42">
        <f t="shared" si="48"/>
        <v>1</v>
      </c>
      <c r="AR91" s="42">
        <f t="shared" si="49"/>
        <v>1</v>
      </c>
      <c r="AS91" s="42">
        <f t="shared" si="50"/>
        <v>1</v>
      </c>
      <c r="AT91" s="42">
        <f t="shared" si="51"/>
        <v>1</v>
      </c>
      <c r="AU91" s="247" t="str">
        <f t="shared" si="39"/>
        <v/>
      </c>
      <c r="AV91" s="247" t="str">
        <f t="shared" si="40"/>
        <v/>
      </c>
    </row>
    <row r="92" spans="1:48" ht="24" x14ac:dyDescent="0.2">
      <c r="A92" s="428" t="s">
        <v>724</v>
      </c>
      <c r="B92" s="429" t="s">
        <v>4481</v>
      </c>
      <c r="C92" s="430" t="s">
        <v>3521</v>
      </c>
      <c r="D92" s="1349" t="s">
        <v>1873</v>
      </c>
      <c r="E92" s="1350" t="s">
        <v>1874</v>
      </c>
      <c r="F92" s="1350" t="s">
        <v>2777</v>
      </c>
      <c r="G92" s="1351" t="s">
        <v>4610</v>
      </c>
      <c r="H92" s="1342" t="s">
        <v>1554</v>
      </c>
      <c r="I92" s="432" t="s">
        <v>1534</v>
      </c>
      <c r="J92" s="431" t="s">
        <v>3522</v>
      </c>
      <c r="K92" s="431"/>
      <c r="L92" s="431"/>
      <c r="M92" s="433"/>
      <c r="N92" s="434"/>
      <c r="O92" s="1743" t="str">
        <f>VLOOKUP(B92,code_famille_scénario,2)&amp;VLOOKUP(C92,code_actif,2)&amp;", "&amp;VLOOKUP(J92,Code_lieu,2)&amp;", due "&amp;VLOOKUP(I92,code_event,2)</f>
        <v>Inexploitabilité accidentelle de media support de fichiers  bureautiques personnels , dans les bureaux, due à un dégât des eaux</v>
      </c>
      <c r="P92" s="435">
        <v>1</v>
      </c>
      <c r="Q92" s="1595" t="s">
        <v>1431</v>
      </c>
      <c r="R92" s="1595" t="s">
        <v>1873</v>
      </c>
      <c r="S92" s="1595" t="str">
        <f>Classif!C6</f>
        <v/>
      </c>
      <c r="T92" s="1595">
        <f t="shared" si="41"/>
        <v>3</v>
      </c>
      <c r="U92" s="1744" t="str">
        <f t="shared" si="42"/>
        <v/>
      </c>
      <c r="V92" s="1745">
        <v>1</v>
      </c>
      <c r="W92" s="1745">
        <v>1</v>
      </c>
      <c r="X92" s="1745">
        <v>1</v>
      </c>
      <c r="Y92" s="1745">
        <f t="shared" si="43"/>
        <v>1</v>
      </c>
      <c r="Z92" s="1746">
        <v>0</v>
      </c>
      <c r="AA92" s="1747"/>
      <c r="AB92" s="1748"/>
      <c r="AC92" s="1748"/>
      <c r="AD92" s="1595" t="str">
        <f t="shared" si="44"/>
        <v/>
      </c>
      <c r="AE92" s="1595">
        <f t="shared" si="45"/>
        <v>3</v>
      </c>
      <c r="AF92" s="1595" t="str">
        <f t="shared" si="46"/>
        <v/>
      </c>
      <c r="AG92" s="1748"/>
      <c r="AH92" s="1749" t="str">
        <f t="shared" si="47"/>
        <v/>
      </c>
      <c r="AI92" s="1615"/>
      <c r="AJ92" s="1621"/>
      <c r="AK92" s="1618"/>
      <c r="AL92" s="1619" t="s">
        <v>5949</v>
      </c>
      <c r="AM92" s="247" t="str">
        <f t="shared" si="35"/>
        <v/>
      </c>
      <c r="AN92" s="247" t="str">
        <f t="shared" si="36"/>
        <v/>
      </c>
      <c r="AO92" s="247" t="str">
        <f t="shared" si="37"/>
        <v/>
      </c>
      <c r="AP92" s="247" t="str">
        <f t="shared" si="38"/>
        <v/>
      </c>
      <c r="AQ92" s="42">
        <f t="shared" si="48"/>
        <v>1</v>
      </c>
      <c r="AR92" s="42">
        <f t="shared" si="49"/>
        <v>1</v>
      </c>
      <c r="AS92" s="42">
        <f t="shared" si="50"/>
        <v>1</v>
      </c>
      <c r="AT92" s="42">
        <f t="shared" si="51"/>
        <v>1</v>
      </c>
      <c r="AU92" s="247" t="str">
        <f t="shared" si="39"/>
        <v/>
      </c>
      <c r="AV92" s="247" t="str">
        <f t="shared" si="40"/>
        <v/>
      </c>
    </row>
    <row r="93" spans="1:48" ht="24" x14ac:dyDescent="0.2">
      <c r="A93" s="428" t="s">
        <v>725</v>
      </c>
      <c r="B93" s="429" t="s">
        <v>4481</v>
      </c>
      <c r="C93" s="430" t="s">
        <v>3521</v>
      </c>
      <c r="D93" s="1349" t="s">
        <v>1873</v>
      </c>
      <c r="E93" s="1350" t="s">
        <v>1874</v>
      </c>
      <c r="F93" s="1350" t="s">
        <v>2777</v>
      </c>
      <c r="G93" s="1351" t="s">
        <v>4610</v>
      </c>
      <c r="H93" s="1342" t="s">
        <v>1554</v>
      </c>
      <c r="I93" s="432" t="s">
        <v>1537</v>
      </c>
      <c r="J93" s="431" t="s">
        <v>3522</v>
      </c>
      <c r="K93" s="431"/>
      <c r="L93" s="431"/>
      <c r="M93" s="433"/>
      <c r="N93" s="434"/>
      <c r="O93" s="1743" t="str">
        <f>VLOOKUP(B93,code_famille_scénario,2)&amp;VLOOKUP(C93,code_actif,2)&amp;", "&amp;VLOOKUP(J93,Code_lieu,2)&amp;", due "&amp;VLOOKUP(I93,code_event,2)</f>
        <v>Inexploitabilité accidentelle de media support de fichiers  bureautiques personnels , dans les bureaux, due à une surcharge électrique</v>
      </c>
      <c r="P93" s="435">
        <v>1</v>
      </c>
      <c r="Q93" s="1595" t="s">
        <v>1431</v>
      </c>
      <c r="R93" s="1595" t="s">
        <v>1873</v>
      </c>
      <c r="S93" s="1595" t="str">
        <f>Classif!C6</f>
        <v/>
      </c>
      <c r="T93" s="1595">
        <f t="shared" si="41"/>
        <v>2</v>
      </c>
      <c r="U93" s="1744" t="str">
        <f t="shared" si="42"/>
        <v/>
      </c>
      <c r="V93" s="1745">
        <v>1</v>
      </c>
      <c r="W93" s="1745">
        <f>MIN(S03A01,S03A04)</f>
        <v>1</v>
      </c>
      <c r="X93" s="1745">
        <v>1</v>
      </c>
      <c r="Y93" s="1745">
        <f t="shared" si="43"/>
        <v>1</v>
      </c>
      <c r="Z93" s="1746">
        <v>0</v>
      </c>
      <c r="AA93" s="1747"/>
      <c r="AB93" s="1748"/>
      <c r="AC93" s="1748"/>
      <c r="AD93" s="1595" t="str">
        <f t="shared" si="44"/>
        <v/>
      </c>
      <c r="AE93" s="1595">
        <f t="shared" si="45"/>
        <v>2</v>
      </c>
      <c r="AF93" s="1595" t="str">
        <f t="shared" si="46"/>
        <v/>
      </c>
      <c r="AG93" s="1748"/>
      <c r="AH93" s="1749" t="str">
        <f t="shared" si="47"/>
        <v/>
      </c>
      <c r="AI93" s="1615"/>
      <c r="AJ93" s="1616" t="s">
        <v>5252</v>
      </c>
      <c r="AK93" s="1618"/>
      <c r="AL93" s="1619" t="s">
        <v>5949</v>
      </c>
      <c r="AM93" s="247" t="str">
        <f t="shared" si="35"/>
        <v/>
      </c>
      <c r="AN93" s="247" t="str">
        <f t="shared" si="36"/>
        <v/>
      </c>
      <c r="AO93" s="247" t="str">
        <f t="shared" si="37"/>
        <v/>
      </c>
      <c r="AP93" s="247" t="str">
        <f t="shared" si="38"/>
        <v/>
      </c>
      <c r="AQ93" s="42">
        <f t="shared" si="48"/>
        <v>1</v>
      </c>
      <c r="AR93" s="42">
        <f t="shared" si="49"/>
        <v>1</v>
      </c>
      <c r="AS93" s="42">
        <f t="shared" si="50"/>
        <v>1</v>
      </c>
      <c r="AT93" s="42">
        <f t="shared" si="51"/>
        <v>1</v>
      </c>
      <c r="AU93" s="247" t="str">
        <f t="shared" si="39"/>
        <v/>
      </c>
      <c r="AV93" s="247" t="str">
        <f t="shared" si="40"/>
        <v/>
      </c>
    </row>
    <row r="94" spans="1:48" ht="24" x14ac:dyDescent="0.2">
      <c r="A94" s="428" t="s">
        <v>726</v>
      </c>
      <c r="B94" s="429" t="s">
        <v>4481</v>
      </c>
      <c r="C94" s="430" t="s">
        <v>3521</v>
      </c>
      <c r="D94" s="1349" t="s">
        <v>1873</v>
      </c>
      <c r="E94" s="1350" t="s">
        <v>1874</v>
      </c>
      <c r="F94" s="1350" t="s">
        <v>2777</v>
      </c>
      <c r="G94" s="1351" t="s">
        <v>4610</v>
      </c>
      <c r="H94" s="1342" t="s">
        <v>1554</v>
      </c>
      <c r="I94" s="432" t="s">
        <v>1538</v>
      </c>
      <c r="J94" s="431" t="s">
        <v>3522</v>
      </c>
      <c r="K94" s="431"/>
      <c r="L94" s="431"/>
      <c r="M94" s="433"/>
      <c r="N94" s="434"/>
      <c r="O94" s="1743" t="str">
        <f>VLOOKUP(B94,code_famille_scénario,2)&amp;VLOOKUP(C94,code_actif,2)&amp;", "&amp;VLOOKUP(J94,Code_lieu,2)&amp;", due "&amp;VLOOKUP(I94,code_event,2)</f>
        <v>Inexploitabilité accidentelle de media support de fichiers  bureautiques personnels , dans les bureaux, due au vieillissement</v>
      </c>
      <c r="P94" s="435">
        <v>1</v>
      </c>
      <c r="Q94" s="1595" t="s">
        <v>1431</v>
      </c>
      <c r="R94" s="1595" t="s">
        <v>1873</v>
      </c>
      <c r="S94" s="1595" t="str">
        <f>Classif!C6</f>
        <v/>
      </c>
      <c r="T94" s="1595">
        <f t="shared" si="41"/>
        <v>2</v>
      </c>
      <c r="U94" s="1744" t="str">
        <f t="shared" si="42"/>
        <v/>
      </c>
      <c r="V94" s="1745">
        <v>1</v>
      </c>
      <c r="W94" s="1745">
        <v>1</v>
      </c>
      <c r="X94" s="1745">
        <v>1</v>
      </c>
      <c r="Y94" s="1745">
        <f t="shared" si="43"/>
        <v>1</v>
      </c>
      <c r="Z94" s="1746">
        <v>0</v>
      </c>
      <c r="AA94" s="1747"/>
      <c r="AB94" s="1748"/>
      <c r="AC94" s="1748"/>
      <c r="AD94" s="1595" t="str">
        <f t="shared" si="44"/>
        <v/>
      </c>
      <c r="AE94" s="1595">
        <f t="shared" si="45"/>
        <v>2</v>
      </c>
      <c r="AF94" s="1595" t="str">
        <f t="shared" si="46"/>
        <v/>
      </c>
      <c r="AG94" s="1748"/>
      <c r="AH94" s="1749" t="str">
        <f t="shared" si="47"/>
        <v/>
      </c>
      <c r="AI94" s="1615"/>
      <c r="AJ94" s="1621"/>
      <c r="AK94" s="1618"/>
      <c r="AL94" s="1619" t="s">
        <v>5949</v>
      </c>
      <c r="AM94" s="247" t="str">
        <f t="shared" si="35"/>
        <v/>
      </c>
      <c r="AN94" s="247" t="str">
        <f t="shared" si="36"/>
        <v/>
      </c>
      <c r="AO94" s="247" t="str">
        <f t="shared" si="37"/>
        <v/>
      </c>
      <c r="AP94" s="247" t="str">
        <f t="shared" si="38"/>
        <v/>
      </c>
      <c r="AQ94" s="42">
        <f t="shared" si="48"/>
        <v>1</v>
      </c>
      <c r="AR94" s="42">
        <f t="shared" si="49"/>
        <v>1</v>
      </c>
      <c r="AS94" s="42">
        <f t="shared" si="50"/>
        <v>1</v>
      </c>
      <c r="AT94" s="42">
        <f t="shared" si="51"/>
        <v>1</v>
      </c>
      <c r="AU94" s="247" t="str">
        <f t="shared" si="39"/>
        <v/>
      </c>
      <c r="AV94" s="247" t="str">
        <f t="shared" si="40"/>
        <v/>
      </c>
    </row>
    <row r="95" spans="1:48" ht="24" x14ac:dyDescent="0.2">
      <c r="A95" s="428" t="s">
        <v>727</v>
      </c>
      <c r="B95" s="429" t="s">
        <v>2485</v>
      </c>
      <c r="C95" s="430" t="s">
        <v>3521</v>
      </c>
      <c r="D95" s="1349" t="s">
        <v>1873</v>
      </c>
      <c r="E95" s="1350" t="s">
        <v>2560</v>
      </c>
      <c r="F95" s="1350" t="s">
        <v>4498</v>
      </c>
      <c r="G95" s="1351" t="s">
        <v>4616</v>
      </c>
      <c r="H95" s="1342" t="s">
        <v>1327</v>
      </c>
      <c r="I95" s="432" t="s">
        <v>1545</v>
      </c>
      <c r="J95" s="431"/>
      <c r="K95" s="431"/>
      <c r="L95" s="431"/>
      <c r="M95" s="433"/>
      <c r="N95" s="434"/>
      <c r="O95" s="1743" t="str">
        <f>VLOOKUP(B95,code_famille_scénario,2)&amp;VLOOKUP(C95,code_actif,2)</f>
        <v xml:space="preserve">Disparition accidentelle de moyens nécessaires à l'accès aux fichiers bureautiques personnels </v>
      </c>
      <c r="P95" s="435">
        <v>1</v>
      </c>
      <c r="Q95" s="1595" t="s">
        <v>1431</v>
      </c>
      <c r="R95" s="1595" t="s">
        <v>1873</v>
      </c>
      <c r="S95" s="1595" t="str">
        <f>Classif!C6</f>
        <v/>
      </c>
      <c r="T95" s="1595">
        <f t="shared" si="41"/>
        <v>3</v>
      </c>
      <c r="U95" s="1744" t="str">
        <f t="shared" si="42"/>
        <v/>
      </c>
      <c r="V95" s="1745">
        <v>1</v>
      </c>
      <c r="W95" s="1745">
        <v>1</v>
      </c>
      <c r="X95" s="1745">
        <v>1</v>
      </c>
      <c r="Y95" s="1745">
        <f>S11D08</f>
        <v>1</v>
      </c>
      <c r="Z95" s="1746">
        <v>0</v>
      </c>
      <c r="AA95" s="1747"/>
      <c r="AB95" s="1751"/>
      <c r="AC95" s="1748"/>
      <c r="AD95" s="1595" t="str">
        <f t="shared" si="44"/>
        <v/>
      </c>
      <c r="AE95" s="1595">
        <f t="shared" si="45"/>
        <v>3</v>
      </c>
      <c r="AF95" s="1595" t="str">
        <f t="shared" si="46"/>
        <v/>
      </c>
      <c r="AG95" s="1748"/>
      <c r="AH95" s="1749" t="str">
        <f t="shared" si="47"/>
        <v/>
      </c>
      <c r="AI95" s="1615"/>
      <c r="AJ95" s="1621"/>
      <c r="AK95" s="1618"/>
      <c r="AL95" s="1617" t="s">
        <v>4256</v>
      </c>
      <c r="AM95" s="247" t="str">
        <f t="shared" si="35"/>
        <v/>
      </c>
      <c r="AN95" s="247" t="str">
        <f t="shared" si="36"/>
        <v/>
      </c>
      <c r="AO95" s="247" t="str">
        <f t="shared" si="37"/>
        <v/>
      </c>
      <c r="AP95" s="247" t="str">
        <f t="shared" si="38"/>
        <v/>
      </c>
      <c r="AQ95" s="42">
        <f t="shared" si="48"/>
        <v>1</v>
      </c>
      <c r="AR95" s="42">
        <f t="shared" si="49"/>
        <v>1</v>
      </c>
      <c r="AS95" s="42">
        <f t="shared" si="50"/>
        <v>1</v>
      </c>
      <c r="AT95" s="42">
        <f t="shared" si="51"/>
        <v>1</v>
      </c>
      <c r="AU95" s="247" t="str">
        <f t="shared" si="39"/>
        <v/>
      </c>
      <c r="AV95" s="247" t="str">
        <f t="shared" si="40"/>
        <v/>
      </c>
    </row>
    <row r="96" spans="1:48" ht="24" x14ac:dyDescent="0.2">
      <c r="A96" s="428" t="s">
        <v>728</v>
      </c>
      <c r="B96" s="429" t="s">
        <v>2486</v>
      </c>
      <c r="C96" s="430" t="s">
        <v>3521</v>
      </c>
      <c r="D96" s="1349" t="s">
        <v>1873</v>
      </c>
      <c r="E96" s="1350" t="s">
        <v>2560</v>
      </c>
      <c r="F96" s="1350" t="s">
        <v>4498</v>
      </c>
      <c r="G96" s="1351" t="s">
        <v>4616</v>
      </c>
      <c r="H96" s="1342" t="s">
        <v>1329</v>
      </c>
      <c r="I96" s="432" t="s">
        <v>1305</v>
      </c>
      <c r="J96" s="431"/>
      <c r="K96" s="431"/>
      <c r="L96" s="431"/>
      <c r="M96" s="433"/>
      <c r="N96" s="434"/>
      <c r="O96" s="1743" t="str">
        <f>VLOOKUP(B96,code_famille_scénario,2)&amp;VLOOKUP(C96,code_actif,2)</f>
        <v xml:space="preserve">Vol ou destruction malveillante de moyens nécessaires à l'accès aux fichiers bureautiques personnels </v>
      </c>
      <c r="P96" s="435">
        <v>1</v>
      </c>
      <c r="Q96" s="1595" t="s">
        <v>1299</v>
      </c>
      <c r="R96" s="1595" t="s">
        <v>1873</v>
      </c>
      <c r="S96" s="1595" t="str">
        <f>Classif!C6</f>
        <v/>
      </c>
      <c r="T96" s="1595">
        <f t="shared" si="41"/>
        <v>2</v>
      </c>
      <c r="U96" s="1744" t="str">
        <f t="shared" si="42"/>
        <v/>
      </c>
      <c r="V96" s="1745">
        <v>1</v>
      </c>
      <c r="W96" s="1745">
        <v>1</v>
      </c>
      <c r="X96" s="1745">
        <v>1</v>
      </c>
      <c r="Y96" s="1745">
        <f>S11D08</f>
        <v>1</v>
      </c>
      <c r="Z96" s="1746">
        <v>0</v>
      </c>
      <c r="AA96" s="1747"/>
      <c r="AB96" s="1748"/>
      <c r="AC96" s="1748"/>
      <c r="AD96" s="1595" t="str">
        <f t="shared" si="44"/>
        <v/>
      </c>
      <c r="AE96" s="1595">
        <f t="shared" si="45"/>
        <v>2</v>
      </c>
      <c r="AF96" s="1595" t="str">
        <f t="shared" si="46"/>
        <v/>
      </c>
      <c r="AG96" s="1748"/>
      <c r="AH96" s="1749" t="str">
        <f t="shared" si="47"/>
        <v/>
      </c>
      <c r="AI96" s="1615"/>
      <c r="AJ96" s="1621"/>
      <c r="AK96" s="1618"/>
      <c r="AL96" s="1617" t="s">
        <v>4256</v>
      </c>
      <c r="AM96" s="247" t="str">
        <f t="shared" si="35"/>
        <v/>
      </c>
      <c r="AN96" s="247" t="str">
        <f t="shared" si="36"/>
        <v/>
      </c>
      <c r="AO96" s="247" t="str">
        <f t="shared" si="37"/>
        <v/>
      </c>
      <c r="AP96" s="247" t="str">
        <f t="shared" si="38"/>
        <v/>
      </c>
      <c r="AQ96" s="42">
        <f t="shared" si="48"/>
        <v>1</v>
      </c>
      <c r="AR96" s="42">
        <f t="shared" si="49"/>
        <v>1</v>
      </c>
      <c r="AS96" s="42">
        <f t="shared" si="50"/>
        <v>1</v>
      </c>
      <c r="AT96" s="42">
        <f t="shared" si="51"/>
        <v>1</v>
      </c>
      <c r="AU96" s="247" t="str">
        <f t="shared" si="39"/>
        <v/>
      </c>
      <c r="AV96" s="247" t="str">
        <f t="shared" si="40"/>
        <v/>
      </c>
    </row>
    <row r="97" spans="1:48" ht="15" x14ac:dyDescent="0.2">
      <c r="A97" s="418" t="s">
        <v>4836</v>
      </c>
      <c r="B97" s="419"/>
      <c r="C97" s="420" t="s">
        <v>2467</v>
      </c>
      <c r="D97" s="425"/>
      <c r="E97" s="1348"/>
      <c r="F97" s="1348"/>
      <c r="G97" s="1352"/>
      <c r="H97" s="1341"/>
      <c r="I97" s="447"/>
      <c r="J97" s="441"/>
      <c r="K97" s="441"/>
      <c r="L97" s="441"/>
      <c r="M97" s="442"/>
      <c r="N97" s="422"/>
      <c r="O97" s="1752"/>
      <c r="P97" s="435"/>
      <c r="Q97" s="1595"/>
      <c r="R97" s="1595"/>
      <c r="S97" s="1595"/>
      <c r="T97" s="1595"/>
      <c r="U97" s="1744"/>
      <c r="V97" s="1745"/>
      <c r="W97" s="1745"/>
      <c r="X97" s="1745"/>
      <c r="Y97" s="1745"/>
      <c r="Z97" s="1746"/>
      <c r="AA97" s="1747"/>
      <c r="AB97" s="1748"/>
      <c r="AC97" s="1748"/>
      <c r="AD97" s="1595"/>
      <c r="AE97" s="1753"/>
      <c r="AF97" s="1595"/>
      <c r="AG97" s="1748"/>
      <c r="AH97" s="1749"/>
      <c r="AI97" s="1627"/>
      <c r="AJ97" s="1628"/>
      <c r="AK97" s="1628"/>
      <c r="AL97" s="1629"/>
      <c r="AM97" s="247" t="str">
        <f t="shared" si="35"/>
        <v/>
      </c>
      <c r="AN97" s="247" t="str">
        <f t="shared" si="36"/>
        <v/>
      </c>
      <c r="AO97" s="247" t="str">
        <f t="shared" si="37"/>
        <v/>
      </c>
      <c r="AP97" s="247" t="str">
        <f t="shared" si="38"/>
        <v/>
      </c>
      <c r="AU97" s="247" t="str">
        <f t="shared" si="39"/>
        <v/>
      </c>
      <c r="AV97" s="247" t="str">
        <f t="shared" si="40"/>
        <v/>
      </c>
    </row>
    <row r="98" spans="1:48" ht="24" x14ac:dyDescent="0.2">
      <c r="A98" s="428" t="s">
        <v>729</v>
      </c>
      <c r="B98" s="429" t="s">
        <v>2490</v>
      </c>
      <c r="C98" s="430" t="s">
        <v>5459</v>
      </c>
      <c r="D98" s="1349" t="s">
        <v>1873</v>
      </c>
      <c r="E98" s="1350" t="s">
        <v>5446</v>
      </c>
      <c r="F98" s="1350" t="s">
        <v>2777</v>
      </c>
      <c r="G98" s="1351" t="s">
        <v>4610</v>
      </c>
      <c r="H98" s="1342" t="s">
        <v>1554</v>
      </c>
      <c r="I98" s="432" t="s">
        <v>1534</v>
      </c>
      <c r="J98" s="431"/>
      <c r="K98" s="431"/>
      <c r="L98" s="431"/>
      <c r="M98" s="433"/>
      <c r="N98" s="434"/>
      <c r="O98" s="1743" t="str">
        <f>VLOOKUP(B98,code_famille_scénario,2)&amp;VLOOKUP(C98,code_actif,2)&amp;", suite "&amp;VLOOKUP(I98,code_event,2)</f>
        <v>Disparition ou inexploitabilité accidentelle de document écrits ou imprimés détenus par les utilisateurs, suite à un dégât des eaux</v>
      </c>
      <c r="P98" s="435">
        <v>1</v>
      </c>
      <c r="Q98" s="1595" t="s">
        <v>1431</v>
      </c>
      <c r="R98" s="1595" t="s">
        <v>1873</v>
      </c>
      <c r="S98" s="1595" t="str">
        <f>Classif!C7</f>
        <v/>
      </c>
      <c r="T98" s="1595">
        <f t="shared" ref="T98:T107" si="52">VLOOKUP(H98&amp;"."&amp;I98,Tab_event,4)</f>
        <v>3</v>
      </c>
      <c r="U98" s="1744" t="str">
        <f t="shared" ref="U98:U107" si="53">IF(AND(NOT(S98=""),NOT(T98="")),INDEX(base_g,5-S98,T98),"")</f>
        <v/>
      </c>
      <c r="V98" s="1745">
        <v>1</v>
      </c>
      <c r="W98" s="1745">
        <f>MIN(S02D01,S02D06)</f>
        <v>1</v>
      </c>
      <c r="X98" s="1745">
        <v>1</v>
      </c>
      <c r="Y98" s="1745">
        <v>1</v>
      </c>
      <c r="Z98" s="1746">
        <v>0</v>
      </c>
      <c r="AA98" s="1747"/>
      <c r="AB98" s="1748"/>
      <c r="AC98" s="1748"/>
      <c r="AD98" s="1595" t="str">
        <f t="shared" si="44"/>
        <v/>
      </c>
      <c r="AE98" s="1595">
        <f t="shared" ref="AE98:AE107" si="54">IF(OR(Q98="",T98=""),"",IF(Q98="A",INDEX(base_p,4,W98+7*(T98-1)),IF(Q98="E",INDEX(base_p,15,W98+7*(T98-1)),INDEX(base_p,27-V98,W98+7*(T98-1)))))</f>
        <v>3</v>
      </c>
      <c r="AF98" s="1595" t="str">
        <f t="shared" ref="AF98:AF107" si="55">IF(AT98=1,IF(IndG=1,U98,IF(AND(OR(NOT(AD98=""),NOT(AB98="")),OR(NOT(AE98=""),NOT(AC98="")),AT98=1),INDEX(base_g,5-IF(AB98="",AD98,AB98),IF(AC98="",AE98,AC98)),"")),0)</f>
        <v/>
      </c>
      <c r="AG98" s="1748"/>
      <c r="AH98" s="1749" t="str">
        <f t="shared" si="47"/>
        <v/>
      </c>
      <c r="AI98" s="1615"/>
      <c r="AJ98" s="1621" t="s">
        <v>6164</v>
      </c>
      <c r="AK98" s="1618"/>
      <c r="AL98" s="1619"/>
      <c r="AM98" s="247" t="str">
        <f t="shared" si="35"/>
        <v/>
      </c>
      <c r="AN98" s="247" t="str">
        <f t="shared" si="36"/>
        <v/>
      </c>
      <c r="AO98" s="247" t="str">
        <f t="shared" si="37"/>
        <v/>
      </c>
      <c r="AP98" s="247" t="str">
        <f t="shared" si="38"/>
        <v/>
      </c>
      <c r="AQ98" s="42">
        <f t="shared" ref="AQ98:AQ107" si="56">VLOOKUP(LEFT(C98,3),Tab_classif_data,6)</f>
        <v>1</v>
      </c>
      <c r="AR98" s="42">
        <f t="shared" ref="AR98:AR107" si="57">VLOOKUP(G98,select_vul_data,2)</f>
        <v>1</v>
      </c>
      <c r="AS98" s="42">
        <f t="shared" ref="AS98:AS107" si="58">VLOOKUP(H98&amp;"."&amp;I98,select_men,5)</f>
        <v>1</v>
      </c>
      <c r="AT98" s="42">
        <f t="shared" ref="AT98:AT107" si="59">P98*AQ98*AR98*AS98</f>
        <v>1</v>
      </c>
      <c r="AU98" s="247" t="str">
        <f t="shared" si="39"/>
        <v/>
      </c>
      <c r="AV98" s="247" t="str">
        <f t="shared" si="40"/>
        <v/>
      </c>
    </row>
    <row r="99" spans="1:48" ht="24" x14ac:dyDescent="0.2">
      <c r="A99" s="428" t="s">
        <v>730</v>
      </c>
      <c r="B99" s="429" t="s">
        <v>2490</v>
      </c>
      <c r="C99" s="430" t="s">
        <v>5459</v>
      </c>
      <c r="D99" s="1349" t="s">
        <v>1873</v>
      </c>
      <c r="E99" s="1350" t="s">
        <v>5446</v>
      </c>
      <c r="F99" s="1350" t="s">
        <v>1875</v>
      </c>
      <c r="G99" s="1351" t="s">
        <v>6070</v>
      </c>
      <c r="H99" s="1342" t="s">
        <v>3919</v>
      </c>
      <c r="I99" s="432" t="s">
        <v>1535</v>
      </c>
      <c r="J99" s="431"/>
      <c r="K99" s="431"/>
      <c r="L99" s="431"/>
      <c r="M99" s="433"/>
      <c r="N99" s="434"/>
      <c r="O99" s="1743" t="str">
        <f>VLOOKUP(B99,code_famille_scénario,2)&amp;VLOOKUP(C99,code_actif,2)&amp;", suite "&amp;VLOOKUP(I99,code_event,2)</f>
        <v>Disparition ou inexploitabilité accidentelle de document écrits ou imprimés détenus par les utilisateurs, suite à un incendie</v>
      </c>
      <c r="P99" s="435">
        <v>1</v>
      </c>
      <c r="Q99" s="1595" t="s">
        <v>1431</v>
      </c>
      <c r="R99" s="1595" t="s">
        <v>1873</v>
      </c>
      <c r="S99" s="1595" t="str">
        <f>Classif!C7</f>
        <v/>
      </c>
      <c r="T99" s="1595">
        <f t="shared" si="52"/>
        <v>2</v>
      </c>
      <c r="U99" s="1744" t="str">
        <f t="shared" si="53"/>
        <v/>
      </c>
      <c r="V99" s="1745">
        <v>1</v>
      </c>
      <c r="W99" s="1745">
        <f>MIN(S02D01,S02D06)</f>
        <v>1</v>
      </c>
      <c r="X99" s="1745">
        <v>1</v>
      </c>
      <c r="Y99" s="1745">
        <v>1</v>
      </c>
      <c r="Z99" s="1746">
        <v>0</v>
      </c>
      <c r="AA99" s="1747"/>
      <c r="AB99" s="1748"/>
      <c r="AC99" s="1748"/>
      <c r="AD99" s="1595" t="str">
        <f t="shared" si="44"/>
        <v/>
      </c>
      <c r="AE99" s="1595">
        <f t="shared" si="54"/>
        <v>2</v>
      </c>
      <c r="AF99" s="1595" t="str">
        <f t="shared" si="55"/>
        <v/>
      </c>
      <c r="AG99" s="1748"/>
      <c r="AH99" s="1749" t="str">
        <f t="shared" si="47"/>
        <v/>
      </c>
      <c r="AI99" s="1615"/>
      <c r="AJ99" s="1621" t="s">
        <v>6164</v>
      </c>
      <c r="AK99" s="1618"/>
      <c r="AL99" s="1619"/>
      <c r="AM99" s="247" t="str">
        <f t="shared" si="35"/>
        <v/>
      </c>
      <c r="AN99" s="247" t="str">
        <f t="shared" si="36"/>
        <v/>
      </c>
      <c r="AO99" s="247" t="str">
        <f t="shared" si="37"/>
        <v/>
      </c>
      <c r="AP99" s="247" t="str">
        <f t="shared" si="38"/>
        <v/>
      </c>
      <c r="AQ99" s="42">
        <f t="shared" si="56"/>
        <v>1</v>
      </c>
      <c r="AR99" s="42">
        <f t="shared" si="57"/>
        <v>1</v>
      </c>
      <c r="AS99" s="42">
        <f t="shared" si="58"/>
        <v>1</v>
      </c>
      <c r="AT99" s="42">
        <f t="shared" si="59"/>
        <v>1</v>
      </c>
      <c r="AU99" s="247" t="str">
        <f t="shared" si="39"/>
        <v/>
      </c>
      <c r="AV99" s="247" t="str">
        <f t="shared" si="40"/>
        <v/>
      </c>
    </row>
    <row r="100" spans="1:48" ht="24" x14ac:dyDescent="0.2">
      <c r="A100" s="428" t="s">
        <v>731</v>
      </c>
      <c r="B100" s="429" t="s">
        <v>2490</v>
      </c>
      <c r="C100" s="430" t="s">
        <v>5459</v>
      </c>
      <c r="D100" s="1349" t="s">
        <v>1873</v>
      </c>
      <c r="E100" s="1350" t="s">
        <v>5446</v>
      </c>
      <c r="F100" s="1350" t="s">
        <v>1875</v>
      </c>
      <c r="G100" s="1351" t="s">
        <v>6070</v>
      </c>
      <c r="H100" s="1342" t="s">
        <v>3919</v>
      </c>
      <c r="I100" s="432" t="s">
        <v>1536</v>
      </c>
      <c r="J100" s="431"/>
      <c r="K100" s="431"/>
      <c r="L100" s="431"/>
      <c r="M100" s="433"/>
      <c r="N100" s="434"/>
      <c r="O100" s="1743" t="str">
        <f>VLOOKUP(B100,code_famille_scénario,2)&amp;VLOOKUP(C100,code_actif,2)&amp;", suite "&amp;VLOOKUP(I100,code_event,2)</f>
        <v>Disparition ou inexploitabilité accidentelle de document écrits ou imprimés détenus par les utilisateurs, suite à une inondation</v>
      </c>
      <c r="P100" s="435">
        <v>1</v>
      </c>
      <c r="Q100" s="1595" t="s">
        <v>1431</v>
      </c>
      <c r="R100" s="1595" t="s">
        <v>1873</v>
      </c>
      <c r="S100" s="1595" t="str">
        <f>Classif!C7</f>
        <v/>
      </c>
      <c r="T100" s="1595">
        <f t="shared" si="52"/>
        <v>2</v>
      </c>
      <c r="U100" s="1744" t="str">
        <f t="shared" si="53"/>
        <v/>
      </c>
      <c r="V100" s="1745">
        <v>1</v>
      </c>
      <c r="W100" s="1745">
        <f>MIN(S02D01,S02D06)</f>
        <v>1</v>
      </c>
      <c r="X100" s="1745">
        <v>1</v>
      </c>
      <c r="Y100" s="1745">
        <v>1</v>
      </c>
      <c r="Z100" s="1746">
        <v>0</v>
      </c>
      <c r="AA100" s="1747"/>
      <c r="AB100" s="1748"/>
      <c r="AC100" s="1748"/>
      <c r="AD100" s="1595" t="str">
        <f t="shared" si="44"/>
        <v/>
      </c>
      <c r="AE100" s="1595">
        <f t="shared" si="54"/>
        <v>2</v>
      </c>
      <c r="AF100" s="1595" t="str">
        <f t="shared" si="55"/>
        <v/>
      </c>
      <c r="AG100" s="1748"/>
      <c r="AH100" s="1749" t="str">
        <f t="shared" si="47"/>
        <v/>
      </c>
      <c r="AI100" s="1615"/>
      <c r="AJ100" s="1621" t="s">
        <v>6164</v>
      </c>
      <c r="AK100" s="1618"/>
      <c r="AL100" s="1619"/>
      <c r="AM100" s="247" t="str">
        <f t="shared" si="35"/>
        <v/>
      </c>
      <c r="AN100" s="247" t="str">
        <f t="shared" si="36"/>
        <v/>
      </c>
      <c r="AO100" s="247" t="str">
        <f t="shared" si="37"/>
        <v/>
      </c>
      <c r="AP100" s="247" t="str">
        <f t="shared" si="38"/>
        <v/>
      </c>
      <c r="AQ100" s="42">
        <f t="shared" si="56"/>
        <v>1</v>
      </c>
      <c r="AR100" s="42">
        <f t="shared" si="57"/>
        <v>1</v>
      </c>
      <c r="AS100" s="42">
        <f t="shared" si="58"/>
        <v>1</v>
      </c>
      <c r="AT100" s="42">
        <f t="shared" si="59"/>
        <v>1</v>
      </c>
      <c r="AU100" s="247" t="str">
        <f t="shared" si="39"/>
        <v/>
      </c>
      <c r="AV100" s="247" t="str">
        <f t="shared" si="40"/>
        <v/>
      </c>
    </row>
    <row r="101" spans="1:48" ht="24" x14ac:dyDescent="0.2">
      <c r="A101" s="428" t="s">
        <v>732</v>
      </c>
      <c r="B101" s="429" t="s">
        <v>2491</v>
      </c>
      <c r="C101" s="430" t="s">
        <v>5459</v>
      </c>
      <c r="D101" s="1349" t="s">
        <v>1873</v>
      </c>
      <c r="E101" s="1350" t="s">
        <v>5446</v>
      </c>
      <c r="F101" s="1350" t="s">
        <v>4498</v>
      </c>
      <c r="G101" s="1351" t="s">
        <v>6071</v>
      </c>
      <c r="H101" s="1342" t="s">
        <v>1327</v>
      </c>
      <c r="I101" s="432" t="s">
        <v>2506</v>
      </c>
      <c r="J101" s="431"/>
      <c r="K101" s="431"/>
      <c r="L101" s="431"/>
      <c r="M101" s="433"/>
      <c r="N101" s="434"/>
      <c r="O101" s="1743" t="str">
        <f>VLOOKUP(B101,code_famille_scénario,2)&amp;VLOOKUP(C101,code_actif,2)&amp;", suite "&amp;VLOOKUP(I101,code_event,2)</f>
        <v>Perte de document écrits ou imprimés détenus par les utilisateurs, suite à la perte ou à l'oubli</v>
      </c>
      <c r="P101" s="435">
        <v>1</v>
      </c>
      <c r="Q101" s="1595" t="s">
        <v>6403</v>
      </c>
      <c r="R101" s="1595" t="s">
        <v>1873</v>
      </c>
      <c r="S101" s="1595" t="str">
        <f>Classif!C7</f>
        <v/>
      </c>
      <c r="T101" s="1595">
        <f t="shared" si="52"/>
        <v>3</v>
      </c>
      <c r="U101" s="1744" t="str">
        <f t="shared" si="53"/>
        <v/>
      </c>
      <c r="V101" s="1745">
        <v>1</v>
      </c>
      <c r="W101" s="1745">
        <f>MIN(S02D01,S02D06)</f>
        <v>1</v>
      </c>
      <c r="X101" s="1745">
        <v>1</v>
      </c>
      <c r="Y101" s="1745">
        <v>1</v>
      </c>
      <c r="Z101" s="1746">
        <v>0</v>
      </c>
      <c r="AA101" s="1747"/>
      <c r="AB101" s="1748"/>
      <c r="AC101" s="1748"/>
      <c r="AD101" s="1595" t="str">
        <f t="shared" si="44"/>
        <v/>
      </c>
      <c r="AE101" s="1595">
        <f t="shared" si="54"/>
        <v>3</v>
      </c>
      <c r="AF101" s="1595" t="str">
        <f t="shared" si="55"/>
        <v/>
      </c>
      <c r="AG101" s="1748"/>
      <c r="AH101" s="1749" t="str">
        <f t="shared" si="47"/>
        <v/>
      </c>
      <c r="AI101" s="1615"/>
      <c r="AJ101" s="1621" t="s">
        <v>6164</v>
      </c>
      <c r="AK101" s="1618"/>
      <c r="AL101" s="1619"/>
      <c r="AM101" s="247" t="str">
        <f t="shared" si="35"/>
        <v/>
      </c>
      <c r="AN101" s="247" t="str">
        <f t="shared" si="36"/>
        <v/>
      </c>
      <c r="AO101" s="247" t="str">
        <f t="shared" si="37"/>
        <v/>
      </c>
      <c r="AP101" s="247" t="str">
        <f t="shared" si="38"/>
        <v/>
      </c>
      <c r="AQ101" s="42">
        <f t="shared" si="56"/>
        <v>1</v>
      </c>
      <c r="AR101" s="42">
        <f t="shared" si="57"/>
        <v>1</v>
      </c>
      <c r="AS101" s="42">
        <f t="shared" si="58"/>
        <v>1</v>
      </c>
      <c r="AT101" s="42">
        <f t="shared" si="59"/>
        <v>1</v>
      </c>
      <c r="AU101" s="247" t="str">
        <f t="shared" si="39"/>
        <v/>
      </c>
      <c r="AV101" s="247" t="str">
        <f t="shared" si="40"/>
        <v/>
      </c>
    </row>
    <row r="102" spans="1:48" ht="24" x14ac:dyDescent="0.2">
      <c r="A102" s="428" t="s">
        <v>733</v>
      </c>
      <c r="B102" s="429" t="s">
        <v>2491</v>
      </c>
      <c r="C102" s="430" t="s">
        <v>5459</v>
      </c>
      <c r="D102" s="1349" t="s">
        <v>1873</v>
      </c>
      <c r="E102" s="1350" t="s">
        <v>5446</v>
      </c>
      <c r="F102" s="1350" t="s">
        <v>4498</v>
      </c>
      <c r="G102" s="1351" t="s">
        <v>6071</v>
      </c>
      <c r="H102" s="1342" t="s">
        <v>1327</v>
      </c>
      <c r="I102" s="432" t="s">
        <v>2506</v>
      </c>
      <c r="J102" s="431" t="s">
        <v>3525</v>
      </c>
      <c r="K102" s="431"/>
      <c r="L102" s="431"/>
      <c r="M102" s="433"/>
      <c r="N102" s="434"/>
      <c r="O102" s="1743" t="str">
        <f>VLOOKUP(B102,code_famille_scénario,2)&amp;VLOOKUP(C102,code_actif,2)&amp;", suite "&amp;VLOOKUP(I102,code_event,2)&amp;", "&amp;VLOOKUP(J102,Code_lieu,2)</f>
        <v>Perte de document écrits ou imprimés détenus par les utilisateurs, suite à la perte ou à l'oubli, en dehors de l'entreprise</v>
      </c>
      <c r="P102" s="435">
        <v>1</v>
      </c>
      <c r="Q102" s="1595" t="s">
        <v>6403</v>
      </c>
      <c r="R102" s="1595" t="s">
        <v>1873</v>
      </c>
      <c r="S102" s="1595" t="str">
        <f>Classif!C7</f>
        <v/>
      </c>
      <c r="T102" s="1595">
        <f t="shared" si="52"/>
        <v>3</v>
      </c>
      <c r="U102" s="1744" t="str">
        <f t="shared" si="53"/>
        <v/>
      </c>
      <c r="V102" s="1745">
        <v>1</v>
      </c>
      <c r="W102" s="1745">
        <f>S11B02</f>
        <v>1</v>
      </c>
      <c r="X102" s="1745">
        <v>1</v>
      </c>
      <c r="Y102" s="1745">
        <v>1</v>
      </c>
      <c r="Z102" s="1746">
        <v>0</v>
      </c>
      <c r="AA102" s="1747"/>
      <c r="AB102" s="1748"/>
      <c r="AC102" s="1748"/>
      <c r="AD102" s="1595" t="str">
        <f t="shared" si="44"/>
        <v/>
      </c>
      <c r="AE102" s="1595">
        <f t="shared" si="54"/>
        <v>3</v>
      </c>
      <c r="AF102" s="1595" t="str">
        <f t="shared" si="55"/>
        <v/>
      </c>
      <c r="AG102" s="1748"/>
      <c r="AH102" s="1749" t="str">
        <f t="shared" si="47"/>
        <v/>
      </c>
      <c r="AI102" s="1615"/>
      <c r="AJ102" s="1621" t="s">
        <v>4149</v>
      </c>
      <c r="AK102" s="1618"/>
      <c r="AL102" s="1619"/>
      <c r="AM102" s="247" t="str">
        <f t="shared" si="35"/>
        <v/>
      </c>
      <c r="AN102" s="247" t="str">
        <f t="shared" si="36"/>
        <v/>
      </c>
      <c r="AO102" s="247" t="str">
        <f t="shared" si="37"/>
        <v/>
      </c>
      <c r="AP102" s="247" t="str">
        <f t="shared" si="38"/>
        <v/>
      </c>
      <c r="AQ102" s="42">
        <f t="shared" si="56"/>
        <v>1</v>
      </c>
      <c r="AR102" s="42">
        <f t="shared" si="57"/>
        <v>1</v>
      </c>
      <c r="AS102" s="42">
        <f t="shared" si="58"/>
        <v>1</v>
      </c>
      <c r="AT102" s="42">
        <f t="shared" si="59"/>
        <v>1</v>
      </c>
      <c r="AU102" s="247" t="str">
        <f t="shared" si="39"/>
        <v/>
      </c>
      <c r="AV102" s="247" t="str">
        <f t="shared" si="40"/>
        <v/>
      </c>
    </row>
    <row r="103" spans="1:48" ht="36" x14ac:dyDescent="0.2">
      <c r="A103" s="428" t="s">
        <v>734</v>
      </c>
      <c r="B103" s="429" t="s">
        <v>2492</v>
      </c>
      <c r="C103" s="430" t="s">
        <v>5459</v>
      </c>
      <c r="D103" s="1349" t="s">
        <v>1873</v>
      </c>
      <c r="E103" s="1350" t="s">
        <v>5446</v>
      </c>
      <c r="F103" s="1350" t="s">
        <v>4498</v>
      </c>
      <c r="G103" s="1351" t="s">
        <v>6071</v>
      </c>
      <c r="H103" s="1342" t="s">
        <v>1329</v>
      </c>
      <c r="I103" s="432" t="s">
        <v>1305</v>
      </c>
      <c r="J103" s="431"/>
      <c r="K103" s="431" t="s">
        <v>3523</v>
      </c>
      <c r="L103" s="448"/>
      <c r="M103" s="449"/>
      <c r="N103" s="434" t="s">
        <v>4814</v>
      </c>
      <c r="O103" s="1743" t="str">
        <f>VLOOKUP(B103,code_famille_scénario,2)&amp;VLOOKUP(C103,code_actif,2)&amp;", suite à un "&amp;VLOOKUP(I103,code_event,2)&amp;", par "&amp;VLOOKUP(N103,code_acteur,2)&amp;", "&amp;VLOOKUP(K103,code_temps,2)</f>
        <v>Disparition, par vol ou destruction malveillante, de document écrits ou imprimés détenus par les utilisateurs, suite à un vol, par un membre du personnel de l'entreprise, en l'absence de l'utilisateur</v>
      </c>
      <c r="P103" s="435">
        <v>1</v>
      </c>
      <c r="Q103" s="1595" t="s">
        <v>1299</v>
      </c>
      <c r="R103" s="1595" t="s">
        <v>1873</v>
      </c>
      <c r="S103" s="1595" t="str">
        <f>Classif!C7</f>
        <v/>
      </c>
      <c r="T103" s="1595">
        <f t="shared" si="52"/>
        <v>2</v>
      </c>
      <c r="U103" s="1744" t="str">
        <f t="shared" si="53"/>
        <v/>
      </c>
      <c r="V103" s="1745">
        <f>S02C05</f>
        <v>1</v>
      </c>
      <c r="W103" s="1745">
        <f>MIN(S02D01,S02D06)</f>
        <v>1</v>
      </c>
      <c r="X103" s="1745">
        <v>1</v>
      </c>
      <c r="Y103" s="1745">
        <v>1</v>
      </c>
      <c r="Z103" s="1746">
        <v>0</v>
      </c>
      <c r="AA103" s="1747"/>
      <c r="AB103" s="1748"/>
      <c r="AC103" s="1748"/>
      <c r="AD103" s="1595" t="str">
        <f t="shared" si="44"/>
        <v/>
      </c>
      <c r="AE103" s="1595">
        <f t="shared" si="54"/>
        <v>2</v>
      </c>
      <c r="AF103" s="1595" t="str">
        <f t="shared" si="55"/>
        <v/>
      </c>
      <c r="AG103" s="1748"/>
      <c r="AH103" s="1749" t="str">
        <f t="shared" si="47"/>
        <v/>
      </c>
      <c r="AI103" s="1620" t="s">
        <v>3120</v>
      </c>
      <c r="AJ103" s="1621" t="s">
        <v>6164</v>
      </c>
      <c r="AK103" s="1618"/>
      <c r="AL103" s="1619"/>
      <c r="AM103" s="247" t="str">
        <f t="shared" si="35"/>
        <v/>
      </c>
      <c r="AN103" s="247" t="str">
        <f t="shared" si="36"/>
        <v/>
      </c>
      <c r="AO103" s="247" t="str">
        <f t="shared" si="37"/>
        <v/>
      </c>
      <c r="AP103" s="247" t="str">
        <f t="shared" si="38"/>
        <v/>
      </c>
      <c r="AQ103" s="42">
        <f t="shared" si="56"/>
        <v>1</v>
      </c>
      <c r="AR103" s="42">
        <f t="shared" si="57"/>
        <v>1</v>
      </c>
      <c r="AS103" s="42">
        <f t="shared" si="58"/>
        <v>1</v>
      </c>
      <c r="AT103" s="42">
        <f t="shared" si="59"/>
        <v>1</v>
      </c>
      <c r="AU103" s="247" t="str">
        <f t="shared" si="39"/>
        <v/>
      </c>
      <c r="AV103" s="247" t="str">
        <f t="shared" si="40"/>
        <v/>
      </c>
    </row>
    <row r="104" spans="1:48" ht="36" x14ac:dyDescent="0.2">
      <c r="A104" s="428" t="s">
        <v>735</v>
      </c>
      <c r="B104" s="429" t="s">
        <v>2492</v>
      </c>
      <c r="C104" s="430" t="s">
        <v>5459</v>
      </c>
      <c r="D104" s="1349" t="s">
        <v>1873</v>
      </c>
      <c r="E104" s="1350" t="s">
        <v>5446</v>
      </c>
      <c r="F104" s="1350" t="s">
        <v>4498</v>
      </c>
      <c r="G104" s="1351" t="s">
        <v>6071</v>
      </c>
      <c r="H104" s="1342" t="s">
        <v>1329</v>
      </c>
      <c r="I104" s="432" t="s">
        <v>1305</v>
      </c>
      <c r="J104" s="431"/>
      <c r="K104" s="431" t="s">
        <v>3523</v>
      </c>
      <c r="L104" s="448"/>
      <c r="M104" s="449"/>
      <c r="N104" s="434" t="s">
        <v>4815</v>
      </c>
      <c r="O104" s="1743" t="str">
        <f>VLOOKUP(B104,code_famille_scénario,2)&amp;VLOOKUP(C104,code_actif,2)&amp;", suite à un "&amp;VLOOKUP(I104,code_event,2)&amp;", par "&amp;VLOOKUP(N104,code_acteur,2)&amp;", "&amp;VLOOKUP(K104,code_temps,2)</f>
        <v>Disparition, par vol ou destruction malveillante, de document écrits ou imprimés détenus par les utilisateurs, suite à un vol, par un visiteur, en l'absence de l'utilisateur</v>
      </c>
      <c r="P104" s="435">
        <v>1</v>
      </c>
      <c r="Q104" s="1595" t="s">
        <v>1299</v>
      </c>
      <c r="R104" s="1595" t="s">
        <v>1873</v>
      </c>
      <c r="S104" s="1595" t="str">
        <f>Classif!C7</f>
        <v/>
      </c>
      <c r="T104" s="1595">
        <f t="shared" si="52"/>
        <v>2</v>
      </c>
      <c r="U104" s="1744" t="str">
        <f t="shared" si="53"/>
        <v/>
      </c>
      <c r="V104" s="1745">
        <f>S02C05</f>
        <v>1</v>
      </c>
      <c r="W104" s="1745">
        <f>MIN(S02D01,S02D06)</f>
        <v>1</v>
      </c>
      <c r="X104" s="1745">
        <v>1</v>
      </c>
      <c r="Y104" s="1745">
        <v>1</v>
      </c>
      <c r="Z104" s="1746">
        <v>0</v>
      </c>
      <c r="AA104" s="1747"/>
      <c r="AB104" s="1748"/>
      <c r="AC104" s="1748"/>
      <c r="AD104" s="1595" t="str">
        <f t="shared" si="44"/>
        <v/>
      </c>
      <c r="AE104" s="1595">
        <f t="shared" si="54"/>
        <v>2</v>
      </c>
      <c r="AF104" s="1595" t="str">
        <f t="shared" si="55"/>
        <v/>
      </c>
      <c r="AG104" s="1748"/>
      <c r="AH104" s="1749" t="str">
        <f t="shared" si="47"/>
        <v/>
      </c>
      <c r="AI104" s="1620" t="s">
        <v>3120</v>
      </c>
      <c r="AJ104" s="1621" t="s">
        <v>6164</v>
      </c>
      <c r="AK104" s="1618"/>
      <c r="AL104" s="1619"/>
      <c r="AM104" s="247" t="str">
        <f t="shared" si="35"/>
        <v/>
      </c>
      <c r="AN104" s="247" t="str">
        <f t="shared" si="36"/>
        <v/>
      </c>
      <c r="AO104" s="247" t="str">
        <f t="shared" si="37"/>
        <v/>
      </c>
      <c r="AP104" s="247" t="str">
        <f t="shared" si="38"/>
        <v/>
      </c>
      <c r="AQ104" s="42">
        <f t="shared" si="56"/>
        <v>1</v>
      </c>
      <c r="AR104" s="42">
        <f t="shared" si="57"/>
        <v>1</v>
      </c>
      <c r="AS104" s="42">
        <f t="shared" si="58"/>
        <v>1</v>
      </c>
      <c r="AT104" s="42">
        <f t="shared" si="59"/>
        <v>1</v>
      </c>
      <c r="AU104" s="247" t="str">
        <f t="shared" si="39"/>
        <v/>
      </c>
      <c r="AV104" s="247" t="str">
        <f t="shared" si="40"/>
        <v/>
      </c>
    </row>
    <row r="105" spans="1:48" ht="36" x14ac:dyDescent="0.2">
      <c r="A105" s="428" t="s">
        <v>736</v>
      </c>
      <c r="B105" s="429" t="s">
        <v>2492</v>
      </c>
      <c r="C105" s="430" t="s">
        <v>5459</v>
      </c>
      <c r="D105" s="1349" t="s">
        <v>1873</v>
      </c>
      <c r="E105" s="1350" t="s">
        <v>5446</v>
      </c>
      <c r="F105" s="1350" t="s">
        <v>4498</v>
      </c>
      <c r="G105" s="1351" t="s">
        <v>6071</v>
      </c>
      <c r="H105" s="1342" t="s">
        <v>1329</v>
      </c>
      <c r="I105" s="432" t="s">
        <v>1305</v>
      </c>
      <c r="J105" s="431"/>
      <c r="K105" s="431" t="s">
        <v>3524</v>
      </c>
      <c r="L105" s="448"/>
      <c r="M105" s="449"/>
      <c r="N105" s="434" t="s">
        <v>4814</v>
      </c>
      <c r="O105" s="1743" t="str">
        <f>VLOOKUP(B105,code_famille_scénario,2)&amp;VLOOKUP(C105,code_actif,2)&amp;", suite à un "&amp;VLOOKUP(I105,code_event,2)&amp;", par "&amp;VLOOKUP(N105,code_acteur,2)&amp;", "&amp;VLOOKUP(K105,code_temps,2)</f>
        <v>Disparition, par vol ou destruction malveillante, de document écrits ou imprimés détenus par les utilisateurs, suite à un vol, par un membre du personnel de l'entreprise, en dehors des heures ouvrables</v>
      </c>
      <c r="P105" s="435">
        <v>1</v>
      </c>
      <c r="Q105" s="1595" t="s">
        <v>1299</v>
      </c>
      <c r="R105" s="1595" t="s">
        <v>1873</v>
      </c>
      <c r="S105" s="1595" t="str">
        <f>Classif!C7</f>
        <v/>
      </c>
      <c r="T105" s="1595">
        <f t="shared" si="52"/>
        <v>2</v>
      </c>
      <c r="U105" s="1744" t="str">
        <f t="shared" si="53"/>
        <v/>
      </c>
      <c r="V105" s="1745">
        <f>S02C05</f>
        <v>1</v>
      </c>
      <c r="W105" s="1745">
        <f>MIN(S02D01,S02D06)</f>
        <v>1</v>
      </c>
      <c r="X105" s="1745">
        <v>1</v>
      </c>
      <c r="Y105" s="1745">
        <v>1</v>
      </c>
      <c r="Z105" s="1746">
        <v>0</v>
      </c>
      <c r="AA105" s="1747"/>
      <c r="AB105" s="1748"/>
      <c r="AC105" s="1748"/>
      <c r="AD105" s="1595" t="str">
        <f t="shared" si="44"/>
        <v/>
      </c>
      <c r="AE105" s="1595">
        <f t="shared" si="54"/>
        <v>2</v>
      </c>
      <c r="AF105" s="1595" t="str">
        <f t="shared" si="55"/>
        <v/>
      </c>
      <c r="AG105" s="1748"/>
      <c r="AH105" s="1749" t="str">
        <f t="shared" si="47"/>
        <v/>
      </c>
      <c r="AI105" s="1620" t="s">
        <v>3120</v>
      </c>
      <c r="AJ105" s="1621" t="s">
        <v>6164</v>
      </c>
      <c r="AK105" s="1618"/>
      <c r="AL105" s="1619"/>
      <c r="AM105" s="247" t="str">
        <f t="shared" si="35"/>
        <v/>
      </c>
      <c r="AN105" s="247" t="str">
        <f t="shared" si="36"/>
        <v/>
      </c>
      <c r="AO105" s="247" t="str">
        <f t="shared" si="37"/>
        <v/>
      </c>
      <c r="AP105" s="247" t="str">
        <f t="shared" si="38"/>
        <v/>
      </c>
      <c r="AQ105" s="42">
        <f t="shared" si="56"/>
        <v>1</v>
      </c>
      <c r="AR105" s="42">
        <f t="shared" si="57"/>
        <v>1</v>
      </c>
      <c r="AS105" s="42">
        <f t="shared" si="58"/>
        <v>1</v>
      </c>
      <c r="AT105" s="42">
        <f t="shared" si="59"/>
        <v>1</v>
      </c>
      <c r="AU105" s="247" t="str">
        <f t="shared" si="39"/>
        <v/>
      </c>
      <c r="AV105" s="247" t="str">
        <f t="shared" si="40"/>
        <v/>
      </c>
    </row>
    <row r="106" spans="1:48" ht="36" x14ac:dyDescent="0.2">
      <c r="A106" s="428" t="s">
        <v>737</v>
      </c>
      <c r="B106" s="429" t="s">
        <v>2492</v>
      </c>
      <c r="C106" s="430" t="s">
        <v>5459</v>
      </c>
      <c r="D106" s="1349" t="s">
        <v>1873</v>
      </c>
      <c r="E106" s="1350" t="s">
        <v>5446</v>
      </c>
      <c r="F106" s="1350" t="s">
        <v>4498</v>
      </c>
      <c r="G106" s="1351" t="s">
        <v>6071</v>
      </c>
      <c r="H106" s="1342" t="s">
        <v>1329</v>
      </c>
      <c r="I106" s="432" t="s">
        <v>1305</v>
      </c>
      <c r="J106" s="431"/>
      <c r="K106" s="431" t="s">
        <v>3524</v>
      </c>
      <c r="L106" s="448"/>
      <c r="M106" s="449"/>
      <c r="N106" s="434" t="s">
        <v>2218</v>
      </c>
      <c r="O106" s="1743" t="str">
        <f>VLOOKUP(B106,code_famille_scénario,2)&amp;VLOOKUP(C106,code_actif,2)&amp;", suite à un "&amp;VLOOKUP(I106,code_event,2)&amp;", par "&amp;VLOOKUP(N106,code_acteur,2)&amp;", "&amp;VLOOKUP(K106,code_temps,2)</f>
        <v>Disparition, par vol ou destruction malveillante, de document écrits ou imprimés détenus par les utilisateurs, suite à un vol, par un membre du personnel de service, en dehors des heures ouvrables</v>
      </c>
      <c r="P106" s="435">
        <v>1</v>
      </c>
      <c r="Q106" s="1595" t="s">
        <v>1299</v>
      </c>
      <c r="R106" s="1595" t="s">
        <v>1873</v>
      </c>
      <c r="S106" s="1595" t="str">
        <f>Classif!C7</f>
        <v/>
      </c>
      <c r="T106" s="1595">
        <f t="shared" si="52"/>
        <v>2</v>
      </c>
      <c r="U106" s="1744" t="str">
        <f t="shared" si="53"/>
        <v/>
      </c>
      <c r="V106" s="1745">
        <v>1</v>
      </c>
      <c r="W106" s="1745">
        <f>MIN(S02D01,S02D06)</f>
        <v>1</v>
      </c>
      <c r="X106" s="1745">
        <v>1</v>
      </c>
      <c r="Y106" s="1745">
        <v>1</v>
      </c>
      <c r="Z106" s="1746">
        <v>0</v>
      </c>
      <c r="AA106" s="1747"/>
      <c r="AB106" s="1748"/>
      <c r="AC106" s="1748"/>
      <c r="AD106" s="1595" t="str">
        <f t="shared" si="44"/>
        <v/>
      </c>
      <c r="AE106" s="1595">
        <f t="shared" si="54"/>
        <v>2</v>
      </c>
      <c r="AF106" s="1595" t="str">
        <f t="shared" si="55"/>
        <v/>
      </c>
      <c r="AG106" s="1748"/>
      <c r="AH106" s="1749" t="str">
        <f t="shared" si="47"/>
        <v/>
      </c>
      <c r="AI106" s="1620"/>
      <c r="AJ106" s="1621" t="s">
        <v>6164</v>
      </c>
      <c r="AK106" s="1618"/>
      <c r="AL106" s="1619"/>
      <c r="AM106" s="247" t="str">
        <f t="shared" si="35"/>
        <v/>
      </c>
      <c r="AN106" s="247" t="str">
        <f t="shared" si="36"/>
        <v/>
      </c>
      <c r="AO106" s="247" t="str">
        <f t="shared" si="37"/>
        <v/>
      </c>
      <c r="AP106" s="247" t="str">
        <f t="shared" si="38"/>
        <v/>
      </c>
      <c r="AQ106" s="42">
        <f t="shared" si="56"/>
        <v>1</v>
      </c>
      <c r="AR106" s="42">
        <f t="shared" si="57"/>
        <v>1</v>
      </c>
      <c r="AS106" s="42">
        <f t="shared" si="58"/>
        <v>1</v>
      </c>
      <c r="AT106" s="42">
        <f t="shared" si="59"/>
        <v>1</v>
      </c>
      <c r="AU106" s="247" t="str">
        <f t="shared" si="39"/>
        <v/>
      </c>
      <c r="AV106" s="247" t="str">
        <f t="shared" si="40"/>
        <v/>
      </c>
    </row>
    <row r="107" spans="1:48" ht="24" x14ac:dyDescent="0.2">
      <c r="A107" s="428" t="s">
        <v>738</v>
      </c>
      <c r="B107" s="429" t="s">
        <v>2492</v>
      </c>
      <c r="C107" s="430" t="s">
        <v>5459</v>
      </c>
      <c r="D107" s="1349" t="s">
        <v>1873</v>
      </c>
      <c r="E107" s="1350" t="s">
        <v>5446</v>
      </c>
      <c r="F107" s="1350" t="s">
        <v>4498</v>
      </c>
      <c r="G107" s="1351" t="s">
        <v>6071</v>
      </c>
      <c r="H107" s="1342" t="s">
        <v>1329</v>
      </c>
      <c r="I107" s="432" t="s">
        <v>1305</v>
      </c>
      <c r="J107" s="431" t="s">
        <v>3525</v>
      </c>
      <c r="K107" s="431"/>
      <c r="L107" s="448"/>
      <c r="M107" s="449"/>
      <c r="N107" s="434"/>
      <c r="O107" s="1743" t="str">
        <f>VLOOKUP(B107,code_famille_scénario,2)&amp;VLOOKUP(C107,code_actif,2)&amp;", "&amp;VLOOKUP(J107,Code_lieu,2)</f>
        <v>Disparition, par vol ou destruction malveillante, de document écrits ou imprimés détenus par les utilisateurs, en dehors de l'entreprise</v>
      </c>
      <c r="P107" s="435">
        <v>1</v>
      </c>
      <c r="Q107" s="1595" t="s">
        <v>1299</v>
      </c>
      <c r="R107" s="1595" t="s">
        <v>1873</v>
      </c>
      <c r="S107" s="1595" t="str">
        <f>Classif!C7</f>
        <v/>
      </c>
      <c r="T107" s="1595">
        <f t="shared" si="52"/>
        <v>2</v>
      </c>
      <c r="U107" s="1744" t="str">
        <f t="shared" si="53"/>
        <v/>
      </c>
      <c r="V107" s="1745">
        <v>1</v>
      </c>
      <c r="W107" s="1745">
        <f>S11B02</f>
        <v>1</v>
      </c>
      <c r="X107" s="1745">
        <v>1</v>
      </c>
      <c r="Y107" s="1745">
        <v>1</v>
      </c>
      <c r="Z107" s="1746">
        <v>0</v>
      </c>
      <c r="AA107" s="1747"/>
      <c r="AB107" s="1748"/>
      <c r="AC107" s="1748"/>
      <c r="AD107" s="1595" t="str">
        <f t="shared" si="44"/>
        <v/>
      </c>
      <c r="AE107" s="1595">
        <f t="shared" si="54"/>
        <v>2</v>
      </c>
      <c r="AF107" s="1595" t="str">
        <f t="shared" si="55"/>
        <v/>
      </c>
      <c r="AG107" s="1748"/>
      <c r="AH107" s="1749" t="str">
        <f t="shared" si="47"/>
        <v/>
      </c>
      <c r="AI107" s="1615"/>
      <c r="AJ107" s="1621" t="s">
        <v>4149</v>
      </c>
      <c r="AK107" s="1618"/>
      <c r="AL107" s="1619"/>
      <c r="AM107" s="247" t="str">
        <f t="shared" si="35"/>
        <v/>
      </c>
      <c r="AN107" s="247" t="str">
        <f t="shared" si="36"/>
        <v/>
      </c>
      <c r="AO107" s="247" t="str">
        <f t="shared" si="37"/>
        <v/>
      </c>
      <c r="AP107" s="247" t="str">
        <f t="shared" si="38"/>
        <v/>
      </c>
      <c r="AQ107" s="42">
        <f t="shared" si="56"/>
        <v>1</v>
      </c>
      <c r="AR107" s="42">
        <f t="shared" si="57"/>
        <v>1</v>
      </c>
      <c r="AS107" s="42">
        <f t="shared" si="58"/>
        <v>1</v>
      </c>
      <c r="AT107" s="42">
        <f t="shared" si="59"/>
        <v>1</v>
      </c>
      <c r="AU107" s="247" t="str">
        <f t="shared" si="39"/>
        <v/>
      </c>
      <c r="AV107" s="247" t="str">
        <f t="shared" si="40"/>
        <v/>
      </c>
    </row>
    <row r="108" spans="1:48" ht="15" x14ac:dyDescent="0.2">
      <c r="A108" s="418" t="s">
        <v>4837</v>
      </c>
      <c r="B108" s="419"/>
      <c r="C108" s="420" t="s">
        <v>2468</v>
      </c>
      <c r="D108" s="425"/>
      <c r="E108" s="1348"/>
      <c r="F108" s="1348"/>
      <c r="G108" s="1352"/>
      <c r="H108" s="1341"/>
      <c r="I108" s="447"/>
      <c r="J108" s="441"/>
      <c r="K108" s="441"/>
      <c r="L108" s="441"/>
      <c r="M108" s="442"/>
      <c r="N108" s="422"/>
      <c r="O108" s="1752"/>
      <c r="P108" s="435"/>
      <c r="Q108" s="1595"/>
      <c r="R108" s="1595"/>
      <c r="S108" s="1595"/>
      <c r="T108" s="1595"/>
      <c r="U108" s="1744"/>
      <c r="V108" s="1745"/>
      <c r="W108" s="1745"/>
      <c r="X108" s="1745"/>
      <c r="Y108" s="1745"/>
      <c r="Z108" s="1746"/>
      <c r="AA108" s="1747"/>
      <c r="AB108" s="1748"/>
      <c r="AC108" s="1748"/>
      <c r="AD108" s="1595"/>
      <c r="AE108" s="1753"/>
      <c r="AF108" s="1595"/>
      <c r="AG108" s="1748"/>
      <c r="AH108" s="1749"/>
      <c r="AI108" s="1627"/>
      <c r="AJ108" s="1628"/>
      <c r="AK108" s="1628"/>
      <c r="AL108" s="1629"/>
      <c r="AM108" s="247" t="str">
        <f t="shared" si="35"/>
        <v/>
      </c>
      <c r="AN108" s="247" t="str">
        <f t="shared" si="36"/>
        <v/>
      </c>
      <c r="AO108" s="247" t="str">
        <f t="shared" si="37"/>
        <v/>
      </c>
      <c r="AP108" s="247" t="str">
        <f t="shared" si="38"/>
        <v/>
      </c>
      <c r="AU108" s="247" t="str">
        <f t="shared" si="39"/>
        <v/>
      </c>
      <c r="AV108" s="247" t="str">
        <f t="shared" si="40"/>
        <v/>
      </c>
    </row>
    <row r="109" spans="1:48" ht="24" x14ac:dyDescent="0.2">
      <c r="A109" s="428" t="s">
        <v>739</v>
      </c>
      <c r="B109" s="429" t="s">
        <v>5218</v>
      </c>
      <c r="C109" s="430" t="s">
        <v>3991</v>
      </c>
      <c r="D109" s="1349" t="s">
        <v>1873</v>
      </c>
      <c r="E109" s="1350" t="s">
        <v>5157</v>
      </c>
      <c r="F109" s="1350" t="s">
        <v>5460</v>
      </c>
      <c r="G109" s="1351" t="s">
        <v>4613</v>
      </c>
      <c r="H109" s="1342" t="s">
        <v>1465</v>
      </c>
      <c r="I109" s="432" t="s">
        <v>1880</v>
      </c>
      <c r="J109" s="431"/>
      <c r="K109" s="431"/>
      <c r="L109" s="431"/>
      <c r="M109" s="433"/>
      <c r="N109" s="434"/>
      <c r="O109" s="1743" t="str">
        <f>VLOOKUP(B109,code_famille_scénario,2)&amp;" : "&amp;VLOOKUP(C109,code_actif,2)&amp;", suite "&amp;VLOOKUP(I109,code_event,2)</f>
        <v>Perte accidentelle de données en transit : messages ou transactions en attente de traitement, suite à un incident d'exploitation</v>
      </c>
      <c r="P109" s="435">
        <v>1</v>
      </c>
      <c r="Q109" s="1595" t="s">
        <v>1431</v>
      </c>
      <c r="R109" s="1595" t="s">
        <v>1873</v>
      </c>
      <c r="S109" s="1595" t="str">
        <f>Classif!C9</f>
        <v/>
      </c>
      <c r="T109" s="1595">
        <f t="shared" ref="T109:T114" si="60">VLOOKUP(H109&amp;"."&amp;I109,Tab_event,4)</f>
        <v>3</v>
      </c>
      <c r="U109" s="1744" t="str">
        <f t="shared" ref="U109:U114" si="61">IF(AND(NOT(S109=""),NOT(T109="")),INDEX(base_g,5-S109,T109),"")</f>
        <v/>
      </c>
      <c r="V109" s="1745">
        <v>1</v>
      </c>
      <c r="W109" s="1745">
        <f>S08A03</f>
        <v>1</v>
      </c>
      <c r="X109" s="1745">
        <v>1</v>
      </c>
      <c r="Y109" s="1745">
        <f t="shared" ref="Y109:Y114" si="62">S09F03</f>
        <v>1</v>
      </c>
      <c r="Z109" s="1746">
        <v>0</v>
      </c>
      <c r="AA109" s="1747"/>
      <c r="AB109" s="1748"/>
      <c r="AC109" s="1748"/>
      <c r="AD109" s="1595" t="str">
        <f t="shared" si="44"/>
        <v/>
      </c>
      <c r="AE109" s="1595">
        <f t="shared" ref="AE109:AE114" si="63">IF(OR(Q109="",T109=""),"",IF(Q109="A",INDEX(base_p,4,W109+7*(T109-1)),IF(Q109="E",INDEX(base_p,15,W109+7*(T109-1)),INDEX(base_p,27-V109,W109+7*(T109-1)))))</f>
        <v>3</v>
      </c>
      <c r="AF109" s="1595" t="str">
        <f t="shared" ref="AF109:AF114" si="64">IF(AT109=1,IF(IndG=1,U109,IF(AND(OR(NOT(AD109=""),NOT(AB109="")),OR(NOT(AE109=""),NOT(AC109="")),AT109=1),INDEX(base_g,5-IF(AB109="",AD109,AB109),IF(AC109="",AE109,AC109)),"")),0)</f>
        <v/>
      </c>
      <c r="AG109" s="1748"/>
      <c r="AH109" s="1749" t="str">
        <f t="shared" si="47"/>
        <v/>
      </c>
      <c r="AI109" s="1615"/>
      <c r="AJ109" s="1616" t="s">
        <v>4324</v>
      </c>
      <c r="AK109" s="1621"/>
      <c r="AL109" s="1630" t="s">
        <v>4211</v>
      </c>
      <c r="AM109" s="247" t="str">
        <f t="shared" si="35"/>
        <v/>
      </c>
      <c r="AN109" s="247" t="str">
        <f t="shared" si="36"/>
        <v/>
      </c>
      <c r="AO109" s="247" t="str">
        <f t="shared" si="37"/>
        <v/>
      </c>
      <c r="AP109" s="247" t="str">
        <f t="shared" si="38"/>
        <v/>
      </c>
      <c r="AQ109" s="42">
        <f t="shared" ref="AQ109:AQ114" si="65">VLOOKUP(LEFT(C109,3),Tab_classif_data,6)</f>
        <v>1</v>
      </c>
      <c r="AR109" s="42">
        <f t="shared" ref="AR109:AR114" si="66">VLOOKUP(G109,select_vul_data,2)</f>
        <v>1</v>
      </c>
      <c r="AS109" s="42">
        <f t="shared" ref="AS109:AS114" si="67">VLOOKUP(H109&amp;"."&amp;I109,select_men,5)</f>
        <v>1</v>
      </c>
      <c r="AT109" s="42">
        <f t="shared" ref="AT109:AT114" si="68">P109*AQ109*AR109*AS109</f>
        <v>1</v>
      </c>
      <c r="AU109" s="247" t="str">
        <f t="shared" si="39"/>
        <v/>
      </c>
      <c r="AV109" s="247" t="str">
        <f t="shared" si="40"/>
        <v/>
      </c>
    </row>
    <row r="110" spans="1:48" ht="24" x14ac:dyDescent="0.2">
      <c r="A110" s="428" t="s">
        <v>740</v>
      </c>
      <c r="B110" s="429" t="s">
        <v>5218</v>
      </c>
      <c r="C110" s="430" t="s">
        <v>3991</v>
      </c>
      <c r="D110" s="1349" t="s">
        <v>1873</v>
      </c>
      <c r="E110" s="1350" t="s">
        <v>5157</v>
      </c>
      <c r="F110" s="1350" t="s">
        <v>5460</v>
      </c>
      <c r="G110" s="1351" t="s">
        <v>4613</v>
      </c>
      <c r="H110" s="1342" t="s">
        <v>3920</v>
      </c>
      <c r="I110" s="432" t="s">
        <v>3526</v>
      </c>
      <c r="J110" s="431"/>
      <c r="K110" s="431"/>
      <c r="L110" s="431"/>
      <c r="M110" s="433"/>
      <c r="N110" s="434"/>
      <c r="O110" s="1743" t="str">
        <f>VLOOKUP(B110,code_famille_scénario,2)&amp;" : "&amp;VLOOKUP(C110,code_actif,2)&amp;", suite "&amp;VLOOKUP(I110,code_event,2)</f>
        <v>Perte accidentelle de données en transit : messages ou transactions en attente de traitement, suite à une panne d'équipement</v>
      </c>
      <c r="P110" s="435">
        <v>1</v>
      </c>
      <c r="Q110" s="1595" t="s">
        <v>1431</v>
      </c>
      <c r="R110" s="1595" t="s">
        <v>1873</v>
      </c>
      <c r="S110" s="1595" t="str">
        <f>Classif!C9</f>
        <v/>
      </c>
      <c r="T110" s="1595">
        <f t="shared" si="60"/>
        <v>3</v>
      </c>
      <c r="U110" s="1744" t="str">
        <f t="shared" si="61"/>
        <v/>
      </c>
      <c r="V110" s="1745">
        <v>1</v>
      </c>
      <c r="W110" s="1745">
        <v>1</v>
      </c>
      <c r="X110" s="1745">
        <v>1</v>
      </c>
      <c r="Y110" s="1745">
        <f t="shared" si="62"/>
        <v>1</v>
      </c>
      <c r="Z110" s="1746">
        <v>0</v>
      </c>
      <c r="AA110" s="1747"/>
      <c r="AB110" s="1748"/>
      <c r="AC110" s="1748"/>
      <c r="AD110" s="1595" t="str">
        <f t="shared" si="44"/>
        <v/>
      </c>
      <c r="AE110" s="1595">
        <f t="shared" si="63"/>
        <v>3</v>
      </c>
      <c r="AF110" s="1595" t="str">
        <f t="shared" si="64"/>
        <v/>
      </c>
      <c r="AG110" s="1748"/>
      <c r="AH110" s="1749" t="str">
        <f t="shared" si="47"/>
        <v/>
      </c>
      <c r="AI110" s="1615"/>
      <c r="AJ110" s="1621"/>
      <c r="AK110" s="1621"/>
      <c r="AL110" s="1630" t="s">
        <v>4211</v>
      </c>
      <c r="AM110" s="247" t="str">
        <f t="shared" si="35"/>
        <v/>
      </c>
      <c r="AN110" s="247" t="str">
        <f t="shared" si="36"/>
        <v/>
      </c>
      <c r="AO110" s="247" t="str">
        <f t="shared" si="37"/>
        <v/>
      </c>
      <c r="AP110" s="247" t="str">
        <f t="shared" si="38"/>
        <v/>
      </c>
      <c r="AQ110" s="42">
        <f t="shared" si="65"/>
        <v>1</v>
      </c>
      <c r="AR110" s="42">
        <f t="shared" si="66"/>
        <v>1</v>
      </c>
      <c r="AS110" s="42">
        <f t="shared" si="67"/>
        <v>1</v>
      </c>
      <c r="AT110" s="42">
        <f t="shared" si="68"/>
        <v>1</v>
      </c>
      <c r="AU110" s="247" t="str">
        <f t="shared" si="39"/>
        <v/>
      </c>
      <c r="AV110" s="247" t="str">
        <f t="shared" si="40"/>
        <v/>
      </c>
    </row>
    <row r="111" spans="1:48" ht="24" x14ac:dyDescent="0.2">
      <c r="A111" s="428" t="s">
        <v>741</v>
      </c>
      <c r="B111" s="429" t="s">
        <v>5218</v>
      </c>
      <c r="C111" s="430" t="s">
        <v>3991</v>
      </c>
      <c r="D111" s="1349" t="s">
        <v>1873</v>
      </c>
      <c r="E111" s="1350" t="s">
        <v>5157</v>
      </c>
      <c r="F111" s="1350" t="s">
        <v>5460</v>
      </c>
      <c r="G111" s="1351" t="s">
        <v>4613</v>
      </c>
      <c r="H111" s="1342" t="s">
        <v>3919</v>
      </c>
      <c r="I111" s="432" t="s">
        <v>1535</v>
      </c>
      <c r="J111" s="431"/>
      <c r="K111" s="431"/>
      <c r="L111" s="431"/>
      <c r="M111" s="433"/>
      <c r="N111" s="434"/>
      <c r="O111" s="1743" t="str">
        <f>VLOOKUP(B111,code_famille_scénario,2)&amp;" : "&amp;VLOOKUP(C111,code_actif,2)&amp;", suite "&amp;VLOOKUP(I111,code_event,2)</f>
        <v>Perte accidentelle de données en transit : messages ou transactions en attente de traitement, suite à un incendie</v>
      </c>
      <c r="P111" s="435">
        <v>1</v>
      </c>
      <c r="Q111" s="1595" t="s">
        <v>1431</v>
      </c>
      <c r="R111" s="1595" t="s">
        <v>1873</v>
      </c>
      <c r="S111" s="1595" t="str">
        <f>Classif!C9</f>
        <v/>
      </c>
      <c r="T111" s="1595">
        <f t="shared" si="60"/>
        <v>2</v>
      </c>
      <c r="U111" s="1744" t="str">
        <f t="shared" si="61"/>
        <v/>
      </c>
      <c r="V111" s="1745">
        <v>1</v>
      </c>
      <c r="W111" s="1745">
        <f>S03D01</f>
        <v>1</v>
      </c>
      <c r="X111" s="1745">
        <v>1</v>
      </c>
      <c r="Y111" s="1745">
        <f t="shared" si="62"/>
        <v>1</v>
      </c>
      <c r="Z111" s="1746">
        <v>0</v>
      </c>
      <c r="AA111" s="1747"/>
      <c r="AB111" s="1748"/>
      <c r="AC111" s="1748"/>
      <c r="AD111" s="1595" t="str">
        <f t="shared" si="44"/>
        <v/>
      </c>
      <c r="AE111" s="1595">
        <f t="shared" si="63"/>
        <v>2</v>
      </c>
      <c r="AF111" s="1595" t="str">
        <f t="shared" si="64"/>
        <v/>
      </c>
      <c r="AG111" s="1748"/>
      <c r="AH111" s="1749" t="str">
        <f t="shared" si="47"/>
        <v/>
      </c>
      <c r="AI111" s="1615"/>
      <c r="AJ111" s="1621" t="s">
        <v>5225</v>
      </c>
      <c r="AK111" s="1621"/>
      <c r="AL111" s="1630" t="s">
        <v>4211</v>
      </c>
      <c r="AM111" s="247" t="str">
        <f t="shared" si="35"/>
        <v/>
      </c>
      <c r="AN111" s="247" t="str">
        <f t="shared" si="36"/>
        <v/>
      </c>
      <c r="AO111" s="247" t="str">
        <f t="shared" si="37"/>
        <v/>
      </c>
      <c r="AP111" s="247" t="str">
        <f t="shared" si="38"/>
        <v/>
      </c>
      <c r="AQ111" s="42">
        <f t="shared" si="65"/>
        <v>1</v>
      </c>
      <c r="AR111" s="42">
        <f t="shared" si="66"/>
        <v>1</v>
      </c>
      <c r="AS111" s="42">
        <f t="shared" si="67"/>
        <v>1</v>
      </c>
      <c r="AT111" s="42">
        <f t="shared" si="68"/>
        <v>1</v>
      </c>
      <c r="AU111" s="247" t="str">
        <f t="shared" si="39"/>
        <v/>
      </c>
      <c r="AV111" s="247" t="str">
        <f t="shared" si="40"/>
        <v/>
      </c>
    </row>
    <row r="112" spans="1:48" ht="24" x14ac:dyDescent="0.2">
      <c r="A112" s="428" t="s">
        <v>742</v>
      </c>
      <c r="B112" s="429" t="s">
        <v>5218</v>
      </c>
      <c r="C112" s="430" t="s">
        <v>3991</v>
      </c>
      <c r="D112" s="1349" t="s">
        <v>1873</v>
      </c>
      <c r="E112" s="1350" t="s">
        <v>5157</v>
      </c>
      <c r="F112" s="1350" t="s">
        <v>5460</v>
      </c>
      <c r="G112" s="1351" t="s">
        <v>4613</v>
      </c>
      <c r="H112" s="1342" t="s">
        <v>3919</v>
      </c>
      <c r="I112" s="432" t="s">
        <v>1536</v>
      </c>
      <c r="J112" s="431"/>
      <c r="K112" s="431"/>
      <c r="L112" s="431"/>
      <c r="M112" s="433"/>
      <c r="N112" s="434"/>
      <c r="O112" s="1743" t="str">
        <f>VLOOKUP(B112,code_famille_scénario,2)&amp;" : "&amp;VLOOKUP(C112,code_actif,2)&amp;", suite "&amp;VLOOKUP(I112,code_event,2)</f>
        <v>Perte accidentelle de données en transit : messages ou transactions en attente de traitement, suite à une inondation</v>
      </c>
      <c r="P112" s="435">
        <v>1</v>
      </c>
      <c r="Q112" s="1595" t="s">
        <v>1431</v>
      </c>
      <c r="R112" s="1595" t="s">
        <v>1873</v>
      </c>
      <c r="S112" s="1595" t="str">
        <f>Classif!C9</f>
        <v/>
      </c>
      <c r="T112" s="1595">
        <f t="shared" si="60"/>
        <v>2</v>
      </c>
      <c r="U112" s="1744" t="str">
        <f t="shared" si="61"/>
        <v/>
      </c>
      <c r="V112" s="1745">
        <v>1</v>
      </c>
      <c r="W112" s="1745">
        <f>S03C01</f>
        <v>1</v>
      </c>
      <c r="X112" s="1745">
        <v>1</v>
      </c>
      <c r="Y112" s="1745">
        <f t="shared" si="62"/>
        <v>1</v>
      </c>
      <c r="Z112" s="1746">
        <v>0</v>
      </c>
      <c r="AA112" s="1747"/>
      <c r="AB112" s="1748"/>
      <c r="AC112" s="1748"/>
      <c r="AD112" s="1595" t="str">
        <f t="shared" si="44"/>
        <v/>
      </c>
      <c r="AE112" s="1595">
        <f t="shared" si="63"/>
        <v>2</v>
      </c>
      <c r="AF112" s="1595" t="str">
        <f t="shared" si="64"/>
        <v/>
      </c>
      <c r="AG112" s="1748"/>
      <c r="AH112" s="1749" t="str">
        <f t="shared" si="47"/>
        <v/>
      </c>
      <c r="AI112" s="1615"/>
      <c r="AJ112" s="1621" t="s">
        <v>5220</v>
      </c>
      <c r="AK112" s="1621"/>
      <c r="AL112" s="1630" t="s">
        <v>4211</v>
      </c>
      <c r="AM112" s="247" t="str">
        <f t="shared" si="35"/>
        <v/>
      </c>
      <c r="AN112" s="247" t="str">
        <f t="shared" si="36"/>
        <v/>
      </c>
      <c r="AO112" s="247" t="str">
        <f t="shared" si="37"/>
        <v/>
      </c>
      <c r="AP112" s="247" t="str">
        <f t="shared" si="38"/>
        <v/>
      </c>
      <c r="AQ112" s="42">
        <f t="shared" si="65"/>
        <v>1</v>
      </c>
      <c r="AR112" s="42">
        <f t="shared" si="66"/>
        <v>1</v>
      </c>
      <c r="AS112" s="42">
        <f t="shared" si="67"/>
        <v>1</v>
      </c>
      <c r="AT112" s="42">
        <f t="shared" si="68"/>
        <v>1</v>
      </c>
      <c r="AU112" s="247" t="str">
        <f t="shared" si="39"/>
        <v/>
      </c>
      <c r="AV112" s="247" t="str">
        <f t="shared" si="40"/>
        <v/>
      </c>
    </row>
    <row r="113" spans="1:48" ht="24" x14ac:dyDescent="0.2">
      <c r="A113" s="428" t="s">
        <v>743</v>
      </c>
      <c r="B113" s="429" t="s">
        <v>5273</v>
      </c>
      <c r="C113" s="430" t="s">
        <v>3991</v>
      </c>
      <c r="D113" s="1349" t="s">
        <v>1873</v>
      </c>
      <c r="E113" s="1350" t="s">
        <v>5477</v>
      </c>
      <c r="F113" s="1350" t="s">
        <v>2779</v>
      </c>
      <c r="G113" s="1351" t="s">
        <v>4613</v>
      </c>
      <c r="H113" s="1342" t="s">
        <v>1328</v>
      </c>
      <c r="I113" s="432" t="s">
        <v>1546</v>
      </c>
      <c r="J113" s="431"/>
      <c r="K113" s="431"/>
      <c r="L113" s="431"/>
      <c r="M113" s="433"/>
      <c r="N113" s="434" t="s">
        <v>6403</v>
      </c>
      <c r="O113" s="1743" t="str">
        <f>VLOOKUP(B113,code_famille_scénario,2)&amp;" : "&amp;VLOOKUP(I113,code_event,2)&amp;" de "&amp;E113&amp;" par "&amp;VLOOKUP(N113,code_acteur,2)</f>
        <v>Destruction malveillante de données en transit : effacement de Données par un membre du personnel d'exploitation</v>
      </c>
      <c r="P113" s="435">
        <v>1</v>
      </c>
      <c r="Q113" s="1595" t="s">
        <v>1299</v>
      </c>
      <c r="R113" s="1595" t="s">
        <v>1873</v>
      </c>
      <c r="S113" s="1595" t="str">
        <f>Classif!C9</f>
        <v/>
      </c>
      <c r="T113" s="1595">
        <f t="shared" si="60"/>
        <v>2</v>
      </c>
      <c r="U113" s="1744" t="str">
        <f t="shared" si="61"/>
        <v/>
      </c>
      <c r="V113" s="1745">
        <f>MIN(S08F02,S08F03)</f>
        <v>1</v>
      </c>
      <c r="W113" s="1745">
        <v>1</v>
      </c>
      <c r="X113" s="1745">
        <v>1</v>
      </c>
      <c r="Y113" s="1745">
        <f t="shared" si="62"/>
        <v>1</v>
      </c>
      <c r="Z113" s="1746">
        <v>0</v>
      </c>
      <c r="AA113" s="1747"/>
      <c r="AB113" s="1748"/>
      <c r="AC113" s="1748"/>
      <c r="AD113" s="1595" t="str">
        <f t="shared" si="44"/>
        <v/>
      </c>
      <c r="AE113" s="1595">
        <f t="shared" si="63"/>
        <v>2</v>
      </c>
      <c r="AF113" s="1595" t="str">
        <f t="shared" si="64"/>
        <v/>
      </c>
      <c r="AG113" s="1748"/>
      <c r="AH113" s="1749" t="str">
        <f t="shared" si="47"/>
        <v/>
      </c>
      <c r="AI113" s="1622" t="s">
        <v>6495</v>
      </c>
      <c r="AJ113" s="1621"/>
      <c r="AK113" s="1621"/>
      <c r="AL113" s="1630" t="s">
        <v>4211</v>
      </c>
      <c r="AM113" s="247" t="str">
        <f t="shared" si="35"/>
        <v/>
      </c>
      <c r="AN113" s="247" t="str">
        <f t="shared" si="36"/>
        <v/>
      </c>
      <c r="AO113" s="247" t="str">
        <f t="shared" si="37"/>
        <v/>
      </c>
      <c r="AP113" s="247" t="str">
        <f t="shared" si="38"/>
        <v/>
      </c>
      <c r="AQ113" s="42">
        <f t="shared" si="65"/>
        <v>1</v>
      </c>
      <c r="AR113" s="42">
        <f t="shared" si="66"/>
        <v>1</v>
      </c>
      <c r="AS113" s="42">
        <f t="shared" si="67"/>
        <v>1</v>
      </c>
      <c r="AT113" s="42">
        <f t="shared" si="68"/>
        <v>1</v>
      </c>
      <c r="AU113" s="247" t="str">
        <f t="shared" si="39"/>
        <v/>
      </c>
      <c r="AV113" s="247" t="str">
        <f t="shared" si="40"/>
        <v/>
      </c>
    </row>
    <row r="114" spans="1:48" ht="24" x14ac:dyDescent="0.2">
      <c r="A114" s="428" t="s">
        <v>744</v>
      </c>
      <c r="B114" s="429" t="s">
        <v>5273</v>
      </c>
      <c r="C114" s="430" t="s">
        <v>3991</v>
      </c>
      <c r="D114" s="1349" t="s">
        <v>1873</v>
      </c>
      <c r="E114" s="1350" t="s">
        <v>5477</v>
      </c>
      <c r="F114" s="1350" t="s">
        <v>2779</v>
      </c>
      <c r="G114" s="1351" t="s">
        <v>4613</v>
      </c>
      <c r="H114" s="1342" t="s">
        <v>1328</v>
      </c>
      <c r="I114" s="432" t="s">
        <v>1546</v>
      </c>
      <c r="J114" s="431"/>
      <c r="K114" s="431"/>
      <c r="L114" s="431"/>
      <c r="M114" s="433"/>
      <c r="N114" s="434" t="s">
        <v>3518</v>
      </c>
      <c r="O114" s="1743" t="str">
        <f>VLOOKUP(B114,code_famille_scénario,2)&amp;" : "&amp;VLOOKUP(I114,code_event,2)&amp;" de "&amp;E114&amp;" par "&amp;VLOOKUP(N114,code_acteur,2)</f>
        <v>Destruction malveillante de données en transit : effacement de Données par un membre du personnel non autorisé</v>
      </c>
      <c r="P114" s="435">
        <v>1</v>
      </c>
      <c r="Q114" s="1595" t="s">
        <v>1299</v>
      </c>
      <c r="R114" s="1595" t="s">
        <v>1873</v>
      </c>
      <c r="S114" s="1595" t="str">
        <f>Classif!C9</f>
        <v/>
      </c>
      <c r="T114" s="1595">
        <f t="shared" si="60"/>
        <v>2</v>
      </c>
      <c r="U114" s="1744" t="str">
        <f t="shared" si="61"/>
        <v/>
      </c>
      <c r="V114" s="1745">
        <v>1</v>
      </c>
      <c r="W114" s="1745">
        <f>MIN(S08F02,S07A03,S07A04)</f>
        <v>1</v>
      </c>
      <c r="X114" s="1745">
        <v>1</v>
      </c>
      <c r="Y114" s="1745">
        <f t="shared" si="62"/>
        <v>1</v>
      </c>
      <c r="Z114" s="1746">
        <v>0</v>
      </c>
      <c r="AA114" s="1747"/>
      <c r="AB114" s="1748"/>
      <c r="AC114" s="1748"/>
      <c r="AD114" s="1595" t="str">
        <f t="shared" si="44"/>
        <v/>
      </c>
      <c r="AE114" s="1595">
        <f t="shared" si="63"/>
        <v>2</v>
      </c>
      <c r="AF114" s="1595" t="str">
        <f t="shared" si="64"/>
        <v/>
      </c>
      <c r="AG114" s="1748"/>
      <c r="AH114" s="1749" t="str">
        <f t="shared" si="47"/>
        <v/>
      </c>
      <c r="AI114" s="1615"/>
      <c r="AJ114" s="1616" t="s">
        <v>4910</v>
      </c>
      <c r="AK114" s="1621"/>
      <c r="AL114" s="1630" t="s">
        <v>4211</v>
      </c>
      <c r="AM114" s="247" t="str">
        <f t="shared" si="35"/>
        <v/>
      </c>
      <c r="AN114" s="247" t="str">
        <f t="shared" si="36"/>
        <v/>
      </c>
      <c r="AO114" s="247" t="str">
        <f t="shared" si="37"/>
        <v/>
      </c>
      <c r="AP114" s="247" t="str">
        <f t="shared" si="38"/>
        <v/>
      </c>
      <c r="AQ114" s="42">
        <f t="shared" si="65"/>
        <v>1</v>
      </c>
      <c r="AR114" s="42">
        <f t="shared" si="66"/>
        <v>1</v>
      </c>
      <c r="AS114" s="42">
        <f t="shared" si="67"/>
        <v>1</v>
      </c>
      <c r="AT114" s="42">
        <f t="shared" si="68"/>
        <v>1</v>
      </c>
      <c r="AU114" s="247" t="str">
        <f t="shared" si="39"/>
        <v/>
      </c>
      <c r="AV114" s="247" t="str">
        <f t="shared" si="40"/>
        <v/>
      </c>
    </row>
    <row r="115" spans="1:48" ht="15" x14ac:dyDescent="0.2">
      <c r="A115" s="418" t="s">
        <v>4838</v>
      </c>
      <c r="B115" s="419"/>
      <c r="C115" s="420" t="s">
        <v>2469</v>
      </c>
      <c r="D115" s="425"/>
      <c r="E115" s="1348"/>
      <c r="F115" s="1348"/>
      <c r="G115" s="1352"/>
      <c r="H115" s="1341"/>
      <c r="I115" s="447"/>
      <c r="J115" s="441"/>
      <c r="K115" s="441"/>
      <c r="L115" s="441"/>
      <c r="M115" s="442"/>
      <c r="N115" s="422"/>
      <c r="O115" s="1752"/>
      <c r="P115" s="435"/>
      <c r="Q115" s="1595"/>
      <c r="R115" s="1595"/>
      <c r="S115" s="1595"/>
      <c r="T115" s="1595"/>
      <c r="U115" s="1744"/>
      <c r="V115" s="1745"/>
      <c r="W115" s="1745"/>
      <c r="X115" s="1745"/>
      <c r="Y115" s="1745"/>
      <c r="Z115" s="1746"/>
      <c r="AA115" s="1747"/>
      <c r="AB115" s="1748"/>
      <c r="AC115" s="1748"/>
      <c r="AD115" s="1595"/>
      <c r="AE115" s="1753"/>
      <c r="AF115" s="1595"/>
      <c r="AG115" s="1748"/>
      <c r="AH115" s="1749"/>
      <c r="AI115" s="1627"/>
      <c r="AJ115" s="1628"/>
      <c r="AK115" s="1628"/>
      <c r="AL115" s="1629"/>
      <c r="AM115" s="247" t="str">
        <f t="shared" si="35"/>
        <v/>
      </c>
      <c r="AN115" s="247" t="str">
        <f t="shared" si="36"/>
        <v/>
      </c>
      <c r="AO115" s="247" t="str">
        <f t="shared" si="37"/>
        <v/>
      </c>
      <c r="AP115" s="247" t="str">
        <f t="shared" si="38"/>
        <v/>
      </c>
      <c r="AU115" s="247" t="str">
        <f t="shared" si="39"/>
        <v/>
      </c>
      <c r="AV115" s="247" t="str">
        <f t="shared" si="40"/>
        <v/>
      </c>
    </row>
    <row r="116" spans="1:48" ht="24" x14ac:dyDescent="0.2">
      <c r="A116" s="428" t="s">
        <v>745</v>
      </c>
      <c r="B116" s="429" t="s">
        <v>5218</v>
      </c>
      <c r="C116" s="430" t="s">
        <v>5461</v>
      </c>
      <c r="D116" s="1349" t="s">
        <v>1873</v>
      </c>
      <c r="E116" s="1350" t="s">
        <v>5419</v>
      </c>
      <c r="F116" s="1350" t="s">
        <v>5460</v>
      </c>
      <c r="G116" s="1351" t="s">
        <v>4613</v>
      </c>
      <c r="H116" s="1342" t="s">
        <v>1465</v>
      </c>
      <c r="I116" s="432" t="s">
        <v>1880</v>
      </c>
      <c r="J116" s="431"/>
      <c r="K116" s="431"/>
      <c r="L116" s="431"/>
      <c r="M116" s="433"/>
      <c r="N116" s="434"/>
      <c r="O116" s="1743" t="str">
        <f t="shared" ref="O116:O122" si="69">VLOOKUP(B116,code_famille_scénario,2)&amp;" : "&amp;VLOOKUP(C116,code_actif,2)&amp;", suite "&amp;VLOOKUP(I116,code_event,2)</f>
        <v>Perte accidentelle de données en transit : courrier électronique en cours d'envoi ou de réception, suite à un incident d'exploitation</v>
      </c>
      <c r="P116" s="435">
        <v>1</v>
      </c>
      <c r="Q116" s="1595" t="s">
        <v>1431</v>
      </c>
      <c r="R116" s="1595" t="s">
        <v>1873</v>
      </c>
      <c r="S116" s="1595" t="str">
        <f>Classif!C10</f>
        <v/>
      </c>
      <c r="T116" s="1595">
        <f t="shared" ref="T116:T124" si="70">VLOOKUP(H116&amp;"."&amp;I116,Tab_event,4)</f>
        <v>3</v>
      </c>
      <c r="U116" s="1744" t="str">
        <f t="shared" ref="U116:U124" si="71">IF(AND(NOT(S116=""),NOT(T116="")),INDEX(base_g,5-S116,T116),"")</f>
        <v/>
      </c>
      <c r="V116" s="1745">
        <v>1</v>
      </c>
      <c r="W116" s="1745">
        <f>S08A03</f>
        <v>1</v>
      </c>
      <c r="X116" s="1745">
        <v>1</v>
      </c>
      <c r="Y116" s="1745">
        <f t="shared" ref="Y116:Y124" si="72">S11C05</f>
        <v>1</v>
      </c>
      <c r="Z116" s="1746">
        <v>0</v>
      </c>
      <c r="AA116" s="1747"/>
      <c r="AB116" s="1748"/>
      <c r="AC116" s="1748"/>
      <c r="AD116" s="1595" t="str">
        <f t="shared" si="44"/>
        <v/>
      </c>
      <c r="AE116" s="1595">
        <f t="shared" ref="AE116:AE124" si="73">IF(OR(Q116="",T116=""),"",IF(Q116="A",INDEX(base_p,4,W116+7*(T116-1)),IF(Q116="E",INDEX(base_p,15,W116+7*(T116-1)),INDEX(base_p,27-V116,W116+7*(T116-1)))))</f>
        <v>3</v>
      </c>
      <c r="AF116" s="1595" t="str">
        <f t="shared" ref="AF116:AF124" si="74">IF(AT116=1,IF(IndG=1,U116,IF(AND(OR(NOT(AD116=""),NOT(AB116="")),OR(NOT(AE116=""),NOT(AC116="")),AT116=1),INDEX(base_g,5-IF(AB116="",AD116,AB116),IF(AC116="",AE116,AC116)),"")),0)</f>
        <v/>
      </c>
      <c r="AG116" s="1748"/>
      <c r="AH116" s="1749" t="str">
        <f t="shared" si="47"/>
        <v/>
      </c>
      <c r="AI116" s="1615"/>
      <c r="AJ116" s="1616" t="s">
        <v>4324</v>
      </c>
      <c r="AK116" s="1621"/>
      <c r="AL116" s="1630" t="s">
        <v>1597</v>
      </c>
      <c r="AM116" s="247" t="str">
        <f t="shared" si="35"/>
        <v/>
      </c>
      <c r="AN116" s="247" t="str">
        <f t="shared" si="36"/>
        <v/>
      </c>
      <c r="AO116" s="247" t="str">
        <f t="shared" si="37"/>
        <v/>
      </c>
      <c r="AP116" s="247" t="str">
        <f t="shared" si="38"/>
        <v/>
      </c>
      <c r="AQ116" s="42">
        <f t="shared" ref="AQ116:AQ124" si="75">VLOOKUP(LEFT(C116,3),Tab_classif_data,6)</f>
        <v>1</v>
      </c>
      <c r="AR116" s="42">
        <f t="shared" ref="AR116:AR124" si="76">VLOOKUP(G116,select_vul_data,2)</f>
        <v>1</v>
      </c>
      <c r="AS116" s="42">
        <f t="shared" ref="AS116:AS124" si="77">VLOOKUP(H116&amp;"."&amp;I116,select_men,5)</f>
        <v>1</v>
      </c>
      <c r="AT116" s="42">
        <f t="shared" ref="AT116:AT124" si="78">P116*AQ116*AR116*AS116</f>
        <v>1</v>
      </c>
      <c r="AU116" s="247" t="str">
        <f t="shared" si="39"/>
        <v/>
      </c>
      <c r="AV116" s="247" t="str">
        <f t="shared" si="40"/>
        <v/>
      </c>
    </row>
    <row r="117" spans="1:48" ht="24" x14ac:dyDescent="0.2">
      <c r="A117" s="428" t="s">
        <v>746</v>
      </c>
      <c r="B117" s="429" t="s">
        <v>5218</v>
      </c>
      <c r="C117" s="430" t="s">
        <v>5461</v>
      </c>
      <c r="D117" s="1349" t="s">
        <v>1873</v>
      </c>
      <c r="E117" s="1350" t="s">
        <v>5419</v>
      </c>
      <c r="F117" s="1350" t="s">
        <v>5460</v>
      </c>
      <c r="G117" s="1351" t="s">
        <v>4613</v>
      </c>
      <c r="H117" s="1342" t="s">
        <v>3920</v>
      </c>
      <c r="I117" s="432" t="s">
        <v>3526</v>
      </c>
      <c r="J117" s="431"/>
      <c r="K117" s="431"/>
      <c r="L117" s="431"/>
      <c r="M117" s="433"/>
      <c r="N117" s="434"/>
      <c r="O117" s="1743" t="str">
        <f t="shared" si="69"/>
        <v>Perte accidentelle de données en transit : courrier électronique en cours d'envoi ou de réception, suite à une panne d'équipement</v>
      </c>
      <c r="P117" s="435">
        <v>1</v>
      </c>
      <c r="Q117" s="1595" t="s">
        <v>1431</v>
      </c>
      <c r="R117" s="1595" t="s">
        <v>1873</v>
      </c>
      <c r="S117" s="1595" t="str">
        <f>Classif!C10</f>
        <v/>
      </c>
      <c r="T117" s="1595">
        <f t="shared" si="70"/>
        <v>3</v>
      </c>
      <c r="U117" s="1744" t="str">
        <f t="shared" si="71"/>
        <v/>
      </c>
      <c r="V117" s="1745">
        <v>1</v>
      </c>
      <c r="W117" s="1745">
        <v>1</v>
      </c>
      <c r="X117" s="1745">
        <v>1</v>
      </c>
      <c r="Y117" s="1745">
        <f t="shared" si="72"/>
        <v>1</v>
      </c>
      <c r="Z117" s="1746">
        <v>0</v>
      </c>
      <c r="AA117" s="1747"/>
      <c r="AB117" s="1748"/>
      <c r="AC117" s="1748"/>
      <c r="AD117" s="1595" t="str">
        <f t="shared" si="44"/>
        <v/>
      </c>
      <c r="AE117" s="1595">
        <f t="shared" si="73"/>
        <v>3</v>
      </c>
      <c r="AF117" s="1595" t="str">
        <f t="shared" si="74"/>
        <v/>
      </c>
      <c r="AG117" s="1748"/>
      <c r="AH117" s="1749" t="str">
        <f t="shared" si="47"/>
        <v/>
      </c>
      <c r="AI117" s="1615"/>
      <c r="AJ117" s="1621"/>
      <c r="AK117" s="1621"/>
      <c r="AL117" s="1630" t="s">
        <v>1597</v>
      </c>
      <c r="AM117" s="247" t="str">
        <f t="shared" si="35"/>
        <v/>
      </c>
      <c r="AN117" s="247" t="str">
        <f t="shared" si="36"/>
        <v/>
      </c>
      <c r="AO117" s="247" t="str">
        <f t="shared" si="37"/>
        <v/>
      </c>
      <c r="AP117" s="247" t="str">
        <f t="shared" si="38"/>
        <v/>
      </c>
      <c r="AQ117" s="42">
        <f t="shared" si="75"/>
        <v>1</v>
      </c>
      <c r="AR117" s="42">
        <f t="shared" si="76"/>
        <v>1</v>
      </c>
      <c r="AS117" s="42">
        <f t="shared" si="77"/>
        <v>1</v>
      </c>
      <c r="AT117" s="42">
        <f t="shared" si="78"/>
        <v>1</v>
      </c>
      <c r="AU117" s="247" t="str">
        <f t="shared" si="39"/>
        <v/>
      </c>
      <c r="AV117" s="247" t="str">
        <f t="shared" si="40"/>
        <v/>
      </c>
    </row>
    <row r="118" spans="1:48" ht="24" x14ac:dyDescent="0.2">
      <c r="A118" s="428" t="s">
        <v>747</v>
      </c>
      <c r="B118" s="429" t="s">
        <v>5218</v>
      </c>
      <c r="C118" s="430" t="s">
        <v>5461</v>
      </c>
      <c r="D118" s="1349" t="s">
        <v>1873</v>
      </c>
      <c r="E118" s="1350" t="s">
        <v>5419</v>
      </c>
      <c r="F118" s="1350" t="s">
        <v>5460</v>
      </c>
      <c r="G118" s="1351" t="s">
        <v>4613</v>
      </c>
      <c r="H118" s="1342" t="s">
        <v>3919</v>
      </c>
      <c r="I118" s="432" t="s">
        <v>1535</v>
      </c>
      <c r="J118" s="431"/>
      <c r="K118" s="431"/>
      <c r="L118" s="431"/>
      <c r="M118" s="433"/>
      <c r="N118" s="434"/>
      <c r="O118" s="1743" t="str">
        <f t="shared" si="69"/>
        <v>Perte accidentelle de données en transit : courrier électronique en cours d'envoi ou de réception, suite à un incendie</v>
      </c>
      <c r="P118" s="435">
        <v>1</v>
      </c>
      <c r="Q118" s="1595" t="s">
        <v>1431</v>
      </c>
      <c r="R118" s="1595" t="s">
        <v>1873</v>
      </c>
      <c r="S118" s="1595" t="str">
        <f>Classif!C10</f>
        <v/>
      </c>
      <c r="T118" s="1595">
        <f t="shared" si="70"/>
        <v>2</v>
      </c>
      <c r="U118" s="1744" t="str">
        <f t="shared" si="71"/>
        <v/>
      </c>
      <c r="V118" s="1745">
        <v>1</v>
      </c>
      <c r="W118" s="1745">
        <f>S03D01</f>
        <v>1</v>
      </c>
      <c r="X118" s="1745">
        <v>1</v>
      </c>
      <c r="Y118" s="1745">
        <f t="shared" si="72"/>
        <v>1</v>
      </c>
      <c r="Z118" s="1746">
        <v>0</v>
      </c>
      <c r="AA118" s="1747"/>
      <c r="AB118" s="1748"/>
      <c r="AC118" s="1748"/>
      <c r="AD118" s="1595" t="str">
        <f t="shared" si="44"/>
        <v/>
      </c>
      <c r="AE118" s="1595">
        <f t="shared" si="73"/>
        <v>2</v>
      </c>
      <c r="AF118" s="1595" t="str">
        <f t="shared" si="74"/>
        <v/>
      </c>
      <c r="AG118" s="1748"/>
      <c r="AH118" s="1749" t="str">
        <f t="shared" si="47"/>
        <v/>
      </c>
      <c r="AI118" s="1615"/>
      <c r="AJ118" s="1621" t="s">
        <v>5225</v>
      </c>
      <c r="AK118" s="1621"/>
      <c r="AL118" s="1630" t="s">
        <v>1597</v>
      </c>
      <c r="AM118" s="247" t="str">
        <f t="shared" si="35"/>
        <v/>
      </c>
      <c r="AN118" s="247" t="str">
        <f t="shared" si="36"/>
        <v/>
      </c>
      <c r="AO118" s="247" t="str">
        <f t="shared" si="37"/>
        <v/>
      </c>
      <c r="AP118" s="247" t="str">
        <f t="shared" si="38"/>
        <v/>
      </c>
      <c r="AQ118" s="42">
        <f t="shared" si="75"/>
        <v>1</v>
      </c>
      <c r="AR118" s="42">
        <f t="shared" si="76"/>
        <v>1</v>
      </c>
      <c r="AS118" s="42">
        <f t="shared" si="77"/>
        <v>1</v>
      </c>
      <c r="AT118" s="42">
        <f t="shared" si="78"/>
        <v>1</v>
      </c>
      <c r="AU118" s="247" t="str">
        <f t="shared" si="39"/>
        <v/>
      </c>
      <c r="AV118" s="247" t="str">
        <f t="shared" si="40"/>
        <v/>
      </c>
    </row>
    <row r="119" spans="1:48" ht="24" x14ac:dyDescent="0.2">
      <c r="A119" s="428" t="s">
        <v>748</v>
      </c>
      <c r="B119" s="429" t="s">
        <v>5218</v>
      </c>
      <c r="C119" s="430" t="s">
        <v>5461</v>
      </c>
      <c r="D119" s="1349" t="s">
        <v>1873</v>
      </c>
      <c r="E119" s="1350" t="s">
        <v>5419</v>
      </c>
      <c r="F119" s="1350" t="s">
        <v>5460</v>
      </c>
      <c r="G119" s="1351" t="s">
        <v>4613</v>
      </c>
      <c r="H119" s="1342" t="s">
        <v>3919</v>
      </c>
      <c r="I119" s="432" t="s">
        <v>1536</v>
      </c>
      <c r="J119" s="431"/>
      <c r="K119" s="431"/>
      <c r="L119" s="431"/>
      <c r="M119" s="433"/>
      <c r="N119" s="434"/>
      <c r="O119" s="1743" t="str">
        <f t="shared" si="69"/>
        <v>Perte accidentelle de données en transit : courrier électronique en cours d'envoi ou de réception, suite à une inondation</v>
      </c>
      <c r="P119" s="435">
        <v>1</v>
      </c>
      <c r="Q119" s="1595" t="s">
        <v>1431</v>
      </c>
      <c r="R119" s="1595" t="s">
        <v>1873</v>
      </c>
      <c r="S119" s="1595" t="str">
        <f>Classif!C10</f>
        <v/>
      </c>
      <c r="T119" s="1595">
        <f t="shared" si="70"/>
        <v>2</v>
      </c>
      <c r="U119" s="1744" t="str">
        <f t="shared" si="71"/>
        <v/>
      </c>
      <c r="V119" s="1745">
        <v>1</v>
      </c>
      <c r="W119" s="1745">
        <f>S03C01</f>
        <v>1</v>
      </c>
      <c r="X119" s="1745">
        <v>1</v>
      </c>
      <c r="Y119" s="1745">
        <f t="shared" si="72"/>
        <v>1</v>
      </c>
      <c r="Z119" s="1746">
        <v>0</v>
      </c>
      <c r="AA119" s="1747"/>
      <c r="AB119" s="1748"/>
      <c r="AC119" s="1748"/>
      <c r="AD119" s="1595" t="str">
        <f t="shared" si="44"/>
        <v/>
      </c>
      <c r="AE119" s="1595">
        <f t="shared" si="73"/>
        <v>2</v>
      </c>
      <c r="AF119" s="1595" t="str">
        <f t="shared" si="74"/>
        <v/>
      </c>
      <c r="AG119" s="1748"/>
      <c r="AH119" s="1749" t="str">
        <f t="shared" si="47"/>
        <v/>
      </c>
      <c r="AI119" s="1615"/>
      <c r="AJ119" s="1621" t="s">
        <v>5220</v>
      </c>
      <c r="AK119" s="1621"/>
      <c r="AL119" s="1630" t="s">
        <v>1597</v>
      </c>
      <c r="AM119" s="247" t="str">
        <f t="shared" si="35"/>
        <v/>
      </c>
      <c r="AN119" s="247" t="str">
        <f t="shared" si="36"/>
        <v/>
      </c>
      <c r="AO119" s="247" t="str">
        <f t="shared" si="37"/>
        <v/>
      </c>
      <c r="AP119" s="247" t="str">
        <f t="shared" si="38"/>
        <v/>
      </c>
      <c r="AQ119" s="42">
        <f t="shared" si="75"/>
        <v>1</v>
      </c>
      <c r="AR119" s="42">
        <f t="shared" si="76"/>
        <v>1</v>
      </c>
      <c r="AS119" s="42">
        <f t="shared" si="77"/>
        <v>1</v>
      </c>
      <c r="AT119" s="42">
        <f t="shared" si="78"/>
        <v>1</v>
      </c>
      <c r="AU119" s="247" t="str">
        <f t="shared" si="39"/>
        <v/>
      </c>
      <c r="AV119" s="247" t="str">
        <f t="shared" si="40"/>
        <v/>
      </c>
    </row>
    <row r="120" spans="1:48" ht="24" x14ac:dyDescent="0.2">
      <c r="A120" s="428" t="s">
        <v>749</v>
      </c>
      <c r="B120" s="429" t="s">
        <v>5272</v>
      </c>
      <c r="C120" s="430" t="s">
        <v>5461</v>
      </c>
      <c r="D120" s="1349" t="s">
        <v>1873</v>
      </c>
      <c r="E120" s="1350" t="s">
        <v>5419</v>
      </c>
      <c r="F120" s="1350" t="s">
        <v>2779</v>
      </c>
      <c r="G120" s="1351" t="s">
        <v>4613</v>
      </c>
      <c r="H120" s="1342" t="s">
        <v>1327</v>
      </c>
      <c r="I120" s="432" t="s">
        <v>1545</v>
      </c>
      <c r="J120" s="431"/>
      <c r="K120" s="431"/>
      <c r="L120" s="431"/>
      <c r="M120" s="433" t="s">
        <v>5066</v>
      </c>
      <c r="N120" s="434" t="s">
        <v>2781</v>
      </c>
      <c r="O120" s="1743" t="str">
        <f t="shared" si="69"/>
        <v>Perte de données en transit par erreur : courrier électronique en cours d'envoi ou de réception, suite à une erreur de procédure</v>
      </c>
      <c r="P120" s="435">
        <v>1</v>
      </c>
      <c r="Q120" s="1595" t="s">
        <v>6403</v>
      </c>
      <c r="R120" s="1595" t="s">
        <v>1873</v>
      </c>
      <c r="S120" s="1595" t="str">
        <f>Classif!C10</f>
        <v/>
      </c>
      <c r="T120" s="1595">
        <f t="shared" si="70"/>
        <v>3</v>
      </c>
      <c r="U120" s="1744" t="str">
        <f t="shared" si="71"/>
        <v/>
      </c>
      <c r="V120" s="1745">
        <v>1</v>
      </c>
      <c r="W120" s="1745">
        <v>1</v>
      </c>
      <c r="X120" s="1745">
        <v>1</v>
      </c>
      <c r="Y120" s="1745">
        <f t="shared" si="72"/>
        <v>1</v>
      </c>
      <c r="Z120" s="1746">
        <v>0</v>
      </c>
      <c r="AA120" s="1747"/>
      <c r="AB120" s="1748"/>
      <c r="AC120" s="1748"/>
      <c r="AD120" s="1595" t="str">
        <f t="shared" si="44"/>
        <v/>
      </c>
      <c r="AE120" s="1595">
        <f t="shared" si="73"/>
        <v>3</v>
      </c>
      <c r="AF120" s="1595" t="str">
        <f t="shared" si="74"/>
        <v/>
      </c>
      <c r="AG120" s="1748"/>
      <c r="AH120" s="1749" t="str">
        <f t="shared" si="47"/>
        <v/>
      </c>
      <c r="AI120" s="1615"/>
      <c r="AJ120" s="1621"/>
      <c r="AK120" s="1618"/>
      <c r="AL120" s="1630" t="s">
        <v>1597</v>
      </c>
      <c r="AM120" s="247" t="str">
        <f t="shared" si="35"/>
        <v/>
      </c>
      <c r="AN120" s="247" t="str">
        <f t="shared" si="36"/>
        <v/>
      </c>
      <c r="AO120" s="247" t="str">
        <f t="shared" si="37"/>
        <v/>
      </c>
      <c r="AP120" s="247" t="str">
        <f t="shared" si="38"/>
        <v/>
      </c>
      <c r="AQ120" s="42">
        <f t="shared" si="75"/>
        <v>1</v>
      </c>
      <c r="AR120" s="42">
        <f t="shared" si="76"/>
        <v>1</v>
      </c>
      <c r="AS120" s="42">
        <f t="shared" si="77"/>
        <v>1</v>
      </c>
      <c r="AT120" s="42">
        <f t="shared" si="78"/>
        <v>1</v>
      </c>
      <c r="AU120" s="247" t="str">
        <f t="shared" si="39"/>
        <v/>
      </c>
      <c r="AV120" s="247" t="str">
        <f t="shared" si="40"/>
        <v/>
      </c>
    </row>
    <row r="121" spans="1:48" ht="24" x14ac:dyDescent="0.2">
      <c r="A121" s="428" t="s">
        <v>750</v>
      </c>
      <c r="B121" s="429" t="s">
        <v>5272</v>
      </c>
      <c r="C121" s="430" t="s">
        <v>5461</v>
      </c>
      <c r="D121" s="1349" t="s">
        <v>1873</v>
      </c>
      <c r="E121" s="1350" t="s">
        <v>5419</v>
      </c>
      <c r="F121" s="1350" t="s">
        <v>2779</v>
      </c>
      <c r="G121" s="1351" t="s">
        <v>4613</v>
      </c>
      <c r="H121" s="1342" t="s">
        <v>1327</v>
      </c>
      <c r="I121" s="432" t="s">
        <v>1545</v>
      </c>
      <c r="J121" s="431"/>
      <c r="K121" s="431"/>
      <c r="L121" s="431"/>
      <c r="M121" s="433" t="s">
        <v>1880</v>
      </c>
      <c r="N121" s="434" t="s">
        <v>6403</v>
      </c>
      <c r="O121" s="1743" t="str">
        <f t="shared" si="69"/>
        <v>Perte de données en transit par erreur : courrier électronique en cours d'envoi ou de réception, suite à une erreur de procédure</v>
      </c>
      <c r="P121" s="435">
        <v>1</v>
      </c>
      <c r="Q121" s="1595" t="s">
        <v>6403</v>
      </c>
      <c r="R121" s="1595" t="s">
        <v>1873</v>
      </c>
      <c r="S121" s="1595" t="str">
        <f>Classif!C10</f>
        <v/>
      </c>
      <c r="T121" s="1595">
        <f t="shared" si="70"/>
        <v>3</v>
      </c>
      <c r="U121" s="1744" t="str">
        <f t="shared" si="71"/>
        <v/>
      </c>
      <c r="V121" s="1745">
        <v>1</v>
      </c>
      <c r="W121" s="1745">
        <v>1</v>
      </c>
      <c r="X121" s="1745">
        <v>1</v>
      </c>
      <c r="Y121" s="1745">
        <f t="shared" si="72"/>
        <v>1</v>
      </c>
      <c r="Z121" s="1746">
        <v>0</v>
      </c>
      <c r="AA121" s="1747"/>
      <c r="AB121" s="1748"/>
      <c r="AC121" s="1748"/>
      <c r="AD121" s="1595" t="str">
        <f t="shared" si="44"/>
        <v/>
      </c>
      <c r="AE121" s="1595">
        <f t="shared" si="73"/>
        <v>3</v>
      </c>
      <c r="AF121" s="1595" t="str">
        <f t="shared" si="74"/>
        <v/>
      </c>
      <c r="AG121" s="1748"/>
      <c r="AH121" s="1749" t="str">
        <f t="shared" si="47"/>
        <v/>
      </c>
      <c r="AI121" s="1615"/>
      <c r="AJ121" s="1621"/>
      <c r="AK121" s="1618"/>
      <c r="AL121" s="1630" t="s">
        <v>1597</v>
      </c>
      <c r="AM121" s="247" t="str">
        <f t="shared" si="35"/>
        <v/>
      </c>
      <c r="AN121" s="247" t="str">
        <f t="shared" si="36"/>
        <v/>
      </c>
      <c r="AO121" s="247" t="str">
        <f t="shared" si="37"/>
        <v/>
      </c>
      <c r="AP121" s="247" t="str">
        <f t="shared" si="38"/>
        <v/>
      </c>
      <c r="AQ121" s="42">
        <f t="shared" si="75"/>
        <v>1</v>
      </c>
      <c r="AR121" s="42">
        <f t="shared" si="76"/>
        <v>1</v>
      </c>
      <c r="AS121" s="42">
        <f t="shared" si="77"/>
        <v>1</v>
      </c>
      <c r="AT121" s="42">
        <f t="shared" si="78"/>
        <v>1</v>
      </c>
      <c r="AU121" s="247" t="str">
        <f t="shared" si="39"/>
        <v/>
      </c>
      <c r="AV121" s="247" t="str">
        <f t="shared" si="40"/>
        <v/>
      </c>
    </row>
    <row r="122" spans="1:48" ht="24" x14ac:dyDescent="0.2">
      <c r="A122" s="428" t="s">
        <v>751</v>
      </c>
      <c r="B122" s="429" t="s">
        <v>5272</v>
      </c>
      <c r="C122" s="430" t="s">
        <v>5461</v>
      </c>
      <c r="D122" s="1349" t="s">
        <v>1873</v>
      </c>
      <c r="E122" s="1350" t="s">
        <v>5419</v>
      </c>
      <c r="F122" s="1350" t="s">
        <v>2779</v>
      </c>
      <c r="G122" s="1351" t="s">
        <v>4613</v>
      </c>
      <c r="H122" s="1342" t="s">
        <v>1327</v>
      </c>
      <c r="I122" s="432" t="s">
        <v>1545</v>
      </c>
      <c r="J122" s="431"/>
      <c r="K122" s="431"/>
      <c r="L122" s="431"/>
      <c r="M122" s="433" t="s">
        <v>1542</v>
      </c>
      <c r="N122" s="434" t="s">
        <v>1299</v>
      </c>
      <c r="O122" s="1743" t="str">
        <f t="shared" si="69"/>
        <v>Perte de données en transit par erreur : courrier électronique en cours d'envoi ou de réception, suite à une erreur de procédure</v>
      </c>
      <c r="P122" s="435">
        <v>1</v>
      </c>
      <c r="Q122" s="1595" t="s">
        <v>6403</v>
      </c>
      <c r="R122" s="1595" t="s">
        <v>1873</v>
      </c>
      <c r="S122" s="1595" t="str">
        <f>Classif!C10</f>
        <v/>
      </c>
      <c r="T122" s="1595">
        <f t="shared" si="70"/>
        <v>3</v>
      </c>
      <c r="U122" s="1744" t="str">
        <f t="shared" si="71"/>
        <v/>
      </c>
      <c r="V122" s="1745">
        <v>1</v>
      </c>
      <c r="W122" s="1745">
        <v>1</v>
      </c>
      <c r="X122" s="1745">
        <v>1</v>
      </c>
      <c r="Y122" s="1745">
        <f t="shared" si="72"/>
        <v>1</v>
      </c>
      <c r="Z122" s="1746">
        <v>0</v>
      </c>
      <c r="AA122" s="1747"/>
      <c r="AB122" s="1748"/>
      <c r="AC122" s="1748"/>
      <c r="AD122" s="1595" t="str">
        <f t="shared" si="44"/>
        <v/>
      </c>
      <c r="AE122" s="1595">
        <f t="shared" si="73"/>
        <v>3</v>
      </c>
      <c r="AF122" s="1595" t="str">
        <f t="shared" si="74"/>
        <v/>
      </c>
      <c r="AG122" s="1748"/>
      <c r="AH122" s="1749" t="str">
        <f t="shared" si="47"/>
        <v/>
      </c>
      <c r="AI122" s="1615"/>
      <c r="AJ122" s="1621"/>
      <c r="AK122" s="1618"/>
      <c r="AL122" s="1630" t="s">
        <v>1597</v>
      </c>
      <c r="AM122" s="247" t="str">
        <f t="shared" si="35"/>
        <v/>
      </c>
      <c r="AN122" s="247" t="str">
        <f t="shared" si="36"/>
        <v/>
      </c>
      <c r="AO122" s="247" t="str">
        <f t="shared" si="37"/>
        <v/>
      </c>
      <c r="AP122" s="247" t="str">
        <f t="shared" si="38"/>
        <v/>
      </c>
      <c r="AQ122" s="42">
        <f t="shared" si="75"/>
        <v>1</v>
      </c>
      <c r="AR122" s="42">
        <f t="shared" si="76"/>
        <v>1</v>
      </c>
      <c r="AS122" s="42">
        <f t="shared" si="77"/>
        <v>1</v>
      </c>
      <c r="AT122" s="42">
        <f t="shared" si="78"/>
        <v>1</v>
      </c>
      <c r="AU122" s="247" t="str">
        <f t="shared" si="39"/>
        <v/>
      </c>
      <c r="AV122" s="247" t="str">
        <f t="shared" si="40"/>
        <v/>
      </c>
    </row>
    <row r="123" spans="1:48" ht="24" x14ac:dyDescent="0.2">
      <c r="A123" s="428" t="s">
        <v>752</v>
      </c>
      <c r="B123" s="429" t="s">
        <v>5273</v>
      </c>
      <c r="C123" s="430" t="s">
        <v>5461</v>
      </c>
      <c r="D123" s="1349" t="s">
        <v>1873</v>
      </c>
      <c r="E123" s="1350" t="s">
        <v>5419</v>
      </c>
      <c r="F123" s="1350" t="s">
        <v>2779</v>
      </c>
      <c r="G123" s="1351" t="s">
        <v>4613</v>
      </c>
      <c r="H123" s="1342" t="s">
        <v>1328</v>
      </c>
      <c r="I123" s="432" t="s">
        <v>1546</v>
      </c>
      <c r="J123" s="431"/>
      <c r="K123" s="431"/>
      <c r="L123" s="431"/>
      <c r="M123" s="433"/>
      <c r="N123" s="434" t="s">
        <v>6403</v>
      </c>
      <c r="O123" s="1743" t="str">
        <f>VLOOKUP(B123,code_famille_scénario,2)&amp;" : "&amp;VLOOKUP(I123,code_event,2)&amp;" de "&amp;E123&amp;" par "&amp;VLOOKUP(N123,code_acteur,2)</f>
        <v>Destruction malveillante de données en transit : effacement de Courriel par un membre du personnel d'exploitation</v>
      </c>
      <c r="P123" s="435">
        <v>1</v>
      </c>
      <c r="Q123" s="1595" t="s">
        <v>1299</v>
      </c>
      <c r="R123" s="1595" t="s">
        <v>1873</v>
      </c>
      <c r="S123" s="1595" t="str">
        <f>Classif!C10</f>
        <v/>
      </c>
      <c r="T123" s="1595">
        <f t="shared" si="70"/>
        <v>2</v>
      </c>
      <c r="U123" s="1744" t="str">
        <f t="shared" si="71"/>
        <v/>
      </c>
      <c r="V123" s="1745">
        <f>MIN(S08F02,S08F03)</f>
        <v>1</v>
      </c>
      <c r="W123" s="1745">
        <v>1</v>
      </c>
      <c r="X123" s="1745">
        <v>1</v>
      </c>
      <c r="Y123" s="1745">
        <f t="shared" si="72"/>
        <v>1</v>
      </c>
      <c r="Z123" s="1746">
        <v>0</v>
      </c>
      <c r="AA123" s="1747"/>
      <c r="AB123" s="1748"/>
      <c r="AC123" s="1748"/>
      <c r="AD123" s="1595" t="str">
        <f t="shared" si="44"/>
        <v/>
      </c>
      <c r="AE123" s="1595">
        <f t="shared" si="73"/>
        <v>2</v>
      </c>
      <c r="AF123" s="1595" t="str">
        <f t="shared" si="74"/>
        <v/>
      </c>
      <c r="AG123" s="1748"/>
      <c r="AH123" s="1749" t="str">
        <f t="shared" si="47"/>
        <v/>
      </c>
      <c r="AI123" s="1622" t="s">
        <v>6495</v>
      </c>
      <c r="AJ123" s="1621"/>
      <c r="AK123" s="1621"/>
      <c r="AL123" s="1630" t="s">
        <v>1597</v>
      </c>
      <c r="AM123" s="247" t="str">
        <f t="shared" si="35"/>
        <v/>
      </c>
      <c r="AN123" s="247" t="str">
        <f t="shared" si="36"/>
        <v/>
      </c>
      <c r="AO123" s="247" t="str">
        <f t="shared" si="37"/>
        <v/>
      </c>
      <c r="AP123" s="247" t="str">
        <f t="shared" si="38"/>
        <v/>
      </c>
      <c r="AQ123" s="42">
        <f t="shared" si="75"/>
        <v>1</v>
      </c>
      <c r="AR123" s="42">
        <f t="shared" si="76"/>
        <v>1</v>
      </c>
      <c r="AS123" s="42">
        <f t="shared" si="77"/>
        <v>1</v>
      </c>
      <c r="AT123" s="42">
        <f t="shared" si="78"/>
        <v>1</v>
      </c>
      <c r="AU123" s="247" t="str">
        <f t="shared" si="39"/>
        <v/>
      </c>
      <c r="AV123" s="247" t="str">
        <f t="shared" si="40"/>
        <v/>
      </c>
    </row>
    <row r="124" spans="1:48" ht="24" x14ac:dyDescent="0.2">
      <c r="A124" s="428" t="s">
        <v>753</v>
      </c>
      <c r="B124" s="429" t="s">
        <v>5273</v>
      </c>
      <c r="C124" s="430" t="s">
        <v>5461</v>
      </c>
      <c r="D124" s="1349" t="s">
        <v>1873</v>
      </c>
      <c r="E124" s="1350" t="s">
        <v>5419</v>
      </c>
      <c r="F124" s="1350" t="s">
        <v>2779</v>
      </c>
      <c r="G124" s="1351" t="s">
        <v>4613</v>
      </c>
      <c r="H124" s="1342" t="s">
        <v>1328</v>
      </c>
      <c r="I124" s="432" t="s">
        <v>1546</v>
      </c>
      <c r="J124" s="431"/>
      <c r="K124" s="431"/>
      <c r="L124" s="431"/>
      <c r="M124" s="433"/>
      <c r="N124" s="434" t="s">
        <v>3518</v>
      </c>
      <c r="O124" s="1743" t="str">
        <f>VLOOKUP(B124,code_famille_scénario,2)&amp;" : "&amp;VLOOKUP(I124,code_event,2)&amp;" de "&amp;E124&amp;" par "&amp;VLOOKUP(N124,code_acteur,2)</f>
        <v>Destruction malveillante de données en transit : effacement de Courriel par un membre du personnel non autorisé</v>
      </c>
      <c r="P124" s="435">
        <v>1</v>
      </c>
      <c r="Q124" s="1595" t="s">
        <v>1299</v>
      </c>
      <c r="R124" s="1595" t="s">
        <v>1873</v>
      </c>
      <c r="S124" s="1595" t="str">
        <f>Classif!C10</f>
        <v/>
      </c>
      <c r="T124" s="1595">
        <f t="shared" si="70"/>
        <v>2</v>
      </c>
      <c r="U124" s="1744" t="str">
        <f t="shared" si="71"/>
        <v/>
      </c>
      <c r="V124" s="1745">
        <v>1</v>
      </c>
      <c r="W124" s="1745">
        <f>MIN(S08F02,S07A03,S07A04)</f>
        <v>1</v>
      </c>
      <c r="X124" s="1745">
        <v>1</v>
      </c>
      <c r="Y124" s="1745">
        <f t="shared" si="72"/>
        <v>1</v>
      </c>
      <c r="Z124" s="1746">
        <v>0</v>
      </c>
      <c r="AA124" s="1747"/>
      <c r="AB124" s="1748"/>
      <c r="AC124" s="1748"/>
      <c r="AD124" s="1595" t="str">
        <f t="shared" si="44"/>
        <v/>
      </c>
      <c r="AE124" s="1595">
        <f t="shared" si="73"/>
        <v>2</v>
      </c>
      <c r="AF124" s="1595" t="str">
        <f t="shared" si="74"/>
        <v/>
      </c>
      <c r="AG124" s="1748"/>
      <c r="AH124" s="1749" t="str">
        <f t="shared" si="47"/>
        <v/>
      </c>
      <c r="AI124" s="1615"/>
      <c r="AJ124" s="1616" t="s">
        <v>4910</v>
      </c>
      <c r="AK124" s="1621"/>
      <c r="AL124" s="1630" t="s">
        <v>1597</v>
      </c>
      <c r="AM124" s="247" t="str">
        <f t="shared" si="35"/>
        <v/>
      </c>
      <c r="AN124" s="247" t="str">
        <f t="shared" si="36"/>
        <v/>
      </c>
      <c r="AO124" s="247" t="str">
        <f t="shared" si="37"/>
        <v/>
      </c>
      <c r="AP124" s="247" t="str">
        <f t="shared" si="38"/>
        <v/>
      </c>
      <c r="AQ124" s="42">
        <f t="shared" si="75"/>
        <v>1</v>
      </c>
      <c r="AR124" s="42">
        <f t="shared" si="76"/>
        <v>1</v>
      </c>
      <c r="AS124" s="42">
        <f t="shared" si="77"/>
        <v>1</v>
      </c>
      <c r="AT124" s="42">
        <f t="shared" si="78"/>
        <v>1</v>
      </c>
      <c r="AU124" s="247" t="str">
        <f t="shared" si="39"/>
        <v/>
      </c>
      <c r="AV124" s="247" t="str">
        <f t="shared" si="40"/>
        <v/>
      </c>
    </row>
    <row r="125" spans="1:48" ht="15" x14ac:dyDescent="0.2">
      <c r="A125" s="418" t="s">
        <v>4839</v>
      </c>
      <c r="B125" s="419"/>
      <c r="C125" s="420" t="s">
        <v>2470</v>
      </c>
      <c r="D125" s="425"/>
      <c r="E125" s="1348"/>
      <c r="F125" s="1348"/>
      <c r="G125" s="1352"/>
      <c r="H125" s="1341"/>
      <c r="I125" s="447"/>
      <c r="J125" s="441"/>
      <c r="K125" s="441"/>
      <c r="L125" s="441"/>
      <c r="M125" s="442"/>
      <c r="N125" s="422"/>
      <c r="O125" s="1752"/>
      <c r="P125" s="435"/>
      <c r="Q125" s="1595"/>
      <c r="R125" s="1595"/>
      <c r="S125" s="1595"/>
      <c r="T125" s="1595"/>
      <c r="U125" s="1744"/>
      <c r="V125" s="1745"/>
      <c r="W125" s="1745"/>
      <c r="X125" s="1745"/>
      <c r="Y125" s="1745"/>
      <c r="Z125" s="1746"/>
      <c r="AA125" s="1747"/>
      <c r="AB125" s="1748"/>
      <c r="AC125" s="1748"/>
      <c r="AD125" s="1595"/>
      <c r="AE125" s="1753"/>
      <c r="AF125" s="1595"/>
      <c r="AG125" s="1748"/>
      <c r="AH125" s="1749"/>
      <c r="AI125" s="1627"/>
      <c r="AJ125" s="1628"/>
      <c r="AK125" s="1628"/>
      <c r="AL125" s="1629"/>
      <c r="AM125" s="247" t="str">
        <f t="shared" si="35"/>
        <v/>
      </c>
      <c r="AN125" s="247" t="str">
        <f t="shared" si="36"/>
        <v/>
      </c>
      <c r="AO125" s="247" t="str">
        <f t="shared" si="37"/>
        <v/>
      </c>
      <c r="AP125" s="247" t="str">
        <f t="shared" si="38"/>
        <v/>
      </c>
      <c r="AU125" s="247" t="str">
        <f t="shared" si="39"/>
        <v/>
      </c>
      <c r="AV125" s="247" t="str">
        <f t="shared" si="40"/>
        <v/>
      </c>
    </row>
    <row r="126" spans="1:48" ht="24" x14ac:dyDescent="0.2">
      <c r="A126" s="450" t="s">
        <v>754</v>
      </c>
      <c r="B126" s="429" t="s">
        <v>4297</v>
      </c>
      <c r="C126" s="430" t="s">
        <v>5464</v>
      </c>
      <c r="D126" s="1349" t="s">
        <v>1873</v>
      </c>
      <c r="E126" s="1350" t="s">
        <v>7505</v>
      </c>
      <c r="F126" s="1350" t="s">
        <v>1875</v>
      </c>
      <c r="G126" s="1351" t="s">
        <v>4613</v>
      </c>
      <c r="H126" s="1342" t="s">
        <v>1554</v>
      </c>
      <c r="I126" s="432" t="s">
        <v>1534</v>
      </c>
      <c r="J126" s="431"/>
      <c r="K126" s="431"/>
      <c r="L126" s="431"/>
      <c r="M126" s="451" t="s">
        <v>7270</v>
      </c>
      <c r="N126" s="434"/>
      <c r="O126" s="1743" t="str">
        <f t="shared" ref="O126:O132" si="79">VLOOKUP(B126,code_famille_scénario,2)&amp;" : "&amp;E126&amp;" "&amp;VLOOKUP(M126,code_process,2)&amp;", suite "&amp;VLOOKUP(I126,code_event,2)</f>
        <v>Perte accidentelle de documents en transit : Télécopie lors de l'émission ou de la réception, suite à un dégât des eaux</v>
      </c>
      <c r="P126" s="435">
        <v>1</v>
      </c>
      <c r="Q126" s="1595" t="s">
        <v>1431</v>
      </c>
      <c r="R126" s="1595" t="s">
        <v>1873</v>
      </c>
      <c r="S126" s="1595" t="str">
        <f>Classif!C11</f>
        <v/>
      </c>
      <c r="T126" s="1595">
        <f t="shared" ref="T126:T139" si="80">VLOOKUP(H126&amp;"."&amp;I126,Tab_event,4)</f>
        <v>3</v>
      </c>
      <c r="U126" s="1744" t="str">
        <f t="shared" ref="U126:U139" si="81">IF(AND(NOT(S126=""),NOT(T126="")),INDEX(base_g,5-S126,T126),"")</f>
        <v/>
      </c>
      <c r="V126" s="1745">
        <v>1</v>
      </c>
      <c r="W126" s="1745">
        <f>S02D05</f>
        <v>1</v>
      </c>
      <c r="X126" s="1745">
        <v>1</v>
      </c>
      <c r="Y126" s="1745">
        <f>S02D05</f>
        <v>1</v>
      </c>
      <c r="Z126" s="1746">
        <v>0</v>
      </c>
      <c r="AA126" s="1747"/>
      <c r="AB126" s="1748"/>
      <c r="AC126" s="1748"/>
      <c r="AD126" s="1595" t="str">
        <f t="shared" si="44"/>
        <v/>
      </c>
      <c r="AE126" s="1595">
        <f t="shared" ref="AE126:AE139" si="82">IF(OR(Q126="",T126=""),"",IF(Q126="A",INDEX(base_p,4,W126+7*(T126-1)),IF(Q126="E",INDEX(base_p,15,W126+7*(T126-1)),INDEX(base_p,27-V126,W126+7*(T126-1)))))</f>
        <v>3</v>
      </c>
      <c r="AF126" s="1595" t="str">
        <f t="shared" ref="AF126:AF139" si="83">IF(AT126=1,IF(IndG=1,U126,IF(AND(OR(NOT(AD126=""),NOT(AB126="")),OR(NOT(AE126=""),NOT(AC126="")),AT126=1),INDEX(base_g,5-IF(AB126="",AD126,AB126),IF(AC126="",AE126,AC126)),"")),0)</f>
        <v/>
      </c>
      <c r="AG126" s="1748"/>
      <c r="AH126" s="1749" t="str">
        <f t="shared" si="47"/>
        <v/>
      </c>
      <c r="AI126" s="1615"/>
      <c r="AJ126" s="1621" t="s">
        <v>3125</v>
      </c>
      <c r="AK126" s="1618"/>
      <c r="AL126" s="1630" t="s">
        <v>3125</v>
      </c>
      <c r="AM126" s="247" t="str">
        <f t="shared" si="35"/>
        <v/>
      </c>
      <c r="AN126" s="247" t="str">
        <f t="shared" si="36"/>
        <v/>
      </c>
      <c r="AO126" s="247" t="str">
        <f t="shared" si="37"/>
        <v/>
      </c>
      <c r="AP126" s="247" t="str">
        <f t="shared" si="38"/>
        <v/>
      </c>
      <c r="AQ126" s="42">
        <f t="shared" ref="AQ126:AQ139" si="84">VLOOKUP(LEFT(C126,3),Tab_classif_data,6)</f>
        <v>1</v>
      </c>
      <c r="AR126" s="42">
        <f t="shared" ref="AR126:AR139" si="85">VLOOKUP(G126,select_vul_data,2)</f>
        <v>1</v>
      </c>
      <c r="AS126" s="42">
        <f t="shared" ref="AS126:AS139" si="86">VLOOKUP(H126&amp;"."&amp;I126,select_men,5)</f>
        <v>1</v>
      </c>
      <c r="AT126" s="42">
        <f t="shared" ref="AT126:AT139" si="87">P126*AQ126*AR126*AS126</f>
        <v>1</v>
      </c>
      <c r="AU126" s="247" t="str">
        <f t="shared" si="39"/>
        <v/>
      </c>
      <c r="AV126" s="247" t="str">
        <f t="shared" si="40"/>
        <v/>
      </c>
    </row>
    <row r="127" spans="1:48" ht="24" x14ac:dyDescent="0.2">
      <c r="A127" s="450" t="s">
        <v>755</v>
      </c>
      <c r="B127" s="429" t="s">
        <v>4297</v>
      </c>
      <c r="C127" s="430" t="s">
        <v>5464</v>
      </c>
      <c r="D127" s="1349" t="s">
        <v>1873</v>
      </c>
      <c r="E127" s="1350" t="s">
        <v>7505</v>
      </c>
      <c r="F127" s="1350" t="s">
        <v>1875</v>
      </c>
      <c r="G127" s="1351" t="s">
        <v>4613</v>
      </c>
      <c r="H127" s="1342" t="s">
        <v>3919</v>
      </c>
      <c r="I127" s="432" t="s">
        <v>1535</v>
      </c>
      <c r="J127" s="431"/>
      <c r="K127" s="431"/>
      <c r="L127" s="431"/>
      <c r="M127" s="451" t="s">
        <v>7270</v>
      </c>
      <c r="N127" s="434"/>
      <c r="O127" s="1743" t="str">
        <f t="shared" si="79"/>
        <v>Perte accidentelle de documents en transit : Télécopie lors de l'émission ou de la réception, suite à un incendie</v>
      </c>
      <c r="P127" s="435">
        <v>1</v>
      </c>
      <c r="Q127" s="1595" t="s">
        <v>1431</v>
      </c>
      <c r="R127" s="1595" t="s">
        <v>1873</v>
      </c>
      <c r="S127" s="1595" t="str">
        <f>Classif!C11</f>
        <v/>
      </c>
      <c r="T127" s="1595">
        <f t="shared" si="80"/>
        <v>2</v>
      </c>
      <c r="U127" s="1744" t="str">
        <f t="shared" si="81"/>
        <v/>
      </c>
      <c r="V127" s="1745">
        <v>1</v>
      </c>
      <c r="W127" s="1745">
        <f>S02D05</f>
        <v>1</v>
      </c>
      <c r="X127" s="1745">
        <v>1</v>
      </c>
      <c r="Y127" s="1745">
        <f>S02D05</f>
        <v>1</v>
      </c>
      <c r="Z127" s="1746">
        <v>0</v>
      </c>
      <c r="AA127" s="1747"/>
      <c r="AB127" s="1748"/>
      <c r="AC127" s="1748"/>
      <c r="AD127" s="1595" t="str">
        <f t="shared" si="44"/>
        <v/>
      </c>
      <c r="AE127" s="1595">
        <f t="shared" si="82"/>
        <v>2</v>
      </c>
      <c r="AF127" s="1595" t="str">
        <f t="shared" si="83"/>
        <v/>
      </c>
      <c r="AG127" s="1748"/>
      <c r="AH127" s="1749" t="str">
        <f t="shared" si="47"/>
        <v/>
      </c>
      <c r="AI127" s="1615"/>
      <c r="AJ127" s="1621" t="s">
        <v>3125</v>
      </c>
      <c r="AK127" s="1618"/>
      <c r="AL127" s="1630" t="s">
        <v>3125</v>
      </c>
      <c r="AM127" s="247" t="str">
        <f t="shared" si="35"/>
        <v/>
      </c>
      <c r="AN127" s="247" t="str">
        <f t="shared" si="36"/>
        <v/>
      </c>
      <c r="AO127" s="247" t="str">
        <f t="shared" si="37"/>
        <v/>
      </c>
      <c r="AP127" s="247" t="str">
        <f t="shared" si="38"/>
        <v/>
      </c>
      <c r="AQ127" s="42">
        <f t="shared" si="84"/>
        <v>1</v>
      </c>
      <c r="AR127" s="42">
        <f t="shared" si="85"/>
        <v>1</v>
      </c>
      <c r="AS127" s="42">
        <f t="shared" si="86"/>
        <v>1</v>
      </c>
      <c r="AT127" s="42">
        <f t="shared" si="87"/>
        <v>1</v>
      </c>
      <c r="AU127" s="247" t="str">
        <f t="shared" si="39"/>
        <v/>
      </c>
      <c r="AV127" s="247" t="str">
        <f t="shared" si="40"/>
        <v/>
      </c>
    </row>
    <row r="128" spans="1:48" ht="24" x14ac:dyDescent="0.2">
      <c r="A128" s="450" t="s">
        <v>756</v>
      </c>
      <c r="B128" s="429" t="s">
        <v>4297</v>
      </c>
      <c r="C128" s="430" t="s">
        <v>5464</v>
      </c>
      <c r="D128" s="1349" t="s">
        <v>1873</v>
      </c>
      <c r="E128" s="1350" t="s">
        <v>7505</v>
      </c>
      <c r="F128" s="1350" t="s">
        <v>1875</v>
      </c>
      <c r="G128" s="1351" t="s">
        <v>4613</v>
      </c>
      <c r="H128" s="1342" t="s">
        <v>3919</v>
      </c>
      <c r="I128" s="432" t="s">
        <v>1536</v>
      </c>
      <c r="J128" s="431"/>
      <c r="K128" s="431"/>
      <c r="L128" s="431"/>
      <c r="M128" s="451" t="s">
        <v>7270</v>
      </c>
      <c r="N128" s="434"/>
      <c r="O128" s="1743" t="str">
        <f t="shared" si="79"/>
        <v>Perte accidentelle de documents en transit : Télécopie lors de l'émission ou de la réception, suite à une inondation</v>
      </c>
      <c r="P128" s="435">
        <v>1</v>
      </c>
      <c r="Q128" s="1595" t="s">
        <v>1431</v>
      </c>
      <c r="R128" s="1595" t="s">
        <v>1873</v>
      </c>
      <c r="S128" s="1595" t="str">
        <f>Classif!C11</f>
        <v/>
      </c>
      <c r="T128" s="1595">
        <f t="shared" si="80"/>
        <v>2</v>
      </c>
      <c r="U128" s="1744" t="str">
        <f t="shared" si="81"/>
        <v/>
      </c>
      <c r="V128" s="1745">
        <v>1</v>
      </c>
      <c r="W128" s="1745">
        <f>S02D05</f>
        <v>1</v>
      </c>
      <c r="X128" s="1745">
        <v>1</v>
      </c>
      <c r="Y128" s="1745">
        <f>S02D05</f>
        <v>1</v>
      </c>
      <c r="Z128" s="1746">
        <v>0</v>
      </c>
      <c r="AA128" s="1747"/>
      <c r="AB128" s="1748"/>
      <c r="AC128" s="1748"/>
      <c r="AD128" s="1595" t="str">
        <f t="shared" si="44"/>
        <v/>
      </c>
      <c r="AE128" s="1595">
        <f t="shared" si="82"/>
        <v>2</v>
      </c>
      <c r="AF128" s="1595" t="str">
        <f t="shared" si="83"/>
        <v/>
      </c>
      <c r="AG128" s="1748"/>
      <c r="AH128" s="1749" t="str">
        <f t="shared" si="47"/>
        <v/>
      </c>
      <c r="AI128" s="1615"/>
      <c r="AJ128" s="1621" t="s">
        <v>3125</v>
      </c>
      <c r="AK128" s="1618"/>
      <c r="AL128" s="1630" t="s">
        <v>3125</v>
      </c>
      <c r="AM128" s="247" t="str">
        <f t="shared" si="35"/>
        <v/>
      </c>
      <c r="AN128" s="247" t="str">
        <f t="shared" si="36"/>
        <v/>
      </c>
      <c r="AO128" s="247" t="str">
        <f t="shared" si="37"/>
        <v/>
      </c>
      <c r="AP128" s="247" t="str">
        <f t="shared" si="38"/>
        <v/>
      </c>
      <c r="AQ128" s="42">
        <f t="shared" si="84"/>
        <v>1</v>
      </c>
      <c r="AR128" s="42">
        <f t="shared" si="85"/>
        <v>1</v>
      </c>
      <c r="AS128" s="42">
        <f t="shared" si="86"/>
        <v>1</v>
      </c>
      <c r="AT128" s="42">
        <f t="shared" si="87"/>
        <v>1</v>
      </c>
      <c r="AU128" s="247" t="str">
        <f t="shared" si="39"/>
        <v/>
      </c>
      <c r="AV128" s="247" t="str">
        <f t="shared" si="40"/>
        <v/>
      </c>
    </row>
    <row r="129" spans="1:48" ht="24" x14ac:dyDescent="0.2">
      <c r="A129" s="450" t="s">
        <v>757</v>
      </c>
      <c r="B129" s="429" t="s">
        <v>4297</v>
      </c>
      <c r="C129" s="430" t="s">
        <v>5464</v>
      </c>
      <c r="D129" s="1349" t="s">
        <v>1873</v>
      </c>
      <c r="E129" s="1350" t="s">
        <v>7505</v>
      </c>
      <c r="F129" s="1350" t="s">
        <v>5460</v>
      </c>
      <c r="G129" s="1351" t="s">
        <v>4613</v>
      </c>
      <c r="H129" s="1342" t="s">
        <v>3920</v>
      </c>
      <c r="I129" s="432" t="s">
        <v>3526</v>
      </c>
      <c r="J129" s="431"/>
      <c r="K129" s="431"/>
      <c r="L129" s="431"/>
      <c r="M129" s="451" t="s">
        <v>7270</v>
      </c>
      <c r="N129" s="434"/>
      <c r="O129" s="1743" t="str">
        <f t="shared" si="79"/>
        <v>Perte accidentelle de documents en transit : Télécopie lors de l'émission ou de la réception, suite à une panne d'équipement</v>
      </c>
      <c r="P129" s="435">
        <v>1</v>
      </c>
      <c r="Q129" s="1595" t="s">
        <v>1431</v>
      </c>
      <c r="R129" s="1595" t="s">
        <v>1873</v>
      </c>
      <c r="S129" s="1595" t="str">
        <f>Classif!C11</f>
        <v/>
      </c>
      <c r="T129" s="1595">
        <f t="shared" si="80"/>
        <v>3</v>
      </c>
      <c r="U129" s="1744" t="str">
        <f t="shared" si="81"/>
        <v/>
      </c>
      <c r="V129" s="1745">
        <v>1</v>
      </c>
      <c r="W129" s="1745">
        <v>1</v>
      </c>
      <c r="X129" s="1745">
        <v>1</v>
      </c>
      <c r="Y129" s="1745">
        <f>S02D05</f>
        <v>1</v>
      </c>
      <c r="Z129" s="1746">
        <v>0</v>
      </c>
      <c r="AA129" s="1747"/>
      <c r="AB129" s="1748"/>
      <c r="AC129" s="1748"/>
      <c r="AD129" s="1595" t="str">
        <f t="shared" si="44"/>
        <v/>
      </c>
      <c r="AE129" s="1595">
        <f t="shared" si="82"/>
        <v>3</v>
      </c>
      <c r="AF129" s="1595" t="str">
        <f t="shared" si="83"/>
        <v/>
      </c>
      <c r="AG129" s="1748"/>
      <c r="AH129" s="1749" t="str">
        <f t="shared" si="47"/>
        <v/>
      </c>
      <c r="AI129" s="1615"/>
      <c r="AJ129" s="1621"/>
      <c r="AK129" s="1618"/>
      <c r="AL129" s="1630" t="s">
        <v>3125</v>
      </c>
      <c r="AM129" s="247" t="str">
        <f t="shared" si="35"/>
        <v/>
      </c>
      <c r="AN129" s="247" t="str">
        <f t="shared" si="36"/>
        <v/>
      </c>
      <c r="AO129" s="247" t="str">
        <f t="shared" si="37"/>
        <v/>
      </c>
      <c r="AP129" s="247" t="str">
        <f t="shared" si="38"/>
        <v/>
      </c>
      <c r="AQ129" s="42">
        <f t="shared" si="84"/>
        <v>1</v>
      </c>
      <c r="AR129" s="42">
        <f t="shared" si="85"/>
        <v>1</v>
      </c>
      <c r="AS129" s="42">
        <f t="shared" si="86"/>
        <v>1</v>
      </c>
      <c r="AT129" s="42">
        <f t="shared" si="87"/>
        <v>1</v>
      </c>
      <c r="AU129" s="247" t="str">
        <f t="shared" si="39"/>
        <v/>
      </c>
      <c r="AV129" s="247" t="str">
        <f t="shared" si="40"/>
        <v/>
      </c>
    </row>
    <row r="130" spans="1:48" ht="24" x14ac:dyDescent="0.2">
      <c r="A130" s="450" t="s">
        <v>758</v>
      </c>
      <c r="B130" s="429" t="s">
        <v>4297</v>
      </c>
      <c r="C130" s="430" t="s">
        <v>5464</v>
      </c>
      <c r="D130" s="1349" t="s">
        <v>1873</v>
      </c>
      <c r="E130" s="1350" t="s">
        <v>2472</v>
      </c>
      <c r="F130" s="1350" t="s">
        <v>1875</v>
      </c>
      <c r="G130" s="1351" t="s">
        <v>4613</v>
      </c>
      <c r="H130" s="1342" t="s">
        <v>1554</v>
      </c>
      <c r="I130" s="432" t="s">
        <v>1534</v>
      </c>
      <c r="J130" s="431"/>
      <c r="K130" s="431"/>
      <c r="L130" s="431"/>
      <c r="M130" s="451" t="s">
        <v>7270</v>
      </c>
      <c r="N130" s="434"/>
      <c r="O130" s="1743" t="str">
        <f t="shared" si="79"/>
        <v>Perte accidentelle de documents en transit : Courrier lors de l'émission ou de la réception, suite à un dégât des eaux</v>
      </c>
      <c r="P130" s="435">
        <v>1</v>
      </c>
      <c r="Q130" s="1595" t="s">
        <v>1431</v>
      </c>
      <c r="R130" s="1595" t="s">
        <v>1873</v>
      </c>
      <c r="S130" s="1595" t="str">
        <f>Classif!C11</f>
        <v/>
      </c>
      <c r="T130" s="1595">
        <f t="shared" si="80"/>
        <v>3</v>
      </c>
      <c r="U130" s="1744" t="str">
        <f t="shared" si="81"/>
        <v/>
      </c>
      <c r="V130" s="1745">
        <v>1</v>
      </c>
      <c r="W130" s="1745">
        <f>S02D04</f>
        <v>1</v>
      </c>
      <c r="X130" s="1745">
        <v>1</v>
      </c>
      <c r="Y130" s="1745">
        <f>S02D04</f>
        <v>1</v>
      </c>
      <c r="Z130" s="1746">
        <v>0</v>
      </c>
      <c r="AA130" s="1747"/>
      <c r="AB130" s="1748"/>
      <c r="AC130" s="1748"/>
      <c r="AD130" s="1595" t="str">
        <f t="shared" si="44"/>
        <v/>
      </c>
      <c r="AE130" s="1595">
        <f t="shared" si="82"/>
        <v>3</v>
      </c>
      <c r="AF130" s="1595" t="str">
        <f t="shared" si="83"/>
        <v/>
      </c>
      <c r="AG130" s="1748"/>
      <c r="AH130" s="1749" t="str">
        <f t="shared" si="47"/>
        <v/>
      </c>
      <c r="AI130" s="1615"/>
      <c r="AJ130" s="1621" t="s">
        <v>3124</v>
      </c>
      <c r="AK130" s="1618"/>
      <c r="AL130" s="1630" t="s">
        <v>3124</v>
      </c>
      <c r="AM130" s="247" t="str">
        <f t="shared" si="35"/>
        <v/>
      </c>
      <c r="AN130" s="247" t="str">
        <f t="shared" si="36"/>
        <v/>
      </c>
      <c r="AO130" s="247" t="str">
        <f t="shared" si="37"/>
        <v/>
      </c>
      <c r="AP130" s="247" t="str">
        <f t="shared" si="38"/>
        <v/>
      </c>
      <c r="AQ130" s="42">
        <f t="shared" si="84"/>
        <v>1</v>
      </c>
      <c r="AR130" s="42">
        <f t="shared" si="85"/>
        <v>1</v>
      </c>
      <c r="AS130" s="42">
        <f t="shared" si="86"/>
        <v>1</v>
      </c>
      <c r="AT130" s="42">
        <f t="shared" si="87"/>
        <v>1</v>
      </c>
      <c r="AU130" s="247" t="str">
        <f t="shared" si="39"/>
        <v/>
      </c>
      <c r="AV130" s="247" t="str">
        <f t="shared" si="40"/>
        <v/>
      </c>
    </row>
    <row r="131" spans="1:48" ht="24" x14ac:dyDescent="0.2">
      <c r="A131" s="450" t="s">
        <v>759</v>
      </c>
      <c r="B131" s="429" t="s">
        <v>4297</v>
      </c>
      <c r="C131" s="430" t="s">
        <v>5464</v>
      </c>
      <c r="D131" s="1349" t="s">
        <v>1873</v>
      </c>
      <c r="E131" s="1350" t="s">
        <v>2472</v>
      </c>
      <c r="F131" s="1350" t="s">
        <v>1875</v>
      </c>
      <c r="G131" s="1351" t="s">
        <v>4613</v>
      </c>
      <c r="H131" s="1342" t="s">
        <v>3919</v>
      </c>
      <c r="I131" s="432" t="s">
        <v>1535</v>
      </c>
      <c r="J131" s="431"/>
      <c r="K131" s="431"/>
      <c r="L131" s="431"/>
      <c r="M131" s="451" t="s">
        <v>7271</v>
      </c>
      <c r="N131" s="434"/>
      <c r="O131" s="1743" t="str">
        <f t="shared" si="79"/>
        <v>Perte accidentelle de documents en transit : Courrier lors de l'émission ou de la réception, suite à un incendie</v>
      </c>
      <c r="P131" s="435">
        <v>1</v>
      </c>
      <c r="Q131" s="1595" t="s">
        <v>1431</v>
      </c>
      <c r="R131" s="1595" t="s">
        <v>1873</v>
      </c>
      <c r="S131" s="1595" t="str">
        <f>Classif!C11</f>
        <v/>
      </c>
      <c r="T131" s="1595">
        <f t="shared" si="80"/>
        <v>2</v>
      </c>
      <c r="U131" s="1744" t="str">
        <f t="shared" si="81"/>
        <v/>
      </c>
      <c r="V131" s="1745">
        <v>1</v>
      </c>
      <c r="W131" s="1745">
        <f>S02D04</f>
        <v>1</v>
      </c>
      <c r="X131" s="1745">
        <v>1</v>
      </c>
      <c r="Y131" s="1745">
        <f>S02D04</f>
        <v>1</v>
      </c>
      <c r="Z131" s="1746">
        <v>0</v>
      </c>
      <c r="AA131" s="1747"/>
      <c r="AB131" s="1748"/>
      <c r="AC131" s="1748"/>
      <c r="AD131" s="1595" t="str">
        <f t="shared" si="44"/>
        <v/>
      </c>
      <c r="AE131" s="1595">
        <f t="shared" si="82"/>
        <v>2</v>
      </c>
      <c r="AF131" s="1595" t="str">
        <f t="shared" si="83"/>
        <v/>
      </c>
      <c r="AG131" s="1748"/>
      <c r="AH131" s="1749" t="str">
        <f t="shared" si="47"/>
        <v/>
      </c>
      <c r="AI131" s="1615"/>
      <c r="AJ131" s="1621" t="s">
        <v>3124</v>
      </c>
      <c r="AK131" s="1618"/>
      <c r="AL131" s="1630" t="s">
        <v>3124</v>
      </c>
      <c r="AM131" s="247" t="str">
        <f t="shared" si="35"/>
        <v/>
      </c>
      <c r="AN131" s="247" t="str">
        <f t="shared" si="36"/>
        <v/>
      </c>
      <c r="AO131" s="247" t="str">
        <f t="shared" si="37"/>
        <v/>
      </c>
      <c r="AP131" s="247" t="str">
        <f t="shared" si="38"/>
        <v/>
      </c>
      <c r="AQ131" s="42">
        <f t="shared" si="84"/>
        <v>1</v>
      </c>
      <c r="AR131" s="42">
        <f t="shared" si="85"/>
        <v>1</v>
      </c>
      <c r="AS131" s="42">
        <f t="shared" si="86"/>
        <v>1</v>
      </c>
      <c r="AT131" s="42">
        <f t="shared" si="87"/>
        <v>1</v>
      </c>
      <c r="AU131" s="247" t="str">
        <f t="shared" si="39"/>
        <v/>
      </c>
      <c r="AV131" s="247" t="str">
        <f t="shared" si="40"/>
        <v/>
      </c>
    </row>
    <row r="132" spans="1:48" ht="24" x14ac:dyDescent="0.2">
      <c r="A132" s="450" t="s">
        <v>760</v>
      </c>
      <c r="B132" s="429" t="s">
        <v>4297</v>
      </c>
      <c r="C132" s="430" t="s">
        <v>5464</v>
      </c>
      <c r="D132" s="1349" t="s">
        <v>1873</v>
      </c>
      <c r="E132" s="1350" t="s">
        <v>2472</v>
      </c>
      <c r="F132" s="1350" t="s">
        <v>1875</v>
      </c>
      <c r="G132" s="1351" t="s">
        <v>4613</v>
      </c>
      <c r="H132" s="1342" t="s">
        <v>3919</v>
      </c>
      <c r="I132" s="432" t="s">
        <v>1536</v>
      </c>
      <c r="J132" s="431"/>
      <c r="K132" s="431"/>
      <c r="L132" s="431"/>
      <c r="M132" s="452" t="s">
        <v>7272</v>
      </c>
      <c r="N132" s="434"/>
      <c r="O132" s="1743" t="str">
        <f t="shared" si="79"/>
        <v>Perte accidentelle de documents en transit : Courrier lors de l'émission ou de la réception, suite à une inondation</v>
      </c>
      <c r="P132" s="435">
        <v>1</v>
      </c>
      <c r="Q132" s="1595" t="s">
        <v>1431</v>
      </c>
      <c r="R132" s="1595" t="s">
        <v>1873</v>
      </c>
      <c r="S132" s="1595" t="str">
        <f>Classif!C11</f>
        <v/>
      </c>
      <c r="T132" s="1595">
        <f t="shared" si="80"/>
        <v>2</v>
      </c>
      <c r="U132" s="1744" t="str">
        <f t="shared" si="81"/>
        <v/>
      </c>
      <c r="V132" s="1745">
        <v>1</v>
      </c>
      <c r="W132" s="1745">
        <f>S02D04</f>
        <v>1</v>
      </c>
      <c r="X132" s="1745">
        <v>1</v>
      </c>
      <c r="Y132" s="1745">
        <f>S02D04</f>
        <v>1</v>
      </c>
      <c r="Z132" s="1746">
        <v>0</v>
      </c>
      <c r="AA132" s="1747"/>
      <c r="AB132" s="1748"/>
      <c r="AC132" s="1748"/>
      <c r="AD132" s="1595" t="str">
        <f t="shared" si="44"/>
        <v/>
      </c>
      <c r="AE132" s="1595">
        <f t="shared" si="82"/>
        <v>2</v>
      </c>
      <c r="AF132" s="1595" t="str">
        <f t="shared" si="83"/>
        <v/>
      </c>
      <c r="AG132" s="1748"/>
      <c r="AH132" s="1749" t="str">
        <f t="shared" si="47"/>
        <v/>
      </c>
      <c r="AI132" s="1615"/>
      <c r="AJ132" s="1621" t="s">
        <v>3124</v>
      </c>
      <c r="AK132" s="1618"/>
      <c r="AL132" s="1630" t="s">
        <v>3124</v>
      </c>
      <c r="AM132" s="247" t="str">
        <f t="shared" si="35"/>
        <v/>
      </c>
      <c r="AN132" s="247" t="str">
        <f t="shared" si="36"/>
        <v/>
      </c>
      <c r="AO132" s="247" t="str">
        <f t="shared" si="37"/>
        <v/>
      </c>
      <c r="AP132" s="247" t="str">
        <f t="shared" si="38"/>
        <v/>
      </c>
      <c r="AQ132" s="42">
        <f t="shared" si="84"/>
        <v>1</v>
      </c>
      <c r="AR132" s="42">
        <f t="shared" si="85"/>
        <v>1</v>
      </c>
      <c r="AS132" s="42">
        <f t="shared" si="86"/>
        <v>1</v>
      </c>
      <c r="AT132" s="42">
        <f t="shared" si="87"/>
        <v>1</v>
      </c>
      <c r="AU132" s="247" t="str">
        <f t="shared" si="39"/>
        <v/>
      </c>
      <c r="AV132" s="247" t="str">
        <f t="shared" si="40"/>
        <v/>
      </c>
    </row>
    <row r="133" spans="1:48" ht="24" x14ac:dyDescent="0.2">
      <c r="A133" s="450" t="s">
        <v>761</v>
      </c>
      <c r="B133" s="429" t="s">
        <v>5216</v>
      </c>
      <c r="C133" s="430" t="s">
        <v>5464</v>
      </c>
      <c r="D133" s="1349" t="s">
        <v>1873</v>
      </c>
      <c r="E133" s="1350" t="s">
        <v>7505</v>
      </c>
      <c r="F133" s="1350" t="s">
        <v>5460</v>
      </c>
      <c r="G133" s="1351" t="s">
        <v>4613</v>
      </c>
      <c r="H133" s="1342" t="s">
        <v>1327</v>
      </c>
      <c r="I133" s="432" t="s">
        <v>1545</v>
      </c>
      <c r="J133" s="431" t="s">
        <v>3522</v>
      </c>
      <c r="K133" s="431"/>
      <c r="L133" s="431"/>
      <c r="M133" s="433" t="s">
        <v>5066</v>
      </c>
      <c r="N133" s="434"/>
      <c r="O133" s="1743" t="str">
        <f>VLOOKUP(B133,code_famille_scénario,2)&amp;" : "&amp;E133&amp;", suite "&amp;VLOOKUP(I133,code_event,2)&amp;", "&amp;VLOOKUP(M133,code_process,2)</f>
        <v>Perte de documents en transit par erreur : Télécopie, suite à une erreur de procédure, lors de traitements utilisateurs</v>
      </c>
      <c r="P133" s="435">
        <v>1</v>
      </c>
      <c r="Q133" s="1595" t="s">
        <v>6403</v>
      </c>
      <c r="R133" s="1595" t="s">
        <v>1873</v>
      </c>
      <c r="S133" s="1595" t="str">
        <f>Classif!C11</f>
        <v/>
      </c>
      <c r="T133" s="1595">
        <f t="shared" si="80"/>
        <v>3</v>
      </c>
      <c r="U133" s="1744" t="str">
        <f t="shared" si="81"/>
        <v/>
      </c>
      <c r="V133" s="1745">
        <v>1</v>
      </c>
      <c r="W133" s="1745">
        <v>1</v>
      </c>
      <c r="X133" s="1745">
        <v>1</v>
      </c>
      <c r="Y133" s="1745">
        <f>S02D05</f>
        <v>1</v>
      </c>
      <c r="Z133" s="1746">
        <v>0</v>
      </c>
      <c r="AA133" s="1747"/>
      <c r="AB133" s="1748"/>
      <c r="AC133" s="1748"/>
      <c r="AD133" s="1595" t="str">
        <f t="shared" si="44"/>
        <v/>
      </c>
      <c r="AE133" s="1595">
        <f t="shared" si="82"/>
        <v>3</v>
      </c>
      <c r="AF133" s="1595" t="str">
        <f t="shared" si="83"/>
        <v/>
      </c>
      <c r="AG133" s="1748"/>
      <c r="AH133" s="1749" t="str">
        <f t="shared" si="47"/>
        <v/>
      </c>
      <c r="AI133" s="1615"/>
      <c r="AJ133" s="1621"/>
      <c r="AK133" s="1618"/>
      <c r="AL133" s="1630" t="s">
        <v>3125</v>
      </c>
      <c r="AM133" s="247" t="str">
        <f t="shared" si="35"/>
        <v/>
      </c>
      <c r="AN133" s="247" t="str">
        <f t="shared" si="36"/>
        <v/>
      </c>
      <c r="AO133" s="247" t="str">
        <f t="shared" si="37"/>
        <v/>
      </c>
      <c r="AP133" s="247" t="str">
        <f t="shared" si="38"/>
        <v/>
      </c>
      <c r="AQ133" s="42">
        <f t="shared" si="84"/>
        <v>1</v>
      </c>
      <c r="AR133" s="42">
        <f t="shared" si="85"/>
        <v>1</v>
      </c>
      <c r="AS133" s="42">
        <f t="shared" si="86"/>
        <v>1</v>
      </c>
      <c r="AT133" s="42">
        <f t="shared" si="87"/>
        <v>1</v>
      </c>
      <c r="AU133" s="247" t="str">
        <f t="shared" si="39"/>
        <v/>
      </c>
      <c r="AV133" s="247" t="str">
        <f t="shared" si="40"/>
        <v/>
      </c>
    </row>
    <row r="134" spans="1:48" ht="24" x14ac:dyDescent="0.2">
      <c r="A134" s="450" t="s">
        <v>762</v>
      </c>
      <c r="B134" s="429" t="s">
        <v>5216</v>
      </c>
      <c r="C134" s="430" t="s">
        <v>5464</v>
      </c>
      <c r="D134" s="1349" t="s">
        <v>1873</v>
      </c>
      <c r="E134" s="1350" t="s">
        <v>2472</v>
      </c>
      <c r="F134" s="1350" t="s">
        <v>5460</v>
      </c>
      <c r="G134" s="1351" t="s">
        <v>4613</v>
      </c>
      <c r="H134" s="1342" t="s">
        <v>1327</v>
      </c>
      <c r="I134" s="432" t="s">
        <v>1545</v>
      </c>
      <c r="J134" s="431" t="s">
        <v>3522</v>
      </c>
      <c r="K134" s="431"/>
      <c r="L134" s="431"/>
      <c r="M134" s="433" t="s">
        <v>5066</v>
      </c>
      <c r="N134" s="434"/>
      <c r="O134" s="1743" t="str">
        <f>VLOOKUP(B134,code_famille_scénario,2)&amp;" : "&amp;E134&amp;", suite "&amp;VLOOKUP(I134,code_event,2)&amp;", "&amp;VLOOKUP(M134,code_process,2)</f>
        <v>Perte de documents en transit par erreur : Courrier, suite à une erreur de procédure, lors de traitements utilisateurs</v>
      </c>
      <c r="P134" s="435">
        <v>1</v>
      </c>
      <c r="Q134" s="1595" t="s">
        <v>6403</v>
      </c>
      <c r="R134" s="1595" t="s">
        <v>1873</v>
      </c>
      <c r="S134" s="1595" t="str">
        <f>Classif!C11</f>
        <v/>
      </c>
      <c r="T134" s="1595">
        <f t="shared" si="80"/>
        <v>3</v>
      </c>
      <c r="U134" s="1744" t="str">
        <f t="shared" si="81"/>
        <v/>
      </c>
      <c r="V134" s="1745">
        <v>1</v>
      </c>
      <c r="W134" s="1745">
        <v>1</v>
      </c>
      <c r="X134" s="1745">
        <v>1</v>
      </c>
      <c r="Y134" s="1745">
        <f>S02D04</f>
        <v>1</v>
      </c>
      <c r="Z134" s="1746">
        <v>0</v>
      </c>
      <c r="AA134" s="1747"/>
      <c r="AB134" s="1748"/>
      <c r="AC134" s="1748"/>
      <c r="AD134" s="1595" t="str">
        <f t="shared" si="44"/>
        <v/>
      </c>
      <c r="AE134" s="1595">
        <f t="shared" si="82"/>
        <v>3</v>
      </c>
      <c r="AF134" s="1595" t="str">
        <f t="shared" si="83"/>
        <v/>
      </c>
      <c r="AG134" s="1748"/>
      <c r="AH134" s="1749" t="str">
        <f t="shared" si="47"/>
        <v/>
      </c>
      <c r="AI134" s="1615"/>
      <c r="AJ134" s="1621"/>
      <c r="AK134" s="1618"/>
      <c r="AL134" s="1630" t="s">
        <v>3124</v>
      </c>
      <c r="AM134" s="247" t="str">
        <f t="shared" ref="AM134:AM197" si="88">IF($AH134=1,$H134&amp;"."&amp;$I134&amp;$AH134,"")</f>
        <v/>
      </c>
      <c r="AN134" s="247" t="str">
        <f t="shared" ref="AN134:AN197" si="89">IF($AH134=2,$H134&amp;"."&amp;$I134&amp;$AH134,"")</f>
        <v/>
      </c>
      <c r="AO134" s="247" t="str">
        <f t="shared" ref="AO134:AO197" si="90">IF($AH134=3,$H134&amp;"."&amp;$I134&amp;$AH134,"")</f>
        <v/>
      </c>
      <c r="AP134" s="247" t="str">
        <f t="shared" ref="AP134:AP197" si="91">IF($AH134=4,$H134&amp;"."&amp;$I134&amp;$AH134,"")</f>
        <v/>
      </c>
      <c r="AQ134" s="42">
        <f t="shared" si="84"/>
        <v>1</v>
      </c>
      <c r="AR134" s="42">
        <f t="shared" si="85"/>
        <v>1</v>
      </c>
      <c r="AS134" s="42">
        <f t="shared" si="86"/>
        <v>1</v>
      </c>
      <c r="AT134" s="42">
        <f t="shared" si="87"/>
        <v>1</v>
      </c>
      <c r="AU134" s="247" t="str">
        <f t="shared" ref="AU134:AU197" si="92">IF(S134="","",IF(T134="","",10*S134+T134))</f>
        <v/>
      </c>
      <c r="AV134" s="247" t="str">
        <f t="shared" ref="AV134:AV197" si="93">IF(AD134="","",IF(AE134="","",10*AD134+AE134))</f>
        <v/>
      </c>
    </row>
    <row r="135" spans="1:48" ht="24" x14ac:dyDescent="0.2">
      <c r="A135" s="450" t="s">
        <v>763</v>
      </c>
      <c r="B135" s="429" t="s">
        <v>5217</v>
      </c>
      <c r="C135" s="430" t="s">
        <v>5464</v>
      </c>
      <c r="D135" s="1349" t="s">
        <v>1873</v>
      </c>
      <c r="E135" s="1350" t="s">
        <v>7505</v>
      </c>
      <c r="F135" s="1350" t="s">
        <v>4498</v>
      </c>
      <c r="G135" s="1351" t="s">
        <v>4613</v>
      </c>
      <c r="H135" s="1342" t="s">
        <v>1329</v>
      </c>
      <c r="I135" s="432" t="s">
        <v>1305</v>
      </c>
      <c r="J135" s="431" t="s">
        <v>2475</v>
      </c>
      <c r="K135" s="431"/>
      <c r="L135" s="431"/>
      <c r="M135" s="433"/>
      <c r="N135" s="434" t="s">
        <v>3518</v>
      </c>
      <c r="O135" s="1743" t="str">
        <f>VLOOKUP(B135,code_famille_scénario,2)&amp;" : "&amp;VLOOKUP(I135,code_event,2)&amp;" de "&amp;E135&amp;", "&amp;VLOOKUP(J135,Code_lieu,2)&amp;" par "&amp;VLOOKUP(N135,code_acteur,2)</f>
        <v>Destruction malveillante de documents en transit : vol de Télécopie, dans le local de télécopie par un membre du personnel non autorisé</v>
      </c>
      <c r="P135" s="435">
        <v>1</v>
      </c>
      <c r="Q135" s="1595" t="s">
        <v>1299</v>
      </c>
      <c r="R135" s="1595" t="s">
        <v>1873</v>
      </c>
      <c r="S135" s="1595" t="str">
        <f>Classif!C11</f>
        <v/>
      </c>
      <c r="T135" s="1595">
        <f t="shared" si="80"/>
        <v>2</v>
      </c>
      <c r="U135" s="1744" t="str">
        <f t="shared" si="81"/>
        <v/>
      </c>
      <c r="V135" s="1745">
        <v>1</v>
      </c>
      <c r="W135" s="1745">
        <f>S02D05</f>
        <v>1</v>
      </c>
      <c r="X135" s="1745">
        <v>1</v>
      </c>
      <c r="Y135" s="1745">
        <f>S02D05</f>
        <v>1</v>
      </c>
      <c r="Z135" s="1746">
        <v>0</v>
      </c>
      <c r="AA135" s="1747"/>
      <c r="AB135" s="1748"/>
      <c r="AC135" s="1748"/>
      <c r="AD135" s="1595" t="str">
        <f t="shared" ref="AD135:AD198" si="94">IF(OR(R135="",S135=""),"",IF(R135="D",INDEX(base_i,IF(IF(AA135="",Z135,AA135)=0,4,5-X135),Y135+7*(S135-1)),IF(R135="I",INDEX(base_i,IF(IF(AA135="",Z135,AA135)=0,15,16-X135),Y135+7*(S135-1)),IF(R135="C",INDEX(base_i,IF(IF(AA135="",Z135,AA135)=0,26,27-X135),Y135+7*(S135-1)),INDEX(base_i,38-X135,Y135+7*(S135-1))))))</f>
        <v/>
      </c>
      <c r="AE135" s="1595">
        <f t="shared" si="82"/>
        <v>2</v>
      </c>
      <c r="AF135" s="1595" t="str">
        <f t="shared" si="83"/>
        <v/>
      </c>
      <c r="AG135" s="1748"/>
      <c r="AH135" s="1749" t="str">
        <f t="shared" ref="AH135:AH198" si="95">IF(OR(AG135="A",AG135="a",AG135="T",AG135="t",AF135=""),"",AF135)</f>
        <v/>
      </c>
      <c r="AI135" s="1615"/>
      <c r="AJ135" s="1621" t="s">
        <v>3125</v>
      </c>
      <c r="AK135" s="1618"/>
      <c r="AL135" s="1630" t="s">
        <v>3125</v>
      </c>
      <c r="AM135" s="247" t="str">
        <f t="shared" si="88"/>
        <v/>
      </c>
      <c r="AN135" s="247" t="str">
        <f t="shared" si="89"/>
        <v/>
      </c>
      <c r="AO135" s="247" t="str">
        <f t="shared" si="90"/>
        <v/>
      </c>
      <c r="AP135" s="247" t="str">
        <f t="shared" si="91"/>
        <v/>
      </c>
      <c r="AQ135" s="42">
        <f t="shared" si="84"/>
        <v>1</v>
      </c>
      <c r="AR135" s="42">
        <f t="shared" si="85"/>
        <v>1</v>
      </c>
      <c r="AS135" s="42">
        <f t="shared" si="86"/>
        <v>1</v>
      </c>
      <c r="AT135" s="42">
        <f t="shared" si="87"/>
        <v>1</v>
      </c>
      <c r="AU135" s="247" t="str">
        <f t="shared" si="92"/>
        <v/>
      </c>
      <c r="AV135" s="247" t="str">
        <f t="shared" si="93"/>
        <v/>
      </c>
    </row>
    <row r="136" spans="1:48" ht="24" x14ac:dyDescent="0.2">
      <c r="A136" s="450" t="s">
        <v>764</v>
      </c>
      <c r="B136" s="429" t="s">
        <v>5217</v>
      </c>
      <c r="C136" s="430" t="s">
        <v>5464</v>
      </c>
      <c r="D136" s="1349" t="s">
        <v>1873</v>
      </c>
      <c r="E136" s="1350" t="s">
        <v>7505</v>
      </c>
      <c r="F136" s="1350" t="s">
        <v>4498</v>
      </c>
      <c r="G136" s="1351" t="s">
        <v>4613</v>
      </c>
      <c r="H136" s="1342" t="s">
        <v>1329</v>
      </c>
      <c r="I136" s="432" t="s">
        <v>1305</v>
      </c>
      <c r="J136" s="431" t="s">
        <v>5579</v>
      </c>
      <c r="K136" s="431"/>
      <c r="L136" s="431"/>
      <c r="M136" s="433"/>
      <c r="N136" s="434" t="s">
        <v>4814</v>
      </c>
      <c r="O136" s="1743" t="str">
        <f>VLOOKUP(B136,code_famille_scénario,2)&amp;" : "&amp;VLOOKUP(I136,code_event,2)&amp;" de "&amp;E136&amp;", "&amp;VLOOKUP(J136,Code_lieu,2)&amp;" par "&amp;VLOOKUP(N136,code_acteur,2)</f>
        <v>Destruction malveillante de documents en transit : vol de Télécopie, dans le circuit de distribution par un membre du personnel de l'entreprise</v>
      </c>
      <c r="P136" s="435">
        <v>1</v>
      </c>
      <c r="Q136" s="1595" t="s">
        <v>1299</v>
      </c>
      <c r="R136" s="1595" t="s">
        <v>1873</v>
      </c>
      <c r="S136" s="1595" t="str">
        <f>Classif!C11</f>
        <v/>
      </c>
      <c r="T136" s="1595">
        <f t="shared" si="80"/>
        <v>2</v>
      </c>
      <c r="U136" s="1744" t="str">
        <f t="shared" si="81"/>
        <v/>
      </c>
      <c r="V136" s="1745">
        <v>1</v>
      </c>
      <c r="W136" s="1745">
        <f>S02D05</f>
        <v>1</v>
      </c>
      <c r="X136" s="1745">
        <v>1</v>
      </c>
      <c r="Y136" s="1745">
        <f>S02D05</f>
        <v>1</v>
      </c>
      <c r="Z136" s="1746">
        <v>0</v>
      </c>
      <c r="AA136" s="1747"/>
      <c r="AB136" s="1748"/>
      <c r="AC136" s="1748"/>
      <c r="AD136" s="1595" t="str">
        <f t="shared" si="94"/>
        <v/>
      </c>
      <c r="AE136" s="1595">
        <f t="shared" si="82"/>
        <v>2</v>
      </c>
      <c r="AF136" s="1595" t="str">
        <f t="shared" si="83"/>
        <v/>
      </c>
      <c r="AG136" s="1748"/>
      <c r="AH136" s="1749" t="str">
        <f t="shared" si="95"/>
        <v/>
      </c>
      <c r="AI136" s="1615"/>
      <c r="AJ136" s="1621" t="s">
        <v>3125</v>
      </c>
      <c r="AK136" s="1618"/>
      <c r="AL136" s="1630" t="s">
        <v>3125</v>
      </c>
      <c r="AM136" s="247" t="str">
        <f t="shared" si="88"/>
        <v/>
      </c>
      <c r="AN136" s="247" t="str">
        <f t="shared" si="89"/>
        <v/>
      </c>
      <c r="AO136" s="247" t="str">
        <f t="shared" si="90"/>
        <v/>
      </c>
      <c r="AP136" s="247" t="str">
        <f t="shared" si="91"/>
        <v/>
      </c>
      <c r="AQ136" s="42">
        <f t="shared" si="84"/>
        <v>1</v>
      </c>
      <c r="AR136" s="42">
        <f t="shared" si="85"/>
        <v>1</v>
      </c>
      <c r="AS136" s="42">
        <f t="shared" si="86"/>
        <v>1</v>
      </c>
      <c r="AT136" s="42">
        <f t="shared" si="87"/>
        <v>1</v>
      </c>
      <c r="AU136" s="247" t="str">
        <f t="shared" si="92"/>
        <v/>
      </c>
      <c r="AV136" s="247" t="str">
        <f t="shared" si="93"/>
        <v/>
      </c>
    </row>
    <row r="137" spans="1:48" x14ac:dyDescent="0.2">
      <c r="A137" s="450" t="s">
        <v>765</v>
      </c>
      <c r="B137" s="429" t="s">
        <v>1557</v>
      </c>
      <c r="C137" s="430" t="s">
        <v>5464</v>
      </c>
      <c r="D137" s="1349" t="s">
        <v>1873</v>
      </c>
      <c r="E137" s="1350" t="s">
        <v>7505</v>
      </c>
      <c r="F137" s="1350" t="s">
        <v>5462</v>
      </c>
      <c r="G137" s="1351" t="s">
        <v>4613</v>
      </c>
      <c r="H137" s="1342" t="s">
        <v>1328</v>
      </c>
      <c r="I137" s="432" t="s">
        <v>1548</v>
      </c>
      <c r="J137" s="431"/>
      <c r="K137" s="431"/>
      <c r="L137" s="431"/>
      <c r="M137" s="433"/>
      <c r="N137" s="434"/>
      <c r="O137" s="1743" t="str">
        <f>VLOOKUP(B137,code_famille_scénario,2)</f>
        <v>Perte de télécopie dû à un transfert de poste malveillant</v>
      </c>
      <c r="P137" s="435">
        <v>1</v>
      </c>
      <c r="Q137" s="1595" t="s">
        <v>1299</v>
      </c>
      <c r="R137" s="1595" t="s">
        <v>1873</v>
      </c>
      <c r="S137" s="1595" t="str">
        <f>Classif!C11</f>
        <v/>
      </c>
      <c r="T137" s="1595">
        <f t="shared" si="80"/>
        <v>3</v>
      </c>
      <c r="U137" s="1744" t="str">
        <f t="shared" si="81"/>
        <v/>
      </c>
      <c r="V137" s="1745">
        <v>1</v>
      </c>
      <c r="W137" s="1745">
        <v>1</v>
      </c>
      <c r="X137" s="1745">
        <v>1</v>
      </c>
      <c r="Y137" s="1745">
        <f>S02D05</f>
        <v>1</v>
      </c>
      <c r="Z137" s="1746">
        <v>0</v>
      </c>
      <c r="AA137" s="1747"/>
      <c r="AB137" s="1748"/>
      <c r="AC137" s="1748"/>
      <c r="AD137" s="1595" t="str">
        <f t="shared" si="94"/>
        <v/>
      </c>
      <c r="AE137" s="1595">
        <f t="shared" si="82"/>
        <v>3</v>
      </c>
      <c r="AF137" s="1595" t="str">
        <f t="shared" si="83"/>
        <v/>
      </c>
      <c r="AG137" s="1748"/>
      <c r="AH137" s="1749" t="str">
        <f t="shared" si="95"/>
        <v/>
      </c>
      <c r="AI137" s="1615"/>
      <c r="AJ137" s="1621"/>
      <c r="AK137" s="1618"/>
      <c r="AL137" s="1630" t="s">
        <v>3125</v>
      </c>
      <c r="AM137" s="247" t="str">
        <f t="shared" si="88"/>
        <v/>
      </c>
      <c r="AN137" s="247" t="str">
        <f t="shared" si="89"/>
        <v/>
      </c>
      <c r="AO137" s="247" t="str">
        <f t="shared" si="90"/>
        <v/>
      </c>
      <c r="AP137" s="247" t="str">
        <f t="shared" si="91"/>
        <v/>
      </c>
      <c r="AQ137" s="42">
        <f t="shared" si="84"/>
        <v>1</v>
      </c>
      <c r="AR137" s="42">
        <f t="shared" si="85"/>
        <v>1</v>
      </c>
      <c r="AS137" s="42">
        <f t="shared" si="86"/>
        <v>1</v>
      </c>
      <c r="AT137" s="42">
        <f t="shared" si="87"/>
        <v>1</v>
      </c>
      <c r="AU137" s="247" t="str">
        <f t="shared" si="92"/>
        <v/>
      </c>
      <c r="AV137" s="247" t="str">
        <f t="shared" si="93"/>
        <v/>
      </c>
    </row>
    <row r="138" spans="1:48" ht="24" x14ac:dyDescent="0.2">
      <c r="A138" s="450" t="s">
        <v>766</v>
      </c>
      <c r="B138" s="429" t="s">
        <v>5217</v>
      </c>
      <c r="C138" s="430" t="s">
        <v>5464</v>
      </c>
      <c r="D138" s="1349" t="s">
        <v>1873</v>
      </c>
      <c r="E138" s="1350" t="s">
        <v>2472</v>
      </c>
      <c r="F138" s="1350" t="s">
        <v>4498</v>
      </c>
      <c r="G138" s="1351" t="s">
        <v>4613</v>
      </c>
      <c r="H138" s="1342" t="s">
        <v>1329</v>
      </c>
      <c r="I138" s="432" t="s">
        <v>1305</v>
      </c>
      <c r="J138" s="431" t="s">
        <v>5465</v>
      </c>
      <c r="K138" s="431"/>
      <c r="L138" s="431"/>
      <c r="M138" s="433"/>
      <c r="N138" s="434" t="s">
        <v>3518</v>
      </c>
      <c r="O138" s="1743" t="str">
        <f>VLOOKUP(B138,code_famille_scénario,2)&amp;" : "&amp;VLOOKUP(I138,code_event,2)&amp;" de "&amp;E138&amp;", "&amp;VLOOKUP(J138,Code_lieu,2)&amp;" par "&amp;VLOOKUP(N138,code_acteur,2)</f>
        <v>Destruction malveillante de documents en transit : vol de Courrier, dans le local du courrier par un membre du personnel non autorisé</v>
      </c>
      <c r="P138" s="435">
        <v>1</v>
      </c>
      <c r="Q138" s="1595" t="s">
        <v>1299</v>
      </c>
      <c r="R138" s="1595" t="s">
        <v>1873</v>
      </c>
      <c r="S138" s="1595" t="str">
        <f>Classif!C11</f>
        <v/>
      </c>
      <c r="T138" s="1595">
        <f t="shared" si="80"/>
        <v>2</v>
      </c>
      <c r="U138" s="1744" t="str">
        <f t="shared" si="81"/>
        <v/>
      </c>
      <c r="V138" s="1745">
        <v>1</v>
      </c>
      <c r="W138" s="1745">
        <f>S02D04</f>
        <v>1</v>
      </c>
      <c r="X138" s="1745">
        <v>1</v>
      </c>
      <c r="Y138" s="1745">
        <f>S02D04</f>
        <v>1</v>
      </c>
      <c r="Z138" s="1746">
        <v>0</v>
      </c>
      <c r="AA138" s="1747"/>
      <c r="AB138" s="1748"/>
      <c r="AC138" s="1748"/>
      <c r="AD138" s="1595" t="str">
        <f t="shared" si="94"/>
        <v/>
      </c>
      <c r="AE138" s="1595">
        <f t="shared" si="82"/>
        <v>2</v>
      </c>
      <c r="AF138" s="1595" t="str">
        <f t="shared" si="83"/>
        <v/>
      </c>
      <c r="AG138" s="1748"/>
      <c r="AH138" s="1749" t="str">
        <f t="shared" si="95"/>
        <v/>
      </c>
      <c r="AI138" s="1615"/>
      <c r="AJ138" s="1621" t="s">
        <v>3124</v>
      </c>
      <c r="AK138" s="1618"/>
      <c r="AL138" s="1630" t="s">
        <v>3124</v>
      </c>
      <c r="AM138" s="247" t="str">
        <f t="shared" si="88"/>
        <v/>
      </c>
      <c r="AN138" s="247" t="str">
        <f t="shared" si="89"/>
        <v/>
      </c>
      <c r="AO138" s="247" t="str">
        <f t="shared" si="90"/>
        <v/>
      </c>
      <c r="AP138" s="247" t="str">
        <f t="shared" si="91"/>
        <v/>
      </c>
      <c r="AQ138" s="42">
        <f t="shared" si="84"/>
        <v>1</v>
      </c>
      <c r="AR138" s="42">
        <f t="shared" si="85"/>
        <v>1</v>
      </c>
      <c r="AS138" s="42">
        <f t="shared" si="86"/>
        <v>1</v>
      </c>
      <c r="AT138" s="42">
        <f t="shared" si="87"/>
        <v>1</v>
      </c>
      <c r="AU138" s="247" t="str">
        <f t="shared" si="92"/>
        <v/>
      </c>
      <c r="AV138" s="247" t="str">
        <f t="shared" si="93"/>
        <v/>
      </c>
    </row>
    <row r="139" spans="1:48" ht="24" x14ac:dyDescent="0.2">
      <c r="A139" s="450" t="s">
        <v>767</v>
      </c>
      <c r="B139" s="429" t="s">
        <v>5217</v>
      </c>
      <c r="C139" s="430" t="s">
        <v>5464</v>
      </c>
      <c r="D139" s="1349" t="s">
        <v>1873</v>
      </c>
      <c r="E139" s="1350" t="s">
        <v>2472</v>
      </c>
      <c r="F139" s="1350" t="s">
        <v>4498</v>
      </c>
      <c r="G139" s="1351" t="s">
        <v>4613</v>
      </c>
      <c r="H139" s="1342" t="s">
        <v>1329</v>
      </c>
      <c r="I139" s="432" t="s">
        <v>1305</v>
      </c>
      <c r="J139" s="431" t="s">
        <v>5579</v>
      </c>
      <c r="K139" s="431"/>
      <c r="L139" s="431"/>
      <c r="M139" s="433"/>
      <c r="N139" s="434" t="s">
        <v>4814</v>
      </c>
      <c r="O139" s="1743" t="str">
        <f>VLOOKUP(B139,code_famille_scénario,2)&amp;" : "&amp;VLOOKUP(I139,code_event,2)&amp;" de "&amp;E139&amp;", "&amp;VLOOKUP(J139,Code_lieu,2)&amp;" par "&amp;VLOOKUP(N139,code_acteur,2)</f>
        <v>Destruction malveillante de documents en transit : vol de Courrier, dans le circuit de distribution par un membre du personnel de l'entreprise</v>
      </c>
      <c r="P139" s="435">
        <v>1</v>
      </c>
      <c r="Q139" s="1595" t="s">
        <v>1299</v>
      </c>
      <c r="R139" s="1595" t="s">
        <v>1873</v>
      </c>
      <c r="S139" s="1595" t="str">
        <f>Classif!C11</f>
        <v/>
      </c>
      <c r="T139" s="1595">
        <f t="shared" si="80"/>
        <v>2</v>
      </c>
      <c r="U139" s="1744" t="str">
        <f t="shared" si="81"/>
        <v/>
      </c>
      <c r="V139" s="1745">
        <v>1</v>
      </c>
      <c r="W139" s="1745">
        <f>S02D04</f>
        <v>1</v>
      </c>
      <c r="X139" s="1745">
        <v>1</v>
      </c>
      <c r="Y139" s="1745">
        <f>S02D04</f>
        <v>1</v>
      </c>
      <c r="Z139" s="1746">
        <v>0</v>
      </c>
      <c r="AA139" s="1747"/>
      <c r="AB139" s="1748"/>
      <c r="AC139" s="1748"/>
      <c r="AD139" s="1595" t="str">
        <f t="shared" si="94"/>
        <v/>
      </c>
      <c r="AE139" s="1595">
        <f t="shared" si="82"/>
        <v>2</v>
      </c>
      <c r="AF139" s="1595" t="str">
        <f t="shared" si="83"/>
        <v/>
      </c>
      <c r="AG139" s="1748"/>
      <c r="AH139" s="1749" t="str">
        <f t="shared" si="95"/>
        <v/>
      </c>
      <c r="AI139" s="1615"/>
      <c r="AJ139" s="1621" t="s">
        <v>3124</v>
      </c>
      <c r="AK139" s="1618"/>
      <c r="AL139" s="1630" t="s">
        <v>3124</v>
      </c>
      <c r="AM139" s="247" t="str">
        <f t="shared" si="88"/>
        <v/>
      </c>
      <c r="AN139" s="247" t="str">
        <f t="shared" si="89"/>
        <v/>
      </c>
      <c r="AO139" s="247" t="str">
        <f t="shared" si="90"/>
        <v/>
      </c>
      <c r="AP139" s="247" t="str">
        <f t="shared" si="91"/>
        <v/>
      </c>
      <c r="AQ139" s="42">
        <f t="shared" si="84"/>
        <v>1</v>
      </c>
      <c r="AR139" s="42">
        <f t="shared" si="85"/>
        <v>1</v>
      </c>
      <c r="AS139" s="42">
        <f t="shared" si="86"/>
        <v>1</v>
      </c>
      <c r="AT139" s="42">
        <f t="shared" si="87"/>
        <v>1</v>
      </c>
      <c r="AU139" s="247" t="str">
        <f t="shared" si="92"/>
        <v/>
      </c>
      <c r="AV139" s="247" t="str">
        <f t="shared" si="93"/>
        <v/>
      </c>
    </row>
    <row r="140" spans="1:48" ht="15" x14ac:dyDescent="0.2">
      <c r="A140" s="418" t="s">
        <v>4840</v>
      </c>
      <c r="B140" s="419"/>
      <c r="C140" s="420" t="s">
        <v>1167</v>
      </c>
      <c r="D140" s="425"/>
      <c r="E140" s="1348"/>
      <c r="F140" s="1348"/>
      <c r="G140" s="1352"/>
      <c r="H140" s="1341"/>
      <c r="I140" s="447"/>
      <c r="J140" s="441"/>
      <c r="K140" s="441"/>
      <c r="L140" s="441"/>
      <c r="M140" s="442"/>
      <c r="N140" s="422"/>
      <c r="O140" s="1752"/>
      <c r="P140" s="435"/>
      <c r="Q140" s="1595"/>
      <c r="R140" s="1595"/>
      <c r="S140" s="1595"/>
      <c r="T140" s="1595"/>
      <c r="U140" s="1744"/>
      <c r="V140" s="1745"/>
      <c r="W140" s="1745"/>
      <c r="X140" s="1745"/>
      <c r="Y140" s="1745"/>
      <c r="Z140" s="1746"/>
      <c r="AA140" s="1747"/>
      <c r="AB140" s="1748"/>
      <c r="AC140" s="1748"/>
      <c r="AD140" s="1595"/>
      <c r="AE140" s="1753"/>
      <c r="AF140" s="1595"/>
      <c r="AG140" s="1748"/>
      <c r="AH140" s="1749"/>
      <c r="AI140" s="1627"/>
      <c r="AJ140" s="1628"/>
      <c r="AK140" s="1628"/>
      <c r="AL140" s="1629"/>
      <c r="AM140" s="247" t="str">
        <f t="shared" si="88"/>
        <v/>
      </c>
      <c r="AN140" s="247" t="str">
        <f t="shared" si="89"/>
        <v/>
      </c>
      <c r="AO140" s="247" t="str">
        <f t="shared" si="90"/>
        <v/>
      </c>
      <c r="AP140" s="247" t="str">
        <f t="shared" si="91"/>
        <v/>
      </c>
      <c r="AU140" s="247" t="str">
        <f t="shared" si="92"/>
        <v/>
      </c>
      <c r="AV140" s="247" t="str">
        <f t="shared" si="93"/>
        <v/>
      </c>
    </row>
    <row r="141" spans="1:48" ht="36" x14ac:dyDescent="0.2">
      <c r="A141" s="450" t="s">
        <v>768</v>
      </c>
      <c r="B141" s="429" t="s">
        <v>2490</v>
      </c>
      <c r="C141" s="430" t="s">
        <v>2783</v>
      </c>
      <c r="D141" s="1349" t="s">
        <v>1873</v>
      </c>
      <c r="E141" s="1350" t="s">
        <v>5446</v>
      </c>
      <c r="F141" s="1350" t="s">
        <v>2777</v>
      </c>
      <c r="G141" s="1351" t="s">
        <v>4610</v>
      </c>
      <c r="H141" s="1342" t="s">
        <v>1554</v>
      </c>
      <c r="I141" s="432" t="s">
        <v>1534</v>
      </c>
      <c r="J141" s="431" t="s">
        <v>6536</v>
      </c>
      <c r="K141" s="431"/>
      <c r="L141" s="431"/>
      <c r="M141" s="433"/>
      <c r="N141" s="434"/>
      <c r="O141" s="1743" t="str">
        <f>VLOOKUP(B141,code_famille_scénario,2)&amp;VLOOKUP(C141,code_actif,2)&amp;", "&amp;VLOOKUP(J141,Code_lieu,2)&amp;", suite "&amp;VLOOKUP(I141,code_event,2)</f>
        <v>Disparition ou inexploitabilité accidentelle de document d'archives patrimoniales ou documentaires ou de documents importants à conserver sur une longue période, dans les locaux d'archives, suite à un dégât des eaux</v>
      </c>
      <c r="P141" s="435">
        <v>1</v>
      </c>
      <c r="Q141" s="1595" t="s">
        <v>1431</v>
      </c>
      <c r="R141" s="1595" t="s">
        <v>1873</v>
      </c>
      <c r="S141" s="1595" t="str">
        <f>Classif!C12</f>
        <v/>
      </c>
      <c r="T141" s="1595">
        <f t="shared" ref="T141:T150" si="96">VLOOKUP(H141&amp;"."&amp;I141,Tab_event,4)</f>
        <v>3</v>
      </c>
      <c r="U141" s="1744" t="str">
        <f t="shared" ref="U141:U150" si="97">IF(AND(NOT(S141=""),NOT(T141="")),INDEX(base_g,5-S141,T141),"")</f>
        <v/>
      </c>
      <c r="V141" s="1745">
        <v>1</v>
      </c>
      <c r="W141" s="1745">
        <f t="shared" ref="W141:W150" si="98">MIN(S02D06,S02D07)</f>
        <v>1</v>
      </c>
      <c r="X141" s="1745">
        <v>1</v>
      </c>
      <c r="Y141" s="1745">
        <v>1</v>
      </c>
      <c r="Z141" s="1746">
        <v>0</v>
      </c>
      <c r="AA141" s="1747"/>
      <c r="AB141" s="1748"/>
      <c r="AC141" s="1748"/>
      <c r="AD141" s="1595" t="str">
        <f t="shared" si="94"/>
        <v/>
      </c>
      <c r="AE141" s="1595">
        <f t="shared" ref="AE141:AE150" si="99">IF(OR(Q141="",T141=""),"",IF(Q141="A",INDEX(base_p,4,W141+7*(T141-1)),IF(Q141="E",INDEX(base_p,15,W141+7*(T141-1)),INDEX(base_p,27-V141,W141+7*(T141-1)))))</f>
        <v>3</v>
      </c>
      <c r="AF141" s="1595" t="str">
        <f t="shared" ref="AF141:AF150" si="100">IF(AT141=1,IF(IndG=1,U141,IF(AND(OR(NOT(AD141=""),NOT(AB141="")),OR(NOT(AE141=""),NOT(AC141="")),AT141=1),INDEX(base_g,5-IF(AB141="",AD141,AB141),IF(AC141="",AE141,AC141)),"")),0)</f>
        <v/>
      </c>
      <c r="AG141" s="1748"/>
      <c r="AH141" s="1749" t="str">
        <f t="shared" si="95"/>
        <v/>
      </c>
      <c r="AI141" s="1615"/>
      <c r="AJ141" s="1621" t="s">
        <v>5775</v>
      </c>
      <c r="AK141" s="1618"/>
      <c r="AL141" s="1619"/>
      <c r="AM141" s="247" t="str">
        <f t="shared" si="88"/>
        <v/>
      </c>
      <c r="AN141" s="247" t="str">
        <f t="shared" si="89"/>
        <v/>
      </c>
      <c r="AO141" s="247" t="str">
        <f t="shared" si="90"/>
        <v/>
      </c>
      <c r="AP141" s="247" t="str">
        <f t="shared" si="91"/>
        <v/>
      </c>
      <c r="AQ141" s="42">
        <f t="shared" ref="AQ141:AQ150" si="101">VLOOKUP(LEFT(C141,3),Tab_classif_data,6)</f>
        <v>1</v>
      </c>
      <c r="AR141" s="42">
        <f t="shared" ref="AR141:AR150" si="102">VLOOKUP(G141,select_vul_data,2)</f>
        <v>1</v>
      </c>
      <c r="AS141" s="42">
        <f t="shared" ref="AS141:AS150" si="103">VLOOKUP(H141&amp;"."&amp;I141,select_men,5)</f>
        <v>1</v>
      </c>
      <c r="AT141" s="42">
        <f t="shared" ref="AT141:AT150" si="104">P141*AQ141*AR141*AS141</f>
        <v>1</v>
      </c>
      <c r="AU141" s="247" t="str">
        <f t="shared" si="92"/>
        <v/>
      </c>
      <c r="AV141" s="247" t="str">
        <f t="shared" si="93"/>
        <v/>
      </c>
    </row>
    <row r="142" spans="1:48" ht="36" x14ac:dyDescent="0.2">
      <c r="A142" s="450" t="s">
        <v>769</v>
      </c>
      <c r="B142" s="429" t="s">
        <v>2490</v>
      </c>
      <c r="C142" s="430" t="s">
        <v>2783</v>
      </c>
      <c r="D142" s="1349" t="s">
        <v>1873</v>
      </c>
      <c r="E142" s="1350" t="s">
        <v>5446</v>
      </c>
      <c r="F142" s="1350" t="s">
        <v>1875</v>
      </c>
      <c r="G142" s="1351" t="s">
        <v>6070</v>
      </c>
      <c r="H142" s="1342" t="s">
        <v>3919</v>
      </c>
      <c r="I142" s="432" t="s">
        <v>1535</v>
      </c>
      <c r="J142" s="431" t="s">
        <v>6536</v>
      </c>
      <c r="K142" s="431"/>
      <c r="L142" s="431"/>
      <c r="M142" s="433"/>
      <c r="N142" s="434"/>
      <c r="O142" s="1743" t="str">
        <f>VLOOKUP(B142,code_famille_scénario,2)&amp;VLOOKUP(C142,code_actif,2)&amp;", "&amp;VLOOKUP(J142,Code_lieu,2)&amp;", suite "&amp;VLOOKUP(I142,code_event,2)</f>
        <v>Disparition ou inexploitabilité accidentelle de document d'archives patrimoniales ou documentaires ou de documents importants à conserver sur une longue période, dans les locaux d'archives, suite à un incendie</v>
      </c>
      <c r="P142" s="435">
        <v>1</v>
      </c>
      <c r="Q142" s="1595" t="s">
        <v>1431</v>
      </c>
      <c r="R142" s="1595" t="s">
        <v>1873</v>
      </c>
      <c r="S142" s="1595" t="str">
        <f>Classif!C12</f>
        <v/>
      </c>
      <c r="T142" s="1595">
        <f t="shared" si="96"/>
        <v>2</v>
      </c>
      <c r="U142" s="1744" t="str">
        <f t="shared" si="97"/>
        <v/>
      </c>
      <c r="V142" s="1745">
        <v>1</v>
      </c>
      <c r="W142" s="1745">
        <f t="shared" si="98"/>
        <v>1</v>
      </c>
      <c r="X142" s="1745">
        <v>1</v>
      </c>
      <c r="Y142" s="1745">
        <v>1</v>
      </c>
      <c r="Z142" s="1746">
        <v>0</v>
      </c>
      <c r="AA142" s="1747"/>
      <c r="AB142" s="1748"/>
      <c r="AC142" s="1748"/>
      <c r="AD142" s="1595" t="str">
        <f t="shared" si="94"/>
        <v/>
      </c>
      <c r="AE142" s="1595">
        <f t="shared" si="99"/>
        <v>2</v>
      </c>
      <c r="AF142" s="1595" t="str">
        <f t="shared" si="100"/>
        <v/>
      </c>
      <c r="AG142" s="1748"/>
      <c r="AH142" s="1749" t="str">
        <f t="shared" si="95"/>
        <v/>
      </c>
      <c r="AI142" s="1615"/>
      <c r="AJ142" s="1621" t="s">
        <v>5775</v>
      </c>
      <c r="AK142" s="1618"/>
      <c r="AL142" s="1619"/>
      <c r="AM142" s="247" t="str">
        <f t="shared" si="88"/>
        <v/>
      </c>
      <c r="AN142" s="247" t="str">
        <f t="shared" si="89"/>
        <v/>
      </c>
      <c r="AO142" s="247" t="str">
        <f t="shared" si="90"/>
        <v/>
      </c>
      <c r="AP142" s="247" t="str">
        <f t="shared" si="91"/>
        <v/>
      </c>
      <c r="AQ142" s="42">
        <f t="shared" si="101"/>
        <v>1</v>
      </c>
      <c r="AR142" s="42">
        <f t="shared" si="102"/>
        <v>1</v>
      </c>
      <c r="AS142" s="42">
        <f t="shared" si="103"/>
        <v>1</v>
      </c>
      <c r="AT142" s="42">
        <f t="shared" si="104"/>
        <v>1</v>
      </c>
      <c r="AU142" s="247" t="str">
        <f t="shared" si="92"/>
        <v/>
      </c>
      <c r="AV142" s="247" t="str">
        <f t="shared" si="93"/>
        <v/>
      </c>
    </row>
    <row r="143" spans="1:48" ht="36" x14ac:dyDescent="0.2">
      <c r="A143" s="450" t="s">
        <v>770</v>
      </c>
      <c r="B143" s="429" t="s">
        <v>2490</v>
      </c>
      <c r="C143" s="430" t="s">
        <v>2783</v>
      </c>
      <c r="D143" s="1349" t="s">
        <v>1873</v>
      </c>
      <c r="E143" s="1350" t="s">
        <v>5446</v>
      </c>
      <c r="F143" s="1350" t="s">
        <v>1875</v>
      </c>
      <c r="G143" s="1351" t="s">
        <v>6070</v>
      </c>
      <c r="H143" s="1342" t="s">
        <v>3919</v>
      </c>
      <c r="I143" s="432" t="s">
        <v>1536</v>
      </c>
      <c r="J143" s="431" t="s">
        <v>6536</v>
      </c>
      <c r="K143" s="431"/>
      <c r="L143" s="431"/>
      <c r="M143" s="433"/>
      <c r="N143" s="434"/>
      <c r="O143" s="1743" t="str">
        <f>VLOOKUP(B143,code_famille_scénario,2)&amp;VLOOKUP(C143,code_actif,2)&amp;", "&amp;VLOOKUP(J143,Code_lieu,2)&amp;", suite "&amp;VLOOKUP(I143,code_event,2)</f>
        <v>Disparition ou inexploitabilité accidentelle de document d'archives patrimoniales ou documentaires ou de documents importants à conserver sur une longue période, dans les locaux d'archives, suite à une inondation</v>
      </c>
      <c r="P143" s="435">
        <v>1</v>
      </c>
      <c r="Q143" s="1595" t="s">
        <v>1431</v>
      </c>
      <c r="R143" s="1595" t="s">
        <v>1873</v>
      </c>
      <c r="S143" s="1595" t="str">
        <f>Classif!C12</f>
        <v/>
      </c>
      <c r="T143" s="1595">
        <f t="shared" si="96"/>
        <v>2</v>
      </c>
      <c r="U143" s="1744" t="str">
        <f t="shared" si="97"/>
        <v/>
      </c>
      <c r="V143" s="1745">
        <v>1</v>
      </c>
      <c r="W143" s="1745">
        <f t="shared" si="98"/>
        <v>1</v>
      </c>
      <c r="X143" s="1745">
        <v>1</v>
      </c>
      <c r="Y143" s="1745">
        <v>1</v>
      </c>
      <c r="Z143" s="1746">
        <v>0</v>
      </c>
      <c r="AA143" s="1747"/>
      <c r="AB143" s="1748"/>
      <c r="AC143" s="1748"/>
      <c r="AD143" s="1595" t="str">
        <f t="shared" si="94"/>
        <v/>
      </c>
      <c r="AE143" s="1595">
        <f t="shared" si="99"/>
        <v>2</v>
      </c>
      <c r="AF143" s="1595" t="str">
        <f t="shared" si="100"/>
        <v/>
      </c>
      <c r="AG143" s="1748"/>
      <c r="AH143" s="1749" t="str">
        <f t="shared" si="95"/>
        <v/>
      </c>
      <c r="AI143" s="1615"/>
      <c r="AJ143" s="1621" t="s">
        <v>5775</v>
      </c>
      <c r="AK143" s="1618"/>
      <c r="AL143" s="1619"/>
      <c r="AM143" s="247" t="str">
        <f t="shared" si="88"/>
        <v/>
      </c>
      <c r="AN143" s="247" t="str">
        <f t="shared" si="89"/>
        <v/>
      </c>
      <c r="AO143" s="247" t="str">
        <f t="shared" si="90"/>
        <v/>
      </c>
      <c r="AP143" s="247" t="str">
        <f t="shared" si="91"/>
        <v/>
      </c>
      <c r="AQ143" s="42">
        <f t="shared" si="101"/>
        <v>1</v>
      </c>
      <c r="AR143" s="42">
        <f t="shared" si="102"/>
        <v>1</v>
      </c>
      <c r="AS143" s="42">
        <f t="shared" si="103"/>
        <v>1</v>
      </c>
      <c r="AT143" s="42">
        <f t="shared" si="104"/>
        <v>1</v>
      </c>
      <c r="AU143" s="247" t="str">
        <f t="shared" si="92"/>
        <v/>
      </c>
      <c r="AV143" s="247" t="str">
        <f t="shared" si="93"/>
        <v/>
      </c>
    </row>
    <row r="144" spans="1:48" ht="36" x14ac:dyDescent="0.2">
      <c r="A144" s="450" t="s">
        <v>771</v>
      </c>
      <c r="B144" s="429" t="s">
        <v>2491</v>
      </c>
      <c r="C144" s="430" t="s">
        <v>2783</v>
      </c>
      <c r="D144" s="1349" t="s">
        <v>1873</v>
      </c>
      <c r="E144" s="1350" t="s">
        <v>5446</v>
      </c>
      <c r="F144" s="1350" t="s">
        <v>2401</v>
      </c>
      <c r="G144" s="1351" t="s">
        <v>5552</v>
      </c>
      <c r="H144" s="1342" t="s">
        <v>1327</v>
      </c>
      <c r="I144" s="432" t="s">
        <v>1545</v>
      </c>
      <c r="J144" s="431" t="s">
        <v>6536</v>
      </c>
      <c r="K144" s="431"/>
      <c r="L144" s="431"/>
      <c r="M144" s="433"/>
      <c r="N144" s="434"/>
      <c r="O144" s="1743" t="str">
        <f>VLOOKUP(B144,code_famille_scénario,2)&amp;VLOOKUP(C144,code_actif,2)&amp;", suite "&amp;VLOOKUP(I144,code_event,2)&amp;", "&amp;VLOOKUP(J144,Code_lieu,2)</f>
        <v>Perte de document d'archives patrimoniales ou documentaires ou de documents importants à conserver sur une longue période, suite à une erreur de procédure, dans les locaux d'archives</v>
      </c>
      <c r="P144" s="435">
        <v>1</v>
      </c>
      <c r="Q144" s="1595" t="s">
        <v>6403</v>
      </c>
      <c r="R144" s="1595" t="s">
        <v>1873</v>
      </c>
      <c r="S144" s="1595" t="str">
        <f>Classif!C12</f>
        <v/>
      </c>
      <c r="T144" s="1595">
        <f t="shared" si="96"/>
        <v>3</v>
      </c>
      <c r="U144" s="1744" t="str">
        <f t="shared" si="97"/>
        <v/>
      </c>
      <c r="V144" s="1745">
        <v>1</v>
      </c>
      <c r="W144" s="1745">
        <f t="shared" si="98"/>
        <v>1</v>
      </c>
      <c r="X144" s="1745">
        <v>1</v>
      </c>
      <c r="Y144" s="1745">
        <v>1</v>
      </c>
      <c r="Z144" s="1746">
        <v>0</v>
      </c>
      <c r="AA144" s="1747"/>
      <c r="AB144" s="1748"/>
      <c r="AC144" s="1748"/>
      <c r="AD144" s="1595" t="str">
        <f t="shared" si="94"/>
        <v/>
      </c>
      <c r="AE144" s="1595">
        <f t="shared" si="99"/>
        <v>3</v>
      </c>
      <c r="AF144" s="1595" t="str">
        <f t="shared" si="100"/>
        <v/>
      </c>
      <c r="AG144" s="1748"/>
      <c r="AH144" s="1749" t="str">
        <f t="shared" si="95"/>
        <v/>
      </c>
      <c r="AI144" s="1615"/>
      <c r="AJ144" s="1621" t="s">
        <v>5775</v>
      </c>
      <c r="AK144" s="1618"/>
      <c r="AL144" s="1619"/>
      <c r="AM144" s="247" t="str">
        <f t="shared" si="88"/>
        <v/>
      </c>
      <c r="AN144" s="247" t="str">
        <f t="shared" si="89"/>
        <v/>
      </c>
      <c r="AO144" s="247" t="str">
        <f t="shared" si="90"/>
        <v/>
      </c>
      <c r="AP144" s="247" t="str">
        <f t="shared" si="91"/>
        <v/>
      </c>
      <c r="AQ144" s="42">
        <f t="shared" si="101"/>
        <v>1</v>
      </c>
      <c r="AR144" s="42">
        <f t="shared" si="102"/>
        <v>1</v>
      </c>
      <c r="AS144" s="42">
        <f t="shared" si="103"/>
        <v>1</v>
      </c>
      <c r="AT144" s="42">
        <f t="shared" si="104"/>
        <v>1</v>
      </c>
      <c r="AU144" s="247" t="str">
        <f t="shared" si="92"/>
        <v/>
      </c>
      <c r="AV144" s="247" t="str">
        <f t="shared" si="93"/>
        <v/>
      </c>
    </row>
    <row r="145" spans="1:48" ht="48" x14ac:dyDescent="0.2">
      <c r="A145" s="450" t="s">
        <v>772</v>
      </c>
      <c r="B145" s="429" t="s">
        <v>2492</v>
      </c>
      <c r="C145" s="430" t="s">
        <v>2783</v>
      </c>
      <c r="D145" s="1349" t="s">
        <v>1873</v>
      </c>
      <c r="E145" s="1350" t="s">
        <v>5446</v>
      </c>
      <c r="F145" s="1350" t="s">
        <v>4498</v>
      </c>
      <c r="G145" s="1351" t="s">
        <v>5552</v>
      </c>
      <c r="H145" s="1342" t="s">
        <v>1329</v>
      </c>
      <c r="I145" s="432" t="s">
        <v>1305</v>
      </c>
      <c r="J145" s="431" t="s">
        <v>6536</v>
      </c>
      <c r="K145" s="431" t="s">
        <v>1482</v>
      </c>
      <c r="L145" s="431"/>
      <c r="M145" s="433"/>
      <c r="N145" s="434" t="s">
        <v>4816</v>
      </c>
      <c r="O145" s="1743" t="str">
        <f>VLOOKUP(B145,code_famille_scénario,2)&amp;VLOOKUP(C145,code_actif,2)&amp;", "&amp;VLOOKUP(J145,Code_lieu,2)&amp;", par "&amp;VLOOKUP(N145,code_acteur,2)&amp;", "&amp;VLOOKUP(K145,code_temps,2)</f>
        <v>Disparition, par vol ou destruction malveillante, de document d'archives patrimoniales ou documentaires ou de documents importants à conserver sur une longue période, dans les locaux d'archives, par un membre  du personnel autorisé, pendant les heures ouvrables</v>
      </c>
      <c r="P145" s="435">
        <v>1</v>
      </c>
      <c r="Q145" s="1595" t="s">
        <v>1299</v>
      </c>
      <c r="R145" s="1595" t="s">
        <v>1873</v>
      </c>
      <c r="S145" s="1595" t="str">
        <f>Classif!C12</f>
        <v/>
      </c>
      <c r="T145" s="1595">
        <f t="shared" si="96"/>
        <v>2</v>
      </c>
      <c r="U145" s="1744" t="str">
        <f t="shared" si="97"/>
        <v/>
      </c>
      <c r="V145" s="1745">
        <f t="shared" ref="V145:V150" si="105">MIN(S02D06,S02D07)</f>
        <v>1</v>
      </c>
      <c r="W145" s="1745">
        <f t="shared" si="98"/>
        <v>1</v>
      </c>
      <c r="X145" s="1745">
        <v>1</v>
      </c>
      <c r="Y145" s="1745">
        <v>1</v>
      </c>
      <c r="Z145" s="1746">
        <v>0</v>
      </c>
      <c r="AA145" s="1747"/>
      <c r="AB145" s="1748"/>
      <c r="AC145" s="1748"/>
      <c r="AD145" s="1595" t="str">
        <f t="shared" si="94"/>
        <v/>
      </c>
      <c r="AE145" s="1595">
        <f t="shared" si="99"/>
        <v>2</v>
      </c>
      <c r="AF145" s="1595" t="str">
        <f t="shared" si="100"/>
        <v/>
      </c>
      <c r="AG145" s="1748"/>
      <c r="AH145" s="1749" t="str">
        <f t="shared" si="95"/>
        <v/>
      </c>
      <c r="AI145" s="1622" t="s">
        <v>5775</v>
      </c>
      <c r="AJ145" s="1621" t="s">
        <v>5775</v>
      </c>
      <c r="AK145" s="1618"/>
      <c r="AL145" s="1619"/>
      <c r="AM145" s="247" t="str">
        <f t="shared" si="88"/>
        <v/>
      </c>
      <c r="AN145" s="247" t="str">
        <f t="shared" si="89"/>
        <v/>
      </c>
      <c r="AO145" s="247" t="str">
        <f t="shared" si="90"/>
        <v/>
      </c>
      <c r="AP145" s="247" t="str">
        <f t="shared" si="91"/>
        <v/>
      </c>
      <c r="AQ145" s="42">
        <f t="shared" si="101"/>
        <v>1</v>
      </c>
      <c r="AR145" s="42">
        <f t="shared" si="102"/>
        <v>1</v>
      </c>
      <c r="AS145" s="42">
        <f t="shared" si="103"/>
        <v>1</v>
      </c>
      <c r="AT145" s="42">
        <f t="shared" si="104"/>
        <v>1</v>
      </c>
      <c r="AU145" s="247" t="str">
        <f t="shared" si="92"/>
        <v/>
      </c>
      <c r="AV145" s="247" t="str">
        <f t="shared" si="93"/>
        <v/>
      </c>
    </row>
    <row r="146" spans="1:48" ht="48" x14ac:dyDescent="0.2">
      <c r="A146" s="450" t="s">
        <v>773</v>
      </c>
      <c r="B146" s="429" t="s">
        <v>2492</v>
      </c>
      <c r="C146" s="430" t="s">
        <v>2783</v>
      </c>
      <c r="D146" s="1349" t="s">
        <v>1873</v>
      </c>
      <c r="E146" s="1350" t="s">
        <v>5446</v>
      </c>
      <c r="F146" s="1350" t="s">
        <v>4498</v>
      </c>
      <c r="G146" s="1351" t="s">
        <v>5552</v>
      </c>
      <c r="H146" s="1342" t="s">
        <v>1329</v>
      </c>
      <c r="I146" s="432" t="s">
        <v>1305</v>
      </c>
      <c r="J146" s="431" t="s">
        <v>6536</v>
      </c>
      <c r="K146" s="431" t="s">
        <v>3524</v>
      </c>
      <c r="L146" s="431"/>
      <c r="M146" s="433"/>
      <c r="N146" s="434" t="s">
        <v>2218</v>
      </c>
      <c r="O146" s="1743" t="str">
        <f>VLOOKUP(B146,code_famille_scénario,2)&amp;VLOOKUP(C146,code_actif,2)&amp;", "&amp;VLOOKUP(J146,Code_lieu,2)&amp;", par "&amp;VLOOKUP(N146,code_acteur,2)&amp;", "&amp;VLOOKUP(K146,code_temps,2)</f>
        <v>Disparition, par vol ou destruction malveillante, de document d'archives patrimoniales ou documentaires ou de documents importants à conserver sur une longue période, dans les locaux d'archives, par un membre du personnel de service, en dehors des heures ouvrables</v>
      </c>
      <c r="P146" s="435">
        <v>1</v>
      </c>
      <c r="Q146" s="1595" t="s">
        <v>1299</v>
      </c>
      <c r="R146" s="1595" t="s">
        <v>1873</v>
      </c>
      <c r="S146" s="1595" t="str">
        <f>Classif!C12</f>
        <v/>
      </c>
      <c r="T146" s="1595">
        <f t="shared" si="96"/>
        <v>2</v>
      </c>
      <c r="U146" s="1744" t="str">
        <f t="shared" si="97"/>
        <v/>
      </c>
      <c r="V146" s="1745">
        <f t="shared" si="105"/>
        <v>1</v>
      </c>
      <c r="W146" s="1745">
        <f t="shared" si="98"/>
        <v>1</v>
      </c>
      <c r="X146" s="1745">
        <v>1</v>
      </c>
      <c r="Y146" s="1745">
        <v>1</v>
      </c>
      <c r="Z146" s="1746">
        <v>0</v>
      </c>
      <c r="AA146" s="1747"/>
      <c r="AB146" s="1748"/>
      <c r="AC146" s="1748"/>
      <c r="AD146" s="1595" t="str">
        <f t="shared" si="94"/>
        <v/>
      </c>
      <c r="AE146" s="1595">
        <f t="shared" si="99"/>
        <v>2</v>
      </c>
      <c r="AF146" s="1595" t="str">
        <f t="shared" si="100"/>
        <v/>
      </c>
      <c r="AG146" s="1748"/>
      <c r="AH146" s="1749" t="str">
        <f t="shared" si="95"/>
        <v/>
      </c>
      <c r="AI146" s="1622" t="s">
        <v>5775</v>
      </c>
      <c r="AJ146" s="1621" t="s">
        <v>5775</v>
      </c>
      <c r="AK146" s="1618"/>
      <c r="AL146" s="1619"/>
      <c r="AM146" s="247" t="str">
        <f t="shared" si="88"/>
        <v/>
      </c>
      <c r="AN146" s="247" t="str">
        <f t="shared" si="89"/>
        <v/>
      </c>
      <c r="AO146" s="247" t="str">
        <f t="shared" si="90"/>
        <v/>
      </c>
      <c r="AP146" s="247" t="str">
        <f t="shared" si="91"/>
        <v/>
      </c>
      <c r="AQ146" s="42">
        <f t="shared" si="101"/>
        <v>1</v>
      </c>
      <c r="AR146" s="42">
        <f t="shared" si="102"/>
        <v>1</v>
      </c>
      <c r="AS146" s="42">
        <f t="shared" si="103"/>
        <v>1</v>
      </c>
      <c r="AT146" s="42">
        <f t="shared" si="104"/>
        <v>1</v>
      </c>
      <c r="AU146" s="247" t="str">
        <f t="shared" si="92"/>
        <v/>
      </c>
      <c r="AV146" s="247" t="str">
        <f t="shared" si="93"/>
        <v/>
      </c>
    </row>
    <row r="147" spans="1:48" ht="48" x14ac:dyDescent="0.2">
      <c r="A147" s="450" t="s">
        <v>774</v>
      </c>
      <c r="B147" s="429" t="s">
        <v>2492</v>
      </c>
      <c r="C147" s="430" t="s">
        <v>2783</v>
      </c>
      <c r="D147" s="1349" t="s">
        <v>1873</v>
      </c>
      <c r="E147" s="1350" t="s">
        <v>5446</v>
      </c>
      <c r="F147" s="1350" t="s">
        <v>4498</v>
      </c>
      <c r="G147" s="1351" t="s">
        <v>5552</v>
      </c>
      <c r="H147" s="1342" t="s">
        <v>1329</v>
      </c>
      <c r="I147" s="432" t="s">
        <v>1305</v>
      </c>
      <c r="J147" s="431" t="s">
        <v>6536</v>
      </c>
      <c r="K147" s="431" t="s">
        <v>1482</v>
      </c>
      <c r="L147" s="431"/>
      <c r="M147" s="433"/>
      <c r="N147" s="434" t="s">
        <v>3518</v>
      </c>
      <c r="O147" s="1743" t="str">
        <f>VLOOKUP(B147,code_famille_scénario,2)&amp;VLOOKUP(C147,code_actif,2)&amp;", "&amp;VLOOKUP(J147,Code_lieu,2)&amp;", par "&amp;VLOOKUP(N147,code_acteur,2)&amp;", "&amp;VLOOKUP(K147,code_temps,2)</f>
        <v>Disparition, par vol ou destruction malveillante, de document d'archives patrimoniales ou documentaires ou de documents importants à conserver sur une longue période, dans les locaux d'archives, par un membre du personnel non autorisé, pendant les heures ouvrables</v>
      </c>
      <c r="P147" s="435">
        <v>1</v>
      </c>
      <c r="Q147" s="1595" t="s">
        <v>1299</v>
      </c>
      <c r="R147" s="1595" t="s">
        <v>1873</v>
      </c>
      <c r="S147" s="1595" t="str">
        <f>Classif!C12</f>
        <v/>
      </c>
      <c r="T147" s="1595">
        <f t="shared" si="96"/>
        <v>2</v>
      </c>
      <c r="U147" s="1744" t="str">
        <f t="shared" si="97"/>
        <v/>
      </c>
      <c r="V147" s="1745">
        <f t="shared" si="105"/>
        <v>1</v>
      </c>
      <c r="W147" s="1745">
        <f t="shared" si="98"/>
        <v>1</v>
      </c>
      <c r="X147" s="1745">
        <v>1</v>
      </c>
      <c r="Y147" s="1745">
        <v>1</v>
      </c>
      <c r="Z147" s="1746">
        <v>0</v>
      </c>
      <c r="AA147" s="1747"/>
      <c r="AB147" s="1748"/>
      <c r="AC147" s="1748"/>
      <c r="AD147" s="1595" t="str">
        <f t="shared" si="94"/>
        <v/>
      </c>
      <c r="AE147" s="1595">
        <f t="shared" si="99"/>
        <v>2</v>
      </c>
      <c r="AF147" s="1595" t="str">
        <f t="shared" si="100"/>
        <v/>
      </c>
      <c r="AG147" s="1748"/>
      <c r="AH147" s="1749" t="str">
        <f t="shared" si="95"/>
        <v/>
      </c>
      <c r="AI147" s="1622" t="s">
        <v>5775</v>
      </c>
      <c r="AJ147" s="1621" t="s">
        <v>5775</v>
      </c>
      <c r="AK147" s="1618"/>
      <c r="AL147" s="1619"/>
      <c r="AM147" s="247" t="str">
        <f t="shared" si="88"/>
        <v/>
      </c>
      <c r="AN147" s="247" t="str">
        <f t="shared" si="89"/>
        <v/>
      </c>
      <c r="AO147" s="247" t="str">
        <f t="shared" si="90"/>
        <v/>
      </c>
      <c r="AP147" s="247" t="str">
        <f t="shared" si="91"/>
        <v/>
      </c>
      <c r="AQ147" s="42">
        <f t="shared" si="101"/>
        <v>1</v>
      </c>
      <c r="AR147" s="42">
        <f t="shared" si="102"/>
        <v>1</v>
      </c>
      <c r="AS147" s="42">
        <f t="shared" si="103"/>
        <v>1</v>
      </c>
      <c r="AT147" s="42">
        <f t="shared" si="104"/>
        <v>1</v>
      </c>
      <c r="AU147" s="247" t="str">
        <f t="shared" si="92"/>
        <v/>
      </c>
      <c r="AV147" s="247" t="str">
        <f t="shared" si="93"/>
        <v/>
      </c>
    </row>
    <row r="148" spans="1:48" ht="48" x14ac:dyDescent="0.2">
      <c r="A148" s="450" t="s">
        <v>775</v>
      </c>
      <c r="B148" s="429" t="s">
        <v>2492</v>
      </c>
      <c r="C148" s="430" t="s">
        <v>2783</v>
      </c>
      <c r="D148" s="1349" t="s">
        <v>1873</v>
      </c>
      <c r="E148" s="1350" t="s">
        <v>5446</v>
      </c>
      <c r="F148" s="1350" t="s">
        <v>4498</v>
      </c>
      <c r="G148" s="1351" t="s">
        <v>5552</v>
      </c>
      <c r="H148" s="1342" t="s">
        <v>1329</v>
      </c>
      <c r="I148" s="432" t="s">
        <v>1305</v>
      </c>
      <c r="J148" s="431" t="s">
        <v>6536</v>
      </c>
      <c r="K148" s="431" t="s">
        <v>3524</v>
      </c>
      <c r="L148" s="431"/>
      <c r="M148" s="433"/>
      <c r="N148" s="434" t="s">
        <v>3518</v>
      </c>
      <c r="O148" s="1743" t="str">
        <f>VLOOKUP(B148,code_famille_scénario,2)&amp;VLOOKUP(C148,code_actif,2)&amp;", "&amp;VLOOKUP(J148,Code_lieu,2)&amp;", par "&amp;VLOOKUP(N148,code_acteur,2)&amp;", "&amp;VLOOKUP(K148,code_temps,2)</f>
        <v>Disparition, par vol ou destruction malveillante, de document d'archives patrimoniales ou documentaires ou de documents importants à conserver sur une longue période, dans les locaux d'archives, par un membre du personnel non autorisé, en dehors des heures ouvrables</v>
      </c>
      <c r="P148" s="435">
        <v>1</v>
      </c>
      <c r="Q148" s="1595" t="s">
        <v>1299</v>
      </c>
      <c r="R148" s="1595" t="s">
        <v>1873</v>
      </c>
      <c r="S148" s="1595" t="str">
        <f>Classif!C12</f>
        <v/>
      </c>
      <c r="T148" s="1595">
        <f t="shared" si="96"/>
        <v>2</v>
      </c>
      <c r="U148" s="1744" t="str">
        <f t="shared" si="97"/>
        <v/>
      </c>
      <c r="V148" s="1745">
        <f t="shared" si="105"/>
        <v>1</v>
      </c>
      <c r="W148" s="1745">
        <f t="shared" si="98"/>
        <v>1</v>
      </c>
      <c r="X148" s="1745">
        <v>1</v>
      </c>
      <c r="Y148" s="1745">
        <v>1</v>
      </c>
      <c r="Z148" s="1746">
        <v>0</v>
      </c>
      <c r="AA148" s="1747"/>
      <c r="AB148" s="1748"/>
      <c r="AC148" s="1748"/>
      <c r="AD148" s="1595" t="str">
        <f t="shared" si="94"/>
        <v/>
      </c>
      <c r="AE148" s="1595">
        <f t="shared" si="99"/>
        <v>2</v>
      </c>
      <c r="AF148" s="1595" t="str">
        <f t="shared" si="100"/>
        <v/>
      </c>
      <c r="AG148" s="1748"/>
      <c r="AH148" s="1749" t="str">
        <f t="shared" si="95"/>
        <v/>
      </c>
      <c r="AI148" s="1622" t="s">
        <v>5775</v>
      </c>
      <c r="AJ148" s="1621" t="s">
        <v>5775</v>
      </c>
      <c r="AK148" s="1618"/>
      <c r="AL148" s="1619"/>
      <c r="AM148" s="247" t="str">
        <f t="shared" si="88"/>
        <v/>
      </c>
      <c r="AN148" s="247" t="str">
        <f t="shared" si="89"/>
        <v/>
      </c>
      <c r="AO148" s="247" t="str">
        <f t="shared" si="90"/>
        <v/>
      </c>
      <c r="AP148" s="247" t="str">
        <f t="shared" si="91"/>
        <v/>
      </c>
      <c r="AQ148" s="42">
        <f t="shared" si="101"/>
        <v>1</v>
      </c>
      <c r="AR148" s="42">
        <f t="shared" si="102"/>
        <v>1</v>
      </c>
      <c r="AS148" s="42">
        <f t="shared" si="103"/>
        <v>1</v>
      </c>
      <c r="AT148" s="42">
        <f t="shared" si="104"/>
        <v>1</v>
      </c>
      <c r="AU148" s="247" t="str">
        <f t="shared" si="92"/>
        <v/>
      </c>
      <c r="AV148" s="247" t="str">
        <f t="shared" si="93"/>
        <v/>
      </c>
    </row>
    <row r="149" spans="1:48" ht="36" x14ac:dyDescent="0.2">
      <c r="A149" s="450" t="s">
        <v>776</v>
      </c>
      <c r="B149" s="429" t="s">
        <v>2492</v>
      </c>
      <c r="C149" s="430" t="s">
        <v>2783</v>
      </c>
      <c r="D149" s="1349" t="s">
        <v>1873</v>
      </c>
      <c r="E149" s="1350" t="s">
        <v>5446</v>
      </c>
      <c r="F149" s="1350" t="s">
        <v>4498</v>
      </c>
      <c r="G149" s="1351" t="s">
        <v>5552</v>
      </c>
      <c r="H149" s="1342" t="s">
        <v>1329</v>
      </c>
      <c r="I149" s="432" t="s">
        <v>1305</v>
      </c>
      <c r="J149" s="431" t="s">
        <v>5579</v>
      </c>
      <c r="K149" s="431"/>
      <c r="L149" s="431"/>
      <c r="M149" s="433" t="s">
        <v>6757</v>
      </c>
      <c r="N149" s="434" t="s">
        <v>3518</v>
      </c>
      <c r="O149" s="1743" t="str">
        <f>VLOOKUP(B149,code_famille_scénario,2)&amp;VLOOKUP(C149,code_actif,2)&amp;", "&amp;VLOOKUP(M149,code_process,2)</f>
        <v>Disparition, par vol ou destruction malveillante, de document d'archives patrimoniales ou documentaires ou de documents importants à conserver sur une longue période, pendant le transport entre sites</v>
      </c>
      <c r="P149" s="435">
        <v>1</v>
      </c>
      <c r="Q149" s="1595" t="s">
        <v>1299</v>
      </c>
      <c r="R149" s="1595" t="s">
        <v>1873</v>
      </c>
      <c r="S149" s="1595" t="str">
        <f>Classif!C12</f>
        <v/>
      </c>
      <c r="T149" s="1595">
        <f t="shared" si="96"/>
        <v>2</v>
      </c>
      <c r="U149" s="1744" t="str">
        <f t="shared" si="97"/>
        <v/>
      </c>
      <c r="V149" s="1745">
        <f t="shared" si="105"/>
        <v>1</v>
      </c>
      <c r="W149" s="1745">
        <f t="shared" si="98"/>
        <v>1</v>
      </c>
      <c r="X149" s="1745">
        <v>1</v>
      </c>
      <c r="Y149" s="1745">
        <v>1</v>
      </c>
      <c r="Z149" s="1746">
        <v>0</v>
      </c>
      <c r="AA149" s="1747"/>
      <c r="AB149" s="1748"/>
      <c r="AC149" s="1748"/>
      <c r="AD149" s="1595" t="str">
        <f t="shared" si="94"/>
        <v/>
      </c>
      <c r="AE149" s="1595">
        <f t="shared" si="99"/>
        <v>2</v>
      </c>
      <c r="AF149" s="1595" t="str">
        <f t="shared" si="100"/>
        <v/>
      </c>
      <c r="AG149" s="1748"/>
      <c r="AH149" s="1749" t="str">
        <f t="shared" si="95"/>
        <v/>
      </c>
      <c r="AI149" s="1622" t="s">
        <v>5775</v>
      </c>
      <c r="AJ149" s="1621" t="s">
        <v>5775</v>
      </c>
      <c r="AK149" s="1618"/>
      <c r="AL149" s="1619"/>
      <c r="AM149" s="247" t="str">
        <f t="shared" si="88"/>
        <v/>
      </c>
      <c r="AN149" s="247" t="str">
        <f t="shared" si="89"/>
        <v/>
      </c>
      <c r="AO149" s="247" t="str">
        <f t="shared" si="90"/>
        <v/>
      </c>
      <c r="AP149" s="247" t="str">
        <f t="shared" si="91"/>
        <v/>
      </c>
      <c r="AQ149" s="42">
        <f t="shared" si="101"/>
        <v>1</v>
      </c>
      <c r="AR149" s="42">
        <f t="shared" si="102"/>
        <v>1</v>
      </c>
      <c r="AS149" s="42">
        <f t="shared" si="103"/>
        <v>1</v>
      </c>
      <c r="AT149" s="42">
        <f t="shared" si="104"/>
        <v>1</v>
      </c>
      <c r="AU149" s="247" t="str">
        <f t="shared" si="92"/>
        <v/>
      </c>
      <c r="AV149" s="247" t="str">
        <f t="shared" si="93"/>
        <v/>
      </c>
    </row>
    <row r="150" spans="1:48" ht="48" x14ac:dyDescent="0.2">
      <c r="A150" s="450" t="s">
        <v>777</v>
      </c>
      <c r="B150" s="429" t="s">
        <v>2492</v>
      </c>
      <c r="C150" s="430" t="s">
        <v>2783</v>
      </c>
      <c r="D150" s="1349" t="s">
        <v>1873</v>
      </c>
      <c r="E150" s="1350" t="s">
        <v>5446</v>
      </c>
      <c r="F150" s="1350" t="s">
        <v>1875</v>
      </c>
      <c r="G150" s="1351" t="s">
        <v>5552</v>
      </c>
      <c r="H150" s="1342" t="s">
        <v>1329</v>
      </c>
      <c r="I150" s="432" t="s">
        <v>1551</v>
      </c>
      <c r="J150" s="431" t="s">
        <v>6536</v>
      </c>
      <c r="K150" s="431"/>
      <c r="L150" s="431"/>
      <c r="M150" s="433"/>
      <c r="N150" s="434" t="s">
        <v>1521</v>
      </c>
      <c r="O150" s="1743" t="str">
        <f>VLOOKUP(B150,code_famille_scénario,2)&amp;VLOOKUP(C150,code_actif,2)&amp;", "&amp;VLOOKUP(J150,Code_lieu,2)&amp;", par "&amp;VLOOKUP(N150,code_acteur,2)</f>
        <v>Disparition, par vol ou destruction malveillante, de document d'archives patrimoniales ou documentaires ou de documents importants à conserver sur une longue période, dans les locaux d'archives, par des vandales ou des terroristes agissant depuis l'extérieur</v>
      </c>
      <c r="P150" s="435">
        <v>1</v>
      </c>
      <c r="Q150" s="1595" t="s">
        <v>1299</v>
      </c>
      <c r="R150" s="1595" t="s">
        <v>1873</v>
      </c>
      <c r="S150" s="1595" t="str">
        <f>Classif!C12</f>
        <v/>
      </c>
      <c r="T150" s="1595">
        <f t="shared" si="96"/>
        <v>2</v>
      </c>
      <c r="U150" s="1744" t="str">
        <f t="shared" si="97"/>
        <v/>
      </c>
      <c r="V150" s="1745">
        <f t="shared" si="105"/>
        <v>1</v>
      </c>
      <c r="W150" s="1745">
        <f t="shared" si="98"/>
        <v>1</v>
      </c>
      <c r="X150" s="1745">
        <v>1</v>
      </c>
      <c r="Y150" s="1745">
        <v>1</v>
      </c>
      <c r="Z150" s="1746">
        <v>0</v>
      </c>
      <c r="AA150" s="1747"/>
      <c r="AB150" s="1748"/>
      <c r="AC150" s="1748"/>
      <c r="AD150" s="1595" t="str">
        <f t="shared" si="94"/>
        <v/>
      </c>
      <c r="AE150" s="1595">
        <f t="shared" si="99"/>
        <v>2</v>
      </c>
      <c r="AF150" s="1595" t="str">
        <f t="shared" si="100"/>
        <v/>
      </c>
      <c r="AG150" s="1748"/>
      <c r="AH150" s="1749" t="str">
        <f t="shared" si="95"/>
        <v/>
      </c>
      <c r="AI150" s="1622" t="s">
        <v>5775</v>
      </c>
      <c r="AJ150" s="1621" t="s">
        <v>5775</v>
      </c>
      <c r="AK150" s="1618"/>
      <c r="AL150" s="1619"/>
      <c r="AM150" s="247" t="str">
        <f t="shared" si="88"/>
        <v/>
      </c>
      <c r="AN150" s="247" t="str">
        <f t="shared" si="89"/>
        <v/>
      </c>
      <c r="AO150" s="247" t="str">
        <f t="shared" si="90"/>
        <v/>
      </c>
      <c r="AP150" s="247" t="str">
        <f t="shared" si="91"/>
        <v/>
      </c>
      <c r="AQ150" s="42">
        <f t="shared" si="101"/>
        <v>1</v>
      </c>
      <c r="AR150" s="42">
        <f t="shared" si="102"/>
        <v>1</v>
      </c>
      <c r="AS150" s="42">
        <f t="shared" si="103"/>
        <v>1</v>
      </c>
      <c r="AT150" s="42">
        <f t="shared" si="104"/>
        <v>1</v>
      </c>
      <c r="AU150" s="247" t="str">
        <f t="shared" si="92"/>
        <v/>
      </c>
      <c r="AV150" s="247" t="str">
        <f t="shared" si="93"/>
        <v/>
      </c>
    </row>
    <row r="151" spans="1:48" ht="15" x14ac:dyDescent="0.2">
      <c r="A151" s="418" t="s">
        <v>4841</v>
      </c>
      <c r="B151" s="419"/>
      <c r="C151" s="420" t="s">
        <v>4738</v>
      </c>
      <c r="D151" s="425"/>
      <c r="E151" s="1348"/>
      <c r="F151" s="1348"/>
      <c r="G151" s="427"/>
      <c r="H151" s="1341"/>
      <c r="I151" s="447"/>
      <c r="J151" s="441"/>
      <c r="K151" s="441"/>
      <c r="L151" s="441"/>
      <c r="M151" s="442"/>
      <c r="N151" s="422"/>
      <c r="O151" s="1752"/>
      <c r="P151" s="435"/>
      <c r="Q151" s="1595"/>
      <c r="R151" s="1595"/>
      <c r="S151" s="1595"/>
      <c r="T151" s="1595"/>
      <c r="U151" s="1744"/>
      <c r="V151" s="1745"/>
      <c r="W151" s="1745"/>
      <c r="X151" s="1745"/>
      <c r="Y151" s="1745"/>
      <c r="Z151" s="1746"/>
      <c r="AA151" s="1747"/>
      <c r="AB151" s="1748"/>
      <c r="AC151" s="1748"/>
      <c r="AD151" s="1595"/>
      <c r="AE151" s="1753"/>
      <c r="AF151" s="1595"/>
      <c r="AG151" s="1748"/>
      <c r="AH151" s="1749"/>
      <c r="AI151" s="1627"/>
      <c r="AJ151" s="1628"/>
      <c r="AK151" s="1628"/>
      <c r="AL151" s="1629"/>
      <c r="AM151" s="247" t="str">
        <f t="shared" si="88"/>
        <v/>
      </c>
      <c r="AN151" s="247" t="str">
        <f t="shared" si="89"/>
        <v/>
      </c>
      <c r="AO151" s="247" t="str">
        <f t="shared" si="90"/>
        <v/>
      </c>
      <c r="AP151" s="247" t="str">
        <f t="shared" si="91"/>
        <v/>
      </c>
      <c r="AU151" s="247" t="str">
        <f t="shared" si="92"/>
        <v/>
      </c>
      <c r="AV151" s="247" t="str">
        <f t="shared" si="93"/>
        <v/>
      </c>
    </row>
    <row r="152" spans="1:48" ht="24" x14ac:dyDescent="0.2">
      <c r="A152" s="450" t="s">
        <v>778</v>
      </c>
      <c r="B152" s="429" t="s">
        <v>5624</v>
      </c>
      <c r="C152" s="430" t="s">
        <v>4734</v>
      </c>
      <c r="D152" s="1349" t="s">
        <v>1873</v>
      </c>
      <c r="E152" s="1350" t="s">
        <v>2778</v>
      </c>
      <c r="F152" s="1350" t="s">
        <v>2779</v>
      </c>
      <c r="G152" s="1351" t="s">
        <v>3739</v>
      </c>
      <c r="H152" s="1342" t="s">
        <v>1327</v>
      </c>
      <c r="I152" s="432" t="s">
        <v>1545</v>
      </c>
      <c r="J152" s="431" t="s">
        <v>1880</v>
      </c>
      <c r="K152" s="431"/>
      <c r="L152" s="431" t="s">
        <v>6541</v>
      </c>
      <c r="M152" s="433"/>
      <c r="N152" s="434" t="s">
        <v>2781</v>
      </c>
      <c r="O152" s="1743" t="str">
        <f t="shared" ref="O152:O157" si="106">VLOOKUP(B152,code_famille_scénario,2)&amp;VLOOKUP(C152,code_actif,2)&amp;", par "&amp;VLOOKUP(N152,code_acteur,2)&amp;", "&amp;VLOOKUP(L152,code_acces,2)</f>
        <v>Effacement par erreur de fichiers d'archives informatiques, par un utilisateur autorisé, se connectant depuis le réseau interne</v>
      </c>
      <c r="P152" s="435">
        <v>1</v>
      </c>
      <c r="Q152" s="1595" t="s">
        <v>6403</v>
      </c>
      <c r="R152" s="1595" t="s">
        <v>1873</v>
      </c>
      <c r="S152" s="1595" t="str">
        <f>Classif!C13</f>
        <v/>
      </c>
      <c r="T152" s="1595">
        <f t="shared" ref="T152:T169" si="107">VLOOKUP(H152&amp;"."&amp;I152,Tab_event,4)</f>
        <v>3</v>
      </c>
      <c r="U152" s="1744" t="str">
        <f t="shared" ref="U152:U169" si="108">IF(AND(NOT(S152=""),NOT(T152="")),INDEX(base_g,5-S152,T152),"")</f>
        <v/>
      </c>
      <c r="V152" s="1745">
        <v>1</v>
      </c>
      <c r="W152" s="1745">
        <v>1</v>
      </c>
      <c r="X152" s="1745">
        <v>1</v>
      </c>
      <c r="Y152" s="1745">
        <f>S08H02</f>
        <v>1</v>
      </c>
      <c r="Z152" s="1746">
        <v>0</v>
      </c>
      <c r="AA152" s="1747"/>
      <c r="AB152" s="1748"/>
      <c r="AC152" s="1748"/>
      <c r="AD152" s="1595" t="str">
        <f t="shared" si="94"/>
        <v/>
      </c>
      <c r="AE152" s="1595">
        <f t="shared" ref="AE152:AE169" si="109">IF(OR(Q152="",T152=""),"",IF(Q152="A",INDEX(base_p,4,W152+7*(T152-1)),IF(Q152="E",INDEX(base_p,15,W152+7*(T152-1)),INDEX(base_p,27-V152,W152+7*(T152-1)))))</f>
        <v>3</v>
      </c>
      <c r="AF152" s="1595" t="str">
        <f t="shared" ref="AF152:AF169" si="110">IF(AT152=1,IF(IndG=1,U152,IF(AND(OR(NOT(AD152=""),NOT(AB152="")),OR(NOT(AE152=""),NOT(AC152="")),AT152=1),INDEX(base_g,5-IF(AB152="",AD152,AB152),IF(AC152="",AE152,AC152)),"")),0)</f>
        <v/>
      </c>
      <c r="AG152" s="1748"/>
      <c r="AH152" s="1749" t="str">
        <f t="shared" si="95"/>
        <v/>
      </c>
      <c r="AI152" s="1615"/>
      <c r="AJ152" s="1618"/>
      <c r="AK152" s="1618"/>
      <c r="AL152" s="1619" t="s">
        <v>4252</v>
      </c>
      <c r="AM152" s="247" t="str">
        <f t="shared" si="88"/>
        <v/>
      </c>
      <c r="AN152" s="247" t="str">
        <f t="shared" si="89"/>
        <v/>
      </c>
      <c r="AO152" s="247" t="str">
        <f t="shared" si="90"/>
        <v/>
      </c>
      <c r="AP152" s="247" t="str">
        <f t="shared" si="91"/>
        <v/>
      </c>
      <c r="AQ152" s="42">
        <f t="shared" ref="AQ152:AQ169" si="111">VLOOKUP(LEFT(C152,3),Tab_classif_data,6)</f>
        <v>1</v>
      </c>
      <c r="AR152" s="42">
        <f t="shared" ref="AR152:AR169" si="112">VLOOKUP(G152,select_vul_data,2)</f>
        <v>1</v>
      </c>
      <c r="AS152" s="42">
        <f t="shared" ref="AS152:AS169" si="113">VLOOKUP(H152&amp;"."&amp;I152,select_men,5)</f>
        <v>1</v>
      </c>
      <c r="AT152" s="42">
        <f t="shared" ref="AT152:AT169" si="114">P152*AQ152*AR152*AS152</f>
        <v>1</v>
      </c>
      <c r="AU152" s="247" t="str">
        <f t="shared" si="92"/>
        <v/>
      </c>
      <c r="AV152" s="247" t="str">
        <f t="shared" si="93"/>
        <v/>
      </c>
    </row>
    <row r="153" spans="1:48" ht="24" x14ac:dyDescent="0.2">
      <c r="A153" s="450" t="s">
        <v>779</v>
      </c>
      <c r="B153" s="429" t="s">
        <v>5624</v>
      </c>
      <c r="C153" s="430" t="s">
        <v>4734</v>
      </c>
      <c r="D153" s="1349" t="s">
        <v>1873</v>
      </c>
      <c r="E153" s="1350" t="s">
        <v>2778</v>
      </c>
      <c r="F153" s="1350" t="s">
        <v>2779</v>
      </c>
      <c r="G153" s="1351" t="s">
        <v>3739</v>
      </c>
      <c r="H153" s="1342" t="s">
        <v>1327</v>
      </c>
      <c r="I153" s="432" t="s">
        <v>1545</v>
      </c>
      <c r="J153" s="431" t="s">
        <v>1880</v>
      </c>
      <c r="K153" s="431"/>
      <c r="L153" s="431" t="s">
        <v>6541</v>
      </c>
      <c r="M153" s="433"/>
      <c r="N153" s="434" t="s">
        <v>6403</v>
      </c>
      <c r="O153" s="1743" t="str">
        <f t="shared" si="106"/>
        <v>Effacement par erreur de fichiers d'archives informatiques, par un membre du personnel d'exploitation, se connectant depuis le réseau interne</v>
      </c>
      <c r="P153" s="435">
        <v>1</v>
      </c>
      <c r="Q153" s="1595" t="s">
        <v>6403</v>
      </c>
      <c r="R153" s="1595" t="s">
        <v>1873</v>
      </c>
      <c r="S153" s="1595" t="str">
        <f>Classif!C13</f>
        <v/>
      </c>
      <c r="T153" s="1595">
        <f t="shared" si="107"/>
        <v>3</v>
      </c>
      <c r="U153" s="1744" t="str">
        <f t="shared" si="108"/>
        <v/>
      </c>
      <c r="V153" s="1745">
        <v>1</v>
      </c>
      <c r="W153" s="1745">
        <v>1</v>
      </c>
      <c r="X153" s="1745">
        <v>1</v>
      </c>
      <c r="Y153" s="1745">
        <f>S08H02</f>
        <v>1</v>
      </c>
      <c r="Z153" s="1746">
        <v>0</v>
      </c>
      <c r="AA153" s="1747"/>
      <c r="AB153" s="1748"/>
      <c r="AC153" s="1748"/>
      <c r="AD153" s="1595" t="str">
        <f t="shared" si="94"/>
        <v/>
      </c>
      <c r="AE153" s="1595">
        <f t="shared" si="109"/>
        <v>3</v>
      </c>
      <c r="AF153" s="1595" t="str">
        <f t="shared" si="110"/>
        <v/>
      </c>
      <c r="AG153" s="1748"/>
      <c r="AH153" s="1749" t="str">
        <f t="shared" si="95"/>
        <v/>
      </c>
      <c r="AI153" s="1615"/>
      <c r="AJ153" s="1618"/>
      <c r="AK153" s="1618"/>
      <c r="AL153" s="1619" t="s">
        <v>4252</v>
      </c>
      <c r="AM153" s="247" t="str">
        <f t="shared" si="88"/>
        <v/>
      </c>
      <c r="AN153" s="247" t="str">
        <f t="shared" si="89"/>
        <v/>
      </c>
      <c r="AO153" s="247" t="str">
        <f t="shared" si="90"/>
        <v/>
      </c>
      <c r="AP153" s="247" t="str">
        <f t="shared" si="91"/>
        <v/>
      </c>
      <c r="AQ153" s="42">
        <f t="shared" si="111"/>
        <v>1</v>
      </c>
      <c r="AR153" s="42">
        <f t="shared" si="112"/>
        <v>1</v>
      </c>
      <c r="AS153" s="42">
        <f t="shared" si="113"/>
        <v>1</v>
      </c>
      <c r="AT153" s="42">
        <f t="shared" si="114"/>
        <v>1</v>
      </c>
      <c r="AU153" s="247" t="str">
        <f t="shared" si="92"/>
        <v/>
      </c>
      <c r="AV153" s="247" t="str">
        <f t="shared" si="93"/>
        <v/>
      </c>
    </row>
    <row r="154" spans="1:48" ht="24" x14ac:dyDescent="0.2">
      <c r="A154" s="450" t="s">
        <v>780</v>
      </c>
      <c r="B154" s="429" t="s">
        <v>5622</v>
      </c>
      <c r="C154" s="430" t="s">
        <v>4734</v>
      </c>
      <c r="D154" s="1349" t="s">
        <v>1873</v>
      </c>
      <c r="E154" s="1350" t="s">
        <v>2778</v>
      </c>
      <c r="F154" s="1350" t="s">
        <v>2779</v>
      </c>
      <c r="G154" s="1351" t="s">
        <v>3739</v>
      </c>
      <c r="H154" s="1342" t="s">
        <v>1328</v>
      </c>
      <c r="I154" s="432" t="s">
        <v>1546</v>
      </c>
      <c r="J154" s="431" t="s">
        <v>1880</v>
      </c>
      <c r="K154" s="431"/>
      <c r="L154" s="431" t="s">
        <v>6541</v>
      </c>
      <c r="M154" s="433"/>
      <c r="N154" s="434" t="s">
        <v>6403</v>
      </c>
      <c r="O154" s="1743" t="str">
        <f t="shared" si="106"/>
        <v>Effacement malveillant de fichiers d'archives informatiques, par un membre du personnel d'exploitation, se connectant depuis le réseau interne</v>
      </c>
      <c r="P154" s="435">
        <v>1</v>
      </c>
      <c r="Q154" s="1595" t="s">
        <v>1299</v>
      </c>
      <c r="R154" s="1595" t="s">
        <v>1873</v>
      </c>
      <c r="S154" s="1595" t="str">
        <f>Classif!C13</f>
        <v/>
      </c>
      <c r="T154" s="1595">
        <f t="shared" si="107"/>
        <v>2</v>
      </c>
      <c r="U154" s="1744" t="str">
        <f t="shared" si="108"/>
        <v/>
      </c>
      <c r="V154" s="1745">
        <f>S08H02</f>
        <v>1</v>
      </c>
      <c r="W154" s="1745">
        <v>1</v>
      </c>
      <c r="X154" s="1745">
        <v>1</v>
      </c>
      <c r="Y154" s="1745">
        <v>1</v>
      </c>
      <c r="Z154" s="1746">
        <v>0</v>
      </c>
      <c r="AA154" s="1747"/>
      <c r="AB154" s="1748"/>
      <c r="AC154" s="1748"/>
      <c r="AD154" s="1595" t="str">
        <f t="shared" si="94"/>
        <v/>
      </c>
      <c r="AE154" s="1595">
        <f t="shared" si="109"/>
        <v>2</v>
      </c>
      <c r="AF154" s="1595" t="str">
        <f t="shared" si="110"/>
        <v/>
      </c>
      <c r="AG154" s="1748"/>
      <c r="AH154" s="1749" t="str">
        <f t="shared" si="95"/>
        <v/>
      </c>
      <c r="AI154" s="1620" t="s">
        <v>4252</v>
      </c>
      <c r="AJ154" s="1616"/>
      <c r="AK154" s="1621"/>
      <c r="AL154" s="1619"/>
      <c r="AM154" s="247" t="str">
        <f t="shared" si="88"/>
        <v/>
      </c>
      <c r="AN154" s="247" t="str">
        <f t="shared" si="89"/>
        <v/>
      </c>
      <c r="AO154" s="247" t="str">
        <f t="shared" si="90"/>
        <v/>
      </c>
      <c r="AP154" s="247" t="str">
        <f t="shared" si="91"/>
        <v/>
      </c>
      <c r="AQ154" s="42">
        <f t="shared" si="111"/>
        <v>1</v>
      </c>
      <c r="AR154" s="42">
        <f t="shared" si="112"/>
        <v>1</v>
      </c>
      <c r="AS154" s="42">
        <f t="shared" si="113"/>
        <v>1</v>
      </c>
      <c r="AT154" s="42">
        <f t="shared" si="114"/>
        <v>1</v>
      </c>
      <c r="AU154" s="247" t="str">
        <f t="shared" si="92"/>
        <v/>
      </c>
      <c r="AV154" s="247" t="str">
        <f t="shared" si="93"/>
        <v/>
      </c>
    </row>
    <row r="155" spans="1:48" ht="24" x14ac:dyDescent="0.2">
      <c r="A155" s="450" t="s">
        <v>781</v>
      </c>
      <c r="B155" s="429" t="s">
        <v>5622</v>
      </c>
      <c r="C155" s="430" t="s">
        <v>4734</v>
      </c>
      <c r="D155" s="1349" t="s">
        <v>1873</v>
      </c>
      <c r="E155" s="1350" t="s">
        <v>2778</v>
      </c>
      <c r="F155" s="1350" t="s">
        <v>2779</v>
      </c>
      <c r="G155" s="1351" t="s">
        <v>3739</v>
      </c>
      <c r="H155" s="1342" t="s">
        <v>1328</v>
      </c>
      <c r="I155" s="432" t="s">
        <v>1546</v>
      </c>
      <c r="J155" s="431" t="s">
        <v>1880</v>
      </c>
      <c r="K155" s="431"/>
      <c r="L155" s="431" t="s">
        <v>6541</v>
      </c>
      <c r="M155" s="433"/>
      <c r="N155" s="434" t="s">
        <v>1301</v>
      </c>
      <c r="O155" s="1743" t="str">
        <f t="shared" si="106"/>
        <v>Effacement malveillant de fichiers d'archives informatiques, par un utilisateur autorisé légitime, se connectant depuis le réseau interne</v>
      </c>
      <c r="P155" s="435">
        <v>1</v>
      </c>
      <c r="Q155" s="1595" t="s">
        <v>1299</v>
      </c>
      <c r="R155" s="1595" t="s">
        <v>1873</v>
      </c>
      <c r="S155" s="1595" t="str">
        <f>Classif!C13</f>
        <v/>
      </c>
      <c r="T155" s="1595">
        <f t="shared" si="107"/>
        <v>2</v>
      </c>
      <c r="U155" s="1744" t="str">
        <f t="shared" si="108"/>
        <v/>
      </c>
      <c r="V155" s="1750">
        <v>1</v>
      </c>
      <c r="W155" s="1745">
        <v>1</v>
      </c>
      <c r="X155" s="1745">
        <v>1</v>
      </c>
      <c r="Y155" s="1745">
        <f>S08H02</f>
        <v>1</v>
      </c>
      <c r="Z155" s="1746">
        <v>0</v>
      </c>
      <c r="AA155" s="1747"/>
      <c r="AB155" s="1748"/>
      <c r="AC155" s="1748"/>
      <c r="AD155" s="1595" t="str">
        <f t="shared" si="94"/>
        <v/>
      </c>
      <c r="AE155" s="1595">
        <f t="shared" si="109"/>
        <v>2</v>
      </c>
      <c r="AF155" s="1595" t="str">
        <f t="shared" si="110"/>
        <v/>
      </c>
      <c r="AG155" s="1748"/>
      <c r="AH155" s="1749" t="str">
        <f t="shared" si="95"/>
        <v/>
      </c>
      <c r="AI155" s="1620"/>
      <c r="AJ155" s="1621"/>
      <c r="AK155" s="1621"/>
      <c r="AL155" s="1617" t="s">
        <v>4252</v>
      </c>
      <c r="AM155" s="247" t="str">
        <f t="shared" si="88"/>
        <v/>
      </c>
      <c r="AN155" s="247" t="str">
        <f t="shared" si="89"/>
        <v/>
      </c>
      <c r="AO155" s="247" t="str">
        <f t="shared" si="90"/>
        <v/>
      </c>
      <c r="AP155" s="247" t="str">
        <f t="shared" si="91"/>
        <v/>
      </c>
      <c r="AQ155" s="42">
        <f t="shared" si="111"/>
        <v>1</v>
      </c>
      <c r="AR155" s="42">
        <f t="shared" si="112"/>
        <v>1</v>
      </c>
      <c r="AS155" s="42">
        <f t="shared" si="113"/>
        <v>1</v>
      </c>
      <c r="AT155" s="42">
        <f t="shared" si="114"/>
        <v>1</v>
      </c>
      <c r="AU155" s="247" t="str">
        <f t="shared" si="92"/>
        <v/>
      </c>
      <c r="AV155" s="247" t="str">
        <f t="shared" si="93"/>
        <v/>
      </c>
    </row>
    <row r="156" spans="1:48" ht="24" x14ac:dyDescent="0.2">
      <c r="A156" s="450" t="s">
        <v>782</v>
      </c>
      <c r="B156" s="429" t="s">
        <v>5622</v>
      </c>
      <c r="C156" s="430" t="s">
        <v>4734</v>
      </c>
      <c r="D156" s="1349" t="s">
        <v>1873</v>
      </c>
      <c r="E156" s="1350" t="s">
        <v>2778</v>
      </c>
      <c r="F156" s="1350" t="s">
        <v>2779</v>
      </c>
      <c r="G156" s="1351" t="s">
        <v>3739</v>
      </c>
      <c r="H156" s="1342" t="s">
        <v>1328</v>
      </c>
      <c r="I156" s="432" t="s">
        <v>1546</v>
      </c>
      <c r="J156" s="431" t="s">
        <v>1880</v>
      </c>
      <c r="K156" s="431"/>
      <c r="L156" s="431" t="s">
        <v>6541</v>
      </c>
      <c r="M156" s="433"/>
      <c r="N156" s="434" t="s">
        <v>1302</v>
      </c>
      <c r="O156" s="1743" t="str">
        <f t="shared" si="106"/>
        <v>Effacement malveillant de fichiers d'archives informatiques, par un utilisateur autorisé illégitime, se connectant depuis le réseau interne</v>
      </c>
      <c r="P156" s="435">
        <v>1</v>
      </c>
      <c r="Q156" s="1595" t="s">
        <v>1299</v>
      </c>
      <c r="R156" s="1595" t="s">
        <v>1873</v>
      </c>
      <c r="S156" s="1595" t="str">
        <f>Classif!C13</f>
        <v/>
      </c>
      <c r="T156" s="1595">
        <f t="shared" si="107"/>
        <v>2</v>
      </c>
      <c r="U156" s="1744" t="str">
        <f t="shared" si="108"/>
        <v/>
      </c>
      <c r="V156" s="1750">
        <v>1</v>
      </c>
      <c r="W156" s="1750">
        <f>S08H02</f>
        <v>1</v>
      </c>
      <c r="X156" s="1745">
        <v>1</v>
      </c>
      <c r="Y156" s="1745">
        <f>S08H02</f>
        <v>1</v>
      </c>
      <c r="Z156" s="1746">
        <v>0</v>
      </c>
      <c r="AA156" s="1747"/>
      <c r="AB156" s="1748"/>
      <c r="AC156" s="1748"/>
      <c r="AD156" s="1595" t="str">
        <f t="shared" si="94"/>
        <v/>
      </c>
      <c r="AE156" s="1595">
        <f t="shared" si="109"/>
        <v>2</v>
      </c>
      <c r="AF156" s="1595" t="str">
        <f t="shared" si="110"/>
        <v/>
      </c>
      <c r="AG156" s="1748"/>
      <c r="AH156" s="1749" t="str">
        <f t="shared" si="95"/>
        <v/>
      </c>
      <c r="AI156" s="1620"/>
      <c r="AJ156" s="1616" t="s">
        <v>4252</v>
      </c>
      <c r="AK156" s="1621"/>
      <c r="AL156" s="1617" t="s">
        <v>4252</v>
      </c>
      <c r="AM156" s="247" t="str">
        <f t="shared" si="88"/>
        <v/>
      </c>
      <c r="AN156" s="247" t="str">
        <f t="shared" si="89"/>
        <v/>
      </c>
      <c r="AO156" s="247" t="str">
        <f t="shared" si="90"/>
        <v/>
      </c>
      <c r="AP156" s="247" t="str">
        <f t="shared" si="91"/>
        <v/>
      </c>
      <c r="AQ156" s="42">
        <f t="shared" si="111"/>
        <v>1</v>
      </c>
      <c r="AR156" s="42">
        <f t="shared" si="112"/>
        <v>1</v>
      </c>
      <c r="AS156" s="42">
        <f t="shared" si="113"/>
        <v>1</v>
      </c>
      <c r="AT156" s="42">
        <f t="shared" si="114"/>
        <v>1</v>
      </c>
      <c r="AU156" s="247" t="str">
        <f t="shared" si="92"/>
        <v/>
      </c>
      <c r="AV156" s="247" t="str">
        <f t="shared" si="93"/>
        <v/>
      </c>
    </row>
    <row r="157" spans="1:48" ht="24" x14ac:dyDescent="0.2">
      <c r="A157" s="450" t="s">
        <v>783</v>
      </c>
      <c r="B157" s="429" t="s">
        <v>5622</v>
      </c>
      <c r="C157" s="430" t="s">
        <v>4734</v>
      </c>
      <c r="D157" s="1349" t="s">
        <v>1873</v>
      </c>
      <c r="E157" s="1350" t="s">
        <v>2778</v>
      </c>
      <c r="F157" s="1350" t="s">
        <v>2779</v>
      </c>
      <c r="G157" s="1351" t="s">
        <v>3739</v>
      </c>
      <c r="H157" s="1342" t="s">
        <v>1328</v>
      </c>
      <c r="I157" s="432" t="s">
        <v>1546</v>
      </c>
      <c r="J157" s="431" t="s">
        <v>1880</v>
      </c>
      <c r="K157" s="431"/>
      <c r="L157" s="431" t="s">
        <v>6541</v>
      </c>
      <c r="M157" s="433"/>
      <c r="N157" s="434" t="s">
        <v>3518</v>
      </c>
      <c r="O157" s="1743" t="str">
        <f t="shared" si="106"/>
        <v>Effacement malveillant de fichiers d'archives informatiques, par un membre du personnel non autorisé, se connectant depuis le réseau interne</v>
      </c>
      <c r="P157" s="435">
        <v>1</v>
      </c>
      <c r="Q157" s="1595" t="s">
        <v>1299</v>
      </c>
      <c r="R157" s="1595" t="s">
        <v>1873</v>
      </c>
      <c r="S157" s="1595" t="str">
        <f>Classif!C13</f>
        <v/>
      </c>
      <c r="T157" s="1595">
        <f t="shared" si="107"/>
        <v>2</v>
      </c>
      <c r="U157" s="1744" t="str">
        <f t="shared" si="108"/>
        <v/>
      </c>
      <c r="V157" s="1745">
        <v>1</v>
      </c>
      <c r="W157" s="1750">
        <f>S08H02</f>
        <v>1</v>
      </c>
      <c r="X157" s="1745">
        <v>1</v>
      </c>
      <c r="Y157" s="1745">
        <f>S08H02</f>
        <v>1</v>
      </c>
      <c r="Z157" s="1746">
        <v>0</v>
      </c>
      <c r="AA157" s="1747"/>
      <c r="AB157" s="1748"/>
      <c r="AC157" s="1748"/>
      <c r="AD157" s="1595" t="str">
        <f t="shared" si="94"/>
        <v/>
      </c>
      <c r="AE157" s="1595">
        <f t="shared" si="109"/>
        <v>2</v>
      </c>
      <c r="AF157" s="1595" t="str">
        <f t="shared" si="110"/>
        <v/>
      </c>
      <c r="AG157" s="1748"/>
      <c r="AH157" s="1749" t="str">
        <f t="shared" si="95"/>
        <v/>
      </c>
      <c r="AI157" s="1615"/>
      <c r="AJ157" s="1616" t="s">
        <v>4252</v>
      </c>
      <c r="AK157" s="1621"/>
      <c r="AL157" s="1617" t="s">
        <v>4252</v>
      </c>
      <c r="AM157" s="247" t="str">
        <f t="shared" si="88"/>
        <v/>
      </c>
      <c r="AN157" s="247" t="str">
        <f t="shared" si="89"/>
        <v/>
      </c>
      <c r="AO157" s="247" t="str">
        <f t="shared" si="90"/>
        <v/>
      </c>
      <c r="AP157" s="247" t="str">
        <f t="shared" si="91"/>
        <v/>
      </c>
      <c r="AQ157" s="42">
        <f t="shared" si="111"/>
        <v>1</v>
      </c>
      <c r="AR157" s="42">
        <f t="shared" si="112"/>
        <v>1</v>
      </c>
      <c r="AS157" s="42">
        <f t="shared" si="113"/>
        <v>1</v>
      </c>
      <c r="AT157" s="42">
        <f t="shared" si="114"/>
        <v>1</v>
      </c>
      <c r="AU157" s="247" t="str">
        <f t="shared" si="92"/>
        <v/>
      </c>
      <c r="AV157" s="247" t="str">
        <f t="shared" si="93"/>
        <v/>
      </c>
    </row>
    <row r="158" spans="1:48" ht="24" x14ac:dyDescent="0.2">
      <c r="A158" s="450" t="s">
        <v>784</v>
      </c>
      <c r="B158" s="429" t="s">
        <v>4475</v>
      </c>
      <c r="C158" s="436" t="s">
        <v>4734</v>
      </c>
      <c r="D158" s="1349" t="s">
        <v>1873</v>
      </c>
      <c r="E158" s="1350" t="s">
        <v>1874</v>
      </c>
      <c r="F158" s="1350" t="s">
        <v>1875</v>
      </c>
      <c r="G158" s="1351" t="s">
        <v>6070</v>
      </c>
      <c r="H158" s="1343" t="s">
        <v>3919</v>
      </c>
      <c r="I158" s="446" t="s">
        <v>1535</v>
      </c>
      <c r="J158" s="431" t="s">
        <v>1876</v>
      </c>
      <c r="K158" s="438"/>
      <c r="L158" s="438"/>
      <c r="M158" s="439"/>
      <c r="N158" s="440"/>
      <c r="O158" s="1743" t="str">
        <f>VLOOKUP(B158,code_famille_scénario,2)&amp;VLOOKUP(C158,code_actif,2)&amp;", "&amp;VLOOKUP(J158,Code_lieu,2)&amp;", suite "&amp;VLOOKUP(I158,code_event,2)</f>
        <v>Perte, par destruction accidentelle, de media support de fichiers  d'archives informatiques, en médiathèque, suite à un incendie</v>
      </c>
      <c r="P158" s="435">
        <v>1</v>
      </c>
      <c r="Q158" s="1595" t="s">
        <v>1431</v>
      </c>
      <c r="R158" s="1595" t="s">
        <v>1873</v>
      </c>
      <c r="S158" s="1595" t="str">
        <f>Classif!C13</f>
        <v/>
      </c>
      <c r="T158" s="1595">
        <f t="shared" si="107"/>
        <v>2</v>
      </c>
      <c r="U158" s="1744" t="str">
        <f t="shared" si="108"/>
        <v/>
      </c>
      <c r="V158" s="1745">
        <v>1</v>
      </c>
      <c r="W158" s="1745">
        <f>S08H03</f>
        <v>1</v>
      </c>
      <c r="X158" s="1745">
        <v>1</v>
      </c>
      <c r="Y158" s="1745">
        <f>S08H02</f>
        <v>1</v>
      </c>
      <c r="Z158" s="1746">
        <v>0</v>
      </c>
      <c r="AA158" s="1747"/>
      <c r="AB158" s="1748"/>
      <c r="AC158" s="1748"/>
      <c r="AD158" s="1595" t="str">
        <f t="shared" si="94"/>
        <v/>
      </c>
      <c r="AE158" s="1595">
        <f t="shared" si="109"/>
        <v>2</v>
      </c>
      <c r="AF158" s="1595" t="str">
        <f t="shared" si="110"/>
        <v/>
      </c>
      <c r="AG158" s="1748"/>
      <c r="AH158" s="1749" t="str">
        <f t="shared" si="95"/>
        <v/>
      </c>
      <c r="AI158" s="1615"/>
      <c r="AJ158" s="1616" t="s">
        <v>5417</v>
      </c>
      <c r="AK158" s="1618"/>
      <c r="AL158" s="1617" t="s">
        <v>4252</v>
      </c>
      <c r="AM158" s="247" t="str">
        <f t="shared" si="88"/>
        <v/>
      </c>
      <c r="AN158" s="247" t="str">
        <f t="shared" si="89"/>
        <v/>
      </c>
      <c r="AO158" s="247" t="str">
        <f t="shared" si="90"/>
        <v/>
      </c>
      <c r="AP158" s="247" t="str">
        <f t="shared" si="91"/>
        <v/>
      </c>
      <c r="AQ158" s="42">
        <f t="shared" si="111"/>
        <v>1</v>
      </c>
      <c r="AR158" s="42">
        <f t="shared" si="112"/>
        <v>1</v>
      </c>
      <c r="AS158" s="42">
        <f t="shared" si="113"/>
        <v>1</v>
      </c>
      <c r="AT158" s="42">
        <f t="shared" si="114"/>
        <v>1</v>
      </c>
      <c r="AU158" s="247" t="str">
        <f t="shared" si="92"/>
        <v/>
      </c>
      <c r="AV158" s="247" t="str">
        <f t="shared" si="93"/>
        <v/>
      </c>
    </row>
    <row r="159" spans="1:48" ht="24" x14ac:dyDescent="0.2">
      <c r="A159" s="450" t="s">
        <v>785</v>
      </c>
      <c r="B159" s="429" t="s">
        <v>4475</v>
      </c>
      <c r="C159" s="430" t="s">
        <v>4734</v>
      </c>
      <c r="D159" s="1349" t="s">
        <v>1873</v>
      </c>
      <c r="E159" s="1350" t="s">
        <v>1874</v>
      </c>
      <c r="F159" s="1350" t="s">
        <v>1875</v>
      </c>
      <c r="G159" s="1351" t="s">
        <v>6070</v>
      </c>
      <c r="H159" s="1342" t="s">
        <v>3919</v>
      </c>
      <c r="I159" s="432" t="s">
        <v>1536</v>
      </c>
      <c r="J159" s="431" t="s">
        <v>1876</v>
      </c>
      <c r="K159" s="438"/>
      <c r="L159" s="438"/>
      <c r="M159" s="439"/>
      <c r="N159" s="440"/>
      <c r="O159" s="1743" t="str">
        <f>VLOOKUP(B159,code_famille_scénario,2)&amp;VLOOKUP(C159,code_actif,2)&amp;", "&amp;VLOOKUP(J159,Code_lieu,2)&amp;", suite "&amp;VLOOKUP(I159,code_event,2)</f>
        <v>Perte, par destruction accidentelle, de media support de fichiers  d'archives informatiques, en médiathèque, suite à une inondation</v>
      </c>
      <c r="P159" s="435">
        <v>1</v>
      </c>
      <c r="Q159" s="1595" t="s">
        <v>1431</v>
      </c>
      <c r="R159" s="1595" t="s">
        <v>1873</v>
      </c>
      <c r="S159" s="1595" t="str">
        <f>Classif!C13</f>
        <v/>
      </c>
      <c r="T159" s="1595">
        <f t="shared" si="107"/>
        <v>2</v>
      </c>
      <c r="U159" s="1744" t="str">
        <f t="shared" si="108"/>
        <v/>
      </c>
      <c r="V159" s="1745">
        <v>1</v>
      </c>
      <c r="W159" s="1745">
        <f>S08H03</f>
        <v>1</v>
      </c>
      <c r="X159" s="1745">
        <v>1</v>
      </c>
      <c r="Y159" s="1745">
        <f>S08H02</f>
        <v>1</v>
      </c>
      <c r="Z159" s="1746">
        <v>0</v>
      </c>
      <c r="AA159" s="1747"/>
      <c r="AB159" s="1748"/>
      <c r="AC159" s="1748"/>
      <c r="AD159" s="1595" t="str">
        <f t="shared" si="94"/>
        <v/>
      </c>
      <c r="AE159" s="1595">
        <f t="shared" si="109"/>
        <v>2</v>
      </c>
      <c r="AF159" s="1595" t="str">
        <f t="shared" si="110"/>
        <v/>
      </c>
      <c r="AG159" s="1748"/>
      <c r="AH159" s="1749" t="str">
        <f t="shared" si="95"/>
        <v/>
      </c>
      <c r="AI159" s="1615"/>
      <c r="AJ159" s="1616" t="s">
        <v>5417</v>
      </c>
      <c r="AK159" s="1618"/>
      <c r="AL159" s="1617" t="s">
        <v>4252</v>
      </c>
      <c r="AM159" s="247" t="str">
        <f t="shared" si="88"/>
        <v/>
      </c>
      <c r="AN159" s="247" t="str">
        <f t="shared" si="89"/>
        <v/>
      </c>
      <c r="AO159" s="247" t="str">
        <f t="shared" si="90"/>
        <v/>
      </c>
      <c r="AP159" s="247" t="str">
        <f t="shared" si="91"/>
        <v/>
      </c>
      <c r="AQ159" s="42">
        <f t="shared" si="111"/>
        <v>1</v>
      </c>
      <c r="AR159" s="42">
        <f t="shared" si="112"/>
        <v>1</v>
      </c>
      <c r="AS159" s="42">
        <f t="shared" si="113"/>
        <v>1</v>
      </c>
      <c r="AT159" s="42">
        <f t="shared" si="114"/>
        <v>1</v>
      </c>
      <c r="AU159" s="247" t="str">
        <f t="shared" si="92"/>
        <v/>
      </c>
      <c r="AV159" s="247" t="str">
        <f t="shared" si="93"/>
        <v/>
      </c>
    </row>
    <row r="160" spans="1:48" ht="24" x14ac:dyDescent="0.2">
      <c r="A160" s="450" t="s">
        <v>786</v>
      </c>
      <c r="B160" s="429" t="s">
        <v>4478</v>
      </c>
      <c r="C160" s="430" t="s">
        <v>4734</v>
      </c>
      <c r="D160" s="1349" t="s">
        <v>1873</v>
      </c>
      <c r="E160" s="1350" t="s">
        <v>1874</v>
      </c>
      <c r="F160" s="1350" t="s">
        <v>4498</v>
      </c>
      <c r="G160" s="1351" t="s">
        <v>6071</v>
      </c>
      <c r="H160" s="1342" t="s">
        <v>1327</v>
      </c>
      <c r="I160" s="432" t="s">
        <v>2506</v>
      </c>
      <c r="J160" s="431" t="s">
        <v>6536</v>
      </c>
      <c r="K160" s="431"/>
      <c r="L160" s="431"/>
      <c r="M160" s="433"/>
      <c r="N160" s="434"/>
      <c r="O160" s="1743" t="str">
        <f>VLOOKUP(B160,code_famille_scénario,2)&amp;VLOOKUP(C160,code_actif,2)&amp;", "&amp;VLOOKUP(J160,Code_lieu,2)</f>
        <v>Perte, par disparition accidentelle, de media support de fichiers  d'archives informatiques, dans les locaux d'archives</v>
      </c>
      <c r="P160" s="435">
        <v>1</v>
      </c>
      <c r="Q160" s="1595" t="s">
        <v>1431</v>
      </c>
      <c r="R160" s="1595" t="s">
        <v>1873</v>
      </c>
      <c r="S160" s="1595" t="str">
        <f>Classif!C13</f>
        <v/>
      </c>
      <c r="T160" s="1595">
        <f t="shared" si="107"/>
        <v>3</v>
      </c>
      <c r="U160" s="1744" t="str">
        <f t="shared" si="108"/>
        <v/>
      </c>
      <c r="V160" s="1745">
        <v>1</v>
      </c>
      <c r="W160" s="1745">
        <f>S08H01</f>
        <v>1</v>
      </c>
      <c r="X160" s="1745">
        <v>1</v>
      </c>
      <c r="Y160" s="1745">
        <v>1</v>
      </c>
      <c r="Z160" s="1746">
        <v>0</v>
      </c>
      <c r="AA160" s="1747"/>
      <c r="AB160" s="1748"/>
      <c r="AC160" s="1748"/>
      <c r="AD160" s="1595" t="str">
        <f t="shared" si="94"/>
        <v/>
      </c>
      <c r="AE160" s="1595">
        <f t="shared" si="109"/>
        <v>3</v>
      </c>
      <c r="AF160" s="1595" t="str">
        <f t="shared" si="110"/>
        <v/>
      </c>
      <c r="AG160" s="1748"/>
      <c r="AH160" s="1749" t="str">
        <f t="shared" si="95"/>
        <v/>
      </c>
      <c r="AI160" s="1615"/>
      <c r="AJ160" s="1621" t="s">
        <v>4253</v>
      </c>
      <c r="AK160" s="1618"/>
      <c r="AL160" s="1617"/>
      <c r="AM160" s="247" t="str">
        <f t="shared" si="88"/>
        <v/>
      </c>
      <c r="AN160" s="247" t="str">
        <f t="shared" si="89"/>
        <v/>
      </c>
      <c r="AO160" s="247" t="str">
        <f t="shared" si="90"/>
        <v/>
      </c>
      <c r="AP160" s="247" t="str">
        <f t="shared" si="91"/>
        <v/>
      </c>
      <c r="AQ160" s="42">
        <f t="shared" si="111"/>
        <v>1</v>
      </c>
      <c r="AR160" s="42">
        <f t="shared" si="112"/>
        <v>1</v>
      </c>
      <c r="AS160" s="42">
        <f t="shared" si="113"/>
        <v>1</v>
      </c>
      <c r="AT160" s="42">
        <f t="shared" si="114"/>
        <v>1</v>
      </c>
      <c r="AU160" s="247" t="str">
        <f t="shared" si="92"/>
        <v/>
      </c>
      <c r="AV160" s="247" t="str">
        <f t="shared" si="93"/>
        <v/>
      </c>
    </row>
    <row r="161" spans="1:48" ht="24" x14ac:dyDescent="0.2">
      <c r="A161" s="450" t="s">
        <v>787</v>
      </c>
      <c r="B161" s="429" t="s">
        <v>4478</v>
      </c>
      <c r="C161" s="430" t="s">
        <v>4734</v>
      </c>
      <c r="D161" s="1349" t="s">
        <v>1873</v>
      </c>
      <c r="E161" s="1350" t="s">
        <v>1874</v>
      </c>
      <c r="F161" s="1350" t="s">
        <v>4498</v>
      </c>
      <c r="G161" s="1351" t="s">
        <v>6071</v>
      </c>
      <c r="H161" s="1342" t="s">
        <v>1327</v>
      </c>
      <c r="I161" s="432" t="s">
        <v>2506</v>
      </c>
      <c r="J161" s="431" t="s">
        <v>1880</v>
      </c>
      <c r="K161" s="431"/>
      <c r="L161" s="431"/>
      <c r="M161" s="433"/>
      <c r="N161" s="434"/>
      <c r="O161" s="1743" t="str">
        <f>VLOOKUP(B161,code_famille_scénario,2)&amp;VLOOKUP(C161,code_actif,2)&amp;", "&amp;VLOOKUP(J161,Code_lieu,2)</f>
        <v>Perte, par disparition accidentelle, de media support de fichiers  d'archives informatiques, dans les locaux de l'exploitation</v>
      </c>
      <c r="P161" s="435">
        <v>1</v>
      </c>
      <c r="Q161" s="1595" t="s">
        <v>1431</v>
      </c>
      <c r="R161" s="1595" t="s">
        <v>1873</v>
      </c>
      <c r="S161" s="1595" t="str">
        <f>Classif!C13</f>
        <v/>
      </c>
      <c r="T161" s="1595">
        <f t="shared" si="107"/>
        <v>3</v>
      </c>
      <c r="U161" s="1744" t="str">
        <f t="shared" si="108"/>
        <v/>
      </c>
      <c r="V161" s="1745">
        <v>1</v>
      </c>
      <c r="W161" s="1745">
        <v>1</v>
      </c>
      <c r="X161" s="1745">
        <v>1</v>
      </c>
      <c r="Y161" s="1745">
        <f>S08H02</f>
        <v>1</v>
      </c>
      <c r="Z161" s="1746">
        <v>0</v>
      </c>
      <c r="AA161" s="1747"/>
      <c r="AB161" s="1748"/>
      <c r="AC161" s="1748"/>
      <c r="AD161" s="1595" t="str">
        <f t="shared" si="94"/>
        <v/>
      </c>
      <c r="AE161" s="1595">
        <f t="shared" si="109"/>
        <v>3</v>
      </c>
      <c r="AF161" s="1595" t="str">
        <f t="shared" si="110"/>
        <v/>
      </c>
      <c r="AG161" s="1748"/>
      <c r="AH161" s="1749" t="str">
        <f t="shared" si="95"/>
        <v/>
      </c>
      <c r="AI161" s="1615"/>
      <c r="AJ161" s="1621"/>
      <c r="AK161" s="1618"/>
      <c r="AL161" s="1617" t="s">
        <v>4252</v>
      </c>
      <c r="AM161" s="247" t="str">
        <f t="shared" si="88"/>
        <v/>
      </c>
      <c r="AN161" s="247" t="str">
        <f t="shared" si="89"/>
        <v/>
      </c>
      <c r="AO161" s="247" t="str">
        <f t="shared" si="90"/>
        <v/>
      </c>
      <c r="AP161" s="247" t="str">
        <f t="shared" si="91"/>
        <v/>
      </c>
      <c r="AQ161" s="42">
        <f t="shared" si="111"/>
        <v>1</v>
      </c>
      <c r="AR161" s="42">
        <f t="shared" si="112"/>
        <v>1</v>
      </c>
      <c r="AS161" s="42">
        <f t="shared" si="113"/>
        <v>1</v>
      </c>
      <c r="AT161" s="42">
        <f t="shared" si="114"/>
        <v>1</v>
      </c>
      <c r="AU161" s="247" t="str">
        <f t="shared" si="92"/>
        <v/>
      </c>
      <c r="AV161" s="247" t="str">
        <f t="shared" si="93"/>
        <v/>
      </c>
    </row>
    <row r="162" spans="1:48" ht="24" x14ac:dyDescent="0.2">
      <c r="A162" s="450" t="s">
        <v>788</v>
      </c>
      <c r="B162" s="429" t="s">
        <v>1864</v>
      </c>
      <c r="C162" s="430" t="s">
        <v>4734</v>
      </c>
      <c r="D162" s="1349" t="s">
        <v>1873</v>
      </c>
      <c r="E162" s="1350" t="s">
        <v>1874</v>
      </c>
      <c r="F162" s="1350" t="s">
        <v>4498</v>
      </c>
      <c r="G162" s="1351" t="s">
        <v>6071</v>
      </c>
      <c r="H162" s="1342" t="s">
        <v>1329</v>
      </c>
      <c r="I162" s="432" t="s">
        <v>1305</v>
      </c>
      <c r="J162" s="431" t="s">
        <v>6536</v>
      </c>
      <c r="K162" s="431"/>
      <c r="L162" s="431"/>
      <c r="M162" s="433"/>
      <c r="N162" s="434" t="s">
        <v>4816</v>
      </c>
      <c r="O162" s="1743" t="str">
        <f>VLOOKUP(B162,code_famille_scénario,2)&amp;VLOOKUP(C162,code_actif,2)&amp;", "&amp;VLOOKUP(J162,Code_lieu,2)&amp;", par "&amp;VLOOKUP(N162,code_acteur,2)</f>
        <v>Vol de media support de fichiers  d'archives informatiques, dans les locaux d'archives, par un membre  du personnel autorisé</v>
      </c>
      <c r="P162" s="435">
        <v>1</v>
      </c>
      <c r="Q162" s="1595" t="s">
        <v>1299</v>
      </c>
      <c r="R162" s="1595" t="s">
        <v>1873</v>
      </c>
      <c r="S162" s="1595" t="str">
        <f>Classif!C13</f>
        <v/>
      </c>
      <c r="T162" s="1595">
        <f t="shared" si="107"/>
        <v>2</v>
      </c>
      <c r="U162" s="1744" t="str">
        <f t="shared" si="108"/>
        <v/>
      </c>
      <c r="V162" s="1745">
        <f>S08H03</f>
        <v>1</v>
      </c>
      <c r="W162" s="1745">
        <v>1</v>
      </c>
      <c r="X162" s="1745">
        <v>1</v>
      </c>
      <c r="Y162" s="1745">
        <v>1</v>
      </c>
      <c r="Z162" s="1746">
        <v>0</v>
      </c>
      <c r="AA162" s="1747"/>
      <c r="AB162" s="1748"/>
      <c r="AC162" s="1748"/>
      <c r="AD162" s="1595" t="str">
        <f t="shared" si="94"/>
        <v/>
      </c>
      <c r="AE162" s="1595">
        <f t="shared" si="109"/>
        <v>2</v>
      </c>
      <c r="AF162" s="1595" t="str">
        <f t="shared" si="110"/>
        <v/>
      </c>
      <c r="AG162" s="1748"/>
      <c r="AH162" s="1749" t="str">
        <f t="shared" si="95"/>
        <v/>
      </c>
      <c r="AI162" s="1623" t="s">
        <v>5417</v>
      </c>
      <c r="AJ162" s="1621"/>
      <c r="AK162" s="1618"/>
      <c r="AL162" s="1617"/>
      <c r="AM162" s="247" t="str">
        <f t="shared" si="88"/>
        <v/>
      </c>
      <c r="AN162" s="247" t="str">
        <f t="shared" si="89"/>
        <v/>
      </c>
      <c r="AO162" s="247" t="str">
        <f t="shared" si="90"/>
        <v/>
      </c>
      <c r="AP162" s="247" t="str">
        <f t="shared" si="91"/>
        <v/>
      </c>
      <c r="AQ162" s="42">
        <f t="shared" si="111"/>
        <v>1</v>
      </c>
      <c r="AR162" s="42">
        <f t="shared" si="112"/>
        <v>1</v>
      </c>
      <c r="AS162" s="42">
        <f t="shared" si="113"/>
        <v>1</v>
      </c>
      <c r="AT162" s="42">
        <f t="shared" si="114"/>
        <v>1</v>
      </c>
      <c r="AU162" s="247" t="str">
        <f t="shared" si="92"/>
        <v/>
      </c>
      <c r="AV162" s="247" t="str">
        <f t="shared" si="93"/>
        <v/>
      </c>
    </row>
    <row r="163" spans="1:48" ht="24" x14ac:dyDescent="0.2">
      <c r="A163" s="450" t="s">
        <v>789</v>
      </c>
      <c r="B163" s="429" t="s">
        <v>1864</v>
      </c>
      <c r="C163" s="430" t="s">
        <v>4734</v>
      </c>
      <c r="D163" s="1349" t="s">
        <v>1873</v>
      </c>
      <c r="E163" s="1350" t="s">
        <v>1874</v>
      </c>
      <c r="F163" s="1350" t="s">
        <v>4498</v>
      </c>
      <c r="G163" s="1351" t="s">
        <v>6071</v>
      </c>
      <c r="H163" s="1342" t="s">
        <v>1329</v>
      </c>
      <c r="I163" s="432" t="s">
        <v>1305</v>
      </c>
      <c r="J163" s="431" t="s">
        <v>6536</v>
      </c>
      <c r="K163" s="431"/>
      <c r="L163" s="431"/>
      <c r="M163" s="433"/>
      <c r="N163" s="434" t="s">
        <v>3518</v>
      </c>
      <c r="O163" s="1743" t="str">
        <f>VLOOKUP(B163,code_famille_scénario,2)&amp;VLOOKUP(C163,code_actif,2)&amp;", "&amp;VLOOKUP(J163,Code_lieu,2)&amp;", par "&amp;VLOOKUP(N163,code_acteur,2)</f>
        <v>Vol de media support de fichiers  d'archives informatiques, dans les locaux d'archives, par un membre du personnel non autorisé</v>
      </c>
      <c r="P163" s="435">
        <v>1</v>
      </c>
      <c r="Q163" s="1595" t="s">
        <v>1299</v>
      </c>
      <c r="R163" s="1595" t="s">
        <v>1873</v>
      </c>
      <c r="S163" s="1595" t="str">
        <f>Classif!C13</f>
        <v/>
      </c>
      <c r="T163" s="1595">
        <f t="shared" si="107"/>
        <v>2</v>
      </c>
      <c r="U163" s="1744" t="str">
        <f t="shared" si="108"/>
        <v/>
      </c>
      <c r="V163" s="1745">
        <v>1</v>
      </c>
      <c r="W163" s="1745">
        <f>S08H03</f>
        <v>1</v>
      </c>
      <c r="X163" s="1745">
        <v>1</v>
      </c>
      <c r="Y163" s="1745">
        <v>1</v>
      </c>
      <c r="Z163" s="1746">
        <v>0</v>
      </c>
      <c r="AA163" s="1747"/>
      <c r="AB163" s="1748"/>
      <c r="AC163" s="1748"/>
      <c r="AD163" s="1595" t="str">
        <f t="shared" si="94"/>
        <v/>
      </c>
      <c r="AE163" s="1595">
        <f t="shared" si="109"/>
        <v>2</v>
      </c>
      <c r="AF163" s="1595" t="str">
        <f t="shared" si="110"/>
        <v/>
      </c>
      <c r="AG163" s="1748"/>
      <c r="AH163" s="1749" t="str">
        <f t="shared" si="95"/>
        <v/>
      </c>
      <c r="AI163" s="1623"/>
      <c r="AJ163" s="1624" t="s">
        <v>5417</v>
      </c>
      <c r="AK163" s="1618"/>
      <c r="AL163" s="1617"/>
      <c r="AM163" s="247" t="str">
        <f t="shared" si="88"/>
        <v/>
      </c>
      <c r="AN163" s="247" t="str">
        <f t="shared" si="89"/>
        <v/>
      </c>
      <c r="AO163" s="247" t="str">
        <f t="shared" si="90"/>
        <v/>
      </c>
      <c r="AP163" s="247" t="str">
        <f t="shared" si="91"/>
        <v/>
      </c>
      <c r="AQ163" s="42">
        <f t="shared" si="111"/>
        <v>1</v>
      </c>
      <c r="AR163" s="42">
        <f t="shared" si="112"/>
        <v>1</v>
      </c>
      <c r="AS163" s="42">
        <f t="shared" si="113"/>
        <v>1</v>
      </c>
      <c r="AT163" s="42">
        <f t="shared" si="114"/>
        <v>1</v>
      </c>
      <c r="AU163" s="247" t="str">
        <f t="shared" si="92"/>
        <v/>
      </c>
      <c r="AV163" s="247" t="str">
        <f t="shared" si="93"/>
        <v/>
      </c>
    </row>
    <row r="164" spans="1:48" ht="24" x14ac:dyDescent="0.2">
      <c r="A164" s="450" t="s">
        <v>790</v>
      </c>
      <c r="B164" s="429" t="s">
        <v>1864</v>
      </c>
      <c r="C164" s="430" t="s">
        <v>4734</v>
      </c>
      <c r="D164" s="1349" t="s">
        <v>1873</v>
      </c>
      <c r="E164" s="1350" t="s">
        <v>1874</v>
      </c>
      <c r="F164" s="1350" t="s">
        <v>4498</v>
      </c>
      <c r="G164" s="1351" t="s">
        <v>6071</v>
      </c>
      <c r="H164" s="1342" t="s">
        <v>1329</v>
      </c>
      <c r="I164" s="432" t="s">
        <v>1305</v>
      </c>
      <c r="J164" s="431" t="s">
        <v>6536</v>
      </c>
      <c r="K164" s="431"/>
      <c r="L164" s="431"/>
      <c r="M164" s="433"/>
      <c r="N164" s="434" t="s">
        <v>2218</v>
      </c>
      <c r="O164" s="1743" t="str">
        <f>VLOOKUP(B164,code_famille_scénario,2)&amp;VLOOKUP(C164,code_actif,2)&amp;", "&amp;VLOOKUP(J164,Code_lieu,2)&amp;", par "&amp;VLOOKUP(N164,code_acteur,2)</f>
        <v>Vol de media support de fichiers  d'archives informatiques, dans les locaux d'archives, par un membre du personnel de service</v>
      </c>
      <c r="P164" s="435">
        <v>1</v>
      </c>
      <c r="Q164" s="1595" t="s">
        <v>1299</v>
      </c>
      <c r="R164" s="1595" t="s">
        <v>1873</v>
      </c>
      <c r="S164" s="1595" t="str">
        <f>Classif!C13</f>
        <v/>
      </c>
      <c r="T164" s="1595">
        <f t="shared" si="107"/>
        <v>2</v>
      </c>
      <c r="U164" s="1744" t="str">
        <f t="shared" si="108"/>
        <v/>
      </c>
      <c r="V164" s="1745">
        <v>1</v>
      </c>
      <c r="W164" s="1745">
        <f>S08H03</f>
        <v>1</v>
      </c>
      <c r="X164" s="1745">
        <v>1</v>
      </c>
      <c r="Y164" s="1745">
        <v>1</v>
      </c>
      <c r="Z164" s="1746">
        <v>0</v>
      </c>
      <c r="AA164" s="1747"/>
      <c r="AB164" s="1748"/>
      <c r="AC164" s="1748"/>
      <c r="AD164" s="1595" t="str">
        <f t="shared" si="94"/>
        <v/>
      </c>
      <c r="AE164" s="1595">
        <f t="shared" si="109"/>
        <v>2</v>
      </c>
      <c r="AF164" s="1595" t="str">
        <f t="shared" si="110"/>
        <v/>
      </c>
      <c r="AG164" s="1748"/>
      <c r="AH164" s="1749" t="str">
        <f t="shared" si="95"/>
        <v/>
      </c>
      <c r="AI164" s="1623"/>
      <c r="AJ164" s="1624" t="s">
        <v>5417</v>
      </c>
      <c r="AK164" s="1618"/>
      <c r="AL164" s="1617"/>
      <c r="AM164" s="247" t="str">
        <f t="shared" si="88"/>
        <v/>
      </c>
      <c r="AN164" s="247" t="str">
        <f t="shared" si="89"/>
        <v/>
      </c>
      <c r="AO164" s="247" t="str">
        <f t="shared" si="90"/>
        <v/>
      </c>
      <c r="AP164" s="247" t="str">
        <f t="shared" si="91"/>
        <v/>
      </c>
      <c r="AQ164" s="42">
        <f t="shared" si="111"/>
        <v>1</v>
      </c>
      <c r="AR164" s="42">
        <f t="shared" si="112"/>
        <v>1</v>
      </c>
      <c r="AS164" s="42">
        <f t="shared" si="113"/>
        <v>1</v>
      </c>
      <c r="AT164" s="42">
        <f t="shared" si="114"/>
        <v>1</v>
      </c>
      <c r="AU164" s="247" t="str">
        <f t="shared" si="92"/>
        <v/>
      </c>
      <c r="AV164" s="247" t="str">
        <f t="shared" si="93"/>
        <v/>
      </c>
    </row>
    <row r="165" spans="1:48" ht="24" x14ac:dyDescent="0.2">
      <c r="A165" s="450" t="s">
        <v>791</v>
      </c>
      <c r="B165" s="429" t="s">
        <v>1864</v>
      </c>
      <c r="C165" s="430" t="s">
        <v>4734</v>
      </c>
      <c r="D165" s="1349" t="s">
        <v>1873</v>
      </c>
      <c r="E165" s="1350" t="s">
        <v>1874</v>
      </c>
      <c r="F165" s="1350" t="s">
        <v>4498</v>
      </c>
      <c r="G165" s="1351" t="s">
        <v>6071</v>
      </c>
      <c r="H165" s="1342" t="s">
        <v>1329</v>
      </c>
      <c r="I165" s="432" t="s">
        <v>1305</v>
      </c>
      <c r="J165" s="431" t="s">
        <v>5579</v>
      </c>
      <c r="K165" s="431"/>
      <c r="L165" s="431"/>
      <c r="M165" s="433"/>
      <c r="N165" s="434" t="s">
        <v>3518</v>
      </c>
      <c r="O165" s="1743" t="str">
        <f>VLOOKUP(B165,code_famille_scénario,2)&amp;VLOOKUP(C165,code_actif,2)&amp;", "&amp;VLOOKUP(J165,Code_lieu,2)&amp;", par "&amp;VLOOKUP(N165,code_acteur,2)</f>
        <v>Vol de media support de fichiers  d'archives informatiques, dans le circuit de distribution, par un membre du personnel non autorisé</v>
      </c>
      <c r="P165" s="435">
        <v>1</v>
      </c>
      <c r="Q165" s="1595" t="s">
        <v>1299</v>
      </c>
      <c r="R165" s="1595" t="s">
        <v>1873</v>
      </c>
      <c r="S165" s="1595" t="str">
        <f>Classif!C13</f>
        <v/>
      </c>
      <c r="T165" s="1595">
        <f t="shared" si="107"/>
        <v>2</v>
      </c>
      <c r="U165" s="1744" t="str">
        <f t="shared" si="108"/>
        <v/>
      </c>
      <c r="V165" s="1745">
        <v>1</v>
      </c>
      <c r="W165" s="1745">
        <f>S08H02</f>
        <v>1</v>
      </c>
      <c r="X165" s="1745">
        <v>1</v>
      </c>
      <c r="Y165" s="1745">
        <f>S08H02</f>
        <v>1</v>
      </c>
      <c r="Z165" s="1746">
        <v>0</v>
      </c>
      <c r="AA165" s="1747"/>
      <c r="AB165" s="1748"/>
      <c r="AC165" s="1748"/>
      <c r="AD165" s="1595" t="str">
        <f t="shared" si="94"/>
        <v/>
      </c>
      <c r="AE165" s="1595">
        <f t="shared" si="109"/>
        <v>2</v>
      </c>
      <c r="AF165" s="1595" t="str">
        <f t="shared" si="110"/>
        <v/>
      </c>
      <c r="AG165" s="1748"/>
      <c r="AH165" s="1749" t="str">
        <f t="shared" si="95"/>
        <v/>
      </c>
      <c r="AI165" s="1615"/>
      <c r="AJ165" s="1624" t="s">
        <v>4252</v>
      </c>
      <c r="AK165" s="1618"/>
      <c r="AL165" s="1617" t="s">
        <v>4252</v>
      </c>
      <c r="AM165" s="247" t="str">
        <f t="shared" si="88"/>
        <v/>
      </c>
      <c r="AN165" s="247" t="str">
        <f t="shared" si="89"/>
        <v/>
      </c>
      <c r="AO165" s="247" t="str">
        <f t="shared" si="90"/>
        <v/>
      </c>
      <c r="AP165" s="247" t="str">
        <f t="shared" si="91"/>
        <v/>
      </c>
      <c r="AQ165" s="42">
        <f t="shared" si="111"/>
        <v>1</v>
      </c>
      <c r="AR165" s="42">
        <f t="shared" si="112"/>
        <v>1</v>
      </c>
      <c r="AS165" s="42">
        <f t="shared" si="113"/>
        <v>1</v>
      </c>
      <c r="AT165" s="42">
        <f t="shared" si="114"/>
        <v>1</v>
      </c>
      <c r="AU165" s="247" t="str">
        <f t="shared" si="92"/>
        <v/>
      </c>
      <c r="AV165" s="247" t="str">
        <f t="shared" si="93"/>
        <v/>
      </c>
    </row>
    <row r="166" spans="1:48" ht="24" x14ac:dyDescent="0.2">
      <c r="A166" s="450" t="s">
        <v>792</v>
      </c>
      <c r="B166" s="429" t="s">
        <v>4481</v>
      </c>
      <c r="C166" s="430" t="s">
        <v>4734</v>
      </c>
      <c r="D166" s="1349" t="s">
        <v>1873</v>
      </c>
      <c r="E166" s="1350" t="s">
        <v>1874</v>
      </c>
      <c r="F166" s="1350" t="s">
        <v>2777</v>
      </c>
      <c r="G166" s="1351" t="s">
        <v>4610</v>
      </c>
      <c r="H166" s="1342" t="s">
        <v>1554</v>
      </c>
      <c r="I166" s="432" t="s">
        <v>1538</v>
      </c>
      <c r="J166" s="431" t="s">
        <v>6536</v>
      </c>
      <c r="K166" s="431"/>
      <c r="L166" s="431"/>
      <c r="M166" s="433"/>
      <c r="N166" s="434"/>
      <c r="O166" s="1743" t="str">
        <f>VLOOKUP(B166,code_famille_scénario,2)&amp;VLOOKUP(C166,code_actif,2)&amp;", "&amp;VLOOKUP(J166,Code_lieu,2)&amp;", due "&amp;VLOOKUP(I166,code_event,2)</f>
        <v>Inexploitabilité accidentelle de media support de fichiers  d'archives informatiques, dans les locaux d'archives, due au vieillissement</v>
      </c>
      <c r="P166" s="435">
        <v>1</v>
      </c>
      <c r="Q166" s="1595" t="s">
        <v>1431</v>
      </c>
      <c r="R166" s="1595" t="s">
        <v>1873</v>
      </c>
      <c r="S166" s="1595" t="str">
        <f>Classif!C13</f>
        <v/>
      </c>
      <c r="T166" s="1595">
        <f t="shared" si="107"/>
        <v>2</v>
      </c>
      <c r="U166" s="1744" t="str">
        <f t="shared" si="108"/>
        <v/>
      </c>
      <c r="V166" s="1745">
        <v>1</v>
      </c>
      <c r="W166" s="1745">
        <f>S08H03</f>
        <v>1</v>
      </c>
      <c r="X166" s="1745">
        <f>S08C05</f>
        <v>1</v>
      </c>
      <c r="Y166" s="1745">
        <v>1</v>
      </c>
      <c r="Z166" s="1746">
        <v>0</v>
      </c>
      <c r="AA166" s="1747"/>
      <c r="AB166" s="1748"/>
      <c r="AC166" s="1748"/>
      <c r="AD166" s="1595" t="str">
        <f t="shared" si="94"/>
        <v/>
      </c>
      <c r="AE166" s="1595">
        <f t="shared" si="109"/>
        <v>2</v>
      </c>
      <c r="AF166" s="1595" t="str">
        <f t="shared" si="110"/>
        <v/>
      </c>
      <c r="AG166" s="1748"/>
      <c r="AH166" s="1749" t="str">
        <f t="shared" si="95"/>
        <v/>
      </c>
      <c r="AI166" s="1615"/>
      <c r="AJ166" s="1616" t="s">
        <v>5417</v>
      </c>
      <c r="AK166" s="1616" t="s">
        <v>2058</v>
      </c>
      <c r="AL166" s="1617"/>
      <c r="AM166" s="247" t="str">
        <f t="shared" si="88"/>
        <v/>
      </c>
      <c r="AN166" s="247" t="str">
        <f t="shared" si="89"/>
        <v/>
      </c>
      <c r="AO166" s="247" t="str">
        <f t="shared" si="90"/>
        <v/>
      </c>
      <c r="AP166" s="247" t="str">
        <f t="shared" si="91"/>
        <v/>
      </c>
      <c r="AQ166" s="42">
        <f t="shared" si="111"/>
        <v>1</v>
      </c>
      <c r="AR166" s="42">
        <f t="shared" si="112"/>
        <v>1</v>
      </c>
      <c r="AS166" s="42">
        <f t="shared" si="113"/>
        <v>1</v>
      </c>
      <c r="AT166" s="42">
        <f t="shared" si="114"/>
        <v>1</v>
      </c>
      <c r="AU166" s="247" t="str">
        <f t="shared" si="92"/>
        <v/>
      </c>
      <c r="AV166" s="247" t="str">
        <f t="shared" si="93"/>
        <v/>
      </c>
    </row>
    <row r="167" spans="1:48" ht="24" x14ac:dyDescent="0.2">
      <c r="A167" s="450" t="s">
        <v>793</v>
      </c>
      <c r="B167" s="429" t="s">
        <v>4481</v>
      </c>
      <c r="C167" s="430" t="s">
        <v>4734</v>
      </c>
      <c r="D167" s="1349" t="s">
        <v>1873</v>
      </c>
      <c r="E167" s="1350" t="s">
        <v>1874</v>
      </c>
      <c r="F167" s="1350" t="s">
        <v>2777</v>
      </c>
      <c r="G167" s="1351" t="s">
        <v>4610</v>
      </c>
      <c r="H167" s="1342" t="s">
        <v>1554</v>
      </c>
      <c r="I167" s="432" t="s">
        <v>1534</v>
      </c>
      <c r="J167" s="431" t="s">
        <v>6536</v>
      </c>
      <c r="K167" s="438"/>
      <c r="L167" s="438"/>
      <c r="M167" s="439"/>
      <c r="N167" s="440"/>
      <c r="O167" s="1743" t="str">
        <f>VLOOKUP(B167,code_famille_scénario,2)&amp;VLOOKUP(C167,code_actif,2)&amp;", "&amp;VLOOKUP(J167,Code_lieu,2)&amp;", due "&amp;VLOOKUP(I167,code_event,2)</f>
        <v>Inexploitabilité accidentelle de media support de fichiers  d'archives informatiques, dans les locaux d'archives, due à un dégât des eaux</v>
      </c>
      <c r="P167" s="435">
        <v>1</v>
      </c>
      <c r="Q167" s="1595" t="s">
        <v>1431</v>
      </c>
      <c r="R167" s="1595" t="s">
        <v>1873</v>
      </c>
      <c r="S167" s="1595" t="str">
        <f>Classif!C13</f>
        <v/>
      </c>
      <c r="T167" s="1595">
        <f t="shared" si="107"/>
        <v>3</v>
      </c>
      <c r="U167" s="1744" t="str">
        <f t="shared" si="108"/>
        <v/>
      </c>
      <c r="V167" s="1745">
        <v>1</v>
      </c>
      <c r="W167" s="1745">
        <f>S08H03</f>
        <v>1</v>
      </c>
      <c r="X167" s="1745">
        <v>1</v>
      </c>
      <c r="Y167" s="1745">
        <v>1</v>
      </c>
      <c r="Z167" s="1746">
        <v>0</v>
      </c>
      <c r="AA167" s="1747"/>
      <c r="AB167" s="1748"/>
      <c r="AC167" s="1748"/>
      <c r="AD167" s="1595" t="str">
        <f t="shared" si="94"/>
        <v/>
      </c>
      <c r="AE167" s="1595">
        <f t="shared" si="109"/>
        <v>3</v>
      </c>
      <c r="AF167" s="1595" t="str">
        <f t="shared" si="110"/>
        <v/>
      </c>
      <c r="AG167" s="1748"/>
      <c r="AH167" s="1749" t="str">
        <f t="shared" si="95"/>
        <v/>
      </c>
      <c r="AI167" s="1615"/>
      <c r="AJ167" s="1616" t="s">
        <v>5417</v>
      </c>
      <c r="AK167" s="1618"/>
      <c r="AL167" s="1617"/>
      <c r="AM167" s="247" t="str">
        <f t="shared" si="88"/>
        <v/>
      </c>
      <c r="AN167" s="247" t="str">
        <f t="shared" si="89"/>
        <v/>
      </c>
      <c r="AO167" s="247" t="str">
        <f t="shared" si="90"/>
        <v/>
      </c>
      <c r="AP167" s="247" t="str">
        <f t="shared" si="91"/>
        <v/>
      </c>
      <c r="AQ167" s="42">
        <f t="shared" si="111"/>
        <v>1</v>
      </c>
      <c r="AR167" s="42">
        <f t="shared" si="112"/>
        <v>1</v>
      </c>
      <c r="AS167" s="42">
        <f t="shared" si="113"/>
        <v>1</v>
      </c>
      <c r="AT167" s="42">
        <f t="shared" si="114"/>
        <v>1</v>
      </c>
      <c r="AU167" s="247" t="str">
        <f t="shared" si="92"/>
        <v/>
      </c>
      <c r="AV167" s="247" t="str">
        <f t="shared" si="93"/>
        <v/>
      </c>
    </row>
    <row r="168" spans="1:48" ht="24" x14ac:dyDescent="0.2">
      <c r="A168" s="450" t="s">
        <v>794</v>
      </c>
      <c r="B168" s="429" t="s">
        <v>2485</v>
      </c>
      <c r="C168" s="430" t="s">
        <v>4734</v>
      </c>
      <c r="D168" s="1349" t="s">
        <v>1873</v>
      </c>
      <c r="E168" s="1350" t="s">
        <v>1874</v>
      </c>
      <c r="F168" s="1350" t="s">
        <v>2401</v>
      </c>
      <c r="G168" s="1351" t="s">
        <v>4616</v>
      </c>
      <c r="H168" s="1342" t="s">
        <v>1327</v>
      </c>
      <c r="I168" s="432" t="s">
        <v>1545</v>
      </c>
      <c r="J168" s="431" t="s">
        <v>5579</v>
      </c>
      <c r="K168" s="431"/>
      <c r="L168" s="431"/>
      <c r="M168" s="433"/>
      <c r="N168" s="434"/>
      <c r="O168" s="1743" t="str">
        <f>VLOOKUP(B168,code_famille_scénario,2)&amp;VLOOKUP(C168,code_actif,2)</f>
        <v>Disparition accidentelle de moyens nécessaires à l'accès aux fichiers d'archives informatiques</v>
      </c>
      <c r="P168" s="435">
        <v>1</v>
      </c>
      <c r="Q168" s="1595" t="s">
        <v>1431</v>
      </c>
      <c r="R168" s="1595" t="s">
        <v>1873</v>
      </c>
      <c r="S168" s="1595" t="str">
        <f>Classif!C13</f>
        <v/>
      </c>
      <c r="T168" s="1595">
        <f t="shared" si="107"/>
        <v>3</v>
      </c>
      <c r="U168" s="1744" t="str">
        <f t="shared" si="108"/>
        <v/>
      </c>
      <c r="V168" s="1745">
        <v>1</v>
      </c>
      <c r="W168" s="1745">
        <v>1</v>
      </c>
      <c r="X168" s="1745">
        <v>1</v>
      </c>
      <c r="Y168" s="1745">
        <f>S09D02</f>
        <v>1</v>
      </c>
      <c r="Z168" s="1746">
        <v>0</v>
      </c>
      <c r="AA168" s="1747"/>
      <c r="AB168" s="1748"/>
      <c r="AC168" s="1748"/>
      <c r="AD168" s="1595" t="str">
        <f t="shared" si="94"/>
        <v/>
      </c>
      <c r="AE168" s="1595">
        <f t="shared" si="109"/>
        <v>3</v>
      </c>
      <c r="AF168" s="1595" t="str">
        <f t="shared" si="110"/>
        <v/>
      </c>
      <c r="AG168" s="1748"/>
      <c r="AH168" s="1749" t="str">
        <f t="shared" si="95"/>
        <v/>
      </c>
      <c r="AI168" s="1615"/>
      <c r="AJ168" s="1621"/>
      <c r="AK168" s="1618"/>
      <c r="AL168" s="1617" t="s">
        <v>5998</v>
      </c>
      <c r="AM168" s="247" t="str">
        <f t="shared" si="88"/>
        <v/>
      </c>
      <c r="AN168" s="247" t="str">
        <f t="shared" si="89"/>
        <v/>
      </c>
      <c r="AO168" s="247" t="str">
        <f t="shared" si="90"/>
        <v/>
      </c>
      <c r="AP168" s="247" t="str">
        <f t="shared" si="91"/>
        <v/>
      </c>
      <c r="AQ168" s="42">
        <f t="shared" si="111"/>
        <v>1</v>
      </c>
      <c r="AR168" s="42">
        <f t="shared" si="112"/>
        <v>1</v>
      </c>
      <c r="AS168" s="42">
        <f t="shared" si="113"/>
        <v>1</v>
      </c>
      <c r="AT168" s="42">
        <f t="shared" si="114"/>
        <v>1</v>
      </c>
      <c r="AU168" s="247" t="str">
        <f t="shared" si="92"/>
        <v/>
      </c>
      <c r="AV168" s="247" t="str">
        <f t="shared" si="93"/>
        <v/>
      </c>
    </row>
    <row r="169" spans="1:48" ht="24" x14ac:dyDescent="0.2">
      <c r="A169" s="450" t="s">
        <v>795</v>
      </c>
      <c r="B169" s="429" t="s">
        <v>2486</v>
      </c>
      <c r="C169" s="430" t="s">
        <v>4734</v>
      </c>
      <c r="D169" s="1349" t="s">
        <v>1873</v>
      </c>
      <c r="E169" s="1350" t="s">
        <v>2560</v>
      </c>
      <c r="F169" s="1350" t="s">
        <v>4498</v>
      </c>
      <c r="G169" s="1351" t="s">
        <v>4616</v>
      </c>
      <c r="H169" s="1342" t="s">
        <v>1329</v>
      </c>
      <c r="I169" s="432" t="s">
        <v>1305</v>
      </c>
      <c r="J169" s="431"/>
      <c r="K169" s="431"/>
      <c r="L169" s="431"/>
      <c r="M169" s="433"/>
      <c r="N169" s="434"/>
      <c r="O169" s="1743" t="str">
        <f>VLOOKUP(B169,code_famille_scénario,2)&amp;VLOOKUP(C169,code_actif,2)</f>
        <v>Vol ou destruction malveillante de moyens nécessaires à l'accès aux fichiers d'archives informatiques</v>
      </c>
      <c r="P169" s="435">
        <v>1</v>
      </c>
      <c r="Q169" s="1595" t="s">
        <v>1299</v>
      </c>
      <c r="R169" s="1595" t="s">
        <v>1873</v>
      </c>
      <c r="S169" s="1595" t="str">
        <f>Classif!C13</f>
        <v/>
      </c>
      <c r="T169" s="1595">
        <f t="shared" si="107"/>
        <v>2</v>
      </c>
      <c r="U169" s="1744" t="str">
        <f t="shared" si="108"/>
        <v/>
      </c>
      <c r="V169" s="1745">
        <v>1</v>
      </c>
      <c r="W169" s="1745">
        <v>1</v>
      </c>
      <c r="X169" s="1745">
        <v>1</v>
      </c>
      <c r="Y169" s="1745">
        <f>S09D02</f>
        <v>1</v>
      </c>
      <c r="Z169" s="1746">
        <v>0</v>
      </c>
      <c r="AA169" s="1747"/>
      <c r="AB169" s="1748"/>
      <c r="AC169" s="1748"/>
      <c r="AD169" s="1595" t="str">
        <f t="shared" si="94"/>
        <v/>
      </c>
      <c r="AE169" s="1595">
        <f t="shared" si="109"/>
        <v>2</v>
      </c>
      <c r="AF169" s="1595" t="str">
        <f t="shared" si="110"/>
        <v/>
      </c>
      <c r="AG169" s="1748"/>
      <c r="AH169" s="1749" t="str">
        <f t="shared" si="95"/>
        <v/>
      </c>
      <c r="AI169" s="1615"/>
      <c r="AJ169" s="1621"/>
      <c r="AK169" s="1618"/>
      <c r="AL169" s="1617" t="s">
        <v>5998</v>
      </c>
      <c r="AM169" s="247" t="str">
        <f t="shared" si="88"/>
        <v/>
      </c>
      <c r="AN169" s="247" t="str">
        <f t="shared" si="89"/>
        <v/>
      </c>
      <c r="AO169" s="247" t="str">
        <f t="shared" si="90"/>
        <v/>
      </c>
      <c r="AP169" s="247" t="str">
        <f t="shared" si="91"/>
        <v/>
      </c>
      <c r="AQ169" s="42">
        <f t="shared" si="111"/>
        <v>1</v>
      </c>
      <c r="AR169" s="42">
        <f t="shared" si="112"/>
        <v>1</v>
      </c>
      <c r="AS169" s="42">
        <f t="shared" si="113"/>
        <v>1</v>
      </c>
      <c r="AT169" s="42">
        <f t="shared" si="114"/>
        <v>1</v>
      </c>
      <c r="AU169" s="247" t="str">
        <f t="shared" si="92"/>
        <v/>
      </c>
      <c r="AV169" s="247" t="str">
        <f t="shared" si="93"/>
        <v/>
      </c>
    </row>
    <row r="170" spans="1:48" ht="15" x14ac:dyDescent="0.2">
      <c r="A170" s="418" t="s">
        <v>4039</v>
      </c>
      <c r="B170" s="419"/>
      <c r="C170" s="420" t="s">
        <v>4740</v>
      </c>
      <c r="D170" s="425"/>
      <c r="E170" s="1348"/>
      <c r="F170" s="1348"/>
      <c r="G170" s="1352"/>
      <c r="H170" s="1341"/>
      <c r="I170" s="447"/>
      <c r="J170" s="441"/>
      <c r="K170" s="441"/>
      <c r="L170" s="441"/>
      <c r="M170" s="442"/>
      <c r="N170" s="422"/>
      <c r="O170" s="1752"/>
      <c r="P170" s="435"/>
      <c r="Q170" s="1595"/>
      <c r="R170" s="1595"/>
      <c r="S170" s="1595"/>
      <c r="T170" s="1595"/>
      <c r="U170" s="1744"/>
      <c r="V170" s="1745"/>
      <c r="W170" s="1745"/>
      <c r="X170" s="1745"/>
      <c r="Y170" s="1745"/>
      <c r="Z170" s="1746"/>
      <c r="AA170" s="1747"/>
      <c r="AB170" s="1748"/>
      <c r="AC170" s="1748"/>
      <c r="AD170" s="1595"/>
      <c r="AE170" s="1753"/>
      <c r="AF170" s="1595"/>
      <c r="AG170" s="1748"/>
      <c r="AH170" s="1749"/>
      <c r="AI170" s="1627"/>
      <c r="AJ170" s="1628"/>
      <c r="AK170" s="1628"/>
      <c r="AL170" s="1629"/>
      <c r="AM170" s="247" t="str">
        <f t="shared" si="88"/>
        <v/>
      </c>
      <c r="AN170" s="247" t="str">
        <f t="shared" si="89"/>
        <v/>
      </c>
      <c r="AO170" s="247" t="str">
        <f t="shared" si="90"/>
        <v/>
      </c>
      <c r="AP170" s="247" t="str">
        <f t="shared" si="91"/>
        <v/>
      </c>
      <c r="AU170" s="247" t="str">
        <f t="shared" si="92"/>
        <v/>
      </c>
      <c r="AV170" s="247" t="str">
        <f t="shared" si="93"/>
        <v/>
      </c>
    </row>
    <row r="171" spans="1:48" ht="36" x14ac:dyDescent="0.2">
      <c r="A171" s="450" t="s">
        <v>796</v>
      </c>
      <c r="B171" s="429" t="s">
        <v>5624</v>
      </c>
      <c r="C171" s="430" t="s">
        <v>4873</v>
      </c>
      <c r="D171" s="1349" t="s">
        <v>1873</v>
      </c>
      <c r="E171" s="1350" t="s">
        <v>2778</v>
      </c>
      <c r="F171" s="1350" t="s">
        <v>2779</v>
      </c>
      <c r="G171" s="1351" t="s">
        <v>3739</v>
      </c>
      <c r="H171" s="1342" t="s">
        <v>1327</v>
      </c>
      <c r="I171" s="432" t="s">
        <v>1545</v>
      </c>
      <c r="J171" s="431" t="s">
        <v>1880</v>
      </c>
      <c r="K171" s="431"/>
      <c r="L171" s="431" t="s">
        <v>6541</v>
      </c>
      <c r="M171" s="433"/>
      <c r="N171" s="434" t="s">
        <v>1301</v>
      </c>
      <c r="O171" s="1743" t="str">
        <f>VLOOKUP(B171,code_famille_scénario,2)&amp;VLOOKUP(C171,code_actif,2)&amp;", par "&amp;VLOOKUP(N171,code_acteur,2)&amp;", "&amp;VLOOKUP(L171,code_acces,2)</f>
        <v>Effacement par erreur de fichiers de données publiées sur des sites publics ou internes, par un utilisateur autorisé légitime, se connectant depuis le réseau interne</v>
      </c>
      <c r="P171" s="435">
        <v>1</v>
      </c>
      <c r="Q171" s="1595" t="s">
        <v>6403</v>
      </c>
      <c r="R171" s="1595" t="s">
        <v>1873</v>
      </c>
      <c r="S171" s="1595" t="str">
        <f>Classif!C14</f>
        <v/>
      </c>
      <c r="T171" s="1595">
        <f t="shared" ref="T171:T193" si="115">VLOOKUP(H171&amp;"."&amp;I171,Tab_event,4)</f>
        <v>3</v>
      </c>
      <c r="U171" s="1744" t="str">
        <f t="shared" ref="U171:U193" si="116">IF(AND(NOT(S171=""),NOT(T171="")),INDEX(base_g,5-S171,T171),"")</f>
        <v/>
      </c>
      <c r="V171" s="1745">
        <v>1</v>
      </c>
      <c r="W171" s="1745">
        <v>1</v>
      </c>
      <c r="X171" s="1745">
        <v>1</v>
      </c>
      <c r="Y171" s="1745">
        <f t="shared" ref="Y171:Y181" si="117">S08D05</f>
        <v>1</v>
      </c>
      <c r="Z171" s="1746">
        <v>0</v>
      </c>
      <c r="AA171" s="1747"/>
      <c r="AB171" s="1748"/>
      <c r="AC171" s="1748"/>
      <c r="AD171" s="1595" t="str">
        <f t="shared" si="94"/>
        <v/>
      </c>
      <c r="AE171" s="1595">
        <f t="shared" ref="AE171:AE202" si="118">IF(OR(Q171="",T171=""),"",IF(Q171="A",INDEX(base_p,4,W171+7*(T171-1)),IF(Q171="E",INDEX(base_p,15,W171+7*(T171-1)),INDEX(base_p,27-V171,W171+7*(T171-1)))))</f>
        <v>3</v>
      </c>
      <c r="AF171" s="1595" t="str">
        <f t="shared" ref="AF171:AF193" si="119">IF(AT171=1,IF(IndG=1,U171,IF(AND(OR(NOT(AD171=""),NOT(AB171="")),OR(NOT(AE171=""),NOT(AC171="")),AT171=1),INDEX(base_g,5-IF(AB171="",AD171,AB171),IF(AC171="",AE171,AC171)),"")),0)</f>
        <v/>
      </c>
      <c r="AG171" s="1748"/>
      <c r="AH171" s="1749" t="str">
        <f t="shared" si="95"/>
        <v/>
      </c>
      <c r="AI171" s="1615"/>
      <c r="AJ171" s="1618"/>
      <c r="AK171" s="1618"/>
      <c r="AL171" s="1619" t="s">
        <v>4439</v>
      </c>
      <c r="AM171" s="247" t="str">
        <f t="shared" si="88"/>
        <v/>
      </c>
      <c r="AN171" s="247" t="str">
        <f t="shared" si="89"/>
        <v/>
      </c>
      <c r="AO171" s="247" t="str">
        <f t="shared" si="90"/>
        <v/>
      </c>
      <c r="AP171" s="247" t="str">
        <f t="shared" si="91"/>
        <v/>
      </c>
      <c r="AQ171" s="42">
        <f t="shared" ref="AQ171:AQ193" si="120">VLOOKUP(LEFT(C171,3),Tab_classif_data,6)</f>
        <v>1</v>
      </c>
      <c r="AR171" s="42">
        <f t="shared" ref="AR171:AR193" si="121">VLOOKUP(G171,select_vul_data,2)</f>
        <v>1</v>
      </c>
      <c r="AS171" s="42">
        <f t="shared" ref="AS171:AS193" si="122">VLOOKUP(H171&amp;"."&amp;I171,select_men,5)</f>
        <v>1</v>
      </c>
      <c r="AT171" s="42">
        <f t="shared" ref="AT171:AT193" si="123">P171*AQ171*AR171*AS171</f>
        <v>1</v>
      </c>
      <c r="AU171" s="247" t="str">
        <f t="shared" si="92"/>
        <v/>
      </c>
      <c r="AV171" s="247" t="str">
        <f t="shared" si="93"/>
        <v/>
      </c>
    </row>
    <row r="172" spans="1:48" ht="36" x14ac:dyDescent="0.2">
      <c r="A172" s="450" t="s">
        <v>797</v>
      </c>
      <c r="B172" s="429" t="s">
        <v>5624</v>
      </c>
      <c r="C172" s="430" t="s">
        <v>4873</v>
      </c>
      <c r="D172" s="1349" t="s">
        <v>1873</v>
      </c>
      <c r="E172" s="1350" t="s">
        <v>2778</v>
      </c>
      <c r="F172" s="1350" t="s">
        <v>2779</v>
      </c>
      <c r="G172" s="1351" t="s">
        <v>3739</v>
      </c>
      <c r="H172" s="1342" t="s">
        <v>1327</v>
      </c>
      <c r="I172" s="432" t="s">
        <v>1545</v>
      </c>
      <c r="J172" s="431" t="s">
        <v>1880</v>
      </c>
      <c r="K172" s="431"/>
      <c r="L172" s="431" t="s">
        <v>6541</v>
      </c>
      <c r="M172" s="433"/>
      <c r="N172" s="434" t="s">
        <v>1302</v>
      </c>
      <c r="O172" s="1743" t="str">
        <f>VLOOKUP(B172,code_famille_scénario,2)&amp;VLOOKUP(C172,code_actif,2)&amp;", par "&amp;VLOOKUP(N172,code_acteur,2)&amp;", "&amp;VLOOKUP(L172,code_acces,2)</f>
        <v>Effacement par erreur de fichiers de données publiées sur des sites publics ou internes, par un utilisateur autorisé illégitime, se connectant depuis le réseau interne</v>
      </c>
      <c r="P172" s="435">
        <v>1</v>
      </c>
      <c r="Q172" s="1595" t="s">
        <v>6403</v>
      </c>
      <c r="R172" s="1595" t="s">
        <v>1873</v>
      </c>
      <c r="S172" s="1595" t="str">
        <f>Classif!C14</f>
        <v/>
      </c>
      <c r="T172" s="1595">
        <f t="shared" si="115"/>
        <v>3</v>
      </c>
      <c r="U172" s="1744" t="str">
        <f t="shared" si="116"/>
        <v/>
      </c>
      <c r="V172" s="1745">
        <v>1</v>
      </c>
      <c r="W172" s="1745">
        <v>1</v>
      </c>
      <c r="X172" s="1745">
        <v>1</v>
      </c>
      <c r="Y172" s="1745">
        <f t="shared" si="117"/>
        <v>1</v>
      </c>
      <c r="Z172" s="1746">
        <v>0</v>
      </c>
      <c r="AA172" s="1747"/>
      <c r="AB172" s="1748"/>
      <c r="AC172" s="1748"/>
      <c r="AD172" s="1595" t="str">
        <f t="shared" si="94"/>
        <v/>
      </c>
      <c r="AE172" s="1595">
        <f t="shared" si="118"/>
        <v>3</v>
      </c>
      <c r="AF172" s="1595" t="str">
        <f t="shared" si="119"/>
        <v/>
      </c>
      <c r="AG172" s="1748"/>
      <c r="AH172" s="1749" t="str">
        <f t="shared" si="95"/>
        <v/>
      </c>
      <c r="AI172" s="1615"/>
      <c r="AJ172" s="1618"/>
      <c r="AK172" s="1618"/>
      <c r="AL172" s="1619" t="s">
        <v>4439</v>
      </c>
      <c r="AM172" s="247" t="str">
        <f t="shared" si="88"/>
        <v/>
      </c>
      <c r="AN172" s="247" t="str">
        <f t="shared" si="89"/>
        <v/>
      </c>
      <c r="AO172" s="247" t="str">
        <f t="shared" si="90"/>
        <v/>
      </c>
      <c r="AP172" s="247" t="str">
        <f t="shared" si="91"/>
        <v/>
      </c>
      <c r="AQ172" s="42">
        <f t="shared" si="120"/>
        <v>1</v>
      </c>
      <c r="AR172" s="42">
        <f t="shared" si="121"/>
        <v>1</v>
      </c>
      <c r="AS172" s="42">
        <f t="shared" si="122"/>
        <v>1</v>
      </c>
      <c r="AT172" s="42">
        <f t="shared" si="123"/>
        <v>1</v>
      </c>
      <c r="AU172" s="247" t="str">
        <f t="shared" si="92"/>
        <v/>
      </c>
      <c r="AV172" s="247" t="str">
        <f t="shared" si="93"/>
        <v/>
      </c>
    </row>
    <row r="173" spans="1:48" ht="24" x14ac:dyDescent="0.2">
      <c r="A173" s="450" t="s">
        <v>798</v>
      </c>
      <c r="B173" s="429" t="s">
        <v>5624</v>
      </c>
      <c r="C173" s="430" t="s">
        <v>4873</v>
      </c>
      <c r="D173" s="1349" t="s">
        <v>1873</v>
      </c>
      <c r="E173" s="1350" t="s">
        <v>2778</v>
      </c>
      <c r="F173" s="1350" t="s">
        <v>2779</v>
      </c>
      <c r="G173" s="1351" t="s">
        <v>3739</v>
      </c>
      <c r="H173" s="1342" t="s">
        <v>1327</v>
      </c>
      <c r="I173" s="432" t="s">
        <v>1545</v>
      </c>
      <c r="J173" s="431" t="s">
        <v>1880</v>
      </c>
      <c r="K173" s="431"/>
      <c r="L173" s="431" t="s">
        <v>6541</v>
      </c>
      <c r="M173" s="433"/>
      <c r="N173" s="434" t="s">
        <v>1303</v>
      </c>
      <c r="O173" s="1743" t="str">
        <f>VLOOKUP(B173,code_famille_scénario,2)&amp;VLOOKUP(C173,code_actif,2)&amp;", par "&amp;VLOOKUP(N173,code_acteur,2)&amp;", "&amp;VLOOKUP(L173,code_acces,2)</f>
        <v>Effacement par erreur de fichiers de données publiées sur des sites publics ou internes, par un utilisateur non autorisé, se connectant depuis le réseau interne</v>
      </c>
      <c r="P173" s="435">
        <v>1</v>
      </c>
      <c r="Q173" s="1595" t="s">
        <v>6403</v>
      </c>
      <c r="R173" s="1595" t="s">
        <v>1873</v>
      </c>
      <c r="S173" s="1595" t="str">
        <f>Classif!C14</f>
        <v/>
      </c>
      <c r="T173" s="1595">
        <f t="shared" si="115"/>
        <v>3</v>
      </c>
      <c r="U173" s="1744" t="str">
        <f t="shared" si="116"/>
        <v/>
      </c>
      <c r="V173" s="1745">
        <v>1</v>
      </c>
      <c r="W173" s="1745">
        <v>1</v>
      </c>
      <c r="X173" s="1745">
        <v>1</v>
      </c>
      <c r="Y173" s="1745">
        <f t="shared" si="117"/>
        <v>1</v>
      </c>
      <c r="Z173" s="1746">
        <v>0</v>
      </c>
      <c r="AA173" s="1747"/>
      <c r="AB173" s="1748"/>
      <c r="AC173" s="1748"/>
      <c r="AD173" s="1595" t="str">
        <f t="shared" si="94"/>
        <v/>
      </c>
      <c r="AE173" s="1595">
        <f t="shared" si="118"/>
        <v>3</v>
      </c>
      <c r="AF173" s="1595" t="str">
        <f t="shared" si="119"/>
        <v/>
      </c>
      <c r="AG173" s="1748"/>
      <c r="AH173" s="1749" t="str">
        <f t="shared" si="95"/>
        <v/>
      </c>
      <c r="AI173" s="1615"/>
      <c r="AJ173" s="1618"/>
      <c r="AK173" s="1618"/>
      <c r="AL173" s="1619" t="s">
        <v>4439</v>
      </c>
      <c r="AM173" s="247" t="str">
        <f t="shared" si="88"/>
        <v/>
      </c>
      <c r="AN173" s="247" t="str">
        <f t="shared" si="89"/>
        <v/>
      </c>
      <c r="AO173" s="247" t="str">
        <f t="shared" si="90"/>
        <v/>
      </c>
      <c r="AP173" s="247" t="str">
        <f t="shared" si="91"/>
        <v/>
      </c>
      <c r="AQ173" s="42">
        <f t="shared" si="120"/>
        <v>1</v>
      </c>
      <c r="AR173" s="42">
        <f t="shared" si="121"/>
        <v>1</v>
      </c>
      <c r="AS173" s="42">
        <f t="shared" si="122"/>
        <v>1</v>
      </c>
      <c r="AT173" s="42">
        <f t="shared" si="123"/>
        <v>1</v>
      </c>
      <c r="AU173" s="247" t="str">
        <f t="shared" si="92"/>
        <v/>
      </c>
      <c r="AV173" s="247" t="str">
        <f t="shared" si="93"/>
        <v/>
      </c>
    </row>
    <row r="174" spans="1:48" ht="36" x14ac:dyDescent="0.2">
      <c r="A174" s="450" t="s">
        <v>799</v>
      </c>
      <c r="B174" s="429" t="s">
        <v>5624</v>
      </c>
      <c r="C174" s="430" t="s">
        <v>4873</v>
      </c>
      <c r="D174" s="1349" t="s">
        <v>1873</v>
      </c>
      <c r="E174" s="1350" t="s">
        <v>2778</v>
      </c>
      <c r="F174" s="1350" t="s">
        <v>2779</v>
      </c>
      <c r="G174" s="1351" t="s">
        <v>3739</v>
      </c>
      <c r="H174" s="1342" t="s">
        <v>1327</v>
      </c>
      <c r="I174" s="432" t="s">
        <v>1545</v>
      </c>
      <c r="J174" s="431" t="s">
        <v>1880</v>
      </c>
      <c r="K174" s="431"/>
      <c r="L174" s="431" t="s">
        <v>6541</v>
      </c>
      <c r="M174" s="433"/>
      <c r="N174" s="434" t="s">
        <v>6403</v>
      </c>
      <c r="O174" s="1743" t="str">
        <f>VLOOKUP(B174,code_famille_scénario,2)&amp;VLOOKUP(C174,code_actif,2)&amp;", par "&amp;VLOOKUP(N174,code_acteur,2)&amp;", "&amp;VLOOKUP(L174,code_acces,2)</f>
        <v>Effacement par erreur de fichiers de données publiées sur des sites publics ou internes, par un membre du personnel d'exploitation, se connectant depuis le réseau interne</v>
      </c>
      <c r="P174" s="435">
        <v>1</v>
      </c>
      <c r="Q174" s="1595" t="s">
        <v>6403</v>
      </c>
      <c r="R174" s="1595" t="s">
        <v>1873</v>
      </c>
      <c r="S174" s="1595" t="str">
        <f>Classif!C14</f>
        <v/>
      </c>
      <c r="T174" s="1595">
        <f t="shared" si="115"/>
        <v>3</v>
      </c>
      <c r="U174" s="1744" t="str">
        <f t="shared" si="116"/>
        <v/>
      </c>
      <c r="V174" s="1745">
        <v>1</v>
      </c>
      <c r="W174" s="1745">
        <v>1</v>
      </c>
      <c r="X174" s="1745">
        <v>1</v>
      </c>
      <c r="Y174" s="1745">
        <f t="shared" si="117"/>
        <v>1</v>
      </c>
      <c r="Z174" s="1746">
        <v>0</v>
      </c>
      <c r="AA174" s="1747"/>
      <c r="AB174" s="1748"/>
      <c r="AC174" s="1748"/>
      <c r="AD174" s="1595" t="str">
        <f t="shared" si="94"/>
        <v/>
      </c>
      <c r="AE174" s="1595">
        <f t="shared" si="118"/>
        <v>3</v>
      </c>
      <c r="AF174" s="1595" t="str">
        <f t="shared" si="119"/>
        <v/>
      </c>
      <c r="AG174" s="1748"/>
      <c r="AH174" s="1749" t="str">
        <f t="shared" si="95"/>
        <v/>
      </c>
      <c r="AI174" s="1615"/>
      <c r="AJ174" s="1618"/>
      <c r="AK174" s="1618"/>
      <c r="AL174" s="1619" t="s">
        <v>4439</v>
      </c>
      <c r="AM174" s="247" t="str">
        <f t="shared" si="88"/>
        <v/>
      </c>
      <c r="AN174" s="247" t="str">
        <f t="shared" si="89"/>
        <v/>
      </c>
      <c r="AO174" s="247" t="str">
        <f t="shared" si="90"/>
        <v/>
      </c>
      <c r="AP174" s="247" t="str">
        <f t="shared" si="91"/>
        <v/>
      </c>
      <c r="AQ174" s="42">
        <f t="shared" si="120"/>
        <v>1</v>
      </c>
      <c r="AR174" s="42">
        <f t="shared" si="121"/>
        <v>1</v>
      </c>
      <c r="AS174" s="42">
        <f t="shared" si="122"/>
        <v>1</v>
      </c>
      <c r="AT174" s="42">
        <f t="shared" si="123"/>
        <v>1</v>
      </c>
      <c r="AU174" s="247" t="str">
        <f t="shared" si="92"/>
        <v/>
      </c>
      <c r="AV174" s="247" t="str">
        <f t="shared" si="93"/>
        <v/>
      </c>
    </row>
    <row r="175" spans="1:48" ht="24" x14ac:dyDescent="0.2">
      <c r="A175" s="450" t="s">
        <v>800</v>
      </c>
      <c r="B175" s="429" t="s">
        <v>5624</v>
      </c>
      <c r="C175" s="430" t="s">
        <v>4873</v>
      </c>
      <c r="D175" s="1349" t="s">
        <v>1873</v>
      </c>
      <c r="E175" s="1350" t="s">
        <v>2778</v>
      </c>
      <c r="F175" s="1350" t="s">
        <v>2779</v>
      </c>
      <c r="G175" s="1351" t="s">
        <v>3739</v>
      </c>
      <c r="H175" s="1342" t="s">
        <v>1327</v>
      </c>
      <c r="I175" s="432" t="s">
        <v>1545</v>
      </c>
      <c r="J175" s="431" t="s">
        <v>1880</v>
      </c>
      <c r="K175" s="431"/>
      <c r="L175" s="431"/>
      <c r="M175" s="433"/>
      <c r="N175" s="434" t="s">
        <v>1299</v>
      </c>
      <c r="O175" s="1743" t="str">
        <f>VLOOKUP(B175,code_famille_scénario,2)&amp;VLOOKUP(C175,code_actif,2)&amp;", par "&amp;VLOOKUP(N175,code_acteur,2)</f>
        <v>Effacement par erreur de fichiers de données publiées sur des sites publics ou internes, par un membre du personnel de maintenance</v>
      </c>
      <c r="P175" s="435">
        <v>1</v>
      </c>
      <c r="Q175" s="1595" t="s">
        <v>6403</v>
      </c>
      <c r="R175" s="1595" t="s">
        <v>1873</v>
      </c>
      <c r="S175" s="1595" t="str">
        <f>Classif!C14</f>
        <v/>
      </c>
      <c r="T175" s="1595">
        <f t="shared" si="115"/>
        <v>3</v>
      </c>
      <c r="U175" s="1744" t="str">
        <f t="shared" si="116"/>
        <v/>
      </c>
      <c r="V175" s="1745">
        <v>1</v>
      </c>
      <c r="W175" s="1745">
        <v>1</v>
      </c>
      <c r="X175" s="1745">
        <v>1</v>
      </c>
      <c r="Y175" s="1745">
        <f t="shared" si="117"/>
        <v>1</v>
      </c>
      <c r="Z175" s="1746">
        <v>0</v>
      </c>
      <c r="AA175" s="1747"/>
      <c r="AB175" s="1748"/>
      <c r="AC175" s="1748"/>
      <c r="AD175" s="1595" t="str">
        <f t="shared" si="94"/>
        <v/>
      </c>
      <c r="AE175" s="1595">
        <f t="shared" si="118"/>
        <v>3</v>
      </c>
      <c r="AF175" s="1595" t="str">
        <f t="shared" si="119"/>
        <v/>
      </c>
      <c r="AG175" s="1748"/>
      <c r="AH175" s="1749" t="str">
        <f t="shared" si="95"/>
        <v/>
      </c>
      <c r="AI175" s="1615"/>
      <c r="AJ175" s="1618"/>
      <c r="AK175" s="1618"/>
      <c r="AL175" s="1619" t="s">
        <v>4439</v>
      </c>
      <c r="AM175" s="247" t="str">
        <f t="shared" si="88"/>
        <v/>
      </c>
      <c r="AN175" s="247" t="str">
        <f t="shared" si="89"/>
        <v/>
      </c>
      <c r="AO175" s="247" t="str">
        <f t="shared" si="90"/>
        <v/>
      </c>
      <c r="AP175" s="247" t="str">
        <f t="shared" si="91"/>
        <v/>
      </c>
      <c r="AQ175" s="42">
        <f t="shared" si="120"/>
        <v>1</v>
      </c>
      <c r="AR175" s="42">
        <f t="shared" si="121"/>
        <v>1</v>
      </c>
      <c r="AS175" s="42">
        <f t="shared" si="122"/>
        <v>1</v>
      </c>
      <c r="AT175" s="42">
        <f t="shared" si="123"/>
        <v>1</v>
      </c>
      <c r="AU175" s="247" t="str">
        <f t="shared" si="92"/>
        <v/>
      </c>
      <c r="AV175" s="247" t="str">
        <f t="shared" si="93"/>
        <v/>
      </c>
    </row>
    <row r="176" spans="1:48" ht="24" x14ac:dyDescent="0.2">
      <c r="A176" s="450" t="s">
        <v>801</v>
      </c>
      <c r="B176" s="429" t="s">
        <v>5622</v>
      </c>
      <c r="C176" s="430" t="s">
        <v>4873</v>
      </c>
      <c r="D176" s="1349" t="s">
        <v>1873</v>
      </c>
      <c r="E176" s="1350" t="s">
        <v>2778</v>
      </c>
      <c r="F176" s="1350" t="s">
        <v>2779</v>
      </c>
      <c r="G176" s="1351" t="s">
        <v>3739</v>
      </c>
      <c r="H176" s="1342" t="s">
        <v>1328</v>
      </c>
      <c r="I176" s="432" t="s">
        <v>1546</v>
      </c>
      <c r="J176" s="431" t="s">
        <v>1880</v>
      </c>
      <c r="K176" s="431"/>
      <c r="L176" s="431" t="s">
        <v>6541</v>
      </c>
      <c r="M176" s="433"/>
      <c r="N176" s="434" t="s">
        <v>1303</v>
      </c>
      <c r="O176" s="1743" t="str">
        <f>VLOOKUP(B176,code_famille_scénario,2)&amp;VLOOKUP(C176,code_actif,2)&amp;", par "&amp;VLOOKUP(N176,code_acteur,2)&amp;", "&amp;VLOOKUP(L176,code_acces,2)</f>
        <v>Effacement malveillant de fichiers de données publiées sur des sites publics ou internes, par un utilisateur non autorisé, se connectant depuis le réseau interne</v>
      </c>
      <c r="P176" s="435">
        <v>1</v>
      </c>
      <c r="Q176" s="1595" t="s">
        <v>1299</v>
      </c>
      <c r="R176" s="1595" t="s">
        <v>1873</v>
      </c>
      <c r="S176" s="1595" t="str">
        <f>Classif!C14</f>
        <v/>
      </c>
      <c r="T176" s="1595">
        <f t="shared" si="115"/>
        <v>2</v>
      </c>
      <c r="U176" s="1744" t="str">
        <f t="shared" si="116"/>
        <v/>
      </c>
      <c r="V176" s="1745">
        <v>1</v>
      </c>
      <c r="W176" s="1750">
        <f>MIN(S07A03,S07A04)</f>
        <v>1</v>
      </c>
      <c r="X176" s="1745">
        <v>1</v>
      </c>
      <c r="Y176" s="1745">
        <f t="shared" si="117"/>
        <v>1</v>
      </c>
      <c r="Z176" s="1746">
        <v>0</v>
      </c>
      <c r="AA176" s="1747"/>
      <c r="AB176" s="1748"/>
      <c r="AC176" s="1748"/>
      <c r="AD176" s="1595" t="str">
        <f t="shared" si="94"/>
        <v/>
      </c>
      <c r="AE176" s="1595">
        <f t="shared" si="118"/>
        <v>2</v>
      </c>
      <c r="AF176" s="1595" t="str">
        <f t="shared" si="119"/>
        <v/>
      </c>
      <c r="AG176" s="1748"/>
      <c r="AH176" s="1749" t="str">
        <f t="shared" si="95"/>
        <v/>
      </c>
      <c r="AI176" s="1615"/>
      <c r="AJ176" s="1621" t="s">
        <v>6494</v>
      </c>
      <c r="AK176" s="1621"/>
      <c r="AL176" s="1617" t="s">
        <v>4439</v>
      </c>
      <c r="AM176" s="247" t="str">
        <f t="shared" si="88"/>
        <v/>
      </c>
      <c r="AN176" s="247" t="str">
        <f t="shared" si="89"/>
        <v/>
      </c>
      <c r="AO176" s="247" t="str">
        <f t="shared" si="90"/>
        <v/>
      </c>
      <c r="AP176" s="247" t="str">
        <f t="shared" si="91"/>
        <v/>
      </c>
      <c r="AQ176" s="42">
        <f t="shared" si="120"/>
        <v>1</v>
      </c>
      <c r="AR176" s="42">
        <f t="shared" si="121"/>
        <v>1</v>
      </c>
      <c r="AS176" s="42">
        <f t="shared" si="122"/>
        <v>1</v>
      </c>
      <c r="AT176" s="42">
        <f t="shared" si="123"/>
        <v>1</v>
      </c>
      <c r="AU176" s="247" t="str">
        <f t="shared" si="92"/>
        <v/>
      </c>
      <c r="AV176" s="247" t="str">
        <f t="shared" si="93"/>
        <v/>
      </c>
    </row>
    <row r="177" spans="1:48" ht="36" x14ac:dyDescent="0.2">
      <c r="A177" s="450" t="s">
        <v>802</v>
      </c>
      <c r="B177" s="429" t="s">
        <v>5622</v>
      </c>
      <c r="C177" s="430" t="s">
        <v>4873</v>
      </c>
      <c r="D177" s="1349" t="s">
        <v>1873</v>
      </c>
      <c r="E177" s="1350" t="s">
        <v>2778</v>
      </c>
      <c r="F177" s="1350" t="s">
        <v>2779</v>
      </c>
      <c r="G177" s="1351" t="s">
        <v>3739</v>
      </c>
      <c r="H177" s="1342" t="s">
        <v>1328</v>
      </c>
      <c r="I177" s="432" t="s">
        <v>1546</v>
      </c>
      <c r="J177" s="431" t="s">
        <v>1880</v>
      </c>
      <c r="K177" s="431"/>
      <c r="L177" s="431" t="s">
        <v>6541</v>
      </c>
      <c r="M177" s="433"/>
      <c r="N177" s="434" t="s">
        <v>6403</v>
      </c>
      <c r="O177" s="1743" t="str">
        <f>VLOOKUP(B177,code_famille_scénario,2)&amp;VLOOKUP(C177,code_actif,2)&amp;", par "&amp;VLOOKUP(N177,code_acteur,2)&amp;", "&amp;VLOOKUP(L177,code_acces,2)</f>
        <v>Effacement malveillant de fichiers de données publiées sur des sites publics ou internes, par un membre du personnel d'exploitation, se connectant depuis le réseau interne</v>
      </c>
      <c r="P177" s="435">
        <v>1</v>
      </c>
      <c r="Q177" s="1595" t="s">
        <v>1299</v>
      </c>
      <c r="R177" s="1595" t="s">
        <v>1873</v>
      </c>
      <c r="S177" s="1595" t="str">
        <f>Classif!C14</f>
        <v/>
      </c>
      <c r="T177" s="1595">
        <f t="shared" si="115"/>
        <v>2</v>
      </c>
      <c r="U177" s="1744" t="str">
        <f t="shared" si="116"/>
        <v/>
      </c>
      <c r="V177" s="1745">
        <f>MIN(S08F02,S08F03)</f>
        <v>1</v>
      </c>
      <c r="W177" s="1745">
        <v>1</v>
      </c>
      <c r="X177" s="1745">
        <v>1</v>
      </c>
      <c r="Y177" s="1745">
        <f t="shared" si="117"/>
        <v>1</v>
      </c>
      <c r="Z177" s="1746">
        <v>0</v>
      </c>
      <c r="AA177" s="1747"/>
      <c r="AB177" s="1748"/>
      <c r="AC177" s="1748"/>
      <c r="AD177" s="1595" t="str">
        <f t="shared" si="94"/>
        <v/>
      </c>
      <c r="AE177" s="1595">
        <f t="shared" si="118"/>
        <v>2</v>
      </c>
      <c r="AF177" s="1595" t="str">
        <f t="shared" si="119"/>
        <v/>
      </c>
      <c r="AG177" s="1748"/>
      <c r="AH177" s="1749" t="str">
        <f t="shared" si="95"/>
        <v/>
      </c>
      <c r="AI177" s="1622" t="s">
        <v>6495</v>
      </c>
      <c r="AJ177" s="1621"/>
      <c r="AK177" s="1618"/>
      <c r="AL177" s="1617" t="s">
        <v>4439</v>
      </c>
      <c r="AM177" s="247" t="str">
        <f t="shared" si="88"/>
        <v/>
      </c>
      <c r="AN177" s="247" t="str">
        <f t="shared" si="89"/>
        <v/>
      </c>
      <c r="AO177" s="247" t="str">
        <f t="shared" si="90"/>
        <v/>
      </c>
      <c r="AP177" s="247" t="str">
        <f t="shared" si="91"/>
        <v/>
      </c>
      <c r="AQ177" s="42">
        <f t="shared" si="120"/>
        <v>1</v>
      </c>
      <c r="AR177" s="42">
        <f t="shared" si="121"/>
        <v>1</v>
      </c>
      <c r="AS177" s="42">
        <f t="shared" si="122"/>
        <v>1</v>
      </c>
      <c r="AT177" s="42">
        <f t="shared" si="123"/>
        <v>1</v>
      </c>
      <c r="AU177" s="247" t="str">
        <f t="shared" si="92"/>
        <v/>
      </c>
      <c r="AV177" s="247" t="str">
        <f t="shared" si="93"/>
        <v/>
      </c>
    </row>
    <row r="178" spans="1:48" ht="24" x14ac:dyDescent="0.2">
      <c r="A178" s="450" t="s">
        <v>803</v>
      </c>
      <c r="B178" s="429" t="s">
        <v>5622</v>
      </c>
      <c r="C178" s="430" t="s">
        <v>4873</v>
      </c>
      <c r="D178" s="1349" t="s">
        <v>1873</v>
      </c>
      <c r="E178" s="1350" t="s">
        <v>2778</v>
      </c>
      <c r="F178" s="1350" t="s">
        <v>2779</v>
      </c>
      <c r="G178" s="1351" t="s">
        <v>3739</v>
      </c>
      <c r="H178" s="1342" t="s">
        <v>1328</v>
      </c>
      <c r="I178" s="432" t="s">
        <v>1546</v>
      </c>
      <c r="J178" s="431" t="s">
        <v>1880</v>
      </c>
      <c r="K178" s="431"/>
      <c r="L178" s="431"/>
      <c r="M178" s="433"/>
      <c r="N178" s="434" t="s">
        <v>1299</v>
      </c>
      <c r="O178" s="1743" t="str">
        <f>VLOOKUP(B178,code_famille_scénario,2)&amp;VLOOKUP(C178,code_actif,2)&amp;", par "&amp;VLOOKUP(N178,code_acteur,2)</f>
        <v>Effacement malveillant de fichiers de données publiées sur des sites publics ou internes, par un membre du personnel de maintenance</v>
      </c>
      <c r="P178" s="435">
        <v>1</v>
      </c>
      <c r="Q178" s="1595" t="s">
        <v>1299</v>
      </c>
      <c r="R178" s="1595" t="s">
        <v>1873</v>
      </c>
      <c r="S178" s="1595" t="str">
        <f>Classif!C14</f>
        <v/>
      </c>
      <c r="T178" s="1595">
        <f t="shared" si="115"/>
        <v>2</v>
      </c>
      <c r="U178" s="1744" t="str">
        <f t="shared" si="116"/>
        <v/>
      </c>
      <c r="V178" s="1750">
        <f>MAX(S08A05,S08E02)</f>
        <v>1</v>
      </c>
      <c r="W178" s="1745">
        <v>1</v>
      </c>
      <c r="X178" s="1745">
        <v>1</v>
      </c>
      <c r="Y178" s="1745">
        <f t="shared" si="117"/>
        <v>1</v>
      </c>
      <c r="Z178" s="1746">
        <v>0</v>
      </c>
      <c r="AA178" s="1747"/>
      <c r="AB178" s="1748"/>
      <c r="AC178" s="1748"/>
      <c r="AD178" s="1595" t="str">
        <f t="shared" si="94"/>
        <v/>
      </c>
      <c r="AE178" s="1595">
        <f t="shared" si="118"/>
        <v>2</v>
      </c>
      <c r="AF178" s="1595" t="str">
        <f t="shared" si="119"/>
        <v/>
      </c>
      <c r="AG178" s="1748"/>
      <c r="AH178" s="1749" t="str">
        <f t="shared" si="95"/>
        <v/>
      </c>
      <c r="AI178" s="1620" t="s">
        <v>5009</v>
      </c>
      <c r="AJ178" s="1616"/>
      <c r="AK178" s="1616"/>
      <c r="AL178" s="1617" t="s">
        <v>4439</v>
      </c>
      <c r="AM178" s="247" t="str">
        <f t="shared" si="88"/>
        <v/>
      </c>
      <c r="AN178" s="247" t="str">
        <f t="shared" si="89"/>
        <v/>
      </c>
      <c r="AO178" s="247" t="str">
        <f t="shared" si="90"/>
        <v/>
      </c>
      <c r="AP178" s="247" t="str">
        <f t="shared" si="91"/>
        <v/>
      </c>
      <c r="AQ178" s="42">
        <f t="shared" si="120"/>
        <v>1</v>
      </c>
      <c r="AR178" s="42">
        <f t="shared" si="121"/>
        <v>1</v>
      </c>
      <c r="AS178" s="42">
        <f t="shared" si="122"/>
        <v>1</v>
      </c>
      <c r="AT178" s="42">
        <f t="shared" si="123"/>
        <v>1</v>
      </c>
      <c r="AU178" s="247" t="str">
        <f t="shared" si="92"/>
        <v/>
      </c>
      <c r="AV178" s="247" t="str">
        <f t="shared" si="93"/>
        <v/>
      </c>
    </row>
    <row r="179" spans="1:48" ht="36" x14ac:dyDescent="0.2">
      <c r="A179" s="450" t="s">
        <v>804</v>
      </c>
      <c r="B179" s="429" t="s">
        <v>5629</v>
      </c>
      <c r="C179" s="430" t="s">
        <v>4873</v>
      </c>
      <c r="D179" s="1349" t="s">
        <v>1873</v>
      </c>
      <c r="E179" s="1350" t="s">
        <v>2778</v>
      </c>
      <c r="F179" s="1350" t="s">
        <v>5162</v>
      </c>
      <c r="G179" s="1351" t="s">
        <v>3740</v>
      </c>
      <c r="H179" s="1342" t="s">
        <v>1327</v>
      </c>
      <c r="I179" s="432" t="s">
        <v>1545</v>
      </c>
      <c r="J179" s="431"/>
      <c r="K179" s="431"/>
      <c r="L179" s="431"/>
      <c r="M179" s="433" t="s">
        <v>5421</v>
      </c>
      <c r="N179" s="434" t="s">
        <v>1299</v>
      </c>
      <c r="O179" s="1743" t="str">
        <f>VLOOKUP(B179,code_famille_scénario,2)&amp;VLOOKUP(C179,code_actif,2)&amp;" due "&amp;VLOOKUP(I179,code_event,2)&amp;", "&amp;VLOOKUP(M179,code_process,2)</f>
        <v>Pollution accidentelle de fichiers de données publiées sur des sites publics ou internes due à une erreur de procédure, lors d'une opération de maintenance logicielle</v>
      </c>
      <c r="P179" s="435">
        <v>1</v>
      </c>
      <c r="Q179" s="1595" t="s">
        <v>1431</v>
      </c>
      <c r="R179" s="1595" t="s">
        <v>1873</v>
      </c>
      <c r="S179" s="1595" t="str">
        <f>Classif!C14</f>
        <v/>
      </c>
      <c r="T179" s="1595">
        <f t="shared" si="115"/>
        <v>3</v>
      </c>
      <c r="U179" s="1744" t="str">
        <f t="shared" si="116"/>
        <v/>
      </c>
      <c r="V179" s="1745">
        <v>1</v>
      </c>
      <c r="W179" s="1745">
        <f>S10B05</f>
        <v>1</v>
      </c>
      <c r="X179" s="1745">
        <v>1</v>
      </c>
      <c r="Y179" s="1745">
        <f t="shared" si="117"/>
        <v>1</v>
      </c>
      <c r="Z179" s="1746">
        <v>0</v>
      </c>
      <c r="AA179" s="1747"/>
      <c r="AB179" s="1748"/>
      <c r="AC179" s="1748"/>
      <c r="AD179" s="1595" t="str">
        <f t="shared" si="94"/>
        <v/>
      </c>
      <c r="AE179" s="1595">
        <f t="shared" si="118"/>
        <v>3</v>
      </c>
      <c r="AF179" s="1595" t="str">
        <f t="shared" si="119"/>
        <v/>
      </c>
      <c r="AG179" s="1748"/>
      <c r="AH179" s="1749" t="str">
        <f t="shared" si="95"/>
        <v/>
      </c>
      <c r="AI179" s="1615"/>
      <c r="AJ179" s="1616" t="s">
        <v>3224</v>
      </c>
      <c r="AK179" s="1616"/>
      <c r="AL179" s="1617" t="s">
        <v>4439</v>
      </c>
      <c r="AM179" s="247" t="str">
        <f t="shared" si="88"/>
        <v/>
      </c>
      <c r="AN179" s="247" t="str">
        <f t="shared" si="89"/>
        <v/>
      </c>
      <c r="AO179" s="247" t="str">
        <f t="shared" si="90"/>
        <v/>
      </c>
      <c r="AP179" s="247" t="str">
        <f t="shared" si="91"/>
        <v/>
      </c>
      <c r="AQ179" s="42">
        <f t="shared" si="120"/>
        <v>1</v>
      </c>
      <c r="AR179" s="42">
        <f t="shared" si="121"/>
        <v>1</v>
      </c>
      <c r="AS179" s="42">
        <f t="shared" si="122"/>
        <v>1</v>
      </c>
      <c r="AT179" s="42">
        <f t="shared" si="123"/>
        <v>1</v>
      </c>
      <c r="AU179" s="247" t="str">
        <f t="shared" si="92"/>
        <v/>
      </c>
      <c r="AV179" s="247" t="str">
        <f t="shared" si="93"/>
        <v/>
      </c>
    </row>
    <row r="180" spans="1:48" ht="36" x14ac:dyDescent="0.2">
      <c r="A180" s="450" t="s">
        <v>805</v>
      </c>
      <c r="B180" s="429" t="s">
        <v>5629</v>
      </c>
      <c r="C180" s="430" t="s">
        <v>4873</v>
      </c>
      <c r="D180" s="1349" t="s">
        <v>1873</v>
      </c>
      <c r="E180" s="1350" t="s">
        <v>2778</v>
      </c>
      <c r="F180" s="1350" t="s">
        <v>5162</v>
      </c>
      <c r="G180" s="1351" t="s">
        <v>3740</v>
      </c>
      <c r="H180" s="1342" t="s">
        <v>1327</v>
      </c>
      <c r="I180" s="432" t="s">
        <v>1545</v>
      </c>
      <c r="J180" s="431"/>
      <c r="K180" s="431"/>
      <c r="L180" s="431"/>
      <c r="M180" s="433" t="s">
        <v>5422</v>
      </c>
      <c r="N180" s="434" t="s">
        <v>1299</v>
      </c>
      <c r="O180" s="1743" t="str">
        <f>VLOOKUP(B180,code_famille_scénario,2)&amp;VLOOKUP(C180,code_actif,2)&amp;" due "&amp;VLOOKUP(I180,code_event,2)&amp;", "&amp;VLOOKUP(M180,code_process,2)</f>
        <v>Pollution accidentelle de fichiers de données publiées sur des sites publics ou internes due à une erreur de procédure, lors d'une opération de maintenance à chaud</v>
      </c>
      <c r="P180" s="435">
        <v>1</v>
      </c>
      <c r="Q180" s="1595" t="s">
        <v>1431</v>
      </c>
      <c r="R180" s="1595" t="s">
        <v>1873</v>
      </c>
      <c r="S180" s="1595" t="str">
        <f>Classif!C14</f>
        <v/>
      </c>
      <c r="T180" s="1595">
        <f t="shared" si="115"/>
        <v>3</v>
      </c>
      <c r="U180" s="1744" t="str">
        <f t="shared" si="116"/>
        <v/>
      </c>
      <c r="V180" s="1745">
        <v>1</v>
      </c>
      <c r="W180" s="1745">
        <f>S10B06</f>
        <v>1</v>
      </c>
      <c r="X180" s="1745">
        <v>1</v>
      </c>
      <c r="Y180" s="1745">
        <f t="shared" si="117"/>
        <v>1</v>
      </c>
      <c r="Z180" s="1746">
        <v>0</v>
      </c>
      <c r="AA180" s="1747"/>
      <c r="AB180" s="1748"/>
      <c r="AC180" s="1748"/>
      <c r="AD180" s="1595" t="str">
        <f t="shared" si="94"/>
        <v/>
      </c>
      <c r="AE180" s="1595">
        <f t="shared" si="118"/>
        <v>3</v>
      </c>
      <c r="AF180" s="1595" t="str">
        <f t="shared" si="119"/>
        <v/>
      </c>
      <c r="AG180" s="1748"/>
      <c r="AH180" s="1749" t="str">
        <f t="shared" si="95"/>
        <v/>
      </c>
      <c r="AI180" s="1615"/>
      <c r="AJ180" s="1616" t="s">
        <v>3226</v>
      </c>
      <c r="AK180" s="1616"/>
      <c r="AL180" s="1617" t="s">
        <v>4439</v>
      </c>
      <c r="AM180" s="247" t="str">
        <f t="shared" si="88"/>
        <v/>
      </c>
      <c r="AN180" s="247" t="str">
        <f t="shared" si="89"/>
        <v/>
      </c>
      <c r="AO180" s="247" t="str">
        <f t="shared" si="90"/>
        <v/>
      </c>
      <c r="AP180" s="247" t="str">
        <f t="shared" si="91"/>
        <v/>
      </c>
      <c r="AQ180" s="42">
        <f t="shared" si="120"/>
        <v>1</v>
      </c>
      <c r="AR180" s="42">
        <f t="shared" si="121"/>
        <v>1</v>
      </c>
      <c r="AS180" s="42">
        <f t="shared" si="122"/>
        <v>1</v>
      </c>
      <c r="AT180" s="42">
        <f t="shared" si="123"/>
        <v>1</v>
      </c>
      <c r="AU180" s="247" t="str">
        <f t="shared" si="92"/>
        <v/>
      </c>
      <c r="AV180" s="247" t="str">
        <f t="shared" si="93"/>
        <v/>
      </c>
    </row>
    <row r="181" spans="1:48" ht="24" x14ac:dyDescent="0.2">
      <c r="A181" s="450" t="s">
        <v>806</v>
      </c>
      <c r="B181" s="429" t="s">
        <v>5629</v>
      </c>
      <c r="C181" s="430" t="s">
        <v>4873</v>
      </c>
      <c r="D181" s="1349" t="s">
        <v>1873</v>
      </c>
      <c r="E181" s="1350" t="s">
        <v>2778</v>
      </c>
      <c r="F181" s="1350" t="s">
        <v>5162</v>
      </c>
      <c r="G181" s="1351" t="s">
        <v>3740</v>
      </c>
      <c r="H181" s="1342" t="s">
        <v>1465</v>
      </c>
      <c r="I181" s="432" t="s">
        <v>1880</v>
      </c>
      <c r="J181" s="431"/>
      <c r="K181" s="431"/>
      <c r="L181" s="431"/>
      <c r="M181" s="433"/>
      <c r="N181" s="434"/>
      <c r="O181" s="1743" t="str">
        <f>VLOOKUP(B181,code_famille_scénario,2)&amp;VLOOKUP(C181,code_actif,2)&amp;" due "&amp;VLOOKUP(I181,code_event,2)</f>
        <v>Pollution accidentelle de fichiers de données publiées sur des sites publics ou internes due à un incident d'exploitation</v>
      </c>
      <c r="P181" s="435">
        <v>1</v>
      </c>
      <c r="Q181" s="1595" t="s">
        <v>1431</v>
      </c>
      <c r="R181" s="1595" t="s">
        <v>1873</v>
      </c>
      <c r="S181" s="1595" t="str">
        <f>Classif!C14</f>
        <v/>
      </c>
      <c r="T181" s="1595">
        <f t="shared" si="115"/>
        <v>3</v>
      </c>
      <c r="U181" s="1744" t="str">
        <f t="shared" si="116"/>
        <v/>
      </c>
      <c r="V181" s="1745">
        <v>1</v>
      </c>
      <c r="W181" s="1745">
        <f>S08D03</f>
        <v>1</v>
      </c>
      <c r="X181" s="1745">
        <f>S08E02</f>
        <v>1</v>
      </c>
      <c r="Y181" s="1745">
        <f t="shared" si="117"/>
        <v>1</v>
      </c>
      <c r="Z181" s="1746">
        <v>0</v>
      </c>
      <c r="AA181" s="1747"/>
      <c r="AB181" s="1748"/>
      <c r="AC181" s="1748"/>
      <c r="AD181" s="1595" t="str">
        <f t="shared" si="94"/>
        <v/>
      </c>
      <c r="AE181" s="1595">
        <f t="shared" si="118"/>
        <v>3</v>
      </c>
      <c r="AF181" s="1595" t="str">
        <f t="shared" si="119"/>
        <v/>
      </c>
      <c r="AG181" s="1748"/>
      <c r="AH181" s="1749" t="str">
        <f t="shared" si="95"/>
        <v/>
      </c>
      <c r="AI181" s="1615"/>
      <c r="AJ181" s="1616" t="s">
        <v>1663</v>
      </c>
      <c r="AK181" s="1616" t="s">
        <v>1498</v>
      </c>
      <c r="AL181" s="1617" t="s">
        <v>4439</v>
      </c>
      <c r="AM181" s="247" t="str">
        <f t="shared" si="88"/>
        <v/>
      </c>
      <c r="AN181" s="247" t="str">
        <f t="shared" si="89"/>
        <v/>
      </c>
      <c r="AO181" s="247" t="str">
        <f t="shared" si="90"/>
        <v/>
      </c>
      <c r="AP181" s="247" t="str">
        <f t="shared" si="91"/>
        <v/>
      </c>
      <c r="AQ181" s="42">
        <f t="shared" si="120"/>
        <v>1</v>
      </c>
      <c r="AR181" s="42">
        <f t="shared" si="121"/>
        <v>1</v>
      </c>
      <c r="AS181" s="42">
        <f t="shared" si="122"/>
        <v>1</v>
      </c>
      <c r="AT181" s="42">
        <f t="shared" si="123"/>
        <v>1</v>
      </c>
      <c r="AU181" s="247" t="str">
        <f t="shared" si="92"/>
        <v/>
      </c>
      <c r="AV181" s="247" t="str">
        <f t="shared" si="93"/>
        <v/>
      </c>
    </row>
    <row r="182" spans="1:48" ht="36" x14ac:dyDescent="0.2">
      <c r="A182" s="450" t="s">
        <v>807</v>
      </c>
      <c r="B182" s="429" t="s">
        <v>4475</v>
      </c>
      <c r="C182" s="430" t="s">
        <v>4873</v>
      </c>
      <c r="D182" s="1349" t="s">
        <v>1873</v>
      </c>
      <c r="E182" s="1350" t="s">
        <v>1874</v>
      </c>
      <c r="F182" s="1350" t="s">
        <v>1875</v>
      </c>
      <c r="G182" s="1351" t="s">
        <v>6070</v>
      </c>
      <c r="H182" s="1342" t="s">
        <v>3919</v>
      </c>
      <c r="I182" s="432" t="s">
        <v>1535</v>
      </c>
      <c r="J182" s="431" t="s">
        <v>1880</v>
      </c>
      <c r="K182" s="438"/>
      <c r="L182" s="438"/>
      <c r="M182" s="439"/>
      <c r="N182" s="440"/>
      <c r="O182" s="1743" t="str">
        <f>VLOOKUP(B182,code_famille_scénario,2)&amp;VLOOKUP(C182,code_actif,2)&amp;", "&amp;VLOOKUP(J182,Code_lieu,2)&amp;", suite "&amp;VLOOKUP(I182,code_event,2)</f>
        <v>Perte, par destruction accidentelle, de media support de fichiers  de données publiées sur des sites publics ou internes, dans les locaux de l'exploitation, suite à un incendie</v>
      </c>
      <c r="P182" s="435">
        <v>1</v>
      </c>
      <c r="Q182" s="1595" t="s">
        <v>1431</v>
      </c>
      <c r="R182" s="1595" t="s">
        <v>1873</v>
      </c>
      <c r="S182" s="1595" t="str">
        <f>Classif!C14</f>
        <v/>
      </c>
      <c r="T182" s="1595">
        <f t="shared" si="115"/>
        <v>2</v>
      </c>
      <c r="U182" s="1744" t="str">
        <f t="shared" si="116"/>
        <v/>
      </c>
      <c r="V182" s="1745">
        <v>1</v>
      </c>
      <c r="W182" s="1745">
        <f>S03D01</f>
        <v>1</v>
      </c>
      <c r="X182" s="1745">
        <v>1</v>
      </c>
      <c r="Y182" s="1750">
        <f>MIN(S08D05,S08D09)</f>
        <v>1</v>
      </c>
      <c r="Z182" s="1746">
        <v>0</v>
      </c>
      <c r="AA182" s="1747"/>
      <c r="AB182" s="1748"/>
      <c r="AC182" s="1748"/>
      <c r="AD182" s="1595" t="str">
        <f t="shared" si="94"/>
        <v/>
      </c>
      <c r="AE182" s="1595">
        <f t="shared" si="118"/>
        <v>2</v>
      </c>
      <c r="AF182" s="1595" t="str">
        <f t="shared" si="119"/>
        <v/>
      </c>
      <c r="AG182" s="1748"/>
      <c r="AH182" s="1749" t="str">
        <f t="shared" si="95"/>
        <v/>
      </c>
      <c r="AI182" s="1615"/>
      <c r="AJ182" s="1621" t="s">
        <v>5225</v>
      </c>
      <c r="AK182" s="1618"/>
      <c r="AL182" s="1617" t="s">
        <v>6855</v>
      </c>
      <c r="AM182" s="247" t="str">
        <f t="shared" si="88"/>
        <v/>
      </c>
      <c r="AN182" s="247" t="str">
        <f t="shared" si="89"/>
        <v/>
      </c>
      <c r="AO182" s="247" t="str">
        <f t="shared" si="90"/>
        <v/>
      </c>
      <c r="AP182" s="247" t="str">
        <f t="shared" si="91"/>
        <v/>
      </c>
      <c r="AQ182" s="42">
        <f t="shared" si="120"/>
        <v>1</v>
      </c>
      <c r="AR182" s="42">
        <f t="shared" si="121"/>
        <v>1</v>
      </c>
      <c r="AS182" s="42">
        <f t="shared" si="122"/>
        <v>1</v>
      </c>
      <c r="AT182" s="42">
        <f t="shared" si="123"/>
        <v>1</v>
      </c>
      <c r="AU182" s="247" t="str">
        <f t="shared" si="92"/>
        <v/>
      </c>
      <c r="AV182" s="247" t="str">
        <f t="shared" si="93"/>
        <v/>
      </c>
    </row>
    <row r="183" spans="1:48" ht="36" x14ac:dyDescent="0.2">
      <c r="A183" s="450" t="s">
        <v>808</v>
      </c>
      <c r="B183" s="429" t="s">
        <v>4475</v>
      </c>
      <c r="C183" s="430" t="s">
        <v>4873</v>
      </c>
      <c r="D183" s="1349" t="s">
        <v>1873</v>
      </c>
      <c r="E183" s="1350" t="s">
        <v>1874</v>
      </c>
      <c r="F183" s="1350" t="s">
        <v>1875</v>
      </c>
      <c r="G183" s="1351" t="s">
        <v>6070</v>
      </c>
      <c r="H183" s="1342" t="s">
        <v>3919</v>
      </c>
      <c r="I183" s="432" t="s">
        <v>1536</v>
      </c>
      <c r="J183" s="431" t="s">
        <v>1880</v>
      </c>
      <c r="K183" s="438"/>
      <c r="L183" s="438"/>
      <c r="M183" s="439"/>
      <c r="N183" s="440"/>
      <c r="O183" s="1743" t="str">
        <f>VLOOKUP(B183,code_famille_scénario,2)&amp;VLOOKUP(C183,code_actif,2)&amp;", "&amp;VLOOKUP(J183,Code_lieu,2)&amp;", suite "&amp;VLOOKUP(I183,code_event,2)</f>
        <v>Perte, par destruction accidentelle, de media support de fichiers  de données publiées sur des sites publics ou internes, dans les locaux de l'exploitation, suite à une inondation</v>
      </c>
      <c r="P183" s="435">
        <v>1</v>
      </c>
      <c r="Q183" s="1595" t="s">
        <v>1431</v>
      </c>
      <c r="R183" s="1595" t="s">
        <v>1873</v>
      </c>
      <c r="S183" s="1595" t="str">
        <f>Classif!C14</f>
        <v/>
      </c>
      <c r="T183" s="1595">
        <f t="shared" si="115"/>
        <v>2</v>
      </c>
      <c r="U183" s="1744" t="str">
        <f t="shared" si="116"/>
        <v/>
      </c>
      <c r="V183" s="1745">
        <v>1</v>
      </c>
      <c r="W183" s="1745">
        <v>1</v>
      </c>
      <c r="X183" s="1745">
        <v>1</v>
      </c>
      <c r="Y183" s="1750">
        <f>MIN(S08D05,S08D09)</f>
        <v>1</v>
      </c>
      <c r="Z183" s="1746">
        <v>0</v>
      </c>
      <c r="AA183" s="1747"/>
      <c r="AB183" s="1748"/>
      <c r="AC183" s="1748"/>
      <c r="AD183" s="1595" t="str">
        <f t="shared" si="94"/>
        <v/>
      </c>
      <c r="AE183" s="1595">
        <f t="shared" si="118"/>
        <v>2</v>
      </c>
      <c r="AF183" s="1595" t="str">
        <f t="shared" si="119"/>
        <v/>
      </c>
      <c r="AG183" s="1748"/>
      <c r="AH183" s="1749" t="str">
        <f t="shared" si="95"/>
        <v/>
      </c>
      <c r="AI183" s="1615"/>
      <c r="AJ183" s="1621"/>
      <c r="AK183" s="1618"/>
      <c r="AL183" s="1617" t="s">
        <v>6855</v>
      </c>
      <c r="AM183" s="247" t="str">
        <f t="shared" si="88"/>
        <v/>
      </c>
      <c r="AN183" s="247" t="str">
        <f t="shared" si="89"/>
        <v/>
      </c>
      <c r="AO183" s="247" t="str">
        <f t="shared" si="90"/>
        <v/>
      </c>
      <c r="AP183" s="247" t="str">
        <f t="shared" si="91"/>
        <v/>
      </c>
      <c r="AQ183" s="42">
        <f t="shared" si="120"/>
        <v>1</v>
      </c>
      <c r="AR183" s="42">
        <f t="shared" si="121"/>
        <v>1</v>
      </c>
      <c r="AS183" s="42">
        <f t="shared" si="122"/>
        <v>1</v>
      </c>
      <c r="AT183" s="42">
        <f t="shared" si="123"/>
        <v>1</v>
      </c>
      <c r="AU183" s="247" t="str">
        <f t="shared" si="92"/>
        <v/>
      </c>
      <c r="AV183" s="247" t="str">
        <f t="shared" si="93"/>
        <v/>
      </c>
    </row>
    <row r="184" spans="1:48" ht="24" x14ac:dyDescent="0.2">
      <c r="A184" s="450" t="s">
        <v>809</v>
      </c>
      <c r="B184" s="429" t="s">
        <v>4475</v>
      </c>
      <c r="C184" s="430" t="s">
        <v>4873</v>
      </c>
      <c r="D184" s="1349" t="s">
        <v>1873</v>
      </c>
      <c r="E184" s="1350" t="s">
        <v>1874</v>
      </c>
      <c r="F184" s="1350" t="s">
        <v>1875</v>
      </c>
      <c r="G184" s="1351" t="s">
        <v>6070</v>
      </c>
      <c r="H184" s="1342" t="s">
        <v>3919</v>
      </c>
      <c r="I184" s="432" t="s">
        <v>1535</v>
      </c>
      <c r="J184" s="431" t="s">
        <v>1876</v>
      </c>
      <c r="K184" s="438"/>
      <c r="L184" s="438"/>
      <c r="M184" s="439"/>
      <c r="N184" s="440"/>
      <c r="O184" s="1743" t="str">
        <f>VLOOKUP(B184,code_famille_scénario,2)&amp;VLOOKUP(C184,code_actif,2)&amp;", "&amp;VLOOKUP(J184,Code_lieu,2)&amp;", suite "&amp;VLOOKUP(I184,code_event,2)</f>
        <v>Perte, par destruction accidentelle, de media support de fichiers  de données publiées sur des sites publics ou internes, en médiathèque, suite à un incendie</v>
      </c>
      <c r="P184" s="435">
        <v>1</v>
      </c>
      <c r="Q184" s="1595" t="s">
        <v>1431</v>
      </c>
      <c r="R184" s="1595" t="s">
        <v>1873</v>
      </c>
      <c r="S184" s="1595" t="str">
        <f>Classif!C14</f>
        <v/>
      </c>
      <c r="T184" s="1595">
        <f t="shared" si="115"/>
        <v>2</v>
      </c>
      <c r="U184" s="1744" t="str">
        <f t="shared" si="116"/>
        <v/>
      </c>
      <c r="V184" s="1745">
        <v>1</v>
      </c>
      <c r="W184" s="1745">
        <f>S03D01</f>
        <v>1</v>
      </c>
      <c r="X184" s="1745">
        <v>1</v>
      </c>
      <c r="Y184" s="1750">
        <f>MIN(S08D05,S08D09)</f>
        <v>1</v>
      </c>
      <c r="Z184" s="1746">
        <v>0</v>
      </c>
      <c r="AA184" s="1747"/>
      <c r="AB184" s="1748"/>
      <c r="AC184" s="1748"/>
      <c r="AD184" s="1595" t="str">
        <f t="shared" si="94"/>
        <v/>
      </c>
      <c r="AE184" s="1595">
        <f t="shared" si="118"/>
        <v>2</v>
      </c>
      <c r="AF184" s="1595" t="str">
        <f t="shared" si="119"/>
        <v/>
      </c>
      <c r="AG184" s="1748"/>
      <c r="AH184" s="1749" t="str">
        <f t="shared" si="95"/>
        <v/>
      </c>
      <c r="AI184" s="1615"/>
      <c r="AJ184" s="1621" t="s">
        <v>5225</v>
      </c>
      <c r="AK184" s="1618"/>
      <c r="AL184" s="1617" t="s">
        <v>6855</v>
      </c>
      <c r="AM184" s="247" t="str">
        <f t="shared" si="88"/>
        <v/>
      </c>
      <c r="AN184" s="247" t="str">
        <f t="shared" si="89"/>
        <v/>
      </c>
      <c r="AO184" s="247" t="str">
        <f t="shared" si="90"/>
        <v/>
      </c>
      <c r="AP184" s="247" t="str">
        <f t="shared" si="91"/>
        <v/>
      </c>
      <c r="AQ184" s="42">
        <f t="shared" si="120"/>
        <v>1</v>
      </c>
      <c r="AR184" s="42">
        <f t="shared" si="121"/>
        <v>1</v>
      </c>
      <c r="AS184" s="42">
        <f t="shared" si="122"/>
        <v>1</v>
      </c>
      <c r="AT184" s="42">
        <f t="shared" si="123"/>
        <v>1</v>
      </c>
      <c r="AU184" s="247" t="str">
        <f t="shared" si="92"/>
        <v/>
      </c>
      <c r="AV184" s="247" t="str">
        <f t="shared" si="93"/>
        <v/>
      </c>
    </row>
    <row r="185" spans="1:48" ht="36" x14ac:dyDescent="0.2">
      <c r="A185" s="450" t="s">
        <v>810</v>
      </c>
      <c r="B185" s="429" t="s">
        <v>4475</v>
      </c>
      <c r="C185" s="453" t="s">
        <v>4873</v>
      </c>
      <c r="D185" s="1349" t="s">
        <v>1873</v>
      </c>
      <c r="E185" s="1350" t="s">
        <v>1874</v>
      </c>
      <c r="F185" s="1350" t="s">
        <v>1875</v>
      </c>
      <c r="G185" s="1351" t="s">
        <v>6070</v>
      </c>
      <c r="H185" s="1343" t="s">
        <v>3919</v>
      </c>
      <c r="I185" s="446" t="s">
        <v>1536</v>
      </c>
      <c r="J185" s="431" t="s">
        <v>1876</v>
      </c>
      <c r="K185" s="438"/>
      <c r="L185" s="438"/>
      <c r="M185" s="439"/>
      <c r="N185" s="440"/>
      <c r="O185" s="1743" t="str">
        <f>VLOOKUP(B185,code_famille_scénario,2)&amp;VLOOKUP(C185,code_actif,2)&amp;", "&amp;VLOOKUP(J185,Code_lieu,2)&amp;", suite "&amp;VLOOKUP(I185,code_event,2)</f>
        <v>Perte, par destruction accidentelle, de media support de fichiers  de données publiées sur des sites publics ou internes, en médiathèque, suite à une inondation</v>
      </c>
      <c r="P185" s="435">
        <v>1</v>
      </c>
      <c r="Q185" s="1595" t="s">
        <v>1431</v>
      </c>
      <c r="R185" s="1595" t="s">
        <v>1873</v>
      </c>
      <c r="S185" s="1595" t="str">
        <f>Classif!C14</f>
        <v/>
      </c>
      <c r="T185" s="1595">
        <f t="shared" si="115"/>
        <v>2</v>
      </c>
      <c r="U185" s="1744" t="str">
        <f t="shared" si="116"/>
        <v/>
      </c>
      <c r="V185" s="1745">
        <v>1</v>
      </c>
      <c r="W185" s="1745">
        <v>1</v>
      </c>
      <c r="X185" s="1745">
        <v>1</v>
      </c>
      <c r="Y185" s="1750">
        <f>MIN(S08D05,S08D09)</f>
        <v>1</v>
      </c>
      <c r="Z185" s="1746">
        <v>0</v>
      </c>
      <c r="AA185" s="1747"/>
      <c r="AB185" s="1748"/>
      <c r="AC185" s="1748"/>
      <c r="AD185" s="1595" t="str">
        <f t="shared" si="94"/>
        <v/>
      </c>
      <c r="AE185" s="1595">
        <f t="shared" si="118"/>
        <v>2</v>
      </c>
      <c r="AF185" s="1595" t="str">
        <f t="shared" si="119"/>
        <v/>
      </c>
      <c r="AG185" s="1748"/>
      <c r="AH185" s="1749" t="str">
        <f t="shared" si="95"/>
        <v/>
      </c>
      <c r="AI185" s="1615"/>
      <c r="AJ185" s="1621"/>
      <c r="AK185" s="1618"/>
      <c r="AL185" s="1617" t="s">
        <v>6855</v>
      </c>
      <c r="AM185" s="247" t="str">
        <f t="shared" si="88"/>
        <v/>
      </c>
      <c r="AN185" s="247" t="str">
        <f t="shared" si="89"/>
        <v/>
      </c>
      <c r="AO185" s="247" t="str">
        <f t="shared" si="90"/>
        <v/>
      </c>
      <c r="AP185" s="247" t="str">
        <f t="shared" si="91"/>
        <v/>
      </c>
      <c r="AQ185" s="42">
        <f t="shared" si="120"/>
        <v>1</v>
      </c>
      <c r="AR185" s="42">
        <f t="shared" si="121"/>
        <v>1</v>
      </c>
      <c r="AS185" s="42">
        <f t="shared" si="122"/>
        <v>1</v>
      </c>
      <c r="AT185" s="42">
        <f t="shared" si="123"/>
        <v>1</v>
      </c>
      <c r="AU185" s="247" t="str">
        <f t="shared" si="92"/>
        <v/>
      </c>
      <c r="AV185" s="247" t="str">
        <f t="shared" si="93"/>
        <v/>
      </c>
    </row>
    <row r="186" spans="1:48" ht="24" x14ac:dyDescent="0.2">
      <c r="A186" s="450" t="s">
        <v>811</v>
      </c>
      <c r="B186" s="429" t="s">
        <v>4478</v>
      </c>
      <c r="C186" s="430" t="s">
        <v>4873</v>
      </c>
      <c r="D186" s="1349" t="s">
        <v>1873</v>
      </c>
      <c r="E186" s="1350" t="s">
        <v>1874</v>
      </c>
      <c r="F186" s="1350" t="s">
        <v>4498</v>
      </c>
      <c r="G186" s="1351" t="s">
        <v>6071</v>
      </c>
      <c r="H186" s="1342" t="s">
        <v>1327</v>
      </c>
      <c r="I186" s="432" t="s">
        <v>2506</v>
      </c>
      <c r="J186" s="431" t="s">
        <v>1880</v>
      </c>
      <c r="K186" s="431"/>
      <c r="L186" s="431"/>
      <c r="M186" s="433"/>
      <c r="N186" s="434"/>
      <c r="O186" s="1743" t="str">
        <f>VLOOKUP(B186,code_famille_scénario,2)&amp;VLOOKUP(C186,code_actif,2)&amp;", "&amp;VLOOKUP(J186,Code_lieu,2)</f>
        <v>Perte, par disparition accidentelle, de media support de fichiers  de données publiées sur des sites publics ou internes, dans les locaux de l'exploitation</v>
      </c>
      <c r="P186" s="435">
        <v>1</v>
      </c>
      <c r="Q186" s="1595" t="s">
        <v>1431</v>
      </c>
      <c r="R186" s="1595" t="s">
        <v>1873</v>
      </c>
      <c r="S186" s="1595" t="str">
        <f>Classif!C14</f>
        <v/>
      </c>
      <c r="T186" s="1595">
        <f t="shared" si="115"/>
        <v>3</v>
      </c>
      <c r="U186" s="1744" t="str">
        <f t="shared" si="116"/>
        <v/>
      </c>
      <c r="V186" s="1745">
        <v>1</v>
      </c>
      <c r="W186" s="1745">
        <v>1</v>
      </c>
      <c r="X186" s="1745">
        <v>1</v>
      </c>
      <c r="Y186" s="1750">
        <f t="shared" ref="Y186:Y193" si="124">S08D05</f>
        <v>1</v>
      </c>
      <c r="Z186" s="1746">
        <v>0</v>
      </c>
      <c r="AA186" s="1747"/>
      <c r="AB186" s="1748"/>
      <c r="AC186" s="1748"/>
      <c r="AD186" s="1595" t="str">
        <f t="shared" si="94"/>
        <v/>
      </c>
      <c r="AE186" s="1595">
        <f t="shared" si="118"/>
        <v>3</v>
      </c>
      <c r="AF186" s="1595" t="str">
        <f t="shared" si="119"/>
        <v/>
      </c>
      <c r="AG186" s="1748"/>
      <c r="AH186" s="1749" t="str">
        <f t="shared" si="95"/>
        <v/>
      </c>
      <c r="AI186" s="1615"/>
      <c r="AJ186" s="1621"/>
      <c r="AK186" s="1618"/>
      <c r="AL186" s="1617" t="s">
        <v>4439</v>
      </c>
      <c r="AM186" s="247" t="str">
        <f t="shared" si="88"/>
        <v/>
      </c>
      <c r="AN186" s="247" t="str">
        <f t="shared" si="89"/>
        <v/>
      </c>
      <c r="AO186" s="247" t="str">
        <f t="shared" si="90"/>
        <v/>
      </c>
      <c r="AP186" s="247" t="str">
        <f t="shared" si="91"/>
        <v/>
      </c>
      <c r="AQ186" s="42">
        <f t="shared" si="120"/>
        <v>1</v>
      </c>
      <c r="AR186" s="42">
        <f t="shared" si="121"/>
        <v>1</v>
      </c>
      <c r="AS186" s="42">
        <f t="shared" si="122"/>
        <v>1</v>
      </c>
      <c r="AT186" s="42">
        <f t="shared" si="123"/>
        <v>1</v>
      </c>
      <c r="AU186" s="247" t="str">
        <f t="shared" si="92"/>
        <v/>
      </c>
      <c r="AV186" s="247" t="str">
        <f t="shared" si="93"/>
        <v/>
      </c>
    </row>
    <row r="187" spans="1:48" ht="36" x14ac:dyDescent="0.2">
      <c r="A187" s="450" t="s">
        <v>812</v>
      </c>
      <c r="B187" s="429" t="s">
        <v>1864</v>
      </c>
      <c r="C187" s="430" t="s">
        <v>4873</v>
      </c>
      <c r="D187" s="1349" t="s">
        <v>1873</v>
      </c>
      <c r="E187" s="1350" t="s">
        <v>1874</v>
      </c>
      <c r="F187" s="1350" t="s">
        <v>4498</v>
      </c>
      <c r="G187" s="1351" t="s">
        <v>6071</v>
      </c>
      <c r="H187" s="1342" t="s">
        <v>1329</v>
      </c>
      <c r="I187" s="432" t="s">
        <v>1305</v>
      </c>
      <c r="J187" s="431" t="s">
        <v>1880</v>
      </c>
      <c r="K187" s="431"/>
      <c r="L187" s="431"/>
      <c r="M187" s="433"/>
      <c r="N187" s="434" t="s">
        <v>3518</v>
      </c>
      <c r="O187" s="1743" t="str">
        <f>VLOOKUP(B187,code_famille_scénario,2)&amp;VLOOKUP(C187,code_actif,2)&amp;", "&amp;VLOOKUP(J187,Code_lieu,2)&amp;", par "&amp;VLOOKUP(N187,code_acteur,2)</f>
        <v>Vol de media support de fichiers  de données publiées sur des sites publics ou internes, dans les locaux de l'exploitation, par un membre du personnel non autorisé</v>
      </c>
      <c r="P187" s="435">
        <v>1</v>
      </c>
      <c r="Q187" s="1595" t="s">
        <v>1299</v>
      </c>
      <c r="R187" s="1595" t="s">
        <v>1873</v>
      </c>
      <c r="S187" s="1595" t="str">
        <f>Classif!C14</f>
        <v/>
      </c>
      <c r="T187" s="1595">
        <f t="shared" si="115"/>
        <v>2</v>
      </c>
      <c r="U187" s="1744" t="str">
        <f t="shared" si="116"/>
        <v/>
      </c>
      <c r="V187" s="1745">
        <f>S03B06</f>
        <v>1</v>
      </c>
      <c r="W187" s="1745">
        <f>MIN(S03B03,S03B04)</f>
        <v>1</v>
      </c>
      <c r="X187" s="1745">
        <v>1</v>
      </c>
      <c r="Y187" s="1750">
        <f t="shared" si="124"/>
        <v>1</v>
      </c>
      <c r="Z187" s="1746">
        <v>0</v>
      </c>
      <c r="AA187" s="1747"/>
      <c r="AB187" s="1748"/>
      <c r="AC187" s="1748"/>
      <c r="AD187" s="1595" t="str">
        <f t="shared" si="94"/>
        <v/>
      </c>
      <c r="AE187" s="1595">
        <f t="shared" si="118"/>
        <v>2</v>
      </c>
      <c r="AF187" s="1595" t="str">
        <f t="shared" si="119"/>
        <v/>
      </c>
      <c r="AG187" s="1748"/>
      <c r="AH187" s="1749" t="str">
        <f t="shared" si="95"/>
        <v/>
      </c>
      <c r="AI187" s="1623" t="s">
        <v>1665</v>
      </c>
      <c r="AJ187" s="1624" t="s">
        <v>5279</v>
      </c>
      <c r="AK187" s="1618"/>
      <c r="AL187" s="1617" t="s">
        <v>4439</v>
      </c>
      <c r="AM187" s="247" t="str">
        <f t="shared" si="88"/>
        <v/>
      </c>
      <c r="AN187" s="247" t="str">
        <f t="shared" si="89"/>
        <v/>
      </c>
      <c r="AO187" s="247" t="str">
        <f t="shared" si="90"/>
        <v/>
      </c>
      <c r="AP187" s="247" t="str">
        <f t="shared" si="91"/>
        <v/>
      </c>
      <c r="AQ187" s="42">
        <f t="shared" si="120"/>
        <v>1</v>
      </c>
      <c r="AR187" s="42">
        <f t="shared" si="121"/>
        <v>1</v>
      </c>
      <c r="AS187" s="42">
        <f t="shared" si="122"/>
        <v>1</v>
      </c>
      <c r="AT187" s="42">
        <f t="shared" si="123"/>
        <v>1</v>
      </c>
      <c r="AU187" s="247" t="str">
        <f t="shared" si="92"/>
        <v/>
      </c>
      <c r="AV187" s="247" t="str">
        <f t="shared" si="93"/>
        <v/>
      </c>
    </row>
    <row r="188" spans="1:48" ht="36" x14ac:dyDescent="0.2">
      <c r="A188" s="450" t="s">
        <v>813</v>
      </c>
      <c r="B188" s="429" t="s">
        <v>1864</v>
      </c>
      <c r="C188" s="430" t="s">
        <v>4873</v>
      </c>
      <c r="D188" s="1349" t="s">
        <v>1873</v>
      </c>
      <c r="E188" s="1350" t="s">
        <v>1874</v>
      </c>
      <c r="F188" s="1350" t="s">
        <v>4498</v>
      </c>
      <c r="G188" s="1351" t="s">
        <v>6071</v>
      </c>
      <c r="H188" s="1297" t="s">
        <v>1329</v>
      </c>
      <c r="I188" s="437" t="s">
        <v>1305</v>
      </c>
      <c r="J188" s="431" t="s">
        <v>1880</v>
      </c>
      <c r="K188" s="431"/>
      <c r="L188" s="431"/>
      <c r="M188" s="433"/>
      <c r="N188" s="434" t="s">
        <v>6403</v>
      </c>
      <c r="O188" s="1743" t="str">
        <f>VLOOKUP(B188,code_famille_scénario,2)&amp;VLOOKUP(C188,code_actif,2)&amp;", "&amp;VLOOKUP(J188,Code_lieu,2)&amp;", par "&amp;VLOOKUP(N188,code_acteur,2)</f>
        <v>Vol de media support de fichiers  de données publiées sur des sites publics ou internes, dans les locaux de l'exploitation, par un membre du personnel d'exploitation</v>
      </c>
      <c r="P188" s="435">
        <v>1</v>
      </c>
      <c r="Q188" s="1595" t="s">
        <v>1299</v>
      </c>
      <c r="R188" s="1595" t="s">
        <v>1873</v>
      </c>
      <c r="S188" s="1595" t="str">
        <f>Classif!C14</f>
        <v/>
      </c>
      <c r="T188" s="1595">
        <f t="shared" si="115"/>
        <v>2</v>
      </c>
      <c r="U188" s="1744" t="str">
        <f t="shared" si="116"/>
        <v/>
      </c>
      <c r="V188" s="1745">
        <f>S03B06</f>
        <v>1</v>
      </c>
      <c r="W188" s="1745">
        <v>1</v>
      </c>
      <c r="X188" s="1745">
        <v>1</v>
      </c>
      <c r="Y188" s="1750">
        <f t="shared" si="124"/>
        <v>1</v>
      </c>
      <c r="Z188" s="1746">
        <v>0</v>
      </c>
      <c r="AA188" s="1747"/>
      <c r="AB188" s="1748"/>
      <c r="AC188" s="1748"/>
      <c r="AD188" s="1595" t="str">
        <f t="shared" si="94"/>
        <v/>
      </c>
      <c r="AE188" s="1595">
        <f t="shared" si="118"/>
        <v>2</v>
      </c>
      <c r="AF188" s="1595" t="str">
        <f t="shared" si="119"/>
        <v/>
      </c>
      <c r="AG188" s="1748"/>
      <c r="AH188" s="1749" t="str">
        <f t="shared" si="95"/>
        <v/>
      </c>
      <c r="AI188" s="1623" t="s">
        <v>1665</v>
      </c>
      <c r="AJ188" s="1624"/>
      <c r="AK188" s="1618"/>
      <c r="AL188" s="1617" t="s">
        <v>4439</v>
      </c>
      <c r="AM188" s="247" t="str">
        <f t="shared" si="88"/>
        <v/>
      </c>
      <c r="AN188" s="247" t="str">
        <f t="shared" si="89"/>
        <v/>
      </c>
      <c r="AO188" s="247" t="str">
        <f t="shared" si="90"/>
        <v/>
      </c>
      <c r="AP188" s="247" t="str">
        <f t="shared" si="91"/>
        <v/>
      </c>
      <c r="AQ188" s="42">
        <f t="shared" si="120"/>
        <v>1</v>
      </c>
      <c r="AR188" s="42">
        <f t="shared" si="121"/>
        <v>1</v>
      </c>
      <c r="AS188" s="42">
        <f t="shared" si="122"/>
        <v>1</v>
      </c>
      <c r="AT188" s="42">
        <f t="shared" si="123"/>
        <v>1</v>
      </c>
      <c r="AU188" s="247" t="str">
        <f t="shared" si="92"/>
        <v/>
      </c>
      <c r="AV188" s="247" t="str">
        <f t="shared" si="93"/>
        <v/>
      </c>
    </row>
    <row r="189" spans="1:48" ht="36" x14ac:dyDescent="0.2">
      <c r="A189" s="450" t="s">
        <v>814</v>
      </c>
      <c r="B189" s="429" t="s">
        <v>1864</v>
      </c>
      <c r="C189" s="430" t="s">
        <v>4873</v>
      </c>
      <c r="D189" s="1349" t="s">
        <v>1873</v>
      </c>
      <c r="E189" s="1350" t="s">
        <v>1874</v>
      </c>
      <c r="F189" s="1350" t="s">
        <v>4498</v>
      </c>
      <c r="G189" s="1351" t="s">
        <v>6071</v>
      </c>
      <c r="H189" s="1342" t="s">
        <v>1329</v>
      </c>
      <c r="I189" s="432" t="s">
        <v>1305</v>
      </c>
      <c r="J189" s="431" t="s">
        <v>1880</v>
      </c>
      <c r="K189" s="431"/>
      <c r="L189" s="431"/>
      <c r="M189" s="433"/>
      <c r="N189" s="434" t="s">
        <v>2218</v>
      </c>
      <c r="O189" s="1743" t="str">
        <f>VLOOKUP(B189,code_famille_scénario,2)&amp;VLOOKUP(C189,code_actif,2)&amp;", "&amp;VLOOKUP(J189,Code_lieu,2)&amp;", par "&amp;VLOOKUP(N189,code_acteur,2)</f>
        <v>Vol de media support de fichiers  de données publiées sur des sites publics ou internes, dans les locaux de l'exploitation, par un membre du personnel de service</v>
      </c>
      <c r="P189" s="435">
        <v>1</v>
      </c>
      <c r="Q189" s="1595" t="s">
        <v>1299</v>
      </c>
      <c r="R189" s="1595" t="s">
        <v>1873</v>
      </c>
      <c r="S189" s="1595" t="str">
        <f>Classif!C14</f>
        <v/>
      </c>
      <c r="T189" s="1595">
        <f t="shared" si="115"/>
        <v>2</v>
      </c>
      <c r="U189" s="1744" t="str">
        <f t="shared" si="116"/>
        <v/>
      </c>
      <c r="V189" s="1745">
        <f>S03B06</f>
        <v>1</v>
      </c>
      <c r="W189" s="1745">
        <v>1</v>
      </c>
      <c r="X189" s="1745">
        <v>1</v>
      </c>
      <c r="Y189" s="1750">
        <f t="shared" si="124"/>
        <v>1</v>
      </c>
      <c r="Z189" s="1746">
        <v>0</v>
      </c>
      <c r="AA189" s="1747"/>
      <c r="AB189" s="1748"/>
      <c r="AC189" s="1748"/>
      <c r="AD189" s="1595" t="str">
        <f t="shared" si="94"/>
        <v/>
      </c>
      <c r="AE189" s="1595">
        <f t="shared" si="118"/>
        <v>2</v>
      </c>
      <c r="AF189" s="1595" t="str">
        <f t="shared" si="119"/>
        <v/>
      </c>
      <c r="AG189" s="1748"/>
      <c r="AH189" s="1749" t="str">
        <f t="shared" si="95"/>
        <v/>
      </c>
      <c r="AI189" s="1623" t="s">
        <v>1665</v>
      </c>
      <c r="AJ189" s="1624"/>
      <c r="AK189" s="1618"/>
      <c r="AL189" s="1617" t="s">
        <v>4439</v>
      </c>
      <c r="AM189" s="247" t="str">
        <f t="shared" si="88"/>
        <v/>
      </c>
      <c r="AN189" s="247" t="str">
        <f t="shared" si="89"/>
        <v/>
      </c>
      <c r="AO189" s="247" t="str">
        <f t="shared" si="90"/>
        <v/>
      </c>
      <c r="AP189" s="247" t="str">
        <f t="shared" si="91"/>
        <v/>
      </c>
      <c r="AQ189" s="42">
        <f t="shared" si="120"/>
        <v>1</v>
      </c>
      <c r="AR189" s="42">
        <f t="shared" si="121"/>
        <v>1</v>
      </c>
      <c r="AS189" s="42">
        <f t="shared" si="122"/>
        <v>1</v>
      </c>
      <c r="AT189" s="42">
        <f t="shared" si="123"/>
        <v>1</v>
      </c>
      <c r="AU189" s="247" t="str">
        <f t="shared" si="92"/>
        <v/>
      </c>
      <c r="AV189" s="247" t="str">
        <f t="shared" si="93"/>
        <v/>
      </c>
    </row>
    <row r="190" spans="1:48" ht="36" x14ac:dyDescent="0.2">
      <c r="A190" s="450" t="s">
        <v>815</v>
      </c>
      <c r="B190" s="429" t="s">
        <v>4481</v>
      </c>
      <c r="C190" s="430" t="s">
        <v>4873</v>
      </c>
      <c r="D190" s="1349" t="s">
        <v>1873</v>
      </c>
      <c r="E190" s="1350" t="s">
        <v>1874</v>
      </c>
      <c r="F190" s="1350" t="s">
        <v>2777</v>
      </c>
      <c r="G190" s="1351" t="s">
        <v>4610</v>
      </c>
      <c r="H190" s="1342" t="s">
        <v>3920</v>
      </c>
      <c r="I190" s="432" t="s">
        <v>3526</v>
      </c>
      <c r="J190" s="431" t="s">
        <v>1880</v>
      </c>
      <c r="K190" s="431"/>
      <c r="L190" s="431"/>
      <c r="M190" s="433"/>
      <c r="N190" s="434"/>
      <c r="O190" s="1743" t="str">
        <f>VLOOKUP(B190,code_famille_scénario,2)&amp;VLOOKUP(C190,code_actif,2)&amp;", "&amp;VLOOKUP(J190,Code_lieu,2)&amp;", due "&amp;VLOOKUP(I190,code_event,2)</f>
        <v>Inexploitabilité accidentelle de media support de fichiers  de données publiées sur des sites publics ou internes, dans les locaux de l'exploitation, due à une panne d'équipement</v>
      </c>
      <c r="P190" s="435">
        <v>1</v>
      </c>
      <c r="Q190" s="1595" t="s">
        <v>1431</v>
      </c>
      <c r="R190" s="1595" t="s">
        <v>1873</v>
      </c>
      <c r="S190" s="1595" t="str">
        <f>Classif!C14</f>
        <v/>
      </c>
      <c r="T190" s="1595">
        <f t="shared" si="115"/>
        <v>3</v>
      </c>
      <c r="U190" s="1744" t="str">
        <f t="shared" si="116"/>
        <v/>
      </c>
      <c r="V190" s="1745">
        <v>1</v>
      </c>
      <c r="W190" s="1745">
        <v>1</v>
      </c>
      <c r="X190" s="1745">
        <v>1</v>
      </c>
      <c r="Y190" s="1745">
        <f t="shared" si="124"/>
        <v>1</v>
      </c>
      <c r="Z190" s="1746">
        <v>0</v>
      </c>
      <c r="AA190" s="1747"/>
      <c r="AB190" s="1748"/>
      <c r="AC190" s="1748"/>
      <c r="AD190" s="1595" t="str">
        <f t="shared" si="94"/>
        <v/>
      </c>
      <c r="AE190" s="1595">
        <f t="shared" si="118"/>
        <v>3</v>
      </c>
      <c r="AF190" s="1595" t="str">
        <f t="shared" si="119"/>
        <v/>
      </c>
      <c r="AG190" s="1748"/>
      <c r="AH190" s="1749" t="str">
        <f t="shared" si="95"/>
        <v/>
      </c>
      <c r="AI190" s="1615"/>
      <c r="AJ190" s="1621"/>
      <c r="AK190" s="1618"/>
      <c r="AL190" s="1617" t="s">
        <v>4439</v>
      </c>
      <c r="AM190" s="247" t="str">
        <f t="shared" si="88"/>
        <v/>
      </c>
      <c r="AN190" s="247" t="str">
        <f t="shared" si="89"/>
        <v/>
      </c>
      <c r="AO190" s="247" t="str">
        <f t="shared" si="90"/>
        <v/>
      </c>
      <c r="AP190" s="247" t="str">
        <f t="shared" si="91"/>
        <v/>
      </c>
      <c r="AQ190" s="42">
        <f t="shared" si="120"/>
        <v>1</v>
      </c>
      <c r="AR190" s="42">
        <f t="shared" si="121"/>
        <v>1</v>
      </c>
      <c r="AS190" s="42">
        <f t="shared" si="122"/>
        <v>1</v>
      </c>
      <c r="AT190" s="42">
        <f t="shared" si="123"/>
        <v>1</v>
      </c>
      <c r="AU190" s="247" t="str">
        <f t="shared" si="92"/>
        <v/>
      </c>
      <c r="AV190" s="247" t="str">
        <f t="shared" si="93"/>
        <v/>
      </c>
    </row>
    <row r="191" spans="1:48" ht="36" x14ac:dyDescent="0.2">
      <c r="A191" s="450" t="s">
        <v>816</v>
      </c>
      <c r="B191" s="429" t="s">
        <v>4481</v>
      </c>
      <c r="C191" s="430" t="s">
        <v>4873</v>
      </c>
      <c r="D191" s="1349" t="s">
        <v>1873</v>
      </c>
      <c r="E191" s="1350" t="s">
        <v>1874</v>
      </c>
      <c r="F191" s="1350" t="s">
        <v>2777</v>
      </c>
      <c r="G191" s="1351" t="s">
        <v>4610</v>
      </c>
      <c r="H191" s="1342" t="s">
        <v>1554</v>
      </c>
      <c r="I191" s="432" t="s">
        <v>1534</v>
      </c>
      <c r="J191" s="431" t="s">
        <v>1880</v>
      </c>
      <c r="K191" s="438"/>
      <c r="L191" s="438"/>
      <c r="M191" s="439"/>
      <c r="N191" s="440"/>
      <c r="O191" s="1743" t="str">
        <f>VLOOKUP(B191,code_famille_scénario,2)&amp;VLOOKUP(C191,code_actif,2)&amp;", "&amp;VLOOKUP(J191,Code_lieu,2)&amp;", due "&amp;VLOOKUP(I191,code_event,2)</f>
        <v>Inexploitabilité accidentelle de media support de fichiers  de données publiées sur des sites publics ou internes, dans les locaux de l'exploitation, due à un dégât des eaux</v>
      </c>
      <c r="P191" s="435">
        <v>1</v>
      </c>
      <c r="Q191" s="1595" t="s">
        <v>1431</v>
      </c>
      <c r="R191" s="1595" t="s">
        <v>1873</v>
      </c>
      <c r="S191" s="1595" t="str">
        <f>Classif!C14</f>
        <v/>
      </c>
      <c r="T191" s="1595">
        <f t="shared" si="115"/>
        <v>3</v>
      </c>
      <c r="U191" s="1744" t="str">
        <f t="shared" si="116"/>
        <v/>
      </c>
      <c r="V191" s="1745">
        <v>1</v>
      </c>
      <c r="W191" s="1745">
        <f>S03C01</f>
        <v>1</v>
      </c>
      <c r="X191" s="1745">
        <v>1</v>
      </c>
      <c r="Y191" s="1745">
        <f t="shared" si="124"/>
        <v>1</v>
      </c>
      <c r="Z191" s="1746">
        <v>0</v>
      </c>
      <c r="AA191" s="1747"/>
      <c r="AB191" s="1748"/>
      <c r="AC191" s="1748"/>
      <c r="AD191" s="1595" t="str">
        <f t="shared" si="94"/>
        <v/>
      </c>
      <c r="AE191" s="1595">
        <f t="shared" si="118"/>
        <v>3</v>
      </c>
      <c r="AF191" s="1595" t="str">
        <f t="shared" si="119"/>
        <v/>
      </c>
      <c r="AG191" s="1748"/>
      <c r="AH191" s="1749" t="str">
        <f t="shared" si="95"/>
        <v/>
      </c>
      <c r="AI191" s="1615"/>
      <c r="AJ191" s="1616" t="s">
        <v>5220</v>
      </c>
      <c r="AK191" s="1618"/>
      <c r="AL191" s="1617" t="s">
        <v>4439</v>
      </c>
      <c r="AM191" s="247" t="str">
        <f t="shared" si="88"/>
        <v/>
      </c>
      <c r="AN191" s="247" t="str">
        <f t="shared" si="89"/>
        <v/>
      </c>
      <c r="AO191" s="247" t="str">
        <f t="shared" si="90"/>
        <v/>
      </c>
      <c r="AP191" s="247" t="str">
        <f t="shared" si="91"/>
        <v/>
      </c>
      <c r="AQ191" s="42">
        <f t="shared" si="120"/>
        <v>1</v>
      </c>
      <c r="AR191" s="42">
        <f t="shared" si="121"/>
        <v>1</v>
      </c>
      <c r="AS191" s="42">
        <f t="shared" si="122"/>
        <v>1</v>
      </c>
      <c r="AT191" s="42">
        <f t="shared" si="123"/>
        <v>1</v>
      </c>
      <c r="AU191" s="247" t="str">
        <f t="shared" si="92"/>
        <v/>
      </c>
      <c r="AV191" s="247" t="str">
        <f t="shared" si="93"/>
        <v/>
      </c>
    </row>
    <row r="192" spans="1:48" ht="36" x14ac:dyDescent="0.2">
      <c r="A192" s="450" t="s">
        <v>817</v>
      </c>
      <c r="B192" s="429" t="s">
        <v>4481</v>
      </c>
      <c r="C192" s="430" t="s">
        <v>4873</v>
      </c>
      <c r="D192" s="1349" t="s">
        <v>1873</v>
      </c>
      <c r="E192" s="1350" t="s">
        <v>1874</v>
      </c>
      <c r="F192" s="1350" t="s">
        <v>2777</v>
      </c>
      <c r="G192" s="1351" t="s">
        <v>4610</v>
      </c>
      <c r="H192" s="1342" t="s">
        <v>1554</v>
      </c>
      <c r="I192" s="432" t="s">
        <v>1537</v>
      </c>
      <c r="J192" s="431" t="s">
        <v>1880</v>
      </c>
      <c r="K192" s="431"/>
      <c r="L192" s="431"/>
      <c r="M192" s="433"/>
      <c r="N192" s="434"/>
      <c r="O192" s="1743" t="str">
        <f>VLOOKUP(B192,code_famille_scénario,2)&amp;VLOOKUP(C192,code_actif,2)&amp;", "&amp;VLOOKUP(J192,Code_lieu,2)&amp;", due "&amp;VLOOKUP(I192,code_event,2)</f>
        <v>Inexploitabilité accidentelle de media support de fichiers  de données publiées sur des sites publics ou internes, dans les locaux de l'exploitation, due à une surcharge électrique</v>
      </c>
      <c r="P192" s="435">
        <v>1</v>
      </c>
      <c r="Q192" s="1595" t="s">
        <v>1431</v>
      </c>
      <c r="R192" s="1595" t="s">
        <v>1873</v>
      </c>
      <c r="S192" s="1595" t="str">
        <f>Classif!C14</f>
        <v/>
      </c>
      <c r="T192" s="1595">
        <f t="shared" si="115"/>
        <v>2</v>
      </c>
      <c r="U192" s="1744" t="str">
        <f t="shared" si="116"/>
        <v/>
      </c>
      <c r="V192" s="1745">
        <v>1</v>
      </c>
      <c r="W192" s="1745">
        <f>MIN(S03A01,S03A04)</f>
        <v>1</v>
      </c>
      <c r="X192" s="1745">
        <v>1</v>
      </c>
      <c r="Y192" s="1745">
        <f t="shared" si="124"/>
        <v>1</v>
      </c>
      <c r="Z192" s="1746">
        <v>0</v>
      </c>
      <c r="AA192" s="1747"/>
      <c r="AB192" s="1748"/>
      <c r="AC192" s="1748"/>
      <c r="AD192" s="1595" t="str">
        <f t="shared" si="94"/>
        <v/>
      </c>
      <c r="AE192" s="1595">
        <f t="shared" si="118"/>
        <v>2</v>
      </c>
      <c r="AF192" s="1595" t="str">
        <f t="shared" si="119"/>
        <v/>
      </c>
      <c r="AG192" s="1748"/>
      <c r="AH192" s="1749" t="str">
        <f t="shared" si="95"/>
        <v/>
      </c>
      <c r="AI192" s="1615"/>
      <c r="AJ192" s="1616" t="s">
        <v>5252</v>
      </c>
      <c r="AK192" s="1618"/>
      <c r="AL192" s="1617" t="s">
        <v>4439</v>
      </c>
      <c r="AM192" s="247" t="str">
        <f t="shared" si="88"/>
        <v/>
      </c>
      <c r="AN192" s="247" t="str">
        <f t="shared" si="89"/>
        <v/>
      </c>
      <c r="AO192" s="247" t="str">
        <f t="shared" si="90"/>
        <v/>
      </c>
      <c r="AP192" s="247" t="str">
        <f t="shared" si="91"/>
        <v/>
      </c>
      <c r="AQ192" s="42">
        <f t="shared" si="120"/>
        <v>1</v>
      </c>
      <c r="AR192" s="42">
        <f t="shared" si="121"/>
        <v>1</v>
      </c>
      <c r="AS192" s="42">
        <f t="shared" si="122"/>
        <v>1</v>
      </c>
      <c r="AT192" s="42">
        <f t="shared" si="123"/>
        <v>1</v>
      </c>
      <c r="AU192" s="247" t="str">
        <f t="shared" si="92"/>
        <v/>
      </c>
      <c r="AV192" s="247" t="str">
        <f t="shared" si="93"/>
        <v/>
      </c>
    </row>
    <row r="193" spans="1:48" ht="36" x14ac:dyDescent="0.2">
      <c r="A193" s="450" t="s">
        <v>818</v>
      </c>
      <c r="B193" s="429" t="s">
        <v>4481</v>
      </c>
      <c r="C193" s="430" t="s">
        <v>4873</v>
      </c>
      <c r="D193" s="1349" t="s">
        <v>1873</v>
      </c>
      <c r="E193" s="1350" t="s">
        <v>1874</v>
      </c>
      <c r="F193" s="1350" t="s">
        <v>2777</v>
      </c>
      <c r="G193" s="1351" t="s">
        <v>4610</v>
      </c>
      <c r="H193" s="1342" t="s">
        <v>1465</v>
      </c>
      <c r="I193" s="432" t="s">
        <v>1880</v>
      </c>
      <c r="J193" s="431" t="s">
        <v>1880</v>
      </c>
      <c r="K193" s="431"/>
      <c r="L193" s="431"/>
      <c r="M193" s="433"/>
      <c r="N193" s="434"/>
      <c r="O193" s="1743" t="str">
        <f>VLOOKUP(B193,code_famille_scénario,2)&amp;VLOOKUP(C193,code_actif,2)&amp;", "&amp;VLOOKUP(J193,Code_lieu,2)&amp;", due "&amp;VLOOKUP(I193,code_event,2)</f>
        <v>Inexploitabilité accidentelle de media support de fichiers  de données publiées sur des sites publics ou internes, dans les locaux de l'exploitation, due à un incident d'exploitation</v>
      </c>
      <c r="P193" s="435">
        <v>1</v>
      </c>
      <c r="Q193" s="1595" t="s">
        <v>1431</v>
      </c>
      <c r="R193" s="1595" t="s">
        <v>1873</v>
      </c>
      <c r="S193" s="1595" t="str">
        <f>Classif!C14</f>
        <v/>
      </c>
      <c r="T193" s="1595">
        <f t="shared" si="115"/>
        <v>3</v>
      </c>
      <c r="U193" s="1744" t="str">
        <f t="shared" si="116"/>
        <v/>
      </c>
      <c r="V193" s="1745">
        <v>1</v>
      </c>
      <c r="W193" s="1745">
        <f>S08A03</f>
        <v>1</v>
      </c>
      <c r="X193" s="1745">
        <f>S08E03</f>
        <v>1</v>
      </c>
      <c r="Y193" s="1745">
        <f t="shared" si="124"/>
        <v>1</v>
      </c>
      <c r="Z193" s="1746">
        <v>0</v>
      </c>
      <c r="AA193" s="1747"/>
      <c r="AB193" s="1748"/>
      <c r="AC193" s="1748"/>
      <c r="AD193" s="1595" t="str">
        <f t="shared" si="94"/>
        <v/>
      </c>
      <c r="AE193" s="1595">
        <f t="shared" si="118"/>
        <v>3</v>
      </c>
      <c r="AF193" s="1595" t="str">
        <f t="shared" si="119"/>
        <v/>
      </c>
      <c r="AG193" s="1748"/>
      <c r="AH193" s="1749" t="str">
        <f t="shared" si="95"/>
        <v/>
      </c>
      <c r="AI193" s="1626"/>
      <c r="AJ193" s="1616" t="s">
        <v>4324</v>
      </c>
      <c r="AK193" s="1616" t="s">
        <v>2532</v>
      </c>
      <c r="AL193" s="1617" t="s">
        <v>4439</v>
      </c>
      <c r="AM193" s="247" t="str">
        <f t="shared" si="88"/>
        <v/>
      </c>
      <c r="AN193" s="247" t="str">
        <f t="shared" si="89"/>
        <v/>
      </c>
      <c r="AO193" s="247" t="str">
        <f t="shared" si="90"/>
        <v/>
      </c>
      <c r="AP193" s="247" t="str">
        <f t="shared" si="91"/>
        <v/>
      </c>
      <c r="AQ193" s="42">
        <f t="shared" si="120"/>
        <v>1</v>
      </c>
      <c r="AR193" s="42">
        <f t="shared" si="121"/>
        <v>1</v>
      </c>
      <c r="AS193" s="42">
        <f t="shared" si="122"/>
        <v>1</v>
      </c>
      <c r="AT193" s="42">
        <f t="shared" si="123"/>
        <v>1</v>
      </c>
      <c r="AU193" s="247" t="str">
        <f t="shared" si="92"/>
        <v/>
      </c>
      <c r="AV193" s="247" t="str">
        <f t="shared" si="93"/>
        <v/>
      </c>
    </row>
    <row r="194" spans="1:48" ht="15" x14ac:dyDescent="0.2">
      <c r="A194" s="418" t="s">
        <v>1168</v>
      </c>
      <c r="B194" s="419"/>
      <c r="C194" s="420" t="s">
        <v>1169</v>
      </c>
      <c r="D194" s="425"/>
      <c r="E194" s="1348"/>
      <c r="F194" s="1348"/>
      <c r="G194" s="1352"/>
      <c r="H194" s="1295"/>
      <c r="I194" s="454"/>
      <c r="J194" s="441"/>
      <c r="K194" s="441"/>
      <c r="L194" s="441"/>
      <c r="M194" s="442"/>
      <c r="N194" s="422"/>
      <c r="O194" s="1752"/>
      <c r="P194" s="435"/>
      <c r="Q194" s="1595"/>
      <c r="R194" s="1595"/>
      <c r="S194" s="1753"/>
      <c r="T194" s="1595"/>
      <c r="U194" s="1744"/>
      <c r="V194" s="1754"/>
      <c r="W194" s="1754"/>
      <c r="X194" s="1754"/>
      <c r="Y194" s="1754"/>
      <c r="Z194" s="1755"/>
      <c r="AA194" s="1756"/>
      <c r="AB194" s="1748"/>
      <c r="AC194" s="1748"/>
      <c r="AD194" s="1595"/>
      <c r="AE194" s="1753" t="str">
        <f t="shared" si="118"/>
        <v/>
      </c>
      <c r="AF194" s="1595"/>
      <c r="AG194" s="1748"/>
      <c r="AH194" s="1749"/>
      <c r="AI194" s="1627"/>
      <c r="AJ194" s="1628"/>
      <c r="AK194" s="1628"/>
      <c r="AL194" s="1629"/>
      <c r="AM194" s="247" t="str">
        <f t="shared" si="88"/>
        <v/>
      </c>
      <c r="AN194" s="247" t="str">
        <f t="shared" si="89"/>
        <v/>
      </c>
      <c r="AO194" s="247" t="str">
        <f t="shared" si="90"/>
        <v/>
      </c>
      <c r="AP194" s="247" t="str">
        <f t="shared" si="91"/>
        <v/>
      </c>
      <c r="AU194" s="247" t="str">
        <f t="shared" si="92"/>
        <v/>
      </c>
      <c r="AV194" s="247" t="str">
        <f t="shared" si="93"/>
        <v/>
      </c>
    </row>
    <row r="195" spans="1:48" ht="24" x14ac:dyDescent="0.2">
      <c r="A195" s="428" t="s">
        <v>819</v>
      </c>
      <c r="B195" s="429" t="s">
        <v>2592</v>
      </c>
      <c r="C195" s="430" t="s">
        <v>1872</v>
      </c>
      <c r="D195" s="1349" t="s">
        <v>4638</v>
      </c>
      <c r="E195" s="1350" t="s">
        <v>2778</v>
      </c>
      <c r="F195" s="1350" t="s">
        <v>6682</v>
      </c>
      <c r="G195" s="1351" t="s">
        <v>3741</v>
      </c>
      <c r="H195" s="1342" t="s">
        <v>1327</v>
      </c>
      <c r="I195" s="432" t="s">
        <v>1545</v>
      </c>
      <c r="J195" s="431"/>
      <c r="K195" s="431"/>
      <c r="L195" s="431"/>
      <c r="M195" s="433" t="s">
        <v>5421</v>
      </c>
      <c r="N195" s="434" t="s">
        <v>1299</v>
      </c>
      <c r="O195" s="1743" t="str">
        <f>VLOOKUP(B195,code_famille_scénario,2)&amp;VLOOKUP(C195,code_actif,2)&amp;" due "&amp;VLOOKUP(I195,code_event,2)&amp;", "&amp;VLOOKUP(M195,code_process,2)</f>
        <v>Altération accidentelle (non détectée) de fichiers de données applicatives due à une erreur de procédure, lors d'une opération de maintenance logicielle</v>
      </c>
      <c r="P195" s="435">
        <v>1</v>
      </c>
      <c r="Q195" s="1595" t="s">
        <v>1431</v>
      </c>
      <c r="R195" s="1595" t="s">
        <v>4638</v>
      </c>
      <c r="S195" s="1595" t="str">
        <f>Classif!D4</f>
        <v/>
      </c>
      <c r="T195" s="1595">
        <f t="shared" ref="T195:T210" si="125">VLOOKUP(H195&amp;"."&amp;I195,Tab_event,4)</f>
        <v>3</v>
      </c>
      <c r="U195" s="1744" t="str">
        <f t="shared" ref="U195:U210" si="126">IF(AND(NOT(S195=""),NOT(T195="")),INDEX(base_g,5-S195,T195),"")</f>
        <v/>
      </c>
      <c r="V195" s="1745">
        <v>1</v>
      </c>
      <c r="W195" s="1745">
        <f>MAX(S09B05,S10B05)</f>
        <v>1</v>
      </c>
      <c r="X195" s="1745">
        <f t="shared" ref="X195:X210" si="127">S09B04</f>
        <v>1</v>
      </c>
      <c r="Y195" s="1745">
        <v>1</v>
      </c>
      <c r="Z195" s="1746">
        <v>1</v>
      </c>
      <c r="AA195" s="1757"/>
      <c r="AB195" s="1748"/>
      <c r="AC195" s="1748"/>
      <c r="AD195" s="1595" t="str">
        <f t="shared" si="94"/>
        <v/>
      </c>
      <c r="AE195" s="1595">
        <f t="shared" si="118"/>
        <v>3</v>
      </c>
      <c r="AF195" s="1595" t="str">
        <f t="shared" ref="AF195:AF210" si="128">IF(AT195=1,IF(IndG=1,U195,IF(AND(OR(NOT(AD195=""),NOT(AB195="")),OR(NOT(AE195=""),NOT(AC195="")),AT195=1),INDEX(base_g,5-IF(AB195="",AD195,AB195),IF(AC195="",AE195,AC195)),"")),0)</f>
        <v/>
      </c>
      <c r="AG195" s="1748"/>
      <c r="AH195" s="1749" t="str">
        <f t="shared" si="95"/>
        <v/>
      </c>
      <c r="AI195" s="1615"/>
      <c r="AJ195" s="1616" t="s">
        <v>3294</v>
      </c>
      <c r="AK195" s="1616" t="s">
        <v>3669</v>
      </c>
      <c r="AL195" s="1617"/>
      <c r="AM195" s="247" t="str">
        <f t="shared" si="88"/>
        <v/>
      </c>
      <c r="AN195" s="247" t="str">
        <f t="shared" si="89"/>
        <v/>
      </c>
      <c r="AO195" s="247" t="str">
        <f t="shared" si="90"/>
        <v/>
      </c>
      <c r="AP195" s="247" t="str">
        <f t="shared" si="91"/>
        <v/>
      </c>
      <c r="AQ195" s="42">
        <f t="shared" ref="AQ195:AQ210" si="129">VLOOKUP(LEFT(C195,3),Tab_classif_data,6)</f>
        <v>1</v>
      </c>
      <c r="AR195" s="42">
        <f t="shared" ref="AR195:AR210" si="130">VLOOKUP(G195,select_vul_data,2)</f>
        <v>1</v>
      </c>
      <c r="AS195" s="42">
        <f t="shared" ref="AS195:AS210" si="131">VLOOKUP(H195&amp;"."&amp;I195,select_men,5)</f>
        <v>1</v>
      </c>
      <c r="AT195" s="42">
        <f t="shared" ref="AT195:AT210" si="132">P195*AQ195*AR195*AS195</f>
        <v>1</v>
      </c>
      <c r="AU195" s="247" t="str">
        <f t="shared" si="92"/>
        <v/>
      </c>
      <c r="AV195" s="247" t="str">
        <f t="shared" si="93"/>
        <v/>
      </c>
    </row>
    <row r="196" spans="1:48" ht="24" x14ac:dyDescent="0.2">
      <c r="A196" s="428" t="s">
        <v>820</v>
      </c>
      <c r="B196" s="429" t="s">
        <v>2592</v>
      </c>
      <c r="C196" s="430" t="s">
        <v>1872</v>
      </c>
      <c r="D196" s="1349" t="s">
        <v>4638</v>
      </c>
      <c r="E196" s="1350" t="s">
        <v>2778</v>
      </c>
      <c r="F196" s="1350" t="s">
        <v>6682</v>
      </c>
      <c r="G196" s="1351" t="s">
        <v>3741</v>
      </c>
      <c r="H196" s="1342" t="s">
        <v>1327</v>
      </c>
      <c r="I196" s="432" t="s">
        <v>1545</v>
      </c>
      <c r="J196" s="431"/>
      <c r="K196" s="431"/>
      <c r="L196" s="431"/>
      <c r="M196" s="433" t="s">
        <v>5422</v>
      </c>
      <c r="N196" s="434" t="s">
        <v>1299</v>
      </c>
      <c r="O196" s="1743" t="str">
        <f>VLOOKUP(B196,code_famille_scénario,2)&amp;VLOOKUP(C196,code_actif,2)&amp;" due "&amp;VLOOKUP(I196,code_event,2)&amp;", "&amp;VLOOKUP(M196,code_process,2)</f>
        <v>Altération accidentelle (non détectée) de fichiers de données applicatives due à une erreur de procédure, lors d'une opération de maintenance à chaud</v>
      </c>
      <c r="P196" s="435">
        <v>1</v>
      </c>
      <c r="Q196" s="1595" t="s">
        <v>1431</v>
      </c>
      <c r="R196" s="1595" t="s">
        <v>4638</v>
      </c>
      <c r="S196" s="1595" t="str">
        <f>Classif!D4</f>
        <v/>
      </c>
      <c r="T196" s="1595">
        <f t="shared" si="125"/>
        <v>3</v>
      </c>
      <c r="U196" s="1744" t="str">
        <f t="shared" si="126"/>
        <v/>
      </c>
      <c r="V196" s="1745">
        <v>1</v>
      </c>
      <c r="W196" s="1745">
        <f>MAX(S09B05,S10B06)</f>
        <v>1</v>
      </c>
      <c r="X196" s="1745">
        <f t="shared" si="127"/>
        <v>1</v>
      </c>
      <c r="Y196" s="1745">
        <v>1</v>
      </c>
      <c r="Z196" s="1746">
        <v>1</v>
      </c>
      <c r="AA196" s="1757"/>
      <c r="AB196" s="1748"/>
      <c r="AC196" s="1748"/>
      <c r="AD196" s="1595" t="str">
        <f t="shared" si="94"/>
        <v/>
      </c>
      <c r="AE196" s="1595">
        <f t="shared" si="118"/>
        <v>3</v>
      </c>
      <c r="AF196" s="1595" t="str">
        <f t="shared" si="128"/>
        <v/>
      </c>
      <c r="AG196" s="1748"/>
      <c r="AH196" s="1749" t="str">
        <f t="shared" si="95"/>
        <v/>
      </c>
      <c r="AI196" s="1615"/>
      <c r="AJ196" s="1616" t="s">
        <v>3295</v>
      </c>
      <c r="AK196" s="1616" t="s">
        <v>3669</v>
      </c>
      <c r="AL196" s="1617"/>
      <c r="AM196" s="247" t="str">
        <f t="shared" si="88"/>
        <v/>
      </c>
      <c r="AN196" s="247" t="str">
        <f t="shared" si="89"/>
        <v/>
      </c>
      <c r="AO196" s="247" t="str">
        <f t="shared" si="90"/>
        <v/>
      </c>
      <c r="AP196" s="247" t="str">
        <f t="shared" si="91"/>
        <v/>
      </c>
      <c r="AQ196" s="42">
        <f t="shared" si="129"/>
        <v>1</v>
      </c>
      <c r="AR196" s="42">
        <f t="shared" si="130"/>
        <v>1</v>
      </c>
      <c r="AS196" s="42">
        <f t="shared" si="131"/>
        <v>1</v>
      </c>
      <c r="AT196" s="42">
        <f t="shared" si="132"/>
        <v>1</v>
      </c>
      <c r="AU196" s="247" t="str">
        <f t="shared" si="92"/>
        <v/>
      </c>
      <c r="AV196" s="247" t="str">
        <f t="shared" si="93"/>
        <v/>
      </c>
    </row>
    <row r="197" spans="1:48" ht="24" x14ac:dyDescent="0.2">
      <c r="A197" s="428" t="s">
        <v>821</v>
      </c>
      <c r="B197" s="429" t="s">
        <v>2592</v>
      </c>
      <c r="C197" s="430" t="s">
        <v>1872</v>
      </c>
      <c r="D197" s="1349" t="s">
        <v>4638</v>
      </c>
      <c r="E197" s="1350" t="s">
        <v>2778</v>
      </c>
      <c r="F197" s="1350" t="s">
        <v>6682</v>
      </c>
      <c r="G197" s="1351" t="s">
        <v>3741</v>
      </c>
      <c r="H197" s="1342" t="s">
        <v>1465</v>
      </c>
      <c r="I197" s="432" t="s">
        <v>1880</v>
      </c>
      <c r="J197" s="431"/>
      <c r="K197" s="431"/>
      <c r="L197" s="431"/>
      <c r="M197" s="433"/>
      <c r="N197" s="434"/>
      <c r="O197" s="1743" t="str">
        <f>VLOOKUP(B197,code_famille_scénario,2)&amp;VLOOKUP(C197,code_actif,2)&amp;" due "&amp;VLOOKUP(I197,code_event,2)</f>
        <v>Altération accidentelle (non détectée) de fichiers de données applicatives due à un incident d'exploitation</v>
      </c>
      <c r="P197" s="435">
        <v>1</v>
      </c>
      <c r="Q197" s="1595" t="s">
        <v>1431</v>
      </c>
      <c r="R197" s="1595" t="s">
        <v>4638</v>
      </c>
      <c r="S197" s="1595" t="str">
        <f>Classif!D4</f>
        <v/>
      </c>
      <c r="T197" s="1595">
        <f t="shared" si="125"/>
        <v>3</v>
      </c>
      <c r="U197" s="1744" t="str">
        <f t="shared" si="126"/>
        <v/>
      </c>
      <c r="V197" s="1745">
        <v>1</v>
      </c>
      <c r="W197" s="1745">
        <f>MAX(S09B05,S08D03)</f>
        <v>1</v>
      </c>
      <c r="X197" s="1745">
        <f t="shared" si="127"/>
        <v>1</v>
      </c>
      <c r="Y197" s="1745">
        <v>1</v>
      </c>
      <c r="Z197" s="1746">
        <v>1</v>
      </c>
      <c r="AA197" s="1757"/>
      <c r="AB197" s="1748"/>
      <c r="AC197" s="1748"/>
      <c r="AD197" s="1595" t="str">
        <f t="shared" si="94"/>
        <v/>
      </c>
      <c r="AE197" s="1595">
        <f t="shared" si="118"/>
        <v>3</v>
      </c>
      <c r="AF197" s="1595" t="str">
        <f t="shared" si="128"/>
        <v/>
      </c>
      <c r="AG197" s="1748"/>
      <c r="AH197" s="1749" t="str">
        <f t="shared" si="95"/>
        <v/>
      </c>
      <c r="AI197" s="1615"/>
      <c r="AJ197" s="1616" t="s">
        <v>3296</v>
      </c>
      <c r="AK197" s="1616" t="s">
        <v>3669</v>
      </c>
      <c r="AL197" s="1617"/>
      <c r="AM197" s="247" t="str">
        <f t="shared" si="88"/>
        <v/>
      </c>
      <c r="AN197" s="247" t="str">
        <f t="shared" si="89"/>
        <v/>
      </c>
      <c r="AO197" s="247" t="str">
        <f t="shared" si="90"/>
        <v/>
      </c>
      <c r="AP197" s="247" t="str">
        <f t="shared" si="91"/>
        <v/>
      </c>
      <c r="AQ197" s="42">
        <f t="shared" si="129"/>
        <v>1</v>
      </c>
      <c r="AR197" s="42">
        <f t="shared" si="130"/>
        <v>1</v>
      </c>
      <c r="AS197" s="42">
        <f t="shared" si="131"/>
        <v>1</v>
      </c>
      <c r="AT197" s="42">
        <f t="shared" si="132"/>
        <v>1</v>
      </c>
      <c r="AU197" s="247" t="str">
        <f t="shared" si="92"/>
        <v/>
      </c>
      <c r="AV197" s="247" t="str">
        <f t="shared" si="93"/>
        <v/>
      </c>
    </row>
    <row r="198" spans="1:48" ht="24" x14ac:dyDescent="0.2">
      <c r="A198" s="428" t="s">
        <v>822</v>
      </c>
      <c r="B198" s="429" t="s">
        <v>2494</v>
      </c>
      <c r="C198" s="430" t="s">
        <v>1872</v>
      </c>
      <c r="D198" s="1349" t="s">
        <v>4638</v>
      </c>
      <c r="E198" s="1350" t="s">
        <v>2778</v>
      </c>
      <c r="F198" s="1350" t="s">
        <v>6682</v>
      </c>
      <c r="G198" s="1351" t="s">
        <v>3741</v>
      </c>
      <c r="H198" s="1342" t="s">
        <v>1327</v>
      </c>
      <c r="I198" s="432" t="s">
        <v>1545</v>
      </c>
      <c r="J198" s="431"/>
      <c r="K198" s="431"/>
      <c r="L198" s="431" t="s">
        <v>6541</v>
      </c>
      <c r="M198" s="433" t="s">
        <v>5066</v>
      </c>
      <c r="N198" s="434" t="s">
        <v>1301</v>
      </c>
      <c r="O198" s="1743" t="str">
        <f>VLOOKUP(B198,code_famille_scénario,2)&amp;VLOOKUP(C198,code_actif,2)&amp;", par "&amp;VLOOKUP(N198,code_acteur,2)&amp;", "&amp;VLOOKUP(L198,code_acces,2)</f>
        <v>Altération, par erreur de procédure, de configuration de données applicatives, par un utilisateur autorisé légitime, se connectant depuis le réseau interne</v>
      </c>
      <c r="P198" s="435">
        <v>1</v>
      </c>
      <c r="Q198" s="1595" t="s">
        <v>6403</v>
      </c>
      <c r="R198" s="1595" t="s">
        <v>4638</v>
      </c>
      <c r="S198" s="1595" t="str">
        <f>Classif!D4</f>
        <v/>
      </c>
      <c r="T198" s="1595">
        <f t="shared" si="125"/>
        <v>3</v>
      </c>
      <c r="U198" s="1744" t="str">
        <f t="shared" si="126"/>
        <v/>
      </c>
      <c r="V198" s="1745">
        <v>1</v>
      </c>
      <c r="W198" s="1745">
        <f>S09B05</f>
        <v>1</v>
      </c>
      <c r="X198" s="1745">
        <f t="shared" si="127"/>
        <v>1</v>
      </c>
      <c r="Y198" s="1745">
        <v>1</v>
      </c>
      <c r="Z198" s="1746">
        <v>1</v>
      </c>
      <c r="AA198" s="1757"/>
      <c r="AB198" s="1748"/>
      <c r="AC198" s="1748"/>
      <c r="AD198" s="1595" t="str">
        <f t="shared" si="94"/>
        <v/>
      </c>
      <c r="AE198" s="1595">
        <f t="shared" si="118"/>
        <v>3</v>
      </c>
      <c r="AF198" s="1595" t="str">
        <f t="shared" si="128"/>
        <v/>
      </c>
      <c r="AG198" s="1748"/>
      <c r="AH198" s="1749" t="str">
        <f t="shared" si="95"/>
        <v/>
      </c>
      <c r="AI198" s="1615"/>
      <c r="AJ198" s="1616" t="s">
        <v>1957</v>
      </c>
      <c r="AK198" s="1616" t="s">
        <v>3669</v>
      </c>
      <c r="AL198" s="1617"/>
      <c r="AM198" s="247" t="str">
        <f t="shared" ref="AM198:AM261" si="133">IF($AH198=1,$H198&amp;"."&amp;$I198&amp;$AH198,"")</f>
        <v/>
      </c>
      <c r="AN198" s="247" t="str">
        <f t="shared" ref="AN198:AN261" si="134">IF($AH198=2,$H198&amp;"."&amp;$I198&amp;$AH198,"")</f>
        <v/>
      </c>
      <c r="AO198" s="247" t="str">
        <f t="shared" ref="AO198:AO261" si="135">IF($AH198=3,$H198&amp;"."&amp;$I198&amp;$AH198,"")</f>
        <v/>
      </c>
      <c r="AP198" s="247" t="str">
        <f t="shared" ref="AP198:AP261" si="136">IF($AH198=4,$H198&amp;"."&amp;$I198&amp;$AH198,"")</f>
        <v/>
      </c>
      <c r="AQ198" s="42">
        <f t="shared" si="129"/>
        <v>1</v>
      </c>
      <c r="AR198" s="42">
        <f t="shared" si="130"/>
        <v>1</v>
      </c>
      <c r="AS198" s="42">
        <f t="shared" si="131"/>
        <v>1</v>
      </c>
      <c r="AT198" s="42">
        <f t="shared" si="132"/>
        <v>1</v>
      </c>
      <c r="AU198" s="247" t="str">
        <f t="shared" ref="AU198:AU261" si="137">IF(S198="","",IF(T198="","",10*S198+T198))</f>
        <v/>
      </c>
      <c r="AV198" s="247" t="str">
        <f t="shared" ref="AV198:AV261" si="138">IF(AD198="","",IF(AE198="","",10*AD198+AE198))</f>
        <v/>
      </c>
    </row>
    <row r="199" spans="1:48" ht="33.75" x14ac:dyDescent="0.2">
      <c r="A199" s="428" t="s">
        <v>823</v>
      </c>
      <c r="B199" s="429" t="s">
        <v>2494</v>
      </c>
      <c r="C199" s="430" t="s">
        <v>1872</v>
      </c>
      <c r="D199" s="1349" t="s">
        <v>4638</v>
      </c>
      <c r="E199" s="1350" t="s">
        <v>2778</v>
      </c>
      <c r="F199" s="1350" t="s">
        <v>6682</v>
      </c>
      <c r="G199" s="1351" t="s">
        <v>3741</v>
      </c>
      <c r="H199" s="1342" t="s">
        <v>1327</v>
      </c>
      <c r="I199" s="432" t="s">
        <v>1545</v>
      </c>
      <c r="J199" s="431"/>
      <c r="K199" s="431"/>
      <c r="L199" s="431" t="s">
        <v>6541</v>
      </c>
      <c r="M199" s="433" t="s">
        <v>5066</v>
      </c>
      <c r="N199" s="434" t="s">
        <v>1302</v>
      </c>
      <c r="O199" s="1743" t="str">
        <f>VLOOKUP(B199,code_famille_scénario,2)&amp;VLOOKUP(C199,code_actif,2)&amp;", par "&amp;VLOOKUP(N199,code_acteur,2)&amp;", "&amp;VLOOKUP(L199,code_acces,2)</f>
        <v>Altération, par erreur de procédure, de configuration de données applicatives, par un utilisateur autorisé illégitime, se connectant depuis le réseau interne</v>
      </c>
      <c r="P199" s="435">
        <v>1</v>
      </c>
      <c r="Q199" s="1595" t="s">
        <v>6403</v>
      </c>
      <c r="R199" s="1595" t="s">
        <v>4638</v>
      </c>
      <c r="S199" s="1595" t="str">
        <f>Classif!D4</f>
        <v/>
      </c>
      <c r="T199" s="1595">
        <f t="shared" si="125"/>
        <v>3</v>
      </c>
      <c r="U199" s="1744" t="str">
        <f t="shared" si="126"/>
        <v/>
      </c>
      <c r="V199" s="1745">
        <v>1</v>
      </c>
      <c r="W199" s="1745">
        <f>MAX(S09B05,MIN(S07A01,S07A02,S08F01),MIN(S09A01,S09A02))</f>
        <v>1</v>
      </c>
      <c r="X199" s="1745">
        <f t="shared" si="127"/>
        <v>1</v>
      </c>
      <c r="Y199" s="1745">
        <v>1</v>
      </c>
      <c r="Z199" s="1746">
        <v>1</v>
      </c>
      <c r="AA199" s="1757"/>
      <c r="AB199" s="1748"/>
      <c r="AC199" s="1748"/>
      <c r="AD199" s="1595" t="str">
        <f t="shared" ref="AD199:AD262" si="139">IF(OR(R199="",S199=""),"",IF(R199="D",INDEX(base_i,IF(IF(AA199="",Z199,AA199)=0,4,5-X199),Y199+7*(S199-1)),IF(R199="I",INDEX(base_i,IF(IF(AA199="",Z199,AA199)=0,15,16-X199),Y199+7*(S199-1)),IF(R199="C",INDEX(base_i,IF(IF(AA199="",Z199,AA199)=0,26,27-X199),Y199+7*(S199-1)),INDEX(base_i,38-X199,Y199+7*(S199-1))))))</f>
        <v/>
      </c>
      <c r="AE199" s="1595">
        <f t="shared" si="118"/>
        <v>3</v>
      </c>
      <c r="AF199" s="1595" t="str">
        <f t="shared" si="128"/>
        <v/>
      </c>
      <c r="AG199" s="1748"/>
      <c r="AH199" s="1749" t="str">
        <f t="shared" ref="AH199:AH262" si="140">IF(OR(AG199="A",AG199="a",AG199="T",AG199="t",AF199=""),"",AF199)</f>
        <v/>
      </c>
      <c r="AI199" s="1615"/>
      <c r="AJ199" s="1616" t="s">
        <v>4242</v>
      </c>
      <c r="AK199" s="1616" t="s">
        <v>3669</v>
      </c>
      <c r="AL199" s="1617"/>
      <c r="AM199" s="247" t="str">
        <f t="shared" si="133"/>
        <v/>
      </c>
      <c r="AN199" s="247" t="str">
        <f t="shared" si="134"/>
        <v/>
      </c>
      <c r="AO199" s="247" t="str">
        <f t="shared" si="135"/>
        <v/>
      </c>
      <c r="AP199" s="247" t="str">
        <f t="shared" si="136"/>
        <v/>
      </c>
      <c r="AQ199" s="42">
        <f t="shared" si="129"/>
        <v>1</v>
      </c>
      <c r="AR199" s="42">
        <f t="shared" si="130"/>
        <v>1</v>
      </c>
      <c r="AS199" s="42">
        <f t="shared" si="131"/>
        <v>1</v>
      </c>
      <c r="AT199" s="42">
        <f t="shared" si="132"/>
        <v>1</v>
      </c>
      <c r="AU199" s="247" t="str">
        <f t="shared" si="137"/>
        <v/>
      </c>
      <c r="AV199" s="247" t="str">
        <f t="shared" si="138"/>
        <v/>
      </c>
    </row>
    <row r="200" spans="1:48" ht="33.75" x14ac:dyDescent="0.2">
      <c r="A200" s="428" t="s">
        <v>824</v>
      </c>
      <c r="B200" s="429" t="s">
        <v>2494</v>
      </c>
      <c r="C200" s="430" t="s">
        <v>1872</v>
      </c>
      <c r="D200" s="1349" t="s">
        <v>4638</v>
      </c>
      <c r="E200" s="1350" t="s">
        <v>2778</v>
      </c>
      <c r="F200" s="1350" t="s">
        <v>6682</v>
      </c>
      <c r="G200" s="1351" t="s">
        <v>3741</v>
      </c>
      <c r="H200" s="1342" t="s">
        <v>1327</v>
      </c>
      <c r="I200" s="432" t="s">
        <v>1545</v>
      </c>
      <c r="J200" s="431"/>
      <c r="K200" s="431"/>
      <c r="L200" s="431" t="s">
        <v>6541</v>
      </c>
      <c r="M200" s="433" t="s">
        <v>5066</v>
      </c>
      <c r="N200" s="434" t="s">
        <v>1303</v>
      </c>
      <c r="O200" s="1743" t="str">
        <f>VLOOKUP(B200,code_famille_scénario,2)&amp;VLOOKUP(C200,code_actif,2)&amp;", par "&amp;VLOOKUP(N200,code_acteur,2)&amp;", "&amp;VLOOKUP(L200,code_acces,2)</f>
        <v>Altération, par erreur de procédure, de configuration de données applicatives, par un utilisateur non autorisé, se connectant depuis le réseau interne</v>
      </c>
      <c r="P200" s="435">
        <v>1</v>
      </c>
      <c r="Q200" s="1595" t="s">
        <v>6403</v>
      </c>
      <c r="R200" s="1595" t="s">
        <v>4638</v>
      </c>
      <c r="S200" s="1595" t="str">
        <f>Classif!D4</f>
        <v/>
      </c>
      <c r="T200" s="1595">
        <f t="shared" si="125"/>
        <v>3</v>
      </c>
      <c r="U200" s="1744" t="str">
        <f t="shared" si="126"/>
        <v/>
      </c>
      <c r="V200" s="1745">
        <v>1</v>
      </c>
      <c r="W200" s="1745">
        <f>MAX(S09B05,MIN(S07A03,S07A04,S08F02),MIN(S09A03,S09A04))</f>
        <v>1</v>
      </c>
      <c r="X200" s="1745">
        <f t="shared" si="127"/>
        <v>1</v>
      </c>
      <c r="Y200" s="1745">
        <v>1</v>
      </c>
      <c r="Z200" s="1746">
        <v>1</v>
      </c>
      <c r="AA200" s="1757"/>
      <c r="AB200" s="1748"/>
      <c r="AC200" s="1748"/>
      <c r="AD200" s="1595" t="str">
        <f t="shared" si="139"/>
        <v/>
      </c>
      <c r="AE200" s="1595">
        <f t="shared" si="118"/>
        <v>3</v>
      </c>
      <c r="AF200" s="1595" t="str">
        <f t="shared" si="128"/>
        <v/>
      </c>
      <c r="AG200" s="1748"/>
      <c r="AH200" s="1749" t="str">
        <f t="shared" si="140"/>
        <v/>
      </c>
      <c r="AI200" s="1615"/>
      <c r="AJ200" s="1616" t="s">
        <v>4243</v>
      </c>
      <c r="AK200" s="1616" t="s">
        <v>3669</v>
      </c>
      <c r="AL200" s="1617"/>
      <c r="AM200" s="247" t="str">
        <f t="shared" si="133"/>
        <v/>
      </c>
      <c r="AN200" s="247" t="str">
        <f t="shared" si="134"/>
        <v/>
      </c>
      <c r="AO200" s="247" t="str">
        <f t="shared" si="135"/>
        <v/>
      </c>
      <c r="AP200" s="247" t="str">
        <f t="shared" si="136"/>
        <v/>
      </c>
      <c r="AQ200" s="42">
        <f t="shared" si="129"/>
        <v>1</v>
      </c>
      <c r="AR200" s="42">
        <f t="shared" si="130"/>
        <v>1</v>
      </c>
      <c r="AS200" s="42">
        <f t="shared" si="131"/>
        <v>1</v>
      </c>
      <c r="AT200" s="42">
        <f t="shared" si="132"/>
        <v>1</v>
      </c>
      <c r="AU200" s="247" t="str">
        <f t="shared" si="137"/>
        <v/>
      </c>
      <c r="AV200" s="247" t="str">
        <f t="shared" si="138"/>
        <v/>
      </c>
    </row>
    <row r="201" spans="1:48" ht="36" x14ac:dyDescent="0.2">
      <c r="A201" s="428" t="s">
        <v>825</v>
      </c>
      <c r="B201" s="429" t="s">
        <v>2595</v>
      </c>
      <c r="C201" s="430" t="s">
        <v>1872</v>
      </c>
      <c r="D201" s="1349" t="s">
        <v>4638</v>
      </c>
      <c r="E201" s="1350" t="s">
        <v>2778</v>
      </c>
      <c r="F201" s="1350" t="s">
        <v>6682</v>
      </c>
      <c r="G201" s="1351" t="s">
        <v>3741</v>
      </c>
      <c r="H201" s="1344" t="s">
        <v>1327</v>
      </c>
      <c r="I201" s="455" t="s">
        <v>1545</v>
      </c>
      <c r="J201" s="431"/>
      <c r="K201" s="431"/>
      <c r="L201" s="431"/>
      <c r="M201" s="433" t="s">
        <v>5421</v>
      </c>
      <c r="N201" s="434" t="s">
        <v>1299</v>
      </c>
      <c r="O201" s="1743" t="str">
        <f>VLOOKUP(B201,code_famille_scénario,2)&amp;VLOOKUP(C201,code_actif,2)&amp;", par "&amp;VLOOKUP(N201,code_acteur,2)&amp;", "&amp;VLOOKUP(M201,code_process,2)</f>
        <v>Altération malveillante (non détectée) de fichiers de données applicatives, par un membre du personnel de maintenance, lors d'une opération de maintenance logicielle</v>
      </c>
      <c r="P201" s="435">
        <v>1</v>
      </c>
      <c r="Q201" s="1595" t="s">
        <v>1299</v>
      </c>
      <c r="R201" s="1595" t="s">
        <v>4638</v>
      </c>
      <c r="S201" s="1595" t="str">
        <f>Classif!D4</f>
        <v/>
      </c>
      <c r="T201" s="1595">
        <f t="shared" si="125"/>
        <v>3</v>
      </c>
      <c r="U201" s="1744" t="str">
        <f t="shared" si="126"/>
        <v/>
      </c>
      <c r="V201" s="1745">
        <v>1</v>
      </c>
      <c r="W201" s="1745">
        <f>MAX(S09B05,S10B05)</f>
        <v>1</v>
      </c>
      <c r="X201" s="1745">
        <f t="shared" si="127"/>
        <v>1</v>
      </c>
      <c r="Y201" s="1745">
        <v>1</v>
      </c>
      <c r="Z201" s="1746">
        <v>1</v>
      </c>
      <c r="AA201" s="1757"/>
      <c r="AB201" s="1748"/>
      <c r="AC201" s="1748"/>
      <c r="AD201" s="1595" t="str">
        <f t="shared" si="139"/>
        <v/>
      </c>
      <c r="AE201" s="1595">
        <f t="shared" si="118"/>
        <v>3</v>
      </c>
      <c r="AF201" s="1595" t="str">
        <f t="shared" si="128"/>
        <v/>
      </c>
      <c r="AG201" s="1748"/>
      <c r="AH201" s="1749" t="str">
        <f t="shared" si="140"/>
        <v/>
      </c>
      <c r="AI201" s="1615"/>
      <c r="AJ201" s="1616" t="s">
        <v>3294</v>
      </c>
      <c r="AK201" s="1616" t="s">
        <v>3669</v>
      </c>
      <c r="AL201" s="1617"/>
      <c r="AM201" s="247" t="str">
        <f t="shared" si="133"/>
        <v/>
      </c>
      <c r="AN201" s="247" t="str">
        <f t="shared" si="134"/>
        <v/>
      </c>
      <c r="AO201" s="247" t="str">
        <f t="shared" si="135"/>
        <v/>
      </c>
      <c r="AP201" s="247" t="str">
        <f t="shared" si="136"/>
        <v/>
      </c>
      <c r="AQ201" s="42">
        <f t="shared" si="129"/>
        <v>1</v>
      </c>
      <c r="AR201" s="42">
        <f t="shared" si="130"/>
        <v>1</v>
      </c>
      <c r="AS201" s="42">
        <f t="shared" si="131"/>
        <v>1</v>
      </c>
      <c r="AT201" s="42">
        <f t="shared" si="132"/>
        <v>1</v>
      </c>
      <c r="AU201" s="247" t="str">
        <f t="shared" si="137"/>
        <v/>
      </c>
      <c r="AV201" s="247" t="str">
        <f t="shared" si="138"/>
        <v/>
      </c>
    </row>
    <row r="202" spans="1:48" ht="33.75" x14ac:dyDescent="0.2">
      <c r="A202" s="428" t="s">
        <v>826</v>
      </c>
      <c r="B202" s="429" t="s">
        <v>2595</v>
      </c>
      <c r="C202" s="430" t="s">
        <v>1872</v>
      </c>
      <c r="D202" s="1349" t="s">
        <v>4638</v>
      </c>
      <c r="E202" s="1350" t="s">
        <v>2778</v>
      </c>
      <c r="F202" s="1350" t="s">
        <v>6682</v>
      </c>
      <c r="G202" s="1351" t="s">
        <v>3741</v>
      </c>
      <c r="H202" s="1342" t="s">
        <v>1328</v>
      </c>
      <c r="I202" s="432" t="s">
        <v>1548</v>
      </c>
      <c r="J202" s="431"/>
      <c r="K202" s="431"/>
      <c r="L202" s="431" t="s">
        <v>6541</v>
      </c>
      <c r="M202" s="433" t="s">
        <v>1880</v>
      </c>
      <c r="N202" s="434" t="s">
        <v>1302</v>
      </c>
      <c r="O202" s="1743" t="str">
        <f>VLOOKUP(B202,code_famille_scénario,2)&amp;VLOOKUP(C202,code_actif,2)&amp;", par "&amp;VLOOKUP(N202,code_acteur,2)&amp;", "&amp;VLOOKUP(L202,code_acces,2)</f>
        <v>Altération malveillante (non détectée) de fichiers de données applicatives, par un utilisateur autorisé illégitime, se connectant depuis le réseau interne</v>
      </c>
      <c r="P202" s="435">
        <v>1</v>
      </c>
      <c r="Q202" s="1595" t="s">
        <v>1299</v>
      </c>
      <c r="R202" s="1595" t="s">
        <v>4638</v>
      </c>
      <c r="S202" s="1595" t="str">
        <f>Classif!D4</f>
        <v/>
      </c>
      <c r="T202" s="1595">
        <f t="shared" si="125"/>
        <v>3</v>
      </c>
      <c r="U202" s="1744" t="str">
        <f t="shared" si="126"/>
        <v/>
      </c>
      <c r="V202" s="1745">
        <v>1</v>
      </c>
      <c r="W202" s="1745">
        <f>MAX(S09B05,MIN(S07A01,S07A02,S08F01),MIN(S09A01,S09A02))</f>
        <v>1</v>
      </c>
      <c r="X202" s="1745">
        <f t="shared" si="127"/>
        <v>1</v>
      </c>
      <c r="Y202" s="1745">
        <v>1</v>
      </c>
      <c r="Z202" s="1758">
        <v>1</v>
      </c>
      <c r="AA202" s="1759"/>
      <c r="AB202" s="1748"/>
      <c r="AC202" s="1748"/>
      <c r="AD202" s="1595" t="str">
        <f t="shared" si="139"/>
        <v/>
      </c>
      <c r="AE202" s="1595">
        <f t="shared" si="118"/>
        <v>3</v>
      </c>
      <c r="AF202" s="1595" t="str">
        <f t="shared" si="128"/>
        <v/>
      </c>
      <c r="AG202" s="1748"/>
      <c r="AH202" s="1749" t="str">
        <f t="shared" si="140"/>
        <v/>
      </c>
      <c r="AI202" s="1620"/>
      <c r="AJ202" s="1616" t="s">
        <v>4242</v>
      </c>
      <c r="AK202" s="1616" t="s">
        <v>3669</v>
      </c>
      <c r="AL202" s="1617"/>
      <c r="AM202" s="247" t="str">
        <f t="shared" si="133"/>
        <v/>
      </c>
      <c r="AN202" s="247" t="str">
        <f t="shared" si="134"/>
        <v/>
      </c>
      <c r="AO202" s="247" t="str">
        <f t="shared" si="135"/>
        <v/>
      </c>
      <c r="AP202" s="247" t="str">
        <f t="shared" si="136"/>
        <v/>
      </c>
      <c r="AQ202" s="42">
        <f t="shared" si="129"/>
        <v>1</v>
      </c>
      <c r="AR202" s="42">
        <f t="shared" si="130"/>
        <v>1</v>
      </c>
      <c r="AS202" s="42">
        <f t="shared" si="131"/>
        <v>1</v>
      </c>
      <c r="AT202" s="42">
        <f t="shared" si="132"/>
        <v>1</v>
      </c>
      <c r="AU202" s="247" t="str">
        <f t="shared" si="137"/>
        <v/>
      </c>
      <c r="AV202" s="247" t="str">
        <f t="shared" si="138"/>
        <v/>
      </c>
    </row>
    <row r="203" spans="1:48" ht="45" x14ac:dyDescent="0.2">
      <c r="A203" s="428" t="s">
        <v>827</v>
      </c>
      <c r="B203" s="429" t="s">
        <v>2595</v>
      </c>
      <c r="C203" s="430" t="s">
        <v>1872</v>
      </c>
      <c r="D203" s="1349" t="s">
        <v>4638</v>
      </c>
      <c r="E203" s="1350" t="s">
        <v>2778</v>
      </c>
      <c r="F203" s="1350" t="s">
        <v>6682</v>
      </c>
      <c r="G203" s="1351" t="s">
        <v>3741</v>
      </c>
      <c r="H203" s="1342" t="s">
        <v>1328</v>
      </c>
      <c r="I203" s="432" t="s">
        <v>1548</v>
      </c>
      <c r="J203" s="431"/>
      <c r="K203" s="431"/>
      <c r="L203" s="431" t="s">
        <v>6541</v>
      </c>
      <c r="M203" s="433" t="s">
        <v>1880</v>
      </c>
      <c r="N203" s="434" t="s">
        <v>1303</v>
      </c>
      <c r="O203" s="1743" t="str">
        <f>VLOOKUP(B203,code_famille_scénario,2)&amp;VLOOKUP(C203,code_actif,2)&amp;", par "&amp;VLOOKUP(N203,code_acteur,2)&amp;", "&amp;VLOOKUP(L203,code_acces,2)</f>
        <v>Altération malveillante (non détectée) de fichiers de données applicatives, par un utilisateur non autorisé, se connectant depuis le réseau interne</v>
      </c>
      <c r="P203" s="435">
        <v>1</v>
      </c>
      <c r="Q203" s="1595" t="s">
        <v>1299</v>
      </c>
      <c r="R203" s="1595" t="s">
        <v>4638</v>
      </c>
      <c r="S203" s="1595" t="str">
        <f>Classif!D4</f>
        <v/>
      </c>
      <c r="T203" s="1595">
        <f t="shared" si="125"/>
        <v>3</v>
      </c>
      <c r="U203" s="1744" t="str">
        <f t="shared" si="126"/>
        <v/>
      </c>
      <c r="V203" s="1745">
        <v>1</v>
      </c>
      <c r="W203" s="1745">
        <f>MAX(S09B05,MIN(S07A03,S07A04,S08F02),MIN(S09A03,S09A04),S09B01,S09C02)</f>
        <v>1</v>
      </c>
      <c r="X203" s="1745">
        <f t="shared" si="127"/>
        <v>1</v>
      </c>
      <c r="Y203" s="1745">
        <v>1</v>
      </c>
      <c r="Z203" s="1758">
        <v>1</v>
      </c>
      <c r="AA203" s="1759"/>
      <c r="AB203" s="1748"/>
      <c r="AC203" s="1748"/>
      <c r="AD203" s="1595" t="str">
        <f t="shared" si="139"/>
        <v/>
      </c>
      <c r="AE203" s="1595">
        <f t="shared" ref="AE203:AE234" si="141">IF(OR(Q203="",T203=""),"",IF(Q203="A",INDEX(base_p,4,W203+7*(T203-1)),IF(Q203="E",INDEX(base_p,15,W203+7*(T203-1)),INDEX(base_p,27-V203,W203+7*(T203-1)))))</f>
        <v>3</v>
      </c>
      <c r="AF203" s="1595" t="str">
        <f t="shared" si="128"/>
        <v/>
      </c>
      <c r="AG203" s="1748"/>
      <c r="AH203" s="1749" t="str">
        <f t="shared" si="140"/>
        <v/>
      </c>
      <c r="AI203" s="1620"/>
      <c r="AJ203" s="1616" t="s">
        <v>4598</v>
      </c>
      <c r="AK203" s="1616" t="s">
        <v>3669</v>
      </c>
      <c r="AL203" s="1617"/>
      <c r="AM203" s="247" t="str">
        <f t="shared" si="133"/>
        <v/>
      </c>
      <c r="AN203" s="247" t="str">
        <f t="shared" si="134"/>
        <v/>
      </c>
      <c r="AO203" s="247" t="str">
        <f t="shared" si="135"/>
        <v/>
      </c>
      <c r="AP203" s="247" t="str">
        <f t="shared" si="136"/>
        <v/>
      </c>
      <c r="AQ203" s="42">
        <f t="shared" si="129"/>
        <v>1</v>
      </c>
      <c r="AR203" s="42">
        <f t="shared" si="130"/>
        <v>1</v>
      </c>
      <c r="AS203" s="42">
        <f t="shared" si="131"/>
        <v>1</v>
      </c>
      <c r="AT203" s="42">
        <f t="shared" si="132"/>
        <v>1</v>
      </c>
      <c r="AU203" s="247" t="str">
        <f t="shared" si="137"/>
        <v/>
      </c>
      <c r="AV203" s="247" t="str">
        <f t="shared" si="138"/>
        <v/>
      </c>
    </row>
    <row r="204" spans="1:48" ht="24" x14ac:dyDescent="0.2">
      <c r="A204" s="428" t="s">
        <v>828</v>
      </c>
      <c r="B204" s="429" t="s">
        <v>2595</v>
      </c>
      <c r="C204" s="430" t="s">
        <v>1872</v>
      </c>
      <c r="D204" s="1349" t="s">
        <v>4638</v>
      </c>
      <c r="E204" s="1350" t="s">
        <v>2778</v>
      </c>
      <c r="F204" s="1350" t="s">
        <v>6682</v>
      </c>
      <c r="G204" s="1351" t="s">
        <v>3741</v>
      </c>
      <c r="H204" s="1342" t="s">
        <v>1328</v>
      </c>
      <c r="I204" s="432" t="s">
        <v>1548</v>
      </c>
      <c r="J204" s="431"/>
      <c r="K204" s="431"/>
      <c r="L204" s="431" t="s">
        <v>6541</v>
      </c>
      <c r="M204" s="433" t="s">
        <v>1880</v>
      </c>
      <c r="N204" s="434" t="s">
        <v>6403</v>
      </c>
      <c r="O204" s="1743" t="str">
        <f>VLOOKUP(B204,code_famille_scénario,2)&amp;VLOOKUP(C204,code_actif,2)&amp;", par "&amp;VLOOKUP(N204,code_acteur,2)&amp;", "&amp;VLOOKUP(L204,code_acces,2)</f>
        <v>Altération malveillante (non détectée) de fichiers de données applicatives, par un membre du personnel d'exploitation, se connectant depuis le réseau interne</v>
      </c>
      <c r="P204" s="435">
        <v>1</v>
      </c>
      <c r="Q204" s="1595" t="s">
        <v>1299</v>
      </c>
      <c r="R204" s="1595" t="s">
        <v>4638</v>
      </c>
      <c r="S204" s="1595" t="str">
        <f>Classif!D4</f>
        <v/>
      </c>
      <c r="T204" s="1595">
        <f t="shared" si="125"/>
        <v>3</v>
      </c>
      <c r="U204" s="1744" t="str">
        <f t="shared" si="126"/>
        <v/>
      </c>
      <c r="V204" s="1745">
        <v>1</v>
      </c>
      <c r="W204" s="1745">
        <f>MAX(S09B01,S09C02)</f>
        <v>1</v>
      </c>
      <c r="X204" s="1745">
        <f t="shared" si="127"/>
        <v>1</v>
      </c>
      <c r="Y204" s="1745">
        <v>1</v>
      </c>
      <c r="Z204" s="1758">
        <v>1</v>
      </c>
      <c r="AA204" s="1759"/>
      <c r="AB204" s="1748"/>
      <c r="AC204" s="1748"/>
      <c r="AD204" s="1595" t="str">
        <f t="shared" si="139"/>
        <v/>
      </c>
      <c r="AE204" s="1595">
        <f t="shared" si="141"/>
        <v>3</v>
      </c>
      <c r="AF204" s="1595" t="str">
        <f t="shared" si="128"/>
        <v/>
      </c>
      <c r="AG204" s="1748"/>
      <c r="AH204" s="1749" t="str">
        <f t="shared" si="140"/>
        <v/>
      </c>
      <c r="AI204" s="1615"/>
      <c r="AJ204" s="1616" t="s">
        <v>4041</v>
      </c>
      <c r="AK204" s="1616" t="s">
        <v>3669</v>
      </c>
      <c r="AL204" s="1617"/>
      <c r="AM204" s="247" t="str">
        <f t="shared" si="133"/>
        <v/>
      </c>
      <c r="AN204" s="247" t="str">
        <f t="shared" si="134"/>
        <v/>
      </c>
      <c r="AO204" s="247" t="str">
        <f t="shared" si="135"/>
        <v/>
      </c>
      <c r="AP204" s="247" t="str">
        <f t="shared" si="136"/>
        <v/>
      </c>
      <c r="AQ204" s="42">
        <f t="shared" si="129"/>
        <v>1</v>
      </c>
      <c r="AR204" s="42">
        <f t="shared" si="130"/>
        <v>1</v>
      </c>
      <c r="AS204" s="42">
        <f t="shared" si="131"/>
        <v>1</v>
      </c>
      <c r="AT204" s="42">
        <f t="shared" si="132"/>
        <v>1</v>
      </c>
      <c r="AU204" s="247" t="str">
        <f t="shared" si="137"/>
        <v/>
      </c>
      <c r="AV204" s="247" t="str">
        <f t="shared" si="138"/>
        <v/>
      </c>
    </row>
    <row r="205" spans="1:48" ht="24" x14ac:dyDescent="0.2">
      <c r="A205" s="428" t="s">
        <v>829</v>
      </c>
      <c r="B205" s="429" t="s">
        <v>2595</v>
      </c>
      <c r="C205" s="430" t="s">
        <v>1872</v>
      </c>
      <c r="D205" s="1349" t="s">
        <v>4638</v>
      </c>
      <c r="E205" s="1350" t="s">
        <v>2778</v>
      </c>
      <c r="F205" s="1350" t="s">
        <v>6682</v>
      </c>
      <c r="G205" s="1351" t="s">
        <v>3741</v>
      </c>
      <c r="H205" s="1342" t="s">
        <v>1328</v>
      </c>
      <c r="I205" s="432" t="s">
        <v>1548</v>
      </c>
      <c r="J205" s="431"/>
      <c r="K205" s="431"/>
      <c r="L205" s="431"/>
      <c r="M205" s="433" t="s">
        <v>1880</v>
      </c>
      <c r="N205" s="434" t="s">
        <v>1299</v>
      </c>
      <c r="O205" s="1743" t="str">
        <f>VLOOKUP(B205,code_famille_scénario,2)&amp;VLOOKUP(C205,code_actif,2)&amp;" "&amp;VLOOKUP(M205,code_process,2)&amp;" par "&amp;VLOOKUP(N205,code_acteur,2)</f>
        <v>Altération malveillante (non détectée) de fichiers de données applicatives en exploitation par un membre du personnel de maintenance</v>
      </c>
      <c r="P205" s="435">
        <v>1</v>
      </c>
      <c r="Q205" s="1595" t="s">
        <v>1299</v>
      </c>
      <c r="R205" s="1595" t="s">
        <v>4638</v>
      </c>
      <c r="S205" s="1595" t="str">
        <f>Classif!D4</f>
        <v/>
      </c>
      <c r="T205" s="1595">
        <f t="shared" si="125"/>
        <v>3</v>
      </c>
      <c r="U205" s="1744" t="str">
        <f t="shared" si="126"/>
        <v/>
      </c>
      <c r="V205" s="1745">
        <v>1</v>
      </c>
      <c r="W205" s="1745">
        <f>MAX(S09B01,S09C02)</f>
        <v>1</v>
      </c>
      <c r="X205" s="1745">
        <f t="shared" si="127"/>
        <v>1</v>
      </c>
      <c r="Y205" s="1745">
        <v>1</v>
      </c>
      <c r="Z205" s="1758">
        <v>1</v>
      </c>
      <c r="AA205" s="1759"/>
      <c r="AB205" s="1748"/>
      <c r="AC205" s="1748"/>
      <c r="AD205" s="1595" t="str">
        <f t="shared" si="139"/>
        <v/>
      </c>
      <c r="AE205" s="1595">
        <f t="shared" si="141"/>
        <v>3</v>
      </c>
      <c r="AF205" s="1595" t="str">
        <f t="shared" si="128"/>
        <v/>
      </c>
      <c r="AG205" s="1748"/>
      <c r="AH205" s="1749" t="str">
        <f t="shared" si="140"/>
        <v/>
      </c>
      <c r="AI205" s="1615"/>
      <c r="AJ205" s="1616" t="s">
        <v>4041</v>
      </c>
      <c r="AK205" s="1616" t="s">
        <v>3669</v>
      </c>
      <c r="AL205" s="1617"/>
      <c r="AM205" s="247" t="str">
        <f t="shared" si="133"/>
        <v/>
      </c>
      <c r="AN205" s="247" t="str">
        <f t="shared" si="134"/>
        <v/>
      </c>
      <c r="AO205" s="247" t="str">
        <f t="shared" si="135"/>
        <v/>
      </c>
      <c r="AP205" s="247" t="str">
        <f t="shared" si="136"/>
        <v/>
      </c>
      <c r="AQ205" s="42">
        <f t="shared" si="129"/>
        <v>1</v>
      </c>
      <c r="AR205" s="42">
        <f t="shared" si="130"/>
        <v>1</v>
      </c>
      <c r="AS205" s="42">
        <f t="shared" si="131"/>
        <v>1</v>
      </c>
      <c r="AT205" s="42">
        <f t="shared" si="132"/>
        <v>1</v>
      </c>
      <c r="AU205" s="247" t="str">
        <f t="shared" si="137"/>
        <v/>
      </c>
      <c r="AV205" s="247" t="str">
        <f t="shared" si="138"/>
        <v/>
      </c>
    </row>
    <row r="206" spans="1:48" ht="24" x14ac:dyDescent="0.2">
      <c r="A206" s="428" t="s">
        <v>830</v>
      </c>
      <c r="B206" s="429" t="s">
        <v>2595</v>
      </c>
      <c r="C206" s="430" t="s">
        <v>1872</v>
      </c>
      <c r="D206" s="1349" t="s">
        <v>4638</v>
      </c>
      <c r="E206" s="1350" t="s">
        <v>2778</v>
      </c>
      <c r="F206" s="1350" t="s">
        <v>6682</v>
      </c>
      <c r="G206" s="1351" t="s">
        <v>3741</v>
      </c>
      <c r="H206" s="1342" t="s">
        <v>1328</v>
      </c>
      <c r="I206" s="432" t="s">
        <v>1548</v>
      </c>
      <c r="J206" s="431"/>
      <c r="K206" s="431"/>
      <c r="L206" s="431" t="s">
        <v>6542</v>
      </c>
      <c r="M206" s="433" t="s">
        <v>1880</v>
      </c>
      <c r="N206" s="434" t="s">
        <v>2835</v>
      </c>
      <c r="O206" s="1743" t="str">
        <f>VLOOKUP(B206,code_famille_scénario,2)&amp;VLOOKUP(C206,code_actif,2)&amp;", par "&amp;VLOOKUP(N206,code_acteur,2)&amp;", "&amp;VLOOKUP(L206,code_acces,2)</f>
        <v>Altération malveillante (non détectée) de fichiers de données applicatives, par un tiers non autorisé, se connectant par un port de télémaintenance</v>
      </c>
      <c r="P206" s="435">
        <v>1</v>
      </c>
      <c r="Q206" s="1595" t="s">
        <v>1299</v>
      </c>
      <c r="R206" s="1595" t="s">
        <v>4638</v>
      </c>
      <c r="S206" s="1595" t="str">
        <f>Classif!D4</f>
        <v/>
      </c>
      <c r="T206" s="1595">
        <f t="shared" si="125"/>
        <v>3</v>
      </c>
      <c r="U206" s="1744" t="str">
        <f t="shared" si="126"/>
        <v/>
      </c>
      <c r="V206" s="1745">
        <v>1</v>
      </c>
      <c r="W206" s="1745">
        <f>S08A06</f>
        <v>1</v>
      </c>
      <c r="X206" s="1745">
        <f t="shared" si="127"/>
        <v>1</v>
      </c>
      <c r="Y206" s="1745">
        <v>1</v>
      </c>
      <c r="Z206" s="1758">
        <v>1</v>
      </c>
      <c r="AA206" s="1759"/>
      <c r="AB206" s="1748"/>
      <c r="AC206" s="1748"/>
      <c r="AD206" s="1595" t="str">
        <f t="shared" si="139"/>
        <v/>
      </c>
      <c r="AE206" s="1595">
        <f t="shared" si="141"/>
        <v>3</v>
      </c>
      <c r="AF206" s="1595" t="str">
        <f t="shared" si="128"/>
        <v/>
      </c>
      <c r="AG206" s="1748"/>
      <c r="AH206" s="1749" t="str">
        <f t="shared" si="140"/>
        <v/>
      </c>
      <c r="AI206" s="1615"/>
      <c r="AJ206" s="1616" t="s">
        <v>2558</v>
      </c>
      <c r="AK206" s="1616" t="s">
        <v>3669</v>
      </c>
      <c r="AL206" s="1617"/>
      <c r="AM206" s="247" t="str">
        <f t="shared" si="133"/>
        <v/>
      </c>
      <c r="AN206" s="247" t="str">
        <f t="shared" si="134"/>
        <v/>
      </c>
      <c r="AO206" s="247" t="str">
        <f t="shared" si="135"/>
        <v/>
      </c>
      <c r="AP206" s="247" t="str">
        <f t="shared" si="136"/>
        <v/>
      </c>
      <c r="AQ206" s="42">
        <f t="shared" si="129"/>
        <v>1</v>
      </c>
      <c r="AR206" s="42">
        <f t="shared" si="130"/>
        <v>1</v>
      </c>
      <c r="AS206" s="42">
        <f t="shared" si="131"/>
        <v>1</v>
      </c>
      <c r="AT206" s="42">
        <f t="shared" si="132"/>
        <v>1</v>
      </c>
      <c r="AU206" s="247" t="str">
        <f t="shared" si="137"/>
        <v/>
      </c>
      <c r="AV206" s="247" t="str">
        <f t="shared" si="138"/>
        <v/>
      </c>
    </row>
    <row r="207" spans="1:48" ht="24" x14ac:dyDescent="0.2">
      <c r="A207" s="428" t="s">
        <v>831</v>
      </c>
      <c r="B207" s="429" t="s">
        <v>2595</v>
      </c>
      <c r="C207" s="430" t="s">
        <v>1872</v>
      </c>
      <c r="D207" s="1349" t="s">
        <v>4638</v>
      </c>
      <c r="E207" s="1350" t="s">
        <v>1874</v>
      </c>
      <c r="F207" s="1350" t="s">
        <v>6682</v>
      </c>
      <c r="G207" s="1351" t="s">
        <v>3741</v>
      </c>
      <c r="H207" s="1342" t="s">
        <v>1328</v>
      </c>
      <c r="I207" s="432" t="s">
        <v>1548</v>
      </c>
      <c r="J207" s="431"/>
      <c r="K207" s="431"/>
      <c r="L207" s="431"/>
      <c r="M207" s="433" t="s">
        <v>6757</v>
      </c>
      <c r="N207" s="434" t="s">
        <v>4816</v>
      </c>
      <c r="O207" s="1743" t="str">
        <f>VLOOKUP(B207,code_famille_scénario,2)&amp;VLOOKUP(C207,code_actif,2)&amp;" "&amp;VLOOKUP(M207,code_process,2)&amp;" par "&amp;VLOOKUP(N207,code_acteur,2)</f>
        <v>Altération malveillante (non détectée) de fichiers de données applicatives pendant le transport entre sites par un membre  du personnel autorisé</v>
      </c>
      <c r="P207" s="435">
        <v>1</v>
      </c>
      <c r="Q207" s="1595" t="s">
        <v>1299</v>
      </c>
      <c r="R207" s="1595" t="s">
        <v>4638</v>
      </c>
      <c r="S207" s="1595" t="str">
        <f>Classif!D4</f>
        <v/>
      </c>
      <c r="T207" s="1595">
        <f t="shared" si="125"/>
        <v>3</v>
      </c>
      <c r="U207" s="1744" t="str">
        <f t="shared" si="126"/>
        <v/>
      </c>
      <c r="V207" s="1745">
        <v>1</v>
      </c>
      <c r="W207" s="1745">
        <f>MAX(S09B01,S09C02)</f>
        <v>1</v>
      </c>
      <c r="X207" s="1745">
        <f t="shared" si="127"/>
        <v>1</v>
      </c>
      <c r="Y207" s="1745">
        <v>1</v>
      </c>
      <c r="Z207" s="1758">
        <v>1</v>
      </c>
      <c r="AA207" s="1759"/>
      <c r="AB207" s="1748"/>
      <c r="AC207" s="1748"/>
      <c r="AD207" s="1595" t="str">
        <f t="shared" si="139"/>
        <v/>
      </c>
      <c r="AE207" s="1595">
        <f t="shared" si="141"/>
        <v>3</v>
      </c>
      <c r="AF207" s="1595" t="str">
        <f t="shared" si="128"/>
        <v/>
      </c>
      <c r="AG207" s="1748"/>
      <c r="AH207" s="1749" t="str">
        <f t="shared" si="140"/>
        <v/>
      </c>
      <c r="AI207" s="1615"/>
      <c r="AJ207" s="1616" t="s">
        <v>4041</v>
      </c>
      <c r="AK207" s="1616" t="s">
        <v>3669</v>
      </c>
      <c r="AL207" s="1617"/>
      <c r="AM207" s="247" t="str">
        <f t="shared" si="133"/>
        <v/>
      </c>
      <c r="AN207" s="247" t="str">
        <f t="shared" si="134"/>
        <v/>
      </c>
      <c r="AO207" s="247" t="str">
        <f t="shared" si="135"/>
        <v/>
      </c>
      <c r="AP207" s="247" t="str">
        <f t="shared" si="136"/>
        <v/>
      </c>
      <c r="AQ207" s="42">
        <f t="shared" si="129"/>
        <v>1</v>
      </c>
      <c r="AR207" s="42">
        <f t="shared" si="130"/>
        <v>1</v>
      </c>
      <c r="AS207" s="42">
        <f t="shared" si="131"/>
        <v>1</v>
      </c>
      <c r="AT207" s="42">
        <f t="shared" si="132"/>
        <v>1</v>
      </c>
      <c r="AU207" s="247" t="str">
        <f t="shared" si="137"/>
        <v/>
      </c>
      <c r="AV207" s="247" t="str">
        <f t="shared" si="138"/>
        <v/>
      </c>
    </row>
    <row r="208" spans="1:48" ht="24" x14ac:dyDescent="0.2">
      <c r="A208" s="428" t="s">
        <v>832</v>
      </c>
      <c r="B208" s="429" t="s">
        <v>2598</v>
      </c>
      <c r="C208" s="430" t="s">
        <v>1872</v>
      </c>
      <c r="D208" s="1349" t="s">
        <v>4638</v>
      </c>
      <c r="E208" s="1350" t="s">
        <v>1874</v>
      </c>
      <c r="F208" s="1350" t="s">
        <v>6758</v>
      </c>
      <c r="G208" s="1351" t="s">
        <v>4612</v>
      </c>
      <c r="H208" s="1342" t="s">
        <v>1329</v>
      </c>
      <c r="I208" s="432" t="s">
        <v>1548</v>
      </c>
      <c r="J208" s="431"/>
      <c r="K208" s="431"/>
      <c r="L208" s="431"/>
      <c r="M208" s="433" t="s">
        <v>1880</v>
      </c>
      <c r="N208" s="434" t="s">
        <v>4816</v>
      </c>
      <c r="O208" s="1760" t="str">
        <f>VLOOKUP(B208,code_famille_scénario,2)&amp;VLOOKUP(C208,code_actif,2)&amp;" "&amp;VLOOKUP(M208,code_process,2)&amp;" par "&amp;VLOOKUP(N208,code_acteur,2)</f>
        <v>Echange malveillant (non détecté) de media support de fichiers de données applicatives en exploitation par un membre  du personnel autorisé</v>
      </c>
      <c r="P208" s="435">
        <v>1</v>
      </c>
      <c r="Q208" s="1595" t="s">
        <v>1299</v>
      </c>
      <c r="R208" s="1595" t="s">
        <v>4638</v>
      </c>
      <c r="S208" s="1595" t="str">
        <f>Classif!D4</f>
        <v/>
      </c>
      <c r="T208" s="1595">
        <f t="shared" si="125"/>
        <v>2</v>
      </c>
      <c r="U208" s="1744" t="str">
        <f t="shared" si="126"/>
        <v/>
      </c>
      <c r="V208" s="1745">
        <v>1</v>
      </c>
      <c r="W208" s="1745">
        <v>1</v>
      </c>
      <c r="X208" s="1745">
        <f t="shared" si="127"/>
        <v>1</v>
      </c>
      <c r="Y208" s="1745">
        <v>1</v>
      </c>
      <c r="Z208" s="1758">
        <v>1</v>
      </c>
      <c r="AA208" s="1759"/>
      <c r="AB208" s="1748"/>
      <c r="AC208" s="1748"/>
      <c r="AD208" s="1595" t="str">
        <f t="shared" si="139"/>
        <v/>
      </c>
      <c r="AE208" s="1595">
        <f t="shared" si="141"/>
        <v>2</v>
      </c>
      <c r="AF208" s="1595" t="str">
        <f t="shared" si="128"/>
        <v/>
      </c>
      <c r="AG208" s="1748"/>
      <c r="AH208" s="1749" t="str">
        <f t="shared" si="140"/>
        <v/>
      </c>
      <c r="AI208" s="1615"/>
      <c r="AJ208" s="1621"/>
      <c r="AK208" s="1616" t="s">
        <v>3669</v>
      </c>
      <c r="AL208" s="1617"/>
      <c r="AM208" s="247" t="str">
        <f t="shared" si="133"/>
        <v/>
      </c>
      <c r="AN208" s="247" t="str">
        <f t="shared" si="134"/>
        <v/>
      </c>
      <c r="AO208" s="247" t="str">
        <f t="shared" si="135"/>
        <v/>
      </c>
      <c r="AP208" s="247" t="str">
        <f t="shared" si="136"/>
        <v/>
      </c>
      <c r="AQ208" s="42">
        <f t="shared" si="129"/>
        <v>1</v>
      </c>
      <c r="AR208" s="42">
        <f t="shared" si="130"/>
        <v>1</v>
      </c>
      <c r="AS208" s="42">
        <f t="shared" si="131"/>
        <v>1</v>
      </c>
      <c r="AT208" s="42">
        <f t="shared" si="132"/>
        <v>1</v>
      </c>
      <c r="AU208" s="247" t="str">
        <f t="shared" si="137"/>
        <v/>
      </c>
      <c r="AV208" s="247" t="str">
        <f t="shared" si="138"/>
        <v/>
      </c>
    </row>
    <row r="209" spans="1:48" ht="33.75" x14ac:dyDescent="0.2">
      <c r="A209" s="428" t="s">
        <v>833</v>
      </c>
      <c r="B209" s="429" t="s">
        <v>2598</v>
      </c>
      <c r="C209" s="430" t="s">
        <v>1872</v>
      </c>
      <c r="D209" s="1349" t="s">
        <v>4638</v>
      </c>
      <c r="E209" s="1350" t="s">
        <v>1874</v>
      </c>
      <c r="F209" s="1350" t="s">
        <v>6758</v>
      </c>
      <c r="G209" s="1351" t="s">
        <v>4612</v>
      </c>
      <c r="H209" s="1342" t="s">
        <v>1329</v>
      </c>
      <c r="I209" s="432" t="s">
        <v>1548</v>
      </c>
      <c r="J209" s="431"/>
      <c r="K209" s="431"/>
      <c r="L209" s="431"/>
      <c r="M209" s="433" t="s">
        <v>1880</v>
      </c>
      <c r="N209" s="434" t="s">
        <v>3518</v>
      </c>
      <c r="O209" s="1760" t="str">
        <f>VLOOKUP(B209,code_famille_scénario,2)&amp;VLOOKUP(C209,code_actif,2)&amp;" "&amp;VLOOKUP(M209,code_process,2)&amp;" par "&amp;VLOOKUP(N209,code_acteur,2)</f>
        <v>Echange malveillant (non détecté) de media support de fichiers de données applicatives en exploitation par un membre du personnel non autorisé</v>
      </c>
      <c r="P209" s="435">
        <v>1</v>
      </c>
      <c r="Q209" s="1595" t="s">
        <v>1299</v>
      </c>
      <c r="R209" s="1595" t="s">
        <v>4638</v>
      </c>
      <c r="S209" s="1595" t="str">
        <f>Classif!D4</f>
        <v/>
      </c>
      <c r="T209" s="1595">
        <f t="shared" si="125"/>
        <v>2</v>
      </c>
      <c r="U209" s="1744" t="str">
        <f t="shared" si="126"/>
        <v/>
      </c>
      <c r="V209" s="1745">
        <f>MAX(S03B04,S03B05,S03B06)</f>
        <v>1</v>
      </c>
      <c r="W209" s="1745">
        <f>MAX(MIN(S03B01,S03B02,S03B03),S08C02,S09B01,S09C02)</f>
        <v>1</v>
      </c>
      <c r="X209" s="1745">
        <f t="shared" si="127"/>
        <v>1</v>
      </c>
      <c r="Y209" s="1745">
        <v>1</v>
      </c>
      <c r="Z209" s="1758">
        <v>1</v>
      </c>
      <c r="AA209" s="1759"/>
      <c r="AB209" s="1748"/>
      <c r="AC209" s="1748"/>
      <c r="AD209" s="1595" t="str">
        <f t="shared" si="139"/>
        <v/>
      </c>
      <c r="AE209" s="1595">
        <f t="shared" si="141"/>
        <v>2</v>
      </c>
      <c r="AF209" s="1595" t="str">
        <f t="shared" si="128"/>
        <v/>
      </c>
      <c r="AG209" s="1748"/>
      <c r="AH209" s="1749" t="str">
        <f t="shared" si="140"/>
        <v/>
      </c>
      <c r="AI209" s="1620" t="s">
        <v>1440</v>
      </c>
      <c r="AJ209" s="1616" t="s">
        <v>4944</v>
      </c>
      <c r="AK209" s="1616" t="s">
        <v>3669</v>
      </c>
      <c r="AL209" s="1617"/>
      <c r="AM209" s="247" t="str">
        <f t="shared" si="133"/>
        <v/>
      </c>
      <c r="AN209" s="247" t="str">
        <f t="shared" si="134"/>
        <v/>
      </c>
      <c r="AO209" s="247" t="str">
        <f t="shared" si="135"/>
        <v/>
      </c>
      <c r="AP209" s="247" t="str">
        <f t="shared" si="136"/>
        <v/>
      </c>
      <c r="AQ209" s="42">
        <f t="shared" si="129"/>
        <v>1</v>
      </c>
      <c r="AR209" s="42">
        <f t="shared" si="130"/>
        <v>1</v>
      </c>
      <c r="AS209" s="42">
        <f t="shared" si="131"/>
        <v>1</v>
      </c>
      <c r="AT209" s="42">
        <f t="shared" si="132"/>
        <v>1</v>
      </c>
      <c r="AU209" s="247" t="str">
        <f t="shared" si="137"/>
        <v/>
      </c>
      <c r="AV209" s="247" t="str">
        <f t="shared" si="138"/>
        <v/>
      </c>
    </row>
    <row r="210" spans="1:48" ht="36" x14ac:dyDescent="0.2">
      <c r="A210" s="428" t="s">
        <v>834</v>
      </c>
      <c r="B210" s="429" t="s">
        <v>2598</v>
      </c>
      <c r="C210" s="430" t="s">
        <v>1872</v>
      </c>
      <c r="D210" s="1349" t="s">
        <v>4638</v>
      </c>
      <c r="E210" s="1350" t="s">
        <v>1874</v>
      </c>
      <c r="F210" s="1350" t="s">
        <v>6758</v>
      </c>
      <c r="G210" s="1351" t="s">
        <v>4612</v>
      </c>
      <c r="H210" s="1342" t="s">
        <v>1329</v>
      </c>
      <c r="I210" s="432" t="s">
        <v>1548</v>
      </c>
      <c r="J210" s="431"/>
      <c r="K210" s="431"/>
      <c r="L210" s="431"/>
      <c r="M210" s="433" t="s">
        <v>6757</v>
      </c>
      <c r="N210" s="434" t="s">
        <v>4816</v>
      </c>
      <c r="O210" s="1760" t="str">
        <f>VLOOKUP(B210,code_famille_scénario,2)&amp;VLOOKUP(C210,code_actif,2)&amp;" "&amp;VLOOKUP(M210,code_process,2)&amp;" par "&amp;VLOOKUP(N210,code_acteur,2)</f>
        <v>Echange malveillant (non détecté) de media support de fichiers de données applicatives pendant le transport entre sites par un membre  du personnel autorisé</v>
      </c>
      <c r="P210" s="435">
        <v>1</v>
      </c>
      <c r="Q210" s="1595" t="s">
        <v>1299</v>
      </c>
      <c r="R210" s="1595" t="s">
        <v>4638</v>
      </c>
      <c r="S210" s="1595" t="str">
        <f>Classif!D4</f>
        <v/>
      </c>
      <c r="T210" s="1595">
        <f t="shared" si="125"/>
        <v>2</v>
      </c>
      <c r="U210" s="1744" t="str">
        <f t="shared" si="126"/>
        <v/>
      </c>
      <c r="V210" s="1745">
        <v>1</v>
      </c>
      <c r="W210" s="1745">
        <f>MAX(S09B01,S09C02)</f>
        <v>1</v>
      </c>
      <c r="X210" s="1745">
        <f t="shared" si="127"/>
        <v>1</v>
      </c>
      <c r="Y210" s="1745">
        <v>1</v>
      </c>
      <c r="Z210" s="1758">
        <v>1</v>
      </c>
      <c r="AA210" s="1759"/>
      <c r="AB210" s="1748"/>
      <c r="AC210" s="1748"/>
      <c r="AD210" s="1595" t="str">
        <f t="shared" si="139"/>
        <v/>
      </c>
      <c r="AE210" s="1595">
        <f t="shared" si="141"/>
        <v>2</v>
      </c>
      <c r="AF210" s="1595" t="str">
        <f t="shared" si="128"/>
        <v/>
      </c>
      <c r="AG210" s="1748"/>
      <c r="AH210" s="1749" t="str">
        <f t="shared" si="140"/>
        <v/>
      </c>
      <c r="AI210" s="1620"/>
      <c r="AJ210" s="1616" t="s">
        <v>4041</v>
      </c>
      <c r="AK210" s="1616" t="s">
        <v>3669</v>
      </c>
      <c r="AL210" s="1617"/>
      <c r="AM210" s="247" t="str">
        <f t="shared" si="133"/>
        <v/>
      </c>
      <c r="AN210" s="247" t="str">
        <f t="shared" si="134"/>
        <v/>
      </c>
      <c r="AO210" s="247" t="str">
        <f t="shared" si="135"/>
        <v/>
      </c>
      <c r="AP210" s="247" t="str">
        <f t="shared" si="136"/>
        <v/>
      </c>
      <c r="AQ210" s="42">
        <f t="shared" si="129"/>
        <v>1</v>
      </c>
      <c r="AR210" s="42">
        <f t="shared" si="130"/>
        <v>1</v>
      </c>
      <c r="AS210" s="42">
        <f t="shared" si="131"/>
        <v>1</v>
      </c>
      <c r="AT210" s="42">
        <f t="shared" si="132"/>
        <v>1</v>
      </c>
      <c r="AU210" s="247" t="str">
        <f t="shared" si="137"/>
        <v/>
      </c>
      <c r="AV210" s="247" t="str">
        <f t="shared" si="138"/>
        <v/>
      </c>
    </row>
    <row r="211" spans="1:48" ht="15" x14ac:dyDescent="0.2">
      <c r="A211" s="418" t="s">
        <v>1170</v>
      </c>
      <c r="B211" s="419"/>
      <c r="C211" s="420" t="s">
        <v>1195</v>
      </c>
      <c r="D211" s="425"/>
      <c r="E211" s="1348"/>
      <c r="F211" s="1348"/>
      <c r="G211" s="1352"/>
      <c r="H211" s="1295"/>
      <c r="I211" s="454"/>
      <c r="J211" s="441"/>
      <c r="K211" s="441"/>
      <c r="L211" s="441"/>
      <c r="M211" s="442"/>
      <c r="N211" s="422"/>
      <c r="O211" s="1752"/>
      <c r="P211" s="435"/>
      <c r="Q211" s="1595"/>
      <c r="R211" s="1595"/>
      <c r="S211" s="1753"/>
      <c r="T211" s="1595"/>
      <c r="U211" s="1744"/>
      <c r="V211" s="1754"/>
      <c r="W211" s="1754"/>
      <c r="X211" s="1754"/>
      <c r="Y211" s="1754"/>
      <c r="Z211" s="1755"/>
      <c r="AA211" s="1756"/>
      <c r="AB211" s="1748"/>
      <c r="AC211" s="1748"/>
      <c r="AD211" s="1595"/>
      <c r="AE211" s="1753" t="str">
        <f t="shared" si="141"/>
        <v/>
      </c>
      <c r="AF211" s="1595"/>
      <c r="AG211" s="1748"/>
      <c r="AH211" s="1749"/>
      <c r="AI211" s="1627"/>
      <c r="AJ211" s="1628"/>
      <c r="AK211" s="1628"/>
      <c r="AL211" s="1629"/>
      <c r="AM211" s="247" t="str">
        <f t="shared" si="133"/>
        <v/>
      </c>
      <c r="AN211" s="247" t="str">
        <f t="shared" si="134"/>
        <v/>
      </c>
      <c r="AO211" s="247" t="str">
        <f t="shared" si="135"/>
        <v/>
      </c>
      <c r="AP211" s="247" t="str">
        <f t="shared" si="136"/>
        <v/>
      </c>
      <c r="AU211" s="247" t="str">
        <f t="shared" si="137"/>
        <v/>
      </c>
      <c r="AV211" s="247" t="str">
        <f t="shared" si="138"/>
        <v/>
      </c>
    </row>
    <row r="212" spans="1:48" ht="36" x14ac:dyDescent="0.2">
      <c r="A212" s="450" t="s">
        <v>835</v>
      </c>
      <c r="B212" s="429" t="s">
        <v>2494</v>
      </c>
      <c r="C212" s="430" t="s">
        <v>3519</v>
      </c>
      <c r="D212" s="1349" t="s">
        <v>4638</v>
      </c>
      <c r="E212" s="1350" t="s">
        <v>2778</v>
      </c>
      <c r="F212" s="1350" t="s">
        <v>6682</v>
      </c>
      <c r="G212" s="1351" t="s">
        <v>3741</v>
      </c>
      <c r="H212" s="1342" t="s">
        <v>1327</v>
      </c>
      <c r="I212" s="432" t="s">
        <v>1545</v>
      </c>
      <c r="J212" s="431"/>
      <c r="K212" s="431"/>
      <c r="L212" s="431" t="s">
        <v>6541</v>
      </c>
      <c r="M212" s="433" t="s">
        <v>5066</v>
      </c>
      <c r="N212" s="434" t="s">
        <v>1301</v>
      </c>
      <c r="O212" s="1743" t="str">
        <f t="shared" ref="O212:O220" si="142">VLOOKUP(B212,code_famille_scénario,2)&amp;VLOOKUP(C212,code_actif,2)&amp;" "&amp;VLOOKUP(M212,code_process,2)&amp;", par "&amp;VLOOKUP(N212,code_acteur,2)&amp;", "&amp;VLOOKUP(L212,code_acces,2)</f>
        <v>Altération, par erreur de procédure, de configuration bureautiques partagés lors de traitements utilisateurs, par un utilisateur autorisé légitime, se connectant depuis le réseau interne</v>
      </c>
      <c r="P212" s="435">
        <v>1</v>
      </c>
      <c r="Q212" s="1595" t="s">
        <v>6403</v>
      </c>
      <c r="R212" s="1595" t="s">
        <v>4638</v>
      </c>
      <c r="S212" s="1595" t="str">
        <f>Classif!D5</f>
        <v/>
      </c>
      <c r="T212" s="1595">
        <f t="shared" ref="T212:T220" si="143">VLOOKUP(H212&amp;"."&amp;I212,Tab_event,4)</f>
        <v>3</v>
      </c>
      <c r="U212" s="1744" t="str">
        <f t="shared" ref="U212:U220" si="144">IF(AND(NOT(S212=""),NOT(T212="")),INDEX(base_g,5-S212,T212),"")</f>
        <v/>
      </c>
      <c r="V212" s="1745">
        <v>1</v>
      </c>
      <c r="W212" s="1745">
        <f>S11C04</f>
        <v>1</v>
      </c>
      <c r="X212" s="1745">
        <v>1</v>
      </c>
      <c r="Y212" s="1745">
        <v>1</v>
      </c>
      <c r="Z212" s="1746">
        <v>0</v>
      </c>
      <c r="AA212" s="1747"/>
      <c r="AB212" s="1748"/>
      <c r="AC212" s="1748"/>
      <c r="AD212" s="1595" t="str">
        <f t="shared" si="139"/>
        <v/>
      </c>
      <c r="AE212" s="1595">
        <f t="shared" si="141"/>
        <v>3</v>
      </c>
      <c r="AF212" s="1595" t="str">
        <f t="shared" ref="AF212:AF220" si="145">IF(AT212=1,IF(IndG=1,U212,IF(AND(OR(NOT(AD212=""),NOT(AB212="")),OR(NOT(AE212=""),NOT(AC212="")),AT212=1),INDEX(base_g,5-IF(AB212="",AD212,AB212),IF(AC212="",AE212,AC212)),"")),0)</f>
        <v/>
      </c>
      <c r="AG212" s="1748"/>
      <c r="AH212" s="1749" t="str">
        <f t="shared" si="140"/>
        <v/>
      </c>
      <c r="AI212" s="1615"/>
      <c r="AJ212" s="1616" t="s">
        <v>1653</v>
      </c>
      <c r="AK212" s="1618"/>
      <c r="AL212" s="1619"/>
      <c r="AM212" s="247" t="str">
        <f t="shared" si="133"/>
        <v/>
      </c>
      <c r="AN212" s="247" t="str">
        <f t="shared" si="134"/>
        <v/>
      </c>
      <c r="AO212" s="247" t="str">
        <f t="shared" si="135"/>
        <v/>
      </c>
      <c r="AP212" s="247" t="str">
        <f t="shared" si="136"/>
        <v/>
      </c>
      <c r="AQ212" s="42">
        <f t="shared" ref="AQ212:AQ220" si="146">VLOOKUP(LEFT(C212,3),Tab_classif_data,6)</f>
        <v>1</v>
      </c>
      <c r="AR212" s="42">
        <f t="shared" ref="AR212:AR220" si="147">VLOOKUP(G212,select_vul_data,2)</f>
        <v>1</v>
      </c>
      <c r="AS212" s="42">
        <f t="shared" ref="AS212:AS220" si="148">VLOOKUP(H212&amp;"."&amp;I212,select_men,5)</f>
        <v>1</v>
      </c>
      <c r="AT212" s="42">
        <f t="shared" ref="AT212:AT220" si="149">P212*AQ212*AR212*AS212</f>
        <v>1</v>
      </c>
      <c r="AU212" s="247" t="str">
        <f t="shared" si="137"/>
        <v/>
      </c>
      <c r="AV212" s="247" t="str">
        <f t="shared" si="138"/>
        <v/>
      </c>
    </row>
    <row r="213" spans="1:48" ht="36" x14ac:dyDescent="0.2">
      <c r="A213" s="450" t="s">
        <v>836</v>
      </c>
      <c r="B213" s="429" t="s">
        <v>2494</v>
      </c>
      <c r="C213" s="430" t="s">
        <v>3519</v>
      </c>
      <c r="D213" s="1349" t="s">
        <v>4638</v>
      </c>
      <c r="E213" s="1350" t="s">
        <v>2778</v>
      </c>
      <c r="F213" s="1350" t="s">
        <v>6682</v>
      </c>
      <c r="G213" s="1351" t="s">
        <v>3741</v>
      </c>
      <c r="H213" s="1342" t="s">
        <v>1327</v>
      </c>
      <c r="I213" s="432" t="s">
        <v>1545</v>
      </c>
      <c r="J213" s="431"/>
      <c r="K213" s="431"/>
      <c r="L213" s="431" t="s">
        <v>6541</v>
      </c>
      <c r="M213" s="433" t="s">
        <v>5066</v>
      </c>
      <c r="N213" s="434" t="s">
        <v>1302</v>
      </c>
      <c r="O213" s="1743" t="str">
        <f t="shared" si="142"/>
        <v>Altération, par erreur de procédure, de configuration bureautiques partagés lors de traitements utilisateurs, par un utilisateur autorisé illégitime, se connectant depuis le réseau interne</v>
      </c>
      <c r="P213" s="435">
        <v>1</v>
      </c>
      <c r="Q213" s="1595" t="s">
        <v>6403</v>
      </c>
      <c r="R213" s="1595" t="s">
        <v>4638</v>
      </c>
      <c r="S213" s="1595" t="str">
        <f>Classif!D5</f>
        <v/>
      </c>
      <c r="T213" s="1595">
        <f t="shared" si="143"/>
        <v>3</v>
      </c>
      <c r="U213" s="1744" t="str">
        <f t="shared" si="144"/>
        <v/>
      </c>
      <c r="V213" s="1745">
        <v>1</v>
      </c>
      <c r="W213" s="1745">
        <f>MIN(S07A01,S07A02,S08F01)</f>
        <v>1</v>
      </c>
      <c r="X213" s="1745">
        <v>1</v>
      </c>
      <c r="Y213" s="1745">
        <v>1</v>
      </c>
      <c r="Z213" s="1746">
        <v>0</v>
      </c>
      <c r="AA213" s="1747"/>
      <c r="AB213" s="1748"/>
      <c r="AC213" s="1748"/>
      <c r="AD213" s="1595" t="str">
        <f t="shared" si="139"/>
        <v/>
      </c>
      <c r="AE213" s="1595">
        <f t="shared" si="141"/>
        <v>3</v>
      </c>
      <c r="AF213" s="1595" t="str">
        <f t="shared" si="145"/>
        <v/>
      </c>
      <c r="AG213" s="1748"/>
      <c r="AH213" s="1749" t="str">
        <f t="shared" si="140"/>
        <v/>
      </c>
      <c r="AI213" s="1615"/>
      <c r="AJ213" s="1616" t="s">
        <v>4186</v>
      </c>
      <c r="AK213" s="1618"/>
      <c r="AL213" s="1619"/>
      <c r="AM213" s="247" t="str">
        <f t="shared" si="133"/>
        <v/>
      </c>
      <c r="AN213" s="247" t="str">
        <f t="shared" si="134"/>
        <v/>
      </c>
      <c r="AO213" s="247" t="str">
        <f t="shared" si="135"/>
        <v/>
      </c>
      <c r="AP213" s="247" t="str">
        <f t="shared" si="136"/>
        <v/>
      </c>
      <c r="AQ213" s="42">
        <f t="shared" si="146"/>
        <v>1</v>
      </c>
      <c r="AR213" s="42">
        <f t="shared" si="147"/>
        <v>1</v>
      </c>
      <c r="AS213" s="42">
        <f t="shared" si="148"/>
        <v>1</v>
      </c>
      <c r="AT213" s="42">
        <f t="shared" si="149"/>
        <v>1</v>
      </c>
      <c r="AU213" s="247" t="str">
        <f t="shared" si="137"/>
        <v/>
      </c>
      <c r="AV213" s="247" t="str">
        <f t="shared" si="138"/>
        <v/>
      </c>
    </row>
    <row r="214" spans="1:48" ht="36" x14ac:dyDescent="0.2">
      <c r="A214" s="450" t="s">
        <v>837</v>
      </c>
      <c r="B214" s="429" t="s">
        <v>2494</v>
      </c>
      <c r="C214" s="430" t="s">
        <v>3519</v>
      </c>
      <c r="D214" s="1349" t="s">
        <v>4638</v>
      </c>
      <c r="E214" s="1350" t="s">
        <v>2778</v>
      </c>
      <c r="F214" s="1350" t="s">
        <v>6682</v>
      </c>
      <c r="G214" s="1351" t="s">
        <v>3741</v>
      </c>
      <c r="H214" s="1342" t="s">
        <v>1327</v>
      </c>
      <c r="I214" s="432" t="s">
        <v>1545</v>
      </c>
      <c r="J214" s="431"/>
      <c r="K214" s="431"/>
      <c r="L214" s="431" t="s">
        <v>6541</v>
      </c>
      <c r="M214" s="433" t="s">
        <v>5066</v>
      </c>
      <c r="N214" s="434" t="s">
        <v>1303</v>
      </c>
      <c r="O214" s="1743" t="str">
        <f t="shared" si="142"/>
        <v>Altération, par erreur de procédure, de configuration bureautiques partagés lors de traitements utilisateurs, par un utilisateur non autorisé, se connectant depuis le réseau interne</v>
      </c>
      <c r="P214" s="435">
        <v>1</v>
      </c>
      <c r="Q214" s="1595" t="s">
        <v>6403</v>
      </c>
      <c r="R214" s="1595" t="s">
        <v>4638</v>
      </c>
      <c r="S214" s="1595" t="str">
        <f>Classif!D5</f>
        <v/>
      </c>
      <c r="T214" s="1595">
        <f t="shared" si="143"/>
        <v>3</v>
      </c>
      <c r="U214" s="1744" t="str">
        <f t="shared" si="144"/>
        <v/>
      </c>
      <c r="V214" s="1745">
        <v>1</v>
      </c>
      <c r="W214" s="1745">
        <f>MAX(MIN(S08F02,S07A03,S07A04),S11C01,S11C04)</f>
        <v>1</v>
      </c>
      <c r="X214" s="1745">
        <v>1</v>
      </c>
      <c r="Y214" s="1745">
        <v>1</v>
      </c>
      <c r="Z214" s="1746">
        <v>0</v>
      </c>
      <c r="AA214" s="1747"/>
      <c r="AB214" s="1748"/>
      <c r="AC214" s="1748"/>
      <c r="AD214" s="1595" t="str">
        <f t="shared" si="139"/>
        <v/>
      </c>
      <c r="AE214" s="1595">
        <f t="shared" si="141"/>
        <v>3</v>
      </c>
      <c r="AF214" s="1595" t="str">
        <f t="shared" si="145"/>
        <v/>
      </c>
      <c r="AG214" s="1748"/>
      <c r="AH214" s="1749" t="str">
        <f t="shared" si="140"/>
        <v/>
      </c>
      <c r="AI214" s="1615"/>
      <c r="AJ214" s="1616" t="s">
        <v>5271</v>
      </c>
      <c r="AK214" s="1618"/>
      <c r="AL214" s="1619"/>
      <c r="AM214" s="247" t="str">
        <f t="shared" si="133"/>
        <v/>
      </c>
      <c r="AN214" s="247" t="str">
        <f t="shared" si="134"/>
        <v/>
      </c>
      <c r="AO214" s="247" t="str">
        <f t="shared" si="135"/>
        <v/>
      </c>
      <c r="AP214" s="247" t="str">
        <f t="shared" si="136"/>
        <v/>
      </c>
      <c r="AQ214" s="42">
        <f t="shared" si="146"/>
        <v>1</v>
      </c>
      <c r="AR214" s="42">
        <f t="shared" si="147"/>
        <v>1</v>
      </c>
      <c r="AS214" s="42">
        <f t="shared" si="148"/>
        <v>1</v>
      </c>
      <c r="AT214" s="42">
        <f t="shared" si="149"/>
        <v>1</v>
      </c>
      <c r="AU214" s="247" t="str">
        <f t="shared" si="137"/>
        <v/>
      </c>
      <c r="AV214" s="247" t="str">
        <f t="shared" si="138"/>
        <v/>
      </c>
    </row>
    <row r="215" spans="1:48" ht="36" x14ac:dyDescent="0.2">
      <c r="A215" s="450" t="s">
        <v>838</v>
      </c>
      <c r="B215" s="429" t="s">
        <v>2595</v>
      </c>
      <c r="C215" s="430" t="s">
        <v>3519</v>
      </c>
      <c r="D215" s="1349" t="s">
        <v>4638</v>
      </c>
      <c r="E215" s="1350" t="s">
        <v>2778</v>
      </c>
      <c r="F215" s="1350" t="s">
        <v>6682</v>
      </c>
      <c r="G215" s="1351" t="s">
        <v>3741</v>
      </c>
      <c r="H215" s="1342" t="s">
        <v>1328</v>
      </c>
      <c r="I215" s="432" t="s">
        <v>1548</v>
      </c>
      <c r="J215" s="431"/>
      <c r="K215" s="431"/>
      <c r="L215" s="431" t="s">
        <v>6541</v>
      </c>
      <c r="M215" s="433" t="s">
        <v>1880</v>
      </c>
      <c r="N215" s="434" t="s">
        <v>1302</v>
      </c>
      <c r="O215" s="1743" t="str">
        <f t="shared" si="142"/>
        <v>Altération malveillante (non détectée) de fichiers bureautiques partagés en exploitation, par un utilisateur autorisé illégitime, se connectant depuis le réseau interne</v>
      </c>
      <c r="P215" s="435">
        <v>1</v>
      </c>
      <c r="Q215" s="1595" t="s">
        <v>1299</v>
      </c>
      <c r="R215" s="1595" t="s">
        <v>4638</v>
      </c>
      <c r="S215" s="1595" t="str">
        <f>Classif!D5</f>
        <v/>
      </c>
      <c r="T215" s="1595">
        <f t="shared" si="143"/>
        <v>3</v>
      </c>
      <c r="U215" s="1744" t="str">
        <f t="shared" si="144"/>
        <v/>
      </c>
      <c r="V215" s="1745">
        <v>1</v>
      </c>
      <c r="W215" s="1745">
        <f>MIN(S07A01,S07A02,S08F01)</f>
        <v>1</v>
      </c>
      <c r="X215" s="1745">
        <v>1</v>
      </c>
      <c r="Y215" s="1745">
        <v>1</v>
      </c>
      <c r="Z215" s="1746">
        <v>0</v>
      </c>
      <c r="AA215" s="1747"/>
      <c r="AB215" s="1748"/>
      <c r="AC215" s="1748"/>
      <c r="AD215" s="1595" t="str">
        <f t="shared" si="139"/>
        <v/>
      </c>
      <c r="AE215" s="1595">
        <f t="shared" si="141"/>
        <v>3</v>
      </c>
      <c r="AF215" s="1595" t="str">
        <f t="shared" si="145"/>
        <v/>
      </c>
      <c r="AG215" s="1748"/>
      <c r="AH215" s="1749" t="str">
        <f t="shared" si="140"/>
        <v/>
      </c>
      <c r="AI215" s="1620"/>
      <c r="AJ215" s="1616" t="s">
        <v>4186</v>
      </c>
      <c r="AK215" s="1616"/>
      <c r="AL215" s="1617"/>
      <c r="AM215" s="247" t="str">
        <f t="shared" si="133"/>
        <v/>
      </c>
      <c r="AN215" s="247" t="str">
        <f t="shared" si="134"/>
        <v/>
      </c>
      <c r="AO215" s="247" t="str">
        <f t="shared" si="135"/>
        <v/>
      </c>
      <c r="AP215" s="247" t="str">
        <f t="shared" si="136"/>
        <v/>
      </c>
      <c r="AQ215" s="42">
        <f t="shared" si="146"/>
        <v>1</v>
      </c>
      <c r="AR215" s="42">
        <f t="shared" si="147"/>
        <v>1</v>
      </c>
      <c r="AS215" s="42">
        <f t="shared" si="148"/>
        <v>1</v>
      </c>
      <c r="AT215" s="42">
        <f t="shared" si="149"/>
        <v>1</v>
      </c>
      <c r="AU215" s="247" t="str">
        <f t="shared" si="137"/>
        <v/>
      </c>
      <c r="AV215" s="247" t="str">
        <f t="shared" si="138"/>
        <v/>
      </c>
    </row>
    <row r="216" spans="1:48" ht="36" x14ac:dyDescent="0.2">
      <c r="A216" s="450" t="s">
        <v>839</v>
      </c>
      <c r="B216" s="429" t="s">
        <v>2595</v>
      </c>
      <c r="C216" s="430" t="s">
        <v>3519</v>
      </c>
      <c r="D216" s="1349" t="s">
        <v>4638</v>
      </c>
      <c r="E216" s="1350" t="s">
        <v>2778</v>
      </c>
      <c r="F216" s="1350" t="s">
        <v>6682</v>
      </c>
      <c r="G216" s="1351" t="s">
        <v>3741</v>
      </c>
      <c r="H216" s="1342" t="s">
        <v>1328</v>
      </c>
      <c r="I216" s="432" t="s">
        <v>1548</v>
      </c>
      <c r="J216" s="431"/>
      <c r="K216" s="431"/>
      <c r="L216" s="431" t="s">
        <v>6541</v>
      </c>
      <c r="M216" s="433" t="s">
        <v>1880</v>
      </c>
      <c r="N216" s="434" t="s">
        <v>1303</v>
      </c>
      <c r="O216" s="1743" t="str">
        <f t="shared" si="142"/>
        <v>Altération malveillante (non détectée) de fichiers bureautiques partagés en exploitation, par un utilisateur non autorisé, se connectant depuis le réseau interne</v>
      </c>
      <c r="P216" s="435">
        <v>1</v>
      </c>
      <c r="Q216" s="1595" t="s">
        <v>1299</v>
      </c>
      <c r="R216" s="1595" t="s">
        <v>4638</v>
      </c>
      <c r="S216" s="1595" t="str">
        <f>Classif!D5</f>
        <v/>
      </c>
      <c r="T216" s="1595">
        <f t="shared" si="143"/>
        <v>3</v>
      </c>
      <c r="U216" s="1744" t="str">
        <f t="shared" si="144"/>
        <v/>
      </c>
      <c r="V216" s="1745">
        <v>1</v>
      </c>
      <c r="W216" s="1745">
        <f>MAX(MIN(S08F02,S07A03,S07A04),S11C01,S11C04)</f>
        <v>1</v>
      </c>
      <c r="X216" s="1745">
        <v>1</v>
      </c>
      <c r="Y216" s="1745">
        <v>1</v>
      </c>
      <c r="Z216" s="1746">
        <v>0</v>
      </c>
      <c r="AA216" s="1747"/>
      <c r="AB216" s="1748"/>
      <c r="AC216" s="1748"/>
      <c r="AD216" s="1595" t="str">
        <f t="shared" si="139"/>
        <v/>
      </c>
      <c r="AE216" s="1595">
        <f t="shared" si="141"/>
        <v>3</v>
      </c>
      <c r="AF216" s="1595" t="str">
        <f t="shared" si="145"/>
        <v/>
      </c>
      <c r="AG216" s="1748"/>
      <c r="AH216" s="1749" t="str">
        <f t="shared" si="140"/>
        <v/>
      </c>
      <c r="AI216" s="1620"/>
      <c r="AJ216" s="1616" t="s">
        <v>5271</v>
      </c>
      <c r="AK216" s="1616"/>
      <c r="AL216" s="1617"/>
      <c r="AM216" s="247" t="str">
        <f t="shared" si="133"/>
        <v/>
      </c>
      <c r="AN216" s="247" t="str">
        <f t="shared" si="134"/>
        <v/>
      </c>
      <c r="AO216" s="247" t="str">
        <f t="shared" si="135"/>
        <v/>
      </c>
      <c r="AP216" s="247" t="str">
        <f t="shared" si="136"/>
        <v/>
      </c>
      <c r="AQ216" s="42">
        <f t="shared" si="146"/>
        <v>1</v>
      </c>
      <c r="AR216" s="42">
        <f t="shared" si="147"/>
        <v>1</v>
      </c>
      <c r="AS216" s="42">
        <f t="shared" si="148"/>
        <v>1</v>
      </c>
      <c r="AT216" s="42">
        <f t="shared" si="149"/>
        <v>1</v>
      </c>
      <c r="AU216" s="247" t="str">
        <f t="shared" si="137"/>
        <v/>
      </c>
      <c r="AV216" s="247" t="str">
        <f t="shared" si="138"/>
        <v/>
      </c>
    </row>
    <row r="217" spans="1:48" ht="36" x14ac:dyDescent="0.2">
      <c r="A217" s="450" t="s">
        <v>840</v>
      </c>
      <c r="B217" s="429" t="s">
        <v>2595</v>
      </c>
      <c r="C217" s="430" t="s">
        <v>3519</v>
      </c>
      <c r="D217" s="1349" t="s">
        <v>4638</v>
      </c>
      <c r="E217" s="1350" t="s">
        <v>2778</v>
      </c>
      <c r="F217" s="1350" t="s">
        <v>6682</v>
      </c>
      <c r="G217" s="1351" t="s">
        <v>3741</v>
      </c>
      <c r="H217" s="1342" t="s">
        <v>1328</v>
      </c>
      <c r="I217" s="432" t="s">
        <v>1548</v>
      </c>
      <c r="J217" s="431"/>
      <c r="K217" s="431"/>
      <c r="L217" s="431" t="s">
        <v>6541</v>
      </c>
      <c r="M217" s="433" t="s">
        <v>1880</v>
      </c>
      <c r="N217" s="434" t="s">
        <v>6403</v>
      </c>
      <c r="O217" s="1743" t="str">
        <f t="shared" si="142"/>
        <v>Altération malveillante (non détectée) de fichiers bureautiques partagés en exploitation, par un membre du personnel d'exploitation, se connectant depuis le réseau interne</v>
      </c>
      <c r="P217" s="435">
        <v>1</v>
      </c>
      <c r="Q217" s="1595" t="s">
        <v>1299</v>
      </c>
      <c r="R217" s="1595" t="s">
        <v>4638</v>
      </c>
      <c r="S217" s="1595" t="str">
        <f>Classif!D5</f>
        <v/>
      </c>
      <c r="T217" s="1595">
        <f t="shared" si="143"/>
        <v>3</v>
      </c>
      <c r="U217" s="1744" t="str">
        <f t="shared" si="144"/>
        <v/>
      </c>
      <c r="V217" s="1745">
        <v>1</v>
      </c>
      <c r="W217" s="1745">
        <f>MAX(S11C01,S11C04)</f>
        <v>1</v>
      </c>
      <c r="X217" s="1745">
        <v>1</v>
      </c>
      <c r="Y217" s="1745">
        <v>1</v>
      </c>
      <c r="Z217" s="1746">
        <v>0</v>
      </c>
      <c r="AA217" s="1747"/>
      <c r="AB217" s="1748"/>
      <c r="AC217" s="1748"/>
      <c r="AD217" s="1595" t="str">
        <f t="shared" si="139"/>
        <v/>
      </c>
      <c r="AE217" s="1595">
        <f t="shared" si="141"/>
        <v>3</v>
      </c>
      <c r="AF217" s="1595" t="str">
        <f t="shared" si="145"/>
        <v/>
      </c>
      <c r="AG217" s="1748"/>
      <c r="AH217" s="1749" t="str">
        <f t="shared" si="140"/>
        <v/>
      </c>
      <c r="AI217" s="1615"/>
      <c r="AJ217" s="1616" t="s">
        <v>4187</v>
      </c>
      <c r="AK217" s="1616"/>
      <c r="AL217" s="1617"/>
      <c r="AM217" s="247" t="str">
        <f t="shared" si="133"/>
        <v/>
      </c>
      <c r="AN217" s="247" t="str">
        <f t="shared" si="134"/>
        <v/>
      </c>
      <c r="AO217" s="247" t="str">
        <f t="shared" si="135"/>
        <v/>
      </c>
      <c r="AP217" s="247" t="str">
        <f t="shared" si="136"/>
        <v/>
      </c>
      <c r="AQ217" s="42">
        <f t="shared" si="146"/>
        <v>1</v>
      </c>
      <c r="AR217" s="42">
        <f t="shared" si="147"/>
        <v>1</v>
      </c>
      <c r="AS217" s="42">
        <f t="shared" si="148"/>
        <v>1</v>
      </c>
      <c r="AT217" s="42">
        <f t="shared" si="149"/>
        <v>1</v>
      </c>
      <c r="AU217" s="247" t="str">
        <f t="shared" si="137"/>
        <v/>
      </c>
      <c r="AV217" s="247" t="str">
        <f t="shared" si="138"/>
        <v/>
      </c>
    </row>
    <row r="218" spans="1:48" ht="36" x14ac:dyDescent="0.2">
      <c r="A218" s="450" t="s">
        <v>571</v>
      </c>
      <c r="B218" s="429" t="s">
        <v>2595</v>
      </c>
      <c r="C218" s="430" t="s">
        <v>3519</v>
      </c>
      <c r="D218" s="1349" t="s">
        <v>4638</v>
      </c>
      <c r="E218" s="1350" t="s">
        <v>2778</v>
      </c>
      <c r="F218" s="1350" t="s">
        <v>6682</v>
      </c>
      <c r="G218" s="1351" t="s">
        <v>3741</v>
      </c>
      <c r="H218" s="1342" t="s">
        <v>1328</v>
      </c>
      <c r="I218" s="432" t="s">
        <v>1548</v>
      </c>
      <c r="J218" s="431"/>
      <c r="K218" s="431"/>
      <c r="L218" s="431" t="s">
        <v>6541</v>
      </c>
      <c r="M218" s="433" t="s">
        <v>1880</v>
      </c>
      <c r="N218" s="434" t="s">
        <v>1299</v>
      </c>
      <c r="O218" s="1743" t="str">
        <f t="shared" si="142"/>
        <v>Altération malveillante (non détectée) de fichiers bureautiques partagés en exploitation, par un membre du personnel de maintenance, se connectant depuis le réseau interne</v>
      </c>
      <c r="P218" s="435">
        <v>1</v>
      </c>
      <c r="Q218" s="1595" t="s">
        <v>1299</v>
      </c>
      <c r="R218" s="1595" t="s">
        <v>4638</v>
      </c>
      <c r="S218" s="1595" t="str">
        <f>Classif!D5</f>
        <v/>
      </c>
      <c r="T218" s="1595">
        <f t="shared" si="143"/>
        <v>3</v>
      </c>
      <c r="U218" s="1744" t="str">
        <f t="shared" si="144"/>
        <v/>
      </c>
      <c r="V218" s="1745">
        <v>1</v>
      </c>
      <c r="W218" s="1745">
        <f>MAX(S11C01,S11C03,S11C04)</f>
        <v>1</v>
      </c>
      <c r="X218" s="1745">
        <v>1</v>
      </c>
      <c r="Y218" s="1745">
        <v>1</v>
      </c>
      <c r="Z218" s="1746">
        <v>0</v>
      </c>
      <c r="AA218" s="1747"/>
      <c r="AB218" s="1748"/>
      <c r="AC218" s="1748"/>
      <c r="AD218" s="1595" t="str">
        <f t="shared" si="139"/>
        <v/>
      </c>
      <c r="AE218" s="1595">
        <f t="shared" si="141"/>
        <v>3</v>
      </c>
      <c r="AF218" s="1595" t="str">
        <f t="shared" si="145"/>
        <v/>
      </c>
      <c r="AG218" s="1748"/>
      <c r="AH218" s="1749" t="str">
        <f t="shared" si="140"/>
        <v/>
      </c>
      <c r="AI218" s="1615"/>
      <c r="AJ218" s="1616" t="s">
        <v>3211</v>
      </c>
      <c r="AK218" s="1616"/>
      <c r="AL218" s="1617"/>
      <c r="AM218" s="247" t="str">
        <f t="shared" si="133"/>
        <v/>
      </c>
      <c r="AN218" s="247" t="str">
        <f t="shared" si="134"/>
        <v/>
      </c>
      <c r="AO218" s="247" t="str">
        <f t="shared" si="135"/>
        <v/>
      </c>
      <c r="AP218" s="247" t="str">
        <f t="shared" si="136"/>
        <v/>
      </c>
      <c r="AQ218" s="42">
        <f t="shared" si="146"/>
        <v>1</v>
      </c>
      <c r="AR218" s="42">
        <f t="shared" si="147"/>
        <v>1</v>
      </c>
      <c r="AS218" s="42">
        <f t="shared" si="148"/>
        <v>1</v>
      </c>
      <c r="AT218" s="42">
        <f t="shared" si="149"/>
        <v>1</v>
      </c>
      <c r="AU218" s="247" t="str">
        <f t="shared" si="137"/>
        <v/>
      </c>
      <c r="AV218" s="247" t="str">
        <f t="shared" si="138"/>
        <v/>
      </c>
    </row>
    <row r="219" spans="1:48" ht="36" x14ac:dyDescent="0.2">
      <c r="A219" s="450" t="s">
        <v>572</v>
      </c>
      <c r="B219" s="429" t="s">
        <v>2598</v>
      </c>
      <c r="C219" s="430" t="s">
        <v>3519</v>
      </c>
      <c r="D219" s="1349" t="s">
        <v>4638</v>
      </c>
      <c r="E219" s="1350" t="s">
        <v>1874</v>
      </c>
      <c r="F219" s="1350" t="s">
        <v>6758</v>
      </c>
      <c r="G219" s="1351" t="s">
        <v>4612</v>
      </c>
      <c r="H219" s="1342" t="s">
        <v>1329</v>
      </c>
      <c r="I219" s="432" t="s">
        <v>1548</v>
      </c>
      <c r="J219" s="431"/>
      <c r="K219" s="431"/>
      <c r="L219" s="431" t="s">
        <v>6541</v>
      </c>
      <c r="M219" s="433" t="s">
        <v>1880</v>
      </c>
      <c r="N219" s="434" t="s">
        <v>4816</v>
      </c>
      <c r="O219" s="1743" t="str">
        <f t="shared" si="142"/>
        <v>Echange malveillant (non détecté) de media support de fichiers bureautiques partagés en exploitation, par un membre  du personnel autorisé, se connectant depuis le réseau interne</v>
      </c>
      <c r="P219" s="435">
        <v>1</v>
      </c>
      <c r="Q219" s="1595" t="s">
        <v>1299</v>
      </c>
      <c r="R219" s="1595" t="s">
        <v>4638</v>
      </c>
      <c r="S219" s="1595" t="str">
        <f>Classif!D5</f>
        <v/>
      </c>
      <c r="T219" s="1595">
        <f t="shared" si="143"/>
        <v>2</v>
      </c>
      <c r="U219" s="1744" t="str">
        <f t="shared" si="144"/>
        <v/>
      </c>
      <c r="V219" s="1745">
        <v>1</v>
      </c>
      <c r="W219" s="1745">
        <f>MAX(S11C01,S11C04)</f>
        <v>1</v>
      </c>
      <c r="X219" s="1745">
        <v>1</v>
      </c>
      <c r="Y219" s="1745">
        <v>1</v>
      </c>
      <c r="Z219" s="1746">
        <v>0</v>
      </c>
      <c r="AA219" s="1747"/>
      <c r="AB219" s="1748"/>
      <c r="AC219" s="1748"/>
      <c r="AD219" s="1595" t="str">
        <f t="shared" si="139"/>
        <v/>
      </c>
      <c r="AE219" s="1595">
        <f t="shared" si="141"/>
        <v>2</v>
      </c>
      <c r="AF219" s="1595" t="str">
        <f t="shared" si="145"/>
        <v/>
      </c>
      <c r="AG219" s="1748"/>
      <c r="AH219" s="1749" t="str">
        <f t="shared" si="140"/>
        <v/>
      </c>
      <c r="AI219" s="1615"/>
      <c r="AJ219" s="1616" t="s">
        <v>4187</v>
      </c>
      <c r="AK219" s="1616"/>
      <c r="AL219" s="1617"/>
      <c r="AM219" s="247" t="str">
        <f t="shared" si="133"/>
        <v/>
      </c>
      <c r="AN219" s="247" t="str">
        <f t="shared" si="134"/>
        <v/>
      </c>
      <c r="AO219" s="247" t="str">
        <f t="shared" si="135"/>
        <v/>
      </c>
      <c r="AP219" s="247" t="str">
        <f t="shared" si="136"/>
        <v/>
      </c>
      <c r="AQ219" s="42">
        <f t="shared" si="146"/>
        <v>1</v>
      </c>
      <c r="AR219" s="42">
        <f t="shared" si="147"/>
        <v>1</v>
      </c>
      <c r="AS219" s="42">
        <f t="shared" si="148"/>
        <v>1</v>
      </c>
      <c r="AT219" s="42">
        <f t="shared" si="149"/>
        <v>1</v>
      </c>
      <c r="AU219" s="247" t="str">
        <f t="shared" si="137"/>
        <v/>
      </c>
      <c r="AV219" s="247" t="str">
        <f t="shared" si="138"/>
        <v/>
      </c>
    </row>
    <row r="220" spans="1:48" ht="36" x14ac:dyDescent="0.2">
      <c r="A220" s="450" t="s">
        <v>573</v>
      </c>
      <c r="B220" s="429" t="s">
        <v>2598</v>
      </c>
      <c r="C220" s="430" t="s">
        <v>3519</v>
      </c>
      <c r="D220" s="1349" t="s">
        <v>4638</v>
      </c>
      <c r="E220" s="1350" t="s">
        <v>1874</v>
      </c>
      <c r="F220" s="1350" t="s">
        <v>6758</v>
      </c>
      <c r="G220" s="1351" t="s">
        <v>4612</v>
      </c>
      <c r="H220" s="1342" t="s">
        <v>1329</v>
      </c>
      <c r="I220" s="432" t="s">
        <v>1548</v>
      </c>
      <c r="J220" s="431"/>
      <c r="K220" s="431"/>
      <c r="L220" s="431" t="s">
        <v>6541</v>
      </c>
      <c r="M220" s="433" t="s">
        <v>1880</v>
      </c>
      <c r="N220" s="434" t="s">
        <v>3518</v>
      </c>
      <c r="O220" s="1743" t="str">
        <f t="shared" si="142"/>
        <v>Echange malveillant (non détecté) de media support de fichiers bureautiques partagés en exploitation, par un membre du personnel non autorisé, se connectant depuis le réseau interne</v>
      </c>
      <c r="P220" s="435">
        <v>1</v>
      </c>
      <c r="Q220" s="1595" t="s">
        <v>1299</v>
      </c>
      <c r="R220" s="1595" t="s">
        <v>4638</v>
      </c>
      <c r="S220" s="1595" t="str">
        <f>Classif!D5</f>
        <v/>
      </c>
      <c r="T220" s="1595">
        <f t="shared" si="143"/>
        <v>2</v>
      </c>
      <c r="U220" s="1744" t="str">
        <f t="shared" si="144"/>
        <v/>
      </c>
      <c r="V220" s="1745">
        <f>MAX(S03B04,S03B05,S03B06)</f>
        <v>1</v>
      </c>
      <c r="W220" s="1745">
        <f>MAX(MIN(S03B01,S03B02,S03B03),S08C02,S11C01,S11C04)</f>
        <v>1</v>
      </c>
      <c r="X220" s="1745">
        <v>1</v>
      </c>
      <c r="Y220" s="1745">
        <v>1</v>
      </c>
      <c r="Z220" s="1746">
        <v>0</v>
      </c>
      <c r="AA220" s="1747"/>
      <c r="AB220" s="1748"/>
      <c r="AC220" s="1748"/>
      <c r="AD220" s="1595" t="str">
        <f t="shared" si="139"/>
        <v/>
      </c>
      <c r="AE220" s="1595">
        <f t="shared" si="141"/>
        <v>2</v>
      </c>
      <c r="AF220" s="1595" t="str">
        <f t="shared" si="145"/>
        <v/>
      </c>
      <c r="AG220" s="1748"/>
      <c r="AH220" s="1749" t="str">
        <f t="shared" si="140"/>
        <v/>
      </c>
      <c r="AI220" s="1620" t="s">
        <v>1440</v>
      </c>
      <c r="AJ220" s="1616" t="s">
        <v>3272</v>
      </c>
      <c r="AK220" s="1616"/>
      <c r="AL220" s="1617"/>
      <c r="AM220" s="247" t="str">
        <f t="shared" si="133"/>
        <v/>
      </c>
      <c r="AN220" s="247" t="str">
        <f t="shared" si="134"/>
        <v/>
      </c>
      <c r="AO220" s="247" t="str">
        <f t="shared" si="135"/>
        <v/>
      </c>
      <c r="AP220" s="247" t="str">
        <f t="shared" si="136"/>
        <v/>
      </c>
      <c r="AQ220" s="42">
        <f t="shared" si="146"/>
        <v>1</v>
      </c>
      <c r="AR220" s="42">
        <f t="shared" si="147"/>
        <v>1</v>
      </c>
      <c r="AS220" s="42">
        <f t="shared" si="148"/>
        <v>1</v>
      </c>
      <c r="AT220" s="42">
        <f t="shared" si="149"/>
        <v>1</v>
      </c>
      <c r="AU220" s="247" t="str">
        <f t="shared" si="137"/>
        <v/>
      </c>
      <c r="AV220" s="247" t="str">
        <f t="shared" si="138"/>
        <v/>
      </c>
    </row>
    <row r="221" spans="1:48" ht="15" x14ac:dyDescent="0.2">
      <c r="A221" s="418" t="s">
        <v>1171</v>
      </c>
      <c r="B221" s="419"/>
      <c r="C221" s="420" t="s">
        <v>3953</v>
      </c>
      <c r="D221" s="425"/>
      <c r="E221" s="1348"/>
      <c r="F221" s="1348"/>
      <c r="G221" s="1352"/>
      <c r="H221" s="1295"/>
      <c r="I221" s="454"/>
      <c r="J221" s="441"/>
      <c r="K221" s="441"/>
      <c r="L221" s="441"/>
      <c r="M221" s="442"/>
      <c r="N221" s="422"/>
      <c r="O221" s="1752"/>
      <c r="P221" s="435"/>
      <c r="Q221" s="1595"/>
      <c r="R221" s="1595"/>
      <c r="S221" s="1753"/>
      <c r="T221" s="1595"/>
      <c r="U221" s="1744"/>
      <c r="V221" s="1754"/>
      <c r="W221" s="1754"/>
      <c r="X221" s="1754"/>
      <c r="Y221" s="1754"/>
      <c r="Z221" s="1755"/>
      <c r="AA221" s="1756"/>
      <c r="AB221" s="1748"/>
      <c r="AC221" s="1748"/>
      <c r="AD221" s="1595"/>
      <c r="AE221" s="1753" t="str">
        <f t="shared" si="141"/>
        <v/>
      </c>
      <c r="AF221" s="1595"/>
      <c r="AG221" s="1748"/>
      <c r="AH221" s="1749"/>
      <c r="AI221" s="1627"/>
      <c r="AJ221" s="1628"/>
      <c r="AK221" s="1628"/>
      <c r="AL221" s="1629"/>
      <c r="AM221" s="247" t="str">
        <f t="shared" si="133"/>
        <v/>
      </c>
      <c r="AN221" s="247" t="str">
        <f t="shared" si="134"/>
        <v/>
      </c>
      <c r="AO221" s="247" t="str">
        <f t="shared" si="135"/>
        <v/>
      </c>
      <c r="AP221" s="247" t="str">
        <f t="shared" si="136"/>
        <v/>
      </c>
      <c r="AU221" s="247" t="str">
        <f t="shared" si="137"/>
        <v/>
      </c>
      <c r="AV221" s="247" t="str">
        <f t="shared" si="138"/>
        <v/>
      </c>
    </row>
    <row r="222" spans="1:48" ht="36" x14ac:dyDescent="0.2">
      <c r="A222" s="450" t="s">
        <v>574</v>
      </c>
      <c r="B222" s="429" t="s">
        <v>2494</v>
      </c>
      <c r="C222" s="430" t="s">
        <v>3521</v>
      </c>
      <c r="D222" s="1349" t="s">
        <v>4638</v>
      </c>
      <c r="E222" s="1350" t="s">
        <v>2778</v>
      </c>
      <c r="F222" s="1350" t="s">
        <v>6682</v>
      </c>
      <c r="G222" s="1351" t="s">
        <v>3741</v>
      </c>
      <c r="H222" s="1342" t="s">
        <v>1327</v>
      </c>
      <c r="I222" s="432" t="s">
        <v>1545</v>
      </c>
      <c r="J222" s="431"/>
      <c r="K222" s="431"/>
      <c r="L222" s="431" t="s">
        <v>1562</v>
      </c>
      <c r="M222" s="433" t="s">
        <v>5066</v>
      </c>
      <c r="N222" s="434" t="s">
        <v>1301</v>
      </c>
      <c r="O222" s="1743" t="str">
        <f>VLOOKUP(B222,code_famille_scénario,2)&amp;VLOOKUP(C222,code_actif,2)&amp;" "&amp;VLOOKUP(M222,code_process,2)&amp;", par "&amp;VLOOKUP(N222,code_acteur,2)&amp;", "&amp;VLOOKUP(L222,code_acces,2)</f>
        <v>Altération, par erreur de procédure, de configuration bureautiques personnels  lors de traitements utilisateurs, par un utilisateur autorisé légitime, se connectant directement au poste de travail</v>
      </c>
      <c r="P222" s="435">
        <v>1</v>
      </c>
      <c r="Q222" s="1595" t="s">
        <v>6403</v>
      </c>
      <c r="R222" s="1595" t="s">
        <v>4638</v>
      </c>
      <c r="S222" s="1595" t="str">
        <f>Classif!D6</f>
        <v/>
      </c>
      <c r="T222" s="1595">
        <f t="shared" ref="T222:T228" si="150">VLOOKUP(H222&amp;"."&amp;I222,Tab_event,4)</f>
        <v>3</v>
      </c>
      <c r="U222" s="1744" t="str">
        <f t="shared" ref="U222:U228" si="151">IF(AND(NOT(S222=""),NOT(T222="")),INDEX(base_g,5-S222,T222),"")</f>
        <v/>
      </c>
      <c r="V222" s="1745">
        <v>1</v>
      </c>
      <c r="W222" s="1745">
        <f>S11C04</f>
        <v>1</v>
      </c>
      <c r="X222" s="1745">
        <v>1</v>
      </c>
      <c r="Y222" s="1745">
        <v>1</v>
      </c>
      <c r="Z222" s="1746">
        <v>0</v>
      </c>
      <c r="AA222" s="1747"/>
      <c r="AB222" s="1748"/>
      <c r="AC222" s="1748"/>
      <c r="AD222" s="1595" t="str">
        <f t="shared" si="139"/>
        <v/>
      </c>
      <c r="AE222" s="1595">
        <f t="shared" si="141"/>
        <v>3</v>
      </c>
      <c r="AF222" s="1595" t="str">
        <f t="shared" ref="AF222:AF228" si="152">IF(AT222=1,IF(IndG=1,U222,IF(AND(OR(NOT(AD222=""),NOT(AB222="")),OR(NOT(AE222=""),NOT(AC222="")),AT222=1),INDEX(base_g,5-IF(AB222="",AD222,AB222),IF(AC222="",AE222,AC222)),"")),0)</f>
        <v/>
      </c>
      <c r="AG222" s="1748"/>
      <c r="AH222" s="1749" t="str">
        <f t="shared" si="140"/>
        <v/>
      </c>
      <c r="AI222" s="1615"/>
      <c r="AJ222" s="1616" t="s">
        <v>1653</v>
      </c>
      <c r="AK222" s="1618"/>
      <c r="AL222" s="1619"/>
      <c r="AM222" s="247" t="str">
        <f t="shared" si="133"/>
        <v/>
      </c>
      <c r="AN222" s="247" t="str">
        <f t="shared" si="134"/>
        <v/>
      </c>
      <c r="AO222" s="247" t="str">
        <f t="shared" si="135"/>
        <v/>
      </c>
      <c r="AP222" s="247" t="str">
        <f t="shared" si="136"/>
        <v/>
      </c>
      <c r="AQ222" s="42">
        <f t="shared" ref="AQ222:AQ228" si="153">VLOOKUP(LEFT(C222,3),Tab_classif_data,6)</f>
        <v>1</v>
      </c>
      <c r="AR222" s="42">
        <f t="shared" ref="AR222:AR228" si="154">VLOOKUP(G222,select_vul_data,2)</f>
        <v>1</v>
      </c>
      <c r="AS222" s="42">
        <f t="shared" ref="AS222:AS228" si="155">VLOOKUP(H222&amp;"."&amp;I222,select_men,5)</f>
        <v>1</v>
      </c>
      <c r="AT222" s="42">
        <f t="shared" ref="AT222:AT228" si="156">P222*AQ222*AR222*AS222</f>
        <v>1</v>
      </c>
      <c r="AU222" s="247" t="str">
        <f t="shared" si="137"/>
        <v/>
      </c>
      <c r="AV222" s="247" t="str">
        <f t="shared" si="138"/>
        <v/>
      </c>
    </row>
    <row r="223" spans="1:48" ht="36" x14ac:dyDescent="0.2">
      <c r="A223" s="450" t="s">
        <v>575</v>
      </c>
      <c r="B223" s="429" t="s">
        <v>2494</v>
      </c>
      <c r="C223" s="430" t="s">
        <v>3521</v>
      </c>
      <c r="D223" s="1349" t="s">
        <v>4638</v>
      </c>
      <c r="E223" s="1350" t="s">
        <v>2778</v>
      </c>
      <c r="F223" s="1350" t="s">
        <v>6682</v>
      </c>
      <c r="G223" s="1351" t="s">
        <v>3741</v>
      </c>
      <c r="H223" s="1342" t="s">
        <v>1327</v>
      </c>
      <c r="I223" s="432" t="s">
        <v>1545</v>
      </c>
      <c r="J223" s="431"/>
      <c r="K223" s="431"/>
      <c r="L223" s="431" t="s">
        <v>1562</v>
      </c>
      <c r="M223" s="433" t="s">
        <v>5066</v>
      </c>
      <c r="N223" s="434" t="s">
        <v>1303</v>
      </c>
      <c r="O223" s="1743" t="str">
        <f>VLOOKUP(B223,code_famille_scénario,2)&amp;VLOOKUP(C223,code_actif,2)&amp;" "&amp;VLOOKUP(M223,code_process,2)&amp;", par "&amp;VLOOKUP(N223,code_acteur,2)&amp;", "&amp;VLOOKUP(L223,code_acces,2)</f>
        <v>Altération, par erreur de procédure, de configuration bureautiques personnels  lors de traitements utilisateurs, par un utilisateur non autorisé, se connectant directement au poste de travail</v>
      </c>
      <c r="P223" s="435">
        <v>1</v>
      </c>
      <c r="Q223" s="1595" t="s">
        <v>6403</v>
      </c>
      <c r="R223" s="1595" t="s">
        <v>4638</v>
      </c>
      <c r="S223" s="1595" t="str">
        <f>Classif!D6</f>
        <v/>
      </c>
      <c r="T223" s="1595">
        <f t="shared" si="150"/>
        <v>3</v>
      </c>
      <c r="U223" s="1744" t="str">
        <f t="shared" si="151"/>
        <v/>
      </c>
      <c r="V223" s="1745">
        <v>1</v>
      </c>
      <c r="W223" s="1745">
        <f>MAX(S11B01,S11C04)</f>
        <v>1</v>
      </c>
      <c r="X223" s="1745">
        <v>1</v>
      </c>
      <c r="Y223" s="1745">
        <v>1</v>
      </c>
      <c r="Z223" s="1746">
        <v>0</v>
      </c>
      <c r="AA223" s="1747"/>
      <c r="AB223" s="1748"/>
      <c r="AC223" s="1748"/>
      <c r="AD223" s="1595" t="str">
        <f t="shared" si="139"/>
        <v/>
      </c>
      <c r="AE223" s="1595">
        <f t="shared" si="141"/>
        <v>3</v>
      </c>
      <c r="AF223" s="1595" t="str">
        <f t="shared" si="152"/>
        <v/>
      </c>
      <c r="AG223" s="1748"/>
      <c r="AH223" s="1749" t="str">
        <f t="shared" si="140"/>
        <v/>
      </c>
      <c r="AI223" s="1615"/>
      <c r="AJ223" s="1616" t="s">
        <v>5270</v>
      </c>
      <c r="AK223" s="1618"/>
      <c r="AL223" s="1619"/>
      <c r="AM223" s="247" t="str">
        <f t="shared" si="133"/>
        <v/>
      </c>
      <c r="AN223" s="247" t="str">
        <f t="shared" si="134"/>
        <v/>
      </c>
      <c r="AO223" s="247" t="str">
        <f t="shared" si="135"/>
        <v/>
      </c>
      <c r="AP223" s="247" t="str">
        <f t="shared" si="136"/>
        <v/>
      </c>
      <c r="AQ223" s="42">
        <f t="shared" si="153"/>
        <v>1</v>
      </c>
      <c r="AR223" s="42">
        <f t="shared" si="154"/>
        <v>1</v>
      </c>
      <c r="AS223" s="42">
        <f t="shared" si="155"/>
        <v>1</v>
      </c>
      <c r="AT223" s="42">
        <f t="shared" si="156"/>
        <v>1</v>
      </c>
      <c r="AU223" s="247" t="str">
        <f t="shared" si="137"/>
        <v/>
      </c>
      <c r="AV223" s="247" t="str">
        <f t="shared" si="138"/>
        <v/>
      </c>
    </row>
    <row r="224" spans="1:48" ht="36" x14ac:dyDescent="0.2">
      <c r="A224" s="450" t="s">
        <v>576</v>
      </c>
      <c r="B224" s="429" t="s">
        <v>2595</v>
      </c>
      <c r="C224" s="430" t="s">
        <v>3521</v>
      </c>
      <c r="D224" s="1349" t="s">
        <v>4638</v>
      </c>
      <c r="E224" s="1350" t="s">
        <v>2778</v>
      </c>
      <c r="F224" s="1350" t="s">
        <v>6682</v>
      </c>
      <c r="G224" s="1351" t="s">
        <v>3741</v>
      </c>
      <c r="H224" s="1342" t="s">
        <v>1328</v>
      </c>
      <c r="I224" s="432" t="s">
        <v>1548</v>
      </c>
      <c r="J224" s="431"/>
      <c r="K224" s="431"/>
      <c r="L224" s="431" t="s">
        <v>6541</v>
      </c>
      <c r="M224" s="433" t="s">
        <v>4946</v>
      </c>
      <c r="N224" s="434" t="s">
        <v>6403</v>
      </c>
      <c r="O224" s="1743" t="str">
        <f>VLOOKUP(B224,code_famille_scénario,2)&amp;VLOOKUP(C224,code_actif,2)&amp;" "&amp;VLOOKUP(M224,code_process,2)&amp;", par "&amp;VLOOKUP(N224,code_acteur,2)&amp;", "&amp;VLOOKUP(L224,code_acces,2)</f>
        <v>Altération malveillante (non détectée) de fichiers bureautiques personnels  stocké sur le poste de travail, par un membre du personnel d'exploitation, se connectant depuis le réseau interne</v>
      </c>
      <c r="P224" s="435">
        <v>1</v>
      </c>
      <c r="Q224" s="1595" t="s">
        <v>1299</v>
      </c>
      <c r="R224" s="1595" t="s">
        <v>4638</v>
      </c>
      <c r="S224" s="1595" t="str">
        <f>Classif!D6</f>
        <v/>
      </c>
      <c r="T224" s="1595">
        <f t="shared" si="150"/>
        <v>3</v>
      </c>
      <c r="U224" s="1744" t="str">
        <f t="shared" si="151"/>
        <v/>
      </c>
      <c r="V224" s="1745">
        <v>1</v>
      </c>
      <c r="W224" s="1745">
        <f>MAX(S11C01,S11C04)</f>
        <v>1</v>
      </c>
      <c r="X224" s="1745">
        <v>1</v>
      </c>
      <c r="Y224" s="1745">
        <v>1</v>
      </c>
      <c r="Z224" s="1746">
        <v>0</v>
      </c>
      <c r="AA224" s="1747"/>
      <c r="AB224" s="1748"/>
      <c r="AC224" s="1748"/>
      <c r="AD224" s="1595" t="str">
        <f t="shared" si="139"/>
        <v/>
      </c>
      <c r="AE224" s="1595">
        <f t="shared" si="141"/>
        <v>3</v>
      </c>
      <c r="AF224" s="1595" t="str">
        <f t="shared" si="152"/>
        <v/>
      </c>
      <c r="AG224" s="1748"/>
      <c r="AH224" s="1749" t="str">
        <f t="shared" si="140"/>
        <v/>
      </c>
      <c r="AI224" s="1615"/>
      <c r="AJ224" s="1616" t="s">
        <v>4187</v>
      </c>
      <c r="AK224" s="1616"/>
      <c r="AL224" s="1617"/>
      <c r="AM224" s="247" t="str">
        <f t="shared" si="133"/>
        <v/>
      </c>
      <c r="AN224" s="247" t="str">
        <f t="shared" si="134"/>
        <v/>
      </c>
      <c r="AO224" s="247" t="str">
        <f t="shared" si="135"/>
        <v/>
      </c>
      <c r="AP224" s="247" t="str">
        <f t="shared" si="136"/>
        <v/>
      </c>
      <c r="AQ224" s="42">
        <f t="shared" si="153"/>
        <v>1</v>
      </c>
      <c r="AR224" s="42">
        <f t="shared" si="154"/>
        <v>1</v>
      </c>
      <c r="AS224" s="42">
        <f t="shared" si="155"/>
        <v>1</v>
      </c>
      <c r="AT224" s="42">
        <f t="shared" si="156"/>
        <v>1</v>
      </c>
      <c r="AU224" s="247" t="str">
        <f t="shared" si="137"/>
        <v/>
      </c>
      <c r="AV224" s="247" t="str">
        <f t="shared" si="138"/>
        <v/>
      </c>
    </row>
    <row r="225" spans="1:48" ht="24" x14ac:dyDescent="0.2">
      <c r="A225" s="450" t="s">
        <v>577</v>
      </c>
      <c r="B225" s="429" t="s">
        <v>2595</v>
      </c>
      <c r="C225" s="430" t="s">
        <v>3521</v>
      </c>
      <c r="D225" s="1349" t="s">
        <v>4638</v>
      </c>
      <c r="E225" s="1350" t="s">
        <v>2778</v>
      </c>
      <c r="F225" s="1350" t="s">
        <v>6682</v>
      </c>
      <c r="G225" s="1351" t="s">
        <v>3741</v>
      </c>
      <c r="H225" s="1342" t="s">
        <v>1328</v>
      </c>
      <c r="I225" s="432" t="s">
        <v>1548</v>
      </c>
      <c r="J225" s="431"/>
      <c r="K225" s="431"/>
      <c r="L225" s="431"/>
      <c r="M225" s="433" t="s">
        <v>4946</v>
      </c>
      <c r="N225" s="434" t="s">
        <v>1299</v>
      </c>
      <c r="O225" s="1743" t="str">
        <f>VLOOKUP(B225,code_famille_scénario,2)&amp;VLOOKUP(C225,code_actif,2)&amp;" "&amp;VLOOKUP(M225,code_process,2)&amp;" par "&amp;VLOOKUP(N225,code_acteur,2)</f>
        <v>Altération malveillante (non détectée) de fichiers bureautiques personnels  stocké sur le poste de travail par un membre du personnel de maintenance</v>
      </c>
      <c r="P225" s="435">
        <v>1</v>
      </c>
      <c r="Q225" s="1595" t="s">
        <v>1299</v>
      </c>
      <c r="R225" s="1595" t="s">
        <v>4638</v>
      </c>
      <c r="S225" s="1595" t="str">
        <f>Classif!D6</f>
        <v/>
      </c>
      <c r="T225" s="1595">
        <f t="shared" si="150"/>
        <v>3</v>
      </c>
      <c r="U225" s="1744" t="str">
        <f t="shared" si="151"/>
        <v/>
      </c>
      <c r="V225" s="1745">
        <v>1</v>
      </c>
      <c r="W225" s="1745">
        <f>MAX(S11C01,S11C03,S11C04)</f>
        <v>1</v>
      </c>
      <c r="X225" s="1745">
        <v>1</v>
      </c>
      <c r="Y225" s="1745">
        <v>1</v>
      </c>
      <c r="Z225" s="1746">
        <v>0</v>
      </c>
      <c r="AA225" s="1747"/>
      <c r="AB225" s="1748"/>
      <c r="AC225" s="1748"/>
      <c r="AD225" s="1595" t="str">
        <f t="shared" si="139"/>
        <v/>
      </c>
      <c r="AE225" s="1595">
        <f t="shared" si="141"/>
        <v>3</v>
      </c>
      <c r="AF225" s="1595" t="str">
        <f t="shared" si="152"/>
        <v/>
      </c>
      <c r="AG225" s="1748"/>
      <c r="AH225" s="1749" t="str">
        <f t="shared" si="140"/>
        <v/>
      </c>
      <c r="AI225" s="1615"/>
      <c r="AJ225" s="1616" t="s">
        <v>3211</v>
      </c>
      <c r="AK225" s="1616"/>
      <c r="AL225" s="1617"/>
      <c r="AM225" s="247" t="str">
        <f t="shared" si="133"/>
        <v/>
      </c>
      <c r="AN225" s="247" t="str">
        <f t="shared" si="134"/>
        <v/>
      </c>
      <c r="AO225" s="247" t="str">
        <f t="shared" si="135"/>
        <v/>
      </c>
      <c r="AP225" s="247" t="str">
        <f t="shared" si="136"/>
        <v/>
      </c>
      <c r="AQ225" s="42">
        <f t="shared" si="153"/>
        <v>1</v>
      </c>
      <c r="AR225" s="42">
        <f t="shared" si="154"/>
        <v>1</v>
      </c>
      <c r="AS225" s="42">
        <f t="shared" si="155"/>
        <v>1</v>
      </c>
      <c r="AT225" s="42">
        <f t="shared" si="156"/>
        <v>1</v>
      </c>
      <c r="AU225" s="247" t="str">
        <f t="shared" si="137"/>
        <v/>
      </c>
      <c r="AV225" s="247" t="str">
        <f t="shared" si="138"/>
        <v/>
      </c>
    </row>
    <row r="226" spans="1:48" ht="24" x14ac:dyDescent="0.2">
      <c r="A226" s="450" t="s">
        <v>578</v>
      </c>
      <c r="B226" s="429" t="s">
        <v>2595</v>
      </c>
      <c r="C226" s="430" t="s">
        <v>3521</v>
      </c>
      <c r="D226" s="1349" t="s">
        <v>4638</v>
      </c>
      <c r="E226" s="1350" t="s">
        <v>1874</v>
      </c>
      <c r="F226" s="1350" t="s">
        <v>6682</v>
      </c>
      <c r="G226" s="1351" t="s">
        <v>3741</v>
      </c>
      <c r="H226" s="1342" t="s">
        <v>1328</v>
      </c>
      <c r="I226" s="432" t="s">
        <v>1548</v>
      </c>
      <c r="J226" s="431"/>
      <c r="K226" s="431"/>
      <c r="L226" s="431"/>
      <c r="M226" s="433" t="s">
        <v>4870</v>
      </c>
      <c r="N226" s="434" t="s">
        <v>4816</v>
      </c>
      <c r="O226" s="1743" t="str">
        <f>VLOOKUP(B226,code_famille_scénario,2)&amp;VLOOKUP(C226,code_actif,2)&amp;" "&amp;VLOOKUP(M226,code_process,2)&amp;" par "&amp;VLOOKUP(N226,code_acteur,2)</f>
        <v>Altération malveillante (non détectée) de fichiers bureautiques personnels  stocké sur media amovible par un membre  du personnel autorisé</v>
      </c>
      <c r="P226" s="435">
        <v>1</v>
      </c>
      <c r="Q226" s="1595" t="s">
        <v>1299</v>
      </c>
      <c r="R226" s="1595" t="s">
        <v>4638</v>
      </c>
      <c r="S226" s="1595" t="str">
        <f>Classif!D6</f>
        <v/>
      </c>
      <c r="T226" s="1595">
        <f t="shared" si="150"/>
        <v>3</v>
      </c>
      <c r="U226" s="1744" t="str">
        <f t="shared" si="151"/>
        <v/>
      </c>
      <c r="V226" s="1745">
        <v>1</v>
      </c>
      <c r="W226" s="1745">
        <f>S11C02</f>
        <v>1</v>
      </c>
      <c r="X226" s="1745">
        <v>1</v>
      </c>
      <c r="Y226" s="1745">
        <v>1</v>
      </c>
      <c r="Z226" s="1746">
        <v>0</v>
      </c>
      <c r="AA226" s="1747"/>
      <c r="AB226" s="1748"/>
      <c r="AC226" s="1748"/>
      <c r="AD226" s="1595" t="str">
        <f t="shared" si="139"/>
        <v/>
      </c>
      <c r="AE226" s="1595">
        <f t="shared" si="141"/>
        <v>3</v>
      </c>
      <c r="AF226" s="1595" t="str">
        <f t="shared" si="152"/>
        <v/>
      </c>
      <c r="AG226" s="1748"/>
      <c r="AH226" s="1749" t="str">
        <f t="shared" si="140"/>
        <v/>
      </c>
      <c r="AI226" s="1615"/>
      <c r="AJ226" s="1621" t="s">
        <v>1320</v>
      </c>
      <c r="AK226" s="1618"/>
      <c r="AL226" s="1619"/>
      <c r="AM226" s="247" t="str">
        <f t="shared" si="133"/>
        <v/>
      </c>
      <c r="AN226" s="247" t="str">
        <f t="shared" si="134"/>
        <v/>
      </c>
      <c r="AO226" s="247" t="str">
        <f t="shared" si="135"/>
        <v/>
      </c>
      <c r="AP226" s="247" t="str">
        <f t="shared" si="136"/>
        <v/>
      </c>
      <c r="AQ226" s="42">
        <f t="shared" si="153"/>
        <v>1</v>
      </c>
      <c r="AR226" s="42">
        <f t="shared" si="154"/>
        <v>1</v>
      </c>
      <c r="AS226" s="42">
        <f t="shared" si="155"/>
        <v>1</v>
      </c>
      <c r="AT226" s="42">
        <f t="shared" si="156"/>
        <v>1</v>
      </c>
      <c r="AU226" s="247" t="str">
        <f t="shared" si="137"/>
        <v/>
      </c>
      <c r="AV226" s="247" t="str">
        <f t="shared" si="138"/>
        <v/>
      </c>
    </row>
    <row r="227" spans="1:48" ht="36" x14ac:dyDescent="0.2">
      <c r="A227" s="450" t="s">
        <v>579</v>
      </c>
      <c r="B227" s="429" t="s">
        <v>2595</v>
      </c>
      <c r="C227" s="430" t="s">
        <v>3521</v>
      </c>
      <c r="D227" s="1349" t="s">
        <v>4638</v>
      </c>
      <c r="E227" s="1350" t="s">
        <v>2778</v>
      </c>
      <c r="F227" s="1350" t="s">
        <v>6682</v>
      </c>
      <c r="G227" s="1351" t="s">
        <v>3741</v>
      </c>
      <c r="H227" s="1342" t="s">
        <v>1328</v>
      </c>
      <c r="I227" s="432" t="s">
        <v>1548</v>
      </c>
      <c r="J227" s="431"/>
      <c r="K227" s="431" t="s">
        <v>3523</v>
      </c>
      <c r="L227" s="431" t="s">
        <v>1562</v>
      </c>
      <c r="M227" s="433" t="s">
        <v>4945</v>
      </c>
      <c r="N227" s="434" t="s">
        <v>1303</v>
      </c>
      <c r="O227" s="1743" t="str">
        <f>VLOOKUP(B227,code_famille_scénario,2)&amp;VLOOKUP(C227,code_actif,2)&amp;" "&amp;VLOOKUP(M227,code_process,2)&amp;", par "&amp;VLOOKUP(N227,code_acteur,2)&amp;", "&amp;VLOOKUP(L227,code_acces,2)</f>
        <v>Altération malveillante (non détectée) de fichiers bureautiques personnels  ouvert sur le poste de travail, par un utilisateur non autorisé, se connectant directement au poste de travail</v>
      </c>
      <c r="P227" s="435">
        <v>1</v>
      </c>
      <c r="Q227" s="1595" t="s">
        <v>1299</v>
      </c>
      <c r="R227" s="1595" t="s">
        <v>4638</v>
      </c>
      <c r="S227" s="1595" t="str">
        <f>Classif!D6</f>
        <v/>
      </c>
      <c r="T227" s="1595">
        <f t="shared" si="150"/>
        <v>3</v>
      </c>
      <c r="U227" s="1744" t="str">
        <f t="shared" si="151"/>
        <v/>
      </c>
      <c r="V227" s="1745">
        <v>1</v>
      </c>
      <c r="W227" s="1745">
        <f>MAX(S11B01,S11C01,S11C04)</f>
        <v>1</v>
      </c>
      <c r="X227" s="1745">
        <v>1</v>
      </c>
      <c r="Y227" s="1745">
        <v>1</v>
      </c>
      <c r="Z227" s="1746">
        <v>0</v>
      </c>
      <c r="AA227" s="1747"/>
      <c r="AB227" s="1748"/>
      <c r="AC227" s="1748"/>
      <c r="AD227" s="1595" t="str">
        <f t="shared" si="139"/>
        <v/>
      </c>
      <c r="AE227" s="1595">
        <f t="shared" si="141"/>
        <v>3</v>
      </c>
      <c r="AF227" s="1595" t="str">
        <f t="shared" si="152"/>
        <v/>
      </c>
      <c r="AG227" s="1748"/>
      <c r="AH227" s="1749" t="str">
        <f t="shared" si="140"/>
        <v/>
      </c>
      <c r="AI227" s="1620"/>
      <c r="AJ227" s="1616" t="s">
        <v>3273</v>
      </c>
      <c r="AK227" s="1616"/>
      <c r="AL227" s="1617"/>
      <c r="AM227" s="247" t="str">
        <f t="shared" si="133"/>
        <v/>
      </c>
      <c r="AN227" s="247" t="str">
        <f t="shared" si="134"/>
        <v/>
      </c>
      <c r="AO227" s="247" t="str">
        <f t="shared" si="135"/>
        <v/>
      </c>
      <c r="AP227" s="247" t="str">
        <f t="shared" si="136"/>
        <v/>
      </c>
      <c r="AQ227" s="42">
        <f t="shared" si="153"/>
        <v>1</v>
      </c>
      <c r="AR227" s="42">
        <f t="shared" si="154"/>
        <v>1</v>
      </c>
      <c r="AS227" s="42">
        <f t="shared" si="155"/>
        <v>1</v>
      </c>
      <c r="AT227" s="42">
        <f t="shared" si="156"/>
        <v>1</v>
      </c>
      <c r="AU227" s="247" t="str">
        <f t="shared" si="137"/>
        <v/>
      </c>
      <c r="AV227" s="247" t="str">
        <f t="shared" si="138"/>
        <v/>
      </c>
    </row>
    <row r="228" spans="1:48" ht="24" x14ac:dyDescent="0.2">
      <c r="A228" s="450" t="s">
        <v>580</v>
      </c>
      <c r="B228" s="429" t="s">
        <v>2598</v>
      </c>
      <c r="C228" s="430" t="s">
        <v>3521</v>
      </c>
      <c r="D228" s="1349" t="s">
        <v>4638</v>
      </c>
      <c r="E228" s="1350" t="s">
        <v>1874</v>
      </c>
      <c r="F228" s="1350" t="s">
        <v>6758</v>
      </c>
      <c r="G228" s="1351" t="s">
        <v>4612</v>
      </c>
      <c r="H228" s="1342" t="s">
        <v>1329</v>
      </c>
      <c r="I228" s="432" t="s">
        <v>1548</v>
      </c>
      <c r="J228" s="431"/>
      <c r="K228" s="431"/>
      <c r="L228" s="431"/>
      <c r="M228" s="433" t="s">
        <v>4870</v>
      </c>
      <c r="N228" s="434" t="s">
        <v>4816</v>
      </c>
      <c r="O228" s="1760" t="str">
        <f>VLOOKUP(B228,code_famille_scénario,2)&amp;VLOOKUP(C228,code_actif,2)&amp;" "&amp;VLOOKUP(M228,code_process,2)&amp;" par "&amp;VLOOKUP(N228,code_acteur,2)</f>
        <v>Echange malveillant (non détecté) de media support de fichiers bureautiques personnels  stocké sur media amovible par un membre  du personnel autorisé</v>
      </c>
      <c r="P228" s="435">
        <v>1</v>
      </c>
      <c r="Q228" s="1595" t="s">
        <v>1299</v>
      </c>
      <c r="R228" s="1595" t="s">
        <v>4638</v>
      </c>
      <c r="S228" s="1595" t="str">
        <f>Classif!D6</f>
        <v/>
      </c>
      <c r="T228" s="1595">
        <f t="shared" si="150"/>
        <v>2</v>
      </c>
      <c r="U228" s="1744" t="str">
        <f t="shared" si="151"/>
        <v/>
      </c>
      <c r="V228" s="1745">
        <v>1</v>
      </c>
      <c r="W228" s="1745">
        <f>S11C02</f>
        <v>1</v>
      </c>
      <c r="X228" s="1745">
        <v>1</v>
      </c>
      <c r="Y228" s="1745">
        <v>1</v>
      </c>
      <c r="Z228" s="1746">
        <v>0</v>
      </c>
      <c r="AA228" s="1747"/>
      <c r="AB228" s="1748"/>
      <c r="AC228" s="1748"/>
      <c r="AD228" s="1595" t="str">
        <f t="shared" si="139"/>
        <v/>
      </c>
      <c r="AE228" s="1595">
        <f t="shared" si="141"/>
        <v>2</v>
      </c>
      <c r="AF228" s="1595" t="str">
        <f t="shared" si="152"/>
        <v/>
      </c>
      <c r="AG228" s="1748"/>
      <c r="AH228" s="1749" t="str">
        <f t="shared" si="140"/>
        <v/>
      </c>
      <c r="AI228" s="1615"/>
      <c r="AJ228" s="1621" t="s">
        <v>1320</v>
      </c>
      <c r="AK228" s="1618"/>
      <c r="AL228" s="1619"/>
      <c r="AM228" s="247" t="str">
        <f t="shared" si="133"/>
        <v/>
      </c>
      <c r="AN228" s="247" t="str">
        <f t="shared" si="134"/>
        <v/>
      </c>
      <c r="AO228" s="247" t="str">
        <f t="shared" si="135"/>
        <v/>
      </c>
      <c r="AP228" s="247" t="str">
        <f t="shared" si="136"/>
        <v/>
      </c>
      <c r="AQ228" s="42">
        <f t="shared" si="153"/>
        <v>1</v>
      </c>
      <c r="AR228" s="42">
        <f t="shared" si="154"/>
        <v>1</v>
      </c>
      <c r="AS228" s="42">
        <f t="shared" si="155"/>
        <v>1</v>
      </c>
      <c r="AT228" s="42">
        <f t="shared" si="156"/>
        <v>1</v>
      </c>
      <c r="AU228" s="247" t="str">
        <f t="shared" si="137"/>
        <v/>
      </c>
      <c r="AV228" s="247" t="str">
        <f t="shared" si="138"/>
        <v/>
      </c>
    </row>
    <row r="229" spans="1:48" ht="15" x14ac:dyDescent="0.2">
      <c r="A229" s="418" t="s">
        <v>1172</v>
      </c>
      <c r="B229" s="419"/>
      <c r="C229" s="420" t="s">
        <v>2948</v>
      </c>
      <c r="D229" s="425"/>
      <c r="E229" s="1348"/>
      <c r="F229" s="1348"/>
      <c r="G229" s="1352"/>
      <c r="H229" s="1295"/>
      <c r="I229" s="454"/>
      <c r="J229" s="441"/>
      <c r="K229" s="441"/>
      <c r="L229" s="441"/>
      <c r="M229" s="442"/>
      <c r="N229" s="422"/>
      <c r="O229" s="1752"/>
      <c r="P229" s="435"/>
      <c r="Q229" s="1595"/>
      <c r="R229" s="1595"/>
      <c r="S229" s="1753"/>
      <c r="T229" s="1595"/>
      <c r="U229" s="1744"/>
      <c r="V229" s="1754"/>
      <c r="W229" s="1754"/>
      <c r="X229" s="1754"/>
      <c r="Y229" s="1754"/>
      <c r="Z229" s="1755"/>
      <c r="AA229" s="1756"/>
      <c r="AB229" s="1748"/>
      <c r="AC229" s="1748"/>
      <c r="AD229" s="1595"/>
      <c r="AE229" s="1753" t="str">
        <f t="shared" si="141"/>
        <v/>
      </c>
      <c r="AF229" s="1595"/>
      <c r="AG229" s="1748"/>
      <c r="AH229" s="1749"/>
      <c r="AI229" s="1627"/>
      <c r="AJ229" s="1628"/>
      <c r="AK229" s="1628"/>
      <c r="AL229" s="1629"/>
      <c r="AM229" s="247" t="str">
        <f t="shared" si="133"/>
        <v/>
      </c>
      <c r="AN229" s="247" t="str">
        <f t="shared" si="134"/>
        <v/>
      </c>
      <c r="AO229" s="247" t="str">
        <f t="shared" si="135"/>
        <v/>
      </c>
      <c r="AP229" s="247" t="str">
        <f t="shared" si="136"/>
        <v/>
      </c>
      <c r="AU229" s="247" t="str">
        <f t="shared" si="137"/>
        <v/>
      </c>
      <c r="AV229" s="247" t="str">
        <f t="shared" si="138"/>
        <v/>
      </c>
    </row>
    <row r="230" spans="1:48" ht="24" x14ac:dyDescent="0.2">
      <c r="A230" s="428" t="s">
        <v>581</v>
      </c>
      <c r="B230" s="429" t="s">
        <v>2949</v>
      </c>
      <c r="C230" s="430" t="s">
        <v>3992</v>
      </c>
      <c r="D230" s="1349" t="s">
        <v>4638</v>
      </c>
      <c r="E230" s="1350" t="s">
        <v>5477</v>
      </c>
      <c r="F230" s="1350" t="s">
        <v>6682</v>
      </c>
      <c r="G230" s="1351" t="s">
        <v>3741</v>
      </c>
      <c r="H230" s="1342" t="s">
        <v>1327</v>
      </c>
      <c r="I230" s="432" t="s">
        <v>1056</v>
      </c>
      <c r="J230" s="431"/>
      <c r="K230" s="431"/>
      <c r="L230" s="431"/>
      <c r="M230" s="433"/>
      <c r="N230" s="434"/>
      <c r="O230" s="1743" t="str">
        <f>VLOOKUP(B230,code_famille_scénario,2)&amp;" "&amp;VLOOKUP(I230,code_event,2)</f>
        <v>Altération de données individuellement sensibles par erreur de saisie ou de frappe</v>
      </c>
      <c r="P230" s="435">
        <v>1</v>
      </c>
      <c r="Q230" s="1595" t="s">
        <v>6403</v>
      </c>
      <c r="R230" s="1595" t="s">
        <v>4638</v>
      </c>
      <c r="S230" s="1595" t="str">
        <f>Classif!D9</f>
        <v/>
      </c>
      <c r="T230" s="1595">
        <f t="shared" ref="T230:T243" si="157">VLOOKUP(H230&amp;"."&amp;I230,Tab_event,4)</f>
        <v>3</v>
      </c>
      <c r="U230" s="1744" t="str">
        <f t="shared" ref="U230:U243" si="158">IF(AND(NOT(S230=""),NOT(T230="")),INDEX(base_g,5-S230,T230),"")</f>
        <v/>
      </c>
      <c r="V230" s="1745">
        <v>1</v>
      </c>
      <c r="W230" s="1745">
        <f>S09B03</f>
        <v>1</v>
      </c>
      <c r="X230" s="1745">
        <f t="shared" ref="X230:X241" si="159">S09B04</f>
        <v>1</v>
      </c>
      <c r="Y230" s="1745">
        <v>1</v>
      </c>
      <c r="Z230" s="1758">
        <v>1</v>
      </c>
      <c r="AA230" s="1759"/>
      <c r="AB230" s="1748"/>
      <c r="AC230" s="1748"/>
      <c r="AD230" s="1595" t="str">
        <f t="shared" si="139"/>
        <v/>
      </c>
      <c r="AE230" s="1595">
        <f t="shared" si="141"/>
        <v>3</v>
      </c>
      <c r="AF230" s="1595" t="str">
        <f t="shared" ref="AF230:AF243" si="160">IF(AT230=1,IF(IndG=1,U230,IF(AND(OR(NOT(AD230=""),NOT(AB230="")),OR(NOT(AE230=""),NOT(AC230="")),AT230=1),INDEX(base_g,5-IF(AB230="",AD230,AB230),IF(AC230="",AE230,AC230)),"")),0)</f>
        <v/>
      </c>
      <c r="AG230" s="1748"/>
      <c r="AH230" s="1749" t="str">
        <f t="shared" si="140"/>
        <v/>
      </c>
      <c r="AI230" s="1615"/>
      <c r="AJ230" s="1616" t="s">
        <v>3667</v>
      </c>
      <c r="AK230" s="1616" t="s">
        <v>3669</v>
      </c>
      <c r="AL230" s="1631"/>
      <c r="AM230" s="247" t="str">
        <f t="shared" si="133"/>
        <v/>
      </c>
      <c r="AN230" s="247" t="str">
        <f t="shared" si="134"/>
        <v/>
      </c>
      <c r="AO230" s="247" t="str">
        <f t="shared" si="135"/>
        <v/>
      </c>
      <c r="AP230" s="247" t="str">
        <f t="shared" si="136"/>
        <v/>
      </c>
      <c r="AQ230" s="42">
        <f t="shared" ref="AQ230:AQ243" si="161">VLOOKUP(LEFT(C230,3),Tab_classif_data,6)</f>
        <v>1</v>
      </c>
      <c r="AR230" s="42">
        <f t="shared" ref="AR230:AR243" si="162">VLOOKUP(G230,select_vul_data,2)</f>
        <v>1</v>
      </c>
      <c r="AS230" s="42">
        <f t="shared" ref="AS230:AS243" si="163">VLOOKUP(H230&amp;"."&amp;I230,select_men,5)</f>
        <v>1</v>
      </c>
      <c r="AT230" s="42">
        <f t="shared" ref="AT230:AT243" si="164">P230*AQ230*AR230*AS230</f>
        <v>1</v>
      </c>
      <c r="AU230" s="247" t="str">
        <f t="shared" si="137"/>
        <v/>
      </c>
      <c r="AV230" s="247" t="str">
        <f t="shared" si="138"/>
        <v/>
      </c>
    </row>
    <row r="231" spans="1:48" ht="24" x14ac:dyDescent="0.2">
      <c r="A231" s="428" t="s">
        <v>582</v>
      </c>
      <c r="B231" s="429" t="s">
        <v>2907</v>
      </c>
      <c r="C231" s="430" t="s">
        <v>3992</v>
      </c>
      <c r="D231" s="1349" t="s">
        <v>4638</v>
      </c>
      <c r="E231" s="1350" t="s">
        <v>5477</v>
      </c>
      <c r="F231" s="1350" t="s">
        <v>6682</v>
      </c>
      <c r="G231" s="1351" t="s">
        <v>3741</v>
      </c>
      <c r="H231" s="1342" t="s">
        <v>1328</v>
      </c>
      <c r="I231" s="432" t="s">
        <v>1548</v>
      </c>
      <c r="J231" s="431"/>
      <c r="K231" s="431"/>
      <c r="L231" s="431" t="s">
        <v>6541</v>
      </c>
      <c r="M231" s="433" t="s">
        <v>1880</v>
      </c>
      <c r="N231" s="434" t="s">
        <v>1301</v>
      </c>
      <c r="O231" s="1743" t="str">
        <f>VLOOKUP(B231,code_famille_scénario,2)&amp;VLOOKUP(C231,code_actif,2)&amp;" "&amp;VLOOKUP(M231,code_process,2)&amp;", par "&amp;VLOOKUP(N231,code_acteur,2)&amp;", "&amp;VLOOKUP(L231,code_acces,2)</f>
        <v>Manipulation malveillante données (individuellement) sensibles en exploitation, par un utilisateur autorisé légitime, se connectant depuis le réseau interne</v>
      </c>
      <c r="P231" s="435">
        <v>1</v>
      </c>
      <c r="Q231" s="1595" t="s">
        <v>1299</v>
      </c>
      <c r="R231" s="1595" t="s">
        <v>4638</v>
      </c>
      <c r="S231" s="1595" t="str">
        <f>Classif!D9</f>
        <v/>
      </c>
      <c r="T231" s="1595">
        <f t="shared" si="157"/>
        <v>3</v>
      </c>
      <c r="U231" s="1744" t="str">
        <f t="shared" si="158"/>
        <v/>
      </c>
      <c r="V231" s="1745">
        <f>S09B03</f>
        <v>1</v>
      </c>
      <c r="W231" s="1745">
        <f>S09B03</f>
        <v>1</v>
      </c>
      <c r="X231" s="1745">
        <f t="shared" si="159"/>
        <v>1</v>
      </c>
      <c r="Y231" s="1745">
        <v>1</v>
      </c>
      <c r="Z231" s="1758">
        <v>1</v>
      </c>
      <c r="AA231" s="1759"/>
      <c r="AB231" s="1748"/>
      <c r="AC231" s="1748"/>
      <c r="AD231" s="1595" t="str">
        <f t="shared" si="139"/>
        <v/>
      </c>
      <c r="AE231" s="1595">
        <f t="shared" si="141"/>
        <v>3</v>
      </c>
      <c r="AF231" s="1595" t="str">
        <f t="shared" si="160"/>
        <v/>
      </c>
      <c r="AG231" s="1748"/>
      <c r="AH231" s="1749" t="str">
        <f t="shared" si="140"/>
        <v/>
      </c>
      <c r="AI231" s="1620" t="s">
        <v>3667</v>
      </c>
      <c r="AJ231" s="1616" t="s">
        <v>3667</v>
      </c>
      <c r="AK231" s="1616" t="s">
        <v>3669</v>
      </c>
      <c r="AL231" s="1619"/>
      <c r="AM231" s="247" t="str">
        <f t="shared" si="133"/>
        <v/>
      </c>
      <c r="AN231" s="247" t="str">
        <f t="shared" si="134"/>
        <v/>
      </c>
      <c r="AO231" s="247" t="str">
        <f t="shared" si="135"/>
        <v/>
      </c>
      <c r="AP231" s="247" t="str">
        <f t="shared" si="136"/>
        <v/>
      </c>
      <c r="AQ231" s="42">
        <f t="shared" si="161"/>
        <v>1</v>
      </c>
      <c r="AR231" s="42">
        <f t="shared" si="162"/>
        <v>1</v>
      </c>
      <c r="AS231" s="42">
        <f t="shared" si="163"/>
        <v>1</v>
      </c>
      <c r="AT231" s="42">
        <f t="shared" si="164"/>
        <v>1</v>
      </c>
      <c r="AU231" s="247" t="str">
        <f t="shared" si="137"/>
        <v/>
      </c>
      <c r="AV231" s="247" t="str">
        <f t="shared" si="138"/>
        <v/>
      </c>
    </row>
    <row r="232" spans="1:48" ht="45" x14ac:dyDescent="0.2">
      <c r="A232" s="428" t="s">
        <v>583</v>
      </c>
      <c r="B232" s="429" t="s">
        <v>2907</v>
      </c>
      <c r="C232" s="430" t="s">
        <v>3992</v>
      </c>
      <c r="D232" s="1349" t="s">
        <v>4638</v>
      </c>
      <c r="E232" s="1350" t="s">
        <v>5477</v>
      </c>
      <c r="F232" s="1350" t="s">
        <v>6682</v>
      </c>
      <c r="G232" s="1351" t="s">
        <v>3741</v>
      </c>
      <c r="H232" s="1342" t="s">
        <v>1328</v>
      </c>
      <c r="I232" s="432" t="s">
        <v>1548</v>
      </c>
      <c r="J232" s="431"/>
      <c r="K232" s="431"/>
      <c r="L232" s="431" t="s">
        <v>6541</v>
      </c>
      <c r="M232" s="433" t="s">
        <v>1880</v>
      </c>
      <c r="N232" s="434" t="s">
        <v>3518</v>
      </c>
      <c r="O232" s="1743" t="str">
        <f>VLOOKUP(B232,code_famille_scénario,2)&amp;VLOOKUP(C232,code_actif,2)&amp;" "&amp;VLOOKUP(M232,code_process,2)&amp;", par "&amp;VLOOKUP(N232,code_acteur,2)&amp;", "&amp;VLOOKUP(L232,code_acces,2)</f>
        <v>Manipulation malveillante données (individuellement) sensibles en exploitation, par un membre du personnel non autorisé, se connectant depuis le réseau interne</v>
      </c>
      <c r="P232" s="435">
        <v>1</v>
      </c>
      <c r="Q232" s="1595" t="s">
        <v>1299</v>
      </c>
      <c r="R232" s="1595" t="s">
        <v>4638</v>
      </c>
      <c r="S232" s="1595" t="str">
        <f>Classif!D9</f>
        <v/>
      </c>
      <c r="T232" s="1595">
        <f t="shared" si="157"/>
        <v>3</v>
      </c>
      <c r="U232" s="1744" t="str">
        <f t="shared" si="158"/>
        <v/>
      </c>
      <c r="V232" s="1745">
        <v>1</v>
      </c>
      <c r="W232" s="1745">
        <f>MAX(MIN(S07A03,S07A04,S08F02),MIN(S09A03,S09A04,S08F02),S09B01,S09C02)</f>
        <v>1</v>
      </c>
      <c r="X232" s="1745">
        <f t="shared" si="159"/>
        <v>1</v>
      </c>
      <c r="Y232" s="1745">
        <v>1</v>
      </c>
      <c r="Z232" s="1758">
        <v>1</v>
      </c>
      <c r="AA232" s="1759"/>
      <c r="AB232" s="1748"/>
      <c r="AC232" s="1748"/>
      <c r="AD232" s="1595" t="str">
        <f t="shared" si="139"/>
        <v/>
      </c>
      <c r="AE232" s="1595">
        <f t="shared" si="141"/>
        <v>3</v>
      </c>
      <c r="AF232" s="1595" t="str">
        <f t="shared" si="160"/>
        <v/>
      </c>
      <c r="AG232" s="1748"/>
      <c r="AH232" s="1749" t="str">
        <f t="shared" si="140"/>
        <v/>
      </c>
      <c r="AI232" s="1620"/>
      <c r="AJ232" s="1616" t="s">
        <v>5453</v>
      </c>
      <c r="AK232" s="1616" t="s">
        <v>3669</v>
      </c>
      <c r="AL232" s="1619"/>
      <c r="AM232" s="247" t="str">
        <f t="shared" si="133"/>
        <v/>
      </c>
      <c r="AN232" s="247" t="str">
        <f t="shared" si="134"/>
        <v/>
      </c>
      <c r="AO232" s="247" t="str">
        <f t="shared" si="135"/>
        <v/>
      </c>
      <c r="AP232" s="247" t="str">
        <f t="shared" si="136"/>
        <v/>
      </c>
      <c r="AQ232" s="42">
        <f t="shared" si="161"/>
        <v>1</v>
      </c>
      <c r="AR232" s="42">
        <f t="shared" si="162"/>
        <v>1</v>
      </c>
      <c r="AS232" s="42">
        <f t="shared" si="163"/>
        <v>1</v>
      </c>
      <c r="AT232" s="42">
        <f t="shared" si="164"/>
        <v>1</v>
      </c>
      <c r="AU232" s="247" t="str">
        <f t="shared" si="137"/>
        <v/>
      </c>
      <c r="AV232" s="247" t="str">
        <f t="shared" si="138"/>
        <v/>
      </c>
    </row>
    <row r="233" spans="1:48" ht="33.75" x14ac:dyDescent="0.2">
      <c r="A233" s="428" t="s">
        <v>584</v>
      </c>
      <c r="B233" s="429" t="s">
        <v>2907</v>
      </c>
      <c r="C233" s="430" t="s">
        <v>3992</v>
      </c>
      <c r="D233" s="1349" t="s">
        <v>4638</v>
      </c>
      <c r="E233" s="1350" t="s">
        <v>5477</v>
      </c>
      <c r="F233" s="1350" t="s">
        <v>6682</v>
      </c>
      <c r="G233" s="1351" t="s">
        <v>3741</v>
      </c>
      <c r="H233" s="1342" t="s">
        <v>1328</v>
      </c>
      <c r="I233" s="432" t="s">
        <v>1548</v>
      </c>
      <c r="J233" s="431"/>
      <c r="K233" s="431"/>
      <c r="L233" s="431" t="s">
        <v>6541</v>
      </c>
      <c r="M233" s="433" t="s">
        <v>1880</v>
      </c>
      <c r="N233" s="434" t="s">
        <v>1302</v>
      </c>
      <c r="O233" s="1743" t="str">
        <f>VLOOKUP(B233,code_famille_scénario,2)&amp;VLOOKUP(C233,code_actif,2)&amp;" "&amp;VLOOKUP(M233,code_process,2)&amp;", par "&amp;VLOOKUP(N233,code_acteur,2)&amp;", "&amp;VLOOKUP(L233,code_acces,2)</f>
        <v>Manipulation malveillante données (individuellement) sensibles en exploitation, par un utilisateur autorisé illégitime, se connectant depuis le réseau interne</v>
      </c>
      <c r="P233" s="435">
        <v>1</v>
      </c>
      <c r="Q233" s="1595" t="s">
        <v>1299</v>
      </c>
      <c r="R233" s="1595" t="s">
        <v>4638</v>
      </c>
      <c r="S233" s="1595" t="str">
        <f>Classif!D9</f>
        <v/>
      </c>
      <c r="T233" s="1595">
        <f t="shared" si="157"/>
        <v>3</v>
      </c>
      <c r="U233" s="1744" t="str">
        <f t="shared" si="158"/>
        <v/>
      </c>
      <c r="V233" s="1745">
        <v>1</v>
      </c>
      <c r="W233" s="1745">
        <f>MAX(MIN(S07A01,S07A02),MIN(S09A01,S09A02))</f>
        <v>1</v>
      </c>
      <c r="X233" s="1745">
        <f t="shared" si="159"/>
        <v>1</v>
      </c>
      <c r="Y233" s="1745">
        <v>1</v>
      </c>
      <c r="Z233" s="1758">
        <v>1</v>
      </c>
      <c r="AA233" s="1759"/>
      <c r="AB233" s="1748"/>
      <c r="AC233" s="1748"/>
      <c r="AD233" s="1595" t="str">
        <f t="shared" si="139"/>
        <v/>
      </c>
      <c r="AE233" s="1595">
        <f t="shared" si="141"/>
        <v>3</v>
      </c>
      <c r="AF233" s="1595" t="str">
        <f t="shared" si="160"/>
        <v/>
      </c>
      <c r="AG233" s="1748"/>
      <c r="AH233" s="1749" t="str">
        <f t="shared" si="140"/>
        <v/>
      </c>
      <c r="AI233" s="1615"/>
      <c r="AJ233" s="1616" t="s">
        <v>5420</v>
      </c>
      <c r="AK233" s="1616" t="s">
        <v>3669</v>
      </c>
      <c r="AL233" s="1619"/>
      <c r="AM233" s="247" t="str">
        <f t="shared" si="133"/>
        <v/>
      </c>
      <c r="AN233" s="247" t="str">
        <f t="shared" si="134"/>
        <v/>
      </c>
      <c r="AO233" s="247" t="str">
        <f t="shared" si="135"/>
        <v/>
      </c>
      <c r="AP233" s="247" t="str">
        <f t="shared" si="136"/>
        <v/>
      </c>
      <c r="AQ233" s="42">
        <f t="shared" si="161"/>
        <v>1</v>
      </c>
      <c r="AR233" s="42">
        <f t="shared" si="162"/>
        <v>1</v>
      </c>
      <c r="AS233" s="42">
        <f t="shared" si="163"/>
        <v>1</v>
      </c>
      <c r="AT233" s="42">
        <f t="shared" si="164"/>
        <v>1</v>
      </c>
      <c r="AU233" s="247" t="str">
        <f t="shared" si="137"/>
        <v/>
      </c>
      <c r="AV233" s="247" t="str">
        <f t="shared" si="138"/>
        <v/>
      </c>
    </row>
    <row r="234" spans="1:48" ht="24" x14ac:dyDescent="0.2">
      <c r="A234" s="428" t="s">
        <v>585</v>
      </c>
      <c r="B234" s="429" t="s">
        <v>2907</v>
      </c>
      <c r="C234" s="430" t="s">
        <v>3992</v>
      </c>
      <c r="D234" s="1349" t="s">
        <v>4638</v>
      </c>
      <c r="E234" s="1350" t="s">
        <v>5477</v>
      </c>
      <c r="F234" s="1350" t="s">
        <v>6682</v>
      </c>
      <c r="G234" s="1351" t="s">
        <v>3741</v>
      </c>
      <c r="H234" s="1342" t="s">
        <v>1328</v>
      </c>
      <c r="I234" s="432" t="s">
        <v>1548</v>
      </c>
      <c r="J234" s="431"/>
      <c r="K234" s="431"/>
      <c r="L234" s="431"/>
      <c r="M234" s="433" t="s">
        <v>1880</v>
      </c>
      <c r="N234" s="434" t="s">
        <v>6403</v>
      </c>
      <c r="O234" s="1743" t="str">
        <f>VLOOKUP(B234,code_famille_scénario,2)&amp;"de "&amp;VLOOKUP(C234,code_actif,2)&amp;", "&amp;VLOOKUP(M234,code_process,2)&amp;", par "&amp;VLOOKUP(N234,code_acteur,2)</f>
        <v>Manipulation malveillante de données (individuellement) sensibles, en exploitation, par un membre du personnel d'exploitation</v>
      </c>
      <c r="P234" s="435">
        <v>1</v>
      </c>
      <c r="Q234" s="1595" t="s">
        <v>1299</v>
      </c>
      <c r="R234" s="1595" t="s">
        <v>4638</v>
      </c>
      <c r="S234" s="1595" t="str">
        <f>Classif!D9</f>
        <v/>
      </c>
      <c r="T234" s="1595">
        <f t="shared" si="157"/>
        <v>3</v>
      </c>
      <c r="U234" s="1744" t="str">
        <f t="shared" si="158"/>
        <v/>
      </c>
      <c r="V234" s="1745">
        <v>1</v>
      </c>
      <c r="W234" s="1745">
        <f>MAX(S09B01,S09C02)</f>
        <v>1</v>
      </c>
      <c r="X234" s="1745">
        <f t="shared" si="159"/>
        <v>1</v>
      </c>
      <c r="Y234" s="1745">
        <v>1</v>
      </c>
      <c r="Z234" s="1758">
        <v>1</v>
      </c>
      <c r="AA234" s="1759"/>
      <c r="AB234" s="1748"/>
      <c r="AC234" s="1748"/>
      <c r="AD234" s="1595" t="str">
        <f t="shared" si="139"/>
        <v/>
      </c>
      <c r="AE234" s="1595">
        <f t="shared" si="141"/>
        <v>3</v>
      </c>
      <c r="AF234" s="1595" t="str">
        <f t="shared" si="160"/>
        <v/>
      </c>
      <c r="AG234" s="1748"/>
      <c r="AH234" s="1749" t="str">
        <f t="shared" si="140"/>
        <v/>
      </c>
      <c r="AI234" s="1615"/>
      <c r="AJ234" s="1616" t="s">
        <v>4041</v>
      </c>
      <c r="AK234" s="1616" t="s">
        <v>3669</v>
      </c>
      <c r="AL234" s="1617"/>
      <c r="AM234" s="247" t="str">
        <f t="shared" si="133"/>
        <v/>
      </c>
      <c r="AN234" s="247" t="str">
        <f t="shared" si="134"/>
        <v/>
      </c>
      <c r="AO234" s="247" t="str">
        <f t="shared" si="135"/>
        <v/>
      </c>
      <c r="AP234" s="247" t="str">
        <f t="shared" si="136"/>
        <v/>
      </c>
      <c r="AQ234" s="42">
        <f t="shared" si="161"/>
        <v>1</v>
      </c>
      <c r="AR234" s="42">
        <f t="shared" si="162"/>
        <v>1</v>
      </c>
      <c r="AS234" s="42">
        <f t="shared" si="163"/>
        <v>1</v>
      </c>
      <c r="AT234" s="42">
        <f t="shared" si="164"/>
        <v>1</v>
      </c>
      <c r="AU234" s="247" t="str">
        <f t="shared" si="137"/>
        <v/>
      </c>
      <c r="AV234" s="247" t="str">
        <f t="shared" si="138"/>
        <v/>
      </c>
    </row>
    <row r="235" spans="1:48" ht="24" x14ac:dyDescent="0.2">
      <c r="A235" s="428" t="s">
        <v>586</v>
      </c>
      <c r="B235" s="429" t="s">
        <v>2907</v>
      </c>
      <c r="C235" s="430" t="s">
        <v>3992</v>
      </c>
      <c r="D235" s="1349" t="s">
        <v>4638</v>
      </c>
      <c r="E235" s="1350" t="s">
        <v>5477</v>
      </c>
      <c r="F235" s="1350" t="s">
        <v>6682</v>
      </c>
      <c r="G235" s="1351" t="s">
        <v>3741</v>
      </c>
      <c r="H235" s="1342" t="s">
        <v>1328</v>
      </c>
      <c r="I235" s="432" t="s">
        <v>1548</v>
      </c>
      <c r="J235" s="431"/>
      <c r="K235" s="431"/>
      <c r="L235" s="431"/>
      <c r="M235" s="433" t="s">
        <v>1880</v>
      </c>
      <c r="N235" s="434" t="s">
        <v>1299</v>
      </c>
      <c r="O235" s="1743" t="str">
        <f>VLOOKUP(B235,code_famille_scénario,2)&amp;"de "&amp;VLOOKUP(C235,code_actif,2)&amp;", "&amp;VLOOKUP(M235,code_process,2)&amp;", par "&amp;VLOOKUP(N235,code_acteur,2)</f>
        <v>Manipulation malveillante de données (individuellement) sensibles, en exploitation, par un membre du personnel de maintenance</v>
      </c>
      <c r="P235" s="435">
        <v>1</v>
      </c>
      <c r="Q235" s="1595" t="s">
        <v>1299</v>
      </c>
      <c r="R235" s="1595" t="s">
        <v>4638</v>
      </c>
      <c r="S235" s="1595" t="str">
        <f>Classif!D9</f>
        <v/>
      </c>
      <c r="T235" s="1595">
        <f t="shared" si="157"/>
        <v>3</v>
      </c>
      <c r="U235" s="1744" t="str">
        <f t="shared" si="158"/>
        <v/>
      </c>
      <c r="V235" s="1745">
        <v>1</v>
      </c>
      <c r="W235" s="1745">
        <f>MAX(S09B01,S09C02)</f>
        <v>1</v>
      </c>
      <c r="X235" s="1745">
        <f t="shared" si="159"/>
        <v>1</v>
      </c>
      <c r="Y235" s="1745">
        <v>1</v>
      </c>
      <c r="Z235" s="1758">
        <v>1</v>
      </c>
      <c r="AA235" s="1759"/>
      <c r="AB235" s="1748"/>
      <c r="AC235" s="1748"/>
      <c r="AD235" s="1595" t="str">
        <f t="shared" si="139"/>
        <v/>
      </c>
      <c r="AE235" s="1595">
        <f t="shared" ref="AE235:AE265" si="165">IF(OR(Q235="",T235=""),"",IF(Q235="A",INDEX(base_p,4,W235+7*(T235-1)),IF(Q235="E",INDEX(base_p,15,W235+7*(T235-1)),INDEX(base_p,27-V235,W235+7*(T235-1)))))</f>
        <v>3</v>
      </c>
      <c r="AF235" s="1595" t="str">
        <f t="shared" si="160"/>
        <v/>
      </c>
      <c r="AG235" s="1748"/>
      <c r="AH235" s="1749" t="str">
        <f t="shared" si="140"/>
        <v/>
      </c>
      <c r="AI235" s="1615"/>
      <c r="AJ235" s="1616" t="s">
        <v>4041</v>
      </c>
      <c r="AK235" s="1616" t="s">
        <v>3669</v>
      </c>
      <c r="AL235" s="1617"/>
      <c r="AM235" s="247" t="str">
        <f t="shared" si="133"/>
        <v/>
      </c>
      <c r="AN235" s="247" t="str">
        <f t="shared" si="134"/>
        <v/>
      </c>
      <c r="AO235" s="247" t="str">
        <f t="shared" si="135"/>
        <v/>
      </c>
      <c r="AP235" s="247" t="str">
        <f t="shared" si="136"/>
        <v/>
      </c>
      <c r="AQ235" s="42">
        <f t="shared" si="161"/>
        <v>1</v>
      </c>
      <c r="AR235" s="42">
        <f t="shared" si="162"/>
        <v>1</v>
      </c>
      <c r="AS235" s="42">
        <f t="shared" si="163"/>
        <v>1</v>
      </c>
      <c r="AT235" s="42">
        <f t="shared" si="164"/>
        <v>1</v>
      </c>
      <c r="AU235" s="247" t="str">
        <f t="shared" si="137"/>
        <v/>
      </c>
      <c r="AV235" s="247" t="str">
        <f t="shared" si="138"/>
        <v/>
      </c>
    </row>
    <row r="236" spans="1:48" ht="24" x14ac:dyDescent="0.2">
      <c r="A236" s="428" t="s">
        <v>587</v>
      </c>
      <c r="B236" s="429" t="s">
        <v>2907</v>
      </c>
      <c r="C236" s="430" t="s">
        <v>6295</v>
      </c>
      <c r="D236" s="1349" t="s">
        <v>4638</v>
      </c>
      <c r="E236" s="1350" t="s">
        <v>5477</v>
      </c>
      <c r="F236" s="1350" t="s">
        <v>6682</v>
      </c>
      <c r="G236" s="1351" t="s">
        <v>4615</v>
      </c>
      <c r="H236" s="1342" t="s">
        <v>1328</v>
      </c>
      <c r="I236" s="432" t="s">
        <v>1548</v>
      </c>
      <c r="J236" s="431" t="s">
        <v>3525</v>
      </c>
      <c r="K236" s="431"/>
      <c r="L236" s="431" t="s">
        <v>2834</v>
      </c>
      <c r="M236" s="433" t="s">
        <v>2829</v>
      </c>
      <c r="N236" s="434" t="s">
        <v>2835</v>
      </c>
      <c r="O236" s="1743" t="str">
        <f>VLOOKUP(B236,code_famille_scénario,2)&amp;VLOOKUP(C236,code_actif,2)&amp;" "&amp;VLOOKUP(M236,code_process,2)&amp;", par "&amp;VLOOKUP(N236,code_acteur,2)&amp;", "&amp;VLOOKUP(L236,code_acces,2)</f>
        <v>Manipulation malveillante messages ou données en transit lors d'échanges sur le réseau étendu, par un tiers non autorisé, se connectant sur le réseau étendu</v>
      </c>
      <c r="P236" s="435">
        <v>1</v>
      </c>
      <c r="Q236" s="1595" t="s">
        <v>1299</v>
      </c>
      <c r="R236" s="1595" t="s">
        <v>4638</v>
      </c>
      <c r="S236" s="1595" t="str">
        <f>Classif!D9</f>
        <v/>
      </c>
      <c r="T236" s="1595">
        <f t="shared" si="157"/>
        <v>3</v>
      </c>
      <c r="U236" s="1744" t="str">
        <f t="shared" si="158"/>
        <v/>
      </c>
      <c r="V236" s="1745">
        <v>1</v>
      </c>
      <c r="W236" s="1745">
        <f>MAX(S04C01,S04C02,S09B02,S09C01)</f>
        <v>1</v>
      </c>
      <c r="X236" s="1745">
        <f t="shared" si="159"/>
        <v>1</v>
      </c>
      <c r="Y236" s="1745">
        <v>1</v>
      </c>
      <c r="Z236" s="1758">
        <v>1</v>
      </c>
      <c r="AA236" s="1759"/>
      <c r="AB236" s="1748"/>
      <c r="AC236" s="1748"/>
      <c r="AD236" s="1595" t="str">
        <f t="shared" si="139"/>
        <v/>
      </c>
      <c r="AE236" s="1595">
        <f t="shared" si="165"/>
        <v>3</v>
      </c>
      <c r="AF236" s="1595" t="str">
        <f t="shared" si="160"/>
        <v/>
      </c>
      <c r="AG236" s="1748"/>
      <c r="AH236" s="1749" t="str">
        <f t="shared" si="140"/>
        <v/>
      </c>
      <c r="AI236" s="1615"/>
      <c r="AJ236" s="1616" t="s">
        <v>3242</v>
      </c>
      <c r="AK236" s="1616" t="s">
        <v>3669</v>
      </c>
      <c r="AL236" s="1619"/>
      <c r="AM236" s="247" t="str">
        <f t="shared" si="133"/>
        <v/>
      </c>
      <c r="AN236" s="247" t="str">
        <f t="shared" si="134"/>
        <v/>
      </c>
      <c r="AO236" s="247" t="str">
        <f t="shared" si="135"/>
        <v/>
      </c>
      <c r="AP236" s="247" t="str">
        <f t="shared" si="136"/>
        <v/>
      </c>
      <c r="AQ236" s="42">
        <f t="shared" si="161"/>
        <v>1</v>
      </c>
      <c r="AR236" s="42">
        <f t="shared" si="162"/>
        <v>1</v>
      </c>
      <c r="AS236" s="42">
        <f t="shared" si="163"/>
        <v>1</v>
      </c>
      <c r="AT236" s="42">
        <f t="shared" si="164"/>
        <v>1</v>
      </c>
      <c r="AU236" s="247" t="str">
        <f t="shared" si="137"/>
        <v/>
      </c>
      <c r="AV236" s="247" t="str">
        <f t="shared" si="138"/>
        <v/>
      </c>
    </row>
    <row r="237" spans="1:48" ht="24" x14ac:dyDescent="0.2">
      <c r="A237" s="428" t="s">
        <v>588</v>
      </c>
      <c r="B237" s="429" t="s">
        <v>2907</v>
      </c>
      <c r="C237" s="430" t="s">
        <v>6295</v>
      </c>
      <c r="D237" s="1349" t="s">
        <v>4638</v>
      </c>
      <c r="E237" s="1350" t="s">
        <v>5477</v>
      </c>
      <c r="F237" s="1350" t="s">
        <v>6682</v>
      </c>
      <c r="G237" s="1351" t="s">
        <v>4615</v>
      </c>
      <c r="H237" s="1342" t="s">
        <v>1328</v>
      </c>
      <c r="I237" s="432" t="s">
        <v>1548</v>
      </c>
      <c r="J237" s="431"/>
      <c r="K237" s="431"/>
      <c r="L237" s="431"/>
      <c r="M237" s="433" t="s">
        <v>2829</v>
      </c>
      <c r="N237" s="434" t="s">
        <v>6403</v>
      </c>
      <c r="O237" s="1743" t="str">
        <f>VLOOKUP(B237,code_famille_scénario,2)&amp;"de "&amp;VLOOKUP(C237,code_actif,2)&amp;", "&amp;VLOOKUP(M237,code_process,2)&amp;", par "&amp;VLOOKUP(N237,code_acteur,2)</f>
        <v>Manipulation malveillante de messages ou données en transit, lors d'échanges sur le réseau étendu, par un membre du personnel d'exploitation</v>
      </c>
      <c r="P237" s="435">
        <v>1</v>
      </c>
      <c r="Q237" s="1595" t="s">
        <v>1299</v>
      </c>
      <c r="R237" s="1595" t="s">
        <v>4638</v>
      </c>
      <c r="S237" s="1595" t="str">
        <f>Classif!D9</f>
        <v/>
      </c>
      <c r="T237" s="1595">
        <f t="shared" si="157"/>
        <v>3</v>
      </c>
      <c r="U237" s="1744" t="str">
        <f t="shared" si="158"/>
        <v/>
      </c>
      <c r="V237" s="1745">
        <v>1</v>
      </c>
      <c r="W237" s="1745">
        <f>MAX(S04C01,S04C02,S09B02,S09C01)</f>
        <v>1</v>
      </c>
      <c r="X237" s="1745">
        <f t="shared" si="159"/>
        <v>1</v>
      </c>
      <c r="Y237" s="1745">
        <v>1</v>
      </c>
      <c r="Z237" s="1758">
        <v>1</v>
      </c>
      <c r="AA237" s="1759"/>
      <c r="AB237" s="1748"/>
      <c r="AC237" s="1748"/>
      <c r="AD237" s="1595" t="str">
        <f t="shared" si="139"/>
        <v/>
      </c>
      <c r="AE237" s="1595">
        <f t="shared" si="165"/>
        <v>3</v>
      </c>
      <c r="AF237" s="1595" t="str">
        <f t="shared" si="160"/>
        <v/>
      </c>
      <c r="AG237" s="1748"/>
      <c r="AH237" s="1749" t="str">
        <f t="shared" si="140"/>
        <v/>
      </c>
      <c r="AI237" s="1615"/>
      <c r="AJ237" s="1616" t="s">
        <v>3242</v>
      </c>
      <c r="AK237" s="1616" t="s">
        <v>3669</v>
      </c>
      <c r="AL237" s="1619"/>
      <c r="AM237" s="247" t="str">
        <f t="shared" si="133"/>
        <v/>
      </c>
      <c r="AN237" s="247" t="str">
        <f t="shared" si="134"/>
        <v/>
      </c>
      <c r="AO237" s="247" t="str">
        <f t="shared" si="135"/>
        <v/>
      </c>
      <c r="AP237" s="247" t="str">
        <f t="shared" si="136"/>
        <v/>
      </c>
      <c r="AQ237" s="42">
        <f t="shared" si="161"/>
        <v>1</v>
      </c>
      <c r="AR237" s="42">
        <f t="shared" si="162"/>
        <v>1</v>
      </c>
      <c r="AS237" s="42">
        <f t="shared" si="163"/>
        <v>1</v>
      </c>
      <c r="AT237" s="42">
        <f t="shared" si="164"/>
        <v>1</v>
      </c>
      <c r="AU237" s="247" t="str">
        <f t="shared" si="137"/>
        <v/>
      </c>
      <c r="AV237" s="247" t="str">
        <f t="shared" si="138"/>
        <v/>
      </c>
    </row>
    <row r="238" spans="1:48" ht="24" x14ac:dyDescent="0.2">
      <c r="A238" s="428" t="s">
        <v>589</v>
      </c>
      <c r="B238" s="429" t="s">
        <v>2907</v>
      </c>
      <c r="C238" s="430" t="s">
        <v>6295</v>
      </c>
      <c r="D238" s="1349" t="s">
        <v>4638</v>
      </c>
      <c r="E238" s="1350" t="s">
        <v>5477</v>
      </c>
      <c r="F238" s="1350" t="s">
        <v>6682</v>
      </c>
      <c r="G238" s="1351" t="s">
        <v>4615</v>
      </c>
      <c r="H238" s="1342" t="s">
        <v>1328</v>
      </c>
      <c r="I238" s="432" t="s">
        <v>1548</v>
      </c>
      <c r="J238" s="431"/>
      <c r="K238" s="431"/>
      <c r="L238" s="431" t="s">
        <v>6543</v>
      </c>
      <c r="M238" s="433" t="s">
        <v>2834</v>
      </c>
      <c r="N238" s="434" t="s">
        <v>3518</v>
      </c>
      <c r="O238" s="1743" t="str">
        <f>VLOOKUP(B238,code_famille_scénario,2)&amp;"de "&amp;VLOOKUP(C238,code_actif,2)&amp;", "&amp;VLOOKUP(M238,code_process,2)&amp;", par "&amp;VLOOKUP(N238,code_acteur,2)</f>
        <v>Manipulation malveillante de messages ou données en transit, lors d'accès au réseau depuis l'extérieur, par un membre du personnel non autorisé</v>
      </c>
      <c r="P238" s="435">
        <v>1</v>
      </c>
      <c r="Q238" s="1595" t="s">
        <v>1299</v>
      </c>
      <c r="R238" s="1595" t="s">
        <v>4638</v>
      </c>
      <c r="S238" s="1595" t="str">
        <f>Classif!D9</f>
        <v/>
      </c>
      <c r="T238" s="1595">
        <f t="shared" si="157"/>
        <v>3</v>
      </c>
      <c r="U238" s="1744" t="str">
        <f t="shared" si="158"/>
        <v/>
      </c>
      <c r="V238" s="1745">
        <v>1</v>
      </c>
      <c r="W238" s="1745">
        <f>MAX(S05C03,S05C04)</f>
        <v>1</v>
      </c>
      <c r="X238" s="1745">
        <f t="shared" si="159"/>
        <v>1</v>
      </c>
      <c r="Y238" s="1745">
        <v>1</v>
      </c>
      <c r="Z238" s="1758">
        <v>1</v>
      </c>
      <c r="AA238" s="1759"/>
      <c r="AB238" s="1748"/>
      <c r="AC238" s="1748"/>
      <c r="AD238" s="1595" t="str">
        <f t="shared" si="139"/>
        <v/>
      </c>
      <c r="AE238" s="1595">
        <f t="shared" si="165"/>
        <v>3</v>
      </c>
      <c r="AF238" s="1595" t="str">
        <f t="shared" si="160"/>
        <v/>
      </c>
      <c r="AG238" s="1748"/>
      <c r="AH238" s="1749" t="str">
        <f t="shared" si="140"/>
        <v/>
      </c>
      <c r="AI238" s="1615"/>
      <c r="AJ238" s="1616" t="s">
        <v>3430</v>
      </c>
      <c r="AK238" s="1616" t="s">
        <v>3669</v>
      </c>
      <c r="AL238" s="1619"/>
      <c r="AM238" s="247" t="str">
        <f t="shared" si="133"/>
        <v/>
      </c>
      <c r="AN238" s="247" t="str">
        <f t="shared" si="134"/>
        <v/>
      </c>
      <c r="AO238" s="247" t="str">
        <f t="shared" si="135"/>
        <v/>
      </c>
      <c r="AP238" s="247" t="str">
        <f t="shared" si="136"/>
        <v/>
      </c>
      <c r="AQ238" s="42">
        <f t="shared" si="161"/>
        <v>1</v>
      </c>
      <c r="AR238" s="42">
        <f t="shared" si="162"/>
        <v>1</v>
      </c>
      <c r="AS238" s="42">
        <f t="shared" si="163"/>
        <v>1</v>
      </c>
      <c r="AT238" s="42">
        <f t="shared" si="164"/>
        <v>1</v>
      </c>
      <c r="AU238" s="247" t="str">
        <f t="shared" si="137"/>
        <v/>
      </c>
      <c r="AV238" s="247" t="str">
        <f t="shared" si="138"/>
        <v/>
      </c>
    </row>
    <row r="239" spans="1:48" ht="24" x14ac:dyDescent="0.2">
      <c r="A239" s="428" t="s">
        <v>590</v>
      </c>
      <c r="B239" s="429" t="s">
        <v>2907</v>
      </c>
      <c r="C239" s="430" t="s">
        <v>6295</v>
      </c>
      <c r="D239" s="1349" t="s">
        <v>4638</v>
      </c>
      <c r="E239" s="1350" t="s">
        <v>5477</v>
      </c>
      <c r="F239" s="1350" t="s">
        <v>6682</v>
      </c>
      <c r="G239" s="1351" t="s">
        <v>4615</v>
      </c>
      <c r="H239" s="1342" t="s">
        <v>1328</v>
      </c>
      <c r="I239" s="432" t="s">
        <v>1548</v>
      </c>
      <c r="J239" s="431"/>
      <c r="K239" s="431"/>
      <c r="L239" s="431" t="s">
        <v>6543</v>
      </c>
      <c r="M239" s="433" t="s">
        <v>2834</v>
      </c>
      <c r="N239" s="434" t="s">
        <v>6403</v>
      </c>
      <c r="O239" s="1743" t="str">
        <f>VLOOKUP(B239,code_famille_scénario,2)&amp;"de "&amp;VLOOKUP(C239,code_actif,2)&amp;", "&amp;VLOOKUP(M239,code_process,2)&amp;", par "&amp;VLOOKUP(N239,code_acteur,2)</f>
        <v>Manipulation malveillante de messages ou données en transit, lors d'accès au réseau depuis l'extérieur, par un membre du personnel d'exploitation</v>
      </c>
      <c r="P239" s="435">
        <v>1</v>
      </c>
      <c r="Q239" s="1595" t="s">
        <v>1299</v>
      </c>
      <c r="R239" s="1595" t="s">
        <v>4638</v>
      </c>
      <c r="S239" s="1595" t="str">
        <f>Classif!D9</f>
        <v/>
      </c>
      <c r="T239" s="1595">
        <f t="shared" si="157"/>
        <v>3</v>
      </c>
      <c r="U239" s="1744" t="str">
        <f t="shared" si="158"/>
        <v/>
      </c>
      <c r="V239" s="1745">
        <v>1</v>
      </c>
      <c r="W239" s="1745">
        <f>MAX(S05C03,S05C04)</f>
        <v>1</v>
      </c>
      <c r="X239" s="1745">
        <f t="shared" si="159"/>
        <v>1</v>
      </c>
      <c r="Y239" s="1745">
        <v>1</v>
      </c>
      <c r="Z239" s="1758">
        <v>1</v>
      </c>
      <c r="AA239" s="1759"/>
      <c r="AB239" s="1748"/>
      <c r="AC239" s="1748"/>
      <c r="AD239" s="1595" t="str">
        <f t="shared" si="139"/>
        <v/>
      </c>
      <c r="AE239" s="1595">
        <f t="shared" si="165"/>
        <v>3</v>
      </c>
      <c r="AF239" s="1595" t="str">
        <f t="shared" si="160"/>
        <v/>
      </c>
      <c r="AG239" s="1748"/>
      <c r="AH239" s="1749" t="str">
        <f t="shared" si="140"/>
        <v/>
      </c>
      <c r="AI239" s="1615"/>
      <c r="AJ239" s="1616" t="s">
        <v>3430</v>
      </c>
      <c r="AK239" s="1616" t="s">
        <v>3669</v>
      </c>
      <c r="AL239" s="1619"/>
      <c r="AM239" s="247" t="str">
        <f t="shared" si="133"/>
        <v/>
      </c>
      <c r="AN239" s="247" t="str">
        <f t="shared" si="134"/>
        <v/>
      </c>
      <c r="AO239" s="247" t="str">
        <f t="shared" si="135"/>
        <v/>
      </c>
      <c r="AP239" s="247" t="str">
        <f t="shared" si="136"/>
        <v/>
      </c>
      <c r="AQ239" s="42">
        <f t="shared" si="161"/>
        <v>1</v>
      </c>
      <c r="AR239" s="42">
        <f t="shared" si="162"/>
        <v>1</v>
      </c>
      <c r="AS239" s="42">
        <f t="shared" si="163"/>
        <v>1</v>
      </c>
      <c r="AT239" s="42">
        <f t="shared" si="164"/>
        <v>1</v>
      </c>
      <c r="AU239" s="247" t="str">
        <f t="shared" si="137"/>
        <v/>
      </c>
      <c r="AV239" s="247" t="str">
        <f t="shared" si="138"/>
        <v/>
      </c>
    </row>
    <row r="240" spans="1:48" ht="24" x14ac:dyDescent="0.2">
      <c r="A240" s="428" t="s">
        <v>591</v>
      </c>
      <c r="B240" s="429" t="s">
        <v>2907</v>
      </c>
      <c r="C240" s="430" t="s">
        <v>6295</v>
      </c>
      <c r="D240" s="1349" t="s">
        <v>4638</v>
      </c>
      <c r="E240" s="1350" t="s">
        <v>5477</v>
      </c>
      <c r="F240" s="1350" t="s">
        <v>6682</v>
      </c>
      <c r="G240" s="1351" t="s">
        <v>4615</v>
      </c>
      <c r="H240" s="1342" t="s">
        <v>1328</v>
      </c>
      <c r="I240" s="432" t="s">
        <v>1548</v>
      </c>
      <c r="J240" s="431"/>
      <c r="K240" s="431"/>
      <c r="L240" s="431"/>
      <c r="M240" s="433" t="s">
        <v>2830</v>
      </c>
      <c r="N240" s="434" t="s">
        <v>3518</v>
      </c>
      <c r="O240" s="1743" t="str">
        <f>VLOOKUP(B240,code_famille_scénario,2)&amp;"de "&amp;VLOOKUP(C240,code_actif,2)&amp;", "&amp;VLOOKUP(M240,code_process,2)&amp;", par "&amp;VLOOKUP(N240,code_acteur,2)</f>
        <v>Manipulation malveillante de messages ou données en transit, lors d'échanges sur le réseau local, par un membre du personnel non autorisé</v>
      </c>
      <c r="P240" s="435">
        <v>1</v>
      </c>
      <c r="Q240" s="1595" t="s">
        <v>1299</v>
      </c>
      <c r="R240" s="1595" t="s">
        <v>4638</v>
      </c>
      <c r="S240" s="1595" t="str">
        <f>Classif!D9</f>
        <v/>
      </c>
      <c r="T240" s="1595">
        <f t="shared" si="157"/>
        <v>3</v>
      </c>
      <c r="U240" s="1744" t="str">
        <f t="shared" si="158"/>
        <v/>
      </c>
      <c r="V240" s="1745">
        <v>1</v>
      </c>
      <c r="W240" s="1745">
        <f>MAX(S05C01,S05C02,S09B02,S09C01)</f>
        <v>1</v>
      </c>
      <c r="X240" s="1745">
        <f t="shared" si="159"/>
        <v>1</v>
      </c>
      <c r="Y240" s="1745">
        <v>1</v>
      </c>
      <c r="Z240" s="1758">
        <v>1</v>
      </c>
      <c r="AA240" s="1759"/>
      <c r="AB240" s="1748"/>
      <c r="AC240" s="1748"/>
      <c r="AD240" s="1595" t="str">
        <f t="shared" si="139"/>
        <v/>
      </c>
      <c r="AE240" s="1595">
        <f t="shared" si="165"/>
        <v>3</v>
      </c>
      <c r="AF240" s="1595" t="str">
        <f t="shared" si="160"/>
        <v/>
      </c>
      <c r="AG240" s="1748"/>
      <c r="AH240" s="1749" t="str">
        <f t="shared" si="140"/>
        <v/>
      </c>
      <c r="AI240" s="1615"/>
      <c r="AJ240" s="1616" t="s">
        <v>3431</v>
      </c>
      <c r="AK240" s="1616" t="s">
        <v>3669</v>
      </c>
      <c r="AL240" s="1619"/>
      <c r="AM240" s="247" t="str">
        <f t="shared" si="133"/>
        <v/>
      </c>
      <c r="AN240" s="247" t="str">
        <f t="shared" si="134"/>
        <v/>
      </c>
      <c r="AO240" s="247" t="str">
        <f t="shared" si="135"/>
        <v/>
      </c>
      <c r="AP240" s="247" t="str">
        <f t="shared" si="136"/>
        <v/>
      </c>
      <c r="AQ240" s="42">
        <f t="shared" si="161"/>
        <v>1</v>
      </c>
      <c r="AR240" s="42">
        <f t="shared" si="162"/>
        <v>1</v>
      </c>
      <c r="AS240" s="42">
        <f t="shared" si="163"/>
        <v>1</v>
      </c>
      <c r="AT240" s="42">
        <f t="shared" si="164"/>
        <v>1</v>
      </c>
      <c r="AU240" s="247" t="str">
        <f t="shared" si="137"/>
        <v/>
      </c>
      <c r="AV240" s="247" t="str">
        <f t="shared" si="138"/>
        <v/>
      </c>
    </row>
    <row r="241" spans="1:48" ht="24" x14ac:dyDescent="0.2">
      <c r="A241" s="428" t="s">
        <v>592</v>
      </c>
      <c r="B241" s="429" t="s">
        <v>2907</v>
      </c>
      <c r="C241" s="430" t="s">
        <v>6295</v>
      </c>
      <c r="D241" s="1349" t="s">
        <v>4638</v>
      </c>
      <c r="E241" s="1350" t="s">
        <v>5477</v>
      </c>
      <c r="F241" s="1350" t="s">
        <v>6682</v>
      </c>
      <c r="G241" s="1351" t="s">
        <v>4615</v>
      </c>
      <c r="H241" s="1342" t="s">
        <v>1328</v>
      </c>
      <c r="I241" s="432" t="s">
        <v>1548</v>
      </c>
      <c r="J241" s="431"/>
      <c r="K241" s="431"/>
      <c r="L241" s="431"/>
      <c r="M241" s="433" t="s">
        <v>2830</v>
      </c>
      <c r="N241" s="434" t="s">
        <v>6403</v>
      </c>
      <c r="O241" s="1743" t="str">
        <f>VLOOKUP(B241,code_famille_scénario,2)&amp;"de "&amp;VLOOKUP(C241,code_actif,2)&amp;", "&amp;VLOOKUP(M241,code_process,2)&amp;", par "&amp;VLOOKUP(N241,code_acteur,2)</f>
        <v>Manipulation malveillante de messages ou données en transit, lors d'échanges sur le réseau local, par un membre du personnel d'exploitation</v>
      </c>
      <c r="P241" s="435">
        <v>1</v>
      </c>
      <c r="Q241" s="1595" t="s">
        <v>1299</v>
      </c>
      <c r="R241" s="1595" t="s">
        <v>4638</v>
      </c>
      <c r="S241" s="1595" t="str">
        <f>Classif!D9</f>
        <v/>
      </c>
      <c r="T241" s="1595">
        <f t="shared" si="157"/>
        <v>3</v>
      </c>
      <c r="U241" s="1744" t="str">
        <f t="shared" si="158"/>
        <v/>
      </c>
      <c r="V241" s="1745">
        <v>1</v>
      </c>
      <c r="W241" s="1745">
        <f>MAX(S05C01,S05C02,S09B02,S09C01)</f>
        <v>1</v>
      </c>
      <c r="X241" s="1745">
        <f t="shared" si="159"/>
        <v>1</v>
      </c>
      <c r="Y241" s="1745">
        <v>1</v>
      </c>
      <c r="Z241" s="1758">
        <v>1</v>
      </c>
      <c r="AA241" s="1759"/>
      <c r="AB241" s="1748"/>
      <c r="AC241" s="1748"/>
      <c r="AD241" s="1595" t="str">
        <f t="shared" si="139"/>
        <v/>
      </c>
      <c r="AE241" s="1595">
        <f t="shared" si="165"/>
        <v>3</v>
      </c>
      <c r="AF241" s="1595" t="str">
        <f t="shared" si="160"/>
        <v/>
      </c>
      <c r="AG241" s="1748"/>
      <c r="AH241" s="1749" t="str">
        <f t="shared" si="140"/>
        <v/>
      </c>
      <c r="AI241" s="1615"/>
      <c r="AJ241" s="1616" t="s">
        <v>3431</v>
      </c>
      <c r="AK241" s="1616" t="s">
        <v>3669</v>
      </c>
      <c r="AL241" s="1619"/>
      <c r="AM241" s="247" t="str">
        <f t="shared" si="133"/>
        <v/>
      </c>
      <c r="AN241" s="247" t="str">
        <f t="shared" si="134"/>
        <v/>
      </c>
      <c r="AO241" s="247" t="str">
        <f t="shared" si="135"/>
        <v/>
      </c>
      <c r="AP241" s="247" t="str">
        <f t="shared" si="136"/>
        <v/>
      </c>
      <c r="AQ241" s="42">
        <f t="shared" si="161"/>
        <v>1</v>
      </c>
      <c r="AR241" s="42">
        <f t="shared" si="162"/>
        <v>1</v>
      </c>
      <c r="AS241" s="42">
        <f t="shared" si="163"/>
        <v>1</v>
      </c>
      <c r="AT241" s="42">
        <f t="shared" si="164"/>
        <v>1</v>
      </c>
      <c r="AU241" s="247" t="str">
        <f t="shared" si="137"/>
        <v/>
      </c>
      <c r="AV241" s="247" t="str">
        <f t="shared" si="138"/>
        <v/>
      </c>
    </row>
    <row r="242" spans="1:48" ht="22.5" x14ac:dyDescent="0.2">
      <c r="A242" s="428" t="s">
        <v>593</v>
      </c>
      <c r="B242" s="429" t="s">
        <v>2907</v>
      </c>
      <c r="C242" s="430" t="s">
        <v>6295</v>
      </c>
      <c r="D242" s="1349" t="s">
        <v>4638</v>
      </c>
      <c r="E242" s="1354" t="s">
        <v>5158</v>
      </c>
      <c r="F242" s="1350" t="s">
        <v>5159</v>
      </c>
      <c r="G242" s="1351" t="s">
        <v>4615</v>
      </c>
      <c r="H242" s="1342" t="s">
        <v>1328</v>
      </c>
      <c r="I242" s="432" t="s">
        <v>1549</v>
      </c>
      <c r="J242" s="431"/>
      <c r="K242" s="431"/>
      <c r="L242" s="431"/>
      <c r="M242" s="433"/>
      <c r="N242" s="434" t="s">
        <v>1303</v>
      </c>
      <c r="O242" s="1760" t="s">
        <v>5281</v>
      </c>
      <c r="P242" s="435">
        <v>1</v>
      </c>
      <c r="Q242" s="1595" t="s">
        <v>1299</v>
      </c>
      <c r="R242" s="1595" t="s">
        <v>4638</v>
      </c>
      <c r="S242" s="1595" t="str">
        <f>Classif!D9</f>
        <v/>
      </c>
      <c r="T242" s="1595">
        <f t="shared" si="157"/>
        <v>2</v>
      </c>
      <c r="U242" s="1744" t="str">
        <f t="shared" si="158"/>
        <v/>
      </c>
      <c r="V242" s="1745">
        <v>1</v>
      </c>
      <c r="W242" s="1745">
        <f>MAX(S04C01,S09C01,S09F02)</f>
        <v>1</v>
      </c>
      <c r="X242" s="1745">
        <f>S09F03</f>
        <v>1</v>
      </c>
      <c r="Y242" s="1745">
        <v>1</v>
      </c>
      <c r="Z242" s="1758">
        <v>1</v>
      </c>
      <c r="AA242" s="1759"/>
      <c r="AB242" s="1748"/>
      <c r="AC242" s="1748"/>
      <c r="AD242" s="1595" t="str">
        <f t="shared" si="139"/>
        <v/>
      </c>
      <c r="AE242" s="1595">
        <f t="shared" si="165"/>
        <v>2</v>
      </c>
      <c r="AF242" s="1595" t="str">
        <f t="shared" si="160"/>
        <v/>
      </c>
      <c r="AG242" s="1748"/>
      <c r="AH242" s="1749" t="str">
        <f t="shared" si="140"/>
        <v/>
      </c>
      <c r="AI242" s="1615"/>
      <c r="AJ242" s="1616" t="s">
        <v>6678</v>
      </c>
      <c r="AK242" s="1616" t="s">
        <v>4211</v>
      </c>
      <c r="AL242" s="1619"/>
      <c r="AM242" s="247" t="str">
        <f t="shared" si="133"/>
        <v/>
      </c>
      <c r="AN242" s="247" t="str">
        <f t="shared" si="134"/>
        <v/>
      </c>
      <c r="AO242" s="247" t="str">
        <f t="shared" si="135"/>
        <v/>
      </c>
      <c r="AP242" s="247" t="str">
        <f t="shared" si="136"/>
        <v/>
      </c>
      <c r="AQ242" s="42">
        <f t="shared" si="161"/>
        <v>1</v>
      </c>
      <c r="AR242" s="42">
        <f t="shared" si="162"/>
        <v>1</v>
      </c>
      <c r="AS242" s="42">
        <f t="shared" si="163"/>
        <v>1</v>
      </c>
      <c r="AT242" s="42">
        <f t="shared" si="164"/>
        <v>1</v>
      </c>
      <c r="AU242" s="247" t="str">
        <f t="shared" si="137"/>
        <v/>
      </c>
      <c r="AV242" s="247" t="str">
        <f t="shared" si="138"/>
        <v/>
      </c>
    </row>
    <row r="243" spans="1:48" ht="24" x14ac:dyDescent="0.2">
      <c r="A243" s="428" t="s">
        <v>594</v>
      </c>
      <c r="B243" s="429" t="s">
        <v>2907</v>
      </c>
      <c r="C243" s="430" t="s">
        <v>6295</v>
      </c>
      <c r="D243" s="1349" t="s">
        <v>4638</v>
      </c>
      <c r="E243" s="1350" t="s">
        <v>5157</v>
      </c>
      <c r="F243" s="1350" t="s">
        <v>5154</v>
      </c>
      <c r="G243" s="1351" t="s">
        <v>4615</v>
      </c>
      <c r="H243" s="1342" t="s">
        <v>1328</v>
      </c>
      <c r="I243" s="432" t="s">
        <v>1548</v>
      </c>
      <c r="J243" s="431"/>
      <c r="K243" s="431"/>
      <c r="L243" s="431"/>
      <c r="M243" s="433"/>
      <c r="N243" s="434" t="s">
        <v>1303</v>
      </c>
      <c r="O243" s="1760" t="s">
        <v>5155</v>
      </c>
      <c r="P243" s="435">
        <v>1</v>
      </c>
      <c r="Q243" s="1595" t="s">
        <v>1299</v>
      </c>
      <c r="R243" s="1595" t="s">
        <v>4638</v>
      </c>
      <c r="S243" s="1595" t="str">
        <f>Classif!D9</f>
        <v/>
      </c>
      <c r="T243" s="1595">
        <f t="shared" si="157"/>
        <v>3</v>
      </c>
      <c r="U243" s="1744" t="str">
        <f t="shared" si="158"/>
        <v/>
      </c>
      <c r="V243" s="1745">
        <v>1</v>
      </c>
      <c r="W243" s="1745">
        <f>S09F01</f>
        <v>1</v>
      </c>
      <c r="X243" s="1745">
        <v>1</v>
      </c>
      <c r="Y243" s="1745">
        <v>1</v>
      </c>
      <c r="Z243" s="1746">
        <v>0</v>
      </c>
      <c r="AA243" s="1747"/>
      <c r="AB243" s="1748"/>
      <c r="AC243" s="1748"/>
      <c r="AD243" s="1595" t="str">
        <f t="shared" si="139"/>
        <v/>
      </c>
      <c r="AE243" s="1595">
        <f t="shared" si="165"/>
        <v>3</v>
      </c>
      <c r="AF243" s="1595" t="str">
        <f t="shared" si="160"/>
        <v/>
      </c>
      <c r="AG243" s="1748"/>
      <c r="AH243" s="1749" t="str">
        <f t="shared" si="140"/>
        <v/>
      </c>
      <c r="AI243" s="1615"/>
      <c r="AJ243" s="1616" t="s">
        <v>3215</v>
      </c>
      <c r="AK243" s="1618"/>
      <c r="AL243" s="1619"/>
      <c r="AM243" s="247" t="str">
        <f t="shared" si="133"/>
        <v/>
      </c>
      <c r="AN243" s="247" t="str">
        <f t="shared" si="134"/>
        <v/>
      </c>
      <c r="AO243" s="247" t="str">
        <f t="shared" si="135"/>
        <v/>
      </c>
      <c r="AP243" s="247" t="str">
        <f t="shared" si="136"/>
        <v/>
      </c>
      <c r="AQ243" s="42">
        <f t="shared" si="161"/>
        <v>1</v>
      </c>
      <c r="AR243" s="42">
        <f t="shared" si="162"/>
        <v>1</v>
      </c>
      <c r="AS243" s="42">
        <f t="shared" si="163"/>
        <v>1</v>
      </c>
      <c r="AT243" s="42">
        <f t="shared" si="164"/>
        <v>1</v>
      </c>
      <c r="AU243" s="247" t="str">
        <f t="shared" si="137"/>
        <v/>
      </c>
      <c r="AV243" s="247" t="str">
        <f t="shared" si="138"/>
        <v/>
      </c>
    </row>
    <row r="244" spans="1:48" ht="15" x14ac:dyDescent="0.2">
      <c r="A244" s="418" t="s">
        <v>3954</v>
      </c>
      <c r="B244" s="419"/>
      <c r="C244" s="420" t="s">
        <v>3955</v>
      </c>
      <c r="D244" s="425"/>
      <c r="E244" s="1348"/>
      <c r="F244" s="1348"/>
      <c r="G244" s="427"/>
      <c r="H244" s="1295"/>
      <c r="I244" s="454"/>
      <c r="J244" s="441"/>
      <c r="K244" s="441"/>
      <c r="L244" s="441"/>
      <c r="M244" s="442"/>
      <c r="N244" s="422"/>
      <c r="O244" s="1752"/>
      <c r="P244" s="435"/>
      <c r="Q244" s="1595"/>
      <c r="R244" s="1595"/>
      <c r="S244" s="1753"/>
      <c r="T244" s="1595"/>
      <c r="U244" s="1744"/>
      <c r="V244" s="1754"/>
      <c r="W244" s="1754"/>
      <c r="X244" s="1754"/>
      <c r="Y244" s="1754"/>
      <c r="Z244" s="1755"/>
      <c r="AA244" s="1756"/>
      <c r="AB244" s="1748"/>
      <c r="AC244" s="1748"/>
      <c r="AD244" s="1595"/>
      <c r="AE244" s="1753" t="str">
        <f t="shared" si="165"/>
        <v/>
      </c>
      <c r="AF244" s="1595"/>
      <c r="AG244" s="1748"/>
      <c r="AH244" s="1749"/>
      <c r="AI244" s="1627"/>
      <c r="AJ244" s="1628"/>
      <c r="AK244" s="1628"/>
      <c r="AL244" s="1629"/>
      <c r="AM244" s="247" t="str">
        <f t="shared" si="133"/>
        <v/>
      </c>
      <c r="AN244" s="247" t="str">
        <f t="shared" si="134"/>
        <v/>
      </c>
      <c r="AO244" s="247" t="str">
        <f t="shared" si="135"/>
        <v/>
      </c>
      <c r="AP244" s="247" t="str">
        <f t="shared" si="136"/>
        <v/>
      </c>
      <c r="AU244" s="247" t="str">
        <f t="shared" si="137"/>
        <v/>
      </c>
      <c r="AV244" s="247" t="str">
        <f t="shared" si="138"/>
        <v/>
      </c>
    </row>
    <row r="245" spans="1:48" ht="24" x14ac:dyDescent="0.2">
      <c r="A245" s="450" t="s">
        <v>595</v>
      </c>
      <c r="B245" s="429" t="s">
        <v>2907</v>
      </c>
      <c r="C245" s="430" t="s">
        <v>5461</v>
      </c>
      <c r="D245" s="1349" t="s">
        <v>4638</v>
      </c>
      <c r="E245" s="1350" t="s">
        <v>5419</v>
      </c>
      <c r="F245" s="1350" t="s">
        <v>6682</v>
      </c>
      <c r="G245" s="1351" t="s">
        <v>3741</v>
      </c>
      <c r="H245" s="1342" t="s">
        <v>1328</v>
      </c>
      <c r="I245" s="432" t="s">
        <v>1548</v>
      </c>
      <c r="J245" s="431"/>
      <c r="K245" s="431"/>
      <c r="L245" s="431"/>
      <c r="M245" s="433"/>
      <c r="N245" s="434" t="s">
        <v>2835</v>
      </c>
      <c r="O245" s="1743" t="str">
        <f>VLOOKUP(B245,code_famille_scénario,2)&amp;"de "&amp;VLOOKUP(C245,code_actif,2)&amp;", par "&amp;VLOOKUP(N245,code_acteur,2)</f>
        <v>Manipulation malveillante de courrier électronique en cours d'envoi ou de réception, par un tiers non autorisé</v>
      </c>
      <c r="P245" s="435">
        <v>1</v>
      </c>
      <c r="Q245" s="1595" t="s">
        <v>1299</v>
      </c>
      <c r="R245" s="1595" t="s">
        <v>4638</v>
      </c>
      <c r="S245" s="1595" t="str">
        <f>Classif!D10</f>
        <v/>
      </c>
      <c r="T245" s="1595">
        <f>VLOOKUP(H245&amp;"."&amp;I245,Tab_event,4)</f>
        <v>3</v>
      </c>
      <c r="U245" s="1744" t="str">
        <f>IF(AND(NOT(S245=""),NOT(T245="")),INDEX(base_g,5-S245,T245),"")</f>
        <v/>
      </c>
      <c r="V245" s="1745">
        <v>1</v>
      </c>
      <c r="W245" s="1745">
        <f>S11C05</f>
        <v>1</v>
      </c>
      <c r="X245" s="1745">
        <v>1</v>
      </c>
      <c r="Y245" s="1745">
        <v>1</v>
      </c>
      <c r="Z245" s="1746">
        <v>0</v>
      </c>
      <c r="AA245" s="1747"/>
      <c r="AB245" s="1748"/>
      <c r="AC245" s="1748"/>
      <c r="AD245" s="1595" t="str">
        <f t="shared" si="139"/>
        <v/>
      </c>
      <c r="AE245" s="1595">
        <f t="shared" si="165"/>
        <v>3</v>
      </c>
      <c r="AF245" s="1595" t="str">
        <f>IF(AT245=1,IF(IndG=1,U245,IF(AND(OR(NOT(AD245=""),NOT(AB245="")),OR(NOT(AE245=""),NOT(AC245="")),AT245=1),INDEX(base_g,5-IF(AB245="",AD245,AB245),IF(AC245="",AE245,AC245)),"")),0)</f>
        <v/>
      </c>
      <c r="AG245" s="1748"/>
      <c r="AH245" s="1749" t="str">
        <f t="shared" si="140"/>
        <v/>
      </c>
      <c r="AI245" s="1615"/>
      <c r="AJ245" s="1616" t="s">
        <v>1597</v>
      </c>
      <c r="AK245" s="1618"/>
      <c r="AL245" s="1619"/>
      <c r="AM245" s="247" t="str">
        <f t="shared" si="133"/>
        <v/>
      </c>
      <c r="AN245" s="247" t="str">
        <f t="shared" si="134"/>
        <v/>
      </c>
      <c r="AO245" s="247" t="str">
        <f t="shared" si="135"/>
        <v/>
      </c>
      <c r="AP245" s="247" t="str">
        <f t="shared" si="136"/>
        <v/>
      </c>
      <c r="AQ245" s="42">
        <f>VLOOKUP(LEFT(C245,3),Tab_classif_data,6)</f>
        <v>1</v>
      </c>
      <c r="AR245" s="42">
        <f>VLOOKUP(G245,select_vul_data,2)</f>
        <v>1</v>
      </c>
      <c r="AS245" s="42">
        <f>VLOOKUP(H245&amp;"."&amp;I245,select_men,5)</f>
        <v>1</v>
      </c>
      <c r="AT245" s="42">
        <f>P245*AQ245*AR245*AS245</f>
        <v>1</v>
      </c>
      <c r="AU245" s="247" t="str">
        <f t="shared" si="137"/>
        <v/>
      </c>
      <c r="AV245" s="247" t="str">
        <f t="shared" si="138"/>
        <v/>
      </c>
    </row>
    <row r="246" spans="1:48" ht="24" x14ac:dyDescent="0.2">
      <c r="A246" s="450" t="s">
        <v>596</v>
      </c>
      <c r="B246" s="429" t="s">
        <v>2907</v>
      </c>
      <c r="C246" s="430" t="s">
        <v>5461</v>
      </c>
      <c r="D246" s="1349" t="s">
        <v>4638</v>
      </c>
      <c r="E246" s="1350" t="s">
        <v>5419</v>
      </c>
      <c r="F246" s="1350" t="s">
        <v>6682</v>
      </c>
      <c r="G246" s="1351" t="s">
        <v>3741</v>
      </c>
      <c r="H246" s="1342" t="s">
        <v>1328</v>
      </c>
      <c r="I246" s="432" t="s">
        <v>1548</v>
      </c>
      <c r="J246" s="431"/>
      <c r="K246" s="431"/>
      <c r="L246" s="431"/>
      <c r="M246" s="433"/>
      <c r="N246" s="434" t="s">
        <v>6403</v>
      </c>
      <c r="O246" s="1743" t="str">
        <f>VLOOKUP(B246,code_famille_scénario,2)&amp;"de "&amp;VLOOKUP(C246,code_actif,2)&amp;", par "&amp;VLOOKUP(N246,code_acteur,2)</f>
        <v>Manipulation malveillante de courrier électronique en cours d'envoi ou de réception, par un membre du personnel d'exploitation</v>
      </c>
      <c r="P246" s="435">
        <v>1</v>
      </c>
      <c r="Q246" s="1595" t="s">
        <v>1299</v>
      </c>
      <c r="R246" s="1595" t="s">
        <v>4638</v>
      </c>
      <c r="S246" s="1595" t="str">
        <f>Classif!D10</f>
        <v/>
      </c>
      <c r="T246" s="1595">
        <f>VLOOKUP(H246&amp;"."&amp;I246,Tab_event,4)</f>
        <v>3</v>
      </c>
      <c r="U246" s="1744" t="str">
        <f>IF(AND(NOT(S246=""),NOT(T246="")),INDEX(base_g,5-S246,T246),"")</f>
        <v/>
      </c>
      <c r="V246" s="1745">
        <v>1</v>
      </c>
      <c r="W246" s="1745">
        <f>S11C05</f>
        <v>1</v>
      </c>
      <c r="X246" s="1745">
        <v>1</v>
      </c>
      <c r="Y246" s="1745">
        <v>1</v>
      </c>
      <c r="Z246" s="1746">
        <v>0</v>
      </c>
      <c r="AA246" s="1747"/>
      <c r="AB246" s="1748"/>
      <c r="AC246" s="1748"/>
      <c r="AD246" s="1595" t="str">
        <f t="shared" si="139"/>
        <v/>
      </c>
      <c r="AE246" s="1595">
        <f t="shared" si="165"/>
        <v>3</v>
      </c>
      <c r="AF246" s="1595" t="str">
        <f>IF(AT246=1,IF(IndG=1,U246,IF(AND(OR(NOT(AD246=""),NOT(AB246="")),OR(NOT(AE246=""),NOT(AC246="")),AT246=1),INDEX(base_g,5-IF(AB246="",AD246,AB246),IF(AC246="",AE246,AC246)),"")),0)</f>
        <v/>
      </c>
      <c r="AG246" s="1748"/>
      <c r="AH246" s="1749" t="str">
        <f t="shared" si="140"/>
        <v/>
      </c>
      <c r="AI246" s="1615"/>
      <c r="AJ246" s="1616" t="s">
        <v>1597</v>
      </c>
      <c r="AK246" s="1618"/>
      <c r="AL246" s="1619"/>
      <c r="AM246" s="247" t="str">
        <f t="shared" si="133"/>
        <v/>
      </c>
      <c r="AN246" s="247" t="str">
        <f t="shared" si="134"/>
        <v/>
      </c>
      <c r="AO246" s="247" t="str">
        <f t="shared" si="135"/>
        <v/>
      </c>
      <c r="AP246" s="247" t="str">
        <f t="shared" si="136"/>
        <v/>
      </c>
      <c r="AQ246" s="42">
        <f>VLOOKUP(LEFT(C246,3),Tab_classif_data,6)</f>
        <v>1</v>
      </c>
      <c r="AR246" s="42">
        <f>VLOOKUP(G246,select_vul_data,2)</f>
        <v>1</v>
      </c>
      <c r="AS246" s="42">
        <f>VLOOKUP(H246&amp;"."&amp;I246,select_men,5)</f>
        <v>1</v>
      </c>
      <c r="AT246" s="42">
        <f>P246*AQ246*AR246*AS246</f>
        <v>1</v>
      </c>
      <c r="AU246" s="247" t="str">
        <f t="shared" si="137"/>
        <v/>
      </c>
      <c r="AV246" s="247" t="str">
        <f t="shared" si="138"/>
        <v/>
      </c>
    </row>
    <row r="247" spans="1:48" x14ac:dyDescent="0.2">
      <c r="A247" s="450" t="s">
        <v>597</v>
      </c>
      <c r="B247" s="429" t="s">
        <v>1564</v>
      </c>
      <c r="C247" s="430" t="s">
        <v>5461</v>
      </c>
      <c r="D247" s="1349" t="s">
        <v>4638</v>
      </c>
      <c r="E247" s="1350" t="s">
        <v>5419</v>
      </c>
      <c r="F247" s="1350" t="s">
        <v>6682</v>
      </c>
      <c r="G247" s="1351" t="s">
        <v>3741</v>
      </c>
      <c r="H247" s="1342" t="s">
        <v>1328</v>
      </c>
      <c r="I247" s="432" t="s">
        <v>5414</v>
      </c>
      <c r="J247" s="431"/>
      <c r="K247" s="431"/>
      <c r="L247" s="431"/>
      <c r="M247" s="433" t="s">
        <v>1880</v>
      </c>
      <c r="N247" s="434" t="s">
        <v>2835</v>
      </c>
      <c r="O247" s="1743" t="str">
        <f>VLOOKUP(B247,code_famille_scénario,2)</f>
        <v>Emission de faux courriel, par un tiers, avec falsification de signature</v>
      </c>
      <c r="P247" s="435">
        <v>1</v>
      </c>
      <c r="Q247" s="1595" t="s">
        <v>1299</v>
      </c>
      <c r="R247" s="1595" t="s">
        <v>4638</v>
      </c>
      <c r="S247" s="1595" t="str">
        <f>Classif!D10</f>
        <v/>
      </c>
      <c r="T247" s="1595">
        <f>VLOOKUP(H247&amp;"."&amp;I247,Tab_event,4)</f>
        <v>3</v>
      </c>
      <c r="U247" s="1744" t="str">
        <f>IF(AND(NOT(S247=""),NOT(T247="")),INDEX(base_g,5-S247,T247),"")</f>
        <v/>
      </c>
      <c r="V247" s="1745">
        <v>1</v>
      </c>
      <c r="W247" s="1745">
        <f>S11C05</f>
        <v>1</v>
      </c>
      <c r="X247" s="1745">
        <v>1</v>
      </c>
      <c r="Y247" s="1745">
        <v>1</v>
      </c>
      <c r="Z247" s="1746">
        <v>0</v>
      </c>
      <c r="AA247" s="1747"/>
      <c r="AB247" s="1748"/>
      <c r="AC247" s="1748"/>
      <c r="AD247" s="1595" t="str">
        <f t="shared" si="139"/>
        <v/>
      </c>
      <c r="AE247" s="1595">
        <f t="shared" si="165"/>
        <v>3</v>
      </c>
      <c r="AF247" s="1595" t="str">
        <f>IF(AT247=1,IF(IndG=1,U247,IF(AND(OR(NOT(AD247=""),NOT(AB247="")),OR(NOT(AE247=""),NOT(AC247="")),AT247=1),INDEX(base_g,5-IF(AB247="",AD247,AB247),IF(AC247="",AE247,AC247)),"")),0)</f>
        <v/>
      </c>
      <c r="AG247" s="1748"/>
      <c r="AH247" s="1749" t="str">
        <f t="shared" si="140"/>
        <v/>
      </c>
      <c r="AI247" s="1615"/>
      <c r="AJ247" s="1616" t="s">
        <v>1597</v>
      </c>
      <c r="AK247" s="1618"/>
      <c r="AL247" s="1619"/>
      <c r="AM247" s="247" t="str">
        <f t="shared" si="133"/>
        <v/>
      </c>
      <c r="AN247" s="247" t="str">
        <f t="shared" si="134"/>
        <v/>
      </c>
      <c r="AO247" s="247" t="str">
        <f t="shared" si="135"/>
        <v/>
      </c>
      <c r="AP247" s="247" t="str">
        <f t="shared" si="136"/>
        <v/>
      </c>
      <c r="AQ247" s="42">
        <f>VLOOKUP(LEFT(C247,3),Tab_classif_data,6)</f>
        <v>1</v>
      </c>
      <c r="AR247" s="42">
        <f>VLOOKUP(G247,select_vul_data,2)</f>
        <v>1</v>
      </c>
      <c r="AS247" s="42">
        <f>VLOOKUP(H247&amp;"."&amp;I247,select_men,5)</f>
        <v>1</v>
      </c>
      <c r="AT247" s="42">
        <f>P247*AQ247*AR247*AS247</f>
        <v>1</v>
      </c>
      <c r="AU247" s="247" t="str">
        <f t="shared" si="137"/>
        <v/>
      </c>
      <c r="AV247" s="247" t="str">
        <f t="shared" si="138"/>
        <v/>
      </c>
    </row>
    <row r="248" spans="1:48" ht="15" x14ac:dyDescent="0.2">
      <c r="A248" s="418" t="s">
        <v>3956</v>
      </c>
      <c r="B248" s="419"/>
      <c r="C248" s="420" t="s">
        <v>3957</v>
      </c>
      <c r="D248" s="425"/>
      <c r="E248" s="1348"/>
      <c r="F248" s="1348"/>
      <c r="G248" s="1352"/>
      <c r="H248" s="1295"/>
      <c r="I248" s="454"/>
      <c r="J248" s="441"/>
      <c r="K248" s="441"/>
      <c r="L248" s="441"/>
      <c r="M248" s="442"/>
      <c r="N248" s="422"/>
      <c r="O248" s="1752"/>
      <c r="P248" s="435"/>
      <c r="Q248" s="1595"/>
      <c r="R248" s="1595"/>
      <c r="S248" s="1753"/>
      <c r="T248" s="1595"/>
      <c r="U248" s="1744"/>
      <c r="V248" s="1754"/>
      <c r="W248" s="1754"/>
      <c r="X248" s="1754"/>
      <c r="Y248" s="1754"/>
      <c r="Z248" s="1755"/>
      <c r="AA248" s="1756"/>
      <c r="AB248" s="1748"/>
      <c r="AC248" s="1748"/>
      <c r="AD248" s="1595"/>
      <c r="AE248" s="1753" t="str">
        <f t="shared" si="165"/>
        <v/>
      </c>
      <c r="AF248" s="1595"/>
      <c r="AG248" s="1748"/>
      <c r="AH248" s="1749"/>
      <c r="AI248" s="1627"/>
      <c r="AJ248" s="1628"/>
      <c r="AK248" s="1628"/>
      <c r="AL248" s="1629"/>
      <c r="AM248" s="247" t="str">
        <f t="shared" si="133"/>
        <v/>
      </c>
      <c r="AN248" s="247" t="str">
        <f t="shared" si="134"/>
        <v/>
      </c>
      <c r="AO248" s="247" t="str">
        <f t="shared" si="135"/>
        <v/>
      </c>
      <c r="AP248" s="247" t="str">
        <f t="shared" si="136"/>
        <v/>
      </c>
      <c r="AU248" s="247" t="str">
        <f t="shared" si="137"/>
        <v/>
      </c>
      <c r="AV248" s="247" t="str">
        <f t="shared" si="138"/>
        <v/>
      </c>
    </row>
    <row r="249" spans="1:48" x14ac:dyDescent="0.2">
      <c r="A249" s="450" t="s">
        <v>598</v>
      </c>
      <c r="B249" s="429" t="s">
        <v>1565</v>
      </c>
      <c r="C249" s="430" t="s">
        <v>5464</v>
      </c>
      <c r="D249" s="1349" t="s">
        <v>4638</v>
      </c>
      <c r="E249" s="1350" t="s">
        <v>7505</v>
      </c>
      <c r="F249" s="1350" t="s">
        <v>6682</v>
      </c>
      <c r="G249" s="1351" t="s">
        <v>3741</v>
      </c>
      <c r="H249" s="1342" t="s">
        <v>1328</v>
      </c>
      <c r="I249" s="432" t="s">
        <v>1548</v>
      </c>
      <c r="J249" s="431"/>
      <c r="K249" s="431"/>
      <c r="L249" s="431"/>
      <c r="M249" s="433"/>
      <c r="N249" s="434" t="s">
        <v>2835</v>
      </c>
      <c r="O249" s="1743" t="str">
        <f>VLOOKUP(B249,code_famille_scénario,2)</f>
        <v>Emission de fausse télécopie, par un tiers, avec falsification de signature</v>
      </c>
      <c r="P249" s="435">
        <v>1</v>
      </c>
      <c r="Q249" s="1595" t="s">
        <v>1299</v>
      </c>
      <c r="R249" s="1595" t="s">
        <v>4638</v>
      </c>
      <c r="S249" s="1595" t="str">
        <f>Classif!D11</f>
        <v/>
      </c>
      <c r="T249" s="1595">
        <f>VLOOKUP(H249&amp;"."&amp;I249,Tab_event,4)</f>
        <v>3</v>
      </c>
      <c r="U249" s="1744" t="str">
        <f>IF(AND(NOT(S249=""),NOT(T249="")),INDEX(base_g,5-S249,T249),"")</f>
        <v/>
      </c>
      <c r="V249" s="1745">
        <v>1</v>
      </c>
      <c r="W249" s="1745">
        <f>S02D05</f>
        <v>1</v>
      </c>
      <c r="X249" s="1745">
        <v>1</v>
      </c>
      <c r="Y249" s="1745">
        <v>1</v>
      </c>
      <c r="Z249" s="1746">
        <v>0</v>
      </c>
      <c r="AA249" s="1747"/>
      <c r="AB249" s="1748"/>
      <c r="AC249" s="1748"/>
      <c r="AD249" s="1595" t="str">
        <f t="shared" si="139"/>
        <v/>
      </c>
      <c r="AE249" s="1595">
        <f t="shared" si="165"/>
        <v>3</v>
      </c>
      <c r="AF249" s="1595" t="str">
        <f>IF(AT249=1,IF(IndG=1,U249,IF(AND(OR(NOT(AD249=""),NOT(AB249="")),OR(NOT(AE249=""),NOT(AC249="")),AT249=1),INDEX(base_g,5-IF(AB249="",AD249,AB249),IF(AC249="",AE249,AC249)),"")),0)</f>
        <v/>
      </c>
      <c r="AG249" s="1748"/>
      <c r="AH249" s="1749" t="str">
        <f t="shared" si="140"/>
        <v/>
      </c>
      <c r="AI249" s="1615"/>
      <c r="AJ249" s="1616" t="s">
        <v>3125</v>
      </c>
      <c r="AK249" s="1618"/>
      <c r="AL249" s="1619"/>
      <c r="AM249" s="247" t="str">
        <f t="shared" si="133"/>
        <v/>
      </c>
      <c r="AN249" s="247" t="str">
        <f t="shared" si="134"/>
        <v/>
      </c>
      <c r="AO249" s="247" t="str">
        <f t="shared" si="135"/>
        <v/>
      </c>
      <c r="AP249" s="247" t="str">
        <f t="shared" si="136"/>
        <v/>
      </c>
      <c r="AQ249" s="42">
        <f>VLOOKUP(LEFT(C249,3),Tab_classif_data,6)</f>
        <v>1</v>
      </c>
      <c r="AR249" s="42">
        <f>VLOOKUP(G249,select_vul_data,2)</f>
        <v>1</v>
      </c>
      <c r="AS249" s="42">
        <f>VLOOKUP(H249&amp;"."&amp;I249,select_men,5)</f>
        <v>1</v>
      </c>
      <c r="AT249" s="42">
        <f>P249*AQ249*AR249*AS249</f>
        <v>1</v>
      </c>
      <c r="AU249" s="247" t="str">
        <f t="shared" si="137"/>
        <v/>
      </c>
      <c r="AV249" s="247" t="str">
        <f t="shared" si="138"/>
        <v/>
      </c>
    </row>
    <row r="250" spans="1:48" ht="15" x14ac:dyDescent="0.2">
      <c r="A250" s="418" t="s">
        <v>3958</v>
      </c>
      <c r="B250" s="419"/>
      <c r="C250" s="420" t="s">
        <v>3959</v>
      </c>
      <c r="D250" s="425"/>
      <c r="E250" s="1348"/>
      <c r="F250" s="1348"/>
      <c r="G250" s="1352"/>
      <c r="H250" s="1295"/>
      <c r="I250" s="454"/>
      <c r="J250" s="441"/>
      <c r="K250" s="441"/>
      <c r="L250" s="441"/>
      <c r="M250" s="442"/>
      <c r="N250" s="422"/>
      <c r="O250" s="1752"/>
      <c r="P250" s="435"/>
      <c r="Q250" s="1595"/>
      <c r="R250" s="1595"/>
      <c r="S250" s="1753"/>
      <c r="T250" s="1595"/>
      <c r="U250" s="1744"/>
      <c r="V250" s="1754"/>
      <c r="W250" s="1754"/>
      <c r="X250" s="1754"/>
      <c r="Y250" s="1754"/>
      <c r="Z250" s="1755"/>
      <c r="AA250" s="1756"/>
      <c r="AB250" s="1748"/>
      <c r="AC250" s="1748"/>
      <c r="AD250" s="1595"/>
      <c r="AE250" s="1753" t="str">
        <f t="shared" si="165"/>
        <v/>
      </c>
      <c r="AF250" s="1595"/>
      <c r="AG250" s="1748"/>
      <c r="AH250" s="1749"/>
      <c r="AI250" s="1627"/>
      <c r="AJ250" s="1628"/>
      <c r="AK250" s="1628"/>
      <c r="AL250" s="1629"/>
      <c r="AM250" s="247" t="str">
        <f t="shared" si="133"/>
        <v/>
      </c>
      <c r="AN250" s="247" t="str">
        <f t="shared" si="134"/>
        <v/>
      </c>
      <c r="AO250" s="247" t="str">
        <f t="shared" si="135"/>
        <v/>
      </c>
      <c r="AP250" s="247" t="str">
        <f t="shared" si="136"/>
        <v/>
      </c>
      <c r="AU250" s="247" t="str">
        <f t="shared" si="137"/>
        <v/>
      </c>
      <c r="AV250" s="247" t="str">
        <f t="shared" si="138"/>
        <v/>
      </c>
    </row>
    <row r="251" spans="1:48" ht="24" x14ac:dyDescent="0.2">
      <c r="A251" s="450" t="s">
        <v>599</v>
      </c>
      <c r="B251" s="429" t="s">
        <v>2595</v>
      </c>
      <c r="C251" s="430" t="s">
        <v>4734</v>
      </c>
      <c r="D251" s="1349" t="s">
        <v>4638</v>
      </c>
      <c r="E251" s="1350" t="s">
        <v>2778</v>
      </c>
      <c r="F251" s="1350" t="s">
        <v>6682</v>
      </c>
      <c r="G251" s="1351" t="s">
        <v>3741</v>
      </c>
      <c r="H251" s="1342" t="s">
        <v>1328</v>
      </c>
      <c r="I251" s="432" t="s">
        <v>1548</v>
      </c>
      <c r="J251" s="431"/>
      <c r="K251" s="431"/>
      <c r="L251" s="431"/>
      <c r="M251" s="433"/>
      <c r="N251" s="434" t="s">
        <v>6403</v>
      </c>
      <c r="O251" s="1743" t="str">
        <f>VLOOKUP(B251,code_famille_scénario,2)&amp;VLOOKUP(C251,code_actif,2)&amp;", par "&amp;VLOOKUP(N251,code_acteur,2)</f>
        <v>Altération malveillante (non détectée) de fichiers d'archives informatiques, par un membre du personnel d'exploitation</v>
      </c>
      <c r="P251" s="435">
        <v>1</v>
      </c>
      <c r="Q251" s="1595" t="s">
        <v>1299</v>
      </c>
      <c r="R251" s="1595" t="s">
        <v>4638</v>
      </c>
      <c r="S251" s="1595" t="str">
        <f>Classif!D13</f>
        <v/>
      </c>
      <c r="T251" s="1595">
        <f>VLOOKUP(H251&amp;"."&amp;I251,Tab_event,4)</f>
        <v>3</v>
      </c>
      <c r="U251" s="1744" t="str">
        <f>IF(AND(NOT(S251=""),NOT(T251="")),INDEX(base_g,5-S251,T251),"")</f>
        <v/>
      </c>
      <c r="V251" s="1745">
        <f>S08H02</f>
        <v>1</v>
      </c>
      <c r="W251" s="1745">
        <v>1</v>
      </c>
      <c r="X251" s="1745">
        <v>1</v>
      </c>
      <c r="Y251" s="1745">
        <v>1</v>
      </c>
      <c r="Z251" s="1746">
        <v>0</v>
      </c>
      <c r="AA251" s="1747"/>
      <c r="AB251" s="1748"/>
      <c r="AC251" s="1748"/>
      <c r="AD251" s="1595" t="str">
        <f t="shared" si="139"/>
        <v/>
      </c>
      <c r="AE251" s="1595">
        <f t="shared" si="165"/>
        <v>3</v>
      </c>
      <c r="AF251" s="1595" t="str">
        <f>IF(AT251=1,IF(IndG=1,U251,IF(AND(OR(NOT(AD251=""),NOT(AB251="")),OR(NOT(AE251=""),NOT(AC251="")),AT251=1),INDEX(base_g,5-IF(AB251="",AD251,AB251),IF(AC251="",AE251,AC251)),"")),0)</f>
        <v/>
      </c>
      <c r="AG251" s="1748"/>
      <c r="AH251" s="1749" t="str">
        <f t="shared" si="140"/>
        <v/>
      </c>
      <c r="AI251" s="1620" t="s">
        <v>4252</v>
      </c>
      <c r="AJ251" s="1616"/>
      <c r="AK251" s="1618"/>
      <c r="AL251" s="1619"/>
      <c r="AM251" s="247" t="str">
        <f t="shared" si="133"/>
        <v/>
      </c>
      <c r="AN251" s="247" t="str">
        <f t="shared" si="134"/>
        <v/>
      </c>
      <c r="AO251" s="247" t="str">
        <f t="shared" si="135"/>
        <v/>
      </c>
      <c r="AP251" s="247" t="str">
        <f t="shared" si="136"/>
        <v/>
      </c>
      <c r="AQ251" s="42">
        <f>VLOOKUP(LEFT(C251,3),Tab_classif_data,6)</f>
        <v>1</v>
      </c>
      <c r="AR251" s="42">
        <f>VLOOKUP(G251,select_vul_data,2)</f>
        <v>1</v>
      </c>
      <c r="AS251" s="42">
        <f>VLOOKUP(H251&amp;"."&amp;I251,select_men,5)</f>
        <v>1</v>
      </c>
      <c r="AT251" s="42">
        <f>P251*AQ251*AR251*AS251</f>
        <v>1</v>
      </c>
      <c r="AU251" s="247" t="str">
        <f t="shared" si="137"/>
        <v/>
      </c>
      <c r="AV251" s="247" t="str">
        <f t="shared" si="138"/>
        <v/>
      </c>
    </row>
    <row r="252" spans="1:48" ht="24" x14ac:dyDescent="0.2">
      <c r="A252" s="450" t="s">
        <v>600</v>
      </c>
      <c r="B252" s="429" t="s">
        <v>2595</v>
      </c>
      <c r="C252" s="430" t="s">
        <v>4734</v>
      </c>
      <c r="D252" s="1349" t="s">
        <v>4638</v>
      </c>
      <c r="E252" s="1350" t="s">
        <v>2778</v>
      </c>
      <c r="F252" s="1350" t="s">
        <v>6682</v>
      </c>
      <c r="G252" s="1351" t="s">
        <v>3741</v>
      </c>
      <c r="H252" s="1342" t="s">
        <v>1328</v>
      </c>
      <c r="I252" s="432" t="s">
        <v>1548</v>
      </c>
      <c r="J252" s="431"/>
      <c r="K252" s="431"/>
      <c r="L252" s="431" t="s">
        <v>6541</v>
      </c>
      <c r="M252" s="433"/>
      <c r="N252" s="434" t="s">
        <v>3518</v>
      </c>
      <c r="O252" s="1743" t="str">
        <f>VLOOKUP(B252,code_famille_scénario,2)&amp;VLOOKUP(C252,code_actif,2)&amp;", par "&amp;VLOOKUP(N252,code_acteur,2)&amp;", "&amp;VLOOKUP(L252,code_acces,2)</f>
        <v>Altération malveillante (non détectée) de fichiers d'archives informatiques, par un membre du personnel non autorisé, se connectant depuis le réseau interne</v>
      </c>
      <c r="P252" s="435">
        <v>1</v>
      </c>
      <c r="Q252" s="1595" t="s">
        <v>1299</v>
      </c>
      <c r="R252" s="1595" t="s">
        <v>4638</v>
      </c>
      <c r="S252" s="1595" t="str">
        <f>Classif!D13</f>
        <v/>
      </c>
      <c r="T252" s="1595">
        <f>VLOOKUP(H252&amp;"."&amp;I252,Tab_event,4)</f>
        <v>3</v>
      </c>
      <c r="U252" s="1744" t="str">
        <f>IF(AND(NOT(S252=""),NOT(T252="")),INDEX(base_g,5-S252,T252),"")</f>
        <v/>
      </c>
      <c r="V252" s="1745">
        <v>1</v>
      </c>
      <c r="W252" s="1745">
        <f>S08H02</f>
        <v>1</v>
      </c>
      <c r="X252" s="1745">
        <v>1</v>
      </c>
      <c r="Y252" s="1745">
        <v>1</v>
      </c>
      <c r="Z252" s="1746">
        <v>0</v>
      </c>
      <c r="AA252" s="1747"/>
      <c r="AB252" s="1748"/>
      <c r="AC252" s="1748"/>
      <c r="AD252" s="1595" t="str">
        <f t="shared" si="139"/>
        <v/>
      </c>
      <c r="AE252" s="1595">
        <f t="shared" si="165"/>
        <v>3</v>
      </c>
      <c r="AF252" s="1595" t="str">
        <f>IF(AT252=1,IF(IndG=1,U252,IF(AND(OR(NOT(AD252=""),NOT(AB252="")),OR(NOT(AE252=""),NOT(AC252="")),AT252=1),INDEX(base_g,5-IF(AB252="",AD252,AB252),IF(AC252="",AE252,AC252)),"")),0)</f>
        <v/>
      </c>
      <c r="AG252" s="1748"/>
      <c r="AH252" s="1749" t="str">
        <f t="shared" si="140"/>
        <v/>
      </c>
      <c r="AI252" s="1615"/>
      <c r="AJ252" s="1616" t="s">
        <v>4252</v>
      </c>
      <c r="AK252" s="1618"/>
      <c r="AL252" s="1619"/>
      <c r="AM252" s="247" t="str">
        <f t="shared" si="133"/>
        <v/>
      </c>
      <c r="AN252" s="247" t="str">
        <f t="shared" si="134"/>
        <v/>
      </c>
      <c r="AO252" s="247" t="str">
        <f t="shared" si="135"/>
        <v/>
      </c>
      <c r="AP252" s="247" t="str">
        <f t="shared" si="136"/>
        <v/>
      </c>
      <c r="AQ252" s="42">
        <f>VLOOKUP(LEFT(C252,3),Tab_classif_data,6)</f>
        <v>1</v>
      </c>
      <c r="AR252" s="42">
        <f>VLOOKUP(G252,select_vul_data,2)</f>
        <v>1</v>
      </c>
      <c r="AS252" s="42">
        <f>VLOOKUP(H252&amp;"."&amp;I252,select_men,5)</f>
        <v>1</v>
      </c>
      <c r="AT252" s="42">
        <f>P252*AQ252*AR252*AS252</f>
        <v>1</v>
      </c>
      <c r="AU252" s="247" t="str">
        <f t="shared" si="137"/>
        <v/>
      </c>
      <c r="AV252" s="247" t="str">
        <f t="shared" si="138"/>
        <v/>
      </c>
    </row>
    <row r="253" spans="1:48" ht="36" x14ac:dyDescent="0.2">
      <c r="A253" s="450" t="s">
        <v>601</v>
      </c>
      <c r="B253" s="429" t="s">
        <v>2598</v>
      </c>
      <c r="C253" s="430" t="s">
        <v>4734</v>
      </c>
      <c r="D253" s="1349" t="s">
        <v>4638</v>
      </c>
      <c r="E253" s="1350" t="s">
        <v>1874</v>
      </c>
      <c r="F253" s="1350" t="s">
        <v>6758</v>
      </c>
      <c r="G253" s="1351" t="s">
        <v>4612</v>
      </c>
      <c r="H253" s="1342" t="s">
        <v>1329</v>
      </c>
      <c r="I253" s="432" t="s">
        <v>1548</v>
      </c>
      <c r="J253" s="431"/>
      <c r="K253" s="431"/>
      <c r="L253" s="431" t="s">
        <v>6541</v>
      </c>
      <c r="M253" s="433"/>
      <c r="N253" s="434" t="s">
        <v>4816</v>
      </c>
      <c r="O253" s="1743" t="str">
        <f>VLOOKUP(B253,code_famille_scénario,2)&amp;VLOOKUP(C253,code_actif,2)&amp;", par "&amp;VLOOKUP(N253,code_acteur,2)&amp;", "&amp;VLOOKUP(L253,code_acces,2)</f>
        <v>Echange malveillant (non détecté) de media support de fichiers d'archives informatiques, par un membre  du personnel autorisé, se connectant depuis le réseau interne</v>
      </c>
      <c r="P253" s="435">
        <v>1</v>
      </c>
      <c r="Q253" s="1595" t="s">
        <v>1299</v>
      </c>
      <c r="R253" s="1595" t="s">
        <v>4638</v>
      </c>
      <c r="S253" s="1595" t="str">
        <f>Classif!D13</f>
        <v/>
      </c>
      <c r="T253" s="1595">
        <f>VLOOKUP(H253&amp;"."&amp;I253,Tab_event,4)</f>
        <v>2</v>
      </c>
      <c r="U253" s="1744" t="str">
        <f>IF(AND(NOT(S253=""),NOT(T253="")),INDEX(base_g,5-S253,T253),"")</f>
        <v/>
      </c>
      <c r="V253" s="1745">
        <f>S08H03</f>
        <v>1</v>
      </c>
      <c r="W253" s="1745">
        <v>1</v>
      </c>
      <c r="X253" s="1745">
        <v>1</v>
      </c>
      <c r="Y253" s="1745">
        <v>1</v>
      </c>
      <c r="Z253" s="1746">
        <v>0</v>
      </c>
      <c r="AA253" s="1747"/>
      <c r="AB253" s="1748"/>
      <c r="AC253" s="1748"/>
      <c r="AD253" s="1595" t="str">
        <f t="shared" si="139"/>
        <v/>
      </c>
      <c r="AE253" s="1595">
        <f t="shared" si="165"/>
        <v>2</v>
      </c>
      <c r="AF253" s="1595" t="str">
        <f>IF(AT253=1,IF(IndG=1,U253,IF(AND(OR(NOT(AD253=""),NOT(AB253="")),OR(NOT(AE253=""),NOT(AC253="")),AT253=1),INDEX(base_g,5-IF(AB253="",AD253,AB253),IF(AC253="",AE253,AC253)),"")),0)</f>
        <v/>
      </c>
      <c r="AG253" s="1748"/>
      <c r="AH253" s="1749" t="str">
        <f t="shared" si="140"/>
        <v/>
      </c>
      <c r="AI253" s="1620" t="s">
        <v>5417</v>
      </c>
      <c r="AJ253" s="1621"/>
      <c r="AK253" s="1618"/>
      <c r="AL253" s="1619"/>
      <c r="AM253" s="247" t="str">
        <f t="shared" si="133"/>
        <v/>
      </c>
      <c r="AN253" s="247" t="str">
        <f t="shared" si="134"/>
        <v/>
      </c>
      <c r="AO253" s="247" t="str">
        <f t="shared" si="135"/>
        <v/>
      </c>
      <c r="AP253" s="247" t="str">
        <f t="shared" si="136"/>
        <v/>
      </c>
      <c r="AQ253" s="42">
        <f>VLOOKUP(LEFT(C253,3),Tab_classif_data,6)</f>
        <v>1</v>
      </c>
      <c r="AR253" s="42">
        <f>VLOOKUP(G253,select_vul_data,2)</f>
        <v>1</v>
      </c>
      <c r="AS253" s="42">
        <f>VLOOKUP(H253&amp;"."&amp;I253,select_men,5)</f>
        <v>1</v>
      </c>
      <c r="AT253" s="42">
        <f>P253*AQ253*AR253*AS253</f>
        <v>1</v>
      </c>
      <c r="AU253" s="247" t="str">
        <f t="shared" si="137"/>
        <v/>
      </c>
      <c r="AV253" s="247" t="str">
        <f t="shared" si="138"/>
        <v/>
      </c>
    </row>
    <row r="254" spans="1:48" ht="36" x14ac:dyDescent="0.2">
      <c r="A254" s="450" t="s">
        <v>602</v>
      </c>
      <c r="B254" s="429" t="s">
        <v>2598</v>
      </c>
      <c r="C254" s="430" t="s">
        <v>4734</v>
      </c>
      <c r="D254" s="1349" t="s">
        <v>4638</v>
      </c>
      <c r="E254" s="1350" t="s">
        <v>1874</v>
      </c>
      <c r="F254" s="1350" t="s">
        <v>6758</v>
      </c>
      <c r="G254" s="1351" t="s">
        <v>4612</v>
      </c>
      <c r="H254" s="1342" t="s">
        <v>1329</v>
      </c>
      <c r="I254" s="432" t="s">
        <v>1548</v>
      </c>
      <c r="J254" s="431"/>
      <c r="K254" s="431"/>
      <c r="L254" s="431" t="s">
        <v>6541</v>
      </c>
      <c r="M254" s="433"/>
      <c r="N254" s="434" t="s">
        <v>3518</v>
      </c>
      <c r="O254" s="1743" t="str">
        <f>VLOOKUP(B254,code_famille_scénario,2)&amp;VLOOKUP(C254,code_actif,2)&amp;", par "&amp;VLOOKUP(N254,code_acteur,2)&amp;", "&amp;VLOOKUP(L254,code_acces,2)</f>
        <v>Echange malveillant (non détecté) de media support de fichiers d'archives informatiques, par un membre du personnel non autorisé, se connectant depuis le réseau interne</v>
      </c>
      <c r="P254" s="435">
        <v>1</v>
      </c>
      <c r="Q254" s="1595" t="s">
        <v>1299</v>
      </c>
      <c r="R254" s="1595" t="s">
        <v>4638</v>
      </c>
      <c r="S254" s="1595" t="str">
        <f>Classif!D13</f>
        <v/>
      </c>
      <c r="T254" s="1595">
        <f>VLOOKUP(H254&amp;"."&amp;I254,Tab_event,4)</f>
        <v>2</v>
      </c>
      <c r="U254" s="1744" t="str">
        <f>IF(AND(NOT(S254=""),NOT(T254="")),INDEX(base_g,5-S254,T254),"")</f>
        <v/>
      </c>
      <c r="V254" s="1745">
        <v>1</v>
      </c>
      <c r="W254" s="1745">
        <f>S08H02</f>
        <v>1</v>
      </c>
      <c r="X254" s="1745">
        <v>1</v>
      </c>
      <c r="Y254" s="1745">
        <v>1</v>
      </c>
      <c r="Z254" s="1746">
        <v>0</v>
      </c>
      <c r="AA254" s="1747"/>
      <c r="AB254" s="1748"/>
      <c r="AC254" s="1748"/>
      <c r="AD254" s="1595" t="str">
        <f t="shared" si="139"/>
        <v/>
      </c>
      <c r="AE254" s="1595">
        <f t="shared" si="165"/>
        <v>2</v>
      </c>
      <c r="AF254" s="1595" t="str">
        <f>IF(AT254=1,IF(IndG=1,U254,IF(AND(OR(NOT(AD254=""),NOT(AB254="")),OR(NOT(AE254=""),NOT(AC254="")),AT254=1),INDEX(base_g,5-IF(AB254="",AD254,AB254),IF(AC254="",AE254,AC254)),"")),0)</f>
        <v/>
      </c>
      <c r="AG254" s="1748"/>
      <c r="AH254" s="1749" t="str">
        <f t="shared" si="140"/>
        <v/>
      </c>
      <c r="AI254" s="1615"/>
      <c r="AJ254" s="1616" t="s">
        <v>4252</v>
      </c>
      <c r="AK254" s="1618"/>
      <c r="AL254" s="1619"/>
      <c r="AM254" s="247" t="str">
        <f t="shared" si="133"/>
        <v/>
      </c>
      <c r="AN254" s="247" t="str">
        <f t="shared" si="134"/>
        <v/>
      </c>
      <c r="AO254" s="247" t="str">
        <f t="shared" si="135"/>
        <v/>
      </c>
      <c r="AP254" s="247" t="str">
        <f t="shared" si="136"/>
        <v/>
      </c>
      <c r="AQ254" s="42">
        <f>VLOOKUP(LEFT(C254,3),Tab_classif_data,6)</f>
        <v>1</v>
      </c>
      <c r="AR254" s="42">
        <f>VLOOKUP(G254,select_vul_data,2)</f>
        <v>1</v>
      </c>
      <c r="AS254" s="42">
        <f>VLOOKUP(H254&amp;"."&amp;I254,select_men,5)</f>
        <v>1</v>
      </c>
      <c r="AT254" s="42">
        <f>P254*AQ254*AR254*AS254</f>
        <v>1</v>
      </c>
      <c r="AU254" s="247" t="str">
        <f t="shared" si="137"/>
        <v/>
      </c>
      <c r="AV254" s="247" t="str">
        <f t="shared" si="138"/>
        <v/>
      </c>
    </row>
    <row r="255" spans="1:48" ht="24" x14ac:dyDescent="0.2">
      <c r="A255" s="450" t="s">
        <v>603</v>
      </c>
      <c r="B255" s="429" t="s">
        <v>2598</v>
      </c>
      <c r="C255" s="430" t="s">
        <v>4734</v>
      </c>
      <c r="D255" s="1349" t="s">
        <v>4638</v>
      </c>
      <c r="E255" s="1350" t="s">
        <v>1874</v>
      </c>
      <c r="F255" s="1350" t="s">
        <v>6758</v>
      </c>
      <c r="G255" s="1351" t="s">
        <v>4612</v>
      </c>
      <c r="H255" s="1342" t="s">
        <v>1329</v>
      </c>
      <c r="I255" s="432" t="s">
        <v>1548</v>
      </c>
      <c r="J255" s="431"/>
      <c r="K255" s="431"/>
      <c r="L255" s="431" t="s">
        <v>6541</v>
      </c>
      <c r="M255" s="433" t="s">
        <v>6757</v>
      </c>
      <c r="N255" s="434" t="s">
        <v>2835</v>
      </c>
      <c r="O255" s="1743" t="str">
        <f>VLOOKUP(B255,code_famille_scénario,2)&amp;VLOOKUP(C255,code_actif,2)&amp;", par "&amp;VLOOKUP(N255,code_acteur,2)&amp;", "&amp;VLOOKUP(L255,code_acces,2)</f>
        <v>Echange malveillant (non détecté) de media support de fichiers d'archives informatiques, par un tiers non autorisé, se connectant depuis le réseau interne</v>
      </c>
      <c r="P255" s="435">
        <v>1</v>
      </c>
      <c r="Q255" s="1595" t="s">
        <v>1299</v>
      </c>
      <c r="R255" s="1595" t="s">
        <v>4638</v>
      </c>
      <c r="S255" s="1595" t="str">
        <f>Classif!D13</f>
        <v/>
      </c>
      <c r="T255" s="1595">
        <f>VLOOKUP(H255&amp;"."&amp;I255,Tab_event,4)</f>
        <v>2</v>
      </c>
      <c r="U255" s="1744" t="str">
        <f>IF(AND(NOT(S255=""),NOT(T255="")),INDEX(base_g,5-S255,T255),"")</f>
        <v/>
      </c>
      <c r="V255" s="1745">
        <v>1</v>
      </c>
      <c r="W255" s="1745">
        <f>S08H02</f>
        <v>1</v>
      </c>
      <c r="X255" s="1745">
        <v>1</v>
      </c>
      <c r="Y255" s="1745">
        <v>1</v>
      </c>
      <c r="Z255" s="1746">
        <v>0</v>
      </c>
      <c r="AA255" s="1747"/>
      <c r="AB255" s="1748"/>
      <c r="AC255" s="1748"/>
      <c r="AD255" s="1595" t="str">
        <f t="shared" si="139"/>
        <v/>
      </c>
      <c r="AE255" s="1595">
        <f t="shared" si="165"/>
        <v>2</v>
      </c>
      <c r="AF255" s="1595" t="str">
        <f>IF(AT255=1,IF(IndG=1,U255,IF(AND(OR(NOT(AD255=""),NOT(AB255="")),OR(NOT(AE255=""),NOT(AC255="")),AT255=1),INDEX(base_g,5-IF(AB255="",AD255,AB255),IF(AC255="",AE255,AC255)),"")),0)</f>
        <v/>
      </c>
      <c r="AG255" s="1748"/>
      <c r="AH255" s="1749" t="str">
        <f t="shared" si="140"/>
        <v/>
      </c>
      <c r="AI255" s="1615"/>
      <c r="AJ255" s="1616" t="s">
        <v>4252</v>
      </c>
      <c r="AK255" s="1618"/>
      <c r="AL255" s="1619"/>
      <c r="AM255" s="247" t="str">
        <f t="shared" si="133"/>
        <v/>
      </c>
      <c r="AN255" s="247" t="str">
        <f t="shared" si="134"/>
        <v/>
      </c>
      <c r="AO255" s="247" t="str">
        <f t="shared" si="135"/>
        <v/>
      </c>
      <c r="AP255" s="247" t="str">
        <f t="shared" si="136"/>
        <v/>
      </c>
      <c r="AQ255" s="42">
        <f>VLOOKUP(LEFT(C255,3),Tab_classif_data,6)</f>
        <v>1</v>
      </c>
      <c r="AR255" s="42">
        <f>VLOOKUP(G255,select_vul_data,2)</f>
        <v>1</v>
      </c>
      <c r="AS255" s="42">
        <f>VLOOKUP(H255&amp;"."&amp;I255,select_men,5)</f>
        <v>1</v>
      </c>
      <c r="AT255" s="42">
        <f>P255*AQ255*AR255*AS255</f>
        <v>1</v>
      </c>
      <c r="AU255" s="247" t="str">
        <f t="shared" si="137"/>
        <v/>
      </c>
      <c r="AV255" s="247" t="str">
        <f t="shared" si="138"/>
        <v/>
      </c>
    </row>
    <row r="256" spans="1:48" ht="15" x14ac:dyDescent="0.2">
      <c r="A256" s="418" t="s">
        <v>6679</v>
      </c>
      <c r="B256" s="419"/>
      <c r="C256" s="420" t="s">
        <v>3960</v>
      </c>
      <c r="D256" s="425"/>
      <c r="E256" s="1348"/>
      <c r="F256" s="1348"/>
      <c r="G256" s="1352"/>
      <c r="H256" s="1295"/>
      <c r="I256" s="454"/>
      <c r="J256" s="441"/>
      <c r="K256" s="441"/>
      <c r="L256" s="441"/>
      <c r="M256" s="442"/>
      <c r="N256" s="422"/>
      <c r="O256" s="1752"/>
      <c r="P256" s="435"/>
      <c r="Q256" s="1595"/>
      <c r="R256" s="1595"/>
      <c r="S256" s="1753"/>
      <c r="T256" s="1595"/>
      <c r="U256" s="1744"/>
      <c r="V256" s="1754"/>
      <c r="W256" s="1754"/>
      <c r="X256" s="1754"/>
      <c r="Y256" s="1754"/>
      <c r="Z256" s="1755"/>
      <c r="AA256" s="1756"/>
      <c r="AB256" s="1748"/>
      <c r="AC256" s="1748"/>
      <c r="AD256" s="1595"/>
      <c r="AE256" s="1753" t="str">
        <f t="shared" si="165"/>
        <v/>
      </c>
      <c r="AF256" s="1595"/>
      <c r="AG256" s="1748"/>
      <c r="AH256" s="1749"/>
      <c r="AI256" s="1627"/>
      <c r="AJ256" s="1628"/>
      <c r="AK256" s="1628"/>
      <c r="AL256" s="1629"/>
      <c r="AM256" s="247" t="str">
        <f t="shared" si="133"/>
        <v/>
      </c>
      <c r="AN256" s="247" t="str">
        <f t="shared" si="134"/>
        <v/>
      </c>
      <c r="AO256" s="247" t="str">
        <f t="shared" si="135"/>
        <v/>
      </c>
      <c r="AP256" s="247" t="str">
        <f t="shared" si="136"/>
        <v/>
      </c>
      <c r="AU256" s="247" t="str">
        <f t="shared" si="137"/>
        <v/>
      </c>
      <c r="AV256" s="247" t="str">
        <f t="shared" si="138"/>
        <v/>
      </c>
    </row>
    <row r="257" spans="1:48" ht="36" x14ac:dyDescent="0.2">
      <c r="A257" s="450" t="s">
        <v>604</v>
      </c>
      <c r="B257" s="429" t="s">
        <v>2592</v>
      </c>
      <c r="C257" s="430" t="s">
        <v>4873</v>
      </c>
      <c r="D257" s="1349" t="s">
        <v>4638</v>
      </c>
      <c r="E257" s="1350" t="s">
        <v>2778</v>
      </c>
      <c r="F257" s="1350" t="s">
        <v>6682</v>
      </c>
      <c r="G257" s="1351" t="s">
        <v>3741</v>
      </c>
      <c r="H257" s="1342" t="s">
        <v>1327</v>
      </c>
      <c r="I257" s="432" t="s">
        <v>1545</v>
      </c>
      <c r="J257" s="431"/>
      <c r="K257" s="431"/>
      <c r="L257" s="431"/>
      <c r="M257" s="433" t="s">
        <v>5422</v>
      </c>
      <c r="N257" s="434" t="s">
        <v>1299</v>
      </c>
      <c r="O257" s="1743" t="str">
        <f>VLOOKUP(B257,code_famille_scénario,2)&amp;VLOOKUP(C257,code_actif,2)&amp;" due "&amp;VLOOKUP(I257,code_event,2)&amp;", "&amp;VLOOKUP(M257,code_process,2)</f>
        <v>Altération accidentelle (non détectée) de fichiers de données publiées sur des sites publics ou internes due à une erreur de procédure, lors d'une opération de maintenance à chaud</v>
      </c>
      <c r="P257" s="435">
        <v>1</v>
      </c>
      <c r="Q257" s="1595" t="s">
        <v>1431</v>
      </c>
      <c r="R257" s="1595" t="s">
        <v>4638</v>
      </c>
      <c r="S257" s="1595" t="str">
        <f>Classif!D14</f>
        <v/>
      </c>
      <c r="T257" s="1595">
        <f t="shared" ref="T257:T265" si="166">VLOOKUP(H257&amp;"."&amp;I257,Tab_event,4)</f>
        <v>3</v>
      </c>
      <c r="U257" s="1744" t="str">
        <f t="shared" ref="U257:U265" si="167">IF(AND(NOT(S257=""),NOT(T257="")),INDEX(base_g,5-S257,T257),"")</f>
        <v/>
      </c>
      <c r="V257" s="1745">
        <v>1</v>
      </c>
      <c r="W257" s="1745">
        <f>MAX(S09B05,S10B06)</f>
        <v>1</v>
      </c>
      <c r="X257" s="1745">
        <f t="shared" ref="X257:X265" si="168">S09B04</f>
        <v>1</v>
      </c>
      <c r="Y257" s="1745">
        <v>1</v>
      </c>
      <c r="Z257" s="1746">
        <v>1</v>
      </c>
      <c r="AA257" s="1757"/>
      <c r="AB257" s="1748"/>
      <c r="AC257" s="1748"/>
      <c r="AD257" s="1595" t="str">
        <f t="shared" si="139"/>
        <v/>
      </c>
      <c r="AE257" s="1595">
        <f t="shared" si="165"/>
        <v>3</v>
      </c>
      <c r="AF257" s="1595" t="str">
        <f t="shared" ref="AF257:AF265" si="169">IF(AT257=1,IF(IndG=1,U257,IF(AND(OR(NOT(AD257=""),NOT(AB257="")),OR(NOT(AE257=""),NOT(AC257="")),AT257=1),INDEX(base_g,5-IF(AB257="",AD257,AB257),IF(AC257="",AE257,AC257)),"")),0)</f>
        <v/>
      </c>
      <c r="AG257" s="1748"/>
      <c r="AH257" s="1749" t="str">
        <f t="shared" si="140"/>
        <v/>
      </c>
      <c r="AI257" s="1615"/>
      <c r="AJ257" s="1616" t="s">
        <v>3295</v>
      </c>
      <c r="AK257" s="1616" t="s">
        <v>3669</v>
      </c>
      <c r="AL257" s="1617"/>
      <c r="AM257" s="247" t="str">
        <f t="shared" si="133"/>
        <v/>
      </c>
      <c r="AN257" s="247" t="str">
        <f t="shared" si="134"/>
        <v/>
      </c>
      <c r="AO257" s="247" t="str">
        <f t="shared" si="135"/>
        <v/>
      </c>
      <c r="AP257" s="247" t="str">
        <f t="shared" si="136"/>
        <v/>
      </c>
      <c r="AQ257" s="42">
        <f t="shared" ref="AQ257:AQ265" si="170">VLOOKUP(LEFT(C257,3),Tab_classif_data,6)</f>
        <v>1</v>
      </c>
      <c r="AR257" s="42">
        <f t="shared" ref="AR257:AR265" si="171">VLOOKUP(G257,select_vul_data,2)</f>
        <v>1</v>
      </c>
      <c r="AS257" s="42">
        <f t="shared" ref="AS257:AS265" si="172">VLOOKUP(H257&amp;"."&amp;I257,select_men,5)</f>
        <v>1</v>
      </c>
      <c r="AT257" s="42">
        <f t="shared" ref="AT257:AT265" si="173">P257*AQ257*AR257*AS257</f>
        <v>1</v>
      </c>
      <c r="AU257" s="247" t="str">
        <f t="shared" si="137"/>
        <v/>
      </c>
      <c r="AV257" s="247" t="str">
        <f t="shared" si="138"/>
        <v/>
      </c>
    </row>
    <row r="258" spans="1:48" ht="24" x14ac:dyDescent="0.2">
      <c r="A258" s="450" t="s">
        <v>605</v>
      </c>
      <c r="B258" s="429" t="s">
        <v>2592</v>
      </c>
      <c r="C258" s="430" t="s">
        <v>4873</v>
      </c>
      <c r="D258" s="1349" t="s">
        <v>4638</v>
      </c>
      <c r="E258" s="1350" t="s">
        <v>2778</v>
      </c>
      <c r="F258" s="1350" t="s">
        <v>6682</v>
      </c>
      <c r="G258" s="1351" t="s">
        <v>3741</v>
      </c>
      <c r="H258" s="1342" t="s">
        <v>1465</v>
      </c>
      <c r="I258" s="432" t="s">
        <v>1880</v>
      </c>
      <c r="J258" s="431"/>
      <c r="K258" s="431"/>
      <c r="L258" s="431"/>
      <c r="M258" s="433"/>
      <c r="N258" s="434"/>
      <c r="O258" s="1743" t="str">
        <f>VLOOKUP(B258,code_famille_scénario,2)&amp;VLOOKUP(C258,code_actif,2)&amp;" due "&amp;VLOOKUP(I258,code_event,2)</f>
        <v>Altération accidentelle (non détectée) de fichiers de données publiées sur des sites publics ou internes due à un incident d'exploitation</v>
      </c>
      <c r="P258" s="435">
        <v>1</v>
      </c>
      <c r="Q258" s="1595" t="s">
        <v>1431</v>
      </c>
      <c r="R258" s="1595" t="s">
        <v>4638</v>
      </c>
      <c r="S258" s="1595" t="str">
        <f>Classif!D14</f>
        <v/>
      </c>
      <c r="T258" s="1595">
        <f t="shared" si="166"/>
        <v>3</v>
      </c>
      <c r="U258" s="1744" t="str">
        <f t="shared" si="167"/>
        <v/>
      </c>
      <c r="V258" s="1745">
        <v>1</v>
      </c>
      <c r="W258" s="1745">
        <f>MAX(S09B05,S08D03)</f>
        <v>1</v>
      </c>
      <c r="X258" s="1745">
        <f t="shared" si="168"/>
        <v>1</v>
      </c>
      <c r="Y258" s="1745">
        <v>1</v>
      </c>
      <c r="Z258" s="1746">
        <v>1</v>
      </c>
      <c r="AA258" s="1757"/>
      <c r="AB258" s="1748"/>
      <c r="AC258" s="1748"/>
      <c r="AD258" s="1595" t="str">
        <f t="shared" si="139"/>
        <v/>
      </c>
      <c r="AE258" s="1595">
        <f t="shared" si="165"/>
        <v>3</v>
      </c>
      <c r="AF258" s="1595" t="str">
        <f t="shared" si="169"/>
        <v/>
      </c>
      <c r="AG258" s="1748"/>
      <c r="AH258" s="1749" t="str">
        <f t="shared" si="140"/>
        <v/>
      </c>
      <c r="AI258" s="1615"/>
      <c r="AJ258" s="1616" t="s">
        <v>3296</v>
      </c>
      <c r="AK258" s="1616" t="s">
        <v>3669</v>
      </c>
      <c r="AL258" s="1617"/>
      <c r="AM258" s="247" t="str">
        <f t="shared" si="133"/>
        <v/>
      </c>
      <c r="AN258" s="247" t="str">
        <f t="shared" si="134"/>
        <v/>
      </c>
      <c r="AO258" s="247" t="str">
        <f t="shared" si="135"/>
        <v/>
      </c>
      <c r="AP258" s="247" t="str">
        <f t="shared" si="136"/>
        <v/>
      </c>
      <c r="AQ258" s="42">
        <f t="shared" si="170"/>
        <v>1</v>
      </c>
      <c r="AR258" s="42">
        <f t="shared" si="171"/>
        <v>1</v>
      </c>
      <c r="AS258" s="42">
        <f t="shared" si="172"/>
        <v>1</v>
      </c>
      <c r="AT258" s="42">
        <f t="shared" si="173"/>
        <v>1</v>
      </c>
      <c r="AU258" s="247" t="str">
        <f t="shared" si="137"/>
        <v/>
      </c>
      <c r="AV258" s="247" t="str">
        <f t="shared" si="138"/>
        <v/>
      </c>
    </row>
    <row r="259" spans="1:48" ht="36" x14ac:dyDescent="0.2">
      <c r="A259" s="450" t="s">
        <v>606</v>
      </c>
      <c r="B259" s="429" t="s">
        <v>2494</v>
      </c>
      <c r="C259" s="430" t="s">
        <v>4873</v>
      </c>
      <c r="D259" s="1349" t="s">
        <v>4638</v>
      </c>
      <c r="E259" s="1350" t="s">
        <v>2778</v>
      </c>
      <c r="F259" s="1350" t="s">
        <v>6682</v>
      </c>
      <c r="G259" s="1351" t="s">
        <v>3741</v>
      </c>
      <c r="H259" s="1342" t="s">
        <v>1327</v>
      </c>
      <c r="I259" s="432" t="s">
        <v>1545</v>
      </c>
      <c r="J259" s="431"/>
      <c r="K259" s="431"/>
      <c r="L259" s="431" t="s">
        <v>6541</v>
      </c>
      <c r="M259" s="433" t="s">
        <v>5066</v>
      </c>
      <c r="N259" s="434" t="s">
        <v>1301</v>
      </c>
      <c r="O259" s="1743" t="str">
        <f>VLOOKUP(B259,code_famille_scénario,2)&amp;VLOOKUP(C259,code_actif,2)&amp;" "&amp;VLOOKUP(M259,code_process,2)&amp;", par "&amp;VLOOKUP(N259,code_acteur,2)&amp;", "&amp;VLOOKUP(L259,code_acces,2)</f>
        <v>Altération, par erreur de procédure, de configuration de données publiées sur des sites publics ou internes lors de traitements utilisateurs, par un utilisateur autorisé légitime, se connectant depuis le réseau interne</v>
      </c>
      <c r="P259" s="435">
        <v>1</v>
      </c>
      <c r="Q259" s="1595" t="s">
        <v>6403</v>
      </c>
      <c r="R259" s="1595" t="s">
        <v>4638</v>
      </c>
      <c r="S259" s="1595" t="str">
        <f>Classif!D14</f>
        <v/>
      </c>
      <c r="T259" s="1595">
        <f t="shared" si="166"/>
        <v>3</v>
      </c>
      <c r="U259" s="1744" t="str">
        <f t="shared" si="167"/>
        <v/>
      </c>
      <c r="V259" s="1745">
        <v>1</v>
      </c>
      <c r="W259" s="1745">
        <f>S09B05</f>
        <v>1</v>
      </c>
      <c r="X259" s="1745">
        <f t="shared" si="168"/>
        <v>1</v>
      </c>
      <c r="Y259" s="1745">
        <v>1</v>
      </c>
      <c r="Z259" s="1758">
        <v>1</v>
      </c>
      <c r="AA259" s="1759"/>
      <c r="AB259" s="1748"/>
      <c r="AC259" s="1748"/>
      <c r="AD259" s="1595" t="str">
        <f t="shared" si="139"/>
        <v/>
      </c>
      <c r="AE259" s="1595">
        <f t="shared" si="165"/>
        <v>3</v>
      </c>
      <c r="AF259" s="1595" t="str">
        <f t="shared" si="169"/>
        <v/>
      </c>
      <c r="AG259" s="1748"/>
      <c r="AH259" s="1749" t="str">
        <f t="shared" si="140"/>
        <v/>
      </c>
      <c r="AI259" s="1615"/>
      <c r="AJ259" s="1616" t="s">
        <v>1957</v>
      </c>
      <c r="AK259" s="1616" t="s">
        <v>3669</v>
      </c>
      <c r="AL259" s="1617"/>
      <c r="AM259" s="247" t="str">
        <f t="shared" si="133"/>
        <v/>
      </c>
      <c r="AN259" s="247" t="str">
        <f t="shared" si="134"/>
        <v/>
      </c>
      <c r="AO259" s="247" t="str">
        <f t="shared" si="135"/>
        <v/>
      </c>
      <c r="AP259" s="247" t="str">
        <f t="shared" si="136"/>
        <v/>
      </c>
      <c r="AQ259" s="42">
        <f t="shared" si="170"/>
        <v>1</v>
      </c>
      <c r="AR259" s="42">
        <f t="shared" si="171"/>
        <v>1</v>
      </c>
      <c r="AS259" s="42">
        <f t="shared" si="172"/>
        <v>1</v>
      </c>
      <c r="AT259" s="42">
        <f t="shared" si="173"/>
        <v>1</v>
      </c>
      <c r="AU259" s="247" t="str">
        <f t="shared" si="137"/>
        <v/>
      </c>
      <c r="AV259" s="247" t="str">
        <f t="shared" si="138"/>
        <v/>
      </c>
    </row>
    <row r="260" spans="1:48" ht="36" x14ac:dyDescent="0.2">
      <c r="A260" s="450" t="s">
        <v>607</v>
      </c>
      <c r="B260" s="429" t="s">
        <v>2494</v>
      </c>
      <c r="C260" s="430" t="s">
        <v>4873</v>
      </c>
      <c r="D260" s="1349" t="s">
        <v>4638</v>
      </c>
      <c r="E260" s="1350" t="s">
        <v>2778</v>
      </c>
      <c r="F260" s="1350" t="s">
        <v>6682</v>
      </c>
      <c r="G260" s="1351" t="s">
        <v>3741</v>
      </c>
      <c r="H260" s="1342" t="s">
        <v>1327</v>
      </c>
      <c r="I260" s="432" t="s">
        <v>1545</v>
      </c>
      <c r="J260" s="431"/>
      <c r="K260" s="431"/>
      <c r="L260" s="431" t="s">
        <v>6541</v>
      </c>
      <c r="M260" s="433" t="s">
        <v>5066</v>
      </c>
      <c r="N260" s="434" t="s">
        <v>1302</v>
      </c>
      <c r="O260" s="1743" t="str">
        <f>VLOOKUP(B260,code_famille_scénario,2)&amp;VLOOKUP(C260,code_actif,2)&amp;" "&amp;VLOOKUP(M260,code_process,2)&amp;", par "&amp;VLOOKUP(N260,code_acteur,2)&amp;", "&amp;VLOOKUP(L260,code_acces,2)</f>
        <v>Altération, par erreur de procédure, de configuration de données publiées sur des sites publics ou internes lors de traitements utilisateurs, par un utilisateur autorisé illégitime, se connectant depuis le réseau interne</v>
      </c>
      <c r="P260" s="435">
        <v>1</v>
      </c>
      <c r="Q260" s="1595" t="s">
        <v>6403</v>
      </c>
      <c r="R260" s="1595" t="s">
        <v>4638</v>
      </c>
      <c r="S260" s="1595" t="str">
        <f>Classif!D14</f>
        <v/>
      </c>
      <c r="T260" s="1595">
        <f t="shared" si="166"/>
        <v>3</v>
      </c>
      <c r="U260" s="1744" t="str">
        <f t="shared" si="167"/>
        <v/>
      </c>
      <c r="V260" s="1745">
        <v>1</v>
      </c>
      <c r="W260" s="1745">
        <f>MAX(S09B05,MIN(S07A01,S07A02,S08F01),MIN(S09A01,S09A02))</f>
        <v>1</v>
      </c>
      <c r="X260" s="1745">
        <f t="shared" si="168"/>
        <v>1</v>
      </c>
      <c r="Y260" s="1745">
        <v>1</v>
      </c>
      <c r="Z260" s="1758">
        <v>1</v>
      </c>
      <c r="AA260" s="1759"/>
      <c r="AB260" s="1748"/>
      <c r="AC260" s="1748"/>
      <c r="AD260" s="1595" t="str">
        <f t="shared" si="139"/>
        <v/>
      </c>
      <c r="AE260" s="1595">
        <f t="shared" si="165"/>
        <v>3</v>
      </c>
      <c r="AF260" s="1595" t="str">
        <f t="shared" si="169"/>
        <v/>
      </c>
      <c r="AG260" s="1748"/>
      <c r="AH260" s="1749" t="str">
        <f t="shared" si="140"/>
        <v/>
      </c>
      <c r="AI260" s="1615"/>
      <c r="AJ260" s="1616" t="s">
        <v>4242</v>
      </c>
      <c r="AK260" s="1616" t="s">
        <v>3669</v>
      </c>
      <c r="AL260" s="1617"/>
      <c r="AM260" s="247" t="str">
        <f t="shared" si="133"/>
        <v/>
      </c>
      <c r="AN260" s="247" t="str">
        <f t="shared" si="134"/>
        <v/>
      </c>
      <c r="AO260" s="247" t="str">
        <f t="shared" si="135"/>
        <v/>
      </c>
      <c r="AP260" s="247" t="str">
        <f t="shared" si="136"/>
        <v/>
      </c>
      <c r="AQ260" s="42">
        <f t="shared" si="170"/>
        <v>1</v>
      </c>
      <c r="AR260" s="42">
        <f t="shared" si="171"/>
        <v>1</v>
      </c>
      <c r="AS260" s="42">
        <f t="shared" si="172"/>
        <v>1</v>
      </c>
      <c r="AT260" s="42">
        <f t="shared" si="173"/>
        <v>1</v>
      </c>
      <c r="AU260" s="247" t="str">
        <f t="shared" si="137"/>
        <v/>
      </c>
      <c r="AV260" s="247" t="str">
        <f t="shared" si="138"/>
        <v/>
      </c>
    </row>
    <row r="261" spans="1:48" ht="36" x14ac:dyDescent="0.2">
      <c r="A261" s="450" t="s">
        <v>608</v>
      </c>
      <c r="B261" s="429" t="s">
        <v>2494</v>
      </c>
      <c r="C261" s="430" t="s">
        <v>4873</v>
      </c>
      <c r="D261" s="1349" t="s">
        <v>4638</v>
      </c>
      <c r="E261" s="1350" t="s">
        <v>2778</v>
      </c>
      <c r="F261" s="1350" t="s">
        <v>6682</v>
      </c>
      <c r="G261" s="1351" t="s">
        <v>3741</v>
      </c>
      <c r="H261" s="1342" t="s">
        <v>1327</v>
      </c>
      <c r="I261" s="432" t="s">
        <v>1545</v>
      </c>
      <c r="J261" s="431"/>
      <c r="K261" s="431"/>
      <c r="L261" s="431" t="s">
        <v>6541</v>
      </c>
      <c r="M261" s="433" t="s">
        <v>5066</v>
      </c>
      <c r="N261" s="434" t="s">
        <v>1303</v>
      </c>
      <c r="O261" s="1743" t="str">
        <f>VLOOKUP(B261,code_famille_scénario,2)&amp;VLOOKUP(C261,code_actif,2)&amp;" "&amp;VLOOKUP(M261,code_process,2)&amp;", par "&amp;VLOOKUP(N261,code_acteur,2)&amp;", "&amp;VLOOKUP(L261,code_acces,2)</f>
        <v>Altération, par erreur de procédure, de configuration de données publiées sur des sites publics ou internes lors de traitements utilisateurs, par un utilisateur non autorisé, se connectant depuis le réseau interne</v>
      </c>
      <c r="P261" s="435">
        <v>1</v>
      </c>
      <c r="Q261" s="1595" t="s">
        <v>6403</v>
      </c>
      <c r="R261" s="1595" t="s">
        <v>4638</v>
      </c>
      <c r="S261" s="1595" t="str">
        <f>Classif!D14</f>
        <v/>
      </c>
      <c r="T261" s="1595">
        <f t="shared" si="166"/>
        <v>3</v>
      </c>
      <c r="U261" s="1744" t="str">
        <f t="shared" si="167"/>
        <v/>
      </c>
      <c r="V261" s="1745">
        <v>1</v>
      </c>
      <c r="W261" s="1745">
        <f>MAX(S09B05,MIN(S07A03,S07A04,S08F02),MIN(S09A03,S09A04))</f>
        <v>1</v>
      </c>
      <c r="X261" s="1745">
        <f t="shared" si="168"/>
        <v>1</v>
      </c>
      <c r="Y261" s="1745">
        <v>1</v>
      </c>
      <c r="Z261" s="1758">
        <v>1</v>
      </c>
      <c r="AA261" s="1759"/>
      <c r="AB261" s="1748"/>
      <c r="AC261" s="1748"/>
      <c r="AD261" s="1595" t="str">
        <f t="shared" si="139"/>
        <v/>
      </c>
      <c r="AE261" s="1595">
        <f t="shared" si="165"/>
        <v>3</v>
      </c>
      <c r="AF261" s="1595" t="str">
        <f t="shared" si="169"/>
        <v/>
      </c>
      <c r="AG261" s="1748"/>
      <c r="AH261" s="1749" t="str">
        <f t="shared" si="140"/>
        <v/>
      </c>
      <c r="AI261" s="1615"/>
      <c r="AJ261" s="1616" t="s">
        <v>4243</v>
      </c>
      <c r="AK261" s="1616" t="s">
        <v>3669</v>
      </c>
      <c r="AL261" s="1617"/>
      <c r="AM261" s="247" t="str">
        <f t="shared" si="133"/>
        <v/>
      </c>
      <c r="AN261" s="247" t="str">
        <f t="shared" si="134"/>
        <v/>
      </c>
      <c r="AO261" s="247" t="str">
        <f t="shared" si="135"/>
        <v/>
      </c>
      <c r="AP261" s="247" t="str">
        <f t="shared" si="136"/>
        <v/>
      </c>
      <c r="AQ261" s="42">
        <f t="shared" si="170"/>
        <v>1</v>
      </c>
      <c r="AR261" s="42">
        <f t="shared" si="171"/>
        <v>1</v>
      </c>
      <c r="AS261" s="42">
        <f t="shared" si="172"/>
        <v>1</v>
      </c>
      <c r="AT261" s="42">
        <f t="shared" si="173"/>
        <v>1</v>
      </c>
      <c r="AU261" s="247" t="str">
        <f t="shared" si="137"/>
        <v/>
      </c>
      <c r="AV261" s="247" t="str">
        <f t="shared" si="138"/>
        <v/>
      </c>
    </row>
    <row r="262" spans="1:48" ht="36" x14ac:dyDescent="0.2">
      <c r="A262" s="450" t="s">
        <v>609</v>
      </c>
      <c r="B262" s="429" t="s">
        <v>2595</v>
      </c>
      <c r="C262" s="430" t="s">
        <v>4873</v>
      </c>
      <c r="D262" s="1349" t="s">
        <v>4638</v>
      </c>
      <c r="E262" s="1350" t="s">
        <v>2778</v>
      </c>
      <c r="F262" s="1350" t="s">
        <v>6682</v>
      </c>
      <c r="G262" s="1351" t="s">
        <v>3741</v>
      </c>
      <c r="H262" s="1342" t="s">
        <v>1328</v>
      </c>
      <c r="I262" s="432" t="s">
        <v>1548</v>
      </c>
      <c r="J262" s="431"/>
      <c r="K262" s="431"/>
      <c r="L262" s="431" t="s">
        <v>6541</v>
      </c>
      <c r="M262" s="433" t="s">
        <v>1880</v>
      </c>
      <c r="N262" s="434" t="s">
        <v>1302</v>
      </c>
      <c r="O262" s="1743" t="str">
        <f>VLOOKUP(B262,code_famille_scénario,2)&amp;VLOOKUP(C262,code_actif,2)&amp;" "&amp;VLOOKUP(M262,code_process,2)&amp;", par "&amp;VLOOKUP(N262,code_acteur,2)&amp;", "&amp;VLOOKUP(L262,code_acces,2)</f>
        <v>Altération malveillante (non détectée) de fichiers de données publiées sur des sites publics ou internes en exploitation, par un utilisateur autorisé illégitime, se connectant depuis le réseau interne</v>
      </c>
      <c r="P262" s="435">
        <v>1</v>
      </c>
      <c r="Q262" s="1595" t="s">
        <v>1299</v>
      </c>
      <c r="R262" s="1595" t="s">
        <v>4638</v>
      </c>
      <c r="S262" s="1595" t="str">
        <f>Classif!D14</f>
        <v/>
      </c>
      <c r="T262" s="1595">
        <f t="shared" si="166"/>
        <v>3</v>
      </c>
      <c r="U262" s="1744" t="str">
        <f t="shared" si="167"/>
        <v/>
      </c>
      <c r="V262" s="1745">
        <v>1</v>
      </c>
      <c r="W262" s="1745">
        <f>MAX(S09B05,MIN(S07A01,S07A02,S08F01),MIN(S09A01,S09A02))</f>
        <v>1</v>
      </c>
      <c r="X262" s="1745">
        <f t="shared" si="168"/>
        <v>1</v>
      </c>
      <c r="Y262" s="1745">
        <v>1</v>
      </c>
      <c r="Z262" s="1758">
        <v>1</v>
      </c>
      <c r="AA262" s="1759"/>
      <c r="AB262" s="1748"/>
      <c r="AC262" s="1748"/>
      <c r="AD262" s="1595" t="str">
        <f t="shared" si="139"/>
        <v/>
      </c>
      <c r="AE262" s="1595">
        <f t="shared" si="165"/>
        <v>3</v>
      </c>
      <c r="AF262" s="1595" t="str">
        <f t="shared" si="169"/>
        <v/>
      </c>
      <c r="AG262" s="1748"/>
      <c r="AH262" s="1749" t="str">
        <f t="shared" si="140"/>
        <v/>
      </c>
      <c r="AI262" s="1620"/>
      <c r="AJ262" s="1616" t="s">
        <v>4242</v>
      </c>
      <c r="AK262" s="1616" t="s">
        <v>3669</v>
      </c>
      <c r="AL262" s="1617"/>
      <c r="AM262" s="247" t="str">
        <f t="shared" ref="AM262:AM325" si="174">IF($AH262=1,$H262&amp;"."&amp;$I262&amp;$AH262,"")</f>
        <v/>
      </c>
      <c r="AN262" s="247" t="str">
        <f t="shared" ref="AN262:AN325" si="175">IF($AH262=2,$H262&amp;"."&amp;$I262&amp;$AH262,"")</f>
        <v/>
      </c>
      <c r="AO262" s="247" t="str">
        <f t="shared" ref="AO262:AO325" si="176">IF($AH262=3,$H262&amp;"."&amp;$I262&amp;$AH262,"")</f>
        <v/>
      </c>
      <c r="AP262" s="247" t="str">
        <f t="shared" ref="AP262:AP325" si="177">IF($AH262=4,$H262&amp;"."&amp;$I262&amp;$AH262,"")</f>
        <v/>
      </c>
      <c r="AQ262" s="42">
        <f t="shared" si="170"/>
        <v>1</v>
      </c>
      <c r="AR262" s="42">
        <f t="shared" si="171"/>
        <v>1</v>
      </c>
      <c r="AS262" s="42">
        <f t="shared" si="172"/>
        <v>1</v>
      </c>
      <c r="AT262" s="42">
        <f t="shared" si="173"/>
        <v>1</v>
      </c>
      <c r="AU262" s="247" t="str">
        <f t="shared" ref="AU262:AU325" si="178">IF(S262="","",IF(T262="","",10*S262+T262))</f>
        <v/>
      </c>
      <c r="AV262" s="247" t="str">
        <f t="shared" ref="AV262:AV325" si="179">IF(AD262="","",IF(AE262="","",10*AD262+AE262))</f>
        <v/>
      </c>
    </row>
    <row r="263" spans="1:48" ht="36" x14ac:dyDescent="0.2">
      <c r="A263" s="450" t="s">
        <v>610</v>
      </c>
      <c r="B263" s="429" t="s">
        <v>2595</v>
      </c>
      <c r="C263" s="430" t="s">
        <v>4873</v>
      </c>
      <c r="D263" s="1349" t="s">
        <v>4638</v>
      </c>
      <c r="E263" s="1350" t="s">
        <v>2778</v>
      </c>
      <c r="F263" s="1350" t="s">
        <v>6682</v>
      </c>
      <c r="G263" s="1351" t="s">
        <v>3741</v>
      </c>
      <c r="H263" s="1342" t="s">
        <v>1328</v>
      </c>
      <c r="I263" s="432" t="s">
        <v>1548</v>
      </c>
      <c r="J263" s="431"/>
      <c r="K263" s="431"/>
      <c r="L263" s="431" t="s">
        <v>6541</v>
      </c>
      <c r="M263" s="433" t="s">
        <v>1880</v>
      </c>
      <c r="N263" s="434" t="s">
        <v>1303</v>
      </c>
      <c r="O263" s="1743" t="str">
        <f>VLOOKUP(B263,code_famille_scénario,2)&amp;VLOOKUP(C263,code_actif,2)&amp;" "&amp;VLOOKUP(M263,code_process,2)&amp;", par "&amp;VLOOKUP(N263,code_acteur,2)&amp;", "&amp;VLOOKUP(L263,code_acces,2)</f>
        <v>Altération malveillante (non détectée) de fichiers de données publiées sur des sites publics ou internes en exploitation, par un utilisateur non autorisé, se connectant depuis le réseau interne</v>
      </c>
      <c r="P263" s="435">
        <v>1</v>
      </c>
      <c r="Q263" s="1595" t="s">
        <v>1299</v>
      </c>
      <c r="R263" s="1595" t="s">
        <v>4638</v>
      </c>
      <c r="S263" s="1595" t="str">
        <f>Classif!D14</f>
        <v/>
      </c>
      <c r="T263" s="1595">
        <f t="shared" si="166"/>
        <v>3</v>
      </c>
      <c r="U263" s="1744" t="str">
        <f t="shared" si="167"/>
        <v/>
      </c>
      <c r="V263" s="1745">
        <v>1</v>
      </c>
      <c r="W263" s="1745">
        <f>MAX(S09B05,MIN(S07A03,S07A04,S08F02),MIN(S09A03,S09A04))</f>
        <v>1</v>
      </c>
      <c r="X263" s="1745">
        <f t="shared" si="168"/>
        <v>1</v>
      </c>
      <c r="Y263" s="1745">
        <v>1</v>
      </c>
      <c r="Z263" s="1758">
        <v>1</v>
      </c>
      <c r="AA263" s="1759"/>
      <c r="AB263" s="1748"/>
      <c r="AC263" s="1748"/>
      <c r="AD263" s="1595" t="str">
        <f t="shared" ref="AD263:AD326" si="180">IF(OR(R263="",S263=""),"",IF(R263="D",INDEX(base_i,IF(IF(AA263="",Z263,AA263)=0,4,5-X263),Y263+7*(S263-1)),IF(R263="I",INDEX(base_i,IF(IF(AA263="",Z263,AA263)=0,15,16-X263),Y263+7*(S263-1)),IF(R263="C",INDEX(base_i,IF(IF(AA263="",Z263,AA263)=0,26,27-X263),Y263+7*(S263-1)),INDEX(base_i,38-X263,Y263+7*(S263-1))))))</f>
        <v/>
      </c>
      <c r="AE263" s="1595">
        <f t="shared" si="165"/>
        <v>3</v>
      </c>
      <c r="AF263" s="1595" t="str">
        <f t="shared" si="169"/>
        <v/>
      </c>
      <c r="AG263" s="1748"/>
      <c r="AH263" s="1749" t="str">
        <f t="shared" ref="AH263:AH326" si="181">IF(OR(AG263="A",AG263="a",AG263="T",AG263="t",AF263=""),"",AF263)</f>
        <v/>
      </c>
      <c r="AI263" s="1620"/>
      <c r="AJ263" s="1616" t="s">
        <v>4243</v>
      </c>
      <c r="AK263" s="1616" t="s">
        <v>3669</v>
      </c>
      <c r="AL263" s="1617"/>
      <c r="AM263" s="247" t="str">
        <f t="shared" si="174"/>
        <v/>
      </c>
      <c r="AN263" s="247" t="str">
        <f t="shared" si="175"/>
        <v/>
      </c>
      <c r="AO263" s="247" t="str">
        <f t="shared" si="176"/>
        <v/>
      </c>
      <c r="AP263" s="247" t="str">
        <f t="shared" si="177"/>
        <v/>
      </c>
      <c r="AQ263" s="42">
        <f t="shared" si="170"/>
        <v>1</v>
      </c>
      <c r="AR263" s="42">
        <f t="shared" si="171"/>
        <v>1</v>
      </c>
      <c r="AS263" s="42">
        <f t="shared" si="172"/>
        <v>1</v>
      </c>
      <c r="AT263" s="42">
        <f t="shared" si="173"/>
        <v>1</v>
      </c>
      <c r="AU263" s="247" t="str">
        <f t="shared" si="178"/>
        <v/>
      </c>
      <c r="AV263" s="247" t="str">
        <f t="shared" si="179"/>
        <v/>
      </c>
    </row>
    <row r="264" spans="1:48" ht="36" x14ac:dyDescent="0.2">
      <c r="A264" s="450" t="s">
        <v>611</v>
      </c>
      <c r="B264" s="429" t="s">
        <v>2595</v>
      </c>
      <c r="C264" s="430" t="s">
        <v>4873</v>
      </c>
      <c r="D264" s="1349" t="s">
        <v>4638</v>
      </c>
      <c r="E264" s="1350" t="s">
        <v>2778</v>
      </c>
      <c r="F264" s="1350" t="s">
        <v>6682</v>
      </c>
      <c r="G264" s="1351" t="s">
        <v>3741</v>
      </c>
      <c r="H264" s="1342" t="s">
        <v>1328</v>
      </c>
      <c r="I264" s="432" t="s">
        <v>1548</v>
      </c>
      <c r="J264" s="431"/>
      <c r="K264" s="431"/>
      <c r="L264" s="431"/>
      <c r="M264" s="433" t="s">
        <v>1880</v>
      </c>
      <c r="N264" s="434" t="s">
        <v>6403</v>
      </c>
      <c r="O264" s="1743" t="str">
        <f>VLOOKUP(B264,code_famille_scénario,2)&amp;VLOOKUP(C264,code_actif,2)&amp;" "&amp;VLOOKUP(M264,code_process,2)&amp;", par "&amp;VLOOKUP(N264,code_acteur,2)</f>
        <v>Altération malveillante (non détectée) de fichiers de données publiées sur des sites publics ou internes en exploitation, par un membre du personnel d'exploitation</v>
      </c>
      <c r="P264" s="435">
        <v>1</v>
      </c>
      <c r="Q264" s="1595" t="s">
        <v>1299</v>
      </c>
      <c r="R264" s="1595" t="s">
        <v>4638</v>
      </c>
      <c r="S264" s="1595" t="str">
        <f>Classif!D14</f>
        <v/>
      </c>
      <c r="T264" s="1595">
        <f t="shared" si="166"/>
        <v>3</v>
      </c>
      <c r="U264" s="1744" t="str">
        <f t="shared" si="167"/>
        <v/>
      </c>
      <c r="V264" s="1745">
        <v>1</v>
      </c>
      <c r="W264" s="1745">
        <f>MAX(S09B01,S09C02)</f>
        <v>1</v>
      </c>
      <c r="X264" s="1745">
        <f t="shared" si="168"/>
        <v>1</v>
      </c>
      <c r="Y264" s="1745">
        <v>1</v>
      </c>
      <c r="Z264" s="1758">
        <v>1</v>
      </c>
      <c r="AA264" s="1759"/>
      <c r="AB264" s="1748"/>
      <c r="AC264" s="1748"/>
      <c r="AD264" s="1595" t="str">
        <f t="shared" si="180"/>
        <v/>
      </c>
      <c r="AE264" s="1595">
        <f t="shared" si="165"/>
        <v>3</v>
      </c>
      <c r="AF264" s="1595" t="str">
        <f t="shared" si="169"/>
        <v/>
      </c>
      <c r="AG264" s="1748"/>
      <c r="AH264" s="1749" t="str">
        <f t="shared" si="181"/>
        <v/>
      </c>
      <c r="AI264" s="1615"/>
      <c r="AJ264" s="1616" t="s">
        <v>4041</v>
      </c>
      <c r="AK264" s="1616" t="s">
        <v>3669</v>
      </c>
      <c r="AL264" s="1617"/>
      <c r="AM264" s="247" t="str">
        <f t="shared" si="174"/>
        <v/>
      </c>
      <c r="AN264" s="247" t="str">
        <f t="shared" si="175"/>
        <v/>
      </c>
      <c r="AO264" s="247" t="str">
        <f t="shared" si="176"/>
        <v/>
      </c>
      <c r="AP264" s="247" t="str">
        <f t="shared" si="177"/>
        <v/>
      </c>
      <c r="AQ264" s="42">
        <f t="shared" si="170"/>
        <v>1</v>
      </c>
      <c r="AR264" s="42">
        <f t="shared" si="171"/>
        <v>1</v>
      </c>
      <c r="AS264" s="42">
        <f t="shared" si="172"/>
        <v>1</v>
      </c>
      <c r="AT264" s="42">
        <f t="shared" si="173"/>
        <v>1</v>
      </c>
      <c r="AU264" s="247" t="str">
        <f t="shared" si="178"/>
        <v/>
      </c>
      <c r="AV264" s="247" t="str">
        <f t="shared" si="179"/>
        <v/>
      </c>
    </row>
    <row r="265" spans="1:48" ht="36" x14ac:dyDescent="0.2">
      <c r="A265" s="450" t="s">
        <v>612</v>
      </c>
      <c r="B265" s="429" t="s">
        <v>2595</v>
      </c>
      <c r="C265" s="430" t="s">
        <v>4873</v>
      </c>
      <c r="D265" s="1349" t="s">
        <v>4638</v>
      </c>
      <c r="E265" s="1350" t="s">
        <v>2778</v>
      </c>
      <c r="F265" s="1350" t="s">
        <v>6682</v>
      </c>
      <c r="G265" s="1351" t="s">
        <v>3741</v>
      </c>
      <c r="H265" s="1342" t="s">
        <v>1328</v>
      </c>
      <c r="I265" s="432" t="s">
        <v>1548</v>
      </c>
      <c r="J265" s="431"/>
      <c r="K265" s="431"/>
      <c r="L265" s="431"/>
      <c r="M265" s="433" t="s">
        <v>1880</v>
      </c>
      <c r="N265" s="434" t="s">
        <v>1299</v>
      </c>
      <c r="O265" s="1743" t="str">
        <f>VLOOKUP(B265,code_famille_scénario,2)&amp;VLOOKUP(C265,code_actif,2)&amp;" "&amp;VLOOKUP(M265,code_process,2)&amp;", par "&amp;VLOOKUP(N265,code_acteur,2)</f>
        <v>Altération malveillante (non détectée) de fichiers de données publiées sur des sites publics ou internes en exploitation, par un membre du personnel de maintenance</v>
      </c>
      <c r="P265" s="435">
        <v>1</v>
      </c>
      <c r="Q265" s="1595" t="s">
        <v>1299</v>
      </c>
      <c r="R265" s="1595" t="s">
        <v>4638</v>
      </c>
      <c r="S265" s="1595" t="str">
        <f>Classif!D14</f>
        <v/>
      </c>
      <c r="T265" s="1595">
        <f t="shared" si="166"/>
        <v>3</v>
      </c>
      <c r="U265" s="1744" t="str">
        <f t="shared" si="167"/>
        <v/>
      </c>
      <c r="V265" s="1745">
        <v>1</v>
      </c>
      <c r="W265" s="1745">
        <f>MAX(S09B01,S09C02)</f>
        <v>1</v>
      </c>
      <c r="X265" s="1745">
        <f t="shared" si="168"/>
        <v>1</v>
      </c>
      <c r="Y265" s="1745">
        <v>1</v>
      </c>
      <c r="Z265" s="1758">
        <v>1</v>
      </c>
      <c r="AA265" s="1759"/>
      <c r="AB265" s="1748"/>
      <c r="AC265" s="1748"/>
      <c r="AD265" s="1595" t="str">
        <f t="shared" si="180"/>
        <v/>
      </c>
      <c r="AE265" s="1595">
        <f t="shared" si="165"/>
        <v>3</v>
      </c>
      <c r="AF265" s="1595" t="str">
        <f t="shared" si="169"/>
        <v/>
      </c>
      <c r="AG265" s="1748"/>
      <c r="AH265" s="1749" t="str">
        <f t="shared" si="181"/>
        <v/>
      </c>
      <c r="AI265" s="1615"/>
      <c r="AJ265" s="1616" t="s">
        <v>4041</v>
      </c>
      <c r="AK265" s="1616" t="s">
        <v>3669</v>
      </c>
      <c r="AL265" s="1617"/>
      <c r="AM265" s="247" t="str">
        <f t="shared" si="174"/>
        <v/>
      </c>
      <c r="AN265" s="247" t="str">
        <f t="shared" si="175"/>
        <v/>
      </c>
      <c r="AO265" s="247" t="str">
        <f t="shared" si="176"/>
        <v/>
      </c>
      <c r="AP265" s="247" t="str">
        <f t="shared" si="177"/>
        <v/>
      </c>
      <c r="AQ265" s="42">
        <f t="shared" si="170"/>
        <v>1</v>
      </c>
      <c r="AR265" s="42">
        <f t="shared" si="171"/>
        <v>1</v>
      </c>
      <c r="AS265" s="42">
        <f t="shared" si="172"/>
        <v>1</v>
      </c>
      <c r="AT265" s="42">
        <f t="shared" si="173"/>
        <v>1</v>
      </c>
      <c r="AU265" s="247" t="str">
        <f t="shared" si="178"/>
        <v/>
      </c>
      <c r="AV265" s="247" t="str">
        <f t="shared" si="179"/>
        <v/>
      </c>
    </row>
    <row r="266" spans="1:48" ht="15" x14ac:dyDescent="0.2">
      <c r="A266" s="418" t="s">
        <v>3962</v>
      </c>
      <c r="B266" s="419"/>
      <c r="C266" s="420" t="s">
        <v>3961</v>
      </c>
      <c r="D266" s="425"/>
      <c r="E266" s="1348"/>
      <c r="F266" s="1348"/>
      <c r="G266" s="427"/>
      <c r="H266" s="1295"/>
      <c r="I266" s="420"/>
      <c r="J266" s="441"/>
      <c r="K266" s="441"/>
      <c r="L266" s="441"/>
      <c r="M266" s="442"/>
      <c r="N266" s="422"/>
      <c r="O266" s="1752"/>
      <c r="P266" s="1608"/>
      <c r="Q266" s="1596"/>
      <c r="R266" s="1596"/>
      <c r="S266" s="1597"/>
      <c r="T266" s="1595"/>
      <c r="U266" s="1744"/>
      <c r="V266" s="1598"/>
      <c r="W266" s="1598"/>
      <c r="X266" s="1598"/>
      <c r="Y266" s="1598"/>
      <c r="Z266" s="1599"/>
      <c r="AA266" s="443"/>
      <c r="AB266" s="444"/>
      <c r="AC266" s="444"/>
      <c r="AD266" s="1595"/>
      <c r="AE266" s="1597"/>
      <c r="AF266" s="1595"/>
      <c r="AG266" s="1748"/>
      <c r="AH266" s="1749"/>
      <c r="AI266" s="1627"/>
      <c r="AJ266" s="1628"/>
      <c r="AK266" s="1628"/>
      <c r="AL266" s="1629"/>
      <c r="AM266" s="247" t="str">
        <f t="shared" si="174"/>
        <v/>
      </c>
      <c r="AN266" s="247" t="str">
        <f t="shared" si="175"/>
        <v/>
      </c>
      <c r="AO266" s="247" t="str">
        <f t="shared" si="176"/>
        <v/>
      </c>
      <c r="AP266" s="247" t="str">
        <f t="shared" si="177"/>
        <v/>
      </c>
      <c r="AU266" s="247" t="str">
        <f t="shared" si="178"/>
        <v/>
      </c>
      <c r="AV266" s="247" t="str">
        <f t="shared" si="179"/>
        <v/>
      </c>
    </row>
    <row r="267" spans="1:48" ht="24" x14ac:dyDescent="0.2">
      <c r="A267" s="1397" t="s">
        <v>7528</v>
      </c>
      <c r="B267" s="429" t="s">
        <v>3691</v>
      </c>
      <c r="C267" s="430" t="s">
        <v>1872</v>
      </c>
      <c r="D267" s="1349" t="s">
        <v>4811</v>
      </c>
      <c r="E267" s="1350" t="s">
        <v>5477</v>
      </c>
      <c r="F267" s="1350" t="s">
        <v>2794</v>
      </c>
      <c r="G267" s="1351" t="s">
        <v>5554</v>
      </c>
      <c r="H267" s="1342" t="s">
        <v>1327</v>
      </c>
      <c r="I267" s="432" t="s">
        <v>1545</v>
      </c>
      <c r="J267" s="431"/>
      <c r="K267" s="431"/>
      <c r="L267" s="431"/>
      <c r="M267" s="433" t="s">
        <v>1880</v>
      </c>
      <c r="N267" s="434" t="s">
        <v>6403</v>
      </c>
      <c r="O267" s="1743" t="str">
        <f>VLOOKUP(B267,code_famille_scénario,2)&amp;VLOOKUP(C267,code_actif,2)&amp;" due "&amp;VLOOKUP(I267,code_event,2)&amp;", "&amp;VLOOKUP(M267,code_process,2)</f>
        <v>Divulgation, par erreur, de fichiers  de données applicatives due à une erreur de procédure, en exploitation</v>
      </c>
      <c r="P267" s="435">
        <v>1</v>
      </c>
      <c r="Q267" s="1595" t="s">
        <v>6403</v>
      </c>
      <c r="R267" s="1595" t="s">
        <v>4811</v>
      </c>
      <c r="S267" s="1595" t="str">
        <f>Classif!E4</f>
        <v/>
      </c>
      <c r="T267" s="1595">
        <f t="shared" ref="T267:T286" si="182">VLOOKUP(H267&amp;"."&amp;I267,Tab_event,4)</f>
        <v>3</v>
      </c>
      <c r="U267" s="1744" t="str">
        <f t="shared" ref="U267:U286" si="183">IF(AND(NOT(S267=""),NOT(T267="")),INDEX(base_g,5-S267,T267),"")</f>
        <v/>
      </c>
      <c r="V267" s="1745">
        <v>1</v>
      </c>
      <c r="W267" s="1745">
        <f>S09C02</f>
        <v>1</v>
      </c>
      <c r="X267" s="1745">
        <v>1</v>
      </c>
      <c r="Y267" s="1745">
        <v>1</v>
      </c>
      <c r="Z267" s="1746">
        <v>0</v>
      </c>
      <c r="AA267" s="1747"/>
      <c r="AB267" s="1748"/>
      <c r="AC267" s="1748"/>
      <c r="AD267" s="1595" t="str">
        <f t="shared" si="180"/>
        <v/>
      </c>
      <c r="AE267" s="1595">
        <f t="shared" ref="AE267:AE286" si="184">IF(OR(Q267="",T267=""),"",IF(Q267="A",INDEX(base_p,4,W267+7*(T267-1)),IF(Q267="E",INDEX(base_p,15,W267+7*(T267-1)),INDEX(base_p,27-V267,W267+7*(T267-1)))))</f>
        <v>3</v>
      </c>
      <c r="AF267" s="1595" t="str">
        <f t="shared" ref="AF267:AF286" si="185">IF(AT267=1,IF(IndG=1,U267,IF(AND(OR(NOT(AD267=""),NOT(AB267="")),OR(NOT(AE267=""),NOT(AC267="")),AT267=1),INDEX(base_g,5-IF(AB267="",AD267,AB267),IF(AC267="",AE267,AC267)),"")),0)</f>
        <v/>
      </c>
      <c r="AG267" s="1748"/>
      <c r="AH267" s="1749" t="str">
        <f t="shared" si="181"/>
        <v/>
      </c>
      <c r="AI267" s="1615"/>
      <c r="AJ267" s="1616" t="s">
        <v>2553</v>
      </c>
      <c r="AK267" s="1618"/>
      <c r="AL267" s="1619"/>
      <c r="AM267" s="247" t="str">
        <f t="shared" si="174"/>
        <v/>
      </c>
      <c r="AN267" s="247" t="str">
        <f t="shared" si="175"/>
        <v/>
      </c>
      <c r="AO267" s="247" t="str">
        <f t="shared" si="176"/>
        <v/>
      </c>
      <c r="AP267" s="247" t="str">
        <f t="shared" si="177"/>
        <v/>
      </c>
      <c r="AQ267" s="42">
        <f t="shared" ref="AQ267:AQ286" si="186">VLOOKUP(LEFT(C267,3),Tab_classif_data,6)</f>
        <v>1</v>
      </c>
      <c r="AR267" s="42">
        <f t="shared" ref="AR267:AR286" si="187">VLOOKUP(G267,select_vul_data,2)</f>
        <v>1</v>
      </c>
      <c r="AS267" s="42">
        <f t="shared" ref="AS267:AS286" si="188">VLOOKUP(H267&amp;"."&amp;I267,select_men,5)</f>
        <v>1</v>
      </c>
      <c r="AT267" s="42">
        <f t="shared" ref="AT267:AT286" si="189">P267*AQ267*AR267*AS267</f>
        <v>1</v>
      </c>
      <c r="AU267" s="247" t="str">
        <f t="shared" si="178"/>
        <v/>
      </c>
      <c r="AV267" s="247" t="str">
        <f t="shared" si="179"/>
        <v/>
      </c>
    </row>
    <row r="268" spans="1:48" ht="24" x14ac:dyDescent="0.2">
      <c r="A268" s="1397" t="s">
        <v>7529</v>
      </c>
      <c r="B268" s="429" t="s">
        <v>3691</v>
      </c>
      <c r="C268" s="430" t="s">
        <v>1872</v>
      </c>
      <c r="D268" s="1349" t="s">
        <v>4811</v>
      </c>
      <c r="E268" s="1350" t="s">
        <v>5477</v>
      </c>
      <c r="F268" s="1350" t="s">
        <v>2794</v>
      </c>
      <c r="G268" s="1351" t="s">
        <v>5554</v>
      </c>
      <c r="H268" s="1342" t="s">
        <v>1327</v>
      </c>
      <c r="I268" s="432" t="s">
        <v>1545</v>
      </c>
      <c r="J268" s="431"/>
      <c r="K268" s="431"/>
      <c r="L268" s="431"/>
      <c r="M268" s="433" t="s">
        <v>6513</v>
      </c>
      <c r="N268" s="434" t="s">
        <v>6403</v>
      </c>
      <c r="O268" s="1743" t="str">
        <f>VLOOKUP(B268,code_famille_scénario,2)&amp;VLOOKUP(C268,code_actif,2)&amp;" due "&amp;VLOOKUP(I268,code_event,2)&amp;", "&amp;VLOOKUP(M268,code_process,2)</f>
        <v>Divulgation, par erreur, de fichiers  de données applicatives due à une erreur de procédure, lors d'une opération de maintenance matérielle</v>
      </c>
      <c r="P268" s="435">
        <v>1</v>
      </c>
      <c r="Q268" s="1595" t="s">
        <v>6403</v>
      </c>
      <c r="R268" s="1595" t="s">
        <v>4811</v>
      </c>
      <c r="S268" s="1595" t="str">
        <f>Classif!E4</f>
        <v/>
      </c>
      <c r="T268" s="1595">
        <f t="shared" si="182"/>
        <v>3</v>
      </c>
      <c r="U268" s="1744" t="str">
        <f t="shared" si="183"/>
        <v/>
      </c>
      <c r="V268" s="1745">
        <v>1</v>
      </c>
      <c r="W268" s="1745">
        <f>MAX(S08A05,S09C02)</f>
        <v>1</v>
      </c>
      <c r="X268" s="1745">
        <v>1</v>
      </c>
      <c r="Y268" s="1745">
        <v>1</v>
      </c>
      <c r="Z268" s="1746">
        <v>0</v>
      </c>
      <c r="AA268" s="1747"/>
      <c r="AB268" s="1748"/>
      <c r="AC268" s="1748"/>
      <c r="AD268" s="1595" t="str">
        <f t="shared" si="180"/>
        <v/>
      </c>
      <c r="AE268" s="1595">
        <f t="shared" si="184"/>
        <v>3</v>
      </c>
      <c r="AF268" s="1595" t="str">
        <f t="shared" si="185"/>
        <v/>
      </c>
      <c r="AG268" s="1748"/>
      <c r="AH268" s="1749" t="str">
        <f t="shared" si="181"/>
        <v/>
      </c>
      <c r="AI268" s="1615"/>
      <c r="AJ268" s="1616" t="s">
        <v>5008</v>
      </c>
      <c r="AK268" s="1618"/>
      <c r="AL268" s="1619"/>
      <c r="AM268" s="247" t="str">
        <f t="shared" si="174"/>
        <v/>
      </c>
      <c r="AN268" s="247" t="str">
        <f t="shared" si="175"/>
        <v/>
      </c>
      <c r="AO268" s="247" t="str">
        <f t="shared" si="176"/>
        <v/>
      </c>
      <c r="AP268" s="247" t="str">
        <f t="shared" si="177"/>
        <v/>
      </c>
      <c r="AQ268" s="42">
        <f t="shared" si="186"/>
        <v>1</v>
      </c>
      <c r="AR268" s="42">
        <f t="shared" si="187"/>
        <v>1</v>
      </c>
      <c r="AS268" s="42">
        <f t="shared" si="188"/>
        <v>1</v>
      </c>
      <c r="AT268" s="42">
        <f t="shared" si="189"/>
        <v>1</v>
      </c>
      <c r="AU268" s="247" t="str">
        <f t="shared" si="178"/>
        <v/>
      </c>
      <c r="AV268" s="247" t="str">
        <f t="shared" si="179"/>
        <v/>
      </c>
    </row>
    <row r="269" spans="1:48" ht="24" x14ac:dyDescent="0.2">
      <c r="A269" s="1397" t="s">
        <v>7530</v>
      </c>
      <c r="B269" s="429" t="s">
        <v>3691</v>
      </c>
      <c r="C269" s="430" t="s">
        <v>1872</v>
      </c>
      <c r="D269" s="1349" t="s">
        <v>4811</v>
      </c>
      <c r="E269" s="1350" t="s">
        <v>5477</v>
      </c>
      <c r="F269" s="1350" t="s">
        <v>2794</v>
      </c>
      <c r="G269" s="1351" t="s">
        <v>5554</v>
      </c>
      <c r="H269" s="1342" t="s">
        <v>1327</v>
      </c>
      <c r="I269" s="432" t="s">
        <v>1545</v>
      </c>
      <c r="J269" s="431"/>
      <c r="K269" s="431"/>
      <c r="L269" s="431"/>
      <c r="M269" s="433" t="s">
        <v>5068</v>
      </c>
      <c r="N269" s="434" t="s">
        <v>1873</v>
      </c>
      <c r="O269" s="1743" t="str">
        <f>VLOOKUP(B269,code_famille_scénario,2)&amp;VLOOKUP(C269,code_actif,2)&amp;" due "&amp;VLOOKUP(I269,code_event,2)&amp;", "&amp;VLOOKUP(M269,code_process,2)</f>
        <v>Divulgation, par erreur, de fichiers  de données applicatives due à une erreur de procédure, lors de tests de développement</v>
      </c>
      <c r="P269" s="435">
        <v>1</v>
      </c>
      <c r="Q269" s="1595" t="s">
        <v>6403</v>
      </c>
      <c r="R269" s="1595" t="s">
        <v>4811</v>
      </c>
      <c r="S269" s="1595" t="str">
        <f>Classif!E4</f>
        <v/>
      </c>
      <c r="T269" s="1595">
        <f t="shared" si="182"/>
        <v>3</v>
      </c>
      <c r="U269" s="1744" t="str">
        <f t="shared" si="183"/>
        <v/>
      </c>
      <c r="V269" s="1745">
        <v>1</v>
      </c>
      <c r="W269" s="1745">
        <f>MAX(S10B04,S09C02)</f>
        <v>1</v>
      </c>
      <c r="X269" s="1745">
        <v>1</v>
      </c>
      <c r="Y269" s="1745">
        <v>1</v>
      </c>
      <c r="Z269" s="1746">
        <v>0</v>
      </c>
      <c r="AA269" s="1747"/>
      <c r="AB269" s="1748"/>
      <c r="AC269" s="1748"/>
      <c r="AD269" s="1595" t="str">
        <f t="shared" si="180"/>
        <v/>
      </c>
      <c r="AE269" s="1595">
        <f t="shared" si="184"/>
        <v>3</v>
      </c>
      <c r="AF269" s="1595" t="str">
        <f t="shared" si="185"/>
        <v/>
      </c>
      <c r="AG269" s="1748"/>
      <c r="AH269" s="1749" t="str">
        <f t="shared" si="181"/>
        <v/>
      </c>
      <c r="AI269" s="1615"/>
      <c r="AJ269" s="1616" t="s">
        <v>5452</v>
      </c>
      <c r="AK269" s="1618"/>
      <c r="AL269" s="1619"/>
      <c r="AM269" s="247" t="str">
        <f t="shared" si="174"/>
        <v/>
      </c>
      <c r="AN269" s="247" t="str">
        <f t="shared" si="175"/>
        <v/>
      </c>
      <c r="AO269" s="247" t="str">
        <f t="shared" si="176"/>
        <v/>
      </c>
      <c r="AP269" s="247" t="str">
        <f t="shared" si="177"/>
        <v/>
      </c>
      <c r="AQ269" s="42">
        <f t="shared" si="186"/>
        <v>1</v>
      </c>
      <c r="AR269" s="42">
        <f t="shared" si="187"/>
        <v>1</v>
      </c>
      <c r="AS269" s="42">
        <f t="shared" si="188"/>
        <v>1</v>
      </c>
      <c r="AT269" s="42">
        <f t="shared" si="189"/>
        <v>1</v>
      </c>
      <c r="AU269" s="247" t="str">
        <f t="shared" si="178"/>
        <v/>
      </c>
      <c r="AV269" s="247" t="str">
        <f t="shared" si="179"/>
        <v/>
      </c>
    </row>
    <row r="270" spans="1:48" ht="24" x14ac:dyDescent="0.2">
      <c r="A270" s="1397" t="s">
        <v>7531</v>
      </c>
      <c r="B270" s="429" t="s">
        <v>3691</v>
      </c>
      <c r="C270" s="430" t="s">
        <v>1872</v>
      </c>
      <c r="D270" s="1349" t="s">
        <v>4811</v>
      </c>
      <c r="E270" s="1350" t="s">
        <v>5477</v>
      </c>
      <c r="F270" s="1350" t="s">
        <v>2794</v>
      </c>
      <c r="G270" s="1351" t="s">
        <v>5554</v>
      </c>
      <c r="H270" s="1342" t="s">
        <v>1327</v>
      </c>
      <c r="I270" s="432" t="s">
        <v>1545</v>
      </c>
      <c r="J270" s="431"/>
      <c r="K270" s="431"/>
      <c r="L270" s="431"/>
      <c r="M270" s="433" t="s">
        <v>5421</v>
      </c>
      <c r="N270" s="434" t="s">
        <v>1299</v>
      </c>
      <c r="O270" s="1743" t="str">
        <f>VLOOKUP(B270,code_famille_scénario,2)&amp;VLOOKUP(C270,code_actif,2)&amp;" due "&amp;VLOOKUP(I270,code_event,2)&amp;", "&amp;VLOOKUP(M270,code_process,2)</f>
        <v>Divulgation, par erreur, de fichiers  de données applicatives due à une erreur de procédure, lors d'une opération de maintenance logicielle</v>
      </c>
      <c r="P270" s="435">
        <v>1</v>
      </c>
      <c r="Q270" s="1595" t="s">
        <v>6403</v>
      </c>
      <c r="R270" s="1595" t="s">
        <v>4811</v>
      </c>
      <c r="S270" s="1595" t="str">
        <f>Classif!E4</f>
        <v/>
      </c>
      <c r="T270" s="1595">
        <f t="shared" si="182"/>
        <v>3</v>
      </c>
      <c r="U270" s="1744" t="str">
        <f t="shared" si="183"/>
        <v/>
      </c>
      <c r="V270" s="1745">
        <v>1</v>
      </c>
      <c r="W270" s="1745">
        <f>MAX(S08A05,S09C02)</f>
        <v>1</v>
      </c>
      <c r="X270" s="1745">
        <v>1</v>
      </c>
      <c r="Y270" s="1745">
        <v>1</v>
      </c>
      <c r="Z270" s="1746">
        <v>0</v>
      </c>
      <c r="AA270" s="1747"/>
      <c r="AB270" s="1748"/>
      <c r="AC270" s="1748"/>
      <c r="AD270" s="1595" t="str">
        <f t="shared" si="180"/>
        <v/>
      </c>
      <c r="AE270" s="1595">
        <f t="shared" si="184"/>
        <v>3</v>
      </c>
      <c r="AF270" s="1595" t="str">
        <f t="shared" si="185"/>
        <v/>
      </c>
      <c r="AG270" s="1748"/>
      <c r="AH270" s="1749" t="str">
        <f t="shared" si="181"/>
        <v/>
      </c>
      <c r="AI270" s="1615"/>
      <c r="AJ270" s="1616" t="s">
        <v>5008</v>
      </c>
      <c r="AK270" s="1618"/>
      <c r="AL270" s="1619"/>
      <c r="AM270" s="247" t="str">
        <f t="shared" si="174"/>
        <v/>
      </c>
      <c r="AN270" s="247" t="str">
        <f t="shared" si="175"/>
        <v/>
      </c>
      <c r="AO270" s="247" t="str">
        <f t="shared" si="176"/>
        <v/>
      </c>
      <c r="AP270" s="247" t="str">
        <f t="shared" si="177"/>
        <v/>
      </c>
      <c r="AQ270" s="42">
        <f t="shared" si="186"/>
        <v>1</v>
      </c>
      <c r="AR270" s="42">
        <f t="shared" si="187"/>
        <v>1</v>
      </c>
      <c r="AS270" s="42">
        <f t="shared" si="188"/>
        <v>1</v>
      </c>
      <c r="AT270" s="42">
        <f t="shared" si="189"/>
        <v>1</v>
      </c>
      <c r="AU270" s="247" t="str">
        <f t="shared" si="178"/>
        <v/>
      </c>
      <c r="AV270" s="247" t="str">
        <f t="shared" si="179"/>
        <v/>
      </c>
    </row>
    <row r="271" spans="1:48" ht="36" x14ac:dyDescent="0.2">
      <c r="A271" s="1397" t="s">
        <v>7532</v>
      </c>
      <c r="B271" s="429" t="s">
        <v>3696</v>
      </c>
      <c r="C271" s="430" t="s">
        <v>1872</v>
      </c>
      <c r="D271" s="1349" t="s">
        <v>4811</v>
      </c>
      <c r="E271" s="1350" t="s">
        <v>2778</v>
      </c>
      <c r="F271" s="1350" t="s">
        <v>2794</v>
      </c>
      <c r="G271" s="1351" t="s">
        <v>5554</v>
      </c>
      <c r="H271" s="1342" t="s">
        <v>1328</v>
      </c>
      <c r="I271" s="432" t="s">
        <v>1305</v>
      </c>
      <c r="J271" s="431"/>
      <c r="K271" s="431"/>
      <c r="L271" s="431" t="s">
        <v>6541</v>
      </c>
      <c r="M271" s="433" t="s">
        <v>5066</v>
      </c>
      <c r="N271" s="434" t="s">
        <v>1301</v>
      </c>
      <c r="O271" s="1743" t="str">
        <f>VLOOKUP(B271,code_famille_scénario,2)&amp;VLOOKUP(C271,code_actif,2)&amp;" "&amp;VLOOKUP(M271,code_process,2)&amp;", par "&amp;VLOOKUP(N271,code_acteur,2)&amp;", "&amp;VLOOKUP(L271,code_acces,2)</f>
        <v>Détournement de fichiers  de données applicatives lors de traitements utilisateurs, par un utilisateur autorisé légitime, se connectant depuis le réseau interne</v>
      </c>
      <c r="P271" s="435">
        <v>1</v>
      </c>
      <c r="Q271" s="1595" t="s">
        <v>1299</v>
      </c>
      <c r="R271" s="1595" t="s">
        <v>4811</v>
      </c>
      <c r="S271" s="1595" t="str">
        <f>Classif!E4</f>
        <v/>
      </c>
      <c r="T271" s="1595">
        <f t="shared" si="182"/>
        <v>3</v>
      </c>
      <c r="U271" s="1744" t="str">
        <f t="shared" si="183"/>
        <v/>
      </c>
      <c r="V271" s="1745">
        <f>S07C01</f>
        <v>1</v>
      </c>
      <c r="W271" s="1745">
        <v>1</v>
      </c>
      <c r="X271" s="1745">
        <v>1</v>
      </c>
      <c r="Y271" s="1745">
        <v>1</v>
      </c>
      <c r="Z271" s="1746">
        <v>0</v>
      </c>
      <c r="AA271" s="1747"/>
      <c r="AB271" s="1748"/>
      <c r="AC271" s="1748"/>
      <c r="AD271" s="1595" t="str">
        <f t="shared" si="180"/>
        <v/>
      </c>
      <c r="AE271" s="1595">
        <f t="shared" si="184"/>
        <v>3</v>
      </c>
      <c r="AF271" s="1595" t="str">
        <f t="shared" si="185"/>
        <v/>
      </c>
      <c r="AG271" s="1748"/>
      <c r="AH271" s="1749" t="str">
        <f t="shared" si="181"/>
        <v/>
      </c>
      <c r="AI271" s="1620" t="s">
        <v>5019</v>
      </c>
      <c r="AJ271" s="1616"/>
      <c r="AK271" s="1618"/>
      <c r="AL271" s="1619"/>
      <c r="AM271" s="247" t="str">
        <f t="shared" si="174"/>
        <v/>
      </c>
      <c r="AN271" s="247" t="str">
        <f t="shared" si="175"/>
        <v/>
      </c>
      <c r="AO271" s="247" t="str">
        <f t="shared" si="176"/>
        <v/>
      </c>
      <c r="AP271" s="247" t="str">
        <f t="shared" si="177"/>
        <v/>
      </c>
      <c r="AQ271" s="42">
        <f t="shared" si="186"/>
        <v>1</v>
      </c>
      <c r="AR271" s="42">
        <f t="shared" si="187"/>
        <v>1</v>
      </c>
      <c r="AS271" s="42">
        <f t="shared" si="188"/>
        <v>1</v>
      </c>
      <c r="AT271" s="42">
        <f t="shared" si="189"/>
        <v>1</v>
      </c>
      <c r="AU271" s="247" t="str">
        <f t="shared" si="178"/>
        <v/>
      </c>
      <c r="AV271" s="247" t="str">
        <f t="shared" si="179"/>
        <v/>
      </c>
    </row>
    <row r="272" spans="1:48" ht="36" x14ac:dyDescent="0.2">
      <c r="A272" s="1397" t="s">
        <v>7533</v>
      </c>
      <c r="B272" s="429" t="s">
        <v>3696</v>
      </c>
      <c r="C272" s="430" t="s">
        <v>1872</v>
      </c>
      <c r="D272" s="1349" t="s">
        <v>4811</v>
      </c>
      <c r="E272" s="1350" t="s">
        <v>7449</v>
      </c>
      <c r="F272" s="1350" t="s">
        <v>2794</v>
      </c>
      <c r="G272" s="1351" t="s">
        <v>5554</v>
      </c>
      <c r="H272" s="1342" t="s">
        <v>1328</v>
      </c>
      <c r="I272" s="432" t="s">
        <v>1305</v>
      </c>
      <c r="J272" s="431"/>
      <c r="K272" s="431"/>
      <c r="L272" s="431" t="s">
        <v>6541</v>
      </c>
      <c r="M272" s="433" t="s">
        <v>5066</v>
      </c>
      <c r="N272" s="434" t="s">
        <v>1302</v>
      </c>
      <c r="O272" s="1743" t="str">
        <f>VLOOKUP(B272,code_famille_scénario,2)&amp;VLOOKUP(C272,code_actif,2)&amp;" "&amp;VLOOKUP(M272,code_process,2)&amp;", par "&amp;VLOOKUP(N272,code_acteur,2)&amp;", "&amp;VLOOKUP(L272,code_acces,2)</f>
        <v>Détournement de fichiers  de données applicatives lors de traitements utilisateurs, par un utilisateur autorisé illégitime, se connectant depuis le réseau interne</v>
      </c>
      <c r="P272" s="435">
        <v>1</v>
      </c>
      <c r="Q272" s="1595" t="s">
        <v>1299</v>
      </c>
      <c r="R272" s="1595" t="s">
        <v>4811</v>
      </c>
      <c r="S272" s="1595" t="str">
        <f>Classif!E4</f>
        <v/>
      </c>
      <c r="T272" s="1595">
        <f t="shared" si="182"/>
        <v>3</v>
      </c>
      <c r="U272" s="1744" t="str">
        <f t="shared" si="183"/>
        <v/>
      </c>
      <c r="V272" s="1745">
        <f>S07C01</f>
        <v>1</v>
      </c>
      <c r="W272" s="1745">
        <f>MAX(MIN(S07A01,S07A02),MIN(S09A01,S09A02))</f>
        <v>1</v>
      </c>
      <c r="X272" s="1745">
        <v>1</v>
      </c>
      <c r="Y272" s="1745">
        <v>1</v>
      </c>
      <c r="Z272" s="1746">
        <v>0</v>
      </c>
      <c r="AA272" s="1747"/>
      <c r="AB272" s="1748"/>
      <c r="AC272" s="1748"/>
      <c r="AD272" s="1595" t="str">
        <f t="shared" si="180"/>
        <v/>
      </c>
      <c r="AE272" s="1595">
        <f t="shared" si="184"/>
        <v>3</v>
      </c>
      <c r="AF272" s="1595" t="str">
        <f t="shared" si="185"/>
        <v/>
      </c>
      <c r="AG272" s="1748"/>
      <c r="AH272" s="1749" t="str">
        <f t="shared" si="181"/>
        <v/>
      </c>
      <c r="AI272" s="1620" t="s">
        <v>5019</v>
      </c>
      <c r="AJ272" s="1616" t="s">
        <v>5420</v>
      </c>
      <c r="AK272" s="1618"/>
      <c r="AL272" s="1619"/>
      <c r="AM272" s="247" t="str">
        <f t="shared" si="174"/>
        <v/>
      </c>
      <c r="AN272" s="247" t="str">
        <f t="shared" si="175"/>
        <v/>
      </c>
      <c r="AO272" s="247" t="str">
        <f t="shared" si="176"/>
        <v/>
      </c>
      <c r="AP272" s="247" t="str">
        <f t="shared" si="177"/>
        <v/>
      </c>
      <c r="AQ272" s="42">
        <f t="shared" si="186"/>
        <v>1</v>
      </c>
      <c r="AR272" s="42">
        <f t="shared" si="187"/>
        <v>1</v>
      </c>
      <c r="AS272" s="42">
        <f t="shared" si="188"/>
        <v>1</v>
      </c>
      <c r="AT272" s="42">
        <f t="shared" si="189"/>
        <v>1</v>
      </c>
      <c r="AU272" s="247" t="str">
        <f t="shared" si="178"/>
        <v/>
      </c>
      <c r="AV272" s="247" t="str">
        <f t="shared" si="179"/>
        <v/>
      </c>
    </row>
    <row r="273" spans="1:48" ht="36" x14ac:dyDescent="0.2">
      <c r="A273" s="1397" t="s">
        <v>7534</v>
      </c>
      <c r="B273" s="429" t="s">
        <v>3696</v>
      </c>
      <c r="C273" s="430" t="s">
        <v>1872</v>
      </c>
      <c r="D273" s="1349" t="s">
        <v>4811</v>
      </c>
      <c r="E273" s="1350" t="s">
        <v>7449</v>
      </c>
      <c r="F273" s="1350" t="s">
        <v>2794</v>
      </c>
      <c r="G273" s="1351" t="s">
        <v>5554</v>
      </c>
      <c r="H273" s="1342" t="s">
        <v>1328</v>
      </c>
      <c r="I273" s="432" t="s">
        <v>1305</v>
      </c>
      <c r="J273" s="431"/>
      <c r="K273" s="431"/>
      <c r="L273" s="431" t="s">
        <v>6541</v>
      </c>
      <c r="M273" s="433" t="s">
        <v>5066</v>
      </c>
      <c r="N273" s="434" t="s">
        <v>1303</v>
      </c>
      <c r="O273" s="1743" t="str">
        <f>VLOOKUP(B273,code_famille_scénario,2)&amp;VLOOKUP(C273,code_actif,2)&amp;" "&amp;VLOOKUP(M273,code_process,2)&amp;", par "&amp;VLOOKUP(N273,code_acteur,2)&amp;", "&amp;VLOOKUP(L273,code_acces,2)</f>
        <v>Détournement de fichiers  de données applicatives lors de traitements utilisateurs, par un utilisateur non autorisé, se connectant depuis le réseau interne</v>
      </c>
      <c r="P273" s="435">
        <v>1</v>
      </c>
      <c r="Q273" s="1595" t="s">
        <v>1299</v>
      </c>
      <c r="R273" s="1595" t="s">
        <v>4811</v>
      </c>
      <c r="S273" s="1595" t="str">
        <f>Classif!E4</f>
        <v/>
      </c>
      <c r="T273" s="1595">
        <f t="shared" si="182"/>
        <v>3</v>
      </c>
      <c r="U273" s="1744" t="str">
        <f t="shared" si="183"/>
        <v/>
      </c>
      <c r="V273" s="1745">
        <v>1</v>
      </c>
      <c r="W273" s="1745">
        <f>MAX(MIN(S07A03,S07A04,S08F02),MIN(S09A03,S09A04))</f>
        <v>1</v>
      </c>
      <c r="X273" s="1745">
        <v>1</v>
      </c>
      <c r="Y273" s="1745">
        <v>1</v>
      </c>
      <c r="Z273" s="1746">
        <v>0</v>
      </c>
      <c r="AA273" s="1747"/>
      <c r="AB273" s="1748"/>
      <c r="AC273" s="1748"/>
      <c r="AD273" s="1595" t="str">
        <f t="shared" si="180"/>
        <v/>
      </c>
      <c r="AE273" s="1595">
        <f t="shared" si="184"/>
        <v>3</v>
      </c>
      <c r="AF273" s="1595" t="str">
        <f t="shared" si="185"/>
        <v/>
      </c>
      <c r="AG273" s="1748"/>
      <c r="AH273" s="1749" t="str">
        <f t="shared" si="181"/>
        <v/>
      </c>
      <c r="AI273" s="1615"/>
      <c r="AJ273" s="1616" t="s">
        <v>5180</v>
      </c>
      <c r="AK273" s="1618"/>
      <c r="AL273" s="1619"/>
      <c r="AM273" s="247" t="str">
        <f t="shared" si="174"/>
        <v/>
      </c>
      <c r="AN273" s="247" t="str">
        <f t="shared" si="175"/>
        <v/>
      </c>
      <c r="AO273" s="247" t="str">
        <f t="shared" si="176"/>
        <v/>
      </c>
      <c r="AP273" s="247" t="str">
        <f t="shared" si="177"/>
        <v/>
      </c>
      <c r="AQ273" s="42">
        <f t="shared" si="186"/>
        <v>1</v>
      </c>
      <c r="AR273" s="42">
        <f t="shared" si="187"/>
        <v>1</v>
      </c>
      <c r="AS273" s="42">
        <f t="shared" si="188"/>
        <v>1</v>
      </c>
      <c r="AT273" s="42">
        <f t="shared" si="189"/>
        <v>1</v>
      </c>
      <c r="AU273" s="247" t="str">
        <f t="shared" si="178"/>
        <v/>
      </c>
      <c r="AV273" s="247" t="str">
        <f t="shared" si="179"/>
        <v/>
      </c>
    </row>
    <row r="274" spans="1:48" ht="24" x14ac:dyDescent="0.2">
      <c r="A274" s="1397" t="s">
        <v>7535</v>
      </c>
      <c r="B274" s="429" t="s">
        <v>3696</v>
      </c>
      <c r="C274" s="430" t="s">
        <v>1872</v>
      </c>
      <c r="D274" s="1349" t="s">
        <v>4811</v>
      </c>
      <c r="E274" s="1350" t="s">
        <v>7449</v>
      </c>
      <c r="F274" s="1350" t="s">
        <v>2794</v>
      </c>
      <c r="G274" s="1351" t="s">
        <v>5554</v>
      </c>
      <c r="H274" s="1342" t="s">
        <v>1328</v>
      </c>
      <c r="I274" s="432" t="s">
        <v>1305</v>
      </c>
      <c r="J274" s="431"/>
      <c r="K274" s="431"/>
      <c r="L274" s="431"/>
      <c r="M274" s="433" t="s">
        <v>1880</v>
      </c>
      <c r="N274" s="434" t="s">
        <v>6403</v>
      </c>
      <c r="O274" s="1743" t="str">
        <f>VLOOKUP(B274,code_famille_scénario,2)&amp;VLOOKUP(C274,code_actif,2)&amp;", "&amp;VLOOKUP(M274,code_process,2)&amp;", par "&amp;VLOOKUP(N274,code_acteur,2)</f>
        <v>Détournement de fichiers  de données applicatives, en exploitation, par un membre du personnel d'exploitation</v>
      </c>
      <c r="P274" s="435">
        <v>1</v>
      </c>
      <c r="Q274" s="1595" t="s">
        <v>1299</v>
      </c>
      <c r="R274" s="1595" t="s">
        <v>4811</v>
      </c>
      <c r="S274" s="1595" t="str">
        <f>Classif!E4</f>
        <v/>
      </c>
      <c r="T274" s="1595">
        <f t="shared" si="182"/>
        <v>3</v>
      </c>
      <c r="U274" s="1744" t="str">
        <f t="shared" si="183"/>
        <v/>
      </c>
      <c r="V274" s="1745">
        <v>1</v>
      </c>
      <c r="W274" s="1745">
        <f>S09C02</f>
        <v>1</v>
      </c>
      <c r="X274" s="1745">
        <v>1</v>
      </c>
      <c r="Y274" s="1745">
        <v>1</v>
      </c>
      <c r="Z274" s="1746">
        <v>0</v>
      </c>
      <c r="AA274" s="1747"/>
      <c r="AB274" s="1748"/>
      <c r="AC274" s="1748"/>
      <c r="AD274" s="1595" t="str">
        <f t="shared" si="180"/>
        <v/>
      </c>
      <c r="AE274" s="1595">
        <f t="shared" si="184"/>
        <v>3</v>
      </c>
      <c r="AF274" s="1595" t="str">
        <f t="shared" si="185"/>
        <v/>
      </c>
      <c r="AG274" s="1748"/>
      <c r="AH274" s="1749" t="str">
        <f t="shared" si="181"/>
        <v/>
      </c>
      <c r="AI274" s="1615"/>
      <c r="AJ274" s="1616" t="s">
        <v>2553</v>
      </c>
      <c r="AK274" s="1618"/>
      <c r="AL274" s="1619"/>
      <c r="AM274" s="247" t="str">
        <f t="shared" si="174"/>
        <v/>
      </c>
      <c r="AN274" s="247" t="str">
        <f t="shared" si="175"/>
        <v/>
      </c>
      <c r="AO274" s="247" t="str">
        <f t="shared" si="176"/>
        <v/>
      </c>
      <c r="AP274" s="247" t="str">
        <f t="shared" si="177"/>
        <v/>
      </c>
      <c r="AQ274" s="42">
        <f t="shared" si="186"/>
        <v>1</v>
      </c>
      <c r="AR274" s="42">
        <f t="shared" si="187"/>
        <v>1</v>
      </c>
      <c r="AS274" s="42">
        <f t="shared" si="188"/>
        <v>1</v>
      </c>
      <c r="AT274" s="42">
        <f t="shared" si="189"/>
        <v>1</v>
      </c>
      <c r="AU274" s="247" t="str">
        <f t="shared" si="178"/>
        <v/>
      </c>
      <c r="AV274" s="247" t="str">
        <f t="shared" si="179"/>
        <v/>
      </c>
    </row>
    <row r="275" spans="1:48" ht="24" x14ac:dyDescent="0.2">
      <c r="A275" s="1397" t="s">
        <v>7536</v>
      </c>
      <c r="B275" s="429" t="s">
        <v>3696</v>
      </c>
      <c r="C275" s="430" t="s">
        <v>1872</v>
      </c>
      <c r="D275" s="1349" t="s">
        <v>4811</v>
      </c>
      <c r="E275" s="1350" t="s">
        <v>7449</v>
      </c>
      <c r="F275" s="1350" t="s">
        <v>2794</v>
      </c>
      <c r="G275" s="1351" t="s">
        <v>5554</v>
      </c>
      <c r="H275" s="1342" t="s">
        <v>1328</v>
      </c>
      <c r="I275" s="432" t="s">
        <v>1305</v>
      </c>
      <c r="J275" s="431"/>
      <c r="K275" s="431"/>
      <c r="L275" s="431" t="s">
        <v>6541</v>
      </c>
      <c r="M275" s="433" t="s">
        <v>1880</v>
      </c>
      <c r="N275" s="434" t="s">
        <v>2835</v>
      </c>
      <c r="O275" s="1743" t="str">
        <f>VLOOKUP(B275,code_famille_scénario,2)&amp;VLOOKUP(C275,code_actif,2)&amp;" "&amp;VLOOKUP(M275,code_process,2)&amp;", par "&amp;VLOOKUP(N275,code_acteur,2)&amp;", "&amp;VLOOKUP(L275,code_acces,2)</f>
        <v>Détournement de fichiers  de données applicatives en exploitation, par un tiers non autorisé, se connectant depuis le réseau interne</v>
      </c>
      <c r="P275" s="435">
        <v>1</v>
      </c>
      <c r="Q275" s="1595" t="s">
        <v>1299</v>
      </c>
      <c r="R275" s="1595" t="s">
        <v>4811</v>
      </c>
      <c r="S275" s="1595" t="str">
        <f>Classif!E4</f>
        <v/>
      </c>
      <c r="T275" s="1595">
        <f t="shared" si="182"/>
        <v>3</v>
      </c>
      <c r="U275" s="1744" t="str">
        <f t="shared" si="183"/>
        <v/>
      </c>
      <c r="V275" s="1745">
        <v>1</v>
      </c>
      <c r="W275" s="1745">
        <f>MAX(S05B03,MIN(S07A03,S07A04),S09C02)</f>
        <v>1</v>
      </c>
      <c r="X275" s="1745">
        <v>1</v>
      </c>
      <c r="Y275" s="1745">
        <v>1</v>
      </c>
      <c r="Z275" s="1746">
        <v>0</v>
      </c>
      <c r="AA275" s="1747"/>
      <c r="AB275" s="1748"/>
      <c r="AC275" s="1748"/>
      <c r="AD275" s="1595" t="str">
        <f t="shared" si="180"/>
        <v/>
      </c>
      <c r="AE275" s="1595">
        <f t="shared" si="184"/>
        <v>3</v>
      </c>
      <c r="AF275" s="1595" t="str">
        <f t="shared" si="185"/>
        <v/>
      </c>
      <c r="AG275" s="1748"/>
      <c r="AH275" s="1749" t="str">
        <f t="shared" si="181"/>
        <v/>
      </c>
      <c r="AI275" s="1615"/>
      <c r="AJ275" s="1616" t="s">
        <v>6539</v>
      </c>
      <c r="AK275" s="1618"/>
      <c r="AL275" s="1619"/>
      <c r="AM275" s="247" t="str">
        <f t="shared" si="174"/>
        <v/>
      </c>
      <c r="AN275" s="247" t="str">
        <f t="shared" si="175"/>
        <v/>
      </c>
      <c r="AO275" s="247" t="str">
        <f t="shared" si="176"/>
        <v/>
      </c>
      <c r="AP275" s="247" t="str">
        <f t="shared" si="177"/>
        <v/>
      </c>
      <c r="AQ275" s="42">
        <f t="shared" si="186"/>
        <v>1</v>
      </c>
      <c r="AR275" s="42">
        <f t="shared" si="187"/>
        <v>1</v>
      </c>
      <c r="AS275" s="42">
        <f t="shared" si="188"/>
        <v>1</v>
      </c>
      <c r="AT275" s="42">
        <f t="shared" si="189"/>
        <v>1</v>
      </c>
      <c r="AU275" s="247" t="str">
        <f t="shared" si="178"/>
        <v/>
      </c>
      <c r="AV275" s="247" t="str">
        <f t="shared" si="179"/>
        <v/>
      </c>
    </row>
    <row r="276" spans="1:48" ht="45" x14ac:dyDescent="0.2">
      <c r="A276" s="1397" t="s">
        <v>7537</v>
      </c>
      <c r="B276" s="429" t="s">
        <v>3696</v>
      </c>
      <c r="C276" s="430" t="s">
        <v>1872</v>
      </c>
      <c r="D276" s="1349" t="s">
        <v>4811</v>
      </c>
      <c r="E276" s="1350" t="s">
        <v>7449</v>
      </c>
      <c r="F276" s="1350" t="s">
        <v>2794</v>
      </c>
      <c r="G276" s="1351" t="s">
        <v>5554</v>
      </c>
      <c r="H276" s="1342" t="s">
        <v>1328</v>
      </c>
      <c r="I276" s="432" t="s">
        <v>1305</v>
      </c>
      <c r="J276" s="431"/>
      <c r="K276" s="431"/>
      <c r="L276" s="431" t="s">
        <v>6543</v>
      </c>
      <c r="M276" s="433" t="s">
        <v>1880</v>
      </c>
      <c r="N276" s="434" t="s">
        <v>2835</v>
      </c>
      <c r="O276" s="1743" t="str">
        <f>VLOOKUP(B276,code_famille_scénario,2)&amp;VLOOKUP(C276,code_actif,2)&amp;" "&amp;VLOOKUP(M276,code_process,2)&amp;", par "&amp;VLOOKUP(N276,code_acteur,2)&amp;", "&amp;VLOOKUP(L276,code_acces,2)</f>
        <v>Détournement de fichiers  de données applicatives en exploitation, par un tiers non autorisé, se connectant, depuis l'extérieur, au réseau local</v>
      </c>
      <c r="P276" s="435">
        <v>1</v>
      </c>
      <c r="Q276" s="1595" t="s">
        <v>1299</v>
      </c>
      <c r="R276" s="1595" t="s">
        <v>4811</v>
      </c>
      <c r="S276" s="1595" t="str">
        <f>Classif!E4</f>
        <v/>
      </c>
      <c r="T276" s="1595">
        <f t="shared" si="182"/>
        <v>3</v>
      </c>
      <c r="U276" s="1744" t="str">
        <f t="shared" si="183"/>
        <v/>
      </c>
      <c r="V276" s="1745">
        <v>1</v>
      </c>
      <c r="W276" s="1745">
        <f>MAX(MIN(S05B04,S05B05,S05B06,S05B07,S06B02),MIN(S07A03,S07A04))</f>
        <v>1</v>
      </c>
      <c r="X276" s="1745">
        <v>1</v>
      </c>
      <c r="Y276" s="1745">
        <v>1</v>
      </c>
      <c r="Z276" s="1746">
        <v>0</v>
      </c>
      <c r="AA276" s="1747"/>
      <c r="AB276" s="1748"/>
      <c r="AC276" s="1748"/>
      <c r="AD276" s="1595" t="str">
        <f t="shared" si="180"/>
        <v/>
      </c>
      <c r="AE276" s="1595">
        <f t="shared" si="184"/>
        <v>3</v>
      </c>
      <c r="AF276" s="1595" t="str">
        <f t="shared" si="185"/>
        <v/>
      </c>
      <c r="AG276" s="1748"/>
      <c r="AH276" s="1749" t="str">
        <f t="shared" si="181"/>
        <v/>
      </c>
      <c r="AI276" s="1615"/>
      <c r="AJ276" s="1616" t="s">
        <v>6852</v>
      </c>
      <c r="AK276" s="1618"/>
      <c r="AL276" s="1619"/>
      <c r="AM276" s="247" t="str">
        <f t="shared" si="174"/>
        <v/>
      </c>
      <c r="AN276" s="247" t="str">
        <f t="shared" si="175"/>
        <v/>
      </c>
      <c r="AO276" s="247" t="str">
        <f t="shared" si="176"/>
        <v/>
      </c>
      <c r="AP276" s="247" t="str">
        <f t="shared" si="177"/>
        <v/>
      </c>
      <c r="AQ276" s="42">
        <f t="shared" si="186"/>
        <v>1</v>
      </c>
      <c r="AR276" s="42">
        <f t="shared" si="187"/>
        <v>1</v>
      </c>
      <c r="AS276" s="42">
        <f t="shared" si="188"/>
        <v>1</v>
      </c>
      <c r="AT276" s="42">
        <f t="shared" si="189"/>
        <v>1</v>
      </c>
      <c r="AU276" s="247" t="str">
        <f t="shared" si="178"/>
        <v/>
      </c>
      <c r="AV276" s="247" t="str">
        <f t="shared" si="179"/>
        <v/>
      </c>
    </row>
    <row r="277" spans="1:48" ht="24" x14ac:dyDescent="0.2">
      <c r="A277" s="1397" t="s">
        <v>7538</v>
      </c>
      <c r="B277" s="429" t="s">
        <v>3696</v>
      </c>
      <c r="C277" s="430" t="s">
        <v>1872</v>
      </c>
      <c r="D277" s="1349" t="s">
        <v>4811</v>
      </c>
      <c r="E277" s="1350" t="s">
        <v>7449</v>
      </c>
      <c r="F277" s="1350" t="s">
        <v>2794</v>
      </c>
      <c r="G277" s="1351" t="s">
        <v>5554</v>
      </c>
      <c r="H277" s="1342" t="s">
        <v>1328</v>
      </c>
      <c r="I277" s="432" t="s">
        <v>1305</v>
      </c>
      <c r="J277" s="431"/>
      <c r="K277" s="431"/>
      <c r="L277" s="431" t="s">
        <v>6542</v>
      </c>
      <c r="M277" s="433" t="s">
        <v>1880</v>
      </c>
      <c r="N277" s="434" t="s">
        <v>2835</v>
      </c>
      <c r="O277" s="1743" t="str">
        <f>VLOOKUP(B277,code_famille_scénario,2)&amp;VLOOKUP(C277,code_actif,2)&amp;" "&amp;VLOOKUP(M277,code_process,2)&amp;", par "&amp;VLOOKUP(N277,code_acteur,2)&amp;", "&amp;VLOOKUP(L277,code_acces,2)</f>
        <v>Détournement de fichiers  de données applicatives en exploitation, par un tiers non autorisé, se connectant par un port de télémaintenance</v>
      </c>
      <c r="P277" s="435">
        <v>1</v>
      </c>
      <c r="Q277" s="1595" t="s">
        <v>1299</v>
      </c>
      <c r="R277" s="1595" t="s">
        <v>4811</v>
      </c>
      <c r="S277" s="1595" t="str">
        <f>Classif!E4</f>
        <v/>
      </c>
      <c r="T277" s="1595">
        <f t="shared" si="182"/>
        <v>3</v>
      </c>
      <c r="U277" s="1744" t="str">
        <f t="shared" si="183"/>
        <v/>
      </c>
      <c r="V277" s="1745">
        <v>1</v>
      </c>
      <c r="W277" s="1745">
        <f>S08A06</f>
        <v>1</v>
      </c>
      <c r="X277" s="1745">
        <v>1</v>
      </c>
      <c r="Y277" s="1745">
        <v>1</v>
      </c>
      <c r="Z277" s="1746">
        <v>0</v>
      </c>
      <c r="AA277" s="1747"/>
      <c r="AB277" s="1748"/>
      <c r="AC277" s="1748"/>
      <c r="AD277" s="1595" t="str">
        <f t="shared" si="180"/>
        <v/>
      </c>
      <c r="AE277" s="1595">
        <f t="shared" si="184"/>
        <v>3</v>
      </c>
      <c r="AF277" s="1595" t="str">
        <f t="shared" si="185"/>
        <v/>
      </c>
      <c r="AG277" s="1748"/>
      <c r="AH277" s="1749" t="str">
        <f t="shared" si="181"/>
        <v/>
      </c>
      <c r="AI277" s="1615"/>
      <c r="AJ277" s="1616" t="s">
        <v>2558</v>
      </c>
      <c r="AK277" s="1618"/>
      <c r="AL277" s="1619"/>
      <c r="AM277" s="247" t="str">
        <f t="shared" si="174"/>
        <v/>
      </c>
      <c r="AN277" s="247" t="str">
        <f t="shared" si="175"/>
        <v/>
      </c>
      <c r="AO277" s="247" t="str">
        <f t="shared" si="176"/>
        <v/>
      </c>
      <c r="AP277" s="247" t="str">
        <f t="shared" si="177"/>
        <v/>
      </c>
      <c r="AQ277" s="42">
        <f t="shared" si="186"/>
        <v>1</v>
      </c>
      <c r="AR277" s="42">
        <f t="shared" si="187"/>
        <v>1</v>
      </c>
      <c r="AS277" s="42">
        <f t="shared" si="188"/>
        <v>1</v>
      </c>
      <c r="AT277" s="42">
        <f t="shared" si="189"/>
        <v>1</v>
      </c>
      <c r="AU277" s="247" t="str">
        <f t="shared" si="178"/>
        <v/>
      </c>
      <c r="AV277" s="247" t="str">
        <f t="shared" si="179"/>
        <v/>
      </c>
    </row>
    <row r="278" spans="1:48" ht="24" x14ac:dyDescent="0.2">
      <c r="A278" s="1397" t="s">
        <v>7539</v>
      </c>
      <c r="B278" s="429" t="s">
        <v>3696</v>
      </c>
      <c r="C278" s="430" t="s">
        <v>1872</v>
      </c>
      <c r="D278" s="1349" t="s">
        <v>4811</v>
      </c>
      <c r="E278" s="1350" t="s">
        <v>7449</v>
      </c>
      <c r="F278" s="1350" t="s">
        <v>2794</v>
      </c>
      <c r="G278" s="1351" t="s">
        <v>5554</v>
      </c>
      <c r="H278" s="1342" t="s">
        <v>1328</v>
      </c>
      <c r="I278" s="432" t="s">
        <v>1305</v>
      </c>
      <c r="J278" s="431"/>
      <c r="K278" s="431"/>
      <c r="L278" s="431" t="s">
        <v>6544</v>
      </c>
      <c r="M278" s="433" t="s">
        <v>1880</v>
      </c>
      <c r="N278" s="434" t="s">
        <v>2835</v>
      </c>
      <c r="O278" s="1743" t="str">
        <f>VLOOKUP(B278,code_famille_scénario,2)&amp;VLOOKUP(C278,code_actif,2)&amp;" "&amp;VLOOKUP(M278,code_process,2)&amp;", par "&amp;VLOOKUP(N278,code_acteur,2)&amp;", "&amp;VLOOKUP(L278,code_acces,2)</f>
        <v>Détournement de fichiers  de données applicatives en exploitation, par un tiers non autorisé, se connectant sur un réseau de stockage</v>
      </c>
      <c r="P278" s="435">
        <v>1</v>
      </c>
      <c r="Q278" s="1595" t="s">
        <v>1299</v>
      </c>
      <c r="R278" s="1595" t="s">
        <v>4811</v>
      </c>
      <c r="S278" s="1595" t="str">
        <f>Classif!E4</f>
        <v/>
      </c>
      <c r="T278" s="1595">
        <f t="shared" si="182"/>
        <v>3</v>
      </c>
      <c r="U278" s="1744" t="str">
        <f t="shared" si="183"/>
        <v/>
      </c>
      <c r="V278" s="1745">
        <v>1</v>
      </c>
      <c r="W278" s="1745">
        <f>MIN(S05B08,S05B09)</f>
        <v>1</v>
      </c>
      <c r="X278" s="1745">
        <v>1</v>
      </c>
      <c r="Y278" s="1745">
        <v>1</v>
      </c>
      <c r="Z278" s="1746">
        <v>0</v>
      </c>
      <c r="AA278" s="1747"/>
      <c r="AB278" s="1748"/>
      <c r="AC278" s="1748"/>
      <c r="AD278" s="1595" t="str">
        <f t="shared" si="180"/>
        <v/>
      </c>
      <c r="AE278" s="1595">
        <f t="shared" si="184"/>
        <v>3</v>
      </c>
      <c r="AF278" s="1595" t="str">
        <f t="shared" si="185"/>
        <v/>
      </c>
      <c r="AG278" s="1748"/>
      <c r="AH278" s="1749" t="str">
        <f t="shared" si="181"/>
        <v/>
      </c>
      <c r="AI278" s="1615"/>
      <c r="AJ278" s="1616" t="s">
        <v>5727</v>
      </c>
      <c r="AK278" s="1618"/>
      <c r="AL278" s="1619"/>
      <c r="AM278" s="247" t="str">
        <f t="shared" si="174"/>
        <v/>
      </c>
      <c r="AN278" s="247" t="str">
        <f t="shared" si="175"/>
        <v/>
      </c>
      <c r="AO278" s="247" t="str">
        <f t="shared" si="176"/>
        <v/>
      </c>
      <c r="AP278" s="247" t="str">
        <f t="shared" si="177"/>
        <v/>
      </c>
      <c r="AQ278" s="42">
        <f t="shared" si="186"/>
        <v>1</v>
      </c>
      <c r="AR278" s="42">
        <f t="shared" si="187"/>
        <v>1</v>
      </c>
      <c r="AS278" s="42">
        <f t="shared" si="188"/>
        <v>1</v>
      </c>
      <c r="AT278" s="42">
        <f t="shared" si="189"/>
        <v>1</v>
      </c>
      <c r="AU278" s="247" t="str">
        <f t="shared" si="178"/>
        <v/>
      </c>
      <c r="AV278" s="247" t="str">
        <f t="shared" si="179"/>
        <v/>
      </c>
    </row>
    <row r="279" spans="1:48" ht="24" x14ac:dyDescent="0.2">
      <c r="A279" s="1397" t="s">
        <v>7540</v>
      </c>
      <c r="B279" s="429" t="s">
        <v>3696</v>
      </c>
      <c r="C279" s="430" t="s">
        <v>1872</v>
      </c>
      <c r="D279" s="1349" t="s">
        <v>4811</v>
      </c>
      <c r="E279" s="1350" t="s">
        <v>7449</v>
      </c>
      <c r="F279" s="1350" t="s">
        <v>2794</v>
      </c>
      <c r="G279" s="1351" t="s">
        <v>5554</v>
      </c>
      <c r="H279" s="1342" t="s">
        <v>1328</v>
      </c>
      <c r="I279" s="432" t="s">
        <v>1305</v>
      </c>
      <c r="J279" s="431"/>
      <c r="K279" s="431"/>
      <c r="L279" s="431"/>
      <c r="M279" s="433" t="s">
        <v>1542</v>
      </c>
      <c r="N279" s="434" t="s">
        <v>1299</v>
      </c>
      <c r="O279" s="1743" t="str">
        <f t="shared" ref="O279:O286" si="190">VLOOKUP(B279,code_famille_scénario,2)&amp;VLOOKUP(C279,code_actif,2)&amp;", "&amp;VLOOKUP(M279,code_process,2)&amp;", par "&amp;VLOOKUP(N279,code_acteur,2)</f>
        <v>Détournement de fichiers  de données applicatives, lors d'une opération de maintenance, par un membre du personnel de maintenance</v>
      </c>
      <c r="P279" s="435">
        <v>1</v>
      </c>
      <c r="Q279" s="1595" t="s">
        <v>1299</v>
      </c>
      <c r="R279" s="1595" t="s">
        <v>4811</v>
      </c>
      <c r="S279" s="1595" t="str">
        <f>Classif!E4</f>
        <v/>
      </c>
      <c r="T279" s="1595">
        <f t="shared" si="182"/>
        <v>3</v>
      </c>
      <c r="U279" s="1744" t="str">
        <f t="shared" si="183"/>
        <v/>
      </c>
      <c r="V279" s="1745">
        <v>1</v>
      </c>
      <c r="W279" s="1745">
        <f>MAX(MIN(S07B01,S08A05),S09C02)</f>
        <v>1</v>
      </c>
      <c r="X279" s="1745">
        <v>1</v>
      </c>
      <c r="Y279" s="1745">
        <v>1</v>
      </c>
      <c r="Z279" s="1746">
        <v>0</v>
      </c>
      <c r="AA279" s="1747"/>
      <c r="AB279" s="1748"/>
      <c r="AC279" s="1748"/>
      <c r="AD279" s="1595" t="str">
        <f t="shared" si="180"/>
        <v/>
      </c>
      <c r="AE279" s="1595">
        <f t="shared" si="184"/>
        <v>3</v>
      </c>
      <c r="AF279" s="1595" t="str">
        <f t="shared" si="185"/>
        <v/>
      </c>
      <c r="AG279" s="1748"/>
      <c r="AH279" s="1749" t="str">
        <f t="shared" si="181"/>
        <v/>
      </c>
      <c r="AI279" s="1615"/>
      <c r="AJ279" s="1616" t="s">
        <v>6854</v>
      </c>
      <c r="AK279" s="1618"/>
      <c r="AL279" s="1619"/>
      <c r="AM279" s="247" t="str">
        <f t="shared" si="174"/>
        <v/>
      </c>
      <c r="AN279" s="247" t="str">
        <f t="shared" si="175"/>
        <v/>
      </c>
      <c r="AO279" s="247" t="str">
        <f t="shared" si="176"/>
        <v/>
      </c>
      <c r="AP279" s="247" t="str">
        <f t="shared" si="177"/>
        <v/>
      </c>
      <c r="AQ279" s="42">
        <f t="shared" si="186"/>
        <v>1</v>
      </c>
      <c r="AR279" s="42">
        <f t="shared" si="187"/>
        <v>1</v>
      </c>
      <c r="AS279" s="42">
        <f t="shared" si="188"/>
        <v>1</v>
      </c>
      <c r="AT279" s="42">
        <f t="shared" si="189"/>
        <v>1</v>
      </c>
      <c r="AU279" s="247" t="str">
        <f t="shared" si="178"/>
        <v/>
      </c>
      <c r="AV279" s="247" t="str">
        <f t="shared" si="179"/>
        <v/>
      </c>
    </row>
    <row r="280" spans="1:48" ht="36" x14ac:dyDescent="0.2">
      <c r="A280" s="1397" t="s">
        <v>7541</v>
      </c>
      <c r="B280" s="429" t="s">
        <v>2461</v>
      </c>
      <c r="C280" s="430" t="s">
        <v>1872</v>
      </c>
      <c r="D280" s="1349" t="s">
        <v>4811</v>
      </c>
      <c r="E280" s="1350" t="s">
        <v>1874</v>
      </c>
      <c r="F280" s="1350" t="s">
        <v>4498</v>
      </c>
      <c r="G280" s="1351" t="s">
        <v>6071</v>
      </c>
      <c r="H280" s="1342" t="s">
        <v>1329</v>
      </c>
      <c r="I280" s="432" t="s">
        <v>1305</v>
      </c>
      <c r="J280" s="431"/>
      <c r="K280" s="431"/>
      <c r="L280" s="431"/>
      <c r="M280" s="433" t="s">
        <v>6757</v>
      </c>
      <c r="N280" s="434" t="s">
        <v>4816</v>
      </c>
      <c r="O280" s="1743" t="str">
        <f t="shared" si="190"/>
        <v>Divulgation d'informations, par vol de media support de fichiers  de données applicatives, pendant le transport entre sites, par un membre  du personnel autorisé</v>
      </c>
      <c r="P280" s="435">
        <v>1</v>
      </c>
      <c r="Q280" s="1595" t="s">
        <v>1299</v>
      </c>
      <c r="R280" s="1595" t="s">
        <v>4811</v>
      </c>
      <c r="S280" s="1595" t="str">
        <f>Classif!E4</f>
        <v/>
      </c>
      <c r="T280" s="1595">
        <f t="shared" si="182"/>
        <v>2</v>
      </c>
      <c r="U280" s="1744" t="str">
        <f t="shared" si="183"/>
        <v/>
      </c>
      <c r="V280" s="1745">
        <v>1</v>
      </c>
      <c r="W280" s="1745">
        <f>S09C02</f>
        <v>1</v>
      </c>
      <c r="X280" s="1745">
        <v>1</v>
      </c>
      <c r="Y280" s="1745">
        <v>1</v>
      </c>
      <c r="Z280" s="1746">
        <v>0</v>
      </c>
      <c r="AA280" s="1747"/>
      <c r="AB280" s="1748"/>
      <c r="AC280" s="1748"/>
      <c r="AD280" s="1595" t="str">
        <f t="shared" si="180"/>
        <v/>
      </c>
      <c r="AE280" s="1595">
        <f t="shared" si="184"/>
        <v>2</v>
      </c>
      <c r="AF280" s="1595" t="str">
        <f t="shared" si="185"/>
        <v/>
      </c>
      <c r="AG280" s="1748"/>
      <c r="AH280" s="1749" t="str">
        <f t="shared" si="181"/>
        <v/>
      </c>
      <c r="AI280" s="1615"/>
      <c r="AJ280" s="1616" t="s">
        <v>2553</v>
      </c>
      <c r="AK280" s="1618"/>
      <c r="AL280" s="1619"/>
      <c r="AM280" s="247" t="str">
        <f t="shared" si="174"/>
        <v/>
      </c>
      <c r="AN280" s="247" t="str">
        <f t="shared" si="175"/>
        <v/>
      </c>
      <c r="AO280" s="247" t="str">
        <f t="shared" si="176"/>
        <v/>
      </c>
      <c r="AP280" s="247" t="str">
        <f t="shared" si="177"/>
        <v/>
      </c>
      <c r="AQ280" s="42">
        <f t="shared" si="186"/>
        <v>1</v>
      </c>
      <c r="AR280" s="42">
        <f t="shared" si="187"/>
        <v>1</v>
      </c>
      <c r="AS280" s="42">
        <f t="shared" si="188"/>
        <v>1</v>
      </c>
      <c r="AT280" s="42">
        <f t="shared" si="189"/>
        <v>1</v>
      </c>
      <c r="AU280" s="247" t="str">
        <f t="shared" si="178"/>
        <v/>
      </c>
      <c r="AV280" s="247" t="str">
        <f t="shared" si="179"/>
        <v/>
      </c>
    </row>
    <row r="281" spans="1:48" ht="24" x14ac:dyDescent="0.2">
      <c r="A281" s="1397" t="s">
        <v>7542</v>
      </c>
      <c r="B281" s="429" t="s">
        <v>2461</v>
      </c>
      <c r="C281" s="430" t="s">
        <v>1872</v>
      </c>
      <c r="D281" s="1349" t="s">
        <v>4811</v>
      </c>
      <c r="E281" s="1350" t="s">
        <v>1874</v>
      </c>
      <c r="F281" s="1350" t="s">
        <v>4498</v>
      </c>
      <c r="G281" s="1351" t="s">
        <v>6071</v>
      </c>
      <c r="H281" s="1342" t="s">
        <v>1329</v>
      </c>
      <c r="I281" s="432" t="s">
        <v>1305</v>
      </c>
      <c r="J281" s="431"/>
      <c r="K281" s="431"/>
      <c r="L281" s="431"/>
      <c r="M281" s="433" t="s">
        <v>2795</v>
      </c>
      <c r="N281" s="434" t="s">
        <v>4816</v>
      </c>
      <c r="O281" s="1743" t="str">
        <f t="shared" si="190"/>
        <v>Divulgation d'informations, par vol de media support de fichiers  de données applicatives, lors du stockage sur site, par un membre  du personnel autorisé</v>
      </c>
      <c r="P281" s="435">
        <v>1</v>
      </c>
      <c r="Q281" s="1595" t="s">
        <v>1299</v>
      </c>
      <c r="R281" s="1595" t="s">
        <v>4811</v>
      </c>
      <c r="S281" s="1595" t="str">
        <f>Classif!E4</f>
        <v/>
      </c>
      <c r="T281" s="1595">
        <f t="shared" si="182"/>
        <v>2</v>
      </c>
      <c r="U281" s="1744" t="str">
        <f t="shared" si="183"/>
        <v/>
      </c>
      <c r="V281" s="1745">
        <f>S08C03</f>
        <v>1</v>
      </c>
      <c r="W281" s="1745">
        <f>S09C02</f>
        <v>1</v>
      </c>
      <c r="X281" s="1745">
        <v>1</v>
      </c>
      <c r="Y281" s="1745">
        <v>1</v>
      </c>
      <c r="Z281" s="1746">
        <v>0</v>
      </c>
      <c r="AA281" s="1747"/>
      <c r="AB281" s="1748"/>
      <c r="AC281" s="1748"/>
      <c r="AD281" s="1595" t="str">
        <f t="shared" si="180"/>
        <v/>
      </c>
      <c r="AE281" s="1595">
        <f t="shared" si="184"/>
        <v>2</v>
      </c>
      <c r="AF281" s="1595" t="str">
        <f t="shared" si="185"/>
        <v/>
      </c>
      <c r="AG281" s="1748"/>
      <c r="AH281" s="1749" t="str">
        <f t="shared" si="181"/>
        <v/>
      </c>
      <c r="AI281" s="1620" t="s">
        <v>63</v>
      </c>
      <c r="AJ281" s="1616" t="s">
        <v>2553</v>
      </c>
      <c r="AK281" s="1618"/>
      <c r="AL281" s="1619"/>
      <c r="AM281" s="247" t="str">
        <f t="shared" si="174"/>
        <v/>
      </c>
      <c r="AN281" s="247" t="str">
        <f t="shared" si="175"/>
        <v/>
      </c>
      <c r="AO281" s="247" t="str">
        <f t="shared" si="176"/>
        <v/>
      </c>
      <c r="AP281" s="247" t="str">
        <f t="shared" si="177"/>
        <v/>
      </c>
      <c r="AQ281" s="42">
        <f t="shared" si="186"/>
        <v>1</v>
      </c>
      <c r="AR281" s="42">
        <f t="shared" si="187"/>
        <v>1</v>
      </c>
      <c r="AS281" s="42">
        <f t="shared" si="188"/>
        <v>1</v>
      </c>
      <c r="AT281" s="42">
        <f t="shared" si="189"/>
        <v>1</v>
      </c>
      <c r="AU281" s="247" t="str">
        <f t="shared" si="178"/>
        <v/>
      </c>
      <c r="AV281" s="247" t="str">
        <f t="shared" si="179"/>
        <v/>
      </c>
    </row>
    <row r="282" spans="1:48" ht="24" x14ac:dyDescent="0.2">
      <c r="A282" s="1397" t="s">
        <v>7543</v>
      </c>
      <c r="B282" s="429" t="s">
        <v>2461</v>
      </c>
      <c r="C282" s="430" t="s">
        <v>1872</v>
      </c>
      <c r="D282" s="1349" t="s">
        <v>4811</v>
      </c>
      <c r="E282" s="1350" t="s">
        <v>1874</v>
      </c>
      <c r="F282" s="1350" t="s">
        <v>4498</v>
      </c>
      <c r="G282" s="1351" t="s">
        <v>6071</v>
      </c>
      <c r="H282" s="1342" t="s">
        <v>1329</v>
      </c>
      <c r="I282" s="432" t="s">
        <v>1305</v>
      </c>
      <c r="J282" s="431"/>
      <c r="K282" s="431"/>
      <c r="L282" s="431"/>
      <c r="M282" s="433" t="s">
        <v>2796</v>
      </c>
      <c r="N282" s="434" t="s">
        <v>4816</v>
      </c>
      <c r="O282" s="1743" t="str">
        <f t="shared" si="190"/>
        <v>Divulgation d'informations, par vol de media support de fichiers  de données applicatives, lors du stockage externalisé, par un membre  du personnel autorisé</v>
      </c>
      <c r="P282" s="435">
        <v>1</v>
      </c>
      <c r="Q282" s="1595" t="s">
        <v>1299</v>
      </c>
      <c r="R282" s="1595" t="s">
        <v>4811</v>
      </c>
      <c r="S282" s="1595" t="str">
        <f>Classif!E4</f>
        <v/>
      </c>
      <c r="T282" s="1595">
        <f t="shared" si="182"/>
        <v>2</v>
      </c>
      <c r="U282" s="1744" t="str">
        <f t="shared" si="183"/>
        <v/>
      </c>
      <c r="V282" s="1745">
        <f>S08C04</f>
        <v>1</v>
      </c>
      <c r="W282" s="1745">
        <f>S09C02</f>
        <v>1</v>
      </c>
      <c r="X282" s="1745">
        <v>1</v>
      </c>
      <c r="Y282" s="1745">
        <v>1</v>
      </c>
      <c r="Z282" s="1746">
        <v>0</v>
      </c>
      <c r="AA282" s="1747"/>
      <c r="AB282" s="1748"/>
      <c r="AC282" s="1748"/>
      <c r="AD282" s="1595" t="str">
        <f t="shared" si="180"/>
        <v/>
      </c>
      <c r="AE282" s="1595">
        <f t="shared" si="184"/>
        <v>2</v>
      </c>
      <c r="AF282" s="1595" t="str">
        <f t="shared" si="185"/>
        <v/>
      </c>
      <c r="AG282" s="1748"/>
      <c r="AH282" s="1749" t="str">
        <f t="shared" si="181"/>
        <v/>
      </c>
      <c r="AI282" s="1620" t="s">
        <v>2057</v>
      </c>
      <c r="AJ282" s="1616" t="s">
        <v>2553</v>
      </c>
      <c r="AK282" s="1618"/>
      <c r="AL282" s="1619"/>
      <c r="AM282" s="247" t="str">
        <f t="shared" si="174"/>
        <v/>
      </c>
      <c r="AN282" s="247" t="str">
        <f t="shared" si="175"/>
        <v/>
      </c>
      <c r="AO282" s="247" t="str">
        <f t="shared" si="176"/>
        <v/>
      </c>
      <c r="AP282" s="247" t="str">
        <f t="shared" si="177"/>
        <v/>
      </c>
      <c r="AQ282" s="42">
        <f t="shared" si="186"/>
        <v>1</v>
      </c>
      <c r="AR282" s="42">
        <f t="shared" si="187"/>
        <v>1</v>
      </c>
      <c r="AS282" s="42">
        <f t="shared" si="188"/>
        <v>1</v>
      </c>
      <c r="AT282" s="42">
        <f t="shared" si="189"/>
        <v>1</v>
      </c>
      <c r="AU282" s="247" t="str">
        <f t="shared" si="178"/>
        <v/>
      </c>
      <c r="AV282" s="247" t="str">
        <f t="shared" si="179"/>
        <v/>
      </c>
    </row>
    <row r="283" spans="1:48" ht="24" x14ac:dyDescent="0.2">
      <c r="A283" s="1397" t="s">
        <v>7544</v>
      </c>
      <c r="B283" s="429" t="s">
        <v>2461</v>
      </c>
      <c r="C283" s="430" t="s">
        <v>1872</v>
      </c>
      <c r="D283" s="1349" t="s">
        <v>4811</v>
      </c>
      <c r="E283" s="1350" t="s">
        <v>1874</v>
      </c>
      <c r="F283" s="1350" t="s">
        <v>4498</v>
      </c>
      <c r="G283" s="1351" t="s">
        <v>6071</v>
      </c>
      <c r="H283" s="1342" t="s">
        <v>1329</v>
      </c>
      <c r="I283" s="432" t="s">
        <v>1305</v>
      </c>
      <c r="J283" s="431"/>
      <c r="K283" s="431"/>
      <c r="L283" s="431"/>
      <c r="M283" s="433" t="s">
        <v>1880</v>
      </c>
      <c r="N283" s="434" t="s">
        <v>3518</v>
      </c>
      <c r="O283" s="1743" t="str">
        <f t="shared" si="190"/>
        <v>Divulgation d'informations, par vol de media support de fichiers  de données applicatives, en exploitation, par un membre du personnel non autorisé</v>
      </c>
      <c r="P283" s="435">
        <v>1</v>
      </c>
      <c r="Q283" s="1595" t="s">
        <v>1299</v>
      </c>
      <c r="R283" s="1595" t="s">
        <v>4811</v>
      </c>
      <c r="S283" s="1595" t="str">
        <f>Classif!E4</f>
        <v/>
      </c>
      <c r="T283" s="1595">
        <f t="shared" si="182"/>
        <v>2</v>
      </c>
      <c r="U283" s="1744" t="str">
        <f t="shared" si="183"/>
        <v/>
      </c>
      <c r="V283" s="1745">
        <f>S03B06</f>
        <v>1</v>
      </c>
      <c r="W283" s="1745">
        <f>MAX(MIN(S03B03,S03B04),S09C02)</f>
        <v>1</v>
      </c>
      <c r="X283" s="1745">
        <v>1</v>
      </c>
      <c r="Y283" s="1745">
        <v>1</v>
      </c>
      <c r="Z283" s="1746">
        <v>0</v>
      </c>
      <c r="AA283" s="1747"/>
      <c r="AB283" s="1748"/>
      <c r="AC283" s="1748"/>
      <c r="AD283" s="1595" t="str">
        <f t="shared" si="180"/>
        <v/>
      </c>
      <c r="AE283" s="1595">
        <f t="shared" si="184"/>
        <v>2</v>
      </c>
      <c r="AF283" s="1595" t="str">
        <f t="shared" si="185"/>
        <v/>
      </c>
      <c r="AG283" s="1748"/>
      <c r="AH283" s="1749" t="str">
        <f t="shared" si="181"/>
        <v/>
      </c>
      <c r="AI283" s="1620" t="s">
        <v>1665</v>
      </c>
      <c r="AJ283" s="1621" t="s">
        <v>5457</v>
      </c>
      <c r="AK283" s="1618"/>
      <c r="AL283" s="1619"/>
      <c r="AM283" s="247" t="str">
        <f t="shared" si="174"/>
        <v/>
      </c>
      <c r="AN283" s="247" t="str">
        <f t="shared" si="175"/>
        <v/>
      </c>
      <c r="AO283" s="247" t="str">
        <f t="shared" si="176"/>
        <v/>
      </c>
      <c r="AP283" s="247" t="str">
        <f t="shared" si="177"/>
        <v/>
      </c>
      <c r="AQ283" s="42">
        <f t="shared" si="186"/>
        <v>1</v>
      </c>
      <c r="AR283" s="42">
        <f t="shared" si="187"/>
        <v>1</v>
      </c>
      <c r="AS283" s="42">
        <f t="shared" si="188"/>
        <v>1</v>
      </c>
      <c r="AT283" s="42">
        <f t="shared" si="189"/>
        <v>1</v>
      </c>
      <c r="AU283" s="247" t="str">
        <f t="shared" si="178"/>
        <v/>
      </c>
      <c r="AV283" s="247" t="str">
        <f t="shared" si="179"/>
        <v/>
      </c>
    </row>
    <row r="284" spans="1:48" ht="36" x14ac:dyDescent="0.2">
      <c r="A284" s="1397" t="s">
        <v>7545</v>
      </c>
      <c r="B284" s="429" t="s">
        <v>2461</v>
      </c>
      <c r="C284" s="430" t="s">
        <v>1872</v>
      </c>
      <c r="D284" s="1349" t="s">
        <v>4811</v>
      </c>
      <c r="E284" s="1350" t="s">
        <v>1874</v>
      </c>
      <c r="F284" s="1350" t="s">
        <v>4498</v>
      </c>
      <c r="G284" s="1351" t="s">
        <v>6071</v>
      </c>
      <c r="H284" s="1342" t="s">
        <v>1329</v>
      </c>
      <c r="I284" s="432" t="s">
        <v>1305</v>
      </c>
      <c r="J284" s="431"/>
      <c r="K284" s="431"/>
      <c r="L284" s="431"/>
      <c r="M284" s="433" t="s">
        <v>6757</v>
      </c>
      <c r="N284" s="434" t="s">
        <v>3518</v>
      </c>
      <c r="O284" s="1743" t="str">
        <f t="shared" si="190"/>
        <v>Divulgation d'informations, par vol de media support de fichiers  de données applicatives, pendant le transport entre sites, par un membre du personnel non autorisé</v>
      </c>
      <c r="P284" s="435">
        <v>1</v>
      </c>
      <c r="Q284" s="1595" t="s">
        <v>1299</v>
      </c>
      <c r="R284" s="1595" t="s">
        <v>4811</v>
      </c>
      <c r="S284" s="1595" t="str">
        <f>Classif!E4</f>
        <v/>
      </c>
      <c r="T284" s="1595">
        <f t="shared" si="182"/>
        <v>2</v>
      </c>
      <c r="U284" s="1744" t="str">
        <f t="shared" si="183"/>
        <v/>
      </c>
      <c r="V284" s="1745">
        <v>1</v>
      </c>
      <c r="W284" s="1745">
        <f>MAX(S08C07,S09C02)</f>
        <v>1</v>
      </c>
      <c r="X284" s="1745">
        <v>1</v>
      </c>
      <c r="Y284" s="1745">
        <v>1</v>
      </c>
      <c r="Z284" s="1746">
        <v>0</v>
      </c>
      <c r="AA284" s="1747"/>
      <c r="AB284" s="1748"/>
      <c r="AC284" s="1748"/>
      <c r="AD284" s="1595" t="str">
        <f t="shared" si="180"/>
        <v/>
      </c>
      <c r="AE284" s="1595">
        <f t="shared" si="184"/>
        <v>2</v>
      </c>
      <c r="AF284" s="1595" t="str">
        <f t="shared" si="185"/>
        <v/>
      </c>
      <c r="AG284" s="1748"/>
      <c r="AH284" s="1749" t="str">
        <f t="shared" si="181"/>
        <v/>
      </c>
      <c r="AI284" s="1615"/>
      <c r="AJ284" s="1616" t="s">
        <v>3353</v>
      </c>
      <c r="AK284" s="1618"/>
      <c r="AL284" s="1619"/>
      <c r="AM284" s="247" t="str">
        <f t="shared" si="174"/>
        <v/>
      </c>
      <c r="AN284" s="247" t="str">
        <f t="shared" si="175"/>
        <v/>
      </c>
      <c r="AO284" s="247" t="str">
        <f t="shared" si="176"/>
        <v/>
      </c>
      <c r="AP284" s="247" t="str">
        <f t="shared" si="177"/>
        <v/>
      </c>
      <c r="AQ284" s="42">
        <f t="shared" si="186"/>
        <v>1</v>
      </c>
      <c r="AR284" s="42">
        <f t="shared" si="187"/>
        <v>1</v>
      </c>
      <c r="AS284" s="42">
        <f t="shared" si="188"/>
        <v>1</v>
      </c>
      <c r="AT284" s="42">
        <f t="shared" si="189"/>
        <v>1</v>
      </c>
      <c r="AU284" s="247" t="str">
        <f t="shared" si="178"/>
        <v/>
      </c>
      <c r="AV284" s="247" t="str">
        <f t="shared" si="179"/>
        <v/>
      </c>
    </row>
    <row r="285" spans="1:48" ht="24" x14ac:dyDescent="0.2">
      <c r="A285" s="1397" t="s">
        <v>7546</v>
      </c>
      <c r="B285" s="429" t="s">
        <v>2461</v>
      </c>
      <c r="C285" s="430" t="s">
        <v>1872</v>
      </c>
      <c r="D285" s="1349" t="s">
        <v>4811</v>
      </c>
      <c r="E285" s="1350" t="s">
        <v>1874</v>
      </c>
      <c r="F285" s="1350" t="s">
        <v>4498</v>
      </c>
      <c r="G285" s="1351" t="s">
        <v>6071</v>
      </c>
      <c r="H285" s="1342" t="s">
        <v>1329</v>
      </c>
      <c r="I285" s="432" t="s">
        <v>1305</v>
      </c>
      <c r="J285" s="431"/>
      <c r="K285" s="431"/>
      <c r="L285" s="431"/>
      <c r="M285" s="433" t="s">
        <v>2795</v>
      </c>
      <c r="N285" s="434" t="s">
        <v>3518</v>
      </c>
      <c r="O285" s="1743" t="str">
        <f t="shared" si="190"/>
        <v>Divulgation d'informations, par vol de media support de fichiers  de données applicatives, lors du stockage sur site, par un membre du personnel non autorisé</v>
      </c>
      <c r="P285" s="435">
        <v>1</v>
      </c>
      <c r="Q285" s="1595" t="s">
        <v>1299</v>
      </c>
      <c r="R285" s="1595" t="s">
        <v>4811</v>
      </c>
      <c r="S285" s="1595" t="str">
        <f>Classif!E4</f>
        <v/>
      </c>
      <c r="T285" s="1595">
        <f t="shared" si="182"/>
        <v>2</v>
      </c>
      <c r="U285" s="1744" t="str">
        <f t="shared" si="183"/>
        <v/>
      </c>
      <c r="V285" s="1745">
        <f>S08C03</f>
        <v>1</v>
      </c>
      <c r="W285" s="1745">
        <f>MAX(S08C03,S09C02)</f>
        <v>1</v>
      </c>
      <c r="X285" s="1745">
        <v>1</v>
      </c>
      <c r="Y285" s="1745">
        <v>1</v>
      </c>
      <c r="Z285" s="1746">
        <v>0</v>
      </c>
      <c r="AA285" s="1747"/>
      <c r="AB285" s="1748"/>
      <c r="AC285" s="1748"/>
      <c r="AD285" s="1595" t="str">
        <f t="shared" si="180"/>
        <v/>
      </c>
      <c r="AE285" s="1595">
        <f t="shared" si="184"/>
        <v>2</v>
      </c>
      <c r="AF285" s="1595" t="str">
        <f t="shared" si="185"/>
        <v/>
      </c>
      <c r="AG285" s="1748"/>
      <c r="AH285" s="1749" t="str">
        <f t="shared" si="181"/>
        <v/>
      </c>
      <c r="AI285" s="1620" t="s">
        <v>63</v>
      </c>
      <c r="AJ285" s="1616" t="s">
        <v>5455</v>
      </c>
      <c r="AK285" s="1618"/>
      <c r="AL285" s="1619"/>
      <c r="AM285" s="247" t="str">
        <f t="shared" si="174"/>
        <v/>
      </c>
      <c r="AN285" s="247" t="str">
        <f t="shared" si="175"/>
        <v/>
      </c>
      <c r="AO285" s="247" t="str">
        <f t="shared" si="176"/>
        <v/>
      </c>
      <c r="AP285" s="247" t="str">
        <f t="shared" si="177"/>
        <v/>
      </c>
      <c r="AQ285" s="42">
        <f t="shared" si="186"/>
        <v>1</v>
      </c>
      <c r="AR285" s="42">
        <f t="shared" si="187"/>
        <v>1</v>
      </c>
      <c r="AS285" s="42">
        <f t="shared" si="188"/>
        <v>1</v>
      </c>
      <c r="AT285" s="42">
        <f t="shared" si="189"/>
        <v>1</v>
      </c>
      <c r="AU285" s="247" t="str">
        <f t="shared" si="178"/>
        <v/>
      </c>
      <c r="AV285" s="247" t="str">
        <f t="shared" si="179"/>
        <v/>
      </c>
    </row>
    <row r="286" spans="1:48" ht="36" x14ac:dyDescent="0.2">
      <c r="A286" s="1397" t="s">
        <v>7547</v>
      </c>
      <c r="B286" s="429" t="s">
        <v>2461</v>
      </c>
      <c r="C286" s="430" t="s">
        <v>1872</v>
      </c>
      <c r="D286" s="1349" t="s">
        <v>4811</v>
      </c>
      <c r="E286" s="1350" t="s">
        <v>1874</v>
      </c>
      <c r="F286" s="1350" t="s">
        <v>4498</v>
      </c>
      <c r="G286" s="1351" t="s">
        <v>6071</v>
      </c>
      <c r="H286" s="1342" t="s">
        <v>1329</v>
      </c>
      <c r="I286" s="432" t="s">
        <v>1305</v>
      </c>
      <c r="J286" s="431"/>
      <c r="K286" s="431"/>
      <c r="L286" s="431"/>
      <c r="M286" s="433" t="s">
        <v>2796</v>
      </c>
      <c r="N286" s="434" t="s">
        <v>3518</v>
      </c>
      <c r="O286" s="1743" t="str">
        <f t="shared" si="190"/>
        <v>Divulgation d'informations, par vol de media support de fichiers  de données applicatives, lors du stockage externalisé, par un membre du personnel non autorisé</v>
      </c>
      <c r="P286" s="435">
        <v>1</v>
      </c>
      <c r="Q286" s="1595" t="s">
        <v>1299</v>
      </c>
      <c r="R286" s="1595" t="s">
        <v>4811</v>
      </c>
      <c r="S286" s="1595" t="str">
        <f>Classif!E4</f>
        <v/>
      </c>
      <c r="T286" s="1595">
        <f t="shared" si="182"/>
        <v>2</v>
      </c>
      <c r="U286" s="1744" t="str">
        <f t="shared" si="183"/>
        <v/>
      </c>
      <c r="V286" s="1745">
        <f>S08C04</f>
        <v>1</v>
      </c>
      <c r="W286" s="1745">
        <f>MAX(S08C04,S09C02)</f>
        <v>1</v>
      </c>
      <c r="X286" s="1745">
        <v>1</v>
      </c>
      <c r="Y286" s="1745">
        <v>1</v>
      </c>
      <c r="Z286" s="1746">
        <v>0</v>
      </c>
      <c r="AA286" s="1747"/>
      <c r="AB286" s="1748"/>
      <c r="AC286" s="1748"/>
      <c r="AD286" s="1595" t="str">
        <f t="shared" si="180"/>
        <v/>
      </c>
      <c r="AE286" s="1595">
        <f t="shared" si="184"/>
        <v>2</v>
      </c>
      <c r="AF286" s="1595" t="str">
        <f t="shared" si="185"/>
        <v/>
      </c>
      <c r="AG286" s="1748"/>
      <c r="AH286" s="1749" t="str">
        <f t="shared" si="181"/>
        <v/>
      </c>
      <c r="AI286" s="1620" t="s">
        <v>2057</v>
      </c>
      <c r="AJ286" s="1616" t="s">
        <v>5456</v>
      </c>
      <c r="AK286" s="1618"/>
      <c r="AL286" s="1619"/>
      <c r="AM286" s="247" t="str">
        <f t="shared" si="174"/>
        <v/>
      </c>
      <c r="AN286" s="247" t="str">
        <f t="shared" si="175"/>
        <v/>
      </c>
      <c r="AO286" s="247" t="str">
        <f t="shared" si="176"/>
        <v/>
      </c>
      <c r="AP286" s="247" t="str">
        <f t="shared" si="177"/>
        <v/>
      </c>
      <c r="AQ286" s="42">
        <f t="shared" si="186"/>
        <v>1</v>
      </c>
      <c r="AR286" s="42">
        <f t="shared" si="187"/>
        <v>1</v>
      </c>
      <c r="AS286" s="42">
        <f t="shared" si="188"/>
        <v>1</v>
      </c>
      <c r="AT286" s="42">
        <f t="shared" si="189"/>
        <v>1</v>
      </c>
      <c r="AU286" s="247" t="str">
        <f t="shared" si="178"/>
        <v/>
      </c>
      <c r="AV286" s="247" t="str">
        <f t="shared" si="179"/>
        <v/>
      </c>
    </row>
    <row r="287" spans="1:48" ht="15" x14ac:dyDescent="0.2">
      <c r="A287" s="418" t="s">
        <v>3963</v>
      </c>
      <c r="B287" s="419"/>
      <c r="C287" s="420" t="s">
        <v>3602</v>
      </c>
      <c r="D287" s="425"/>
      <c r="E287" s="1348"/>
      <c r="F287" s="1348"/>
      <c r="G287" s="1352"/>
      <c r="H287" s="1295"/>
      <c r="I287" s="420"/>
      <c r="J287" s="441"/>
      <c r="K287" s="441"/>
      <c r="L287" s="441"/>
      <c r="M287" s="442"/>
      <c r="N287" s="422"/>
      <c r="O287" s="1752"/>
      <c r="P287" s="1608"/>
      <c r="Q287" s="1596"/>
      <c r="R287" s="1596"/>
      <c r="S287" s="1597"/>
      <c r="T287" s="1595"/>
      <c r="U287" s="1744"/>
      <c r="V287" s="1598"/>
      <c r="W287" s="1598"/>
      <c r="X287" s="1598"/>
      <c r="Y287" s="1598"/>
      <c r="Z287" s="1599"/>
      <c r="AA287" s="443"/>
      <c r="AB287" s="444"/>
      <c r="AC287" s="444"/>
      <c r="AD287" s="1595"/>
      <c r="AE287" s="1597"/>
      <c r="AF287" s="1595"/>
      <c r="AG287" s="1748"/>
      <c r="AH287" s="1749"/>
      <c r="AI287" s="1627"/>
      <c r="AJ287" s="1628"/>
      <c r="AK287" s="1628"/>
      <c r="AL287" s="1629"/>
      <c r="AM287" s="247" t="str">
        <f t="shared" si="174"/>
        <v/>
      </c>
      <c r="AN287" s="247" t="str">
        <f t="shared" si="175"/>
        <v/>
      </c>
      <c r="AO287" s="247" t="str">
        <f t="shared" si="176"/>
        <v/>
      </c>
      <c r="AP287" s="247" t="str">
        <f t="shared" si="177"/>
        <v/>
      </c>
      <c r="AU287" s="247" t="str">
        <f t="shared" si="178"/>
        <v/>
      </c>
      <c r="AV287" s="247" t="str">
        <f t="shared" si="179"/>
        <v/>
      </c>
    </row>
    <row r="288" spans="1:48" ht="24" x14ac:dyDescent="0.2">
      <c r="A288" s="450" t="s">
        <v>613</v>
      </c>
      <c r="B288" s="429" t="s">
        <v>3691</v>
      </c>
      <c r="C288" s="430" t="s">
        <v>3519</v>
      </c>
      <c r="D288" s="1349" t="s">
        <v>4811</v>
      </c>
      <c r="E288" s="1350" t="s">
        <v>2778</v>
      </c>
      <c r="F288" s="1350" t="s">
        <v>2794</v>
      </c>
      <c r="G288" s="1351" t="s">
        <v>5554</v>
      </c>
      <c r="H288" s="1342" t="s">
        <v>1327</v>
      </c>
      <c r="I288" s="432" t="s">
        <v>1545</v>
      </c>
      <c r="J288" s="431"/>
      <c r="K288" s="431"/>
      <c r="L288" s="431"/>
      <c r="M288" s="433" t="s">
        <v>1880</v>
      </c>
      <c r="N288" s="434" t="s">
        <v>6403</v>
      </c>
      <c r="O288" s="1743" t="str">
        <f>VLOOKUP(B288,code_famille_scénario,2)&amp;VLOOKUP(C288,code_actif,2)&amp;" due "&amp;VLOOKUP(I288,code_event,2)&amp;", "&amp;VLOOKUP(M288,code_process,2)</f>
        <v>Divulgation, par erreur, de fichiers  bureautiques partagés due à une erreur de procédure, en exploitation</v>
      </c>
      <c r="P288" s="435">
        <v>1</v>
      </c>
      <c r="Q288" s="1595" t="s">
        <v>6403</v>
      </c>
      <c r="R288" s="1595" t="s">
        <v>4811</v>
      </c>
      <c r="S288" s="1595" t="str">
        <f>Classif!E5</f>
        <v/>
      </c>
      <c r="T288" s="1595">
        <f t="shared" ref="T288:T305" si="191">VLOOKUP(H288&amp;"."&amp;I288,Tab_event,4)</f>
        <v>3</v>
      </c>
      <c r="U288" s="1744" t="str">
        <f t="shared" ref="U288:U305" si="192">IF(AND(NOT(S288=""),NOT(T288="")),INDEX(base_g,5-S288,T288),"")</f>
        <v/>
      </c>
      <c r="V288" s="1745">
        <v>1</v>
      </c>
      <c r="W288" s="1745">
        <f>S11C01</f>
        <v>1</v>
      </c>
      <c r="X288" s="1745">
        <v>1</v>
      </c>
      <c r="Y288" s="1745">
        <v>1</v>
      </c>
      <c r="Z288" s="1746">
        <v>0</v>
      </c>
      <c r="AA288" s="1747"/>
      <c r="AB288" s="1748"/>
      <c r="AC288" s="1748"/>
      <c r="AD288" s="1595" t="str">
        <f t="shared" si="180"/>
        <v/>
      </c>
      <c r="AE288" s="1595">
        <f t="shared" ref="AE288:AE305" si="193">IF(OR(Q288="",T288=""),"",IF(Q288="A",INDEX(base_p,4,W288+7*(T288-1)),IF(Q288="E",INDEX(base_p,15,W288+7*(T288-1)),INDEX(base_p,27-V288,W288+7*(T288-1)))))</f>
        <v>3</v>
      </c>
      <c r="AF288" s="1595" t="str">
        <f t="shared" ref="AF288:AF305" si="194">IF(AT288=1,IF(IndG=1,U288,IF(AND(OR(NOT(AD288=""),NOT(AB288="")),OR(NOT(AE288=""),NOT(AC288="")),AT288=1),INDEX(base_g,5-IF(AB288="",AD288,AB288),IF(AC288="",AE288,AC288)),"")),0)</f>
        <v/>
      </c>
      <c r="AG288" s="1748"/>
      <c r="AH288" s="1749" t="str">
        <f t="shared" si="181"/>
        <v/>
      </c>
      <c r="AI288" s="1615"/>
      <c r="AJ288" s="1616" t="s">
        <v>12</v>
      </c>
      <c r="AK288" s="1618"/>
      <c r="AL288" s="1619"/>
      <c r="AM288" s="247" t="str">
        <f t="shared" si="174"/>
        <v/>
      </c>
      <c r="AN288" s="247" t="str">
        <f t="shared" si="175"/>
        <v/>
      </c>
      <c r="AO288" s="247" t="str">
        <f t="shared" si="176"/>
        <v/>
      </c>
      <c r="AP288" s="247" t="str">
        <f t="shared" si="177"/>
        <v/>
      </c>
      <c r="AQ288" s="42">
        <f t="shared" ref="AQ288:AQ305" si="195">VLOOKUP(LEFT(C288,3),Tab_classif_data,6)</f>
        <v>1</v>
      </c>
      <c r="AR288" s="42">
        <f t="shared" ref="AR288:AR305" si="196">VLOOKUP(G288,select_vul_data,2)</f>
        <v>1</v>
      </c>
      <c r="AS288" s="42">
        <f t="shared" ref="AS288:AS305" si="197">VLOOKUP(H288&amp;"."&amp;I288,select_men,5)</f>
        <v>1</v>
      </c>
      <c r="AT288" s="42">
        <f t="shared" ref="AT288:AT305" si="198">P288*AQ288*AR288*AS288</f>
        <v>1</v>
      </c>
      <c r="AU288" s="247" t="str">
        <f t="shared" si="178"/>
        <v/>
      </c>
      <c r="AV288" s="247" t="str">
        <f t="shared" si="179"/>
        <v/>
      </c>
    </row>
    <row r="289" spans="1:48" ht="24" x14ac:dyDescent="0.2">
      <c r="A289" s="450" t="s">
        <v>614</v>
      </c>
      <c r="B289" s="429" t="s">
        <v>3691</v>
      </c>
      <c r="C289" s="430" t="s">
        <v>3519</v>
      </c>
      <c r="D289" s="1349" t="s">
        <v>4811</v>
      </c>
      <c r="E289" s="1350" t="s">
        <v>2778</v>
      </c>
      <c r="F289" s="1350" t="s">
        <v>2794</v>
      </c>
      <c r="G289" s="1351" t="s">
        <v>5554</v>
      </c>
      <c r="H289" s="1342" t="s">
        <v>1327</v>
      </c>
      <c r="I289" s="432" t="s">
        <v>1545</v>
      </c>
      <c r="J289" s="431"/>
      <c r="K289" s="431"/>
      <c r="L289" s="431"/>
      <c r="M289" s="433" t="s">
        <v>6513</v>
      </c>
      <c r="N289" s="434" t="s">
        <v>6403</v>
      </c>
      <c r="O289" s="1743" t="str">
        <f>VLOOKUP(B289,code_famille_scénario,2)&amp;VLOOKUP(C289,code_actif,2)&amp;" due "&amp;VLOOKUP(I289,code_event,2)&amp;", "&amp;VLOOKUP(M289,code_process,2)</f>
        <v>Divulgation, par erreur, de fichiers  bureautiques partagés due à une erreur de procédure, lors d'une opération de maintenance matérielle</v>
      </c>
      <c r="P289" s="435">
        <v>1</v>
      </c>
      <c r="Q289" s="1595" t="s">
        <v>6403</v>
      </c>
      <c r="R289" s="1595" t="s">
        <v>4811</v>
      </c>
      <c r="S289" s="1595" t="str">
        <f>Classif!E5</f>
        <v/>
      </c>
      <c r="T289" s="1595">
        <f t="shared" si="191"/>
        <v>3</v>
      </c>
      <c r="U289" s="1744" t="str">
        <f t="shared" si="192"/>
        <v/>
      </c>
      <c r="V289" s="1745">
        <v>1</v>
      </c>
      <c r="W289" s="1745">
        <f>MAX(S11C01,S11C03)</f>
        <v>1</v>
      </c>
      <c r="X289" s="1745">
        <v>1</v>
      </c>
      <c r="Y289" s="1745">
        <v>1</v>
      </c>
      <c r="Z289" s="1746">
        <v>0</v>
      </c>
      <c r="AA289" s="1747"/>
      <c r="AB289" s="1748"/>
      <c r="AC289" s="1748"/>
      <c r="AD289" s="1595" t="str">
        <f t="shared" si="180"/>
        <v/>
      </c>
      <c r="AE289" s="1595">
        <f t="shared" si="193"/>
        <v>3</v>
      </c>
      <c r="AF289" s="1595" t="str">
        <f t="shared" si="194"/>
        <v/>
      </c>
      <c r="AG289" s="1748"/>
      <c r="AH289" s="1749" t="str">
        <f t="shared" si="181"/>
        <v/>
      </c>
      <c r="AI289" s="1615"/>
      <c r="AJ289" s="1616" t="s">
        <v>3274</v>
      </c>
      <c r="AK289" s="1618"/>
      <c r="AL289" s="1619"/>
      <c r="AM289" s="247" t="str">
        <f t="shared" si="174"/>
        <v/>
      </c>
      <c r="AN289" s="247" t="str">
        <f t="shared" si="175"/>
        <v/>
      </c>
      <c r="AO289" s="247" t="str">
        <f t="shared" si="176"/>
        <v/>
      </c>
      <c r="AP289" s="247" t="str">
        <f t="shared" si="177"/>
        <v/>
      </c>
      <c r="AQ289" s="42">
        <f t="shared" si="195"/>
        <v>1</v>
      </c>
      <c r="AR289" s="42">
        <f t="shared" si="196"/>
        <v>1</v>
      </c>
      <c r="AS289" s="42">
        <f t="shared" si="197"/>
        <v>1</v>
      </c>
      <c r="AT289" s="42">
        <f t="shared" si="198"/>
        <v>1</v>
      </c>
      <c r="AU289" s="247" t="str">
        <f t="shared" si="178"/>
        <v/>
      </c>
      <c r="AV289" s="247" t="str">
        <f t="shared" si="179"/>
        <v/>
      </c>
    </row>
    <row r="290" spans="1:48" ht="24" x14ac:dyDescent="0.2">
      <c r="A290" s="450" t="s">
        <v>615</v>
      </c>
      <c r="B290" s="429" t="s">
        <v>3696</v>
      </c>
      <c r="C290" s="430" t="s">
        <v>3519</v>
      </c>
      <c r="D290" s="1349" t="s">
        <v>4811</v>
      </c>
      <c r="E290" s="1350" t="s">
        <v>7449</v>
      </c>
      <c r="F290" s="1350" t="s">
        <v>2794</v>
      </c>
      <c r="G290" s="1351" t="s">
        <v>5554</v>
      </c>
      <c r="H290" s="1342" t="s">
        <v>1328</v>
      </c>
      <c r="I290" s="432" t="s">
        <v>1305</v>
      </c>
      <c r="J290" s="431"/>
      <c r="K290" s="431"/>
      <c r="L290" s="431" t="s">
        <v>6541</v>
      </c>
      <c r="M290" s="433" t="s">
        <v>5066</v>
      </c>
      <c r="N290" s="434" t="s">
        <v>1301</v>
      </c>
      <c r="O290" s="1743" t="str">
        <f>VLOOKUP(B290,code_famille_scénario,2)&amp;VLOOKUP(C290,code_actif,2)&amp;" "&amp;VLOOKUP(M290,code_process,2)&amp;", par "&amp;VLOOKUP(N290,code_acteur,2)&amp;", "&amp;VLOOKUP(L290,code_acces,2)</f>
        <v>Détournement de fichiers  bureautiques partagés lors de traitements utilisateurs, par un utilisateur autorisé légitime, se connectant depuis le réseau interne</v>
      </c>
      <c r="P290" s="435">
        <v>1</v>
      </c>
      <c r="Q290" s="1595" t="s">
        <v>1299</v>
      </c>
      <c r="R290" s="1595" t="s">
        <v>4811</v>
      </c>
      <c r="S290" s="1595" t="str">
        <f>Classif!E5</f>
        <v/>
      </c>
      <c r="T290" s="1595">
        <f t="shared" si="191"/>
        <v>3</v>
      </c>
      <c r="U290" s="1744" t="str">
        <f t="shared" si="192"/>
        <v/>
      </c>
      <c r="V290" s="1745">
        <v>1</v>
      </c>
      <c r="W290" s="1745">
        <v>1</v>
      </c>
      <c r="X290" s="1745">
        <v>1</v>
      </c>
      <c r="Y290" s="1745">
        <v>1</v>
      </c>
      <c r="Z290" s="1746">
        <v>0</v>
      </c>
      <c r="AA290" s="1747"/>
      <c r="AB290" s="1748"/>
      <c r="AC290" s="1748"/>
      <c r="AD290" s="1595" t="str">
        <f t="shared" si="180"/>
        <v/>
      </c>
      <c r="AE290" s="1595">
        <f t="shared" si="193"/>
        <v>3</v>
      </c>
      <c r="AF290" s="1595" t="str">
        <f t="shared" si="194"/>
        <v/>
      </c>
      <c r="AG290" s="1748"/>
      <c r="AH290" s="1749" t="str">
        <f t="shared" si="181"/>
        <v/>
      </c>
      <c r="AI290" s="1615"/>
      <c r="AJ290" s="1621"/>
      <c r="AK290" s="1618"/>
      <c r="AL290" s="1619"/>
      <c r="AM290" s="247" t="str">
        <f t="shared" si="174"/>
        <v/>
      </c>
      <c r="AN290" s="247" t="str">
        <f t="shared" si="175"/>
        <v/>
      </c>
      <c r="AO290" s="247" t="str">
        <f t="shared" si="176"/>
        <v/>
      </c>
      <c r="AP290" s="247" t="str">
        <f t="shared" si="177"/>
        <v/>
      </c>
      <c r="AQ290" s="42">
        <f t="shared" si="195"/>
        <v>1</v>
      </c>
      <c r="AR290" s="42">
        <f t="shared" si="196"/>
        <v>1</v>
      </c>
      <c r="AS290" s="42">
        <f t="shared" si="197"/>
        <v>1</v>
      </c>
      <c r="AT290" s="42">
        <f t="shared" si="198"/>
        <v>1</v>
      </c>
      <c r="AU290" s="247" t="str">
        <f t="shared" si="178"/>
        <v/>
      </c>
      <c r="AV290" s="247" t="str">
        <f t="shared" si="179"/>
        <v/>
      </c>
    </row>
    <row r="291" spans="1:48" ht="24" x14ac:dyDescent="0.2">
      <c r="A291" s="450" t="s">
        <v>616</v>
      </c>
      <c r="B291" s="429" t="s">
        <v>3696</v>
      </c>
      <c r="C291" s="430" t="s">
        <v>3519</v>
      </c>
      <c r="D291" s="1349" t="s">
        <v>4811</v>
      </c>
      <c r="E291" s="1350" t="s">
        <v>7449</v>
      </c>
      <c r="F291" s="1350" t="s">
        <v>2794</v>
      </c>
      <c r="G291" s="1351" t="s">
        <v>5554</v>
      </c>
      <c r="H291" s="1342" t="s">
        <v>1328</v>
      </c>
      <c r="I291" s="432" t="s">
        <v>1305</v>
      </c>
      <c r="J291" s="431"/>
      <c r="K291" s="431"/>
      <c r="L291" s="431" t="s">
        <v>6541</v>
      </c>
      <c r="M291" s="433" t="s">
        <v>5066</v>
      </c>
      <c r="N291" s="434" t="s">
        <v>1302</v>
      </c>
      <c r="O291" s="1743" t="str">
        <f>VLOOKUP(B291,code_famille_scénario,2)&amp;VLOOKUP(C291,code_actif,2)&amp;" "&amp;VLOOKUP(M291,code_process,2)&amp;", par "&amp;VLOOKUP(N291,code_acteur,2)&amp;", "&amp;VLOOKUP(L291,code_acces,2)</f>
        <v>Détournement de fichiers  bureautiques partagés lors de traitements utilisateurs, par un utilisateur autorisé illégitime, se connectant depuis le réseau interne</v>
      </c>
      <c r="P291" s="435">
        <v>1</v>
      </c>
      <c r="Q291" s="1595" t="s">
        <v>1299</v>
      </c>
      <c r="R291" s="1595" t="s">
        <v>4811</v>
      </c>
      <c r="S291" s="1595" t="str">
        <f>Classif!E5</f>
        <v/>
      </c>
      <c r="T291" s="1595">
        <f t="shared" si="191"/>
        <v>3</v>
      </c>
      <c r="U291" s="1744" t="str">
        <f t="shared" si="192"/>
        <v/>
      </c>
      <c r="V291" s="1745">
        <v>1</v>
      </c>
      <c r="W291" s="1745">
        <f>MIN(S07A01,S07A02)</f>
        <v>1</v>
      </c>
      <c r="X291" s="1745">
        <v>1</v>
      </c>
      <c r="Y291" s="1745">
        <v>1</v>
      </c>
      <c r="Z291" s="1746">
        <v>0</v>
      </c>
      <c r="AA291" s="1747"/>
      <c r="AB291" s="1748"/>
      <c r="AC291" s="1748"/>
      <c r="AD291" s="1595" t="str">
        <f t="shared" si="180"/>
        <v/>
      </c>
      <c r="AE291" s="1595">
        <f t="shared" si="193"/>
        <v>3</v>
      </c>
      <c r="AF291" s="1595" t="str">
        <f t="shared" si="194"/>
        <v/>
      </c>
      <c r="AG291" s="1748"/>
      <c r="AH291" s="1749" t="str">
        <f t="shared" si="181"/>
        <v/>
      </c>
      <c r="AI291" s="1615"/>
      <c r="AJ291" s="1616" t="s">
        <v>5454</v>
      </c>
      <c r="AK291" s="1618"/>
      <c r="AL291" s="1619"/>
      <c r="AM291" s="247" t="str">
        <f t="shared" si="174"/>
        <v/>
      </c>
      <c r="AN291" s="247" t="str">
        <f t="shared" si="175"/>
        <v/>
      </c>
      <c r="AO291" s="247" t="str">
        <f t="shared" si="176"/>
        <v/>
      </c>
      <c r="AP291" s="247" t="str">
        <f t="shared" si="177"/>
        <v/>
      </c>
      <c r="AQ291" s="42">
        <f t="shared" si="195"/>
        <v>1</v>
      </c>
      <c r="AR291" s="42">
        <f t="shared" si="196"/>
        <v>1</v>
      </c>
      <c r="AS291" s="42">
        <f t="shared" si="197"/>
        <v>1</v>
      </c>
      <c r="AT291" s="42">
        <f t="shared" si="198"/>
        <v>1</v>
      </c>
      <c r="AU291" s="247" t="str">
        <f t="shared" si="178"/>
        <v/>
      </c>
      <c r="AV291" s="247" t="str">
        <f t="shared" si="179"/>
        <v/>
      </c>
    </row>
    <row r="292" spans="1:48" ht="33.75" x14ac:dyDescent="0.2">
      <c r="A292" s="450" t="s">
        <v>617</v>
      </c>
      <c r="B292" s="429" t="s">
        <v>3696</v>
      </c>
      <c r="C292" s="430" t="s">
        <v>3519</v>
      </c>
      <c r="D292" s="1349" t="s">
        <v>4811</v>
      </c>
      <c r="E292" s="1350" t="s">
        <v>7449</v>
      </c>
      <c r="F292" s="1350" t="s">
        <v>2794</v>
      </c>
      <c r="G292" s="1351" t="s">
        <v>5554</v>
      </c>
      <c r="H292" s="1342" t="s">
        <v>1328</v>
      </c>
      <c r="I292" s="432" t="s">
        <v>1305</v>
      </c>
      <c r="J292" s="431"/>
      <c r="K292" s="431"/>
      <c r="L292" s="431" t="s">
        <v>6541</v>
      </c>
      <c r="M292" s="433" t="s">
        <v>5066</v>
      </c>
      <c r="N292" s="434" t="s">
        <v>1303</v>
      </c>
      <c r="O292" s="1743" t="str">
        <f>VLOOKUP(B292,code_famille_scénario,2)&amp;VLOOKUP(C292,code_actif,2)&amp;" "&amp;VLOOKUP(M292,code_process,2)&amp;", par "&amp;VLOOKUP(N292,code_acteur,2)&amp;", "&amp;VLOOKUP(L292,code_acces,2)</f>
        <v>Détournement de fichiers  bureautiques partagés lors de traitements utilisateurs, par un utilisateur non autorisé, se connectant depuis le réseau interne</v>
      </c>
      <c r="P292" s="435">
        <v>1</v>
      </c>
      <c r="Q292" s="1595" t="s">
        <v>1299</v>
      </c>
      <c r="R292" s="1595" t="s">
        <v>4811</v>
      </c>
      <c r="S292" s="1595" t="str">
        <f>Classif!E5</f>
        <v/>
      </c>
      <c r="T292" s="1595">
        <f t="shared" si="191"/>
        <v>3</v>
      </c>
      <c r="U292" s="1744" t="str">
        <f t="shared" si="192"/>
        <v/>
      </c>
      <c r="V292" s="1745">
        <v>1</v>
      </c>
      <c r="W292" s="1745">
        <f>MAX(MIN(S07A03,S07A04,S08C06,S08F02),S11C01)</f>
        <v>1</v>
      </c>
      <c r="X292" s="1745">
        <v>1</v>
      </c>
      <c r="Y292" s="1745">
        <v>1</v>
      </c>
      <c r="Z292" s="1746">
        <v>0</v>
      </c>
      <c r="AA292" s="1747"/>
      <c r="AB292" s="1748"/>
      <c r="AC292" s="1748"/>
      <c r="AD292" s="1595" t="str">
        <f t="shared" si="180"/>
        <v/>
      </c>
      <c r="AE292" s="1595">
        <f t="shared" si="193"/>
        <v>3</v>
      </c>
      <c r="AF292" s="1595" t="str">
        <f t="shared" si="194"/>
        <v/>
      </c>
      <c r="AG292" s="1748"/>
      <c r="AH292" s="1749" t="str">
        <f t="shared" si="181"/>
        <v/>
      </c>
      <c r="AI292" s="1615"/>
      <c r="AJ292" s="1616" t="s">
        <v>1981</v>
      </c>
      <c r="AK292" s="1618"/>
      <c r="AL292" s="1619"/>
      <c r="AM292" s="247" t="str">
        <f t="shared" si="174"/>
        <v/>
      </c>
      <c r="AN292" s="247" t="str">
        <f t="shared" si="175"/>
        <v/>
      </c>
      <c r="AO292" s="247" t="str">
        <f t="shared" si="176"/>
        <v/>
      </c>
      <c r="AP292" s="247" t="str">
        <f t="shared" si="177"/>
        <v/>
      </c>
      <c r="AQ292" s="42">
        <f t="shared" si="195"/>
        <v>1</v>
      </c>
      <c r="AR292" s="42">
        <f t="shared" si="196"/>
        <v>1</v>
      </c>
      <c r="AS292" s="42">
        <f t="shared" si="197"/>
        <v>1</v>
      </c>
      <c r="AT292" s="42">
        <f t="shared" si="198"/>
        <v>1</v>
      </c>
      <c r="AU292" s="247" t="str">
        <f t="shared" si="178"/>
        <v/>
      </c>
      <c r="AV292" s="247" t="str">
        <f t="shared" si="179"/>
        <v/>
      </c>
    </row>
    <row r="293" spans="1:48" ht="24" x14ac:dyDescent="0.2">
      <c r="A293" s="450" t="s">
        <v>618</v>
      </c>
      <c r="B293" s="429" t="s">
        <v>3696</v>
      </c>
      <c r="C293" s="430" t="s">
        <v>3519</v>
      </c>
      <c r="D293" s="1349" t="s">
        <v>4811</v>
      </c>
      <c r="E293" s="1350" t="s">
        <v>7449</v>
      </c>
      <c r="F293" s="1350" t="s">
        <v>2794</v>
      </c>
      <c r="G293" s="1351" t="s">
        <v>5554</v>
      </c>
      <c r="H293" s="1342" t="s">
        <v>1328</v>
      </c>
      <c r="I293" s="432" t="s">
        <v>1305</v>
      </c>
      <c r="J293" s="431"/>
      <c r="K293" s="431"/>
      <c r="L293" s="431"/>
      <c r="M293" s="433" t="s">
        <v>1880</v>
      </c>
      <c r="N293" s="434" t="s">
        <v>6403</v>
      </c>
      <c r="O293" s="1743" t="str">
        <f>VLOOKUP(B293,code_famille_scénario,2)&amp;VLOOKUP(C293,code_actif,2)&amp;" "&amp;VLOOKUP(M293,code_process,2)&amp;", par "&amp;VLOOKUP(N293,code_acteur,2)</f>
        <v>Détournement de fichiers  bureautiques partagés en exploitation, par un membre du personnel d'exploitation</v>
      </c>
      <c r="P293" s="435">
        <v>1</v>
      </c>
      <c r="Q293" s="1595" t="s">
        <v>1299</v>
      </c>
      <c r="R293" s="1595" t="s">
        <v>4811</v>
      </c>
      <c r="S293" s="1595" t="str">
        <f>Classif!E5</f>
        <v/>
      </c>
      <c r="T293" s="1595">
        <f t="shared" si="191"/>
        <v>3</v>
      </c>
      <c r="U293" s="1744" t="str">
        <f t="shared" si="192"/>
        <v/>
      </c>
      <c r="V293" s="1745">
        <v>1</v>
      </c>
      <c r="W293" s="1745">
        <f>S11C01</f>
        <v>1</v>
      </c>
      <c r="X293" s="1745">
        <v>1</v>
      </c>
      <c r="Y293" s="1745">
        <v>1</v>
      </c>
      <c r="Z293" s="1746">
        <v>0</v>
      </c>
      <c r="AA293" s="1747"/>
      <c r="AB293" s="1748"/>
      <c r="AC293" s="1748"/>
      <c r="AD293" s="1595" t="str">
        <f t="shared" si="180"/>
        <v/>
      </c>
      <c r="AE293" s="1595">
        <f t="shared" si="193"/>
        <v>3</v>
      </c>
      <c r="AF293" s="1595" t="str">
        <f t="shared" si="194"/>
        <v/>
      </c>
      <c r="AG293" s="1748"/>
      <c r="AH293" s="1749" t="str">
        <f t="shared" si="181"/>
        <v/>
      </c>
      <c r="AI293" s="1615"/>
      <c r="AJ293" s="1616" t="s">
        <v>12</v>
      </c>
      <c r="AK293" s="1618"/>
      <c r="AL293" s="1619"/>
      <c r="AM293" s="247" t="str">
        <f t="shared" si="174"/>
        <v/>
      </c>
      <c r="AN293" s="247" t="str">
        <f t="shared" si="175"/>
        <v/>
      </c>
      <c r="AO293" s="247" t="str">
        <f t="shared" si="176"/>
        <v/>
      </c>
      <c r="AP293" s="247" t="str">
        <f t="shared" si="177"/>
        <v/>
      </c>
      <c r="AQ293" s="42">
        <f t="shared" si="195"/>
        <v>1</v>
      </c>
      <c r="AR293" s="42">
        <f t="shared" si="196"/>
        <v>1</v>
      </c>
      <c r="AS293" s="42">
        <f t="shared" si="197"/>
        <v>1</v>
      </c>
      <c r="AT293" s="42">
        <f t="shared" si="198"/>
        <v>1</v>
      </c>
      <c r="AU293" s="247" t="str">
        <f t="shared" si="178"/>
        <v/>
      </c>
      <c r="AV293" s="247" t="str">
        <f t="shared" si="179"/>
        <v/>
      </c>
    </row>
    <row r="294" spans="1:48" ht="24" x14ac:dyDescent="0.2">
      <c r="A294" s="450" t="s">
        <v>619</v>
      </c>
      <c r="B294" s="429" t="s">
        <v>3696</v>
      </c>
      <c r="C294" s="430" t="s">
        <v>3519</v>
      </c>
      <c r="D294" s="1349" t="s">
        <v>4811</v>
      </c>
      <c r="E294" s="1350" t="s">
        <v>7449</v>
      </c>
      <c r="F294" s="1350" t="s">
        <v>2794</v>
      </c>
      <c r="G294" s="1351" t="s">
        <v>5554</v>
      </c>
      <c r="H294" s="1342" t="s">
        <v>1328</v>
      </c>
      <c r="I294" s="432" t="s">
        <v>1305</v>
      </c>
      <c r="J294" s="431"/>
      <c r="K294" s="431"/>
      <c r="L294" s="431"/>
      <c r="M294" s="433" t="s">
        <v>1542</v>
      </c>
      <c r="N294" s="434" t="s">
        <v>1299</v>
      </c>
      <c r="O294" s="1743" t="str">
        <f>VLOOKUP(B294,code_famille_scénario,2)&amp;VLOOKUP(C294,code_actif,2)&amp;" "&amp;VLOOKUP(M294,code_process,2)&amp;", par "&amp;VLOOKUP(N294,code_acteur,2)</f>
        <v>Détournement de fichiers  bureautiques partagés lors d'une opération de maintenance, par un membre du personnel de maintenance</v>
      </c>
      <c r="P294" s="435">
        <v>1</v>
      </c>
      <c r="Q294" s="1595" t="s">
        <v>1299</v>
      </c>
      <c r="R294" s="1595" t="s">
        <v>4811</v>
      </c>
      <c r="S294" s="1595" t="str">
        <f>Classif!E5</f>
        <v/>
      </c>
      <c r="T294" s="1595">
        <f t="shared" si="191"/>
        <v>3</v>
      </c>
      <c r="U294" s="1744" t="str">
        <f t="shared" si="192"/>
        <v/>
      </c>
      <c r="V294" s="1745">
        <v>1</v>
      </c>
      <c r="W294" s="1745">
        <f>MAX(S11C01,S11C03)</f>
        <v>1</v>
      </c>
      <c r="X294" s="1745">
        <v>1</v>
      </c>
      <c r="Y294" s="1745">
        <v>1</v>
      </c>
      <c r="Z294" s="1746">
        <v>0</v>
      </c>
      <c r="AA294" s="1747"/>
      <c r="AB294" s="1748"/>
      <c r="AC294" s="1748"/>
      <c r="AD294" s="1595" t="str">
        <f t="shared" si="180"/>
        <v/>
      </c>
      <c r="AE294" s="1595">
        <f t="shared" si="193"/>
        <v>3</v>
      </c>
      <c r="AF294" s="1595" t="str">
        <f t="shared" si="194"/>
        <v/>
      </c>
      <c r="AG294" s="1748"/>
      <c r="AH294" s="1749" t="str">
        <f t="shared" si="181"/>
        <v/>
      </c>
      <c r="AI294" s="1615"/>
      <c r="AJ294" s="1616" t="s">
        <v>3274</v>
      </c>
      <c r="AK294" s="1618"/>
      <c r="AL294" s="1619"/>
      <c r="AM294" s="247" t="str">
        <f t="shared" si="174"/>
        <v/>
      </c>
      <c r="AN294" s="247" t="str">
        <f t="shared" si="175"/>
        <v/>
      </c>
      <c r="AO294" s="247" t="str">
        <f t="shared" si="176"/>
        <v/>
      </c>
      <c r="AP294" s="247" t="str">
        <f t="shared" si="177"/>
        <v/>
      </c>
      <c r="AQ294" s="42">
        <f t="shared" si="195"/>
        <v>1</v>
      </c>
      <c r="AR294" s="42">
        <f t="shared" si="196"/>
        <v>1</v>
      </c>
      <c r="AS294" s="42">
        <f t="shared" si="197"/>
        <v>1</v>
      </c>
      <c r="AT294" s="42">
        <f t="shared" si="198"/>
        <v>1</v>
      </c>
      <c r="AU294" s="247" t="str">
        <f t="shared" si="178"/>
        <v/>
      </c>
      <c r="AV294" s="247" t="str">
        <f t="shared" si="179"/>
        <v/>
      </c>
    </row>
    <row r="295" spans="1:48" ht="24" x14ac:dyDescent="0.2">
      <c r="A295" s="450" t="s">
        <v>620</v>
      </c>
      <c r="B295" s="429" t="s">
        <v>3696</v>
      </c>
      <c r="C295" s="430" t="s">
        <v>3519</v>
      </c>
      <c r="D295" s="1349" t="s">
        <v>4811</v>
      </c>
      <c r="E295" s="1350" t="s">
        <v>7449</v>
      </c>
      <c r="F295" s="1350" t="s">
        <v>2794</v>
      </c>
      <c r="G295" s="1351" t="s">
        <v>5554</v>
      </c>
      <c r="H295" s="1342" t="s">
        <v>1328</v>
      </c>
      <c r="I295" s="432" t="s">
        <v>1305</v>
      </c>
      <c r="J295" s="431"/>
      <c r="K295" s="431"/>
      <c r="L295" s="431" t="s">
        <v>6541</v>
      </c>
      <c r="M295" s="433" t="s">
        <v>1880</v>
      </c>
      <c r="N295" s="434" t="s">
        <v>2835</v>
      </c>
      <c r="O295" s="1743" t="str">
        <f>VLOOKUP(B295,code_famille_scénario,2)&amp;VLOOKUP(C295,code_actif,2)&amp;" "&amp;VLOOKUP(M295,code_process,2)&amp;", par "&amp;VLOOKUP(N295,code_acteur,2)&amp;", "&amp;VLOOKUP(L295,code_acces,2)</f>
        <v>Détournement de fichiers  bureautiques partagés en exploitation, par un tiers non autorisé, se connectant depuis le réseau interne</v>
      </c>
      <c r="P295" s="435">
        <v>1</v>
      </c>
      <c r="Q295" s="1595" t="s">
        <v>1299</v>
      </c>
      <c r="R295" s="1595" t="s">
        <v>4811</v>
      </c>
      <c r="S295" s="1595" t="str">
        <f>Classif!E5</f>
        <v/>
      </c>
      <c r="T295" s="1595">
        <f t="shared" si="191"/>
        <v>3</v>
      </c>
      <c r="U295" s="1744" t="str">
        <f t="shared" si="192"/>
        <v/>
      </c>
      <c r="V295" s="1745">
        <v>1</v>
      </c>
      <c r="W295" s="1745">
        <f>MAX(S05B03,MIN(S07A03,S07A04),S11C01)</f>
        <v>1</v>
      </c>
      <c r="X295" s="1745">
        <v>1</v>
      </c>
      <c r="Y295" s="1745">
        <v>1</v>
      </c>
      <c r="Z295" s="1746">
        <v>0</v>
      </c>
      <c r="AA295" s="1747"/>
      <c r="AB295" s="1748"/>
      <c r="AC295" s="1748"/>
      <c r="AD295" s="1595" t="str">
        <f t="shared" si="180"/>
        <v/>
      </c>
      <c r="AE295" s="1595">
        <f t="shared" si="193"/>
        <v>3</v>
      </c>
      <c r="AF295" s="1595" t="str">
        <f t="shared" si="194"/>
        <v/>
      </c>
      <c r="AG295" s="1748"/>
      <c r="AH295" s="1749" t="str">
        <f t="shared" si="181"/>
        <v/>
      </c>
      <c r="AI295" s="1615"/>
      <c r="AJ295" s="1616" t="s">
        <v>1982</v>
      </c>
      <c r="AK295" s="1618"/>
      <c r="AL295" s="1619"/>
      <c r="AM295" s="247" t="str">
        <f t="shared" si="174"/>
        <v/>
      </c>
      <c r="AN295" s="247" t="str">
        <f t="shared" si="175"/>
        <v/>
      </c>
      <c r="AO295" s="247" t="str">
        <f t="shared" si="176"/>
        <v/>
      </c>
      <c r="AP295" s="247" t="str">
        <f t="shared" si="177"/>
        <v/>
      </c>
      <c r="AQ295" s="42">
        <f t="shared" si="195"/>
        <v>1</v>
      </c>
      <c r="AR295" s="42">
        <f t="shared" si="196"/>
        <v>1</v>
      </c>
      <c r="AS295" s="42">
        <f t="shared" si="197"/>
        <v>1</v>
      </c>
      <c r="AT295" s="42">
        <f t="shared" si="198"/>
        <v>1</v>
      </c>
      <c r="AU295" s="247" t="str">
        <f t="shared" si="178"/>
        <v/>
      </c>
      <c r="AV295" s="247" t="str">
        <f t="shared" si="179"/>
        <v/>
      </c>
    </row>
    <row r="296" spans="1:48" ht="45" x14ac:dyDescent="0.2">
      <c r="A296" s="450" t="s">
        <v>621</v>
      </c>
      <c r="B296" s="429" t="s">
        <v>3696</v>
      </c>
      <c r="C296" s="430" t="s">
        <v>3519</v>
      </c>
      <c r="D296" s="1349" t="s">
        <v>4811</v>
      </c>
      <c r="E296" s="1350" t="s">
        <v>7449</v>
      </c>
      <c r="F296" s="1350" t="s">
        <v>2794</v>
      </c>
      <c r="G296" s="1351" t="s">
        <v>5554</v>
      </c>
      <c r="H296" s="1342" t="s">
        <v>1328</v>
      </c>
      <c r="I296" s="432" t="s">
        <v>1305</v>
      </c>
      <c r="J296" s="431"/>
      <c r="K296" s="431"/>
      <c r="L296" s="431" t="s">
        <v>6543</v>
      </c>
      <c r="M296" s="433" t="s">
        <v>1880</v>
      </c>
      <c r="N296" s="434" t="s">
        <v>2835</v>
      </c>
      <c r="O296" s="1743" t="str">
        <f>VLOOKUP(B296,code_famille_scénario,2)&amp;VLOOKUP(C296,code_actif,2)&amp;" "&amp;VLOOKUP(M296,code_process,2)&amp;", par "&amp;VLOOKUP(N296,code_acteur,2)&amp;", "&amp;VLOOKUP(L296,code_acces,2)</f>
        <v>Détournement de fichiers  bureautiques partagés en exploitation, par un tiers non autorisé, se connectant, depuis l'extérieur, au réseau local</v>
      </c>
      <c r="P296" s="435">
        <v>1</v>
      </c>
      <c r="Q296" s="1595" t="s">
        <v>1299</v>
      </c>
      <c r="R296" s="1595" t="s">
        <v>4811</v>
      </c>
      <c r="S296" s="1595" t="str">
        <f>Classif!E5</f>
        <v/>
      </c>
      <c r="T296" s="1595">
        <f t="shared" si="191"/>
        <v>3</v>
      </c>
      <c r="U296" s="1744" t="str">
        <f t="shared" si="192"/>
        <v/>
      </c>
      <c r="V296" s="1745">
        <v>1</v>
      </c>
      <c r="W296" s="1745">
        <f>MAX(MIN(S05B04,S05B05,S05B06,S05B07,S06B02),MIN(S07A03,S07A04),S11C01)</f>
        <v>1</v>
      </c>
      <c r="X296" s="1745">
        <v>1</v>
      </c>
      <c r="Y296" s="1745">
        <v>1</v>
      </c>
      <c r="Z296" s="1746">
        <v>0</v>
      </c>
      <c r="AA296" s="1747"/>
      <c r="AB296" s="1748"/>
      <c r="AC296" s="1748"/>
      <c r="AD296" s="1595" t="str">
        <f t="shared" si="180"/>
        <v/>
      </c>
      <c r="AE296" s="1595">
        <f t="shared" si="193"/>
        <v>3</v>
      </c>
      <c r="AF296" s="1595" t="str">
        <f t="shared" si="194"/>
        <v/>
      </c>
      <c r="AG296" s="1748"/>
      <c r="AH296" s="1749" t="str">
        <f t="shared" si="181"/>
        <v/>
      </c>
      <c r="AI296" s="1615"/>
      <c r="AJ296" s="1616" t="s">
        <v>1983</v>
      </c>
      <c r="AK296" s="1618"/>
      <c r="AL296" s="1619"/>
      <c r="AM296" s="247" t="str">
        <f t="shared" si="174"/>
        <v/>
      </c>
      <c r="AN296" s="247" t="str">
        <f t="shared" si="175"/>
        <v/>
      </c>
      <c r="AO296" s="247" t="str">
        <f t="shared" si="176"/>
        <v/>
      </c>
      <c r="AP296" s="247" t="str">
        <f t="shared" si="177"/>
        <v/>
      </c>
      <c r="AQ296" s="42">
        <f t="shared" si="195"/>
        <v>1</v>
      </c>
      <c r="AR296" s="42">
        <f t="shared" si="196"/>
        <v>1</v>
      </c>
      <c r="AS296" s="42">
        <f t="shared" si="197"/>
        <v>1</v>
      </c>
      <c r="AT296" s="42">
        <f t="shared" si="198"/>
        <v>1</v>
      </c>
      <c r="AU296" s="247" t="str">
        <f t="shared" si="178"/>
        <v/>
      </c>
      <c r="AV296" s="247" t="str">
        <f t="shared" si="179"/>
        <v/>
      </c>
    </row>
    <row r="297" spans="1:48" ht="24" x14ac:dyDescent="0.2">
      <c r="A297" s="450" t="s">
        <v>622</v>
      </c>
      <c r="B297" s="429" t="s">
        <v>3696</v>
      </c>
      <c r="C297" s="430" t="s">
        <v>3519</v>
      </c>
      <c r="D297" s="1349" t="s">
        <v>4811</v>
      </c>
      <c r="E297" s="1350" t="s">
        <v>7449</v>
      </c>
      <c r="F297" s="1350" t="s">
        <v>2794</v>
      </c>
      <c r="G297" s="1351" t="s">
        <v>5554</v>
      </c>
      <c r="H297" s="1342" t="s">
        <v>1328</v>
      </c>
      <c r="I297" s="432" t="s">
        <v>1305</v>
      </c>
      <c r="J297" s="431"/>
      <c r="K297" s="431"/>
      <c r="L297" s="431" t="s">
        <v>6544</v>
      </c>
      <c r="M297" s="433" t="s">
        <v>1880</v>
      </c>
      <c r="N297" s="434" t="s">
        <v>2835</v>
      </c>
      <c r="O297" s="1743" t="str">
        <f>VLOOKUP(B297,code_famille_scénario,2)&amp;VLOOKUP(C297,code_actif,2)&amp;" "&amp;VLOOKUP(M297,code_process,2)&amp;", par "&amp;VLOOKUP(N297,code_acteur,2)&amp;", "&amp;VLOOKUP(L297,code_acces,2)</f>
        <v>Détournement de fichiers  bureautiques partagés en exploitation, par un tiers non autorisé, se connectant sur un réseau de stockage</v>
      </c>
      <c r="P297" s="435">
        <v>1</v>
      </c>
      <c r="Q297" s="1595" t="s">
        <v>1299</v>
      </c>
      <c r="R297" s="1595" t="s">
        <v>4811</v>
      </c>
      <c r="S297" s="1595" t="str">
        <f>Classif!E5</f>
        <v/>
      </c>
      <c r="T297" s="1595">
        <f t="shared" si="191"/>
        <v>3</v>
      </c>
      <c r="U297" s="1744" t="str">
        <f t="shared" si="192"/>
        <v/>
      </c>
      <c r="V297" s="1745">
        <v>1</v>
      </c>
      <c r="W297" s="1745">
        <f>MAX(MIN(S05B08,S05B09),S11C01)</f>
        <v>1</v>
      </c>
      <c r="X297" s="1745">
        <v>1</v>
      </c>
      <c r="Y297" s="1745">
        <v>1</v>
      </c>
      <c r="Z297" s="1746">
        <v>0</v>
      </c>
      <c r="AA297" s="1747"/>
      <c r="AB297" s="1748"/>
      <c r="AC297" s="1748"/>
      <c r="AD297" s="1595" t="str">
        <f t="shared" si="180"/>
        <v/>
      </c>
      <c r="AE297" s="1595">
        <f t="shared" si="193"/>
        <v>3</v>
      </c>
      <c r="AF297" s="1595" t="str">
        <f t="shared" si="194"/>
        <v/>
      </c>
      <c r="AG297" s="1748"/>
      <c r="AH297" s="1749" t="str">
        <f t="shared" si="181"/>
        <v/>
      </c>
      <c r="AI297" s="1615"/>
      <c r="AJ297" s="1616" t="s">
        <v>1357</v>
      </c>
      <c r="AK297" s="1618"/>
      <c r="AL297" s="1619"/>
      <c r="AM297" s="247" t="str">
        <f t="shared" si="174"/>
        <v/>
      </c>
      <c r="AN297" s="247" t="str">
        <f t="shared" si="175"/>
        <v/>
      </c>
      <c r="AO297" s="247" t="str">
        <f t="shared" si="176"/>
        <v/>
      </c>
      <c r="AP297" s="247" t="str">
        <f t="shared" si="177"/>
        <v/>
      </c>
      <c r="AQ297" s="42">
        <f t="shared" si="195"/>
        <v>1</v>
      </c>
      <c r="AR297" s="42">
        <f t="shared" si="196"/>
        <v>1</v>
      </c>
      <c r="AS297" s="42">
        <f t="shared" si="197"/>
        <v>1</v>
      </c>
      <c r="AT297" s="42">
        <f t="shared" si="198"/>
        <v>1</v>
      </c>
      <c r="AU297" s="247" t="str">
        <f t="shared" si="178"/>
        <v/>
      </c>
      <c r="AV297" s="247" t="str">
        <f t="shared" si="179"/>
        <v/>
      </c>
    </row>
    <row r="298" spans="1:48" ht="24" x14ac:dyDescent="0.2">
      <c r="A298" s="450" t="s">
        <v>623</v>
      </c>
      <c r="B298" s="429" t="s">
        <v>2461</v>
      </c>
      <c r="C298" s="430" t="s">
        <v>3519</v>
      </c>
      <c r="D298" s="1349" t="s">
        <v>4811</v>
      </c>
      <c r="E298" s="1350" t="s">
        <v>1874</v>
      </c>
      <c r="F298" s="1350" t="s">
        <v>4498</v>
      </c>
      <c r="G298" s="1351" t="s">
        <v>6071</v>
      </c>
      <c r="H298" s="1342" t="s">
        <v>1329</v>
      </c>
      <c r="I298" s="432" t="s">
        <v>1305</v>
      </c>
      <c r="J298" s="431"/>
      <c r="K298" s="431"/>
      <c r="L298" s="431"/>
      <c r="M298" s="433" t="s">
        <v>1880</v>
      </c>
      <c r="N298" s="434" t="s">
        <v>4816</v>
      </c>
      <c r="O298" s="1743" t="str">
        <f t="shared" ref="O298:O305" si="199">VLOOKUP(B298,code_famille_scénario,2)&amp;VLOOKUP(C298,code_actif,2)&amp;", "&amp;VLOOKUP(M298,code_process,2)&amp;", par "&amp;VLOOKUP(N298,code_acteur,2)</f>
        <v>Divulgation d'informations, par vol de media support de fichiers  bureautiques partagés, en exploitation, par un membre  du personnel autorisé</v>
      </c>
      <c r="P298" s="435">
        <v>1</v>
      </c>
      <c r="Q298" s="1595" t="s">
        <v>1299</v>
      </c>
      <c r="R298" s="1595" t="s">
        <v>4811</v>
      </c>
      <c r="S298" s="1595" t="str">
        <f>Classif!E5</f>
        <v/>
      </c>
      <c r="T298" s="1595">
        <f t="shared" si="191"/>
        <v>2</v>
      </c>
      <c r="U298" s="1744" t="str">
        <f t="shared" si="192"/>
        <v/>
      </c>
      <c r="V298" s="1745">
        <f>S02C05</f>
        <v>1</v>
      </c>
      <c r="W298" s="1745">
        <f>S11C01</f>
        <v>1</v>
      </c>
      <c r="X298" s="1745">
        <v>1</v>
      </c>
      <c r="Y298" s="1745">
        <v>1</v>
      </c>
      <c r="Z298" s="1746">
        <v>0</v>
      </c>
      <c r="AA298" s="1747"/>
      <c r="AB298" s="1748"/>
      <c r="AC298" s="1748"/>
      <c r="AD298" s="1595" t="str">
        <f t="shared" si="180"/>
        <v/>
      </c>
      <c r="AE298" s="1595">
        <f t="shared" si="193"/>
        <v>2</v>
      </c>
      <c r="AF298" s="1595" t="str">
        <f t="shared" si="194"/>
        <v/>
      </c>
      <c r="AG298" s="1748"/>
      <c r="AH298" s="1749" t="str">
        <f t="shared" si="181"/>
        <v/>
      </c>
      <c r="AI298" s="1620" t="s">
        <v>3120</v>
      </c>
      <c r="AJ298" s="1616" t="s">
        <v>12</v>
      </c>
      <c r="AK298" s="1618"/>
      <c r="AL298" s="1619"/>
      <c r="AM298" s="247" t="str">
        <f t="shared" si="174"/>
        <v/>
      </c>
      <c r="AN298" s="247" t="str">
        <f t="shared" si="175"/>
        <v/>
      </c>
      <c r="AO298" s="247" t="str">
        <f t="shared" si="176"/>
        <v/>
      </c>
      <c r="AP298" s="247" t="str">
        <f t="shared" si="177"/>
        <v/>
      </c>
      <c r="AQ298" s="42">
        <f t="shared" si="195"/>
        <v>1</v>
      </c>
      <c r="AR298" s="42">
        <f t="shared" si="196"/>
        <v>1</v>
      </c>
      <c r="AS298" s="42">
        <f t="shared" si="197"/>
        <v>1</v>
      </c>
      <c r="AT298" s="42">
        <f t="shared" si="198"/>
        <v>1</v>
      </c>
      <c r="AU298" s="247" t="str">
        <f t="shared" si="178"/>
        <v/>
      </c>
      <c r="AV298" s="247" t="str">
        <f t="shared" si="179"/>
        <v/>
      </c>
    </row>
    <row r="299" spans="1:48" ht="24" x14ac:dyDescent="0.2">
      <c r="A299" s="450" t="s">
        <v>624</v>
      </c>
      <c r="B299" s="429" t="s">
        <v>2461</v>
      </c>
      <c r="C299" s="430" t="s">
        <v>3519</v>
      </c>
      <c r="D299" s="1349" t="s">
        <v>4811</v>
      </c>
      <c r="E299" s="1350" t="s">
        <v>1874</v>
      </c>
      <c r="F299" s="1350" t="s">
        <v>4498</v>
      </c>
      <c r="G299" s="1351" t="s">
        <v>6071</v>
      </c>
      <c r="H299" s="1342" t="s">
        <v>1329</v>
      </c>
      <c r="I299" s="432" t="s">
        <v>1305</v>
      </c>
      <c r="J299" s="431"/>
      <c r="K299" s="431"/>
      <c r="L299" s="431"/>
      <c r="M299" s="433" t="s">
        <v>6757</v>
      </c>
      <c r="N299" s="434" t="s">
        <v>4816</v>
      </c>
      <c r="O299" s="1743" t="str">
        <f t="shared" si="199"/>
        <v>Divulgation d'informations, par vol de media support de fichiers  bureautiques partagés, pendant le transport entre sites, par un membre  du personnel autorisé</v>
      </c>
      <c r="P299" s="435">
        <v>1</v>
      </c>
      <c r="Q299" s="1595" t="s">
        <v>1299</v>
      </c>
      <c r="R299" s="1595" t="s">
        <v>4811</v>
      </c>
      <c r="S299" s="1595" t="str">
        <f>Classif!E5</f>
        <v/>
      </c>
      <c r="T299" s="1595">
        <f t="shared" si="191"/>
        <v>2</v>
      </c>
      <c r="U299" s="1744" t="str">
        <f t="shared" si="192"/>
        <v/>
      </c>
      <c r="V299" s="1745">
        <v>1</v>
      </c>
      <c r="W299" s="1745">
        <f>S11C01</f>
        <v>1</v>
      </c>
      <c r="X299" s="1745">
        <v>1</v>
      </c>
      <c r="Y299" s="1745">
        <v>1</v>
      </c>
      <c r="Z299" s="1746">
        <v>0</v>
      </c>
      <c r="AA299" s="1747"/>
      <c r="AB299" s="1748"/>
      <c r="AC299" s="1748"/>
      <c r="AD299" s="1595" t="str">
        <f t="shared" si="180"/>
        <v/>
      </c>
      <c r="AE299" s="1595">
        <f t="shared" si="193"/>
        <v>2</v>
      </c>
      <c r="AF299" s="1595" t="str">
        <f t="shared" si="194"/>
        <v/>
      </c>
      <c r="AG299" s="1748"/>
      <c r="AH299" s="1749" t="str">
        <f t="shared" si="181"/>
        <v/>
      </c>
      <c r="AI299" s="1615"/>
      <c r="AJ299" s="1616" t="s">
        <v>12</v>
      </c>
      <c r="AK299" s="1618"/>
      <c r="AL299" s="1619"/>
      <c r="AM299" s="247" t="str">
        <f t="shared" si="174"/>
        <v/>
      </c>
      <c r="AN299" s="247" t="str">
        <f t="shared" si="175"/>
        <v/>
      </c>
      <c r="AO299" s="247" t="str">
        <f t="shared" si="176"/>
        <v/>
      </c>
      <c r="AP299" s="247" t="str">
        <f t="shared" si="177"/>
        <v/>
      </c>
      <c r="AQ299" s="42">
        <f t="shared" si="195"/>
        <v>1</v>
      </c>
      <c r="AR299" s="42">
        <f t="shared" si="196"/>
        <v>1</v>
      </c>
      <c r="AS299" s="42">
        <f t="shared" si="197"/>
        <v>1</v>
      </c>
      <c r="AT299" s="42">
        <f t="shared" si="198"/>
        <v>1</v>
      </c>
      <c r="AU299" s="247" t="str">
        <f t="shared" si="178"/>
        <v/>
      </c>
      <c r="AV299" s="247" t="str">
        <f t="shared" si="179"/>
        <v/>
      </c>
    </row>
    <row r="300" spans="1:48" ht="24" x14ac:dyDescent="0.2">
      <c r="A300" s="450" t="s">
        <v>625</v>
      </c>
      <c r="B300" s="429" t="s">
        <v>2461</v>
      </c>
      <c r="C300" s="430" t="s">
        <v>3519</v>
      </c>
      <c r="D300" s="1349" t="s">
        <v>4811</v>
      </c>
      <c r="E300" s="1350" t="s">
        <v>1874</v>
      </c>
      <c r="F300" s="1350" t="s">
        <v>4498</v>
      </c>
      <c r="G300" s="1351" t="s">
        <v>6071</v>
      </c>
      <c r="H300" s="1342" t="s">
        <v>1329</v>
      </c>
      <c r="I300" s="432" t="s">
        <v>1305</v>
      </c>
      <c r="J300" s="431"/>
      <c r="K300" s="431"/>
      <c r="L300" s="431"/>
      <c r="M300" s="433" t="s">
        <v>2795</v>
      </c>
      <c r="N300" s="434" t="s">
        <v>4816</v>
      </c>
      <c r="O300" s="1743" t="str">
        <f t="shared" si="199"/>
        <v>Divulgation d'informations, par vol de media support de fichiers  bureautiques partagés, lors du stockage sur site, par un membre  du personnel autorisé</v>
      </c>
      <c r="P300" s="435">
        <v>1</v>
      </c>
      <c r="Q300" s="1595" t="s">
        <v>1299</v>
      </c>
      <c r="R300" s="1595" t="s">
        <v>4811</v>
      </c>
      <c r="S300" s="1595" t="str">
        <f>Classif!E5</f>
        <v/>
      </c>
      <c r="T300" s="1595">
        <f t="shared" si="191"/>
        <v>2</v>
      </c>
      <c r="U300" s="1744" t="str">
        <f t="shared" si="192"/>
        <v/>
      </c>
      <c r="V300" s="1745">
        <f>S08C03</f>
        <v>1</v>
      </c>
      <c r="W300" s="1745">
        <f>S11C01</f>
        <v>1</v>
      </c>
      <c r="X300" s="1745">
        <v>1</v>
      </c>
      <c r="Y300" s="1745">
        <v>1</v>
      </c>
      <c r="Z300" s="1746">
        <v>0</v>
      </c>
      <c r="AA300" s="1747"/>
      <c r="AB300" s="1748"/>
      <c r="AC300" s="1748"/>
      <c r="AD300" s="1595" t="str">
        <f t="shared" si="180"/>
        <v/>
      </c>
      <c r="AE300" s="1595">
        <f t="shared" si="193"/>
        <v>2</v>
      </c>
      <c r="AF300" s="1595" t="str">
        <f t="shared" si="194"/>
        <v/>
      </c>
      <c r="AG300" s="1748"/>
      <c r="AH300" s="1749" t="str">
        <f t="shared" si="181"/>
        <v/>
      </c>
      <c r="AI300" s="1620" t="s">
        <v>63</v>
      </c>
      <c r="AJ300" s="1616" t="s">
        <v>12</v>
      </c>
      <c r="AK300" s="1618"/>
      <c r="AL300" s="1619"/>
      <c r="AM300" s="247" t="str">
        <f t="shared" si="174"/>
        <v/>
      </c>
      <c r="AN300" s="247" t="str">
        <f t="shared" si="175"/>
        <v/>
      </c>
      <c r="AO300" s="247" t="str">
        <f t="shared" si="176"/>
        <v/>
      </c>
      <c r="AP300" s="247" t="str">
        <f t="shared" si="177"/>
        <v/>
      </c>
      <c r="AQ300" s="42">
        <f t="shared" si="195"/>
        <v>1</v>
      </c>
      <c r="AR300" s="42">
        <f t="shared" si="196"/>
        <v>1</v>
      </c>
      <c r="AS300" s="42">
        <f t="shared" si="197"/>
        <v>1</v>
      </c>
      <c r="AT300" s="42">
        <f t="shared" si="198"/>
        <v>1</v>
      </c>
      <c r="AU300" s="247" t="str">
        <f t="shared" si="178"/>
        <v/>
      </c>
      <c r="AV300" s="247" t="str">
        <f t="shared" si="179"/>
        <v/>
      </c>
    </row>
    <row r="301" spans="1:48" ht="24" x14ac:dyDescent="0.2">
      <c r="A301" s="450" t="s">
        <v>626</v>
      </c>
      <c r="B301" s="429" t="s">
        <v>2461</v>
      </c>
      <c r="C301" s="430" t="s">
        <v>3519</v>
      </c>
      <c r="D301" s="1349" t="s">
        <v>4811</v>
      </c>
      <c r="E301" s="1350" t="s">
        <v>1874</v>
      </c>
      <c r="F301" s="1350" t="s">
        <v>4498</v>
      </c>
      <c r="G301" s="1351" t="s">
        <v>6071</v>
      </c>
      <c r="H301" s="1342" t="s">
        <v>1329</v>
      </c>
      <c r="I301" s="432" t="s">
        <v>1305</v>
      </c>
      <c r="J301" s="431"/>
      <c r="K301" s="431"/>
      <c r="L301" s="431"/>
      <c r="M301" s="433" t="s">
        <v>2796</v>
      </c>
      <c r="N301" s="434" t="s">
        <v>4816</v>
      </c>
      <c r="O301" s="1743" t="str">
        <f t="shared" si="199"/>
        <v>Divulgation d'informations, par vol de media support de fichiers  bureautiques partagés, lors du stockage externalisé, par un membre  du personnel autorisé</v>
      </c>
      <c r="P301" s="435">
        <v>1</v>
      </c>
      <c r="Q301" s="1595" t="s">
        <v>1299</v>
      </c>
      <c r="R301" s="1595" t="s">
        <v>4811</v>
      </c>
      <c r="S301" s="1595" t="str">
        <f>Classif!E5</f>
        <v/>
      </c>
      <c r="T301" s="1595">
        <f t="shared" si="191"/>
        <v>2</v>
      </c>
      <c r="U301" s="1744" t="str">
        <f t="shared" si="192"/>
        <v/>
      </c>
      <c r="V301" s="1745">
        <f>S08C04</f>
        <v>1</v>
      </c>
      <c r="W301" s="1745">
        <f>S11C01</f>
        <v>1</v>
      </c>
      <c r="X301" s="1745">
        <v>1</v>
      </c>
      <c r="Y301" s="1745">
        <v>1</v>
      </c>
      <c r="Z301" s="1746">
        <v>0</v>
      </c>
      <c r="AA301" s="1747"/>
      <c r="AB301" s="1748"/>
      <c r="AC301" s="1748"/>
      <c r="AD301" s="1595" t="str">
        <f t="shared" si="180"/>
        <v/>
      </c>
      <c r="AE301" s="1595">
        <f t="shared" si="193"/>
        <v>2</v>
      </c>
      <c r="AF301" s="1595" t="str">
        <f t="shared" si="194"/>
        <v/>
      </c>
      <c r="AG301" s="1748"/>
      <c r="AH301" s="1749" t="str">
        <f t="shared" si="181"/>
        <v/>
      </c>
      <c r="AI301" s="1620" t="s">
        <v>2057</v>
      </c>
      <c r="AJ301" s="1616" t="s">
        <v>12</v>
      </c>
      <c r="AK301" s="1618"/>
      <c r="AL301" s="1619"/>
      <c r="AM301" s="247" t="str">
        <f t="shared" si="174"/>
        <v/>
      </c>
      <c r="AN301" s="247" t="str">
        <f t="shared" si="175"/>
        <v/>
      </c>
      <c r="AO301" s="247" t="str">
        <f t="shared" si="176"/>
        <v/>
      </c>
      <c r="AP301" s="247" t="str">
        <f t="shared" si="177"/>
        <v/>
      </c>
      <c r="AQ301" s="42">
        <f t="shared" si="195"/>
        <v>1</v>
      </c>
      <c r="AR301" s="42">
        <f t="shared" si="196"/>
        <v>1</v>
      </c>
      <c r="AS301" s="42">
        <f t="shared" si="197"/>
        <v>1</v>
      </c>
      <c r="AT301" s="42">
        <f t="shared" si="198"/>
        <v>1</v>
      </c>
      <c r="AU301" s="247" t="str">
        <f t="shared" si="178"/>
        <v/>
      </c>
      <c r="AV301" s="247" t="str">
        <f t="shared" si="179"/>
        <v/>
      </c>
    </row>
    <row r="302" spans="1:48" ht="24" x14ac:dyDescent="0.2">
      <c r="A302" s="450" t="s">
        <v>627</v>
      </c>
      <c r="B302" s="429" t="s">
        <v>2461</v>
      </c>
      <c r="C302" s="430" t="s">
        <v>3519</v>
      </c>
      <c r="D302" s="1349" t="s">
        <v>4811</v>
      </c>
      <c r="E302" s="1350" t="s">
        <v>1874</v>
      </c>
      <c r="F302" s="1350" t="s">
        <v>4498</v>
      </c>
      <c r="G302" s="1351" t="s">
        <v>6071</v>
      </c>
      <c r="H302" s="1342" t="s">
        <v>1329</v>
      </c>
      <c r="I302" s="432" t="s">
        <v>1305</v>
      </c>
      <c r="J302" s="431"/>
      <c r="K302" s="431"/>
      <c r="L302" s="431"/>
      <c r="M302" s="433" t="s">
        <v>1880</v>
      </c>
      <c r="N302" s="434" t="s">
        <v>3518</v>
      </c>
      <c r="O302" s="1743" t="str">
        <f t="shared" si="199"/>
        <v>Divulgation d'informations, par vol de media support de fichiers  bureautiques partagés, en exploitation, par un membre du personnel non autorisé</v>
      </c>
      <c r="P302" s="435">
        <v>1</v>
      </c>
      <c r="Q302" s="1595" t="s">
        <v>1299</v>
      </c>
      <c r="R302" s="1595" t="s">
        <v>4811</v>
      </c>
      <c r="S302" s="1595" t="str">
        <f>Classif!E5</f>
        <v/>
      </c>
      <c r="T302" s="1595">
        <f t="shared" si="191"/>
        <v>2</v>
      </c>
      <c r="U302" s="1744" t="str">
        <f t="shared" si="192"/>
        <v/>
      </c>
      <c r="V302" s="1745">
        <v>1</v>
      </c>
      <c r="W302" s="1745">
        <f>MAX(MIN(S03B03,S03B04),S11C01)</f>
        <v>1</v>
      </c>
      <c r="X302" s="1745">
        <v>1</v>
      </c>
      <c r="Y302" s="1745">
        <v>1</v>
      </c>
      <c r="Z302" s="1746">
        <v>0</v>
      </c>
      <c r="AA302" s="1747"/>
      <c r="AB302" s="1748"/>
      <c r="AC302" s="1748"/>
      <c r="AD302" s="1595" t="str">
        <f t="shared" si="180"/>
        <v/>
      </c>
      <c r="AE302" s="1595">
        <f t="shared" si="193"/>
        <v>2</v>
      </c>
      <c r="AF302" s="1595" t="str">
        <f t="shared" si="194"/>
        <v/>
      </c>
      <c r="AG302" s="1748"/>
      <c r="AH302" s="1749" t="str">
        <f t="shared" si="181"/>
        <v/>
      </c>
      <c r="AI302" s="1615"/>
      <c r="AJ302" s="1621" t="s">
        <v>3275</v>
      </c>
      <c r="AK302" s="1618"/>
      <c r="AL302" s="1619"/>
      <c r="AM302" s="247" t="str">
        <f t="shared" si="174"/>
        <v/>
      </c>
      <c r="AN302" s="247" t="str">
        <f t="shared" si="175"/>
        <v/>
      </c>
      <c r="AO302" s="247" t="str">
        <f t="shared" si="176"/>
        <v/>
      </c>
      <c r="AP302" s="247" t="str">
        <f t="shared" si="177"/>
        <v/>
      </c>
      <c r="AQ302" s="42">
        <f t="shared" si="195"/>
        <v>1</v>
      </c>
      <c r="AR302" s="42">
        <f t="shared" si="196"/>
        <v>1</v>
      </c>
      <c r="AS302" s="42">
        <f t="shared" si="197"/>
        <v>1</v>
      </c>
      <c r="AT302" s="42">
        <f t="shared" si="198"/>
        <v>1</v>
      </c>
      <c r="AU302" s="247" t="str">
        <f t="shared" si="178"/>
        <v/>
      </c>
      <c r="AV302" s="247" t="str">
        <f t="shared" si="179"/>
        <v/>
      </c>
    </row>
    <row r="303" spans="1:48" ht="36" x14ac:dyDescent="0.2">
      <c r="A303" s="450" t="s">
        <v>628</v>
      </c>
      <c r="B303" s="429" t="s">
        <v>2461</v>
      </c>
      <c r="C303" s="430" t="s">
        <v>3519</v>
      </c>
      <c r="D303" s="1349" t="s">
        <v>4811</v>
      </c>
      <c r="E303" s="1350" t="s">
        <v>1874</v>
      </c>
      <c r="F303" s="1350" t="s">
        <v>4498</v>
      </c>
      <c r="G303" s="1351" t="s">
        <v>6071</v>
      </c>
      <c r="H303" s="1342" t="s">
        <v>1329</v>
      </c>
      <c r="I303" s="432" t="s">
        <v>1305</v>
      </c>
      <c r="J303" s="431"/>
      <c r="K303" s="431"/>
      <c r="L303" s="431"/>
      <c r="M303" s="433" t="s">
        <v>6757</v>
      </c>
      <c r="N303" s="434" t="s">
        <v>3518</v>
      </c>
      <c r="O303" s="1743" t="str">
        <f t="shared" si="199"/>
        <v>Divulgation d'informations, par vol de media support de fichiers  bureautiques partagés, pendant le transport entre sites, par un membre du personnel non autorisé</v>
      </c>
      <c r="P303" s="435">
        <v>1</v>
      </c>
      <c r="Q303" s="1595" t="s">
        <v>1299</v>
      </c>
      <c r="R303" s="1595" t="s">
        <v>4811</v>
      </c>
      <c r="S303" s="1595" t="str">
        <f>Classif!E5</f>
        <v/>
      </c>
      <c r="T303" s="1595">
        <f t="shared" si="191"/>
        <v>2</v>
      </c>
      <c r="U303" s="1744" t="str">
        <f t="shared" si="192"/>
        <v/>
      </c>
      <c r="V303" s="1745">
        <v>1</v>
      </c>
      <c r="W303" s="1745">
        <f>MAX(S08C07,S11C01)</f>
        <v>1</v>
      </c>
      <c r="X303" s="1745">
        <v>1</v>
      </c>
      <c r="Y303" s="1745">
        <v>1</v>
      </c>
      <c r="Z303" s="1746">
        <v>0</v>
      </c>
      <c r="AA303" s="1747"/>
      <c r="AB303" s="1748"/>
      <c r="AC303" s="1748"/>
      <c r="AD303" s="1595" t="str">
        <f t="shared" si="180"/>
        <v/>
      </c>
      <c r="AE303" s="1595">
        <f t="shared" si="193"/>
        <v>2</v>
      </c>
      <c r="AF303" s="1595" t="str">
        <f t="shared" si="194"/>
        <v/>
      </c>
      <c r="AG303" s="1748"/>
      <c r="AH303" s="1749" t="str">
        <f t="shared" si="181"/>
        <v/>
      </c>
      <c r="AI303" s="1615"/>
      <c r="AJ303" s="1616" t="s">
        <v>3276</v>
      </c>
      <c r="AK303" s="1618"/>
      <c r="AL303" s="1619"/>
      <c r="AM303" s="247" t="str">
        <f t="shared" si="174"/>
        <v/>
      </c>
      <c r="AN303" s="247" t="str">
        <f t="shared" si="175"/>
        <v/>
      </c>
      <c r="AO303" s="247" t="str">
        <f t="shared" si="176"/>
        <v/>
      </c>
      <c r="AP303" s="247" t="str">
        <f t="shared" si="177"/>
        <v/>
      </c>
      <c r="AQ303" s="42">
        <f t="shared" si="195"/>
        <v>1</v>
      </c>
      <c r="AR303" s="42">
        <f t="shared" si="196"/>
        <v>1</v>
      </c>
      <c r="AS303" s="42">
        <f t="shared" si="197"/>
        <v>1</v>
      </c>
      <c r="AT303" s="42">
        <f t="shared" si="198"/>
        <v>1</v>
      </c>
      <c r="AU303" s="247" t="str">
        <f t="shared" si="178"/>
        <v/>
      </c>
      <c r="AV303" s="247" t="str">
        <f t="shared" si="179"/>
        <v/>
      </c>
    </row>
    <row r="304" spans="1:48" ht="24" x14ac:dyDescent="0.2">
      <c r="A304" s="450" t="s">
        <v>629</v>
      </c>
      <c r="B304" s="429" t="s">
        <v>2461</v>
      </c>
      <c r="C304" s="430" t="s">
        <v>3519</v>
      </c>
      <c r="D304" s="1349" t="s">
        <v>4811</v>
      </c>
      <c r="E304" s="1350" t="s">
        <v>1874</v>
      </c>
      <c r="F304" s="1350" t="s">
        <v>4498</v>
      </c>
      <c r="G304" s="1351" t="s">
        <v>6071</v>
      </c>
      <c r="H304" s="1342" t="s">
        <v>1329</v>
      </c>
      <c r="I304" s="432" t="s">
        <v>1305</v>
      </c>
      <c r="J304" s="431"/>
      <c r="K304" s="431"/>
      <c r="L304" s="431"/>
      <c r="M304" s="433" t="s">
        <v>2795</v>
      </c>
      <c r="N304" s="434" t="s">
        <v>3518</v>
      </c>
      <c r="O304" s="1743" t="str">
        <f t="shared" si="199"/>
        <v>Divulgation d'informations, par vol de media support de fichiers  bureautiques partagés, lors du stockage sur site, par un membre du personnel non autorisé</v>
      </c>
      <c r="P304" s="435">
        <v>1</v>
      </c>
      <c r="Q304" s="1595" t="s">
        <v>1299</v>
      </c>
      <c r="R304" s="1595" t="s">
        <v>4811</v>
      </c>
      <c r="S304" s="1595" t="str">
        <f>Classif!E5</f>
        <v/>
      </c>
      <c r="T304" s="1595">
        <f t="shared" si="191"/>
        <v>2</v>
      </c>
      <c r="U304" s="1744" t="str">
        <f t="shared" si="192"/>
        <v/>
      </c>
      <c r="V304" s="1745">
        <f>S08C03</f>
        <v>1</v>
      </c>
      <c r="W304" s="1745">
        <f>MAX(S08C03,S11C01)</f>
        <v>1</v>
      </c>
      <c r="X304" s="1745">
        <v>1</v>
      </c>
      <c r="Y304" s="1745">
        <v>1</v>
      </c>
      <c r="Z304" s="1746">
        <v>0</v>
      </c>
      <c r="AA304" s="1747"/>
      <c r="AB304" s="1748"/>
      <c r="AC304" s="1748"/>
      <c r="AD304" s="1595" t="str">
        <f t="shared" si="180"/>
        <v/>
      </c>
      <c r="AE304" s="1595">
        <f t="shared" si="193"/>
        <v>2</v>
      </c>
      <c r="AF304" s="1595" t="str">
        <f t="shared" si="194"/>
        <v/>
      </c>
      <c r="AG304" s="1748"/>
      <c r="AH304" s="1749" t="str">
        <f t="shared" si="181"/>
        <v/>
      </c>
      <c r="AI304" s="1620" t="s">
        <v>63</v>
      </c>
      <c r="AJ304" s="1616" t="s">
        <v>3277</v>
      </c>
      <c r="AK304" s="1618"/>
      <c r="AL304" s="1619"/>
      <c r="AM304" s="247" t="str">
        <f t="shared" si="174"/>
        <v/>
      </c>
      <c r="AN304" s="247" t="str">
        <f t="shared" si="175"/>
        <v/>
      </c>
      <c r="AO304" s="247" t="str">
        <f t="shared" si="176"/>
        <v/>
      </c>
      <c r="AP304" s="247" t="str">
        <f t="shared" si="177"/>
        <v/>
      </c>
      <c r="AQ304" s="42">
        <f t="shared" si="195"/>
        <v>1</v>
      </c>
      <c r="AR304" s="42">
        <f t="shared" si="196"/>
        <v>1</v>
      </c>
      <c r="AS304" s="42">
        <f t="shared" si="197"/>
        <v>1</v>
      </c>
      <c r="AT304" s="42">
        <f t="shared" si="198"/>
        <v>1</v>
      </c>
      <c r="AU304" s="247" t="str">
        <f t="shared" si="178"/>
        <v/>
      </c>
      <c r="AV304" s="247" t="str">
        <f t="shared" si="179"/>
        <v/>
      </c>
    </row>
    <row r="305" spans="1:48" ht="24" x14ac:dyDescent="0.2">
      <c r="A305" s="450" t="s">
        <v>630</v>
      </c>
      <c r="B305" s="429" t="s">
        <v>2461</v>
      </c>
      <c r="C305" s="430" t="s">
        <v>3519</v>
      </c>
      <c r="D305" s="1349" t="s">
        <v>4811</v>
      </c>
      <c r="E305" s="1350" t="s">
        <v>1874</v>
      </c>
      <c r="F305" s="1350" t="s">
        <v>4498</v>
      </c>
      <c r="G305" s="1351" t="s">
        <v>6071</v>
      </c>
      <c r="H305" s="1342" t="s">
        <v>1329</v>
      </c>
      <c r="I305" s="432" t="s">
        <v>1305</v>
      </c>
      <c r="J305" s="431"/>
      <c r="K305" s="431"/>
      <c r="L305" s="431"/>
      <c r="M305" s="433" t="s">
        <v>2796</v>
      </c>
      <c r="N305" s="434" t="s">
        <v>3518</v>
      </c>
      <c r="O305" s="1743" t="str">
        <f t="shared" si="199"/>
        <v>Divulgation d'informations, par vol de media support de fichiers  bureautiques partagés, lors du stockage externalisé, par un membre du personnel non autorisé</v>
      </c>
      <c r="P305" s="435">
        <v>1</v>
      </c>
      <c r="Q305" s="1595" t="s">
        <v>1299</v>
      </c>
      <c r="R305" s="1595" t="s">
        <v>4811</v>
      </c>
      <c r="S305" s="1595" t="str">
        <f>Classif!E5</f>
        <v/>
      </c>
      <c r="T305" s="1595">
        <f t="shared" si="191"/>
        <v>2</v>
      </c>
      <c r="U305" s="1744" t="str">
        <f t="shared" si="192"/>
        <v/>
      </c>
      <c r="V305" s="1745">
        <f>S08C04</f>
        <v>1</v>
      </c>
      <c r="W305" s="1745">
        <f>MAX(S08C04,S11C01)</f>
        <v>1</v>
      </c>
      <c r="X305" s="1745">
        <v>1</v>
      </c>
      <c r="Y305" s="1745">
        <v>1</v>
      </c>
      <c r="Z305" s="1746">
        <v>0</v>
      </c>
      <c r="AA305" s="1747"/>
      <c r="AB305" s="1748"/>
      <c r="AC305" s="1748"/>
      <c r="AD305" s="1595" t="str">
        <f t="shared" si="180"/>
        <v/>
      </c>
      <c r="AE305" s="1595">
        <f t="shared" si="193"/>
        <v>2</v>
      </c>
      <c r="AF305" s="1595" t="str">
        <f t="shared" si="194"/>
        <v/>
      </c>
      <c r="AG305" s="1748"/>
      <c r="AH305" s="1749" t="str">
        <f t="shared" si="181"/>
        <v/>
      </c>
      <c r="AI305" s="1620" t="s">
        <v>2057</v>
      </c>
      <c r="AJ305" s="1616" t="s">
        <v>3278</v>
      </c>
      <c r="AK305" s="1618"/>
      <c r="AL305" s="1619"/>
      <c r="AM305" s="247" t="str">
        <f t="shared" si="174"/>
        <v/>
      </c>
      <c r="AN305" s="247" t="str">
        <f t="shared" si="175"/>
        <v/>
      </c>
      <c r="AO305" s="247" t="str">
        <f t="shared" si="176"/>
        <v/>
      </c>
      <c r="AP305" s="247" t="str">
        <f t="shared" si="177"/>
        <v/>
      </c>
      <c r="AQ305" s="42">
        <f t="shared" si="195"/>
        <v>1</v>
      </c>
      <c r="AR305" s="42">
        <f t="shared" si="196"/>
        <v>1</v>
      </c>
      <c r="AS305" s="42">
        <f t="shared" si="197"/>
        <v>1</v>
      </c>
      <c r="AT305" s="42">
        <f t="shared" si="198"/>
        <v>1</v>
      </c>
      <c r="AU305" s="247" t="str">
        <f t="shared" si="178"/>
        <v/>
      </c>
      <c r="AV305" s="247" t="str">
        <f t="shared" si="179"/>
        <v/>
      </c>
    </row>
    <row r="306" spans="1:48" ht="15" x14ac:dyDescent="0.2">
      <c r="A306" s="418" t="s">
        <v>3337</v>
      </c>
      <c r="B306" s="419"/>
      <c r="C306" s="420" t="s">
        <v>4037</v>
      </c>
      <c r="D306" s="425"/>
      <c r="E306" s="1348"/>
      <c r="F306" s="1348"/>
      <c r="G306" s="1352"/>
      <c r="H306" s="1295"/>
      <c r="I306" s="420"/>
      <c r="J306" s="441"/>
      <c r="K306" s="441"/>
      <c r="L306" s="441"/>
      <c r="M306" s="442"/>
      <c r="N306" s="422"/>
      <c r="O306" s="1752"/>
      <c r="P306" s="1608"/>
      <c r="Q306" s="1596"/>
      <c r="R306" s="1596"/>
      <c r="S306" s="1597"/>
      <c r="T306" s="1595"/>
      <c r="U306" s="1744"/>
      <c r="V306" s="1598"/>
      <c r="W306" s="1598"/>
      <c r="X306" s="1598"/>
      <c r="Y306" s="1598"/>
      <c r="Z306" s="1599"/>
      <c r="AA306" s="443"/>
      <c r="AB306" s="444"/>
      <c r="AC306" s="444"/>
      <c r="AD306" s="1595"/>
      <c r="AE306" s="1597"/>
      <c r="AF306" s="1595"/>
      <c r="AG306" s="1748"/>
      <c r="AH306" s="1749"/>
      <c r="AI306" s="1627"/>
      <c r="AJ306" s="1628"/>
      <c r="AK306" s="1628"/>
      <c r="AL306" s="1629"/>
      <c r="AM306" s="247" t="str">
        <f t="shared" si="174"/>
        <v/>
      </c>
      <c r="AN306" s="247" t="str">
        <f t="shared" si="175"/>
        <v/>
      </c>
      <c r="AO306" s="247" t="str">
        <f t="shared" si="176"/>
        <v/>
      </c>
      <c r="AP306" s="247" t="str">
        <f t="shared" si="177"/>
        <v/>
      </c>
      <c r="AU306" s="247" t="str">
        <f t="shared" si="178"/>
        <v/>
      </c>
      <c r="AV306" s="247" t="str">
        <f t="shared" si="179"/>
        <v/>
      </c>
    </row>
    <row r="307" spans="1:48" ht="24" x14ac:dyDescent="0.2">
      <c r="A307" s="450" t="s">
        <v>631</v>
      </c>
      <c r="B307" s="429" t="s">
        <v>3691</v>
      </c>
      <c r="C307" s="430" t="s">
        <v>3521</v>
      </c>
      <c r="D307" s="1349" t="s">
        <v>4811</v>
      </c>
      <c r="E307" s="1350" t="s">
        <v>2778</v>
      </c>
      <c r="F307" s="1350" t="s">
        <v>2794</v>
      </c>
      <c r="G307" s="1351" t="s">
        <v>5554</v>
      </c>
      <c r="H307" s="1342" t="s">
        <v>1327</v>
      </c>
      <c r="I307" s="432" t="s">
        <v>1545</v>
      </c>
      <c r="J307" s="431"/>
      <c r="K307" s="431"/>
      <c r="L307" s="431"/>
      <c r="M307" s="433" t="s">
        <v>5066</v>
      </c>
      <c r="N307" s="434"/>
      <c r="O307" s="1743" t="str">
        <f>VLOOKUP(B307,code_famille_scénario,2)&amp;VLOOKUP(C307,code_actif,2)&amp;" due "&amp;VLOOKUP(I307,code_event,2)&amp;", "&amp;VLOOKUP(M307,code_process,2)</f>
        <v>Divulgation, par erreur, de fichiers  bureautiques personnels  due à une erreur de procédure, lors de traitements utilisateurs</v>
      </c>
      <c r="P307" s="435">
        <v>1</v>
      </c>
      <c r="Q307" s="1595" t="s">
        <v>6403</v>
      </c>
      <c r="R307" s="1595" t="s">
        <v>4811</v>
      </c>
      <c r="S307" s="1595" t="str">
        <f>Classif!E6</f>
        <v/>
      </c>
      <c r="T307" s="1595">
        <f t="shared" ref="T307:T323" si="200">VLOOKUP(H307&amp;"."&amp;I307,Tab_event,4)</f>
        <v>3</v>
      </c>
      <c r="U307" s="1744" t="str">
        <f t="shared" ref="U307:U323" si="201">IF(AND(NOT(S307=""),NOT(T307="")),INDEX(base_g,5-S307,T307),"")</f>
        <v/>
      </c>
      <c r="V307" s="1745">
        <v>1</v>
      </c>
      <c r="W307" s="1745">
        <f>S11C01</f>
        <v>1</v>
      </c>
      <c r="X307" s="1745">
        <v>1</v>
      </c>
      <c r="Y307" s="1745">
        <v>1</v>
      </c>
      <c r="Z307" s="1746">
        <v>0</v>
      </c>
      <c r="AA307" s="1747"/>
      <c r="AB307" s="1748"/>
      <c r="AC307" s="1748"/>
      <c r="AD307" s="1595" t="str">
        <f t="shared" si="180"/>
        <v/>
      </c>
      <c r="AE307" s="1595">
        <f t="shared" ref="AE307:AE323" si="202">IF(OR(Q307="",T307=""),"",IF(Q307="A",INDEX(base_p,4,W307+7*(T307-1)),IF(Q307="E",INDEX(base_p,15,W307+7*(T307-1)),INDEX(base_p,27-V307,W307+7*(T307-1)))))</f>
        <v>3</v>
      </c>
      <c r="AF307" s="1595" t="str">
        <f t="shared" ref="AF307:AF323" si="203">IF(AT307=1,IF(IndG=1,U307,IF(AND(OR(NOT(AD307=""),NOT(AB307="")),OR(NOT(AE307=""),NOT(AC307="")),AT307=1),INDEX(base_g,5-IF(AB307="",AD307,AB307),IF(AC307="",AE307,AC307)),"")),0)</f>
        <v/>
      </c>
      <c r="AG307" s="1748"/>
      <c r="AH307" s="1749" t="str">
        <f t="shared" si="181"/>
        <v/>
      </c>
      <c r="AI307" s="1615"/>
      <c r="AJ307" s="1616" t="s">
        <v>12</v>
      </c>
      <c r="AK307" s="1618"/>
      <c r="AL307" s="1619"/>
      <c r="AM307" s="247" t="str">
        <f t="shared" si="174"/>
        <v/>
      </c>
      <c r="AN307" s="247" t="str">
        <f t="shared" si="175"/>
        <v/>
      </c>
      <c r="AO307" s="247" t="str">
        <f t="shared" si="176"/>
        <v/>
      </c>
      <c r="AP307" s="247" t="str">
        <f t="shared" si="177"/>
        <v/>
      </c>
      <c r="AQ307" s="42">
        <f t="shared" ref="AQ307:AQ323" si="204">VLOOKUP(LEFT(C307,3),Tab_classif_data,6)</f>
        <v>1</v>
      </c>
      <c r="AR307" s="42">
        <f t="shared" ref="AR307:AR323" si="205">VLOOKUP(G307,select_vul_data,2)</f>
        <v>1</v>
      </c>
      <c r="AS307" s="42">
        <f t="shared" ref="AS307:AS323" si="206">VLOOKUP(H307&amp;"."&amp;I307,select_men,5)</f>
        <v>1</v>
      </c>
      <c r="AT307" s="42">
        <f t="shared" ref="AT307:AT323" si="207">P307*AQ307*AR307*AS307</f>
        <v>1</v>
      </c>
      <c r="AU307" s="247" t="str">
        <f t="shared" si="178"/>
        <v/>
      </c>
      <c r="AV307" s="247" t="str">
        <f t="shared" si="179"/>
        <v/>
      </c>
    </row>
    <row r="308" spans="1:48" ht="24" x14ac:dyDescent="0.2">
      <c r="A308" s="450" t="s">
        <v>632</v>
      </c>
      <c r="B308" s="429" t="s">
        <v>3691</v>
      </c>
      <c r="C308" s="430" t="s">
        <v>3521</v>
      </c>
      <c r="D308" s="1349" t="s">
        <v>4811</v>
      </c>
      <c r="E308" s="1350" t="s">
        <v>2778</v>
      </c>
      <c r="F308" s="1350" t="s">
        <v>2794</v>
      </c>
      <c r="G308" s="1351" t="s">
        <v>5554</v>
      </c>
      <c r="H308" s="1342" t="s">
        <v>1327</v>
      </c>
      <c r="I308" s="432" t="s">
        <v>1545</v>
      </c>
      <c r="J308" s="431"/>
      <c r="K308" s="431"/>
      <c r="L308" s="431"/>
      <c r="M308" s="433" t="s">
        <v>6513</v>
      </c>
      <c r="N308" s="434" t="s">
        <v>6403</v>
      </c>
      <c r="O308" s="1743" t="str">
        <f>VLOOKUP(B308,code_famille_scénario,2)&amp;VLOOKUP(C308,code_actif,2)&amp;" due "&amp;VLOOKUP(I308,code_event,2)&amp;", "&amp;VLOOKUP(M308,code_process,2)</f>
        <v>Divulgation, par erreur, de fichiers  bureautiques personnels  due à une erreur de procédure, lors d'une opération de maintenance matérielle</v>
      </c>
      <c r="P308" s="435">
        <v>1</v>
      </c>
      <c r="Q308" s="1595" t="s">
        <v>6403</v>
      </c>
      <c r="R308" s="1595" t="s">
        <v>4811</v>
      </c>
      <c r="S308" s="1595" t="str">
        <f>Classif!E6</f>
        <v/>
      </c>
      <c r="T308" s="1595">
        <f t="shared" si="200"/>
        <v>3</v>
      </c>
      <c r="U308" s="1744" t="str">
        <f t="shared" si="201"/>
        <v/>
      </c>
      <c r="V308" s="1745">
        <v>1</v>
      </c>
      <c r="W308" s="1745">
        <f>MAX(S11C01,S11C03)</f>
        <v>1</v>
      </c>
      <c r="X308" s="1745">
        <v>1</v>
      </c>
      <c r="Y308" s="1745">
        <v>1</v>
      </c>
      <c r="Z308" s="1746">
        <v>0</v>
      </c>
      <c r="AA308" s="1747"/>
      <c r="AB308" s="1748"/>
      <c r="AC308" s="1748"/>
      <c r="AD308" s="1595" t="str">
        <f t="shared" si="180"/>
        <v/>
      </c>
      <c r="AE308" s="1595">
        <f t="shared" si="202"/>
        <v>3</v>
      </c>
      <c r="AF308" s="1595" t="str">
        <f t="shared" si="203"/>
        <v/>
      </c>
      <c r="AG308" s="1748"/>
      <c r="AH308" s="1749" t="str">
        <f t="shared" si="181"/>
        <v/>
      </c>
      <c r="AI308" s="1615"/>
      <c r="AJ308" s="1616" t="s">
        <v>3274</v>
      </c>
      <c r="AK308" s="1618"/>
      <c r="AL308" s="1619"/>
      <c r="AM308" s="247" t="str">
        <f t="shared" si="174"/>
        <v/>
      </c>
      <c r="AN308" s="247" t="str">
        <f t="shared" si="175"/>
        <v/>
      </c>
      <c r="AO308" s="247" t="str">
        <f t="shared" si="176"/>
        <v/>
      </c>
      <c r="AP308" s="247" t="str">
        <f t="shared" si="177"/>
        <v/>
      </c>
      <c r="AQ308" s="42">
        <f t="shared" si="204"/>
        <v>1</v>
      </c>
      <c r="AR308" s="42">
        <f t="shared" si="205"/>
        <v>1</v>
      </c>
      <c r="AS308" s="42">
        <f t="shared" si="206"/>
        <v>1</v>
      </c>
      <c r="AT308" s="42">
        <f t="shared" si="207"/>
        <v>1</v>
      </c>
      <c r="AU308" s="247" t="str">
        <f t="shared" si="178"/>
        <v/>
      </c>
      <c r="AV308" s="247" t="str">
        <f t="shared" si="179"/>
        <v/>
      </c>
    </row>
    <row r="309" spans="1:48" ht="36" x14ac:dyDescent="0.2">
      <c r="A309" s="450" t="s">
        <v>633</v>
      </c>
      <c r="B309" s="429" t="s">
        <v>3696</v>
      </c>
      <c r="C309" s="430" t="s">
        <v>3521</v>
      </c>
      <c r="D309" s="1349" t="s">
        <v>4811</v>
      </c>
      <c r="E309" s="1350" t="s">
        <v>7449</v>
      </c>
      <c r="F309" s="1350" t="s">
        <v>2794</v>
      </c>
      <c r="G309" s="1351" t="s">
        <v>5554</v>
      </c>
      <c r="H309" s="1342" t="s">
        <v>1328</v>
      </c>
      <c r="I309" s="432" t="s">
        <v>1305</v>
      </c>
      <c r="J309" s="431"/>
      <c r="K309" s="431" t="s">
        <v>3523</v>
      </c>
      <c r="L309" s="431" t="s">
        <v>1562</v>
      </c>
      <c r="M309" s="433"/>
      <c r="N309" s="434" t="s">
        <v>3518</v>
      </c>
      <c r="O309" s="1743" t="str">
        <f>VLOOKUP(B309,code_famille_scénario,2)&amp;VLOOKUP(C309,code_actif,2)&amp;", par "&amp;VLOOKUP(N309,code_acteur,2)&amp;", "&amp;VLOOKUP(L309,code_acces,2)&amp;", "&amp;VLOOKUP(K309,code_temps,2)</f>
        <v>Détournement de fichiers  bureautiques personnels , par un membre du personnel non autorisé, se connectant directement au poste de travail, en l'absence de l'utilisateur</v>
      </c>
      <c r="P309" s="435">
        <v>1</v>
      </c>
      <c r="Q309" s="1595" t="s">
        <v>1299</v>
      </c>
      <c r="R309" s="1595" t="s">
        <v>4811</v>
      </c>
      <c r="S309" s="1595" t="str">
        <f>Classif!E6</f>
        <v/>
      </c>
      <c r="T309" s="1595">
        <f t="shared" si="200"/>
        <v>3</v>
      </c>
      <c r="U309" s="1744" t="str">
        <f t="shared" si="201"/>
        <v/>
      </c>
      <c r="V309" s="1745">
        <v>1</v>
      </c>
      <c r="W309" s="1745">
        <f>MAX(MIN(S11B01,S11E01),S11C01)</f>
        <v>1</v>
      </c>
      <c r="X309" s="1745">
        <v>1</v>
      </c>
      <c r="Y309" s="1745">
        <v>1</v>
      </c>
      <c r="Z309" s="1746">
        <v>0</v>
      </c>
      <c r="AA309" s="1747"/>
      <c r="AB309" s="1748"/>
      <c r="AC309" s="1748"/>
      <c r="AD309" s="1595" t="str">
        <f t="shared" si="180"/>
        <v/>
      </c>
      <c r="AE309" s="1595">
        <f t="shared" si="202"/>
        <v>3</v>
      </c>
      <c r="AF309" s="1595" t="str">
        <f t="shared" si="203"/>
        <v/>
      </c>
      <c r="AG309" s="1748"/>
      <c r="AH309" s="1749" t="str">
        <f t="shared" si="181"/>
        <v/>
      </c>
      <c r="AI309" s="1615"/>
      <c r="AJ309" s="1616" t="s">
        <v>5759</v>
      </c>
      <c r="AK309" s="1618"/>
      <c r="AL309" s="1619"/>
      <c r="AM309" s="247" t="str">
        <f t="shared" si="174"/>
        <v/>
      </c>
      <c r="AN309" s="247" t="str">
        <f t="shared" si="175"/>
        <v/>
      </c>
      <c r="AO309" s="247" t="str">
        <f t="shared" si="176"/>
        <v/>
      </c>
      <c r="AP309" s="247" t="str">
        <f t="shared" si="177"/>
        <v/>
      </c>
      <c r="AQ309" s="42">
        <f t="shared" si="204"/>
        <v>1</v>
      </c>
      <c r="AR309" s="42">
        <f t="shared" si="205"/>
        <v>1</v>
      </c>
      <c r="AS309" s="42">
        <f t="shared" si="206"/>
        <v>1</v>
      </c>
      <c r="AT309" s="42">
        <f t="shared" si="207"/>
        <v>1</v>
      </c>
      <c r="AU309" s="247" t="str">
        <f t="shared" si="178"/>
        <v/>
      </c>
      <c r="AV309" s="247" t="str">
        <f t="shared" si="179"/>
        <v/>
      </c>
    </row>
    <row r="310" spans="1:48" ht="36" x14ac:dyDescent="0.2">
      <c r="A310" s="450" t="s">
        <v>634</v>
      </c>
      <c r="B310" s="429" t="s">
        <v>3696</v>
      </c>
      <c r="C310" s="430" t="s">
        <v>3521</v>
      </c>
      <c r="D310" s="1349" t="s">
        <v>4811</v>
      </c>
      <c r="E310" s="1350" t="s">
        <v>7449</v>
      </c>
      <c r="F310" s="1350" t="s">
        <v>2794</v>
      </c>
      <c r="G310" s="1351" t="s">
        <v>5554</v>
      </c>
      <c r="H310" s="1342" t="s">
        <v>1328</v>
      </c>
      <c r="I310" s="432" t="s">
        <v>1305</v>
      </c>
      <c r="J310" s="431"/>
      <c r="K310" s="431" t="s">
        <v>3524</v>
      </c>
      <c r="L310" s="431" t="s">
        <v>1562</v>
      </c>
      <c r="M310" s="433"/>
      <c r="N310" s="434" t="s">
        <v>3518</v>
      </c>
      <c r="O310" s="1743" t="str">
        <f>VLOOKUP(B310,code_famille_scénario,2)&amp;VLOOKUP(C310,code_actif,2)&amp;", par "&amp;VLOOKUP(N310,code_acteur,2)&amp;", "&amp;VLOOKUP(L310,code_acces,2)&amp;", "&amp;VLOOKUP(K310,code_temps,2)</f>
        <v>Détournement de fichiers  bureautiques personnels , par un membre du personnel non autorisé, se connectant directement au poste de travail, en dehors des heures ouvrables</v>
      </c>
      <c r="P310" s="435">
        <v>1</v>
      </c>
      <c r="Q310" s="1595" t="s">
        <v>1299</v>
      </c>
      <c r="R310" s="1595" t="s">
        <v>4811</v>
      </c>
      <c r="S310" s="1595" t="str">
        <f>Classif!E6</f>
        <v/>
      </c>
      <c r="T310" s="1595">
        <f t="shared" si="200"/>
        <v>3</v>
      </c>
      <c r="U310" s="1744" t="str">
        <f t="shared" si="201"/>
        <v/>
      </c>
      <c r="V310" s="1745">
        <v>1</v>
      </c>
      <c r="W310" s="1745">
        <f>MAX(MIN(S11B01,S11E01),S11C01)</f>
        <v>1</v>
      </c>
      <c r="X310" s="1745">
        <v>1</v>
      </c>
      <c r="Y310" s="1745">
        <v>1</v>
      </c>
      <c r="Z310" s="1746">
        <v>0</v>
      </c>
      <c r="AA310" s="1747"/>
      <c r="AB310" s="1748"/>
      <c r="AC310" s="1748"/>
      <c r="AD310" s="1595" t="str">
        <f t="shared" si="180"/>
        <v/>
      </c>
      <c r="AE310" s="1595">
        <f t="shared" si="202"/>
        <v>3</v>
      </c>
      <c r="AF310" s="1595" t="str">
        <f t="shared" si="203"/>
        <v/>
      </c>
      <c r="AG310" s="1748"/>
      <c r="AH310" s="1749" t="str">
        <f t="shared" si="181"/>
        <v/>
      </c>
      <c r="AI310" s="1615"/>
      <c r="AJ310" s="1616" t="s">
        <v>5759</v>
      </c>
      <c r="AK310" s="1618"/>
      <c r="AL310" s="1619"/>
      <c r="AM310" s="247" t="str">
        <f t="shared" si="174"/>
        <v/>
      </c>
      <c r="AN310" s="247" t="str">
        <f t="shared" si="175"/>
        <v/>
      </c>
      <c r="AO310" s="247" t="str">
        <f t="shared" si="176"/>
        <v/>
      </c>
      <c r="AP310" s="247" t="str">
        <f t="shared" si="177"/>
        <v/>
      </c>
      <c r="AQ310" s="42">
        <f t="shared" si="204"/>
        <v>1</v>
      </c>
      <c r="AR310" s="42">
        <f t="shared" si="205"/>
        <v>1</v>
      </c>
      <c r="AS310" s="42">
        <f t="shared" si="206"/>
        <v>1</v>
      </c>
      <c r="AT310" s="42">
        <f t="shared" si="207"/>
        <v>1</v>
      </c>
      <c r="AU310" s="247" t="str">
        <f t="shared" si="178"/>
        <v/>
      </c>
      <c r="AV310" s="247" t="str">
        <f t="shared" si="179"/>
        <v/>
      </c>
    </row>
    <row r="311" spans="1:48" ht="24" x14ac:dyDescent="0.2">
      <c r="A311" s="450" t="s">
        <v>635</v>
      </c>
      <c r="B311" s="429" t="s">
        <v>3696</v>
      </c>
      <c r="C311" s="430" t="s">
        <v>3521</v>
      </c>
      <c r="D311" s="1349" t="s">
        <v>4811</v>
      </c>
      <c r="E311" s="1350" t="s">
        <v>7449</v>
      </c>
      <c r="F311" s="1350" t="s">
        <v>2794</v>
      </c>
      <c r="G311" s="1351" t="s">
        <v>5554</v>
      </c>
      <c r="H311" s="1342" t="s">
        <v>1328</v>
      </c>
      <c r="I311" s="432" t="s">
        <v>1305</v>
      </c>
      <c r="J311" s="431"/>
      <c r="K311" s="431"/>
      <c r="L311" s="431"/>
      <c r="M311" s="433" t="s">
        <v>1880</v>
      </c>
      <c r="N311" s="434" t="s">
        <v>6403</v>
      </c>
      <c r="O311" s="1743" t="str">
        <f>VLOOKUP(B311,code_famille_scénario,2)&amp;VLOOKUP(C311,code_actif,2)&amp;", "&amp;VLOOKUP(M311,code_process,2)&amp;", par "&amp;VLOOKUP(N311,code_acteur,2)</f>
        <v>Détournement de fichiers  bureautiques personnels , en exploitation, par un membre du personnel d'exploitation</v>
      </c>
      <c r="P311" s="435">
        <v>1</v>
      </c>
      <c r="Q311" s="1595" t="s">
        <v>1299</v>
      </c>
      <c r="R311" s="1595" t="s">
        <v>4811</v>
      </c>
      <c r="S311" s="1595" t="str">
        <f>Classif!E6</f>
        <v/>
      </c>
      <c r="T311" s="1595">
        <f t="shared" si="200"/>
        <v>3</v>
      </c>
      <c r="U311" s="1744" t="str">
        <f t="shared" si="201"/>
        <v/>
      </c>
      <c r="V311" s="1745">
        <f>MIN(S11E02,S11E03)</f>
        <v>1</v>
      </c>
      <c r="W311" s="1745">
        <f>S11C01</f>
        <v>1</v>
      </c>
      <c r="X311" s="1745">
        <v>1</v>
      </c>
      <c r="Y311" s="1745">
        <v>1</v>
      </c>
      <c r="Z311" s="1746">
        <v>0</v>
      </c>
      <c r="AA311" s="1747"/>
      <c r="AB311" s="1748"/>
      <c r="AC311" s="1748"/>
      <c r="AD311" s="1595" t="str">
        <f t="shared" si="180"/>
        <v/>
      </c>
      <c r="AE311" s="1595">
        <f t="shared" si="202"/>
        <v>3</v>
      </c>
      <c r="AF311" s="1595" t="str">
        <f t="shared" si="203"/>
        <v/>
      </c>
      <c r="AG311" s="1748"/>
      <c r="AH311" s="1749" t="str">
        <f t="shared" si="181"/>
        <v/>
      </c>
      <c r="AI311" s="1615" t="s">
        <v>1707</v>
      </c>
      <c r="AJ311" s="1616" t="s">
        <v>12</v>
      </c>
      <c r="AK311" s="1618"/>
      <c r="AL311" s="1619"/>
      <c r="AM311" s="247" t="str">
        <f t="shared" si="174"/>
        <v/>
      </c>
      <c r="AN311" s="247" t="str">
        <f t="shared" si="175"/>
        <v/>
      </c>
      <c r="AO311" s="247" t="str">
        <f t="shared" si="176"/>
        <v/>
      </c>
      <c r="AP311" s="247" t="str">
        <f t="shared" si="177"/>
        <v/>
      </c>
      <c r="AQ311" s="42">
        <f t="shared" si="204"/>
        <v>1</v>
      </c>
      <c r="AR311" s="42">
        <f t="shared" si="205"/>
        <v>1</v>
      </c>
      <c r="AS311" s="42">
        <f t="shared" si="206"/>
        <v>1</v>
      </c>
      <c r="AT311" s="42">
        <f t="shared" si="207"/>
        <v>1</v>
      </c>
      <c r="AU311" s="247" t="str">
        <f t="shared" si="178"/>
        <v/>
      </c>
      <c r="AV311" s="247" t="str">
        <f t="shared" si="179"/>
        <v/>
      </c>
    </row>
    <row r="312" spans="1:48" ht="24" x14ac:dyDescent="0.2">
      <c r="A312" s="450" t="s">
        <v>636</v>
      </c>
      <c r="B312" s="429" t="s">
        <v>3696</v>
      </c>
      <c r="C312" s="430" t="s">
        <v>3521</v>
      </c>
      <c r="D312" s="1349" t="s">
        <v>4811</v>
      </c>
      <c r="E312" s="1350" t="s">
        <v>7449</v>
      </c>
      <c r="F312" s="1350" t="s">
        <v>2794</v>
      </c>
      <c r="G312" s="1351" t="s">
        <v>5554</v>
      </c>
      <c r="H312" s="1342" t="s">
        <v>1328</v>
      </c>
      <c r="I312" s="432" t="s">
        <v>1305</v>
      </c>
      <c r="J312" s="431"/>
      <c r="K312" s="431"/>
      <c r="L312" s="431"/>
      <c r="M312" s="433" t="s">
        <v>1542</v>
      </c>
      <c r="N312" s="434" t="s">
        <v>1299</v>
      </c>
      <c r="O312" s="1743" t="str">
        <f>VLOOKUP(B312,code_famille_scénario,2)&amp;VLOOKUP(C312,code_actif,2)&amp;", "&amp;VLOOKUP(M312,code_process,2)&amp;", par "&amp;VLOOKUP(N312,code_acteur,2)</f>
        <v>Détournement de fichiers  bureautiques personnels , lors d'une opération de maintenance, par un membre du personnel de maintenance</v>
      </c>
      <c r="P312" s="435">
        <v>1</v>
      </c>
      <c r="Q312" s="1595" t="s">
        <v>1299</v>
      </c>
      <c r="R312" s="1595" t="s">
        <v>4811</v>
      </c>
      <c r="S312" s="1595" t="str">
        <f>Classif!E6</f>
        <v/>
      </c>
      <c r="T312" s="1595">
        <f t="shared" si="200"/>
        <v>3</v>
      </c>
      <c r="U312" s="1744" t="str">
        <f t="shared" si="201"/>
        <v/>
      </c>
      <c r="V312" s="1745">
        <v>1</v>
      </c>
      <c r="W312" s="1745">
        <f>MAX(S11C01,S11C03)</f>
        <v>1</v>
      </c>
      <c r="X312" s="1745">
        <v>1</v>
      </c>
      <c r="Y312" s="1745">
        <v>1</v>
      </c>
      <c r="Z312" s="1746">
        <v>0</v>
      </c>
      <c r="AA312" s="1747"/>
      <c r="AB312" s="1748"/>
      <c r="AC312" s="1748"/>
      <c r="AD312" s="1595" t="str">
        <f t="shared" si="180"/>
        <v/>
      </c>
      <c r="AE312" s="1595">
        <f t="shared" si="202"/>
        <v>3</v>
      </c>
      <c r="AF312" s="1595" t="str">
        <f t="shared" si="203"/>
        <v/>
      </c>
      <c r="AG312" s="1748"/>
      <c r="AH312" s="1749" t="str">
        <f t="shared" si="181"/>
        <v/>
      </c>
      <c r="AI312" s="1615"/>
      <c r="AJ312" s="1616" t="s">
        <v>3274</v>
      </c>
      <c r="AK312" s="1618"/>
      <c r="AL312" s="1619"/>
      <c r="AM312" s="247" t="str">
        <f t="shared" si="174"/>
        <v/>
      </c>
      <c r="AN312" s="247" t="str">
        <f t="shared" si="175"/>
        <v/>
      </c>
      <c r="AO312" s="247" t="str">
        <f t="shared" si="176"/>
        <v/>
      </c>
      <c r="AP312" s="247" t="str">
        <f t="shared" si="177"/>
        <v/>
      </c>
      <c r="AQ312" s="42">
        <f t="shared" si="204"/>
        <v>1</v>
      </c>
      <c r="AR312" s="42">
        <f t="shared" si="205"/>
        <v>1</v>
      </c>
      <c r="AS312" s="42">
        <f t="shared" si="206"/>
        <v>1</v>
      </c>
      <c r="AT312" s="42">
        <f t="shared" si="207"/>
        <v>1</v>
      </c>
      <c r="AU312" s="247" t="str">
        <f t="shared" si="178"/>
        <v/>
      </c>
      <c r="AV312" s="247" t="str">
        <f t="shared" si="179"/>
        <v/>
      </c>
    </row>
    <row r="313" spans="1:48" ht="24" x14ac:dyDescent="0.2">
      <c r="A313" s="450" t="s">
        <v>637</v>
      </c>
      <c r="B313" s="429" t="s">
        <v>2480</v>
      </c>
      <c r="C313" s="430" t="s">
        <v>3521</v>
      </c>
      <c r="D313" s="1349" t="s">
        <v>4811</v>
      </c>
      <c r="E313" s="1350" t="s">
        <v>1874</v>
      </c>
      <c r="F313" s="1350" t="s">
        <v>4498</v>
      </c>
      <c r="G313" s="1351" t="s">
        <v>6071</v>
      </c>
      <c r="H313" s="1342" t="s">
        <v>1327</v>
      </c>
      <c r="I313" s="432" t="s">
        <v>2506</v>
      </c>
      <c r="J313" s="431" t="s">
        <v>3525</v>
      </c>
      <c r="K313" s="431"/>
      <c r="L313" s="431"/>
      <c r="M313" s="433"/>
      <c r="N313" s="434"/>
      <c r="O313" s="1743" t="str">
        <f>VLOOKUP(B313,code_famille_scénario,2)&amp;VLOOKUP(C313,code_actif,2)&amp;", "&amp;VLOOKUP(J313,Code_lieu,2)</f>
        <v>Divulgation d'informations, par perte accidentelle, de media support de fichiers  bureautiques personnels , en dehors de l'entreprise</v>
      </c>
      <c r="P313" s="435">
        <v>1</v>
      </c>
      <c r="Q313" s="1595" t="s">
        <v>1431</v>
      </c>
      <c r="R313" s="1595" t="s">
        <v>4811</v>
      </c>
      <c r="S313" s="1595" t="str">
        <f>Classif!E6</f>
        <v/>
      </c>
      <c r="T313" s="1595">
        <f t="shared" si="200"/>
        <v>3</v>
      </c>
      <c r="U313" s="1744" t="str">
        <f t="shared" si="201"/>
        <v/>
      </c>
      <c r="V313" s="1745">
        <v>1</v>
      </c>
      <c r="W313" s="1745">
        <f>S11C01</f>
        <v>1</v>
      </c>
      <c r="X313" s="1745">
        <v>1</v>
      </c>
      <c r="Y313" s="1745">
        <v>1</v>
      </c>
      <c r="Z313" s="1746">
        <v>0</v>
      </c>
      <c r="AA313" s="1747"/>
      <c r="AB313" s="1748"/>
      <c r="AC313" s="1748"/>
      <c r="AD313" s="1595" t="str">
        <f t="shared" si="180"/>
        <v/>
      </c>
      <c r="AE313" s="1595">
        <f t="shared" si="202"/>
        <v>3</v>
      </c>
      <c r="AF313" s="1595" t="str">
        <f t="shared" si="203"/>
        <v/>
      </c>
      <c r="AG313" s="1748"/>
      <c r="AH313" s="1749" t="str">
        <f t="shared" si="181"/>
        <v/>
      </c>
      <c r="AI313" s="1615"/>
      <c r="AJ313" s="1616" t="s">
        <v>12</v>
      </c>
      <c r="AK313" s="1618"/>
      <c r="AL313" s="1617"/>
      <c r="AM313" s="247" t="str">
        <f t="shared" si="174"/>
        <v/>
      </c>
      <c r="AN313" s="247" t="str">
        <f t="shared" si="175"/>
        <v/>
      </c>
      <c r="AO313" s="247" t="str">
        <f t="shared" si="176"/>
        <v/>
      </c>
      <c r="AP313" s="247" t="str">
        <f t="shared" si="177"/>
        <v/>
      </c>
      <c r="AQ313" s="42">
        <f t="shared" si="204"/>
        <v>1</v>
      </c>
      <c r="AR313" s="42">
        <f t="shared" si="205"/>
        <v>1</v>
      </c>
      <c r="AS313" s="42">
        <f t="shared" si="206"/>
        <v>1</v>
      </c>
      <c r="AT313" s="42">
        <f t="shared" si="207"/>
        <v>1</v>
      </c>
      <c r="AU313" s="247" t="str">
        <f t="shared" si="178"/>
        <v/>
      </c>
      <c r="AV313" s="247" t="str">
        <f t="shared" si="179"/>
        <v/>
      </c>
    </row>
    <row r="314" spans="1:48" ht="36" x14ac:dyDescent="0.2">
      <c r="A314" s="450" t="s">
        <v>638</v>
      </c>
      <c r="B314" s="429" t="s">
        <v>2461</v>
      </c>
      <c r="C314" s="430" t="s">
        <v>3521</v>
      </c>
      <c r="D314" s="1349" t="s">
        <v>4811</v>
      </c>
      <c r="E314" s="1350" t="s">
        <v>1874</v>
      </c>
      <c r="F314" s="1350" t="s">
        <v>4498</v>
      </c>
      <c r="G314" s="1351" t="s">
        <v>6071</v>
      </c>
      <c r="H314" s="1342" t="s">
        <v>1329</v>
      </c>
      <c r="I314" s="432" t="s">
        <v>1305</v>
      </c>
      <c r="J314" s="431" t="s">
        <v>3522</v>
      </c>
      <c r="K314" s="431" t="s">
        <v>3523</v>
      </c>
      <c r="L314" s="431"/>
      <c r="M314" s="433"/>
      <c r="N314" s="434" t="s">
        <v>4814</v>
      </c>
      <c r="O314" s="1743" t="str">
        <f>VLOOKUP(B314,code_famille_scénario,2)&amp;VLOOKUP(C314,code_actif,2)&amp;", "&amp;VLOOKUP(J314,Code_lieu,2)&amp;", par "&amp;VLOOKUP(N314,code_acteur,2)&amp;", "&amp;VLOOKUP(K314,code_temps,2)</f>
        <v>Divulgation d'informations, par vol de media support de fichiers  bureautiques personnels , dans les bureaux, par un membre du personnel de l'entreprise, en l'absence de l'utilisateur</v>
      </c>
      <c r="P314" s="435">
        <v>1</v>
      </c>
      <c r="Q314" s="1595" t="s">
        <v>1299</v>
      </c>
      <c r="R314" s="1595" t="s">
        <v>4811</v>
      </c>
      <c r="S314" s="1595" t="str">
        <f>Classif!E6</f>
        <v/>
      </c>
      <c r="T314" s="1595">
        <f t="shared" si="200"/>
        <v>2</v>
      </c>
      <c r="U314" s="1744" t="str">
        <f t="shared" si="201"/>
        <v/>
      </c>
      <c r="V314" s="1745">
        <f>S02C05</f>
        <v>1</v>
      </c>
      <c r="W314" s="1745">
        <f>MAX(MIN(S02C01,S02C02,S02C03),S11C02)</f>
        <v>1</v>
      </c>
      <c r="X314" s="1745">
        <v>1</v>
      </c>
      <c r="Y314" s="1745">
        <v>1</v>
      </c>
      <c r="Z314" s="1746">
        <v>0</v>
      </c>
      <c r="AA314" s="1747"/>
      <c r="AB314" s="1748"/>
      <c r="AC314" s="1748"/>
      <c r="AD314" s="1595" t="str">
        <f t="shared" si="180"/>
        <v/>
      </c>
      <c r="AE314" s="1595">
        <f t="shared" si="202"/>
        <v>2</v>
      </c>
      <c r="AF314" s="1595" t="str">
        <f t="shared" si="203"/>
        <v/>
      </c>
      <c r="AG314" s="1748"/>
      <c r="AH314" s="1749" t="str">
        <f t="shared" si="181"/>
        <v/>
      </c>
      <c r="AI314" s="1620" t="s">
        <v>3120</v>
      </c>
      <c r="AJ314" s="1616" t="s">
        <v>3350</v>
      </c>
      <c r="AK314" s="1618"/>
      <c r="AL314" s="1619"/>
      <c r="AM314" s="247" t="str">
        <f t="shared" si="174"/>
        <v/>
      </c>
      <c r="AN314" s="247" t="str">
        <f t="shared" si="175"/>
        <v/>
      </c>
      <c r="AO314" s="247" t="str">
        <f t="shared" si="176"/>
        <v/>
      </c>
      <c r="AP314" s="247" t="str">
        <f t="shared" si="177"/>
        <v/>
      </c>
      <c r="AQ314" s="42">
        <f t="shared" si="204"/>
        <v>1</v>
      </c>
      <c r="AR314" s="42">
        <f t="shared" si="205"/>
        <v>1</v>
      </c>
      <c r="AS314" s="42">
        <f t="shared" si="206"/>
        <v>1</v>
      </c>
      <c r="AT314" s="42">
        <f t="shared" si="207"/>
        <v>1</v>
      </c>
      <c r="AU314" s="247" t="str">
        <f t="shared" si="178"/>
        <v/>
      </c>
      <c r="AV314" s="247" t="str">
        <f t="shared" si="179"/>
        <v/>
      </c>
    </row>
    <row r="315" spans="1:48" ht="24" x14ac:dyDescent="0.2">
      <c r="A315" s="450" t="s">
        <v>639</v>
      </c>
      <c r="B315" s="429" t="s">
        <v>2461</v>
      </c>
      <c r="C315" s="430" t="s">
        <v>3521</v>
      </c>
      <c r="D315" s="1349" t="s">
        <v>4811</v>
      </c>
      <c r="E315" s="1350" t="s">
        <v>1874</v>
      </c>
      <c r="F315" s="1350" t="s">
        <v>4498</v>
      </c>
      <c r="G315" s="1351" t="s">
        <v>6071</v>
      </c>
      <c r="H315" s="1342" t="s">
        <v>1329</v>
      </c>
      <c r="I315" s="432" t="s">
        <v>1305</v>
      </c>
      <c r="J315" s="431" t="s">
        <v>3522</v>
      </c>
      <c r="K315" s="431" t="s">
        <v>3523</v>
      </c>
      <c r="L315" s="431"/>
      <c r="M315" s="433"/>
      <c r="N315" s="434" t="s">
        <v>4815</v>
      </c>
      <c r="O315" s="1743" t="str">
        <f>VLOOKUP(B315,code_famille_scénario,2)&amp;VLOOKUP(C315,code_actif,2)&amp;", "&amp;VLOOKUP(J315,Code_lieu,2)&amp;", par "&amp;VLOOKUP(N315,code_acteur,2)&amp;", "&amp;VLOOKUP(K315,code_temps,2)</f>
        <v>Divulgation d'informations, par vol de media support de fichiers  bureautiques personnels , dans les bureaux, par un visiteur, en l'absence de l'utilisateur</v>
      </c>
      <c r="P315" s="435">
        <v>1</v>
      </c>
      <c r="Q315" s="1595" t="s">
        <v>1299</v>
      </c>
      <c r="R315" s="1595" t="s">
        <v>4811</v>
      </c>
      <c r="S315" s="1595" t="str">
        <f>Classif!E6</f>
        <v/>
      </c>
      <c r="T315" s="1595">
        <f t="shared" si="200"/>
        <v>2</v>
      </c>
      <c r="U315" s="1744" t="str">
        <f t="shared" si="201"/>
        <v/>
      </c>
      <c r="V315" s="1745">
        <f>S02C05</f>
        <v>1</v>
      </c>
      <c r="W315" s="1745">
        <f>MAX(S02C06,S11C02)</f>
        <v>1</v>
      </c>
      <c r="X315" s="1745">
        <v>1</v>
      </c>
      <c r="Y315" s="1745">
        <v>1</v>
      </c>
      <c r="Z315" s="1746">
        <v>0</v>
      </c>
      <c r="AA315" s="1747"/>
      <c r="AB315" s="1748"/>
      <c r="AC315" s="1748"/>
      <c r="AD315" s="1595" t="str">
        <f t="shared" si="180"/>
        <v/>
      </c>
      <c r="AE315" s="1595">
        <f t="shared" si="202"/>
        <v>2</v>
      </c>
      <c r="AF315" s="1595" t="str">
        <f t="shared" si="203"/>
        <v/>
      </c>
      <c r="AG315" s="1748"/>
      <c r="AH315" s="1749" t="str">
        <f t="shared" si="181"/>
        <v/>
      </c>
      <c r="AI315" s="1620" t="s">
        <v>3120</v>
      </c>
      <c r="AJ315" s="1616" t="s">
        <v>3351</v>
      </c>
      <c r="AK315" s="1618"/>
      <c r="AL315" s="1619"/>
      <c r="AM315" s="247" t="str">
        <f t="shared" si="174"/>
        <v/>
      </c>
      <c r="AN315" s="247" t="str">
        <f t="shared" si="175"/>
        <v/>
      </c>
      <c r="AO315" s="247" t="str">
        <f t="shared" si="176"/>
        <v/>
      </c>
      <c r="AP315" s="247" t="str">
        <f t="shared" si="177"/>
        <v/>
      </c>
      <c r="AQ315" s="42">
        <f t="shared" si="204"/>
        <v>1</v>
      </c>
      <c r="AR315" s="42">
        <f t="shared" si="205"/>
        <v>1</v>
      </c>
      <c r="AS315" s="42">
        <f t="shared" si="206"/>
        <v>1</v>
      </c>
      <c r="AT315" s="42">
        <f t="shared" si="207"/>
        <v>1</v>
      </c>
      <c r="AU315" s="247" t="str">
        <f t="shared" si="178"/>
        <v/>
      </c>
      <c r="AV315" s="247" t="str">
        <f t="shared" si="179"/>
        <v/>
      </c>
    </row>
    <row r="316" spans="1:48" ht="36" x14ac:dyDescent="0.2">
      <c r="A316" s="450" t="s">
        <v>640</v>
      </c>
      <c r="B316" s="429" t="s">
        <v>2461</v>
      </c>
      <c r="C316" s="430" t="s">
        <v>3521</v>
      </c>
      <c r="D316" s="1349" t="s">
        <v>4811</v>
      </c>
      <c r="E316" s="1350" t="s">
        <v>1874</v>
      </c>
      <c r="F316" s="1350" t="s">
        <v>4498</v>
      </c>
      <c r="G316" s="1351" t="s">
        <v>6071</v>
      </c>
      <c r="H316" s="1342" t="s">
        <v>1329</v>
      </c>
      <c r="I316" s="432" t="s">
        <v>1305</v>
      </c>
      <c r="J316" s="431" t="s">
        <v>3522</v>
      </c>
      <c r="K316" s="431" t="s">
        <v>3524</v>
      </c>
      <c r="L316" s="431"/>
      <c r="M316" s="433"/>
      <c r="N316" s="434" t="s">
        <v>4814</v>
      </c>
      <c r="O316" s="1743" t="str">
        <f>VLOOKUP(B316,code_famille_scénario,2)&amp;VLOOKUP(C316,code_actif,2)&amp;", "&amp;VLOOKUP(J316,Code_lieu,2)&amp;", par "&amp;VLOOKUP(N316,code_acteur,2)&amp;", "&amp;VLOOKUP(K316,code_temps,2)</f>
        <v>Divulgation d'informations, par vol de media support de fichiers  bureautiques personnels , dans les bureaux, par un membre du personnel de l'entreprise, en dehors des heures ouvrables</v>
      </c>
      <c r="P316" s="435">
        <v>1</v>
      </c>
      <c r="Q316" s="1595" t="s">
        <v>1299</v>
      </c>
      <c r="R316" s="1595" t="s">
        <v>4811</v>
      </c>
      <c r="S316" s="1595" t="str">
        <f>Classif!E6</f>
        <v/>
      </c>
      <c r="T316" s="1595">
        <f t="shared" si="200"/>
        <v>2</v>
      </c>
      <c r="U316" s="1744" t="str">
        <f t="shared" si="201"/>
        <v/>
      </c>
      <c r="V316" s="1745">
        <f>MAX(S02C04,S02C05)</f>
        <v>1</v>
      </c>
      <c r="W316" s="1745">
        <f>MAX(MIN(S02C01,S02C02,S02C03),S11C02)</f>
        <v>1</v>
      </c>
      <c r="X316" s="1745">
        <v>1</v>
      </c>
      <c r="Y316" s="1745">
        <v>1</v>
      </c>
      <c r="Z316" s="1746">
        <v>0</v>
      </c>
      <c r="AA316" s="1747"/>
      <c r="AB316" s="1748"/>
      <c r="AC316" s="1748"/>
      <c r="AD316" s="1595" t="str">
        <f t="shared" si="180"/>
        <v/>
      </c>
      <c r="AE316" s="1595">
        <f t="shared" si="202"/>
        <v>2</v>
      </c>
      <c r="AF316" s="1595" t="str">
        <f t="shared" si="203"/>
        <v/>
      </c>
      <c r="AG316" s="1748"/>
      <c r="AH316" s="1749" t="str">
        <f t="shared" si="181"/>
        <v/>
      </c>
      <c r="AI316" s="1620" t="s">
        <v>1514</v>
      </c>
      <c r="AJ316" s="1616" t="s">
        <v>3350</v>
      </c>
      <c r="AK316" s="1618"/>
      <c r="AL316" s="1619"/>
      <c r="AM316" s="247" t="str">
        <f t="shared" si="174"/>
        <v/>
      </c>
      <c r="AN316" s="247" t="str">
        <f t="shared" si="175"/>
        <v/>
      </c>
      <c r="AO316" s="247" t="str">
        <f t="shared" si="176"/>
        <v/>
      </c>
      <c r="AP316" s="247" t="str">
        <f t="shared" si="177"/>
        <v/>
      </c>
      <c r="AQ316" s="42">
        <f t="shared" si="204"/>
        <v>1</v>
      </c>
      <c r="AR316" s="42">
        <f t="shared" si="205"/>
        <v>1</v>
      </c>
      <c r="AS316" s="42">
        <f t="shared" si="206"/>
        <v>1</v>
      </c>
      <c r="AT316" s="42">
        <f t="shared" si="207"/>
        <v>1</v>
      </c>
      <c r="AU316" s="247" t="str">
        <f t="shared" si="178"/>
        <v/>
      </c>
      <c r="AV316" s="247" t="str">
        <f t="shared" si="179"/>
        <v/>
      </c>
    </row>
    <row r="317" spans="1:48" ht="36" x14ac:dyDescent="0.2">
      <c r="A317" s="450" t="s">
        <v>641</v>
      </c>
      <c r="B317" s="429" t="s">
        <v>2461</v>
      </c>
      <c r="C317" s="430" t="s">
        <v>3521</v>
      </c>
      <c r="D317" s="1349" t="s">
        <v>4811</v>
      </c>
      <c r="E317" s="1350" t="s">
        <v>1874</v>
      </c>
      <c r="F317" s="1350" t="s">
        <v>4498</v>
      </c>
      <c r="G317" s="1351" t="s">
        <v>6071</v>
      </c>
      <c r="H317" s="1342" t="s">
        <v>1329</v>
      </c>
      <c r="I317" s="432" t="s">
        <v>1305</v>
      </c>
      <c r="J317" s="431" t="s">
        <v>3522</v>
      </c>
      <c r="K317" s="431" t="s">
        <v>3524</v>
      </c>
      <c r="L317" s="431"/>
      <c r="M317" s="433"/>
      <c r="N317" s="434" t="s">
        <v>4295</v>
      </c>
      <c r="O317" s="1743" t="str">
        <f>VLOOKUP(B317,code_famille_scénario,2)&amp;VLOOKUP(C317,code_actif,2)&amp;", "&amp;VLOOKUP(J317,Code_lieu,2)&amp;", par "&amp;VLOOKUP(N317,code_acteur,2)&amp;", "&amp;VLOOKUP(K317,code_temps,2)</f>
        <v>Divulgation d'informations, par vol de media support de fichiers  bureautiques personnels , dans les bureaux, par un membre du personnel de service, en dehors des heures ouvrables</v>
      </c>
      <c r="P317" s="435">
        <v>1</v>
      </c>
      <c r="Q317" s="1595" t="s">
        <v>1299</v>
      </c>
      <c r="R317" s="1595" t="s">
        <v>4811</v>
      </c>
      <c r="S317" s="1595" t="str">
        <f>Classif!E6</f>
        <v/>
      </c>
      <c r="T317" s="1595">
        <f t="shared" si="200"/>
        <v>2</v>
      </c>
      <c r="U317" s="1744" t="str">
        <f t="shared" si="201"/>
        <v/>
      </c>
      <c r="V317" s="1745">
        <f>S02C05</f>
        <v>1</v>
      </c>
      <c r="W317" s="1745">
        <f>S11C02</f>
        <v>1</v>
      </c>
      <c r="X317" s="1745">
        <v>1</v>
      </c>
      <c r="Y317" s="1745">
        <v>1</v>
      </c>
      <c r="Z317" s="1746">
        <v>0</v>
      </c>
      <c r="AA317" s="1747"/>
      <c r="AB317" s="1748"/>
      <c r="AC317" s="1748"/>
      <c r="AD317" s="1595" t="str">
        <f t="shared" si="180"/>
        <v/>
      </c>
      <c r="AE317" s="1595">
        <f t="shared" si="202"/>
        <v>2</v>
      </c>
      <c r="AF317" s="1595" t="str">
        <f t="shared" si="203"/>
        <v/>
      </c>
      <c r="AG317" s="1748"/>
      <c r="AH317" s="1749" t="str">
        <f t="shared" si="181"/>
        <v/>
      </c>
      <c r="AI317" s="1620" t="s">
        <v>3120</v>
      </c>
      <c r="AJ317" s="1616" t="s">
        <v>1320</v>
      </c>
      <c r="AK317" s="1618"/>
      <c r="AL317" s="1619"/>
      <c r="AM317" s="247" t="str">
        <f t="shared" si="174"/>
        <v/>
      </c>
      <c r="AN317" s="247" t="str">
        <f t="shared" si="175"/>
        <v/>
      </c>
      <c r="AO317" s="247" t="str">
        <f t="shared" si="176"/>
        <v/>
      </c>
      <c r="AP317" s="247" t="str">
        <f t="shared" si="177"/>
        <v/>
      </c>
      <c r="AQ317" s="42">
        <f t="shared" si="204"/>
        <v>1</v>
      </c>
      <c r="AR317" s="42">
        <f t="shared" si="205"/>
        <v>1</v>
      </c>
      <c r="AS317" s="42">
        <f t="shared" si="206"/>
        <v>1</v>
      </c>
      <c r="AT317" s="42">
        <f t="shared" si="207"/>
        <v>1</v>
      </c>
      <c r="AU317" s="247" t="str">
        <f t="shared" si="178"/>
        <v/>
      </c>
      <c r="AV317" s="247" t="str">
        <f t="shared" si="179"/>
        <v/>
      </c>
    </row>
    <row r="318" spans="1:48" ht="24" x14ac:dyDescent="0.2">
      <c r="A318" s="450" t="s">
        <v>642</v>
      </c>
      <c r="B318" s="429" t="s">
        <v>2461</v>
      </c>
      <c r="C318" s="430" t="s">
        <v>3521</v>
      </c>
      <c r="D318" s="1349" t="s">
        <v>4811</v>
      </c>
      <c r="E318" s="1350" t="s">
        <v>1874</v>
      </c>
      <c r="F318" s="1350" t="s">
        <v>4498</v>
      </c>
      <c r="G318" s="1351" t="s">
        <v>6071</v>
      </c>
      <c r="H318" s="1342" t="s">
        <v>1329</v>
      </c>
      <c r="I318" s="432" t="s">
        <v>1305</v>
      </c>
      <c r="J318" s="431" t="s">
        <v>3525</v>
      </c>
      <c r="K318" s="431"/>
      <c r="L318" s="431"/>
      <c r="M318" s="433"/>
      <c r="N318" s="434"/>
      <c r="O318" s="1743" t="str">
        <f>VLOOKUP(B318,code_famille_scénario,2)&amp;VLOOKUP(C318,code_actif,2)&amp;", "&amp;VLOOKUP(J318,Code_lieu,2)</f>
        <v>Divulgation d'informations, par vol de media support de fichiers  bureautiques personnels , en dehors de l'entreprise</v>
      </c>
      <c r="P318" s="435">
        <v>1</v>
      </c>
      <c r="Q318" s="1595" t="s">
        <v>1299</v>
      </c>
      <c r="R318" s="1595" t="s">
        <v>4811</v>
      </c>
      <c r="S318" s="1595" t="str">
        <f>Classif!E6</f>
        <v/>
      </c>
      <c r="T318" s="1595">
        <f t="shared" si="200"/>
        <v>2</v>
      </c>
      <c r="U318" s="1744" t="str">
        <f t="shared" si="201"/>
        <v/>
      </c>
      <c r="V318" s="1745">
        <v>1</v>
      </c>
      <c r="W318" s="1745">
        <f>S11C02</f>
        <v>1</v>
      </c>
      <c r="X318" s="1745">
        <v>1</v>
      </c>
      <c r="Y318" s="1745">
        <v>1</v>
      </c>
      <c r="Z318" s="1746">
        <v>0</v>
      </c>
      <c r="AA318" s="1747"/>
      <c r="AB318" s="1748"/>
      <c r="AC318" s="1748"/>
      <c r="AD318" s="1595" t="str">
        <f t="shared" si="180"/>
        <v/>
      </c>
      <c r="AE318" s="1595">
        <f t="shared" si="202"/>
        <v>2</v>
      </c>
      <c r="AF318" s="1595" t="str">
        <f t="shared" si="203"/>
        <v/>
      </c>
      <c r="AG318" s="1748"/>
      <c r="AH318" s="1749" t="str">
        <f t="shared" si="181"/>
        <v/>
      </c>
      <c r="AI318" s="1615"/>
      <c r="AJ318" s="1616" t="s">
        <v>1320</v>
      </c>
      <c r="AK318" s="1618"/>
      <c r="AL318" s="1619"/>
      <c r="AM318" s="247" t="str">
        <f t="shared" si="174"/>
        <v/>
      </c>
      <c r="AN318" s="247" t="str">
        <f t="shared" si="175"/>
        <v/>
      </c>
      <c r="AO318" s="247" t="str">
        <f t="shared" si="176"/>
        <v/>
      </c>
      <c r="AP318" s="247" t="str">
        <f t="shared" si="177"/>
        <v/>
      </c>
      <c r="AQ318" s="42">
        <f t="shared" si="204"/>
        <v>1</v>
      </c>
      <c r="AR318" s="42">
        <f t="shared" si="205"/>
        <v>1</v>
      </c>
      <c r="AS318" s="42">
        <f t="shared" si="206"/>
        <v>1</v>
      </c>
      <c r="AT318" s="42">
        <f t="shared" si="207"/>
        <v>1</v>
      </c>
      <c r="AU318" s="247" t="str">
        <f t="shared" si="178"/>
        <v/>
      </c>
      <c r="AV318" s="247" t="str">
        <f t="shared" si="179"/>
        <v/>
      </c>
    </row>
    <row r="319" spans="1:48" ht="36" x14ac:dyDescent="0.2">
      <c r="A319" s="450" t="s">
        <v>643</v>
      </c>
      <c r="B319" s="429" t="s">
        <v>5444</v>
      </c>
      <c r="C319" s="430" t="s">
        <v>3521</v>
      </c>
      <c r="D319" s="1349" t="s">
        <v>4811</v>
      </c>
      <c r="E319" s="1350" t="s">
        <v>844</v>
      </c>
      <c r="F319" s="1350" t="s">
        <v>4498</v>
      </c>
      <c r="G319" s="1351" t="s">
        <v>6071</v>
      </c>
      <c r="H319" s="1342" t="s">
        <v>1329</v>
      </c>
      <c r="I319" s="432" t="s">
        <v>1305</v>
      </c>
      <c r="J319" s="431" t="s">
        <v>3522</v>
      </c>
      <c r="K319" s="431" t="s">
        <v>3523</v>
      </c>
      <c r="L319" s="431"/>
      <c r="M319" s="433"/>
      <c r="N319" s="434" t="s">
        <v>4814</v>
      </c>
      <c r="O319" s="1743" t="str">
        <f>VLOOKUP(B319,code_famille_scénario,2)&amp;VLOOKUP(C319,code_actif,2)&amp;", "&amp;VLOOKUP(J319,Code_lieu,2)&amp;", par "&amp;VLOOKUP(N319,code_acteur,2)&amp;", "&amp;VLOOKUP(K319,code_temps,2)</f>
        <v>Divulgation d'informations, par vol de PC portable contenant des fichiers  bureautiques personnels , dans les bureaux, par un membre du personnel de l'entreprise, en l'absence de l'utilisateur</v>
      </c>
      <c r="P319" s="435">
        <v>1</v>
      </c>
      <c r="Q319" s="1595" t="s">
        <v>1299</v>
      </c>
      <c r="R319" s="1595" t="s">
        <v>4811</v>
      </c>
      <c r="S319" s="1595" t="str">
        <f>Classif!E6</f>
        <v/>
      </c>
      <c r="T319" s="1595">
        <f t="shared" si="200"/>
        <v>2</v>
      </c>
      <c r="U319" s="1744" t="str">
        <f t="shared" si="201"/>
        <v/>
      </c>
      <c r="V319" s="1745">
        <f>S02C05</f>
        <v>1</v>
      </c>
      <c r="W319" s="1745">
        <f>MAX(MIN(S02C01,S02C02,S02C03,S11B01),S11C01)</f>
        <v>1</v>
      </c>
      <c r="X319" s="1745">
        <v>1</v>
      </c>
      <c r="Y319" s="1745">
        <v>1</v>
      </c>
      <c r="Z319" s="1746">
        <v>0</v>
      </c>
      <c r="AA319" s="1747"/>
      <c r="AB319" s="1748"/>
      <c r="AC319" s="1748"/>
      <c r="AD319" s="1595" t="str">
        <f t="shared" si="180"/>
        <v/>
      </c>
      <c r="AE319" s="1595">
        <f t="shared" si="202"/>
        <v>2</v>
      </c>
      <c r="AF319" s="1595" t="str">
        <f t="shared" si="203"/>
        <v/>
      </c>
      <c r="AG319" s="1748"/>
      <c r="AH319" s="1749" t="str">
        <f t="shared" si="181"/>
        <v/>
      </c>
      <c r="AI319" s="1620" t="s">
        <v>3120</v>
      </c>
      <c r="AJ319" s="1616" t="s">
        <v>3348</v>
      </c>
      <c r="AK319" s="1618"/>
      <c r="AL319" s="1619"/>
      <c r="AM319" s="247" t="str">
        <f t="shared" si="174"/>
        <v/>
      </c>
      <c r="AN319" s="247" t="str">
        <f t="shared" si="175"/>
        <v/>
      </c>
      <c r="AO319" s="247" t="str">
        <f t="shared" si="176"/>
        <v/>
      </c>
      <c r="AP319" s="247" t="str">
        <f t="shared" si="177"/>
        <v/>
      </c>
      <c r="AQ319" s="42">
        <f t="shared" si="204"/>
        <v>1</v>
      </c>
      <c r="AR319" s="42">
        <f t="shared" si="205"/>
        <v>1</v>
      </c>
      <c r="AS319" s="42">
        <f t="shared" si="206"/>
        <v>1</v>
      </c>
      <c r="AT319" s="42">
        <f t="shared" si="207"/>
        <v>1</v>
      </c>
      <c r="AU319" s="247" t="str">
        <f t="shared" si="178"/>
        <v/>
      </c>
      <c r="AV319" s="247" t="str">
        <f t="shared" si="179"/>
        <v/>
      </c>
    </row>
    <row r="320" spans="1:48" ht="36" x14ac:dyDescent="0.2">
      <c r="A320" s="450" t="s">
        <v>644</v>
      </c>
      <c r="B320" s="429" t="s">
        <v>5444</v>
      </c>
      <c r="C320" s="430" t="s">
        <v>3521</v>
      </c>
      <c r="D320" s="1349" t="s">
        <v>4811</v>
      </c>
      <c r="E320" s="1350" t="s">
        <v>844</v>
      </c>
      <c r="F320" s="1350" t="s">
        <v>4498</v>
      </c>
      <c r="G320" s="1351" t="s">
        <v>6071</v>
      </c>
      <c r="H320" s="1342" t="s">
        <v>1329</v>
      </c>
      <c r="I320" s="432" t="s">
        <v>1305</v>
      </c>
      <c r="J320" s="431" t="s">
        <v>3522</v>
      </c>
      <c r="K320" s="431" t="s">
        <v>3523</v>
      </c>
      <c r="L320" s="431"/>
      <c r="M320" s="433"/>
      <c r="N320" s="434" t="s">
        <v>4815</v>
      </c>
      <c r="O320" s="1743" t="str">
        <f>VLOOKUP(B320,code_famille_scénario,2)&amp;VLOOKUP(C320,code_actif,2)&amp;", "&amp;VLOOKUP(J320,Code_lieu,2)&amp;", par "&amp;VLOOKUP(N320,code_acteur,2)&amp;", "&amp;VLOOKUP(K320,code_temps,2)</f>
        <v>Divulgation d'informations, par vol de PC portable contenant des fichiers  bureautiques personnels , dans les bureaux, par un visiteur, en l'absence de l'utilisateur</v>
      </c>
      <c r="P320" s="435">
        <v>1</v>
      </c>
      <c r="Q320" s="1595" t="s">
        <v>1299</v>
      </c>
      <c r="R320" s="1595" t="s">
        <v>4811</v>
      </c>
      <c r="S320" s="1595" t="str">
        <f>Classif!E6</f>
        <v/>
      </c>
      <c r="T320" s="1595">
        <f t="shared" si="200"/>
        <v>2</v>
      </c>
      <c r="U320" s="1744" t="str">
        <f t="shared" si="201"/>
        <v/>
      </c>
      <c r="V320" s="1745">
        <f>S02C05</f>
        <v>1</v>
      </c>
      <c r="W320" s="1745">
        <f>MAX(S02C06,S11B01,S11C01)</f>
        <v>1</v>
      </c>
      <c r="X320" s="1745">
        <v>1</v>
      </c>
      <c r="Y320" s="1745">
        <v>1</v>
      </c>
      <c r="Z320" s="1746">
        <v>0</v>
      </c>
      <c r="AA320" s="1747"/>
      <c r="AB320" s="1748"/>
      <c r="AC320" s="1748"/>
      <c r="AD320" s="1595" t="str">
        <f t="shared" si="180"/>
        <v/>
      </c>
      <c r="AE320" s="1595">
        <f t="shared" si="202"/>
        <v>2</v>
      </c>
      <c r="AF320" s="1595" t="str">
        <f t="shared" si="203"/>
        <v/>
      </c>
      <c r="AG320" s="1748"/>
      <c r="AH320" s="1749" t="str">
        <f t="shared" si="181"/>
        <v/>
      </c>
      <c r="AI320" s="1620" t="s">
        <v>3120</v>
      </c>
      <c r="AJ320" s="1616" t="s">
        <v>3349</v>
      </c>
      <c r="AK320" s="1618"/>
      <c r="AL320" s="1619"/>
      <c r="AM320" s="247" t="str">
        <f t="shared" si="174"/>
        <v/>
      </c>
      <c r="AN320" s="247" t="str">
        <f t="shared" si="175"/>
        <v/>
      </c>
      <c r="AO320" s="247" t="str">
        <f t="shared" si="176"/>
        <v/>
      </c>
      <c r="AP320" s="247" t="str">
        <f t="shared" si="177"/>
        <v/>
      </c>
      <c r="AQ320" s="42">
        <f t="shared" si="204"/>
        <v>1</v>
      </c>
      <c r="AR320" s="42">
        <f t="shared" si="205"/>
        <v>1</v>
      </c>
      <c r="AS320" s="42">
        <f t="shared" si="206"/>
        <v>1</v>
      </c>
      <c r="AT320" s="42">
        <f t="shared" si="207"/>
        <v>1</v>
      </c>
      <c r="AU320" s="247" t="str">
        <f t="shared" si="178"/>
        <v/>
      </c>
      <c r="AV320" s="247" t="str">
        <f t="shared" si="179"/>
        <v/>
      </c>
    </row>
    <row r="321" spans="1:48" ht="36" x14ac:dyDescent="0.2">
      <c r="A321" s="450" t="s">
        <v>645</v>
      </c>
      <c r="B321" s="429" t="s">
        <v>5444</v>
      </c>
      <c r="C321" s="430" t="s">
        <v>3521</v>
      </c>
      <c r="D321" s="1349" t="s">
        <v>4811</v>
      </c>
      <c r="E321" s="1350" t="s">
        <v>844</v>
      </c>
      <c r="F321" s="1350" t="s">
        <v>4498</v>
      </c>
      <c r="G321" s="1351" t="s">
        <v>6071</v>
      </c>
      <c r="H321" s="1342" t="s">
        <v>1329</v>
      </c>
      <c r="I321" s="432" t="s">
        <v>1305</v>
      </c>
      <c r="J321" s="431" t="s">
        <v>3522</v>
      </c>
      <c r="K321" s="431" t="s">
        <v>3524</v>
      </c>
      <c r="L321" s="431"/>
      <c r="M321" s="433"/>
      <c r="N321" s="434" t="s">
        <v>4814</v>
      </c>
      <c r="O321" s="1743" t="str">
        <f>VLOOKUP(B321,code_famille_scénario,2)&amp;VLOOKUP(C321,code_actif,2)&amp;", "&amp;VLOOKUP(J321,Code_lieu,2)&amp;", par "&amp;VLOOKUP(N321,code_acteur,2)&amp;", "&amp;VLOOKUP(K321,code_temps,2)</f>
        <v>Divulgation d'informations, par vol de PC portable contenant des fichiers  bureautiques personnels , dans les bureaux, par un membre du personnel de l'entreprise, en dehors des heures ouvrables</v>
      </c>
      <c r="P321" s="435">
        <v>1</v>
      </c>
      <c r="Q321" s="1595" t="s">
        <v>1299</v>
      </c>
      <c r="R321" s="1595" t="s">
        <v>4811</v>
      </c>
      <c r="S321" s="1595" t="str">
        <f>Classif!E6</f>
        <v/>
      </c>
      <c r="T321" s="1595">
        <f t="shared" si="200"/>
        <v>2</v>
      </c>
      <c r="U321" s="1744" t="str">
        <f t="shared" si="201"/>
        <v/>
      </c>
      <c r="V321" s="1745">
        <f>MAX(S02C04,S02C05)</f>
        <v>1</v>
      </c>
      <c r="W321" s="1745">
        <f>MAX(MIN(S02C01,S02C02,S02C03,S11B01),S11C01)</f>
        <v>1</v>
      </c>
      <c r="X321" s="1745">
        <v>1</v>
      </c>
      <c r="Y321" s="1745">
        <v>1</v>
      </c>
      <c r="Z321" s="1746">
        <v>0</v>
      </c>
      <c r="AA321" s="1747"/>
      <c r="AB321" s="1748"/>
      <c r="AC321" s="1748"/>
      <c r="AD321" s="1595" t="str">
        <f t="shared" si="180"/>
        <v/>
      </c>
      <c r="AE321" s="1595">
        <f t="shared" si="202"/>
        <v>2</v>
      </c>
      <c r="AF321" s="1595" t="str">
        <f t="shared" si="203"/>
        <v/>
      </c>
      <c r="AG321" s="1748"/>
      <c r="AH321" s="1749" t="str">
        <f t="shared" si="181"/>
        <v/>
      </c>
      <c r="AI321" s="1620" t="s">
        <v>1514</v>
      </c>
      <c r="AJ321" s="1616" t="s">
        <v>3348</v>
      </c>
      <c r="AK321" s="1618"/>
      <c r="AL321" s="1619"/>
      <c r="AM321" s="247" t="str">
        <f t="shared" si="174"/>
        <v/>
      </c>
      <c r="AN321" s="247" t="str">
        <f t="shared" si="175"/>
        <v/>
      </c>
      <c r="AO321" s="247" t="str">
        <f t="shared" si="176"/>
        <v/>
      </c>
      <c r="AP321" s="247" t="str">
        <f t="shared" si="177"/>
        <v/>
      </c>
      <c r="AQ321" s="42">
        <f t="shared" si="204"/>
        <v>1</v>
      </c>
      <c r="AR321" s="42">
        <f t="shared" si="205"/>
        <v>1</v>
      </c>
      <c r="AS321" s="42">
        <f t="shared" si="206"/>
        <v>1</v>
      </c>
      <c r="AT321" s="42">
        <f t="shared" si="207"/>
        <v>1</v>
      </c>
      <c r="AU321" s="247" t="str">
        <f t="shared" si="178"/>
        <v/>
      </c>
      <c r="AV321" s="247" t="str">
        <f t="shared" si="179"/>
        <v/>
      </c>
    </row>
    <row r="322" spans="1:48" ht="36" x14ac:dyDescent="0.2">
      <c r="A322" s="450" t="s">
        <v>646</v>
      </c>
      <c r="B322" s="429" t="s">
        <v>5444</v>
      </c>
      <c r="C322" s="430" t="s">
        <v>3521</v>
      </c>
      <c r="D322" s="1349" t="s">
        <v>4811</v>
      </c>
      <c r="E322" s="1350" t="s">
        <v>844</v>
      </c>
      <c r="F322" s="1350" t="s">
        <v>4498</v>
      </c>
      <c r="G322" s="1351" t="s">
        <v>6071</v>
      </c>
      <c r="H322" s="1342" t="s">
        <v>1329</v>
      </c>
      <c r="I322" s="432" t="s">
        <v>1305</v>
      </c>
      <c r="J322" s="431" t="s">
        <v>3522</v>
      </c>
      <c r="K322" s="431" t="s">
        <v>3524</v>
      </c>
      <c r="L322" s="431"/>
      <c r="M322" s="433"/>
      <c r="N322" s="434" t="s">
        <v>4295</v>
      </c>
      <c r="O322" s="1743" t="str">
        <f>VLOOKUP(B322,code_famille_scénario,2)&amp;VLOOKUP(C322,code_actif,2)&amp;", "&amp;VLOOKUP(J322,Code_lieu,2)&amp;", par "&amp;VLOOKUP(N322,code_acteur,2)&amp;", "&amp;VLOOKUP(K322,code_temps,2)</f>
        <v>Divulgation d'informations, par vol de PC portable contenant des fichiers  bureautiques personnels , dans les bureaux, par un membre du personnel de service, en dehors des heures ouvrables</v>
      </c>
      <c r="P322" s="435">
        <v>1</v>
      </c>
      <c r="Q322" s="1595" t="s">
        <v>1299</v>
      </c>
      <c r="R322" s="1595" t="s">
        <v>4811</v>
      </c>
      <c r="S322" s="1595" t="str">
        <f>Classif!E6</f>
        <v/>
      </c>
      <c r="T322" s="1595">
        <f t="shared" si="200"/>
        <v>2</v>
      </c>
      <c r="U322" s="1744" t="str">
        <f t="shared" si="201"/>
        <v/>
      </c>
      <c r="V322" s="1745">
        <f>S02C05</f>
        <v>1</v>
      </c>
      <c r="W322" s="1745">
        <f>MAX(S11B01,S11C01)</f>
        <v>1</v>
      </c>
      <c r="X322" s="1745">
        <v>1</v>
      </c>
      <c r="Y322" s="1745">
        <v>1</v>
      </c>
      <c r="Z322" s="1746">
        <v>0</v>
      </c>
      <c r="AA322" s="1747"/>
      <c r="AB322" s="1748"/>
      <c r="AC322" s="1748"/>
      <c r="AD322" s="1595" t="str">
        <f t="shared" si="180"/>
        <v/>
      </c>
      <c r="AE322" s="1595">
        <f t="shared" si="202"/>
        <v>2</v>
      </c>
      <c r="AF322" s="1595" t="str">
        <f t="shared" si="203"/>
        <v/>
      </c>
      <c r="AG322" s="1748"/>
      <c r="AH322" s="1749" t="str">
        <f t="shared" si="181"/>
        <v/>
      </c>
      <c r="AI322" s="1620" t="s">
        <v>3120</v>
      </c>
      <c r="AJ322" s="1616" t="s">
        <v>2229</v>
      </c>
      <c r="AK322" s="1618"/>
      <c r="AL322" s="1619"/>
      <c r="AM322" s="247" t="str">
        <f t="shared" si="174"/>
        <v/>
      </c>
      <c r="AN322" s="247" t="str">
        <f t="shared" si="175"/>
        <v/>
      </c>
      <c r="AO322" s="247" t="str">
        <f t="shared" si="176"/>
        <v/>
      </c>
      <c r="AP322" s="247" t="str">
        <f t="shared" si="177"/>
        <v/>
      </c>
      <c r="AQ322" s="42">
        <f t="shared" si="204"/>
        <v>1</v>
      </c>
      <c r="AR322" s="42">
        <f t="shared" si="205"/>
        <v>1</v>
      </c>
      <c r="AS322" s="42">
        <f t="shared" si="206"/>
        <v>1</v>
      </c>
      <c r="AT322" s="42">
        <f t="shared" si="207"/>
        <v>1</v>
      </c>
      <c r="AU322" s="247" t="str">
        <f t="shared" si="178"/>
        <v/>
      </c>
      <c r="AV322" s="247" t="str">
        <f t="shared" si="179"/>
        <v/>
      </c>
    </row>
    <row r="323" spans="1:48" ht="24" x14ac:dyDescent="0.2">
      <c r="A323" s="450" t="s">
        <v>647</v>
      </c>
      <c r="B323" s="429" t="s">
        <v>5444</v>
      </c>
      <c r="C323" s="430" t="s">
        <v>3521</v>
      </c>
      <c r="D323" s="1349" t="s">
        <v>4811</v>
      </c>
      <c r="E323" s="1350" t="s">
        <v>844</v>
      </c>
      <c r="F323" s="1350" t="s">
        <v>4498</v>
      </c>
      <c r="G323" s="1351" t="s">
        <v>6071</v>
      </c>
      <c r="H323" s="1342" t="s">
        <v>1329</v>
      </c>
      <c r="I323" s="432" t="s">
        <v>1305</v>
      </c>
      <c r="J323" s="431" t="s">
        <v>3525</v>
      </c>
      <c r="K323" s="431"/>
      <c r="L323" s="431"/>
      <c r="M323" s="433"/>
      <c r="N323" s="434"/>
      <c r="O323" s="1743" t="str">
        <f>VLOOKUP(B323,code_famille_scénario,2)&amp;VLOOKUP(C323,code_actif,2)&amp;", "&amp;VLOOKUP(J323,Code_lieu,2)</f>
        <v>Divulgation d'informations, par vol de PC portable contenant des fichiers  bureautiques personnels , en dehors de l'entreprise</v>
      </c>
      <c r="P323" s="435">
        <v>1</v>
      </c>
      <c r="Q323" s="1595" t="s">
        <v>1299</v>
      </c>
      <c r="R323" s="1595" t="s">
        <v>4811</v>
      </c>
      <c r="S323" s="1595" t="str">
        <f>Classif!E6</f>
        <v/>
      </c>
      <c r="T323" s="1595">
        <f t="shared" si="200"/>
        <v>2</v>
      </c>
      <c r="U323" s="1744" t="str">
        <f t="shared" si="201"/>
        <v/>
      </c>
      <c r="V323" s="1745">
        <v>1</v>
      </c>
      <c r="W323" s="1745">
        <f>MAX(S11B01,S11C01)</f>
        <v>1</v>
      </c>
      <c r="X323" s="1745">
        <v>1</v>
      </c>
      <c r="Y323" s="1745">
        <v>1</v>
      </c>
      <c r="Z323" s="1746">
        <v>0</v>
      </c>
      <c r="AA323" s="1747"/>
      <c r="AB323" s="1748"/>
      <c r="AC323" s="1748"/>
      <c r="AD323" s="1595" t="str">
        <f t="shared" si="180"/>
        <v/>
      </c>
      <c r="AE323" s="1595">
        <f t="shared" si="202"/>
        <v>2</v>
      </c>
      <c r="AF323" s="1595" t="str">
        <f t="shared" si="203"/>
        <v/>
      </c>
      <c r="AG323" s="1748"/>
      <c r="AH323" s="1749" t="str">
        <f t="shared" si="181"/>
        <v/>
      </c>
      <c r="AI323" s="1615"/>
      <c r="AJ323" s="1616" t="s">
        <v>2229</v>
      </c>
      <c r="AK323" s="1618"/>
      <c r="AL323" s="1619"/>
      <c r="AM323" s="247" t="str">
        <f t="shared" si="174"/>
        <v/>
      </c>
      <c r="AN323" s="247" t="str">
        <f t="shared" si="175"/>
        <v/>
      </c>
      <c r="AO323" s="247" t="str">
        <f t="shared" si="176"/>
        <v/>
      </c>
      <c r="AP323" s="247" t="str">
        <f t="shared" si="177"/>
        <v/>
      </c>
      <c r="AQ323" s="42">
        <f t="shared" si="204"/>
        <v>1</v>
      </c>
      <c r="AR323" s="42">
        <f t="shared" si="205"/>
        <v>1</v>
      </c>
      <c r="AS323" s="42">
        <f t="shared" si="206"/>
        <v>1</v>
      </c>
      <c r="AT323" s="42">
        <f t="shared" si="207"/>
        <v>1</v>
      </c>
      <c r="AU323" s="247" t="str">
        <f t="shared" si="178"/>
        <v/>
      </c>
      <c r="AV323" s="247" t="str">
        <f t="shared" si="179"/>
        <v/>
      </c>
    </row>
    <row r="324" spans="1:48" ht="15" x14ac:dyDescent="0.2">
      <c r="A324" s="418" t="s">
        <v>4038</v>
      </c>
      <c r="B324" s="419"/>
      <c r="C324" s="420" t="s">
        <v>5451</v>
      </c>
      <c r="D324" s="425"/>
      <c r="E324" s="1348"/>
      <c r="F324" s="1348"/>
      <c r="G324" s="1352"/>
      <c r="H324" s="1295"/>
      <c r="I324" s="420"/>
      <c r="J324" s="441"/>
      <c r="K324" s="441"/>
      <c r="L324" s="441"/>
      <c r="M324" s="442"/>
      <c r="N324" s="422"/>
      <c r="O324" s="1752"/>
      <c r="P324" s="1608"/>
      <c r="Q324" s="1596"/>
      <c r="R324" s="1596"/>
      <c r="S324" s="1597"/>
      <c r="T324" s="1595"/>
      <c r="U324" s="1744"/>
      <c r="V324" s="1598"/>
      <c r="W324" s="1598"/>
      <c r="X324" s="1598"/>
      <c r="Y324" s="1598"/>
      <c r="Z324" s="1599"/>
      <c r="AA324" s="443"/>
      <c r="AB324" s="444"/>
      <c r="AC324" s="444"/>
      <c r="AD324" s="1595"/>
      <c r="AE324" s="1597"/>
      <c r="AF324" s="1595"/>
      <c r="AG324" s="1748"/>
      <c r="AH324" s="1749"/>
      <c r="AI324" s="1627"/>
      <c r="AJ324" s="1628"/>
      <c r="AK324" s="1628"/>
      <c r="AL324" s="1629"/>
      <c r="AM324" s="247" t="str">
        <f t="shared" si="174"/>
        <v/>
      </c>
      <c r="AN324" s="247" t="str">
        <f t="shared" si="175"/>
        <v/>
      </c>
      <c r="AO324" s="247" t="str">
        <f t="shared" si="176"/>
        <v/>
      </c>
      <c r="AP324" s="247" t="str">
        <f t="shared" si="177"/>
        <v/>
      </c>
      <c r="AU324" s="247" t="str">
        <f t="shared" si="178"/>
        <v/>
      </c>
      <c r="AV324" s="247" t="str">
        <f t="shared" si="179"/>
        <v/>
      </c>
    </row>
    <row r="325" spans="1:48" ht="24" x14ac:dyDescent="0.2">
      <c r="A325" s="450" t="s">
        <v>648</v>
      </c>
      <c r="B325" s="429" t="s">
        <v>4179</v>
      </c>
      <c r="C325" s="430" t="s">
        <v>5459</v>
      </c>
      <c r="D325" s="1349" t="s">
        <v>4811</v>
      </c>
      <c r="E325" s="1350" t="s">
        <v>5446</v>
      </c>
      <c r="F325" s="1350" t="s">
        <v>4498</v>
      </c>
      <c r="G325" s="1351" t="s">
        <v>6071</v>
      </c>
      <c r="H325" s="1342" t="s">
        <v>1327</v>
      </c>
      <c r="I325" s="432" t="s">
        <v>1545</v>
      </c>
      <c r="J325" s="431" t="s">
        <v>3525</v>
      </c>
      <c r="K325" s="431"/>
      <c r="L325" s="431"/>
      <c r="M325" s="433"/>
      <c r="N325" s="434"/>
      <c r="O325" s="1743" t="str">
        <f>VLOOKUP(B325,code_famille_scénario,2)&amp;", "&amp;VLOOKUP(J325,Code_lieu,2)</f>
        <v>Divulgation de documents, par erreur ou perte accidentelle, en dehors de l'entreprise</v>
      </c>
      <c r="P325" s="435">
        <v>1</v>
      </c>
      <c r="Q325" s="1595" t="s">
        <v>6403</v>
      </c>
      <c r="R325" s="1595" t="s">
        <v>4811</v>
      </c>
      <c r="S325" s="1595" t="str">
        <f>Classif!E7</f>
        <v/>
      </c>
      <c r="T325" s="1595">
        <f t="shared" ref="T325:T336" si="208">VLOOKUP(H325&amp;"."&amp;I325,Tab_event,4)</f>
        <v>3</v>
      </c>
      <c r="U325" s="1744" t="str">
        <f t="shared" ref="U325:U336" si="209">IF(AND(NOT(S325=""),NOT(T325="")),INDEX(base_g,5-S325,T325),"")</f>
        <v/>
      </c>
      <c r="V325" s="1745">
        <v>1</v>
      </c>
      <c r="W325" s="1745">
        <f>S02D02</f>
        <v>1</v>
      </c>
      <c r="X325" s="1745">
        <v>1</v>
      </c>
      <c r="Y325" s="1745">
        <v>1</v>
      </c>
      <c r="Z325" s="1746">
        <v>0</v>
      </c>
      <c r="AA325" s="1747"/>
      <c r="AB325" s="1748"/>
      <c r="AC325" s="1748"/>
      <c r="AD325" s="1595" t="str">
        <f t="shared" si="180"/>
        <v/>
      </c>
      <c r="AE325" s="1595">
        <f t="shared" ref="AE325:AE336" si="210">IF(OR(Q325="",T325=""),"",IF(Q325="A",INDEX(base_p,4,W325+7*(T325-1)),IF(Q325="E",INDEX(base_p,15,W325+7*(T325-1)),INDEX(base_p,27-V325,W325+7*(T325-1)))))</f>
        <v>3</v>
      </c>
      <c r="AF325" s="1595" t="str">
        <f t="shared" ref="AF325:AF336" si="211">IF(AT325=1,IF(IndG=1,U325,IF(AND(OR(NOT(AD325=""),NOT(AB325="")),OR(NOT(AE325=""),NOT(AC325="")),AT325=1),INDEX(base_g,5-IF(AB325="",AD325,AB325),IF(AC325="",AE325,AC325)),"")),0)</f>
        <v/>
      </c>
      <c r="AG325" s="1748"/>
      <c r="AH325" s="1749" t="str">
        <f t="shared" si="181"/>
        <v/>
      </c>
      <c r="AI325" s="1615"/>
      <c r="AJ325" s="1616" t="s">
        <v>3122</v>
      </c>
      <c r="AK325" s="1618"/>
      <c r="AL325" s="1619"/>
      <c r="AM325" s="247" t="str">
        <f t="shared" si="174"/>
        <v/>
      </c>
      <c r="AN325" s="247" t="str">
        <f t="shared" si="175"/>
        <v/>
      </c>
      <c r="AO325" s="247" t="str">
        <f t="shared" si="176"/>
        <v/>
      </c>
      <c r="AP325" s="247" t="str">
        <f t="shared" si="177"/>
        <v/>
      </c>
      <c r="AQ325" s="42">
        <f t="shared" ref="AQ325:AQ336" si="212">VLOOKUP(LEFT(C325,3),Tab_classif_data,6)</f>
        <v>1</v>
      </c>
      <c r="AR325" s="42">
        <f t="shared" ref="AR325:AR336" si="213">VLOOKUP(G325,select_vul_data,2)</f>
        <v>1</v>
      </c>
      <c r="AS325" s="42">
        <f t="shared" ref="AS325:AS336" si="214">VLOOKUP(H325&amp;"."&amp;I325,select_men,5)</f>
        <v>1</v>
      </c>
      <c r="AT325" s="42">
        <f t="shared" ref="AT325:AT336" si="215">P325*AQ325*AR325*AS325</f>
        <v>1</v>
      </c>
      <c r="AU325" s="247" t="str">
        <f t="shared" si="178"/>
        <v/>
      </c>
      <c r="AV325" s="247" t="str">
        <f t="shared" si="179"/>
        <v/>
      </c>
    </row>
    <row r="326" spans="1:48" ht="36" x14ac:dyDescent="0.2">
      <c r="A326" s="450" t="s">
        <v>649</v>
      </c>
      <c r="B326" s="429" t="s">
        <v>2035</v>
      </c>
      <c r="C326" s="430" t="s">
        <v>5459</v>
      </c>
      <c r="D326" s="1349" t="s">
        <v>4811</v>
      </c>
      <c r="E326" s="1350" t="s">
        <v>5446</v>
      </c>
      <c r="F326" s="1350" t="s">
        <v>4498</v>
      </c>
      <c r="G326" s="1351" t="s">
        <v>6071</v>
      </c>
      <c r="H326" s="1342" t="s">
        <v>1329</v>
      </c>
      <c r="I326" s="432" t="s">
        <v>1305</v>
      </c>
      <c r="J326" s="431" t="s">
        <v>3522</v>
      </c>
      <c r="K326" s="431" t="s">
        <v>3524</v>
      </c>
      <c r="L326" s="431"/>
      <c r="M326" s="433"/>
      <c r="N326" s="434" t="s">
        <v>4814</v>
      </c>
      <c r="O326" s="1743" t="str">
        <f>VLOOKUP(B326,code_famille_scénario,2)&amp;VLOOKUP(C326,code_actif,2)&amp;", "&amp;VLOOKUP(J326,Code_lieu,2)&amp;", par "&amp;VLOOKUP(N326,code_acteur,2)&amp;", "&amp;VLOOKUP(K326,code_temps,2)</f>
        <v>Vol de documents écrits ou imprimés détenus par les utilisateurs, dans les bureaux, par un membre du personnel de l'entreprise, en dehors des heures ouvrables</v>
      </c>
      <c r="P326" s="435">
        <v>1</v>
      </c>
      <c r="Q326" s="1595" t="s">
        <v>1299</v>
      </c>
      <c r="R326" s="1595" t="s">
        <v>4811</v>
      </c>
      <c r="S326" s="1595" t="str">
        <f>Classif!E7</f>
        <v/>
      </c>
      <c r="T326" s="1595">
        <f t="shared" si="208"/>
        <v>2</v>
      </c>
      <c r="U326" s="1744" t="str">
        <f t="shared" si="209"/>
        <v/>
      </c>
      <c r="V326" s="1745">
        <v>1</v>
      </c>
      <c r="W326" s="1745">
        <f>S02D02</f>
        <v>1</v>
      </c>
      <c r="X326" s="1745">
        <v>1</v>
      </c>
      <c r="Y326" s="1745">
        <v>1</v>
      </c>
      <c r="Z326" s="1746">
        <v>0</v>
      </c>
      <c r="AA326" s="1747"/>
      <c r="AB326" s="1748"/>
      <c r="AC326" s="1748"/>
      <c r="AD326" s="1595" t="str">
        <f t="shared" si="180"/>
        <v/>
      </c>
      <c r="AE326" s="1595">
        <f t="shared" si="210"/>
        <v>2</v>
      </c>
      <c r="AF326" s="1595" t="str">
        <f t="shared" si="211"/>
        <v/>
      </c>
      <c r="AG326" s="1748"/>
      <c r="AH326" s="1749" t="str">
        <f t="shared" si="181"/>
        <v/>
      </c>
      <c r="AI326" s="1615"/>
      <c r="AJ326" s="1616" t="s">
        <v>3122</v>
      </c>
      <c r="AK326" s="1618"/>
      <c r="AL326" s="1619"/>
      <c r="AM326" s="247" t="str">
        <f t="shared" ref="AM326:AM389" si="216">IF($AH326=1,$H326&amp;"."&amp;$I326&amp;$AH326,"")</f>
        <v/>
      </c>
      <c r="AN326" s="247" t="str">
        <f t="shared" ref="AN326:AN389" si="217">IF($AH326=2,$H326&amp;"."&amp;$I326&amp;$AH326,"")</f>
        <v/>
      </c>
      <c r="AO326" s="247" t="str">
        <f t="shared" ref="AO326:AO389" si="218">IF($AH326=3,$H326&amp;"."&amp;$I326&amp;$AH326,"")</f>
        <v/>
      </c>
      <c r="AP326" s="247" t="str">
        <f t="shared" ref="AP326:AP389" si="219">IF($AH326=4,$H326&amp;"."&amp;$I326&amp;$AH326,"")</f>
        <v/>
      </c>
      <c r="AQ326" s="42">
        <f t="shared" si="212"/>
        <v>1</v>
      </c>
      <c r="AR326" s="42">
        <f t="shared" si="213"/>
        <v>1</v>
      </c>
      <c r="AS326" s="42">
        <f t="shared" si="214"/>
        <v>1</v>
      </c>
      <c r="AT326" s="42">
        <f t="shared" si="215"/>
        <v>1</v>
      </c>
      <c r="AU326" s="247" t="str">
        <f t="shared" ref="AU326:AU389" si="220">IF(S326="","",IF(T326="","",10*S326+T326))</f>
        <v/>
      </c>
      <c r="AV326" s="247" t="str">
        <f t="shared" ref="AV326:AV389" si="221">IF(AD326="","",IF(AE326="","",10*AD326+AE326))</f>
        <v/>
      </c>
    </row>
    <row r="327" spans="1:48" ht="24" x14ac:dyDescent="0.2">
      <c r="A327" s="450" t="s">
        <v>650</v>
      </c>
      <c r="B327" s="429" t="s">
        <v>2035</v>
      </c>
      <c r="C327" s="430" t="s">
        <v>5459</v>
      </c>
      <c r="D327" s="1349" t="s">
        <v>4811</v>
      </c>
      <c r="E327" s="1350" t="s">
        <v>5446</v>
      </c>
      <c r="F327" s="1350" t="s">
        <v>4498</v>
      </c>
      <c r="G327" s="1351" t="s">
        <v>6071</v>
      </c>
      <c r="H327" s="1342" t="s">
        <v>1329</v>
      </c>
      <c r="I327" s="432" t="s">
        <v>1305</v>
      </c>
      <c r="J327" s="431" t="s">
        <v>3522</v>
      </c>
      <c r="K327" s="431" t="s">
        <v>3523</v>
      </c>
      <c r="L327" s="431"/>
      <c r="M327" s="433"/>
      <c r="N327" s="434" t="s">
        <v>1302</v>
      </c>
      <c r="O327" s="1743" t="str">
        <f>VLOOKUP(B327,code_famille_scénario,2)&amp;VLOOKUP(C327,code_actif,2)&amp;", "&amp;VLOOKUP(J327,Code_lieu,2)&amp;", par "&amp;VLOOKUP(N327,code_acteur,2)&amp;", "&amp;VLOOKUP(K327,code_temps,2)</f>
        <v>Vol de documents écrits ou imprimés détenus par les utilisateurs, dans les bureaux, par un utilisateur autorisé illégitime, en l'absence de l'utilisateur</v>
      </c>
      <c r="P327" s="435">
        <v>1</v>
      </c>
      <c r="Q327" s="1595" t="s">
        <v>1299</v>
      </c>
      <c r="R327" s="1595" t="s">
        <v>4811</v>
      </c>
      <c r="S327" s="1595" t="str">
        <f>Classif!E7</f>
        <v/>
      </c>
      <c r="T327" s="1595">
        <f t="shared" si="208"/>
        <v>2</v>
      </c>
      <c r="U327" s="1744" t="str">
        <f t="shared" si="209"/>
        <v/>
      </c>
      <c r="V327" s="1745">
        <f>S02C05</f>
        <v>1</v>
      </c>
      <c r="W327" s="1745">
        <f>MAX(S02A02,S02C03,S02D02)</f>
        <v>1</v>
      </c>
      <c r="X327" s="1745">
        <v>1</v>
      </c>
      <c r="Y327" s="1745">
        <v>1</v>
      </c>
      <c r="Z327" s="1746">
        <v>0</v>
      </c>
      <c r="AA327" s="1747"/>
      <c r="AB327" s="1748"/>
      <c r="AC327" s="1748"/>
      <c r="AD327" s="1595" t="str">
        <f t="shared" ref="AD327:AD390" si="222">IF(OR(R327="",S327=""),"",IF(R327="D",INDEX(base_i,IF(IF(AA327="",Z327,AA327)=0,4,5-X327),Y327+7*(S327-1)),IF(R327="I",INDEX(base_i,IF(IF(AA327="",Z327,AA327)=0,15,16-X327),Y327+7*(S327-1)),IF(R327="C",INDEX(base_i,IF(IF(AA327="",Z327,AA327)=0,26,27-X327),Y327+7*(S327-1)),INDEX(base_i,38-X327,Y327+7*(S327-1))))))</f>
        <v/>
      </c>
      <c r="AE327" s="1595">
        <f t="shared" si="210"/>
        <v>2</v>
      </c>
      <c r="AF327" s="1595" t="str">
        <f t="shared" si="211"/>
        <v/>
      </c>
      <c r="AG327" s="1748"/>
      <c r="AH327" s="1749" t="str">
        <f t="shared" ref="AH327:AH390" si="223">IF(OR(AG327="A",AG327="a",AG327="T",AG327="t",AF327=""),"",AF327)</f>
        <v/>
      </c>
      <c r="AI327" s="1620" t="s">
        <v>3120</v>
      </c>
      <c r="AJ327" s="1616" t="s">
        <v>5267</v>
      </c>
      <c r="AK327" s="1616"/>
      <c r="AL327" s="1619"/>
      <c r="AM327" s="247" t="str">
        <f t="shared" si="216"/>
        <v/>
      </c>
      <c r="AN327" s="247" t="str">
        <f t="shared" si="217"/>
        <v/>
      </c>
      <c r="AO327" s="247" t="str">
        <f t="shared" si="218"/>
        <v/>
      </c>
      <c r="AP327" s="247" t="str">
        <f t="shared" si="219"/>
        <v/>
      </c>
      <c r="AQ327" s="42">
        <f t="shared" si="212"/>
        <v>1</v>
      </c>
      <c r="AR327" s="42">
        <f t="shared" si="213"/>
        <v>1</v>
      </c>
      <c r="AS327" s="42">
        <f t="shared" si="214"/>
        <v>1</v>
      </c>
      <c r="AT327" s="42">
        <f t="shared" si="215"/>
        <v>1</v>
      </c>
      <c r="AU327" s="247" t="str">
        <f t="shared" si="220"/>
        <v/>
      </c>
      <c r="AV327" s="247" t="str">
        <f t="shared" si="221"/>
        <v/>
      </c>
    </row>
    <row r="328" spans="1:48" ht="24" x14ac:dyDescent="0.2">
      <c r="A328" s="450" t="s">
        <v>651</v>
      </c>
      <c r="B328" s="429" t="s">
        <v>2035</v>
      </c>
      <c r="C328" s="430" t="s">
        <v>5459</v>
      </c>
      <c r="D328" s="1349" t="s">
        <v>4811</v>
      </c>
      <c r="E328" s="1350" t="s">
        <v>5446</v>
      </c>
      <c r="F328" s="1350" t="s">
        <v>4498</v>
      </c>
      <c r="G328" s="1351" t="s">
        <v>6071</v>
      </c>
      <c r="H328" s="1342" t="s">
        <v>1329</v>
      </c>
      <c r="I328" s="432" t="s">
        <v>1305</v>
      </c>
      <c r="J328" s="431" t="s">
        <v>3522</v>
      </c>
      <c r="K328" s="431"/>
      <c r="L328" s="431"/>
      <c r="M328" s="433"/>
      <c r="N328" s="434" t="s">
        <v>4295</v>
      </c>
      <c r="O328" s="1743" t="str">
        <f>VLOOKUP(B328,code_famille_scénario,2)&amp;VLOOKUP(C328,code_actif,2)&amp;", "&amp;VLOOKUP(J328,Code_lieu,2)&amp;", par "&amp;VLOOKUP(N328,code_acteur,2)</f>
        <v>Vol de documents écrits ou imprimés détenus par les utilisateurs, dans les bureaux, par un membre du personnel de service</v>
      </c>
      <c r="P328" s="435">
        <v>1</v>
      </c>
      <c r="Q328" s="1595" t="s">
        <v>1299</v>
      </c>
      <c r="R328" s="1595" t="s">
        <v>4811</v>
      </c>
      <c r="S328" s="1595" t="str">
        <f>Classif!E7</f>
        <v/>
      </c>
      <c r="T328" s="1595">
        <f t="shared" si="208"/>
        <v>2</v>
      </c>
      <c r="U328" s="1744" t="str">
        <f t="shared" si="209"/>
        <v/>
      </c>
      <c r="V328" s="1745">
        <f>S02C05</f>
        <v>1</v>
      </c>
      <c r="W328" s="1745">
        <f>S02D02</f>
        <v>1</v>
      </c>
      <c r="X328" s="1745">
        <v>1</v>
      </c>
      <c r="Y328" s="1745">
        <v>1</v>
      </c>
      <c r="Z328" s="1746">
        <v>0</v>
      </c>
      <c r="AA328" s="1747"/>
      <c r="AB328" s="1748"/>
      <c r="AC328" s="1748"/>
      <c r="AD328" s="1595" t="str">
        <f t="shared" si="222"/>
        <v/>
      </c>
      <c r="AE328" s="1595">
        <f t="shared" si="210"/>
        <v>2</v>
      </c>
      <c r="AF328" s="1595" t="str">
        <f t="shared" si="211"/>
        <v/>
      </c>
      <c r="AG328" s="1748"/>
      <c r="AH328" s="1749" t="str">
        <f t="shared" si="223"/>
        <v/>
      </c>
      <c r="AI328" s="1620" t="s">
        <v>3120</v>
      </c>
      <c r="AJ328" s="1616" t="s">
        <v>3122</v>
      </c>
      <c r="AK328" s="1616"/>
      <c r="AL328" s="1619"/>
      <c r="AM328" s="247" t="str">
        <f t="shared" si="216"/>
        <v/>
      </c>
      <c r="AN328" s="247" t="str">
        <f t="shared" si="217"/>
        <v/>
      </c>
      <c r="AO328" s="247" t="str">
        <f t="shared" si="218"/>
        <v/>
      </c>
      <c r="AP328" s="247" t="str">
        <f t="shared" si="219"/>
        <v/>
      </c>
      <c r="AQ328" s="42">
        <f t="shared" si="212"/>
        <v>1</v>
      </c>
      <c r="AR328" s="42">
        <f t="shared" si="213"/>
        <v>1</v>
      </c>
      <c r="AS328" s="42">
        <f t="shared" si="214"/>
        <v>1</v>
      </c>
      <c r="AT328" s="42">
        <f t="shared" si="215"/>
        <v>1</v>
      </c>
      <c r="AU328" s="247" t="str">
        <f t="shared" si="220"/>
        <v/>
      </c>
      <c r="AV328" s="247" t="str">
        <f t="shared" si="221"/>
        <v/>
      </c>
    </row>
    <row r="329" spans="1:48" ht="24" x14ac:dyDescent="0.2">
      <c r="A329" s="450" t="s">
        <v>652</v>
      </c>
      <c r="B329" s="429" t="s">
        <v>2035</v>
      </c>
      <c r="C329" s="430" t="s">
        <v>5459</v>
      </c>
      <c r="D329" s="1349" t="s">
        <v>4811</v>
      </c>
      <c r="E329" s="1350" t="s">
        <v>5446</v>
      </c>
      <c r="F329" s="1350" t="s">
        <v>4498</v>
      </c>
      <c r="G329" s="1351" t="s">
        <v>6071</v>
      </c>
      <c r="H329" s="1342" t="s">
        <v>1329</v>
      </c>
      <c r="I329" s="432" t="s">
        <v>1305</v>
      </c>
      <c r="J329" s="431" t="s">
        <v>3522</v>
      </c>
      <c r="K329" s="431" t="s">
        <v>3523</v>
      </c>
      <c r="L329" s="431"/>
      <c r="M329" s="433"/>
      <c r="N329" s="434" t="s">
        <v>4814</v>
      </c>
      <c r="O329" s="1743" t="str">
        <f>VLOOKUP(B329,code_famille_scénario,2)&amp;VLOOKUP(C329,code_actif,2)&amp;", "&amp;VLOOKUP(J329,Code_lieu,2)&amp;", par "&amp;VLOOKUP(N329,code_acteur,2)&amp;", "&amp;VLOOKUP(K329,code_temps,2)</f>
        <v>Vol de documents écrits ou imprimés détenus par les utilisateurs, dans les bureaux, par un membre du personnel de l'entreprise, en l'absence de l'utilisateur</v>
      </c>
      <c r="P329" s="435">
        <v>1</v>
      </c>
      <c r="Q329" s="1595" t="s">
        <v>1299</v>
      </c>
      <c r="R329" s="1595" t="s">
        <v>4811</v>
      </c>
      <c r="S329" s="1595" t="str">
        <f>Classif!E7</f>
        <v/>
      </c>
      <c r="T329" s="1595">
        <f t="shared" si="208"/>
        <v>2</v>
      </c>
      <c r="U329" s="1744" t="str">
        <f t="shared" si="209"/>
        <v/>
      </c>
      <c r="V329" s="1745">
        <f>S02C05</f>
        <v>1</v>
      </c>
      <c r="W329" s="1745">
        <f>MAX(S02D02,MIN(S02C01,S02C02,S02C03))</f>
        <v>1</v>
      </c>
      <c r="X329" s="1745">
        <v>1</v>
      </c>
      <c r="Y329" s="1745">
        <v>1</v>
      </c>
      <c r="Z329" s="1746">
        <v>0</v>
      </c>
      <c r="AA329" s="1747"/>
      <c r="AB329" s="1748"/>
      <c r="AC329" s="1748"/>
      <c r="AD329" s="1595" t="str">
        <f t="shared" si="222"/>
        <v/>
      </c>
      <c r="AE329" s="1595">
        <f t="shared" si="210"/>
        <v>2</v>
      </c>
      <c r="AF329" s="1595" t="str">
        <f t="shared" si="211"/>
        <v/>
      </c>
      <c r="AG329" s="1748"/>
      <c r="AH329" s="1749" t="str">
        <f t="shared" si="223"/>
        <v/>
      </c>
      <c r="AI329" s="1620" t="s">
        <v>3120</v>
      </c>
      <c r="AJ329" s="1616" t="s">
        <v>5268</v>
      </c>
      <c r="AK329" s="1616"/>
      <c r="AL329" s="1619"/>
      <c r="AM329" s="247" t="str">
        <f t="shared" si="216"/>
        <v/>
      </c>
      <c r="AN329" s="247" t="str">
        <f t="shared" si="217"/>
        <v/>
      </c>
      <c r="AO329" s="247" t="str">
        <f t="shared" si="218"/>
        <v/>
      </c>
      <c r="AP329" s="247" t="str">
        <f t="shared" si="219"/>
        <v/>
      </c>
      <c r="AQ329" s="42">
        <f t="shared" si="212"/>
        <v>1</v>
      </c>
      <c r="AR329" s="42">
        <f t="shared" si="213"/>
        <v>1</v>
      </c>
      <c r="AS329" s="42">
        <f t="shared" si="214"/>
        <v>1</v>
      </c>
      <c r="AT329" s="42">
        <f t="shared" si="215"/>
        <v>1</v>
      </c>
      <c r="AU329" s="247" t="str">
        <f t="shared" si="220"/>
        <v/>
      </c>
      <c r="AV329" s="247" t="str">
        <f t="shared" si="221"/>
        <v/>
      </c>
    </row>
    <row r="330" spans="1:48" ht="24" x14ac:dyDescent="0.2">
      <c r="A330" s="450" t="s">
        <v>653</v>
      </c>
      <c r="B330" s="429" t="s">
        <v>2035</v>
      </c>
      <c r="C330" s="430" t="s">
        <v>5459</v>
      </c>
      <c r="D330" s="1349" t="s">
        <v>4811</v>
      </c>
      <c r="E330" s="1350" t="s">
        <v>5446</v>
      </c>
      <c r="F330" s="1350" t="s">
        <v>4498</v>
      </c>
      <c r="G330" s="1351" t="s">
        <v>6071</v>
      </c>
      <c r="H330" s="1342" t="s">
        <v>1329</v>
      </c>
      <c r="I330" s="432" t="s">
        <v>1305</v>
      </c>
      <c r="J330" s="431" t="s">
        <v>3522</v>
      </c>
      <c r="K330" s="431" t="s">
        <v>3523</v>
      </c>
      <c r="L330" s="431"/>
      <c r="M330" s="433"/>
      <c r="N330" s="434" t="s">
        <v>4815</v>
      </c>
      <c r="O330" s="1743" t="str">
        <f>VLOOKUP(B330,code_famille_scénario,2)&amp;VLOOKUP(C330,code_actif,2)&amp;", "&amp;VLOOKUP(J330,Code_lieu,2)&amp;", par "&amp;VLOOKUP(N330,code_acteur,2)&amp;", "&amp;VLOOKUP(K330,code_temps,2)</f>
        <v>Vol de documents écrits ou imprimés détenus par les utilisateurs, dans les bureaux, par un visiteur, en l'absence de l'utilisateur</v>
      </c>
      <c r="P330" s="435">
        <v>1</v>
      </c>
      <c r="Q330" s="1595" t="s">
        <v>1299</v>
      </c>
      <c r="R330" s="1595" t="s">
        <v>4811</v>
      </c>
      <c r="S330" s="1595" t="str">
        <f>Classif!E7</f>
        <v/>
      </c>
      <c r="T330" s="1595">
        <f t="shared" si="208"/>
        <v>2</v>
      </c>
      <c r="U330" s="1744" t="str">
        <f t="shared" si="209"/>
        <v/>
      </c>
      <c r="V330" s="1745">
        <f>S02C05</f>
        <v>1</v>
      </c>
      <c r="W330" s="1745">
        <f>MAX(S02D02,MIN(S02C01,S02C02,S02C06))</f>
        <v>1</v>
      </c>
      <c r="X330" s="1745">
        <v>1</v>
      </c>
      <c r="Y330" s="1745">
        <v>1</v>
      </c>
      <c r="Z330" s="1746">
        <v>0</v>
      </c>
      <c r="AA330" s="1747"/>
      <c r="AB330" s="1748"/>
      <c r="AC330" s="1748"/>
      <c r="AD330" s="1595" t="str">
        <f t="shared" si="222"/>
        <v/>
      </c>
      <c r="AE330" s="1595">
        <f t="shared" si="210"/>
        <v>2</v>
      </c>
      <c r="AF330" s="1595" t="str">
        <f t="shared" si="211"/>
        <v/>
      </c>
      <c r="AG330" s="1748"/>
      <c r="AH330" s="1749" t="str">
        <f t="shared" si="223"/>
        <v/>
      </c>
      <c r="AI330" s="1620" t="s">
        <v>3120</v>
      </c>
      <c r="AJ330" s="1616" t="s">
        <v>5269</v>
      </c>
      <c r="AK330" s="1616"/>
      <c r="AL330" s="1619"/>
      <c r="AM330" s="247" t="str">
        <f t="shared" si="216"/>
        <v/>
      </c>
      <c r="AN330" s="247" t="str">
        <f t="shared" si="217"/>
        <v/>
      </c>
      <c r="AO330" s="247" t="str">
        <f t="shared" si="218"/>
        <v/>
      </c>
      <c r="AP330" s="247" t="str">
        <f t="shared" si="219"/>
        <v/>
      </c>
      <c r="AQ330" s="42">
        <f t="shared" si="212"/>
        <v>1</v>
      </c>
      <c r="AR330" s="42">
        <f t="shared" si="213"/>
        <v>1</v>
      </c>
      <c r="AS330" s="42">
        <f t="shared" si="214"/>
        <v>1</v>
      </c>
      <c r="AT330" s="42">
        <f t="shared" si="215"/>
        <v>1</v>
      </c>
      <c r="AU330" s="247" t="str">
        <f t="shared" si="220"/>
        <v/>
      </c>
      <c r="AV330" s="247" t="str">
        <f t="shared" si="221"/>
        <v/>
      </c>
    </row>
    <row r="331" spans="1:48" ht="24" x14ac:dyDescent="0.2">
      <c r="A331" s="450" t="s">
        <v>654</v>
      </c>
      <c r="B331" s="429" t="s">
        <v>2035</v>
      </c>
      <c r="C331" s="430" t="s">
        <v>5459</v>
      </c>
      <c r="D331" s="1349" t="s">
        <v>4811</v>
      </c>
      <c r="E331" s="1350" t="s">
        <v>5446</v>
      </c>
      <c r="F331" s="1350" t="s">
        <v>4498</v>
      </c>
      <c r="G331" s="1351" t="s">
        <v>6071</v>
      </c>
      <c r="H331" s="1342" t="s">
        <v>1329</v>
      </c>
      <c r="I331" s="432" t="s">
        <v>1305</v>
      </c>
      <c r="J331" s="431" t="s">
        <v>3525</v>
      </c>
      <c r="K331" s="431"/>
      <c r="L331" s="431"/>
      <c r="M331" s="433"/>
      <c r="N331" s="434"/>
      <c r="O331" s="1743" t="str">
        <f>VLOOKUP(B331,code_famille_scénario,2)&amp;VLOOKUP(C331,code_actif,2)&amp;", "&amp;VLOOKUP(J331,Code_lieu,2)</f>
        <v>Vol de documents écrits ou imprimés détenus par les utilisateurs, en dehors de l'entreprise</v>
      </c>
      <c r="P331" s="435">
        <v>1</v>
      </c>
      <c r="Q331" s="1595" t="s">
        <v>1299</v>
      </c>
      <c r="R331" s="1595" t="s">
        <v>4811</v>
      </c>
      <c r="S331" s="1595" t="str">
        <f>Classif!E7</f>
        <v/>
      </c>
      <c r="T331" s="1595">
        <f t="shared" si="208"/>
        <v>2</v>
      </c>
      <c r="U331" s="1744" t="str">
        <f t="shared" si="209"/>
        <v/>
      </c>
      <c r="V331" s="1745">
        <v>1</v>
      </c>
      <c r="W331" s="1745">
        <f>S02D02</f>
        <v>1</v>
      </c>
      <c r="X331" s="1745">
        <v>1</v>
      </c>
      <c r="Y331" s="1745">
        <v>1</v>
      </c>
      <c r="Z331" s="1746">
        <v>0</v>
      </c>
      <c r="AA331" s="1747"/>
      <c r="AB331" s="1748"/>
      <c r="AC331" s="1748"/>
      <c r="AD331" s="1595" t="str">
        <f t="shared" si="222"/>
        <v/>
      </c>
      <c r="AE331" s="1595">
        <f t="shared" si="210"/>
        <v>2</v>
      </c>
      <c r="AF331" s="1595" t="str">
        <f t="shared" si="211"/>
        <v/>
      </c>
      <c r="AG331" s="1748"/>
      <c r="AH331" s="1749" t="str">
        <f t="shared" si="223"/>
        <v/>
      </c>
      <c r="AI331" s="1615"/>
      <c r="AJ331" s="1616" t="s">
        <v>3122</v>
      </c>
      <c r="AK331" s="1618"/>
      <c r="AL331" s="1619"/>
      <c r="AM331" s="247" t="str">
        <f t="shared" si="216"/>
        <v/>
      </c>
      <c r="AN331" s="247" t="str">
        <f t="shared" si="217"/>
        <v/>
      </c>
      <c r="AO331" s="247" t="str">
        <f t="shared" si="218"/>
        <v/>
      </c>
      <c r="AP331" s="247" t="str">
        <f t="shared" si="219"/>
        <v/>
      </c>
      <c r="AQ331" s="42">
        <f t="shared" si="212"/>
        <v>1</v>
      </c>
      <c r="AR331" s="42">
        <f t="shared" si="213"/>
        <v>1</v>
      </c>
      <c r="AS331" s="42">
        <f t="shared" si="214"/>
        <v>1</v>
      </c>
      <c r="AT331" s="42">
        <f t="shared" si="215"/>
        <v>1</v>
      </c>
      <c r="AU331" s="247" t="str">
        <f t="shared" si="220"/>
        <v/>
      </c>
      <c r="AV331" s="247" t="str">
        <f t="shared" si="221"/>
        <v/>
      </c>
    </row>
    <row r="332" spans="1:48" ht="24" x14ac:dyDescent="0.2">
      <c r="A332" s="450" t="s">
        <v>655</v>
      </c>
      <c r="B332" s="429" t="s">
        <v>2035</v>
      </c>
      <c r="C332" s="430" t="s">
        <v>5459</v>
      </c>
      <c r="D332" s="1349" t="s">
        <v>4811</v>
      </c>
      <c r="E332" s="1350" t="s">
        <v>5446</v>
      </c>
      <c r="F332" s="1350" t="s">
        <v>4498</v>
      </c>
      <c r="G332" s="1351" t="s">
        <v>6071</v>
      </c>
      <c r="H332" s="1342" t="s">
        <v>1329</v>
      </c>
      <c r="I332" s="432" t="s">
        <v>1305</v>
      </c>
      <c r="J332" s="431"/>
      <c r="K332" s="431"/>
      <c r="L332" s="431"/>
      <c r="M332" s="433" t="s">
        <v>4855</v>
      </c>
      <c r="N332" s="434" t="s">
        <v>4814</v>
      </c>
      <c r="O332" s="1743" t="str">
        <f>VLOOKUP(B332,code_famille_scénario,2)&amp;", "&amp;VLOOKUP(M332,code_process,2)&amp;", par "&amp;VLOOKUP(N332,code_acteur,2)</f>
        <v>Vol de documents, lors de l'impression sur une imprimante partagée, par un membre du personnel de l'entreprise</v>
      </c>
      <c r="P332" s="435">
        <v>1</v>
      </c>
      <c r="Q332" s="1595" t="s">
        <v>1299</v>
      </c>
      <c r="R332" s="1595" t="s">
        <v>4811</v>
      </c>
      <c r="S332" s="1595" t="str">
        <f>Classif!E7</f>
        <v/>
      </c>
      <c r="T332" s="1595">
        <f t="shared" si="208"/>
        <v>2</v>
      </c>
      <c r="U332" s="1744" t="str">
        <f t="shared" si="209"/>
        <v/>
      </c>
      <c r="V332" s="1745">
        <v>1</v>
      </c>
      <c r="W332" s="1745">
        <f>MAX(S02D02,S11C06)</f>
        <v>1</v>
      </c>
      <c r="X332" s="1745">
        <v>1</v>
      </c>
      <c r="Y332" s="1745">
        <v>1</v>
      </c>
      <c r="Z332" s="1746">
        <v>0</v>
      </c>
      <c r="AA332" s="1747"/>
      <c r="AB332" s="1748"/>
      <c r="AC332" s="1748"/>
      <c r="AD332" s="1595" t="str">
        <f t="shared" si="222"/>
        <v/>
      </c>
      <c r="AE332" s="1595">
        <f t="shared" si="210"/>
        <v>2</v>
      </c>
      <c r="AF332" s="1595" t="str">
        <f t="shared" si="211"/>
        <v/>
      </c>
      <c r="AG332" s="1748"/>
      <c r="AH332" s="1749" t="str">
        <f t="shared" si="223"/>
        <v/>
      </c>
      <c r="AI332" s="1615"/>
      <c r="AJ332" s="1616" t="s">
        <v>5753</v>
      </c>
      <c r="AK332" s="1618"/>
      <c r="AL332" s="1619"/>
      <c r="AM332" s="247" t="str">
        <f t="shared" si="216"/>
        <v/>
      </c>
      <c r="AN332" s="247" t="str">
        <f t="shared" si="217"/>
        <v/>
      </c>
      <c r="AO332" s="247" t="str">
        <f t="shared" si="218"/>
        <v/>
      </c>
      <c r="AP332" s="247" t="str">
        <f t="shared" si="219"/>
        <v/>
      </c>
      <c r="AQ332" s="42">
        <f t="shared" si="212"/>
        <v>1</v>
      </c>
      <c r="AR332" s="42">
        <f t="shared" si="213"/>
        <v>1</v>
      </c>
      <c r="AS332" s="42">
        <f t="shared" si="214"/>
        <v>1</v>
      </c>
      <c r="AT332" s="42">
        <f t="shared" si="215"/>
        <v>1</v>
      </c>
      <c r="AU332" s="247" t="str">
        <f t="shared" si="220"/>
        <v/>
      </c>
      <c r="AV332" s="247" t="str">
        <f t="shared" si="221"/>
        <v/>
      </c>
    </row>
    <row r="333" spans="1:48" ht="24" x14ac:dyDescent="0.2">
      <c r="A333" s="450" t="s">
        <v>656</v>
      </c>
      <c r="B333" s="429" t="s">
        <v>2035</v>
      </c>
      <c r="C333" s="430" t="s">
        <v>5459</v>
      </c>
      <c r="D333" s="1349" t="s">
        <v>4811</v>
      </c>
      <c r="E333" s="1350" t="s">
        <v>5446</v>
      </c>
      <c r="F333" s="1350" t="s">
        <v>4498</v>
      </c>
      <c r="G333" s="1351" t="s">
        <v>6071</v>
      </c>
      <c r="H333" s="1342" t="s">
        <v>1329</v>
      </c>
      <c r="I333" s="432" t="s">
        <v>1305</v>
      </c>
      <c r="J333" s="431"/>
      <c r="K333" s="431"/>
      <c r="L333" s="431"/>
      <c r="M333" s="433" t="s">
        <v>4855</v>
      </c>
      <c r="N333" s="434" t="s">
        <v>4815</v>
      </c>
      <c r="O333" s="1743" t="str">
        <f>VLOOKUP(B333,code_famille_scénario,2)&amp;", "&amp;VLOOKUP(M333,code_process,2)&amp;", par "&amp;VLOOKUP(N333,code_acteur,2)</f>
        <v>Vol de documents, lors de l'impression sur une imprimante partagée, par un visiteur</v>
      </c>
      <c r="P333" s="435">
        <v>1</v>
      </c>
      <c r="Q333" s="1595" t="s">
        <v>1299</v>
      </c>
      <c r="R333" s="1595" t="s">
        <v>4811</v>
      </c>
      <c r="S333" s="1595" t="str">
        <f>Classif!E7</f>
        <v/>
      </c>
      <c r="T333" s="1595">
        <f t="shared" si="208"/>
        <v>2</v>
      </c>
      <c r="U333" s="1744" t="str">
        <f t="shared" si="209"/>
        <v/>
      </c>
      <c r="V333" s="1745">
        <v>1</v>
      </c>
      <c r="W333" s="1745">
        <f>MAX(S02D02,S11C06)</f>
        <v>1</v>
      </c>
      <c r="X333" s="1745">
        <v>1</v>
      </c>
      <c r="Y333" s="1745">
        <v>1</v>
      </c>
      <c r="Z333" s="1746">
        <v>0</v>
      </c>
      <c r="AA333" s="1747"/>
      <c r="AB333" s="1748"/>
      <c r="AC333" s="1748"/>
      <c r="AD333" s="1595" t="str">
        <f t="shared" si="222"/>
        <v/>
      </c>
      <c r="AE333" s="1595">
        <f t="shared" si="210"/>
        <v>2</v>
      </c>
      <c r="AF333" s="1595" t="str">
        <f t="shared" si="211"/>
        <v/>
      </c>
      <c r="AG333" s="1748"/>
      <c r="AH333" s="1749" t="str">
        <f t="shared" si="223"/>
        <v/>
      </c>
      <c r="AI333" s="1615"/>
      <c r="AJ333" s="1616" t="s">
        <v>5753</v>
      </c>
      <c r="AK333" s="1618"/>
      <c r="AL333" s="1619"/>
      <c r="AM333" s="247" t="str">
        <f t="shared" si="216"/>
        <v/>
      </c>
      <c r="AN333" s="247" t="str">
        <f t="shared" si="217"/>
        <v/>
      </c>
      <c r="AO333" s="247" t="str">
        <f t="shared" si="218"/>
        <v/>
      </c>
      <c r="AP333" s="247" t="str">
        <f t="shared" si="219"/>
        <v/>
      </c>
      <c r="AQ333" s="42">
        <f t="shared" si="212"/>
        <v>1</v>
      </c>
      <c r="AR333" s="42">
        <f t="shared" si="213"/>
        <v>1</v>
      </c>
      <c r="AS333" s="42">
        <f t="shared" si="214"/>
        <v>1</v>
      </c>
      <c r="AT333" s="42">
        <f t="shared" si="215"/>
        <v>1</v>
      </c>
      <c r="AU333" s="247" t="str">
        <f t="shared" si="220"/>
        <v/>
      </c>
      <c r="AV333" s="247" t="str">
        <f t="shared" si="221"/>
        <v/>
      </c>
    </row>
    <row r="334" spans="1:48" ht="24" x14ac:dyDescent="0.2">
      <c r="A334" s="450" t="s">
        <v>657</v>
      </c>
      <c r="B334" s="429" t="s">
        <v>2035</v>
      </c>
      <c r="C334" s="430" t="s">
        <v>5459</v>
      </c>
      <c r="D334" s="1349" t="s">
        <v>4811</v>
      </c>
      <c r="E334" s="1350" t="s">
        <v>5446</v>
      </c>
      <c r="F334" s="1350" t="s">
        <v>4498</v>
      </c>
      <c r="G334" s="1351" t="s">
        <v>6071</v>
      </c>
      <c r="H334" s="1342" t="s">
        <v>1329</v>
      </c>
      <c r="I334" s="432" t="s">
        <v>1305</v>
      </c>
      <c r="J334" s="431"/>
      <c r="K334" s="431"/>
      <c r="L334" s="431"/>
      <c r="M334" s="433" t="s">
        <v>4856</v>
      </c>
      <c r="N334" s="434" t="s">
        <v>4814</v>
      </c>
      <c r="O334" s="1743" t="str">
        <f>VLOOKUP(B334,code_famille_scénario,2)&amp;", "&amp;VLOOKUP(M334,code_process,2)&amp;", par "&amp;VLOOKUP(N334,code_acteur,2)</f>
        <v>Vol de documents, lors de la diffusion, par un membre du personnel de l'entreprise</v>
      </c>
      <c r="P334" s="435">
        <v>1</v>
      </c>
      <c r="Q334" s="1595" t="s">
        <v>1299</v>
      </c>
      <c r="R334" s="1595" t="s">
        <v>4811</v>
      </c>
      <c r="S334" s="1595" t="str">
        <f>Classif!E7</f>
        <v/>
      </c>
      <c r="T334" s="1595">
        <f t="shared" si="208"/>
        <v>2</v>
      </c>
      <c r="U334" s="1744" t="str">
        <f t="shared" si="209"/>
        <v/>
      </c>
      <c r="V334" s="1745">
        <v>1</v>
      </c>
      <c r="W334" s="1745">
        <f>S02D02</f>
        <v>1</v>
      </c>
      <c r="X334" s="1745">
        <v>1</v>
      </c>
      <c r="Y334" s="1745">
        <v>1</v>
      </c>
      <c r="Z334" s="1746">
        <v>0</v>
      </c>
      <c r="AA334" s="1747"/>
      <c r="AB334" s="1748"/>
      <c r="AC334" s="1748"/>
      <c r="AD334" s="1595" t="str">
        <f t="shared" si="222"/>
        <v/>
      </c>
      <c r="AE334" s="1595">
        <f t="shared" si="210"/>
        <v>2</v>
      </c>
      <c r="AF334" s="1595" t="str">
        <f t="shared" si="211"/>
        <v/>
      </c>
      <c r="AG334" s="1748"/>
      <c r="AH334" s="1749" t="str">
        <f t="shared" si="223"/>
        <v/>
      </c>
      <c r="AI334" s="1620"/>
      <c r="AJ334" s="1616" t="s">
        <v>3122</v>
      </c>
      <c r="AK334" s="1616"/>
      <c r="AL334" s="1619"/>
      <c r="AM334" s="247" t="str">
        <f t="shared" si="216"/>
        <v/>
      </c>
      <c r="AN334" s="247" t="str">
        <f t="shared" si="217"/>
        <v/>
      </c>
      <c r="AO334" s="247" t="str">
        <f t="shared" si="218"/>
        <v/>
      </c>
      <c r="AP334" s="247" t="str">
        <f t="shared" si="219"/>
        <v/>
      </c>
      <c r="AQ334" s="42">
        <f t="shared" si="212"/>
        <v>1</v>
      </c>
      <c r="AR334" s="42">
        <f t="shared" si="213"/>
        <v>1</v>
      </c>
      <c r="AS334" s="42">
        <f t="shared" si="214"/>
        <v>1</v>
      </c>
      <c r="AT334" s="42">
        <f t="shared" si="215"/>
        <v>1</v>
      </c>
      <c r="AU334" s="247" t="str">
        <f t="shared" si="220"/>
        <v/>
      </c>
      <c r="AV334" s="247" t="str">
        <f t="shared" si="221"/>
        <v/>
      </c>
    </row>
    <row r="335" spans="1:48" x14ac:dyDescent="0.2">
      <c r="A335" s="450" t="s">
        <v>658</v>
      </c>
      <c r="B335" s="429" t="s">
        <v>2035</v>
      </c>
      <c r="C335" s="430" t="s">
        <v>5459</v>
      </c>
      <c r="D335" s="1349" t="s">
        <v>4811</v>
      </c>
      <c r="E335" s="1350" t="s">
        <v>5446</v>
      </c>
      <c r="F335" s="1350" t="s">
        <v>4498</v>
      </c>
      <c r="G335" s="1351" t="s">
        <v>6071</v>
      </c>
      <c r="H335" s="1342" t="s">
        <v>1329</v>
      </c>
      <c r="I335" s="432" t="s">
        <v>1305</v>
      </c>
      <c r="J335" s="431"/>
      <c r="K335" s="431"/>
      <c r="L335" s="431"/>
      <c r="M335" s="433" t="s">
        <v>4856</v>
      </c>
      <c r="N335" s="434" t="s">
        <v>4815</v>
      </c>
      <c r="O335" s="1743" t="str">
        <f>VLOOKUP(B335,code_famille_scénario,2)&amp;", "&amp;VLOOKUP(M335,code_process,2)&amp;", par "&amp;VLOOKUP(N335,code_acteur,2)</f>
        <v>Vol de documents, lors de la diffusion, par un visiteur</v>
      </c>
      <c r="P335" s="435">
        <v>1</v>
      </c>
      <c r="Q335" s="1595" t="s">
        <v>1299</v>
      </c>
      <c r="R335" s="1595" t="s">
        <v>4811</v>
      </c>
      <c r="S335" s="1595" t="str">
        <f>Classif!E7</f>
        <v/>
      </c>
      <c r="T335" s="1595">
        <f t="shared" si="208"/>
        <v>2</v>
      </c>
      <c r="U335" s="1744" t="str">
        <f t="shared" si="209"/>
        <v/>
      </c>
      <c r="V335" s="1745">
        <v>1</v>
      </c>
      <c r="W335" s="1745">
        <f>S02D02</f>
        <v>1</v>
      </c>
      <c r="X335" s="1745">
        <v>1</v>
      </c>
      <c r="Y335" s="1745">
        <v>1</v>
      </c>
      <c r="Z335" s="1746">
        <v>0</v>
      </c>
      <c r="AA335" s="1747"/>
      <c r="AB335" s="1748"/>
      <c r="AC335" s="1748"/>
      <c r="AD335" s="1595" t="str">
        <f t="shared" si="222"/>
        <v/>
      </c>
      <c r="AE335" s="1595">
        <f t="shared" si="210"/>
        <v>2</v>
      </c>
      <c r="AF335" s="1595" t="str">
        <f t="shared" si="211"/>
        <v/>
      </c>
      <c r="AG335" s="1748"/>
      <c r="AH335" s="1749" t="str">
        <f t="shared" si="223"/>
        <v/>
      </c>
      <c r="AI335" s="1615"/>
      <c r="AJ335" s="1616" t="s">
        <v>3122</v>
      </c>
      <c r="AK335" s="1618"/>
      <c r="AL335" s="1619"/>
      <c r="AM335" s="247" t="str">
        <f t="shared" si="216"/>
        <v/>
      </c>
      <c r="AN335" s="247" t="str">
        <f t="shared" si="217"/>
        <v/>
      </c>
      <c r="AO335" s="247" t="str">
        <f t="shared" si="218"/>
        <v/>
      </c>
      <c r="AP335" s="247" t="str">
        <f t="shared" si="219"/>
        <v/>
      </c>
      <c r="AQ335" s="42">
        <f t="shared" si="212"/>
        <v>1</v>
      </c>
      <c r="AR335" s="42">
        <f t="shared" si="213"/>
        <v>1</v>
      </c>
      <c r="AS335" s="42">
        <f t="shared" si="214"/>
        <v>1</v>
      </c>
      <c r="AT335" s="42">
        <f t="shared" si="215"/>
        <v>1</v>
      </c>
      <c r="AU335" s="247" t="str">
        <f t="shared" si="220"/>
        <v/>
      </c>
      <c r="AV335" s="247" t="str">
        <f t="shared" si="221"/>
        <v/>
      </c>
    </row>
    <row r="336" spans="1:48" x14ac:dyDescent="0.2">
      <c r="A336" s="450" t="s">
        <v>659</v>
      </c>
      <c r="B336" s="429" t="s">
        <v>1470</v>
      </c>
      <c r="C336" s="430" t="s">
        <v>5459</v>
      </c>
      <c r="D336" s="1349" t="s">
        <v>4811</v>
      </c>
      <c r="E336" s="1350" t="s">
        <v>5446</v>
      </c>
      <c r="F336" s="1350" t="s">
        <v>4498</v>
      </c>
      <c r="G336" s="1351" t="s">
        <v>6071</v>
      </c>
      <c r="H336" s="1342" t="s">
        <v>1329</v>
      </c>
      <c r="I336" s="432" t="s">
        <v>1305</v>
      </c>
      <c r="J336" s="431"/>
      <c r="K336" s="431"/>
      <c r="L336" s="431"/>
      <c r="M336" s="433" t="s">
        <v>1130</v>
      </c>
      <c r="N336" s="434"/>
      <c r="O336" s="1743" t="str">
        <f>VLOOKUP(B336,code_famille_scénario,2)&amp;", "&amp;VLOOKUP(M336,code_process,2)</f>
        <v>Vol de documents rebutés, dans le circuit de ramassage des corbeilles à papiers</v>
      </c>
      <c r="P336" s="435">
        <v>1</v>
      </c>
      <c r="Q336" s="1595" t="s">
        <v>1299</v>
      </c>
      <c r="R336" s="1595" t="s">
        <v>4811</v>
      </c>
      <c r="S336" s="1595" t="str">
        <f>Classif!E7</f>
        <v/>
      </c>
      <c r="T336" s="1595">
        <f t="shared" si="208"/>
        <v>2</v>
      </c>
      <c r="U336" s="1744" t="str">
        <f t="shared" si="209"/>
        <v/>
      </c>
      <c r="V336" s="1745">
        <v>1</v>
      </c>
      <c r="W336" s="1745">
        <f>S02D03</f>
        <v>1</v>
      </c>
      <c r="X336" s="1745">
        <v>1</v>
      </c>
      <c r="Y336" s="1745">
        <v>1</v>
      </c>
      <c r="Z336" s="1746">
        <v>0</v>
      </c>
      <c r="AA336" s="1747"/>
      <c r="AB336" s="1748"/>
      <c r="AC336" s="1748"/>
      <c r="AD336" s="1595" t="str">
        <f t="shared" si="222"/>
        <v/>
      </c>
      <c r="AE336" s="1595">
        <f t="shared" si="210"/>
        <v>2</v>
      </c>
      <c r="AF336" s="1595" t="str">
        <f t="shared" si="211"/>
        <v/>
      </c>
      <c r="AG336" s="1748"/>
      <c r="AH336" s="1749" t="str">
        <f t="shared" si="223"/>
        <v/>
      </c>
      <c r="AI336" s="1615"/>
      <c r="AJ336" s="1616" t="s">
        <v>3123</v>
      </c>
      <c r="AK336" s="1618"/>
      <c r="AL336" s="1619"/>
      <c r="AM336" s="247" t="str">
        <f t="shared" si="216"/>
        <v/>
      </c>
      <c r="AN336" s="247" t="str">
        <f t="shared" si="217"/>
        <v/>
      </c>
      <c r="AO336" s="247" t="str">
        <f t="shared" si="218"/>
        <v/>
      </c>
      <c r="AP336" s="247" t="str">
        <f t="shared" si="219"/>
        <v/>
      </c>
      <c r="AQ336" s="42">
        <f t="shared" si="212"/>
        <v>1</v>
      </c>
      <c r="AR336" s="42">
        <f t="shared" si="213"/>
        <v>1</v>
      </c>
      <c r="AS336" s="42">
        <f t="shared" si="214"/>
        <v>1</v>
      </c>
      <c r="AT336" s="42">
        <f t="shared" si="215"/>
        <v>1</v>
      </c>
      <c r="AU336" s="247" t="str">
        <f t="shared" si="220"/>
        <v/>
      </c>
      <c r="AV336" s="247" t="str">
        <f t="shared" si="221"/>
        <v/>
      </c>
    </row>
    <row r="337" spans="1:48" ht="15" x14ac:dyDescent="0.2">
      <c r="A337" s="418" t="s">
        <v>4040</v>
      </c>
      <c r="B337" s="419"/>
      <c r="C337" s="420" t="s">
        <v>3167</v>
      </c>
      <c r="D337" s="425"/>
      <c r="E337" s="1348"/>
      <c r="F337" s="1348"/>
      <c r="G337" s="1352"/>
      <c r="H337" s="1295"/>
      <c r="I337" s="420"/>
      <c r="J337" s="441"/>
      <c r="K337" s="441"/>
      <c r="L337" s="441"/>
      <c r="M337" s="442"/>
      <c r="N337" s="422"/>
      <c r="O337" s="1752"/>
      <c r="P337" s="1608"/>
      <c r="Q337" s="1596"/>
      <c r="R337" s="1596"/>
      <c r="S337" s="1597"/>
      <c r="T337" s="1595"/>
      <c r="U337" s="1744"/>
      <c r="V337" s="1598"/>
      <c r="W337" s="1598"/>
      <c r="X337" s="1598"/>
      <c r="Y337" s="1598"/>
      <c r="Z337" s="1599"/>
      <c r="AA337" s="443"/>
      <c r="AB337" s="444"/>
      <c r="AC337" s="444"/>
      <c r="AD337" s="1595"/>
      <c r="AE337" s="1597"/>
      <c r="AF337" s="1595"/>
      <c r="AG337" s="1748"/>
      <c r="AH337" s="1749"/>
      <c r="AI337" s="1627"/>
      <c r="AJ337" s="1628"/>
      <c r="AK337" s="1628"/>
      <c r="AL337" s="1629"/>
      <c r="AM337" s="247" t="str">
        <f t="shared" si="216"/>
        <v/>
      </c>
      <c r="AN337" s="247" t="str">
        <f t="shared" si="217"/>
        <v/>
      </c>
      <c r="AO337" s="247" t="str">
        <f t="shared" si="218"/>
        <v/>
      </c>
      <c r="AP337" s="247" t="str">
        <f t="shared" si="219"/>
        <v/>
      </c>
      <c r="AU337" s="247" t="str">
        <f t="shared" si="220"/>
        <v/>
      </c>
      <c r="AV337" s="247" t="str">
        <f t="shared" si="221"/>
        <v/>
      </c>
    </row>
    <row r="338" spans="1:48" ht="24" x14ac:dyDescent="0.2">
      <c r="A338" s="450" t="s">
        <v>660</v>
      </c>
      <c r="B338" s="429" t="s">
        <v>4180</v>
      </c>
      <c r="C338" s="430" t="s">
        <v>4813</v>
      </c>
      <c r="D338" s="1349" t="s">
        <v>4811</v>
      </c>
      <c r="E338" s="1350" t="s">
        <v>4296</v>
      </c>
      <c r="F338" s="1350" t="s">
        <v>2794</v>
      </c>
      <c r="G338" s="1351" t="s">
        <v>6071</v>
      </c>
      <c r="H338" s="1342" t="s">
        <v>1327</v>
      </c>
      <c r="I338" s="432" t="s">
        <v>1545</v>
      </c>
      <c r="J338" s="431"/>
      <c r="K338" s="431"/>
      <c r="L338" s="431"/>
      <c r="M338" s="433" t="s">
        <v>4856</v>
      </c>
      <c r="N338" s="434" t="s">
        <v>6403</v>
      </c>
      <c r="O338" s="1743" t="str">
        <f>VLOOKUP(B338,code_famille_scénario,2)&amp;", "&amp;VLOOKUP(M338,code_process,2)&amp;", par "&amp;VLOOKUP(N338,code_acteur,2)</f>
        <v>Divulgation de listings ou d'états imprimés, par erreur ou perte accidentelle, lors de la diffusion, par un membre du personnel d'exploitation</v>
      </c>
      <c r="P338" s="435">
        <v>1</v>
      </c>
      <c r="Q338" s="1595" t="s">
        <v>6403</v>
      </c>
      <c r="R338" s="1595" t="s">
        <v>4811</v>
      </c>
      <c r="S338" s="1595" t="str">
        <f>Classif!E8</f>
        <v/>
      </c>
      <c r="T338" s="1595">
        <f t="shared" ref="T338:T344" si="224">VLOOKUP(H338&amp;"."&amp;I338,Tab_event,4)</f>
        <v>3</v>
      </c>
      <c r="U338" s="1744" t="str">
        <f t="shared" ref="U338:U344" si="225">IF(AND(NOT(S338=""),NOT(T338="")),INDEX(base_g,5-S338,T338),"")</f>
        <v/>
      </c>
      <c r="V338" s="1745">
        <v>1</v>
      </c>
      <c r="W338" s="1745">
        <f t="shared" ref="W338:W344" si="226">S08A07</f>
        <v>1</v>
      </c>
      <c r="X338" s="1745">
        <v>1</v>
      </c>
      <c r="Y338" s="1745">
        <v>1</v>
      </c>
      <c r="Z338" s="1746">
        <v>0</v>
      </c>
      <c r="AA338" s="1747"/>
      <c r="AB338" s="1748"/>
      <c r="AC338" s="1748"/>
      <c r="AD338" s="1595" t="str">
        <f t="shared" si="222"/>
        <v/>
      </c>
      <c r="AE338" s="1595">
        <f t="shared" ref="AE338:AE344" si="227">IF(OR(Q338="",T338=""),"",IF(Q338="A",INDEX(base_p,4,W338+7*(T338-1)),IF(Q338="E",INDEX(base_p,15,W338+7*(T338-1)),INDEX(base_p,27-V338,W338+7*(T338-1)))))</f>
        <v>3</v>
      </c>
      <c r="AF338" s="1595" t="str">
        <f t="shared" ref="AF338:AF344" si="228">IF(AT338=1,IF(IndG=1,U338,IF(AND(OR(NOT(AD338=""),NOT(AB338="")),OR(NOT(AE338=""),NOT(AC338="")),AT338=1),INDEX(base_g,5-IF(AB338="",AD338,AB338),IF(AC338="",AE338,AC338)),"")),0)</f>
        <v/>
      </c>
      <c r="AG338" s="1748"/>
      <c r="AH338" s="1749" t="str">
        <f t="shared" si="223"/>
        <v/>
      </c>
      <c r="AI338" s="1615"/>
      <c r="AJ338" s="1621" t="s">
        <v>3603</v>
      </c>
      <c r="AK338" s="1618"/>
      <c r="AL338" s="1619"/>
      <c r="AM338" s="247" t="str">
        <f t="shared" si="216"/>
        <v/>
      </c>
      <c r="AN338" s="247" t="str">
        <f t="shared" si="217"/>
        <v/>
      </c>
      <c r="AO338" s="247" t="str">
        <f t="shared" si="218"/>
        <v/>
      </c>
      <c r="AP338" s="247" t="str">
        <f t="shared" si="219"/>
        <v/>
      </c>
      <c r="AQ338" s="42">
        <f t="shared" ref="AQ338:AQ344" si="229">VLOOKUP(LEFT(C338,3),Tab_classif_data,6)</f>
        <v>1</v>
      </c>
      <c r="AR338" s="42">
        <f t="shared" ref="AR338:AR344" si="230">VLOOKUP(G338,select_vul_data,2)</f>
        <v>1</v>
      </c>
      <c r="AS338" s="42">
        <f t="shared" ref="AS338:AS344" si="231">VLOOKUP(H338&amp;"."&amp;I338,select_men,5)</f>
        <v>1</v>
      </c>
      <c r="AT338" s="42">
        <f t="shared" ref="AT338:AT344" si="232">P338*AQ338*AR338*AS338</f>
        <v>1</v>
      </c>
      <c r="AU338" s="247" t="str">
        <f t="shared" si="220"/>
        <v/>
      </c>
      <c r="AV338" s="247" t="str">
        <f t="shared" si="221"/>
        <v/>
      </c>
    </row>
    <row r="339" spans="1:48" ht="24" x14ac:dyDescent="0.2">
      <c r="A339" s="450" t="s">
        <v>661</v>
      </c>
      <c r="B339" s="429" t="s">
        <v>2036</v>
      </c>
      <c r="C339" s="430" t="s">
        <v>4813</v>
      </c>
      <c r="D339" s="1349" t="s">
        <v>4811</v>
      </c>
      <c r="E339" s="1350" t="s">
        <v>4296</v>
      </c>
      <c r="F339" s="1350" t="s">
        <v>4498</v>
      </c>
      <c r="G339" s="1351" t="s">
        <v>6071</v>
      </c>
      <c r="H339" s="1342" t="s">
        <v>1329</v>
      </c>
      <c r="I339" s="432" t="s">
        <v>1305</v>
      </c>
      <c r="J339" s="431" t="s">
        <v>1880</v>
      </c>
      <c r="K339" s="431"/>
      <c r="L339" s="431"/>
      <c r="M339" s="433"/>
      <c r="N339" s="434" t="s">
        <v>4816</v>
      </c>
      <c r="O339" s="1743" t="str">
        <f>VLOOKUP(B339,code_famille_scénario,2)&amp;", "&amp;VLOOKUP(J339,Code_lieu,2)&amp;", par "&amp;VLOOKUP(N339,code_acteur,2)</f>
        <v>Vol de listings ou d'états imprimés, dans les locaux de l'exploitation, par un membre  du personnel autorisé</v>
      </c>
      <c r="P339" s="435">
        <v>1</v>
      </c>
      <c r="Q339" s="1595" t="s">
        <v>1299</v>
      </c>
      <c r="R339" s="1595" t="s">
        <v>4811</v>
      </c>
      <c r="S339" s="1595" t="str">
        <f>Classif!E8</f>
        <v/>
      </c>
      <c r="T339" s="1595">
        <f t="shared" si="224"/>
        <v>2</v>
      </c>
      <c r="U339" s="1744" t="str">
        <f t="shared" si="225"/>
        <v/>
      </c>
      <c r="V339" s="1745">
        <f>S03B06</f>
        <v>1</v>
      </c>
      <c r="W339" s="1745">
        <f t="shared" si="226"/>
        <v>1</v>
      </c>
      <c r="X339" s="1745">
        <v>1</v>
      </c>
      <c r="Y339" s="1745">
        <v>1</v>
      </c>
      <c r="Z339" s="1746">
        <v>0</v>
      </c>
      <c r="AA339" s="1747"/>
      <c r="AB339" s="1748"/>
      <c r="AC339" s="1748"/>
      <c r="AD339" s="1595" t="str">
        <f t="shared" si="222"/>
        <v/>
      </c>
      <c r="AE339" s="1595">
        <f t="shared" si="227"/>
        <v>2</v>
      </c>
      <c r="AF339" s="1595" t="str">
        <f t="shared" si="228"/>
        <v/>
      </c>
      <c r="AG339" s="1748"/>
      <c r="AH339" s="1749" t="str">
        <f t="shared" si="223"/>
        <v/>
      </c>
      <c r="AI339" s="1615" t="s">
        <v>1665</v>
      </c>
      <c r="AJ339" s="1621" t="s">
        <v>3603</v>
      </c>
      <c r="AK339" s="1618"/>
      <c r="AL339" s="1619"/>
      <c r="AM339" s="247" t="str">
        <f t="shared" si="216"/>
        <v/>
      </c>
      <c r="AN339" s="247" t="str">
        <f t="shared" si="217"/>
        <v/>
      </c>
      <c r="AO339" s="247" t="str">
        <f t="shared" si="218"/>
        <v/>
      </c>
      <c r="AP339" s="247" t="str">
        <f t="shared" si="219"/>
        <v/>
      </c>
      <c r="AQ339" s="42">
        <f t="shared" si="229"/>
        <v>1</v>
      </c>
      <c r="AR339" s="42">
        <f t="shared" si="230"/>
        <v>1</v>
      </c>
      <c r="AS339" s="42">
        <f t="shared" si="231"/>
        <v>1</v>
      </c>
      <c r="AT339" s="42">
        <f t="shared" si="232"/>
        <v>1</v>
      </c>
      <c r="AU339" s="247" t="str">
        <f t="shared" si="220"/>
        <v/>
      </c>
      <c r="AV339" s="247" t="str">
        <f t="shared" si="221"/>
        <v/>
      </c>
    </row>
    <row r="340" spans="1:48" ht="24" x14ac:dyDescent="0.2">
      <c r="A340" s="450" t="s">
        <v>662</v>
      </c>
      <c r="B340" s="429" t="s">
        <v>2036</v>
      </c>
      <c r="C340" s="430" t="s">
        <v>4813</v>
      </c>
      <c r="D340" s="1349" t="s">
        <v>4811</v>
      </c>
      <c r="E340" s="1350" t="s">
        <v>4296</v>
      </c>
      <c r="F340" s="1350" t="s">
        <v>4498</v>
      </c>
      <c r="G340" s="1351" t="s">
        <v>6071</v>
      </c>
      <c r="H340" s="1342" t="s">
        <v>1329</v>
      </c>
      <c r="I340" s="432" t="s">
        <v>1305</v>
      </c>
      <c r="J340" s="431" t="s">
        <v>1880</v>
      </c>
      <c r="K340" s="431"/>
      <c r="L340" s="431"/>
      <c r="M340" s="433"/>
      <c r="N340" s="434" t="s">
        <v>4295</v>
      </c>
      <c r="O340" s="1743" t="str">
        <f>VLOOKUP(B340,code_famille_scénario,2)&amp;", "&amp;VLOOKUP(J340,Code_lieu,2)&amp;", par "&amp;VLOOKUP(N340,code_acteur,2)</f>
        <v>Vol de listings ou d'états imprimés, dans les locaux de l'exploitation, par un membre du personnel de service</v>
      </c>
      <c r="P340" s="435">
        <v>1</v>
      </c>
      <c r="Q340" s="1595" t="s">
        <v>1299</v>
      </c>
      <c r="R340" s="1595" t="s">
        <v>4811</v>
      </c>
      <c r="S340" s="1595" t="str">
        <f>Classif!E8</f>
        <v/>
      </c>
      <c r="T340" s="1595">
        <f t="shared" si="224"/>
        <v>2</v>
      </c>
      <c r="U340" s="1744" t="str">
        <f t="shared" si="225"/>
        <v/>
      </c>
      <c r="V340" s="1745">
        <f>S03B06</f>
        <v>1</v>
      </c>
      <c r="W340" s="1745">
        <f t="shared" si="226"/>
        <v>1</v>
      </c>
      <c r="X340" s="1745">
        <v>1</v>
      </c>
      <c r="Y340" s="1745">
        <v>1</v>
      </c>
      <c r="Z340" s="1746">
        <v>0</v>
      </c>
      <c r="AA340" s="1747"/>
      <c r="AB340" s="1748"/>
      <c r="AC340" s="1748"/>
      <c r="AD340" s="1595" t="str">
        <f t="shared" si="222"/>
        <v/>
      </c>
      <c r="AE340" s="1595">
        <f t="shared" si="227"/>
        <v>2</v>
      </c>
      <c r="AF340" s="1595" t="str">
        <f t="shared" si="228"/>
        <v/>
      </c>
      <c r="AG340" s="1748"/>
      <c r="AH340" s="1749" t="str">
        <f t="shared" si="223"/>
        <v/>
      </c>
      <c r="AI340" s="1615" t="s">
        <v>1665</v>
      </c>
      <c r="AJ340" s="1621" t="s">
        <v>3603</v>
      </c>
      <c r="AK340" s="1618"/>
      <c r="AL340" s="1619"/>
      <c r="AM340" s="247" t="str">
        <f t="shared" si="216"/>
        <v/>
      </c>
      <c r="AN340" s="247" t="str">
        <f t="shared" si="217"/>
        <v/>
      </c>
      <c r="AO340" s="247" t="str">
        <f t="shared" si="218"/>
        <v/>
      </c>
      <c r="AP340" s="247" t="str">
        <f t="shared" si="219"/>
        <v/>
      </c>
      <c r="AQ340" s="42">
        <f t="shared" si="229"/>
        <v>1</v>
      </c>
      <c r="AR340" s="42">
        <f t="shared" si="230"/>
        <v>1</v>
      </c>
      <c r="AS340" s="42">
        <f t="shared" si="231"/>
        <v>1</v>
      </c>
      <c r="AT340" s="42">
        <f t="shared" si="232"/>
        <v>1</v>
      </c>
      <c r="AU340" s="247" t="str">
        <f t="shared" si="220"/>
        <v/>
      </c>
      <c r="AV340" s="247" t="str">
        <f t="shared" si="221"/>
        <v/>
      </c>
    </row>
    <row r="341" spans="1:48" ht="24" x14ac:dyDescent="0.2">
      <c r="A341" s="450" t="s">
        <v>663</v>
      </c>
      <c r="B341" s="429" t="s">
        <v>2036</v>
      </c>
      <c r="C341" s="430" t="s">
        <v>4813</v>
      </c>
      <c r="D341" s="1349" t="s">
        <v>4811</v>
      </c>
      <c r="E341" s="1350" t="s">
        <v>4296</v>
      </c>
      <c r="F341" s="1350" t="s">
        <v>4498</v>
      </c>
      <c r="G341" s="1351" t="s">
        <v>6071</v>
      </c>
      <c r="H341" s="1342" t="s">
        <v>1329</v>
      </c>
      <c r="I341" s="432" t="s">
        <v>1305</v>
      </c>
      <c r="J341" s="431" t="s">
        <v>1880</v>
      </c>
      <c r="K341" s="431"/>
      <c r="L341" s="431"/>
      <c r="M341" s="433"/>
      <c r="N341" s="434" t="s">
        <v>3518</v>
      </c>
      <c r="O341" s="1743" t="str">
        <f>VLOOKUP(B341,code_famille_scénario,2)&amp;", "&amp;VLOOKUP(J341,Code_lieu,2)&amp;", par "&amp;VLOOKUP(N341,code_acteur,2)</f>
        <v>Vol de listings ou d'états imprimés, dans les locaux de l'exploitation, par un membre du personnel non autorisé</v>
      </c>
      <c r="P341" s="435">
        <v>1</v>
      </c>
      <c r="Q341" s="1595" t="s">
        <v>1299</v>
      </c>
      <c r="R341" s="1595" t="s">
        <v>4811</v>
      </c>
      <c r="S341" s="1595" t="str">
        <f>Classif!E8</f>
        <v/>
      </c>
      <c r="T341" s="1595">
        <f t="shared" si="224"/>
        <v>2</v>
      </c>
      <c r="U341" s="1744" t="str">
        <f t="shared" si="225"/>
        <v/>
      </c>
      <c r="V341" s="1745">
        <f>S03B06</f>
        <v>1</v>
      </c>
      <c r="W341" s="1745">
        <f t="shared" si="226"/>
        <v>1</v>
      </c>
      <c r="X341" s="1745">
        <v>1</v>
      </c>
      <c r="Y341" s="1745">
        <v>1</v>
      </c>
      <c r="Z341" s="1746">
        <v>0</v>
      </c>
      <c r="AA341" s="1747"/>
      <c r="AB341" s="1748"/>
      <c r="AC341" s="1748"/>
      <c r="AD341" s="1595" t="str">
        <f t="shared" si="222"/>
        <v/>
      </c>
      <c r="AE341" s="1595">
        <f t="shared" si="227"/>
        <v>2</v>
      </c>
      <c r="AF341" s="1595" t="str">
        <f t="shared" si="228"/>
        <v/>
      </c>
      <c r="AG341" s="1748"/>
      <c r="AH341" s="1749" t="str">
        <f t="shared" si="223"/>
        <v/>
      </c>
      <c r="AI341" s="1615" t="s">
        <v>1665</v>
      </c>
      <c r="AJ341" s="1621" t="s">
        <v>3603</v>
      </c>
      <c r="AK341" s="1618"/>
      <c r="AL341" s="1619"/>
      <c r="AM341" s="247" t="str">
        <f t="shared" si="216"/>
        <v/>
      </c>
      <c r="AN341" s="247" t="str">
        <f t="shared" si="217"/>
        <v/>
      </c>
      <c r="AO341" s="247" t="str">
        <f t="shared" si="218"/>
        <v/>
      </c>
      <c r="AP341" s="247" t="str">
        <f t="shared" si="219"/>
        <v/>
      </c>
      <c r="AQ341" s="42">
        <f t="shared" si="229"/>
        <v>1</v>
      </c>
      <c r="AR341" s="42">
        <f t="shared" si="230"/>
        <v>1</v>
      </c>
      <c r="AS341" s="42">
        <f t="shared" si="231"/>
        <v>1</v>
      </c>
      <c r="AT341" s="42">
        <f t="shared" si="232"/>
        <v>1</v>
      </c>
      <c r="AU341" s="247" t="str">
        <f t="shared" si="220"/>
        <v/>
      </c>
      <c r="AV341" s="247" t="str">
        <f t="shared" si="221"/>
        <v/>
      </c>
    </row>
    <row r="342" spans="1:48" ht="24" x14ac:dyDescent="0.2">
      <c r="A342" s="450" t="s">
        <v>664</v>
      </c>
      <c r="B342" s="429" t="s">
        <v>2036</v>
      </c>
      <c r="C342" s="430" t="s">
        <v>4813</v>
      </c>
      <c r="D342" s="1349" t="s">
        <v>4811</v>
      </c>
      <c r="E342" s="1350" t="s">
        <v>4296</v>
      </c>
      <c r="F342" s="1350" t="s">
        <v>4498</v>
      </c>
      <c r="G342" s="1351" t="s">
        <v>6071</v>
      </c>
      <c r="H342" s="1342" t="s">
        <v>1329</v>
      </c>
      <c r="I342" s="432" t="s">
        <v>1305</v>
      </c>
      <c r="J342" s="431"/>
      <c r="K342" s="431"/>
      <c r="L342" s="431"/>
      <c r="M342" s="433" t="s">
        <v>4856</v>
      </c>
      <c r="N342" s="434" t="s">
        <v>4814</v>
      </c>
      <c r="O342" s="1743" t="str">
        <f>VLOOKUP(B342,code_famille_scénario,2)&amp;", "&amp;VLOOKUP(M342,code_process,2)&amp;", par "&amp;VLOOKUP(N342,code_acteur,2)</f>
        <v>Vol de listings ou d'états imprimés, lors de la diffusion, par un membre du personnel de l'entreprise</v>
      </c>
      <c r="P342" s="435">
        <v>1</v>
      </c>
      <c r="Q342" s="1595" t="s">
        <v>1299</v>
      </c>
      <c r="R342" s="1595" t="s">
        <v>4811</v>
      </c>
      <c r="S342" s="1595" t="str">
        <f>Classif!E8</f>
        <v/>
      </c>
      <c r="T342" s="1595">
        <f t="shared" si="224"/>
        <v>2</v>
      </c>
      <c r="U342" s="1744" t="str">
        <f t="shared" si="225"/>
        <v/>
      </c>
      <c r="V342" s="1745">
        <v>1</v>
      </c>
      <c r="W342" s="1745">
        <f t="shared" si="226"/>
        <v>1</v>
      </c>
      <c r="X342" s="1745">
        <v>1</v>
      </c>
      <c r="Y342" s="1745">
        <v>1</v>
      </c>
      <c r="Z342" s="1746">
        <v>0</v>
      </c>
      <c r="AA342" s="1747"/>
      <c r="AB342" s="1748"/>
      <c r="AC342" s="1748"/>
      <c r="AD342" s="1595" t="str">
        <f t="shared" si="222"/>
        <v/>
      </c>
      <c r="AE342" s="1595">
        <f t="shared" si="227"/>
        <v>2</v>
      </c>
      <c r="AF342" s="1595" t="str">
        <f t="shared" si="228"/>
        <v/>
      </c>
      <c r="AG342" s="1748"/>
      <c r="AH342" s="1749" t="str">
        <f t="shared" si="223"/>
        <v/>
      </c>
      <c r="AI342" s="1615"/>
      <c r="AJ342" s="1621" t="s">
        <v>3603</v>
      </c>
      <c r="AK342" s="1618"/>
      <c r="AL342" s="1619"/>
      <c r="AM342" s="247" t="str">
        <f t="shared" si="216"/>
        <v/>
      </c>
      <c r="AN342" s="247" t="str">
        <f t="shared" si="217"/>
        <v/>
      </c>
      <c r="AO342" s="247" t="str">
        <f t="shared" si="218"/>
        <v/>
      </c>
      <c r="AP342" s="247" t="str">
        <f t="shared" si="219"/>
        <v/>
      </c>
      <c r="AQ342" s="42">
        <f t="shared" si="229"/>
        <v>1</v>
      </c>
      <c r="AR342" s="42">
        <f t="shared" si="230"/>
        <v>1</v>
      </c>
      <c r="AS342" s="42">
        <f t="shared" si="231"/>
        <v>1</v>
      </c>
      <c r="AT342" s="42">
        <f t="shared" si="232"/>
        <v>1</v>
      </c>
      <c r="AU342" s="247" t="str">
        <f t="shared" si="220"/>
        <v/>
      </c>
      <c r="AV342" s="247" t="str">
        <f t="shared" si="221"/>
        <v/>
      </c>
    </row>
    <row r="343" spans="1:48" x14ac:dyDescent="0.2">
      <c r="A343" s="450" t="s">
        <v>665</v>
      </c>
      <c r="B343" s="429" t="s">
        <v>2036</v>
      </c>
      <c r="C343" s="430" t="s">
        <v>4813</v>
      </c>
      <c r="D343" s="1349" t="s">
        <v>4811</v>
      </c>
      <c r="E343" s="1350" t="s">
        <v>4296</v>
      </c>
      <c r="F343" s="1350" t="s">
        <v>4498</v>
      </c>
      <c r="G343" s="1351" t="s">
        <v>6071</v>
      </c>
      <c r="H343" s="1342" t="s">
        <v>1329</v>
      </c>
      <c r="I343" s="432" t="s">
        <v>1305</v>
      </c>
      <c r="J343" s="431"/>
      <c r="K343" s="431"/>
      <c r="L343" s="431"/>
      <c r="M343" s="433" t="s">
        <v>4856</v>
      </c>
      <c r="N343" s="434" t="s">
        <v>4815</v>
      </c>
      <c r="O343" s="1743" t="str">
        <f>VLOOKUP(B343,code_famille_scénario,2)&amp;", "&amp;VLOOKUP(M343,code_process,2)&amp;", par "&amp;VLOOKUP(N343,code_acteur,2)</f>
        <v>Vol de listings ou d'états imprimés, lors de la diffusion, par un visiteur</v>
      </c>
      <c r="P343" s="435">
        <v>1</v>
      </c>
      <c r="Q343" s="1595" t="s">
        <v>1299</v>
      </c>
      <c r="R343" s="1595" t="s">
        <v>4811</v>
      </c>
      <c r="S343" s="1595" t="str">
        <f>Classif!E8</f>
        <v/>
      </c>
      <c r="T343" s="1595">
        <f t="shared" si="224"/>
        <v>2</v>
      </c>
      <c r="U343" s="1744" t="str">
        <f t="shared" si="225"/>
        <v/>
      </c>
      <c r="V343" s="1745">
        <v>1</v>
      </c>
      <c r="W343" s="1745">
        <f t="shared" si="226"/>
        <v>1</v>
      </c>
      <c r="X343" s="1745">
        <v>1</v>
      </c>
      <c r="Y343" s="1745">
        <v>1</v>
      </c>
      <c r="Z343" s="1746">
        <v>0</v>
      </c>
      <c r="AA343" s="1747"/>
      <c r="AB343" s="1748"/>
      <c r="AC343" s="1748"/>
      <c r="AD343" s="1595" t="str">
        <f t="shared" si="222"/>
        <v/>
      </c>
      <c r="AE343" s="1595">
        <f t="shared" si="227"/>
        <v>2</v>
      </c>
      <c r="AF343" s="1595" t="str">
        <f t="shared" si="228"/>
        <v/>
      </c>
      <c r="AG343" s="1748"/>
      <c r="AH343" s="1749" t="str">
        <f t="shared" si="223"/>
        <v/>
      </c>
      <c r="AI343" s="1615"/>
      <c r="AJ343" s="1621" t="s">
        <v>3603</v>
      </c>
      <c r="AK343" s="1618"/>
      <c r="AL343" s="1619"/>
      <c r="AM343" s="247" t="str">
        <f t="shared" si="216"/>
        <v/>
      </c>
      <c r="AN343" s="247" t="str">
        <f t="shared" si="217"/>
        <v/>
      </c>
      <c r="AO343" s="247" t="str">
        <f t="shared" si="218"/>
        <v/>
      </c>
      <c r="AP343" s="247" t="str">
        <f t="shared" si="219"/>
        <v/>
      </c>
      <c r="AQ343" s="42">
        <f t="shared" si="229"/>
        <v>1</v>
      </c>
      <c r="AR343" s="42">
        <f t="shared" si="230"/>
        <v>1</v>
      </c>
      <c r="AS343" s="42">
        <f t="shared" si="231"/>
        <v>1</v>
      </c>
      <c r="AT343" s="42">
        <f t="shared" si="232"/>
        <v>1</v>
      </c>
      <c r="AU343" s="247" t="str">
        <f t="shared" si="220"/>
        <v/>
      </c>
      <c r="AV343" s="247" t="str">
        <f t="shared" si="221"/>
        <v/>
      </c>
    </row>
    <row r="344" spans="1:48" ht="24" x14ac:dyDescent="0.2">
      <c r="A344" s="450" t="s">
        <v>666</v>
      </c>
      <c r="B344" s="429" t="s">
        <v>2036</v>
      </c>
      <c r="C344" s="430" t="s">
        <v>4813</v>
      </c>
      <c r="D344" s="1349" t="s">
        <v>4811</v>
      </c>
      <c r="E344" s="1350" t="s">
        <v>4956</v>
      </c>
      <c r="F344" s="1350" t="s">
        <v>4498</v>
      </c>
      <c r="G344" s="1351" t="s">
        <v>6071</v>
      </c>
      <c r="H344" s="1342" t="s">
        <v>1329</v>
      </c>
      <c r="I344" s="432" t="s">
        <v>1305</v>
      </c>
      <c r="J344" s="431" t="s">
        <v>1880</v>
      </c>
      <c r="K344" s="431"/>
      <c r="L344" s="431"/>
      <c r="M344" s="433" t="s">
        <v>1130</v>
      </c>
      <c r="N344" s="434"/>
      <c r="O344" s="1743" t="str">
        <f>VLOOKUP(B344,code_famille_scénario,2)&amp;", "&amp;VLOOKUP(M344,code_process,2)</f>
        <v>Vol de listings ou d'états imprimés, dans le circuit de ramassage des corbeilles à papiers</v>
      </c>
      <c r="P344" s="435">
        <v>1</v>
      </c>
      <c r="Q344" s="1595" t="s">
        <v>1299</v>
      </c>
      <c r="R344" s="1595" t="s">
        <v>4811</v>
      </c>
      <c r="S344" s="1595" t="str">
        <f>Classif!E8</f>
        <v/>
      </c>
      <c r="T344" s="1595">
        <f t="shared" si="224"/>
        <v>2</v>
      </c>
      <c r="U344" s="1744" t="str">
        <f t="shared" si="225"/>
        <v/>
      </c>
      <c r="V344" s="1745">
        <v>1</v>
      </c>
      <c r="W344" s="1745">
        <f t="shared" si="226"/>
        <v>1</v>
      </c>
      <c r="X344" s="1745">
        <v>1</v>
      </c>
      <c r="Y344" s="1745">
        <v>1</v>
      </c>
      <c r="Z344" s="1746">
        <v>0</v>
      </c>
      <c r="AA344" s="1747"/>
      <c r="AB344" s="1748"/>
      <c r="AC344" s="1748"/>
      <c r="AD344" s="1595" t="str">
        <f t="shared" si="222"/>
        <v/>
      </c>
      <c r="AE344" s="1595">
        <f t="shared" si="227"/>
        <v>2</v>
      </c>
      <c r="AF344" s="1595" t="str">
        <f t="shared" si="228"/>
        <v/>
      </c>
      <c r="AG344" s="1748"/>
      <c r="AH344" s="1749" t="str">
        <f t="shared" si="223"/>
        <v/>
      </c>
      <c r="AI344" s="1615"/>
      <c r="AJ344" s="1621" t="s">
        <v>3603</v>
      </c>
      <c r="AK344" s="1618"/>
      <c r="AL344" s="1619"/>
      <c r="AM344" s="247" t="str">
        <f t="shared" si="216"/>
        <v/>
      </c>
      <c r="AN344" s="247" t="str">
        <f t="shared" si="217"/>
        <v/>
      </c>
      <c r="AO344" s="247" t="str">
        <f t="shared" si="218"/>
        <v/>
      </c>
      <c r="AP344" s="247" t="str">
        <f t="shared" si="219"/>
        <v/>
      </c>
      <c r="AQ344" s="42">
        <f t="shared" si="229"/>
        <v>1</v>
      </c>
      <c r="AR344" s="42">
        <f t="shared" si="230"/>
        <v>1</v>
      </c>
      <c r="AS344" s="42">
        <f t="shared" si="231"/>
        <v>1</v>
      </c>
      <c r="AT344" s="42">
        <f t="shared" si="232"/>
        <v>1</v>
      </c>
      <c r="AU344" s="247" t="str">
        <f t="shared" si="220"/>
        <v/>
      </c>
      <c r="AV344" s="247" t="str">
        <f t="shared" si="221"/>
        <v/>
      </c>
    </row>
    <row r="345" spans="1:48" ht="15" x14ac:dyDescent="0.2">
      <c r="A345" s="418" t="s">
        <v>3168</v>
      </c>
      <c r="B345" s="419"/>
      <c r="C345" s="420" t="s">
        <v>3169</v>
      </c>
      <c r="D345" s="425"/>
      <c r="E345" s="1348"/>
      <c r="F345" s="1348"/>
      <c r="G345" s="1352"/>
      <c r="H345" s="1295"/>
      <c r="I345" s="420"/>
      <c r="J345" s="441"/>
      <c r="K345" s="441"/>
      <c r="L345" s="441"/>
      <c r="M345" s="442"/>
      <c r="N345" s="422"/>
      <c r="O345" s="1752"/>
      <c r="P345" s="1608"/>
      <c r="Q345" s="1596"/>
      <c r="R345" s="1596"/>
      <c r="S345" s="1597"/>
      <c r="T345" s="1595"/>
      <c r="U345" s="1744"/>
      <c r="V345" s="1598"/>
      <c r="W345" s="1598"/>
      <c r="X345" s="1598"/>
      <c r="Y345" s="1598"/>
      <c r="Z345" s="1599"/>
      <c r="AA345" s="443"/>
      <c r="AB345" s="444"/>
      <c r="AC345" s="444"/>
      <c r="AD345" s="1595"/>
      <c r="AE345" s="1597"/>
      <c r="AF345" s="1595"/>
      <c r="AG345" s="1748"/>
      <c r="AH345" s="1749"/>
      <c r="AI345" s="1627"/>
      <c r="AJ345" s="1628"/>
      <c r="AK345" s="1628"/>
      <c r="AL345" s="1629"/>
      <c r="AM345" s="247" t="str">
        <f t="shared" si="216"/>
        <v/>
      </c>
      <c r="AN345" s="247" t="str">
        <f t="shared" si="217"/>
        <v/>
      </c>
      <c r="AO345" s="247" t="str">
        <f t="shared" si="218"/>
        <v/>
      </c>
      <c r="AP345" s="247" t="str">
        <f t="shared" si="219"/>
        <v/>
      </c>
      <c r="AU345" s="247" t="str">
        <f t="shared" si="220"/>
        <v/>
      </c>
      <c r="AV345" s="247" t="str">
        <f t="shared" si="221"/>
        <v/>
      </c>
    </row>
    <row r="346" spans="1:48" ht="33.75" x14ac:dyDescent="0.2">
      <c r="A346" s="450" t="s">
        <v>667</v>
      </c>
      <c r="B346" s="429" t="s">
        <v>5448</v>
      </c>
      <c r="C346" s="430" t="s">
        <v>5476</v>
      </c>
      <c r="D346" s="1349" t="s">
        <v>4811</v>
      </c>
      <c r="E346" s="1350" t="s">
        <v>5156</v>
      </c>
      <c r="F346" s="1350" t="s">
        <v>2794</v>
      </c>
      <c r="G346" s="1351" t="s">
        <v>5555</v>
      </c>
      <c r="H346" s="1342" t="s">
        <v>1328</v>
      </c>
      <c r="I346" s="432" t="s">
        <v>1305</v>
      </c>
      <c r="J346" s="431" t="s">
        <v>3522</v>
      </c>
      <c r="K346" s="431"/>
      <c r="L346" s="431" t="s">
        <v>6541</v>
      </c>
      <c r="M346" s="433"/>
      <c r="N346" s="434" t="s">
        <v>1302</v>
      </c>
      <c r="O346" s="1743" t="str">
        <f t="shared" ref="O346:O359" si="233">VLOOKUP(B346,code_famille_scénario,2)&amp;", par "&amp;VLOOKUP(N346,code_acteur,2)&amp;", "&amp;VLOOKUP(L346,code_acces,2)</f>
        <v>Divulgation de données après consultation, par un utilisateur autorisé illégitime, se connectant depuis le réseau interne</v>
      </c>
      <c r="P346" s="435">
        <v>1</v>
      </c>
      <c r="Q346" s="1595" t="s">
        <v>1299</v>
      </c>
      <c r="R346" s="1595" t="s">
        <v>4811</v>
      </c>
      <c r="S346" s="1595" t="str">
        <f>Classif!E9</f>
        <v/>
      </c>
      <c r="T346" s="1595">
        <f t="shared" ref="T346:T359" si="234">VLOOKUP(H346&amp;"."&amp;I346,Tab_event,4)</f>
        <v>3</v>
      </c>
      <c r="U346" s="1744" t="str">
        <f t="shared" ref="U346:U359" si="235">IF(AND(NOT(S346=""),NOT(T346="")),INDEX(base_g,5-S346,T346),"")</f>
        <v/>
      </c>
      <c r="V346" s="1745">
        <v>1</v>
      </c>
      <c r="W346" s="1745">
        <f>MAX(MIN(S07A01,S07A02,S08F01),MIN(S08F01,S09A01,S09A02))</f>
        <v>1</v>
      </c>
      <c r="X346" s="1745">
        <v>1</v>
      </c>
      <c r="Y346" s="1745">
        <v>1</v>
      </c>
      <c r="Z346" s="1746">
        <v>0</v>
      </c>
      <c r="AA346" s="1747"/>
      <c r="AB346" s="1748"/>
      <c r="AC346" s="1748"/>
      <c r="AD346" s="1595" t="str">
        <f t="shared" si="222"/>
        <v/>
      </c>
      <c r="AE346" s="1595">
        <f t="shared" ref="AE346:AE359" si="236">IF(OR(Q346="",T346=""),"",IF(Q346="A",INDEX(base_p,4,W346+7*(T346-1)),IF(Q346="E",INDEX(base_p,15,W346+7*(T346-1)),INDEX(base_p,27-V346,W346+7*(T346-1)))))</f>
        <v>3</v>
      </c>
      <c r="AF346" s="1595" t="str">
        <f t="shared" ref="AF346:AF359" si="237">IF(AT346=1,IF(IndG=1,U346,IF(AND(OR(NOT(AD346=""),NOT(AB346="")),OR(NOT(AE346=""),NOT(AC346="")),AT346=1),INDEX(base_g,5-IF(AB346="",AD346,AB346),IF(AC346="",AE346,AC346)),"")),0)</f>
        <v/>
      </c>
      <c r="AG346" s="1748"/>
      <c r="AH346" s="1749" t="str">
        <f t="shared" si="223"/>
        <v/>
      </c>
      <c r="AI346" s="1622"/>
      <c r="AJ346" s="1616" t="s">
        <v>1349</v>
      </c>
      <c r="AK346" s="1632"/>
      <c r="AL346" s="1619"/>
      <c r="AM346" s="247" t="str">
        <f t="shared" si="216"/>
        <v/>
      </c>
      <c r="AN346" s="247" t="str">
        <f t="shared" si="217"/>
        <v/>
      </c>
      <c r="AO346" s="247" t="str">
        <f t="shared" si="218"/>
        <v/>
      </c>
      <c r="AP346" s="247" t="str">
        <f t="shared" si="219"/>
        <v/>
      </c>
      <c r="AQ346" s="42">
        <f t="shared" ref="AQ346:AQ359" si="238">VLOOKUP(LEFT(C346,3),Tab_classif_data,6)</f>
        <v>1</v>
      </c>
      <c r="AR346" s="42">
        <f t="shared" ref="AR346:AR359" si="239">VLOOKUP(G346,select_vul_data,2)</f>
        <v>1</v>
      </c>
      <c r="AS346" s="42">
        <f t="shared" ref="AS346:AS359" si="240">VLOOKUP(H346&amp;"."&amp;I346,select_men,5)</f>
        <v>1</v>
      </c>
      <c r="AT346" s="42">
        <f t="shared" ref="AT346:AT359" si="241">P346*AQ346*AR346*AS346</f>
        <v>1</v>
      </c>
      <c r="AU346" s="247" t="str">
        <f t="shared" si="220"/>
        <v/>
      </c>
      <c r="AV346" s="247" t="str">
        <f t="shared" si="221"/>
        <v/>
      </c>
    </row>
    <row r="347" spans="1:48" ht="56.25" x14ac:dyDescent="0.2">
      <c r="A347" s="450" t="s">
        <v>668</v>
      </c>
      <c r="B347" s="429" t="s">
        <v>5448</v>
      </c>
      <c r="C347" s="430" t="s">
        <v>5476</v>
      </c>
      <c r="D347" s="1349" t="s">
        <v>4811</v>
      </c>
      <c r="E347" s="1350" t="s">
        <v>5156</v>
      </c>
      <c r="F347" s="1350" t="s">
        <v>2794</v>
      </c>
      <c r="G347" s="1351" t="s">
        <v>5555</v>
      </c>
      <c r="H347" s="1342" t="s">
        <v>1328</v>
      </c>
      <c r="I347" s="432" t="s">
        <v>1305</v>
      </c>
      <c r="J347" s="431" t="s">
        <v>3522</v>
      </c>
      <c r="K347" s="431"/>
      <c r="L347" s="431" t="s">
        <v>6541</v>
      </c>
      <c r="M347" s="433"/>
      <c r="N347" s="434" t="s">
        <v>2835</v>
      </c>
      <c r="O347" s="1743" t="str">
        <f t="shared" si="233"/>
        <v>Divulgation de données après consultation, par un tiers non autorisé, se connectant depuis le réseau interne</v>
      </c>
      <c r="P347" s="435">
        <v>1</v>
      </c>
      <c r="Q347" s="1595" t="s">
        <v>1299</v>
      </c>
      <c r="R347" s="1595" t="s">
        <v>4811</v>
      </c>
      <c r="S347" s="1595" t="str">
        <f>Classif!E9</f>
        <v/>
      </c>
      <c r="T347" s="1595">
        <f t="shared" si="234"/>
        <v>3</v>
      </c>
      <c r="U347" s="1744" t="str">
        <f t="shared" si="235"/>
        <v/>
      </c>
      <c r="V347" s="1745">
        <v>1</v>
      </c>
      <c r="W347" s="1745">
        <f>MAX(MIN(S05B01,S05B02,S05B03,S05B07,S06C02),MIN(S07A03,S07A04,S08F02),MIN(S09A03,S09A04))</f>
        <v>1</v>
      </c>
      <c r="X347" s="1745">
        <v>1</v>
      </c>
      <c r="Y347" s="1745">
        <v>1</v>
      </c>
      <c r="Z347" s="1746">
        <v>0</v>
      </c>
      <c r="AA347" s="1747"/>
      <c r="AB347" s="1748"/>
      <c r="AC347" s="1748"/>
      <c r="AD347" s="1595" t="str">
        <f t="shared" si="222"/>
        <v/>
      </c>
      <c r="AE347" s="1595">
        <f t="shared" si="236"/>
        <v>3</v>
      </c>
      <c r="AF347" s="1595" t="str">
        <f t="shared" si="237"/>
        <v/>
      </c>
      <c r="AG347" s="1748"/>
      <c r="AH347" s="1749" t="str">
        <f t="shared" si="223"/>
        <v/>
      </c>
      <c r="AI347" s="1615"/>
      <c r="AJ347" s="1621" t="s">
        <v>1350</v>
      </c>
      <c r="AK347" s="1632"/>
      <c r="AL347" s="1619"/>
      <c r="AM347" s="247" t="str">
        <f t="shared" si="216"/>
        <v/>
      </c>
      <c r="AN347" s="247" t="str">
        <f t="shared" si="217"/>
        <v/>
      </c>
      <c r="AO347" s="247" t="str">
        <f t="shared" si="218"/>
        <v/>
      </c>
      <c r="AP347" s="247" t="str">
        <f t="shared" si="219"/>
        <v/>
      </c>
      <c r="AQ347" s="42">
        <f t="shared" si="238"/>
        <v>1</v>
      </c>
      <c r="AR347" s="42">
        <f t="shared" si="239"/>
        <v>1</v>
      </c>
      <c r="AS347" s="42">
        <f t="shared" si="240"/>
        <v>1</v>
      </c>
      <c r="AT347" s="42">
        <f t="shared" si="241"/>
        <v>1</v>
      </c>
      <c r="AU347" s="247" t="str">
        <f t="shared" si="220"/>
        <v/>
      </c>
      <c r="AV347" s="247" t="str">
        <f t="shared" si="221"/>
        <v/>
      </c>
    </row>
    <row r="348" spans="1:48" ht="24" x14ac:dyDescent="0.2">
      <c r="A348" s="450" t="s">
        <v>669</v>
      </c>
      <c r="B348" s="429" t="s">
        <v>5448</v>
      </c>
      <c r="C348" s="430" t="s">
        <v>5476</v>
      </c>
      <c r="D348" s="1349" t="s">
        <v>4811</v>
      </c>
      <c r="E348" s="1350" t="s">
        <v>5156</v>
      </c>
      <c r="F348" s="1350" t="s">
        <v>2794</v>
      </c>
      <c r="G348" s="1351" t="s">
        <v>5555</v>
      </c>
      <c r="H348" s="1342" t="s">
        <v>1328</v>
      </c>
      <c r="I348" s="432" t="s">
        <v>1305</v>
      </c>
      <c r="J348" s="431" t="s">
        <v>3522</v>
      </c>
      <c r="K348" s="431"/>
      <c r="L348" s="431" t="s">
        <v>6541</v>
      </c>
      <c r="M348" s="433"/>
      <c r="N348" s="434" t="s">
        <v>6403</v>
      </c>
      <c r="O348" s="1743" t="str">
        <f t="shared" si="233"/>
        <v>Divulgation de données après consultation, par un membre du personnel d'exploitation, se connectant depuis le réseau interne</v>
      </c>
      <c r="P348" s="435">
        <v>1</v>
      </c>
      <c r="Q348" s="1595" t="s">
        <v>1299</v>
      </c>
      <c r="R348" s="1595" t="s">
        <v>4811</v>
      </c>
      <c r="S348" s="1595" t="str">
        <f>Classif!E9</f>
        <v/>
      </c>
      <c r="T348" s="1595">
        <f t="shared" si="234"/>
        <v>3</v>
      </c>
      <c r="U348" s="1744" t="str">
        <f t="shared" si="235"/>
        <v/>
      </c>
      <c r="V348" s="1745">
        <f>MIN(S08F02,S08F03)</f>
        <v>1</v>
      </c>
      <c r="W348" s="1745">
        <v>1</v>
      </c>
      <c r="X348" s="1745">
        <v>1</v>
      </c>
      <c r="Y348" s="1745">
        <v>1</v>
      </c>
      <c r="Z348" s="1746">
        <v>0</v>
      </c>
      <c r="AA348" s="1747"/>
      <c r="AB348" s="1748"/>
      <c r="AC348" s="1748"/>
      <c r="AD348" s="1595" t="str">
        <f t="shared" si="222"/>
        <v/>
      </c>
      <c r="AE348" s="1595">
        <f t="shared" si="236"/>
        <v>3</v>
      </c>
      <c r="AF348" s="1595" t="str">
        <f t="shared" si="237"/>
        <v/>
      </c>
      <c r="AG348" s="1748"/>
      <c r="AH348" s="1749" t="str">
        <f t="shared" si="223"/>
        <v/>
      </c>
      <c r="AI348" s="1622" t="s">
        <v>6495</v>
      </c>
      <c r="AJ348" s="1621"/>
      <c r="AK348" s="1633"/>
      <c r="AL348" s="1619"/>
      <c r="AM348" s="247" t="str">
        <f t="shared" si="216"/>
        <v/>
      </c>
      <c r="AN348" s="247" t="str">
        <f t="shared" si="217"/>
        <v/>
      </c>
      <c r="AO348" s="247" t="str">
        <f t="shared" si="218"/>
        <v/>
      </c>
      <c r="AP348" s="247" t="str">
        <f t="shared" si="219"/>
        <v/>
      </c>
      <c r="AQ348" s="42">
        <f t="shared" si="238"/>
        <v>1</v>
      </c>
      <c r="AR348" s="42">
        <f t="shared" si="239"/>
        <v>1</v>
      </c>
      <c r="AS348" s="42">
        <f t="shared" si="240"/>
        <v>1</v>
      </c>
      <c r="AT348" s="42">
        <f t="shared" si="241"/>
        <v>1</v>
      </c>
      <c r="AU348" s="247" t="str">
        <f t="shared" si="220"/>
        <v/>
      </c>
      <c r="AV348" s="247" t="str">
        <f t="shared" si="221"/>
        <v/>
      </c>
    </row>
    <row r="349" spans="1:48" ht="56.25" x14ac:dyDescent="0.2">
      <c r="A349" s="450" t="s">
        <v>670</v>
      </c>
      <c r="B349" s="429" t="s">
        <v>5448</v>
      </c>
      <c r="C349" s="430" t="s">
        <v>5476</v>
      </c>
      <c r="D349" s="1349" t="s">
        <v>4811</v>
      </c>
      <c r="E349" s="1350" t="s">
        <v>5156</v>
      </c>
      <c r="F349" s="1350" t="s">
        <v>2794</v>
      </c>
      <c r="G349" s="1351" t="s">
        <v>5555</v>
      </c>
      <c r="H349" s="1342" t="s">
        <v>1328</v>
      </c>
      <c r="I349" s="432" t="s">
        <v>1305</v>
      </c>
      <c r="J349" s="431" t="s">
        <v>3525</v>
      </c>
      <c r="K349" s="431"/>
      <c r="L349" s="431" t="s">
        <v>6543</v>
      </c>
      <c r="M349" s="433"/>
      <c r="N349" s="434" t="s">
        <v>2835</v>
      </c>
      <c r="O349" s="1743" t="str">
        <f t="shared" si="233"/>
        <v>Divulgation de données après consultation, par un tiers non autorisé, se connectant, depuis l'extérieur, au réseau local</v>
      </c>
      <c r="P349" s="435">
        <v>1</v>
      </c>
      <c r="Q349" s="1595" t="s">
        <v>1299</v>
      </c>
      <c r="R349" s="1595" t="s">
        <v>4811</v>
      </c>
      <c r="S349" s="1595" t="str">
        <f>Classif!E9</f>
        <v/>
      </c>
      <c r="T349" s="1595">
        <f t="shared" si="234"/>
        <v>3</v>
      </c>
      <c r="U349" s="1744" t="str">
        <f t="shared" si="235"/>
        <v/>
      </c>
      <c r="V349" s="1745">
        <v>1</v>
      </c>
      <c r="W349" s="1745">
        <f>MAX(S04B02,MIN(S05B04,S05B05,S05B06,S05B07),MIN(S07A03,S07A04,S08F02),MIN(S09A03,S09A04))</f>
        <v>1</v>
      </c>
      <c r="X349" s="1745">
        <v>1</v>
      </c>
      <c r="Y349" s="1745">
        <v>1</v>
      </c>
      <c r="Z349" s="1746">
        <v>0</v>
      </c>
      <c r="AA349" s="1747"/>
      <c r="AB349" s="1748"/>
      <c r="AC349" s="1748"/>
      <c r="AD349" s="1595" t="str">
        <f t="shared" si="222"/>
        <v/>
      </c>
      <c r="AE349" s="1595">
        <f t="shared" si="236"/>
        <v>3</v>
      </c>
      <c r="AF349" s="1595" t="str">
        <f t="shared" si="237"/>
        <v/>
      </c>
      <c r="AG349" s="1748"/>
      <c r="AH349" s="1749" t="str">
        <f t="shared" si="223"/>
        <v/>
      </c>
      <c r="AI349" s="1620"/>
      <c r="AJ349" s="1621" t="s">
        <v>6853</v>
      </c>
      <c r="AK349" s="1632"/>
      <c r="AL349" s="1619"/>
      <c r="AM349" s="247" t="str">
        <f t="shared" si="216"/>
        <v/>
      </c>
      <c r="AN349" s="247" t="str">
        <f t="shared" si="217"/>
        <v/>
      </c>
      <c r="AO349" s="247" t="str">
        <f t="shared" si="218"/>
        <v/>
      </c>
      <c r="AP349" s="247" t="str">
        <f t="shared" si="219"/>
        <v/>
      </c>
      <c r="AQ349" s="42">
        <f t="shared" si="238"/>
        <v>1</v>
      </c>
      <c r="AR349" s="42">
        <f t="shared" si="239"/>
        <v>1</v>
      </c>
      <c r="AS349" s="42">
        <f t="shared" si="240"/>
        <v>1</v>
      </c>
      <c r="AT349" s="42">
        <f t="shared" si="241"/>
        <v>1</v>
      </c>
      <c r="AU349" s="247" t="str">
        <f t="shared" si="220"/>
        <v/>
      </c>
      <c r="AV349" s="247" t="str">
        <f t="shared" si="221"/>
        <v/>
      </c>
    </row>
    <row r="350" spans="1:48" ht="24" x14ac:dyDescent="0.2">
      <c r="A350" s="450" t="s">
        <v>671</v>
      </c>
      <c r="B350" s="429" t="s">
        <v>5448</v>
      </c>
      <c r="C350" s="430" t="s">
        <v>5476</v>
      </c>
      <c r="D350" s="1349" t="s">
        <v>4811</v>
      </c>
      <c r="E350" s="1350" t="s">
        <v>5156</v>
      </c>
      <c r="F350" s="1350" t="s">
        <v>4459</v>
      </c>
      <c r="G350" s="1351" t="s">
        <v>5555</v>
      </c>
      <c r="H350" s="1342" t="s">
        <v>1328</v>
      </c>
      <c r="I350" s="432" t="s">
        <v>1529</v>
      </c>
      <c r="J350" s="431" t="s">
        <v>3525</v>
      </c>
      <c r="K350" s="431"/>
      <c r="L350" s="431" t="s">
        <v>6545</v>
      </c>
      <c r="M350" s="433"/>
      <c r="N350" s="434" t="s">
        <v>2835</v>
      </c>
      <c r="O350" s="1743" t="str">
        <f t="shared" si="233"/>
        <v>Divulgation de données après consultation, par un tiers non autorisé, par captation électro-magnétiques</v>
      </c>
      <c r="P350" s="435">
        <v>1</v>
      </c>
      <c r="Q350" s="1595" t="s">
        <v>1299</v>
      </c>
      <c r="R350" s="1595" t="s">
        <v>4811</v>
      </c>
      <c r="S350" s="1595" t="str">
        <f>Classif!E9</f>
        <v/>
      </c>
      <c r="T350" s="1595">
        <f t="shared" si="234"/>
        <v>2</v>
      </c>
      <c r="U350" s="1744" t="str">
        <f t="shared" si="235"/>
        <v/>
      </c>
      <c r="V350" s="1745">
        <v>1</v>
      </c>
      <c r="W350" s="1745">
        <f>S09C03</f>
        <v>1</v>
      </c>
      <c r="X350" s="1745">
        <v>1</v>
      </c>
      <c r="Y350" s="1745">
        <v>1</v>
      </c>
      <c r="Z350" s="1746">
        <v>0</v>
      </c>
      <c r="AA350" s="1747"/>
      <c r="AB350" s="1748"/>
      <c r="AC350" s="1748"/>
      <c r="AD350" s="1595" t="str">
        <f t="shared" si="222"/>
        <v/>
      </c>
      <c r="AE350" s="1595">
        <f t="shared" si="236"/>
        <v>2</v>
      </c>
      <c r="AF350" s="1595" t="str">
        <f t="shared" si="237"/>
        <v/>
      </c>
      <c r="AG350" s="1748"/>
      <c r="AH350" s="1749" t="str">
        <f t="shared" si="223"/>
        <v/>
      </c>
      <c r="AI350" s="1620"/>
      <c r="AJ350" s="1616" t="s">
        <v>2555</v>
      </c>
      <c r="AK350" s="1633"/>
      <c r="AL350" s="1619"/>
      <c r="AM350" s="247" t="str">
        <f t="shared" si="216"/>
        <v/>
      </c>
      <c r="AN350" s="247" t="str">
        <f t="shared" si="217"/>
        <v/>
      </c>
      <c r="AO350" s="247" t="str">
        <f t="shared" si="218"/>
        <v/>
      </c>
      <c r="AP350" s="247" t="str">
        <f t="shared" si="219"/>
        <v/>
      </c>
      <c r="AQ350" s="42">
        <f t="shared" si="238"/>
        <v>1</v>
      </c>
      <c r="AR350" s="42">
        <f t="shared" si="239"/>
        <v>1</v>
      </c>
      <c r="AS350" s="42">
        <f t="shared" si="240"/>
        <v>1</v>
      </c>
      <c r="AT350" s="42">
        <f t="shared" si="241"/>
        <v>1</v>
      </c>
      <c r="AU350" s="247" t="str">
        <f t="shared" si="220"/>
        <v/>
      </c>
      <c r="AV350" s="247" t="str">
        <f t="shared" si="221"/>
        <v/>
      </c>
    </row>
    <row r="351" spans="1:48" ht="36" x14ac:dyDescent="0.2">
      <c r="A351" s="450" t="s">
        <v>672</v>
      </c>
      <c r="B351" s="429" t="s">
        <v>5448</v>
      </c>
      <c r="C351" s="430" t="s">
        <v>5476</v>
      </c>
      <c r="D351" s="1349" t="s">
        <v>4811</v>
      </c>
      <c r="E351" s="1350" t="s">
        <v>7506</v>
      </c>
      <c r="F351" s="1350" t="s">
        <v>2794</v>
      </c>
      <c r="G351" s="1351" t="s">
        <v>5555</v>
      </c>
      <c r="H351" s="1342" t="s">
        <v>1328</v>
      </c>
      <c r="I351" s="432" t="s">
        <v>1305</v>
      </c>
      <c r="J351" s="431"/>
      <c r="K351" s="431"/>
      <c r="L351" s="431" t="s">
        <v>1131</v>
      </c>
      <c r="M351" s="433"/>
      <c r="N351" s="434" t="s">
        <v>6403</v>
      </c>
      <c r="O351" s="1743" t="str">
        <f t="shared" si="233"/>
        <v>Divulgation de données après consultation, par un membre du personnel d'exploitation, ayant accès à des ressources utilisateurs non effacées après utilisation.</v>
      </c>
      <c r="P351" s="435">
        <v>1</v>
      </c>
      <c r="Q351" s="1595" t="s">
        <v>1299</v>
      </c>
      <c r="R351" s="1595" t="s">
        <v>4811</v>
      </c>
      <c r="S351" s="1595" t="str">
        <f>Classif!E9</f>
        <v/>
      </c>
      <c r="T351" s="1595">
        <f t="shared" si="234"/>
        <v>3</v>
      </c>
      <c r="U351" s="1744" t="str">
        <f t="shared" si="235"/>
        <v/>
      </c>
      <c r="V351" s="1745">
        <f>MIN(S08F02,S08F03)</f>
        <v>1</v>
      </c>
      <c r="W351" s="1745">
        <f>S07B01</f>
        <v>1</v>
      </c>
      <c r="X351" s="1745">
        <v>1</v>
      </c>
      <c r="Y351" s="1745">
        <v>1</v>
      </c>
      <c r="Z351" s="1746">
        <v>0</v>
      </c>
      <c r="AA351" s="1747"/>
      <c r="AB351" s="1748"/>
      <c r="AC351" s="1748"/>
      <c r="AD351" s="1595" t="str">
        <f t="shared" si="222"/>
        <v/>
      </c>
      <c r="AE351" s="1595">
        <f t="shared" si="236"/>
        <v>3</v>
      </c>
      <c r="AF351" s="1595" t="str">
        <f t="shared" si="237"/>
        <v/>
      </c>
      <c r="AG351" s="1748"/>
      <c r="AH351" s="1749" t="str">
        <f t="shared" si="223"/>
        <v/>
      </c>
      <c r="AI351" s="1622" t="s">
        <v>6495</v>
      </c>
      <c r="AJ351" s="1616" t="s">
        <v>5139</v>
      </c>
      <c r="AK351" s="1632"/>
      <c r="AL351" s="1619"/>
      <c r="AM351" s="247" t="str">
        <f t="shared" si="216"/>
        <v/>
      </c>
      <c r="AN351" s="247" t="str">
        <f t="shared" si="217"/>
        <v/>
      </c>
      <c r="AO351" s="247" t="str">
        <f t="shared" si="218"/>
        <v/>
      </c>
      <c r="AP351" s="247" t="str">
        <f t="shared" si="219"/>
        <v/>
      </c>
      <c r="AQ351" s="42">
        <f t="shared" si="238"/>
        <v>1</v>
      </c>
      <c r="AR351" s="42">
        <f t="shared" si="239"/>
        <v>1</v>
      </c>
      <c r="AS351" s="42">
        <f t="shared" si="240"/>
        <v>1</v>
      </c>
      <c r="AT351" s="42">
        <f t="shared" si="241"/>
        <v>1</v>
      </c>
      <c r="AU351" s="247" t="str">
        <f t="shared" si="220"/>
        <v/>
      </c>
      <c r="AV351" s="247" t="str">
        <f t="shared" si="221"/>
        <v/>
      </c>
    </row>
    <row r="352" spans="1:48" ht="24" x14ac:dyDescent="0.2">
      <c r="A352" s="450" t="s">
        <v>673</v>
      </c>
      <c r="B352" s="429" t="s">
        <v>5449</v>
      </c>
      <c r="C352" s="430" t="s">
        <v>5476</v>
      </c>
      <c r="D352" s="1349" t="s">
        <v>4811</v>
      </c>
      <c r="E352" s="1350" t="s">
        <v>7507</v>
      </c>
      <c r="F352" s="1350" t="s">
        <v>4459</v>
      </c>
      <c r="G352" s="1351" t="s">
        <v>5555</v>
      </c>
      <c r="H352" s="1342" t="s">
        <v>1328</v>
      </c>
      <c r="I352" s="432" t="s">
        <v>1305</v>
      </c>
      <c r="J352" s="431" t="s">
        <v>3525</v>
      </c>
      <c r="K352" s="431"/>
      <c r="L352" s="431" t="s">
        <v>2834</v>
      </c>
      <c r="M352" s="433"/>
      <c r="N352" s="434" t="s">
        <v>3518</v>
      </c>
      <c r="O352" s="1743" t="str">
        <f t="shared" si="233"/>
        <v>Divulgation de données après captation de données en transit, par un membre du personnel non autorisé, se connectant sur le réseau étendu</v>
      </c>
      <c r="P352" s="435">
        <v>1</v>
      </c>
      <c r="Q352" s="1595" t="s">
        <v>1299</v>
      </c>
      <c r="R352" s="1595" t="s">
        <v>4811</v>
      </c>
      <c r="S352" s="1595" t="str">
        <f>Classif!E9</f>
        <v/>
      </c>
      <c r="T352" s="1595">
        <f t="shared" si="234"/>
        <v>3</v>
      </c>
      <c r="U352" s="1744" t="str">
        <f t="shared" si="235"/>
        <v/>
      </c>
      <c r="V352" s="1745">
        <v>1</v>
      </c>
      <c r="W352" s="1745">
        <f>MAX(S05C03,S09C01)</f>
        <v>1</v>
      </c>
      <c r="X352" s="1745">
        <v>1</v>
      </c>
      <c r="Y352" s="1745">
        <v>1</v>
      </c>
      <c r="Z352" s="1746">
        <v>0</v>
      </c>
      <c r="AA352" s="1747"/>
      <c r="AB352" s="1748"/>
      <c r="AC352" s="1748"/>
      <c r="AD352" s="1595" t="str">
        <f t="shared" si="222"/>
        <v/>
      </c>
      <c r="AE352" s="1595">
        <f t="shared" si="236"/>
        <v>3</v>
      </c>
      <c r="AF352" s="1595" t="str">
        <f t="shared" si="237"/>
        <v/>
      </c>
      <c r="AG352" s="1748"/>
      <c r="AH352" s="1749" t="str">
        <f t="shared" si="223"/>
        <v/>
      </c>
      <c r="AI352" s="1620"/>
      <c r="AJ352" s="1616" t="s">
        <v>4604</v>
      </c>
      <c r="AK352" s="1618"/>
      <c r="AL352" s="1619"/>
      <c r="AM352" s="247" t="str">
        <f t="shared" si="216"/>
        <v/>
      </c>
      <c r="AN352" s="247" t="str">
        <f t="shared" si="217"/>
        <v/>
      </c>
      <c r="AO352" s="247" t="str">
        <f t="shared" si="218"/>
        <v/>
      </c>
      <c r="AP352" s="247" t="str">
        <f t="shared" si="219"/>
        <v/>
      </c>
      <c r="AQ352" s="42">
        <f t="shared" si="238"/>
        <v>1</v>
      </c>
      <c r="AR352" s="42">
        <f t="shared" si="239"/>
        <v>1</v>
      </c>
      <c r="AS352" s="42">
        <f t="shared" si="240"/>
        <v>1</v>
      </c>
      <c r="AT352" s="42">
        <f t="shared" si="241"/>
        <v>1</v>
      </c>
      <c r="AU352" s="247" t="str">
        <f t="shared" si="220"/>
        <v/>
      </c>
      <c r="AV352" s="247" t="str">
        <f t="shared" si="221"/>
        <v/>
      </c>
    </row>
    <row r="353" spans="1:48" ht="24" x14ac:dyDescent="0.2">
      <c r="A353" s="450" t="s">
        <v>674</v>
      </c>
      <c r="B353" s="429" t="s">
        <v>5449</v>
      </c>
      <c r="C353" s="430" t="s">
        <v>5476</v>
      </c>
      <c r="D353" s="1349" t="s">
        <v>4811</v>
      </c>
      <c r="E353" s="1350" t="s">
        <v>7507</v>
      </c>
      <c r="F353" s="1350" t="s">
        <v>4459</v>
      </c>
      <c r="G353" s="1351" t="s">
        <v>5555</v>
      </c>
      <c r="H353" s="1342" t="s">
        <v>1328</v>
      </c>
      <c r="I353" s="432" t="s">
        <v>1305</v>
      </c>
      <c r="J353" s="431"/>
      <c r="K353" s="431"/>
      <c r="L353" s="431" t="s">
        <v>6541</v>
      </c>
      <c r="M353" s="433"/>
      <c r="N353" s="434" t="s">
        <v>4814</v>
      </c>
      <c r="O353" s="1743" t="str">
        <f t="shared" si="233"/>
        <v>Divulgation de données après captation de données en transit, par un membre du personnel de l'entreprise, se connectant depuis le réseau interne</v>
      </c>
      <c r="P353" s="435">
        <v>1</v>
      </c>
      <c r="Q353" s="1595" t="s">
        <v>1299</v>
      </c>
      <c r="R353" s="1595" t="s">
        <v>4811</v>
      </c>
      <c r="S353" s="1595" t="str">
        <f>Classif!E9</f>
        <v/>
      </c>
      <c r="T353" s="1595">
        <f t="shared" si="234"/>
        <v>3</v>
      </c>
      <c r="U353" s="1744" t="str">
        <f t="shared" si="235"/>
        <v/>
      </c>
      <c r="V353" s="1745">
        <v>1</v>
      </c>
      <c r="W353" s="1745">
        <f>MAX(S03B07,S05C01,S09C01)</f>
        <v>1</v>
      </c>
      <c r="X353" s="1745">
        <v>1</v>
      </c>
      <c r="Y353" s="1745">
        <v>1</v>
      </c>
      <c r="Z353" s="1746">
        <v>0</v>
      </c>
      <c r="AA353" s="1747"/>
      <c r="AB353" s="1748"/>
      <c r="AC353" s="1748"/>
      <c r="AD353" s="1595" t="str">
        <f t="shared" si="222"/>
        <v/>
      </c>
      <c r="AE353" s="1595">
        <f t="shared" si="236"/>
        <v>3</v>
      </c>
      <c r="AF353" s="1595" t="str">
        <f t="shared" si="237"/>
        <v/>
      </c>
      <c r="AG353" s="1748"/>
      <c r="AH353" s="1749" t="str">
        <f t="shared" si="223"/>
        <v/>
      </c>
      <c r="AI353" s="1620"/>
      <c r="AJ353" s="1616" t="s">
        <v>3031</v>
      </c>
      <c r="AK353" s="1632"/>
      <c r="AL353" s="1619"/>
      <c r="AM353" s="247" t="str">
        <f t="shared" si="216"/>
        <v/>
      </c>
      <c r="AN353" s="247" t="str">
        <f t="shared" si="217"/>
        <v/>
      </c>
      <c r="AO353" s="247" t="str">
        <f t="shared" si="218"/>
        <v/>
      </c>
      <c r="AP353" s="247" t="str">
        <f t="shared" si="219"/>
        <v/>
      </c>
      <c r="AQ353" s="42">
        <f t="shared" si="238"/>
        <v>1</v>
      </c>
      <c r="AR353" s="42">
        <f t="shared" si="239"/>
        <v>1</v>
      </c>
      <c r="AS353" s="42">
        <f t="shared" si="240"/>
        <v>1</v>
      </c>
      <c r="AT353" s="42">
        <f t="shared" si="241"/>
        <v>1</v>
      </c>
      <c r="AU353" s="247" t="str">
        <f t="shared" si="220"/>
        <v/>
      </c>
      <c r="AV353" s="247" t="str">
        <f t="shared" si="221"/>
        <v/>
      </c>
    </row>
    <row r="354" spans="1:48" ht="24" x14ac:dyDescent="0.2">
      <c r="A354" s="450" t="s">
        <v>675</v>
      </c>
      <c r="B354" s="429" t="s">
        <v>5449</v>
      </c>
      <c r="C354" s="430" t="s">
        <v>5476</v>
      </c>
      <c r="D354" s="1349" t="s">
        <v>4811</v>
      </c>
      <c r="E354" s="1350" t="s">
        <v>7507</v>
      </c>
      <c r="F354" s="1350" t="s">
        <v>4459</v>
      </c>
      <c r="G354" s="1351" t="s">
        <v>5555</v>
      </c>
      <c r="H354" s="1342" t="s">
        <v>1328</v>
      </c>
      <c r="I354" s="432" t="s">
        <v>1548</v>
      </c>
      <c r="J354" s="431"/>
      <c r="K354" s="431"/>
      <c r="L354" s="431" t="s">
        <v>1135</v>
      </c>
      <c r="M354" s="433"/>
      <c r="N354" s="434" t="s">
        <v>4814</v>
      </c>
      <c r="O354" s="1743" t="str">
        <f t="shared" si="233"/>
        <v>Divulgation de données après captation de données en transit, par un membre du personnel de l'entreprise, après modification d'un équipement de réseau</v>
      </c>
      <c r="P354" s="435">
        <v>1</v>
      </c>
      <c r="Q354" s="1595" t="s">
        <v>1299</v>
      </c>
      <c r="R354" s="1595" t="s">
        <v>4811</v>
      </c>
      <c r="S354" s="1595" t="str">
        <f>Classif!E9</f>
        <v/>
      </c>
      <c r="T354" s="1595">
        <f t="shared" si="234"/>
        <v>3</v>
      </c>
      <c r="U354" s="1744" t="str">
        <f t="shared" si="235"/>
        <v/>
      </c>
      <c r="V354" s="1745">
        <v>1</v>
      </c>
      <c r="W354" s="1745">
        <f>MAX(MIN(S06C01,S06C02),S09C01)</f>
        <v>1</v>
      </c>
      <c r="X354" s="1745">
        <v>1</v>
      </c>
      <c r="Y354" s="1745">
        <v>1</v>
      </c>
      <c r="Z354" s="1746">
        <v>0</v>
      </c>
      <c r="AA354" s="1747"/>
      <c r="AB354" s="1748"/>
      <c r="AC354" s="1748"/>
      <c r="AD354" s="1595" t="str">
        <f t="shared" si="222"/>
        <v/>
      </c>
      <c r="AE354" s="1595">
        <f t="shared" si="236"/>
        <v>3</v>
      </c>
      <c r="AF354" s="1595" t="str">
        <f t="shared" si="237"/>
        <v/>
      </c>
      <c r="AG354" s="1748"/>
      <c r="AH354" s="1749" t="str">
        <f t="shared" si="223"/>
        <v/>
      </c>
      <c r="AI354" s="1620"/>
      <c r="AJ354" s="1616" t="s">
        <v>3032</v>
      </c>
      <c r="AK354" s="1632"/>
      <c r="AL354" s="1619"/>
      <c r="AM354" s="247" t="str">
        <f t="shared" si="216"/>
        <v/>
      </c>
      <c r="AN354" s="247" t="str">
        <f t="shared" si="217"/>
        <v/>
      </c>
      <c r="AO354" s="247" t="str">
        <f t="shared" si="218"/>
        <v/>
      </c>
      <c r="AP354" s="247" t="str">
        <f t="shared" si="219"/>
        <v/>
      </c>
      <c r="AQ354" s="42">
        <f t="shared" si="238"/>
        <v>1</v>
      </c>
      <c r="AR354" s="42">
        <f t="shared" si="239"/>
        <v>1</v>
      </c>
      <c r="AS354" s="42">
        <f t="shared" si="240"/>
        <v>1</v>
      </c>
      <c r="AT354" s="42">
        <f t="shared" si="241"/>
        <v>1</v>
      </c>
      <c r="AU354" s="247" t="str">
        <f t="shared" si="220"/>
        <v/>
      </c>
      <c r="AV354" s="247" t="str">
        <f t="shared" si="221"/>
        <v/>
      </c>
    </row>
    <row r="355" spans="1:48" ht="24" x14ac:dyDescent="0.2">
      <c r="A355" s="450" t="s">
        <v>676</v>
      </c>
      <c r="B355" s="429" t="s">
        <v>5449</v>
      </c>
      <c r="C355" s="430" t="s">
        <v>5476</v>
      </c>
      <c r="D355" s="1349" t="s">
        <v>4811</v>
      </c>
      <c r="E355" s="1350" t="s">
        <v>7507</v>
      </c>
      <c r="F355" s="1350" t="s">
        <v>4459</v>
      </c>
      <c r="G355" s="1351" t="s">
        <v>5555</v>
      </c>
      <c r="H355" s="1342" t="s">
        <v>1328</v>
      </c>
      <c r="I355" s="432" t="s">
        <v>1548</v>
      </c>
      <c r="J355" s="431"/>
      <c r="K355" s="431"/>
      <c r="L355" s="431" t="s">
        <v>1135</v>
      </c>
      <c r="M355" s="433"/>
      <c r="N355" s="434" t="s">
        <v>6403</v>
      </c>
      <c r="O355" s="1743" t="str">
        <f t="shared" si="233"/>
        <v>Divulgation de données après captation de données en transit, par un membre du personnel d'exploitation, après modification d'un équipement de réseau</v>
      </c>
      <c r="P355" s="435">
        <v>1</v>
      </c>
      <c r="Q355" s="1595" t="s">
        <v>1299</v>
      </c>
      <c r="R355" s="1595" t="s">
        <v>4811</v>
      </c>
      <c r="S355" s="1595" t="str">
        <f>Classif!E9</f>
        <v/>
      </c>
      <c r="T355" s="1595">
        <f t="shared" si="234"/>
        <v>3</v>
      </c>
      <c r="U355" s="1744" t="str">
        <f t="shared" si="235"/>
        <v/>
      </c>
      <c r="V355" s="1745">
        <f>MIN(S06A01,S06C03)</f>
        <v>1</v>
      </c>
      <c r="W355" s="1745">
        <f>S09C01</f>
        <v>1</v>
      </c>
      <c r="X355" s="1745">
        <v>1</v>
      </c>
      <c r="Y355" s="1745">
        <v>1</v>
      </c>
      <c r="Z355" s="1746">
        <v>0</v>
      </c>
      <c r="AA355" s="1747"/>
      <c r="AB355" s="1748"/>
      <c r="AC355" s="1748"/>
      <c r="AD355" s="1595" t="str">
        <f t="shared" si="222"/>
        <v/>
      </c>
      <c r="AE355" s="1595">
        <f t="shared" si="236"/>
        <v>3</v>
      </c>
      <c r="AF355" s="1595" t="str">
        <f t="shared" si="237"/>
        <v/>
      </c>
      <c r="AG355" s="1748"/>
      <c r="AH355" s="1749" t="str">
        <f t="shared" si="223"/>
        <v/>
      </c>
      <c r="AI355" s="1620" t="s">
        <v>3033</v>
      </c>
      <c r="AJ355" s="1616" t="s">
        <v>3670</v>
      </c>
      <c r="AK355" s="1632"/>
      <c r="AL355" s="1619"/>
      <c r="AM355" s="247" t="str">
        <f t="shared" si="216"/>
        <v/>
      </c>
      <c r="AN355" s="247" t="str">
        <f t="shared" si="217"/>
        <v/>
      </c>
      <c r="AO355" s="247" t="str">
        <f t="shared" si="218"/>
        <v/>
      </c>
      <c r="AP355" s="247" t="str">
        <f t="shared" si="219"/>
        <v/>
      </c>
      <c r="AQ355" s="42">
        <f t="shared" si="238"/>
        <v>1</v>
      </c>
      <c r="AR355" s="42">
        <f t="shared" si="239"/>
        <v>1</v>
      </c>
      <c r="AS355" s="42">
        <f t="shared" si="240"/>
        <v>1</v>
      </c>
      <c r="AT355" s="42">
        <f t="shared" si="241"/>
        <v>1</v>
      </c>
      <c r="AU355" s="247" t="str">
        <f t="shared" si="220"/>
        <v/>
      </c>
      <c r="AV355" s="247" t="str">
        <f t="shared" si="221"/>
        <v/>
      </c>
    </row>
    <row r="356" spans="1:48" ht="36" x14ac:dyDescent="0.2">
      <c r="A356" s="450" t="s">
        <v>677</v>
      </c>
      <c r="B356" s="429" t="s">
        <v>5449</v>
      </c>
      <c r="C356" s="430" t="s">
        <v>5476</v>
      </c>
      <c r="D356" s="1349" t="s">
        <v>4811</v>
      </c>
      <c r="E356" s="1350" t="s">
        <v>7507</v>
      </c>
      <c r="F356" s="1350" t="s">
        <v>4459</v>
      </c>
      <c r="G356" s="1351" t="s">
        <v>5555</v>
      </c>
      <c r="H356" s="1342" t="s">
        <v>1328</v>
      </c>
      <c r="I356" s="432" t="s">
        <v>1548</v>
      </c>
      <c r="J356" s="431" t="s">
        <v>3525</v>
      </c>
      <c r="K356" s="431"/>
      <c r="L356" s="431" t="s">
        <v>1058</v>
      </c>
      <c r="M356" s="433"/>
      <c r="N356" s="434" t="s">
        <v>2835</v>
      </c>
      <c r="O356" s="1743" t="str">
        <f t="shared" si="233"/>
        <v>Divulgation de données après captation de données en transit, par un tiers non autorisé, après modification distante d'un équipement de réseau, utilisant une liaison de télémaintenance</v>
      </c>
      <c r="P356" s="435">
        <v>1</v>
      </c>
      <c r="Q356" s="1595" t="s">
        <v>1299</v>
      </c>
      <c r="R356" s="1595" t="s">
        <v>4811</v>
      </c>
      <c r="S356" s="1595" t="str">
        <f>Classif!E9</f>
        <v/>
      </c>
      <c r="T356" s="1595">
        <f t="shared" si="234"/>
        <v>3</v>
      </c>
      <c r="U356" s="1744" t="str">
        <f t="shared" si="235"/>
        <v/>
      </c>
      <c r="V356" s="1745">
        <v>1</v>
      </c>
      <c r="W356" s="1745">
        <f>MAX(S06A04,S09C01)</f>
        <v>1</v>
      </c>
      <c r="X356" s="1745">
        <v>1</v>
      </c>
      <c r="Y356" s="1745">
        <v>1</v>
      </c>
      <c r="Z356" s="1746">
        <v>0</v>
      </c>
      <c r="AA356" s="1747"/>
      <c r="AB356" s="1748"/>
      <c r="AC356" s="1748"/>
      <c r="AD356" s="1595" t="str">
        <f t="shared" si="222"/>
        <v/>
      </c>
      <c r="AE356" s="1595">
        <f t="shared" si="236"/>
        <v>3</v>
      </c>
      <c r="AF356" s="1595" t="str">
        <f t="shared" si="237"/>
        <v/>
      </c>
      <c r="AG356" s="1748"/>
      <c r="AH356" s="1749" t="str">
        <f t="shared" si="223"/>
        <v/>
      </c>
      <c r="AI356" s="1620"/>
      <c r="AJ356" s="1616" t="s">
        <v>1525</v>
      </c>
      <c r="AK356" s="1632"/>
      <c r="AL356" s="1619"/>
      <c r="AM356" s="247" t="str">
        <f t="shared" si="216"/>
        <v/>
      </c>
      <c r="AN356" s="247" t="str">
        <f t="shared" si="217"/>
        <v/>
      </c>
      <c r="AO356" s="247" t="str">
        <f t="shared" si="218"/>
        <v/>
      </c>
      <c r="AP356" s="247" t="str">
        <f t="shared" si="219"/>
        <v/>
      </c>
      <c r="AQ356" s="42">
        <f t="shared" si="238"/>
        <v>1</v>
      </c>
      <c r="AR356" s="42">
        <f t="shared" si="239"/>
        <v>1</v>
      </c>
      <c r="AS356" s="42">
        <f t="shared" si="240"/>
        <v>1</v>
      </c>
      <c r="AT356" s="42">
        <f t="shared" si="241"/>
        <v>1</v>
      </c>
      <c r="AU356" s="247" t="str">
        <f t="shared" si="220"/>
        <v/>
      </c>
      <c r="AV356" s="247" t="str">
        <f t="shared" si="221"/>
        <v/>
      </c>
    </row>
    <row r="357" spans="1:48" ht="36" x14ac:dyDescent="0.2">
      <c r="A357" s="450" t="s">
        <v>678</v>
      </c>
      <c r="B357" s="429" t="s">
        <v>5449</v>
      </c>
      <c r="C357" s="430" t="s">
        <v>5476</v>
      </c>
      <c r="D357" s="1349" t="s">
        <v>4811</v>
      </c>
      <c r="E357" s="1350" t="s">
        <v>7507</v>
      </c>
      <c r="F357" s="1350" t="s">
        <v>4459</v>
      </c>
      <c r="G357" s="1351" t="s">
        <v>5555</v>
      </c>
      <c r="H357" s="1342" t="s">
        <v>1328</v>
      </c>
      <c r="I357" s="432" t="s">
        <v>1305</v>
      </c>
      <c r="J357" s="431"/>
      <c r="K357" s="431"/>
      <c r="L357" s="431" t="s">
        <v>1059</v>
      </c>
      <c r="M357" s="433" t="s">
        <v>4965</v>
      </c>
      <c r="N357" s="434" t="s">
        <v>2835</v>
      </c>
      <c r="O357" s="1743" t="str">
        <f t="shared" si="233"/>
        <v>Divulgation de données après captation de données en transit, par un tiers non autorisé, après modification distante d'un équipement de réseau, utilisant une faille non corrigée</v>
      </c>
      <c r="P357" s="435">
        <v>1</v>
      </c>
      <c r="Q357" s="1595" t="s">
        <v>1299</v>
      </c>
      <c r="R357" s="1595" t="s">
        <v>4811</v>
      </c>
      <c r="S357" s="1595" t="str">
        <f>Classif!E9</f>
        <v/>
      </c>
      <c r="T357" s="1595">
        <f t="shared" si="234"/>
        <v>3</v>
      </c>
      <c r="U357" s="1744" t="str">
        <f t="shared" si="235"/>
        <v/>
      </c>
      <c r="V357" s="1745">
        <v>1</v>
      </c>
      <c r="W357" s="1745">
        <f>MAX(S06A02,S09C01)</f>
        <v>1</v>
      </c>
      <c r="X357" s="1745">
        <v>1</v>
      </c>
      <c r="Y357" s="1745">
        <v>1</v>
      </c>
      <c r="Z357" s="1746">
        <v>0</v>
      </c>
      <c r="AA357" s="1747"/>
      <c r="AB357" s="1748"/>
      <c r="AC357" s="1748"/>
      <c r="AD357" s="1595" t="str">
        <f t="shared" si="222"/>
        <v/>
      </c>
      <c r="AE357" s="1595">
        <f t="shared" si="236"/>
        <v>3</v>
      </c>
      <c r="AF357" s="1595" t="str">
        <f t="shared" si="237"/>
        <v/>
      </c>
      <c r="AG357" s="1748"/>
      <c r="AH357" s="1749" t="str">
        <f t="shared" si="223"/>
        <v/>
      </c>
      <c r="AI357" s="1620"/>
      <c r="AJ357" s="1616" t="s">
        <v>1526</v>
      </c>
      <c r="AK357" s="1632"/>
      <c r="AL357" s="1619"/>
      <c r="AM357" s="247" t="str">
        <f t="shared" si="216"/>
        <v/>
      </c>
      <c r="AN357" s="247" t="str">
        <f t="shared" si="217"/>
        <v/>
      </c>
      <c r="AO357" s="247" t="str">
        <f t="shared" si="218"/>
        <v/>
      </c>
      <c r="AP357" s="247" t="str">
        <f t="shared" si="219"/>
        <v/>
      </c>
      <c r="AQ357" s="42">
        <f t="shared" si="238"/>
        <v>1</v>
      </c>
      <c r="AR357" s="42">
        <f t="shared" si="239"/>
        <v>1</v>
      </c>
      <c r="AS357" s="42">
        <f t="shared" si="240"/>
        <v>1</v>
      </c>
      <c r="AT357" s="42">
        <f t="shared" si="241"/>
        <v>1</v>
      </c>
      <c r="AU357" s="247" t="str">
        <f t="shared" si="220"/>
        <v/>
      </c>
      <c r="AV357" s="247" t="str">
        <f t="shared" si="221"/>
        <v/>
      </c>
    </row>
    <row r="358" spans="1:48" ht="36" x14ac:dyDescent="0.2">
      <c r="A358" s="450" t="s">
        <v>679</v>
      </c>
      <c r="B358" s="429" t="s">
        <v>5449</v>
      </c>
      <c r="C358" s="430" t="s">
        <v>5476</v>
      </c>
      <c r="D358" s="1349" t="s">
        <v>4811</v>
      </c>
      <c r="E358" s="1350" t="s">
        <v>7507</v>
      </c>
      <c r="F358" s="1350" t="s">
        <v>2794</v>
      </c>
      <c r="G358" s="1351" t="s">
        <v>5555</v>
      </c>
      <c r="H358" s="1342" t="s">
        <v>1328</v>
      </c>
      <c r="I358" s="432" t="s">
        <v>1305</v>
      </c>
      <c r="J358" s="431" t="s">
        <v>3525</v>
      </c>
      <c r="K358" s="431"/>
      <c r="L358" s="431" t="s">
        <v>1062</v>
      </c>
      <c r="M358" s="433"/>
      <c r="N358" s="434" t="s">
        <v>2835</v>
      </c>
      <c r="O358" s="1743" t="str">
        <f t="shared" si="233"/>
        <v>Divulgation de données après captation de données en transit, par un tiers non autorisé, ayant connecté un équipement usurpant l'identité d'une entité connectée au réseau étendu</v>
      </c>
      <c r="P358" s="435">
        <v>1</v>
      </c>
      <c r="Q358" s="1595" t="s">
        <v>1299</v>
      </c>
      <c r="R358" s="1595" t="s">
        <v>4811</v>
      </c>
      <c r="S358" s="1595" t="str">
        <f>Classif!E9</f>
        <v/>
      </c>
      <c r="T358" s="1595">
        <f t="shared" si="234"/>
        <v>3</v>
      </c>
      <c r="U358" s="1744" t="str">
        <f t="shared" si="235"/>
        <v/>
      </c>
      <c r="V358" s="1745">
        <v>1</v>
      </c>
      <c r="W358" s="1745">
        <f>MAX(S04B03,S04C01,S09C01)</f>
        <v>1</v>
      </c>
      <c r="X358" s="1745">
        <v>1</v>
      </c>
      <c r="Y358" s="1745">
        <v>1</v>
      </c>
      <c r="Z358" s="1746">
        <v>0</v>
      </c>
      <c r="AA358" s="1747"/>
      <c r="AB358" s="1748"/>
      <c r="AC358" s="1748"/>
      <c r="AD358" s="1595" t="str">
        <f t="shared" si="222"/>
        <v/>
      </c>
      <c r="AE358" s="1595">
        <f t="shared" si="236"/>
        <v>3</v>
      </c>
      <c r="AF358" s="1595" t="str">
        <f t="shared" si="237"/>
        <v/>
      </c>
      <c r="AG358" s="1748"/>
      <c r="AH358" s="1749" t="str">
        <f t="shared" si="223"/>
        <v/>
      </c>
      <c r="AI358" s="1620"/>
      <c r="AJ358" s="1616" t="s">
        <v>91</v>
      </c>
      <c r="AK358" s="1616"/>
      <c r="AL358" s="1619"/>
      <c r="AM358" s="247" t="str">
        <f t="shared" si="216"/>
        <v/>
      </c>
      <c r="AN358" s="247" t="str">
        <f t="shared" si="217"/>
        <v/>
      </c>
      <c r="AO358" s="247" t="str">
        <f t="shared" si="218"/>
        <v/>
      </c>
      <c r="AP358" s="247" t="str">
        <f t="shared" si="219"/>
        <v/>
      </c>
      <c r="AQ358" s="42">
        <f t="shared" si="238"/>
        <v>1</v>
      </c>
      <c r="AR358" s="42">
        <f t="shared" si="239"/>
        <v>1</v>
      </c>
      <c r="AS358" s="42">
        <f t="shared" si="240"/>
        <v>1</v>
      </c>
      <c r="AT358" s="42">
        <f t="shared" si="241"/>
        <v>1</v>
      </c>
      <c r="AU358" s="247" t="str">
        <f t="shared" si="220"/>
        <v/>
      </c>
      <c r="AV358" s="247" t="str">
        <f t="shared" si="221"/>
        <v/>
      </c>
    </row>
    <row r="359" spans="1:48" ht="24" x14ac:dyDescent="0.2">
      <c r="A359" s="450" t="s">
        <v>680</v>
      </c>
      <c r="B359" s="429" t="s">
        <v>5449</v>
      </c>
      <c r="C359" s="430" t="s">
        <v>5476</v>
      </c>
      <c r="D359" s="1349" t="s">
        <v>4811</v>
      </c>
      <c r="E359" s="1350" t="s">
        <v>7507</v>
      </c>
      <c r="F359" s="1350" t="s">
        <v>2794</v>
      </c>
      <c r="G359" s="1351" t="s">
        <v>5555</v>
      </c>
      <c r="H359" s="1342" t="s">
        <v>1328</v>
      </c>
      <c r="I359" s="432" t="s">
        <v>1305</v>
      </c>
      <c r="J359" s="431" t="s">
        <v>3525</v>
      </c>
      <c r="K359" s="431"/>
      <c r="L359" s="431" t="s">
        <v>1063</v>
      </c>
      <c r="M359" s="433"/>
      <c r="N359" s="434" t="s">
        <v>6403</v>
      </c>
      <c r="O359" s="1743" t="str">
        <f t="shared" si="233"/>
        <v>Divulgation de données après captation de données en transit, par un membre du personnel d'exploitation, par usurpation de l'identité d'un serveur applicatif</v>
      </c>
      <c r="P359" s="435">
        <v>1</v>
      </c>
      <c r="Q359" s="1595" t="s">
        <v>1299</v>
      </c>
      <c r="R359" s="1595" t="s">
        <v>4811</v>
      </c>
      <c r="S359" s="1595" t="str">
        <f>Classif!E9</f>
        <v/>
      </c>
      <c r="T359" s="1595">
        <f t="shared" si="234"/>
        <v>3</v>
      </c>
      <c r="U359" s="1744" t="str">
        <f t="shared" si="235"/>
        <v/>
      </c>
      <c r="V359" s="1745">
        <v>1</v>
      </c>
      <c r="W359" s="1745">
        <f>MAX(S04B03,S04C01,S09C01)</f>
        <v>1</v>
      </c>
      <c r="X359" s="1745">
        <v>1</v>
      </c>
      <c r="Y359" s="1745">
        <v>1</v>
      </c>
      <c r="Z359" s="1746">
        <v>0</v>
      </c>
      <c r="AA359" s="1747"/>
      <c r="AB359" s="1748"/>
      <c r="AC359" s="1748"/>
      <c r="AD359" s="1595" t="str">
        <f t="shared" si="222"/>
        <v/>
      </c>
      <c r="AE359" s="1595">
        <f t="shared" si="236"/>
        <v>3</v>
      </c>
      <c r="AF359" s="1595" t="str">
        <f t="shared" si="237"/>
        <v/>
      </c>
      <c r="AG359" s="1748"/>
      <c r="AH359" s="1749" t="str">
        <f t="shared" si="223"/>
        <v/>
      </c>
      <c r="AI359" s="1620"/>
      <c r="AJ359" s="1616" t="s">
        <v>91</v>
      </c>
      <c r="AK359" s="1616"/>
      <c r="AL359" s="1619"/>
      <c r="AM359" s="247" t="str">
        <f t="shared" si="216"/>
        <v/>
      </c>
      <c r="AN359" s="247" t="str">
        <f t="shared" si="217"/>
        <v/>
      </c>
      <c r="AO359" s="247" t="str">
        <f t="shared" si="218"/>
        <v/>
      </c>
      <c r="AP359" s="247" t="str">
        <f t="shared" si="219"/>
        <v/>
      </c>
      <c r="AQ359" s="42">
        <f t="shared" si="238"/>
        <v>1</v>
      </c>
      <c r="AR359" s="42">
        <f t="shared" si="239"/>
        <v>1</v>
      </c>
      <c r="AS359" s="42">
        <f t="shared" si="240"/>
        <v>1</v>
      </c>
      <c r="AT359" s="42">
        <f t="shared" si="241"/>
        <v>1</v>
      </c>
      <c r="AU359" s="247" t="str">
        <f t="shared" si="220"/>
        <v/>
      </c>
      <c r="AV359" s="247" t="str">
        <f t="shared" si="221"/>
        <v/>
      </c>
    </row>
    <row r="360" spans="1:48" ht="15" x14ac:dyDescent="0.2">
      <c r="A360" s="418" t="s">
        <v>3170</v>
      </c>
      <c r="B360" s="419"/>
      <c r="C360" s="420" t="s">
        <v>3171</v>
      </c>
      <c r="D360" s="425"/>
      <c r="E360" s="1348"/>
      <c r="F360" s="1348"/>
      <c r="G360" s="1352"/>
      <c r="H360" s="1295"/>
      <c r="I360" s="420"/>
      <c r="J360" s="441"/>
      <c r="K360" s="441"/>
      <c r="L360" s="441"/>
      <c r="M360" s="442"/>
      <c r="N360" s="422"/>
      <c r="O360" s="1752"/>
      <c r="P360" s="1608"/>
      <c r="Q360" s="1596"/>
      <c r="R360" s="1596"/>
      <c r="S360" s="1597"/>
      <c r="T360" s="1595"/>
      <c r="U360" s="1744"/>
      <c r="V360" s="1598"/>
      <c r="W360" s="1598"/>
      <c r="X360" s="1598"/>
      <c r="Y360" s="1598"/>
      <c r="Z360" s="1599"/>
      <c r="AA360" s="443"/>
      <c r="AB360" s="444"/>
      <c r="AC360" s="444"/>
      <c r="AD360" s="1595"/>
      <c r="AE360" s="1597"/>
      <c r="AF360" s="1595"/>
      <c r="AG360" s="1748"/>
      <c r="AH360" s="1749"/>
      <c r="AI360" s="1627"/>
      <c r="AJ360" s="1628"/>
      <c r="AK360" s="1628"/>
      <c r="AL360" s="1629"/>
      <c r="AM360" s="247"/>
      <c r="AN360" s="247"/>
      <c r="AO360" s="247"/>
      <c r="AP360" s="247"/>
      <c r="AU360" s="247" t="str">
        <f t="shared" si="220"/>
        <v/>
      </c>
      <c r="AV360" s="247" t="str">
        <f t="shared" si="221"/>
        <v/>
      </c>
    </row>
    <row r="361" spans="1:48" x14ac:dyDescent="0.2">
      <c r="A361" s="450" t="s">
        <v>681</v>
      </c>
      <c r="B361" s="429" t="s">
        <v>1961</v>
      </c>
      <c r="C361" s="430" t="s">
        <v>5461</v>
      </c>
      <c r="D361" s="1349" t="s">
        <v>4811</v>
      </c>
      <c r="E361" s="1350" t="s">
        <v>5419</v>
      </c>
      <c r="F361" s="1350" t="s">
        <v>2794</v>
      </c>
      <c r="G361" s="1351" t="s">
        <v>5555</v>
      </c>
      <c r="H361" s="1342" t="s">
        <v>1327</v>
      </c>
      <c r="I361" s="432" t="s">
        <v>1545</v>
      </c>
      <c r="J361" s="431"/>
      <c r="K361" s="431"/>
      <c r="L361" s="431"/>
      <c r="M361" s="433"/>
      <c r="N361" s="434" t="s">
        <v>2781</v>
      </c>
      <c r="O361" s="1743" t="str">
        <f>VLOOKUP(B361,code_famille_scénario,2)</f>
        <v>Divulgation acccidentelle de courriel, par erreur d'adressage</v>
      </c>
      <c r="P361" s="435">
        <v>1</v>
      </c>
      <c r="Q361" s="1595" t="s">
        <v>6403</v>
      </c>
      <c r="R361" s="1595" t="s">
        <v>4811</v>
      </c>
      <c r="S361" s="1595" t="str">
        <f>Classif!E10</f>
        <v/>
      </c>
      <c r="T361" s="1595">
        <f>VLOOKUP(H361&amp;"."&amp;I361,Tab_event,4)</f>
        <v>3</v>
      </c>
      <c r="U361" s="1744" t="str">
        <f>IF(AND(NOT(S361=""),NOT(T361="")),INDEX(base_g,5-S361,T361),"")</f>
        <v/>
      </c>
      <c r="V361" s="1745">
        <v>1</v>
      </c>
      <c r="W361" s="1745">
        <f>S11C05</f>
        <v>1</v>
      </c>
      <c r="X361" s="1745">
        <v>1</v>
      </c>
      <c r="Y361" s="1745">
        <v>1</v>
      </c>
      <c r="Z361" s="1746">
        <v>0</v>
      </c>
      <c r="AA361" s="1747"/>
      <c r="AB361" s="1748"/>
      <c r="AC361" s="1748"/>
      <c r="AD361" s="1595" t="str">
        <f t="shared" si="222"/>
        <v/>
      </c>
      <c r="AE361" s="1595">
        <f>IF(OR(Q361="",T361=""),"",IF(Q361="A",INDEX(base_p,4,W361+7*(T361-1)),IF(Q361="E",INDEX(base_p,15,W361+7*(T361-1)),INDEX(base_p,27-V361,W361+7*(T361-1)))))</f>
        <v>3</v>
      </c>
      <c r="AF361" s="1595" t="str">
        <f>IF(AT361=1,IF(IndG=1,U361,IF(AND(OR(NOT(AD361=""),NOT(AB361="")),OR(NOT(AE361=""),NOT(AC361="")),AT361=1),INDEX(base_g,5-IF(AB361="",AD361,AB361),IF(AC361="",AE361,AC361)),"")),0)</f>
        <v/>
      </c>
      <c r="AG361" s="1748"/>
      <c r="AH361" s="1749" t="str">
        <f t="shared" si="223"/>
        <v/>
      </c>
      <c r="AI361" s="1615"/>
      <c r="AJ361" s="1621" t="s">
        <v>1597</v>
      </c>
      <c r="AK361" s="1618"/>
      <c r="AL361" s="1619"/>
      <c r="AM361" s="247" t="str">
        <f t="shared" si="216"/>
        <v/>
      </c>
      <c r="AN361" s="247" t="str">
        <f t="shared" si="217"/>
        <v/>
      </c>
      <c r="AO361" s="247" t="str">
        <f t="shared" si="218"/>
        <v/>
      </c>
      <c r="AP361" s="247" t="str">
        <f t="shared" si="219"/>
        <v/>
      </c>
      <c r="AQ361" s="42">
        <f>VLOOKUP(LEFT(C361,3),Tab_classif_data,6)</f>
        <v>1</v>
      </c>
      <c r="AR361" s="42">
        <f>VLOOKUP(G361,select_vul_data,2)</f>
        <v>1</v>
      </c>
      <c r="AS361" s="42">
        <f>VLOOKUP(H361&amp;"."&amp;I361,select_men,5)</f>
        <v>1</v>
      </c>
      <c r="AT361" s="42">
        <f>P361*AQ361*AR361*AS361</f>
        <v>1</v>
      </c>
      <c r="AU361" s="247" t="str">
        <f t="shared" si="220"/>
        <v/>
      </c>
      <c r="AV361" s="247" t="str">
        <f t="shared" si="221"/>
        <v/>
      </c>
    </row>
    <row r="362" spans="1:48" ht="24" x14ac:dyDescent="0.2">
      <c r="A362" s="450" t="s">
        <v>682</v>
      </c>
      <c r="B362" s="429" t="s">
        <v>1355</v>
      </c>
      <c r="C362" s="430" t="s">
        <v>5461</v>
      </c>
      <c r="D362" s="1349" t="s">
        <v>4811</v>
      </c>
      <c r="E362" s="1350" t="s">
        <v>5419</v>
      </c>
      <c r="F362" s="1350" t="s">
        <v>2794</v>
      </c>
      <c r="G362" s="1351" t="s">
        <v>5555</v>
      </c>
      <c r="H362" s="1342" t="s">
        <v>1328</v>
      </c>
      <c r="I362" s="432" t="s">
        <v>1305</v>
      </c>
      <c r="J362" s="431"/>
      <c r="K362" s="431"/>
      <c r="L362" s="431"/>
      <c r="M362" s="433"/>
      <c r="N362" s="434" t="s">
        <v>6403</v>
      </c>
      <c r="O362" s="1743" t="str">
        <f>VLOOKUP(B362,code_famille_scénario,2)&amp;VLOOKUP(C362,code_actif,2)&amp;", par "&amp;VLOOKUP(N362,code_acteur,2)</f>
        <v>Divulgation volontaire de courrier électronique en cours d'envoi ou de réception, par un membre du personnel d'exploitation</v>
      </c>
      <c r="P362" s="435">
        <v>1</v>
      </c>
      <c r="Q362" s="1595" t="s">
        <v>1299</v>
      </c>
      <c r="R362" s="1595" t="s">
        <v>4811</v>
      </c>
      <c r="S362" s="1595" t="str">
        <f>Classif!E10</f>
        <v/>
      </c>
      <c r="T362" s="1595">
        <f>VLOOKUP(H362&amp;"."&amp;I362,Tab_event,4)</f>
        <v>3</v>
      </c>
      <c r="U362" s="1744" t="str">
        <f>IF(AND(NOT(S362=""),NOT(T362="")),INDEX(base_g,5-S362,T362),"")</f>
        <v/>
      </c>
      <c r="V362" s="1745">
        <v>1</v>
      </c>
      <c r="W362" s="1745">
        <f>S11C05</f>
        <v>1</v>
      </c>
      <c r="X362" s="1745">
        <v>1</v>
      </c>
      <c r="Y362" s="1745">
        <v>1</v>
      </c>
      <c r="Z362" s="1746">
        <v>0</v>
      </c>
      <c r="AA362" s="1747"/>
      <c r="AB362" s="1748"/>
      <c r="AC362" s="1748"/>
      <c r="AD362" s="1595" t="str">
        <f t="shared" si="222"/>
        <v/>
      </c>
      <c r="AE362" s="1595">
        <f>IF(OR(Q362="",T362=""),"",IF(Q362="A",INDEX(base_p,4,W362+7*(T362-1)),IF(Q362="E",INDEX(base_p,15,W362+7*(T362-1)),INDEX(base_p,27-V362,W362+7*(T362-1)))))</f>
        <v>3</v>
      </c>
      <c r="AF362" s="1595" t="str">
        <f>IF(AT362=1,IF(IndG=1,U362,IF(AND(OR(NOT(AD362=""),NOT(AB362="")),OR(NOT(AE362=""),NOT(AC362="")),AT362=1),INDEX(base_g,5-IF(AB362="",AD362,AB362),IF(AC362="",AE362,AC362)),"")),0)</f>
        <v/>
      </c>
      <c r="AG362" s="1748"/>
      <c r="AH362" s="1749" t="str">
        <f t="shared" si="223"/>
        <v/>
      </c>
      <c r="AI362" s="1615"/>
      <c r="AJ362" s="1621" t="s">
        <v>1597</v>
      </c>
      <c r="AK362" s="1618"/>
      <c r="AL362" s="1619"/>
      <c r="AM362" s="247" t="str">
        <f t="shared" si="216"/>
        <v/>
      </c>
      <c r="AN362" s="247" t="str">
        <f t="shared" si="217"/>
        <v/>
      </c>
      <c r="AO362" s="247" t="str">
        <f t="shared" si="218"/>
        <v/>
      </c>
      <c r="AP362" s="247" t="str">
        <f t="shared" si="219"/>
        <v/>
      </c>
      <c r="AQ362" s="42">
        <f>VLOOKUP(LEFT(C362,3),Tab_classif_data,6)</f>
        <v>1</v>
      </c>
      <c r="AR362" s="42">
        <f>VLOOKUP(G362,select_vul_data,2)</f>
        <v>1</v>
      </c>
      <c r="AS362" s="42">
        <f>VLOOKUP(H362&amp;"."&amp;I362,select_men,5)</f>
        <v>1</v>
      </c>
      <c r="AT362" s="42">
        <f>P362*AQ362*AR362*AS362</f>
        <v>1</v>
      </c>
      <c r="AU362" s="247" t="str">
        <f t="shared" si="220"/>
        <v/>
      </c>
      <c r="AV362" s="247" t="str">
        <f t="shared" si="221"/>
        <v/>
      </c>
    </row>
    <row r="363" spans="1:48" ht="24" x14ac:dyDescent="0.2">
      <c r="A363" s="450" t="s">
        <v>683</v>
      </c>
      <c r="B363" s="429" t="s">
        <v>1355</v>
      </c>
      <c r="C363" s="430" t="s">
        <v>5461</v>
      </c>
      <c r="D363" s="1349" t="s">
        <v>4811</v>
      </c>
      <c r="E363" s="1350" t="s">
        <v>5419</v>
      </c>
      <c r="F363" s="1350" t="s">
        <v>2794</v>
      </c>
      <c r="G363" s="1351" t="s">
        <v>5555</v>
      </c>
      <c r="H363" s="1342" t="s">
        <v>1328</v>
      </c>
      <c r="I363" s="432" t="s">
        <v>1305</v>
      </c>
      <c r="J363" s="431"/>
      <c r="K363" s="431"/>
      <c r="L363" s="431"/>
      <c r="M363" s="433"/>
      <c r="N363" s="434" t="s">
        <v>1299</v>
      </c>
      <c r="O363" s="1743" t="str">
        <f>VLOOKUP(B363,code_famille_scénario,2)&amp;VLOOKUP(C363,code_actif,2)&amp;", par "&amp;VLOOKUP(N363,code_acteur,2)</f>
        <v>Divulgation volontaire de courrier électronique en cours d'envoi ou de réception, par un membre du personnel de maintenance</v>
      </c>
      <c r="P363" s="435">
        <v>1</v>
      </c>
      <c r="Q363" s="1595" t="s">
        <v>1299</v>
      </c>
      <c r="R363" s="1595" t="s">
        <v>4811</v>
      </c>
      <c r="S363" s="1595" t="str">
        <f>Classif!E10</f>
        <v/>
      </c>
      <c r="T363" s="1595">
        <f>VLOOKUP(H363&amp;"."&amp;I363,Tab_event,4)</f>
        <v>3</v>
      </c>
      <c r="U363" s="1744" t="str">
        <f>IF(AND(NOT(S363=""),NOT(T363="")),INDEX(base_g,5-S363,T363),"")</f>
        <v/>
      </c>
      <c r="V363" s="1745">
        <v>1</v>
      </c>
      <c r="W363" s="1745">
        <f>S11C05</f>
        <v>1</v>
      </c>
      <c r="X363" s="1745">
        <v>1</v>
      </c>
      <c r="Y363" s="1745">
        <v>1</v>
      </c>
      <c r="Z363" s="1746">
        <v>0</v>
      </c>
      <c r="AA363" s="1747"/>
      <c r="AB363" s="1748"/>
      <c r="AC363" s="1748"/>
      <c r="AD363" s="1595" t="str">
        <f t="shared" si="222"/>
        <v/>
      </c>
      <c r="AE363" s="1595">
        <f>IF(OR(Q363="",T363=""),"",IF(Q363="A",INDEX(base_p,4,W363+7*(T363-1)),IF(Q363="E",INDEX(base_p,15,W363+7*(T363-1)),INDEX(base_p,27-V363,W363+7*(T363-1)))))</f>
        <v>3</v>
      </c>
      <c r="AF363" s="1595" t="str">
        <f>IF(AT363=1,IF(IndG=1,U363,IF(AND(OR(NOT(AD363=""),NOT(AB363="")),OR(NOT(AE363=""),NOT(AC363="")),AT363=1),INDEX(base_g,5-IF(AB363="",AD363,AB363),IF(AC363="",AE363,AC363)),"")),0)</f>
        <v/>
      </c>
      <c r="AG363" s="1748"/>
      <c r="AH363" s="1749" t="str">
        <f t="shared" si="223"/>
        <v/>
      </c>
      <c r="AI363" s="1615"/>
      <c r="AJ363" s="1621" t="s">
        <v>1597</v>
      </c>
      <c r="AK363" s="1618"/>
      <c r="AL363" s="1619"/>
      <c r="AM363" s="247" t="str">
        <f t="shared" si="216"/>
        <v/>
      </c>
      <c r="AN363" s="247" t="str">
        <f t="shared" si="217"/>
        <v/>
      </c>
      <c r="AO363" s="247" t="str">
        <f t="shared" si="218"/>
        <v/>
      </c>
      <c r="AP363" s="247" t="str">
        <f t="shared" si="219"/>
        <v/>
      </c>
      <c r="AQ363" s="42">
        <f>VLOOKUP(LEFT(C363,3),Tab_classif_data,6)</f>
        <v>1</v>
      </c>
      <c r="AR363" s="42">
        <f>VLOOKUP(G363,select_vul_data,2)</f>
        <v>1</v>
      </c>
      <c r="AS363" s="42">
        <f>VLOOKUP(H363&amp;"."&amp;I363,select_men,5)</f>
        <v>1</v>
      </c>
      <c r="AT363" s="42">
        <f>P363*AQ363*AR363*AS363</f>
        <v>1</v>
      </c>
      <c r="AU363" s="247" t="str">
        <f t="shared" si="220"/>
        <v/>
      </c>
      <c r="AV363" s="247" t="str">
        <f t="shared" si="221"/>
        <v/>
      </c>
    </row>
    <row r="364" spans="1:48" ht="24" x14ac:dyDescent="0.2">
      <c r="A364" s="450" t="s">
        <v>684</v>
      </c>
      <c r="B364" s="429" t="s">
        <v>1355</v>
      </c>
      <c r="C364" s="430" t="s">
        <v>5461</v>
      </c>
      <c r="D364" s="1349" t="s">
        <v>4811</v>
      </c>
      <c r="E364" s="1350" t="s">
        <v>5419</v>
      </c>
      <c r="F364" s="1350" t="s">
        <v>2794</v>
      </c>
      <c r="G364" s="1351" t="s">
        <v>5555</v>
      </c>
      <c r="H364" s="1342" t="s">
        <v>1328</v>
      </c>
      <c r="I364" s="432" t="s">
        <v>1305</v>
      </c>
      <c r="J364" s="431"/>
      <c r="K364" s="431"/>
      <c r="L364" s="431"/>
      <c r="M364" s="433"/>
      <c r="N364" s="434" t="s">
        <v>3518</v>
      </c>
      <c r="O364" s="1743" t="str">
        <f>VLOOKUP(B364,code_famille_scénario,2)&amp;VLOOKUP(C364,code_actif,2)&amp;", par "&amp;VLOOKUP(N364,code_acteur,2)</f>
        <v>Divulgation volontaire de courrier électronique en cours d'envoi ou de réception, par un membre du personnel non autorisé</v>
      </c>
      <c r="P364" s="435">
        <v>1</v>
      </c>
      <c r="Q364" s="1595" t="s">
        <v>1299</v>
      </c>
      <c r="R364" s="1595" t="s">
        <v>4811</v>
      </c>
      <c r="S364" s="1595" t="str">
        <f>Classif!E10</f>
        <v/>
      </c>
      <c r="T364" s="1595">
        <f>VLOOKUP(H364&amp;"."&amp;I364,Tab_event,4)</f>
        <v>3</v>
      </c>
      <c r="U364" s="1744" t="str">
        <f>IF(AND(NOT(S364=""),NOT(T364="")),INDEX(base_g,5-S364,T364),"")</f>
        <v/>
      </c>
      <c r="V364" s="1745">
        <v>1</v>
      </c>
      <c r="W364" s="1745">
        <f>S11C05</f>
        <v>1</v>
      </c>
      <c r="X364" s="1745">
        <v>1</v>
      </c>
      <c r="Y364" s="1745">
        <v>1</v>
      </c>
      <c r="Z364" s="1746">
        <v>0</v>
      </c>
      <c r="AA364" s="1747"/>
      <c r="AB364" s="1748"/>
      <c r="AC364" s="1748"/>
      <c r="AD364" s="1595" t="str">
        <f t="shared" si="222"/>
        <v/>
      </c>
      <c r="AE364" s="1595">
        <f>IF(OR(Q364="",T364=""),"",IF(Q364="A",INDEX(base_p,4,W364+7*(T364-1)),IF(Q364="E",INDEX(base_p,15,W364+7*(T364-1)),INDEX(base_p,27-V364,W364+7*(T364-1)))))</f>
        <v>3</v>
      </c>
      <c r="AF364" s="1595" t="str">
        <f>IF(AT364=1,IF(IndG=1,U364,IF(AND(OR(NOT(AD364=""),NOT(AB364="")),OR(NOT(AE364=""),NOT(AC364="")),AT364=1),INDEX(base_g,5-IF(AB364="",AD364,AB364),IF(AC364="",AE364,AC364)),"")),0)</f>
        <v/>
      </c>
      <c r="AG364" s="1748"/>
      <c r="AH364" s="1749" t="str">
        <f t="shared" si="223"/>
        <v/>
      </c>
      <c r="AI364" s="1615"/>
      <c r="AJ364" s="1621" t="s">
        <v>1597</v>
      </c>
      <c r="AK364" s="1618"/>
      <c r="AL364" s="1619"/>
      <c r="AM364" s="247" t="str">
        <f t="shared" si="216"/>
        <v/>
      </c>
      <c r="AN364" s="247" t="str">
        <f t="shared" si="217"/>
        <v/>
      </c>
      <c r="AO364" s="247" t="str">
        <f t="shared" si="218"/>
        <v/>
      </c>
      <c r="AP364" s="247" t="str">
        <f t="shared" si="219"/>
        <v/>
      </c>
      <c r="AQ364" s="42">
        <f>VLOOKUP(LEFT(C364,3),Tab_classif_data,6)</f>
        <v>1</v>
      </c>
      <c r="AR364" s="42">
        <f>VLOOKUP(G364,select_vul_data,2)</f>
        <v>1</v>
      </c>
      <c r="AS364" s="42">
        <f>VLOOKUP(H364&amp;"."&amp;I364,select_men,5)</f>
        <v>1</v>
      </c>
      <c r="AT364" s="42">
        <f>P364*AQ364*AR364*AS364</f>
        <v>1</v>
      </c>
      <c r="AU364" s="247" t="str">
        <f t="shared" si="220"/>
        <v/>
      </c>
      <c r="AV364" s="247" t="str">
        <f t="shared" si="221"/>
        <v/>
      </c>
    </row>
    <row r="365" spans="1:48" ht="15" x14ac:dyDescent="0.2">
      <c r="A365" s="418" t="s">
        <v>3172</v>
      </c>
      <c r="B365" s="419"/>
      <c r="C365" s="420" t="s">
        <v>3173</v>
      </c>
      <c r="D365" s="425"/>
      <c r="E365" s="1348"/>
      <c r="F365" s="1348"/>
      <c r="G365" s="1352"/>
      <c r="H365" s="1295"/>
      <c r="I365" s="420"/>
      <c r="J365" s="441"/>
      <c r="K365" s="441"/>
      <c r="L365" s="441"/>
      <c r="M365" s="442"/>
      <c r="N365" s="422"/>
      <c r="O365" s="1752"/>
      <c r="P365" s="1608"/>
      <c r="Q365" s="1596"/>
      <c r="R365" s="1596"/>
      <c r="S365" s="1597"/>
      <c r="T365" s="1595"/>
      <c r="U365" s="1744"/>
      <c r="V365" s="1598"/>
      <c r="W365" s="1598"/>
      <c r="X365" s="1598"/>
      <c r="Y365" s="1598"/>
      <c r="Z365" s="1599"/>
      <c r="AA365" s="443"/>
      <c r="AB365" s="444"/>
      <c r="AC365" s="444"/>
      <c r="AD365" s="1595"/>
      <c r="AE365" s="1597"/>
      <c r="AF365" s="1595"/>
      <c r="AG365" s="1748"/>
      <c r="AH365" s="1749"/>
      <c r="AI365" s="1627"/>
      <c r="AJ365" s="1628"/>
      <c r="AK365" s="1628"/>
      <c r="AL365" s="1629"/>
      <c r="AM365" s="247" t="str">
        <f t="shared" si="216"/>
        <v/>
      </c>
      <c r="AN365" s="247" t="str">
        <f t="shared" si="217"/>
        <v/>
      </c>
      <c r="AO365" s="247" t="str">
        <f t="shared" si="218"/>
        <v/>
      </c>
      <c r="AP365" s="247" t="str">
        <f t="shared" si="219"/>
        <v/>
      </c>
      <c r="AU365" s="247" t="str">
        <f t="shared" si="220"/>
        <v/>
      </c>
      <c r="AV365" s="247" t="str">
        <f t="shared" si="221"/>
        <v/>
      </c>
    </row>
    <row r="366" spans="1:48" ht="25.5" x14ac:dyDescent="0.2">
      <c r="A366" s="450" t="s">
        <v>685</v>
      </c>
      <c r="B366" s="429" t="s">
        <v>1776</v>
      </c>
      <c r="C366" s="430" t="s">
        <v>5464</v>
      </c>
      <c r="D366" s="1349" t="s">
        <v>4811</v>
      </c>
      <c r="E366" s="1355" t="s">
        <v>5160</v>
      </c>
      <c r="F366" s="1350" t="s">
        <v>2794</v>
      </c>
      <c r="G366" s="1351" t="s">
        <v>5555</v>
      </c>
      <c r="H366" s="1342" t="s">
        <v>1327</v>
      </c>
      <c r="I366" s="432" t="s">
        <v>1545</v>
      </c>
      <c r="J366" s="431"/>
      <c r="K366" s="431"/>
      <c r="L366" s="431"/>
      <c r="M366" s="433"/>
      <c r="N366" s="434"/>
      <c r="O366" s="1743" t="str">
        <f>VLOOKUP(B366,code_famille_scénario,2)</f>
        <v>Divulgation acccidentelle de courrier, par erreur d'adressage</v>
      </c>
      <c r="P366" s="435">
        <v>1</v>
      </c>
      <c r="Q366" s="1595" t="s">
        <v>1431</v>
      </c>
      <c r="R366" s="1595" t="s">
        <v>4811</v>
      </c>
      <c r="S366" s="1595" t="str">
        <f>Classif!E11</f>
        <v/>
      </c>
      <c r="T366" s="1595">
        <f t="shared" ref="T366:T372" si="242">VLOOKUP(H366&amp;"."&amp;I366,Tab_event,4)</f>
        <v>3</v>
      </c>
      <c r="U366" s="1744" t="str">
        <f t="shared" ref="U366:U372" si="243">IF(AND(NOT(S366=""),NOT(T366="")),INDEX(base_g,5-S366,T366),"")</f>
        <v/>
      </c>
      <c r="V366" s="1745">
        <v>1</v>
      </c>
      <c r="W366" s="1745">
        <v>1</v>
      </c>
      <c r="X366" s="1745">
        <v>1</v>
      </c>
      <c r="Y366" s="1745">
        <v>1</v>
      </c>
      <c r="Z366" s="1746">
        <v>0</v>
      </c>
      <c r="AA366" s="1747"/>
      <c r="AB366" s="1748"/>
      <c r="AC366" s="1748"/>
      <c r="AD366" s="1595" t="str">
        <f t="shared" si="222"/>
        <v/>
      </c>
      <c r="AE366" s="1595">
        <f t="shared" ref="AE366:AE372" si="244">IF(OR(Q366="",T366=""),"",IF(Q366="A",INDEX(base_p,4,W366+7*(T366-1)),IF(Q366="E",INDEX(base_p,15,W366+7*(T366-1)),INDEX(base_p,27-V366,W366+7*(T366-1)))))</f>
        <v>3</v>
      </c>
      <c r="AF366" s="1595" t="str">
        <f t="shared" ref="AF366:AF372" si="245">IF(AT366=1,IF(IndG=1,U366,IF(AND(OR(NOT(AD366=""),NOT(AB366="")),OR(NOT(AE366=""),NOT(AC366="")),AT366=1),INDEX(base_g,5-IF(AB366="",AD366,AB366),IF(AC366="",AE366,AC366)),"")),0)</f>
        <v/>
      </c>
      <c r="AG366" s="1748"/>
      <c r="AH366" s="1749" t="str">
        <f t="shared" si="223"/>
        <v/>
      </c>
      <c r="AI366" s="1615"/>
      <c r="AJ366" s="1621"/>
      <c r="AK366" s="1618"/>
      <c r="AL366" s="1619"/>
      <c r="AM366" s="247" t="str">
        <f t="shared" si="216"/>
        <v/>
      </c>
      <c r="AN366" s="247" t="str">
        <f t="shared" si="217"/>
        <v/>
      </c>
      <c r="AO366" s="247" t="str">
        <f t="shared" si="218"/>
        <v/>
      </c>
      <c r="AP366" s="247" t="str">
        <f t="shared" si="219"/>
        <v/>
      </c>
      <c r="AQ366" s="42">
        <f t="shared" ref="AQ366:AQ372" si="246">VLOOKUP(LEFT(C366,3),Tab_classif_data,6)</f>
        <v>1</v>
      </c>
      <c r="AR366" s="42">
        <f t="shared" ref="AR366:AR372" si="247">VLOOKUP(G366,select_vul_data,2)</f>
        <v>1</v>
      </c>
      <c r="AS366" s="42">
        <f t="shared" ref="AS366:AS372" si="248">VLOOKUP(H366&amp;"."&amp;I366,select_men,5)</f>
        <v>1</v>
      </c>
      <c r="AT366" s="42">
        <f t="shared" ref="AT366:AT372" si="249">P366*AQ366*AR366*AS366</f>
        <v>1</v>
      </c>
      <c r="AU366" s="247" t="str">
        <f t="shared" si="220"/>
        <v/>
      </c>
      <c r="AV366" s="247" t="str">
        <f t="shared" si="221"/>
        <v/>
      </c>
    </row>
    <row r="367" spans="1:48" x14ac:dyDescent="0.2">
      <c r="A367" s="450" t="s">
        <v>686</v>
      </c>
      <c r="B367" s="429" t="s">
        <v>46</v>
      </c>
      <c r="C367" s="430" t="s">
        <v>5464</v>
      </c>
      <c r="D367" s="1349" t="s">
        <v>4811</v>
      </c>
      <c r="E367" s="1350" t="s">
        <v>7505</v>
      </c>
      <c r="F367" s="1350" t="s">
        <v>2794</v>
      </c>
      <c r="G367" s="1351" t="s">
        <v>5555</v>
      </c>
      <c r="H367" s="1342" t="s">
        <v>1327</v>
      </c>
      <c r="I367" s="432" t="s">
        <v>1545</v>
      </c>
      <c r="J367" s="431"/>
      <c r="K367" s="431"/>
      <c r="L367" s="431"/>
      <c r="M367" s="433"/>
      <c r="N367" s="434"/>
      <c r="O367" s="1743" t="str">
        <f>VLOOKUP(B367,code_famille_scénario,2)</f>
        <v>Divulgation acccidentelle de télécopie, par erreur d'adressage</v>
      </c>
      <c r="P367" s="435">
        <v>1</v>
      </c>
      <c r="Q367" s="1595" t="s">
        <v>1431</v>
      </c>
      <c r="R367" s="1595" t="s">
        <v>4811</v>
      </c>
      <c r="S367" s="1595" t="str">
        <f>Classif!E11</f>
        <v/>
      </c>
      <c r="T367" s="1595">
        <f t="shared" si="242"/>
        <v>3</v>
      </c>
      <c r="U367" s="1744" t="str">
        <f t="shared" si="243"/>
        <v/>
      </c>
      <c r="V367" s="1745">
        <v>1</v>
      </c>
      <c r="W367" s="1745">
        <f>S02D05</f>
        <v>1</v>
      </c>
      <c r="X367" s="1745">
        <v>1</v>
      </c>
      <c r="Y367" s="1745">
        <v>1</v>
      </c>
      <c r="Z367" s="1746">
        <v>0</v>
      </c>
      <c r="AA367" s="1747"/>
      <c r="AB367" s="1748"/>
      <c r="AC367" s="1748"/>
      <c r="AD367" s="1595" t="str">
        <f t="shared" si="222"/>
        <v/>
      </c>
      <c r="AE367" s="1595">
        <f t="shared" si="244"/>
        <v>3</v>
      </c>
      <c r="AF367" s="1595" t="str">
        <f t="shared" si="245"/>
        <v/>
      </c>
      <c r="AG367" s="1748"/>
      <c r="AH367" s="1749" t="str">
        <f t="shared" si="223"/>
        <v/>
      </c>
      <c r="AI367" s="1615"/>
      <c r="AJ367" s="1621" t="s">
        <v>3125</v>
      </c>
      <c r="AK367" s="1618"/>
      <c r="AL367" s="1619"/>
      <c r="AM367" s="247" t="str">
        <f t="shared" si="216"/>
        <v/>
      </c>
      <c r="AN367" s="247" t="str">
        <f t="shared" si="217"/>
        <v/>
      </c>
      <c r="AO367" s="247" t="str">
        <f t="shared" si="218"/>
        <v/>
      </c>
      <c r="AP367" s="247" t="str">
        <f t="shared" si="219"/>
        <v/>
      </c>
      <c r="AQ367" s="42">
        <f t="shared" si="246"/>
        <v>1</v>
      </c>
      <c r="AR367" s="42">
        <f t="shared" si="247"/>
        <v>1</v>
      </c>
      <c r="AS367" s="42">
        <f t="shared" si="248"/>
        <v>1</v>
      </c>
      <c r="AT367" s="42">
        <f t="shared" si="249"/>
        <v>1</v>
      </c>
      <c r="AU367" s="247" t="str">
        <f t="shared" si="220"/>
        <v/>
      </c>
      <c r="AV367" s="247" t="str">
        <f t="shared" si="221"/>
        <v/>
      </c>
    </row>
    <row r="368" spans="1:48" ht="25.5" x14ac:dyDescent="0.2">
      <c r="A368" s="450" t="s">
        <v>687</v>
      </c>
      <c r="B368" s="429" t="s">
        <v>1066</v>
      </c>
      <c r="C368" s="430" t="s">
        <v>5464</v>
      </c>
      <c r="D368" s="1349" t="s">
        <v>4811</v>
      </c>
      <c r="E368" s="1355" t="s">
        <v>5160</v>
      </c>
      <c r="F368" s="1350" t="s">
        <v>4498</v>
      </c>
      <c r="G368" s="1351" t="s">
        <v>5555</v>
      </c>
      <c r="H368" s="1342" t="s">
        <v>1329</v>
      </c>
      <c r="I368" s="432" t="s">
        <v>1305</v>
      </c>
      <c r="J368" s="431" t="s">
        <v>5465</v>
      </c>
      <c r="K368" s="431"/>
      <c r="L368" s="431"/>
      <c r="M368" s="433" t="s">
        <v>1068</v>
      </c>
      <c r="N368" s="434"/>
      <c r="O368" s="1743" t="str">
        <f>VLOOKUP(B368,code_famille_scénario,2)&amp;", "&amp;VLOOKUP(M368,code_process,2)&amp;", "&amp;VLOOKUP(J368,Code_lieu,2)</f>
        <v>Vol de courrier, en cours de collecte ou de diffusion, dans le local du courrier</v>
      </c>
      <c r="P368" s="435">
        <v>1</v>
      </c>
      <c r="Q368" s="1595" t="s">
        <v>1299</v>
      </c>
      <c r="R368" s="1595" t="s">
        <v>4811</v>
      </c>
      <c r="S368" s="1595" t="str">
        <f>Classif!E11</f>
        <v/>
      </c>
      <c r="T368" s="1595">
        <f t="shared" si="242"/>
        <v>2</v>
      </c>
      <c r="U368" s="1744" t="str">
        <f t="shared" si="243"/>
        <v/>
      </c>
      <c r="V368" s="1745">
        <v>1</v>
      </c>
      <c r="W368" s="1745">
        <f>S02D04</f>
        <v>1</v>
      </c>
      <c r="X368" s="1745">
        <v>1</v>
      </c>
      <c r="Y368" s="1745">
        <v>1</v>
      </c>
      <c r="Z368" s="1746">
        <v>0</v>
      </c>
      <c r="AA368" s="1747"/>
      <c r="AB368" s="1748"/>
      <c r="AC368" s="1748"/>
      <c r="AD368" s="1595" t="str">
        <f t="shared" si="222"/>
        <v/>
      </c>
      <c r="AE368" s="1595">
        <f t="shared" si="244"/>
        <v>2</v>
      </c>
      <c r="AF368" s="1595" t="str">
        <f t="shared" si="245"/>
        <v/>
      </c>
      <c r="AG368" s="1748"/>
      <c r="AH368" s="1749" t="str">
        <f t="shared" si="223"/>
        <v/>
      </c>
      <c r="AI368" s="1615"/>
      <c r="AJ368" s="1621" t="s">
        <v>3124</v>
      </c>
      <c r="AK368" s="1618"/>
      <c r="AL368" s="1619"/>
      <c r="AM368" s="247" t="str">
        <f t="shared" si="216"/>
        <v/>
      </c>
      <c r="AN368" s="247" t="str">
        <f t="shared" si="217"/>
        <v/>
      </c>
      <c r="AO368" s="247" t="str">
        <f t="shared" si="218"/>
        <v/>
      </c>
      <c r="AP368" s="247" t="str">
        <f t="shared" si="219"/>
        <v/>
      </c>
      <c r="AQ368" s="42">
        <f t="shared" si="246"/>
        <v>1</v>
      </c>
      <c r="AR368" s="42">
        <f t="shared" si="247"/>
        <v>1</v>
      </c>
      <c r="AS368" s="42">
        <f t="shared" si="248"/>
        <v>1</v>
      </c>
      <c r="AT368" s="42">
        <f t="shared" si="249"/>
        <v>1</v>
      </c>
      <c r="AU368" s="247" t="str">
        <f t="shared" si="220"/>
        <v/>
      </c>
      <c r="AV368" s="247" t="str">
        <f t="shared" si="221"/>
        <v/>
      </c>
    </row>
    <row r="369" spans="1:48" ht="25.5" x14ac:dyDescent="0.2">
      <c r="A369" s="450" t="s">
        <v>688</v>
      </c>
      <c r="B369" s="429" t="s">
        <v>1066</v>
      </c>
      <c r="C369" s="430" t="s">
        <v>5464</v>
      </c>
      <c r="D369" s="1349" t="s">
        <v>4811</v>
      </c>
      <c r="E369" s="1355" t="s">
        <v>5160</v>
      </c>
      <c r="F369" s="1350" t="s">
        <v>4498</v>
      </c>
      <c r="G369" s="1351" t="s">
        <v>5555</v>
      </c>
      <c r="H369" s="1342" t="s">
        <v>1329</v>
      </c>
      <c r="I369" s="432" t="s">
        <v>1305</v>
      </c>
      <c r="J369" s="431" t="s">
        <v>3522</v>
      </c>
      <c r="K369" s="431"/>
      <c r="L369" s="431"/>
      <c r="M369" s="433" t="s">
        <v>1068</v>
      </c>
      <c r="N369" s="434"/>
      <c r="O369" s="1743" t="str">
        <f>VLOOKUP(B369,code_famille_scénario,2)&amp;", "&amp;VLOOKUP(M369,code_process,2)&amp;", "&amp;VLOOKUP(J369,Code_lieu,2)</f>
        <v>Vol de courrier, en cours de collecte ou de diffusion, dans les bureaux</v>
      </c>
      <c r="P369" s="435">
        <v>1</v>
      </c>
      <c r="Q369" s="1595" t="s">
        <v>1299</v>
      </c>
      <c r="R369" s="1595" t="s">
        <v>4811</v>
      </c>
      <c r="S369" s="1595" t="str">
        <f>Classif!E11</f>
        <v/>
      </c>
      <c r="T369" s="1595">
        <f t="shared" si="242"/>
        <v>2</v>
      </c>
      <c r="U369" s="1744" t="str">
        <f t="shared" si="243"/>
        <v/>
      </c>
      <c r="V369" s="1745">
        <v>1</v>
      </c>
      <c r="W369" s="1745">
        <f>S02D04</f>
        <v>1</v>
      </c>
      <c r="X369" s="1745">
        <v>1</v>
      </c>
      <c r="Y369" s="1745">
        <v>1</v>
      </c>
      <c r="Z369" s="1746">
        <v>0</v>
      </c>
      <c r="AA369" s="1747"/>
      <c r="AB369" s="1748"/>
      <c r="AC369" s="1748"/>
      <c r="AD369" s="1595" t="str">
        <f t="shared" si="222"/>
        <v/>
      </c>
      <c r="AE369" s="1595">
        <f t="shared" si="244"/>
        <v>2</v>
      </c>
      <c r="AF369" s="1595" t="str">
        <f t="shared" si="245"/>
        <v/>
      </c>
      <c r="AG369" s="1748"/>
      <c r="AH369" s="1749" t="str">
        <f t="shared" si="223"/>
        <v/>
      </c>
      <c r="AI369" s="1615"/>
      <c r="AJ369" s="1621" t="s">
        <v>3124</v>
      </c>
      <c r="AK369" s="1618"/>
      <c r="AL369" s="1619"/>
      <c r="AM369" s="247" t="str">
        <f t="shared" si="216"/>
        <v/>
      </c>
      <c r="AN369" s="247" t="str">
        <f t="shared" si="217"/>
        <v/>
      </c>
      <c r="AO369" s="247" t="str">
        <f t="shared" si="218"/>
        <v/>
      </c>
      <c r="AP369" s="247" t="str">
        <f t="shared" si="219"/>
        <v/>
      </c>
      <c r="AQ369" s="42">
        <f t="shared" si="246"/>
        <v>1</v>
      </c>
      <c r="AR369" s="42">
        <f t="shared" si="247"/>
        <v>1</v>
      </c>
      <c r="AS369" s="42">
        <f t="shared" si="248"/>
        <v>1</v>
      </c>
      <c r="AT369" s="42">
        <f t="shared" si="249"/>
        <v>1</v>
      </c>
      <c r="AU369" s="247" t="str">
        <f t="shared" si="220"/>
        <v/>
      </c>
      <c r="AV369" s="247" t="str">
        <f t="shared" si="221"/>
        <v/>
      </c>
    </row>
    <row r="370" spans="1:48" x14ac:dyDescent="0.2">
      <c r="A370" s="450" t="s">
        <v>689</v>
      </c>
      <c r="B370" s="429" t="s">
        <v>45</v>
      </c>
      <c r="C370" s="430" t="s">
        <v>5464</v>
      </c>
      <c r="D370" s="1349" t="s">
        <v>4811</v>
      </c>
      <c r="E370" s="1350" t="s">
        <v>7505</v>
      </c>
      <c r="F370" s="1350" t="s">
        <v>4498</v>
      </c>
      <c r="G370" s="1351" t="s">
        <v>5555</v>
      </c>
      <c r="H370" s="1342" t="s">
        <v>1329</v>
      </c>
      <c r="I370" s="432" t="s">
        <v>1305</v>
      </c>
      <c r="J370" s="431" t="s">
        <v>2475</v>
      </c>
      <c r="K370" s="431"/>
      <c r="L370" s="431"/>
      <c r="M370" s="433"/>
      <c r="N370" s="434"/>
      <c r="O370" s="1743" t="str">
        <f>VLOOKUP(B370,code_famille_scénario,2)&amp;", "&amp;VLOOKUP(J370,Code_lieu,2)</f>
        <v>Vol ou photocopie de télécopie, dans le local de télécopie</v>
      </c>
      <c r="P370" s="435">
        <v>1</v>
      </c>
      <c r="Q370" s="1595" t="s">
        <v>1299</v>
      </c>
      <c r="R370" s="1595" t="s">
        <v>4811</v>
      </c>
      <c r="S370" s="1595" t="str">
        <f>Classif!E11</f>
        <v/>
      </c>
      <c r="T370" s="1595">
        <f t="shared" si="242"/>
        <v>2</v>
      </c>
      <c r="U370" s="1744" t="str">
        <f t="shared" si="243"/>
        <v/>
      </c>
      <c r="V370" s="1745">
        <v>1</v>
      </c>
      <c r="W370" s="1745">
        <f>S02D05</f>
        <v>1</v>
      </c>
      <c r="X370" s="1745">
        <v>1</v>
      </c>
      <c r="Y370" s="1745">
        <v>1</v>
      </c>
      <c r="Z370" s="1746">
        <v>0</v>
      </c>
      <c r="AA370" s="1747"/>
      <c r="AB370" s="1748"/>
      <c r="AC370" s="1748"/>
      <c r="AD370" s="1595" t="str">
        <f t="shared" si="222"/>
        <v/>
      </c>
      <c r="AE370" s="1595">
        <f t="shared" si="244"/>
        <v>2</v>
      </c>
      <c r="AF370" s="1595" t="str">
        <f t="shared" si="245"/>
        <v/>
      </c>
      <c r="AG370" s="1748"/>
      <c r="AH370" s="1749" t="str">
        <f t="shared" si="223"/>
        <v/>
      </c>
      <c r="AI370" s="1615"/>
      <c r="AJ370" s="1621" t="s">
        <v>3125</v>
      </c>
      <c r="AK370" s="1618"/>
      <c r="AL370" s="1619"/>
      <c r="AM370" s="247" t="str">
        <f t="shared" si="216"/>
        <v/>
      </c>
      <c r="AN370" s="247" t="str">
        <f t="shared" si="217"/>
        <v/>
      </c>
      <c r="AO370" s="247" t="str">
        <f t="shared" si="218"/>
        <v/>
      </c>
      <c r="AP370" s="247" t="str">
        <f t="shared" si="219"/>
        <v/>
      </c>
      <c r="AQ370" s="42">
        <f t="shared" si="246"/>
        <v>1</v>
      </c>
      <c r="AR370" s="42">
        <f t="shared" si="247"/>
        <v>1</v>
      </c>
      <c r="AS370" s="42">
        <f t="shared" si="248"/>
        <v>1</v>
      </c>
      <c r="AT370" s="42">
        <f t="shared" si="249"/>
        <v>1</v>
      </c>
      <c r="AU370" s="247" t="str">
        <f t="shared" si="220"/>
        <v/>
      </c>
      <c r="AV370" s="247" t="str">
        <f t="shared" si="221"/>
        <v/>
      </c>
    </row>
    <row r="371" spans="1:48" x14ac:dyDescent="0.2">
      <c r="A371" s="450" t="s">
        <v>690</v>
      </c>
      <c r="B371" s="429" t="s">
        <v>45</v>
      </c>
      <c r="C371" s="430" t="s">
        <v>5464</v>
      </c>
      <c r="D371" s="1349" t="s">
        <v>4811</v>
      </c>
      <c r="E371" s="1350" t="s">
        <v>7505</v>
      </c>
      <c r="F371" s="1350" t="s">
        <v>4498</v>
      </c>
      <c r="G371" s="1351" t="s">
        <v>5555</v>
      </c>
      <c r="H371" s="1342" t="s">
        <v>1329</v>
      </c>
      <c r="I371" s="432" t="s">
        <v>1305</v>
      </c>
      <c r="J371" s="431"/>
      <c r="K371" s="431"/>
      <c r="L371" s="431"/>
      <c r="M371" s="433" t="s">
        <v>1068</v>
      </c>
      <c r="N371" s="434"/>
      <c r="O371" s="1743" t="str">
        <f>VLOOKUP(B371,code_famille_scénario,2)&amp;", "&amp;VLOOKUP(M371,code_process,2)</f>
        <v>Vol ou photocopie de télécopie, en cours de collecte ou de diffusion</v>
      </c>
      <c r="P371" s="435">
        <v>1</v>
      </c>
      <c r="Q371" s="1595" t="s">
        <v>1299</v>
      </c>
      <c r="R371" s="1595" t="s">
        <v>4811</v>
      </c>
      <c r="S371" s="1595" t="str">
        <f>Classif!E11</f>
        <v/>
      </c>
      <c r="T371" s="1595">
        <f t="shared" si="242"/>
        <v>2</v>
      </c>
      <c r="U371" s="1744" t="str">
        <f t="shared" si="243"/>
        <v/>
      </c>
      <c r="V371" s="1745">
        <v>1</v>
      </c>
      <c r="W371" s="1745">
        <f>S02D05</f>
        <v>1</v>
      </c>
      <c r="X371" s="1745">
        <v>1</v>
      </c>
      <c r="Y371" s="1745">
        <v>1</v>
      </c>
      <c r="Z371" s="1746">
        <v>0</v>
      </c>
      <c r="AA371" s="1747"/>
      <c r="AB371" s="1748"/>
      <c r="AC371" s="1748"/>
      <c r="AD371" s="1595" t="str">
        <f t="shared" si="222"/>
        <v/>
      </c>
      <c r="AE371" s="1595">
        <f t="shared" si="244"/>
        <v>2</v>
      </c>
      <c r="AF371" s="1595" t="str">
        <f t="shared" si="245"/>
        <v/>
      </c>
      <c r="AG371" s="1748"/>
      <c r="AH371" s="1749" t="str">
        <f t="shared" si="223"/>
        <v/>
      </c>
      <c r="AI371" s="1615"/>
      <c r="AJ371" s="1621" t="s">
        <v>3125</v>
      </c>
      <c r="AK371" s="1618"/>
      <c r="AL371" s="1619"/>
      <c r="AM371" s="247" t="str">
        <f t="shared" si="216"/>
        <v/>
      </c>
      <c r="AN371" s="247" t="str">
        <f t="shared" si="217"/>
        <v/>
      </c>
      <c r="AO371" s="247" t="str">
        <f t="shared" si="218"/>
        <v/>
      </c>
      <c r="AP371" s="247" t="str">
        <f t="shared" si="219"/>
        <v/>
      </c>
      <c r="AQ371" s="42">
        <f t="shared" si="246"/>
        <v>1</v>
      </c>
      <c r="AR371" s="42">
        <f t="shared" si="247"/>
        <v>1</v>
      </c>
      <c r="AS371" s="42">
        <f t="shared" si="248"/>
        <v>1</v>
      </c>
      <c r="AT371" s="42">
        <f t="shared" si="249"/>
        <v>1</v>
      </c>
      <c r="AU371" s="247" t="str">
        <f t="shared" si="220"/>
        <v/>
      </c>
      <c r="AV371" s="247" t="str">
        <f t="shared" si="221"/>
        <v/>
      </c>
    </row>
    <row r="372" spans="1:48" ht="24" x14ac:dyDescent="0.2">
      <c r="A372" s="450" t="s">
        <v>691</v>
      </c>
      <c r="B372" s="429" t="s">
        <v>1071</v>
      </c>
      <c r="C372" s="430" t="s">
        <v>5464</v>
      </c>
      <c r="D372" s="1349" t="s">
        <v>4811</v>
      </c>
      <c r="E372" s="1350" t="s">
        <v>7505</v>
      </c>
      <c r="F372" s="1350" t="s">
        <v>2794</v>
      </c>
      <c r="G372" s="1351" t="s">
        <v>5555</v>
      </c>
      <c r="H372" s="1342" t="s">
        <v>1328</v>
      </c>
      <c r="I372" s="432" t="s">
        <v>1548</v>
      </c>
      <c r="J372" s="431"/>
      <c r="K372" s="431"/>
      <c r="L372" s="431"/>
      <c r="M372" s="433"/>
      <c r="N372" s="434"/>
      <c r="O372" s="1743" t="str">
        <f>VLOOKUP(B372,code_famille_scénario,2)</f>
        <v>Détournement de télécopie par transfert de numéro de télécopie (transfert de ligne)</v>
      </c>
      <c r="P372" s="435">
        <v>1</v>
      </c>
      <c r="Q372" s="1595" t="s">
        <v>1299</v>
      </c>
      <c r="R372" s="1595" t="s">
        <v>4811</v>
      </c>
      <c r="S372" s="1595" t="str">
        <f>Classif!E11</f>
        <v/>
      </c>
      <c r="T372" s="1595">
        <f t="shared" si="242"/>
        <v>3</v>
      </c>
      <c r="U372" s="1744" t="str">
        <f t="shared" si="243"/>
        <v/>
      </c>
      <c r="V372" s="1745">
        <v>1</v>
      </c>
      <c r="W372" s="1745">
        <f>S02D05</f>
        <v>1</v>
      </c>
      <c r="X372" s="1745">
        <v>1</v>
      </c>
      <c r="Y372" s="1745">
        <v>1</v>
      </c>
      <c r="Z372" s="1746">
        <v>0</v>
      </c>
      <c r="AA372" s="1747"/>
      <c r="AB372" s="1748"/>
      <c r="AC372" s="1748"/>
      <c r="AD372" s="1595" t="str">
        <f t="shared" si="222"/>
        <v/>
      </c>
      <c r="AE372" s="1595">
        <f t="shared" si="244"/>
        <v>3</v>
      </c>
      <c r="AF372" s="1595" t="str">
        <f t="shared" si="245"/>
        <v/>
      </c>
      <c r="AG372" s="1748"/>
      <c r="AH372" s="1749" t="str">
        <f t="shared" si="223"/>
        <v/>
      </c>
      <c r="AI372" s="1615"/>
      <c r="AJ372" s="1621" t="s">
        <v>3125</v>
      </c>
      <c r="AK372" s="1618"/>
      <c r="AL372" s="1619"/>
      <c r="AM372" s="247" t="str">
        <f t="shared" si="216"/>
        <v/>
      </c>
      <c r="AN372" s="247" t="str">
        <f t="shared" si="217"/>
        <v/>
      </c>
      <c r="AO372" s="247" t="str">
        <f t="shared" si="218"/>
        <v/>
      </c>
      <c r="AP372" s="247" t="str">
        <f t="shared" si="219"/>
        <v/>
      </c>
      <c r="AQ372" s="42">
        <f t="shared" si="246"/>
        <v>1</v>
      </c>
      <c r="AR372" s="42">
        <f t="shared" si="247"/>
        <v>1</v>
      </c>
      <c r="AS372" s="42">
        <f t="shared" si="248"/>
        <v>1</v>
      </c>
      <c r="AT372" s="42">
        <f t="shared" si="249"/>
        <v>1</v>
      </c>
      <c r="AU372" s="247" t="str">
        <f t="shared" si="220"/>
        <v/>
      </c>
      <c r="AV372" s="247" t="str">
        <f t="shared" si="221"/>
        <v/>
      </c>
    </row>
    <row r="373" spans="1:48" ht="15" x14ac:dyDescent="0.2">
      <c r="A373" s="418" t="s">
        <v>2093</v>
      </c>
      <c r="B373" s="419"/>
      <c r="C373" s="420" t="s">
        <v>3174</v>
      </c>
      <c r="D373" s="425"/>
      <c r="E373" s="1348"/>
      <c r="F373" s="1348"/>
      <c r="G373" s="1352"/>
      <c r="H373" s="1295"/>
      <c r="I373" s="420"/>
      <c r="J373" s="441"/>
      <c r="K373" s="441"/>
      <c r="L373" s="441"/>
      <c r="M373" s="442"/>
      <c r="N373" s="422"/>
      <c r="O373" s="1752"/>
      <c r="P373" s="1608"/>
      <c r="Q373" s="1596"/>
      <c r="R373" s="1596"/>
      <c r="S373" s="1597"/>
      <c r="T373" s="1595"/>
      <c r="U373" s="1744"/>
      <c r="V373" s="1598"/>
      <c r="W373" s="1598"/>
      <c r="X373" s="1598"/>
      <c r="Y373" s="1598"/>
      <c r="Z373" s="1746"/>
      <c r="AA373" s="1747"/>
      <c r="AB373" s="444"/>
      <c r="AC373" s="444"/>
      <c r="AD373" s="1595"/>
      <c r="AE373" s="1597"/>
      <c r="AF373" s="1595"/>
      <c r="AG373" s="1748"/>
      <c r="AH373" s="1749"/>
      <c r="AI373" s="1627"/>
      <c r="AJ373" s="1628"/>
      <c r="AK373" s="1628"/>
      <c r="AL373" s="1629"/>
      <c r="AM373" s="247" t="str">
        <f t="shared" si="216"/>
        <v/>
      </c>
      <c r="AN373" s="247" t="str">
        <f t="shared" si="217"/>
        <v/>
      </c>
      <c r="AO373" s="247" t="str">
        <f t="shared" si="218"/>
        <v/>
      </c>
      <c r="AP373" s="247" t="str">
        <f t="shared" si="219"/>
        <v/>
      </c>
      <c r="AU373" s="247" t="str">
        <f t="shared" si="220"/>
        <v/>
      </c>
      <c r="AV373" s="247" t="str">
        <f t="shared" si="221"/>
        <v/>
      </c>
    </row>
    <row r="374" spans="1:48" ht="24" x14ac:dyDescent="0.2">
      <c r="A374" s="450" t="s">
        <v>692</v>
      </c>
      <c r="B374" s="429" t="s">
        <v>1194</v>
      </c>
      <c r="C374" s="430" t="s">
        <v>2783</v>
      </c>
      <c r="D374" s="1349" t="s">
        <v>4811</v>
      </c>
      <c r="E374" s="1350" t="s">
        <v>5446</v>
      </c>
      <c r="F374" s="1350" t="s">
        <v>4498</v>
      </c>
      <c r="G374" s="1351" t="s">
        <v>6071</v>
      </c>
      <c r="H374" s="1342" t="s">
        <v>1329</v>
      </c>
      <c r="I374" s="432" t="s">
        <v>1305</v>
      </c>
      <c r="J374" s="431" t="s">
        <v>6536</v>
      </c>
      <c r="K374" s="431"/>
      <c r="L374" s="431"/>
      <c r="M374" s="433"/>
      <c r="N374" s="434" t="s">
        <v>4816</v>
      </c>
      <c r="O374" s="1743" t="str">
        <f>VLOOKUP(B374,code_famille_scénario,2)&amp;", "&amp;VLOOKUP(J374,Code_lieu,2)&amp;", par "&amp;VLOOKUP(N374,code_acteur,2)</f>
        <v>Vol ou détournement d'archives documentaires, dans les locaux d'archives, par un membre  du personnel autorisé</v>
      </c>
      <c r="P374" s="435">
        <v>1</v>
      </c>
      <c r="Q374" s="1595" t="s">
        <v>1299</v>
      </c>
      <c r="R374" s="1595" t="s">
        <v>4811</v>
      </c>
      <c r="S374" s="1595" t="str">
        <f>Classif!E12</f>
        <v/>
      </c>
      <c r="T374" s="1595">
        <f>VLOOKUP(H374&amp;"."&amp;I374,Tab_event,4)</f>
        <v>2</v>
      </c>
      <c r="U374" s="1744" t="str">
        <f>IF(AND(NOT(S374=""),NOT(T374="")),INDEX(base_g,5-S374,T374),"")</f>
        <v/>
      </c>
      <c r="V374" s="1745">
        <f>S02D07</f>
        <v>1</v>
      </c>
      <c r="W374" s="1745">
        <v>1</v>
      </c>
      <c r="X374" s="1745">
        <v>1</v>
      </c>
      <c r="Y374" s="1745">
        <v>1</v>
      </c>
      <c r="Z374" s="1746">
        <v>0</v>
      </c>
      <c r="AA374" s="1747"/>
      <c r="AB374" s="1748"/>
      <c r="AC374" s="1748"/>
      <c r="AD374" s="1595" t="str">
        <f t="shared" si="222"/>
        <v/>
      </c>
      <c r="AE374" s="1595">
        <f>IF(OR(Q374="",T374=""),"",IF(Q374="A",INDEX(base_p,4,W374+7*(T374-1)),IF(Q374="E",INDEX(base_p,15,W374+7*(T374-1)),INDEX(base_p,27-V374,W374+7*(T374-1)))))</f>
        <v>2</v>
      </c>
      <c r="AF374" s="1595" t="str">
        <f>IF(AT374=1,IF(IndG=1,U374,IF(AND(OR(NOT(AD374=""),NOT(AB374="")),OR(NOT(AE374=""),NOT(AC374="")),AT374=1),INDEX(base_g,5-IF(AB374="",AD374,AB374),IF(AC374="",AE374,AC374)),"")),0)</f>
        <v/>
      </c>
      <c r="AG374" s="1748"/>
      <c r="AH374" s="1749" t="str">
        <f t="shared" si="223"/>
        <v/>
      </c>
      <c r="AI374" s="1622" t="s">
        <v>3127</v>
      </c>
      <c r="AJ374" s="1621"/>
      <c r="AK374" s="1618"/>
      <c r="AL374" s="1619"/>
      <c r="AM374" s="247" t="str">
        <f t="shared" si="216"/>
        <v/>
      </c>
      <c r="AN374" s="247" t="str">
        <f t="shared" si="217"/>
        <v/>
      </c>
      <c r="AO374" s="247" t="str">
        <f t="shared" si="218"/>
        <v/>
      </c>
      <c r="AP374" s="247" t="str">
        <f t="shared" si="219"/>
        <v/>
      </c>
      <c r="AQ374" s="42">
        <f>VLOOKUP(LEFT(C374,3),Tab_classif_data,6)</f>
        <v>1</v>
      </c>
      <c r="AR374" s="42">
        <f>VLOOKUP(G374,select_vul_data,2)</f>
        <v>1</v>
      </c>
      <c r="AS374" s="42">
        <f>VLOOKUP(H374&amp;"."&amp;I374,select_men,5)</f>
        <v>1</v>
      </c>
      <c r="AT374" s="42">
        <f>P374*AQ374*AR374*AS374</f>
        <v>1</v>
      </c>
      <c r="AU374" s="247" t="str">
        <f t="shared" si="220"/>
        <v/>
      </c>
      <c r="AV374" s="247" t="str">
        <f t="shared" si="221"/>
        <v/>
      </c>
    </row>
    <row r="375" spans="1:48" ht="24" x14ac:dyDescent="0.2">
      <c r="A375" s="450" t="s">
        <v>694</v>
      </c>
      <c r="B375" s="429" t="s">
        <v>1194</v>
      </c>
      <c r="C375" s="430" t="s">
        <v>2783</v>
      </c>
      <c r="D375" s="1349" t="s">
        <v>4811</v>
      </c>
      <c r="E375" s="1350" t="s">
        <v>5446</v>
      </c>
      <c r="F375" s="1350" t="s">
        <v>4498</v>
      </c>
      <c r="G375" s="1351" t="s">
        <v>6071</v>
      </c>
      <c r="H375" s="1342" t="s">
        <v>1329</v>
      </c>
      <c r="I375" s="432" t="s">
        <v>1305</v>
      </c>
      <c r="J375" s="431" t="s">
        <v>6536</v>
      </c>
      <c r="K375" s="431"/>
      <c r="L375" s="431"/>
      <c r="M375" s="433"/>
      <c r="N375" s="434" t="s">
        <v>3518</v>
      </c>
      <c r="O375" s="1743" t="str">
        <f>VLOOKUP(B375,code_famille_scénario,2)&amp;", "&amp;VLOOKUP(J375,Code_lieu,2)&amp;", par "&amp;VLOOKUP(N375,code_acteur,2)</f>
        <v>Vol ou détournement d'archives documentaires, dans les locaux d'archives, par un membre du personnel non autorisé</v>
      </c>
      <c r="P375" s="435">
        <v>1</v>
      </c>
      <c r="Q375" s="1595" t="s">
        <v>1299</v>
      </c>
      <c r="R375" s="1595" t="s">
        <v>4811</v>
      </c>
      <c r="S375" s="1595" t="str">
        <f>Classif!E12</f>
        <v/>
      </c>
      <c r="T375" s="1595">
        <f>VLOOKUP(H375&amp;"."&amp;I375,Tab_event,4)</f>
        <v>2</v>
      </c>
      <c r="U375" s="1744" t="str">
        <f>IF(AND(NOT(S375=""),NOT(T375="")),INDEX(base_g,5-S375,T375),"")</f>
        <v/>
      </c>
      <c r="V375" s="1745">
        <f>S02D07</f>
        <v>1</v>
      </c>
      <c r="W375" s="1745">
        <f>S02D07</f>
        <v>1</v>
      </c>
      <c r="X375" s="1745">
        <v>1</v>
      </c>
      <c r="Y375" s="1745">
        <v>1</v>
      </c>
      <c r="Z375" s="1746">
        <v>0</v>
      </c>
      <c r="AA375" s="1747"/>
      <c r="AB375" s="1748"/>
      <c r="AC375" s="1748"/>
      <c r="AD375" s="1595" t="str">
        <f t="shared" si="222"/>
        <v/>
      </c>
      <c r="AE375" s="1595">
        <f>IF(OR(Q375="",T375=""),"",IF(Q375="A",INDEX(base_p,4,W375+7*(T375-1)),IF(Q375="E",INDEX(base_p,15,W375+7*(T375-1)),INDEX(base_p,27-V375,W375+7*(T375-1)))))</f>
        <v>2</v>
      </c>
      <c r="AF375" s="1595" t="str">
        <f>IF(AT375=1,IF(IndG=1,U375,IF(AND(OR(NOT(AD375=""),NOT(AB375="")),OR(NOT(AE375=""),NOT(AC375="")),AT375=1),INDEX(base_g,5-IF(AB375="",AD375,AB375),IF(AC375="",AE375,AC375)),"")),0)</f>
        <v/>
      </c>
      <c r="AG375" s="1748"/>
      <c r="AH375" s="1749" t="str">
        <f t="shared" si="223"/>
        <v/>
      </c>
      <c r="AI375" s="1622" t="s">
        <v>3127</v>
      </c>
      <c r="AJ375" s="1621" t="s">
        <v>3127</v>
      </c>
      <c r="AK375" s="1618"/>
      <c r="AL375" s="1619"/>
      <c r="AM375" s="247" t="str">
        <f t="shared" si="216"/>
        <v/>
      </c>
      <c r="AN375" s="247" t="str">
        <f t="shared" si="217"/>
        <v/>
      </c>
      <c r="AO375" s="247" t="str">
        <f t="shared" si="218"/>
        <v/>
      </c>
      <c r="AP375" s="247" t="str">
        <f t="shared" si="219"/>
        <v/>
      </c>
      <c r="AQ375" s="42">
        <f>VLOOKUP(LEFT(C375,3),Tab_classif_data,6)</f>
        <v>1</v>
      </c>
      <c r="AR375" s="42">
        <f>VLOOKUP(G375,select_vul_data,2)</f>
        <v>1</v>
      </c>
      <c r="AS375" s="42">
        <f>VLOOKUP(H375&amp;"."&amp;I375,select_men,5)</f>
        <v>1</v>
      </c>
      <c r="AT375" s="42">
        <f>P375*AQ375*AR375*AS375</f>
        <v>1</v>
      </c>
      <c r="AU375" s="247" t="str">
        <f t="shared" si="220"/>
        <v/>
      </c>
      <c r="AV375" s="247" t="str">
        <f t="shared" si="221"/>
        <v/>
      </c>
    </row>
    <row r="376" spans="1:48" ht="24" x14ac:dyDescent="0.2">
      <c r="A376" s="450" t="s">
        <v>695</v>
      </c>
      <c r="B376" s="429" t="s">
        <v>1194</v>
      </c>
      <c r="C376" s="430" t="s">
        <v>2783</v>
      </c>
      <c r="D376" s="1349" t="s">
        <v>4811</v>
      </c>
      <c r="E376" s="1350" t="s">
        <v>5446</v>
      </c>
      <c r="F376" s="1350" t="s">
        <v>4498</v>
      </c>
      <c r="G376" s="1351" t="s">
        <v>6071</v>
      </c>
      <c r="H376" s="1342" t="s">
        <v>1329</v>
      </c>
      <c r="I376" s="432" t="s">
        <v>1305</v>
      </c>
      <c r="J376" s="431"/>
      <c r="K376" s="431"/>
      <c r="L376" s="431"/>
      <c r="M376" s="433" t="s">
        <v>6757</v>
      </c>
      <c r="N376" s="434" t="s">
        <v>3518</v>
      </c>
      <c r="O376" s="1743" t="str">
        <f>VLOOKUP(B376,code_famille_scénario,2)&amp;", "&amp;VLOOKUP(M376,code_process,2)&amp;", par "&amp;VLOOKUP(N376,code_acteur,2)</f>
        <v>Vol ou détournement d'archives documentaires, pendant le transport entre sites, par un membre du personnel non autorisé</v>
      </c>
      <c r="P376" s="435">
        <v>1</v>
      </c>
      <c r="Q376" s="1595" t="s">
        <v>1299</v>
      </c>
      <c r="R376" s="1595" t="s">
        <v>4811</v>
      </c>
      <c r="S376" s="1595" t="str">
        <f>Classif!E12</f>
        <v/>
      </c>
      <c r="T376" s="1595">
        <f>VLOOKUP(H376&amp;"."&amp;I376,Tab_event,4)</f>
        <v>2</v>
      </c>
      <c r="U376" s="1744" t="str">
        <f>IF(AND(NOT(S376=""),NOT(T376="")),INDEX(base_g,5-S376,T376),"")</f>
        <v/>
      </c>
      <c r="V376" s="1745">
        <v>1</v>
      </c>
      <c r="W376" s="1745">
        <f>S02D07</f>
        <v>1</v>
      </c>
      <c r="X376" s="1745">
        <v>1</v>
      </c>
      <c r="Y376" s="1745">
        <v>1</v>
      </c>
      <c r="Z376" s="1746">
        <v>0</v>
      </c>
      <c r="AA376" s="1747"/>
      <c r="AB376" s="1748"/>
      <c r="AC376" s="1748"/>
      <c r="AD376" s="1595" t="str">
        <f t="shared" si="222"/>
        <v/>
      </c>
      <c r="AE376" s="1595">
        <f>IF(OR(Q376="",T376=""),"",IF(Q376="A",INDEX(base_p,4,W376+7*(T376-1)),IF(Q376="E",INDEX(base_p,15,W376+7*(T376-1)),INDEX(base_p,27-V376,W376+7*(T376-1)))))</f>
        <v>2</v>
      </c>
      <c r="AF376" s="1595" t="str">
        <f>IF(AT376=1,IF(IndG=1,U376,IF(AND(OR(NOT(AD376=""),NOT(AB376="")),OR(NOT(AE376=""),NOT(AC376="")),AT376=1),INDEX(base_g,5-IF(AB376="",AD376,AB376),IF(AC376="",AE376,AC376)),"")),0)</f>
        <v/>
      </c>
      <c r="AG376" s="1748"/>
      <c r="AH376" s="1749" t="str">
        <f t="shared" si="223"/>
        <v/>
      </c>
      <c r="AI376" s="1615"/>
      <c r="AJ376" s="1621" t="s">
        <v>3127</v>
      </c>
      <c r="AK376" s="1618"/>
      <c r="AL376" s="1619"/>
      <c r="AM376" s="247" t="str">
        <f t="shared" si="216"/>
        <v/>
      </c>
      <c r="AN376" s="247" t="str">
        <f t="shared" si="217"/>
        <v/>
      </c>
      <c r="AO376" s="247" t="str">
        <f t="shared" si="218"/>
        <v/>
      </c>
      <c r="AP376" s="247" t="str">
        <f t="shared" si="219"/>
        <v/>
      </c>
      <c r="AQ376" s="42">
        <f>VLOOKUP(LEFT(C376,3),Tab_classif_data,6)</f>
        <v>1</v>
      </c>
      <c r="AR376" s="42">
        <f>VLOOKUP(G376,select_vul_data,2)</f>
        <v>1</v>
      </c>
      <c r="AS376" s="42">
        <f>VLOOKUP(H376&amp;"."&amp;I376,select_men,5)</f>
        <v>1</v>
      </c>
      <c r="AT376" s="42">
        <f>P376*AQ376*AR376*AS376</f>
        <v>1</v>
      </c>
      <c r="AU376" s="247" t="str">
        <f t="shared" si="220"/>
        <v/>
      </c>
      <c r="AV376" s="247" t="str">
        <f t="shared" si="221"/>
        <v/>
      </c>
    </row>
    <row r="377" spans="1:48" ht="24" x14ac:dyDescent="0.2">
      <c r="A377" s="450" t="s">
        <v>426</v>
      </c>
      <c r="B377" s="429" t="s">
        <v>1072</v>
      </c>
      <c r="C377" s="430" t="s">
        <v>2783</v>
      </c>
      <c r="D377" s="1349" t="s">
        <v>4811</v>
      </c>
      <c r="E377" s="1350" t="s">
        <v>5446</v>
      </c>
      <c r="F377" s="1350" t="s">
        <v>2794</v>
      </c>
      <c r="G377" s="1351" t="s">
        <v>6071</v>
      </c>
      <c r="H377" s="1342" t="s">
        <v>1329</v>
      </c>
      <c r="I377" s="432" t="s">
        <v>1305</v>
      </c>
      <c r="J377" s="431" t="s">
        <v>6536</v>
      </c>
      <c r="K377" s="431"/>
      <c r="L377" s="431"/>
      <c r="M377" s="433"/>
      <c r="N377" s="434" t="s">
        <v>3518</v>
      </c>
      <c r="O377" s="1743" t="str">
        <f>VLOOKUP(B377,code_famille_scénario,2)</f>
        <v>Détournement d'archives par usurpation de l'identité d'une personne autorisée pour demander la sortie d'une archive</v>
      </c>
      <c r="P377" s="435">
        <v>1</v>
      </c>
      <c r="Q377" s="1595" t="s">
        <v>1299</v>
      </c>
      <c r="R377" s="1595" t="s">
        <v>4811</v>
      </c>
      <c r="S377" s="1595" t="str">
        <f>Classif!E12</f>
        <v/>
      </c>
      <c r="T377" s="1595">
        <f>VLOOKUP(H377&amp;"."&amp;I377,Tab_event,4)</f>
        <v>2</v>
      </c>
      <c r="U377" s="1744" t="str">
        <f>IF(AND(NOT(S377=""),NOT(T377="")),INDEX(base_g,5-S377,T377),"")</f>
        <v/>
      </c>
      <c r="V377" s="1745">
        <v>1</v>
      </c>
      <c r="W377" s="1745">
        <f>S02D07</f>
        <v>1</v>
      </c>
      <c r="X377" s="1745">
        <v>1</v>
      </c>
      <c r="Y377" s="1745">
        <v>1</v>
      </c>
      <c r="Z377" s="1746">
        <v>0</v>
      </c>
      <c r="AA377" s="1747"/>
      <c r="AB377" s="1748"/>
      <c r="AC377" s="1748"/>
      <c r="AD377" s="1595" t="str">
        <f t="shared" si="222"/>
        <v/>
      </c>
      <c r="AE377" s="1595">
        <f>IF(OR(Q377="",T377=""),"",IF(Q377="A",INDEX(base_p,4,W377+7*(T377-1)),IF(Q377="E",INDEX(base_p,15,W377+7*(T377-1)),INDEX(base_p,27-V377,W377+7*(T377-1)))))</f>
        <v>2</v>
      </c>
      <c r="AF377" s="1595" t="str">
        <f>IF(AT377=1,IF(IndG=1,U377,IF(AND(OR(NOT(AD377=""),NOT(AB377="")),OR(NOT(AE377=""),NOT(AC377="")),AT377=1),INDEX(base_g,5-IF(AB377="",AD377,AB377),IF(AC377="",AE377,AC377)),"")),0)</f>
        <v/>
      </c>
      <c r="AG377" s="1748"/>
      <c r="AH377" s="1749" t="str">
        <f t="shared" si="223"/>
        <v/>
      </c>
      <c r="AI377" s="1615"/>
      <c r="AJ377" s="1621" t="s">
        <v>3127</v>
      </c>
      <c r="AK377" s="1618"/>
      <c r="AL377" s="1619"/>
      <c r="AM377" s="247" t="str">
        <f t="shared" si="216"/>
        <v/>
      </c>
      <c r="AN377" s="247" t="str">
        <f t="shared" si="217"/>
        <v/>
      </c>
      <c r="AO377" s="247" t="str">
        <f t="shared" si="218"/>
        <v/>
      </c>
      <c r="AP377" s="247" t="str">
        <f t="shared" si="219"/>
        <v/>
      </c>
      <c r="AQ377" s="42">
        <f>VLOOKUP(LEFT(C377,3),Tab_classif_data,6)</f>
        <v>1</v>
      </c>
      <c r="AR377" s="42">
        <f>VLOOKUP(G377,select_vul_data,2)</f>
        <v>1</v>
      </c>
      <c r="AS377" s="42">
        <f>VLOOKUP(H377&amp;"."&amp;I377,select_men,5)</f>
        <v>1</v>
      </c>
      <c r="AT377" s="42">
        <f>P377*AQ377*AR377*AS377</f>
        <v>1</v>
      </c>
      <c r="AU377" s="247" t="str">
        <f t="shared" si="220"/>
        <v/>
      </c>
      <c r="AV377" s="247" t="str">
        <f t="shared" si="221"/>
        <v/>
      </c>
    </row>
    <row r="378" spans="1:48" ht="15" x14ac:dyDescent="0.2">
      <c r="A378" s="418" t="s">
        <v>3175</v>
      </c>
      <c r="B378" s="419"/>
      <c r="C378" s="420" t="s">
        <v>3176</v>
      </c>
      <c r="D378" s="425"/>
      <c r="E378" s="1348"/>
      <c r="F378" s="1348"/>
      <c r="G378" s="1352"/>
      <c r="H378" s="1295"/>
      <c r="I378" s="420"/>
      <c r="J378" s="441"/>
      <c r="K378" s="441"/>
      <c r="L378" s="441"/>
      <c r="M378" s="442"/>
      <c r="N378" s="422"/>
      <c r="O378" s="1752"/>
      <c r="P378" s="1608"/>
      <c r="Q378" s="1596"/>
      <c r="R378" s="1596"/>
      <c r="S378" s="1597"/>
      <c r="T378" s="1595"/>
      <c r="U378" s="1744"/>
      <c r="V378" s="1598"/>
      <c r="W378" s="1598"/>
      <c r="X378" s="1598"/>
      <c r="Y378" s="1598"/>
      <c r="Z378" s="1746"/>
      <c r="AA378" s="1747"/>
      <c r="AB378" s="444"/>
      <c r="AC378" s="444"/>
      <c r="AD378" s="1595"/>
      <c r="AE378" s="1597"/>
      <c r="AF378" s="1595"/>
      <c r="AG378" s="1748"/>
      <c r="AH378" s="1749"/>
      <c r="AI378" s="1627"/>
      <c r="AJ378" s="1628"/>
      <c r="AK378" s="1628"/>
      <c r="AL378" s="1629"/>
      <c r="AM378" s="247" t="str">
        <f t="shared" si="216"/>
        <v/>
      </c>
      <c r="AN378" s="247" t="str">
        <f t="shared" si="217"/>
        <v/>
      </c>
      <c r="AO378" s="247" t="str">
        <f t="shared" si="218"/>
        <v/>
      </c>
      <c r="AP378" s="247" t="str">
        <f t="shared" si="219"/>
        <v/>
      </c>
      <c r="AU378" s="247" t="str">
        <f t="shared" si="220"/>
        <v/>
      </c>
      <c r="AV378" s="247" t="str">
        <f t="shared" si="221"/>
        <v/>
      </c>
    </row>
    <row r="379" spans="1:48" ht="24" x14ac:dyDescent="0.2">
      <c r="A379" s="450" t="s">
        <v>693</v>
      </c>
      <c r="B379" s="429" t="s">
        <v>2461</v>
      </c>
      <c r="C379" s="430" t="s">
        <v>4734</v>
      </c>
      <c r="D379" s="1349" t="s">
        <v>4811</v>
      </c>
      <c r="E379" s="1350" t="s">
        <v>1874</v>
      </c>
      <c r="F379" s="1350" t="s">
        <v>4498</v>
      </c>
      <c r="G379" s="1351" t="s">
        <v>6071</v>
      </c>
      <c r="H379" s="1342" t="s">
        <v>1329</v>
      </c>
      <c r="I379" s="432" t="s">
        <v>1305</v>
      </c>
      <c r="J379" s="431" t="s">
        <v>6536</v>
      </c>
      <c r="K379" s="431"/>
      <c r="L379" s="431"/>
      <c r="M379" s="433"/>
      <c r="N379" s="434" t="s">
        <v>4816</v>
      </c>
      <c r="O379" s="1743" t="str">
        <f>VLOOKUP(B379,code_famille_scénario,2)&amp;VLOOKUP(C379,code_actif,2)&amp;", "&amp;VLOOKUP(J379,Code_lieu,2)&amp;", par "&amp;VLOOKUP(N379,code_acteur,2)</f>
        <v>Divulgation d'informations, par vol de media support de fichiers  d'archives informatiques, dans les locaux d'archives, par un membre  du personnel autorisé</v>
      </c>
      <c r="P379" s="435">
        <v>1</v>
      </c>
      <c r="Q379" s="1595" t="s">
        <v>1299</v>
      </c>
      <c r="R379" s="1595" t="s">
        <v>4811</v>
      </c>
      <c r="S379" s="1595" t="str">
        <f>Classif!E13</f>
        <v/>
      </c>
      <c r="T379" s="1595">
        <f>VLOOKUP(H379&amp;"."&amp;I379,Tab_event,4)</f>
        <v>2</v>
      </c>
      <c r="U379" s="1744" t="str">
        <f>IF(AND(NOT(S379=""),NOT(T379="")),INDEX(base_g,5-S379,T379),"")</f>
        <v/>
      </c>
      <c r="V379" s="1745">
        <f>S08H03</f>
        <v>1</v>
      </c>
      <c r="W379" s="1745">
        <f>MAX(S08H03,S09C02)</f>
        <v>1</v>
      </c>
      <c r="X379" s="1745">
        <v>1</v>
      </c>
      <c r="Y379" s="1745">
        <v>1</v>
      </c>
      <c r="Z379" s="1746">
        <v>0</v>
      </c>
      <c r="AA379" s="1747"/>
      <c r="AB379" s="1748"/>
      <c r="AC379" s="1748"/>
      <c r="AD379" s="1595" t="str">
        <f t="shared" si="222"/>
        <v/>
      </c>
      <c r="AE379" s="1595">
        <f>IF(OR(Q379="",T379=""),"",IF(Q379="A",INDEX(base_p,4,W379+7*(T379-1)),IF(Q379="E",INDEX(base_p,15,W379+7*(T379-1)),INDEX(base_p,27-V379,W379+7*(T379-1)))))</f>
        <v>2</v>
      </c>
      <c r="AF379" s="1595" t="str">
        <f>IF(AT379=1,IF(IndG=1,U379,IF(AND(OR(NOT(AD379=""),NOT(AB379="")),OR(NOT(AE379=""),NOT(AC379="")),AT379=1),INDEX(base_g,5-IF(AB379="",AD379,AB379),IF(AC379="",AE379,AC379)),"")),0)</f>
        <v/>
      </c>
      <c r="AG379" s="1748"/>
      <c r="AH379" s="1749" t="str">
        <f t="shared" si="223"/>
        <v/>
      </c>
      <c r="AI379" s="1620" t="s">
        <v>5417</v>
      </c>
      <c r="AJ379" s="1616" t="s">
        <v>3116</v>
      </c>
      <c r="AK379" s="1618"/>
      <c r="AL379" s="1619"/>
      <c r="AM379" s="247" t="str">
        <f t="shared" si="216"/>
        <v/>
      </c>
      <c r="AN379" s="247" t="str">
        <f t="shared" si="217"/>
        <v/>
      </c>
      <c r="AO379" s="247" t="str">
        <f t="shared" si="218"/>
        <v/>
      </c>
      <c r="AP379" s="247" t="str">
        <f t="shared" si="219"/>
        <v/>
      </c>
      <c r="AQ379" s="42">
        <f>VLOOKUP(LEFT(C379,3),Tab_classif_data,6)</f>
        <v>1</v>
      </c>
      <c r="AR379" s="42">
        <f>VLOOKUP(G379,select_vul_data,2)</f>
        <v>1</v>
      </c>
      <c r="AS379" s="42">
        <f>VLOOKUP(H379&amp;"."&amp;I379,select_men,5)</f>
        <v>1</v>
      </c>
      <c r="AT379" s="42">
        <f>P379*AQ379*AR379*AS379</f>
        <v>1</v>
      </c>
      <c r="AU379" s="247" t="str">
        <f t="shared" si="220"/>
        <v/>
      </c>
      <c r="AV379" s="247" t="str">
        <f t="shared" si="221"/>
        <v/>
      </c>
    </row>
    <row r="380" spans="1:48" ht="36" x14ac:dyDescent="0.2">
      <c r="A380" s="450" t="s">
        <v>427</v>
      </c>
      <c r="B380" s="429" t="s">
        <v>2461</v>
      </c>
      <c r="C380" s="430" t="s">
        <v>4734</v>
      </c>
      <c r="D380" s="1349" t="s">
        <v>4811</v>
      </c>
      <c r="E380" s="1350" t="s">
        <v>1874</v>
      </c>
      <c r="F380" s="1350" t="s">
        <v>4498</v>
      </c>
      <c r="G380" s="1351" t="s">
        <v>6071</v>
      </c>
      <c r="H380" s="1342" t="s">
        <v>1329</v>
      </c>
      <c r="I380" s="432" t="s">
        <v>1305</v>
      </c>
      <c r="J380" s="431" t="s">
        <v>6536</v>
      </c>
      <c r="K380" s="431"/>
      <c r="L380" s="431"/>
      <c r="M380" s="433"/>
      <c r="N380" s="434" t="s">
        <v>3518</v>
      </c>
      <c r="O380" s="1743" t="str">
        <f>VLOOKUP(B380,code_famille_scénario,2)&amp;VLOOKUP(C380,code_actif,2)&amp;", "&amp;VLOOKUP(J380,Code_lieu,2)&amp;", par "&amp;VLOOKUP(N380,code_acteur,2)</f>
        <v>Divulgation d'informations, par vol de media support de fichiers  d'archives informatiques, dans les locaux d'archives, par un membre du personnel non autorisé</v>
      </c>
      <c r="P380" s="435">
        <v>1</v>
      </c>
      <c r="Q380" s="1595" t="s">
        <v>1299</v>
      </c>
      <c r="R380" s="1595" t="s">
        <v>4811</v>
      </c>
      <c r="S380" s="1595" t="str">
        <f>Classif!E13</f>
        <v/>
      </c>
      <c r="T380" s="1595">
        <f>VLOOKUP(H380&amp;"."&amp;I380,Tab_event,4)</f>
        <v>2</v>
      </c>
      <c r="U380" s="1744" t="str">
        <f>IF(AND(NOT(S380=""),NOT(T380="")),INDEX(base_g,5-S380,T380),"")</f>
        <v/>
      </c>
      <c r="V380" s="1745">
        <f>S08H03</f>
        <v>1</v>
      </c>
      <c r="W380" s="1745">
        <f>MAX(S08H03,S09C02)</f>
        <v>1</v>
      </c>
      <c r="X380" s="1745">
        <v>1</v>
      </c>
      <c r="Y380" s="1745">
        <v>1</v>
      </c>
      <c r="Z380" s="1746">
        <v>0</v>
      </c>
      <c r="AA380" s="1747"/>
      <c r="AB380" s="1748"/>
      <c r="AC380" s="1748"/>
      <c r="AD380" s="1595" t="str">
        <f t="shared" si="222"/>
        <v/>
      </c>
      <c r="AE380" s="1595">
        <f>IF(OR(Q380="",T380=""),"",IF(Q380="A",INDEX(base_p,4,W380+7*(T380-1)),IF(Q380="E",INDEX(base_p,15,W380+7*(T380-1)),INDEX(base_p,27-V380,W380+7*(T380-1)))))</f>
        <v>2</v>
      </c>
      <c r="AF380" s="1595" t="str">
        <f>IF(AT380=1,IF(IndG=1,U380,IF(AND(OR(NOT(AD380=""),NOT(AB380="")),OR(NOT(AE380=""),NOT(AC380="")),AT380=1),INDEX(base_g,5-IF(AB380="",AD380,AB380),IF(AC380="",AE380,AC380)),"")),0)</f>
        <v/>
      </c>
      <c r="AG380" s="1748"/>
      <c r="AH380" s="1749" t="str">
        <f t="shared" si="223"/>
        <v/>
      </c>
      <c r="AI380" s="1620" t="s">
        <v>5417</v>
      </c>
      <c r="AJ380" s="1616" t="s">
        <v>3116</v>
      </c>
      <c r="AK380" s="1618"/>
      <c r="AL380" s="1619"/>
      <c r="AM380" s="247" t="str">
        <f t="shared" si="216"/>
        <v/>
      </c>
      <c r="AN380" s="247" t="str">
        <f t="shared" si="217"/>
        <v/>
      </c>
      <c r="AO380" s="247" t="str">
        <f t="shared" si="218"/>
        <v/>
      </c>
      <c r="AP380" s="247" t="str">
        <f t="shared" si="219"/>
        <v/>
      </c>
      <c r="AQ380" s="42">
        <f>VLOOKUP(LEFT(C380,3),Tab_classif_data,6)</f>
        <v>1</v>
      </c>
      <c r="AR380" s="42">
        <f>VLOOKUP(G380,select_vul_data,2)</f>
        <v>1</v>
      </c>
      <c r="AS380" s="42">
        <f>VLOOKUP(H380&amp;"."&amp;I380,select_men,5)</f>
        <v>1</v>
      </c>
      <c r="AT380" s="42">
        <f>P380*AQ380*AR380*AS380</f>
        <v>1</v>
      </c>
      <c r="AU380" s="247" t="str">
        <f t="shared" si="220"/>
        <v/>
      </c>
      <c r="AV380" s="247" t="str">
        <f t="shared" si="221"/>
        <v/>
      </c>
    </row>
    <row r="381" spans="1:48" ht="36" x14ac:dyDescent="0.2">
      <c r="A381" s="450" t="s">
        <v>428</v>
      </c>
      <c r="B381" s="429" t="s">
        <v>2461</v>
      </c>
      <c r="C381" s="430" t="s">
        <v>4734</v>
      </c>
      <c r="D381" s="1349" t="s">
        <v>4811</v>
      </c>
      <c r="E381" s="1350" t="s">
        <v>1874</v>
      </c>
      <c r="F381" s="1350" t="s">
        <v>4498</v>
      </c>
      <c r="G381" s="1351" t="s">
        <v>6071</v>
      </c>
      <c r="H381" s="1342" t="s">
        <v>1329</v>
      </c>
      <c r="I381" s="432" t="s">
        <v>1305</v>
      </c>
      <c r="J381" s="431" t="s">
        <v>5579</v>
      </c>
      <c r="K381" s="431"/>
      <c r="L381" s="431"/>
      <c r="M381" s="433"/>
      <c r="N381" s="434" t="s">
        <v>3518</v>
      </c>
      <c r="O381" s="1743" t="str">
        <f>VLOOKUP(B381,code_famille_scénario,2)&amp;VLOOKUP(C381,code_actif,2)&amp;", "&amp;VLOOKUP(J381,Code_lieu,2)&amp;", par "&amp;VLOOKUP(N381,code_acteur,2)</f>
        <v>Divulgation d'informations, par vol de media support de fichiers  d'archives informatiques, dans le circuit de distribution, par un membre du personnel non autorisé</v>
      </c>
      <c r="P381" s="435">
        <v>1</v>
      </c>
      <c r="Q381" s="1595" t="s">
        <v>1299</v>
      </c>
      <c r="R381" s="1595" t="s">
        <v>4811</v>
      </c>
      <c r="S381" s="1595" t="str">
        <f>Classif!E13</f>
        <v/>
      </c>
      <c r="T381" s="1595">
        <f>VLOOKUP(H381&amp;"."&amp;I381,Tab_event,4)</f>
        <v>2</v>
      </c>
      <c r="U381" s="1744" t="str">
        <f>IF(AND(NOT(S381=""),NOT(T381="")),INDEX(base_g,5-S381,T381),"")</f>
        <v/>
      </c>
      <c r="V381" s="1745">
        <f>S08H03</f>
        <v>1</v>
      </c>
      <c r="W381" s="1745">
        <f>MAX(S08H03,S09C02)</f>
        <v>1</v>
      </c>
      <c r="X381" s="1745">
        <v>1</v>
      </c>
      <c r="Y381" s="1745">
        <v>1</v>
      </c>
      <c r="Z381" s="1746">
        <v>0</v>
      </c>
      <c r="AA381" s="1747"/>
      <c r="AB381" s="1748"/>
      <c r="AC381" s="1748"/>
      <c r="AD381" s="1595" t="str">
        <f t="shared" si="222"/>
        <v/>
      </c>
      <c r="AE381" s="1595">
        <f>IF(OR(Q381="",T381=""),"",IF(Q381="A",INDEX(base_p,4,W381+7*(T381-1)),IF(Q381="E",INDEX(base_p,15,W381+7*(T381-1)),INDEX(base_p,27-V381,W381+7*(T381-1)))))</f>
        <v>2</v>
      </c>
      <c r="AF381" s="1595" t="str">
        <f>IF(AT381=1,IF(IndG=1,U381,IF(AND(OR(NOT(AD381=""),NOT(AB381="")),OR(NOT(AE381=""),NOT(AC381="")),AT381=1),INDEX(base_g,5-IF(AB381="",AD381,AB381),IF(AC381="",AE381,AC381)),"")),0)</f>
        <v/>
      </c>
      <c r="AG381" s="1748"/>
      <c r="AH381" s="1749" t="str">
        <f t="shared" si="223"/>
        <v/>
      </c>
      <c r="AI381" s="1620" t="s">
        <v>5417</v>
      </c>
      <c r="AJ381" s="1616" t="s">
        <v>3116</v>
      </c>
      <c r="AK381" s="1618"/>
      <c r="AL381" s="1619"/>
      <c r="AM381" s="247" t="str">
        <f t="shared" si="216"/>
        <v/>
      </c>
      <c r="AN381" s="247" t="str">
        <f t="shared" si="217"/>
        <v/>
      </c>
      <c r="AO381" s="247" t="str">
        <f t="shared" si="218"/>
        <v/>
      </c>
      <c r="AP381" s="247" t="str">
        <f t="shared" si="219"/>
        <v/>
      </c>
      <c r="AQ381" s="42">
        <f>VLOOKUP(LEFT(C381,3),Tab_classif_data,6)</f>
        <v>1</v>
      </c>
      <c r="AR381" s="42">
        <f>VLOOKUP(G381,select_vul_data,2)</f>
        <v>1</v>
      </c>
      <c r="AS381" s="42">
        <f>VLOOKUP(H381&amp;"."&amp;I381,select_men,5)</f>
        <v>1</v>
      </c>
      <c r="AT381" s="42">
        <f>P381*AQ381*AR381*AS381</f>
        <v>1</v>
      </c>
      <c r="AU381" s="247" t="str">
        <f t="shared" si="220"/>
        <v/>
      </c>
      <c r="AV381" s="247" t="str">
        <f t="shared" si="221"/>
        <v/>
      </c>
    </row>
    <row r="382" spans="1:48" ht="15" x14ac:dyDescent="0.2">
      <c r="A382" s="456" t="s">
        <v>1761</v>
      </c>
      <c r="B382" s="457"/>
      <c r="C382" s="420" t="s">
        <v>1762</v>
      </c>
      <c r="D382" s="1356"/>
      <c r="E382" s="1357"/>
      <c r="F382" s="1357"/>
      <c r="G382" s="1358"/>
      <c r="H382" s="1345"/>
      <c r="I382" s="459"/>
      <c r="J382" s="458"/>
      <c r="K382" s="458"/>
      <c r="L382" s="458"/>
      <c r="M382" s="460"/>
      <c r="N382" s="461"/>
      <c r="O382" s="1761"/>
      <c r="P382" s="1608"/>
      <c r="Q382" s="1596"/>
      <c r="R382" s="1596"/>
      <c r="S382" s="1753"/>
      <c r="T382" s="1595"/>
      <c r="U382" s="1744"/>
      <c r="V382" s="1754"/>
      <c r="W382" s="1754"/>
      <c r="X382" s="1754"/>
      <c r="Y382" s="1754"/>
      <c r="Z382" s="1746"/>
      <c r="AA382" s="1747"/>
      <c r="AB382" s="1748"/>
      <c r="AC382" s="1748"/>
      <c r="AD382" s="1595"/>
      <c r="AE382" s="1753"/>
      <c r="AF382" s="1595"/>
      <c r="AG382" s="1748"/>
      <c r="AH382" s="1749"/>
      <c r="AI382" s="1627"/>
      <c r="AJ382" s="1628"/>
      <c r="AK382" s="1628"/>
      <c r="AL382" s="1629"/>
      <c r="AU382" s="247" t="str">
        <f t="shared" si="220"/>
        <v/>
      </c>
      <c r="AV382" s="247" t="str">
        <f t="shared" si="221"/>
        <v/>
      </c>
    </row>
    <row r="383" spans="1:48" x14ac:dyDescent="0.2">
      <c r="A383" s="450" t="s">
        <v>429</v>
      </c>
      <c r="B383" s="462" t="s">
        <v>1230</v>
      </c>
      <c r="C383" s="436" t="s">
        <v>1797</v>
      </c>
      <c r="D383" s="1349" t="s">
        <v>1873</v>
      </c>
      <c r="E383" s="1350" t="s">
        <v>3849</v>
      </c>
      <c r="F383" s="1350" t="s">
        <v>1503</v>
      </c>
      <c r="G383" s="1359" t="s">
        <v>6080</v>
      </c>
      <c r="H383" s="1342" t="s">
        <v>3919</v>
      </c>
      <c r="I383" s="432" t="s">
        <v>1535</v>
      </c>
      <c r="J383" s="431"/>
      <c r="K383" s="431"/>
      <c r="L383" s="431"/>
      <c r="M383" s="433"/>
      <c r="N383" s="434"/>
      <c r="O383" s="1743" t="str">
        <f>VLOOKUP(B383,code_famille_scénario,2)&amp;", due "&amp;VLOOKUP(I383,code_event,2)</f>
        <v>Indisponibilité accidentelle de l'environnement de travail, due à un incendie</v>
      </c>
      <c r="P383" s="435">
        <v>1</v>
      </c>
      <c r="Q383" s="1595" t="s">
        <v>1431</v>
      </c>
      <c r="R383" s="1595" t="s">
        <v>1873</v>
      </c>
      <c r="S383" s="1595" t="str">
        <f>Classif!C18</f>
        <v/>
      </c>
      <c r="T383" s="1595">
        <f>VLOOKUP(H383&amp;"."&amp;I383,Tab_event,4)</f>
        <v>2</v>
      </c>
      <c r="U383" s="1744" t="str">
        <f>IF(AND(NOT(S383=""),NOT(T383="")),INDEX(base_g,5-S383,T383),"")</f>
        <v/>
      </c>
      <c r="V383" s="1745">
        <v>1</v>
      </c>
      <c r="W383" s="1745">
        <f>S03D01</f>
        <v>1</v>
      </c>
      <c r="X383" s="1745">
        <f>MIN(S03D02,S03D03)</f>
        <v>1</v>
      </c>
      <c r="Y383" s="1745">
        <f>S01E03</f>
        <v>1</v>
      </c>
      <c r="Z383" s="1746">
        <v>0</v>
      </c>
      <c r="AA383" s="1747"/>
      <c r="AB383" s="1748"/>
      <c r="AC383" s="1748"/>
      <c r="AD383" s="1595" t="str">
        <f t="shared" si="222"/>
        <v/>
      </c>
      <c r="AE383" s="1595">
        <f>IF(OR(Q383="",T383=""),"",IF(Q383="A",INDEX(base_p,4,W383+7*(T383-1)),IF(Q383="E",INDEX(base_p,15,W383+7*(T383-1)),INDEX(base_p,27-V383,W383+7*(T383-1)))))</f>
        <v>2</v>
      </c>
      <c r="AF383" s="1595" t="str">
        <f>IF(AT383=1,IF(IndG=1,U383,IF(AND(OR(NOT(AD383=""),NOT(AB383="")),OR(NOT(AE383=""),NOT(AC383="")),AT383=1),INDEX(base_g,5-IF(AB383="",AD383,AB383),IF(AC383="",AE383,AC383)),"")),0)</f>
        <v/>
      </c>
      <c r="AG383" s="1748"/>
      <c r="AH383" s="1749" t="str">
        <f t="shared" si="223"/>
        <v/>
      </c>
      <c r="AI383" s="1615"/>
      <c r="AJ383" s="1616" t="s">
        <v>5225</v>
      </c>
      <c r="AK383" s="1616" t="s">
        <v>1052</v>
      </c>
      <c r="AL383" s="1617" t="s">
        <v>3128</v>
      </c>
      <c r="AM383" s="247" t="str">
        <f t="shared" si="216"/>
        <v/>
      </c>
      <c r="AN383" s="247" t="str">
        <f t="shared" si="217"/>
        <v/>
      </c>
      <c r="AO383" s="247" t="str">
        <f t="shared" si="218"/>
        <v/>
      </c>
      <c r="AP383" s="247" t="str">
        <f t="shared" si="219"/>
        <v/>
      </c>
      <c r="AQ383" s="42">
        <f>VLOOKUP(LEFT(C383,3),Tab_classif_servG,6)</f>
        <v>1</v>
      </c>
      <c r="AR383" s="42">
        <f>VLOOKUP(G383,select_vul_serv,2)</f>
        <v>1</v>
      </c>
      <c r="AS383" s="42">
        <f>VLOOKUP(H383&amp;"."&amp;I383,select_men,5)</f>
        <v>1</v>
      </c>
      <c r="AT383" s="42">
        <f>P383*AQ383*AR383*AS383</f>
        <v>1</v>
      </c>
      <c r="AU383" s="247" t="str">
        <f t="shared" si="220"/>
        <v/>
      </c>
      <c r="AV383" s="247" t="str">
        <f t="shared" si="221"/>
        <v/>
      </c>
    </row>
    <row r="384" spans="1:48" x14ac:dyDescent="0.2">
      <c r="A384" s="450" t="s">
        <v>430</v>
      </c>
      <c r="B384" s="462" t="s">
        <v>1230</v>
      </c>
      <c r="C384" s="436" t="s">
        <v>1797</v>
      </c>
      <c r="D384" s="1349" t="s">
        <v>1873</v>
      </c>
      <c r="E384" s="1350" t="s">
        <v>3849</v>
      </c>
      <c r="F384" s="1350" t="s">
        <v>1503</v>
      </c>
      <c r="G384" s="1359" t="s">
        <v>6080</v>
      </c>
      <c r="H384" s="1342" t="s">
        <v>3919</v>
      </c>
      <c r="I384" s="432" t="s">
        <v>1536</v>
      </c>
      <c r="J384" s="431"/>
      <c r="K384" s="431"/>
      <c r="L384" s="431"/>
      <c r="M384" s="433"/>
      <c r="N384" s="434"/>
      <c r="O384" s="1743" t="str">
        <f>VLOOKUP(B384,code_famille_scénario,2)&amp;", due "&amp;VLOOKUP(I384,code_event,2)</f>
        <v>Indisponibilité accidentelle de l'environnement de travail, due à une inondation</v>
      </c>
      <c r="P384" s="435">
        <v>1</v>
      </c>
      <c r="Q384" s="1595" t="s">
        <v>1431</v>
      </c>
      <c r="R384" s="1595" t="s">
        <v>1873</v>
      </c>
      <c r="S384" s="1595" t="str">
        <f>Classif!C18</f>
        <v/>
      </c>
      <c r="T384" s="1595">
        <f>VLOOKUP(H384&amp;"."&amp;I384,Tab_event,4)</f>
        <v>2</v>
      </c>
      <c r="U384" s="1744" t="str">
        <f>IF(AND(NOT(S384=""),NOT(T384="")),INDEX(base_g,5-S384,T384),"")</f>
        <v/>
      </c>
      <c r="V384" s="1745">
        <v>1</v>
      </c>
      <c r="W384" s="1745">
        <f>S03C01</f>
        <v>1</v>
      </c>
      <c r="X384" s="1745">
        <f>MIN(S03C02,S03C03)</f>
        <v>1</v>
      </c>
      <c r="Y384" s="1745">
        <f>S01E03</f>
        <v>1</v>
      </c>
      <c r="Z384" s="1746">
        <v>0</v>
      </c>
      <c r="AA384" s="1747"/>
      <c r="AB384" s="1748"/>
      <c r="AC384" s="1748"/>
      <c r="AD384" s="1595" t="str">
        <f t="shared" si="222"/>
        <v/>
      </c>
      <c r="AE384" s="1595">
        <f>IF(OR(Q384="",T384=""),"",IF(Q384="A",INDEX(base_p,4,W384+7*(T384-1)),IF(Q384="E",INDEX(base_p,15,W384+7*(T384-1)),INDEX(base_p,27-V384,W384+7*(T384-1)))))</f>
        <v>2</v>
      </c>
      <c r="AF384" s="1595" t="str">
        <f>IF(AT384=1,IF(IndG=1,U384,IF(AND(OR(NOT(AD384=""),NOT(AB384="")),OR(NOT(AE384=""),NOT(AC384="")),AT384=1),INDEX(base_g,5-IF(AB384="",AD384,AB384),IF(AC384="",AE384,AC384)),"")),0)</f>
        <v/>
      </c>
      <c r="AG384" s="1748"/>
      <c r="AH384" s="1749" t="str">
        <f t="shared" si="223"/>
        <v/>
      </c>
      <c r="AI384" s="1620"/>
      <c r="AJ384" s="1616" t="s">
        <v>5220</v>
      </c>
      <c r="AK384" s="1616" t="s">
        <v>1054</v>
      </c>
      <c r="AL384" s="1617" t="s">
        <v>3128</v>
      </c>
      <c r="AM384" s="247" t="str">
        <f t="shared" si="216"/>
        <v/>
      </c>
      <c r="AN384" s="247" t="str">
        <f t="shared" si="217"/>
        <v/>
      </c>
      <c r="AO384" s="247" t="str">
        <f t="shared" si="218"/>
        <v/>
      </c>
      <c r="AP384" s="247" t="str">
        <f t="shared" si="219"/>
        <v/>
      </c>
      <c r="AQ384" s="42">
        <f>VLOOKUP(LEFT(C384,3),Tab_classif_servG,6)</f>
        <v>1</v>
      </c>
      <c r="AR384" s="42">
        <f>VLOOKUP(G384,select_vul_serv,2)</f>
        <v>1</v>
      </c>
      <c r="AS384" s="42">
        <f>VLOOKUP(H384&amp;"."&amp;I384,select_men,5)</f>
        <v>1</v>
      </c>
      <c r="AT384" s="42">
        <f>P384*AQ384*AR384*AS384</f>
        <v>1</v>
      </c>
      <c r="AU384" s="247" t="str">
        <f t="shared" si="220"/>
        <v/>
      </c>
      <c r="AV384" s="247" t="str">
        <f t="shared" si="221"/>
        <v/>
      </c>
    </row>
    <row r="385" spans="1:48" ht="24" x14ac:dyDescent="0.2">
      <c r="A385" s="450" t="s">
        <v>431</v>
      </c>
      <c r="B385" s="462" t="s">
        <v>1230</v>
      </c>
      <c r="C385" s="436" t="s">
        <v>1797</v>
      </c>
      <c r="D385" s="1349" t="s">
        <v>1873</v>
      </c>
      <c r="E385" s="1350" t="s">
        <v>3849</v>
      </c>
      <c r="F385" s="1350" t="s">
        <v>1503</v>
      </c>
      <c r="G385" s="1359" t="s">
        <v>6080</v>
      </c>
      <c r="H385" s="1342" t="s">
        <v>1474</v>
      </c>
      <c r="I385" s="432" t="s">
        <v>1541</v>
      </c>
      <c r="J385" s="431"/>
      <c r="K385" s="431"/>
      <c r="L385" s="431"/>
      <c r="M385" s="433"/>
      <c r="N385" s="434"/>
      <c r="O385" s="1743" t="str">
        <f>VLOOKUP(B385,code_famille_scénario,2)&amp;", due "&amp;VLOOKUP(I385,code_event,2)</f>
        <v>Indisponibilité accidentelle de l'environnement de travail, due à un manque d'alimentation en énergie (défaut externe)</v>
      </c>
      <c r="P385" s="435">
        <v>1</v>
      </c>
      <c r="Q385" s="1595" t="s">
        <v>1431</v>
      </c>
      <c r="R385" s="1595" t="s">
        <v>1873</v>
      </c>
      <c r="S385" s="1595" t="str">
        <f>Classif!C18</f>
        <v/>
      </c>
      <c r="T385" s="1595">
        <f>VLOOKUP(H385&amp;"."&amp;I385,Tab_event,4)</f>
        <v>3</v>
      </c>
      <c r="U385" s="1744" t="str">
        <f>IF(AND(NOT(S385=""),NOT(T385="")),INDEX(base_g,5-S385,T385),"")</f>
        <v/>
      </c>
      <c r="V385" s="1745">
        <v>1</v>
      </c>
      <c r="W385" s="1745">
        <f>S03A02</f>
        <v>1</v>
      </c>
      <c r="X385" s="1745">
        <v>1</v>
      </c>
      <c r="Y385" s="1745">
        <f>S01E03</f>
        <v>1</v>
      </c>
      <c r="Z385" s="1746">
        <v>0</v>
      </c>
      <c r="AA385" s="1747"/>
      <c r="AB385" s="1748"/>
      <c r="AC385" s="1748"/>
      <c r="AD385" s="1595" t="str">
        <f t="shared" si="222"/>
        <v/>
      </c>
      <c r="AE385" s="1595">
        <f>IF(OR(Q385="",T385=""),"",IF(Q385="A",INDEX(base_p,4,W385+7*(T385-1)),IF(Q385="E",INDEX(base_p,15,W385+7*(T385-1)),INDEX(base_p,27-V385,W385+7*(T385-1)))))</f>
        <v>3</v>
      </c>
      <c r="AF385" s="1595" t="str">
        <f>IF(AT385=1,IF(IndG=1,U385,IF(AND(OR(NOT(AD385=""),NOT(AB385="")),OR(NOT(AE385=""),NOT(AC385="")),AT385=1),INDEX(base_g,5-IF(AB385="",AD385,AB385),IF(AC385="",AE385,AC385)),"")),0)</f>
        <v/>
      </c>
      <c r="AG385" s="1748"/>
      <c r="AH385" s="1749" t="str">
        <f t="shared" si="223"/>
        <v/>
      </c>
      <c r="AI385" s="1620"/>
      <c r="AJ385" s="1616" t="s">
        <v>6388</v>
      </c>
      <c r="AK385" s="1616"/>
      <c r="AL385" s="1617" t="s">
        <v>3128</v>
      </c>
      <c r="AM385" s="247" t="str">
        <f t="shared" si="216"/>
        <v/>
      </c>
      <c r="AN385" s="247" t="str">
        <f t="shared" si="217"/>
        <v/>
      </c>
      <c r="AO385" s="247" t="str">
        <f t="shared" si="218"/>
        <v/>
      </c>
      <c r="AP385" s="247" t="str">
        <f t="shared" si="219"/>
        <v/>
      </c>
      <c r="AQ385" s="42">
        <f>VLOOKUP(LEFT(C385,3),Tab_classif_servG,6)</f>
        <v>1</v>
      </c>
      <c r="AR385" s="42">
        <f>VLOOKUP(G385,select_vul_serv,2)</f>
        <v>1</v>
      </c>
      <c r="AS385" s="42">
        <f>VLOOKUP(H385&amp;"."&amp;I385,select_men,5)</f>
        <v>1</v>
      </c>
      <c r="AT385" s="42">
        <f>P385*AQ385*AR385*AS385</f>
        <v>1</v>
      </c>
      <c r="AU385" s="247" t="str">
        <f t="shared" si="220"/>
        <v/>
      </c>
      <c r="AV385" s="247" t="str">
        <f t="shared" si="221"/>
        <v/>
      </c>
    </row>
    <row r="386" spans="1:48" ht="24" x14ac:dyDescent="0.2">
      <c r="A386" s="450" t="s">
        <v>432</v>
      </c>
      <c r="B386" s="462" t="s">
        <v>1230</v>
      </c>
      <c r="C386" s="436" t="s">
        <v>1797</v>
      </c>
      <c r="D386" s="1349" t="s">
        <v>1873</v>
      </c>
      <c r="E386" s="1350" t="s">
        <v>3849</v>
      </c>
      <c r="F386" s="1350" t="s">
        <v>1503</v>
      </c>
      <c r="G386" s="1359" t="s">
        <v>6080</v>
      </c>
      <c r="H386" s="1342" t="s">
        <v>1474</v>
      </c>
      <c r="I386" s="432" t="s">
        <v>5465</v>
      </c>
      <c r="J386" s="431"/>
      <c r="K386" s="431"/>
      <c r="L386" s="431"/>
      <c r="M386" s="433"/>
      <c r="N386" s="434"/>
      <c r="O386" s="1743" t="str">
        <f>VLOOKUP(B386,code_famille_scénario,2)&amp;", due "&amp;VLOOKUP(I386,code_event,2)</f>
        <v>Indisponibilité accidentelle de l'environnement de travail, due à une impossibilité d'accéder aux locaux (cause externe)</v>
      </c>
      <c r="P386" s="435">
        <v>1</v>
      </c>
      <c r="Q386" s="1595" t="s">
        <v>1431</v>
      </c>
      <c r="R386" s="1595" t="s">
        <v>1873</v>
      </c>
      <c r="S386" s="1595" t="str">
        <f>Classif!C18</f>
        <v/>
      </c>
      <c r="T386" s="1595">
        <f>VLOOKUP(H386&amp;"."&amp;I386,Tab_event,4)</f>
        <v>2</v>
      </c>
      <c r="U386" s="1744" t="str">
        <f>IF(AND(NOT(S386=""),NOT(T386="")),INDEX(base_g,5-S386,T386),"")</f>
        <v/>
      </c>
      <c r="V386" s="1745">
        <v>1</v>
      </c>
      <c r="W386" s="1745">
        <v>1</v>
      </c>
      <c r="X386" s="1745">
        <v>1</v>
      </c>
      <c r="Y386" s="1745">
        <f>S01E03</f>
        <v>1</v>
      </c>
      <c r="Z386" s="1746">
        <v>0</v>
      </c>
      <c r="AA386" s="1747"/>
      <c r="AB386" s="1748"/>
      <c r="AC386" s="1748"/>
      <c r="AD386" s="1595" t="str">
        <f t="shared" si="222"/>
        <v/>
      </c>
      <c r="AE386" s="1595">
        <f>IF(OR(Q386="",T386=""),"",IF(Q386="A",INDEX(base_p,4,W386+7*(T386-1)),IF(Q386="E",INDEX(base_p,15,W386+7*(T386-1)),INDEX(base_p,27-V386,W386+7*(T386-1)))))</f>
        <v>2</v>
      </c>
      <c r="AF386" s="1595" t="str">
        <f>IF(AT386=1,IF(IndG=1,U386,IF(AND(OR(NOT(AD386=""),NOT(AB386="")),OR(NOT(AE386=""),NOT(AC386="")),AT386=1),INDEX(base_g,5-IF(AB386="",AD386,AB386),IF(AC386="",AE386,AC386)),"")),0)</f>
        <v/>
      </c>
      <c r="AG386" s="1748"/>
      <c r="AH386" s="1749" t="str">
        <f t="shared" si="223"/>
        <v/>
      </c>
      <c r="AI386" s="1620"/>
      <c r="AJ386" s="1616"/>
      <c r="AK386" s="1616"/>
      <c r="AL386" s="1617" t="s">
        <v>3128</v>
      </c>
      <c r="AM386" s="247" t="str">
        <f t="shared" si="216"/>
        <v/>
      </c>
      <c r="AN386" s="247" t="str">
        <f t="shared" si="217"/>
        <v/>
      </c>
      <c r="AO386" s="247" t="str">
        <f t="shared" si="218"/>
        <v/>
      </c>
      <c r="AP386" s="247" t="str">
        <f t="shared" si="219"/>
        <v/>
      </c>
      <c r="AQ386" s="42">
        <f>VLOOKUP(LEFT(C386,3),Tab_classif_servG,6)</f>
        <v>1</v>
      </c>
      <c r="AR386" s="42">
        <f>VLOOKUP(G386,select_vul_serv,2)</f>
        <v>1</v>
      </c>
      <c r="AS386" s="42">
        <f>VLOOKUP(H386&amp;"."&amp;I386,select_men,5)</f>
        <v>1</v>
      </c>
      <c r="AT386" s="42">
        <f>P386*AQ386*AR386*AS386</f>
        <v>1</v>
      </c>
      <c r="AU386" s="247" t="str">
        <f t="shared" si="220"/>
        <v/>
      </c>
      <c r="AV386" s="247" t="str">
        <f t="shared" si="221"/>
        <v/>
      </c>
    </row>
    <row r="387" spans="1:48" ht="15" x14ac:dyDescent="0.2">
      <c r="A387" s="456" t="s">
        <v>1763</v>
      </c>
      <c r="B387" s="457"/>
      <c r="C387" s="420" t="s">
        <v>1049</v>
      </c>
      <c r="D387" s="1356"/>
      <c r="E387" s="1357"/>
      <c r="F387" s="1357"/>
      <c r="G387" s="1360"/>
      <c r="H387" s="1345"/>
      <c r="I387" s="459"/>
      <c r="J387" s="458"/>
      <c r="K387" s="458"/>
      <c r="L387" s="458"/>
      <c r="M387" s="460"/>
      <c r="N387" s="461"/>
      <c r="O387" s="1761"/>
      <c r="P387" s="1608"/>
      <c r="Q387" s="1596"/>
      <c r="R387" s="1596"/>
      <c r="S387" s="1753"/>
      <c r="T387" s="1595"/>
      <c r="U387" s="1744"/>
      <c r="V387" s="1754"/>
      <c r="W387" s="1754"/>
      <c r="X387" s="1754"/>
      <c r="Y387" s="1754"/>
      <c r="Z387" s="1762"/>
      <c r="AA387" s="1763"/>
      <c r="AB387" s="1748"/>
      <c r="AC387" s="1748"/>
      <c r="AD387" s="1595"/>
      <c r="AE387" s="1753"/>
      <c r="AF387" s="1595"/>
      <c r="AG387" s="1748"/>
      <c r="AH387" s="1749"/>
      <c r="AI387" s="1627"/>
      <c r="AJ387" s="1628"/>
      <c r="AK387" s="1628"/>
      <c r="AL387" s="1629"/>
      <c r="AU387" s="247" t="str">
        <f t="shared" si="220"/>
        <v/>
      </c>
      <c r="AV387" s="247" t="str">
        <f t="shared" si="221"/>
        <v/>
      </c>
    </row>
    <row r="388" spans="1:48" ht="24" x14ac:dyDescent="0.2">
      <c r="A388" s="450" t="s">
        <v>429</v>
      </c>
      <c r="B388" s="429" t="s">
        <v>5621</v>
      </c>
      <c r="C388" s="430" t="s">
        <v>1894</v>
      </c>
      <c r="D388" s="1349" t="s">
        <v>1873</v>
      </c>
      <c r="E388" s="1350" t="s">
        <v>2778</v>
      </c>
      <c r="F388" s="1350" t="s">
        <v>2779</v>
      </c>
      <c r="G388" s="1351" t="s">
        <v>6068</v>
      </c>
      <c r="H388" s="1342" t="s">
        <v>1465</v>
      </c>
      <c r="I388" s="432" t="s">
        <v>1880</v>
      </c>
      <c r="J388" s="431" t="s">
        <v>1880</v>
      </c>
      <c r="K388" s="431"/>
      <c r="L388" s="431"/>
      <c r="M388" s="433"/>
      <c r="N388" s="434"/>
      <c r="O388" s="1743" t="str">
        <f>VLOOKUP(B388,code_famille_scénario,2)&amp;VLOOKUP(C388,code_actif,2)&amp;", suite "&amp;VLOOKUP(I388,code_event,2)</f>
        <v>Effacement accidentel de programmes de services de télécommunication (voix, télécopies, visioconférence, etc.), suite à un incident d'exploitation</v>
      </c>
      <c r="P388" s="435">
        <v>1</v>
      </c>
      <c r="Q388" s="1595" t="s">
        <v>1431</v>
      </c>
      <c r="R388" s="1595" t="s">
        <v>1873</v>
      </c>
      <c r="S388" s="1595" t="str">
        <f>Classif!C19</f>
        <v/>
      </c>
      <c r="T388" s="1595">
        <f t="shared" ref="T388:T405" si="250">VLOOKUP(H388&amp;"."&amp;I388,Tab_event,4)</f>
        <v>3</v>
      </c>
      <c r="U388" s="1744" t="str">
        <f t="shared" ref="U388:U405" si="251">IF(AND(NOT(S388=""),NOT(T388="")),INDEX(base_g,5-S388,T388),"")</f>
        <v/>
      </c>
      <c r="V388" s="1745">
        <v>1</v>
      </c>
      <c r="W388" s="1745">
        <f>S12A02</f>
        <v>1</v>
      </c>
      <c r="X388" s="1745">
        <v>1</v>
      </c>
      <c r="Y388" s="1745">
        <f>S12C03</f>
        <v>1</v>
      </c>
      <c r="Z388" s="1746">
        <v>0</v>
      </c>
      <c r="AA388" s="1747"/>
      <c r="AB388" s="1748"/>
      <c r="AC388" s="1748"/>
      <c r="AD388" s="1595" t="str">
        <f t="shared" si="222"/>
        <v/>
      </c>
      <c r="AE388" s="1595">
        <f t="shared" ref="AE388:AE405" si="252">IF(OR(Q388="",T388=""),"",IF(Q388="A",INDEX(base_p,4,W388+7*(T388-1)),IF(Q388="E",INDEX(base_p,15,W388+7*(T388-1)),INDEX(base_p,27-V388,W388+7*(T388-1)))))</f>
        <v>3</v>
      </c>
      <c r="AF388" s="1595" t="str">
        <f t="shared" ref="AF388:AF405" si="253">IF(AT388=1,IF(IndG=1,U388,IF(AND(OR(NOT(AD388=""),NOT(AB388="")),OR(NOT(AE388=""),NOT(AC388="")),AT388=1),INDEX(base_g,5-IF(AB388="",AD388,AB388),IF(AC388="",AE388,AC388)),"")),0)</f>
        <v/>
      </c>
      <c r="AG388" s="1748"/>
      <c r="AH388" s="1749" t="str">
        <f t="shared" si="223"/>
        <v/>
      </c>
      <c r="AI388" s="1615"/>
      <c r="AJ388" s="1616" t="s">
        <v>3267</v>
      </c>
      <c r="AK388" s="1616"/>
      <c r="AL388" s="1617" t="s">
        <v>4882</v>
      </c>
      <c r="AM388" s="247" t="str">
        <f t="shared" si="216"/>
        <v/>
      </c>
      <c r="AN388" s="247" t="str">
        <f t="shared" si="217"/>
        <v/>
      </c>
      <c r="AO388" s="247" t="str">
        <f t="shared" si="218"/>
        <v/>
      </c>
      <c r="AP388" s="247" t="str">
        <f t="shared" si="219"/>
        <v/>
      </c>
      <c r="AQ388" s="42">
        <f t="shared" ref="AQ388:AQ405" si="254">VLOOKUP(LEFT(C388,3),Tab_classif_servG,6)</f>
        <v>1</v>
      </c>
      <c r="AR388" s="42">
        <f t="shared" ref="AR388:AR405" si="255">VLOOKUP(G388,select_vul_serv,2)</f>
        <v>1</v>
      </c>
      <c r="AS388" s="42">
        <f t="shared" ref="AS388:AS405" si="256">VLOOKUP(H388&amp;"."&amp;I388,select_men,5)</f>
        <v>1</v>
      </c>
      <c r="AT388" s="42">
        <f t="shared" ref="AT388:AT405" si="257">P388*AQ388*AR388*AS388</f>
        <v>1</v>
      </c>
      <c r="AU388" s="247" t="str">
        <f t="shared" si="220"/>
        <v/>
      </c>
      <c r="AV388" s="247" t="str">
        <f t="shared" si="221"/>
        <v/>
      </c>
    </row>
    <row r="389" spans="1:48" ht="36" x14ac:dyDescent="0.2">
      <c r="A389" s="450" t="s">
        <v>430</v>
      </c>
      <c r="B389" s="429" t="s">
        <v>1494</v>
      </c>
      <c r="C389" s="430" t="s">
        <v>1894</v>
      </c>
      <c r="D389" s="1349" t="s">
        <v>1873</v>
      </c>
      <c r="E389" s="1350" t="s">
        <v>2778</v>
      </c>
      <c r="F389" s="1350" t="s">
        <v>2779</v>
      </c>
      <c r="G389" s="1351" t="s">
        <v>6068</v>
      </c>
      <c r="H389" s="1342" t="s">
        <v>1327</v>
      </c>
      <c r="I389" s="432" t="s">
        <v>1545</v>
      </c>
      <c r="J389" s="431" t="s">
        <v>1880</v>
      </c>
      <c r="K389" s="431"/>
      <c r="L389" s="431"/>
      <c r="M389" s="433"/>
      <c r="N389" s="434" t="s">
        <v>1299</v>
      </c>
      <c r="O389" s="1743" t="str">
        <f>VLOOKUP(B389,code_famille_scénario,2)&amp;VLOOKUP(C389,code_actif,2)&amp;", par "&amp;VLOOKUP(N389,code_acteur,2)</f>
        <v>Effacement par erreur de configuration (code, paramétrage, etc.) de services de télécommunication (voix, télécopies, visioconférence, etc.), par un membre du personnel de maintenance</v>
      </c>
      <c r="P389" s="435">
        <v>1</v>
      </c>
      <c r="Q389" s="1595" t="s">
        <v>6403</v>
      </c>
      <c r="R389" s="1595" t="s">
        <v>1873</v>
      </c>
      <c r="S389" s="1595" t="str">
        <f>Classif!C19</f>
        <v/>
      </c>
      <c r="T389" s="1595">
        <f t="shared" si="250"/>
        <v>3</v>
      </c>
      <c r="U389" s="1744" t="str">
        <f t="shared" si="251"/>
        <v/>
      </c>
      <c r="V389" s="1745">
        <v>1</v>
      </c>
      <c r="W389" s="1745">
        <f>S12A03</f>
        <v>1</v>
      </c>
      <c r="X389" s="1745">
        <v>1</v>
      </c>
      <c r="Y389" s="1745">
        <f>S12C03</f>
        <v>1</v>
      </c>
      <c r="Z389" s="1746">
        <v>0</v>
      </c>
      <c r="AA389" s="1747"/>
      <c r="AB389" s="1748"/>
      <c r="AC389" s="1748"/>
      <c r="AD389" s="1595" t="str">
        <f t="shared" si="222"/>
        <v/>
      </c>
      <c r="AE389" s="1595">
        <f t="shared" si="252"/>
        <v>3</v>
      </c>
      <c r="AF389" s="1595" t="str">
        <f t="shared" si="253"/>
        <v/>
      </c>
      <c r="AG389" s="1748"/>
      <c r="AH389" s="1749" t="str">
        <f t="shared" si="223"/>
        <v/>
      </c>
      <c r="AI389" s="1615"/>
      <c r="AJ389" s="1616" t="s">
        <v>4024</v>
      </c>
      <c r="AK389" s="1618"/>
      <c r="AL389" s="1617" t="s">
        <v>4882</v>
      </c>
      <c r="AM389" s="247" t="str">
        <f t="shared" si="216"/>
        <v/>
      </c>
      <c r="AN389" s="247" t="str">
        <f t="shared" si="217"/>
        <v/>
      </c>
      <c r="AO389" s="247" t="str">
        <f t="shared" si="218"/>
        <v/>
      </c>
      <c r="AP389" s="247" t="str">
        <f t="shared" si="219"/>
        <v/>
      </c>
      <c r="AQ389" s="42">
        <f t="shared" si="254"/>
        <v>1</v>
      </c>
      <c r="AR389" s="42">
        <f t="shared" si="255"/>
        <v>1</v>
      </c>
      <c r="AS389" s="42">
        <f t="shared" si="256"/>
        <v>1</v>
      </c>
      <c r="AT389" s="42">
        <f t="shared" si="257"/>
        <v>1</v>
      </c>
      <c r="AU389" s="247" t="str">
        <f t="shared" si="220"/>
        <v/>
      </c>
      <c r="AV389" s="247" t="str">
        <f t="shared" si="221"/>
        <v/>
      </c>
    </row>
    <row r="390" spans="1:48" ht="24" x14ac:dyDescent="0.2">
      <c r="A390" s="450" t="s">
        <v>431</v>
      </c>
      <c r="B390" s="429" t="s">
        <v>5623</v>
      </c>
      <c r="C390" s="430" t="s">
        <v>1894</v>
      </c>
      <c r="D390" s="1349" t="s">
        <v>1873</v>
      </c>
      <c r="E390" s="1350" t="s">
        <v>2778</v>
      </c>
      <c r="F390" s="1350" t="s">
        <v>2779</v>
      </c>
      <c r="G390" s="1351" t="s">
        <v>6068</v>
      </c>
      <c r="H390" s="1342" t="s">
        <v>1328</v>
      </c>
      <c r="I390" s="432" t="s">
        <v>1546</v>
      </c>
      <c r="J390" s="431" t="s">
        <v>1880</v>
      </c>
      <c r="K390" s="431"/>
      <c r="L390" s="431"/>
      <c r="M390" s="433"/>
      <c r="N390" s="434" t="s">
        <v>6403</v>
      </c>
      <c r="O390" s="1743" t="str">
        <f>VLOOKUP(B390,code_famille_scénario,2)&amp;VLOOKUP(C390,code_actif,2)&amp;", par "&amp;VLOOKUP(N390,code_acteur,2)</f>
        <v>Effacement malveillant de programmes de services de télécommunication (voix, télécopies, visioconférence, etc.), par un membre du personnel d'exploitation</v>
      </c>
      <c r="P390" s="435">
        <v>1</v>
      </c>
      <c r="Q390" s="1595" t="s">
        <v>1299</v>
      </c>
      <c r="R390" s="1595" t="s">
        <v>1873</v>
      </c>
      <c r="S390" s="1595" t="str">
        <f>Classif!C19</f>
        <v/>
      </c>
      <c r="T390" s="1595">
        <f t="shared" si="250"/>
        <v>2</v>
      </c>
      <c r="U390" s="1744" t="str">
        <f t="shared" si="251"/>
        <v/>
      </c>
      <c r="V390" s="1745">
        <f>MIN(S12E02,S12E03)</f>
        <v>1</v>
      </c>
      <c r="W390" s="1745">
        <v>1</v>
      </c>
      <c r="X390" s="1745">
        <v>1</v>
      </c>
      <c r="Y390" s="1745">
        <f>S12C03</f>
        <v>1</v>
      </c>
      <c r="Z390" s="1746">
        <v>0</v>
      </c>
      <c r="AA390" s="1747"/>
      <c r="AB390" s="1748"/>
      <c r="AC390" s="1748"/>
      <c r="AD390" s="1595" t="str">
        <f t="shared" si="222"/>
        <v/>
      </c>
      <c r="AE390" s="1595">
        <f t="shared" si="252"/>
        <v>2</v>
      </c>
      <c r="AF390" s="1595" t="str">
        <f t="shared" si="253"/>
        <v/>
      </c>
      <c r="AG390" s="1748"/>
      <c r="AH390" s="1749" t="str">
        <f t="shared" si="223"/>
        <v/>
      </c>
      <c r="AI390" s="1622" t="s">
        <v>1746</v>
      </c>
      <c r="AJ390" s="1621"/>
      <c r="AK390" s="1618"/>
      <c r="AL390" s="1617" t="s">
        <v>4882</v>
      </c>
      <c r="AM390" s="247" t="str">
        <f t="shared" ref="AM390:AM453" si="258">IF($AH390=1,$H390&amp;"."&amp;$I390&amp;$AH390,"")</f>
        <v/>
      </c>
      <c r="AN390" s="247" t="str">
        <f t="shared" ref="AN390:AN453" si="259">IF($AH390=2,$H390&amp;"."&amp;$I390&amp;$AH390,"")</f>
        <v/>
      </c>
      <c r="AO390" s="247" t="str">
        <f t="shared" ref="AO390:AO453" si="260">IF($AH390=3,$H390&amp;"."&amp;$I390&amp;$AH390,"")</f>
        <v/>
      </c>
      <c r="AP390" s="247" t="str">
        <f t="shared" ref="AP390:AP453" si="261">IF($AH390=4,$H390&amp;"."&amp;$I390&amp;$AH390,"")</f>
        <v/>
      </c>
      <c r="AQ390" s="42">
        <f t="shared" si="254"/>
        <v>1</v>
      </c>
      <c r="AR390" s="42">
        <f t="shared" si="255"/>
        <v>1</v>
      </c>
      <c r="AS390" s="42">
        <f t="shared" si="256"/>
        <v>1</v>
      </c>
      <c r="AT390" s="42">
        <f t="shared" si="257"/>
        <v>1</v>
      </c>
      <c r="AU390" s="247" t="str">
        <f t="shared" ref="AU390:AU453" si="262">IF(S390="","",IF(T390="","",10*S390+T390))</f>
        <v/>
      </c>
      <c r="AV390" s="247" t="str">
        <f t="shared" ref="AV390:AV453" si="263">IF(AD390="","",IF(AE390="","",10*AD390+AE390))</f>
        <v/>
      </c>
    </row>
    <row r="391" spans="1:48" ht="24" x14ac:dyDescent="0.2">
      <c r="A391" s="450" t="s">
        <v>432</v>
      </c>
      <c r="B391" s="429" t="s">
        <v>5623</v>
      </c>
      <c r="C391" s="430" t="s">
        <v>1894</v>
      </c>
      <c r="D391" s="1349" t="s">
        <v>1873</v>
      </c>
      <c r="E391" s="1350" t="s">
        <v>2778</v>
      </c>
      <c r="F391" s="1350" t="s">
        <v>2779</v>
      </c>
      <c r="G391" s="1351" t="s">
        <v>6068</v>
      </c>
      <c r="H391" s="1342" t="s">
        <v>1328</v>
      </c>
      <c r="I391" s="432" t="s">
        <v>1546</v>
      </c>
      <c r="J391" s="431" t="s">
        <v>1880</v>
      </c>
      <c r="K391" s="431"/>
      <c r="L391" s="431"/>
      <c r="M391" s="433"/>
      <c r="N391" s="434" t="s">
        <v>1299</v>
      </c>
      <c r="O391" s="1743" t="str">
        <f>VLOOKUP(B391,code_famille_scénario,2)&amp;VLOOKUP(C391,code_actif,2)&amp;", par "&amp;VLOOKUP(N391,code_acteur,2)</f>
        <v>Effacement malveillant de programmes de services de télécommunication (voix, télécopies, visioconférence, etc.), par un membre du personnel de maintenance</v>
      </c>
      <c r="P391" s="435">
        <v>1</v>
      </c>
      <c r="Q391" s="1595" t="s">
        <v>1299</v>
      </c>
      <c r="R391" s="1595" t="s">
        <v>1873</v>
      </c>
      <c r="S391" s="1595" t="str">
        <f>Classif!C19</f>
        <v/>
      </c>
      <c r="T391" s="1595">
        <f t="shared" si="250"/>
        <v>2</v>
      </c>
      <c r="U391" s="1744" t="str">
        <f t="shared" si="251"/>
        <v/>
      </c>
      <c r="V391" s="1745">
        <f>S12A03</f>
        <v>1</v>
      </c>
      <c r="W391" s="1745">
        <v>1</v>
      </c>
      <c r="X391" s="1745">
        <v>1</v>
      </c>
      <c r="Y391" s="1745">
        <f>S12C03</f>
        <v>1</v>
      </c>
      <c r="Z391" s="1746">
        <v>0</v>
      </c>
      <c r="AA391" s="1747"/>
      <c r="AB391" s="1748"/>
      <c r="AC391" s="1748"/>
      <c r="AD391" s="1595" t="str">
        <f t="shared" ref="AD391:AD454" si="264">IF(OR(R391="",S391=""),"",IF(R391="D",INDEX(base_i,IF(IF(AA391="",Z391,AA391)=0,4,5-X391),Y391+7*(S391-1)),IF(R391="I",INDEX(base_i,IF(IF(AA391="",Z391,AA391)=0,15,16-X391),Y391+7*(S391-1)),IF(R391="C",INDEX(base_i,IF(IF(AA391="",Z391,AA391)=0,26,27-X391),Y391+7*(S391-1)),INDEX(base_i,38-X391,Y391+7*(S391-1))))))</f>
        <v/>
      </c>
      <c r="AE391" s="1595">
        <f t="shared" si="252"/>
        <v>2</v>
      </c>
      <c r="AF391" s="1595" t="str">
        <f t="shared" si="253"/>
        <v/>
      </c>
      <c r="AG391" s="1748"/>
      <c r="AH391" s="1749" t="str">
        <f t="shared" ref="AH391:AH454" si="265">IF(OR(AG391="A",AG391="a",AG391="T",AG391="t",AF391=""),"",AF391)</f>
        <v/>
      </c>
      <c r="AI391" s="1620" t="s">
        <v>4024</v>
      </c>
      <c r="AJ391" s="1616"/>
      <c r="AK391" s="1616"/>
      <c r="AL391" s="1617" t="s">
        <v>4882</v>
      </c>
      <c r="AM391" s="247" t="str">
        <f t="shared" si="258"/>
        <v/>
      </c>
      <c r="AN391" s="247" t="str">
        <f t="shared" si="259"/>
        <v/>
      </c>
      <c r="AO391" s="247" t="str">
        <f t="shared" si="260"/>
        <v/>
      </c>
      <c r="AP391" s="247" t="str">
        <f t="shared" si="261"/>
        <v/>
      </c>
      <c r="AQ391" s="42">
        <f t="shared" si="254"/>
        <v>1</v>
      </c>
      <c r="AR391" s="42">
        <f t="shared" si="255"/>
        <v>1</v>
      </c>
      <c r="AS391" s="42">
        <f t="shared" si="256"/>
        <v>1</v>
      </c>
      <c r="AT391" s="42">
        <f t="shared" si="257"/>
        <v>1</v>
      </c>
      <c r="AU391" s="247" t="str">
        <f t="shared" si="262"/>
        <v/>
      </c>
      <c r="AV391" s="247" t="str">
        <f t="shared" si="263"/>
        <v/>
      </c>
    </row>
    <row r="392" spans="1:48" ht="36" x14ac:dyDescent="0.2">
      <c r="A392" s="450" t="s">
        <v>433</v>
      </c>
      <c r="B392" s="429" t="s">
        <v>4599</v>
      </c>
      <c r="C392" s="430" t="s">
        <v>1894</v>
      </c>
      <c r="D392" s="1349" t="s">
        <v>1873</v>
      </c>
      <c r="E392" s="1350" t="s">
        <v>5930</v>
      </c>
      <c r="F392" s="1350" t="s">
        <v>1879</v>
      </c>
      <c r="G392" s="1351" t="s">
        <v>5440</v>
      </c>
      <c r="H392" s="1342" t="s">
        <v>1554</v>
      </c>
      <c r="I392" s="432" t="s">
        <v>1534</v>
      </c>
      <c r="J392" s="431" t="s">
        <v>1880</v>
      </c>
      <c r="K392" s="431"/>
      <c r="L392" s="431"/>
      <c r="M392" s="433"/>
      <c r="N392" s="434"/>
      <c r="O392" s="1743" t="str">
        <f>VLOOKUP(B392,code_famille_scénario,2)&amp;VLOOKUP(C392,code_actif,2)&amp;", "&amp;VLOOKUP(J392,Code_lieu,2)&amp;", due "&amp;VLOOKUP(I392,code_event,2)</f>
        <v>Endommagement accidentel de système hôte de services de télécommunication (voix, télécopies, visioconférence, etc.), dans les locaux de l'exploitation, due à un dégât des eaux</v>
      </c>
      <c r="P392" s="435">
        <v>1</v>
      </c>
      <c r="Q392" s="1595" t="s">
        <v>1431</v>
      </c>
      <c r="R392" s="1595" t="s">
        <v>1873</v>
      </c>
      <c r="S392" s="1595" t="str">
        <f>Classif!C19</f>
        <v/>
      </c>
      <c r="T392" s="1595">
        <f t="shared" si="250"/>
        <v>3</v>
      </c>
      <c r="U392" s="1744" t="str">
        <f t="shared" si="251"/>
        <v/>
      </c>
      <c r="V392" s="1745">
        <v>1</v>
      </c>
      <c r="W392" s="1745">
        <f>S03C01</f>
        <v>1</v>
      </c>
      <c r="X392" s="1745">
        <v>1</v>
      </c>
      <c r="Y392" s="1745">
        <f>S12C04</f>
        <v>1</v>
      </c>
      <c r="Z392" s="1746">
        <v>0</v>
      </c>
      <c r="AA392" s="1747"/>
      <c r="AB392" s="1748"/>
      <c r="AC392" s="1748"/>
      <c r="AD392" s="1595" t="str">
        <f t="shared" si="264"/>
        <v/>
      </c>
      <c r="AE392" s="1595">
        <f t="shared" si="252"/>
        <v>3</v>
      </c>
      <c r="AF392" s="1595" t="str">
        <f t="shared" si="253"/>
        <v/>
      </c>
      <c r="AG392" s="1748"/>
      <c r="AH392" s="1749" t="str">
        <f t="shared" si="265"/>
        <v/>
      </c>
      <c r="AI392" s="1620"/>
      <c r="AJ392" s="1616" t="s">
        <v>5220</v>
      </c>
      <c r="AK392" s="1616"/>
      <c r="AL392" s="1617" t="s">
        <v>4890</v>
      </c>
      <c r="AM392" s="247" t="str">
        <f t="shared" si="258"/>
        <v/>
      </c>
      <c r="AN392" s="247" t="str">
        <f t="shared" si="259"/>
        <v/>
      </c>
      <c r="AO392" s="247" t="str">
        <f t="shared" si="260"/>
        <v/>
      </c>
      <c r="AP392" s="247" t="str">
        <f t="shared" si="261"/>
        <v/>
      </c>
      <c r="AQ392" s="42">
        <f t="shared" si="254"/>
        <v>1</v>
      </c>
      <c r="AR392" s="42">
        <f t="shared" si="255"/>
        <v>1</v>
      </c>
      <c r="AS392" s="42">
        <f t="shared" si="256"/>
        <v>1</v>
      </c>
      <c r="AT392" s="42">
        <f t="shared" si="257"/>
        <v>1</v>
      </c>
      <c r="AU392" s="247" t="str">
        <f t="shared" si="262"/>
        <v/>
      </c>
      <c r="AV392" s="247" t="str">
        <f t="shared" si="263"/>
        <v/>
      </c>
    </row>
    <row r="393" spans="1:48" ht="36" x14ac:dyDescent="0.2">
      <c r="A393" s="450" t="s">
        <v>434</v>
      </c>
      <c r="B393" s="429" t="s">
        <v>4599</v>
      </c>
      <c r="C393" s="430" t="s">
        <v>1894</v>
      </c>
      <c r="D393" s="1349" t="s">
        <v>1873</v>
      </c>
      <c r="E393" s="1350" t="s">
        <v>5930</v>
      </c>
      <c r="F393" s="1350" t="s">
        <v>1879</v>
      </c>
      <c r="G393" s="1351" t="s">
        <v>5440</v>
      </c>
      <c r="H393" s="1342" t="s">
        <v>1554</v>
      </c>
      <c r="I393" s="432" t="s">
        <v>1537</v>
      </c>
      <c r="J393" s="431" t="s">
        <v>1880</v>
      </c>
      <c r="K393" s="431"/>
      <c r="L393" s="431"/>
      <c r="M393" s="433"/>
      <c r="N393" s="434"/>
      <c r="O393" s="1743" t="str">
        <f>VLOOKUP(B393,code_famille_scénario,2)&amp;VLOOKUP(C393,code_actif,2)&amp;", "&amp;VLOOKUP(J393,Code_lieu,2)&amp;", due "&amp;VLOOKUP(I393,code_event,2)</f>
        <v>Endommagement accidentel de système hôte de services de télécommunication (voix, télécopies, visioconférence, etc.), dans les locaux de l'exploitation, due à une surcharge électrique</v>
      </c>
      <c r="P393" s="435">
        <v>1</v>
      </c>
      <c r="Q393" s="1595" t="s">
        <v>1431</v>
      </c>
      <c r="R393" s="1595" t="s">
        <v>1873</v>
      </c>
      <c r="S393" s="1595" t="str">
        <f>Classif!C19</f>
        <v/>
      </c>
      <c r="T393" s="1595">
        <f t="shared" si="250"/>
        <v>2</v>
      </c>
      <c r="U393" s="1744" t="str">
        <f t="shared" si="251"/>
        <v/>
      </c>
      <c r="V393" s="1745">
        <v>1</v>
      </c>
      <c r="W393" s="1745">
        <f>MIN(S03A01,S03A04)</f>
        <v>1</v>
      </c>
      <c r="X393" s="1745">
        <v>1</v>
      </c>
      <c r="Y393" s="1745">
        <f>S12C04</f>
        <v>1</v>
      </c>
      <c r="Z393" s="1746">
        <v>0</v>
      </c>
      <c r="AA393" s="1747"/>
      <c r="AB393" s="1748"/>
      <c r="AC393" s="1748"/>
      <c r="AD393" s="1595" t="str">
        <f t="shared" si="264"/>
        <v/>
      </c>
      <c r="AE393" s="1595">
        <f t="shared" si="252"/>
        <v>2</v>
      </c>
      <c r="AF393" s="1595" t="str">
        <f t="shared" si="253"/>
        <v/>
      </c>
      <c r="AG393" s="1748"/>
      <c r="AH393" s="1749" t="str">
        <f t="shared" si="265"/>
        <v/>
      </c>
      <c r="AI393" s="1615"/>
      <c r="AJ393" s="1616" t="s">
        <v>5252</v>
      </c>
      <c r="AK393" s="1616"/>
      <c r="AL393" s="1617" t="s">
        <v>4890</v>
      </c>
      <c r="AM393" s="247" t="str">
        <f t="shared" si="258"/>
        <v/>
      </c>
      <c r="AN393" s="247" t="str">
        <f t="shared" si="259"/>
        <v/>
      </c>
      <c r="AO393" s="247" t="str">
        <f t="shared" si="260"/>
        <v/>
      </c>
      <c r="AP393" s="247" t="str">
        <f t="shared" si="261"/>
        <v/>
      </c>
      <c r="AQ393" s="42">
        <f t="shared" si="254"/>
        <v>1</v>
      </c>
      <c r="AR393" s="42">
        <f t="shared" si="255"/>
        <v>1</v>
      </c>
      <c r="AS393" s="42">
        <f t="shared" si="256"/>
        <v>1</v>
      </c>
      <c r="AT393" s="42">
        <f t="shared" si="257"/>
        <v>1</v>
      </c>
      <c r="AU393" s="247" t="str">
        <f t="shared" si="262"/>
        <v/>
      </c>
      <c r="AV393" s="247" t="str">
        <f t="shared" si="263"/>
        <v/>
      </c>
    </row>
    <row r="394" spans="1:48" ht="36" x14ac:dyDescent="0.2">
      <c r="A394" s="450" t="s">
        <v>435</v>
      </c>
      <c r="B394" s="429" t="s">
        <v>4600</v>
      </c>
      <c r="C394" s="430" t="s">
        <v>1894</v>
      </c>
      <c r="D394" s="1349" t="s">
        <v>1873</v>
      </c>
      <c r="E394" s="1350" t="s">
        <v>5930</v>
      </c>
      <c r="F394" s="1350" t="s">
        <v>1875</v>
      </c>
      <c r="G394" s="1351" t="s">
        <v>5439</v>
      </c>
      <c r="H394" s="1342" t="s">
        <v>3919</v>
      </c>
      <c r="I394" s="432" t="s">
        <v>4329</v>
      </c>
      <c r="J394" s="431" t="s">
        <v>1880</v>
      </c>
      <c r="K394" s="431"/>
      <c r="L394" s="431"/>
      <c r="M394" s="433"/>
      <c r="N394" s="434"/>
      <c r="O394" s="1743" t="str">
        <f>VLOOKUP(B394,code_famille_scénario,2)&amp;VLOOKUP(C394,code_actif,2)&amp;", "&amp;VLOOKUP(J394,Code_lieu,2)&amp;", due "&amp;VLOOKUP(I394,code_event,2)</f>
        <v>Indisponibilité de longue durée, destruction ou perte accidentelles de système hôte de services de télécommunication (voix, télécopies, visioconférence, etc.), dans les locaux de l'exploitation, due à un foudroiement</v>
      </c>
      <c r="P394" s="435">
        <v>1</v>
      </c>
      <c r="Q394" s="1595" t="s">
        <v>1431</v>
      </c>
      <c r="R394" s="1595" t="s">
        <v>1873</v>
      </c>
      <c r="S394" s="1595" t="str">
        <f>Classif!C19</f>
        <v/>
      </c>
      <c r="T394" s="1595">
        <f t="shared" si="250"/>
        <v>2</v>
      </c>
      <c r="U394" s="1744" t="str">
        <f t="shared" si="251"/>
        <v/>
      </c>
      <c r="V394" s="1745">
        <v>1</v>
      </c>
      <c r="W394" s="1745">
        <f>S03A05</f>
        <v>1</v>
      </c>
      <c r="X394" s="1745">
        <v>1</v>
      </c>
      <c r="Y394" s="1745">
        <f>S12C04</f>
        <v>1</v>
      </c>
      <c r="Z394" s="1746">
        <v>0</v>
      </c>
      <c r="AA394" s="1747"/>
      <c r="AB394" s="1748"/>
      <c r="AC394" s="1748"/>
      <c r="AD394" s="1595" t="str">
        <f t="shared" si="264"/>
        <v/>
      </c>
      <c r="AE394" s="1595">
        <f t="shared" si="252"/>
        <v>2</v>
      </c>
      <c r="AF394" s="1595" t="str">
        <f t="shared" si="253"/>
        <v/>
      </c>
      <c r="AG394" s="1748"/>
      <c r="AH394" s="1749" t="str">
        <f t="shared" si="265"/>
        <v/>
      </c>
      <c r="AI394" s="1620"/>
      <c r="AJ394" s="1616" t="s">
        <v>2343</v>
      </c>
      <c r="AK394" s="1616"/>
      <c r="AL394" s="1617" t="s">
        <v>4890</v>
      </c>
      <c r="AM394" s="247" t="str">
        <f t="shared" si="258"/>
        <v/>
      </c>
      <c r="AN394" s="247" t="str">
        <f t="shared" si="259"/>
        <v/>
      </c>
      <c r="AO394" s="247" t="str">
        <f t="shared" si="260"/>
        <v/>
      </c>
      <c r="AP394" s="247" t="str">
        <f t="shared" si="261"/>
        <v/>
      </c>
      <c r="AQ394" s="42">
        <f t="shared" si="254"/>
        <v>1</v>
      </c>
      <c r="AR394" s="42">
        <f t="shared" si="255"/>
        <v>1</v>
      </c>
      <c r="AS394" s="42">
        <f t="shared" si="256"/>
        <v>1</v>
      </c>
      <c r="AT394" s="42">
        <f t="shared" si="257"/>
        <v>1</v>
      </c>
      <c r="AU394" s="247" t="str">
        <f t="shared" si="262"/>
        <v/>
      </c>
      <c r="AV394" s="247" t="str">
        <f t="shared" si="263"/>
        <v/>
      </c>
    </row>
    <row r="395" spans="1:48" ht="36" x14ac:dyDescent="0.2">
      <c r="A395" s="450" t="s">
        <v>436</v>
      </c>
      <c r="B395" s="429" t="s">
        <v>4600</v>
      </c>
      <c r="C395" s="430" t="s">
        <v>1894</v>
      </c>
      <c r="D395" s="1349" t="s">
        <v>1873</v>
      </c>
      <c r="E395" s="1350" t="s">
        <v>5930</v>
      </c>
      <c r="F395" s="1350" t="s">
        <v>1875</v>
      </c>
      <c r="G395" s="1351" t="s">
        <v>5439</v>
      </c>
      <c r="H395" s="1342" t="s">
        <v>3919</v>
      </c>
      <c r="I395" s="432" t="s">
        <v>1535</v>
      </c>
      <c r="J395" s="431" t="s">
        <v>1880</v>
      </c>
      <c r="K395" s="431"/>
      <c r="L395" s="431"/>
      <c r="M395" s="433"/>
      <c r="N395" s="434"/>
      <c r="O395" s="1743" t="str">
        <f>VLOOKUP(B395,code_famille_scénario,2)&amp;VLOOKUP(C395,code_actif,2)&amp;", "&amp;VLOOKUP(J395,Code_lieu,2)&amp;", due "&amp;VLOOKUP(I395,code_event,2)</f>
        <v>Indisponibilité de longue durée, destruction ou perte accidentelles de système hôte de services de télécommunication (voix, télécopies, visioconférence, etc.), dans les locaux de l'exploitation, due à un incendie</v>
      </c>
      <c r="P395" s="435">
        <v>1</v>
      </c>
      <c r="Q395" s="1595" t="s">
        <v>1431</v>
      </c>
      <c r="R395" s="1595" t="s">
        <v>1873</v>
      </c>
      <c r="S395" s="1595" t="str">
        <f>Classif!C19</f>
        <v/>
      </c>
      <c r="T395" s="1595">
        <f t="shared" si="250"/>
        <v>2</v>
      </c>
      <c r="U395" s="1744" t="str">
        <f t="shared" si="251"/>
        <v/>
      </c>
      <c r="V395" s="1745">
        <v>1</v>
      </c>
      <c r="W395" s="1745">
        <f>S03D01</f>
        <v>1</v>
      </c>
      <c r="X395" s="1745">
        <f>MIN(S03D02,S03D03)</f>
        <v>1</v>
      </c>
      <c r="Y395" s="1745">
        <f>S12C04</f>
        <v>1</v>
      </c>
      <c r="Z395" s="1758">
        <v>1</v>
      </c>
      <c r="AA395" s="1759"/>
      <c r="AB395" s="1748"/>
      <c r="AC395" s="1748"/>
      <c r="AD395" s="1595" t="str">
        <f t="shared" si="264"/>
        <v/>
      </c>
      <c r="AE395" s="1595">
        <f t="shared" si="252"/>
        <v>2</v>
      </c>
      <c r="AF395" s="1595" t="str">
        <f t="shared" si="253"/>
        <v/>
      </c>
      <c r="AG395" s="1748"/>
      <c r="AH395" s="1749" t="str">
        <f t="shared" si="265"/>
        <v/>
      </c>
      <c r="AI395" s="1620"/>
      <c r="AJ395" s="1616" t="s">
        <v>5225</v>
      </c>
      <c r="AK395" s="1616" t="s">
        <v>1052</v>
      </c>
      <c r="AL395" s="1617" t="s">
        <v>4890</v>
      </c>
      <c r="AM395" s="247" t="str">
        <f t="shared" si="258"/>
        <v/>
      </c>
      <c r="AN395" s="247" t="str">
        <f t="shared" si="259"/>
        <v/>
      </c>
      <c r="AO395" s="247" t="str">
        <f t="shared" si="260"/>
        <v/>
      </c>
      <c r="AP395" s="247" t="str">
        <f t="shared" si="261"/>
        <v/>
      </c>
      <c r="AQ395" s="42">
        <f t="shared" si="254"/>
        <v>1</v>
      </c>
      <c r="AR395" s="42">
        <f t="shared" si="255"/>
        <v>1</v>
      </c>
      <c r="AS395" s="42">
        <f t="shared" si="256"/>
        <v>1</v>
      </c>
      <c r="AT395" s="42">
        <f t="shared" si="257"/>
        <v>1</v>
      </c>
      <c r="AU395" s="247" t="str">
        <f t="shared" si="262"/>
        <v/>
      </c>
      <c r="AV395" s="247" t="str">
        <f t="shared" si="263"/>
        <v/>
      </c>
    </row>
    <row r="396" spans="1:48" ht="36" x14ac:dyDescent="0.2">
      <c r="A396" s="450" t="s">
        <v>437</v>
      </c>
      <c r="B396" s="429" t="s">
        <v>4600</v>
      </c>
      <c r="C396" s="430" t="s">
        <v>1894</v>
      </c>
      <c r="D396" s="1349" t="s">
        <v>1873</v>
      </c>
      <c r="E396" s="1350" t="s">
        <v>5930</v>
      </c>
      <c r="F396" s="1350" t="s">
        <v>1875</v>
      </c>
      <c r="G396" s="1351" t="s">
        <v>5439</v>
      </c>
      <c r="H396" s="1342" t="s">
        <v>3919</v>
      </c>
      <c r="I396" s="432" t="s">
        <v>1536</v>
      </c>
      <c r="J396" s="431" t="s">
        <v>1880</v>
      </c>
      <c r="K396" s="431"/>
      <c r="L396" s="431"/>
      <c r="M396" s="433"/>
      <c r="N396" s="434"/>
      <c r="O396" s="1743" t="str">
        <f>VLOOKUP(B396,code_famille_scénario,2)&amp;VLOOKUP(C396,code_actif,2)&amp;", "&amp;VLOOKUP(J396,Code_lieu,2)&amp;", due "&amp;VLOOKUP(I396,code_event,2)</f>
        <v>Indisponibilité de longue durée, destruction ou perte accidentelles de système hôte de services de télécommunication (voix, télécopies, visioconférence, etc.), dans les locaux de l'exploitation, due à une inondation</v>
      </c>
      <c r="P396" s="435">
        <v>1</v>
      </c>
      <c r="Q396" s="1595" t="s">
        <v>1431</v>
      </c>
      <c r="R396" s="1595" t="s">
        <v>1873</v>
      </c>
      <c r="S396" s="1595" t="str">
        <f>Classif!C19</f>
        <v/>
      </c>
      <c r="T396" s="1595">
        <f t="shared" si="250"/>
        <v>2</v>
      </c>
      <c r="U396" s="1744" t="str">
        <f t="shared" si="251"/>
        <v/>
      </c>
      <c r="V396" s="1745">
        <v>1</v>
      </c>
      <c r="W396" s="1745">
        <f>S03C01</f>
        <v>1</v>
      </c>
      <c r="X396" s="1745">
        <f>MIN(S03C02,S03C03)</f>
        <v>1</v>
      </c>
      <c r="Y396" s="1745">
        <f>S12C04</f>
        <v>1</v>
      </c>
      <c r="Z396" s="1758">
        <v>1</v>
      </c>
      <c r="AA396" s="1759"/>
      <c r="AB396" s="1748"/>
      <c r="AC396" s="1748"/>
      <c r="AD396" s="1595" t="str">
        <f t="shared" si="264"/>
        <v/>
      </c>
      <c r="AE396" s="1595">
        <f t="shared" si="252"/>
        <v>2</v>
      </c>
      <c r="AF396" s="1595" t="str">
        <f t="shared" si="253"/>
        <v/>
      </c>
      <c r="AG396" s="1748"/>
      <c r="AH396" s="1749" t="str">
        <f t="shared" si="265"/>
        <v/>
      </c>
      <c r="AI396" s="1620"/>
      <c r="AJ396" s="1616" t="s">
        <v>5220</v>
      </c>
      <c r="AK396" s="1616" t="s">
        <v>1054</v>
      </c>
      <c r="AL396" s="1617" t="s">
        <v>4890</v>
      </c>
      <c r="AM396" s="247" t="str">
        <f t="shared" si="258"/>
        <v/>
      </c>
      <c r="AN396" s="247" t="str">
        <f t="shared" si="259"/>
        <v/>
      </c>
      <c r="AO396" s="247" t="str">
        <f t="shared" si="260"/>
        <v/>
      </c>
      <c r="AP396" s="247" t="str">
        <f t="shared" si="261"/>
        <v/>
      </c>
      <c r="AQ396" s="42">
        <f t="shared" si="254"/>
        <v>1</v>
      </c>
      <c r="AR396" s="42">
        <f t="shared" si="255"/>
        <v>1</v>
      </c>
      <c r="AS396" s="42">
        <f t="shared" si="256"/>
        <v>1</v>
      </c>
      <c r="AT396" s="42">
        <f t="shared" si="257"/>
        <v>1</v>
      </c>
      <c r="AU396" s="247" t="str">
        <f t="shared" si="262"/>
        <v/>
      </c>
      <c r="AV396" s="247" t="str">
        <f t="shared" si="263"/>
        <v/>
      </c>
    </row>
    <row r="397" spans="1:48" ht="36" x14ac:dyDescent="0.2">
      <c r="A397" s="450" t="s">
        <v>438</v>
      </c>
      <c r="B397" s="429" t="s">
        <v>4257</v>
      </c>
      <c r="C397" s="430" t="s">
        <v>1894</v>
      </c>
      <c r="D397" s="1349" t="s">
        <v>1873</v>
      </c>
      <c r="E397" s="1350" t="s">
        <v>5930</v>
      </c>
      <c r="F397" s="1350" t="s">
        <v>1503</v>
      </c>
      <c r="G397" s="1351" t="s">
        <v>5440</v>
      </c>
      <c r="H397" s="1342" t="s">
        <v>3920</v>
      </c>
      <c r="I397" s="432" t="s">
        <v>3526</v>
      </c>
      <c r="J397" s="431"/>
      <c r="K397" s="431"/>
      <c r="L397" s="431"/>
      <c r="M397" s="433"/>
      <c r="N397" s="434"/>
      <c r="O397" s="1743" t="str">
        <f>VLOOKUP(B397,code_famille_scénario,2)&amp;VLOOKUP(C397,code_actif,2)&amp;", due "&amp;VLOOKUP(I397,code_event,2)</f>
        <v>Indisponibilité temporaire accidentelle de système hôte de services de télécommunication (voix, télécopies, visioconférence, etc.), due à une panne d'équipement</v>
      </c>
      <c r="P397" s="435">
        <v>1</v>
      </c>
      <c r="Q397" s="1595" t="s">
        <v>1431</v>
      </c>
      <c r="R397" s="1595" t="s">
        <v>1873</v>
      </c>
      <c r="S397" s="1595" t="str">
        <f>Classif!C19</f>
        <v/>
      </c>
      <c r="T397" s="1595">
        <f t="shared" si="250"/>
        <v>3</v>
      </c>
      <c r="U397" s="1744" t="str">
        <f t="shared" si="251"/>
        <v/>
      </c>
      <c r="V397" s="1745">
        <v>1</v>
      </c>
      <c r="W397" s="1745">
        <v>1</v>
      </c>
      <c r="X397" s="1745">
        <v>1</v>
      </c>
      <c r="Y397" s="1745">
        <f>S12C01</f>
        <v>1</v>
      </c>
      <c r="Z397" s="1746">
        <v>0</v>
      </c>
      <c r="AA397" s="1747"/>
      <c r="AB397" s="1748"/>
      <c r="AC397" s="1748"/>
      <c r="AD397" s="1595" t="str">
        <f t="shared" si="264"/>
        <v/>
      </c>
      <c r="AE397" s="1595">
        <f t="shared" si="252"/>
        <v>3</v>
      </c>
      <c r="AF397" s="1595" t="str">
        <f t="shared" si="253"/>
        <v/>
      </c>
      <c r="AG397" s="1748"/>
      <c r="AH397" s="1749" t="str">
        <f t="shared" si="265"/>
        <v/>
      </c>
      <c r="AI397" s="1620"/>
      <c r="AJ397" s="1616"/>
      <c r="AK397" s="1616"/>
      <c r="AL397" s="1617" t="s">
        <v>3269</v>
      </c>
      <c r="AM397" s="247" t="str">
        <f t="shared" si="258"/>
        <v/>
      </c>
      <c r="AN397" s="247" t="str">
        <f t="shared" si="259"/>
        <v/>
      </c>
      <c r="AO397" s="247" t="str">
        <f t="shared" si="260"/>
        <v/>
      </c>
      <c r="AP397" s="247" t="str">
        <f t="shared" si="261"/>
        <v/>
      </c>
      <c r="AQ397" s="42">
        <f t="shared" si="254"/>
        <v>1</v>
      </c>
      <c r="AR397" s="42">
        <f t="shared" si="255"/>
        <v>1</v>
      </c>
      <c r="AS397" s="42">
        <f t="shared" si="256"/>
        <v>1</v>
      </c>
      <c r="AT397" s="42">
        <f t="shared" si="257"/>
        <v>1</v>
      </c>
      <c r="AU397" s="247" t="str">
        <f t="shared" si="262"/>
        <v/>
      </c>
      <c r="AV397" s="247" t="str">
        <f t="shared" si="263"/>
        <v/>
      </c>
    </row>
    <row r="398" spans="1:48" ht="36" x14ac:dyDescent="0.2">
      <c r="A398" s="450" t="s">
        <v>439</v>
      </c>
      <c r="B398" s="429" t="s">
        <v>4257</v>
      </c>
      <c r="C398" s="430" t="s">
        <v>1894</v>
      </c>
      <c r="D398" s="1349" t="s">
        <v>1873</v>
      </c>
      <c r="E398" s="1350" t="s">
        <v>5927</v>
      </c>
      <c r="F398" s="1350" t="s">
        <v>1503</v>
      </c>
      <c r="G398" s="1351" t="s">
        <v>5440</v>
      </c>
      <c r="H398" s="1342" t="s">
        <v>3920</v>
      </c>
      <c r="I398" s="432" t="s">
        <v>4295</v>
      </c>
      <c r="J398" s="431"/>
      <c r="K398" s="431"/>
      <c r="L398" s="431"/>
      <c r="M398" s="433"/>
      <c r="N398" s="434"/>
      <c r="O398" s="1743" t="str">
        <f>VLOOKUP(B398,code_famille_scénario,2)&amp;VLOOKUP(C398,code_actif,2)&amp;", due "&amp;VLOOKUP(I398,code_event,2)</f>
        <v>Indisponibilité temporaire accidentelle de système hôte de services de télécommunication (voix, télécopies, visioconférence, etc.), due à une défaillance ou à une indisponibilité de moyens de servitude</v>
      </c>
      <c r="P398" s="435">
        <v>1</v>
      </c>
      <c r="Q398" s="1595" t="s">
        <v>1431</v>
      </c>
      <c r="R398" s="1595" t="s">
        <v>1873</v>
      </c>
      <c r="S398" s="1595" t="str">
        <f>Classif!C19</f>
        <v/>
      </c>
      <c r="T398" s="1595">
        <f t="shared" si="250"/>
        <v>3</v>
      </c>
      <c r="U398" s="1744" t="str">
        <f t="shared" si="251"/>
        <v/>
      </c>
      <c r="V398" s="1745">
        <v>1</v>
      </c>
      <c r="W398" s="1745">
        <v>1</v>
      </c>
      <c r="X398" s="1745">
        <v>1</v>
      </c>
      <c r="Y398" s="1745">
        <f>S03A06</f>
        <v>1</v>
      </c>
      <c r="Z398" s="1746">
        <v>0</v>
      </c>
      <c r="AA398" s="1747"/>
      <c r="AB398" s="1748"/>
      <c r="AC398" s="1748"/>
      <c r="AD398" s="1595" t="str">
        <f t="shared" si="264"/>
        <v/>
      </c>
      <c r="AE398" s="1595">
        <f t="shared" si="252"/>
        <v>3</v>
      </c>
      <c r="AF398" s="1595" t="str">
        <f t="shared" si="253"/>
        <v/>
      </c>
      <c r="AG398" s="1748"/>
      <c r="AH398" s="1749" t="str">
        <f t="shared" si="265"/>
        <v/>
      </c>
      <c r="AI398" s="1620"/>
      <c r="AJ398" s="1616"/>
      <c r="AK398" s="1616"/>
      <c r="AL398" s="1617" t="s">
        <v>1055</v>
      </c>
      <c r="AM398" s="247" t="str">
        <f t="shared" si="258"/>
        <v/>
      </c>
      <c r="AN398" s="247" t="str">
        <f t="shared" si="259"/>
        <v/>
      </c>
      <c r="AO398" s="247" t="str">
        <f t="shared" si="260"/>
        <v/>
      </c>
      <c r="AP398" s="247" t="str">
        <f t="shared" si="261"/>
        <v/>
      </c>
      <c r="AQ398" s="42">
        <f t="shared" si="254"/>
        <v>1</v>
      </c>
      <c r="AR398" s="42">
        <f t="shared" si="255"/>
        <v>1</v>
      </c>
      <c r="AS398" s="42">
        <f t="shared" si="256"/>
        <v>1</v>
      </c>
      <c r="AT398" s="42">
        <f t="shared" si="257"/>
        <v>1</v>
      </c>
      <c r="AU398" s="247" t="str">
        <f t="shared" si="262"/>
        <v/>
      </c>
      <c r="AV398" s="247" t="str">
        <f t="shared" si="263"/>
        <v/>
      </c>
    </row>
    <row r="399" spans="1:48" ht="36" x14ac:dyDescent="0.2">
      <c r="A399" s="450" t="s">
        <v>440</v>
      </c>
      <c r="B399" s="429" t="s">
        <v>4257</v>
      </c>
      <c r="C399" s="430" t="s">
        <v>1894</v>
      </c>
      <c r="D399" s="1349" t="s">
        <v>1873</v>
      </c>
      <c r="E399" s="1350" t="s">
        <v>5927</v>
      </c>
      <c r="F399" s="1350" t="s">
        <v>1503</v>
      </c>
      <c r="G399" s="1351" t="s">
        <v>5440</v>
      </c>
      <c r="H399" s="1342" t="s">
        <v>1474</v>
      </c>
      <c r="I399" s="432" t="s">
        <v>1541</v>
      </c>
      <c r="J399" s="431"/>
      <c r="K399" s="431"/>
      <c r="L399" s="431"/>
      <c r="M399" s="433"/>
      <c r="N399" s="434"/>
      <c r="O399" s="1743" t="str">
        <f>VLOOKUP(B399,code_famille_scénario,2)&amp;VLOOKUP(C399,code_actif,2)&amp;", due "&amp;VLOOKUP(I399,code_event,2)</f>
        <v>Indisponibilité temporaire accidentelle de système hôte de services de télécommunication (voix, télécopies, visioconférence, etc.), due à un manque d'alimentation en énergie (défaut externe)</v>
      </c>
      <c r="P399" s="435">
        <v>1</v>
      </c>
      <c r="Q399" s="1595" t="s">
        <v>1431</v>
      </c>
      <c r="R399" s="1595" t="s">
        <v>1873</v>
      </c>
      <c r="S399" s="1595" t="str">
        <f>Classif!C19</f>
        <v/>
      </c>
      <c r="T399" s="1595">
        <f t="shared" si="250"/>
        <v>3</v>
      </c>
      <c r="U399" s="1744" t="str">
        <f t="shared" si="251"/>
        <v/>
      </c>
      <c r="V399" s="1745">
        <v>1</v>
      </c>
      <c r="W399" s="1745">
        <v>1</v>
      </c>
      <c r="X399" s="1745">
        <v>1</v>
      </c>
      <c r="Y399" s="1745">
        <f>S03A02</f>
        <v>1</v>
      </c>
      <c r="Z399" s="1746">
        <v>0</v>
      </c>
      <c r="AA399" s="1747"/>
      <c r="AB399" s="1748"/>
      <c r="AC399" s="1748"/>
      <c r="AD399" s="1595" t="str">
        <f t="shared" si="264"/>
        <v/>
      </c>
      <c r="AE399" s="1595">
        <f t="shared" si="252"/>
        <v>3</v>
      </c>
      <c r="AF399" s="1595" t="str">
        <f t="shared" si="253"/>
        <v/>
      </c>
      <c r="AG399" s="1748"/>
      <c r="AH399" s="1749" t="str">
        <f t="shared" si="265"/>
        <v/>
      </c>
      <c r="AI399" s="1620"/>
      <c r="AJ399" s="1618"/>
      <c r="AK399" s="1616"/>
      <c r="AL399" s="1617" t="s">
        <v>6388</v>
      </c>
      <c r="AM399" s="247" t="str">
        <f t="shared" si="258"/>
        <v/>
      </c>
      <c r="AN399" s="247" t="str">
        <f t="shared" si="259"/>
        <v/>
      </c>
      <c r="AO399" s="247" t="str">
        <f t="shared" si="260"/>
        <v/>
      </c>
      <c r="AP399" s="247" t="str">
        <f t="shared" si="261"/>
        <v/>
      </c>
      <c r="AQ399" s="42">
        <f t="shared" si="254"/>
        <v>1</v>
      </c>
      <c r="AR399" s="42">
        <f t="shared" si="255"/>
        <v>1</v>
      </c>
      <c r="AS399" s="42">
        <f t="shared" si="256"/>
        <v>1</v>
      </c>
      <c r="AT399" s="42">
        <f t="shared" si="257"/>
        <v>1</v>
      </c>
      <c r="AU399" s="247" t="str">
        <f t="shared" si="262"/>
        <v/>
      </c>
      <c r="AV399" s="247" t="str">
        <f t="shared" si="263"/>
        <v/>
      </c>
    </row>
    <row r="400" spans="1:48" ht="36" x14ac:dyDescent="0.2">
      <c r="A400" s="450" t="s">
        <v>441</v>
      </c>
      <c r="B400" s="429" t="s">
        <v>2902</v>
      </c>
      <c r="C400" s="430" t="s">
        <v>1894</v>
      </c>
      <c r="D400" s="1349" t="s">
        <v>1873</v>
      </c>
      <c r="E400" s="1350" t="s">
        <v>5930</v>
      </c>
      <c r="F400" s="1350" t="s">
        <v>1879</v>
      </c>
      <c r="G400" s="1351" t="s">
        <v>5440</v>
      </c>
      <c r="H400" s="1342" t="s">
        <v>1329</v>
      </c>
      <c r="I400" s="432" t="s">
        <v>1552</v>
      </c>
      <c r="J400" s="431" t="s">
        <v>1880</v>
      </c>
      <c r="K400" s="431"/>
      <c r="L400" s="431"/>
      <c r="M400" s="433"/>
      <c r="N400" s="434" t="s">
        <v>4816</v>
      </c>
      <c r="O400" s="1743" t="str">
        <f>VLOOKUP(B400,code_famille_scénario,2)&amp;VLOOKUP(C400,code_actif,2)&amp;", due "&amp;VLOOKUP(I400,code_event,2)&amp;", "&amp;VLOOKUP(J400,Code_lieu,2)&amp;", par "&amp;VLOOKUP(N400,code_acteur,2)</f>
        <v>Endommagement malveillant de système hôte de services de télécommunication (voix, télécopies, visioconférence, etc.), due à du vandalisme, dans les locaux de l'exploitation, par un membre  du personnel autorisé</v>
      </c>
      <c r="P400" s="435">
        <v>1</v>
      </c>
      <c r="Q400" s="1595" t="s">
        <v>1299</v>
      </c>
      <c r="R400" s="1595" t="s">
        <v>1873</v>
      </c>
      <c r="S400" s="1595" t="str">
        <f>Classif!C19</f>
        <v/>
      </c>
      <c r="T400" s="1595">
        <f t="shared" si="250"/>
        <v>2</v>
      </c>
      <c r="U400" s="1744" t="str">
        <f t="shared" si="251"/>
        <v/>
      </c>
      <c r="V400" s="1745">
        <f>S03B06</f>
        <v>1</v>
      </c>
      <c r="W400" s="1745">
        <f>MIN(S03B01,S03B02,S03B03)</f>
        <v>1</v>
      </c>
      <c r="X400" s="1745">
        <f>S03B04</f>
        <v>1</v>
      </c>
      <c r="Y400" s="1745">
        <f>S12C01</f>
        <v>1</v>
      </c>
      <c r="Z400" s="1758">
        <v>1</v>
      </c>
      <c r="AA400" s="1759"/>
      <c r="AB400" s="1748"/>
      <c r="AC400" s="1748"/>
      <c r="AD400" s="1595" t="str">
        <f t="shared" si="264"/>
        <v/>
      </c>
      <c r="AE400" s="1595">
        <f t="shared" si="252"/>
        <v>2</v>
      </c>
      <c r="AF400" s="1595" t="str">
        <f t="shared" si="253"/>
        <v/>
      </c>
      <c r="AG400" s="1748"/>
      <c r="AH400" s="1749" t="str">
        <f t="shared" si="265"/>
        <v/>
      </c>
      <c r="AI400" s="1620" t="s">
        <v>1665</v>
      </c>
      <c r="AJ400" s="1616" t="s">
        <v>1053</v>
      </c>
      <c r="AK400" s="1616" t="s">
        <v>3254</v>
      </c>
      <c r="AL400" s="1617" t="s">
        <v>3269</v>
      </c>
      <c r="AM400" s="247" t="str">
        <f t="shared" si="258"/>
        <v/>
      </c>
      <c r="AN400" s="247" t="str">
        <f t="shared" si="259"/>
        <v/>
      </c>
      <c r="AO400" s="247" t="str">
        <f t="shared" si="260"/>
        <v/>
      </c>
      <c r="AP400" s="247" t="str">
        <f t="shared" si="261"/>
        <v/>
      </c>
      <c r="AQ400" s="42">
        <f t="shared" si="254"/>
        <v>1</v>
      </c>
      <c r="AR400" s="42">
        <f t="shared" si="255"/>
        <v>1</v>
      </c>
      <c r="AS400" s="42">
        <f t="shared" si="256"/>
        <v>1</v>
      </c>
      <c r="AT400" s="42">
        <f t="shared" si="257"/>
        <v>1</v>
      </c>
      <c r="AU400" s="247" t="str">
        <f t="shared" si="262"/>
        <v/>
      </c>
      <c r="AV400" s="247" t="str">
        <f t="shared" si="263"/>
        <v/>
      </c>
    </row>
    <row r="401" spans="1:48" ht="36" x14ac:dyDescent="0.2">
      <c r="A401" s="450" t="s">
        <v>442</v>
      </c>
      <c r="B401" s="429" t="s">
        <v>2902</v>
      </c>
      <c r="C401" s="430" t="s">
        <v>1894</v>
      </c>
      <c r="D401" s="1349" t="s">
        <v>1873</v>
      </c>
      <c r="E401" s="1350" t="s">
        <v>5930</v>
      </c>
      <c r="F401" s="1350" t="s">
        <v>1879</v>
      </c>
      <c r="G401" s="1351" t="s">
        <v>5440</v>
      </c>
      <c r="H401" s="1342" t="s">
        <v>1329</v>
      </c>
      <c r="I401" s="432" t="s">
        <v>1552</v>
      </c>
      <c r="J401" s="431" t="s">
        <v>1880</v>
      </c>
      <c r="K401" s="431"/>
      <c r="L401" s="431"/>
      <c r="M401" s="433"/>
      <c r="N401" s="434" t="s">
        <v>3518</v>
      </c>
      <c r="O401" s="1743" t="str">
        <f>VLOOKUP(B401,code_famille_scénario,2)&amp;VLOOKUP(C401,code_actif,2)&amp;", due "&amp;VLOOKUP(I401,code_event,2)&amp;", "&amp;VLOOKUP(J401,Code_lieu,2)&amp;", par "&amp;VLOOKUP(N401,code_acteur,2)</f>
        <v>Endommagement malveillant de système hôte de services de télécommunication (voix, télécopies, visioconférence, etc.), due à du vandalisme, dans les locaux de l'exploitation, par un membre du personnel non autorisé</v>
      </c>
      <c r="P401" s="435">
        <v>1</v>
      </c>
      <c r="Q401" s="1595" t="s">
        <v>1299</v>
      </c>
      <c r="R401" s="1595" t="s">
        <v>1873</v>
      </c>
      <c r="S401" s="1595" t="str">
        <f>Classif!C19</f>
        <v/>
      </c>
      <c r="T401" s="1595">
        <f t="shared" si="250"/>
        <v>2</v>
      </c>
      <c r="U401" s="1744" t="str">
        <f t="shared" si="251"/>
        <v/>
      </c>
      <c r="V401" s="1745">
        <v>1</v>
      </c>
      <c r="W401" s="1745">
        <f>MIN(S03B03,S03B04,S03B06)</f>
        <v>1</v>
      </c>
      <c r="X401" s="1745">
        <v>1</v>
      </c>
      <c r="Y401" s="1745">
        <f>S12C01</f>
        <v>1</v>
      </c>
      <c r="Z401" s="1746">
        <v>0</v>
      </c>
      <c r="AA401" s="1747"/>
      <c r="AB401" s="1748"/>
      <c r="AC401" s="1748"/>
      <c r="AD401" s="1595" t="str">
        <f t="shared" si="264"/>
        <v/>
      </c>
      <c r="AE401" s="1595">
        <f t="shared" si="252"/>
        <v>2</v>
      </c>
      <c r="AF401" s="1595" t="str">
        <f t="shared" si="253"/>
        <v/>
      </c>
      <c r="AG401" s="1748"/>
      <c r="AH401" s="1749" t="str">
        <f t="shared" si="265"/>
        <v/>
      </c>
      <c r="AI401" s="1615"/>
      <c r="AJ401" s="1616" t="s">
        <v>1412</v>
      </c>
      <c r="AK401" s="1618"/>
      <c r="AL401" s="1617" t="s">
        <v>3269</v>
      </c>
      <c r="AM401" s="247" t="str">
        <f t="shared" si="258"/>
        <v/>
      </c>
      <c r="AN401" s="247" t="str">
        <f t="shared" si="259"/>
        <v/>
      </c>
      <c r="AO401" s="247" t="str">
        <f t="shared" si="260"/>
        <v/>
      </c>
      <c r="AP401" s="247" t="str">
        <f t="shared" si="261"/>
        <v/>
      </c>
      <c r="AQ401" s="42">
        <f t="shared" si="254"/>
        <v>1</v>
      </c>
      <c r="AR401" s="42">
        <f t="shared" si="255"/>
        <v>1</v>
      </c>
      <c r="AS401" s="42">
        <f t="shared" si="256"/>
        <v>1</v>
      </c>
      <c r="AT401" s="42">
        <f t="shared" si="257"/>
        <v>1</v>
      </c>
      <c r="AU401" s="247" t="str">
        <f t="shared" si="262"/>
        <v/>
      </c>
      <c r="AV401" s="247" t="str">
        <f t="shared" si="263"/>
        <v/>
      </c>
    </row>
    <row r="402" spans="1:48" ht="36" x14ac:dyDescent="0.2">
      <c r="A402" s="450" t="s">
        <v>443</v>
      </c>
      <c r="B402" s="429" t="s">
        <v>2902</v>
      </c>
      <c r="C402" s="430" t="s">
        <v>1894</v>
      </c>
      <c r="D402" s="1349" t="s">
        <v>1873</v>
      </c>
      <c r="E402" s="1350" t="s">
        <v>5930</v>
      </c>
      <c r="F402" s="1350" t="s">
        <v>1879</v>
      </c>
      <c r="G402" s="1351" t="s">
        <v>5440</v>
      </c>
      <c r="H402" s="1342" t="s">
        <v>1329</v>
      </c>
      <c r="I402" s="432" t="s">
        <v>1552</v>
      </c>
      <c r="J402" s="431"/>
      <c r="K402" s="431"/>
      <c r="L402" s="431"/>
      <c r="M402" s="433"/>
      <c r="N402" s="434" t="s">
        <v>1521</v>
      </c>
      <c r="O402" s="1743" t="str">
        <f>VLOOKUP(B402,code_famille_scénario,2)&amp;VLOOKUP(C402,code_actif,2)&amp;", due "&amp;VLOOKUP(I402,code_event,2)&amp;", par "&amp;VLOOKUP(N402,code_acteur,2)</f>
        <v>Endommagement malveillant de système hôte de services de télécommunication (voix, télécopies, visioconférence, etc.), due à du vandalisme, par des vandales ou des terroristes agissant depuis l'extérieur</v>
      </c>
      <c r="P402" s="435">
        <v>1</v>
      </c>
      <c r="Q402" s="1595" t="s">
        <v>1299</v>
      </c>
      <c r="R402" s="1595" t="s">
        <v>1873</v>
      </c>
      <c r="S402" s="1595" t="str">
        <f>Classif!C19</f>
        <v/>
      </c>
      <c r="T402" s="1595">
        <f t="shared" si="250"/>
        <v>2</v>
      </c>
      <c r="U402" s="1744" t="str">
        <f t="shared" si="251"/>
        <v/>
      </c>
      <c r="V402" s="1745">
        <v>1</v>
      </c>
      <c r="W402" s="1745">
        <v>1</v>
      </c>
      <c r="X402" s="1745">
        <v>1</v>
      </c>
      <c r="Y402" s="1745">
        <f>S12C01</f>
        <v>1</v>
      </c>
      <c r="Z402" s="1746">
        <v>0</v>
      </c>
      <c r="AA402" s="1747"/>
      <c r="AB402" s="1748"/>
      <c r="AC402" s="1748"/>
      <c r="AD402" s="1595" t="str">
        <f t="shared" si="264"/>
        <v/>
      </c>
      <c r="AE402" s="1595">
        <f t="shared" si="252"/>
        <v>2</v>
      </c>
      <c r="AF402" s="1595" t="str">
        <f t="shared" si="253"/>
        <v/>
      </c>
      <c r="AG402" s="1748"/>
      <c r="AH402" s="1749" t="str">
        <f t="shared" si="265"/>
        <v/>
      </c>
      <c r="AI402" s="1620"/>
      <c r="AJ402" s="1616"/>
      <c r="AK402" s="1616"/>
      <c r="AL402" s="1617" t="s">
        <v>3269</v>
      </c>
      <c r="AM402" s="247" t="str">
        <f t="shared" si="258"/>
        <v/>
      </c>
      <c r="AN402" s="247" t="str">
        <f t="shared" si="259"/>
        <v/>
      </c>
      <c r="AO402" s="247" t="str">
        <f t="shared" si="260"/>
        <v/>
      </c>
      <c r="AP402" s="247" t="str">
        <f t="shared" si="261"/>
        <v/>
      </c>
      <c r="AQ402" s="42">
        <f t="shared" si="254"/>
        <v>1</v>
      </c>
      <c r="AR402" s="42">
        <f t="shared" si="255"/>
        <v>1</v>
      </c>
      <c r="AS402" s="42">
        <f t="shared" si="256"/>
        <v>1</v>
      </c>
      <c r="AT402" s="42">
        <f t="shared" si="257"/>
        <v>1</v>
      </c>
      <c r="AU402" s="247" t="str">
        <f t="shared" si="262"/>
        <v/>
      </c>
      <c r="AV402" s="247" t="str">
        <f t="shared" si="263"/>
        <v/>
      </c>
    </row>
    <row r="403" spans="1:48" ht="36" x14ac:dyDescent="0.2">
      <c r="A403" s="450" t="s">
        <v>444</v>
      </c>
      <c r="B403" s="429" t="s">
        <v>2902</v>
      </c>
      <c r="C403" s="430" t="s">
        <v>1894</v>
      </c>
      <c r="D403" s="1349" t="s">
        <v>1873</v>
      </c>
      <c r="E403" s="1350" t="s">
        <v>5930</v>
      </c>
      <c r="F403" s="1350" t="s">
        <v>1879</v>
      </c>
      <c r="G403" s="1351" t="s">
        <v>5440</v>
      </c>
      <c r="H403" s="1342" t="s">
        <v>1329</v>
      </c>
      <c r="I403" s="432" t="s">
        <v>1552</v>
      </c>
      <c r="J403" s="431"/>
      <c r="K403" s="431"/>
      <c r="L403" s="431"/>
      <c r="M403" s="433"/>
      <c r="N403" s="434" t="s">
        <v>1522</v>
      </c>
      <c r="O403" s="1743" t="str">
        <f>VLOOKUP(B403,code_famille_scénario,2)&amp;VLOOKUP(C403,code_actif,2)&amp;", due "&amp;VLOOKUP(I403,code_event,2)&amp;", par "&amp;VLOOKUP(N403,code_acteur,2)</f>
        <v>Endommagement malveillant de système hôte de services de télécommunication (voix, télécopies, visioconférence, etc.), due à du vandalisme, par des vandales ou des terroristes agissant depuis l'intérieur (après intrusion)</v>
      </c>
      <c r="P403" s="435">
        <v>1</v>
      </c>
      <c r="Q403" s="1595" t="s">
        <v>1299</v>
      </c>
      <c r="R403" s="1595" t="s">
        <v>1873</v>
      </c>
      <c r="S403" s="1595" t="str">
        <f>Classif!C19</f>
        <v/>
      </c>
      <c r="T403" s="1595">
        <f t="shared" si="250"/>
        <v>2</v>
      </c>
      <c r="U403" s="1744" t="str">
        <f t="shared" si="251"/>
        <v/>
      </c>
      <c r="V403" s="1745">
        <v>1</v>
      </c>
      <c r="W403" s="1745">
        <f>MIN(S02A01,S02A02,S02A03,S02A05)</f>
        <v>1</v>
      </c>
      <c r="X403" s="1745">
        <f>S02A04</f>
        <v>1</v>
      </c>
      <c r="Y403" s="1745">
        <f>S12C01</f>
        <v>1</v>
      </c>
      <c r="Z403" s="1746">
        <v>0</v>
      </c>
      <c r="AA403" s="1747"/>
      <c r="AB403" s="1748"/>
      <c r="AC403" s="1748"/>
      <c r="AD403" s="1595" t="str">
        <f t="shared" si="264"/>
        <v/>
      </c>
      <c r="AE403" s="1595">
        <f t="shared" si="252"/>
        <v>2</v>
      </c>
      <c r="AF403" s="1595" t="str">
        <f t="shared" si="253"/>
        <v/>
      </c>
      <c r="AG403" s="1748"/>
      <c r="AH403" s="1749" t="str">
        <f t="shared" si="265"/>
        <v/>
      </c>
      <c r="AI403" s="1620"/>
      <c r="AJ403" s="1616" t="s">
        <v>1518</v>
      </c>
      <c r="AK403" s="1616" t="s">
        <v>6400</v>
      </c>
      <c r="AL403" s="1617" t="s">
        <v>3269</v>
      </c>
      <c r="AM403" s="247" t="str">
        <f t="shared" si="258"/>
        <v/>
      </c>
      <c r="AN403" s="247" t="str">
        <f t="shared" si="259"/>
        <v/>
      </c>
      <c r="AO403" s="247" t="str">
        <f t="shared" si="260"/>
        <v/>
      </c>
      <c r="AP403" s="247" t="str">
        <f t="shared" si="261"/>
        <v/>
      </c>
      <c r="AQ403" s="42">
        <f t="shared" si="254"/>
        <v>1</v>
      </c>
      <c r="AR403" s="42">
        <f t="shared" si="255"/>
        <v>1</v>
      </c>
      <c r="AS403" s="42">
        <f t="shared" si="256"/>
        <v>1</v>
      </c>
      <c r="AT403" s="42">
        <f t="shared" si="257"/>
        <v>1</v>
      </c>
      <c r="AU403" s="247" t="str">
        <f t="shared" si="262"/>
        <v/>
      </c>
      <c r="AV403" s="247" t="str">
        <f t="shared" si="263"/>
        <v/>
      </c>
    </row>
    <row r="404" spans="1:48" ht="36" x14ac:dyDescent="0.2">
      <c r="A404" s="450" t="s">
        <v>445</v>
      </c>
      <c r="B404" s="429" t="s">
        <v>2870</v>
      </c>
      <c r="C404" s="430" t="s">
        <v>1894</v>
      </c>
      <c r="D404" s="1349" t="s">
        <v>1873</v>
      </c>
      <c r="E404" s="1350" t="s">
        <v>5930</v>
      </c>
      <c r="F404" s="1350" t="s">
        <v>1875</v>
      </c>
      <c r="G404" s="1351" t="s">
        <v>5439</v>
      </c>
      <c r="H404" s="1342" t="s">
        <v>1329</v>
      </c>
      <c r="I404" s="432" t="s">
        <v>1551</v>
      </c>
      <c r="J404" s="431"/>
      <c r="K404" s="431"/>
      <c r="L404" s="431"/>
      <c r="M404" s="433"/>
      <c r="N404" s="434" t="s">
        <v>1521</v>
      </c>
      <c r="O404" s="1743" t="str">
        <f>VLOOKUP(B404,code_famille_scénario,2)&amp;VLOOKUP(C404,code_actif,2)&amp;", due "&amp;VLOOKUP(I404,code_event,2)&amp;", par "&amp;VLOOKUP(N404,code_acteur,2)</f>
        <v>Destruction malveillante de système hôte de services de télécommunication (voix, télécopies, visioconférence, etc.), due à un acte terroriste, par des vandales ou des terroristes agissant depuis l'extérieur</v>
      </c>
      <c r="P404" s="435">
        <v>1</v>
      </c>
      <c r="Q404" s="1595" t="s">
        <v>1299</v>
      </c>
      <c r="R404" s="1595" t="s">
        <v>1873</v>
      </c>
      <c r="S404" s="1595" t="str">
        <f>Classif!C19</f>
        <v/>
      </c>
      <c r="T404" s="1595">
        <f t="shared" si="250"/>
        <v>2</v>
      </c>
      <c r="U404" s="1744" t="str">
        <f t="shared" si="251"/>
        <v/>
      </c>
      <c r="V404" s="1745">
        <v>1</v>
      </c>
      <c r="W404" s="1745">
        <v>1</v>
      </c>
      <c r="X404" s="1745">
        <v>1</v>
      </c>
      <c r="Y404" s="1745">
        <f>S12C04</f>
        <v>1</v>
      </c>
      <c r="Z404" s="1746">
        <v>0</v>
      </c>
      <c r="AA404" s="1747"/>
      <c r="AB404" s="1748"/>
      <c r="AC404" s="1748"/>
      <c r="AD404" s="1595" t="str">
        <f t="shared" si="264"/>
        <v/>
      </c>
      <c r="AE404" s="1595">
        <f t="shared" si="252"/>
        <v>2</v>
      </c>
      <c r="AF404" s="1595" t="str">
        <f t="shared" si="253"/>
        <v/>
      </c>
      <c r="AG404" s="1748"/>
      <c r="AH404" s="1749" t="str">
        <f t="shared" si="265"/>
        <v/>
      </c>
      <c r="AI404" s="1620"/>
      <c r="AJ404" s="1616"/>
      <c r="AK404" s="1616"/>
      <c r="AL404" s="1617" t="s">
        <v>4890</v>
      </c>
      <c r="AM404" s="247" t="str">
        <f t="shared" si="258"/>
        <v/>
      </c>
      <c r="AN404" s="247" t="str">
        <f t="shared" si="259"/>
        <v/>
      </c>
      <c r="AO404" s="247" t="str">
        <f t="shared" si="260"/>
        <v/>
      </c>
      <c r="AP404" s="247" t="str">
        <f t="shared" si="261"/>
        <v/>
      </c>
      <c r="AQ404" s="42">
        <f t="shared" si="254"/>
        <v>1</v>
      </c>
      <c r="AR404" s="42">
        <f t="shared" si="255"/>
        <v>1</v>
      </c>
      <c r="AS404" s="42">
        <f t="shared" si="256"/>
        <v>1</v>
      </c>
      <c r="AT404" s="42">
        <f t="shared" si="257"/>
        <v>1</v>
      </c>
      <c r="AU404" s="247" t="str">
        <f t="shared" si="262"/>
        <v/>
      </c>
      <c r="AV404" s="247" t="str">
        <f t="shared" si="263"/>
        <v/>
      </c>
    </row>
    <row r="405" spans="1:48" ht="36" x14ac:dyDescent="0.2">
      <c r="A405" s="450" t="s">
        <v>446</v>
      </c>
      <c r="B405" s="429" t="s">
        <v>4213</v>
      </c>
      <c r="C405" s="430" t="s">
        <v>1894</v>
      </c>
      <c r="D405" s="1349" t="s">
        <v>1873</v>
      </c>
      <c r="E405" s="1350" t="s">
        <v>5930</v>
      </c>
      <c r="F405" s="1350" t="s">
        <v>1503</v>
      </c>
      <c r="G405" s="1351" t="s">
        <v>5440</v>
      </c>
      <c r="H405" s="1342" t="s">
        <v>1474</v>
      </c>
      <c r="I405" s="432" t="s">
        <v>5635</v>
      </c>
      <c r="J405" s="431"/>
      <c r="K405" s="431"/>
      <c r="L405" s="431"/>
      <c r="M405" s="433"/>
      <c r="N405" s="434"/>
      <c r="O405" s="1743" t="str">
        <f>VLOOKUP(B405,code_famille_scénario,2)&amp;VLOOKUP(C405,code_actif,2)&amp;", dû "&amp;VLOOKUP(I405,code_event,2)</f>
        <v>Arret de fonctionnement de services de télécommunication (voix, télécopies, visioconférence, etc.), dû à une incapacité de la maintenance système (panne non réparable ou défaillance du partenaire)</v>
      </c>
      <c r="P405" s="435">
        <v>1</v>
      </c>
      <c r="Q405" s="1595" t="s">
        <v>1431</v>
      </c>
      <c r="R405" s="1595" t="s">
        <v>1873</v>
      </c>
      <c r="S405" s="1595" t="str">
        <f>Classif!C19</f>
        <v/>
      </c>
      <c r="T405" s="1595">
        <f t="shared" si="250"/>
        <v>2</v>
      </c>
      <c r="U405" s="1744" t="str">
        <f t="shared" si="251"/>
        <v/>
      </c>
      <c r="V405" s="1745">
        <v>1</v>
      </c>
      <c r="W405" s="1745">
        <v>1</v>
      </c>
      <c r="X405" s="1745">
        <v>1</v>
      </c>
      <c r="Y405" s="1745">
        <f>S12C05</f>
        <v>1</v>
      </c>
      <c r="Z405" s="1746">
        <v>0</v>
      </c>
      <c r="AA405" s="1747"/>
      <c r="AB405" s="1748"/>
      <c r="AC405" s="1748"/>
      <c r="AD405" s="1595" t="str">
        <f t="shared" si="264"/>
        <v/>
      </c>
      <c r="AE405" s="1595">
        <f t="shared" si="252"/>
        <v>2</v>
      </c>
      <c r="AF405" s="1595" t="str">
        <f t="shared" si="253"/>
        <v/>
      </c>
      <c r="AG405" s="1748"/>
      <c r="AH405" s="1749" t="str">
        <f t="shared" si="265"/>
        <v/>
      </c>
      <c r="AI405" s="1615"/>
      <c r="AJ405" s="1616"/>
      <c r="AK405" s="1616"/>
      <c r="AL405" s="1617" t="s">
        <v>6248</v>
      </c>
      <c r="AM405" s="247" t="str">
        <f t="shared" si="258"/>
        <v/>
      </c>
      <c r="AN405" s="247" t="str">
        <f t="shared" si="259"/>
        <v/>
      </c>
      <c r="AO405" s="247" t="str">
        <f t="shared" si="260"/>
        <v/>
      </c>
      <c r="AP405" s="247" t="str">
        <f t="shared" si="261"/>
        <v/>
      </c>
      <c r="AQ405" s="42">
        <f t="shared" si="254"/>
        <v>1</v>
      </c>
      <c r="AR405" s="42">
        <f t="shared" si="255"/>
        <v>1</v>
      </c>
      <c r="AS405" s="42">
        <f t="shared" si="256"/>
        <v>1</v>
      </c>
      <c r="AT405" s="42">
        <f t="shared" si="257"/>
        <v>1</v>
      </c>
      <c r="AU405" s="247" t="str">
        <f t="shared" si="262"/>
        <v/>
      </c>
      <c r="AV405" s="247" t="str">
        <f t="shared" si="263"/>
        <v/>
      </c>
    </row>
    <row r="406" spans="1:48" ht="15" x14ac:dyDescent="0.2">
      <c r="A406" s="456" t="s">
        <v>1050</v>
      </c>
      <c r="B406" s="457"/>
      <c r="C406" s="420" t="s">
        <v>1051</v>
      </c>
      <c r="D406" s="1356"/>
      <c r="E406" s="1357"/>
      <c r="F406" s="1357"/>
      <c r="G406" s="1360"/>
      <c r="H406" s="1345"/>
      <c r="I406" s="459"/>
      <c r="J406" s="458"/>
      <c r="K406" s="458"/>
      <c r="L406" s="458"/>
      <c r="M406" s="460"/>
      <c r="N406" s="461"/>
      <c r="O406" s="1761"/>
      <c r="P406" s="1608"/>
      <c r="Q406" s="1596"/>
      <c r="R406" s="1596"/>
      <c r="S406" s="1753"/>
      <c r="T406" s="1595"/>
      <c r="U406" s="1744"/>
      <c r="V406" s="1754"/>
      <c r="W406" s="1754"/>
      <c r="X406" s="1754"/>
      <c r="Y406" s="1754"/>
      <c r="Z406" s="1762"/>
      <c r="AA406" s="1763"/>
      <c r="AB406" s="1748"/>
      <c r="AC406" s="1748"/>
      <c r="AD406" s="1595"/>
      <c r="AE406" s="1753"/>
      <c r="AF406" s="1595"/>
      <c r="AG406" s="1748"/>
      <c r="AH406" s="1749"/>
      <c r="AI406" s="1627"/>
      <c r="AJ406" s="1628"/>
      <c r="AK406" s="1628"/>
      <c r="AL406" s="1629"/>
      <c r="AM406" s="247" t="str">
        <f t="shared" si="258"/>
        <v/>
      </c>
      <c r="AN406" s="247" t="str">
        <f t="shared" si="259"/>
        <v/>
      </c>
      <c r="AO406" s="247" t="str">
        <f t="shared" si="260"/>
        <v/>
      </c>
      <c r="AP406" s="247" t="str">
        <f t="shared" si="261"/>
        <v/>
      </c>
      <c r="AU406" s="247" t="str">
        <f t="shared" si="262"/>
        <v/>
      </c>
      <c r="AV406" s="247" t="str">
        <f t="shared" si="263"/>
        <v/>
      </c>
    </row>
    <row r="407" spans="1:48" ht="24" x14ac:dyDescent="0.2">
      <c r="A407" s="428" t="s">
        <v>447</v>
      </c>
      <c r="B407" s="429" t="s">
        <v>3184</v>
      </c>
      <c r="C407" s="430" t="s">
        <v>2785</v>
      </c>
      <c r="D407" s="1349" t="s">
        <v>1873</v>
      </c>
      <c r="E407" s="1350" t="s">
        <v>1493</v>
      </c>
      <c r="F407" s="1350" t="s">
        <v>2779</v>
      </c>
      <c r="G407" s="1351" t="s">
        <v>6068</v>
      </c>
      <c r="H407" s="1342" t="s">
        <v>1465</v>
      </c>
      <c r="I407" s="432" t="s">
        <v>1880</v>
      </c>
      <c r="J407" s="431" t="s">
        <v>1880</v>
      </c>
      <c r="K407" s="431"/>
      <c r="L407" s="431"/>
      <c r="M407" s="433"/>
      <c r="N407" s="434"/>
      <c r="O407" s="1743" t="str">
        <f>VLOOKUP(B407,code_famille_scénario,2)&amp;VLOOKUP(C407,code_actif,2)&amp;", suite "&amp;VLOOKUP(I407,code_event,2)</f>
        <v>Effacement accidentel de configuration (code, paramétrage, etc.) de services du réseau étendu, suite à un incident d'exploitation</v>
      </c>
      <c r="P407" s="435">
        <v>1</v>
      </c>
      <c r="Q407" s="1595" t="s">
        <v>1431</v>
      </c>
      <c r="R407" s="1595" t="s">
        <v>1873</v>
      </c>
      <c r="S407" s="1595" t="str">
        <f>Classif!C21</f>
        <v/>
      </c>
      <c r="T407" s="1595">
        <f t="shared" ref="T407:T433" si="266">VLOOKUP(H407&amp;"."&amp;I407,Tab_event,4)</f>
        <v>3</v>
      </c>
      <c r="U407" s="1744" t="str">
        <f t="shared" ref="U407:U433" si="267">IF(AND(NOT(S407=""),NOT(T407="")),INDEX(base_g,5-S407,T407),"")</f>
        <v/>
      </c>
      <c r="V407" s="1745">
        <v>1</v>
      </c>
      <c r="W407" s="1745">
        <f>S06A02</f>
        <v>1</v>
      </c>
      <c r="X407" s="1745">
        <f>S04D03</f>
        <v>1</v>
      </c>
      <c r="Y407" s="1745">
        <f t="shared" ref="Y407:Y412" si="268">S04A04</f>
        <v>1</v>
      </c>
      <c r="Z407" s="1746">
        <v>0</v>
      </c>
      <c r="AA407" s="1747"/>
      <c r="AB407" s="1748"/>
      <c r="AC407" s="1748"/>
      <c r="AD407" s="1595" t="str">
        <f t="shared" si="264"/>
        <v/>
      </c>
      <c r="AE407" s="1595">
        <f t="shared" ref="AE407:AE433" si="269">IF(OR(Q407="",T407=""),"",IF(Q407="A",INDEX(base_p,4,W407+7*(T407-1)),IF(Q407="E",INDEX(base_p,15,W407+7*(T407-1)),INDEX(base_p,27-V407,W407+7*(T407-1)))))</f>
        <v>3</v>
      </c>
      <c r="AF407" s="1595" t="str">
        <f t="shared" ref="AF407:AF433" si="270">IF(AT407=1,IF(IndG=1,U407,IF(AND(OR(NOT(AD407=""),NOT(AB407="")),OR(NOT(AE407=""),NOT(AC407="")),AT407=1),INDEX(base_g,5-IF(AB407="",AD407,AB407),IF(AC407="",AE407,AC407)),"")),0)</f>
        <v/>
      </c>
      <c r="AG407" s="1748"/>
      <c r="AH407" s="1749" t="str">
        <f t="shared" si="265"/>
        <v/>
      </c>
      <c r="AI407" s="1615"/>
      <c r="AJ407" s="1616" t="s">
        <v>4530</v>
      </c>
      <c r="AK407" s="1616" t="s">
        <v>5860</v>
      </c>
      <c r="AL407" s="1617" t="s">
        <v>93</v>
      </c>
      <c r="AM407" s="247" t="str">
        <f t="shared" si="258"/>
        <v/>
      </c>
      <c r="AN407" s="247" t="str">
        <f t="shared" si="259"/>
        <v/>
      </c>
      <c r="AO407" s="247" t="str">
        <f t="shared" si="260"/>
        <v/>
      </c>
      <c r="AP407" s="247" t="str">
        <f t="shared" si="261"/>
        <v/>
      </c>
      <c r="AQ407" s="42">
        <f t="shared" ref="AQ407:AQ433" si="271">VLOOKUP(LEFT(C407,3),Tab_classif_servIR,6)</f>
        <v>1</v>
      </c>
      <c r="AR407" s="42">
        <f t="shared" ref="AR407:AR433" si="272">VLOOKUP(G407,select_vul_serv,2)</f>
        <v>1</v>
      </c>
      <c r="AS407" s="42">
        <f t="shared" ref="AS407:AS433" si="273">VLOOKUP(H407&amp;"."&amp;I407,select_men,5)</f>
        <v>1</v>
      </c>
      <c r="AT407" s="42">
        <f t="shared" ref="AT407:AT433" si="274">P407*AQ407*AR407*AS407</f>
        <v>1</v>
      </c>
      <c r="AU407" s="247" t="str">
        <f t="shared" si="262"/>
        <v/>
      </c>
      <c r="AV407" s="247" t="str">
        <f t="shared" si="263"/>
        <v/>
      </c>
    </row>
    <row r="408" spans="1:48" ht="24" x14ac:dyDescent="0.2">
      <c r="A408" s="428" t="s">
        <v>448</v>
      </c>
      <c r="B408" s="429" t="s">
        <v>1494</v>
      </c>
      <c r="C408" s="430" t="s">
        <v>2785</v>
      </c>
      <c r="D408" s="1349" t="s">
        <v>1873</v>
      </c>
      <c r="E408" s="1350" t="s">
        <v>1493</v>
      </c>
      <c r="F408" s="1350" t="s">
        <v>2779</v>
      </c>
      <c r="G408" s="1351" t="s">
        <v>6068</v>
      </c>
      <c r="H408" s="1342" t="s">
        <v>1327</v>
      </c>
      <c r="I408" s="432" t="s">
        <v>1545</v>
      </c>
      <c r="J408" s="431" t="s">
        <v>1880</v>
      </c>
      <c r="K408" s="431"/>
      <c r="L408" s="431"/>
      <c r="M408" s="433"/>
      <c r="N408" s="434" t="s">
        <v>6403</v>
      </c>
      <c r="O408" s="1743" t="str">
        <f t="shared" ref="O408:O413" si="275">VLOOKUP(B408,code_famille_scénario,2)&amp;VLOOKUP(C408,code_actif,2)&amp;", par "&amp;VLOOKUP(N408,code_acteur,2)</f>
        <v>Effacement par erreur de configuration (code, paramétrage, etc.) de services du réseau étendu, par un membre du personnel d'exploitation</v>
      </c>
      <c r="P408" s="435">
        <v>1</v>
      </c>
      <c r="Q408" s="1595" t="s">
        <v>6403</v>
      </c>
      <c r="R408" s="1595" t="s">
        <v>1873</v>
      </c>
      <c r="S408" s="1595" t="str">
        <f>Classif!C21</f>
        <v/>
      </c>
      <c r="T408" s="1595">
        <f t="shared" si="266"/>
        <v>3</v>
      </c>
      <c r="U408" s="1744" t="str">
        <f t="shared" si="267"/>
        <v/>
      </c>
      <c r="V408" s="1745">
        <v>1</v>
      </c>
      <c r="W408" s="1745">
        <v>1</v>
      </c>
      <c r="X408" s="1745">
        <v>1</v>
      </c>
      <c r="Y408" s="1745">
        <f t="shared" si="268"/>
        <v>1</v>
      </c>
      <c r="Z408" s="1746">
        <v>0</v>
      </c>
      <c r="AA408" s="1747"/>
      <c r="AB408" s="1748"/>
      <c r="AC408" s="1748"/>
      <c r="AD408" s="1595" t="str">
        <f t="shared" si="264"/>
        <v/>
      </c>
      <c r="AE408" s="1595">
        <f t="shared" si="269"/>
        <v>3</v>
      </c>
      <c r="AF408" s="1595" t="str">
        <f t="shared" si="270"/>
        <v/>
      </c>
      <c r="AG408" s="1748"/>
      <c r="AH408" s="1749" t="str">
        <f t="shared" si="265"/>
        <v/>
      </c>
      <c r="AI408" s="1615"/>
      <c r="AJ408" s="1618"/>
      <c r="AK408" s="1618"/>
      <c r="AL408" s="1617" t="s">
        <v>93</v>
      </c>
      <c r="AM408" s="247" t="str">
        <f t="shared" si="258"/>
        <v/>
      </c>
      <c r="AN408" s="247" t="str">
        <f t="shared" si="259"/>
        <v/>
      </c>
      <c r="AO408" s="247" t="str">
        <f t="shared" si="260"/>
        <v/>
      </c>
      <c r="AP408" s="247" t="str">
        <f t="shared" si="261"/>
        <v/>
      </c>
      <c r="AQ408" s="42">
        <f t="shared" si="271"/>
        <v>1</v>
      </c>
      <c r="AR408" s="42">
        <f t="shared" si="272"/>
        <v>1</v>
      </c>
      <c r="AS408" s="42">
        <f t="shared" si="273"/>
        <v>1</v>
      </c>
      <c r="AT408" s="42">
        <f t="shared" si="274"/>
        <v>1</v>
      </c>
      <c r="AU408" s="247" t="str">
        <f t="shared" si="262"/>
        <v/>
      </c>
      <c r="AV408" s="247" t="str">
        <f t="shared" si="263"/>
        <v/>
      </c>
    </row>
    <row r="409" spans="1:48" ht="24" x14ac:dyDescent="0.2">
      <c r="A409" s="428" t="s">
        <v>449</v>
      </c>
      <c r="B409" s="429" t="s">
        <v>1494</v>
      </c>
      <c r="C409" s="430" t="s">
        <v>2785</v>
      </c>
      <c r="D409" s="1349" t="s">
        <v>1873</v>
      </c>
      <c r="E409" s="1350" t="s">
        <v>1493</v>
      </c>
      <c r="F409" s="1350" t="s">
        <v>2779</v>
      </c>
      <c r="G409" s="1351" t="s">
        <v>6068</v>
      </c>
      <c r="H409" s="1342" t="s">
        <v>1327</v>
      </c>
      <c r="I409" s="432" t="s">
        <v>1545</v>
      </c>
      <c r="J409" s="431" t="s">
        <v>1880</v>
      </c>
      <c r="K409" s="431"/>
      <c r="L409" s="431"/>
      <c r="M409" s="433"/>
      <c r="N409" s="434" t="s">
        <v>1299</v>
      </c>
      <c r="O409" s="1743" t="str">
        <f t="shared" si="275"/>
        <v>Effacement par erreur de configuration (code, paramétrage, etc.) de services du réseau étendu, par un membre du personnel de maintenance</v>
      </c>
      <c r="P409" s="435">
        <v>1</v>
      </c>
      <c r="Q409" s="1595" t="s">
        <v>6403</v>
      </c>
      <c r="R409" s="1595" t="s">
        <v>1873</v>
      </c>
      <c r="S409" s="1595" t="str">
        <f>Classif!C21</f>
        <v/>
      </c>
      <c r="T409" s="1595">
        <f t="shared" si="266"/>
        <v>3</v>
      </c>
      <c r="U409" s="1744" t="str">
        <f t="shared" si="267"/>
        <v/>
      </c>
      <c r="V409" s="1745">
        <v>1</v>
      </c>
      <c r="W409" s="1745">
        <v>1</v>
      </c>
      <c r="X409" s="1745">
        <v>1</v>
      </c>
      <c r="Y409" s="1745">
        <f t="shared" si="268"/>
        <v>1</v>
      </c>
      <c r="Z409" s="1746">
        <v>0</v>
      </c>
      <c r="AA409" s="1747"/>
      <c r="AB409" s="1748"/>
      <c r="AC409" s="1748"/>
      <c r="AD409" s="1595" t="str">
        <f t="shared" si="264"/>
        <v/>
      </c>
      <c r="AE409" s="1595">
        <f t="shared" si="269"/>
        <v>3</v>
      </c>
      <c r="AF409" s="1595" t="str">
        <f t="shared" si="270"/>
        <v/>
      </c>
      <c r="AG409" s="1748"/>
      <c r="AH409" s="1749" t="str">
        <f t="shared" si="265"/>
        <v/>
      </c>
      <c r="AI409" s="1615"/>
      <c r="AJ409" s="1618"/>
      <c r="AK409" s="1618"/>
      <c r="AL409" s="1617" t="s">
        <v>93</v>
      </c>
      <c r="AM409" s="247" t="str">
        <f t="shared" si="258"/>
        <v/>
      </c>
      <c r="AN409" s="247" t="str">
        <f t="shared" si="259"/>
        <v/>
      </c>
      <c r="AO409" s="247" t="str">
        <f t="shared" si="260"/>
        <v/>
      </c>
      <c r="AP409" s="247" t="str">
        <f t="shared" si="261"/>
        <v/>
      </c>
      <c r="AQ409" s="42">
        <f t="shared" si="271"/>
        <v>1</v>
      </c>
      <c r="AR409" s="42">
        <f t="shared" si="272"/>
        <v>1</v>
      </c>
      <c r="AS409" s="42">
        <f t="shared" si="273"/>
        <v>1</v>
      </c>
      <c r="AT409" s="42">
        <f t="shared" si="274"/>
        <v>1</v>
      </c>
      <c r="AU409" s="247" t="str">
        <f t="shared" si="262"/>
        <v/>
      </c>
      <c r="AV409" s="247" t="str">
        <f t="shared" si="263"/>
        <v/>
      </c>
    </row>
    <row r="410" spans="1:48" ht="24" x14ac:dyDescent="0.2">
      <c r="A410" s="428" t="s">
        <v>450</v>
      </c>
      <c r="B410" s="429" t="s">
        <v>2453</v>
      </c>
      <c r="C410" s="430" t="s">
        <v>2785</v>
      </c>
      <c r="D410" s="1349" t="s">
        <v>1873</v>
      </c>
      <c r="E410" s="1350" t="s">
        <v>1493</v>
      </c>
      <c r="F410" s="1350" t="s">
        <v>2779</v>
      </c>
      <c r="G410" s="1351" t="s">
        <v>6068</v>
      </c>
      <c r="H410" s="1342" t="s">
        <v>1328</v>
      </c>
      <c r="I410" s="432" t="s">
        <v>1546</v>
      </c>
      <c r="J410" s="431" t="s">
        <v>1880</v>
      </c>
      <c r="K410" s="431"/>
      <c r="L410" s="431"/>
      <c r="M410" s="433"/>
      <c r="N410" s="434" t="s">
        <v>1303</v>
      </c>
      <c r="O410" s="1743" t="str">
        <f t="shared" si="275"/>
        <v>Effacement malveillant de configuration (code, paramétrage, etc.) de services du réseau étendu, par un utilisateur non autorisé</v>
      </c>
      <c r="P410" s="435">
        <v>1</v>
      </c>
      <c r="Q410" s="1595" t="s">
        <v>1299</v>
      </c>
      <c r="R410" s="1595" t="s">
        <v>1873</v>
      </c>
      <c r="S410" s="1595" t="str">
        <f>Classif!C21</f>
        <v/>
      </c>
      <c r="T410" s="1595">
        <f t="shared" si="266"/>
        <v>2</v>
      </c>
      <c r="U410" s="1744" t="str">
        <f t="shared" si="267"/>
        <v/>
      </c>
      <c r="V410" s="1745">
        <v>1</v>
      </c>
      <c r="W410" s="1745">
        <f>S06C02</f>
        <v>1</v>
      </c>
      <c r="X410" s="1745">
        <f>S04D02</f>
        <v>1</v>
      </c>
      <c r="Y410" s="1745">
        <f t="shared" si="268"/>
        <v>1</v>
      </c>
      <c r="Z410" s="1746">
        <v>0</v>
      </c>
      <c r="AA410" s="1747"/>
      <c r="AB410" s="1748"/>
      <c r="AC410" s="1748"/>
      <c r="AD410" s="1595" t="str">
        <f t="shared" si="264"/>
        <v/>
      </c>
      <c r="AE410" s="1595">
        <f t="shared" si="269"/>
        <v>2</v>
      </c>
      <c r="AF410" s="1595" t="str">
        <f t="shared" si="270"/>
        <v/>
      </c>
      <c r="AG410" s="1748"/>
      <c r="AH410" s="1749" t="str">
        <f t="shared" si="265"/>
        <v/>
      </c>
      <c r="AI410" s="1615"/>
      <c r="AJ410" s="1621" t="s">
        <v>4574</v>
      </c>
      <c r="AK410" s="1621" t="s">
        <v>5858</v>
      </c>
      <c r="AL410" s="1617" t="s">
        <v>93</v>
      </c>
      <c r="AM410" s="247" t="str">
        <f t="shared" si="258"/>
        <v/>
      </c>
      <c r="AN410" s="247" t="str">
        <f t="shared" si="259"/>
        <v/>
      </c>
      <c r="AO410" s="247" t="str">
        <f t="shared" si="260"/>
        <v/>
      </c>
      <c r="AP410" s="247" t="str">
        <f t="shared" si="261"/>
        <v/>
      </c>
      <c r="AQ410" s="42">
        <f t="shared" si="271"/>
        <v>1</v>
      </c>
      <c r="AR410" s="42">
        <f t="shared" si="272"/>
        <v>1</v>
      </c>
      <c r="AS410" s="42">
        <f t="shared" si="273"/>
        <v>1</v>
      </c>
      <c r="AT410" s="42">
        <f t="shared" si="274"/>
        <v>1</v>
      </c>
      <c r="AU410" s="247" t="str">
        <f t="shared" si="262"/>
        <v/>
      </c>
      <c r="AV410" s="247" t="str">
        <f t="shared" si="263"/>
        <v/>
      </c>
    </row>
    <row r="411" spans="1:48" ht="24" x14ac:dyDescent="0.2">
      <c r="A411" s="428" t="s">
        <v>451</v>
      </c>
      <c r="B411" s="429" t="s">
        <v>2453</v>
      </c>
      <c r="C411" s="430" t="s">
        <v>2785</v>
      </c>
      <c r="D411" s="1349" t="s">
        <v>1873</v>
      </c>
      <c r="E411" s="1350" t="s">
        <v>1493</v>
      </c>
      <c r="F411" s="1350" t="s">
        <v>2779</v>
      </c>
      <c r="G411" s="1351" t="s">
        <v>6068</v>
      </c>
      <c r="H411" s="1342" t="s">
        <v>1328</v>
      </c>
      <c r="I411" s="432" t="s">
        <v>1546</v>
      </c>
      <c r="J411" s="431" t="s">
        <v>1880</v>
      </c>
      <c r="K411" s="431"/>
      <c r="L411" s="431"/>
      <c r="M411" s="433"/>
      <c r="N411" s="434" t="s">
        <v>6403</v>
      </c>
      <c r="O411" s="1743" t="str">
        <f t="shared" si="275"/>
        <v>Effacement malveillant de configuration (code, paramétrage, etc.) de services du réseau étendu, par un membre du personnel d'exploitation</v>
      </c>
      <c r="P411" s="435">
        <v>1</v>
      </c>
      <c r="Q411" s="1595" t="s">
        <v>1299</v>
      </c>
      <c r="R411" s="1595" t="s">
        <v>1873</v>
      </c>
      <c r="S411" s="1595" t="str">
        <f>Classif!C21</f>
        <v/>
      </c>
      <c r="T411" s="1595">
        <f t="shared" si="266"/>
        <v>2</v>
      </c>
      <c r="U411" s="1744" t="str">
        <f t="shared" si="267"/>
        <v/>
      </c>
      <c r="V411" s="1745">
        <f>MIN(S06C02,S06C03)</f>
        <v>1</v>
      </c>
      <c r="W411" s="1745">
        <v>1</v>
      </c>
      <c r="X411" s="1745">
        <v>1</v>
      </c>
      <c r="Y411" s="1745">
        <f t="shared" si="268"/>
        <v>1</v>
      </c>
      <c r="Z411" s="1746">
        <v>0</v>
      </c>
      <c r="AA411" s="1747"/>
      <c r="AB411" s="1748"/>
      <c r="AC411" s="1748"/>
      <c r="AD411" s="1595" t="str">
        <f t="shared" si="264"/>
        <v/>
      </c>
      <c r="AE411" s="1595">
        <f t="shared" si="269"/>
        <v>2</v>
      </c>
      <c r="AF411" s="1595" t="str">
        <f t="shared" si="270"/>
        <v/>
      </c>
      <c r="AG411" s="1748"/>
      <c r="AH411" s="1749" t="str">
        <f t="shared" si="265"/>
        <v/>
      </c>
      <c r="AI411" s="1622" t="s">
        <v>5000</v>
      </c>
      <c r="AJ411" s="1621"/>
      <c r="AK411" s="1621"/>
      <c r="AL411" s="1617" t="s">
        <v>93</v>
      </c>
      <c r="AM411" s="247" t="str">
        <f t="shared" si="258"/>
        <v/>
      </c>
      <c r="AN411" s="247" t="str">
        <f t="shared" si="259"/>
        <v/>
      </c>
      <c r="AO411" s="247" t="str">
        <f t="shared" si="260"/>
        <v/>
      </c>
      <c r="AP411" s="247" t="str">
        <f t="shared" si="261"/>
        <v/>
      </c>
      <c r="AQ411" s="42">
        <f t="shared" si="271"/>
        <v>1</v>
      </c>
      <c r="AR411" s="42">
        <f t="shared" si="272"/>
        <v>1</v>
      </c>
      <c r="AS411" s="42">
        <f t="shared" si="273"/>
        <v>1</v>
      </c>
      <c r="AT411" s="42">
        <f t="shared" si="274"/>
        <v>1</v>
      </c>
      <c r="AU411" s="247" t="str">
        <f t="shared" si="262"/>
        <v/>
      </c>
      <c r="AV411" s="247" t="str">
        <f t="shared" si="263"/>
        <v/>
      </c>
    </row>
    <row r="412" spans="1:48" ht="24" x14ac:dyDescent="0.2">
      <c r="A412" s="428" t="s">
        <v>452</v>
      </c>
      <c r="B412" s="429" t="s">
        <v>2453</v>
      </c>
      <c r="C412" s="430" t="s">
        <v>2785</v>
      </c>
      <c r="D412" s="1349" t="s">
        <v>1873</v>
      </c>
      <c r="E412" s="1350" t="s">
        <v>1493</v>
      </c>
      <c r="F412" s="1350" t="s">
        <v>2779</v>
      </c>
      <c r="G412" s="1351" t="s">
        <v>6068</v>
      </c>
      <c r="H412" s="1342" t="s">
        <v>1328</v>
      </c>
      <c r="I412" s="432" t="s">
        <v>1546</v>
      </c>
      <c r="J412" s="431" t="s">
        <v>1880</v>
      </c>
      <c r="K412" s="431"/>
      <c r="L412" s="431"/>
      <c r="M412" s="433"/>
      <c r="N412" s="434" t="s">
        <v>1299</v>
      </c>
      <c r="O412" s="1743" t="str">
        <f t="shared" si="275"/>
        <v>Effacement malveillant de configuration (code, paramétrage, etc.) de services du réseau étendu, par un membre du personnel de maintenance</v>
      </c>
      <c r="P412" s="435">
        <v>1</v>
      </c>
      <c r="Q412" s="1595" t="s">
        <v>1299</v>
      </c>
      <c r="R412" s="1595" t="s">
        <v>1873</v>
      </c>
      <c r="S412" s="1595" t="str">
        <f>Classif!C21</f>
        <v/>
      </c>
      <c r="T412" s="1595">
        <f t="shared" si="266"/>
        <v>2</v>
      </c>
      <c r="U412" s="1744" t="str">
        <f t="shared" si="267"/>
        <v/>
      </c>
      <c r="V412" s="1745">
        <v>1</v>
      </c>
      <c r="W412" s="1745">
        <v>1</v>
      </c>
      <c r="X412" s="1745">
        <f>S04D02</f>
        <v>1</v>
      </c>
      <c r="Y412" s="1745">
        <f t="shared" si="268"/>
        <v>1</v>
      </c>
      <c r="Z412" s="1746">
        <v>0</v>
      </c>
      <c r="AA412" s="1747"/>
      <c r="AB412" s="1748"/>
      <c r="AC412" s="1748"/>
      <c r="AD412" s="1595" t="str">
        <f t="shared" si="264"/>
        <v/>
      </c>
      <c r="AE412" s="1595">
        <f t="shared" si="269"/>
        <v>2</v>
      </c>
      <c r="AF412" s="1595" t="str">
        <f t="shared" si="270"/>
        <v/>
      </c>
      <c r="AG412" s="1748"/>
      <c r="AH412" s="1749" t="str">
        <f t="shared" si="265"/>
        <v/>
      </c>
      <c r="AI412" s="1620"/>
      <c r="AJ412" s="1616"/>
      <c r="AK412" s="1621" t="s">
        <v>5858</v>
      </c>
      <c r="AL412" s="1617" t="s">
        <v>93</v>
      </c>
      <c r="AM412" s="247" t="str">
        <f t="shared" si="258"/>
        <v/>
      </c>
      <c r="AN412" s="247" t="str">
        <f t="shared" si="259"/>
        <v/>
      </c>
      <c r="AO412" s="247" t="str">
        <f t="shared" si="260"/>
        <v/>
      </c>
      <c r="AP412" s="247" t="str">
        <f t="shared" si="261"/>
        <v/>
      </c>
      <c r="AQ412" s="42">
        <f t="shared" si="271"/>
        <v>1</v>
      </c>
      <c r="AR412" s="42">
        <f t="shared" si="272"/>
        <v>1</v>
      </c>
      <c r="AS412" s="42">
        <f t="shared" si="273"/>
        <v>1</v>
      </c>
      <c r="AT412" s="42">
        <f t="shared" si="274"/>
        <v>1</v>
      </c>
      <c r="AU412" s="247" t="str">
        <f t="shared" si="262"/>
        <v/>
      </c>
      <c r="AV412" s="247" t="str">
        <f t="shared" si="263"/>
        <v/>
      </c>
    </row>
    <row r="413" spans="1:48" ht="36" x14ac:dyDescent="0.2">
      <c r="A413" s="428" t="s">
        <v>453</v>
      </c>
      <c r="B413" s="429" t="s">
        <v>3461</v>
      </c>
      <c r="C413" s="430" t="s">
        <v>2785</v>
      </c>
      <c r="D413" s="1349" t="s">
        <v>1873</v>
      </c>
      <c r="E413" s="1350" t="s">
        <v>1493</v>
      </c>
      <c r="F413" s="1350" t="s">
        <v>2779</v>
      </c>
      <c r="G413" s="1351" t="s">
        <v>6068</v>
      </c>
      <c r="H413" s="1342" t="s">
        <v>1328</v>
      </c>
      <c r="I413" s="432" t="s">
        <v>1550</v>
      </c>
      <c r="J413" s="431"/>
      <c r="K413" s="431"/>
      <c r="L413" s="431"/>
      <c r="M413" s="433"/>
      <c r="N413" s="434" t="s">
        <v>6403</v>
      </c>
      <c r="O413" s="1743" t="str">
        <f t="shared" si="275"/>
        <v>Effacement malveillant total de configurations et sauvegardes (code, paramétrage, etc.) de services du réseau étendu, par un membre du personnel d'exploitation</v>
      </c>
      <c r="P413" s="435">
        <v>1</v>
      </c>
      <c r="Q413" s="1595" t="s">
        <v>1299</v>
      </c>
      <c r="R413" s="1595" t="s">
        <v>1873</v>
      </c>
      <c r="S413" s="1595" t="str">
        <f>Classif!C21</f>
        <v/>
      </c>
      <c r="T413" s="1595">
        <f t="shared" si="266"/>
        <v>2</v>
      </c>
      <c r="U413" s="1744" t="str">
        <f t="shared" si="267"/>
        <v/>
      </c>
      <c r="V413" s="1745">
        <f>MIN(S06C02,S06C03)</f>
        <v>1</v>
      </c>
      <c r="W413" s="1745">
        <v>1</v>
      </c>
      <c r="X413" s="1745">
        <v>1</v>
      </c>
      <c r="Y413" s="1745">
        <v>1</v>
      </c>
      <c r="Z413" s="1746">
        <v>0</v>
      </c>
      <c r="AA413" s="1747"/>
      <c r="AB413" s="1748"/>
      <c r="AC413" s="1748"/>
      <c r="AD413" s="1595" t="str">
        <f t="shared" si="264"/>
        <v/>
      </c>
      <c r="AE413" s="1595">
        <f t="shared" si="269"/>
        <v>2</v>
      </c>
      <c r="AF413" s="1595" t="str">
        <f t="shared" si="270"/>
        <v/>
      </c>
      <c r="AG413" s="1748"/>
      <c r="AH413" s="1749" t="str">
        <f t="shared" si="265"/>
        <v/>
      </c>
      <c r="AI413" s="1622" t="s">
        <v>5000</v>
      </c>
      <c r="AJ413" s="1621"/>
      <c r="AK413" s="1618"/>
      <c r="AL413" s="1617"/>
      <c r="AM413" s="247" t="str">
        <f t="shared" si="258"/>
        <v/>
      </c>
      <c r="AN413" s="247" t="str">
        <f t="shared" si="259"/>
        <v/>
      </c>
      <c r="AO413" s="247" t="str">
        <f t="shared" si="260"/>
        <v/>
      </c>
      <c r="AP413" s="247" t="str">
        <f t="shared" si="261"/>
        <v/>
      </c>
      <c r="AQ413" s="42">
        <f t="shared" si="271"/>
        <v>1</v>
      </c>
      <c r="AR413" s="42">
        <f t="shared" si="272"/>
        <v>1</v>
      </c>
      <c r="AS413" s="42">
        <f t="shared" si="273"/>
        <v>1</v>
      </c>
      <c r="AT413" s="42">
        <f t="shared" si="274"/>
        <v>1</v>
      </c>
      <c r="AU413" s="247" t="str">
        <f t="shared" si="262"/>
        <v/>
      </c>
      <c r="AV413" s="247" t="str">
        <f t="shared" si="263"/>
        <v/>
      </c>
    </row>
    <row r="414" spans="1:48" ht="24" x14ac:dyDescent="0.2">
      <c r="A414" s="428" t="s">
        <v>454</v>
      </c>
      <c r="B414" s="429" t="s">
        <v>4599</v>
      </c>
      <c r="C414" s="430" t="s">
        <v>2785</v>
      </c>
      <c r="D414" s="1349" t="s">
        <v>1873</v>
      </c>
      <c r="E414" s="1350" t="s">
        <v>5043</v>
      </c>
      <c r="F414" s="1350" t="s">
        <v>1879</v>
      </c>
      <c r="G414" s="1351" t="s">
        <v>5440</v>
      </c>
      <c r="H414" s="1342" t="s">
        <v>1554</v>
      </c>
      <c r="I414" s="432" t="s">
        <v>1534</v>
      </c>
      <c r="J414" s="431" t="s">
        <v>1880</v>
      </c>
      <c r="K414" s="431"/>
      <c r="L414" s="431"/>
      <c r="M414" s="433"/>
      <c r="N414" s="434"/>
      <c r="O414" s="1743" t="str">
        <f>VLOOKUP(B414,code_famille_scénario,2)&amp;VLOOKUP(C414,code_actif,2)&amp;", "&amp;VLOOKUP(J414,Code_lieu,2)&amp;", due "&amp;VLOOKUP(I414,code_event,2)</f>
        <v>Endommagement accidentel de système hôte de services du réseau étendu, dans les locaux de l'exploitation, due à un dégât des eaux</v>
      </c>
      <c r="P414" s="435">
        <v>1</v>
      </c>
      <c r="Q414" s="1595" t="s">
        <v>1431</v>
      </c>
      <c r="R414" s="1595" t="s">
        <v>1873</v>
      </c>
      <c r="S414" s="1595" t="str">
        <f>Classif!C21</f>
        <v/>
      </c>
      <c r="T414" s="1595">
        <f t="shared" si="266"/>
        <v>3</v>
      </c>
      <c r="U414" s="1744" t="str">
        <f t="shared" si="267"/>
        <v/>
      </c>
      <c r="V414" s="1745">
        <v>1</v>
      </c>
      <c r="W414" s="1745">
        <f>S03C01</f>
        <v>1</v>
      </c>
      <c r="X414" s="1745">
        <v>1</v>
      </c>
      <c r="Y414" s="1745">
        <f>MAX(S04A01,S04A05,MIN(S01E01,S01E02))</f>
        <v>1</v>
      </c>
      <c r="Z414" s="1746">
        <v>0</v>
      </c>
      <c r="AA414" s="1747"/>
      <c r="AB414" s="1748"/>
      <c r="AC414" s="1748"/>
      <c r="AD414" s="1595" t="str">
        <f t="shared" si="264"/>
        <v/>
      </c>
      <c r="AE414" s="1595">
        <f t="shared" si="269"/>
        <v>3</v>
      </c>
      <c r="AF414" s="1595" t="str">
        <f t="shared" si="270"/>
        <v/>
      </c>
      <c r="AG414" s="1748"/>
      <c r="AH414" s="1749" t="str">
        <f t="shared" si="265"/>
        <v/>
      </c>
      <c r="AI414" s="1620"/>
      <c r="AJ414" s="1616" t="s">
        <v>5220</v>
      </c>
      <c r="AK414" s="1616"/>
      <c r="AL414" s="1617" t="s">
        <v>2260</v>
      </c>
      <c r="AM414" s="247" t="str">
        <f t="shared" si="258"/>
        <v/>
      </c>
      <c r="AN414" s="247" t="str">
        <f t="shared" si="259"/>
        <v/>
      </c>
      <c r="AO414" s="247" t="str">
        <f t="shared" si="260"/>
        <v/>
      </c>
      <c r="AP414" s="247" t="str">
        <f t="shared" si="261"/>
        <v/>
      </c>
      <c r="AQ414" s="42">
        <f t="shared" si="271"/>
        <v>1</v>
      </c>
      <c r="AR414" s="42">
        <f t="shared" si="272"/>
        <v>1</v>
      </c>
      <c r="AS414" s="42">
        <f t="shared" si="273"/>
        <v>1</v>
      </c>
      <c r="AT414" s="42">
        <f t="shared" si="274"/>
        <v>1</v>
      </c>
      <c r="AU414" s="247" t="str">
        <f t="shared" si="262"/>
        <v/>
      </c>
      <c r="AV414" s="247" t="str">
        <f t="shared" si="263"/>
        <v/>
      </c>
    </row>
    <row r="415" spans="1:48" ht="24" x14ac:dyDescent="0.2">
      <c r="A415" s="428" t="s">
        <v>455</v>
      </c>
      <c r="B415" s="429" t="s">
        <v>4599</v>
      </c>
      <c r="C415" s="430" t="s">
        <v>2785</v>
      </c>
      <c r="D415" s="1349" t="s">
        <v>1873</v>
      </c>
      <c r="E415" s="1350" t="s">
        <v>5043</v>
      </c>
      <c r="F415" s="1350" t="s">
        <v>1879</v>
      </c>
      <c r="G415" s="1351" t="s">
        <v>5440</v>
      </c>
      <c r="H415" s="1342" t="s">
        <v>1554</v>
      </c>
      <c r="I415" s="432" t="s">
        <v>1537</v>
      </c>
      <c r="J415" s="431" t="s">
        <v>1880</v>
      </c>
      <c r="K415" s="431"/>
      <c r="L415" s="431"/>
      <c r="M415" s="433"/>
      <c r="N415" s="434"/>
      <c r="O415" s="1743" t="str">
        <f>VLOOKUP(B415,code_famille_scénario,2)&amp;VLOOKUP(C415,code_actif,2)&amp;", "&amp;VLOOKUP(J415,Code_lieu,2)&amp;", due "&amp;VLOOKUP(I415,code_event,2)</f>
        <v>Endommagement accidentel de système hôte de services du réseau étendu, dans les locaux de l'exploitation, due à une surcharge électrique</v>
      </c>
      <c r="P415" s="435">
        <v>1</v>
      </c>
      <c r="Q415" s="1595" t="s">
        <v>1431</v>
      </c>
      <c r="R415" s="1595" t="s">
        <v>1873</v>
      </c>
      <c r="S415" s="1595" t="str">
        <f>Classif!C21</f>
        <v/>
      </c>
      <c r="T415" s="1595">
        <f t="shared" si="266"/>
        <v>2</v>
      </c>
      <c r="U415" s="1744" t="str">
        <f t="shared" si="267"/>
        <v/>
      </c>
      <c r="V415" s="1745">
        <v>1</v>
      </c>
      <c r="W415" s="1745">
        <f>MIN(S03A01,S03A04)</f>
        <v>1</v>
      </c>
      <c r="X415" s="1745">
        <v>1</v>
      </c>
      <c r="Y415" s="1745">
        <f>MAX(S04A01,S04A05,MIN(S01E01,S01E02))</f>
        <v>1</v>
      </c>
      <c r="Z415" s="1746">
        <v>0</v>
      </c>
      <c r="AA415" s="1747"/>
      <c r="AB415" s="1748"/>
      <c r="AC415" s="1748"/>
      <c r="AD415" s="1595" t="str">
        <f t="shared" si="264"/>
        <v/>
      </c>
      <c r="AE415" s="1595">
        <f t="shared" si="269"/>
        <v>2</v>
      </c>
      <c r="AF415" s="1595" t="str">
        <f t="shared" si="270"/>
        <v/>
      </c>
      <c r="AG415" s="1748"/>
      <c r="AH415" s="1749" t="str">
        <f t="shared" si="265"/>
        <v/>
      </c>
      <c r="AI415" s="1615"/>
      <c r="AJ415" s="1616" t="s">
        <v>5252</v>
      </c>
      <c r="AK415" s="1616"/>
      <c r="AL415" s="1617" t="s">
        <v>2260</v>
      </c>
      <c r="AM415" s="247" t="str">
        <f t="shared" si="258"/>
        <v/>
      </c>
      <c r="AN415" s="247" t="str">
        <f t="shared" si="259"/>
        <v/>
      </c>
      <c r="AO415" s="247" t="str">
        <f t="shared" si="260"/>
        <v/>
      </c>
      <c r="AP415" s="247" t="str">
        <f t="shared" si="261"/>
        <v/>
      </c>
      <c r="AQ415" s="42">
        <f t="shared" si="271"/>
        <v>1</v>
      </c>
      <c r="AR415" s="42">
        <f t="shared" si="272"/>
        <v>1</v>
      </c>
      <c r="AS415" s="42">
        <f t="shared" si="273"/>
        <v>1</v>
      </c>
      <c r="AT415" s="42">
        <f t="shared" si="274"/>
        <v>1</v>
      </c>
      <c r="AU415" s="247" t="str">
        <f t="shared" si="262"/>
        <v/>
      </c>
      <c r="AV415" s="247" t="str">
        <f t="shared" si="263"/>
        <v/>
      </c>
    </row>
    <row r="416" spans="1:48" ht="36" x14ac:dyDescent="0.2">
      <c r="A416" s="428" t="s">
        <v>456</v>
      </c>
      <c r="B416" s="429" t="s">
        <v>4600</v>
      </c>
      <c r="C416" s="430" t="s">
        <v>2785</v>
      </c>
      <c r="D416" s="1349" t="s">
        <v>1873</v>
      </c>
      <c r="E416" s="1350" t="s">
        <v>5043</v>
      </c>
      <c r="F416" s="1350" t="s">
        <v>1875</v>
      </c>
      <c r="G416" s="1351" t="s">
        <v>5439</v>
      </c>
      <c r="H416" s="1342" t="s">
        <v>3919</v>
      </c>
      <c r="I416" s="432" t="s">
        <v>4329</v>
      </c>
      <c r="J416" s="431" t="s">
        <v>1880</v>
      </c>
      <c r="K416" s="431"/>
      <c r="L416" s="431"/>
      <c r="M416" s="433"/>
      <c r="N416" s="434"/>
      <c r="O416" s="1743" t="str">
        <f>VLOOKUP(B416,code_famille_scénario,2)&amp;VLOOKUP(C416,code_actif,2)&amp;", "&amp;VLOOKUP(J416,Code_lieu,2)&amp;", due "&amp;VLOOKUP(I416,code_event,2)</f>
        <v>Indisponibilité de longue durée, destruction ou perte accidentelles de système hôte de services du réseau étendu, dans les locaux de l'exploitation, due à un foudroiement</v>
      </c>
      <c r="P416" s="435">
        <v>1</v>
      </c>
      <c r="Q416" s="1595" t="s">
        <v>1431</v>
      </c>
      <c r="R416" s="1595" t="s">
        <v>1873</v>
      </c>
      <c r="S416" s="1595" t="str">
        <f>Classif!C21</f>
        <v/>
      </c>
      <c r="T416" s="1595">
        <f t="shared" si="266"/>
        <v>2</v>
      </c>
      <c r="U416" s="1744" t="str">
        <f t="shared" si="267"/>
        <v/>
      </c>
      <c r="V416" s="1745">
        <v>1</v>
      </c>
      <c r="W416" s="1745">
        <f>S03A05</f>
        <v>1</v>
      </c>
      <c r="X416" s="1745">
        <v>1</v>
      </c>
      <c r="Y416" s="1745">
        <f>S04A05</f>
        <v>1</v>
      </c>
      <c r="Z416" s="1746">
        <v>0</v>
      </c>
      <c r="AA416" s="1747"/>
      <c r="AB416" s="1748"/>
      <c r="AC416" s="1748"/>
      <c r="AD416" s="1595" t="str">
        <f t="shared" si="264"/>
        <v/>
      </c>
      <c r="AE416" s="1595">
        <f t="shared" si="269"/>
        <v>2</v>
      </c>
      <c r="AF416" s="1595" t="str">
        <f t="shared" si="270"/>
        <v/>
      </c>
      <c r="AG416" s="1748"/>
      <c r="AH416" s="1749" t="str">
        <f t="shared" si="265"/>
        <v/>
      </c>
      <c r="AI416" s="1620"/>
      <c r="AJ416" s="1616" t="s">
        <v>2343</v>
      </c>
      <c r="AK416" s="1616"/>
      <c r="AL416" s="1617" t="s">
        <v>95</v>
      </c>
      <c r="AM416" s="247" t="str">
        <f t="shared" si="258"/>
        <v/>
      </c>
      <c r="AN416" s="247" t="str">
        <f t="shared" si="259"/>
        <v/>
      </c>
      <c r="AO416" s="247" t="str">
        <f t="shared" si="260"/>
        <v/>
      </c>
      <c r="AP416" s="247" t="str">
        <f t="shared" si="261"/>
        <v/>
      </c>
      <c r="AQ416" s="42">
        <f t="shared" si="271"/>
        <v>1</v>
      </c>
      <c r="AR416" s="42">
        <f t="shared" si="272"/>
        <v>1</v>
      </c>
      <c r="AS416" s="42">
        <f t="shared" si="273"/>
        <v>1</v>
      </c>
      <c r="AT416" s="42">
        <f t="shared" si="274"/>
        <v>1</v>
      </c>
      <c r="AU416" s="247" t="str">
        <f t="shared" si="262"/>
        <v/>
      </c>
      <c r="AV416" s="247" t="str">
        <f t="shared" si="263"/>
        <v/>
      </c>
    </row>
    <row r="417" spans="1:48" ht="36" x14ac:dyDescent="0.2">
      <c r="A417" s="428" t="s">
        <v>457</v>
      </c>
      <c r="B417" s="429" t="s">
        <v>4600</v>
      </c>
      <c r="C417" s="430" t="s">
        <v>2785</v>
      </c>
      <c r="D417" s="1349" t="s">
        <v>1873</v>
      </c>
      <c r="E417" s="1350" t="s">
        <v>5043</v>
      </c>
      <c r="F417" s="1350" t="s">
        <v>1875</v>
      </c>
      <c r="G417" s="1351" t="s">
        <v>5439</v>
      </c>
      <c r="H417" s="1342" t="s">
        <v>3919</v>
      </c>
      <c r="I417" s="432" t="s">
        <v>1535</v>
      </c>
      <c r="J417" s="431" t="s">
        <v>1880</v>
      </c>
      <c r="K417" s="431"/>
      <c r="L417" s="431"/>
      <c r="M417" s="433"/>
      <c r="N417" s="434"/>
      <c r="O417" s="1743" t="str">
        <f>VLOOKUP(B417,code_famille_scénario,2)&amp;VLOOKUP(C417,code_actif,2)&amp;", "&amp;VLOOKUP(J417,Code_lieu,2)&amp;", due "&amp;VLOOKUP(I417,code_event,2)</f>
        <v>Indisponibilité de longue durée, destruction ou perte accidentelles de système hôte de services du réseau étendu, dans les locaux de l'exploitation, due à un incendie</v>
      </c>
      <c r="P417" s="435">
        <v>1</v>
      </c>
      <c r="Q417" s="1595" t="s">
        <v>1431</v>
      </c>
      <c r="R417" s="1595" t="s">
        <v>1873</v>
      </c>
      <c r="S417" s="1595" t="str">
        <f>Classif!C21</f>
        <v/>
      </c>
      <c r="T417" s="1595">
        <f t="shared" si="266"/>
        <v>2</v>
      </c>
      <c r="U417" s="1744" t="str">
        <f t="shared" si="267"/>
        <v/>
      </c>
      <c r="V417" s="1745">
        <v>1</v>
      </c>
      <c r="W417" s="1745">
        <f>S03D01</f>
        <v>1</v>
      </c>
      <c r="X417" s="1745">
        <f>MIN(S03D02,S03D03)</f>
        <v>1</v>
      </c>
      <c r="Y417" s="1745">
        <f>S04A05</f>
        <v>1</v>
      </c>
      <c r="Z417" s="1758">
        <v>1</v>
      </c>
      <c r="AA417" s="1759"/>
      <c r="AB417" s="1748"/>
      <c r="AC417" s="1748"/>
      <c r="AD417" s="1595" t="str">
        <f t="shared" si="264"/>
        <v/>
      </c>
      <c r="AE417" s="1595">
        <f t="shared" si="269"/>
        <v>2</v>
      </c>
      <c r="AF417" s="1595" t="str">
        <f t="shared" si="270"/>
        <v/>
      </c>
      <c r="AG417" s="1748"/>
      <c r="AH417" s="1749" t="str">
        <f t="shared" si="265"/>
        <v/>
      </c>
      <c r="AI417" s="1620"/>
      <c r="AJ417" s="1616" t="s">
        <v>5225</v>
      </c>
      <c r="AK417" s="1616" t="s">
        <v>1052</v>
      </c>
      <c r="AL417" s="1617" t="s">
        <v>95</v>
      </c>
      <c r="AM417" s="247" t="str">
        <f t="shared" si="258"/>
        <v/>
      </c>
      <c r="AN417" s="247" t="str">
        <f t="shared" si="259"/>
        <v/>
      </c>
      <c r="AO417" s="247" t="str">
        <f t="shared" si="260"/>
        <v/>
      </c>
      <c r="AP417" s="247" t="str">
        <f t="shared" si="261"/>
        <v/>
      </c>
      <c r="AQ417" s="42">
        <f t="shared" si="271"/>
        <v>1</v>
      </c>
      <c r="AR417" s="42">
        <f t="shared" si="272"/>
        <v>1</v>
      </c>
      <c r="AS417" s="42">
        <f t="shared" si="273"/>
        <v>1</v>
      </c>
      <c r="AT417" s="42">
        <f t="shared" si="274"/>
        <v>1</v>
      </c>
      <c r="AU417" s="247" t="str">
        <f t="shared" si="262"/>
        <v/>
      </c>
      <c r="AV417" s="247" t="str">
        <f t="shared" si="263"/>
        <v/>
      </c>
    </row>
    <row r="418" spans="1:48" ht="36" x14ac:dyDescent="0.2">
      <c r="A418" s="428" t="s">
        <v>458</v>
      </c>
      <c r="B418" s="429" t="s">
        <v>4600</v>
      </c>
      <c r="C418" s="430" t="s">
        <v>2785</v>
      </c>
      <c r="D418" s="1349" t="s">
        <v>1873</v>
      </c>
      <c r="E418" s="1350" t="s">
        <v>5043</v>
      </c>
      <c r="F418" s="1350" t="s">
        <v>1875</v>
      </c>
      <c r="G418" s="1351" t="s">
        <v>5439</v>
      </c>
      <c r="H418" s="1342" t="s">
        <v>3919</v>
      </c>
      <c r="I418" s="432" t="s">
        <v>1536</v>
      </c>
      <c r="J418" s="431" t="s">
        <v>1880</v>
      </c>
      <c r="K418" s="431"/>
      <c r="L418" s="431"/>
      <c r="M418" s="433"/>
      <c r="N418" s="434"/>
      <c r="O418" s="1743" t="str">
        <f>VLOOKUP(B418,code_famille_scénario,2)&amp;VLOOKUP(C418,code_actif,2)&amp;", "&amp;VLOOKUP(J418,Code_lieu,2)&amp;", due "&amp;VLOOKUP(I418,code_event,2)</f>
        <v>Indisponibilité de longue durée, destruction ou perte accidentelles de système hôte de services du réseau étendu, dans les locaux de l'exploitation, due à une inondation</v>
      </c>
      <c r="P418" s="435">
        <v>1</v>
      </c>
      <c r="Q418" s="1595" t="s">
        <v>1431</v>
      </c>
      <c r="R418" s="1595" t="s">
        <v>1873</v>
      </c>
      <c r="S418" s="1595" t="str">
        <f>Classif!C21</f>
        <v/>
      </c>
      <c r="T418" s="1595">
        <f t="shared" si="266"/>
        <v>2</v>
      </c>
      <c r="U418" s="1744" t="str">
        <f t="shared" si="267"/>
        <v/>
      </c>
      <c r="V418" s="1745">
        <v>1</v>
      </c>
      <c r="W418" s="1745">
        <f>S03C01</f>
        <v>1</v>
      </c>
      <c r="X418" s="1745">
        <f>MIN(S03C02,S03C03)</f>
        <v>1</v>
      </c>
      <c r="Y418" s="1745">
        <f>S04A05</f>
        <v>1</v>
      </c>
      <c r="Z418" s="1758">
        <v>1</v>
      </c>
      <c r="AA418" s="1759"/>
      <c r="AB418" s="1748"/>
      <c r="AC418" s="1748"/>
      <c r="AD418" s="1595" t="str">
        <f t="shared" si="264"/>
        <v/>
      </c>
      <c r="AE418" s="1595">
        <f t="shared" si="269"/>
        <v>2</v>
      </c>
      <c r="AF418" s="1595" t="str">
        <f t="shared" si="270"/>
        <v/>
      </c>
      <c r="AG418" s="1748"/>
      <c r="AH418" s="1749" t="str">
        <f t="shared" si="265"/>
        <v/>
      </c>
      <c r="AI418" s="1620"/>
      <c r="AJ418" s="1616" t="s">
        <v>5220</v>
      </c>
      <c r="AK418" s="1616" t="s">
        <v>1054</v>
      </c>
      <c r="AL418" s="1617" t="s">
        <v>95</v>
      </c>
      <c r="AM418" s="247" t="str">
        <f t="shared" si="258"/>
        <v/>
      </c>
      <c r="AN418" s="247" t="str">
        <f t="shared" si="259"/>
        <v/>
      </c>
      <c r="AO418" s="247" t="str">
        <f t="shared" si="260"/>
        <v/>
      </c>
      <c r="AP418" s="247" t="str">
        <f t="shared" si="261"/>
        <v/>
      </c>
      <c r="AQ418" s="42">
        <f t="shared" si="271"/>
        <v>1</v>
      </c>
      <c r="AR418" s="42">
        <f t="shared" si="272"/>
        <v>1</v>
      </c>
      <c r="AS418" s="42">
        <f t="shared" si="273"/>
        <v>1</v>
      </c>
      <c r="AT418" s="42">
        <f t="shared" si="274"/>
        <v>1</v>
      </c>
      <c r="AU418" s="247" t="str">
        <f t="shared" si="262"/>
        <v/>
      </c>
      <c r="AV418" s="247" t="str">
        <f t="shared" si="263"/>
        <v/>
      </c>
    </row>
    <row r="419" spans="1:48" ht="24" x14ac:dyDescent="0.2">
      <c r="A419" s="428" t="s">
        <v>459</v>
      </c>
      <c r="B419" s="429" t="s">
        <v>4257</v>
      </c>
      <c r="C419" s="430" t="s">
        <v>2785</v>
      </c>
      <c r="D419" s="1349" t="s">
        <v>1873</v>
      </c>
      <c r="E419" s="1350" t="s">
        <v>5043</v>
      </c>
      <c r="F419" s="1350" t="s">
        <v>1503</v>
      </c>
      <c r="G419" s="1351" t="s">
        <v>5440</v>
      </c>
      <c r="H419" s="1342" t="s">
        <v>3920</v>
      </c>
      <c r="I419" s="432" t="s">
        <v>3526</v>
      </c>
      <c r="J419" s="431"/>
      <c r="K419" s="431"/>
      <c r="L419" s="431"/>
      <c r="M419" s="433"/>
      <c r="N419" s="434"/>
      <c r="O419" s="1743" t="str">
        <f>VLOOKUP(B419,code_famille_scénario,2)&amp;VLOOKUP(C419,code_actif,2)&amp;", due "&amp;VLOOKUP(I419,code_event,2)</f>
        <v>Indisponibilité temporaire accidentelle de système hôte de services du réseau étendu, due à une panne d'équipement</v>
      </c>
      <c r="P419" s="435">
        <v>1</v>
      </c>
      <c r="Q419" s="1595" t="s">
        <v>1431</v>
      </c>
      <c r="R419" s="1595" t="s">
        <v>1873</v>
      </c>
      <c r="S419" s="1595" t="str">
        <f>Classif!C21</f>
        <v/>
      </c>
      <c r="T419" s="1595">
        <f t="shared" si="266"/>
        <v>3</v>
      </c>
      <c r="U419" s="1744" t="str">
        <f t="shared" si="267"/>
        <v/>
      </c>
      <c r="V419" s="1745">
        <v>1</v>
      </c>
      <c r="W419" s="1745">
        <v>1</v>
      </c>
      <c r="X419" s="1745">
        <v>1</v>
      </c>
      <c r="Y419" s="1745">
        <f>MAX(S04A01,S04A02)</f>
        <v>1</v>
      </c>
      <c r="Z419" s="1746">
        <v>0</v>
      </c>
      <c r="AA419" s="1747"/>
      <c r="AB419" s="1748"/>
      <c r="AC419" s="1748"/>
      <c r="AD419" s="1595" t="str">
        <f t="shared" si="264"/>
        <v/>
      </c>
      <c r="AE419" s="1595">
        <f t="shared" si="269"/>
        <v>3</v>
      </c>
      <c r="AF419" s="1595" t="str">
        <f t="shared" si="270"/>
        <v/>
      </c>
      <c r="AG419" s="1748"/>
      <c r="AH419" s="1749" t="str">
        <f t="shared" si="265"/>
        <v/>
      </c>
      <c r="AI419" s="1620"/>
      <c r="AJ419" s="1616"/>
      <c r="AK419" s="1616"/>
      <c r="AL419" s="1617" t="s">
        <v>2259</v>
      </c>
      <c r="AM419" s="247" t="str">
        <f t="shared" si="258"/>
        <v/>
      </c>
      <c r="AN419" s="247" t="str">
        <f t="shared" si="259"/>
        <v/>
      </c>
      <c r="AO419" s="247" t="str">
        <f t="shared" si="260"/>
        <v/>
      </c>
      <c r="AP419" s="247" t="str">
        <f t="shared" si="261"/>
        <v/>
      </c>
      <c r="AQ419" s="42">
        <f t="shared" si="271"/>
        <v>1</v>
      </c>
      <c r="AR419" s="42">
        <f t="shared" si="272"/>
        <v>1</v>
      </c>
      <c r="AS419" s="42">
        <f t="shared" si="273"/>
        <v>1</v>
      </c>
      <c r="AT419" s="42">
        <f t="shared" si="274"/>
        <v>1</v>
      </c>
      <c r="AU419" s="247" t="str">
        <f t="shared" si="262"/>
        <v/>
      </c>
      <c r="AV419" s="247" t="str">
        <f t="shared" si="263"/>
        <v/>
      </c>
    </row>
    <row r="420" spans="1:48" ht="24" x14ac:dyDescent="0.2">
      <c r="A420" s="428" t="s">
        <v>460</v>
      </c>
      <c r="B420" s="429" t="s">
        <v>4257</v>
      </c>
      <c r="C420" s="430" t="s">
        <v>2785</v>
      </c>
      <c r="D420" s="1349" t="s">
        <v>1873</v>
      </c>
      <c r="E420" s="1350" t="s">
        <v>5927</v>
      </c>
      <c r="F420" s="1350" t="s">
        <v>1503</v>
      </c>
      <c r="G420" s="1351" t="s">
        <v>5440</v>
      </c>
      <c r="H420" s="1342" t="s">
        <v>3920</v>
      </c>
      <c r="I420" s="432" t="s">
        <v>4295</v>
      </c>
      <c r="J420" s="431"/>
      <c r="K420" s="431"/>
      <c r="L420" s="431"/>
      <c r="M420" s="433"/>
      <c r="N420" s="434"/>
      <c r="O420" s="1743" t="str">
        <f>VLOOKUP(B420,code_famille_scénario,2)&amp;VLOOKUP(C420,code_actif,2)&amp;", due "&amp;VLOOKUP(I420,code_event,2)</f>
        <v>Indisponibilité temporaire accidentelle de système hôte de services du réseau étendu, due à une défaillance ou à une indisponibilité de moyens de servitude</v>
      </c>
      <c r="P420" s="435">
        <v>1</v>
      </c>
      <c r="Q420" s="1595" t="s">
        <v>1431</v>
      </c>
      <c r="R420" s="1595" t="s">
        <v>1873</v>
      </c>
      <c r="S420" s="1595" t="str">
        <f>Classif!C21</f>
        <v/>
      </c>
      <c r="T420" s="1595">
        <f t="shared" si="266"/>
        <v>3</v>
      </c>
      <c r="U420" s="1744" t="str">
        <f t="shared" si="267"/>
        <v/>
      </c>
      <c r="V420" s="1745">
        <v>1</v>
      </c>
      <c r="W420" s="1745">
        <v>1</v>
      </c>
      <c r="X420" s="1745">
        <v>1</v>
      </c>
      <c r="Y420" s="1745">
        <f>S03A06</f>
        <v>1</v>
      </c>
      <c r="Z420" s="1746">
        <v>0</v>
      </c>
      <c r="AA420" s="1747"/>
      <c r="AB420" s="1748"/>
      <c r="AC420" s="1748"/>
      <c r="AD420" s="1595" t="str">
        <f t="shared" si="264"/>
        <v/>
      </c>
      <c r="AE420" s="1595">
        <f t="shared" si="269"/>
        <v>3</v>
      </c>
      <c r="AF420" s="1595" t="str">
        <f t="shared" si="270"/>
        <v/>
      </c>
      <c r="AG420" s="1748"/>
      <c r="AH420" s="1749" t="str">
        <f t="shared" si="265"/>
        <v/>
      </c>
      <c r="AI420" s="1620"/>
      <c r="AJ420" s="1616"/>
      <c r="AK420" s="1616"/>
      <c r="AL420" s="1617" t="s">
        <v>1055</v>
      </c>
      <c r="AM420" s="247" t="str">
        <f t="shared" si="258"/>
        <v/>
      </c>
      <c r="AN420" s="247" t="str">
        <f t="shared" si="259"/>
        <v/>
      </c>
      <c r="AO420" s="247" t="str">
        <f t="shared" si="260"/>
        <v/>
      </c>
      <c r="AP420" s="247" t="str">
        <f t="shared" si="261"/>
        <v/>
      </c>
      <c r="AQ420" s="42">
        <f t="shared" si="271"/>
        <v>1</v>
      </c>
      <c r="AR420" s="42">
        <f t="shared" si="272"/>
        <v>1</v>
      </c>
      <c r="AS420" s="42">
        <f t="shared" si="273"/>
        <v>1</v>
      </c>
      <c r="AT420" s="42">
        <f t="shared" si="274"/>
        <v>1</v>
      </c>
      <c r="AU420" s="247" t="str">
        <f t="shared" si="262"/>
        <v/>
      </c>
      <c r="AV420" s="247" t="str">
        <f t="shared" si="263"/>
        <v/>
      </c>
    </row>
    <row r="421" spans="1:48" ht="24" x14ac:dyDescent="0.2">
      <c r="A421" s="428" t="s">
        <v>461</v>
      </c>
      <c r="B421" s="429" t="s">
        <v>4257</v>
      </c>
      <c r="C421" s="430" t="s">
        <v>2785</v>
      </c>
      <c r="D421" s="1349" t="s">
        <v>1873</v>
      </c>
      <c r="E421" s="1350" t="s">
        <v>5927</v>
      </c>
      <c r="F421" s="1350" t="s">
        <v>1503</v>
      </c>
      <c r="G421" s="1351" t="s">
        <v>5440</v>
      </c>
      <c r="H421" s="1342" t="s">
        <v>1474</v>
      </c>
      <c r="I421" s="432" t="s">
        <v>1541</v>
      </c>
      <c r="J421" s="431"/>
      <c r="K421" s="431"/>
      <c r="L421" s="431"/>
      <c r="M421" s="433"/>
      <c r="N421" s="434"/>
      <c r="O421" s="1743" t="str">
        <f>VLOOKUP(B421,code_famille_scénario,2)&amp;VLOOKUP(C421,code_actif,2)&amp;", due "&amp;VLOOKUP(I421,code_event,2)</f>
        <v>Indisponibilité temporaire accidentelle de système hôte de services du réseau étendu, due à un manque d'alimentation en énergie (défaut externe)</v>
      </c>
      <c r="P421" s="435">
        <v>1</v>
      </c>
      <c r="Q421" s="1595" t="s">
        <v>1431</v>
      </c>
      <c r="R421" s="1595" t="s">
        <v>1873</v>
      </c>
      <c r="S421" s="1595" t="str">
        <f>Classif!C21</f>
        <v/>
      </c>
      <c r="T421" s="1595">
        <f t="shared" si="266"/>
        <v>3</v>
      </c>
      <c r="U421" s="1744" t="str">
        <f t="shared" si="267"/>
        <v/>
      </c>
      <c r="V421" s="1745">
        <v>1</v>
      </c>
      <c r="W421" s="1745">
        <v>1</v>
      </c>
      <c r="X421" s="1745">
        <v>1</v>
      </c>
      <c r="Y421" s="1745">
        <f>S03A02</f>
        <v>1</v>
      </c>
      <c r="Z421" s="1746">
        <v>0</v>
      </c>
      <c r="AA421" s="1747"/>
      <c r="AB421" s="1748"/>
      <c r="AC421" s="1748"/>
      <c r="AD421" s="1595" t="str">
        <f t="shared" si="264"/>
        <v/>
      </c>
      <c r="AE421" s="1595">
        <f t="shared" si="269"/>
        <v>3</v>
      </c>
      <c r="AF421" s="1595" t="str">
        <f t="shared" si="270"/>
        <v/>
      </c>
      <c r="AG421" s="1748"/>
      <c r="AH421" s="1749" t="str">
        <f t="shared" si="265"/>
        <v/>
      </c>
      <c r="AI421" s="1620"/>
      <c r="AJ421" s="1618"/>
      <c r="AK421" s="1616"/>
      <c r="AL421" s="1617" t="s">
        <v>6388</v>
      </c>
      <c r="AM421" s="247" t="str">
        <f t="shared" si="258"/>
        <v/>
      </c>
      <c r="AN421" s="247" t="str">
        <f t="shared" si="259"/>
        <v/>
      </c>
      <c r="AO421" s="247" t="str">
        <f t="shared" si="260"/>
        <v/>
      </c>
      <c r="AP421" s="247" t="str">
        <f t="shared" si="261"/>
        <v/>
      </c>
      <c r="AQ421" s="42">
        <f t="shared" si="271"/>
        <v>1</v>
      </c>
      <c r="AR421" s="42">
        <f t="shared" si="272"/>
        <v>1</v>
      </c>
      <c r="AS421" s="42">
        <f t="shared" si="273"/>
        <v>1</v>
      </c>
      <c r="AT421" s="42">
        <f t="shared" si="274"/>
        <v>1</v>
      </c>
      <c r="AU421" s="247" t="str">
        <f t="shared" si="262"/>
        <v/>
      </c>
      <c r="AV421" s="247" t="str">
        <f t="shared" si="263"/>
        <v/>
      </c>
    </row>
    <row r="422" spans="1:48" ht="36" x14ac:dyDescent="0.2">
      <c r="A422" s="428" t="s">
        <v>462</v>
      </c>
      <c r="B422" s="429" t="s">
        <v>2902</v>
      </c>
      <c r="C422" s="430" t="s">
        <v>2785</v>
      </c>
      <c r="D422" s="1349" t="s">
        <v>1873</v>
      </c>
      <c r="E422" s="1350" t="s">
        <v>5043</v>
      </c>
      <c r="F422" s="1350" t="s">
        <v>1879</v>
      </c>
      <c r="G422" s="1351" t="s">
        <v>5440</v>
      </c>
      <c r="H422" s="1342" t="s">
        <v>1329</v>
      </c>
      <c r="I422" s="432" t="s">
        <v>1552</v>
      </c>
      <c r="J422" s="431" t="s">
        <v>1880</v>
      </c>
      <c r="K422" s="431"/>
      <c r="L422" s="431"/>
      <c r="M422" s="433"/>
      <c r="N422" s="434" t="s">
        <v>4816</v>
      </c>
      <c r="O422" s="1743" t="str">
        <f>VLOOKUP(B422,code_famille_scénario,2)&amp;VLOOKUP(C422,code_actif,2)&amp;", due "&amp;VLOOKUP(I422,code_event,2)&amp;", "&amp;VLOOKUP(J422,Code_lieu,2)&amp;", par "&amp;VLOOKUP(N422,code_acteur,2)</f>
        <v>Endommagement malveillant de système hôte de services du réseau étendu, due à du vandalisme, dans les locaux de l'exploitation, par un membre  du personnel autorisé</v>
      </c>
      <c r="P422" s="435">
        <v>1</v>
      </c>
      <c r="Q422" s="1595" t="s">
        <v>1299</v>
      </c>
      <c r="R422" s="1595" t="s">
        <v>1873</v>
      </c>
      <c r="S422" s="1595" t="str">
        <f>Classif!C21</f>
        <v/>
      </c>
      <c r="T422" s="1595">
        <f t="shared" si="266"/>
        <v>2</v>
      </c>
      <c r="U422" s="1744" t="str">
        <f t="shared" si="267"/>
        <v/>
      </c>
      <c r="V422" s="1745">
        <f>S03B06</f>
        <v>1</v>
      </c>
      <c r="W422" s="1745">
        <f>MIN(S03B01,S03B02,S03B03)</f>
        <v>1</v>
      </c>
      <c r="X422" s="1745">
        <f>S03B04</f>
        <v>1</v>
      </c>
      <c r="Y422" s="1745">
        <f>S04A02</f>
        <v>1</v>
      </c>
      <c r="Z422" s="1746">
        <v>0</v>
      </c>
      <c r="AA422" s="1747"/>
      <c r="AB422" s="1748"/>
      <c r="AC422" s="1748"/>
      <c r="AD422" s="1595" t="str">
        <f t="shared" si="264"/>
        <v/>
      </c>
      <c r="AE422" s="1595">
        <f t="shared" si="269"/>
        <v>2</v>
      </c>
      <c r="AF422" s="1595" t="str">
        <f t="shared" si="270"/>
        <v/>
      </c>
      <c r="AG422" s="1748"/>
      <c r="AH422" s="1749" t="str">
        <f t="shared" si="265"/>
        <v/>
      </c>
      <c r="AI422" s="1620" t="s">
        <v>1665</v>
      </c>
      <c r="AJ422" s="1616" t="s">
        <v>1053</v>
      </c>
      <c r="AK422" s="1616" t="s">
        <v>3254</v>
      </c>
      <c r="AL422" s="1617" t="s">
        <v>4602</v>
      </c>
      <c r="AM422" s="247" t="str">
        <f t="shared" si="258"/>
        <v/>
      </c>
      <c r="AN422" s="247" t="str">
        <f t="shared" si="259"/>
        <v/>
      </c>
      <c r="AO422" s="247" t="str">
        <f t="shared" si="260"/>
        <v/>
      </c>
      <c r="AP422" s="247" t="str">
        <f t="shared" si="261"/>
        <v/>
      </c>
      <c r="AQ422" s="42">
        <f t="shared" si="271"/>
        <v>1</v>
      </c>
      <c r="AR422" s="42">
        <f t="shared" si="272"/>
        <v>1</v>
      </c>
      <c r="AS422" s="42">
        <f t="shared" si="273"/>
        <v>1</v>
      </c>
      <c r="AT422" s="42">
        <f t="shared" si="274"/>
        <v>1</v>
      </c>
      <c r="AU422" s="247" t="str">
        <f t="shared" si="262"/>
        <v/>
      </c>
      <c r="AV422" s="247" t="str">
        <f t="shared" si="263"/>
        <v/>
      </c>
    </row>
    <row r="423" spans="1:48" ht="36" x14ac:dyDescent="0.2">
      <c r="A423" s="428" t="s">
        <v>463</v>
      </c>
      <c r="B423" s="429" t="s">
        <v>2902</v>
      </c>
      <c r="C423" s="430" t="s">
        <v>2785</v>
      </c>
      <c r="D423" s="1349" t="s">
        <v>1873</v>
      </c>
      <c r="E423" s="1350" t="s">
        <v>5043</v>
      </c>
      <c r="F423" s="1350" t="s">
        <v>1879</v>
      </c>
      <c r="G423" s="1351" t="s">
        <v>5440</v>
      </c>
      <c r="H423" s="1342" t="s">
        <v>1329</v>
      </c>
      <c r="I423" s="432" t="s">
        <v>1552</v>
      </c>
      <c r="J423" s="431" t="s">
        <v>1880</v>
      </c>
      <c r="K423" s="431"/>
      <c r="L423" s="431"/>
      <c r="M423" s="433"/>
      <c r="N423" s="434" t="s">
        <v>3518</v>
      </c>
      <c r="O423" s="1743" t="str">
        <f>VLOOKUP(B423,code_famille_scénario,2)&amp;VLOOKUP(C423,code_actif,2)&amp;", due "&amp;VLOOKUP(I423,code_event,2)&amp;", "&amp;VLOOKUP(J423,Code_lieu,2)&amp;", par "&amp;VLOOKUP(N423,code_acteur,2)</f>
        <v>Endommagement malveillant de système hôte de services du réseau étendu, due à du vandalisme, dans les locaux de l'exploitation, par un membre du personnel non autorisé</v>
      </c>
      <c r="P423" s="435">
        <v>1</v>
      </c>
      <c r="Q423" s="1595" t="s">
        <v>1299</v>
      </c>
      <c r="R423" s="1595" t="s">
        <v>1873</v>
      </c>
      <c r="S423" s="1595" t="str">
        <f>Classif!C21</f>
        <v/>
      </c>
      <c r="T423" s="1595">
        <f t="shared" si="266"/>
        <v>2</v>
      </c>
      <c r="U423" s="1744" t="str">
        <f t="shared" si="267"/>
        <v/>
      </c>
      <c r="V423" s="1745">
        <v>1</v>
      </c>
      <c r="W423" s="1745">
        <f>MIN(S03B03,S03B04,S03B06)</f>
        <v>1</v>
      </c>
      <c r="X423" s="1745">
        <v>1</v>
      </c>
      <c r="Y423" s="1745">
        <f>S04A02</f>
        <v>1</v>
      </c>
      <c r="Z423" s="1746">
        <v>0</v>
      </c>
      <c r="AA423" s="1747"/>
      <c r="AB423" s="1748"/>
      <c r="AC423" s="1748"/>
      <c r="AD423" s="1595" t="str">
        <f t="shared" si="264"/>
        <v/>
      </c>
      <c r="AE423" s="1595">
        <f t="shared" si="269"/>
        <v>2</v>
      </c>
      <c r="AF423" s="1595" t="str">
        <f t="shared" si="270"/>
        <v/>
      </c>
      <c r="AG423" s="1748"/>
      <c r="AH423" s="1749" t="str">
        <f t="shared" si="265"/>
        <v/>
      </c>
      <c r="AI423" s="1615"/>
      <c r="AJ423" s="1616" t="s">
        <v>1412</v>
      </c>
      <c r="AK423" s="1618"/>
      <c r="AL423" s="1617" t="s">
        <v>4602</v>
      </c>
      <c r="AM423" s="247" t="str">
        <f t="shared" si="258"/>
        <v/>
      </c>
      <c r="AN423" s="247" t="str">
        <f t="shared" si="259"/>
        <v/>
      </c>
      <c r="AO423" s="247" t="str">
        <f t="shared" si="260"/>
        <v/>
      </c>
      <c r="AP423" s="247" t="str">
        <f t="shared" si="261"/>
        <v/>
      </c>
      <c r="AQ423" s="42">
        <f t="shared" si="271"/>
        <v>1</v>
      </c>
      <c r="AR423" s="42">
        <f t="shared" si="272"/>
        <v>1</v>
      </c>
      <c r="AS423" s="42">
        <f t="shared" si="273"/>
        <v>1</v>
      </c>
      <c r="AT423" s="42">
        <f t="shared" si="274"/>
        <v>1</v>
      </c>
      <c r="AU423" s="247" t="str">
        <f t="shared" si="262"/>
        <v/>
      </c>
      <c r="AV423" s="247" t="str">
        <f t="shared" si="263"/>
        <v/>
      </c>
    </row>
    <row r="424" spans="1:48" ht="36" x14ac:dyDescent="0.2">
      <c r="A424" s="428" t="s">
        <v>464</v>
      </c>
      <c r="B424" s="429" t="s">
        <v>2902</v>
      </c>
      <c r="C424" s="430" t="s">
        <v>2785</v>
      </c>
      <c r="D424" s="1349" t="s">
        <v>1873</v>
      </c>
      <c r="E424" s="1350" t="s">
        <v>5043</v>
      </c>
      <c r="F424" s="1350" t="s">
        <v>1879</v>
      </c>
      <c r="G424" s="1351" t="s">
        <v>5440</v>
      </c>
      <c r="H424" s="1342" t="s">
        <v>1329</v>
      </c>
      <c r="I424" s="432" t="s">
        <v>1552</v>
      </c>
      <c r="J424" s="431"/>
      <c r="K424" s="431"/>
      <c r="L424" s="431"/>
      <c r="M424" s="433"/>
      <c r="N424" s="434" t="s">
        <v>1521</v>
      </c>
      <c r="O424" s="1743" t="str">
        <f>VLOOKUP(B424,code_famille_scénario,2)&amp;VLOOKUP(C424,code_actif,2)&amp;", due "&amp;VLOOKUP(I424,code_event,2)&amp;", par "&amp;VLOOKUP(N424,code_acteur,2)</f>
        <v>Endommagement malveillant de système hôte de services du réseau étendu, due à du vandalisme, par des vandales ou des terroristes agissant depuis l'extérieur</v>
      </c>
      <c r="P424" s="435">
        <v>1</v>
      </c>
      <c r="Q424" s="1595" t="s">
        <v>1299</v>
      </c>
      <c r="R424" s="1595" t="s">
        <v>1873</v>
      </c>
      <c r="S424" s="1595" t="str">
        <f>Classif!C21</f>
        <v/>
      </c>
      <c r="T424" s="1595">
        <f t="shared" si="266"/>
        <v>2</v>
      </c>
      <c r="U424" s="1744" t="str">
        <f t="shared" si="267"/>
        <v/>
      </c>
      <c r="V424" s="1745">
        <v>1</v>
      </c>
      <c r="W424" s="1745">
        <v>1</v>
      </c>
      <c r="X424" s="1745">
        <v>1</v>
      </c>
      <c r="Y424" s="1745">
        <f>S04A02</f>
        <v>1</v>
      </c>
      <c r="Z424" s="1746">
        <v>0</v>
      </c>
      <c r="AA424" s="1747"/>
      <c r="AB424" s="1748"/>
      <c r="AC424" s="1748"/>
      <c r="AD424" s="1595" t="str">
        <f t="shared" si="264"/>
        <v/>
      </c>
      <c r="AE424" s="1595">
        <f t="shared" si="269"/>
        <v>2</v>
      </c>
      <c r="AF424" s="1595" t="str">
        <f t="shared" si="270"/>
        <v/>
      </c>
      <c r="AG424" s="1748"/>
      <c r="AH424" s="1749" t="str">
        <f t="shared" si="265"/>
        <v/>
      </c>
      <c r="AI424" s="1620"/>
      <c r="AJ424" s="1616"/>
      <c r="AK424" s="1616"/>
      <c r="AL424" s="1617" t="s">
        <v>4602</v>
      </c>
      <c r="AM424" s="247" t="str">
        <f t="shared" si="258"/>
        <v/>
      </c>
      <c r="AN424" s="247" t="str">
        <f t="shared" si="259"/>
        <v/>
      </c>
      <c r="AO424" s="247" t="str">
        <f t="shared" si="260"/>
        <v/>
      </c>
      <c r="AP424" s="247" t="str">
        <f t="shared" si="261"/>
        <v/>
      </c>
      <c r="AQ424" s="42">
        <f t="shared" si="271"/>
        <v>1</v>
      </c>
      <c r="AR424" s="42">
        <f t="shared" si="272"/>
        <v>1</v>
      </c>
      <c r="AS424" s="42">
        <f t="shared" si="273"/>
        <v>1</v>
      </c>
      <c r="AT424" s="42">
        <f t="shared" si="274"/>
        <v>1</v>
      </c>
      <c r="AU424" s="247" t="str">
        <f t="shared" si="262"/>
        <v/>
      </c>
      <c r="AV424" s="247" t="str">
        <f t="shared" si="263"/>
        <v/>
      </c>
    </row>
    <row r="425" spans="1:48" ht="36" x14ac:dyDescent="0.2">
      <c r="A425" s="428" t="s">
        <v>465</v>
      </c>
      <c r="B425" s="429" t="s">
        <v>2902</v>
      </c>
      <c r="C425" s="430" t="s">
        <v>2785</v>
      </c>
      <c r="D425" s="1349" t="s">
        <v>1873</v>
      </c>
      <c r="E425" s="1350" t="s">
        <v>5043</v>
      </c>
      <c r="F425" s="1350" t="s">
        <v>1879</v>
      </c>
      <c r="G425" s="1351" t="s">
        <v>5440</v>
      </c>
      <c r="H425" s="1342" t="s">
        <v>1329</v>
      </c>
      <c r="I425" s="432" t="s">
        <v>1552</v>
      </c>
      <c r="J425" s="431"/>
      <c r="K425" s="431"/>
      <c r="L425" s="431"/>
      <c r="M425" s="433"/>
      <c r="N425" s="434" t="s">
        <v>1522</v>
      </c>
      <c r="O425" s="1743" t="str">
        <f>VLOOKUP(B425,code_famille_scénario,2)&amp;VLOOKUP(C425,code_actif,2)&amp;", due "&amp;VLOOKUP(I425,code_event,2)&amp;", par "&amp;VLOOKUP(N425,code_acteur,2)</f>
        <v>Endommagement malveillant de système hôte de services du réseau étendu, due à du vandalisme, par des vandales ou des terroristes agissant depuis l'intérieur (après intrusion)</v>
      </c>
      <c r="P425" s="435">
        <v>1</v>
      </c>
      <c r="Q425" s="1595" t="s">
        <v>1299</v>
      </c>
      <c r="R425" s="1595" t="s">
        <v>1873</v>
      </c>
      <c r="S425" s="1595" t="str">
        <f>Classif!C21</f>
        <v/>
      </c>
      <c r="T425" s="1595">
        <f t="shared" si="266"/>
        <v>2</v>
      </c>
      <c r="U425" s="1744" t="str">
        <f t="shared" si="267"/>
        <v/>
      </c>
      <c r="V425" s="1745">
        <v>1</v>
      </c>
      <c r="W425" s="1745">
        <f>MIN(S02A01,S02A02,S02A03,S02A05)</f>
        <v>1</v>
      </c>
      <c r="X425" s="1745">
        <f>S02A04</f>
        <v>1</v>
      </c>
      <c r="Y425" s="1745">
        <f>S04A02</f>
        <v>1</v>
      </c>
      <c r="Z425" s="1746">
        <v>0</v>
      </c>
      <c r="AA425" s="1747"/>
      <c r="AB425" s="1748"/>
      <c r="AC425" s="1748"/>
      <c r="AD425" s="1595" t="str">
        <f t="shared" si="264"/>
        <v/>
      </c>
      <c r="AE425" s="1595">
        <f t="shared" si="269"/>
        <v>2</v>
      </c>
      <c r="AF425" s="1595" t="str">
        <f t="shared" si="270"/>
        <v/>
      </c>
      <c r="AG425" s="1748"/>
      <c r="AH425" s="1749" t="str">
        <f t="shared" si="265"/>
        <v/>
      </c>
      <c r="AI425" s="1620"/>
      <c r="AJ425" s="1616" t="s">
        <v>1518</v>
      </c>
      <c r="AK425" s="1616" t="s">
        <v>6400</v>
      </c>
      <c r="AL425" s="1617" t="s">
        <v>4602</v>
      </c>
      <c r="AM425" s="247" t="str">
        <f t="shared" si="258"/>
        <v/>
      </c>
      <c r="AN425" s="247" t="str">
        <f t="shared" si="259"/>
        <v/>
      </c>
      <c r="AO425" s="247" t="str">
        <f t="shared" si="260"/>
        <v/>
      </c>
      <c r="AP425" s="247" t="str">
        <f t="shared" si="261"/>
        <v/>
      </c>
      <c r="AQ425" s="42">
        <f t="shared" si="271"/>
        <v>1</v>
      </c>
      <c r="AR425" s="42">
        <f t="shared" si="272"/>
        <v>1</v>
      </c>
      <c r="AS425" s="42">
        <f t="shared" si="273"/>
        <v>1</v>
      </c>
      <c r="AT425" s="42">
        <f t="shared" si="274"/>
        <v>1</v>
      </c>
      <c r="AU425" s="247" t="str">
        <f t="shared" si="262"/>
        <v/>
      </c>
      <c r="AV425" s="247" t="str">
        <f t="shared" si="263"/>
        <v/>
      </c>
    </row>
    <row r="426" spans="1:48" ht="24" x14ac:dyDescent="0.2">
      <c r="A426" s="428" t="s">
        <v>466</v>
      </c>
      <c r="B426" s="429" t="s">
        <v>2870</v>
      </c>
      <c r="C426" s="430" t="s">
        <v>2785</v>
      </c>
      <c r="D426" s="1349" t="s">
        <v>1873</v>
      </c>
      <c r="E426" s="1350" t="s">
        <v>5043</v>
      </c>
      <c r="F426" s="1350" t="s">
        <v>1875</v>
      </c>
      <c r="G426" s="1351" t="s">
        <v>5439</v>
      </c>
      <c r="H426" s="1342" t="s">
        <v>1329</v>
      </c>
      <c r="I426" s="432" t="s">
        <v>1551</v>
      </c>
      <c r="J426" s="431"/>
      <c r="K426" s="431"/>
      <c r="L426" s="431"/>
      <c r="M426" s="433"/>
      <c r="N426" s="434" t="s">
        <v>1521</v>
      </c>
      <c r="O426" s="1743" t="str">
        <f>VLOOKUP(B426,code_famille_scénario,2)&amp;VLOOKUP(C426,code_actif,2)&amp;", due "&amp;VLOOKUP(I426,code_event,2)&amp;", par "&amp;VLOOKUP(N426,code_acteur,2)</f>
        <v>Destruction malveillante de système hôte de services du réseau étendu, due à un acte terroriste, par des vandales ou des terroristes agissant depuis l'extérieur</v>
      </c>
      <c r="P426" s="435">
        <v>1</v>
      </c>
      <c r="Q426" s="1595" t="s">
        <v>1299</v>
      </c>
      <c r="R426" s="1595" t="s">
        <v>1873</v>
      </c>
      <c r="S426" s="1595" t="str">
        <f>Classif!C21</f>
        <v/>
      </c>
      <c r="T426" s="1595">
        <f t="shared" si="266"/>
        <v>2</v>
      </c>
      <c r="U426" s="1744" t="str">
        <f t="shared" si="267"/>
        <v/>
      </c>
      <c r="V426" s="1745">
        <v>1</v>
      </c>
      <c r="W426" s="1745">
        <v>1</v>
      </c>
      <c r="X426" s="1745">
        <v>1</v>
      </c>
      <c r="Y426" s="1745">
        <f>S04A05</f>
        <v>1</v>
      </c>
      <c r="Z426" s="1746">
        <v>0</v>
      </c>
      <c r="AA426" s="1747"/>
      <c r="AB426" s="1748"/>
      <c r="AC426" s="1748"/>
      <c r="AD426" s="1595" t="str">
        <f t="shared" si="264"/>
        <v/>
      </c>
      <c r="AE426" s="1595">
        <f t="shared" si="269"/>
        <v>2</v>
      </c>
      <c r="AF426" s="1595" t="str">
        <f t="shared" si="270"/>
        <v/>
      </c>
      <c r="AG426" s="1748"/>
      <c r="AH426" s="1749" t="str">
        <f t="shared" si="265"/>
        <v/>
      </c>
      <c r="AI426" s="1620"/>
      <c r="AJ426" s="1616"/>
      <c r="AK426" s="1616"/>
      <c r="AL426" s="1617" t="s">
        <v>95</v>
      </c>
      <c r="AM426" s="247" t="str">
        <f t="shared" si="258"/>
        <v/>
      </c>
      <c r="AN426" s="247" t="str">
        <f t="shared" si="259"/>
        <v/>
      </c>
      <c r="AO426" s="247" t="str">
        <f t="shared" si="260"/>
        <v/>
      </c>
      <c r="AP426" s="247" t="str">
        <f t="shared" si="261"/>
        <v/>
      </c>
      <c r="AQ426" s="42">
        <f t="shared" si="271"/>
        <v>1</v>
      </c>
      <c r="AR426" s="42">
        <f t="shared" si="272"/>
        <v>1</v>
      </c>
      <c r="AS426" s="42">
        <f t="shared" si="273"/>
        <v>1</v>
      </c>
      <c r="AT426" s="42">
        <f t="shared" si="274"/>
        <v>1</v>
      </c>
      <c r="AU426" s="247" t="str">
        <f t="shared" si="262"/>
        <v/>
      </c>
      <c r="AV426" s="247" t="str">
        <f t="shared" si="263"/>
        <v/>
      </c>
    </row>
    <row r="427" spans="1:48" ht="36" x14ac:dyDescent="0.2">
      <c r="A427" s="428" t="s">
        <v>467</v>
      </c>
      <c r="B427" s="429" t="s">
        <v>5658</v>
      </c>
      <c r="C427" s="430" t="s">
        <v>2785</v>
      </c>
      <c r="D427" s="1349" t="s">
        <v>1873</v>
      </c>
      <c r="E427" s="1350" t="s">
        <v>5043</v>
      </c>
      <c r="F427" s="1350" t="s">
        <v>1503</v>
      </c>
      <c r="G427" s="1351" t="s">
        <v>5440</v>
      </c>
      <c r="H427" s="1342" t="s">
        <v>1328</v>
      </c>
      <c r="I427" s="432" t="s">
        <v>122</v>
      </c>
      <c r="J427" s="431"/>
      <c r="K427" s="431"/>
      <c r="L427" s="431"/>
      <c r="M427" s="433"/>
      <c r="N427" s="434" t="s">
        <v>6403</v>
      </c>
      <c r="O427" s="1743" t="str">
        <f>VLOOKUP(B427,code_famille_scénario,2)&amp;VLOOKUP(C427,code_actif,2)&amp;",  "&amp;VLOOKUP(I427,code_event,2)&amp;", par "&amp;VLOOKUP(N427,code_acteur,2)</f>
        <v>Mise hors service malveillante de services du réseau étendu,  par effacement ou polllution massive de la configuration du système hôte, par un membre du personnel d'exploitation</v>
      </c>
      <c r="P427" s="435">
        <v>1</v>
      </c>
      <c r="Q427" s="1595" t="s">
        <v>1299</v>
      </c>
      <c r="R427" s="1595" t="s">
        <v>1873</v>
      </c>
      <c r="S427" s="1595" t="str">
        <f>Classif!C21</f>
        <v/>
      </c>
      <c r="T427" s="1595">
        <f t="shared" si="266"/>
        <v>2</v>
      </c>
      <c r="U427" s="1744" t="str">
        <f t="shared" si="267"/>
        <v/>
      </c>
      <c r="V427" s="1745">
        <f>MIN(S06C02,S06C03)</f>
        <v>1</v>
      </c>
      <c r="W427" s="1745">
        <v>1</v>
      </c>
      <c r="X427" s="1745">
        <v>1</v>
      </c>
      <c r="Y427" s="1745">
        <f>S04A04</f>
        <v>1</v>
      </c>
      <c r="Z427" s="1746">
        <v>0</v>
      </c>
      <c r="AA427" s="1747"/>
      <c r="AB427" s="1748"/>
      <c r="AC427" s="1748"/>
      <c r="AD427" s="1595" t="str">
        <f t="shared" si="264"/>
        <v/>
      </c>
      <c r="AE427" s="1595">
        <f t="shared" si="269"/>
        <v>2</v>
      </c>
      <c r="AF427" s="1595" t="str">
        <f t="shared" si="270"/>
        <v/>
      </c>
      <c r="AG427" s="1748"/>
      <c r="AH427" s="1749" t="str">
        <f t="shared" si="265"/>
        <v/>
      </c>
      <c r="AI427" s="1622" t="s">
        <v>5000</v>
      </c>
      <c r="AJ427" s="1616"/>
      <c r="AK427" s="1616"/>
      <c r="AL427" s="1617" t="s">
        <v>93</v>
      </c>
      <c r="AM427" s="247" t="str">
        <f t="shared" si="258"/>
        <v/>
      </c>
      <c r="AN427" s="247" t="str">
        <f t="shared" si="259"/>
        <v/>
      </c>
      <c r="AO427" s="247" t="str">
        <f t="shared" si="260"/>
        <v/>
      </c>
      <c r="AP427" s="247" t="str">
        <f t="shared" si="261"/>
        <v/>
      </c>
      <c r="AQ427" s="42">
        <f t="shared" si="271"/>
        <v>1</v>
      </c>
      <c r="AR427" s="42">
        <f t="shared" si="272"/>
        <v>1</v>
      </c>
      <c r="AS427" s="42">
        <f t="shared" si="273"/>
        <v>1</v>
      </c>
      <c r="AT427" s="42">
        <f t="shared" si="274"/>
        <v>1</v>
      </c>
      <c r="AU427" s="247" t="str">
        <f t="shared" si="262"/>
        <v/>
      </c>
      <c r="AV427" s="247" t="str">
        <f t="shared" si="263"/>
        <v/>
      </c>
    </row>
    <row r="428" spans="1:48" ht="36" x14ac:dyDescent="0.2">
      <c r="A428" s="428" t="s">
        <v>468</v>
      </c>
      <c r="B428" s="429" t="s">
        <v>5658</v>
      </c>
      <c r="C428" s="430" t="s">
        <v>2785</v>
      </c>
      <c r="D428" s="1349" t="s">
        <v>1873</v>
      </c>
      <c r="E428" s="1350" t="s">
        <v>5043</v>
      </c>
      <c r="F428" s="1350" t="s">
        <v>1503</v>
      </c>
      <c r="G428" s="1351" t="s">
        <v>5440</v>
      </c>
      <c r="H428" s="1342" t="s">
        <v>1328</v>
      </c>
      <c r="I428" s="432" t="s">
        <v>122</v>
      </c>
      <c r="J428" s="431"/>
      <c r="K428" s="431"/>
      <c r="L428" s="431"/>
      <c r="M428" s="433"/>
      <c r="N428" s="434" t="s">
        <v>1299</v>
      </c>
      <c r="O428" s="1743" t="str">
        <f>VLOOKUP(B428,code_famille_scénario,2)&amp;VLOOKUP(C428,code_actif,2)&amp;",  "&amp;VLOOKUP(I428,code_event,2)&amp;", par "&amp;VLOOKUP(N428,code_acteur,2)</f>
        <v>Mise hors service malveillante de services du réseau étendu,  par effacement ou polllution massive de la configuration du système hôte, par un membre du personnel de maintenance</v>
      </c>
      <c r="P428" s="435">
        <v>1</v>
      </c>
      <c r="Q428" s="1595" t="s">
        <v>1299</v>
      </c>
      <c r="R428" s="1595" t="s">
        <v>1873</v>
      </c>
      <c r="S428" s="1595" t="str">
        <f>Classif!C21</f>
        <v/>
      </c>
      <c r="T428" s="1595">
        <f t="shared" si="266"/>
        <v>2</v>
      </c>
      <c r="U428" s="1744" t="str">
        <f t="shared" si="267"/>
        <v/>
      </c>
      <c r="V428" s="1745">
        <v>1</v>
      </c>
      <c r="W428" s="1745">
        <v>1</v>
      </c>
      <c r="X428" s="1745">
        <v>1</v>
      </c>
      <c r="Y428" s="1745">
        <f>S04A04</f>
        <v>1</v>
      </c>
      <c r="Z428" s="1746">
        <v>0</v>
      </c>
      <c r="AA428" s="1747"/>
      <c r="AB428" s="1748"/>
      <c r="AC428" s="1748"/>
      <c r="AD428" s="1595" t="str">
        <f t="shared" si="264"/>
        <v/>
      </c>
      <c r="AE428" s="1595">
        <f t="shared" si="269"/>
        <v>2</v>
      </c>
      <c r="AF428" s="1595" t="str">
        <f t="shared" si="270"/>
        <v/>
      </c>
      <c r="AG428" s="1748"/>
      <c r="AH428" s="1749" t="str">
        <f t="shared" si="265"/>
        <v/>
      </c>
      <c r="AI428" s="1620"/>
      <c r="AJ428" s="1616"/>
      <c r="AK428" s="1616"/>
      <c r="AL428" s="1617" t="s">
        <v>93</v>
      </c>
      <c r="AM428" s="247" t="str">
        <f t="shared" si="258"/>
        <v/>
      </c>
      <c r="AN428" s="247" t="str">
        <f t="shared" si="259"/>
        <v/>
      </c>
      <c r="AO428" s="247" t="str">
        <f t="shared" si="260"/>
        <v/>
      </c>
      <c r="AP428" s="247" t="str">
        <f t="shared" si="261"/>
        <v/>
      </c>
      <c r="AQ428" s="42">
        <f t="shared" si="271"/>
        <v>1</v>
      </c>
      <c r="AR428" s="42">
        <f t="shared" si="272"/>
        <v>1</v>
      </c>
      <c r="AS428" s="42">
        <f t="shared" si="273"/>
        <v>1</v>
      </c>
      <c r="AT428" s="42">
        <f t="shared" si="274"/>
        <v>1</v>
      </c>
      <c r="AU428" s="247" t="str">
        <f t="shared" si="262"/>
        <v/>
      </c>
      <c r="AV428" s="247" t="str">
        <f t="shared" si="263"/>
        <v/>
      </c>
    </row>
    <row r="429" spans="1:48" ht="24" x14ac:dyDescent="0.2">
      <c r="A429" s="428" t="s">
        <v>469</v>
      </c>
      <c r="B429" s="429" t="s">
        <v>4213</v>
      </c>
      <c r="C429" s="430" t="s">
        <v>2785</v>
      </c>
      <c r="D429" s="1349" t="s">
        <v>1873</v>
      </c>
      <c r="E429" s="1350" t="s">
        <v>5043</v>
      </c>
      <c r="F429" s="1350" t="s">
        <v>1503</v>
      </c>
      <c r="G429" s="1351" t="s">
        <v>5440</v>
      </c>
      <c r="H429" s="1342" t="s">
        <v>1474</v>
      </c>
      <c r="I429" s="432" t="s">
        <v>5635</v>
      </c>
      <c r="J429" s="431"/>
      <c r="K429" s="431"/>
      <c r="L429" s="431"/>
      <c r="M429" s="433"/>
      <c r="N429" s="434"/>
      <c r="O429" s="1743" t="str">
        <f>VLOOKUP(B429,code_famille_scénario,2)&amp;VLOOKUP(C429,code_actif,2)&amp;", dû "&amp;VLOOKUP(I429,code_event,2)</f>
        <v>Arret de fonctionnement de services du réseau étendu, dû à une incapacité de la maintenance système (panne non réparable ou défaillance du partenaire)</v>
      </c>
      <c r="P429" s="435">
        <v>1</v>
      </c>
      <c r="Q429" s="1595" t="s">
        <v>1431</v>
      </c>
      <c r="R429" s="1595" t="s">
        <v>1873</v>
      </c>
      <c r="S429" s="1595" t="str">
        <f>Classif!C21</f>
        <v/>
      </c>
      <c r="T429" s="1595">
        <f t="shared" si="266"/>
        <v>2</v>
      </c>
      <c r="U429" s="1744" t="str">
        <f t="shared" si="267"/>
        <v/>
      </c>
      <c r="V429" s="1745">
        <v>1</v>
      </c>
      <c r="W429" s="1745">
        <v>1</v>
      </c>
      <c r="X429" s="1745">
        <v>1</v>
      </c>
      <c r="Y429" s="1745">
        <f>S04A06</f>
        <v>1</v>
      </c>
      <c r="Z429" s="1746">
        <v>0</v>
      </c>
      <c r="AA429" s="1747"/>
      <c r="AB429" s="1748"/>
      <c r="AC429" s="1748"/>
      <c r="AD429" s="1595" t="str">
        <f t="shared" si="264"/>
        <v/>
      </c>
      <c r="AE429" s="1595">
        <f t="shared" si="269"/>
        <v>2</v>
      </c>
      <c r="AF429" s="1595" t="str">
        <f t="shared" si="270"/>
        <v/>
      </c>
      <c r="AG429" s="1748"/>
      <c r="AH429" s="1749" t="str">
        <f t="shared" si="265"/>
        <v/>
      </c>
      <c r="AI429" s="1615"/>
      <c r="AJ429" s="1616"/>
      <c r="AK429" s="1616"/>
      <c r="AL429" s="1617" t="s">
        <v>97</v>
      </c>
      <c r="AM429" s="247" t="str">
        <f t="shared" si="258"/>
        <v/>
      </c>
      <c r="AN429" s="247" t="str">
        <f t="shared" si="259"/>
        <v/>
      </c>
      <c r="AO429" s="247" t="str">
        <f t="shared" si="260"/>
        <v/>
      </c>
      <c r="AP429" s="247" t="str">
        <f t="shared" si="261"/>
        <v/>
      </c>
      <c r="AQ429" s="42">
        <f t="shared" si="271"/>
        <v>1</v>
      </c>
      <c r="AR429" s="42">
        <f t="shared" si="272"/>
        <v>1</v>
      </c>
      <c r="AS429" s="42">
        <f t="shared" si="273"/>
        <v>1</v>
      </c>
      <c r="AT429" s="42">
        <f t="shared" si="274"/>
        <v>1</v>
      </c>
      <c r="AU429" s="247" t="str">
        <f t="shared" si="262"/>
        <v/>
      </c>
      <c r="AV429" s="247" t="str">
        <f t="shared" si="263"/>
        <v/>
      </c>
    </row>
    <row r="430" spans="1:48" ht="24" x14ac:dyDescent="0.2">
      <c r="A430" s="428" t="s">
        <v>470</v>
      </c>
      <c r="B430" s="429" t="s">
        <v>4213</v>
      </c>
      <c r="C430" s="430" t="s">
        <v>2785</v>
      </c>
      <c r="D430" s="1349" t="s">
        <v>1873</v>
      </c>
      <c r="E430" s="1350" t="s">
        <v>5043</v>
      </c>
      <c r="F430" s="1350" t="s">
        <v>1503</v>
      </c>
      <c r="G430" s="1351" t="s">
        <v>6064</v>
      </c>
      <c r="H430" s="1342" t="s">
        <v>5964</v>
      </c>
      <c r="I430" s="432" t="s">
        <v>1544</v>
      </c>
      <c r="J430" s="431"/>
      <c r="K430" s="431"/>
      <c r="L430" s="431"/>
      <c r="M430" s="433"/>
      <c r="N430" s="434"/>
      <c r="O430" s="1743" t="str">
        <f>VLOOKUP(B430,code_famille_scénario,2)&amp;VLOOKUP(C430,code_actif,2)&amp;", dû "&amp;VLOOKUP(I430,code_event,2)</f>
        <v>Arret de fonctionnement de services du réseau étendu, dû à un conflit social avec le personnel d'exploitation</v>
      </c>
      <c r="P430" s="435">
        <v>1</v>
      </c>
      <c r="Q430" s="1595" t="s">
        <v>1431</v>
      </c>
      <c r="R430" s="1595" t="s">
        <v>1873</v>
      </c>
      <c r="S430" s="1595" t="str">
        <f>Classif!C21</f>
        <v/>
      </c>
      <c r="T430" s="1595">
        <f t="shared" si="266"/>
        <v>2</v>
      </c>
      <c r="U430" s="1744" t="str">
        <f t="shared" si="267"/>
        <v/>
      </c>
      <c r="V430" s="1745">
        <v>1</v>
      </c>
      <c r="W430" s="1745">
        <v>1</v>
      </c>
      <c r="X430" s="1745">
        <v>1</v>
      </c>
      <c r="Y430" s="1745">
        <f>MIN(S01E01,S01E02)</f>
        <v>1</v>
      </c>
      <c r="Z430" s="1746">
        <v>0</v>
      </c>
      <c r="AA430" s="1747"/>
      <c r="AB430" s="1748"/>
      <c r="AC430" s="1748"/>
      <c r="AD430" s="1595" t="str">
        <f t="shared" si="264"/>
        <v/>
      </c>
      <c r="AE430" s="1595">
        <f t="shared" si="269"/>
        <v>2</v>
      </c>
      <c r="AF430" s="1595" t="str">
        <f t="shared" si="270"/>
        <v/>
      </c>
      <c r="AG430" s="1748"/>
      <c r="AH430" s="1749" t="str">
        <f t="shared" si="265"/>
        <v/>
      </c>
      <c r="AI430" s="1620"/>
      <c r="AJ430" s="1616"/>
      <c r="AK430" s="1616"/>
      <c r="AL430" s="1617" t="s">
        <v>1519</v>
      </c>
      <c r="AM430" s="247" t="str">
        <f t="shared" si="258"/>
        <v/>
      </c>
      <c r="AN430" s="247" t="str">
        <f t="shared" si="259"/>
        <v/>
      </c>
      <c r="AO430" s="247" t="str">
        <f t="shared" si="260"/>
        <v/>
      </c>
      <c r="AP430" s="247" t="str">
        <f t="shared" si="261"/>
        <v/>
      </c>
      <c r="AQ430" s="42">
        <f t="shared" si="271"/>
        <v>1</v>
      </c>
      <c r="AR430" s="42">
        <f t="shared" si="272"/>
        <v>1</v>
      </c>
      <c r="AS430" s="42">
        <f t="shared" si="273"/>
        <v>1</v>
      </c>
      <c r="AT430" s="42">
        <f t="shared" si="274"/>
        <v>1</v>
      </c>
      <c r="AU430" s="247" t="str">
        <f t="shared" si="262"/>
        <v/>
      </c>
      <c r="AV430" s="247" t="str">
        <f t="shared" si="263"/>
        <v/>
      </c>
    </row>
    <row r="431" spans="1:48" ht="24" x14ac:dyDescent="0.2">
      <c r="A431" s="428" t="s">
        <v>471</v>
      </c>
      <c r="B431" s="429" t="s">
        <v>4213</v>
      </c>
      <c r="C431" s="430" t="s">
        <v>2785</v>
      </c>
      <c r="D431" s="1349" t="s">
        <v>1873</v>
      </c>
      <c r="E431" s="1350" t="s">
        <v>5043</v>
      </c>
      <c r="F431" s="1350" t="s">
        <v>1503</v>
      </c>
      <c r="G431" s="1351" t="s">
        <v>6064</v>
      </c>
      <c r="H431" s="1342" t="s">
        <v>5275</v>
      </c>
      <c r="I431" s="432" t="s">
        <v>4814</v>
      </c>
      <c r="J431" s="431"/>
      <c r="K431" s="431"/>
      <c r="L431" s="431"/>
      <c r="M431" s="433"/>
      <c r="N431" s="434"/>
      <c r="O431" s="1743" t="str">
        <f>VLOOKUP(B431,code_famille_scénario,2)&amp;VLOOKUP(C431,code_actif,2)&amp;", dû "&amp;VLOOKUP(I431,code_event,2)</f>
        <v xml:space="preserve">Arret de fonctionnement de services du réseau étendu, dû à une absence durable du personnel (interne) nécessaire </v>
      </c>
      <c r="P431" s="435">
        <v>1</v>
      </c>
      <c r="Q431" s="1595" t="s">
        <v>1431</v>
      </c>
      <c r="R431" s="1595" t="s">
        <v>1873</v>
      </c>
      <c r="S431" s="1595" t="str">
        <f>Classif!C21</f>
        <v/>
      </c>
      <c r="T431" s="1595">
        <f t="shared" si="266"/>
        <v>2</v>
      </c>
      <c r="U431" s="1744" t="str">
        <f t="shared" si="267"/>
        <v/>
      </c>
      <c r="V431" s="1745">
        <v>1</v>
      </c>
      <c r="W431" s="1745">
        <v>1</v>
      </c>
      <c r="X431" s="1745">
        <v>1</v>
      </c>
      <c r="Y431" s="1745">
        <f>S01C02</f>
        <v>1</v>
      </c>
      <c r="Z431" s="1746">
        <v>0</v>
      </c>
      <c r="AA431" s="1747"/>
      <c r="AB431" s="1748"/>
      <c r="AC431" s="1748"/>
      <c r="AD431" s="1595" t="str">
        <f t="shared" si="264"/>
        <v/>
      </c>
      <c r="AE431" s="1595">
        <f t="shared" si="269"/>
        <v>2</v>
      </c>
      <c r="AF431" s="1595" t="str">
        <f t="shared" si="270"/>
        <v/>
      </c>
      <c r="AG431" s="1748"/>
      <c r="AH431" s="1749" t="str">
        <f t="shared" si="265"/>
        <v/>
      </c>
      <c r="AI431" s="1615"/>
      <c r="AJ431" s="1621"/>
      <c r="AK431" s="1618"/>
      <c r="AL431" s="1617" t="s">
        <v>2536</v>
      </c>
      <c r="AM431" s="247" t="str">
        <f t="shared" si="258"/>
        <v/>
      </c>
      <c r="AN431" s="247" t="str">
        <f t="shared" si="259"/>
        <v/>
      </c>
      <c r="AO431" s="247" t="str">
        <f t="shared" si="260"/>
        <v/>
      </c>
      <c r="AP431" s="247" t="str">
        <f t="shared" si="261"/>
        <v/>
      </c>
      <c r="AQ431" s="42">
        <f t="shared" si="271"/>
        <v>1</v>
      </c>
      <c r="AR431" s="42">
        <f t="shared" si="272"/>
        <v>1</v>
      </c>
      <c r="AS431" s="42">
        <f t="shared" si="273"/>
        <v>1</v>
      </c>
      <c r="AT431" s="42">
        <f t="shared" si="274"/>
        <v>1</v>
      </c>
      <c r="AU431" s="247" t="str">
        <f t="shared" si="262"/>
        <v/>
      </c>
      <c r="AV431" s="247" t="str">
        <f t="shared" si="263"/>
        <v/>
      </c>
    </row>
    <row r="432" spans="1:48" ht="24" x14ac:dyDescent="0.2">
      <c r="A432" s="428" t="s">
        <v>472</v>
      </c>
      <c r="B432" s="429" t="s">
        <v>4213</v>
      </c>
      <c r="C432" s="430" t="s">
        <v>2785</v>
      </c>
      <c r="D432" s="1349" t="s">
        <v>1873</v>
      </c>
      <c r="E432" s="1350" t="s">
        <v>5043</v>
      </c>
      <c r="F432" s="1350" t="s">
        <v>1503</v>
      </c>
      <c r="G432" s="1351" t="s">
        <v>6064</v>
      </c>
      <c r="H432" s="1342" t="s">
        <v>5275</v>
      </c>
      <c r="I432" s="432" t="s">
        <v>3718</v>
      </c>
      <c r="J432" s="431"/>
      <c r="K432" s="431"/>
      <c r="L432" s="431"/>
      <c r="M432" s="433"/>
      <c r="N432" s="434"/>
      <c r="O432" s="1743" t="str">
        <f>VLOOKUP(B432,code_famille_scénario,2)&amp;VLOOKUP(C432,code_actif,2)&amp;", dû "&amp;VLOOKUP(I432,code_event,2)</f>
        <v xml:space="preserve">Arret de fonctionnement de services du réseau étendu, dû à une absence durable du personnel d'un prestataire </v>
      </c>
      <c r="P432" s="435">
        <v>1</v>
      </c>
      <c r="Q432" s="1595" t="s">
        <v>1431</v>
      </c>
      <c r="R432" s="1595" t="s">
        <v>1873</v>
      </c>
      <c r="S432" s="1595" t="str">
        <f>Classif!C21</f>
        <v/>
      </c>
      <c r="T432" s="1595">
        <f t="shared" si="266"/>
        <v>3</v>
      </c>
      <c r="U432" s="1744" t="str">
        <f t="shared" si="267"/>
        <v/>
      </c>
      <c r="V432" s="1745">
        <v>1</v>
      </c>
      <c r="W432" s="1745">
        <v>1</v>
      </c>
      <c r="X432" s="1745">
        <v>1</v>
      </c>
      <c r="Y432" s="1745">
        <f>S01C02</f>
        <v>1</v>
      </c>
      <c r="Z432" s="1746">
        <v>0</v>
      </c>
      <c r="AA432" s="1747"/>
      <c r="AB432" s="1748"/>
      <c r="AC432" s="1748"/>
      <c r="AD432" s="1595" t="str">
        <f t="shared" si="264"/>
        <v/>
      </c>
      <c r="AE432" s="1595">
        <f t="shared" si="269"/>
        <v>3</v>
      </c>
      <c r="AF432" s="1595" t="str">
        <f t="shared" si="270"/>
        <v/>
      </c>
      <c r="AG432" s="1748"/>
      <c r="AH432" s="1749" t="str">
        <f t="shared" si="265"/>
        <v/>
      </c>
      <c r="AI432" s="1615"/>
      <c r="AJ432" s="1621"/>
      <c r="AK432" s="1618"/>
      <c r="AL432" s="1617" t="s">
        <v>2536</v>
      </c>
      <c r="AM432" s="247" t="str">
        <f t="shared" si="258"/>
        <v/>
      </c>
      <c r="AN432" s="247" t="str">
        <f t="shared" si="259"/>
        <v/>
      </c>
      <c r="AO432" s="247" t="str">
        <f t="shared" si="260"/>
        <v/>
      </c>
      <c r="AP432" s="247" t="str">
        <f t="shared" si="261"/>
        <v/>
      </c>
      <c r="AQ432" s="42">
        <f t="shared" si="271"/>
        <v>1</v>
      </c>
      <c r="AR432" s="42">
        <f t="shared" si="272"/>
        <v>1</v>
      </c>
      <c r="AS432" s="42">
        <f t="shared" si="273"/>
        <v>1</v>
      </c>
      <c r="AT432" s="42">
        <f t="shared" si="274"/>
        <v>1</v>
      </c>
      <c r="AU432" s="247" t="str">
        <f t="shared" si="262"/>
        <v/>
      </c>
      <c r="AV432" s="247" t="str">
        <f t="shared" si="263"/>
        <v/>
      </c>
    </row>
    <row r="433" spans="1:48" x14ac:dyDescent="0.2">
      <c r="A433" s="428" t="s">
        <v>473</v>
      </c>
      <c r="B433" s="429" t="s">
        <v>4213</v>
      </c>
      <c r="C433" s="430" t="s">
        <v>2785</v>
      </c>
      <c r="D433" s="1349" t="s">
        <v>1873</v>
      </c>
      <c r="E433" s="1350" t="s">
        <v>2015</v>
      </c>
      <c r="F433" s="1350" t="s">
        <v>1602</v>
      </c>
      <c r="G433" s="1351" t="s">
        <v>5440</v>
      </c>
      <c r="H433" s="1342" t="s">
        <v>1465</v>
      </c>
      <c r="I433" s="432" t="s">
        <v>2016</v>
      </c>
      <c r="J433" s="431"/>
      <c r="K433" s="431"/>
      <c r="L433" s="431"/>
      <c r="M433" s="433"/>
      <c r="N433" s="434"/>
      <c r="O433" s="1743" t="str">
        <f>VLOOKUP(B433,code_famille_scénario,2)&amp;VLOOKUP(C433,code_actif,2)&amp;", dû "&amp;VLOOKUP(I433,code_event,2)</f>
        <v>Arret de fonctionnement de services du réseau étendu, dû à un ver</v>
      </c>
      <c r="P433" s="435">
        <v>1</v>
      </c>
      <c r="Q433" s="1595" t="s">
        <v>1431</v>
      </c>
      <c r="R433" s="1595" t="s">
        <v>1873</v>
      </c>
      <c r="S433" s="1595" t="str">
        <f>Classif!C21</f>
        <v/>
      </c>
      <c r="T433" s="1595">
        <f t="shared" si="266"/>
        <v>3</v>
      </c>
      <c r="U433" s="1744" t="str">
        <f t="shared" si="267"/>
        <v/>
      </c>
      <c r="V433" s="1745">
        <v>1</v>
      </c>
      <c r="W433" s="1745">
        <f>S04D01</f>
        <v>1</v>
      </c>
      <c r="X433" s="1745">
        <v>1</v>
      </c>
      <c r="Y433" s="1745">
        <f>S04A03</f>
        <v>1</v>
      </c>
      <c r="Z433" s="1746">
        <v>0</v>
      </c>
      <c r="AA433" s="1747"/>
      <c r="AB433" s="1748"/>
      <c r="AC433" s="1748"/>
      <c r="AD433" s="1595" t="str">
        <f t="shared" si="264"/>
        <v/>
      </c>
      <c r="AE433" s="1595">
        <f t="shared" si="269"/>
        <v>3</v>
      </c>
      <c r="AF433" s="1595" t="str">
        <f t="shared" si="270"/>
        <v/>
      </c>
      <c r="AG433" s="1748"/>
      <c r="AH433" s="1749" t="str">
        <f t="shared" si="265"/>
        <v/>
      </c>
      <c r="AI433" s="1615"/>
      <c r="AJ433" s="1621" t="s">
        <v>6463</v>
      </c>
      <c r="AK433" s="1618"/>
      <c r="AL433" s="1617" t="s">
        <v>4603</v>
      </c>
      <c r="AM433" s="247" t="str">
        <f t="shared" si="258"/>
        <v/>
      </c>
      <c r="AN433" s="247" t="str">
        <f t="shared" si="259"/>
        <v/>
      </c>
      <c r="AO433" s="247" t="str">
        <f t="shared" si="260"/>
        <v/>
      </c>
      <c r="AP433" s="247" t="str">
        <f t="shared" si="261"/>
        <v/>
      </c>
      <c r="AQ433" s="42">
        <f t="shared" si="271"/>
        <v>1</v>
      </c>
      <c r="AR433" s="42">
        <f t="shared" si="272"/>
        <v>1</v>
      </c>
      <c r="AS433" s="42">
        <f t="shared" si="273"/>
        <v>1</v>
      </c>
      <c r="AT433" s="42">
        <f t="shared" si="274"/>
        <v>1</v>
      </c>
      <c r="AU433" s="247" t="str">
        <f t="shared" si="262"/>
        <v/>
      </c>
      <c r="AV433" s="247" t="str">
        <f t="shared" si="263"/>
        <v/>
      </c>
    </row>
    <row r="434" spans="1:48" ht="15" x14ac:dyDescent="0.2">
      <c r="A434" s="456" t="s">
        <v>2368</v>
      </c>
      <c r="B434" s="457"/>
      <c r="C434" s="420" t="s">
        <v>3719</v>
      </c>
      <c r="D434" s="1356"/>
      <c r="E434" s="1357"/>
      <c r="F434" s="1357"/>
      <c r="G434" s="1360"/>
      <c r="H434" s="1345"/>
      <c r="I434" s="459"/>
      <c r="J434" s="458"/>
      <c r="K434" s="458"/>
      <c r="L434" s="458"/>
      <c r="M434" s="460"/>
      <c r="N434" s="461"/>
      <c r="O434" s="1761"/>
      <c r="P434" s="1608"/>
      <c r="Q434" s="1596"/>
      <c r="R434" s="1596"/>
      <c r="S434" s="1753"/>
      <c r="T434" s="1595"/>
      <c r="U434" s="1744"/>
      <c r="V434" s="1754"/>
      <c r="W434" s="1754"/>
      <c r="X434" s="1754"/>
      <c r="Y434" s="1754"/>
      <c r="Z434" s="1762"/>
      <c r="AA434" s="1763"/>
      <c r="AB434" s="1748"/>
      <c r="AC434" s="1748"/>
      <c r="AD434" s="1595"/>
      <c r="AE434" s="1753"/>
      <c r="AF434" s="1595"/>
      <c r="AG434" s="1748"/>
      <c r="AH434" s="1749"/>
      <c r="AI434" s="1627"/>
      <c r="AJ434" s="1628"/>
      <c r="AK434" s="1628"/>
      <c r="AL434" s="1629"/>
      <c r="AM434" s="247" t="str">
        <f t="shared" si="258"/>
        <v/>
      </c>
      <c r="AN434" s="247" t="str">
        <f t="shared" si="259"/>
        <v/>
      </c>
      <c r="AO434" s="247" t="str">
        <f t="shared" si="260"/>
        <v/>
      </c>
      <c r="AP434" s="247" t="str">
        <f t="shared" si="261"/>
        <v/>
      </c>
      <c r="AU434" s="247" t="str">
        <f t="shared" si="262"/>
        <v/>
      </c>
      <c r="AV434" s="247" t="str">
        <f t="shared" si="263"/>
        <v/>
      </c>
    </row>
    <row r="435" spans="1:48" ht="24" x14ac:dyDescent="0.2">
      <c r="A435" s="428" t="s">
        <v>474</v>
      </c>
      <c r="B435" s="429" t="s">
        <v>3184</v>
      </c>
      <c r="C435" s="430" t="s">
        <v>2786</v>
      </c>
      <c r="D435" s="1349" t="s">
        <v>1873</v>
      </c>
      <c r="E435" s="1350" t="s">
        <v>1493</v>
      </c>
      <c r="F435" s="1350" t="s">
        <v>2779</v>
      </c>
      <c r="G435" s="1351" t="s">
        <v>6068</v>
      </c>
      <c r="H435" s="1342" t="s">
        <v>1465</v>
      </c>
      <c r="I435" s="432" t="s">
        <v>1880</v>
      </c>
      <c r="J435" s="431" t="s">
        <v>1880</v>
      </c>
      <c r="K435" s="431"/>
      <c r="L435" s="431"/>
      <c r="M435" s="433"/>
      <c r="N435" s="434"/>
      <c r="O435" s="1743" t="str">
        <f>VLOOKUP(B435,code_famille_scénario,2)&amp;VLOOKUP(C435,code_actif,2)&amp;", suite "&amp;VLOOKUP(I435,code_event,2)</f>
        <v>Effacement accidentel de configuration (code, paramétrage, etc.) de services du réseau local, suite à un incident d'exploitation</v>
      </c>
      <c r="P435" s="435">
        <v>1</v>
      </c>
      <c r="Q435" s="1595" t="s">
        <v>1431</v>
      </c>
      <c r="R435" s="1595" t="s">
        <v>1873</v>
      </c>
      <c r="S435" s="1595" t="str">
        <f>Classif!C22</f>
        <v/>
      </c>
      <c r="T435" s="1595">
        <f t="shared" ref="T435:T461" si="276">VLOOKUP(H435&amp;"."&amp;I435,Tab_event,4)</f>
        <v>3</v>
      </c>
      <c r="U435" s="1744" t="str">
        <f t="shared" ref="U435:U461" si="277">IF(AND(NOT(S435=""),NOT(T435="")),INDEX(base_g,5-S435,T435),"")</f>
        <v/>
      </c>
      <c r="V435" s="1745">
        <v>1</v>
      </c>
      <c r="W435" s="1745">
        <f>S06A02</f>
        <v>1</v>
      </c>
      <c r="X435" s="1745">
        <f>S05D03</f>
        <v>1</v>
      </c>
      <c r="Y435" s="1745">
        <f t="shared" ref="Y435:Y440" si="278">S05A05</f>
        <v>1</v>
      </c>
      <c r="Z435" s="1746">
        <v>1</v>
      </c>
      <c r="AA435" s="1747"/>
      <c r="AB435" s="1748"/>
      <c r="AC435" s="1748"/>
      <c r="AD435" s="1595" t="str">
        <f t="shared" si="264"/>
        <v/>
      </c>
      <c r="AE435" s="1595">
        <f t="shared" ref="AE435:AE461" si="279">IF(OR(Q435="",T435=""),"",IF(Q435="A",INDEX(base_p,4,W435+7*(T435-1)),IF(Q435="E",INDEX(base_p,15,W435+7*(T435-1)),INDEX(base_p,27-V435,W435+7*(T435-1)))))</f>
        <v>3</v>
      </c>
      <c r="AF435" s="1595" t="str">
        <f t="shared" ref="AF435:AF461" si="280">IF(AT435=1,IF(IndG=1,U435,IF(AND(OR(NOT(AD435=""),NOT(AB435="")),OR(NOT(AE435=""),NOT(AC435="")),AT435=1),INDEX(base_g,5-IF(AB435="",AD435,AB435),IF(AC435="",AE435,AC435)),"")),0)</f>
        <v/>
      </c>
      <c r="AG435" s="1748"/>
      <c r="AH435" s="1749" t="str">
        <f t="shared" si="265"/>
        <v/>
      </c>
      <c r="AI435" s="1615"/>
      <c r="AJ435" s="1616" t="s">
        <v>4530</v>
      </c>
      <c r="AK435" s="1616" t="s">
        <v>1142</v>
      </c>
      <c r="AL435" s="1617" t="s">
        <v>6472</v>
      </c>
      <c r="AM435" s="247" t="str">
        <f t="shared" si="258"/>
        <v/>
      </c>
      <c r="AN435" s="247" t="str">
        <f t="shared" si="259"/>
        <v/>
      </c>
      <c r="AO435" s="247" t="str">
        <f t="shared" si="260"/>
        <v/>
      </c>
      <c r="AP435" s="247" t="str">
        <f t="shared" si="261"/>
        <v/>
      </c>
      <c r="AQ435" s="42">
        <f t="shared" ref="AQ435:AQ461" si="281">VLOOKUP(LEFT(C435,3),Tab_classif_servIR,6)</f>
        <v>1</v>
      </c>
      <c r="AR435" s="42">
        <f t="shared" ref="AR435:AR461" si="282">VLOOKUP(G435,select_vul_serv,2)</f>
        <v>1</v>
      </c>
      <c r="AS435" s="42">
        <f t="shared" ref="AS435:AS461" si="283">VLOOKUP(H435&amp;"."&amp;I435,select_men,5)</f>
        <v>1</v>
      </c>
      <c r="AT435" s="42">
        <f t="shared" ref="AT435:AT461" si="284">P435*AQ435*AR435*AS435</f>
        <v>1</v>
      </c>
      <c r="AU435" s="247" t="str">
        <f t="shared" si="262"/>
        <v/>
      </c>
      <c r="AV435" s="247" t="str">
        <f t="shared" si="263"/>
        <v/>
      </c>
    </row>
    <row r="436" spans="1:48" ht="24" x14ac:dyDescent="0.2">
      <c r="A436" s="428" t="s">
        <v>475</v>
      </c>
      <c r="B436" s="429" t="s">
        <v>1494</v>
      </c>
      <c r="C436" s="430" t="s">
        <v>2786</v>
      </c>
      <c r="D436" s="1349" t="s">
        <v>1873</v>
      </c>
      <c r="E436" s="1350" t="s">
        <v>1493</v>
      </c>
      <c r="F436" s="1350" t="s">
        <v>2779</v>
      </c>
      <c r="G436" s="1351" t="s">
        <v>6068</v>
      </c>
      <c r="H436" s="1342" t="s">
        <v>1327</v>
      </c>
      <c r="I436" s="432" t="s">
        <v>1545</v>
      </c>
      <c r="J436" s="431" t="s">
        <v>1880</v>
      </c>
      <c r="K436" s="431"/>
      <c r="L436" s="431"/>
      <c r="M436" s="433"/>
      <c r="N436" s="434" t="s">
        <v>6403</v>
      </c>
      <c r="O436" s="1743" t="str">
        <f t="shared" ref="O436:O441" si="285">VLOOKUP(B436,code_famille_scénario,2)&amp;VLOOKUP(C436,code_actif,2)&amp;", par "&amp;VLOOKUP(N436,code_acteur,2)</f>
        <v>Effacement par erreur de configuration (code, paramétrage, etc.) de services du réseau local, par un membre du personnel d'exploitation</v>
      </c>
      <c r="P436" s="435">
        <v>1</v>
      </c>
      <c r="Q436" s="1595" t="s">
        <v>6403</v>
      </c>
      <c r="R436" s="1595" t="s">
        <v>1873</v>
      </c>
      <c r="S436" s="1595" t="str">
        <f>Classif!C22</f>
        <v/>
      </c>
      <c r="T436" s="1595">
        <f t="shared" si="276"/>
        <v>3</v>
      </c>
      <c r="U436" s="1744" t="str">
        <f t="shared" si="277"/>
        <v/>
      </c>
      <c r="V436" s="1745">
        <v>1</v>
      </c>
      <c r="W436" s="1745">
        <v>1</v>
      </c>
      <c r="X436" s="1745">
        <v>1</v>
      </c>
      <c r="Y436" s="1745">
        <f t="shared" si="278"/>
        <v>1</v>
      </c>
      <c r="Z436" s="1746">
        <v>0</v>
      </c>
      <c r="AA436" s="1747"/>
      <c r="AB436" s="1748"/>
      <c r="AC436" s="1748"/>
      <c r="AD436" s="1595" t="str">
        <f t="shared" si="264"/>
        <v/>
      </c>
      <c r="AE436" s="1595">
        <f t="shared" si="279"/>
        <v>3</v>
      </c>
      <c r="AF436" s="1595" t="str">
        <f t="shared" si="280"/>
        <v/>
      </c>
      <c r="AG436" s="1748"/>
      <c r="AH436" s="1749" t="str">
        <f t="shared" si="265"/>
        <v/>
      </c>
      <c r="AI436" s="1615"/>
      <c r="AJ436" s="1618"/>
      <c r="AK436" s="1618"/>
      <c r="AL436" s="1617" t="s">
        <v>6472</v>
      </c>
      <c r="AM436" s="247" t="str">
        <f t="shared" si="258"/>
        <v/>
      </c>
      <c r="AN436" s="247" t="str">
        <f t="shared" si="259"/>
        <v/>
      </c>
      <c r="AO436" s="247" t="str">
        <f t="shared" si="260"/>
        <v/>
      </c>
      <c r="AP436" s="247" t="str">
        <f t="shared" si="261"/>
        <v/>
      </c>
      <c r="AQ436" s="42">
        <f t="shared" si="281"/>
        <v>1</v>
      </c>
      <c r="AR436" s="42">
        <f t="shared" si="282"/>
        <v>1</v>
      </c>
      <c r="AS436" s="42">
        <f t="shared" si="283"/>
        <v>1</v>
      </c>
      <c r="AT436" s="42">
        <f t="shared" si="284"/>
        <v>1</v>
      </c>
      <c r="AU436" s="247" t="str">
        <f t="shared" si="262"/>
        <v/>
      </c>
      <c r="AV436" s="247" t="str">
        <f t="shared" si="263"/>
        <v/>
      </c>
    </row>
    <row r="437" spans="1:48" ht="24" x14ac:dyDescent="0.2">
      <c r="A437" s="428" t="s">
        <v>476</v>
      </c>
      <c r="B437" s="429" t="s">
        <v>1494</v>
      </c>
      <c r="C437" s="430" t="s">
        <v>2786</v>
      </c>
      <c r="D437" s="1349" t="s">
        <v>1873</v>
      </c>
      <c r="E437" s="1350" t="s">
        <v>1493</v>
      </c>
      <c r="F437" s="1350" t="s">
        <v>2779</v>
      </c>
      <c r="G437" s="1351" t="s">
        <v>6068</v>
      </c>
      <c r="H437" s="1342" t="s">
        <v>1327</v>
      </c>
      <c r="I437" s="432" t="s">
        <v>1545</v>
      </c>
      <c r="J437" s="431" t="s">
        <v>1880</v>
      </c>
      <c r="K437" s="431"/>
      <c r="L437" s="431"/>
      <c r="M437" s="433"/>
      <c r="N437" s="434" t="s">
        <v>1299</v>
      </c>
      <c r="O437" s="1743" t="str">
        <f t="shared" si="285"/>
        <v>Effacement par erreur de configuration (code, paramétrage, etc.) de services du réseau local, par un membre du personnel de maintenance</v>
      </c>
      <c r="P437" s="435">
        <v>1</v>
      </c>
      <c r="Q437" s="1595" t="s">
        <v>6403</v>
      </c>
      <c r="R437" s="1595" t="s">
        <v>1873</v>
      </c>
      <c r="S437" s="1595" t="str">
        <f>Classif!C22</f>
        <v/>
      </c>
      <c r="T437" s="1595">
        <f t="shared" si="276"/>
        <v>3</v>
      </c>
      <c r="U437" s="1744" t="str">
        <f t="shared" si="277"/>
        <v/>
      </c>
      <c r="V437" s="1745">
        <v>1</v>
      </c>
      <c r="W437" s="1745">
        <v>1</v>
      </c>
      <c r="X437" s="1745">
        <v>1</v>
      </c>
      <c r="Y437" s="1745">
        <f t="shared" si="278"/>
        <v>1</v>
      </c>
      <c r="Z437" s="1746">
        <v>0</v>
      </c>
      <c r="AA437" s="1747"/>
      <c r="AB437" s="1748"/>
      <c r="AC437" s="1748"/>
      <c r="AD437" s="1595" t="str">
        <f t="shared" si="264"/>
        <v/>
      </c>
      <c r="AE437" s="1595">
        <f t="shared" si="279"/>
        <v>3</v>
      </c>
      <c r="AF437" s="1595" t="str">
        <f t="shared" si="280"/>
        <v/>
      </c>
      <c r="AG437" s="1748"/>
      <c r="AH437" s="1749" t="str">
        <f t="shared" si="265"/>
        <v/>
      </c>
      <c r="AI437" s="1615"/>
      <c r="AJ437" s="1618"/>
      <c r="AK437" s="1618"/>
      <c r="AL437" s="1617" t="s">
        <v>6472</v>
      </c>
      <c r="AM437" s="247" t="str">
        <f t="shared" si="258"/>
        <v/>
      </c>
      <c r="AN437" s="247" t="str">
        <f t="shared" si="259"/>
        <v/>
      </c>
      <c r="AO437" s="247" t="str">
        <f t="shared" si="260"/>
        <v/>
      </c>
      <c r="AP437" s="247" t="str">
        <f t="shared" si="261"/>
        <v/>
      </c>
      <c r="AQ437" s="42">
        <f t="shared" si="281"/>
        <v>1</v>
      </c>
      <c r="AR437" s="42">
        <f t="shared" si="282"/>
        <v>1</v>
      </c>
      <c r="AS437" s="42">
        <f t="shared" si="283"/>
        <v>1</v>
      </c>
      <c r="AT437" s="42">
        <f t="shared" si="284"/>
        <v>1</v>
      </c>
      <c r="AU437" s="247" t="str">
        <f t="shared" si="262"/>
        <v/>
      </c>
      <c r="AV437" s="247" t="str">
        <f t="shared" si="263"/>
        <v/>
      </c>
    </row>
    <row r="438" spans="1:48" ht="24" x14ac:dyDescent="0.2">
      <c r="A438" s="428" t="s">
        <v>477</v>
      </c>
      <c r="B438" s="429" t="s">
        <v>2453</v>
      </c>
      <c r="C438" s="430" t="s">
        <v>2786</v>
      </c>
      <c r="D438" s="1349" t="s">
        <v>1873</v>
      </c>
      <c r="E438" s="1350" t="s">
        <v>1493</v>
      </c>
      <c r="F438" s="1350" t="s">
        <v>2779</v>
      </c>
      <c r="G438" s="1351" t="s">
        <v>6068</v>
      </c>
      <c r="H438" s="1342" t="s">
        <v>1328</v>
      </c>
      <c r="I438" s="432" t="s">
        <v>1546</v>
      </c>
      <c r="J438" s="431" t="s">
        <v>1880</v>
      </c>
      <c r="K438" s="431"/>
      <c r="L438" s="431"/>
      <c r="M438" s="433"/>
      <c r="N438" s="434" t="s">
        <v>1303</v>
      </c>
      <c r="O438" s="1743" t="str">
        <f t="shared" si="285"/>
        <v>Effacement malveillant de configuration (code, paramétrage, etc.) de services du réseau local, par un utilisateur non autorisé</v>
      </c>
      <c r="P438" s="435">
        <v>1</v>
      </c>
      <c r="Q438" s="1595" t="s">
        <v>1299</v>
      </c>
      <c r="R438" s="1595" t="s">
        <v>1873</v>
      </c>
      <c r="S438" s="1595" t="str">
        <f>Classif!C22</f>
        <v/>
      </c>
      <c r="T438" s="1595">
        <f t="shared" si="276"/>
        <v>2</v>
      </c>
      <c r="U438" s="1744" t="str">
        <f t="shared" si="277"/>
        <v/>
      </c>
      <c r="V438" s="1745">
        <v>1</v>
      </c>
      <c r="W438" s="1745">
        <f>S06C02</f>
        <v>1</v>
      </c>
      <c r="X438" s="1745">
        <f>S05D02</f>
        <v>1</v>
      </c>
      <c r="Y438" s="1745">
        <f t="shared" si="278"/>
        <v>1</v>
      </c>
      <c r="Z438" s="1746">
        <v>0</v>
      </c>
      <c r="AA438" s="1747"/>
      <c r="AB438" s="1748"/>
      <c r="AC438" s="1748"/>
      <c r="AD438" s="1595" t="str">
        <f t="shared" si="264"/>
        <v/>
      </c>
      <c r="AE438" s="1595">
        <f t="shared" si="279"/>
        <v>2</v>
      </c>
      <c r="AF438" s="1595" t="str">
        <f t="shared" si="280"/>
        <v/>
      </c>
      <c r="AG438" s="1748"/>
      <c r="AH438" s="1749" t="str">
        <f t="shared" si="265"/>
        <v/>
      </c>
      <c r="AI438" s="1615"/>
      <c r="AJ438" s="1621" t="s">
        <v>4574</v>
      </c>
      <c r="AK438" s="1621" t="s">
        <v>1140</v>
      </c>
      <c r="AL438" s="1617" t="s">
        <v>6472</v>
      </c>
      <c r="AM438" s="247" t="str">
        <f t="shared" si="258"/>
        <v/>
      </c>
      <c r="AN438" s="247" t="str">
        <f t="shared" si="259"/>
        <v/>
      </c>
      <c r="AO438" s="247" t="str">
        <f t="shared" si="260"/>
        <v/>
      </c>
      <c r="AP438" s="247" t="str">
        <f t="shared" si="261"/>
        <v/>
      </c>
      <c r="AQ438" s="42">
        <f t="shared" si="281"/>
        <v>1</v>
      </c>
      <c r="AR438" s="42">
        <f t="shared" si="282"/>
        <v>1</v>
      </c>
      <c r="AS438" s="42">
        <f t="shared" si="283"/>
        <v>1</v>
      </c>
      <c r="AT438" s="42">
        <f t="shared" si="284"/>
        <v>1</v>
      </c>
      <c r="AU438" s="247" t="str">
        <f t="shared" si="262"/>
        <v/>
      </c>
      <c r="AV438" s="247" t="str">
        <f t="shared" si="263"/>
        <v/>
      </c>
    </row>
    <row r="439" spans="1:48" ht="24" x14ac:dyDescent="0.2">
      <c r="A439" s="428" t="s">
        <v>478</v>
      </c>
      <c r="B439" s="429" t="s">
        <v>2453</v>
      </c>
      <c r="C439" s="430" t="s">
        <v>2786</v>
      </c>
      <c r="D439" s="1349" t="s">
        <v>1873</v>
      </c>
      <c r="E439" s="1350" t="s">
        <v>1493</v>
      </c>
      <c r="F439" s="1350" t="s">
        <v>2779</v>
      </c>
      <c r="G439" s="1351" t="s">
        <v>6068</v>
      </c>
      <c r="H439" s="1342" t="s">
        <v>1328</v>
      </c>
      <c r="I439" s="432" t="s">
        <v>1546</v>
      </c>
      <c r="J439" s="431" t="s">
        <v>1880</v>
      </c>
      <c r="K439" s="431"/>
      <c r="L439" s="431"/>
      <c r="M439" s="433"/>
      <c r="N439" s="434" t="s">
        <v>6403</v>
      </c>
      <c r="O439" s="1743" t="str">
        <f t="shared" si="285"/>
        <v>Effacement malveillant de configuration (code, paramétrage, etc.) de services du réseau local, par un membre du personnel d'exploitation</v>
      </c>
      <c r="P439" s="435">
        <v>1</v>
      </c>
      <c r="Q439" s="1595" t="s">
        <v>1299</v>
      </c>
      <c r="R439" s="1595" t="s">
        <v>1873</v>
      </c>
      <c r="S439" s="1595" t="str">
        <f>Classif!C22</f>
        <v/>
      </c>
      <c r="T439" s="1595">
        <f t="shared" si="276"/>
        <v>2</v>
      </c>
      <c r="U439" s="1744" t="str">
        <f t="shared" si="277"/>
        <v/>
      </c>
      <c r="V439" s="1745">
        <f>MIN(S06C02,S06C03)</f>
        <v>1</v>
      </c>
      <c r="W439" s="1745">
        <v>1</v>
      </c>
      <c r="X439" s="1745">
        <v>1</v>
      </c>
      <c r="Y439" s="1745">
        <f t="shared" si="278"/>
        <v>1</v>
      </c>
      <c r="Z439" s="1746">
        <v>0</v>
      </c>
      <c r="AA439" s="1747"/>
      <c r="AB439" s="1748"/>
      <c r="AC439" s="1748"/>
      <c r="AD439" s="1595" t="str">
        <f t="shared" si="264"/>
        <v/>
      </c>
      <c r="AE439" s="1595">
        <f t="shared" si="279"/>
        <v>2</v>
      </c>
      <c r="AF439" s="1595" t="str">
        <f t="shared" si="280"/>
        <v/>
      </c>
      <c r="AG439" s="1748"/>
      <c r="AH439" s="1749" t="str">
        <f t="shared" si="265"/>
        <v/>
      </c>
      <c r="AI439" s="1622" t="s">
        <v>5000</v>
      </c>
      <c r="AJ439" s="1621"/>
      <c r="AK439" s="1621"/>
      <c r="AL439" s="1617" t="s">
        <v>6472</v>
      </c>
      <c r="AM439" s="247" t="str">
        <f t="shared" si="258"/>
        <v/>
      </c>
      <c r="AN439" s="247" t="str">
        <f t="shared" si="259"/>
        <v/>
      </c>
      <c r="AO439" s="247" t="str">
        <f t="shared" si="260"/>
        <v/>
      </c>
      <c r="AP439" s="247" t="str">
        <f t="shared" si="261"/>
        <v/>
      </c>
      <c r="AQ439" s="42">
        <f t="shared" si="281"/>
        <v>1</v>
      </c>
      <c r="AR439" s="42">
        <f t="shared" si="282"/>
        <v>1</v>
      </c>
      <c r="AS439" s="42">
        <f t="shared" si="283"/>
        <v>1</v>
      </c>
      <c r="AT439" s="42">
        <f t="shared" si="284"/>
        <v>1</v>
      </c>
      <c r="AU439" s="247" t="str">
        <f t="shared" si="262"/>
        <v/>
      </c>
      <c r="AV439" s="247" t="str">
        <f t="shared" si="263"/>
        <v/>
      </c>
    </row>
    <row r="440" spans="1:48" ht="24" x14ac:dyDescent="0.2">
      <c r="A440" s="428" t="s">
        <v>479</v>
      </c>
      <c r="B440" s="429" t="s">
        <v>2453</v>
      </c>
      <c r="C440" s="430" t="s">
        <v>2786</v>
      </c>
      <c r="D440" s="1349" t="s">
        <v>1873</v>
      </c>
      <c r="E440" s="1350" t="s">
        <v>1493</v>
      </c>
      <c r="F440" s="1350" t="s">
        <v>2779</v>
      </c>
      <c r="G440" s="1351" t="s">
        <v>6068</v>
      </c>
      <c r="H440" s="1342" t="s">
        <v>1328</v>
      </c>
      <c r="I440" s="432" t="s">
        <v>1546</v>
      </c>
      <c r="J440" s="431" t="s">
        <v>1880</v>
      </c>
      <c r="K440" s="431"/>
      <c r="L440" s="431"/>
      <c r="M440" s="433"/>
      <c r="N440" s="434" t="s">
        <v>1299</v>
      </c>
      <c r="O440" s="1743" t="str">
        <f t="shared" si="285"/>
        <v>Effacement malveillant de configuration (code, paramétrage, etc.) de services du réseau local, par un membre du personnel de maintenance</v>
      </c>
      <c r="P440" s="435">
        <v>1</v>
      </c>
      <c r="Q440" s="1595" t="s">
        <v>1299</v>
      </c>
      <c r="R440" s="1595" t="s">
        <v>1873</v>
      </c>
      <c r="S440" s="1595" t="str">
        <f>Classif!C22</f>
        <v/>
      </c>
      <c r="T440" s="1595">
        <f t="shared" si="276"/>
        <v>2</v>
      </c>
      <c r="U440" s="1744" t="str">
        <f t="shared" si="277"/>
        <v/>
      </c>
      <c r="V440" s="1745">
        <v>1</v>
      </c>
      <c r="W440" s="1745">
        <v>1</v>
      </c>
      <c r="X440" s="1745">
        <f>S05D02</f>
        <v>1</v>
      </c>
      <c r="Y440" s="1745">
        <f t="shared" si="278"/>
        <v>1</v>
      </c>
      <c r="Z440" s="1746">
        <v>0</v>
      </c>
      <c r="AA440" s="1747"/>
      <c r="AB440" s="1748"/>
      <c r="AC440" s="1748"/>
      <c r="AD440" s="1595" t="str">
        <f t="shared" si="264"/>
        <v/>
      </c>
      <c r="AE440" s="1595">
        <f t="shared" si="279"/>
        <v>2</v>
      </c>
      <c r="AF440" s="1595" t="str">
        <f t="shared" si="280"/>
        <v/>
      </c>
      <c r="AG440" s="1748"/>
      <c r="AH440" s="1749" t="str">
        <f t="shared" si="265"/>
        <v/>
      </c>
      <c r="AI440" s="1620"/>
      <c r="AJ440" s="1616"/>
      <c r="AK440" s="1621" t="s">
        <v>1140</v>
      </c>
      <c r="AL440" s="1617" t="s">
        <v>6472</v>
      </c>
      <c r="AM440" s="247" t="str">
        <f t="shared" si="258"/>
        <v/>
      </c>
      <c r="AN440" s="247" t="str">
        <f t="shared" si="259"/>
        <v/>
      </c>
      <c r="AO440" s="247" t="str">
        <f t="shared" si="260"/>
        <v/>
      </c>
      <c r="AP440" s="247" t="str">
        <f t="shared" si="261"/>
        <v/>
      </c>
      <c r="AQ440" s="42">
        <f t="shared" si="281"/>
        <v>1</v>
      </c>
      <c r="AR440" s="42">
        <f t="shared" si="282"/>
        <v>1</v>
      </c>
      <c r="AS440" s="42">
        <f t="shared" si="283"/>
        <v>1</v>
      </c>
      <c r="AT440" s="42">
        <f t="shared" si="284"/>
        <v>1</v>
      </c>
      <c r="AU440" s="247" t="str">
        <f t="shared" si="262"/>
        <v/>
      </c>
      <c r="AV440" s="247" t="str">
        <f t="shared" si="263"/>
        <v/>
      </c>
    </row>
    <row r="441" spans="1:48" ht="36" x14ac:dyDescent="0.2">
      <c r="A441" s="428" t="s">
        <v>480</v>
      </c>
      <c r="B441" s="429" t="s">
        <v>3461</v>
      </c>
      <c r="C441" s="430" t="s">
        <v>2786</v>
      </c>
      <c r="D441" s="1349" t="s">
        <v>1873</v>
      </c>
      <c r="E441" s="1350" t="s">
        <v>1493</v>
      </c>
      <c r="F441" s="1350" t="s">
        <v>2779</v>
      </c>
      <c r="G441" s="1351" t="s">
        <v>6068</v>
      </c>
      <c r="H441" s="1342" t="s">
        <v>1328</v>
      </c>
      <c r="I441" s="432" t="s">
        <v>1550</v>
      </c>
      <c r="J441" s="431"/>
      <c r="K441" s="431"/>
      <c r="L441" s="431"/>
      <c r="M441" s="433"/>
      <c r="N441" s="434" t="s">
        <v>6403</v>
      </c>
      <c r="O441" s="1743" t="str">
        <f t="shared" si="285"/>
        <v>Effacement malveillant total de configurations et sauvegardes (code, paramétrage, etc.) de services du réseau local, par un membre du personnel d'exploitation</v>
      </c>
      <c r="P441" s="435">
        <v>1</v>
      </c>
      <c r="Q441" s="1595" t="s">
        <v>1299</v>
      </c>
      <c r="R441" s="1595" t="s">
        <v>1873</v>
      </c>
      <c r="S441" s="1595" t="str">
        <f>Classif!C22</f>
        <v/>
      </c>
      <c r="T441" s="1595">
        <f t="shared" si="276"/>
        <v>2</v>
      </c>
      <c r="U441" s="1744" t="str">
        <f t="shared" si="277"/>
        <v/>
      </c>
      <c r="V441" s="1745">
        <f>MIN(S06C02,S06C03)</f>
        <v>1</v>
      </c>
      <c r="W441" s="1745">
        <v>1</v>
      </c>
      <c r="X441" s="1745">
        <v>1</v>
      </c>
      <c r="Y441" s="1745">
        <v>1</v>
      </c>
      <c r="Z441" s="1746">
        <v>0</v>
      </c>
      <c r="AA441" s="1747"/>
      <c r="AB441" s="1748"/>
      <c r="AC441" s="1748"/>
      <c r="AD441" s="1595" t="str">
        <f t="shared" si="264"/>
        <v/>
      </c>
      <c r="AE441" s="1595">
        <f t="shared" si="279"/>
        <v>2</v>
      </c>
      <c r="AF441" s="1595" t="str">
        <f t="shared" si="280"/>
        <v/>
      </c>
      <c r="AG441" s="1748"/>
      <c r="AH441" s="1749" t="str">
        <f t="shared" si="265"/>
        <v/>
      </c>
      <c r="AI441" s="1622" t="s">
        <v>5000</v>
      </c>
      <c r="AJ441" s="1621"/>
      <c r="AK441" s="1618"/>
      <c r="AL441" s="1617"/>
      <c r="AM441" s="247" t="str">
        <f t="shared" si="258"/>
        <v/>
      </c>
      <c r="AN441" s="247" t="str">
        <f t="shared" si="259"/>
        <v/>
      </c>
      <c r="AO441" s="247" t="str">
        <f t="shared" si="260"/>
        <v/>
      </c>
      <c r="AP441" s="247" t="str">
        <f t="shared" si="261"/>
        <v/>
      </c>
      <c r="AQ441" s="42">
        <f t="shared" si="281"/>
        <v>1</v>
      </c>
      <c r="AR441" s="42">
        <f t="shared" si="282"/>
        <v>1</v>
      </c>
      <c r="AS441" s="42">
        <f t="shared" si="283"/>
        <v>1</v>
      </c>
      <c r="AT441" s="42">
        <f t="shared" si="284"/>
        <v>1</v>
      </c>
      <c r="AU441" s="247" t="str">
        <f t="shared" si="262"/>
        <v/>
      </c>
      <c r="AV441" s="247" t="str">
        <f t="shared" si="263"/>
        <v/>
      </c>
    </row>
    <row r="442" spans="1:48" ht="24" x14ac:dyDescent="0.2">
      <c r="A442" s="428" t="s">
        <v>481</v>
      </c>
      <c r="B442" s="429" t="s">
        <v>4599</v>
      </c>
      <c r="C442" s="430" t="s">
        <v>2786</v>
      </c>
      <c r="D442" s="1349" t="s">
        <v>1873</v>
      </c>
      <c r="E442" s="1350" t="s">
        <v>5043</v>
      </c>
      <c r="F442" s="1350" t="s">
        <v>1879</v>
      </c>
      <c r="G442" s="1351" t="s">
        <v>5440</v>
      </c>
      <c r="H442" s="1342" t="s">
        <v>1554</v>
      </c>
      <c r="I442" s="432" t="s">
        <v>1534</v>
      </c>
      <c r="J442" s="431" t="s">
        <v>1880</v>
      </c>
      <c r="K442" s="431"/>
      <c r="L442" s="431"/>
      <c r="M442" s="433"/>
      <c r="N442" s="434"/>
      <c r="O442" s="1743" t="str">
        <f>VLOOKUP(B442,code_famille_scénario,2)&amp;VLOOKUP(C442,code_actif,2)&amp;", "&amp;VLOOKUP(J442,Code_lieu,2)&amp;", due "&amp;VLOOKUP(I442,code_event,2)</f>
        <v>Endommagement accidentel de système hôte de services du réseau local, dans les locaux de l'exploitation, due à un dégât des eaux</v>
      </c>
      <c r="P442" s="435">
        <v>1</v>
      </c>
      <c r="Q442" s="1595" t="s">
        <v>1431</v>
      </c>
      <c r="R442" s="1595" t="s">
        <v>1873</v>
      </c>
      <c r="S442" s="1595" t="str">
        <f>Classif!C22</f>
        <v/>
      </c>
      <c r="T442" s="1595">
        <f t="shared" si="276"/>
        <v>3</v>
      </c>
      <c r="U442" s="1744" t="str">
        <f t="shared" si="277"/>
        <v/>
      </c>
      <c r="V442" s="1745">
        <v>1</v>
      </c>
      <c r="W442" s="1745">
        <f>S03C01</f>
        <v>1</v>
      </c>
      <c r="X442" s="1745">
        <v>1</v>
      </c>
      <c r="Y442" s="1745">
        <f>MAX(S05A02,S05A06,MIN(S01E01,S01E02))</f>
        <v>1</v>
      </c>
      <c r="Z442" s="1746">
        <v>0</v>
      </c>
      <c r="AA442" s="1747"/>
      <c r="AB442" s="1748"/>
      <c r="AC442" s="1748"/>
      <c r="AD442" s="1595" t="str">
        <f t="shared" si="264"/>
        <v/>
      </c>
      <c r="AE442" s="1595">
        <f t="shared" si="279"/>
        <v>3</v>
      </c>
      <c r="AF442" s="1595" t="str">
        <f t="shared" si="280"/>
        <v/>
      </c>
      <c r="AG442" s="1748"/>
      <c r="AH442" s="1749" t="str">
        <f t="shared" si="265"/>
        <v/>
      </c>
      <c r="AI442" s="1620"/>
      <c r="AJ442" s="1616" t="s">
        <v>5220</v>
      </c>
      <c r="AK442" s="1616"/>
      <c r="AL442" s="1617" t="s">
        <v>2262</v>
      </c>
      <c r="AM442" s="247" t="str">
        <f t="shared" si="258"/>
        <v/>
      </c>
      <c r="AN442" s="247" t="str">
        <f t="shared" si="259"/>
        <v/>
      </c>
      <c r="AO442" s="247" t="str">
        <f t="shared" si="260"/>
        <v/>
      </c>
      <c r="AP442" s="247" t="str">
        <f t="shared" si="261"/>
        <v/>
      </c>
      <c r="AQ442" s="42">
        <f t="shared" si="281"/>
        <v>1</v>
      </c>
      <c r="AR442" s="42">
        <f t="shared" si="282"/>
        <v>1</v>
      </c>
      <c r="AS442" s="42">
        <f t="shared" si="283"/>
        <v>1</v>
      </c>
      <c r="AT442" s="42">
        <f t="shared" si="284"/>
        <v>1</v>
      </c>
      <c r="AU442" s="247" t="str">
        <f t="shared" si="262"/>
        <v/>
      </c>
      <c r="AV442" s="247" t="str">
        <f t="shared" si="263"/>
        <v/>
      </c>
    </row>
    <row r="443" spans="1:48" ht="24" x14ac:dyDescent="0.2">
      <c r="A443" s="428" t="s">
        <v>482</v>
      </c>
      <c r="B443" s="429" t="s">
        <v>4599</v>
      </c>
      <c r="C443" s="430" t="s">
        <v>2786</v>
      </c>
      <c r="D443" s="1349" t="s">
        <v>1873</v>
      </c>
      <c r="E443" s="1350" t="s">
        <v>5043</v>
      </c>
      <c r="F443" s="1350" t="s">
        <v>1879</v>
      </c>
      <c r="G443" s="1351" t="s">
        <v>5440</v>
      </c>
      <c r="H443" s="1342" t="s">
        <v>1554</v>
      </c>
      <c r="I443" s="432" t="s">
        <v>1537</v>
      </c>
      <c r="J443" s="431" t="s">
        <v>1880</v>
      </c>
      <c r="K443" s="431"/>
      <c r="L443" s="431"/>
      <c r="M443" s="433"/>
      <c r="N443" s="434"/>
      <c r="O443" s="1743" t="str">
        <f>VLOOKUP(B443,code_famille_scénario,2)&amp;VLOOKUP(C443,code_actif,2)&amp;", "&amp;VLOOKUP(J443,Code_lieu,2)&amp;", due "&amp;VLOOKUP(I443,code_event,2)</f>
        <v>Endommagement accidentel de système hôte de services du réseau local, dans les locaux de l'exploitation, due à une surcharge électrique</v>
      </c>
      <c r="P443" s="435">
        <v>1</v>
      </c>
      <c r="Q443" s="1595" t="s">
        <v>1431</v>
      </c>
      <c r="R443" s="1595" t="s">
        <v>1873</v>
      </c>
      <c r="S443" s="1595" t="str">
        <f>Classif!C22</f>
        <v/>
      </c>
      <c r="T443" s="1595">
        <f t="shared" si="276"/>
        <v>2</v>
      </c>
      <c r="U443" s="1744" t="str">
        <f t="shared" si="277"/>
        <v/>
      </c>
      <c r="V443" s="1745">
        <v>1</v>
      </c>
      <c r="W443" s="1745">
        <f>MIN(S03A01,S03A04)</f>
        <v>1</v>
      </c>
      <c r="X443" s="1745">
        <v>1</v>
      </c>
      <c r="Y443" s="1745">
        <f>MAX(S05A02,S05A06,MIN(S01E01,S01E02))</f>
        <v>1</v>
      </c>
      <c r="Z443" s="1746">
        <v>0</v>
      </c>
      <c r="AA443" s="1747"/>
      <c r="AB443" s="1748"/>
      <c r="AC443" s="1748"/>
      <c r="AD443" s="1595" t="str">
        <f t="shared" si="264"/>
        <v/>
      </c>
      <c r="AE443" s="1595">
        <f t="shared" si="279"/>
        <v>2</v>
      </c>
      <c r="AF443" s="1595" t="str">
        <f t="shared" si="280"/>
        <v/>
      </c>
      <c r="AG443" s="1748"/>
      <c r="AH443" s="1749" t="str">
        <f t="shared" si="265"/>
        <v/>
      </c>
      <c r="AI443" s="1615"/>
      <c r="AJ443" s="1616" t="s">
        <v>5252</v>
      </c>
      <c r="AK443" s="1616"/>
      <c r="AL443" s="1617" t="s">
        <v>2262</v>
      </c>
      <c r="AM443" s="247" t="str">
        <f t="shared" si="258"/>
        <v/>
      </c>
      <c r="AN443" s="247" t="str">
        <f t="shared" si="259"/>
        <v/>
      </c>
      <c r="AO443" s="247" t="str">
        <f t="shared" si="260"/>
        <v/>
      </c>
      <c r="AP443" s="247" t="str">
        <f t="shared" si="261"/>
        <v/>
      </c>
      <c r="AQ443" s="42">
        <f t="shared" si="281"/>
        <v>1</v>
      </c>
      <c r="AR443" s="42">
        <f t="shared" si="282"/>
        <v>1</v>
      </c>
      <c r="AS443" s="42">
        <f t="shared" si="283"/>
        <v>1</v>
      </c>
      <c r="AT443" s="42">
        <f t="shared" si="284"/>
        <v>1</v>
      </c>
      <c r="AU443" s="247" t="str">
        <f t="shared" si="262"/>
        <v/>
      </c>
      <c r="AV443" s="247" t="str">
        <f t="shared" si="263"/>
        <v/>
      </c>
    </row>
    <row r="444" spans="1:48" ht="36" x14ac:dyDescent="0.2">
      <c r="A444" s="428" t="s">
        <v>483</v>
      </c>
      <c r="B444" s="429" t="s">
        <v>4600</v>
      </c>
      <c r="C444" s="430" t="s">
        <v>2786</v>
      </c>
      <c r="D444" s="1349" t="s">
        <v>1873</v>
      </c>
      <c r="E444" s="1350" t="s">
        <v>5043</v>
      </c>
      <c r="F444" s="1350" t="s">
        <v>1875</v>
      </c>
      <c r="G444" s="1351" t="s">
        <v>5439</v>
      </c>
      <c r="H444" s="1342" t="s">
        <v>3919</v>
      </c>
      <c r="I444" s="432" t="s">
        <v>4329</v>
      </c>
      <c r="J444" s="431" t="s">
        <v>1880</v>
      </c>
      <c r="K444" s="431"/>
      <c r="L444" s="431"/>
      <c r="M444" s="433"/>
      <c r="N444" s="434"/>
      <c r="O444" s="1743" t="str">
        <f>VLOOKUP(B444,code_famille_scénario,2)&amp;VLOOKUP(C444,code_actif,2)&amp;", "&amp;VLOOKUP(J444,Code_lieu,2)&amp;", due "&amp;VLOOKUP(I444,code_event,2)</f>
        <v>Indisponibilité de longue durée, destruction ou perte accidentelles de système hôte de services du réseau local, dans les locaux de l'exploitation, due à un foudroiement</v>
      </c>
      <c r="P444" s="435">
        <v>1</v>
      </c>
      <c r="Q444" s="1595" t="s">
        <v>1431</v>
      </c>
      <c r="R444" s="1595" t="s">
        <v>1873</v>
      </c>
      <c r="S444" s="1595" t="str">
        <f>Classif!C22</f>
        <v/>
      </c>
      <c r="T444" s="1595">
        <f t="shared" si="276"/>
        <v>2</v>
      </c>
      <c r="U444" s="1744" t="str">
        <f t="shared" si="277"/>
        <v/>
      </c>
      <c r="V444" s="1745">
        <v>1</v>
      </c>
      <c r="W444" s="1745">
        <f>S03A05</f>
        <v>1</v>
      </c>
      <c r="X444" s="1745">
        <v>1</v>
      </c>
      <c r="Y444" s="1745">
        <f>S05A06</f>
        <v>1</v>
      </c>
      <c r="Z444" s="1746">
        <v>0</v>
      </c>
      <c r="AA444" s="1747"/>
      <c r="AB444" s="1748"/>
      <c r="AC444" s="1748"/>
      <c r="AD444" s="1595" t="str">
        <f t="shared" si="264"/>
        <v/>
      </c>
      <c r="AE444" s="1595">
        <f t="shared" si="279"/>
        <v>2</v>
      </c>
      <c r="AF444" s="1595" t="str">
        <f t="shared" si="280"/>
        <v/>
      </c>
      <c r="AG444" s="1748"/>
      <c r="AH444" s="1749" t="str">
        <f t="shared" si="265"/>
        <v/>
      </c>
      <c r="AI444" s="1620"/>
      <c r="AJ444" s="1616" t="s">
        <v>2343</v>
      </c>
      <c r="AK444" s="1616"/>
      <c r="AL444" s="1617" t="s">
        <v>6481</v>
      </c>
      <c r="AM444" s="247" t="str">
        <f t="shared" si="258"/>
        <v/>
      </c>
      <c r="AN444" s="247" t="str">
        <f t="shared" si="259"/>
        <v/>
      </c>
      <c r="AO444" s="247" t="str">
        <f t="shared" si="260"/>
        <v/>
      </c>
      <c r="AP444" s="247" t="str">
        <f t="shared" si="261"/>
        <v/>
      </c>
      <c r="AQ444" s="42">
        <f t="shared" si="281"/>
        <v>1</v>
      </c>
      <c r="AR444" s="42">
        <f t="shared" si="282"/>
        <v>1</v>
      </c>
      <c r="AS444" s="42">
        <f t="shared" si="283"/>
        <v>1</v>
      </c>
      <c r="AT444" s="42">
        <f t="shared" si="284"/>
        <v>1</v>
      </c>
      <c r="AU444" s="247" t="str">
        <f t="shared" si="262"/>
        <v/>
      </c>
      <c r="AV444" s="247" t="str">
        <f t="shared" si="263"/>
        <v/>
      </c>
    </row>
    <row r="445" spans="1:48" ht="36" x14ac:dyDescent="0.2">
      <c r="A445" s="428" t="s">
        <v>484</v>
      </c>
      <c r="B445" s="429" t="s">
        <v>4600</v>
      </c>
      <c r="C445" s="430" t="s">
        <v>2786</v>
      </c>
      <c r="D445" s="1349" t="s">
        <v>1873</v>
      </c>
      <c r="E445" s="1350" t="s">
        <v>5043</v>
      </c>
      <c r="F445" s="1350" t="s">
        <v>1875</v>
      </c>
      <c r="G445" s="1351" t="s">
        <v>5439</v>
      </c>
      <c r="H445" s="1342" t="s">
        <v>3919</v>
      </c>
      <c r="I445" s="432" t="s">
        <v>1535</v>
      </c>
      <c r="J445" s="431" t="s">
        <v>1880</v>
      </c>
      <c r="K445" s="431"/>
      <c r="L445" s="431"/>
      <c r="M445" s="433"/>
      <c r="N445" s="434"/>
      <c r="O445" s="1743" t="str">
        <f>VLOOKUP(B445,code_famille_scénario,2)&amp;VLOOKUP(C445,code_actif,2)&amp;", "&amp;VLOOKUP(J445,Code_lieu,2)&amp;", due "&amp;VLOOKUP(I445,code_event,2)</f>
        <v>Indisponibilité de longue durée, destruction ou perte accidentelles de système hôte de services du réseau local, dans les locaux de l'exploitation, due à un incendie</v>
      </c>
      <c r="P445" s="435">
        <v>1</v>
      </c>
      <c r="Q445" s="1595" t="s">
        <v>1431</v>
      </c>
      <c r="R445" s="1595" t="s">
        <v>1873</v>
      </c>
      <c r="S445" s="1595" t="str">
        <f>Classif!C22</f>
        <v/>
      </c>
      <c r="T445" s="1595">
        <f t="shared" si="276"/>
        <v>2</v>
      </c>
      <c r="U445" s="1744" t="str">
        <f t="shared" si="277"/>
        <v/>
      </c>
      <c r="V445" s="1745">
        <v>1</v>
      </c>
      <c r="W445" s="1745">
        <f>S03D01</f>
        <v>1</v>
      </c>
      <c r="X445" s="1745">
        <f>MIN(S03D02,S03D03)</f>
        <v>1</v>
      </c>
      <c r="Y445" s="1745">
        <f>S05A06</f>
        <v>1</v>
      </c>
      <c r="Z445" s="1746">
        <v>1</v>
      </c>
      <c r="AA445" s="1747"/>
      <c r="AB445" s="1748"/>
      <c r="AC445" s="1748"/>
      <c r="AD445" s="1595" t="str">
        <f t="shared" si="264"/>
        <v/>
      </c>
      <c r="AE445" s="1595">
        <f t="shared" si="279"/>
        <v>2</v>
      </c>
      <c r="AF445" s="1595" t="str">
        <f t="shared" si="280"/>
        <v/>
      </c>
      <c r="AG445" s="1748"/>
      <c r="AH445" s="1749" t="str">
        <f t="shared" si="265"/>
        <v/>
      </c>
      <c r="AI445" s="1620"/>
      <c r="AJ445" s="1616" t="s">
        <v>5225</v>
      </c>
      <c r="AK445" s="1616" t="s">
        <v>1052</v>
      </c>
      <c r="AL445" s="1617" t="s">
        <v>6481</v>
      </c>
      <c r="AM445" s="247" t="str">
        <f t="shared" si="258"/>
        <v/>
      </c>
      <c r="AN445" s="247" t="str">
        <f t="shared" si="259"/>
        <v/>
      </c>
      <c r="AO445" s="247" t="str">
        <f t="shared" si="260"/>
        <v/>
      </c>
      <c r="AP445" s="247" t="str">
        <f t="shared" si="261"/>
        <v/>
      </c>
      <c r="AQ445" s="42">
        <f t="shared" si="281"/>
        <v>1</v>
      </c>
      <c r="AR445" s="42">
        <f t="shared" si="282"/>
        <v>1</v>
      </c>
      <c r="AS445" s="42">
        <f t="shared" si="283"/>
        <v>1</v>
      </c>
      <c r="AT445" s="42">
        <f t="shared" si="284"/>
        <v>1</v>
      </c>
      <c r="AU445" s="247" t="str">
        <f t="shared" si="262"/>
        <v/>
      </c>
      <c r="AV445" s="247" t="str">
        <f t="shared" si="263"/>
        <v/>
      </c>
    </row>
    <row r="446" spans="1:48" ht="36" x14ac:dyDescent="0.2">
      <c r="A446" s="428" t="s">
        <v>485</v>
      </c>
      <c r="B446" s="429" t="s">
        <v>4600</v>
      </c>
      <c r="C446" s="430" t="s">
        <v>2786</v>
      </c>
      <c r="D446" s="1349" t="s">
        <v>1873</v>
      </c>
      <c r="E446" s="1350" t="s">
        <v>5043</v>
      </c>
      <c r="F446" s="1350" t="s">
        <v>1875</v>
      </c>
      <c r="G446" s="1351" t="s">
        <v>5439</v>
      </c>
      <c r="H446" s="1342" t="s">
        <v>3919</v>
      </c>
      <c r="I446" s="432" t="s">
        <v>1536</v>
      </c>
      <c r="J446" s="431" t="s">
        <v>1880</v>
      </c>
      <c r="K446" s="431"/>
      <c r="L446" s="431"/>
      <c r="M446" s="433"/>
      <c r="N446" s="434"/>
      <c r="O446" s="1743" t="str">
        <f>VLOOKUP(B446,code_famille_scénario,2)&amp;VLOOKUP(C446,code_actif,2)&amp;", "&amp;VLOOKUP(J446,Code_lieu,2)&amp;", due "&amp;VLOOKUP(I446,code_event,2)</f>
        <v>Indisponibilité de longue durée, destruction ou perte accidentelles de système hôte de services du réseau local, dans les locaux de l'exploitation, due à une inondation</v>
      </c>
      <c r="P446" s="435">
        <v>1</v>
      </c>
      <c r="Q446" s="1595" t="s">
        <v>1431</v>
      </c>
      <c r="R446" s="1595" t="s">
        <v>1873</v>
      </c>
      <c r="S446" s="1595" t="str">
        <f>Classif!C22</f>
        <v/>
      </c>
      <c r="T446" s="1595">
        <f t="shared" si="276"/>
        <v>2</v>
      </c>
      <c r="U446" s="1744" t="str">
        <f t="shared" si="277"/>
        <v/>
      </c>
      <c r="V446" s="1745">
        <v>1</v>
      </c>
      <c r="W446" s="1745">
        <f>S03C01</f>
        <v>1</v>
      </c>
      <c r="X446" s="1745">
        <f>MIN(S03C02,S03C03)</f>
        <v>1</v>
      </c>
      <c r="Y446" s="1745">
        <f>S05A06</f>
        <v>1</v>
      </c>
      <c r="Z446" s="1746">
        <v>1</v>
      </c>
      <c r="AA446" s="1747"/>
      <c r="AB446" s="1748"/>
      <c r="AC446" s="1748"/>
      <c r="AD446" s="1595" t="str">
        <f t="shared" si="264"/>
        <v/>
      </c>
      <c r="AE446" s="1595">
        <f t="shared" si="279"/>
        <v>2</v>
      </c>
      <c r="AF446" s="1595" t="str">
        <f t="shared" si="280"/>
        <v/>
      </c>
      <c r="AG446" s="1748"/>
      <c r="AH446" s="1749" t="str">
        <f t="shared" si="265"/>
        <v/>
      </c>
      <c r="AI446" s="1620"/>
      <c r="AJ446" s="1616" t="s">
        <v>5220</v>
      </c>
      <c r="AK446" s="1616" t="s">
        <v>1054</v>
      </c>
      <c r="AL446" s="1617" t="s">
        <v>6481</v>
      </c>
      <c r="AM446" s="247" t="str">
        <f t="shared" si="258"/>
        <v/>
      </c>
      <c r="AN446" s="247" t="str">
        <f t="shared" si="259"/>
        <v/>
      </c>
      <c r="AO446" s="247" t="str">
        <f t="shared" si="260"/>
        <v/>
      </c>
      <c r="AP446" s="247" t="str">
        <f t="shared" si="261"/>
        <v/>
      </c>
      <c r="AQ446" s="42">
        <f t="shared" si="281"/>
        <v>1</v>
      </c>
      <c r="AR446" s="42">
        <f t="shared" si="282"/>
        <v>1</v>
      </c>
      <c r="AS446" s="42">
        <f t="shared" si="283"/>
        <v>1</v>
      </c>
      <c r="AT446" s="42">
        <f t="shared" si="284"/>
        <v>1</v>
      </c>
      <c r="AU446" s="247" t="str">
        <f t="shared" si="262"/>
        <v/>
      </c>
      <c r="AV446" s="247" t="str">
        <f t="shared" si="263"/>
        <v/>
      </c>
    </row>
    <row r="447" spans="1:48" ht="24" x14ac:dyDescent="0.2">
      <c r="A447" s="428" t="s">
        <v>486</v>
      </c>
      <c r="B447" s="429" t="s">
        <v>4257</v>
      </c>
      <c r="C447" s="430" t="s">
        <v>2786</v>
      </c>
      <c r="D447" s="1349" t="s">
        <v>1873</v>
      </c>
      <c r="E447" s="1350" t="s">
        <v>5043</v>
      </c>
      <c r="F447" s="1350" t="s">
        <v>1503</v>
      </c>
      <c r="G447" s="1351" t="s">
        <v>5440</v>
      </c>
      <c r="H447" s="1342" t="s">
        <v>3920</v>
      </c>
      <c r="I447" s="432" t="s">
        <v>3526</v>
      </c>
      <c r="J447" s="431"/>
      <c r="K447" s="431"/>
      <c r="L447" s="431"/>
      <c r="M447" s="433"/>
      <c r="N447" s="434"/>
      <c r="O447" s="1743" t="str">
        <f>VLOOKUP(B447,code_famille_scénario,2)&amp;VLOOKUP(C447,code_actif,2)&amp;", due "&amp;VLOOKUP(I447,code_event,2)</f>
        <v>Indisponibilité temporaire accidentelle de système hôte de services du réseau local, due à une panne d'équipement</v>
      </c>
      <c r="P447" s="435">
        <v>1</v>
      </c>
      <c r="Q447" s="1595" t="s">
        <v>1431</v>
      </c>
      <c r="R447" s="1595" t="s">
        <v>1873</v>
      </c>
      <c r="S447" s="1595" t="str">
        <f>Classif!C22</f>
        <v/>
      </c>
      <c r="T447" s="1595">
        <f t="shared" si="276"/>
        <v>3</v>
      </c>
      <c r="U447" s="1744" t="str">
        <f t="shared" si="277"/>
        <v/>
      </c>
      <c r="V447" s="1745">
        <v>1</v>
      </c>
      <c r="W447" s="1745">
        <v>1</v>
      </c>
      <c r="X447" s="1745">
        <v>1</v>
      </c>
      <c r="Y447" s="1745">
        <f>MAX(S05A02,S05A03)</f>
        <v>1</v>
      </c>
      <c r="Z447" s="1746">
        <v>0</v>
      </c>
      <c r="AA447" s="1747"/>
      <c r="AB447" s="1748"/>
      <c r="AC447" s="1748"/>
      <c r="AD447" s="1595" t="str">
        <f t="shared" si="264"/>
        <v/>
      </c>
      <c r="AE447" s="1595">
        <f t="shared" si="279"/>
        <v>3</v>
      </c>
      <c r="AF447" s="1595" t="str">
        <f t="shared" si="280"/>
        <v/>
      </c>
      <c r="AG447" s="1748"/>
      <c r="AH447" s="1749" t="str">
        <f t="shared" si="265"/>
        <v/>
      </c>
      <c r="AI447" s="1620"/>
      <c r="AJ447" s="1616"/>
      <c r="AK447" s="1616"/>
      <c r="AL447" s="1617" t="s">
        <v>2261</v>
      </c>
      <c r="AM447" s="247" t="str">
        <f t="shared" si="258"/>
        <v/>
      </c>
      <c r="AN447" s="247" t="str">
        <f t="shared" si="259"/>
        <v/>
      </c>
      <c r="AO447" s="247" t="str">
        <f t="shared" si="260"/>
        <v/>
      </c>
      <c r="AP447" s="247" t="str">
        <f t="shared" si="261"/>
        <v/>
      </c>
      <c r="AQ447" s="42">
        <f t="shared" si="281"/>
        <v>1</v>
      </c>
      <c r="AR447" s="42">
        <f t="shared" si="282"/>
        <v>1</v>
      </c>
      <c r="AS447" s="42">
        <f t="shared" si="283"/>
        <v>1</v>
      </c>
      <c r="AT447" s="42">
        <f t="shared" si="284"/>
        <v>1</v>
      </c>
      <c r="AU447" s="247" t="str">
        <f t="shared" si="262"/>
        <v/>
      </c>
      <c r="AV447" s="247" t="str">
        <f t="shared" si="263"/>
        <v/>
      </c>
    </row>
    <row r="448" spans="1:48" ht="24" x14ac:dyDescent="0.2">
      <c r="A448" s="428" t="s">
        <v>487</v>
      </c>
      <c r="B448" s="429" t="s">
        <v>4257</v>
      </c>
      <c r="C448" s="430" t="s">
        <v>2786</v>
      </c>
      <c r="D448" s="1349" t="s">
        <v>1873</v>
      </c>
      <c r="E448" s="1350" t="s">
        <v>5927</v>
      </c>
      <c r="F448" s="1350" t="s">
        <v>1503</v>
      </c>
      <c r="G448" s="1351" t="s">
        <v>5440</v>
      </c>
      <c r="H448" s="1342" t="s">
        <v>3920</v>
      </c>
      <c r="I448" s="432" t="s">
        <v>4295</v>
      </c>
      <c r="J448" s="431"/>
      <c r="K448" s="431"/>
      <c r="L448" s="431"/>
      <c r="M448" s="433"/>
      <c r="N448" s="434"/>
      <c r="O448" s="1743" t="str">
        <f>VLOOKUP(B448,code_famille_scénario,2)&amp;VLOOKUP(C448,code_actif,2)&amp;", due "&amp;VLOOKUP(I448,code_event,2)</f>
        <v>Indisponibilité temporaire accidentelle de système hôte de services du réseau local, due à une défaillance ou à une indisponibilité de moyens de servitude</v>
      </c>
      <c r="P448" s="435">
        <v>1</v>
      </c>
      <c r="Q448" s="1595" t="s">
        <v>1431</v>
      </c>
      <c r="R448" s="1595" t="s">
        <v>1873</v>
      </c>
      <c r="S448" s="1595" t="str">
        <f>Classif!C22</f>
        <v/>
      </c>
      <c r="T448" s="1595">
        <f t="shared" si="276"/>
        <v>3</v>
      </c>
      <c r="U448" s="1744" t="str">
        <f t="shared" si="277"/>
        <v/>
      </c>
      <c r="V448" s="1745">
        <v>1</v>
      </c>
      <c r="W448" s="1745">
        <v>1</v>
      </c>
      <c r="X448" s="1745">
        <v>1</v>
      </c>
      <c r="Y448" s="1745">
        <f>S03A06</f>
        <v>1</v>
      </c>
      <c r="Z448" s="1746">
        <v>0</v>
      </c>
      <c r="AA448" s="1747"/>
      <c r="AB448" s="1748"/>
      <c r="AC448" s="1748"/>
      <c r="AD448" s="1595" t="str">
        <f t="shared" si="264"/>
        <v/>
      </c>
      <c r="AE448" s="1595">
        <f t="shared" si="279"/>
        <v>3</v>
      </c>
      <c r="AF448" s="1595" t="str">
        <f t="shared" si="280"/>
        <v/>
      </c>
      <c r="AG448" s="1748"/>
      <c r="AH448" s="1749" t="str">
        <f t="shared" si="265"/>
        <v/>
      </c>
      <c r="AI448" s="1620"/>
      <c r="AJ448" s="1616"/>
      <c r="AK448" s="1616"/>
      <c r="AL448" s="1617" t="s">
        <v>1055</v>
      </c>
      <c r="AM448" s="247" t="str">
        <f t="shared" si="258"/>
        <v/>
      </c>
      <c r="AN448" s="247" t="str">
        <f t="shared" si="259"/>
        <v/>
      </c>
      <c r="AO448" s="247" t="str">
        <f t="shared" si="260"/>
        <v/>
      </c>
      <c r="AP448" s="247" t="str">
        <f t="shared" si="261"/>
        <v/>
      </c>
      <c r="AQ448" s="42">
        <f t="shared" si="281"/>
        <v>1</v>
      </c>
      <c r="AR448" s="42">
        <f t="shared" si="282"/>
        <v>1</v>
      </c>
      <c r="AS448" s="42">
        <f t="shared" si="283"/>
        <v>1</v>
      </c>
      <c r="AT448" s="42">
        <f t="shared" si="284"/>
        <v>1</v>
      </c>
      <c r="AU448" s="247" t="str">
        <f t="shared" si="262"/>
        <v/>
      </c>
      <c r="AV448" s="247" t="str">
        <f t="shared" si="263"/>
        <v/>
      </c>
    </row>
    <row r="449" spans="1:48" ht="24" x14ac:dyDescent="0.2">
      <c r="A449" s="428" t="s">
        <v>488</v>
      </c>
      <c r="B449" s="429" t="s">
        <v>4257</v>
      </c>
      <c r="C449" s="430" t="s">
        <v>2786</v>
      </c>
      <c r="D449" s="1349" t="s">
        <v>1873</v>
      </c>
      <c r="E449" s="1350" t="s">
        <v>5927</v>
      </c>
      <c r="F449" s="1350" t="s">
        <v>1503</v>
      </c>
      <c r="G449" s="1351" t="s">
        <v>5440</v>
      </c>
      <c r="H449" s="1342" t="s">
        <v>1474</v>
      </c>
      <c r="I449" s="432" t="s">
        <v>1541</v>
      </c>
      <c r="J449" s="431"/>
      <c r="K449" s="431"/>
      <c r="L449" s="431"/>
      <c r="M449" s="433"/>
      <c r="N449" s="434"/>
      <c r="O449" s="1743" t="str">
        <f>VLOOKUP(B449,code_famille_scénario,2)&amp;VLOOKUP(C449,code_actif,2)&amp;", due "&amp;VLOOKUP(I449,code_event,2)</f>
        <v>Indisponibilité temporaire accidentelle de système hôte de services du réseau local, due à un manque d'alimentation en énergie (défaut externe)</v>
      </c>
      <c r="P449" s="435">
        <v>1</v>
      </c>
      <c r="Q449" s="1595" t="s">
        <v>1431</v>
      </c>
      <c r="R449" s="1595" t="s">
        <v>1873</v>
      </c>
      <c r="S449" s="1595" t="str">
        <f>Classif!C22</f>
        <v/>
      </c>
      <c r="T449" s="1595">
        <f t="shared" si="276"/>
        <v>3</v>
      </c>
      <c r="U449" s="1744" t="str">
        <f t="shared" si="277"/>
        <v/>
      </c>
      <c r="V449" s="1745">
        <v>1</v>
      </c>
      <c r="W449" s="1745">
        <v>1</v>
      </c>
      <c r="X449" s="1745">
        <v>1</v>
      </c>
      <c r="Y449" s="1745">
        <f>S03A02</f>
        <v>1</v>
      </c>
      <c r="Z449" s="1746">
        <v>0</v>
      </c>
      <c r="AA449" s="1747"/>
      <c r="AB449" s="1748"/>
      <c r="AC449" s="1748"/>
      <c r="AD449" s="1595" t="str">
        <f t="shared" si="264"/>
        <v/>
      </c>
      <c r="AE449" s="1595">
        <f t="shared" si="279"/>
        <v>3</v>
      </c>
      <c r="AF449" s="1595" t="str">
        <f t="shared" si="280"/>
        <v/>
      </c>
      <c r="AG449" s="1748"/>
      <c r="AH449" s="1749" t="str">
        <f t="shared" si="265"/>
        <v/>
      </c>
      <c r="AI449" s="1620"/>
      <c r="AJ449" s="1618"/>
      <c r="AK449" s="1616"/>
      <c r="AL449" s="1617" t="s">
        <v>6388</v>
      </c>
      <c r="AM449" s="247" t="str">
        <f t="shared" si="258"/>
        <v/>
      </c>
      <c r="AN449" s="247" t="str">
        <f t="shared" si="259"/>
        <v/>
      </c>
      <c r="AO449" s="247" t="str">
        <f t="shared" si="260"/>
        <v/>
      </c>
      <c r="AP449" s="247" t="str">
        <f t="shared" si="261"/>
        <v/>
      </c>
      <c r="AQ449" s="42">
        <f t="shared" si="281"/>
        <v>1</v>
      </c>
      <c r="AR449" s="42">
        <f t="shared" si="282"/>
        <v>1</v>
      </c>
      <c r="AS449" s="42">
        <f t="shared" si="283"/>
        <v>1</v>
      </c>
      <c r="AT449" s="42">
        <f t="shared" si="284"/>
        <v>1</v>
      </c>
      <c r="AU449" s="247" t="str">
        <f t="shared" si="262"/>
        <v/>
      </c>
      <c r="AV449" s="247" t="str">
        <f t="shared" si="263"/>
        <v/>
      </c>
    </row>
    <row r="450" spans="1:48" ht="36" x14ac:dyDescent="0.2">
      <c r="A450" s="428" t="s">
        <v>489</v>
      </c>
      <c r="B450" s="429" t="s">
        <v>2902</v>
      </c>
      <c r="C450" s="430" t="s">
        <v>2786</v>
      </c>
      <c r="D450" s="1349" t="s">
        <v>1873</v>
      </c>
      <c r="E450" s="1350" t="s">
        <v>5043</v>
      </c>
      <c r="F450" s="1350" t="s">
        <v>1879</v>
      </c>
      <c r="G450" s="1351" t="s">
        <v>5440</v>
      </c>
      <c r="H450" s="1342" t="s">
        <v>1329</v>
      </c>
      <c r="I450" s="432" t="s">
        <v>1552</v>
      </c>
      <c r="J450" s="431" t="s">
        <v>1880</v>
      </c>
      <c r="K450" s="431"/>
      <c r="L450" s="431"/>
      <c r="M450" s="433"/>
      <c r="N450" s="434" t="s">
        <v>4816</v>
      </c>
      <c r="O450" s="1743" t="str">
        <f>VLOOKUP(B450,code_famille_scénario,2)&amp;VLOOKUP(C450,code_actif,2)&amp;", due "&amp;VLOOKUP(I450,code_event,2)&amp;", "&amp;VLOOKUP(J450,Code_lieu,2)&amp;", par "&amp;VLOOKUP(N450,code_acteur,2)</f>
        <v>Endommagement malveillant de système hôte de services du réseau local, due à du vandalisme, dans les locaux de l'exploitation, par un membre  du personnel autorisé</v>
      </c>
      <c r="P450" s="435">
        <v>1</v>
      </c>
      <c r="Q450" s="1595" t="s">
        <v>1299</v>
      </c>
      <c r="R450" s="1595" t="s">
        <v>1873</v>
      </c>
      <c r="S450" s="1595" t="str">
        <f>Classif!C22</f>
        <v/>
      </c>
      <c r="T450" s="1595">
        <f t="shared" si="276"/>
        <v>2</v>
      </c>
      <c r="U450" s="1744" t="str">
        <f t="shared" si="277"/>
        <v/>
      </c>
      <c r="V450" s="1745">
        <f>S03B06</f>
        <v>1</v>
      </c>
      <c r="W450" s="1745">
        <f>MIN(S03B01,S03B02,S03B03)</f>
        <v>1</v>
      </c>
      <c r="X450" s="1745">
        <f>S03B04</f>
        <v>1</v>
      </c>
      <c r="Y450" s="1745">
        <f>S05A03</f>
        <v>1</v>
      </c>
      <c r="Z450" s="1746">
        <v>1</v>
      </c>
      <c r="AA450" s="1747"/>
      <c r="AB450" s="1748"/>
      <c r="AC450" s="1748"/>
      <c r="AD450" s="1595" t="str">
        <f t="shared" si="264"/>
        <v/>
      </c>
      <c r="AE450" s="1595">
        <f t="shared" si="279"/>
        <v>2</v>
      </c>
      <c r="AF450" s="1595" t="str">
        <f t="shared" si="280"/>
        <v/>
      </c>
      <c r="AG450" s="1748"/>
      <c r="AH450" s="1749" t="str">
        <f t="shared" si="265"/>
        <v/>
      </c>
      <c r="AI450" s="1620" t="s">
        <v>1665</v>
      </c>
      <c r="AJ450" s="1616" t="s">
        <v>1053</v>
      </c>
      <c r="AK450" s="1616" t="s">
        <v>3254</v>
      </c>
      <c r="AL450" s="1617" t="s">
        <v>6470</v>
      </c>
      <c r="AM450" s="247" t="str">
        <f t="shared" si="258"/>
        <v/>
      </c>
      <c r="AN450" s="247" t="str">
        <f t="shared" si="259"/>
        <v/>
      </c>
      <c r="AO450" s="247" t="str">
        <f t="shared" si="260"/>
        <v/>
      </c>
      <c r="AP450" s="247" t="str">
        <f t="shared" si="261"/>
        <v/>
      </c>
      <c r="AQ450" s="42">
        <f t="shared" si="281"/>
        <v>1</v>
      </c>
      <c r="AR450" s="42">
        <f t="shared" si="282"/>
        <v>1</v>
      </c>
      <c r="AS450" s="42">
        <f t="shared" si="283"/>
        <v>1</v>
      </c>
      <c r="AT450" s="42">
        <f t="shared" si="284"/>
        <v>1</v>
      </c>
      <c r="AU450" s="247" t="str">
        <f t="shared" si="262"/>
        <v/>
      </c>
      <c r="AV450" s="247" t="str">
        <f t="shared" si="263"/>
        <v/>
      </c>
    </row>
    <row r="451" spans="1:48" ht="36" x14ac:dyDescent="0.2">
      <c r="A451" s="428" t="s">
        <v>490</v>
      </c>
      <c r="B451" s="429" t="s">
        <v>2902</v>
      </c>
      <c r="C451" s="430" t="s">
        <v>2786</v>
      </c>
      <c r="D451" s="1349" t="s">
        <v>1873</v>
      </c>
      <c r="E451" s="1350" t="s">
        <v>5043</v>
      </c>
      <c r="F451" s="1350" t="s">
        <v>1879</v>
      </c>
      <c r="G451" s="1351" t="s">
        <v>5440</v>
      </c>
      <c r="H451" s="1342" t="s">
        <v>1329</v>
      </c>
      <c r="I451" s="432" t="s">
        <v>1552</v>
      </c>
      <c r="J451" s="431" t="s">
        <v>1880</v>
      </c>
      <c r="K451" s="431"/>
      <c r="L451" s="431"/>
      <c r="M451" s="433"/>
      <c r="N451" s="434" t="s">
        <v>3518</v>
      </c>
      <c r="O451" s="1743" t="str">
        <f>VLOOKUP(B451,code_famille_scénario,2)&amp;VLOOKUP(C451,code_actif,2)&amp;", due "&amp;VLOOKUP(I451,code_event,2)&amp;", "&amp;VLOOKUP(J451,Code_lieu,2)&amp;", par "&amp;VLOOKUP(N451,code_acteur,2)</f>
        <v>Endommagement malveillant de système hôte de services du réseau local, due à du vandalisme, dans les locaux de l'exploitation, par un membre du personnel non autorisé</v>
      </c>
      <c r="P451" s="435">
        <v>1</v>
      </c>
      <c r="Q451" s="1595" t="s">
        <v>1299</v>
      </c>
      <c r="R451" s="1595" t="s">
        <v>1873</v>
      </c>
      <c r="S451" s="1595" t="str">
        <f>Classif!C22</f>
        <v/>
      </c>
      <c r="T451" s="1595">
        <f t="shared" si="276"/>
        <v>2</v>
      </c>
      <c r="U451" s="1744" t="str">
        <f t="shared" si="277"/>
        <v/>
      </c>
      <c r="V451" s="1745">
        <v>1</v>
      </c>
      <c r="W451" s="1745">
        <f>MIN(S03B03,S03B04,S03B06)</f>
        <v>1</v>
      </c>
      <c r="X451" s="1745">
        <v>1</v>
      </c>
      <c r="Y451" s="1745">
        <f>S05A03</f>
        <v>1</v>
      </c>
      <c r="Z451" s="1746">
        <v>0</v>
      </c>
      <c r="AA451" s="1747"/>
      <c r="AB451" s="1748"/>
      <c r="AC451" s="1748"/>
      <c r="AD451" s="1595" t="str">
        <f t="shared" si="264"/>
        <v/>
      </c>
      <c r="AE451" s="1595">
        <f t="shared" si="279"/>
        <v>2</v>
      </c>
      <c r="AF451" s="1595" t="str">
        <f t="shared" si="280"/>
        <v/>
      </c>
      <c r="AG451" s="1748"/>
      <c r="AH451" s="1749" t="str">
        <f t="shared" si="265"/>
        <v/>
      </c>
      <c r="AI451" s="1615"/>
      <c r="AJ451" s="1616" t="s">
        <v>1412</v>
      </c>
      <c r="AK451" s="1618"/>
      <c r="AL451" s="1617" t="s">
        <v>6470</v>
      </c>
      <c r="AM451" s="247" t="str">
        <f t="shared" si="258"/>
        <v/>
      </c>
      <c r="AN451" s="247" t="str">
        <f t="shared" si="259"/>
        <v/>
      </c>
      <c r="AO451" s="247" t="str">
        <f t="shared" si="260"/>
        <v/>
      </c>
      <c r="AP451" s="247" t="str">
        <f t="shared" si="261"/>
        <v/>
      </c>
      <c r="AQ451" s="42">
        <f t="shared" si="281"/>
        <v>1</v>
      </c>
      <c r="AR451" s="42">
        <f t="shared" si="282"/>
        <v>1</v>
      </c>
      <c r="AS451" s="42">
        <f t="shared" si="283"/>
        <v>1</v>
      </c>
      <c r="AT451" s="42">
        <f t="shared" si="284"/>
        <v>1</v>
      </c>
      <c r="AU451" s="247" t="str">
        <f t="shared" si="262"/>
        <v/>
      </c>
      <c r="AV451" s="247" t="str">
        <f t="shared" si="263"/>
        <v/>
      </c>
    </row>
    <row r="452" spans="1:48" ht="24" x14ac:dyDescent="0.2">
      <c r="A452" s="428" t="s">
        <v>491</v>
      </c>
      <c r="B452" s="429" t="s">
        <v>2902</v>
      </c>
      <c r="C452" s="430" t="s">
        <v>2786</v>
      </c>
      <c r="D452" s="1349" t="s">
        <v>1873</v>
      </c>
      <c r="E452" s="1350" t="s">
        <v>5043</v>
      </c>
      <c r="F452" s="1350" t="s">
        <v>1879</v>
      </c>
      <c r="G452" s="1351" t="s">
        <v>5440</v>
      </c>
      <c r="H452" s="1342" t="s">
        <v>1329</v>
      </c>
      <c r="I452" s="432" t="s">
        <v>1552</v>
      </c>
      <c r="J452" s="431"/>
      <c r="K452" s="431"/>
      <c r="L452" s="431"/>
      <c r="M452" s="433"/>
      <c r="N452" s="434" t="s">
        <v>1521</v>
      </c>
      <c r="O452" s="1743" t="str">
        <f>VLOOKUP(B452,code_famille_scénario,2)&amp;VLOOKUP(C452,code_actif,2)&amp;", due "&amp;VLOOKUP(I452,code_event,2)&amp;", par "&amp;VLOOKUP(N452,code_acteur,2)</f>
        <v>Endommagement malveillant de système hôte de services du réseau local, due à du vandalisme, par des vandales ou des terroristes agissant depuis l'extérieur</v>
      </c>
      <c r="P452" s="435">
        <v>1</v>
      </c>
      <c r="Q452" s="1595" t="s">
        <v>1299</v>
      </c>
      <c r="R452" s="1595" t="s">
        <v>1873</v>
      </c>
      <c r="S452" s="1595" t="str">
        <f>Classif!C22</f>
        <v/>
      </c>
      <c r="T452" s="1595">
        <f t="shared" si="276"/>
        <v>2</v>
      </c>
      <c r="U452" s="1744" t="str">
        <f t="shared" si="277"/>
        <v/>
      </c>
      <c r="V452" s="1745">
        <v>1</v>
      </c>
      <c r="W452" s="1745">
        <v>1</v>
      </c>
      <c r="X452" s="1745">
        <v>1</v>
      </c>
      <c r="Y452" s="1745">
        <f>S05A03</f>
        <v>1</v>
      </c>
      <c r="Z452" s="1746">
        <v>0</v>
      </c>
      <c r="AA452" s="1747"/>
      <c r="AB452" s="1748"/>
      <c r="AC452" s="1748"/>
      <c r="AD452" s="1595" t="str">
        <f t="shared" si="264"/>
        <v/>
      </c>
      <c r="AE452" s="1595">
        <f t="shared" si="279"/>
        <v>2</v>
      </c>
      <c r="AF452" s="1595" t="str">
        <f t="shared" si="280"/>
        <v/>
      </c>
      <c r="AG452" s="1748"/>
      <c r="AH452" s="1749" t="str">
        <f t="shared" si="265"/>
        <v/>
      </c>
      <c r="AI452" s="1620"/>
      <c r="AJ452" s="1616"/>
      <c r="AK452" s="1616"/>
      <c r="AL452" s="1617" t="s">
        <v>6470</v>
      </c>
      <c r="AM452" s="247" t="str">
        <f t="shared" si="258"/>
        <v/>
      </c>
      <c r="AN452" s="247" t="str">
        <f t="shared" si="259"/>
        <v/>
      </c>
      <c r="AO452" s="247" t="str">
        <f t="shared" si="260"/>
        <v/>
      </c>
      <c r="AP452" s="247" t="str">
        <f t="shared" si="261"/>
        <v/>
      </c>
      <c r="AQ452" s="42">
        <f t="shared" si="281"/>
        <v>1</v>
      </c>
      <c r="AR452" s="42">
        <f t="shared" si="282"/>
        <v>1</v>
      </c>
      <c r="AS452" s="42">
        <f t="shared" si="283"/>
        <v>1</v>
      </c>
      <c r="AT452" s="42">
        <f t="shared" si="284"/>
        <v>1</v>
      </c>
      <c r="AU452" s="247" t="str">
        <f t="shared" si="262"/>
        <v/>
      </c>
      <c r="AV452" s="247" t="str">
        <f t="shared" si="263"/>
        <v/>
      </c>
    </row>
    <row r="453" spans="1:48" ht="36" x14ac:dyDescent="0.2">
      <c r="A453" s="428" t="s">
        <v>492</v>
      </c>
      <c r="B453" s="429" t="s">
        <v>2902</v>
      </c>
      <c r="C453" s="430" t="s">
        <v>2786</v>
      </c>
      <c r="D453" s="1349" t="s">
        <v>1873</v>
      </c>
      <c r="E453" s="1350" t="s">
        <v>5043</v>
      </c>
      <c r="F453" s="1350" t="s">
        <v>1879</v>
      </c>
      <c r="G453" s="1351" t="s">
        <v>5440</v>
      </c>
      <c r="H453" s="1342" t="s">
        <v>1329</v>
      </c>
      <c r="I453" s="432" t="s">
        <v>1552</v>
      </c>
      <c r="J453" s="431"/>
      <c r="K453" s="431"/>
      <c r="L453" s="431"/>
      <c r="M453" s="433"/>
      <c r="N453" s="434" t="s">
        <v>1522</v>
      </c>
      <c r="O453" s="1743" t="str">
        <f>VLOOKUP(B453,code_famille_scénario,2)&amp;VLOOKUP(C453,code_actif,2)&amp;", due "&amp;VLOOKUP(I453,code_event,2)&amp;", par "&amp;VLOOKUP(N453,code_acteur,2)</f>
        <v>Endommagement malveillant de système hôte de services du réseau local, due à du vandalisme, par des vandales ou des terroristes agissant depuis l'intérieur (après intrusion)</v>
      </c>
      <c r="P453" s="435">
        <v>1</v>
      </c>
      <c r="Q453" s="1595" t="s">
        <v>1299</v>
      </c>
      <c r="R453" s="1595" t="s">
        <v>1873</v>
      </c>
      <c r="S453" s="1595" t="str">
        <f>Classif!C22</f>
        <v/>
      </c>
      <c r="T453" s="1595">
        <f t="shared" si="276"/>
        <v>2</v>
      </c>
      <c r="U453" s="1744" t="str">
        <f t="shared" si="277"/>
        <v/>
      </c>
      <c r="V453" s="1745">
        <v>1</v>
      </c>
      <c r="W453" s="1745">
        <f>MIN(S02A01,S02A02,S02A03,S02A05)</f>
        <v>1</v>
      </c>
      <c r="X453" s="1745">
        <f>S02A04</f>
        <v>1</v>
      </c>
      <c r="Y453" s="1745">
        <f>S05A03</f>
        <v>1</v>
      </c>
      <c r="Z453" s="1746">
        <v>0</v>
      </c>
      <c r="AA453" s="1747"/>
      <c r="AB453" s="1748"/>
      <c r="AC453" s="1748"/>
      <c r="AD453" s="1595" t="str">
        <f t="shared" si="264"/>
        <v/>
      </c>
      <c r="AE453" s="1595">
        <f t="shared" si="279"/>
        <v>2</v>
      </c>
      <c r="AF453" s="1595" t="str">
        <f t="shared" si="280"/>
        <v/>
      </c>
      <c r="AG453" s="1748"/>
      <c r="AH453" s="1749" t="str">
        <f t="shared" si="265"/>
        <v/>
      </c>
      <c r="AI453" s="1620"/>
      <c r="AJ453" s="1616" t="s">
        <v>1518</v>
      </c>
      <c r="AK453" s="1616" t="s">
        <v>6400</v>
      </c>
      <c r="AL453" s="1617" t="s">
        <v>6470</v>
      </c>
      <c r="AM453" s="247" t="str">
        <f t="shared" si="258"/>
        <v/>
      </c>
      <c r="AN453" s="247" t="str">
        <f t="shared" si="259"/>
        <v/>
      </c>
      <c r="AO453" s="247" t="str">
        <f t="shared" si="260"/>
        <v/>
      </c>
      <c r="AP453" s="247" t="str">
        <f t="shared" si="261"/>
        <v/>
      </c>
      <c r="AQ453" s="42">
        <f t="shared" si="281"/>
        <v>1</v>
      </c>
      <c r="AR453" s="42">
        <f t="shared" si="282"/>
        <v>1</v>
      </c>
      <c r="AS453" s="42">
        <f t="shared" si="283"/>
        <v>1</v>
      </c>
      <c r="AT453" s="42">
        <f t="shared" si="284"/>
        <v>1</v>
      </c>
      <c r="AU453" s="247" t="str">
        <f t="shared" si="262"/>
        <v/>
      </c>
      <c r="AV453" s="247" t="str">
        <f t="shared" si="263"/>
        <v/>
      </c>
    </row>
    <row r="454" spans="1:48" ht="24" x14ac:dyDescent="0.2">
      <c r="A454" s="428" t="s">
        <v>493</v>
      </c>
      <c r="B454" s="429" t="s">
        <v>2870</v>
      </c>
      <c r="C454" s="430" t="s">
        <v>2786</v>
      </c>
      <c r="D454" s="1349" t="s">
        <v>1873</v>
      </c>
      <c r="E454" s="1350" t="s">
        <v>5043</v>
      </c>
      <c r="F454" s="1350" t="s">
        <v>1875</v>
      </c>
      <c r="G454" s="1351" t="s">
        <v>5439</v>
      </c>
      <c r="H454" s="1342" t="s">
        <v>1329</v>
      </c>
      <c r="I454" s="432" t="s">
        <v>1551</v>
      </c>
      <c r="J454" s="431"/>
      <c r="K454" s="431"/>
      <c r="L454" s="431"/>
      <c r="M454" s="433"/>
      <c r="N454" s="434" t="s">
        <v>1521</v>
      </c>
      <c r="O454" s="1743" t="str">
        <f>VLOOKUP(B454,code_famille_scénario,2)&amp;VLOOKUP(C454,code_actif,2)&amp;", due "&amp;VLOOKUP(I454,code_event,2)&amp;", par "&amp;VLOOKUP(N454,code_acteur,2)</f>
        <v>Destruction malveillante de système hôte de services du réseau local, due à un acte terroriste, par des vandales ou des terroristes agissant depuis l'extérieur</v>
      </c>
      <c r="P454" s="435">
        <v>1</v>
      </c>
      <c r="Q454" s="1595" t="s">
        <v>1299</v>
      </c>
      <c r="R454" s="1595" t="s">
        <v>1873</v>
      </c>
      <c r="S454" s="1595" t="str">
        <f>Classif!C22</f>
        <v/>
      </c>
      <c r="T454" s="1595">
        <f t="shared" si="276"/>
        <v>2</v>
      </c>
      <c r="U454" s="1744" t="str">
        <f t="shared" si="277"/>
        <v/>
      </c>
      <c r="V454" s="1745">
        <v>1</v>
      </c>
      <c r="W454" s="1745">
        <v>1</v>
      </c>
      <c r="X454" s="1745">
        <v>1</v>
      </c>
      <c r="Y454" s="1745">
        <f>S05A06</f>
        <v>1</v>
      </c>
      <c r="Z454" s="1746">
        <v>0</v>
      </c>
      <c r="AA454" s="1747"/>
      <c r="AB454" s="1748"/>
      <c r="AC454" s="1748"/>
      <c r="AD454" s="1595" t="str">
        <f t="shared" si="264"/>
        <v/>
      </c>
      <c r="AE454" s="1595">
        <f t="shared" si="279"/>
        <v>2</v>
      </c>
      <c r="AF454" s="1595" t="str">
        <f t="shared" si="280"/>
        <v/>
      </c>
      <c r="AG454" s="1748"/>
      <c r="AH454" s="1749" t="str">
        <f t="shared" si="265"/>
        <v/>
      </c>
      <c r="AI454" s="1620"/>
      <c r="AJ454" s="1616"/>
      <c r="AK454" s="1616"/>
      <c r="AL454" s="1617" t="s">
        <v>6481</v>
      </c>
      <c r="AM454" s="247" t="str">
        <f t="shared" ref="AM454:AM517" si="286">IF($AH454=1,$H454&amp;"."&amp;$I454&amp;$AH454,"")</f>
        <v/>
      </c>
      <c r="AN454" s="247" t="str">
        <f t="shared" ref="AN454:AN517" si="287">IF($AH454=2,$H454&amp;"."&amp;$I454&amp;$AH454,"")</f>
        <v/>
      </c>
      <c r="AO454" s="247" t="str">
        <f t="shared" ref="AO454:AO517" si="288">IF($AH454=3,$H454&amp;"."&amp;$I454&amp;$AH454,"")</f>
        <v/>
      </c>
      <c r="AP454" s="247" t="str">
        <f t="shared" ref="AP454:AP517" si="289">IF($AH454=4,$H454&amp;"."&amp;$I454&amp;$AH454,"")</f>
        <v/>
      </c>
      <c r="AQ454" s="42">
        <f t="shared" si="281"/>
        <v>1</v>
      </c>
      <c r="AR454" s="42">
        <f t="shared" si="282"/>
        <v>1</v>
      </c>
      <c r="AS454" s="42">
        <f t="shared" si="283"/>
        <v>1</v>
      </c>
      <c r="AT454" s="42">
        <f t="shared" si="284"/>
        <v>1</v>
      </c>
      <c r="AU454" s="247" t="str">
        <f t="shared" ref="AU454:AU517" si="290">IF(S454="","",IF(T454="","",10*S454+T454))</f>
        <v/>
      </c>
      <c r="AV454" s="247" t="str">
        <f t="shared" ref="AV454:AV517" si="291">IF(AD454="","",IF(AE454="","",10*AD454+AE454))</f>
        <v/>
      </c>
    </row>
    <row r="455" spans="1:48" ht="36" x14ac:dyDescent="0.2">
      <c r="A455" s="428" t="s">
        <v>494</v>
      </c>
      <c r="B455" s="429" t="s">
        <v>5658</v>
      </c>
      <c r="C455" s="430" t="s">
        <v>2786</v>
      </c>
      <c r="D455" s="1349" t="s">
        <v>1873</v>
      </c>
      <c r="E455" s="1350" t="s">
        <v>5043</v>
      </c>
      <c r="F455" s="1350" t="s">
        <v>1503</v>
      </c>
      <c r="G455" s="1351" t="s">
        <v>5440</v>
      </c>
      <c r="H455" s="1342" t="s">
        <v>1328</v>
      </c>
      <c r="I455" s="432" t="s">
        <v>122</v>
      </c>
      <c r="J455" s="431"/>
      <c r="K455" s="431"/>
      <c r="L455" s="431"/>
      <c r="M455" s="433"/>
      <c r="N455" s="434" t="s">
        <v>6403</v>
      </c>
      <c r="O455" s="1743" t="str">
        <f>VLOOKUP(B455,code_famille_scénario,2)&amp;VLOOKUP(C455,code_actif,2)&amp;",  "&amp;VLOOKUP(I455,code_event,2)&amp;", par "&amp;VLOOKUP(N455,code_acteur,2)</f>
        <v>Mise hors service malveillante de services du réseau local,  par effacement ou polllution massive de la configuration du système hôte, par un membre du personnel d'exploitation</v>
      </c>
      <c r="P455" s="435">
        <v>1</v>
      </c>
      <c r="Q455" s="1595" t="s">
        <v>1299</v>
      </c>
      <c r="R455" s="1595" t="s">
        <v>1873</v>
      </c>
      <c r="S455" s="1595" t="str">
        <f>Classif!C22</f>
        <v/>
      </c>
      <c r="T455" s="1595">
        <f t="shared" si="276"/>
        <v>2</v>
      </c>
      <c r="U455" s="1744" t="str">
        <f t="shared" si="277"/>
        <v/>
      </c>
      <c r="V455" s="1745">
        <f>MIN(S06C02,S06C03)</f>
        <v>1</v>
      </c>
      <c r="W455" s="1745">
        <v>1</v>
      </c>
      <c r="X455" s="1745">
        <v>1</v>
      </c>
      <c r="Y455" s="1745">
        <f>S05A05</f>
        <v>1</v>
      </c>
      <c r="Z455" s="1746">
        <v>0</v>
      </c>
      <c r="AA455" s="1747"/>
      <c r="AB455" s="1748"/>
      <c r="AC455" s="1748"/>
      <c r="AD455" s="1595" t="str">
        <f t="shared" ref="AD455:AD518" si="292">IF(OR(R455="",S455=""),"",IF(R455="D",INDEX(base_i,IF(IF(AA455="",Z455,AA455)=0,4,5-X455),Y455+7*(S455-1)),IF(R455="I",INDEX(base_i,IF(IF(AA455="",Z455,AA455)=0,15,16-X455),Y455+7*(S455-1)),IF(R455="C",INDEX(base_i,IF(IF(AA455="",Z455,AA455)=0,26,27-X455),Y455+7*(S455-1)),INDEX(base_i,38-X455,Y455+7*(S455-1))))))</f>
        <v/>
      </c>
      <c r="AE455" s="1595">
        <f t="shared" si="279"/>
        <v>2</v>
      </c>
      <c r="AF455" s="1595" t="str">
        <f t="shared" si="280"/>
        <v/>
      </c>
      <c r="AG455" s="1748"/>
      <c r="AH455" s="1749" t="str">
        <f t="shared" ref="AH455:AH518" si="293">IF(OR(AG455="A",AG455="a",AG455="T",AG455="t",AF455=""),"",AF455)</f>
        <v/>
      </c>
      <c r="AI455" s="1622" t="s">
        <v>5000</v>
      </c>
      <c r="AJ455" s="1616"/>
      <c r="AK455" s="1616"/>
      <c r="AL455" s="1617" t="s">
        <v>6472</v>
      </c>
      <c r="AM455" s="247" t="str">
        <f t="shared" si="286"/>
        <v/>
      </c>
      <c r="AN455" s="247" t="str">
        <f t="shared" si="287"/>
        <v/>
      </c>
      <c r="AO455" s="247" t="str">
        <f t="shared" si="288"/>
        <v/>
      </c>
      <c r="AP455" s="247" t="str">
        <f t="shared" si="289"/>
        <v/>
      </c>
      <c r="AQ455" s="42">
        <f t="shared" si="281"/>
        <v>1</v>
      </c>
      <c r="AR455" s="42">
        <f t="shared" si="282"/>
        <v>1</v>
      </c>
      <c r="AS455" s="42">
        <f t="shared" si="283"/>
        <v>1</v>
      </c>
      <c r="AT455" s="42">
        <f t="shared" si="284"/>
        <v>1</v>
      </c>
      <c r="AU455" s="247" t="str">
        <f t="shared" si="290"/>
        <v/>
      </c>
      <c r="AV455" s="247" t="str">
        <f t="shared" si="291"/>
        <v/>
      </c>
    </row>
    <row r="456" spans="1:48" ht="36" x14ac:dyDescent="0.2">
      <c r="A456" s="428" t="s">
        <v>495</v>
      </c>
      <c r="B456" s="429" t="s">
        <v>5658</v>
      </c>
      <c r="C456" s="430" t="s">
        <v>2786</v>
      </c>
      <c r="D456" s="1349" t="s">
        <v>1873</v>
      </c>
      <c r="E456" s="1350" t="s">
        <v>5043</v>
      </c>
      <c r="F456" s="1350" t="s">
        <v>1503</v>
      </c>
      <c r="G456" s="1351" t="s">
        <v>5440</v>
      </c>
      <c r="H456" s="1342" t="s">
        <v>1328</v>
      </c>
      <c r="I456" s="432" t="s">
        <v>122</v>
      </c>
      <c r="J456" s="431"/>
      <c r="K456" s="431"/>
      <c r="L456" s="431"/>
      <c r="M456" s="433"/>
      <c r="N456" s="434" t="s">
        <v>1299</v>
      </c>
      <c r="O456" s="1743" t="str">
        <f>VLOOKUP(B456,code_famille_scénario,2)&amp;VLOOKUP(C456,code_actif,2)&amp;",  "&amp;VLOOKUP(I456,code_event,2)&amp;", par "&amp;VLOOKUP(N456,code_acteur,2)</f>
        <v>Mise hors service malveillante de services du réseau local,  par effacement ou polllution massive de la configuration du système hôte, par un membre du personnel de maintenance</v>
      </c>
      <c r="P456" s="435">
        <v>1</v>
      </c>
      <c r="Q456" s="1595" t="s">
        <v>1299</v>
      </c>
      <c r="R456" s="1595" t="s">
        <v>1873</v>
      </c>
      <c r="S456" s="1595" t="str">
        <f>Classif!C22</f>
        <v/>
      </c>
      <c r="T456" s="1595">
        <f t="shared" si="276"/>
        <v>2</v>
      </c>
      <c r="U456" s="1744" t="str">
        <f t="shared" si="277"/>
        <v/>
      </c>
      <c r="V456" s="1745">
        <v>1</v>
      </c>
      <c r="W456" s="1745">
        <v>1</v>
      </c>
      <c r="X456" s="1745">
        <v>1</v>
      </c>
      <c r="Y456" s="1745">
        <f>S05A05</f>
        <v>1</v>
      </c>
      <c r="Z456" s="1746">
        <v>0</v>
      </c>
      <c r="AA456" s="1747"/>
      <c r="AB456" s="1748"/>
      <c r="AC456" s="1748"/>
      <c r="AD456" s="1595" t="str">
        <f t="shared" si="292"/>
        <v/>
      </c>
      <c r="AE456" s="1595">
        <f t="shared" si="279"/>
        <v>2</v>
      </c>
      <c r="AF456" s="1595" t="str">
        <f t="shared" si="280"/>
        <v/>
      </c>
      <c r="AG456" s="1748"/>
      <c r="AH456" s="1749" t="str">
        <f t="shared" si="293"/>
        <v/>
      </c>
      <c r="AI456" s="1620"/>
      <c r="AJ456" s="1616"/>
      <c r="AK456" s="1616"/>
      <c r="AL456" s="1617" t="s">
        <v>6472</v>
      </c>
      <c r="AM456" s="247" t="str">
        <f t="shared" si="286"/>
        <v/>
      </c>
      <c r="AN456" s="247" t="str">
        <f t="shared" si="287"/>
        <v/>
      </c>
      <c r="AO456" s="247" t="str">
        <f t="shared" si="288"/>
        <v/>
      </c>
      <c r="AP456" s="247" t="str">
        <f t="shared" si="289"/>
        <v/>
      </c>
      <c r="AQ456" s="42">
        <f t="shared" si="281"/>
        <v>1</v>
      </c>
      <c r="AR456" s="42">
        <f t="shared" si="282"/>
        <v>1</v>
      </c>
      <c r="AS456" s="42">
        <f t="shared" si="283"/>
        <v>1</v>
      </c>
      <c r="AT456" s="42">
        <f t="shared" si="284"/>
        <v>1</v>
      </c>
      <c r="AU456" s="247" t="str">
        <f t="shared" si="290"/>
        <v/>
      </c>
      <c r="AV456" s="247" t="str">
        <f t="shared" si="291"/>
        <v/>
      </c>
    </row>
    <row r="457" spans="1:48" ht="24" x14ac:dyDescent="0.2">
      <c r="A457" s="428" t="s">
        <v>496</v>
      </c>
      <c r="B457" s="429" t="s">
        <v>4213</v>
      </c>
      <c r="C457" s="430" t="s">
        <v>2786</v>
      </c>
      <c r="D457" s="1349" t="s">
        <v>1873</v>
      </c>
      <c r="E457" s="1350" t="s">
        <v>5043</v>
      </c>
      <c r="F457" s="1350" t="s">
        <v>1503</v>
      </c>
      <c r="G457" s="1351" t="s">
        <v>5440</v>
      </c>
      <c r="H457" s="1342" t="s">
        <v>1474</v>
      </c>
      <c r="I457" s="432" t="s">
        <v>5635</v>
      </c>
      <c r="J457" s="431"/>
      <c r="K457" s="431"/>
      <c r="L457" s="431"/>
      <c r="M457" s="433"/>
      <c r="N457" s="434"/>
      <c r="O457" s="1743" t="str">
        <f>VLOOKUP(B457,code_famille_scénario,2)&amp;VLOOKUP(C457,code_actif,2)&amp;", dû "&amp;VLOOKUP(I457,code_event,2)</f>
        <v>Arret de fonctionnement de services du réseau local, dû à une incapacité de la maintenance système (panne non réparable ou défaillance du partenaire)</v>
      </c>
      <c r="P457" s="435">
        <v>1</v>
      </c>
      <c r="Q457" s="1595" t="s">
        <v>1431</v>
      </c>
      <c r="R457" s="1595" t="s">
        <v>1873</v>
      </c>
      <c r="S457" s="1595" t="str">
        <f>Classif!C22</f>
        <v/>
      </c>
      <c r="T457" s="1595">
        <f t="shared" si="276"/>
        <v>2</v>
      </c>
      <c r="U457" s="1744" t="str">
        <f t="shared" si="277"/>
        <v/>
      </c>
      <c r="V457" s="1745">
        <v>1</v>
      </c>
      <c r="W457" s="1745">
        <v>1</v>
      </c>
      <c r="X457" s="1745">
        <v>1</v>
      </c>
      <c r="Y457" s="1745">
        <f>S05A07</f>
        <v>1</v>
      </c>
      <c r="Z457" s="1746">
        <v>0</v>
      </c>
      <c r="AA457" s="1747"/>
      <c r="AB457" s="1748"/>
      <c r="AC457" s="1748"/>
      <c r="AD457" s="1595" t="str">
        <f t="shared" si="292"/>
        <v/>
      </c>
      <c r="AE457" s="1595">
        <f t="shared" si="279"/>
        <v>2</v>
      </c>
      <c r="AF457" s="1595" t="str">
        <f t="shared" si="280"/>
        <v/>
      </c>
      <c r="AG457" s="1748"/>
      <c r="AH457" s="1749" t="str">
        <f t="shared" si="293"/>
        <v/>
      </c>
      <c r="AI457" s="1615"/>
      <c r="AJ457" s="1616"/>
      <c r="AK457" s="1616"/>
      <c r="AL457" s="1617" t="s">
        <v>6483</v>
      </c>
      <c r="AM457" s="247" t="str">
        <f t="shared" si="286"/>
        <v/>
      </c>
      <c r="AN457" s="247" t="str">
        <f t="shared" si="287"/>
        <v/>
      </c>
      <c r="AO457" s="247" t="str">
        <f t="shared" si="288"/>
        <v/>
      </c>
      <c r="AP457" s="247" t="str">
        <f t="shared" si="289"/>
        <v/>
      </c>
      <c r="AQ457" s="42">
        <f t="shared" si="281"/>
        <v>1</v>
      </c>
      <c r="AR457" s="42">
        <f t="shared" si="282"/>
        <v>1</v>
      </c>
      <c r="AS457" s="42">
        <f t="shared" si="283"/>
        <v>1</v>
      </c>
      <c r="AT457" s="42">
        <f t="shared" si="284"/>
        <v>1</v>
      </c>
      <c r="AU457" s="247" t="str">
        <f t="shared" si="290"/>
        <v/>
      </c>
      <c r="AV457" s="247" t="str">
        <f t="shared" si="291"/>
        <v/>
      </c>
    </row>
    <row r="458" spans="1:48" ht="24" x14ac:dyDescent="0.2">
      <c r="A458" s="428" t="s">
        <v>497</v>
      </c>
      <c r="B458" s="429" t="s">
        <v>4213</v>
      </c>
      <c r="C458" s="430" t="s">
        <v>2786</v>
      </c>
      <c r="D458" s="1349" t="s">
        <v>1873</v>
      </c>
      <c r="E458" s="1350" t="s">
        <v>5043</v>
      </c>
      <c r="F458" s="1350" t="s">
        <v>1503</v>
      </c>
      <c r="G458" s="1351" t="s">
        <v>6064</v>
      </c>
      <c r="H458" s="1342" t="s">
        <v>5964</v>
      </c>
      <c r="I458" s="432" t="s">
        <v>1544</v>
      </c>
      <c r="J458" s="431"/>
      <c r="K458" s="431"/>
      <c r="L458" s="431"/>
      <c r="M458" s="433"/>
      <c r="N458" s="434"/>
      <c r="O458" s="1743" t="str">
        <f>VLOOKUP(B458,code_famille_scénario,2)&amp;VLOOKUP(C458,code_actif,2)&amp;", dû "&amp;VLOOKUP(I458,code_event,2)</f>
        <v>Arret de fonctionnement de services du réseau local, dû à un conflit social avec le personnel d'exploitation</v>
      </c>
      <c r="P458" s="435">
        <v>1</v>
      </c>
      <c r="Q458" s="1595" t="s">
        <v>1431</v>
      </c>
      <c r="R458" s="1595" t="s">
        <v>1873</v>
      </c>
      <c r="S458" s="1595" t="str">
        <f>Classif!C22</f>
        <v/>
      </c>
      <c r="T458" s="1595">
        <f t="shared" si="276"/>
        <v>2</v>
      </c>
      <c r="U458" s="1744" t="str">
        <f t="shared" si="277"/>
        <v/>
      </c>
      <c r="V458" s="1745">
        <v>1</v>
      </c>
      <c r="W458" s="1745">
        <v>1</v>
      </c>
      <c r="X458" s="1745">
        <v>1</v>
      </c>
      <c r="Y458" s="1745">
        <f>MIN(S01E01,S01E02)</f>
        <v>1</v>
      </c>
      <c r="Z458" s="1746">
        <v>0</v>
      </c>
      <c r="AA458" s="1747"/>
      <c r="AB458" s="1748"/>
      <c r="AC458" s="1748"/>
      <c r="AD458" s="1595" t="str">
        <f t="shared" si="292"/>
        <v/>
      </c>
      <c r="AE458" s="1595">
        <f t="shared" si="279"/>
        <v>2</v>
      </c>
      <c r="AF458" s="1595" t="str">
        <f t="shared" si="280"/>
        <v/>
      </c>
      <c r="AG458" s="1748"/>
      <c r="AH458" s="1749" t="str">
        <f t="shared" si="293"/>
        <v/>
      </c>
      <c r="AI458" s="1620"/>
      <c r="AJ458" s="1616"/>
      <c r="AK458" s="1616"/>
      <c r="AL458" s="1617" t="s">
        <v>1519</v>
      </c>
      <c r="AM458" s="247" t="str">
        <f t="shared" si="286"/>
        <v/>
      </c>
      <c r="AN458" s="247" t="str">
        <f t="shared" si="287"/>
        <v/>
      </c>
      <c r="AO458" s="247" t="str">
        <f t="shared" si="288"/>
        <v/>
      </c>
      <c r="AP458" s="247" t="str">
        <f t="shared" si="289"/>
        <v/>
      </c>
      <c r="AQ458" s="42">
        <f t="shared" si="281"/>
        <v>1</v>
      </c>
      <c r="AR458" s="42">
        <f t="shared" si="282"/>
        <v>1</v>
      </c>
      <c r="AS458" s="42">
        <f t="shared" si="283"/>
        <v>1</v>
      </c>
      <c r="AT458" s="42">
        <f t="shared" si="284"/>
        <v>1</v>
      </c>
      <c r="AU458" s="247" t="str">
        <f t="shared" si="290"/>
        <v/>
      </c>
      <c r="AV458" s="247" t="str">
        <f t="shared" si="291"/>
        <v/>
      </c>
    </row>
    <row r="459" spans="1:48" ht="24" x14ac:dyDescent="0.2">
      <c r="A459" s="428" t="s">
        <v>498</v>
      </c>
      <c r="B459" s="429" t="s">
        <v>4213</v>
      </c>
      <c r="C459" s="430" t="s">
        <v>2786</v>
      </c>
      <c r="D459" s="1349" t="s">
        <v>1873</v>
      </c>
      <c r="E459" s="1350" t="s">
        <v>5043</v>
      </c>
      <c r="F459" s="1350" t="s">
        <v>1503</v>
      </c>
      <c r="G459" s="1351" t="s">
        <v>6064</v>
      </c>
      <c r="H459" s="1342" t="s">
        <v>5275</v>
      </c>
      <c r="I459" s="432" t="s">
        <v>4814</v>
      </c>
      <c r="J459" s="431"/>
      <c r="K459" s="431"/>
      <c r="L459" s="431"/>
      <c r="M459" s="433"/>
      <c r="N459" s="434"/>
      <c r="O459" s="1743" t="str">
        <f>VLOOKUP(B459,code_famille_scénario,2)&amp;VLOOKUP(C459,code_actif,2)&amp;", dû "&amp;VLOOKUP(I459,code_event,2)</f>
        <v xml:space="preserve">Arret de fonctionnement de services du réseau local, dû à une absence durable du personnel (interne) nécessaire </v>
      </c>
      <c r="P459" s="435">
        <v>1</v>
      </c>
      <c r="Q459" s="1595" t="s">
        <v>1431</v>
      </c>
      <c r="R459" s="1595" t="s">
        <v>1873</v>
      </c>
      <c r="S459" s="1595" t="str">
        <f>Classif!C22</f>
        <v/>
      </c>
      <c r="T459" s="1595">
        <f t="shared" si="276"/>
        <v>2</v>
      </c>
      <c r="U459" s="1744" t="str">
        <f t="shared" si="277"/>
        <v/>
      </c>
      <c r="V459" s="1745">
        <v>1</v>
      </c>
      <c r="W459" s="1745">
        <v>1</v>
      </c>
      <c r="X459" s="1745">
        <v>1</v>
      </c>
      <c r="Y459" s="1745">
        <f>S01C02</f>
        <v>1</v>
      </c>
      <c r="Z459" s="1746">
        <v>0</v>
      </c>
      <c r="AA459" s="1747"/>
      <c r="AB459" s="1748"/>
      <c r="AC459" s="1748"/>
      <c r="AD459" s="1595" t="str">
        <f t="shared" si="292"/>
        <v/>
      </c>
      <c r="AE459" s="1595">
        <f t="shared" si="279"/>
        <v>2</v>
      </c>
      <c r="AF459" s="1595" t="str">
        <f t="shared" si="280"/>
        <v/>
      </c>
      <c r="AG459" s="1748"/>
      <c r="AH459" s="1749" t="str">
        <f t="shared" si="293"/>
        <v/>
      </c>
      <c r="AI459" s="1615"/>
      <c r="AJ459" s="1621"/>
      <c r="AK459" s="1618"/>
      <c r="AL459" s="1617" t="s">
        <v>2536</v>
      </c>
      <c r="AM459" s="247" t="str">
        <f t="shared" si="286"/>
        <v/>
      </c>
      <c r="AN459" s="247" t="str">
        <f t="shared" si="287"/>
        <v/>
      </c>
      <c r="AO459" s="247" t="str">
        <f t="shared" si="288"/>
        <v/>
      </c>
      <c r="AP459" s="247" t="str">
        <f t="shared" si="289"/>
        <v/>
      </c>
      <c r="AQ459" s="42">
        <f t="shared" si="281"/>
        <v>1</v>
      </c>
      <c r="AR459" s="42">
        <f t="shared" si="282"/>
        <v>1</v>
      </c>
      <c r="AS459" s="42">
        <f t="shared" si="283"/>
        <v>1</v>
      </c>
      <c r="AT459" s="42">
        <f t="shared" si="284"/>
        <v>1</v>
      </c>
      <c r="AU459" s="247" t="str">
        <f t="shared" si="290"/>
        <v/>
      </c>
      <c r="AV459" s="247" t="str">
        <f t="shared" si="291"/>
        <v/>
      </c>
    </row>
    <row r="460" spans="1:48" ht="24" x14ac:dyDescent="0.2">
      <c r="A460" s="428" t="s">
        <v>499</v>
      </c>
      <c r="B460" s="429" t="s">
        <v>4213</v>
      </c>
      <c r="C460" s="430" t="s">
        <v>2786</v>
      </c>
      <c r="D460" s="1349" t="s">
        <v>1873</v>
      </c>
      <c r="E460" s="1350" t="s">
        <v>5043</v>
      </c>
      <c r="F460" s="1350" t="s">
        <v>1503</v>
      </c>
      <c r="G460" s="1351" t="s">
        <v>6064</v>
      </c>
      <c r="H460" s="1342" t="s">
        <v>5275</v>
      </c>
      <c r="I460" s="432" t="s">
        <v>3718</v>
      </c>
      <c r="J460" s="431"/>
      <c r="K460" s="431"/>
      <c r="L460" s="431"/>
      <c r="M460" s="433"/>
      <c r="N460" s="434"/>
      <c r="O460" s="1743" t="str">
        <f>VLOOKUP(B460,code_famille_scénario,2)&amp;VLOOKUP(C460,code_actif,2)&amp;", dû "&amp;VLOOKUP(I460,code_event,2)</f>
        <v xml:space="preserve">Arret de fonctionnement de services du réseau local, dû à une absence durable du personnel d'un prestataire </v>
      </c>
      <c r="P460" s="435">
        <v>1</v>
      </c>
      <c r="Q460" s="1595" t="s">
        <v>1431</v>
      </c>
      <c r="R460" s="1595" t="s">
        <v>1873</v>
      </c>
      <c r="S460" s="1595" t="str">
        <f>Classif!C22</f>
        <v/>
      </c>
      <c r="T460" s="1595">
        <f t="shared" si="276"/>
        <v>3</v>
      </c>
      <c r="U460" s="1744" t="str">
        <f t="shared" si="277"/>
        <v/>
      </c>
      <c r="V460" s="1745">
        <v>1</v>
      </c>
      <c r="W460" s="1745">
        <v>1</v>
      </c>
      <c r="X460" s="1745">
        <v>1</v>
      </c>
      <c r="Y460" s="1745">
        <f>S01C02</f>
        <v>1</v>
      </c>
      <c r="Z460" s="1746">
        <v>0</v>
      </c>
      <c r="AA460" s="1747"/>
      <c r="AB460" s="1748"/>
      <c r="AC460" s="1748"/>
      <c r="AD460" s="1595" t="str">
        <f t="shared" si="292"/>
        <v/>
      </c>
      <c r="AE460" s="1595">
        <f t="shared" si="279"/>
        <v>3</v>
      </c>
      <c r="AF460" s="1595" t="str">
        <f t="shared" si="280"/>
        <v/>
      </c>
      <c r="AG460" s="1748"/>
      <c r="AH460" s="1749" t="str">
        <f t="shared" si="293"/>
        <v/>
      </c>
      <c r="AI460" s="1615"/>
      <c r="AJ460" s="1621"/>
      <c r="AK460" s="1618"/>
      <c r="AL460" s="1617" t="s">
        <v>2536</v>
      </c>
      <c r="AM460" s="247" t="str">
        <f t="shared" si="286"/>
        <v/>
      </c>
      <c r="AN460" s="247" t="str">
        <f t="shared" si="287"/>
        <v/>
      </c>
      <c r="AO460" s="247" t="str">
        <f t="shared" si="288"/>
        <v/>
      </c>
      <c r="AP460" s="247" t="str">
        <f t="shared" si="289"/>
        <v/>
      </c>
      <c r="AQ460" s="42">
        <f t="shared" si="281"/>
        <v>1</v>
      </c>
      <c r="AR460" s="42">
        <f t="shared" si="282"/>
        <v>1</v>
      </c>
      <c r="AS460" s="42">
        <f t="shared" si="283"/>
        <v>1</v>
      </c>
      <c r="AT460" s="42">
        <f t="shared" si="284"/>
        <v>1</v>
      </c>
      <c r="AU460" s="247" t="str">
        <f t="shared" si="290"/>
        <v/>
      </c>
      <c r="AV460" s="247" t="str">
        <f t="shared" si="291"/>
        <v/>
      </c>
    </row>
    <row r="461" spans="1:48" x14ac:dyDescent="0.2">
      <c r="A461" s="428" t="s">
        <v>500</v>
      </c>
      <c r="B461" s="429" t="s">
        <v>4213</v>
      </c>
      <c r="C461" s="430" t="s">
        <v>2786</v>
      </c>
      <c r="D461" s="1349" t="s">
        <v>1873</v>
      </c>
      <c r="E461" s="1350" t="s">
        <v>2015</v>
      </c>
      <c r="F461" s="1350" t="s">
        <v>1602</v>
      </c>
      <c r="G461" s="1351" t="s">
        <v>5440</v>
      </c>
      <c r="H461" s="1342" t="s">
        <v>1465</v>
      </c>
      <c r="I461" s="432" t="s">
        <v>2016</v>
      </c>
      <c r="J461" s="431"/>
      <c r="K461" s="431"/>
      <c r="L461" s="431"/>
      <c r="M461" s="433"/>
      <c r="N461" s="434"/>
      <c r="O461" s="1743" t="str">
        <f>VLOOKUP(B461,code_famille_scénario,2)&amp;VLOOKUP(C461,code_actif,2)&amp;", dû "&amp;VLOOKUP(I461,code_event,2)</f>
        <v>Arret de fonctionnement de services du réseau local, dû à un ver</v>
      </c>
      <c r="P461" s="435">
        <v>1</v>
      </c>
      <c r="Q461" s="1595" t="s">
        <v>1431</v>
      </c>
      <c r="R461" s="1595" t="s">
        <v>1873</v>
      </c>
      <c r="S461" s="1595" t="str">
        <f>Classif!C22</f>
        <v/>
      </c>
      <c r="T461" s="1595">
        <f t="shared" si="276"/>
        <v>3</v>
      </c>
      <c r="U461" s="1744" t="str">
        <f t="shared" si="277"/>
        <v/>
      </c>
      <c r="V461" s="1745">
        <v>1</v>
      </c>
      <c r="W461" s="1745">
        <f>S05D01</f>
        <v>1</v>
      </c>
      <c r="X461" s="1745">
        <v>1</v>
      </c>
      <c r="Y461" s="1745">
        <f>S05A04</f>
        <v>1</v>
      </c>
      <c r="Z461" s="1746">
        <v>0</v>
      </c>
      <c r="AA461" s="1747"/>
      <c r="AB461" s="1748"/>
      <c r="AC461" s="1748"/>
      <c r="AD461" s="1595" t="str">
        <f t="shared" si="292"/>
        <v/>
      </c>
      <c r="AE461" s="1595">
        <f t="shared" si="279"/>
        <v>3</v>
      </c>
      <c r="AF461" s="1595" t="str">
        <f t="shared" si="280"/>
        <v/>
      </c>
      <c r="AG461" s="1748"/>
      <c r="AH461" s="1749" t="str">
        <f t="shared" si="293"/>
        <v/>
      </c>
      <c r="AI461" s="1615"/>
      <c r="AJ461" s="1621" t="s">
        <v>6438</v>
      </c>
      <c r="AK461" s="1618"/>
      <c r="AL461" s="1617" t="s">
        <v>2962</v>
      </c>
      <c r="AM461" s="247" t="str">
        <f t="shared" si="286"/>
        <v/>
      </c>
      <c r="AN461" s="247" t="str">
        <f t="shared" si="287"/>
        <v/>
      </c>
      <c r="AO461" s="247" t="str">
        <f t="shared" si="288"/>
        <v/>
      </c>
      <c r="AP461" s="247" t="str">
        <f t="shared" si="289"/>
        <v/>
      </c>
      <c r="AQ461" s="42">
        <f t="shared" si="281"/>
        <v>1</v>
      </c>
      <c r="AR461" s="42">
        <f t="shared" si="282"/>
        <v>1</v>
      </c>
      <c r="AS461" s="42">
        <f t="shared" si="283"/>
        <v>1</v>
      </c>
      <c r="AT461" s="42">
        <f t="shared" si="284"/>
        <v>1</v>
      </c>
      <c r="AU461" s="247" t="str">
        <f t="shared" si="290"/>
        <v/>
      </c>
      <c r="AV461" s="247" t="str">
        <f t="shared" si="291"/>
        <v/>
      </c>
    </row>
    <row r="462" spans="1:48" ht="15" x14ac:dyDescent="0.2">
      <c r="A462" s="456" t="s">
        <v>1330</v>
      </c>
      <c r="B462" s="457"/>
      <c r="C462" s="423" t="s">
        <v>1331</v>
      </c>
      <c r="D462" s="1356"/>
      <c r="E462" s="1357"/>
      <c r="F462" s="1357"/>
      <c r="G462" s="1360"/>
      <c r="H462" s="1345"/>
      <c r="I462" s="459"/>
      <c r="J462" s="458"/>
      <c r="K462" s="458"/>
      <c r="L462" s="458"/>
      <c r="M462" s="460"/>
      <c r="N462" s="461"/>
      <c r="O462" s="1761"/>
      <c r="P462" s="1608"/>
      <c r="Q462" s="1596"/>
      <c r="R462" s="1596"/>
      <c r="S462" s="1753"/>
      <c r="T462" s="1595"/>
      <c r="U462" s="1744"/>
      <c r="V462" s="1754"/>
      <c r="W462" s="1754"/>
      <c r="X462" s="1754"/>
      <c r="Y462" s="1754"/>
      <c r="Z462" s="1762"/>
      <c r="AA462" s="1763"/>
      <c r="AB462" s="1748"/>
      <c r="AC462" s="1748"/>
      <c r="AD462" s="1595"/>
      <c r="AE462" s="1753"/>
      <c r="AF462" s="1595"/>
      <c r="AG462" s="1748"/>
      <c r="AH462" s="1749"/>
      <c r="AI462" s="1627"/>
      <c r="AJ462" s="1628"/>
      <c r="AK462" s="1628"/>
      <c r="AL462" s="1629"/>
      <c r="AM462" s="247" t="str">
        <f t="shared" si="286"/>
        <v/>
      </c>
      <c r="AN462" s="247" t="str">
        <f t="shared" si="287"/>
        <v/>
      </c>
      <c r="AO462" s="247" t="str">
        <f t="shared" si="288"/>
        <v/>
      </c>
      <c r="AP462" s="247" t="str">
        <f t="shared" si="289"/>
        <v/>
      </c>
      <c r="AU462" s="247" t="str">
        <f t="shared" si="290"/>
        <v/>
      </c>
      <c r="AV462" s="247" t="str">
        <f t="shared" si="291"/>
        <v/>
      </c>
    </row>
    <row r="463" spans="1:48" ht="24" x14ac:dyDescent="0.2">
      <c r="A463" s="428" t="s">
        <v>501</v>
      </c>
      <c r="B463" s="429" t="s">
        <v>5621</v>
      </c>
      <c r="C463" s="430" t="s">
        <v>2787</v>
      </c>
      <c r="D463" s="1349" t="s">
        <v>1873</v>
      </c>
      <c r="E463" s="1350" t="s">
        <v>7450</v>
      </c>
      <c r="F463" s="1350" t="s">
        <v>2779</v>
      </c>
      <c r="G463" s="1351" t="s">
        <v>6068</v>
      </c>
      <c r="H463" s="1342" t="s">
        <v>1465</v>
      </c>
      <c r="I463" s="432" t="s">
        <v>1880</v>
      </c>
      <c r="J463" s="431" t="s">
        <v>1880</v>
      </c>
      <c r="K463" s="431"/>
      <c r="L463" s="431"/>
      <c r="M463" s="433"/>
      <c r="N463" s="434"/>
      <c r="O463" s="1743" t="str">
        <f>VLOOKUP(B463,code_famille_scénario,2)&amp;VLOOKUP(C463,code_actif,2)&amp;", suite "&amp;VLOOKUP(I463,code_event,2)</f>
        <v>Effacement accidentel de programmes de services applicatifs, suite à un incident d'exploitation</v>
      </c>
      <c r="P463" s="435">
        <v>1</v>
      </c>
      <c r="Q463" s="1595" t="s">
        <v>1431</v>
      </c>
      <c r="R463" s="1595" t="s">
        <v>1873</v>
      </c>
      <c r="S463" s="1595" t="str">
        <f>Classif!C23</f>
        <v/>
      </c>
      <c r="T463" s="1595">
        <f t="shared" ref="T463:T494" si="294">VLOOKUP(H463&amp;"."&amp;I463,Tab_event,4)</f>
        <v>3</v>
      </c>
      <c r="U463" s="1744" t="str">
        <f t="shared" ref="U463:U494" si="295">IF(AND(NOT(S463=""),NOT(T463="")),INDEX(base_g,5-S463,T463),"")</f>
        <v/>
      </c>
      <c r="V463" s="1745">
        <v>1</v>
      </c>
      <c r="W463" s="1745">
        <f>S08A03</f>
        <v>1</v>
      </c>
      <c r="X463" s="1745">
        <f>S08E03</f>
        <v>1</v>
      </c>
      <c r="Y463" s="1745">
        <f t="shared" ref="Y463:Y473" si="296">S08D04</f>
        <v>1</v>
      </c>
      <c r="Z463" s="1746">
        <v>0</v>
      </c>
      <c r="AA463" s="1747"/>
      <c r="AB463" s="1748"/>
      <c r="AC463" s="1748"/>
      <c r="AD463" s="1595" t="str">
        <f t="shared" si="292"/>
        <v/>
      </c>
      <c r="AE463" s="1595">
        <f t="shared" ref="AE463:AE494" si="297">IF(OR(Q463="",T463=""),"",IF(Q463="A",INDEX(base_p,4,W463+7*(T463-1)),IF(Q463="E",INDEX(base_p,15,W463+7*(T463-1)),INDEX(base_p,27-V463,W463+7*(T463-1)))))</f>
        <v>3</v>
      </c>
      <c r="AF463" s="1595" t="str">
        <f t="shared" ref="AF463:AF494" si="298">IF(AT463=1,IF(IndG=1,U463,IF(AND(OR(NOT(AD463=""),NOT(AB463="")),OR(NOT(AE463=""),NOT(AC463="")),AT463=1),INDEX(base_g,5-IF(AB463="",AD463,AB463),IF(AC463="",AE463,AC463)),"")),0)</f>
        <v/>
      </c>
      <c r="AG463" s="1748"/>
      <c r="AH463" s="1749" t="str">
        <f t="shared" si="293"/>
        <v/>
      </c>
      <c r="AI463" s="1615"/>
      <c r="AJ463" s="1616" t="s">
        <v>4324</v>
      </c>
      <c r="AK463" s="1616" t="s">
        <v>2532</v>
      </c>
      <c r="AL463" s="1617" t="s">
        <v>4954</v>
      </c>
      <c r="AM463" s="247" t="str">
        <f t="shared" si="286"/>
        <v/>
      </c>
      <c r="AN463" s="247" t="str">
        <f t="shared" si="287"/>
        <v/>
      </c>
      <c r="AO463" s="247" t="str">
        <f t="shared" si="288"/>
        <v/>
      </c>
      <c r="AP463" s="247" t="str">
        <f t="shared" si="289"/>
        <v/>
      </c>
      <c r="AQ463" s="42">
        <f t="shared" ref="AQ463:AQ494" si="299">VLOOKUP(LEFT(C463,3),Tab_classif_servIR,6)</f>
        <v>1</v>
      </c>
      <c r="AR463" s="42">
        <f t="shared" ref="AR463:AR494" si="300">VLOOKUP(G463,select_vul_serv,2)</f>
        <v>1</v>
      </c>
      <c r="AS463" s="42">
        <f t="shared" ref="AS463:AS494" si="301">VLOOKUP(H463&amp;"."&amp;I463,select_men,5)</f>
        <v>1</v>
      </c>
      <c r="AT463" s="42">
        <f t="shared" ref="AT463:AT494" si="302">P463*AQ463*AR463*AS463</f>
        <v>1</v>
      </c>
      <c r="AU463" s="247" t="str">
        <f t="shared" si="290"/>
        <v/>
      </c>
      <c r="AV463" s="247" t="str">
        <f t="shared" si="291"/>
        <v/>
      </c>
    </row>
    <row r="464" spans="1:48" ht="24" x14ac:dyDescent="0.2">
      <c r="A464" s="428" t="s">
        <v>502</v>
      </c>
      <c r="B464" s="429" t="s">
        <v>5625</v>
      </c>
      <c r="C464" s="430" t="s">
        <v>2787</v>
      </c>
      <c r="D464" s="1349" t="s">
        <v>1873</v>
      </c>
      <c r="E464" s="1350" t="s">
        <v>7450</v>
      </c>
      <c r="F464" s="1350" t="s">
        <v>2779</v>
      </c>
      <c r="G464" s="1351" t="s">
        <v>6068</v>
      </c>
      <c r="H464" s="1342" t="s">
        <v>1327</v>
      </c>
      <c r="I464" s="432" t="s">
        <v>1545</v>
      </c>
      <c r="J464" s="431" t="s">
        <v>1880</v>
      </c>
      <c r="K464" s="431"/>
      <c r="L464" s="431"/>
      <c r="M464" s="433"/>
      <c r="N464" s="434" t="s">
        <v>1301</v>
      </c>
      <c r="O464" s="1743" t="str">
        <f t="shared" ref="O464:O474" si="303">VLOOKUP(B464,code_famille_scénario,2)&amp;VLOOKUP(C464,code_actif,2)&amp;", par "&amp;VLOOKUP(N464,code_acteur,2)</f>
        <v>Effacement par erreur de programmes de services applicatifs, par un utilisateur autorisé légitime</v>
      </c>
      <c r="P464" s="435">
        <v>1</v>
      </c>
      <c r="Q464" s="1595" t="s">
        <v>6403</v>
      </c>
      <c r="R464" s="1595" t="s">
        <v>1873</v>
      </c>
      <c r="S464" s="1595" t="str">
        <f>Classif!C23</f>
        <v/>
      </c>
      <c r="T464" s="1595">
        <f t="shared" si="294"/>
        <v>3</v>
      </c>
      <c r="U464" s="1744" t="str">
        <f t="shared" si="295"/>
        <v/>
      </c>
      <c r="V464" s="1745">
        <v>1</v>
      </c>
      <c r="W464" s="1745">
        <v>1</v>
      </c>
      <c r="X464" s="1745">
        <v>1</v>
      </c>
      <c r="Y464" s="1745">
        <f t="shared" si="296"/>
        <v>1</v>
      </c>
      <c r="Z464" s="1746">
        <v>0</v>
      </c>
      <c r="AA464" s="1747"/>
      <c r="AB464" s="1748"/>
      <c r="AC464" s="1748"/>
      <c r="AD464" s="1595" t="str">
        <f t="shared" si="292"/>
        <v/>
      </c>
      <c r="AE464" s="1595">
        <f t="shared" si="297"/>
        <v>3</v>
      </c>
      <c r="AF464" s="1595" t="str">
        <f t="shared" si="298"/>
        <v/>
      </c>
      <c r="AG464" s="1748"/>
      <c r="AH464" s="1749" t="str">
        <f t="shared" si="293"/>
        <v/>
      </c>
      <c r="AI464" s="1615"/>
      <c r="AJ464" s="1618"/>
      <c r="AK464" s="1618"/>
      <c r="AL464" s="1617" t="s">
        <v>4954</v>
      </c>
      <c r="AM464" s="247" t="str">
        <f t="shared" si="286"/>
        <v/>
      </c>
      <c r="AN464" s="247" t="str">
        <f t="shared" si="287"/>
        <v/>
      </c>
      <c r="AO464" s="247" t="str">
        <f t="shared" si="288"/>
        <v/>
      </c>
      <c r="AP464" s="247" t="str">
        <f t="shared" si="289"/>
        <v/>
      </c>
      <c r="AQ464" s="42">
        <f t="shared" si="299"/>
        <v>1</v>
      </c>
      <c r="AR464" s="42">
        <f t="shared" si="300"/>
        <v>1</v>
      </c>
      <c r="AS464" s="42">
        <f t="shared" si="301"/>
        <v>1</v>
      </c>
      <c r="AT464" s="42">
        <f t="shared" si="302"/>
        <v>1</v>
      </c>
      <c r="AU464" s="247" t="str">
        <f t="shared" si="290"/>
        <v/>
      </c>
      <c r="AV464" s="247" t="str">
        <f t="shared" si="291"/>
        <v/>
      </c>
    </row>
    <row r="465" spans="1:48" ht="24" x14ac:dyDescent="0.2">
      <c r="A465" s="428" t="s">
        <v>503</v>
      </c>
      <c r="B465" s="429" t="s">
        <v>5625</v>
      </c>
      <c r="C465" s="430" t="s">
        <v>2787</v>
      </c>
      <c r="D465" s="1349" t="s">
        <v>1873</v>
      </c>
      <c r="E465" s="1350" t="s">
        <v>7450</v>
      </c>
      <c r="F465" s="1350" t="s">
        <v>2779</v>
      </c>
      <c r="G465" s="1351" t="s">
        <v>6068</v>
      </c>
      <c r="H465" s="1342" t="s">
        <v>1327</v>
      </c>
      <c r="I465" s="432" t="s">
        <v>1545</v>
      </c>
      <c r="J465" s="431" t="s">
        <v>1880</v>
      </c>
      <c r="K465" s="431"/>
      <c r="L465" s="431"/>
      <c r="M465" s="433"/>
      <c r="N465" s="434" t="s">
        <v>1302</v>
      </c>
      <c r="O465" s="1743" t="str">
        <f t="shared" si="303"/>
        <v>Effacement par erreur de programmes de services applicatifs, par un utilisateur autorisé illégitime</v>
      </c>
      <c r="P465" s="435">
        <v>1</v>
      </c>
      <c r="Q465" s="1595" t="s">
        <v>6403</v>
      </c>
      <c r="R465" s="1595" t="s">
        <v>1873</v>
      </c>
      <c r="S465" s="1595" t="str">
        <f>Classif!C23</f>
        <v/>
      </c>
      <c r="T465" s="1595">
        <f t="shared" si="294"/>
        <v>3</v>
      </c>
      <c r="U465" s="1744" t="str">
        <f t="shared" si="295"/>
        <v/>
      </c>
      <c r="V465" s="1745">
        <v>1</v>
      </c>
      <c r="W465" s="1745">
        <f>MAX(S07A02,S09A02)</f>
        <v>1</v>
      </c>
      <c r="X465" s="1745">
        <v>1</v>
      </c>
      <c r="Y465" s="1745">
        <f t="shared" si="296"/>
        <v>1</v>
      </c>
      <c r="Z465" s="1746">
        <v>0</v>
      </c>
      <c r="AA465" s="1747"/>
      <c r="AB465" s="1748"/>
      <c r="AC465" s="1748"/>
      <c r="AD465" s="1595" t="str">
        <f t="shared" si="292"/>
        <v/>
      </c>
      <c r="AE465" s="1595">
        <f t="shared" si="297"/>
        <v>3</v>
      </c>
      <c r="AF465" s="1595" t="str">
        <f t="shared" si="298"/>
        <v/>
      </c>
      <c r="AG465" s="1748"/>
      <c r="AH465" s="1749" t="str">
        <f t="shared" si="293"/>
        <v/>
      </c>
      <c r="AI465" s="1615"/>
      <c r="AJ465" s="1616" t="s">
        <v>6493</v>
      </c>
      <c r="AK465" s="1618"/>
      <c r="AL465" s="1617" t="s">
        <v>4954</v>
      </c>
      <c r="AM465" s="247" t="str">
        <f t="shared" si="286"/>
        <v/>
      </c>
      <c r="AN465" s="247" t="str">
        <f t="shared" si="287"/>
        <v/>
      </c>
      <c r="AO465" s="247" t="str">
        <f t="shared" si="288"/>
        <v/>
      </c>
      <c r="AP465" s="247" t="str">
        <f t="shared" si="289"/>
        <v/>
      </c>
      <c r="AQ465" s="42">
        <f t="shared" si="299"/>
        <v>1</v>
      </c>
      <c r="AR465" s="42">
        <f t="shared" si="300"/>
        <v>1</v>
      </c>
      <c r="AS465" s="42">
        <f t="shared" si="301"/>
        <v>1</v>
      </c>
      <c r="AT465" s="42">
        <f t="shared" si="302"/>
        <v>1</v>
      </c>
      <c r="AU465" s="247" t="str">
        <f t="shared" si="290"/>
        <v/>
      </c>
      <c r="AV465" s="247" t="str">
        <f t="shared" si="291"/>
        <v/>
      </c>
    </row>
    <row r="466" spans="1:48" ht="24" x14ac:dyDescent="0.2">
      <c r="A466" s="428" t="s">
        <v>504</v>
      </c>
      <c r="B466" s="429" t="s">
        <v>5625</v>
      </c>
      <c r="C466" s="430" t="s">
        <v>2787</v>
      </c>
      <c r="D466" s="1349" t="s">
        <v>1873</v>
      </c>
      <c r="E466" s="1350" t="s">
        <v>7450</v>
      </c>
      <c r="F466" s="1350" t="s">
        <v>2779</v>
      </c>
      <c r="G466" s="1351" t="s">
        <v>6068</v>
      </c>
      <c r="H466" s="1342" t="s">
        <v>1327</v>
      </c>
      <c r="I466" s="432" t="s">
        <v>1545</v>
      </c>
      <c r="J466" s="431" t="s">
        <v>1880</v>
      </c>
      <c r="K466" s="431"/>
      <c r="L466" s="431"/>
      <c r="M466" s="433"/>
      <c r="N466" s="434" t="s">
        <v>1303</v>
      </c>
      <c r="O466" s="1743" t="str">
        <f t="shared" si="303"/>
        <v>Effacement par erreur de programmes de services applicatifs, par un utilisateur non autorisé</v>
      </c>
      <c r="P466" s="435">
        <v>1</v>
      </c>
      <c r="Q466" s="1595" t="s">
        <v>6403</v>
      </c>
      <c r="R466" s="1595" t="s">
        <v>1873</v>
      </c>
      <c r="S466" s="1595" t="str">
        <f>Classif!C23</f>
        <v/>
      </c>
      <c r="T466" s="1595">
        <f t="shared" si="294"/>
        <v>3</v>
      </c>
      <c r="U466" s="1744" t="str">
        <f t="shared" si="295"/>
        <v/>
      </c>
      <c r="V466" s="1745">
        <v>1</v>
      </c>
      <c r="W466" s="1745">
        <f>MIN(S07A03,S07A04)</f>
        <v>1</v>
      </c>
      <c r="X466" s="1745">
        <v>1</v>
      </c>
      <c r="Y466" s="1745">
        <f t="shared" si="296"/>
        <v>1</v>
      </c>
      <c r="Z466" s="1746">
        <v>0</v>
      </c>
      <c r="AA466" s="1747"/>
      <c r="AB466" s="1748"/>
      <c r="AC466" s="1748"/>
      <c r="AD466" s="1595" t="str">
        <f t="shared" si="292"/>
        <v/>
      </c>
      <c r="AE466" s="1595">
        <f t="shared" si="297"/>
        <v>3</v>
      </c>
      <c r="AF466" s="1595" t="str">
        <f t="shared" si="298"/>
        <v/>
      </c>
      <c r="AG466" s="1748"/>
      <c r="AH466" s="1749" t="str">
        <f t="shared" si="293"/>
        <v/>
      </c>
      <c r="AI466" s="1615"/>
      <c r="AJ466" s="1621" t="s">
        <v>6494</v>
      </c>
      <c r="AK466" s="1618"/>
      <c r="AL466" s="1617" t="s">
        <v>4954</v>
      </c>
      <c r="AM466" s="247" t="str">
        <f t="shared" si="286"/>
        <v/>
      </c>
      <c r="AN466" s="247" t="str">
        <f t="shared" si="287"/>
        <v/>
      </c>
      <c r="AO466" s="247" t="str">
        <f t="shared" si="288"/>
        <v/>
      </c>
      <c r="AP466" s="247" t="str">
        <f t="shared" si="289"/>
        <v/>
      </c>
      <c r="AQ466" s="42">
        <f t="shared" si="299"/>
        <v>1</v>
      </c>
      <c r="AR466" s="42">
        <f t="shared" si="300"/>
        <v>1</v>
      </c>
      <c r="AS466" s="42">
        <f t="shared" si="301"/>
        <v>1</v>
      </c>
      <c r="AT466" s="42">
        <f t="shared" si="302"/>
        <v>1</v>
      </c>
      <c r="AU466" s="247" t="str">
        <f t="shared" si="290"/>
        <v/>
      </c>
      <c r="AV466" s="247" t="str">
        <f t="shared" si="291"/>
        <v/>
      </c>
    </row>
    <row r="467" spans="1:48" ht="24" x14ac:dyDescent="0.2">
      <c r="A467" s="428" t="s">
        <v>505</v>
      </c>
      <c r="B467" s="429" t="s">
        <v>5625</v>
      </c>
      <c r="C467" s="430" t="s">
        <v>2787</v>
      </c>
      <c r="D467" s="1349" t="s">
        <v>1873</v>
      </c>
      <c r="E467" s="1350" t="s">
        <v>7450</v>
      </c>
      <c r="F467" s="1350" t="s">
        <v>2779</v>
      </c>
      <c r="G467" s="1351" t="s">
        <v>6068</v>
      </c>
      <c r="H467" s="1342" t="s">
        <v>1327</v>
      </c>
      <c r="I467" s="432" t="s">
        <v>1545</v>
      </c>
      <c r="J467" s="431" t="s">
        <v>1880</v>
      </c>
      <c r="K467" s="431"/>
      <c r="L467" s="431"/>
      <c r="M467" s="433"/>
      <c r="N467" s="434" t="s">
        <v>6403</v>
      </c>
      <c r="O467" s="1743" t="str">
        <f t="shared" si="303"/>
        <v>Effacement par erreur de programmes de services applicatifs, par un membre du personnel d'exploitation</v>
      </c>
      <c r="P467" s="435">
        <v>1</v>
      </c>
      <c r="Q467" s="1595" t="s">
        <v>6403</v>
      </c>
      <c r="R467" s="1595" t="s">
        <v>1873</v>
      </c>
      <c r="S467" s="1595" t="str">
        <f>Classif!C23</f>
        <v/>
      </c>
      <c r="T467" s="1595">
        <f t="shared" si="294"/>
        <v>3</v>
      </c>
      <c r="U467" s="1744" t="str">
        <f t="shared" si="295"/>
        <v/>
      </c>
      <c r="V467" s="1745">
        <v>1</v>
      </c>
      <c r="W467" s="1745">
        <v>1</v>
      </c>
      <c r="X467" s="1745">
        <v>1</v>
      </c>
      <c r="Y467" s="1745">
        <f t="shared" si="296"/>
        <v>1</v>
      </c>
      <c r="Z467" s="1746">
        <v>0</v>
      </c>
      <c r="AA467" s="1747"/>
      <c r="AB467" s="1748"/>
      <c r="AC467" s="1748"/>
      <c r="AD467" s="1595" t="str">
        <f t="shared" si="292"/>
        <v/>
      </c>
      <c r="AE467" s="1595">
        <f t="shared" si="297"/>
        <v>3</v>
      </c>
      <c r="AF467" s="1595" t="str">
        <f t="shared" si="298"/>
        <v/>
      </c>
      <c r="AG467" s="1748"/>
      <c r="AH467" s="1749" t="str">
        <f t="shared" si="293"/>
        <v/>
      </c>
      <c r="AI467" s="1615"/>
      <c r="AJ467" s="1618"/>
      <c r="AK467" s="1618"/>
      <c r="AL467" s="1617" t="s">
        <v>4954</v>
      </c>
      <c r="AM467" s="247" t="str">
        <f t="shared" si="286"/>
        <v/>
      </c>
      <c r="AN467" s="247" t="str">
        <f t="shared" si="287"/>
        <v/>
      </c>
      <c r="AO467" s="247" t="str">
        <f t="shared" si="288"/>
        <v/>
      </c>
      <c r="AP467" s="247" t="str">
        <f t="shared" si="289"/>
        <v/>
      </c>
      <c r="AQ467" s="42">
        <f t="shared" si="299"/>
        <v>1</v>
      </c>
      <c r="AR467" s="42">
        <f t="shared" si="300"/>
        <v>1</v>
      </c>
      <c r="AS467" s="42">
        <f t="shared" si="301"/>
        <v>1</v>
      </c>
      <c r="AT467" s="42">
        <f t="shared" si="302"/>
        <v>1</v>
      </c>
      <c r="AU467" s="247" t="str">
        <f t="shared" si="290"/>
        <v/>
      </c>
      <c r="AV467" s="247" t="str">
        <f t="shared" si="291"/>
        <v/>
      </c>
    </row>
    <row r="468" spans="1:48" ht="24" x14ac:dyDescent="0.2">
      <c r="A468" s="428" t="s">
        <v>506</v>
      </c>
      <c r="B468" s="429" t="s">
        <v>5625</v>
      </c>
      <c r="C468" s="430" t="s">
        <v>2787</v>
      </c>
      <c r="D468" s="1349" t="s">
        <v>1873</v>
      </c>
      <c r="E468" s="1350" t="s">
        <v>7450</v>
      </c>
      <c r="F468" s="1350" t="s">
        <v>2779</v>
      </c>
      <c r="G468" s="1351" t="s">
        <v>6068</v>
      </c>
      <c r="H468" s="1342" t="s">
        <v>1327</v>
      </c>
      <c r="I468" s="432" t="s">
        <v>1545</v>
      </c>
      <c r="J468" s="431" t="s">
        <v>1880</v>
      </c>
      <c r="K468" s="431"/>
      <c r="L468" s="431"/>
      <c r="M468" s="433"/>
      <c r="N468" s="434" t="s">
        <v>1299</v>
      </c>
      <c r="O468" s="1743" t="str">
        <f t="shared" si="303"/>
        <v>Effacement par erreur de programmes de services applicatifs, par un membre du personnel de maintenance</v>
      </c>
      <c r="P468" s="435">
        <v>1</v>
      </c>
      <c r="Q468" s="1595" t="s">
        <v>6403</v>
      </c>
      <c r="R468" s="1595" t="s">
        <v>1873</v>
      </c>
      <c r="S468" s="1595" t="str">
        <f>Classif!C23</f>
        <v/>
      </c>
      <c r="T468" s="1595">
        <f t="shared" si="294"/>
        <v>3</v>
      </c>
      <c r="U468" s="1744" t="str">
        <f t="shared" si="295"/>
        <v/>
      </c>
      <c r="V468" s="1745">
        <v>1</v>
      </c>
      <c r="W468" s="1745">
        <v>1</v>
      </c>
      <c r="X468" s="1745">
        <v>1</v>
      </c>
      <c r="Y468" s="1745">
        <f t="shared" si="296"/>
        <v>1</v>
      </c>
      <c r="Z468" s="1746">
        <v>0</v>
      </c>
      <c r="AA468" s="1747"/>
      <c r="AB468" s="1748"/>
      <c r="AC468" s="1748"/>
      <c r="AD468" s="1595" t="str">
        <f t="shared" si="292"/>
        <v/>
      </c>
      <c r="AE468" s="1595">
        <f t="shared" si="297"/>
        <v>3</v>
      </c>
      <c r="AF468" s="1595" t="str">
        <f t="shared" si="298"/>
        <v/>
      </c>
      <c r="AG468" s="1748"/>
      <c r="AH468" s="1749" t="str">
        <f t="shared" si="293"/>
        <v/>
      </c>
      <c r="AI468" s="1615"/>
      <c r="AJ468" s="1618"/>
      <c r="AK468" s="1618"/>
      <c r="AL468" s="1617" t="s">
        <v>4954</v>
      </c>
      <c r="AM468" s="247" t="str">
        <f t="shared" si="286"/>
        <v/>
      </c>
      <c r="AN468" s="247" t="str">
        <f t="shared" si="287"/>
        <v/>
      </c>
      <c r="AO468" s="247" t="str">
        <f t="shared" si="288"/>
        <v/>
      </c>
      <c r="AP468" s="247" t="str">
        <f t="shared" si="289"/>
        <v/>
      </c>
      <c r="AQ468" s="42">
        <f t="shared" si="299"/>
        <v>1</v>
      </c>
      <c r="AR468" s="42">
        <f t="shared" si="300"/>
        <v>1</v>
      </c>
      <c r="AS468" s="42">
        <f t="shared" si="301"/>
        <v>1</v>
      </c>
      <c r="AT468" s="42">
        <f t="shared" si="302"/>
        <v>1</v>
      </c>
      <c r="AU468" s="247" t="str">
        <f t="shared" si="290"/>
        <v/>
      </c>
      <c r="AV468" s="247" t="str">
        <f t="shared" si="291"/>
        <v/>
      </c>
    </row>
    <row r="469" spans="1:48" ht="24" x14ac:dyDescent="0.2">
      <c r="A469" s="428" t="s">
        <v>507</v>
      </c>
      <c r="B469" s="429" t="s">
        <v>5623</v>
      </c>
      <c r="C469" s="430" t="s">
        <v>2787</v>
      </c>
      <c r="D469" s="1349" t="s">
        <v>1873</v>
      </c>
      <c r="E469" s="1350" t="s">
        <v>7450</v>
      </c>
      <c r="F469" s="1350" t="s">
        <v>2779</v>
      </c>
      <c r="G469" s="1351" t="s">
        <v>6068</v>
      </c>
      <c r="H469" s="1297" t="s">
        <v>1328</v>
      </c>
      <c r="I469" s="437" t="s">
        <v>1546</v>
      </c>
      <c r="J469" s="431" t="s">
        <v>1880</v>
      </c>
      <c r="K469" s="431"/>
      <c r="L469" s="431"/>
      <c r="M469" s="433"/>
      <c r="N469" s="434" t="s">
        <v>1301</v>
      </c>
      <c r="O469" s="1743" t="str">
        <f t="shared" si="303"/>
        <v>Effacement malveillant de programmes de services applicatifs, par un utilisateur autorisé légitime</v>
      </c>
      <c r="P469" s="435">
        <v>1</v>
      </c>
      <c r="Q469" s="1595" t="s">
        <v>1299</v>
      </c>
      <c r="R469" s="1595" t="s">
        <v>1873</v>
      </c>
      <c r="S469" s="1595" t="str">
        <f>Classif!C23</f>
        <v/>
      </c>
      <c r="T469" s="1595">
        <f t="shared" si="294"/>
        <v>2</v>
      </c>
      <c r="U469" s="1744" t="str">
        <f t="shared" si="295"/>
        <v/>
      </c>
      <c r="V469" s="1750">
        <f>MIN(S07C01,S08E02)</f>
        <v>1</v>
      </c>
      <c r="W469" s="1745">
        <v>1</v>
      </c>
      <c r="X469" s="1745">
        <v>1</v>
      </c>
      <c r="Y469" s="1745">
        <f t="shared" si="296"/>
        <v>1</v>
      </c>
      <c r="Z469" s="1746">
        <v>0</v>
      </c>
      <c r="AA469" s="1747"/>
      <c r="AB469" s="1748"/>
      <c r="AC469" s="1748"/>
      <c r="AD469" s="1595" t="str">
        <f t="shared" si="292"/>
        <v/>
      </c>
      <c r="AE469" s="1595">
        <f t="shared" si="297"/>
        <v>2</v>
      </c>
      <c r="AF469" s="1595" t="str">
        <f t="shared" si="298"/>
        <v/>
      </c>
      <c r="AG469" s="1748"/>
      <c r="AH469" s="1749" t="str">
        <f t="shared" si="293"/>
        <v/>
      </c>
      <c r="AI469" s="1620" t="s">
        <v>6492</v>
      </c>
      <c r="AJ469" s="1621"/>
      <c r="AK469" s="1618"/>
      <c r="AL469" s="1617" t="s">
        <v>4954</v>
      </c>
      <c r="AM469" s="247" t="str">
        <f t="shared" si="286"/>
        <v/>
      </c>
      <c r="AN469" s="247" t="str">
        <f t="shared" si="287"/>
        <v/>
      </c>
      <c r="AO469" s="247" t="str">
        <f t="shared" si="288"/>
        <v/>
      </c>
      <c r="AP469" s="247" t="str">
        <f t="shared" si="289"/>
        <v/>
      </c>
      <c r="AQ469" s="42">
        <f t="shared" si="299"/>
        <v>1</v>
      </c>
      <c r="AR469" s="42">
        <f t="shared" si="300"/>
        <v>1</v>
      </c>
      <c r="AS469" s="42">
        <f t="shared" si="301"/>
        <v>1</v>
      </c>
      <c r="AT469" s="42">
        <f t="shared" si="302"/>
        <v>1</v>
      </c>
      <c r="AU469" s="247" t="str">
        <f t="shared" si="290"/>
        <v/>
      </c>
      <c r="AV469" s="247" t="str">
        <f t="shared" si="291"/>
        <v/>
      </c>
    </row>
    <row r="470" spans="1:48" ht="24" x14ac:dyDescent="0.2">
      <c r="A470" s="428" t="s">
        <v>508</v>
      </c>
      <c r="B470" s="429" t="s">
        <v>5623</v>
      </c>
      <c r="C470" s="430" t="s">
        <v>2787</v>
      </c>
      <c r="D470" s="1349" t="s">
        <v>1873</v>
      </c>
      <c r="E470" s="1350" t="s">
        <v>7450</v>
      </c>
      <c r="F470" s="1350" t="s">
        <v>2779</v>
      </c>
      <c r="G470" s="1351" t="s">
        <v>6068</v>
      </c>
      <c r="H470" s="1342" t="s">
        <v>1328</v>
      </c>
      <c r="I470" s="432" t="s">
        <v>1546</v>
      </c>
      <c r="J470" s="431" t="s">
        <v>1880</v>
      </c>
      <c r="K470" s="431"/>
      <c r="L470" s="431"/>
      <c r="M470" s="433"/>
      <c r="N470" s="434" t="s">
        <v>1302</v>
      </c>
      <c r="O470" s="1743" t="str">
        <f t="shared" si="303"/>
        <v>Effacement malveillant de programmes de services applicatifs, par un utilisateur autorisé illégitime</v>
      </c>
      <c r="P470" s="435">
        <v>1</v>
      </c>
      <c r="Q470" s="1595" t="s">
        <v>1299</v>
      </c>
      <c r="R470" s="1595" t="s">
        <v>1873</v>
      </c>
      <c r="S470" s="1595" t="str">
        <f>Classif!C23</f>
        <v/>
      </c>
      <c r="T470" s="1595">
        <f t="shared" si="294"/>
        <v>2</v>
      </c>
      <c r="U470" s="1744" t="str">
        <f t="shared" si="295"/>
        <v/>
      </c>
      <c r="V470" s="1750">
        <f>MIN(S07C01,S08E02)</f>
        <v>1</v>
      </c>
      <c r="W470" s="1745">
        <f>MAX(S07A02,S09A02)</f>
        <v>1</v>
      </c>
      <c r="X470" s="1745">
        <v>1</v>
      </c>
      <c r="Y470" s="1745">
        <f t="shared" si="296"/>
        <v>1</v>
      </c>
      <c r="Z470" s="1746">
        <v>0</v>
      </c>
      <c r="AA470" s="1747"/>
      <c r="AB470" s="1748"/>
      <c r="AC470" s="1748"/>
      <c r="AD470" s="1595" t="str">
        <f t="shared" si="292"/>
        <v/>
      </c>
      <c r="AE470" s="1595">
        <f t="shared" si="297"/>
        <v>2</v>
      </c>
      <c r="AF470" s="1595" t="str">
        <f t="shared" si="298"/>
        <v/>
      </c>
      <c r="AG470" s="1748"/>
      <c r="AH470" s="1749" t="str">
        <f t="shared" si="293"/>
        <v/>
      </c>
      <c r="AI470" s="1620" t="s">
        <v>6492</v>
      </c>
      <c r="AJ470" s="1616" t="s">
        <v>6493</v>
      </c>
      <c r="AK470" s="1618"/>
      <c r="AL470" s="1617" t="s">
        <v>4954</v>
      </c>
      <c r="AM470" s="247" t="str">
        <f t="shared" si="286"/>
        <v/>
      </c>
      <c r="AN470" s="247" t="str">
        <f t="shared" si="287"/>
        <v/>
      </c>
      <c r="AO470" s="247" t="str">
        <f t="shared" si="288"/>
        <v/>
      </c>
      <c r="AP470" s="247" t="str">
        <f t="shared" si="289"/>
        <v/>
      </c>
      <c r="AQ470" s="42">
        <f t="shared" si="299"/>
        <v>1</v>
      </c>
      <c r="AR470" s="42">
        <f t="shared" si="300"/>
        <v>1</v>
      </c>
      <c r="AS470" s="42">
        <f t="shared" si="301"/>
        <v>1</v>
      </c>
      <c r="AT470" s="42">
        <f t="shared" si="302"/>
        <v>1</v>
      </c>
      <c r="AU470" s="247" t="str">
        <f t="shared" si="290"/>
        <v/>
      </c>
      <c r="AV470" s="247" t="str">
        <f t="shared" si="291"/>
        <v/>
      </c>
    </row>
    <row r="471" spans="1:48" ht="24" x14ac:dyDescent="0.2">
      <c r="A471" s="428" t="s">
        <v>509</v>
      </c>
      <c r="B471" s="429" t="s">
        <v>5623</v>
      </c>
      <c r="C471" s="430" t="s">
        <v>2787</v>
      </c>
      <c r="D471" s="1349" t="s">
        <v>1873</v>
      </c>
      <c r="E471" s="1350" t="s">
        <v>7450</v>
      </c>
      <c r="F471" s="1350" t="s">
        <v>2779</v>
      </c>
      <c r="G471" s="1351" t="s">
        <v>6068</v>
      </c>
      <c r="H471" s="1342" t="s">
        <v>1328</v>
      </c>
      <c r="I471" s="432" t="s">
        <v>1546</v>
      </c>
      <c r="J471" s="431" t="s">
        <v>1880</v>
      </c>
      <c r="K471" s="431"/>
      <c r="L471" s="431"/>
      <c r="M471" s="433"/>
      <c r="N471" s="434" t="s">
        <v>1303</v>
      </c>
      <c r="O471" s="1743" t="str">
        <f t="shared" si="303"/>
        <v>Effacement malveillant de programmes de services applicatifs, par un utilisateur non autorisé</v>
      </c>
      <c r="P471" s="435">
        <v>1</v>
      </c>
      <c r="Q471" s="1595" t="s">
        <v>1299</v>
      </c>
      <c r="R471" s="1595" t="s">
        <v>1873</v>
      </c>
      <c r="S471" s="1595" t="str">
        <f>Classif!C23</f>
        <v/>
      </c>
      <c r="T471" s="1595">
        <f t="shared" si="294"/>
        <v>2</v>
      </c>
      <c r="U471" s="1744" t="str">
        <f t="shared" si="295"/>
        <v/>
      </c>
      <c r="V471" s="1745">
        <v>1</v>
      </c>
      <c r="W471" s="1745">
        <f>MIN(S07A03,S07A04)</f>
        <v>1</v>
      </c>
      <c r="X471" s="1745">
        <v>1</v>
      </c>
      <c r="Y471" s="1745">
        <f t="shared" si="296"/>
        <v>1</v>
      </c>
      <c r="Z471" s="1746">
        <v>0</v>
      </c>
      <c r="AA471" s="1747"/>
      <c r="AB471" s="1748"/>
      <c r="AC471" s="1748"/>
      <c r="AD471" s="1595" t="str">
        <f t="shared" si="292"/>
        <v/>
      </c>
      <c r="AE471" s="1595">
        <f t="shared" si="297"/>
        <v>2</v>
      </c>
      <c r="AF471" s="1595" t="str">
        <f t="shared" si="298"/>
        <v/>
      </c>
      <c r="AG471" s="1748"/>
      <c r="AH471" s="1749" t="str">
        <f t="shared" si="293"/>
        <v/>
      </c>
      <c r="AI471" s="1615"/>
      <c r="AJ471" s="1621" t="s">
        <v>6494</v>
      </c>
      <c r="AK471" s="1618"/>
      <c r="AL471" s="1617" t="s">
        <v>4954</v>
      </c>
      <c r="AM471" s="247" t="str">
        <f t="shared" si="286"/>
        <v/>
      </c>
      <c r="AN471" s="247" t="str">
        <f t="shared" si="287"/>
        <v/>
      </c>
      <c r="AO471" s="247" t="str">
        <f t="shared" si="288"/>
        <v/>
      </c>
      <c r="AP471" s="247" t="str">
        <f t="shared" si="289"/>
        <v/>
      </c>
      <c r="AQ471" s="42">
        <f t="shared" si="299"/>
        <v>1</v>
      </c>
      <c r="AR471" s="42">
        <f t="shared" si="300"/>
        <v>1</v>
      </c>
      <c r="AS471" s="42">
        <f t="shared" si="301"/>
        <v>1</v>
      </c>
      <c r="AT471" s="42">
        <f t="shared" si="302"/>
        <v>1</v>
      </c>
      <c r="AU471" s="247" t="str">
        <f t="shared" si="290"/>
        <v/>
      </c>
      <c r="AV471" s="247" t="str">
        <f t="shared" si="291"/>
        <v/>
      </c>
    </row>
    <row r="472" spans="1:48" ht="24" x14ac:dyDescent="0.2">
      <c r="A472" s="428" t="s">
        <v>510</v>
      </c>
      <c r="B472" s="429" t="s">
        <v>5623</v>
      </c>
      <c r="C472" s="430" t="s">
        <v>2787</v>
      </c>
      <c r="D472" s="1349" t="s">
        <v>1873</v>
      </c>
      <c r="E472" s="1350" t="s">
        <v>7450</v>
      </c>
      <c r="F472" s="1350" t="s">
        <v>2779</v>
      </c>
      <c r="G472" s="1351" t="s">
        <v>6068</v>
      </c>
      <c r="H472" s="1342" t="s">
        <v>1328</v>
      </c>
      <c r="I472" s="432" t="s">
        <v>1546</v>
      </c>
      <c r="J472" s="431" t="s">
        <v>1880</v>
      </c>
      <c r="K472" s="431"/>
      <c r="L472" s="431"/>
      <c r="M472" s="433"/>
      <c r="N472" s="434" t="s">
        <v>6403</v>
      </c>
      <c r="O472" s="1743" t="str">
        <f t="shared" si="303"/>
        <v>Effacement malveillant de programmes de services applicatifs, par un membre du personnel d'exploitation</v>
      </c>
      <c r="P472" s="435">
        <v>1</v>
      </c>
      <c r="Q472" s="1595" t="s">
        <v>1299</v>
      </c>
      <c r="R472" s="1595" t="s">
        <v>1873</v>
      </c>
      <c r="S472" s="1595" t="str">
        <f>Classif!C23</f>
        <v/>
      </c>
      <c r="T472" s="1595">
        <f t="shared" si="294"/>
        <v>2</v>
      </c>
      <c r="U472" s="1744" t="str">
        <f t="shared" si="295"/>
        <v/>
      </c>
      <c r="V472" s="1745">
        <f>MIN(S08F02,S08F03)</f>
        <v>1</v>
      </c>
      <c r="W472" s="1745">
        <v>1</v>
      </c>
      <c r="X472" s="1745">
        <v>1</v>
      </c>
      <c r="Y472" s="1745">
        <f t="shared" si="296"/>
        <v>1</v>
      </c>
      <c r="Z472" s="1746">
        <v>0</v>
      </c>
      <c r="AA472" s="1747"/>
      <c r="AB472" s="1748"/>
      <c r="AC472" s="1748"/>
      <c r="AD472" s="1595" t="str">
        <f t="shared" si="292"/>
        <v/>
      </c>
      <c r="AE472" s="1595">
        <f t="shared" si="297"/>
        <v>2</v>
      </c>
      <c r="AF472" s="1595" t="str">
        <f t="shared" si="298"/>
        <v/>
      </c>
      <c r="AG472" s="1748"/>
      <c r="AH472" s="1749" t="str">
        <f t="shared" si="293"/>
        <v/>
      </c>
      <c r="AI472" s="1622" t="s">
        <v>6495</v>
      </c>
      <c r="AJ472" s="1621"/>
      <c r="AK472" s="1618"/>
      <c r="AL472" s="1617" t="s">
        <v>4954</v>
      </c>
      <c r="AM472" s="247" t="str">
        <f t="shared" si="286"/>
        <v/>
      </c>
      <c r="AN472" s="247" t="str">
        <f t="shared" si="287"/>
        <v/>
      </c>
      <c r="AO472" s="247" t="str">
        <f t="shared" si="288"/>
        <v/>
      </c>
      <c r="AP472" s="247" t="str">
        <f t="shared" si="289"/>
        <v/>
      </c>
      <c r="AQ472" s="42">
        <f t="shared" si="299"/>
        <v>1</v>
      </c>
      <c r="AR472" s="42">
        <f t="shared" si="300"/>
        <v>1</v>
      </c>
      <c r="AS472" s="42">
        <f t="shared" si="301"/>
        <v>1</v>
      </c>
      <c r="AT472" s="42">
        <f t="shared" si="302"/>
        <v>1</v>
      </c>
      <c r="AU472" s="247" t="str">
        <f t="shared" si="290"/>
        <v/>
      </c>
      <c r="AV472" s="247" t="str">
        <f t="shared" si="291"/>
        <v/>
      </c>
    </row>
    <row r="473" spans="1:48" ht="24" x14ac:dyDescent="0.2">
      <c r="A473" s="428" t="s">
        <v>511</v>
      </c>
      <c r="B473" s="429" t="s">
        <v>5623</v>
      </c>
      <c r="C473" s="430" t="s">
        <v>2787</v>
      </c>
      <c r="D473" s="1349" t="s">
        <v>1873</v>
      </c>
      <c r="E473" s="1350" t="s">
        <v>7450</v>
      </c>
      <c r="F473" s="1350" t="s">
        <v>2779</v>
      </c>
      <c r="G473" s="1351" t="s">
        <v>6068</v>
      </c>
      <c r="H473" s="1342" t="s">
        <v>1328</v>
      </c>
      <c r="I473" s="432" t="s">
        <v>1546</v>
      </c>
      <c r="J473" s="431" t="s">
        <v>1880</v>
      </c>
      <c r="K473" s="431"/>
      <c r="L473" s="431"/>
      <c r="M473" s="433"/>
      <c r="N473" s="434" t="s">
        <v>1299</v>
      </c>
      <c r="O473" s="1743" t="str">
        <f t="shared" si="303"/>
        <v>Effacement malveillant de programmes de services applicatifs, par un membre du personnel de maintenance</v>
      </c>
      <c r="P473" s="435">
        <v>1</v>
      </c>
      <c r="Q473" s="1595" t="s">
        <v>1299</v>
      </c>
      <c r="R473" s="1595" t="s">
        <v>1873</v>
      </c>
      <c r="S473" s="1595" t="str">
        <f>Classif!C23</f>
        <v/>
      </c>
      <c r="T473" s="1595">
        <f t="shared" si="294"/>
        <v>2</v>
      </c>
      <c r="U473" s="1744" t="str">
        <f t="shared" si="295"/>
        <v/>
      </c>
      <c r="V473" s="1745">
        <f>MIN(S07C02,S08E02)</f>
        <v>1</v>
      </c>
      <c r="W473" s="1745">
        <v>1</v>
      </c>
      <c r="X473" s="1745">
        <v>1</v>
      </c>
      <c r="Y473" s="1745">
        <f t="shared" si="296"/>
        <v>1</v>
      </c>
      <c r="Z473" s="1746">
        <v>0</v>
      </c>
      <c r="AA473" s="1747"/>
      <c r="AB473" s="1748"/>
      <c r="AC473" s="1748"/>
      <c r="AD473" s="1595" t="str">
        <f t="shared" si="292"/>
        <v/>
      </c>
      <c r="AE473" s="1595">
        <f t="shared" si="297"/>
        <v>2</v>
      </c>
      <c r="AF473" s="1595" t="str">
        <f t="shared" si="298"/>
        <v/>
      </c>
      <c r="AG473" s="1748"/>
      <c r="AH473" s="1749" t="str">
        <f t="shared" si="293"/>
        <v/>
      </c>
      <c r="AI473" s="1620" t="s">
        <v>6491</v>
      </c>
      <c r="AJ473" s="1616"/>
      <c r="AK473" s="1616"/>
      <c r="AL473" s="1617" t="s">
        <v>4954</v>
      </c>
      <c r="AM473" s="247" t="str">
        <f t="shared" si="286"/>
        <v/>
      </c>
      <c r="AN473" s="247" t="str">
        <f t="shared" si="287"/>
        <v/>
      </c>
      <c r="AO473" s="247" t="str">
        <f t="shared" si="288"/>
        <v/>
      </c>
      <c r="AP473" s="247" t="str">
        <f t="shared" si="289"/>
        <v/>
      </c>
      <c r="AQ473" s="42">
        <f t="shared" si="299"/>
        <v>1</v>
      </c>
      <c r="AR473" s="42">
        <f t="shared" si="300"/>
        <v>1</v>
      </c>
      <c r="AS473" s="42">
        <f t="shared" si="301"/>
        <v>1</v>
      </c>
      <c r="AT473" s="42">
        <f t="shared" si="302"/>
        <v>1</v>
      </c>
      <c r="AU473" s="247" t="str">
        <f t="shared" si="290"/>
        <v/>
      </c>
      <c r="AV473" s="247" t="str">
        <f t="shared" si="291"/>
        <v/>
      </c>
    </row>
    <row r="474" spans="1:48" ht="24" x14ac:dyDescent="0.2">
      <c r="A474" s="428" t="s">
        <v>512</v>
      </c>
      <c r="B474" s="429" t="s">
        <v>2602</v>
      </c>
      <c r="C474" s="430" t="s">
        <v>2787</v>
      </c>
      <c r="D474" s="1349" t="s">
        <v>1873</v>
      </c>
      <c r="E474" s="1350" t="s">
        <v>7450</v>
      </c>
      <c r="F474" s="1350" t="s">
        <v>2779</v>
      </c>
      <c r="G474" s="1351" t="s">
        <v>3739</v>
      </c>
      <c r="H474" s="1342" t="s">
        <v>1328</v>
      </c>
      <c r="I474" s="432" t="s">
        <v>1550</v>
      </c>
      <c r="J474" s="431"/>
      <c r="K474" s="431"/>
      <c r="L474" s="431"/>
      <c r="M474" s="433"/>
      <c r="N474" s="434" t="s">
        <v>6403</v>
      </c>
      <c r="O474" s="1743" t="str">
        <f t="shared" si="303"/>
        <v>Effacement malveillant total de fichiers et fichiers de sauvegarde de services applicatifs, par un membre du personnel d'exploitation</v>
      </c>
      <c r="P474" s="435">
        <v>1</v>
      </c>
      <c r="Q474" s="1595" t="s">
        <v>1299</v>
      </c>
      <c r="R474" s="1595" t="s">
        <v>1873</v>
      </c>
      <c r="S474" s="1595" t="str">
        <f>Classif!C23</f>
        <v/>
      </c>
      <c r="T474" s="1595">
        <f t="shared" si="294"/>
        <v>2</v>
      </c>
      <c r="U474" s="1744" t="str">
        <f t="shared" si="295"/>
        <v/>
      </c>
      <c r="V474" s="1745">
        <f>MIN(S08F02,S08F03)</f>
        <v>1</v>
      </c>
      <c r="W474" s="1745">
        <v>1</v>
      </c>
      <c r="X474" s="1745">
        <v>1</v>
      </c>
      <c r="Y474" s="1745">
        <v>1</v>
      </c>
      <c r="Z474" s="1746">
        <v>0</v>
      </c>
      <c r="AA474" s="1747"/>
      <c r="AB474" s="1748"/>
      <c r="AC474" s="1748"/>
      <c r="AD474" s="1595" t="str">
        <f t="shared" si="292"/>
        <v/>
      </c>
      <c r="AE474" s="1595">
        <f t="shared" si="297"/>
        <v>2</v>
      </c>
      <c r="AF474" s="1595" t="str">
        <f t="shared" si="298"/>
        <v/>
      </c>
      <c r="AG474" s="1748"/>
      <c r="AH474" s="1749" t="str">
        <f t="shared" si="293"/>
        <v/>
      </c>
      <c r="AI474" s="1622" t="s">
        <v>6495</v>
      </c>
      <c r="AJ474" s="1621"/>
      <c r="AK474" s="1618"/>
      <c r="AL474" s="1617"/>
      <c r="AM474" s="247" t="str">
        <f t="shared" si="286"/>
        <v/>
      </c>
      <c r="AN474" s="247" t="str">
        <f t="shared" si="287"/>
        <v/>
      </c>
      <c r="AO474" s="247" t="str">
        <f t="shared" si="288"/>
        <v/>
      </c>
      <c r="AP474" s="247" t="str">
        <f t="shared" si="289"/>
        <v/>
      </c>
      <c r="AQ474" s="42">
        <f t="shared" si="299"/>
        <v>1</v>
      </c>
      <c r="AR474" s="42">
        <f t="shared" si="300"/>
        <v>1</v>
      </c>
      <c r="AS474" s="42">
        <f t="shared" si="301"/>
        <v>1</v>
      </c>
      <c r="AT474" s="42">
        <f t="shared" si="302"/>
        <v>1</v>
      </c>
      <c r="AU474" s="247" t="str">
        <f t="shared" si="290"/>
        <v/>
      </c>
      <c r="AV474" s="247" t="str">
        <f t="shared" si="291"/>
        <v/>
      </c>
    </row>
    <row r="475" spans="1:48" ht="24" x14ac:dyDescent="0.2">
      <c r="A475" s="428" t="s">
        <v>513</v>
      </c>
      <c r="B475" s="429" t="s">
        <v>5631</v>
      </c>
      <c r="C475" s="430" t="s">
        <v>2787</v>
      </c>
      <c r="D475" s="1349" t="s">
        <v>1873</v>
      </c>
      <c r="E475" s="1350" t="s">
        <v>7450</v>
      </c>
      <c r="F475" s="1350" t="s">
        <v>5162</v>
      </c>
      <c r="G475" s="1351" t="s">
        <v>5557</v>
      </c>
      <c r="H475" s="1342" t="s">
        <v>1327</v>
      </c>
      <c r="I475" s="432" t="s">
        <v>1545</v>
      </c>
      <c r="J475" s="431"/>
      <c r="K475" s="431"/>
      <c r="L475" s="431"/>
      <c r="M475" s="433" t="s">
        <v>5421</v>
      </c>
      <c r="N475" s="434" t="s">
        <v>1299</v>
      </c>
      <c r="O475" s="1743" t="str">
        <f>VLOOKUP(B475,code_famille_scénario,2)&amp;VLOOKUP(C475,code_actif,2)&amp;" due "&amp;VLOOKUP(I475,code_event,2)&amp;", "&amp;VLOOKUP(M475,code_process,2)</f>
        <v>Pollution accidentelle de programmes de services applicatifs due à une erreur de procédure, lors d'une opération de maintenance logicielle</v>
      </c>
      <c r="P475" s="435">
        <v>1</v>
      </c>
      <c r="Q475" s="1595" t="s">
        <v>1431</v>
      </c>
      <c r="R475" s="1595" t="s">
        <v>1873</v>
      </c>
      <c r="S475" s="1595" t="str">
        <f>Classif!C23</f>
        <v/>
      </c>
      <c r="T475" s="1595">
        <f t="shared" si="294"/>
        <v>3</v>
      </c>
      <c r="U475" s="1744" t="str">
        <f t="shared" si="295"/>
        <v/>
      </c>
      <c r="V475" s="1745">
        <v>1</v>
      </c>
      <c r="W475" s="1745">
        <f>S10B05</f>
        <v>1</v>
      </c>
      <c r="X475" s="1745">
        <v>1</v>
      </c>
      <c r="Y475" s="1745">
        <f t="shared" ref="Y475:Y500" si="304">S08D04</f>
        <v>1</v>
      </c>
      <c r="Z475" s="1746">
        <v>0</v>
      </c>
      <c r="AA475" s="1747"/>
      <c r="AB475" s="1748"/>
      <c r="AC475" s="1748"/>
      <c r="AD475" s="1595" t="str">
        <f t="shared" si="292"/>
        <v/>
      </c>
      <c r="AE475" s="1595">
        <f t="shared" si="297"/>
        <v>3</v>
      </c>
      <c r="AF475" s="1595" t="str">
        <f t="shared" si="298"/>
        <v/>
      </c>
      <c r="AG475" s="1748"/>
      <c r="AH475" s="1749" t="str">
        <f t="shared" si="293"/>
        <v/>
      </c>
      <c r="AI475" s="1615"/>
      <c r="AJ475" s="1616" t="s">
        <v>3224</v>
      </c>
      <c r="AK475" s="1616"/>
      <c r="AL475" s="1617" t="s">
        <v>4954</v>
      </c>
      <c r="AM475" s="247" t="str">
        <f t="shared" si="286"/>
        <v/>
      </c>
      <c r="AN475" s="247" t="str">
        <f t="shared" si="287"/>
        <v/>
      </c>
      <c r="AO475" s="247" t="str">
        <f t="shared" si="288"/>
        <v/>
      </c>
      <c r="AP475" s="247" t="str">
        <f t="shared" si="289"/>
        <v/>
      </c>
      <c r="AQ475" s="42">
        <f t="shared" si="299"/>
        <v>1</v>
      </c>
      <c r="AR475" s="42">
        <f t="shared" si="300"/>
        <v>1</v>
      </c>
      <c r="AS475" s="42">
        <f t="shared" si="301"/>
        <v>1</v>
      </c>
      <c r="AT475" s="42">
        <f t="shared" si="302"/>
        <v>1</v>
      </c>
      <c r="AU475" s="247" t="str">
        <f t="shared" si="290"/>
        <v/>
      </c>
      <c r="AV475" s="247" t="str">
        <f t="shared" si="291"/>
        <v/>
      </c>
    </row>
    <row r="476" spans="1:48" ht="24" x14ac:dyDescent="0.2">
      <c r="A476" s="428" t="s">
        <v>514</v>
      </c>
      <c r="B476" s="429" t="s">
        <v>5631</v>
      </c>
      <c r="C476" s="430" t="s">
        <v>2787</v>
      </c>
      <c r="D476" s="1349" t="s">
        <v>1873</v>
      </c>
      <c r="E476" s="1350" t="s">
        <v>7450</v>
      </c>
      <c r="F476" s="1350" t="s">
        <v>5162</v>
      </c>
      <c r="G476" s="1351" t="s">
        <v>5557</v>
      </c>
      <c r="H476" s="1342" t="s">
        <v>1327</v>
      </c>
      <c r="I476" s="432" t="s">
        <v>1545</v>
      </c>
      <c r="J476" s="431"/>
      <c r="K476" s="431"/>
      <c r="L476" s="431"/>
      <c r="M476" s="433" t="s">
        <v>5422</v>
      </c>
      <c r="N476" s="434" t="s">
        <v>1299</v>
      </c>
      <c r="O476" s="1743" t="str">
        <f>VLOOKUP(B476,code_famille_scénario,2)&amp;VLOOKUP(C476,code_actif,2)&amp;" due "&amp;VLOOKUP(I476,code_event,2)&amp;", "&amp;VLOOKUP(M476,code_process,2)</f>
        <v>Pollution accidentelle de programmes de services applicatifs due à une erreur de procédure, lors d'une opération de maintenance à chaud</v>
      </c>
      <c r="P476" s="435">
        <v>1</v>
      </c>
      <c r="Q476" s="1595" t="s">
        <v>1431</v>
      </c>
      <c r="R476" s="1595" t="s">
        <v>1873</v>
      </c>
      <c r="S476" s="1595" t="str">
        <f>Classif!C23</f>
        <v/>
      </c>
      <c r="T476" s="1595">
        <f t="shared" si="294"/>
        <v>3</v>
      </c>
      <c r="U476" s="1744" t="str">
        <f t="shared" si="295"/>
        <v/>
      </c>
      <c r="V476" s="1745">
        <v>1</v>
      </c>
      <c r="W476" s="1745">
        <f>S10B06</f>
        <v>1</v>
      </c>
      <c r="X476" s="1745">
        <v>1</v>
      </c>
      <c r="Y476" s="1745">
        <f t="shared" si="304"/>
        <v>1</v>
      </c>
      <c r="Z476" s="1746">
        <v>0</v>
      </c>
      <c r="AA476" s="1747"/>
      <c r="AB476" s="1748"/>
      <c r="AC476" s="1748"/>
      <c r="AD476" s="1595" t="str">
        <f t="shared" si="292"/>
        <v/>
      </c>
      <c r="AE476" s="1595">
        <f t="shared" si="297"/>
        <v>3</v>
      </c>
      <c r="AF476" s="1595" t="str">
        <f t="shared" si="298"/>
        <v/>
      </c>
      <c r="AG476" s="1748"/>
      <c r="AH476" s="1749" t="str">
        <f t="shared" si="293"/>
        <v/>
      </c>
      <c r="AI476" s="1615"/>
      <c r="AJ476" s="1616" t="s">
        <v>3226</v>
      </c>
      <c r="AK476" s="1616"/>
      <c r="AL476" s="1617" t="s">
        <v>4954</v>
      </c>
      <c r="AM476" s="247" t="str">
        <f t="shared" si="286"/>
        <v/>
      </c>
      <c r="AN476" s="247" t="str">
        <f t="shared" si="287"/>
        <v/>
      </c>
      <c r="AO476" s="247" t="str">
        <f t="shared" si="288"/>
        <v/>
      </c>
      <c r="AP476" s="247" t="str">
        <f t="shared" si="289"/>
        <v/>
      </c>
      <c r="AQ476" s="42">
        <f t="shared" si="299"/>
        <v>1</v>
      </c>
      <c r="AR476" s="42">
        <f t="shared" si="300"/>
        <v>1</v>
      </c>
      <c r="AS476" s="42">
        <f t="shared" si="301"/>
        <v>1</v>
      </c>
      <c r="AT476" s="42">
        <f t="shared" si="302"/>
        <v>1</v>
      </c>
      <c r="AU476" s="247" t="str">
        <f t="shared" si="290"/>
        <v/>
      </c>
      <c r="AV476" s="247" t="str">
        <f t="shared" si="291"/>
        <v/>
      </c>
    </row>
    <row r="477" spans="1:48" ht="24" x14ac:dyDescent="0.2">
      <c r="A477" s="428" t="s">
        <v>515</v>
      </c>
      <c r="B477" s="429" t="s">
        <v>5631</v>
      </c>
      <c r="C477" s="430" t="s">
        <v>2787</v>
      </c>
      <c r="D477" s="1349" t="s">
        <v>1873</v>
      </c>
      <c r="E477" s="1350" t="s">
        <v>7450</v>
      </c>
      <c r="F477" s="1350" t="s">
        <v>5162</v>
      </c>
      <c r="G477" s="1351" t="s">
        <v>5557</v>
      </c>
      <c r="H477" s="1342" t="s">
        <v>1465</v>
      </c>
      <c r="I477" s="432" t="s">
        <v>1880</v>
      </c>
      <c r="J477" s="431"/>
      <c r="K477" s="431"/>
      <c r="L477" s="431"/>
      <c r="M477" s="433"/>
      <c r="N477" s="434"/>
      <c r="O477" s="1743" t="str">
        <f>VLOOKUP(B477,code_famille_scénario,2)&amp;VLOOKUP(C477,code_actif,2)&amp;" due "&amp;VLOOKUP(I477,code_event,2)</f>
        <v>Pollution accidentelle de programmes de services applicatifs due à un incident d'exploitation</v>
      </c>
      <c r="P477" s="435">
        <v>1</v>
      </c>
      <c r="Q477" s="1595" t="s">
        <v>1431</v>
      </c>
      <c r="R477" s="1595" t="s">
        <v>1873</v>
      </c>
      <c r="S477" s="1595" t="str">
        <f>Classif!C23</f>
        <v/>
      </c>
      <c r="T477" s="1595">
        <f t="shared" si="294"/>
        <v>3</v>
      </c>
      <c r="U477" s="1744" t="str">
        <f t="shared" si="295"/>
        <v/>
      </c>
      <c r="V477" s="1745">
        <v>1</v>
      </c>
      <c r="W477" s="1745">
        <v>1</v>
      </c>
      <c r="X477" s="1745">
        <f>S08E02</f>
        <v>1</v>
      </c>
      <c r="Y477" s="1745">
        <f t="shared" si="304"/>
        <v>1</v>
      </c>
      <c r="Z477" s="1746">
        <v>0</v>
      </c>
      <c r="AA477" s="1747"/>
      <c r="AB477" s="1748"/>
      <c r="AC477" s="1748"/>
      <c r="AD477" s="1595" t="str">
        <f t="shared" si="292"/>
        <v/>
      </c>
      <c r="AE477" s="1595">
        <f t="shared" si="297"/>
        <v>3</v>
      </c>
      <c r="AF477" s="1595" t="str">
        <f t="shared" si="298"/>
        <v/>
      </c>
      <c r="AG477" s="1748"/>
      <c r="AH477" s="1749" t="str">
        <f t="shared" si="293"/>
        <v/>
      </c>
      <c r="AI477" s="1615"/>
      <c r="AJ477" s="1616"/>
      <c r="AK477" s="1616" t="s">
        <v>1498</v>
      </c>
      <c r="AL477" s="1617" t="s">
        <v>4954</v>
      </c>
      <c r="AM477" s="247" t="str">
        <f t="shared" si="286"/>
        <v/>
      </c>
      <c r="AN477" s="247" t="str">
        <f t="shared" si="287"/>
        <v/>
      </c>
      <c r="AO477" s="247" t="str">
        <f t="shared" si="288"/>
        <v/>
      </c>
      <c r="AP477" s="247" t="str">
        <f t="shared" si="289"/>
        <v/>
      </c>
      <c r="AQ477" s="42">
        <f t="shared" si="299"/>
        <v>1</v>
      </c>
      <c r="AR477" s="42">
        <f t="shared" si="300"/>
        <v>1</v>
      </c>
      <c r="AS477" s="42">
        <f t="shared" si="301"/>
        <v>1</v>
      </c>
      <c r="AT477" s="42">
        <f t="shared" si="302"/>
        <v>1</v>
      </c>
      <c r="AU477" s="247" t="str">
        <f t="shared" si="290"/>
        <v/>
      </c>
      <c r="AV477" s="247" t="str">
        <f t="shared" si="291"/>
        <v/>
      </c>
    </row>
    <row r="478" spans="1:48" ht="33.75" x14ac:dyDescent="0.2">
      <c r="A478" s="428" t="s">
        <v>516</v>
      </c>
      <c r="B478" s="429" t="s">
        <v>5576</v>
      </c>
      <c r="C478" s="430" t="s">
        <v>2787</v>
      </c>
      <c r="D478" s="1349" t="s">
        <v>1873</v>
      </c>
      <c r="E478" s="1350" t="s">
        <v>7450</v>
      </c>
      <c r="F478" s="1350" t="s">
        <v>5162</v>
      </c>
      <c r="G478" s="1351" t="s">
        <v>5557</v>
      </c>
      <c r="H478" s="1342" t="s">
        <v>1328</v>
      </c>
      <c r="I478" s="432" t="s">
        <v>1548</v>
      </c>
      <c r="J478" s="431"/>
      <c r="K478" s="431"/>
      <c r="L478" s="431"/>
      <c r="M478" s="433" t="s">
        <v>1880</v>
      </c>
      <c r="N478" s="434" t="s">
        <v>1302</v>
      </c>
      <c r="O478" s="1743" t="str">
        <f>VLOOKUP(B478,code_famille_scénario,2)&amp;VLOOKUP(C478,code_actif,2)&amp;" "&amp;VLOOKUP(M478,code_process,2)&amp;" par "&amp;VLOOKUP(N478,code_acteur,2)</f>
        <v>Pollution malveillante de programmes de services applicatifs en exploitation par un utilisateur autorisé illégitime</v>
      </c>
      <c r="P478" s="435">
        <v>1</v>
      </c>
      <c r="Q478" s="1595" t="s">
        <v>1299</v>
      </c>
      <c r="R478" s="1595" t="s">
        <v>1873</v>
      </c>
      <c r="S478" s="1595" t="str">
        <f>Classif!C23</f>
        <v/>
      </c>
      <c r="T478" s="1595">
        <f t="shared" si="294"/>
        <v>3</v>
      </c>
      <c r="U478" s="1744" t="str">
        <f t="shared" si="295"/>
        <v/>
      </c>
      <c r="V478" s="1745">
        <v>1</v>
      </c>
      <c r="W478" s="1745">
        <f>MAX(MIN(S07A01,S07A02,S08F01),MIN(S09A01,S09A02))</f>
        <v>1</v>
      </c>
      <c r="X478" s="1745">
        <v>1</v>
      </c>
      <c r="Y478" s="1745">
        <f t="shared" si="304"/>
        <v>1</v>
      </c>
      <c r="Z478" s="1746">
        <v>0</v>
      </c>
      <c r="AA478" s="1747"/>
      <c r="AB478" s="1748"/>
      <c r="AC478" s="1748"/>
      <c r="AD478" s="1595" t="str">
        <f t="shared" si="292"/>
        <v/>
      </c>
      <c r="AE478" s="1595">
        <f t="shared" si="297"/>
        <v>3</v>
      </c>
      <c r="AF478" s="1595" t="str">
        <f t="shared" si="298"/>
        <v/>
      </c>
      <c r="AG478" s="1748"/>
      <c r="AH478" s="1749" t="str">
        <f t="shared" si="293"/>
        <v/>
      </c>
      <c r="AI478" s="1620"/>
      <c r="AJ478" s="1616" t="s">
        <v>6283</v>
      </c>
      <c r="AK478" s="1616"/>
      <c r="AL478" s="1617" t="s">
        <v>4954</v>
      </c>
      <c r="AM478" s="247" t="str">
        <f t="shared" si="286"/>
        <v/>
      </c>
      <c r="AN478" s="247" t="str">
        <f t="shared" si="287"/>
        <v/>
      </c>
      <c r="AO478" s="247" t="str">
        <f t="shared" si="288"/>
        <v/>
      </c>
      <c r="AP478" s="247" t="str">
        <f t="shared" si="289"/>
        <v/>
      </c>
      <c r="AQ478" s="42">
        <f t="shared" si="299"/>
        <v>1</v>
      </c>
      <c r="AR478" s="42">
        <f t="shared" si="300"/>
        <v>1</v>
      </c>
      <c r="AS478" s="42">
        <f t="shared" si="301"/>
        <v>1</v>
      </c>
      <c r="AT478" s="42">
        <f t="shared" si="302"/>
        <v>1</v>
      </c>
      <c r="AU478" s="247" t="str">
        <f t="shared" si="290"/>
        <v/>
      </c>
      <c r="AV478" s="247" t="str">
        <f t="shared" si="291"/>
        <v/>
      </c>
    </row>
    <row r="479" spans="1:48" ht="33.75" x14ac:dyDescent="0.2">
      <c r="A479" s="428" t="s">
        <v>517</v>
      </c>
      <c r="B479" s="429" t="s">
        <v>5576</v>
      </c>
      <c r="C479" s="430" t="s">
        <v>2787</v>
      </c>
      <c r="D479" s="1349" t="s">
        <v>1873</v>
      </c>
      <c r="E479" s="1350" t="s">
        <v>7450</v>
      </c>
      <c r="F479" s="1350" t="s">
        <v>5162</v>
      </c>
      <c r="G479" s="1351" t="s">
        <v>5557</v>
      </c>
      <c r="H479" s="1342" t="s">
        <v>1328</v>
      </c>
      <c r="I479" s="432" t="s">
        <v>1548</v>
      </c>
      <c r="J479" s="431"/>
      <c r="K479" s="431"/>
      <c r="L479" s="431"/>
      <c r="M479" s="433" t="s">
        <v>1880</v>
      </c>
      <c r="N479" s="434" t="s">
        <v>1303</v>
      </c>
      <c r="O479" s="1743" t="str">
        <f>VLOOKUP(B479,code_famille_scénario,2)&amp;VLOOKUP(C479,code_actif,2)&amp;" "&amp;VLOOKUP(M479,code_process,2)&amp;" par "&amp;VLOOKUP(N479,code_acteur,2)</f>
        <v>Pollution malveillante de programmes de services applicatifs en exploitation par un utilisateur non autorisé</v>
      </c>
      <c r="P479" s="435">
        <v>1</v>
      </c>
      <c r="Q479" s="1595" t="s">
        <v>1299</v>
      </c>
      <c r="R479" s="1595" t="s">
        <v>1873</v>
      </c>
      <c r="S479" s="1595" t="str">
        <f>Classif!C23</f>
        <v/>
      </c>
      <c r="T479" s="1595">
        <f t="shared" si="294"/>
        <v>3</v>
      </c>
      <c r="U479" s="1744" t="str">
        <f t="shared" si="295"/>
        <v/>
      </c>
      <c r="V479" s="1745">
        <v>1</v>
      </c>
      <c r="W479" s="1745">
        <f>MAX(MIN(S07A03,S07A04,S08F02),MIN(S09A03,S09A04))</f>
        <v>1</v>
      </c>
      <c r="X479" s="1745">
        <v>1</v>
      </c>
      <c r="Y479" s="1745">
        <f t="shared" si="304"/>
        <v>1</v>
      </c>
      <c r="Z479" s="1746">
        <v>0</v>
      </c>
      <c r="AA479" s="1747"/>
      <c r="AB479" s="1748"/>
      <c r="AC479" s="1748"/>
      <c r="AD479" s="1595" t="str">
        <f t="shared" si="292"/>
        <v/>
      </c>
      <c r="AE479" s="1595">
        <f t="shared" si="297"/>
        <v>3</v>
      </c>
      <c r="AF479" s="1595" t="str">
        <f t="shared" si="298"/>
        <v/>
      </c>
      <c r="AG479" s="1748"/>
      <c r="AH479" s="1749" t="str">
        <f t="shared" si="293"/>
        <v/>
      </c>
      <c r="AI479" s="1620"/>
      <c r="AJ479" s="1616" t="s">
        <v>5180</v>
      </c>
      <c r="AK479" s="1616"/>
      <c r="AL479" s="1617" t="s">
        <v>4954</v>
      </c>
      <c r="AM479" s="247" t="str">
        <f t="shared" si="286"/>
        <v/>
      </c>
      <c r="AN479" s="247" t="str">
        <f t="shared" si="287"/>
        <v/>
      </c>
      <c r="AO479" s="247" t="str">
        <f t="shared" si="288"/>
        <v/>
      </c>
      <c r="AP479" s="247" t="str">
        <f t="shared" si="289"/>
        <v/>
      </c>
      <c r="AQ479" s="42">
        <f t="shared" si="299"/>
        <v>1</v>
      </c>
      <c r="AR479" s="42">
        <f t="shared" si="300"/>
        <v>1</v>
      </c>
      <c r="AS479" s="42">
        <f t="shared" si="301"/>
        <v>1</v>
      </c>
      <c r="AT479" s="42">
        <f t="shared" si="302"/>
        <v>1</v>
      </c>
      <c r="AU479" s="247" t="str">
        <f t="shared" si="290"/>
        <v/>
      </c>
      <c r="AV479" s="247" t="str">
        <f t="shared" si="291"/>
        <v/>
      </c>
    </row>
    <row r="480" spans="1:48" ht="24" x14ac:dyDescent="0.2">
      <c r="A480" s="428" t="s">
        <v>518</v>
      </c>
      <c r="B480" s="429" t="s">
        <v>5576</v>
      </c>
      <c r="C480" s="430" t="s">
        <v>2787</v>
      </c>
      <c r="D480" s="1349" t="s">
        <v>1873</v>
      </c>
      <c r="E480" s="1350" t="s">
        <v>7450</v>
      </c>
      <c r="F480" s="1350" t="s">
        <v>5162</v>
      </c>
      <c r="G480" s="1351" t="s">
        <v>5557</v>
      </c>
      <c r="H480" s="1342" t="s">
        <v>1328</v>
      </c>
      <c r="I480" s="432" t="s">
        <v>1548</v>
      </c>
      <c r="J480" s="431"/>
      <c r="K480" s="431"/>
      <c r="L480" s="431"/>
      <c r="M480" s="433" t="s">
        <v>1880</v>
      </c>
      <c r="N480" s="434" t="s">
        <v>6403</v>
      </c>
      <c r="O480" s="1743" t="str">
        <f>VLOOKUP(B480,code_famille_scénario,2)&amp;VLOOKUP(C480,code_actif,2)&amp;" "&amp;VLOOKUP(M480,code_process,2)&amp;" par "&amp;VLOOKUP(N480,code_acteur,2)</f>
        <v>Pollution malveillante de programmes de services applicatifs en exploitation par un membre du personnel d'exploitation</v>
      </c>
      <c r="P480" s="435">
        <v>1</v>
      </c>
      <c r="Q480" s="1595" t="s">
        <v>1299</v>
      </c>
      <c r="R480" s="1595" t="s">
        <v>1873</v>
      </c>
      <c r="S480" s="1595" t="str">
        <f>Classif!C23</f>
        <v/>
      </c>
      <c r="T480" s="1595">
        <f t="shared" si="294"/>
        <v>3</v>
      </c>
      <c r="U480" s="1744" t="str">
        <f t="shared" si="295"/>
        <v/>
      </c>
      <c r="V480" s="1745">
        <f>MIN(S08F02,S08F03)</f>
        <v>1</v>
      </c>
      <c r="W480" s="1745">
        <v>1</v>
      </c>
      <c r="X480" s="1745">
        <v>1</v>
      </c>
      <c r="Y480" s="1745">
        <f t="shared" si="304"/>
        <v>1</v>
      </c>
      <c r="Z480" s="1746">
        <v>0</v>
      </c>
      <c r="AA480" s="1747"/>
      <c r="AB480" s="1748"/>
      <c r="AC480" s="1748"/>
      <c r="AD480" s="1595" t="str">
        <f t="shared" si="292"/>
        <v/>
      </c>
      <c r="AE480" s="1595">
        <f t="shared" si="297"/>
        <v>3</v>
      </c>
      <c r="AF480" s="1595" t="str">
        <f t="shared" si="298"/>
        <v/>
      </c>
      <c r="AG480" s="1748"/>
      <c r="AH480" s="1749" t="str">
        <f t="shared" si="293"/>
        <v/>
      </c>
      <c r="AI480" s="1622" t="s">
        <v>6495</v>
      </c>
      <c r="AJ480" s="1616"/>
      <c r="AK480" s="1618"/>
      <c r="AL480" s="1617" t="s">
        <v>4954</v>
      </c>
      <c r="AM480" s="247" t="str">
        <f t="shared" si="286"/>
        <v/>
      </c>
      <c r="AN480" s="247" t="str">
        <f t="shared" si="287"/>
        <v/>
      </c>
      <c r="AO480" s="247" t="str">
        <f t="shared" si="288"/>
        <v/>
      </c>
      <c r="AP480" s="247" t="str">
        <f t="shared" si="289"/>
        <v/>
      </c>
      <c r="AQ480" s="42">
        <f t="shared" si="299"/>
        <v>1</v>
      </c>
      <c r="AR480" s="42">
        <f t="shared" si="300"/>
        <v>1</v>
      </c>
      <c r="AS480" s="42">
        <f t="shared" si="301"/>
        <v>1</v>
      </c>
      <c r="AT480" s="42">
        <f t="shared" si="302"/>
        <v>1</v>
      </c>
      <c r="AU480" s="247" t="str">
        <f t="shared" si="290"/>
        <v/>
      </c>
      <c r="AV480" s="247" t="str">
        <f t="shared" si="291"/>
        <v/>
      </c>
    </row>
    <row r="481" spans="1:48" ht="24" x14ac:dyDescent="0.2">
      <c r="A481" s="428" t="s">
        <v>519</v>
      </c>
      <c r="B481" s="429" t="s">
        <v>5576</v>
      </c>
      <c r="C481" s="430" t="s">
        <v>2787</v>
      </c>
      <c r="D481" s="1349" t="s">
        <v>1873</v>
      </c>
      <c r="E481" s="1350" t="s">
        <v>7450</v>
      </c>
      <c r="F481" s="1350" t="s">
        <v>5162</v>
      </c>
      <c r="G481" s="1351" t="s">
        <v>5557</v>
      </c>
      <c r="H481" s="1342" t="s">
        <v>1328</v>
      </c>
      <c r="I481" s="432" t="s">
        <v>1548</v>
      </c>
      <c r="J481" s="431"/>
      <c r="K481" s="431"/>
      <c r="L481" s="431"/>
      <c r="M481" s="433" t="s">
        <v>1880</v>
      </c>
      <c r="N481" s="434" t="s">
        <v>1299</v>
      </c>
      <c r="O481" s="1743" t="str">
        <f>VLOOKUP(B481,code_famille_scénario,2)&amp;VLOOKUP(C481,code_actif,2)&amp;" "&amp;VLOOKUP(M481,code_process,2)&amp;" par "&amp;VLOOKUP(N481,code_acteur,2)</f>
        <v>Pollution malveillante de programmes de services applicatifs en exploitation par un membre du personnel de maintenance</v>
      </c>
      <c r="P481" s="435">
        <v>1</v>
      </c>
      <c r="Q481" s="1595" t="s">
        <v>1299</v>
      </c>
      <c r="R481" s="1595" t="s">
        <v>1873</v>
      </c>
      <c r="S481" s="1595" t="str">
        <f>Classif!C23</f>
        <v/>
      </c>
      <c r="T481" s="1595">
        <f t="shared" si="294"/>
        <v>3</v>
      </c>
      <c r="U481" s="1744" t="str">
        <f t="shared" si="295"/>
        <v/>
      </c>
      <c r="V481" s="1745">
        <f>MIN(S08F02,S08F03)</f>
        <v>1</v>
      </c>
      <c r="W481" s="1745">
        <f>S10B05</f>
        <v>1</v>
      </c>
      <c r="X481" s="1745">
        <v>1</v>
      </c>
      <c r="Y481" s="1745">
        <f t="shared" si="304"/>
        <v>1</v>
      </c>
      <c r="Z481" s="1746">
        <v>0</v>
      </c>
      <c r="AA481" s="1747"/>
      <c r="AB481" s="1748"/>
      <c r="AC481" s="1748"/>
      <c r="AD481" s="1595" t="str">
        <f t="shared" si="292"/>
        <v/>
      </c>
      <c r="AE481" s="1595">
        <f t="shared" si="297"/>
        <v>3</v>
      </c>
      <c r="AF481" s="1595" t="str">
        <f t="shared" si="298"/>
        <v/>
      </c>
      <c r="AG481" s="1748"/>
      <c r="AH481" s="1749" t="str">
        <f t="shared" si="293"/>
        <v/>
      </c>
      <c r="AI481" s="1622" t="s">
        <v>6495</v>
      </c>
      <c r="AJ481" s="1616" t="s">
        <v>3224</v>
      </c>
      <c r="AK481" s="1618"/>
      <c r="AL481" s="1617" t="s">
        <v>4954</v>
      </c>
      <c r="AM481" s="247" t="str">
        <f t="shared" si="286"/>
        <v/>
      </c>
      <c r="AN481" s="247" t="str">
        <f t="shared" si="287"/>
        <v/>
      </c>
      <c r="AO481" s="247" t="str">
        <f t="shared" si="288"/>
        <v/>
      </c>
      <c r="AP481" s="247" t="str">
        <f t="shared" si="289"/>
        <v/>
      </c>
      <c r="AQ481" s="42">
        <f t="shared" si="299"/>
        <v>1</v>
      </c>
      <c r="AR481" s="42">
        <f t="shared" si="300"/>
        <v>1</v>
      </c>
      <c r="AS481" s="42">
        <f t="shared" si="301"/>
        <v>1</v>
      </c>
      <c r="AT481" s="42">
        <f t="shared" si="302"/>
        <v>1</v>
      </c>
      <c r="AU481" s="247" t="str">
        <f t="shared" si="290"/>
        <v/>
      </c>
      <c r="AV481" s="247" t="str">
        <f t="shared" si="291"/>
        <v/>
      </c>
    </row>
    <row r="482" spans="1:48" ht="24" x14ac:dyDescent="0.2">
      <c r="A482" s="428" t="s">
        <v>520</v>
      </c>
      <c r="B482" s="429" t="s">
        <v>4476</v>
      </c>
      <c r="C482" s="430" t="s">
        <v>2787</v>
      </c>
      <c r="D482" s="1349" t="s">
        <v>1873</v>
      </c>
      <c r="E482" s="1361" t="s">
        <v>1861</v>
      </c>
      <c r="F482" s="1350" t="s">
        <v>1875</v>
      </c>
      <c r="G482" s="1351" t="s">
        <v>6070</v>
      </c>
      <c r="H482" s="1342" t="s">
        <v>3919</v>
      </c>
      <c r="I482" s="432" t="s">
        <v>1535</v>
      </c>
      <c r="J482" s="431" t="s">
        <v>1880</v>
      </c>
      <c r="K482" s="438"/>
      <c r="L482" s="438"/>
      <c r="M482" s="439"/>
      <c r="N482" s="440"/>
      <c r="O482" s="1743" t="str">
        <f>VLOOKUP(B482,code_famille_scénario,2)&amp;VLOOKUP(C482,code_actif,2)&amp;", "&amp;VLOOKUP(J482,Code_lieu,2)&amp;", suite "&amp;VLOOKUP(I482,code_event,2)</f>
        <v>Perte, par destruction accidentelle, de media support de programme de services applicatifs, dans les locaux de l'exploitation, suite à un incendie</v>
      </c>
      <c r="P482" s="435">
        <v>1</v>
      </c>
      <c r="Q482" s="1595" t="s">
        <v>1431</v>
      </c>
      <c r="R482" s="1595" t="s">
        <v>1873</v>
      </c>
      <c r="S482" s="1595" t="str">
        <f>Classif!C23</f>
        <v/>
      </c>
      <c r="T482" s="1595">
        <f t="shared" si="294"/>
        <v>2</v>
      </c>
      <c r="U482" s="1744" t="str">
        <f t="shared" si="295"/>
        <v/>
      </c>
      <c r="V482" s="1745">
        <v>1</v>
      </c>
      <c r="W482" s="1745">
        <f>S03D01</f>
        <v>1</v>
      </c>
      <c r="X482" s="1745">
        <v>1</v>
      </c>
      <c r="Y482" s="1745">
        <f t="shared" si="304"/>
        <v>1</v>
      </c>
      <c r="Z482" s="1746">
        <v>0</v>
      </c>
      <c r="AA482" s="1747"/>
      <c r="AB482" s="1748"/>
      <c r="AC482" s="1748"/>
      <c r="AD482" s="1595" t="str">
        <f t="shared" si="292"/>
        <v/>
      </c>
      <c r="AE482" s="1595">
        <f t="shared" si="297"/>
        <v>2</v>
      </c>
      <c r="AF482" s="1595" t="str">
        <f t="shared" si="298"/>
        <v/>
      </c>
      <c r="AG482" s="1748"/>
      <c r="AH482" s="1749" t="str">
        <f t="shared" si="293"/>
        <v/>
      </c>
      <c r="AI482" s="1615"/>
      <c r="AJ482" s="1621" t="s">
        <v>5225</v>
      </c>
      <c r="AK482" s="1618"/>
      <c r="AL482" s="1617" t="s">
        <v>4954</v>
      </c>
      <c r="AM482" s="247" t="str">
        <f t="shared" si="286"/>
        <v/>
      </c>
      <c r="AN482" s="247" t="str">
        <f t="shared" si="287"/>
        <v/>
      </c>
      <c r="AO482" s="247" t="str">
        <f t="shared" si="288"/>
        <v/>
      </c>
      <c r="AP482" s="247" t="str">
        <f t="shared" si="289"/>
        <v/>
      </c>
      <c r="AQ482" s="42">
        <f t="shared" si="299"/>
        <v>1</v>
      </c>
      <c r="AR482" s="42">
        <f t="shared" si="300"/>
        <v>1</v>
      </c>
      <c r="AS482" s="42">
        <f t="shared" si="301"/>
        <v>1</v>
      </c>
      <c r="AT482" s="42">
        <f t="shared" si="302"/>
        <v>1</v>
      </c>
      <c r="AU482" s="247" t="str">
        <f t="shared" si="290"/>
        <v/>
      </c>
      <c r="AV482" s="247" t="str">
        <f t="shared" si="291"/>
        <v/>
      </c>
    </row>
    <row r="483" spans="1:48" ht="24" x14ac:dyDescent="0.2">
      <c r="A483" s="428" t="s">
        <v>521</v>
      </c>
      <c r="B483" s="429" t="s">
        <v>4476</v>
      </c>
      <c r="C483" s="430" t="s">
        <v>2787</v>
      </c>
      <c r="D483" s="1349" t="s">
        <v>1873</v>
      </c>
      <c r="E483" s="1361" t="s">
        <v>1861</v>
      </c>
      <c r="F483" s="1350" t="s">
        <v>1875</v>
      </c>
      <c r="G483" s="1351" t="s">
        <v>6070</v>
      </c>
      <c r="H483" s="1342" t="s">
        <v>3919</v>
      </c>
      <c r="I483" s="432" t="s">
        <v>1536</v>
      </c>
      <c r="J483" s="431" t="s">
        <v>1880</v>
      </c>
      <c r="K483" s="438"/>
      <c r="L483" s="438"/>
      <c r="M483" s="439"/>
      <c r="N483" s="440"/>
      <c r="O483" s="1743" t="str">
        <f>VLOOKUP(B483,code_famille_scénario,2)&amp;VLOOKUP(C483,code_actif,2)&amp;", "&amp;VLOOKUP(J483,Code_lieu,2)&amp;", suite "&amp;VLOOKUP(I483,code_event,2)</f>
        <v>Perte, par destruction accidentelle, de media support de programme de services applicatifs, dans les locaux de l'exploitation, suite à une inondation</v>
      </c>
      <c r="P483" s="435">
        <v>1</v>
      </c>
      <c r="Q483" s="1595" t="s">
        <v>1431</v>
      </c>
      <c r="R483" s="1595" t="s">
        <v>1873</v>
      </c>
      <c r="S483" s="1595" t="str">
        <f>Classif!C23</f>
        <v/>
      </c>
      <c r="T483" s="1595">
        <f t="shared" si="294"/>
        <v>2</v>
      </c>
      <c r="U483" s="1744" t="str">
        <f t="shared" si="295"/>
        <v/>
      </c>
      <c r="V483" s="1745">
        <v>1</v>
      </c>
      <c r="W483" s="1745">
        <v>1</v>
      </c>
      <c r="X483" s="1745">
        <v>1</v>
      </c>
      <c r="Y483" s="1745">
        <f t="shared" si="304"/>
        <v>1</v>
      </c>
      <c r="Z483" s="1746">
        <v>0</v>
      </c>
      <c r="AA483" s="1747"/>
      <c r="AB483" s="1748"/>
      <c r="AC483" s="1748"/>
      <c r="AD483" s="1595" t="str">
        <f t="shared" si="292"/>
        <v/>
      </c>
      <c r="AE483" s="1595">
        <f t="shared" si="297"/>
        <v>2</v>
      </c>
      <c r="AF483" s="1595" t="str">
        <f t="shared" si="298"/>
        <v/>
      </c>
      <c r="AG483" s="1748"/>
      <c r="AH483" s="1749" t="str">
        <f t="shared" si="293"/>
        <v/>
      </c>
      <c r="AI483" s="1615"/>
      <c r="AJ483" s="1621"/>
      <c r="AK483" s="1618"/>
      <c r="AL483" s="1617" t="s">
        <v>4954</v>
      </c>
      <c r="AM483" s="247" t="str">
        <f t="shared" si="286"/>
        <v/>
      </c>
      <c r="AN483" s="247" t="str">
        <f t="shared" si="287"/>
        <v/>
      </c>
      <c r="AO483" s="247" t="str">
        <f t="shared" si="288"/>
        <v/>
      </c>
      <c r="AP483" s="247" t="str">
        <f t="shared" si="289"/>
        <v/>
      </c>
      <c r="AQ483" s="42">
        <f t="shared" si="299"/>
        <v>1</v>
      </c>
      <c r="AR483" s="42">
        <f t="shared" si="300"/>
        <v>1</v>
      </c>
      <c r="AS483" s="42">
        <f t="shared" si="301"/>
        <v>1</v>
      </c>
      <c r="AT483" s="42">
        <f t="shared" si="302"/>
        <v>1</v>
      </c>
      <c r="AU483" s="247" t="str">
        <f t="shared" si="290"/>
        <v/>
      </c>
      <c r="AV483" s="247" t="str">
        <f t="shared" si="291"/>
        <v/>
      </c>
    </row>
    <row r="484" spans="1:48" ht="24" x14ac:dyDescent="0.2">
      <c r="A484" s="428" t="s">
        <v>522</v>
      </c>
      <c r="B484" s="429" t="s">
        <v>4476</v>
      </c>
      <c r="C484" s="430" t="s">
        <v>2787</v>
      </c>
      <c r="D484" s="1349" t="s">
        <v>1873</v>
      </c>
      <c r="E484" s="1361" t="s">
        <v>1861</v>
      </c>
      <c r="F484" s="1350" t="s">
        <v>1875</v>
      </c>
      <c r="G484" s="1351" t="s">
        <v>6070</v>
      </c>
      <c r="H484" s="1342" t="s">
        <v>3919</v>
      </c>
      <c r="I484" s="432" t="s">
        <v>1535</v>
      </c>
      <c r="J484" s="431" t="s">
        <v>1876</v>
      </c>
      <c r="K484" s="438"/>
      <c r="L484" s="438"/>
      <c r="M484" s="439"/>
      <c r="N484" s="440"/>
      <c r="O484" s="1743" t="str">
        <f>VLOOKUP(B484,code_famille_scénario,2)&amp;VLOOKUP(C484,code_actif,2)&amp;", "&amp;VLOOKUP(J484,Code_lieu,2)&amp;", suite "&amp;VLOOKUP(I484,code_event,2)</f>
        <v>Perte, par destruction accidentelle, de media support de programme de services applicatifs, en médiathèque, suite à un incendie</v>
      </c>
      <c r="P484" s="435">
        <v>1</v>
      </c>
      <c r="Q484" s="1595" t="s">
        <v>1431</v>
      </c>
      <c r="R484" s="1595" t="s">
        <v>1873</v>
      </c>
      <c r="S484" s="1595" t="str">
        <f>Classif!C23</f>
        <v/>
      </c>
      <c r="T484" s="1595">
        <f t="shared" si="294"/>
        <v>2</v>
      </c>
      <c r="U484" s="1744" t="str">
        <f t="shared" si="295"/>
        <v/>
      </c>
      <c r="V484" s="1745">
        <v>1</v>
      </c>
      <c r="W484" s="1745">
        <f>S03D01</f>
        <v>1</v>
      </c>
      <c r="X484" s="1745">
        <v>1</v>
      </c>
      <c r="Y484" s="1745">
        <f t="shared" si="304"/>
        <v>1</v>
      </c>
      <c r="Z484" s="1746">
        <v>0</v>
      </c>
      <c r="AA484" s="1747"/>
      <c r="AB484" s="1748"/>
      <c r="AC484" s="1748"/>
      <c r="AD484" s="1595" t="str">
        <f t="shared" si="292"/>
        <v/>
      </c>
      <c r="AE484" s="1595">
        <f t="shared" si="297"/>
        <v>2</v>
      </c>
      <c r="AF484" s="1595" t="str">
        <f t="shared" si="298"/>
        <v/>
      </c>
      <c r="AG484" s="1748"/>
      <c r="AH484" s="1749" t="str">
        <f t="shared" si="293"/>
        <v/>
      </c>
      <c r="AI484" s="1615"/>
      <c r="AJ484" s="1621" t="s">
        <v>5225</v>
      </c>
      <c r="AK484" s="1618"/>
      <c r="AL484" s="1617" t="s">
        <v>4954</v>
      </c>
      <c r="AM484" s="247" t="str">
        <f t="shared" si="286"/>
        <v/>
      </c>
      <c r="AN484" s="247" t="str">
        <f t="shared" si="287"/>
        <v/>
      </c>
      <c r="AO484" s="247" t="str">
        <f t="shared" si="288"/>
        <v/>
      </c>
      <c r="AP484" s="247" t="str">
        <f t="shared" si="289"/>
        <v/>
      </c>
      <c r="AQ484" s="42">
        <f t="shared" si="299"/>
        <v>1</v>
      </c>
      <c r="AR484" s="42">
        <f t="shared" si="300"/>
        <v>1</v>
      </c>
      <c r="AS484" s="42">
        <f t="shared" si="301"/>
        <v>1</v>
      </c>
      <c r="AT484" s="42">
        <f t="shared" si="302"/>
        <v>1</v>
      </c>
      <c r="AU484" s="247" t="str">
        <f t="shared" si="290"/>
        <v/>
      </c>
      <c r="AV484" s="247" t="str">
        <f t="shared" si="291"/>
        <v/>
      </c>
    </row>
    <row r="485" spans="1:48" ht="24" x14ac:dyDescent="0.2">
      <c r="A485" s="428" t="s">
        <v>523</v>
      </c>
      <c r="B485" s="429" t="s">
        <v>4476</v>
      </c>
      <c r="C485" s="430" t="s">
        <v>2787</v>
      </c>
      <c r="D485" s="1349" t="s">
        <v>1873</v>
      </c>
      <c r="E485" s="1361" t="s">
        <v>1861</v>
      </c>
      <c r="F485" s="1350" t="s">
        <v>1875</v>
      </c>
      <c r="G485" s="1351" t="s">
        <v>6070</v>
      </c>
      <c r="H485" s="1342" t="s">
        <v>3919</v>
      </c>
      <c r="I485" s="432" t="s">
        <v>1536</v>
      </c>
      <c r="J485" s="431" t="s">
        <v>1876</v>
      </c>
      <c r="K485" s="438"/>
      <c r="L485" s="438"/>
      <c r="M485" s="439"/>
      <c r="N485" s="440"/>
      <c r="O485" s="1743" t="str">
        <f>VLOOKUP(B485,code_famille_scénario,2)&amp;VLOOKUP(C485,code_actif,2)&amp;", "&amp;VLOOKUP(J485,Code_lieu,2)&amp;", suite "&amp;VLOOKUP(I485,code_event,2)</f>
        <v>Perte, par destruction accidentelle, de media support de programme de services applicatifs, en médiathèque, suite à une inondation</v>
      </c>
      <c r="P485" s="435">
        <v>1</v>
      </c>
      <c r="Q485" s="1595" t="s">
        <v>1431</v>
      </c>
      <c r="R485" s="1595" t="s">
        <v>1873</v>
      </c>
      <c r="S485" s="1595" t="str">
        <f>Classif!C23</f>
        <v/>
      </c>
      <c r="T485" s="1595">
        <f t="shared" si="294"/>
        <v>2</v>
      </c>
      <c r="U485" s="1744" t="str">
        <f t="shared" si="295"/>
        <v/>
      </c>
      <c r="V485" s="1745">
        <v>1</v>
      </c>
      <c r="W485" s="1745">
        <v>1</v>
      </c>
      <c r="X485" s="1745">
        <v>1</v>
      </c>
      <c r="Y485" s="1745">
        <f t="shared" si="304"/>
        <v>1</v>
      </c>
      <c r="Z485" s="1746">
        <v>0</v>
      </c>
      <c r="AA485" s="1747"/>
      <c r="AB485" s="1748"/>
      <c r="AC485" s="1748"/>
      <c r="AD485" s="1595" t="str">
        <f t="shared" si="292"/>
        <v/>
      </c>
      <c r="AE485" s="1595">
        <f t="shared" si="297"/>
        <v>2</v>
      </c>
      <c r="AF485" s="1595" t="str">
        <f t="shared" si="298"/>
        <v/>
      </c>
      <c r="AG485" s="1748"/>
      <c r="AH485" s="1749" t="str">
        <f t="shared" si="293"/>
        <v/>
      </c>
      <c r="AI485" s="1615"/>
      <c r="AJ485" s="1621"/>
      <c r="AK485" s="1618"/>
      <c r="AL485" s="1617" t="s">
        <v>4954</v>
      </c>
      <c r="AM485" s="247" t="str">
        <f t="shared" si="286"/>
        <v/>
      </c>
      <c r="AN485" s="247" t="str">
        <f t="shared" si="287"/>
        <v/>
      </c>
      <c r="AO485" s="247" t="str">
        <f t="shared" si="288"/>
        <v/>
      </c>
      <c r="AP485" s="247" t="str">
        <f t="shared" si="289"/>
        <v/>
      </c>
      <c r="AQ485" s="42">
        <f t="shared" si="299"/>
        <v>1</v>
      </c>
      <c r="AR485" s="42">
        <f t="shared" si="300"/>
        <v>1</v>
      </c>
      <c r="AS485" s="42">
        <f t="shared" si="301"/>
        <v>1</v>
      </c>
      <c r="AT485" s="42">
        <f t="shared" si="302"/>
        <v>1</v>
      </c>
      <c r="AU485" s="247" t="str">
        <f t="shared" si="290"/>
        <v/>
      </c>
      <c r="AV485" s="247" t="str">
        <f t="shared" si="291"/>
        <v/>
      </c>
    </row>
    <row r="486" spans="1:48" ht="24" x14ac:dyDescent="0.2">
      <c r="A486" s="428" t="s">
        <v>524</v>
      </c>
      <c r="B486" s="429" t="s">
        <v>4479</v>
      </c>
      <c r="C486" s="430" t="s">
        <v>2787</v>
      </c>
      <c r="D486" s="1349" t="s">
        <v>1873</v>
      </c>
      <c r="E486" s="1361" t="s">
        <v>1861</v>
      </c>
      <c r="F486" s="1350" t="s">
        <v>4498</v>
      </c>
      <c r="G486" s="1351" t="s">
        <v>6071</v>
      </c>
      <c r="H486" s="1342" t="s">
        <v>1327</v>
      </c>
      <c r="I486" s="432" t="s">
        <v>2506</v>
      </c>
      <c r="J486" s="431" t="s">
        <v>1876</v>
      </c>
      <c r="K486" s="431"/>
      <c r="L486" s="431"/>
      <c r="M486" s="433"/>
      <c r="N486" s="434"/>
      <c r="O486" s="1743" t="str">
        <f>VLOOKUP(B486,code_famille_scénario,2)&amp;VLOOKUP(C486,code_actif,2)&amp;", "&amp;VLOOKUP(J486,Code_lieu,2)</f>
        <v>Perte, par disparition accidentelle, de media support de programme de services applicatifs, en médiathèque</v>
      </c>
      <c r="P486" s="435">
        <v>1</v>
      </c>
      <c r="Q486" s="1595" t="s">
        <v>1431</v>
      </c>
      <c r="R486" s="1595" t="s">
        <v>1873</v>
      </c>
      <c r="S486" s="1595" t="str">
        <f>Classif!C23</f>
        <v/>
      </c>
      <c r="T486" s="1595">
        <f t="shared" si="294"/>
        <v>3</v>
      </c>
      <c r="U486" s="1744" t="str">
        <f t="shared" si="295"/>
        <v/>
      </c>
      <c r="V486" s="1745">
        <v>1</v>
      </c>
      <c r="W486" s="1745">
        <v>1</v>
      </c>
      <c r="X486" s="1745">
        <v>1</v>
      </c>
      <c r="Y486" s="1745">
        <f t="shared" si="304"/>
        <v>1</v>
      </c>
      <c r="Z486" s="1746">
        <v>0</v>
      </c>
      <c r="AA486" s="1747"/>
      <c r="AB486" s="1748"/>
      <c r="AC486" s="1748"/>
      <c r="AD486" s="1595" t="str">
        <f t="shared" si="292"/>
        <v/>
      </c>
      <c r="AE486" s="1595">
        <f t="shared" si="297"/>
        <v>3</v>
      </c>
      <c r="AF486" s="1595" t="str">
        <f t="shared" si="298"/>
        <v/>
      </c>
      <c r="AG486" s="1748"/>
      <c r="AH486" s="1749" t="str">
        <f t="shared" si="293"/>
        <v/>
      </c>
      <c r="AI486" s="1615"/>
      <c r="AJ486" s="1621"/>
      <c r="AK486" s="1618"/>
      <c r="AL486" s="1617" t="s">
        <v>4954</v>
      </c>
      <c r="AM486" s="247" t="str">
        <f t="shared" si="286"/>
        <v/>
      </c>
      <c r="AN486" s="247" t="str">
        <f t="shared" si="287"/>
        <v/>
      </c>
      <c r="AO486" s="247" t="str">
        <f t="shared" si="288"/>
        <v/>
      </c>
      <c r="AP486" s="247" t="str">
        <f t="shared" si="289"/>
        <v/>
      </c>
      <c r="AQ486" s="42">
        <f t="shared" si="299"/>
        <v>1</v>
      </c>
      <c r="AR486" s="42">
        <f t="shared" si="300"/>
        <v>1</v>
      </c>
      <c r="AS486" s="42">
        <f t="shared" si="301"/>
        <v>1</v>
      </c>
      <c r="AT486" s="42">
        <f t="shared" si="302"/>
        <v>1</v>
      </c>
      <c r="AU486" s="247" t="str">
        <f t="shared" si="290"/>
        <v/>
      </c>
      <c r="AV486" s="247" t="str">
        <f t="shared" si="291"/>
        <v/>
      </c>
    </row>
    <row r="487" spans="1:48" ht="24" x14ac:dyDescent="0.2">
      <c r="A487" s="428" t="s">
        <v>525</v>
      </c>
      <c r="B487" s="429" t="s">
        <v>4479</v>
      </c>
      <c r="C487" s="430" t="s">
        <v>2787</v>
      </c>
      <c r="D487" s="1349" t="s">
        <v>1873</v>
      </c>
      <c r="E487" s="1361" t="s">
        <v>1861</v>
      </c>
      <c r="F487" s="1350" t="s">
        <v>4498</v>
      </c>
      <c r="G487" s="1351" t="s">
        <v>6071</v>
      </c>
      <c r="H487" s="1342" t="s">
        <v>1327</v>
      </c>
      <c r="I487" s="432" t="s">
        <v>2506</v>
      </c>
      <c r="J487" s="431" t="s">
        <v>1880</v>
      </c>
      <c r="K487" s="431"/>
      <c r="L487" s="431"/>
      <c r="M487" s="433"/>
      <c r="N487" s="434"/>
      <c r="O487" s="1743" t="str">
        <f>VLOOKUP(B487,code_famille_scénario,2)&amp;VLOOKUP(C487,code_actif,2)&amp;", "&amp;VLOOKUP(J487,Code_lieu,2)</f>
        <v>Perte, par disparition accidentelle, de media support de programme de services applicatifs, dans les locaux de l'exploitation</v>
      </c>
      <c r="P487" s="435">
        <v>1</v>
      </c>
      <c r="Q487" s="1595" t="s">
        <v>1431</v>
      </c>
      <c r="R487" s="1595" t="s">
        <v>1873</v>
      </c>
      <c r="S487" s="1595" t="str">
        <f>Classif!C23</f>
        <v/>
      </c>
      <c r="T487" s="1595">
        <f t="shared" si="294"/>
        <v>3</v>
      </c>
      <c r="U487" s="1744" t="str">
        <f t="shared" si="295"/>
        <v/>
      </c>
      <c r="V487" s="1745">
        <v>1</v>
      </c>
      <c r="W487" s="1745">
        <v>1</v>
      </c>
      <c r="X487" s="1745">
        <v>1</v>
      </c>
      <c r="Y487" s="1745">
        <f t="shared" si="304"/>
        <v>1</v>
      </c>
      <c r="Z487" s="1746">
        <v>0</v>
      </c>
      <c r="AA487" s="1747"/>
      <c r="AB487" s="1748"/>
      <c r="AC487" s="1748"/>
      <c r="AD487" s="1595" t="str">
        <f t="shared" si="292"/>
        <v/>
      </c>
      <c r="AE487" s="1595">
        <f t="shared" si="297"/>
        <v>3</v>
      </c>
      <c r="AF487" s="1595" t="str">
        <f t="shared" si="298"/>
        <v/>
      </c>
      <c r="AG487" s="1748"/>
      <c r="AH487" s="1749" t="str">
        <f t="shared" si="293"/>
        <v/>
      </c>
      <c r="AI487" s="1615"/>
      <c r="AJ487" s="1621"/>
      <c r="AK487" s="1618"/>
      <c r="AL487" s="1617" t="s">
        <v>4954</v>
      </c>
      <c r="AM487" s="247" t="str">
        <f t="shared" si="286"/>
        <v/>
      </c>
      <c r="AN487" s="247" t="str">
        <f t="shared" si="287"/>
        <v/>
      </c>
      <c r="AO487" s="247" t="str">
        <f t="shared" si="288"/>
        <v/>
      </c>
      <c r="AP487" s="247" t="str">
        <f t="shared" si="289"/>
        <v/>
      </c>
      <c r="AQ487" s="42">
        <f t="shared" si="299"/>
        <v>1</v>
      </c>
      <c r="AR487" s="42">
        <f t="shared" si="300"/>
        <v>1</v>
      </c>
      <c r="AS487" s="42">
        <f t="shared" si="301"/>
        <v>1</v>
      </c>
      <c r="AT487" s="42">
        <f t="shared" si="302"/>
        <v>1</v>
      </c>
      <c r="AU487" s="247" t="str">
        <f t="shared" si="290"/>
        <v/>
      </c>
      <c r="AV487" s="247" t="str">
        <f t="shared" si="291"/>
        <v/>
      </c>
    </row>
    <row r="488" spans="1:48" ht="24" x14ac:dyDescent="0.2">
      <c r="A488" s="428" t="s">
        <v>526</v>
      </c>
      <c r="B488" s="429" t="s">
        <v>5613</v>
      </c>
      <c r="C488" s="430" t="s">
        <v>2787</v>
      </c>
      <c r="D488" s="1349" t="s">
        <v>1873</v>
      </c>
      <c r="E488" s="1361" t="s">
        <v>1861</v>
      </c>
      <c r="F488" s="1350" t="s">
        <v>4498</v>
      </c>
      <c r="G488" s="1351" t="s">
        <v>6071</v>
      </c>
      <c r="H488" s="1342" t="s">
        <v>1329</v>
      </c>
      <c r="I488" s="432" t="s">
        <v>1305</v>
      </c>
      <c r="J488" s="431" t="s">
        <v>1880</v>
      </c>
      <c r="K488" s="431"/>
      <c r="L488" s="431"/>
      <c r="M488" s="433"/>
      <c r="N488" s="434" t="s">
        <v>3518</v>
      </c>
      <c r="O488" s="1743" t="str">
        <f t="shared" ref="O488:O493" si="305">VLOOKUP(B488,code_famille_scénario,2)&amp;VLOOKUP(C488,code_actif,2)&amp;", "&amp;VLOOKUP(J488,Code_lieu,2)&amp;", par "&amp;VLOOKUP(N488,code_acteur,2)</f>
        <v>Vol de media support de programmes de services applicatifs, dans les locaux de l'exploitation, par un membre du personnel non autorisé</v>
      </c>
      <c r="P488" s="435">
        <v>1</v>
      </c>
      <c r="Q488" s="1595" t="s">
        <v>1299</v>
      </c>
      <c r="R488" s="1595" t="s">
        <v>1873</v>
      </c>
      <c r="S488" s="1595" t="str">
        <f>Classif!C23</f>
        <v/>
      </c>
      <c r="T488" s="1595">
        <f t="shared" si="294"/>
        <v>2</v>
      </c>
      <c r="U488" s="1744" t="str">
        <f t="shared" si="295"/>
        <v/>
      </c>
      <c r="V488" s="1745">
        <f t="shared" ref="V488:V493" si="306">S03B06</f>
        <v>1</v>
      </c>
      <c r="W488" s="1745">
        <f>MIN(S03B03,S03B04)</f>
        <v>1</v>
      </c>
      <c r="X488" s="1745">
        <v>1</v>
      </c>
      <c r="Y488" s="1745">
        <f t="shared" si="304"/>
        <v>1</v>
      </c>
      <c r="Z488" s="1746">
        <v>0</v>
      </c>
      <c r="AA488" s="1747"/>
      <c r="AB488" s="1748"/>
      <c r="AC488" s="1748"/>
      <c r="AD488" s="1595" t="str">
        <f t="shared" si="292"/>
        <v/>
      </c>
      <c r="AE488" s="1595">
        <f t="shared" si="297"/>
        <v>2</v>
      </c>
      <c r="AF488" s="1595" t="str">
        <f t="shared" si="298"/>
        <v/>
      </c>
      <c r="AG488" s="1748"/>
      <c r="AH488" s="1749" t="str">
        <f t="shared" si="293"/>
        <v/>
      </c>
      <c r="AI488" s="1623" t="s">
        <v>1665</v>
      </c>
      <c r="AJ488" s="1624" t="s">
        <v>5279</v>
      </c>
      <c r="AK488" s="1624"/>
      <c r="AL488" s="1617" t="s">
        <v>4954</v>
      </c>
      <c r="AM488" s="247" t="str">
        <f t="shared" si="286"/>
        <v/>
      </c>
      <c r="AN488" s="247" t="str">
        <f t="shared" si="287"/>
        <v/>
      </c>
      <c r="AO488" s="247" t="str">
        <f t="shared" si="288"/>
        <v/>
      </c>
      <c r="AP488" s="247" t="str">
        <f t="shared" si="289"/>
        <v/>
      </c>
      <c r="AQ488" s="42">
        <f t="shared" si="299"/>
        <v>1</v>
      </c>
      <c r="AR488" s="42">
        <f t="shared" si="300"/>
        <v>1</v>
      </c>
      <c r="AS488" s="42">
        <f t="shared" si="301"/>
        <v>1</v>
      </c>
      <c r="AT488" s="42">
        <f t="shared" si="302"/>
        <v>1</v>
      </c>
      <c r="AU488" s="247" t="str">
        <f t="shared" si="290"/>
        <v/>
      </c>
      <c r="AV488" s="247" t="str">
        <f t="shared" si="291"/>
        <v/>
      </c>
    </row>
    <row r="489" spans="1:48" ht="24" x14ac:dyDescent="0.2">
      <c r="A489" s="428" t="s">
        <v>527</v>
      </c>
      <c r="B489" s="429" t="s">
        <v>5613</v>
      </c>
      <c r="C489" s="430" t="s">
        <v>2787</v>
      </c>
      <c r="D489" s="1349" t="s">
        <v>1873</v>
      </c>
      <c r="E489" s="1361" t="s">
        <v>1861</v>
      </c>
      <c r="F489" s="1350" t="s">
        <v>4498</v>
      </c>
      <c r="G489" s="1351" t="s">
        <v>6071</v>
      </c>
      <c r="H489" s="1297" t="s">
        <v>1329</v>
      </c>
      <c r="I489" s="437" t="s">
        <v>1305</v>
      </c>
      <c r="J489" s="431" t="s">
        <v>1880</v>
      </c>
      <c r="K489" s="431"/>
      <c r="L489" s="431"/>
      <c r="M489" s="433"/>
      <c r="N489" s="434" t="s">
        <v>6403</v>
      </c>
      <c r="O489" s="1743" t="str">
        <f t="shared" si="305"/>
        <v>Vol de media support de programmes de services applicatifs, dans les locaux de l'exploitation, par un membre du personnel d'exploitation</v>
      </c>
      <c r="P489" s="435">
        <v>1</v>
      </c>
      <c r="Q489" s="1595" t="s">
        <v>1299</v>
      </c>
      <c r="R489" s="1595" t="s">
        <v>1873</v>
      </c>
      <c r="S489" s="1595" t="str">
        <f>Classif!C23</f>
        <v/>
      </c>
      <c r="T489" s="1595">
        <f t="shared" si="294"/>
        <v>2</v>
      </c>
      <c r="U489" s="1744" t="str">
        <f t="shared" si="295"/>
        <v/>
      </c>
      <c r="V489" s="1745">
        <f t="shared" si="306"/>
        <v>1</v>
      </c>
      <c r="W489" s="1745">
        <v>1</v>
      </c>
      <c r="X489" s="1745">
        <v>1</v>
      </c>
      <c r="Y489" s="1745">
        <f t="shared" si="304"/>
        <v>1</v>
      </c>
      <c r="Z489" s="1746">
        <v>0</v>
      </c>
      <c r="AA489" s="1747"/>
      <c r="AB489" s="1748"/>
      <c r="AC489" s="1748"/>
      <c r="AD489" s="1595" t="str">
        <f t="shared" si="292"/>
        <v/>
      </c>
      <c r="AE489" s="1595">
        <f t="shared" si="297"/>
        <v>2</v>
      </c>
      <c r="AF489" s="1595" t="str">
        <f t="shared" si="298"/>
        <v/>
      </c>
      <c r="AG489" s="1748"/>
      <c r="AH489" s="1749" t="str">
        <f t="shared" si="293"/>
        <v/>
      </c>
      <c r="AI489" s="1623" t="s">
        <v>1665</v>
      </c>
      <c r="AJ489" s="1624"/>
      <c r="AK489" s="1624"/>
      <c r="AL489" s="1617" t="s">
        <v>4954</v>
      </c>
      <c r="AM489" s="247" t="str">
        <f t="shared" si="286"/>
        <v/>
      </c>
      <c r="AN489" s="247" t="str">
        <f t="shared" si="287"/>
        <v/>
      </c>
      <c r="AO489" s="247" t="str">
        <f t="shared" si="288"/>
        <v/>
      </c>
      <c r="AP489" s="247" t="str">
        <f t="shared" si="289"/>
        <v/>
      </c>
      <c r="AQ489" s="42">
        <f t="shared" si="299"/>
        <v>1</v>
      </c>
      <c r="AR489" s="42">
        <f t="shared" si="300"/>
        <v>1</v>
      </c>
      <c r="AS489" s="42">
        <f t="shared" si="301"/>
        <v>1</v>
      </c>
      <c r="AT489" s="42">
        <f t="shared" si="302"/>
        <v>1</v>
      </c>
      <c r="AU489" s="247" t="str">
        <f t="shared" si="290"/>
        <v/>
      </c>
      <c r="AV489" s="247" t="str">
        <f t="shared" si="291"/>
        <v/>
      </c>
    </row>
    <row r="490" spans="1:48" ht="24" x14ac:dyDescent="0.2">
      <c r="A490" s="428" t="s">
        <v>528</v>
      </c>
      <c r="B490" s="429" t="s">
        <v>5613</v>
      </c>
      <c r="C490" s="430" t="s">
        <v>2787</v>
      </c>
      <c r="D490" s="1349" t="s">
        <v>1873</v>
      </c>
      <c r="E490" s="1361" t="s">
        <v>1861</v>
      </c>
      <c r="F490" s="1350" t="s">
        <v>4498</v>
      </c>
      <c r="G490" s="1351" t="s">
        <v>6071</v>
      </c>
      <c r="H490" s="1342" t="s">
        <v>1329</v>
      </c>
      <c r="I490" s="432" t="s">
        <v>1305</v>
      </c>
      <c r="J490" s="431" t="s">
        <v>1880</v>
      </c>
      <c r="K490" s="431"/>
      <c r="L490" s="431"/>
      <c r="M490" s="433"/>
      <c r="N490" s="434" t="s">
        <v>2218</v>
      </c>
      <c r="O490" s="1743" t="str">
        <f t="shared" si="305"/>
        <v>Vol de media support de programmes de services applicatifs, dans les locaux de l'exploitation, par un membre du personnel de service</v>
      </c>
      <c r="P490" s="435">
        <v>1</v>
      </c>
      <c r="Q490" s="1595" t="s">
        <v>1299</v>
      </c>
      <c r="R490" s="1595" t="s">
        <v>1873</v>
      </c>
      <c r="S490" s="1595" t="str">
        <f>Classif!C23</f>
        <v/>
      </c>
      <c r="T490" s="1595">
        <f t="shared" si="294"/>
        <v>2</v>
      </c>
      <c r="U490" s="1744" t="str">
        <f t="shared" si="295"/>
        <v/>
      </c>
      <c r="V490" s="1745">
        <f t="shared" si="306"/>
        <v>1</v>
      </c>
      <c r="W490" s="1745">
        <v>1</v>
      </c>
      <c r="X490" s="1745">
        <v>1</v>
      </c>
      <c r="Y490" s="1745">
        <f t="shared" si="304"/>
        <v>1</v>
      </c>
      <c r="Z490" s="1746">
        <v>0</v>
      </c>
      <c r="AA490" s="1747"/>
      <c r="AB490" s="1748"/>
      <c r="AC490" s="1748"/>
      <c r="AD490" s="1595" t="str">
        <f t="shared" si="292"/>
        <v/>
      </c>
      <c r="AE490" s="1595">
        <f t="shared" si="297"/>
        <v>2</v>
      </c>
      <c r="AF490" s="1595" t="str">
        <f t="shared" si="298"/>
        <v/>
      </c>
      <c r="AG490" s="1748"/>
      <c r="AH490" s="1749" t="str">
        <f t="shared" si="293"/>
        <v/>
      </c>
      <c r="AI490" s="1623" t="s">
        <v>1665</v>
      </c>
      <c r="AJ490" s="1624"/>
      <c r="AK490" s="1624"/>
      <c r="AL490" s="1617" t="s">
        <v>4954</v>
      </c>
      <c r="AM490" s="247" t="str">
        <f t="shared" si="286"/>
        <v/>
      </c>
      <c r="AN490" s="247" t="str">
        <f t="shared" si="287"/>
        <v/>
      </c>
      <c r="AO490" s="247" t="str">
        <f t="shared" si="288"/>
        <v/>
      </c>
      <c r="AP490" s="247" t="str">
        <f t="shared" si="289"/>
        <v/>
      </c>
      <c r="AQ490" s="42">
        <f t="shared" si="299"/>
        <v>1</v>
      </c>
      <c r="AR490" s="42">
        <f t="shared" si="300"/>
        <v>1</v>
      </c>
      <c r="AS490" s="42">
        <f t="shared" si="301"/>
        <v>1</v>
      </c>
      <c r="AT490" s="42">
        <f t="shared" si="302"/>
        <v>1</v>
      </c>
      <c r="AU490" s="247" t="str">
        <f t="shared" si="290"/>
        <v/>
      </c>
      <c r="AV490" s="247" t="str">
        <f t="shared" si="291"/>
        <v/>
      </c>
    </row>
    <row r="491" spans="1:48" ht="24" x14ac:dyDescent="0.2">
      <c r="A491" s="428" t="s">
        <v>529</v>
      </c>
      <c r="B491" s="429" t="s">
        <v>5613</v>
      </c>
      <c r="C491" s="430" t="s">
        <v>2787</v>
      </c>
      <c r="D491" s="1349" t="s">
        <v>1873</v>
      </c>
      <c r="E491" s="1361" t="s">
        <v>1861</v>
      </c>
      <c r="F491" s="1350" t="s">
        <v>4498</v>
      </c>
      <c r="G491" s="1351" t="s">
        <v>6071</v>
      </c>
      <c r="H491" s="1342" t="s">
        <v>1329</v>
      </c>
      <c r="I491" s="432" t="s">
        <v>1305</v>
      </c>
      <c r="J491" s="431" t="s">
        <v>1876</v>
      </c>
      <c r="K491" s="431"/>
      <c r="L491" s="431"/>
      <c r="M491" s="433"/>
      <c r="N491" s="434" t="s">
        <v>3518</v>
      </c>
      <c r="O491" s="1743" t="str">
        <f t="shared" si="305"/>
        <v>Vol de media support de programmes de services applicatifs, en médiathèque, par un membre du personnel non autorisé</v>
      </c>
      <c r="P491" s="435">
        <v>1</v>
      </c>
      <c r="Q491" s="1595" t="s">
        <v>1299</v>
      </c>
      <c r="R491" s="1595" t="s">
        <v>1873</v>
      </c>
      <c r="S491" s="1595" t="str">
        <f>Classif!C23</f>
        <v/>
      </c>
      <c r="T491" s="1595">
        <f t="shared" si="294"/>
        <v>2</v>
      </c>
      <c r="U491" s="1744" t="str">
        <f t="shared" si="295"/>
        <v/>
      </c>
      <c r="V491" s="1745">
        <f t="shared" si="306"/>
        <v>1</v>
      </c>
      <c r="W491" s="1745">
        <f>S08C03</f>
        <v>1</v>
      </c>
      <c r="X491" s="1745">
        <v>1</v>
      </c>
      <c r="Y491" s="1745">
        <f t="shared" si="304"/>
        <v>1</v>
      </c>
      <c r="Z491" s="1746">
        <v>0</v>
      </c>
      <c r="AA491" s="1747"/>
      <c r="AB491" s="1748"/>
      <c r="AC491" s="1748"/>
      <c r="AD491" s="1595" t="str">
        <f t="shared" si="292"/>
        <v/>
      </c>
      <c r="AE491" s="1595">
        <f t="shared" si="297"/>
        <v>2</v>
      </c>
      <c r="AF491" s="1595" t="str">
        <f t="shared" si="298"/>
        <v/>
      </c>
      <c r="AG491" s="1748"/>
      <c r="AH491" s="1749" t="str">
        <f t="shared" si="293"/>
        <v/>
      </c>
      <c r="AI491" s="1623" t="s">
        <v>1665</v>
      </c>
      <c r="AJ491" s="1625" t="s">
        <v>63</v>
      </c>
      <c r="AK491" s="1624"/>
      <c r="AL491" s="1617" t="s">
        <v>4954</v>
      </c>
      <c r="AM491" s="247" t="str">
        <f t="shared" si="286"/>
        <v/>
      </c>
      <c r="AN491" s="247" t="str">
        <f t="shared" si="287"/>
        <v/>
      </c>
      <c r="AO491" s="247" t="str">
        <f t="shared" si="288"/>
        <v/>
      </c>
      <c r="AP491" s="247" t="str">
        <f t="shared" si="289"/>
        <v/>
      </c>
      <c r="AQ491" s="42">
        <f t="shared" si="299"/>
        <v>1</v>
      </c>
      <c r="AR491" s="42">
        <f t="shared" si="300"/>
        <v>1</v>
      </c>
      <c r="AS491" s="42">
        <f t="shared" si="301"/>
        <v>1</v>
      </c>
      <c r="AT491" s="42">
        <f t="shared" si="302"/>
        <v>1</v>
      </c>
      <c r="AU491" s="247" t="str">
        <f t="shared" si="290"/>
        <v/>
      </c>
      <c r="AV491" s="247" t="str">
        <f t="shared" si="291"/>
        <v/>
      </c>
    </row>
    <row r="492" spans="1:48" ht="24" x14ac:dyDescent="0.2">
      <c r="A492" s="428" t="s">
        <v>530</v>
      </c>
      <c r="B492" s="429" t="s">
        <v>5613</v>
      </c>
      <c r="C492" s="430" t="s">
        <v>2787</v>
      </c>
      <c r="D492" s="1349" t="s">
        <v>1873</v>
      </c>
      <c r="E492" s="1361" t="s">
        <v>1861</v>
      </c>
      <c r="F492" s="1350" t="s">
        <v>4498</v>
      </c>
      <c r="G492" s="1351" t="s">
        <v>6071</v>
      </c>
      <c r="H492" s="1342" t="s">
        <v>1329</v>
      </c>
      <c r="I492" s="432" t="s">
        <v>1305</v>
      </c>
      <c r="J492" s="431" t="s">
        <v>1876</v>
      </c>
      <c r="K492" s="431"/>
      <c r="L492" s="431"/>
      <c r="M492" s="433"/>
      <c r="N492" s="434" t="s">
        <v>6403</v>
      </c>
      <c r="O492" s="1743" t="str">
        <f t="shared" si="305"/>
        <v>Vol de media support de programmes de services applicatifs, en médiathèque, par un membre du personnel d'exploitation</v>
      </c>
      <c r="P492" s="435">
        <v>1</v>
      </c>
      <c r="Q492" s="1595" t="s">
        <v>1299</v>
      </c>
      <c r="R492" s="1595" t="s">
        <v>1873</v>
      </c>
      <c r="S492" s="1595" t="str">
        <f>Classif!C23</f>
        <v/>
      </c>
      <c r="T492" s="1595">
        <f t="shared" si="294"/>
        <v>2</v>
      </c>
      <c r="U492" s="1744" t="str">
        <f t="shared" si="295"/>
        <v/>
      </c>
      <c r="V492" s="1745">
        <f t="shared" si="306"/>
        <v>1</v>
      </c>
      <c r="W492" s="1745">
        <v>1</v>
      </c>
      <c r="X492" s="1745">
        <v>1</v>
      </c>
      <c r="Y492" s="1745">
        <f t="shared" si="304"/>
        <v>1</v>
      </c>
      <c r="Z492" s="1746">
        <v>0</v>
      </c>
      <c r="AA492" s="1747"/>
      <c r="AB492" s="1748"/>
      <c r="AC492" s="1748"/>
      <c r="AD492" s="1595" t="str">
        <f t="shared" si="292"/>
        <v/>
      </c>
      <c r="AE492" s="1595">
        <f t="shared" si="297"/>
        <v>2</v>
      </c>
      <c r="AF492" s="1595" t="str">
        <f t="shared" si="298"/>
        <v/>
      </c>
      <c r="AG492" s="1748"/>
      <c r="AH492" s="1749" t="str">
        <f t="shared" si="293"/>
        <v/>
      </c>
      <c r="AI492" s="1623" t="s">
        <v>1665</v>
      </c>
      <c r="AJ492" s="1624"/>
      <c r="AK492" s="1624"/>
      <c r="AL492" s="1617" t="s">
        <v>4954</v>
      </c>
      <c r="AM492" s="247" t="str">
        <f t="shared" si="286"/>
        <v/>
      </c>
      <c r="AN492" s="247" t="str">
        <f t="shared" si="287"/>
        <v/>
      </c>
      <c r="AO492" s="247" t="str">
        <f t="shared" si="288"/>
        <v/>
      </c>
      <c r="AP492" s="247" t="str">
        <f t="shared" si="289"/>
        <v/>
      </c>
      <c r="AQ492" s="42">
        <f t="shared" si="299"/>
        <v>1</v>
      </c>
      <c r="AR492" s="42">
        <f t="shared" si="300"/>
        <v>1</v>
      </c>
      <c r="AS492" s="42">
        <f t="shared" si="301"/>
        <v>1</v>
      </c>
      <c r="AT492" s="42">
        <f t="shared" si="302"/>
        <v>1</v>
      </c>
      <c r="AU492" s="247" t="str">
        <f t="shared" si="290"/>
        <v/>
      </c>
      <c r="AV492" s="247" t="str">
        <f t="shared" si="291"/>
        <v/>
      </c>
    </row>
    <row r="493" spans="1:48" ht="24" x14ac:dyDescent="0.2">
      <c r="A493" s="428" t="s">
        <v>531</v>
      </c>
      <c r="B493" s="429" t="s">
        <v>5613</v>
      </c>
      <c r="C493" s="430" t="s">
        <v>2787</v>
      </c>
      <c r="D493" s="1349" t="s">
        <v>1873</v>
      </c>
      <c r="E493" s="1361" t="s">
        <v>1861</v>
      </c>
      <c r="F493" s="1350" t="s">
        <v>4498</v>
      </c>
      <c r="G493" s="1351" t="s">
        <v>6071</v>
      </c>
      <c r="H493" s="1342" t="s">
        <v>1329</v>
      </c>
      <c r="I493" s="432" t="s">
        <v>1305</v>
      </c>
      <c r="J493" s="431" t="s">
        <v>1876</v>
      </c>
      <c r="K493" s="431"/>
      <c r="L493" s="431"/>
      <c r="M493" s="433"/>
      <c r="N493" s="434" t="s">
        <v>2218</v>
      </c>
      <c r="O493" s="1743" t="str">
        <f t="shared" si="305"/>
        <v>Vol de media support de programmes de services applicatifs, en médiathèque, par un membre du personnel de service</v>
      </c>
      <c r="P493" s="435">
        <v>1</v>
      </c>
      <c r="Q493" s="1595" t="s">
        <v>1299</v>
      </c>
      <c r="R493" s="1595" t="s">
        <v>1873</v>
      </c>
      <c r="S493" s="1595" t="str">
        <f>Classif!C23</f>
        <v/>
      </c>
      <c r="T493" s="1595">
        <f t="shared" si="294"/>
        <v>2</v>
      </c>
      <c r="U493" s="1744" t="str">
        <f t="shared" si="295"/>
        <v/>
      </c>
      <c r="V493" s="1745">
        <f t="shared" si="306"/>
        <v>1</v>
      </c>
      <c r="W493" s="1745">
        <v>1</v>
      </c>
      <c r="X493" s="1745">
        <v>1</v>
      </c>
      <c r="Y493" s="1745">
        <f t="shared" si="304"/>
        <v>1</v>
      </c>
      <c r="Z493" s="1746">
        <v>0</v>
      </c>
      <c r="AA493" s="1747"/>
      <c r="AB493" s="1748"/>
      <c r="AC493" s="1748"/>
      <c r="AD493" s="1595" t="str">
        <f t="shared" si="292"/>
        <v/>
      </c>
      <c r="AE493" s="1595">
        <f t="shared" si="297"/>
        <v>2</v>
      </c>
      <c r="AF493" s="1595" t="str">
        <f t="shared" si="298"/>
        <v/>
      </c>
      <c r="AG493" s="1748"/>
      <c r="AH493" s="1749" t="str">
        <f t="shared" si="293"/>
        <v/>
      </c>
      <c r="AI493" s="1623" t="s">
        <v>1665</v>
      </c>
      <c r="AJ493" s="1624"/>
      <c r="AK493" s="1624"/>
      <c r="AL493" s="1617" t="s">
        <v>4954</v>
      </c>
      <c r="AM493" s="247" t="str">
        <f t="shared" si="286"/>
        <v/>
      </c>
      <c r="AN493" s="247" t="str">
        <f t="shared" si="287"/>
        <v/>
      </c>
      <c r="AO493" s="247" t="str">
        <f t="shared" si="288"/>
        <v/>
      </c>
      <c r="AP493" s="247" t="str">
        <f t="shared" si="289"/>
        <v/>
      </c>
      <c r="AQ493" s="42">
        <f t="shared" si="299"/>
        <v>1</v>
      </c>
      <c r="AR493" s="42">
        <f t="shared" si="300"/>
        <v>1</v>
      </c>
      <c r="AS493" s="42">
        <f t="shared" si="301"/>
        <v>1</v>
      </c>
      <c r="AT493" s="42">
        <f t="shared" si="302"/>
        <v>1</v>
      </c>
      <c r="AU493" s="247" t="str">
        <f t="shared" si="290"/>
        <v/>
      </c>
      <c r="AV493" s="247" t="str">
        <f t="shared" si="291"/>
        <v/>
      </c>
    </row>
    <row r="494" spans="1:48" ht="24" x14ac:dyDescent="0.2">
      <c r="A494" s="428" t="s">
        <v>532</v>
      </c>
      <c r="B494" s="429" t="s">
        <v>4482</v>
      </c>
      <c r="C494" s="430" t="s">
        <v>2787</v>
      </c>
      <c r="D494" s="1349" t="s">
        <v>1873</v>
      </c>
      <c r="E494" s="1361" t="s">
        <v>1861</v>
      </c>
      <c r="F494" s="1350" t="s">
        <v>2777</v>
      </c>
      <c r="G494" s="1351" t="s">
        <v>4610</v>
      </c>
      <c r="H494" s="1342" t="s">
        <v>3920</v>
      </c>
      <c r="I494" s="432" t="s">
        <v>3526</v>
      </c>
      <c r="J494" s="431" t="s">
        <v>1880</v>
      </c>
      <c r="K494" s="431"/>
      <c r="L494" s="431"/>
      <c r="M494" s="433"/>
      <c r="N494" s="434"/>
      <c r="O494" s="1743" t="str">
        <f t="shared" ref="O494:O505" si="307">VLOOKUP(B494,code_famille_scénario,2)&amp;VLOOKUP(C494,code_actif,2)&amp;", "&amp;VLOOKUP(J494,Code_lieu,2)&amp;", due "&amp;VLOOKUP(I494,code_event,2)</f>
        <v>Inexploitabilité accidentelle de media support de programmes de services applicatifs, dans les locaux de l'exploitation, due à une panne d'équipement</v>
      </c>
      <c r="P494" s="435">
        <v>1</v>
      </c>
      <c r="Q494" s="1595" t="s">
        <v>1431</v>
      </c>
      <c r="R494" s="1595" t="s">
        <v>1873</v>
      </c>
      <c r="S494" s="1595" t="str">
        <f>Classif!C23</f>
        <v/>
      </c>
      <c r="T494" s="1595">
        <f t="shared" si="294"/>
        <v>3</v>
      </c>
      <c r="U494" s="1744" t="str">
        <f t="shared" si="295"/>
        <v/>
      </c>
      <c r="V494" s="1745">
        <v>1</v>
      </c>
      <c r="W494" s="1745">
        <v>1</v>
      </c>
      <c r="X494" s="1745">
        <v>1</v>
      </c>
      <c r="Y494" s="1745">
        <f t="shared" si="304"/>
        <v>1</v>
      </c>
      <c r="Z494" s="1746">
        <v>0</v>
      </c>
      <c r="AA494" s="1747"/>
      <c r="AB494" s="1748"/>
      <c r="AC494" s="1748"/>
      <c r="AD494" s="1595" t="str">
        <f t="shared" si="292"/>
        <v/>
      </c>
      <c r="AE494" s="1595">
        <f t="shared" si="297"/>
        <v>3</v>
      </c>
      <c r="AF494" s="1595" t="str">
        <f t="shared" si="298"/>
        <v/>
      </c>
      <c r="AG494" s="1748"/>
      <c r="AH494" s="1749" t="str">
        <f t="shared" si="293"/>
        <v/>
      </c>
      <c r="AI494" s="1615"/>
      <c r="AJ494" s="1621"/>
      <c r="AK494" s="1618"/>
      <c r="AL494" s="1617" t="s">
        <v>4954</v>
      </c>
      <c r="AM494" s="247" t="str">
        <f t="shared" si="286"/>
        <v/>
      </c>
      <c r="AN494" s="247" t="str">
        <f t="shared" si="287"/>
        <v/>
      </c>
      <c r="AO494" s="247" t="str">
        <f t="shared" si="288"/>
        <v/>
      </c>
      <c r="AP494" s="247" t="str">
        <f t="shared" si="289"/>
        <v/>
      </c>
      <c r="AQ494" s="42">
        <f t="shared" si="299"/>
        <v>1</v>
      </c>
      <c r="AR494" s="42">
        <f t="shared" si="300"/>
        <v>1</v>
      </c>
      <c r="AS494" s="42">
        <f t="shared" si="301"/>
        <v>1</v>
      </c>
      <c r="AT494" s="42">
        <f t="shared" si="302"/>
        <v>1</v>
      </c>
      <c r="AU494" s="247" t="str">
        <f t="shared" si="290"/>
        <v/>
      </c>
      <c r="AV494" s="247" t="str">
        <f t="shared" si="291"/>
        <v/>
      </c>
    </row>
    <row r="495" spans="1:48" ht="24" x14ac:dyDescent="0.2">
      <c r="A495" s="428" t="s">
        <v>533</v>
      </c>
      <c r="B495" s="429" t="s">
        <v>4482</v>
      </c>
      <c r="C495" s="430" t="s">
        <v>2787</v>
      </c>
      <c r="D495" s="1349" t="s">
        <v>1873</v>
      </c>
      <c r="E495" s="1361" t="s">
        <v>1861</v>
      </c>
      <c r="F495" s="1350" t="s">
        <v>2777</v>
      </c>
      <c r="G495" s="1351" t="s">
        <v>4610</v>
      </c>
      <c r="H495" s="1342" t="s">
        <v>1554</v>
      </c>
      <c r="I495" s="432" t="s">
        <v>1534</v>
      </c>
      <c r="J495" s="431" t="s">
        <v>1880</v>
      </c>
      <c r="K495" s="438"/>
      <c r="L495" s="438"/>
      <c r="M495" s="439"/>
      <c r="N495" s="440"/>
      <c r="O495" s="1743" t="str">
        <f t="shared" si="307"/>
        <v>Inexploitabilité accidentelle de media support de programmes de services applicatifs, dans les locaux de l'exploitation, due à un dégât des eaux</v>
      </c>
      <c r="P495" s="435">
        <v>1</v>
      </c>
      <c r="Q495" s="1595" t="s">
        <v>1431</v>
      </c>
      <c r="R495" s="1595" t="s">
        <v>1873</v>
      </c>
      <c r="S495" s="1595" t="str">
        <f>Classif!C23</f>
        <v/>
      </c>
      <c r="T495" s="1595">
        <f t="shared" ref="T495:T526" si="308">VLOOKUP(H495&amp;"."&amp;I495,Tab_event,4)</f>
        <v>3</v>
      </c>
      <c r="U495" s="1744" t="str">
        <f t="shared" ref="U495:U526" si="309">IF(AND(NOT(S495=""),NOT(T495="")),INDEX(base_g,5-S495,T495),"")</f>
        <v/>
      </c>
      <c r="V495" s="1745">
        <v>1</v>
      </c>
      <c r="W495" s="1745">
        <f>S03C01</f>
        <v>1</v>
      </c>
      <c r="X495" s="1745">
        <v>1</v>
      </c>
      <c r="Y495" s="1745">
        <f t="shared" si="304"/>
        <v>1</v>
      </c>
      <c r="Z495" s="1746">
        <v>0</v>
      </c>
      <c r="AA495" s="1747"/>
      <c r="AB495" s="1748"/>
      <c r="AC495" s="1748"/>
      <c r="AD495" s="1595" t="str">
        <f t="shared" si="292"/>
        <v/>
      </c>
      <c r="AE495" s="1595">
        <f t="shared" ref="AE495:AE526" si="310">IF(OR(Q495="",T495=""),"",IF(Q495="A",INDEX(base_p,4,W495+7*(T495-1)),IF(Q495="E",INDEX(base_p,15,W495+7*(T495-1)),INDEX(base_p,27-V495,W495+7*(T495-1)))))</f>
        <v>3</v>
      </c>
      <c r="AF495" s="1595" t="str">
        <f t="shared" ref="AF495:AF526" si="311">IF(AT495=1,IF(IndG=1,U495,IF(AND(OR(NOT(AD495=""),NOT(AB495="")),OR(NOT(AE495=""),NOT(AC495="")),AT495=1),INDEX(base_g,5-IF(AB495="",AD495,AB495),IF(AC495="",AE495,AC495)),"")),0)</f>
        <v/>
      </c>
      <c r="AG495" s="1748"/>
      <c r="AH495" s="1749" t="str">
        <f t="shared" si="293"/>
        <v/>
      </c>
      <c r="AI495" s="1615"/>
      <c r="AJ495" s="1616" t="s">
        <v>5220</v>
      </c>
      <c r="AK495" s="1618"/>
      <c r="AL495" s="1617" t="s">
        <v>4954</v>
      </c>
      <c r="AM495" s="247" t="str">
        <f t="shared" si="286"/>
        <v/>
      </c>
      <c r="AN495" s="247" t="str">
        <f t="shared" si="287"/>
        <v/>
      </c>
      <c r="AO495" s="247" t="str">
        <f t="shared" si="288"/>
        <v/>
      </c>
      <c r="AP495" s="247" t="str">
        <f t="shared" si="289"/>
        <v/>
      </c>
      <c r="AQ495" s="42">
        <f t="shared" ref="AQ495:AQ526" si="312">VLOOKUP(LEFT(C495,3),Tab_classif_servIR,6)</f>
        <v>1</v>
      </c>
      <c r="AR495" s="42">
        <f t="shared" ref="AR495:AR526" si="313">VLOOKUP(G495,select_vul_serv,2)</f>
        <v>1</v>
      </c>
      <c r="AS495" s="42">
        <f t="shared" ref="AS495:AS526" si="314">VLOOKUP(H495&amp;"."&amp;I495,select_men,5)</f>
        <v>1</v>
      </c>
      <c r="AT495" s="42">
        <f t="shared" ref="AT495:AT526" si="315">P495*AQ495*AR495*AS495</f>
        <v>1</v>
      </c>
      <c r="AU495" s="247" t="str">
        <f t="shared" si="290"/>
        <v/>
      </c>
      <c r="AV495" s="247" t="str">
        <f t="shared" si="291"/>
        <v/>
      </c>
    </row>
    <row r="496" spans="1:48" ht="24" x14ac:dyDescent="0.2">
      <c r="A496" s="428" t="s">
        <v>534</v>
      </c>
      <c r="B496" s="429" t="s">
        <v>4482</v>
      </c>
      <c r="C496" s="430" t="s">
        <v>2787</v>
      </c>
      <c r="D496" s="1349" t="s">
        <v>1873</v>
      </c>
      <c r="E496" s="1361" t="s">
        <v>1861</v>
      </c>
      <c r="F496" s="1350" t="s">
        <v>2777</v>
      </c>
      <c r="G496" s="1351" t="s">
        <v>4610</v>
      </c>
      <c r="H496" s="1342" t="s">
        <v>1554</v>
      </c>
      <c r="I496" s="432" t="s">
        <v>1537</v>
      </c>
      <c r="J496" s="431" t="s">
        <v>1880</v>
      </c>
      <c r="K496" s="431"/>
      <c r="L496" s="431"/>
      <c r="M496" s="433"/>
      <c r="N496" s="434"/>
      <c r="O496" s="1743" t="str">
        <f t="shared" si="307"/>
        <v>Inexploitabilité accidentelle de media support de programmes de services applicatifs, dans les locaux de l'exploitation, due à une surcharge électrique</v>
      </c>
      <c r="P496" s="435">
        <v>1</v>
      </c>
      <c r="Q496" s="1595" t="s">
        <v>1431</v>
      </c>
      <c r="R496" s="1595" t="s">
        <v>1873</v>
      </c>
      <c r="S496" s="1595" t="str">
        <f>Classif!C23</f>
        <v/>
      </c>
      <c r="T496" s="1595">
        <f t="shared" si="308"/>
        <v>2</v>
      </c>
      <c r="U496" s="1744" t="str">
        <f t="shared" si="309"/>
        <v/>
      </c>
      <c r="V496" s="1745">
        <v>1</v>
      </c>
      <c r="W496" s="1745">
        <f>MIN(S03A01,S03A04)</f>
        <v>1</v>
      </c>
      <c r="X496" s="1745">
        <v>1</v>
      </c>
      <c r="Y496" s="1745">
        <f t="shared" si="304"/>
        <v>1</v>
      </c>
      <c r="Z496" s="1746">
        <v>0</v>
      </c>
      <c r="AA496" s="1747"/>
      <c r="AB496" s="1748"/>
      <c r="AC496" s="1748"/>
      <c r="AD496" s="1595" t="str">
        <f t="shared" si="292"/>
        <v/>
      </c>
      <c r="AE496" s="1595">
        <f t="shared" si="310"/>
        <v>2</v>
      </c>
      <c r="AF496" s="1595" t="str">
        <f t="shared" si="311"/>
        <v/>
      </c>
      <c r="AG496" s="1748"/>
      <c r="AH496" s="1749" t="str">
        <f t="shared" si="293"/>
        <v/>
      </c>
      <c r="AI496" s="1615"/>
      <c r="AJ496" s="1616" t="s">
        <v>5252</v>
      </c>
      <c r="AK496" s="1618"/>
      <c r="AL496" s="1617" t="s">
        <v>4954</v>
      </c>
      <c r="AM496" s="247" t="str">
        <f t="shared" si="286"/>
        <v/>
      </c>
      <c r="AN496" s="247" t="str">
        <f t="shared" si="287"/>
        <v/>
      </c>
      <c r="AO496" s="247" t="str">
        <f t="shared" si="288"/>
        <v/>
      </c>
      <c r="AP496" s="247" t="str">
        <f t="shared" si="289"/>
        <v/>
      </c>
      <c r="AQ496" s="42">
        <f t="shared" si="312"/>
        <v>1</v>
      </c>
      <c r="AR496" s="42">
        <f t="shared" si="313"/>
        <v>1</v>
      </c>
      <c r="AS496" s="42">
        <f t="shared" si="314"/>
        <v>1</v>
      </c>
      <c r="AT496" s="42">
        <f t="shared" si="315"/>
        <v>1</v>
      </c>
      <c r="AU496" s="247" t="str">
        <f t="shared" si="290"/>
        <v/>
      </c>
      <c r="AV496" s="247" t="str">
        <f t="shared" si="291"/>
        <v/>
      </c>
    </row>
    <row r="497" spans="1:48" ht="24" x14ac:dyDescent="0.2">
      <c r="A497" s="428" t="s">
        <v>535</v>
      </c>
      <c r="B497" s="429" t="s">
        <v>4482</v>
      </c>
      <c r="C497" s="430" t="s">
        <v>2787</v>
      </c>
      <c r="D497" s="1349" t="s">
        <v>1873</v>
      </c>
      <c r="E497" s="1361" t="s">
        <v>1861</v>
      </c>
      <c r="F497" s="1350" t="s">
        <v>2777</v>
      </c>
      <c r="G497" s="1351" t="s">
        <v>4610</v>
      </c>
      <c r="H497" s="1342" t="s">
        <v>1465</v>
      </c>
      <c r="I497" s="432" t="s">
        <v>1880</v>
      </c>
      <c r="J497" s="431" t="s">
        <v>1880</v>
      </c>
      <c r="K497" s="431"/>
      <c r="L497" s="431"/>
      <c r="M497" s="433"/>
      <c r="N497" s="434"/>
      <c r="O497" s="1743" t="str">
        <f t="shared" si="307"/>
        <v>Inexploitabilité accidentelle de media support de programmes de services applicatifs, dans les locaux de l'exploitation, due à un incident d'exploitation</v>
      </c>
      <c r="P497" s="435">
        <v>1</v>
      </c>
      <c r="Q497" s="1595" t="s">
        <v>1431</v>
      </c>
      <c r="R497" s="1595" t="s">
        <v>1873</v>
      </c>
      <c r="S497" s="1595" t="str">
        <f>Classif!C23</f>
        <v/>
      </c>
      <c r="T497" s="1595">
        <f t="shared" si="308"/>
        <v>3</v>
      </c>
      <c r="U497" s="1744" t="str">
        <f t="shared" si="309"/>
        <v/>
      </c>
      <c r="V497" s="1745">
        <v>1</v>
      </c>
      <c r="W497" s="1745">
        <f>S08A03</f>
        <v>1</v>
      </c>
      <c r="X497" s="1745">
        <f>S08E03</f>
        <v>1</v>
      </c>
      <c r="Y497" s="1745">
        <f t="shared" si="304"/>
        <v>1</v>
      </c>
      <c r="Z497" s="1746">
        <v>0</v>
      </c>
      <c r="AA497" s="1747"/>
      <c r="AB497" s="1748"/>
      <c r="AC497" s="1748"/>
      <c r="AD497" s="1595" t="str">
        <f t="shared" si="292"/>
        <v/>
      </c>
      <c r="AE497" s="1595">
        <f t="shared" si="310"/>
        <v>3</v>
      </c>
      <c r="AF497" s="1595" t="str">
        <f t="shared" si="311"/>
        <v/>
      </c>
      <c r="AG497" s="1748"/>
      <c r="AH497" s="1749" t="str">
        <f t="shared" si="293"/>
        <v/>
      </c>
      <c r="AI497" s="1626"/>
      <c r="AJ497" s="1616" t="s">
        <v>4324</v>
      </c>
      <c r="AK497" s="1616" t="s">
        <v>2532</v>
      </c>
      <c r="AL497" s="1617" t="s">
        <v>4954</v>
      </c>
      <c r="AM497" s="247" t="str">
        <f t="shared" si="286"/>
        <v/>
      </c>
      <c r="AN497" s="247" t="str">
        <f t="shared" si="287"/>
        <v/>
      </c>
      <c r="AO497" s="247" t="str">
        <f t="shared" si="288"/>
        <v/>
      </c>
      <c r="AP497" s="247" t="str">
        <f t="shared" si="289"/>
        <v/>
      </c>
      <c r="AQ497" s="42">
        <f t="shared" si="312"/>
        <v>1</v>
      </c>
      <c r="AR497" s="42">
        <f t="shared" si="313"/>
        <v>1</v>
      </c>
      <c r="AS497" s="42">
        <f t="shared" si="314"/>
        <v>1</v>
      </c>
      <c r="AT497" s="42">
        <f t="shared" si="315"/>
        <v>1</v>
      </c>
      <c r="AU497" s="247" t="str">
        <f t="shared" si="290"/>
        <v/>
      </c>
      <c r="AV497" s="247" t="str">
        <f t="shared" si="291"/>
        <v/>
      </c>
    </row>
    <row r="498" spans="1:48" ht="24" x14ac:dyDescent="0.2">
      <c r="A498" s="428" t="s">
        <v>536</v>
      </c>
      <c r="B498" s="429" t="s">
        <v>4482</v>
      </c>
      <c r="C498" s="430" t="s">
        <v>2787</v>
      </c>
      <c r="D498" s="1349" t="s">
        <v>1873</v>
      </c>
      <c r="E498" s="1361" t="s">
        <v>1861</v>
      </c>
      <c r="F498" s="1350" t="s">
        <v>2777</v>
      </c>
      <c r="G498" s="1351" t="s">
        <v>4610</v>
      </c>
      <c r="H498" s="1342" t="s">
        <v>1554</v>
      </c>
      <c r="I498" s="432" t="s">
        <v>1464</v>
      </c>
      <c r="J498" s="431" t="s">
        <v>1876</v>
      </c>
      <c r="K498" s="431"/>
      <c r="L498" s="431"/>
      <c r="M498" s="433"/>
      <c r="N498" s="434"/>
      <c r="O498" s="1743" t="str">
        <f t="shared" si="307"/>
        <v>Inexploitabilité accidentelle de media support de programmes de services applicatifs, en médiathèque, due à une pollution</v>
      </c>
      <c r="P498" s="435">
        <v>1</v>
      </c>
      <c r="Q498" s="1595" t="s">
        <v>1431</v>
      </c>
      <c r="R498" s="1595" t="s">
        <v>1873</v>
      </c>
      <c r="S498" s="1595" t="str">
        <f>Classif!C23</f>
        <v/>
      </c>
      <c r="T498" s="1595">
        <f t="shared" si="308"/>
        <v>2</v>
      </c>
      <c r="U498" s="1744" t="str">
        <f t="shared" si="309"/>
        <v/>
      </c>
      <c r="V498" s="1745">
        <v>1</v>
      </c>
      <c r="W498" s="1745">
        <v>1</v>
      </c>
      <c r="X498" s="1745">
        <v>1</v>
      </c>
      <c r="Y498" s="1745">
        <f t="shared" si="304"/>
        <v>1</v>
      </c>
      <c r="Z498" s="1746">
        <v>0</v>
      </c>
      <c r="AA498" s="1747"/>
      <c r="AB498" s="1748"/>
      <c r="AC498" s="1748"/>
      <c r="AD498" s="1595" t="str">
        <f t="shared" si="292"/>
        <v/>
      </c>
      <c r="AE498" s="1595">
        <f t="shared" si="310"/>
        <v>2</v>
      </c>
      <c r="AF498" s="1595" t="str">
        <f t="shared" si="311"/>
        <v/>
      </c>
      <c r="AG498" s="1748"/>
      <c r="AH498" s="1749" t="str">
        <f t="shared" si="293"/>
        <v/>
      </c>
      <c r="AI498" s="1615"/>
      <c r="AJ498" s="1616"/>
      <c r="AK498" s="1616"/>
      <c r="AL498" s="1617" t="s">
        <v>4954</v>
      </c>
      <c r="AM498" s="247" t="str">
        <f t="shared" si="286"/>
        <v/>
      </c>
      <c r="AN498" s="247" t="str">
        <f t="shared" si="287"/>
        <v/>
      </c>
      <c r="AO498" s="247" t="str">
        <f t="shared" si="288"/>
        <v/>
      </c>
      <c r="AP498" s="247" t="str">
        <f t="shared" si="289"/>
        <v/>
      </c>
      <c r="AQ498" s="42">
        <f t="shared" si="312"/>
        <v>1</v>
      </c>
      <c r="AR498" s="42">
        <f t="shared" si="313"/>
        <v>1</v>
      </c>
      <c r="AS498" s="42">
        <f t="shared" si="314"/>
        <v>1</v>
      </c>
      <c r="AT498" s="42">
        <f t="shared" si="315"/>
        <v>1</v>
      </c>
      <c r="AU498" s="247" t="str">
        <f t="shared" si="290"/>
        <v/>
      </c>
      <c r="AV498" s="247" t="str">
        <f t="shared" si="291"/>
        <v/>
      </c>
    </row>
    <row r="499" spans="1:48" ht="24" x14ac:dyDescent="0.2">
      <c r="A499" s="428" t="s">
        <v>537</v>
      </c>
      <c r="B499" s="429" t="s">
        <v>4482</v>
      </c>
      <c r="C499" s="430" t="s">
        <v>2787</v>
      </c>
      <c r="D499" s="1349" t="s">
        <v>1873</v>
      </c>
      <c r="E499" s="1361" t="s">
        <v>1861</v>
      </c>
      <c r="F499" s="1350" t="s">
        <v>2777</v>
      </c>
      <c r="G499" s="1351" t="s">
        <v>4610</v>
      </c>
      <c r="H499" s="1342" t="s">
        <v>1554</v>
      </c>
      <c r="I499" s="432" t="s">
        <v>1534</v>
      </c>
      <c r="J499" s="431" t="s">
        <v>1876</v>
      </c>
      <c r="K499" s="438"/>
      <c r="L499" s="438"/>
      <c r="M499" s="439"/>
      <c r="N499" s="440"/>
      <c r="O499" s="1743" t="str">
        <f t="shared" si="307"/>
        <v>Inexploitabilité accidentelle de media support de programmes de services applicatifs, en médiathèque, due à un dégât des eaux</v>
      </c>
      <c r="P499" s="435">
        <v>1</v>
      </c>
      <c r="Q499" s="1595" t="s">
        <v>1431</v>
      </c>
      <c r="R499" s="1595" t="s">
        <v>1873</v>
      </c>
      <c r="S499" s="1595" t="str">
        <f>Classif!C23</f>
        <v/>
      </c>
      <c r="T499" s="1595">
        <f t="shared" si="308"/>
        <v>3</v>
      </c>
      <c r="U499" s="1744" t="str">
        <f t="shared" si="309"/>
        <v/>
      </c>
      <c r="V499" s="1745">
        <v>1</v>
      </c>
      <c r="W499" s="1745">
        <f>S08C03</f>
        <v>1</v>
      </c>
      <c r="X499" s="1745">
        <v>1</v>
      </c>
      <c r="Y499" s="1745">
        <f t="shared" si="304"/>
        <v>1</v>
      </c>
      <c r="Z499" s="1746">
        <v>0</v>
      </c>
      <c r="AA499" s="1747"/>
      <c r="AB499" s="1748"/>
      <c r="AC499" s="1748"/>
      <c r="AD499" s="1595" t="str">
        <f t="shared" si="292"/>
        <v/>
      </c>
      <c r="AE499" s="1595">
        <f t="shared" si="310"/>
        <v>3</v>
      </c>
      <c r="AF499" s="1595" t="str">
        <f t="shared" si="311"/>
        <v/>
      </c>
      <c r="AG499" s="1748"/>
      <c r="AH499" s="1749" t="str">
        <f t="shared" si="293"/>
        <v/>
      </c>
      <c r="AI499" s="1615"/>
      <c r="AJ499" s="1621" t="s">
        <v>63</v>
      </c>
      <c r="AK499" s="1618"/>
      <c r="AL499" s="1617" t="s">
        <v>4954</v>
      </c>
      <c r="AM499" s="247" t="str">
        <f t="shared" si="286"/>
        <v/>
      </c>
      <c r="AN499" s="247" t="str">
        <f t="shared" si="287"/>
        <v/>
      </c>
      <c r="AO499" s="247" t="str">
        <f t="shared" si="288"/>
        <v/>
      </c>
      <c r="AP499" s="247" t="str">
        <f t="shared" si="289"/>
        <v/>
      </c>
      <c r="AQ499" s="42">
        <f t="shared" si="312"/>
        <v>1</v>
      </c>
      <c r="AR499" s="42">
        <f t="shared" si="313"/>
        <v>1</v>
      </c>
      <c r="AS499" s="42">
        <f t="shared" si="314"/>
        <v>1</v>
      </c>
      <c r="AT499" s="42">
        <f t="shared" si="315"/>
        <v>1</v>
      </c>
      <c r="AU499" s="247" t="str">
        <f t="shared" si="290"/>
        <v/>
      </c>
      <c r="AV499" s="247" t="str">
        <f t="shared" si="291"/>
        <v/>
      </c>
    </row>
    <row r="500" spans="1:48" ht="24" x14ac:dyDescent="0.2">
      <c r="A500" s="428" t="s">
        <v>538</v>
      </c>
      <c r="B500" s="429" t="s">
        <v>4482</v>
      </c>
      <c r="C500" s="430" t="s">
        <v>2787</v>
      </c>
      <c r="D500" s="1349" t="s">
        <v>1873</v>
      </c>
      <c r="E500" s="1361" t="s">
        <v>1861</v>
      </c>
      <c r="F500" s="1350" t="s">
        <v>2777</v>
      </c>
      <c r="G500" s="1351" t="s">
        <v>4610</v>
      </c>
      <c r="H500" s="1342" t="s">
        <v>1554</v>
      </c>
      <c r="I500" s="432" t="s">
        <v>1538</v>
      </c>
      <c r="J500" s="431" t="s">
        <v>1876</v>
      </c>
      <c r="K500" s="431"/>
      <c r="L500" s="431"/>
      <c r="M500" s="433"/>
      <c r="N500" s="434"/>
      <c r="O500" s="1743" t="str">
        <f t="shared" si="307"/>
        <v>Inexploitabilité accidentelle de media support de programmes de services applicatifs, en médiathèque, due au vieillissement</v>
      </c>
      <c r="P500" s="435">
        <v>1</v>
      </c>
      <c r="Q500" s="1595" t="s">
        <v>1431</v>
      </c>
      <c r="R500" s="1595" t="s">
        <v>1873</v>
      </c>
      <c r="S500" s="1595" t="str">
        <f>Classif!C23</f>
        <v/>
      </c>
      <c r="T500" s="1595">
        <f t="shared" si="308"/>
        <v>2</v>
      </c>
      <c r="U500" s="1744" t="str">
        <f t="shared" si="309"/>
        <v/>
      </c>
      <c r="V500" s="1745">
        <v>1</v>
      </c>
      <c r="W500" s="1745">
        <v>1</v>
      </c>
      <c r="X500" s="1745">
        <f>S08C05</f>
        <v>1</v>
      </c>
      <c r="Y500" s="1745">
        <f t="shared" si="304"/>
        <v>1</v>
      </c>
      <c r="Z500" s="1746">
        <v>0</v>
      </c>
      <c r="AA500" s="1747"/>
      <c r="AB500" s="1748"/>
      <c r="AC500" s="1748"/>
      <c r="AD500" s="1595" t="str">
        <f t="shared" si="292"/>
        <v/>
      </c>
      <c r="AE500" s="1595">
        <f t="shared" si="310"/>
        <v>2</v>
      </c>
      <c r="AF500" s="1595" t="str">
        <f t="shared" si="311"/>
        <v/>
      </c>
      <c r="AG500" s="1748"/>
      <c r="AH500" s="1749" t="str">
        <f t="shared" si="293"/>
        <v/>
      </c>
      <c r="AI500" s="1615"/>
      <c r="AJ500" s="1621"/>
      <c r="AK500" s="1618" t="s">
        <v>2058</v>
      </c>
      <c r="AL500" s="1617" t="s">
        <v>4954</v>
      </c>
      <c r="AM500" s="247" t="str">
        <f t="shared" si="286"/>
        <v/>
      </c>
      <c r="AN500" s="247" t="str">
        <f t="shared" si="287"/>
        <v/>
      </c>
      <c r="AO500" s="247" t="str">
        <f t="shared" si="288"/>
        <v/>
      </c>
      <c r="AP500" s="247" t="str">
        <f t="shared" si="289"/>
        <v/>
      </c>
      <c r="AQ500" s="42">
        <f t="shared" si="312"/>
        <v>1</v>
      </c>
      <c r="AR500" s="42">
        <f t="shared" si="313"/>
        <v>1</v>
      </c>
      <c r="AS500" s="42">
        <f t="shared" si="314"/>
        <v>1</v>
      </c>
      <c r="AT500" s="42">
        <f t="shared" si="315"/>
        <v>1</v>
      </c>
      <c r="AU500" s="247" t="str">
        <f t="shared" si="290"/>
        <v/>
      </c>
      <c r="AV500" s="247" t="str">
        <f t="shared" si="291"/>
        <v/>
      </c>
    </row>
    <row r="501" spans="1:48" ht="33.75" x14ac:dyDescent="0.2">
      <c r="A501" s="428" t="s">
        <v>539</v>
      </c>
      <c r="B501" s="429" t="s">
        <v>4599</v>
      </c>
      <c r="C501" s="430" t="s">
        <v>2787</v>
      </c>
      <c r="D501" s="1349" t="s">
        <v>1873</v>
      </c>
      <c r="E501" s="1350" t="s">
        <v>2045</v>
      </c>
      <c r="F501" s="1350" t="s">
        <v>1879</v>
      </c>
      <c r="G501" s="1351" t="s">
        <v>5440</v>
      </c>
      <c r="H501" s="1342" t="s">
        <v>1554</v>
      </c>
      <c r="I501" s="432" t="s">
        <v>1534</v>
      </c>
      <c r="J501" s="431" t="s">
        <v>1880</v>
      </c>
      <c r="K501" s="431"/>
      <c r="L501" s="431"/>
      <c r="M501" s="433"/>
      <c r="N501" s="434"/>
      <c r="O501" s="1743" t="str">
        <f t="shared" si="307"/>
        <v>Endommagement accidentel de système hôte de services applicatifs, dans les locaux de l'exploitation, due à un dégât des eaux</v>
      </c>
      <c r="P501" s="435">
        <v>1</v>
      </c>
      <c r="Q501" s="1595" t="s">
        <v>1431</v>
      </c>
      <c r="R501" s="1595" t="s">
        <v>1873</v>
      </c>
      <c r="S501" s="1595" t="str">
        <f>Classif!C23</f>
        <v/>
      </c>
      <c r="T501" s="1595">
        <f t="shared" si="308"/>
        <v>3</v>
      </c>
      <c r="U501" s="1744" t="str">
        <f t="shared" si="309"/>
        <v/>
      </c>
      <c r="V501" s="1745">
        <v>1</v>
      </c>
      <c r="W501" s="1745">
        <f>S03C01</f>
        <v>1</v>
      </c>
      <c r="X501" s="1745">
        <v>1</v>
      </c>
      <c r="Y501" s="1745">
        <f>MAX(S07D01,S09E01,MIN(S08D06,S09E02),MIN(S01E01,S01E02))</f>
        <v>1</v>
      </c>
      <c r="Z501" s="1746">
        <v>0</v>
      </c>
      <c r="AA501" s="1747"/>
      <c r="AB501" s="1748"/>
      <c r="AC501" s="1748"/>
      <c r="AD501" s="1595" t="str">
        <f t="shared" si="292"/>
        <v/>
      </c>
      <c r="AE501" s="1595">
        <f t="shared" si="310"/>
        <v>3</v>
      </c>
      <c r="AF501" s="1595" t="str">
        <f t="shared" si="311"/>
        <v/>
      </c>
      <c r="AG501" s="1748"/>
      <c r="AH501" s="1749" t="str">
        <f t="shared" si="293"/>
        <v/>
      </c>
      <c r="AI501" s="1620"/>
      <c r="AJ501" s="1616" t="s">
        <v>5220</v>
      </c>
      <c r="AK501" s="1616"/>
      <c r="AL501" s="1617" t="s">
        <v>1520</v>
      </c>
      <c r="AM501" s="247" t="str">
        <f t="shared" si="286"/>
        <v/>
      </c>
      <c r="AN501" s="247" t="str">
        <f t="shared" si="287"/>
        <v/>
      </c>
      <c r="AO501" s="247" t="str">
        <f t="shared" si="288"/>
        <v/>
      </c>
      <c r="AP501" s="247" t="str">
        <f t="shared" si="289"/>
        <v/>
      </c>
      <c r="AQ501" s="42">
        <f t="shared" si="312"/>
        <v>1</v>
      </c>
      <c r="AR501" s="42">
        <f t="shared" si="313"/>
        <v>1</v>
      </c>
      <c r="AS501" s="42">
        <f t="shared" si="314"/>
        <v>1</v>
      </c>
      <c r="AT501" s="42">
        <f t="shared" si="315"/>
        <v>1</v>
      </c>
      <c r="AU501" s="247" t="str">
        <f t="shared" si="290"/>
        <v/>
      </c>
      <c r="AV501" s="247" t="str">
        <f t="shared" si="291"/>
        <v/>
      </c>
    </row>
    <row r="502" spans="1:48" ht="33.75" x14ac:dyDescent="0.2">
      <c r="A502" s="428" t="s">
        <v>540</v>
      </c>
      <c r="B502" s="429" t="s">
        <v>4599</v>
      </c>
      <c r="C502" s="430" t="s">
        <v>2787</v>
      </c>
      <c r="D502" s="1349" t="s">
        <v>1873</v>
      </c>
      <c r="E502" s="1350" t="s">
        <v>2045</v>
      </c>
      <c r="F502" s="1350" t="s">
        <v>1879</v>
      </c>
      <c r="G502" s="1351" t="s">
        <v>5440</v>
      </c>
      <c r="H502" s="1342" t="s">
        <v>1554</v>
      </c>
      <c r="I502" s="432" t="s">
        <v>1537</v>
      </c>
      <c r="J502" s="431" t="s">
        <v>1880</v>
      </c>
      <c r="K502" s="431"/>
      <c r="L502" s="431"/>
      <c r="M502" s="433"/>
      <c r="N502" s="434"/>
      <c r="O502" s="1743" t="str">
        <f t="shared" si="307"/>
        <v>Endommagement accidentel de système hôte de services applicatifs, dans les locaux de l'exploitation, due à une surcharge électrique</v>
      </c>
      <c r="P502" s="435">
        <v>1</v>
      </c>
      <c r="Q502" s="1595" t="s">
        <v>1431</v>
      </c>
      <c r="R502" s="1595" t="s">
        <v>1873</v>
      </c>
      <c r="S502" s="1595" t="str">
        <f>Classif!C23</f>
        <v/>
      </c>
      <c r="T502" s="1595">
        <f t="shared" si="308"/>
        <v>2</v>
      </c>
      <c r="U502" s="1744" t="str">
        <f t="shared" si="309"/>
        <v/>
      </c>
      <c r="V502" s="1745">
        <v>1</v>
      </c>
      <c r="W502" s="1745">
        <f>MIN(S03A01,S03A04)</f>
        <v>1</v>
      </c>
      <c r="X502" s="1745">
        <v>1</v>
      </c>
      <c r="Y502" s="1745">
        <f>MAX(S07D01,S09E01,MIN(S08D06,S09E02),MIN(S01E01,S01E02))</f>
        <v>1</v>
      </c>
      <c r="Z502" s="1746">
        <v>0</v>
      </c>
      <c r="AA502" s="1747"/>
      <c r="AB502" s="1748"/>
      <c r="AC502" s="1748"/>
      <c r="AD502" s="1595" t="str">
        <f t="shared" si="292"/>
        <v/>
      </c>
      <c r="AE502" s="1595">
        <f t="shared" si="310"/>
        <v>2</v>
      </c>
      <c r="AF502" s="1595" t="str">
        <f t="shared" si="311"/>
        <v/>
      </c>
      <c r="AG502" s="1748"/>
      <c r="AH502" s="1749" t="str">
        <f t="shared" si="293"/>
        <v/>
      </c>
      <c r="AI502" s="1615"/>
      <c r="AJ502" s="1616" t="s">
        <v>5252</v>
      </c>
      <c r="AK502" s="1616"/>
      <c r="AL502" s="1617" t="s">
        <v>1520</v>
      </c>
      <c r="AM502" s="247" t="str">
        <f t="shared" si="286"/>
        <v/>
      </c>
      <c r="AN502" s="247" t="str">
        <f t="shared" si="287"/>
        <v/>
      </c>
      <c r="AO502" s="247" t="str">
        <f t="shared" si="288"/>
        <v/>
      </c>
      <c r="AP502" s="247" t="str">
        <f t="shared" si="289"/>
        <v/>
      </c>
      <c r="AQ502" s="42">
        <f t="shared" si="312"/>
        <v>1</v>
      </c>
      <c r="AR502" s="42">
        <f t="shared" si="313"/>
        <v>1</v>
      </c>
      <c r="AS502" s="42">
        <f t="shared" si="314"/>
        <v>1</v>
      </c>
      <c r="AT502" s="42">
        <f t="shared" si="315"/>
        <v>1</v>
      </c>
      <c r="AU502" s="247" t="str">
        <f t="shared" si="290"/>
        <v/>
      </c>
      <c r="AV502" s="247" t="str">
        <f t="shared" si="291"/>
        <v/>
      </c>
    </row>
    <row r="503" spans="1:48" ht="36" x14ac:dyDescent="0.2">
      <c r="A503" s="428" t="s">
        <v>541</v>
      </c>
      <c r="B503" s="429" t="s">
        <v>4600</v>
      </c>
      <c r="C503" s="430" t="s">
        <v>2787</v>
      </c>
      <c r="D503" s="1349" t="s">
        <v>1873</v>
      </c>
      <c r="E503" s="1350" t="s">
        <v>2045</v>
      </c>
      <c r="F503" s="1350" t="s">
        <v>1875</v>
      </c>
      <c r="G503" s="1351" t="s">
        <v>5439</v>
      </c>
      <c r="H503" s="1342" t="s">
        <v>3919</v>
      </c>
      <c r="I503" s="432" t="s">
        <v>4329</v>
      </c>
      <c r="J503" s="431" t="s">
        <v>1880</v>
      </c>
      <c r="K503" s="431"/>
      <c r="L503" s="431"/>
      <c r="M503" s="433"/>
      <c r="N503" s="434"/>
      <c r="O503" s="1743" t="str">
        <f t="shared" si="307"/>
        <v>Indisponibilité de longue durée, destruction ou perte accidentelles de système hôte de services applicatifs, dans les locaux de l'exploitation, due à un foudroiement</v>
      </c>
      <c r="P503" s="435">
        <v>1</v>
      </c>
      <c r="Q503" s="1595" t="s">
        <v>1431</v>
      </c>
      <c r="R503" s="1595" t="s">
        <v>1873</v>
      </c>
      <c r="S503" s="1595" t="str">
        <f>Classif!C23</f>
        <v/>
      </c>
      <c r="T503" s="1595">
        <f t="shared" si="308"/>
        <v>2</v>
      </c>
      <c r="U503" s="1744" t="str">
        <f t="shared" si="309"/>
        <v/>
      </c>
      <c r="V503" s="1745">
        <v>1</v>
      </c>
      <c r="W503" s="1745">
        <f>S03A05</f>
        <v>1</v>
      </c>
      <c r="X503" s="1745">
        <v>1</v>
      </c>
      <c r="Y503" s="1745">
        <f>MIN(S08D06,S09E02)</f>
        <v>1</v>
      </c>
      <c r="Z503" s="1746">
        <v>0</v>
      </c>
      <c r="AA503" s="1747"/>
      <c r="AB503" s="1748"/>
      <c r="AC503" s="1748"/>
      <c r="AD503" s="1595" t="str">
        <f t="shared" si="292"/>
        <v/>
      </c>
      <c r="AE503" s="1595">
        <f t="shared" si="310"/>
        <v>2</v>
      </c>
      <c r="AF503" s="1595" t="str">
        <f t="shared" si="311"/>
        <v/>
      </c>
      <c r="AG503" s="1748"/>
      <c r="AH503" s="1749" t="str">
        <f t="shared" si="293"/>
        <v/>
      </c>
      <c r="AI503" s="1620"/>
      <c r="AJ503" s="1616" t="s">
        <v>2343</v>
      </c>
      <c r="AK503" s="1616"/>
      <c r="AL503" s="1617" t="s">
        <v>5144</v>
      </c>
      <c r="AM503" s="247" t="str">
        <f t="shared" si="286"/>
        <v/>
      </c>
      <c r="AN503" s="247" t="str">
        <f t="shared" si="287"/>
        <v/>
      </c>
      <c r="AO503" s="247" t="str">
        <f t="shared" si="288"/>
        <v/>
      </c>
      <c r="AP503" s="247" t="str">
        <f t="shared" si="289"/>
        <v/>
      </c>
      <c r="AQ503" s="42">
        <f t="shared" si="312"/>
        <v>1</v>
      </c>
      <c r="AR503" s="42">
        <f t="shared" si="313"/>
        <v>1</v>
      </c>
      <c r="AS503" s="42">
        <f t="shared" si="314"/>
        <v>1</v>
      </c>
      <c r="AT503" s="42">
        <f t="shared" si="315"/>
        <v>1</v>
      </c>
      <c r="AU503" s="247" t="str">
        <f t="shared" si="290"/>
        <v/>
      </c>
      <c r="AV503" s="247" t="str">
        <f t="shared" si="291"/>
        <v/>
      </c>
    </row>
    <row r="504" spans="1:48" ht="24" x14ac:dyDescent="0.2">
      <c r="A504" s="428" t="s">
        <v>542</v>
      </c>
      <c r="B504" s="429" t="s">
        <v>4600</v>
      </c>
      <c r="C504" s="430" t="s">
        <v>2787</v>
      </c>
      <c r="D504" s="1349" t="s">
        <v>1873</v>
      </c>
      <c r="E504" s="1350" t="s">
        <v>2045</v>
      </c>
      <c r="F504" s="1350" t="s">
        <v>1875</v>
      </c>
      <c r="G504" s="1351" t="s">
        <v>5439</v>
      </c>
      <c r="H504" s="1342" t="s">
        <v>3919</v>
      </c>
      <c r="I504" s="432" t="s">
        <v>1535</v>
      </c>
      <c r="J504" s="431" t="s">
        <v>1880</v>
      </c>
      <c r="K504" s="431"/>
      <c r="L504" s="431"/>
      <c r="M504" s="433"/>
      <c r="N504" s="434"/>
      <c r="O504" s="1743" t="str">
        <f t="shared" si="307"/>
        <v>Indisponibilité de longue durée, destruction ou perte accidentelles de système hôte de services applicatifs, dans les locaux de l'exploitation, due à un incendie</v>
      </c>
      <c r="P504" s="435">
        <v>1</v>
      </c>
      <c r="Q504" s="1595" t="s">
        <v>1431</v>
      </c>
      <c r="R504" s="1595" t="s">
        <v>1873</v>
      </c>
      <c r="S504" s="1595" t="str">
        <f>Classif!C23</f>
        <v/>
      </c>
      <c r="T504" s="1595">
        <f t="shared" si="308"/>
        <v>2</v>
      </c>
      <c r="U504" s="1744" t="str">
        <f t="shared" si="309"/>
        <v/>
      </c>
      <c r="V504" s="1745">
        <v>1</v>
      </c>
      <c r="W504" s="1745">
        <f>S03D01</f>
        <v>1</v>
      </c>
      <c r="X504" s="1745">
        <f>MIN(S03D02,S03D03)</f>
        <v>1</v>
      </c>
      <c r="Y504" s="1745">
        <f>MIN(S08D06,S09E02)</f>
        <v>1</v>
      </c>
      <c r="Z504" s="1746">
        <v>0</v>
      </c>
      <c r="AA504" s="1747"/>
      <c r="AB504" s="1748"/>
      <c r="AC504" s="1748"/>
      <c r="AD504" s="1595" t="str">
        <f t="shared" si="292"/>
        <v/>
      </c>
      <c r="AE504" s="1595">
        <f t="shared" si="310"/>
        <v>2</v>
      </c>
      <c r="AF504" s="1595" t="str">
        <f t="shared" si="311"/>
        <v/>
      </c>
      <c r="AG504" s="1748"/>
      <c r="AH504" s="1749" t="str">
        <f t="shared" si="293"/>
        <v/>
      </c>
      <c r="AI504" s="1620"/>
      <c r="AJ504" s="1616" t="s">
        <v>5225</v>
      </c>
      <c r="AK504" s="1616" t="s">
        <v>1052</v>
      </c>
      <c r="AL504" s="1617" t="s">
        <v>5144</v>
      </c>
      <c r="AM504" s="247" t="str">
        <f t="shared" si="286"/>
        <v/>
      </c>
      <c r="AN504" s="247" t="str">
        <f t="shared" si="287"/>
        <v/>
      </c>
      <c r="AO504" s="247" t="str">
        <f t="shared" si="288"/>
        <v/>
      </c>
      <c r="AP504" s="247" t="str">
        <f t="shared" si="289"/>
        <v/>
      </c>
      <c r="AQ504" s="42">
        <f t="shared" si="312"/>
        <v>1</v>
      </c>
      <c r="AR504" s="42">
        <f t="shared" si="313"/>
        <v>1</v>
      </c>
      <c r="AS504" s="42">
        <f t="shared" si="314"/>
        <v>1</v>
      </c>
      <c r="AT504" s="42">
        <f t="shared" si="315"/>
        <v>1</v>
      </c>
      <c r="AU504" s="247" t="str">
        <f t="shared" si="290"/>
        <v/>
      </c>
      <c r="AV504" s="247" t="str">
        <f t="shared" si="291"/>
        <v/>
      </c>
    </row>
    <row r="505" spans="1:48" ht="36" x14ac:dyDescent="0.2">
      <c r="A505" s="428" t="s">
        <v>543</v>
      </c>
      <c r="B505" s="429" t="s">
        <v>4600</v>
      </c>
      <c r="C505" s="430" t="s">
        <v>2787</v>
      </c>
      <c r="D505" s="1349" t="s">
        <v>1873</v>
      </c>
      <c r="E505" s="1350" t="s">
        <v>2045</v>
      </c>
      <c r="F505" s="1350" t="s">
        <v>1875</v>
      </c>
      <c r="G505" s="1351" t="s">
        <v>5439</v>
      </c>
      <c r="H505" s="1342" t="s">
        <v>3919</v>
      </c>
      <c r="I505" s="432" t="s">
        <v>1536</v>
      </c>
      <c r="J505" s="431" t="s">
        <v>1880</v>
      </c>
      <c r="K505" s="431"/>
      <c r="L505" s="431"/>
      <c r="M505" s="433"/>
      <c r="N505" s="434"/>
      <c r="O505" s="1743" t="str">
        <f t="shared" si="307"/>
        <v>Indisponibilité de longue durée, destruction ou perte accidentelles de système hôte de services applicatifs, dans les locaux de l'exploitation, due à une inondation</v>
      </c>
      <c r="P505" s="435">
        <v>1</v>
      </c>
      <c r="Q505" s="1595" t="s">
        <v>1431</v>
      </c>
      <c r="R505" s="1595" t="s">
        <v>1873</v>
      </c>
      <c r="S505" s="1595" t="str">
        <f>Classif!C23</f>
        <v/>
      </c>
      <c r="T505" s="1595">
        <f t="shared" si="308"/>
        <v>2</v>
      </c>
      <c r="U505" s="1744" t="str">
        <f t="shared" si="309"/>
        <v/>
      </c>
      <c r="V505" s="1745">
        <v>1</v>
      </c>
      <c r="W505" s="1745">
        <f>S03C01</f>
        <v>1</v>
      </c>
      <c r="X505" s="1745">
        <f>MIN(S03C02,S03C03)</f>
        <v>1</v>
      </c>
      <c r="Y505" s="1745">
        <f>MIN(S08D06,S09E02)</f>
        <v>1</v>
      </c>
      <c r="Z505" s="1746">
        <v>0</v>
      </c>
      <c r="AA505" s="1747"/>
      <c r="AB505" s="1748"/>
      <c r="AC505" s="1748"/>
      <c r="AD505" s="1595" t="str">
        <f t="shared" si="292"/>
        <v/>
      </c>
      <c r="AE505" s="1595">
        <f t="shared" si="310"/>
        <v>2</v>
      </c>
      <c r="AF505" s="1595" t="str">
        <f t="shared" si="311"/>
        <v/>
      </c>
      <c r="AG505" s="1748"/>
      <c r="AH505" s="1749" t="str">
        <f t="shared" si="293"/>
        <v/>
      </c>
      <c r="AI505" s="1620"/>
      <c r="AJ505" s="1616" t="s">
        <v>5220</v>
      </c>
      <c r="AK505" s="1616" t="s">
        <v>1054</v>
      </c>
      <c r="AL505" s="1617" t="s">
        <v>5144</v>
      </c>
      <c r="AM505" s="247" t="str">
        <f t="shared" si="286"/>
        <v/>
      </c>
      <c r="AN505" s="247" t="str">
        <f t="shared" si="287"/>
        <v/>
      </c>
      <c r="AO505" s="247" t="str">
        <f t="shared" si="288"/>
        <v/>
      </c>
      <c r="AP505" s="247" t="str">
        <f t="shared" si="289"/>
        <v/>
      </c>
      <c r="AQ505" s="42">
        <f t="shared" si="312"/>
        <v>1</v>
      </c>
      <c r="AR505" s="42">
        <f t="shared" si="313"/>
        <v>1</v>
      </c>
      <c r="AS505" s="42">
        <f t="shared" si="314"/>
        <v>1</v>
      </c>
      <c r="AT505" s="42">
        <f t="shared" si="315"/>
        <v>1</v>
      </c>
      <c r="AU505" s="247" t="str">
        <f t="shared" si="290"/>
        <v/>
      </c>
      <c r="AV505" s="247" t="str">
        <f t="shared" si="291"/>
        <v/>
      </c>
    </row>
    <row r="506" spans="1:48" ht="24" x14ac:dyDescent="0.2">
      <c r="A506" s="428" t="s">
        <v>544</v>
      </c>
      <c r="B506" s="429" t="s">
        <v>4257</v>
      </c>
      <c r="C506" s="430" t="s">
        <v>2787</v>
      </c>
      <c r="D506" s="1349" t="s">
        <v>1873</v>
      </c>
      <c r="E506" s="1350" t="s">
        <v>2045</v>
      </c>
      <c r="F506" s="1350" t="s">
        <v>1503</v>
      </c>
      <c r="G506" s="1351" t="s">
        <v>5440</v>
      </c>
      <c r="H506" s="1342" t="s">
        <v>3920</v>
      </c>
      <c r="I506" s="432" t="s">
        <v>3526</v>
      </c>
      <c r="J506" s="431"/>
      <c r="K506" s="431"/>
      <c r="L506" s="431"/>
      <c r="M506" s="433"/>
      <c r="N506" s="434"/>
      <c r="O506" s="1743" t="str">
        <f>VLOOKUP(B506,code_famille_scénario,2)&amp;VLOOKUP(C506,code_actif,2)&amp;", due "&amp;VLOOKUP(I506,code_event,2)</f>
        <v>Indisponibilité temporaire accidentelle de système hôte de services applicatifs, due à une panne d'équipement</v>
      </c>
      <c r="P506" s="435">
        <v>1</v>
      </c>
      <c r="Q506" s="1595" t="s">
        <v>1431</v>
      </c>
      <c r="R506" s="1595" t="s">
        <v>1873</v>
      </c>
      <c r="S506" s="1595" t="str">
        <f>Classif!C23</f>
        <v/>
      </c>
      <c r="T506" s="1595">
        <f t="shared" si="308"/>
        <v>3</v>
      </c>
      <c r="U506" s="1744" t="str">
        <f t="shared" si="309"/>
        <v/>
      </c>
      <c r="V506" s="1745">
        <v>1</v>
      </c>
      <c r="W506" s="1745">
        <f>S09E01</f>
        <v>1</v>
      </c>
      <c r="X506" s="1745">
        <v>1</v>
      </c>
      <c r="Y506" s="1745">
        <f>MAX(S07D01,S08D01)</f>
        <v>1</v>
      </c>
      <c r="Z506" s="1746">
        <v>0</v>
      </c>
      <c r="AA506" s="1747"/>
      <c r="AB506" s="1748"/>
      <c r="AC506" s="1748"/>
      <c r="AD506" s="1595" t="str">
        <f t="shared" si="292"/>
        <v/>
      </c>
      <c r="AE506" s="1595">
        <f t="shared" si="310"/>
        <v>3</v>
      </c>
      <c r="AF506" s="1595" t="str">
        <f t="shared" si="311"/>
        <v/>
      </c>
      <c r="AG506" s="1748"/>
      <c r="AH506" s="1749" t="str">
        <f t="shared" si="293"/>
        <v/>
      </c>
      <c r="AI506" s="1620"/>
      <c r="AJ506" s="1616" t="s">
        <v>5928</v>
      </c>
      <c r="AK506" s="1616"/>
      <c r="AL506" s="1617" t="s">
        <v>5145</v>
      </c>
      <c r="AM506" s="247" t="str">
        <f t="shared" si="286"/>
        <v/>
      </c>
      <c r="AN506" s="247" t="str">
        <f t="shared" si="287"/>
        <v/>
      </c>
      <c r="AO506" s="247" t="str">
        <f t="shared" si="288"/>
        <v/>
      </c>
      <c r="AP506" s="247" t="str">
        <f t="shared" si="289"/>
        <v/>
      </c>
      <c r="AQ506" s="42">
        <f t="shared" si="312"/>
        <v>1</v>
      </c>
      <c r="AR506" s="42">
        <f t="shared" si="313"/>
        <v>1</v>
      </c>
      <c r="AS506" s="42">
        <f t="shared" si="314"/>
        <v>1</v>
      </c>
      <c r="AT506" s="42">
        <f t="shared" si="315"/>
        <v>1</v>
      </c>
      <c r="AU506" s="247" t="str">
        <f t="shared" si="290"/>
        <v/>
      </c>
      <c r="AV506" s="247" t="str">
        <f t="shared" si="291"/>
        <v/>
      </c>
    </row>
    <row r="507" spans="1:48" ht="24" x14ac:dyDescent="0.2">
      <c r="A507" s="428" t="s">
        <v>545</v>
      </c>
      <c r="B507" s="429" t="s">
        <v>4257</v>
      </c>
      <c r="C507" s="430" t="s">
        <v>2787</v>
      </c>
      <c r="D507" s="1349" t="s">
        <v>1873</v>
      </c>
      <c r="E507" s="1350" t="s">
        <v>5927</v>
      </c>
      <c r="F507" s="1350" t="s">
        <v>1503</v>
      </c>
      <c r="G507" s="1351" t="s">
        <v>5440</v>
      </c>
      <c r="H507" s="1342" t="s">
        <v>3920</v>
      </c>
      <c r="I507" s="432" t="s">
        <v>4295</v>
      </c>
      <c r="J507" s="431"/>
      <c r="K507" s="431"/>
      <c r="L507" s="431"/>
      <c r="M507" s="433"/>
      <c r="N507" s="434"/>
      <c r="O507" s="1743" t="str">
        <f>VLOOKUP(B507,code_famille_scénario,2)&amp;VLOOKUP(C507,code_actif,2)&amp;", due "&amp;VLOOKUP(I507,code_event,2)</f>
        <v>Indisponibilité temporaire accidentelle de système hôte de services applicatifs, due à une défaillance ou à une indisponibilité de moyens de servitude</v>
      </c>
      <c r="P507" s="435">
        <v>1</v>
      </c>
      <c r="Q507" s="1595" t="s">
        <v>1431</v>
      </c>
      <c r="R507" s="1595" t="s">
        <v>1873</v>
      </c>
      <c r="S507" s="1595" t="str">
        <f>Classif!C23</f>
        <v/>
      </c>
      <c r="T507" s="1595">
        <f t="shared" si="308"/>
        <v>3</v>
      </c>
      <c r="U507" s="1744" t="str">
        <f t="shared" si="309"/>
        <v/>
      </c>
      <c r="V507" s="1745">
        <v>1</v>
      </c>
      <c r="W507" s="1745">
        <v>1</v>
      </c>
      <c r="X507" s="1745">
        <v>1</v>
      </c>
      <c r="Y507" s="1745">
        <f>S03A06</f>
        <v>1</v>
      </c>
      <c r="Z507" s="1746">
        <v>0</v>
      </c>
      <c r="AA507" s="1747"/>
      <c r="AB507" s="1748"/>
      <c r="AC507" s="1748"/>
      <c r="AD507" s="1595" t="str">
        <f t="shared" si="292"/>
        <v/>
      </c>
      <c r="AE507" s="1595">
        <f t="shared" si="310"/>
        <v>3</v>
      </c>
      <c r="AF507" s="1595" t="str">
        <f t="shared" si="311"/>
        <v/>
      </c>
      <c r="AG507" s="1748"/>
      <c r="AH507" s="1749" t="str">
        <f t="shared" si="293"/>
        <v/>
      </c>
      <c r="AI507" s="1620"/>
      <c r="AJ507" s="1616"/>
      <c r="AK507" s="1616"/>
      <c r="AL507" s="1617" t="s">
        <v>1055</v>
      </c>
      <c r="AM507" s="247" t="str">
        <f t="shared" si="286"/>
        <v/>
      </c>
      <c r="AN507" s="247" t="str">
        <f t="shared" si="287"/>
        <v/>
      </c>
      <c r="AO507" s="247" t="str">
        <f t="shared" si="288"/>
        <v/>
      </c>
      <c r="AP507" s="247" t="str">
        <f t="shared" si="289"/>
        <v/>
      </c>
      <c r="AQ507" s="42">
        <f t="shared" si="312"/>
        <v>1</v>
      </c>
      <c r="AR507" s="42">
        <f t="shared" si="313"/>
        <v>1</v>
      </c>
      <c r="AS507" s="42">
        <f t="shared" si="314"/>
        <v>1</v>
      </c>
      <c r="AT507" s="42">
        <f t="shared" si="315"/>
        <v>1</v>
      </c>
      <c r="AU507" s="247" t="str">
        <f t="shared" si="290"/>
        <v/>
      </c>
      <c r="AV507" s="247" t="str">
        <f t="shared" si="291"/>
        <v/>
      </c>
    </row>
    <row r="508" spans="1:48" ht="24" x14ac:dyDescent="0.2">
      <c r="A508" s="428" t="s">
        <v>546</v>
      </c>
      <c r="B508" s="429" t="s">
        <v>4257</v>
      </c>
      <c r="C508" s="430" t="s">
        <v>2787</v>
      </c>
      <c r="D508" s="1349" t="s">
        <v>1873</v>
      </c>
      <c r="E508" s="1350" t="s">
        <v>5927</v>
      </c>
      <c r="F508" s="1350" t="s">
        <v>1503</v>
      </c>
      <c r="G508" s="1351" t="s">
        <v>5440</v>
      </c>
      <c r="H508" s="1342" t="s">
        <v>1474</v>
      </c>
      <c r="I508" s="432" t="s">
        <v>1541</v>
      </c>
      <c r="J508" s="431"/>
      <c r="K508" s="431"/>
      <c r="L508" s="431"/>
      <c r="M508" s="433"/>
      <c r="N508" s="434"/>
      <c r="O508" s="1743" t="str">
        <f>VLOOKUP(B508,code_famille_scénario,2)&amp;VLOOKUP(C508,code_actif,2)&amp;", due "&amp;VLOOKUP(I508,code_event,2)</f>
        <v>Indisponibilité temporaire accidentelle de système hôte de services applicatifs, due à un manque d'alimentation en énergie (défaut externe)</v>
      </c>
      <c r="P508" s="435">
        <v>1</v>
      </c>
      <c r="Q508" s="1595" t="s">
        <v>1431</v>
      </c>
      <c r="R508" s="1595" t="s">
        <v>1873</v>
      </c>
      <c r="S508" s="1595" t="str">
        <f>Classif!C23</f>
        <v/>
      </c>
      <c r="T508" s="1595">
        <f t="shared" si="308"/>
        <v>3</v>
      </c>
      <c r="U508" s="1744" t="str">
        <f t="shared" si="309"/>
        <v/>
      </c>
      <c r="V508" s="1745">
        <v>1</v>
      </c>
      <c r="W508" s="1745">
        <v>1</v>
      </c>
      <c r="X508" s="1745">
        <v>1</v>
      </c>
      <c r="Y508" s="1745">
        <f>S03A02</f>
        <v>1</v>
      </c>
      <c r="Z508" s="1746">
        <v>0</v>
      </c>
      <c r="AA508" s="1747"/>
      <c r="AB508" s="1748"/>
      <c r="AC508" s="1748"/>
      <c r="AD508" s="1595" t="str">
        <f t="shared" si="292"/>
        <v/>
      </c>
      <c r="AE508" s="1595">
        <f t="shared" si="310"/>
        <v>3</v>
      </c>
      <c r="AF508" s="1595" t="str">
        <f t="shared" si="311"/>
        <v/>
      </c>
      <c r="AG508" s="1748"/>
      <c r="AH508" s="1749" t="str">
        <f t="shared" si="293"/>
        <v/>
      </c>
      <c r="AI508" s="1620"/>
      <c r="AJ508" s="1616"/>
      <c r="AK508" s="1616"/>
      <c r="AL508" s="1617" t="s">
        <v>6388</v>
      </c>
      <c r="AM508" s="247" t="str">
        <f t="shared" si="286"/>
        <v/>
      </c>
      <c r="AN508" s="247" t="str">
        <f t="shared" si="287"/>
        <v/>
      </c>
      <c r="AO508" s="247" t="str">
        <f t="shared" si="288"/>
        <v/>
      </c>
      <c r="AP508" s="247" t="str">
        <f t="shared" si="289"/>
        <v/>
      </c>
      <c r="AQ508" s="42">
        <f t="shared" si="312"/>
        <v>1</v>
      </c>
      <c r="AR508" s="42">
        <f t="shared" si="313"/>
        <v>1</v>
      </c>
      <c r="AS508" s="42">
        <f t="shared" si="314"/>
        <v>1</v>
      </c>
      <c r="AT508" s="42">
        <f t="shared" si="315"/>
        <v>1</v>
      </c>
      <c r="AU508" s="247" t="str">
        <f t="shared" si="290"/>
        <v/>
      </c>
      <c r="AV508" s="247" t="str">
        <f t="shared" si="291"/>
        <v/>
      </c>
    </row>
    <row r="509" spans="1:48" ht="24" x14ac:dyDescent="0.2">
      <c r="A509" s="428" t="s">
        <v>547</v>
      </c>
      <c r="B509" s="429" t="s">
        <v>4257</v>
      </c>
      <c r="C509" s="430" t="s">
        <v>2787</v>
      </c>
      <c r="D509" s="1349" t="s">
        <v>1873</v>
      </c>
      <c r="E509" s="1350" t="s">
        <v>5927</v>
      </c>
      <c r="F509" s="1350" t="s">
        <v>1503</v>
      </c>
      <c r="G509" s="1351" t="s">
        <v>5440</v>
      </c>
      <c r="H509" s="1342" t="s">
        <v>1474</v>
      </c>
      <c r="I509" s="432" t="s">
        <v>1515</v>
      </c>
      <c r="J509" s="431"/>
      <c r="K509" s="431"/>
      <c r="L509" s="431"/>
      <c r="M509" s="433"/>
      <c r="N509" s="434"/>
      <c r="O509" s="1743" t="str">
        <f>VLOOKUP(B509,code_famille_scénario,2)&amp;VLOOKUP(C509,code_actif,2)&amp;", due "&amp;VLOOKUP(I509,code_event,2)</f>
        <v>Indisponibilité temporaire accidentelle de système hôte de services applicatifs, due à un arrêt de la climatisation</v>
      </c>
      <c r="P509" s="435">
        <v>1</v>
      </c>
      <c r="Q509" s="1595" t="s">
        <v>1431</v>
      </c>
      <c r="R509" s="1595" t="s">
        <v>1873</v>
      </c>
      <c r="S509" s="1595" t="str">
        <f>Classif!C23</f>
        <v/>
      </c>
      <c r="T509" s="1595">
        <f t="shared" si="308"/>
        <v>2</v>
      </c>
      <c r="U509" s="1744" t="str">
        <f t="shared" si="309"/>
        <v/>
      </c>
      <c r="V509" s="1745">
        <v>1</v>
      </c>
      <c r="W509" s="1745">
        <v>1</v>
      </c>
      <c r="X509" s="1745">
        <v>1</v>
      </c>
      <c r="Y509" s="1745">
        <f>S03A03</f>
        <v>1</v>
      </c>
      <c r="Z509" s="1746">
        <v>0</v>
      </c>
      <c r="AA509" s="1747"/>
      <c r="AB509" s="1748"/>
      <c r="AC509" s="1748"/>
      <c r="AD509" s="1595" t="str">
        <f t="shared" si="292"/>
        <v/>
      </c>
      <c r="AE509" s="1595">
        <f t="shared" si="310"/>
        <v>2</v>
      </c>
      <c r="AF509" s="1595" t="str">
        <f t="shared" si="311"/>
        <v/>
      </c>
      <c r="AG509" s="1748"/>
      <c r="AH509" s="1749" t="str">
        <f t="shared" si="293"/>
        <v/>
      </c>
      <c r="AI509" s="1620"/>
      <c r="AJ509" s="1616"/>
      <c r="AK509" s="1616"/>
      <c r="AL509" s="1617" t="s">
        <v>2339</v>
      </c>
      <c r="AM509" s="247" t="str">
        <f t="shared" si="286"/>
        <v/>
      </c>
      <c r="AN509" s="247" t="str">
        <f t="shared" si="287"/>
        <v/>
      </c>
      <c r="AO509" s="247" t="str">
        <f t="shared" si="288"/>
        <v/>
      </c>
      <c r="AP509" s="247" t="str">
        <f t="shared" si="289"/>
        <v/>
      </c>
      <c r="AQ509" s="42">
        <f t="shared" si="312"/>
        <v>1</v>
      </c>
      <c r="AR509" s="42">
        <f t="shared" si="313"/>
        <v>1</v>
      </c>
      <c r="AS509" s="42">
        <f t="shared" si="314"/>
        <v>1</v>
      </c>
      <c r="AT509" s="42">
        <f t="shared" si="315"/>
        <v>1</v>
      </c>
      <c r="AU509" s="247" t="str">
        <f t="shared" si="290"/>
        <v/>
      </c>
      <c r="AV509" s="247" t="str">
        <f t="shared" si="291"/>
        <v/>
      </c>
    </row>
    <row r="510" spans="1:48" ht="36" x14ac:dyDescent="0.2">
      <c r="A510" s="428" t="s">
        <v>548</v>
      </c>
      <c r="B510" s="429" t="s">
        <v>2902</v>
      </c>
      <c r="C510" s="430" t="s">
        <v>2787</v>
      </c>
      <c r="D510" s="1349" t="s">
        <v>1873</v>
      </c>
      <c r="E510" s="1350" t="s">
        <v>2045</v>
      </c>
      <c r="F510" s="1350" t="s">
        <v>1879</v>
      </c>
      <c r="G510" s="1351" t="s">
        <v>5440</v>
      </c>
      <c r="H510" s="1342" t="s">
        <v>1329</v>
      </c>
      <c r="I510" s="432" t="s">
        <v>1552</v>
      </c>
      <c r="J510" s="431" t="s">
        <v>1880</v>
      </c>
      <c r="K510" s="431"/>
      <c r="L510" s="431"/>
      <c r="M510" s="433"/>
      <c r="N510" s="434" t="s">
        <v>4816</v>
      </c>
      <c r="O510" s="1743" t="str">
        <f>VLOOKUP(B510,code_famille_scénario,2)&amp;VLOOKUP(C510,code_actif,2)&amp;", due "&amp;VLOOKUP(I510,code_event,2)&amp;", "&amp;VLOOKUP(J510,Code_lieu,2)&amp;", par "&amp;VLOOKUP(N510,code_acteur,2)</f>
        <v>Endommagement malveillant de système hôte de services applicatifs, due à du vandalisme, dans les locaux de l'exploitation, par un membre  du personnel autorisé</v>
      </c>
      <c r="P510" s="435">
        <v>1</v>
      </c>
      <c r="Q510" s="1595" t="s">
        <v>1299</v>
      </c>
      <c r="R510" s="1595" t="s">
        <v>1873</v>
      </c>
      <c r="S510" s="1595" t="str">
        <f>Classif!C23</f>
        <v/>
      </c>
      <c r="T510" s="1595">
        <f t="shared" si="308"/>
        <v>2</v>
      </c>
      <c r="U510" s="1744" t="str">
        <f t="shared" si="309"/>
        <v/>
      </c>
      <c r="V510" s="1745">
        <f>S03B06</f>
        <v>1</v>
      </c>
      <c r="W510" s="1745">
        <f>MIN(S03B01,S03B02,S03B03)</f>
        <v>1</v>
      </c>
      <c r="X510" s="1745">
        <f>S03B04</f>
        <v>1</v>
      </c>
      <c r="Y510" s="1745">
        <f>S08D01</f>
        <v>1</v>
      </c>
      <c r="Z510" s="1746">
        <v>0</v>
      </c>
      <c r="AA510" s="1747"/>
      <c r="AB510" s="1748"/>
      <c r="AC510" s="1748"/>
      <c r="AD510" s="1595" t="str">
        <f t="shared" si="292"/>
        <v/>
      </c>
      <c r="AE510" s="1595">
        <f t="shared" si="310"/>
        <v>2</v>
      </c>
      <c r="AF510" s="1595" t="str">
        <f t="shared" si="311"/>
        <v/>
      </c>
      <c r="AG510" s="1748"/>
      <c r="AH510" s="1749" t="str">
        <f t="shared" si="293"/>
        <v/>
      </c>
      <c r="AI510" s="1620" t="s">
        <v>1665</v>
      </c>
      <c r="AJ510" s="1616" t="s">
        <v>1053</v>
      </c>
      <c r="AK510" s="1616" t="s">
        <v>3254</v>
      </c>
      <c r="AL510" s="1617" t="s">
        <v>1137</v>
      </c>
      <c r="AM510" s="247" t="str">
        <f t="shared" si="286"/>
        <v/>
      </c>
      <c r="AN510" s="247" t="str">
        <f t="shared" si="287"/>
        <v/>
      </c>
      <c r="AO510" s="247" t="str">
        <f t="shared" si="288"/>
        <v/>
      </c>
      <c r="AP510" s="247" t="str">
        <f t="shared" si="289"/>
        <v/>
      </c>
      <c r="AQ510" s="42">
        <f t="shared" si="312"/>
        <v>1</v>
      </c>
      <c r="AR510" s="42">
        <f t="shared" si="313"/>
        <v>1</v>
      </c>
      <c r="AS510" s="42">
        <f t="shared" si="314"/>
        <v>1</v>
      </c>
      <c r="AT510" s="42">
        <f t="shared" si="315"/>
        <v>1</v>
      </c>
      <c r="AU510" s="247" t="str">
        <f t="shared" si="290"/>
        <v/>
      </c>
      <c r="AV510" s="247" t="str">
        <f t="shared" si="291"/>
        <v/>
      </c>
    </row>
    <row r="511" spans="1:48" ht="36" x14ac:dyDescent="0.2">
      <c r="A511" s="428" t="s">
        <v>549</v>
      </c>
      <c r="B511" s="429" t="s">
        <v>2902</v>
      </c>
      <c r="C511" s="430" t="s">
        <v>2787</v>
      </c>
      <c r="D511" s="1349" t="s">
        <v>1873</v>
      </c>
      <c r="E511" s="1350" t="s">
        <v>2045</v>
      </c>
      <c r="F511" s="1350" t="s">
        <v>1879</v>
      </c>
      <c r="G511" s="1351" t="s">
        <v>5440</v>
      </c>
      <c r="H511" s="1342" t="s">
        <v>1329</v>
      </c>
      <c r="I511" s="432" t="s">
        <v>1552</v>
      </c>
      <c r="J511" s="431" t="s">
        <v>1880</v>
      </c>
      <c r="K511" s="431"/>
      <c r="L511" s="431"/>
      <c r="M511" s="433"/>
      <c r="N511" s="434" t="s">
        <v>3518</v>
      </c>
      <c r="O511" s="1743" t="str">
        <f>VLOOKUP(B511,code_famille_scénario,2)&amp;VLOOKUP(C511,code_actif,2)&amp;", due "&amp;VLOOKUP(I511,code_event,2)&amp;", "&amp;VLOOKUP(J511,Code_lieu,2)&amp;", par "&amp;VLOOKUP(N511,code_acteur,2)</f>
        <v>Endommagement malveillant de système hôte de services applicatifs, due à du vandalisme, dans les locaux de l'exploitation, par un membre du personnel non autorisé</v>
      </c>
      <c r="P511" s="435">
        <v>1</v>
      </c>
      <c r="Q511" s="1595" t="s">
        <v>1299</v>
      </c>
      <c r="R511" s="1595" t="s">
        <v>1873</v>
      </c>
      <c r="S511" s="1595" t="str">
        <f>Classif!C23</f>
        <v/>
      </c>
      <c r="T511" s="1595">
        <f t="shared" si="308"/>
        <v>2</v>
      </c>
      <c r="U511" s="1744" t="str">
        <f t="shared" si="309"/>
        <v/>
      </c>
      <c r="V511" s="1745">
        <v>1</v>
      </c>
      <c r="W511" s="1745">
        <f>MIN(S03B03,S03B04,S03B06)</f>
        <v>1</v>
      </c>
      <c r="X511" s="1745">
        <v>1</v>
      </c>
      <c r="Y511" s="1745">
        <f>S08D01</f>
        <v>1</v>
      </c>
      <c r="Z511" s="1746">
        <v>0</v>
      </c>
      <c r="AA511" s="1747"/>
      <c r="AB511" s="1748"/>
      <c r="AC511" s="1748"/>
      <c r="AD511" s="1595" t="str">
        <f t="shared" si="292"/>
        <v/>
      </c>
      <c r="AE511" s="1595">
        <f t="shared" si="310"/>
        <v>2</v>
      </c>
      <c r="AF511" s="1595" t="str">
        <f t="shared" si="311"/>
        <v/>
      </c>
      <c r="AG511" s="1748"/>
      <c r="AH511" s="1749" t="str">
        <f t="shared" si="293"/>
        <v/>
      </c>
      <c r="AI511" s="1615"/>
      <c r="AJ511" s="1616" t="s">
        <v>1412</v>
      </c>
      <c r="AK511" s="1618"/>
      <c r="AL511" s="1617" t="s">
        <v>1137</v>
      </c>
      <c r="AM511" s="247" t="str">
        <f t="shared" si="286"/>
        <v/>
      </c>
      <c r="AN511" s="247" t="str">
        <f t="shared" si="287"/>
        <v/>
      </c>
      <c r="AO511" s="247" t="str">
        <f t="shared" si="288"/>
        <v/>
      </c>
      <c r="AP511" s="247" t="str">
        <f t="shared" si="289"/>
        <v/>
      </c>
      <c r="AQ511" s="42">
        <f t="shared" si="312"/>
        <v>1</v>
      </c>
      <c r="AR511" s="42">
        <f t="shared" si="313"/>
        <v>1</v>
      </c>
      <c r="AS511" s="42">
        <f t="shared" si="314"/>
        <v>1</v>
      </c>
      <c r="AT511" s="42">
        <f t="shared" si="315"/>
        <v>1</v>
      </c>
      <c r="AU511" s="247" t="str">
        <f t="shared" si="290"/>
        <v/>
      </c>
      <c r="AV511" s="247" t="str">
        <f t="shared" si="291"/>
        <v/>
      </c>
    </row>
    <row r="512" spans="1:48" ht="24" x14ac:dyDescent="0.2">
      <c r="A512" s="428" t="s">
        <v>550</v>
      </c>
      <c r="B512" s="429" t="s">
        <v>2902</v>
      </c>
      <c r="C512" s="430" t="s">
        <v>2787</v>
      </c>
      <c r="D512" s="1349" t="s">
        <v>1873</v>
      </c>
      <c r="E512" s="1350" t="s">
        <v>2045</v>
      </c>
      <c r="F512" s="1350" t="s">
        <v>1879</v>
      </c>
      <c r="G512" s="1351" t="s">
        <v>5440</v>
      </c>
      <c r="H512" s="1342" t="s">
        <v>1329</v>
      </c>
      <c r="I512" s="432" t="s">
        <v>1552</v>
      </c>
      <c r="J512" s="431"/>
      <c r="K512" s="431"/>
      <c r="L512" s="431"/>
      <c r="M512" s="433"/>
      <c r="N512" s="434" t="s">
        <v>1521</v>
      </c>
      <c r="O512" s="1743" t="str">
        <f>VLOOKUP(B512,code_famille_scénario,2)&amp;VLOOKUP(C512,code_actif,2)&amp;", due "&amp;VLOOKUP(I512,code_event,2)&amp;", par "&amp;VLOOKUP(N512,code_acteur,2)</f>
        <v>Endommagement malveillant de système hôte de services applicatifs, due à du vandalisme, par des vandales ou des terroristes agissant depuis l'extérieur</v>
      </c>
      <c r="P512" s="435">
        <v>1</v>
      </c>
      <c r="Q512" s="1595" t="s">
        <v>1299</v>
      </c>
      <c r="R512" s="1595" t="s">
        <v>1873</v>
      </c>
      <c r="S512" s="1595" t="str">
        <f>Classif!C23</f>
        <v/>
      </c>
      <c r="T512" s="1595">
        <f t="shared" si="308"/>
        <v>2</v>
      </c>
      <c r="U512" s="1744" t="str">
        <f t="shared" si="309"/>
        <v/>
      </c>
      <c r="V512" s="1745">
        <v>1</v>
      </c>
      <c r="W512" s="1745">
        <v>1</v>
      </c>
      <c r="X512" s="1745">
        <v>1</v>
      </c>
      <c r="Y512" s="1745">
        <f>S08D01</f>
        <v>1</v>
      </c>
      <c r="Z512" s="1746">
        <v>0</v>
      </c>
      <c r="AA512" s="1747"/>
      <c r="AB512" s="1748"/>
      <c r="AC512" s="1748"/>
      <c r="AD512" s="1595" t="str">
        <f t="shared" si="292"/>
        <v/>
      </c>
      <c r="AE512" s="1595">
        <f t="shared" si="310"/>
        <v>2</v>
      </c>
      <c r="AF512" s="1595" t="str">
        <f t="shared" si="311"/>
        <v/>
      </c>
      <c r="AG512" s="1748"/>
      <c r="AH512" s="1749" t="str">
        <f t="shared" si="293"/>
        <v/>
      </c>
      <c r="AI512" s="1620"/>
      <c r="AJ512" s="1616"/>
      <c r="AK512" s="1616"/>
      <c r="AL512" s="1617" t="s">
        <v>1137</v>
      </c>
      <c r="AM512" s="247" t="str">
        <f t="shared" si="286"/>
        <v/>
      </c>
      <c r="AN512" s="247" t="str">
        <f t="shared" si="287"/>
        <v/>
      </c>
      <c r="AO512" s="247" t="str">
        <f t="shared" si="288"/>
        <v/>
      </c>
      <c r="AP512" s="247" t="str">
        <f t="shared" si="289"/>
        <v/>
      </c>
      <c r="AQ512" s="42">
        <f t="shared" si="312"/>
        <v>1</v>
      </c>
      <c r="AR512" s="42">
        <f t="shared" si="313"/>
        <v>1</v>
      </c>
      <c r="AS512" s="42">
        <f t="shared" si="314"/>
        <v>1</v>
      </c>
      <c r="AT512" s="42">
        <f t="shared" si="315"/>
        <v>1</v>
      </c>
      <c r="AU512" s="247" t="str">
        <f t="shared" si="290"/>
        <v/>
      </c>
      <c r="AV512" s="247" t="str">
        <f t="shared" si="291"/>
        <v/>
      </c>
    </row>
    <row r="513" spans="1:48" ht="36" x14ac:dyDescent="0.2">
      <c r="A513" s="428" t="s">
        <v>551</v>
      </c>
      <c r="B513" s="429" t="s">
        <v>2902</v>
      </c>
      <c r="C513" s="430" t="s">
        <v>2787</v>
      </c>
      <c r="D513" s="1349" t="s">
        <v>1873</v>
      </c>
      <c r="E513" s="1350" t="s">
        <v>2045</v>
      </c>
      <c r="F513" s="1350" t="s">
        <v>1879</v>
      </c>
      <c r="G513" s="1351" t="s">
        <v>5440</v>
      </c>
      <c r="H513" s="1342" t="s">
        <v>1329</v>
      </c>
      <c r="I513" s="432" t="s">
        <v>1552</v>
      </c>
      <c r="J513" s="431"/>
      <c r="K513" s="431"/>
      <c r="L513" s="431"/>
      <c r="M513" s="433"/>
      <c r="N513" s="434" t="s">
        <v>1522</v>
      </c>
      <c r="O513" s="1743" t="str">
        <f>VLOOKUP(B513,code_famille_scénario,2)&amp;VLOOKUP(C513,code_actif,2)&amp;", due "&amp;VLOOKUP(I513,code_event,2)&amp;", par "&amp;VLOOKUP(N513,code_acteur,2)</f>
        <v>Endommagement malveillant de système hôte de services applicatifs, due à du vandalisme, par des vandales ou des terroristes agissant depuis l'intérieur (après intrusion)</v>
      </c>
      <c r="P513" s="435">
        <v>1</v>
      </c>
      <c r="Q513" s="1595" t="s">
        <v>1299</v>
      </c>
      <c r="R513" s="1595" t="s">
        <v>1873</v>
      </c>
      <c r="S513" s="1595" t="str">
        <f>Classif!C23</f>
        <v/>
      </c>
      <c r="T513" s="1595">
        <f t="shared" si="308"/>
        <v>2</v>
      </c>
      <c r="U513" s="1744" t="str">
        <f t="shared" si="309"/>
        <v/>
      </c>
      <c r="V513" s="1745">
        <v>1</v>
      </c>
      <c r="W513" s="1745">
        <f>MIN(S02A01,S02A02,S02A03,S02A05)</f>
        <v>1</v>
      </c>
      <c r="X513" s="1745">
        <f>S02A04</f>
        <v>1</v>
      </c>
      <c r="Y513" s="1745">
        <f>S08D01</f>
        <v>1</v>
      </c>
      <c r="Z513" s="1746">
        <v>0</v>
      </c>
      <c r="AA513" s="1747"/>
      <c r="AB513" s="1748"/>
      <c r="AC513" s="1748"/>
      <c r="AD513" s="1595" t="str">
        <f t="shared" si="292"/>
        <v/>
      </c>
      <c r="AE513" s="1595">
        <f t="shared" si="310"/>
        <v>2</v>
      </c>
      <c r="AF513" s="1595" t="str">
        <f t="shared" si="311"/>
        <v/>
      </c>
      <c r="AG513" s="1748"/>
      <c r="AH513" s="1749" t="str">
        <f t="shared" si="293"/>
        <v/>
      </c>
      <c r="AI513" s="1620"/>
      <c r="AJ513" s="1616" t="s">
        <v>1518</v>
      </c>
      <c r="AK513" s="1616" t="s">
        <v>6400</v>
      </c>
      <c r="AL513" s="1617" t="s">
        <v>1137</v>
      </c>
      <c r="AM513" s="247" t="str">
        <f t="shared" si="286"/>
        <v/>
      </c>
      <c r="AN513" s="247" t="str">
        <f t="shared" si="287"/>
        <v/>
      </c>
      <c r="AO513" s="247" t="str">
        <f t="shared" si="288"/>
        <v/>
      </c>
      <c r="AP513" s="247" t="str">
        <f t="shared" si="289"/>
        <v/>
      </c>
      <c r="AQ513" s="42">
        <f t="shared" si="312"/>
        <v>1</v>
      </c>
      <c r="AR513" s="42">
        <f t="shared" si="313"/>
        <v>1</v>
      </c>
      <c r="AS513" s="42">
        <f t="shared" si="314"/>
        <v>1</v>
      </c>
      <c r="AT513" s="42">
        <f t="shared" si="315"/>
        <v>1</v>
      </c>
      <c r="AU513" s="247" t="str">
        <f t="shared" si="290"/>
        <v/>
      </c>
      <c r="AV513" s="247" t="str">
        <f t="shared" si="291"/>
        <v/>
      </c>
    </row>
    <row r="514" spans="1:48" ht="24" x14ac:dyDescent="0.2">
      <c r="A514" s="428" t="s">
        <v>552</v>
      </c>
      <c r="B514" s="429" t="s">
        <v>2870</v>
      </c>
      <c r="C514" s="430" t="s">
        <v>2787</v>
      </c>
      <c r="D514" s="1349" t="s">
        <v>1873</v>
      </c>
      <c r="E514" s="1350" t="s">
        <v>2045</v>
      </c>
      <c r="F514" s="1350" t="s">
        <v>1875</v>
      </c>
      <c r="G514" s="1351" t="s">
        <v>5439</v>
      </c>
      <c r="H514" s="1342" t="s">
        <v>1329</v>
      </c>
      <c r="I514" s="432" t="s">
        <v>1551</v>
      </c>
      <c r="J514" s="431"/>
      <c r="K514" s="431"/>
      <c r="L514" s="431"/>
      <c r="M514" s="433"/>
      <c r="N514" s="434" t="s">
        <v>1521</v>
      </c>
      <c r="O514" s="1743" t="str">
        <f>VLOOKUP(B514,code_famille_scénario,2)&amp;VLOOKUP(C514,code_actif,2)&amp;", due "&amp;VLOOKUP(I514,code_event,2)&amp;", par "&amp;VLOOKUP(N514,code_acteur,2)</f>
        <v>Destruction malveillante de système hôte de services applicatifs, due à un acte terroriste, par des vandales ou des terroristes agissant depuis l'extérieur</v>
      </c>
      <c r="P514" s="435">
        <v>1</v>
      </c>
      <c r="Q514" s="1595" t="s">
        <v>1299</v>
      </c>
      <c r="R514" s="1595" t="s">
        <v>1873</v>
      </c>
      <c r="S514" s="1595" t="str">
        <f>Classif!C23</f>
        <v/>
      </c>
      <c r="T514" s="1595">
        <f t="shared" si="308"/>
        <v>2</v>
      </c>
      <c r="U514" s="1744" t="str">
        <f t="shared" si="309"/>
        <v/>
      </c>
      <c r="V514" s="1745">
        <v>1</v>
      </c>
      <c r="W514" s="1745">
        <v>1</v>
      </c>
      <c r="X514" s="1745">
        <v>1</v>
      </c>
      <c r="Y514" s="1745">
        <f>MIN(S08D06,S09E02)</f>
        <v>1</v>
      </c>
      <c r="Z514" s="1746">
        <v>0</v>
      </c>
      <c r="AA514" s="1747"/>
      <c r="AB514" s="1748"/>
      <c r="AC514" s="1748"/>
      <c r="AD514" s="1595" t="str">
        <f t="shared" si="292"/>
        <v/>
      </c>
      <c r="AE514" s="1595">
        <f t="shared" si="310"/>
        <v>2</v>
      </c>
      <c r="AF514" s="1595" t="str">
        <f t="shared" si="311"/>
        <v/>
      </c>
      <c r="AG514" s="1748"/>
      <c r="AH514" s="1749" t="str">
        <f t="shared" si="293"/>
        <v/>
      </c>
      <c r="AI514" s="1620"/>
      <c r="AJ514" s="1616"/>
      <c r="AK514" s="1616"/>
      <c r="AL514" s="1617" t="s">
        <v>5144</v>
      </c>
      <c r="AM514" s="247" t="str">
        <f t="shared" si="286"/>
        <v/>
      </c>
      <c r="AN514" s="247" t="str">
        <f t="shared" si="287"/>
        <v/>
      </c>
      <c r="AO514" s="247" t="str">
        <f t="shared" si="288"/>
        <v/>
      </c>
      <c r="AP514" s="247" t="str">
        <f t="shared" si="289"/>
        <v/>
      </c>
      <c r="AQ514" s="42">
        <f t="shared" si="312"/>
        <v>1</v>
      </c>
      <c r="AR514" s="42">
        <f t="shared" si="313"/>
        <v>1</v>
      </c>
      <c r="AS514" s="42">
        <f t="shared" si="314"/>
        <v>1</v>
      </c>
      <c r="AT514" s="42">
        <f t="shared" si="315"/>
        <v>1</v>
      </c>
      <c r="AU514" s="247" t="str">
        <f t="shared" si="290"/>
        <v/>
      </c>
      <c r="AV514" s="247" t="str">
        <f t="shared" si="291"/>
        <v/>
      </c>
    </row>
    <row r="515" spans="1:48" ht="36" x14ac:dyDescent="0.2">
      <c r="A515" s="428" t="s">
        <v>553</v>
      </c>
      <c r="B515" s="429" t="s">
        <v>5658</v>
      </c>
      <c r="C515" s="430" t="s">
        <v>2787</v>
      </c>
      <c r="D515" s="1349" t="s">
        <v>1873</v>
      </c>
      <c r="E515" s="1350" t="s">
        <v>2045</v>
      </c>
      <c r="F515" s="1350" t="s">
        <v>1503</v>
      </c>
      <c r="G515" s="1351" t="s">
        <v>5440</v>
      </c>
      <c r="H515" s="1342" t="s">
        <v>1328</v>
      </c>
      <c r="I515" s="432" t="s">
        <v>122</v>
      </c>
      <c r="J515" s="431"/>
      <c r="K515" s="431"/>
      <c r="L515" s="431"/>
      <c r="M515" s="433"/>
      <c r="N515" s="434" t="s">
        <v>6403</v>
      </c>
      <c r="O515" s="1743" t="str">
        <f>VLOOKUP(B515,code_famille_scénario,2)&amp;VLOOKUP(C515,code_actif,2)&amp;",  "&amp;VLOOKUP(I515,code_event,2)&amp;", par "&amp;VLOOKUP(N515,code_acteur,2)</f>
        <v>Mise hors service malveillante de services applicatifs,  par effacement ou polllution massive de la configuration du système hôte, par un membre du personnel d'exploitation</v>
      </c>
      <c r="P515" s="435">
        <v>1</v>
      </c>
      <c r="Q515" s="1595" t="s">
        <v>1299</v>
      </c>
      <c r="R515" s="1595" t="s">
        <v>1873</v>
      </c>
      <c r="S515" s="1595" t="str">
        <f>Classif!C23</f>
        <v/>
      </c>
      <c r="T515" s="1595">
        <f t="shared" si="308"/>
        <v>2</v>
      </c>
      <c r="U515" s="1744" t="str">
        <f t="shared" si="309"/>
        <v/>
      </c>
      <c r="V515" s="1745">
        <f>MIN(S08F02,S08F03)</f>
        <v>1</v>
      </c>
      <c r="W515" s="1745">
        <v>1</v>
      </c>
      <c r="X515" s="1745">
        <v>1</v>
      </c>
      <c r="Y515" s="1745">
        <f>S08D04</f>
        <v>1</v>
      </c>
      <c r="Z515" s="1746">
        <v>0</v>
      </c>
      <c r="AA515" s="1747"/>
      <c r="AB515" s="1748"/>
      <c r="AC515" s="1748"/>
      <c r="AD515" s="1595" t="str">
        <f t="shared" si="292"/>
        <v/>
      </c>
      <c r="AE515" s="1595">
        <f t="shared" si="310"/>
        <v>2</v>
      </c>
      <c r="AF515" s="1595" t="str">
        <f t="shared" si="311"/>
        <v/>
      </c>
      <c r="AG515" s="1748"/>
      <c r="AH515" s="1749" t="str">
        <f t="shared" si="293"/>
        <v/>
      </c>
      <c r="AI515" s="1622" t="s">
        <v>6495</v>
      </c>
      <c r="AJ515" s="1616"/>
      <c r="AK515" s="1616"/>
      <c r="AL515" s="1617" t="s">
        <v>4954</v>
      </c>
      <c r="AM515" s="247" t="str">
        <f t="shared" si="286"/>
        <v/>
      </c>
      <c r="AN515" s="247" t="str">
        <f t="shared" si="287"/>
        <v/>
      </c>
      <c r="AO515" s="247" t="str">
        <f t="shared" si="288"/>
        <v/>
      </c>
      <c r="AP515" s="247" t="str">
        <f t="shared" si="289"/>
        <v/>
      </c>
      <c r="AQ515" s="42">
        <f t="shared" si="312"/>
        <v>1</v>
      </c>
      <c r="AR515" s="42">
        <f t="shared" si="313"/>
        <v>1</v>
      </c>
      <c r="AS515" s="42">
        <f t="shared" si="314"/>
        <v>1</v>
      </c>
      <c r="AT515" s="42">
        <f t="shared" si="315"/>
        <v>1</v>
      </c>
      <c r="AU515" s="247" t="str">
        <f t="shared" si="290"/>
        <v/>
      </c>
      <c r="AV515" s="247" t="str">
        <f t="shared" si="291"/>
        <v/>
      </c>
    </row>
    <row r="516" spans="1:48" ht="36" x14ac:dyDescent="0.2">
      <c r="A516" s="428" t="s">
        <v>554</v>
      </c>
      <c r="B516" s="429" t="s">
        <v>5658</v>
      </c>
      <c r="C516" s="430" t="s">
        <v>2787</v>
      </c>
      <c r="D516" s="1349" t="s">
        <v>1873</v>
      </c>
      <c r="E516" s="1350" t="s">
        <v>2045</v>
      </c>
      <c r="F516" s="1350" t="s">
        <v>1503</v>
      </c>
      <c r="G516" s="1351" t="s">
        <v>5440</v>
      </c>
      <c r="H516" s="1342" t="s">
        <v>1328</v>
      </c>
      <c r="I516" s="432" t="s">
        <v>122</v>
      </c>
      <c r="J516" s="431"/>
      <c r="K516" s="431"/>
      <c r="L516" s="431"/>
      <c r="M516" s="433"/>
      <c r="N516" s="434" t="s">
        <v>1299</v>
      </c>
      <c r="O516" s="1743" t="str">
        <f>VLOOKUP(B516,code_famille_scénario,2)&amp;VLOOKUP(C516,code_actif,2)&amp;",  "&amp;VLOOKUP(I516,code_event,2)&amp;", par "&amp;VLOOKUP(N516,code_acteur,2)</f>
        <v>Mise hors service malveillante de services applicatifs,  par effacement ou polllution massive de la configuration du système hôte, par un membre du personnel de maintenance</v>
      </c>
      <c r="P516" s="435">
        <v>1</v>
      </c>
      <c r="Q516" s="1595" t="s">
        <v>1299</v>
      </c>
      <c r="R516" s="1595" t="s">
        <v>1873</v>
      </c>
      <c r="S516" s="1595" t="str">
        <f>Classif!C23</f>
        <v/>
      </c>
      <c r="T516" s="1595">
        <f t="shared" si="308"/>
        <v>2</v>
      </c>
      <c r="U516" s="1744" t="str">
        <f t="shared" si="309"/>
        <v/>
      </c>
      <c r="V516" s="1745">
        <f>MIN(S07C02,S08E02)</f>
        <v>1</v>
      </c>
      <c r="W516" s="1745">
        <v>1</v>
      </c>
      <c r="X516" s="1745">
        <v>1</v>
      </c>
      <c r="Y516" s="1745">
        <f>S08D04</f>
        <v>1</v>
      </c>
      <c r="Z516" s="1746">
        <v>0</v>
      </c>
      <c r="AA516" s="1747"/>
      <c r="AB516" s="1748"/>
      <c r="AC516" s="1748"/>
      <c r="AD516" s="1595" t="str">
        <f t="shared" si="292"/>
        <v/>
      </c>
      <c r="AE516" s="1595">
        <f t="shared" si="310"/>
        <v>2</v>
      </c>
      <c r="AF516" s="1595" t="str">
        <f t="shared" si="311"/>
        <v/>
      </c>
      <c r="AG516" s="1748"/>
      <c r="AH516" s="1749" t="str">
        <f t="shared" si="293"/>
        <v/>
      </c>
      <c r="AI516" s="1620" t="s">
        <v>6491</v>
      </c>
      <c r="AJ516" s="1616"/>
      <c r="AK516" s="1616"/>
      <c r="AL516" s="1617" t="s">
        <v>4954</v>
      </c>
      <c r="AM516" s="247" t="str">
        <f t="shared" si="286"/>
        <v/>
      </c>
      <c r="AN516" s="247" t="str">
        <f t="shared" si="287"/>
        <v/>
      </c>
      <c r="AO516" s="247" t="str">
        <f t="shared" si="288"/>
        <v/>
      </c>
      <c r="AP516" s="247" t="str">
        <f t="shared" si="289"/>
        <v/>
      </c>
      <c r="AQ516" s="42">
        <f t="shared" si="312"/>
        <v>1</v>
      </c>
      <c r="AR516" s="42">
        <f t="shared" si="313"/>
        <v>1</v>
      </c>
      <c r="AS516" s="42">
        <f t="shared" si="314"/>
        <v>1</v>
      </c>
      <c r="AT516" s="42">
        <f t="shared" si="315"/>
        <v>1</v>
      </c>
      <c r="AU516" s="247" t="str">
        <f t="shared" si="290"/>
        <v/>
      </c>
      <c r="AV516" s="247" t="str">
        <f t="shared" si="291"/>
        <v/>
      </c>
    </row>
    <row r="517" spans="1:48" ht="24" x14ac:dyDescent="0.2">
      <c r="A517" s="428" t="s">
        <v>555</v>
      </c>
      <c r="B517" s="429" t="s">
        <v>4213</v>
      </c>
      <c r="C517" s="430" t="s">
        <v>2787</v>
      </c>
      <c r="D517" s="1349" t="s">
        <v>1873</v>
      </c>
      <c r="E517" s="1350" t="s">
        <v>2045</v>
      </c>
      <c r="F517" s="1350" t="s">
        <v>1503</v>
      </c>
      <c r="G517" s="1351" t="s">
        <v>5440</v>
      </c>
      <c r="H517" s="1342" t="s">
        <v>1474</v>
      </c>
      <c r="I517" s="432" t="s">
        <v>5635</v>
      </c>
      <c r="J517" s="431"/>
      <c r="K517" s="431"/>
      <c r="L517" s="431"/>
      <c r="M517" s="433"/>
      <c r="N517" s="434"/>
      <c r="O517" s="1743" t="str">
        <f t="shared" ref="O517:O526" si="316">VLOOKUP(B517,code_famille_scénario,2)&amp;VLOOKUP(C517,code_actif,2)&amp;", dû "&amp;VLOOKUP(I517,code_event,2)</f>
        <v>Arret de fonctionnement de services applicatifs, dû à une incapacité de la maintenance système (panne non réparable ou défaillance du partenaire)</v>
      </c>
      <c r="P517" s="435">
        <v>1</v>
      </c>
      <c r="Q517" s="1595" t="s">
        <v>1431</v>
      </c>
      <c r="R517" s="1595" t="s">
        <v>1873</v>
      </c>
      <c r="S517" s="1595" t="str">
        <f>Classif!C23</f>
        <v/>
      </c>
      <c r="T517" s="1595">
        <f t="shared" si="308"/>
        <v>2</v>
      </c>
      <c r="U517" s="1744" t="str">
        <f t="shared" si="309"/>
        <v/>
      </c>
      <c r="V517" s="1745">
        <v>1</v>
      </c>
      <c r="W517" s="1745">
        <v>1</v>
      </c>
      <c r="X517" s="1745">
        <v>1</v>
      </c>
      <c r="Y517" s="1745">
        <f>S08D08</f>
        <v>1</v>
      </c>
      <c r="Z517" s="1746">
        <v>0</v>
      </c>
      <c r="AA517" s="1747"/>
      <c r="AB517" s="1748"/>
      <c r="AC517" s="1748"/>
      <c r="AD517" s="1595" t="str">
        <f t="shared" si="292"/>
        <v/>
      </c>
      <c r="AE517" s="1595">
        <f t="shared" si="310"/>
        <v>2</v>
      </c>
      <c r="AF517" s="1595" t="str">
        <f t="shared" si="311"/>
        <v/>
      </c>
      <c r="AG517" s="1748"/>
      <c r="AH517" s="1749" t="str">
        <f t="shared" si="293"/>
        <v/>
      </c>
      <c r="AI517" s="1615"/>
      <c r="AJ517" s="1616"/>
      <c r="AK517" s="1616"/>
      <c r="AL517" s="1617" t="s">
        <v>1994</v>
      </c>
      <c r="AM517" s="247" t="str">
        <f t="shared" si="286"/>
        <v/>
      </c>
      <c r="AN517" s="247" t="str">
        <f t="shared" si="287"/>
        <v/>
      </c>
      <c r="AO517" s="247" t="str">
        <f t="shared" si="288"/>
        <v/>
      </c>
      <c r="AP517" s="247" t="str">
        <f t="shared" si="289"/>
        <v/>
      </c>
      <c r="AQ517" s="42">
        <f t="shared" si="312"/>
        <v>1</v>
      </c>
      <c r="AR517" s="42">
        <f t="shared" si="313"/>
        <v>1</v>
      </c>
      <c r="AS517" s="42">
        <f t="shared" si="314"/>
        <v>1</v>
      </c>
      <c r="AT517" s="42">
        <f t="shared" si="315"/>
        <v>1</v>
      </c>
      <c r="AU517" s="247" t="str">
        <f t="shared" si="290"/>
        <v/>
      </c>
      <c r="AV517" s="247" t="str">
        <f t="shared" si="291"/>
        <v/>
      </c>
    </row>
    <row r="518" spans="1:48" ht="24" x14ac:dyDescent="0.2">
      <c r="A518" s="428" t="s">
        <v>556</v>
      </c>
      <c r="B518" s="429" t="s">
        <v>4213</v>
      </c>
      <c r="C518" s="430" t="s">
        <v>2787</v>
      </c>
      <c r="D518" s="1349" t="s">
        <v>1873</v>
      </c>
      <c r="E518" s="1350" t="s">
        <v>2534</v>
      </c>
      <c r="F518" s="1350" t="s">
        <v>1602</v>
      </c>
      <c r="G518" s="1351" t="s">
        <v>5440</v>
      </c>
      <c r="H518" s="1342" t="s">
        <v>1474</v>
      </c>
      <c r="I518" s="432" t="s">
        <v>5633</v>
      </c>
      <c r="J518" s="431"/>
      <c r="K518" s="431"/>
      <c r="L518" s="431"/>
      <c r="M518" s="433" t="s">
        <v>1880</v>
      </c>
      <c r="N518" s="434"/>
      <c r="O518" s="1743" t="str">
        <f t="shared" si="316"/>
        <v>Arret de fonctionnement de services applicatifs, dû à une incapacité de la maintenance applicative (panne non réparable ou défaillance du partenaire)</v>
      </c>
      <c r="P518" s="435">
        <v>1</v>
      </c>
      <c r="Q518" s="1595" t="s">
        <v>5685</v>
      </c>
      <c r="R518" s="1595" t="s">
        <v>1873</v>
      </c>
      <c r="S518" s="1595" t="str">
        <f>Classif!C23</f>
        <v/>
      </c>
      <c r="T518" s="1595">
        <f t="shared" si="308"/>
        <v>3</v>
      </c>
      <c r="U518" s="1744" t="str">
        <f t="shared" si="309"/>
        <v/>
      </c>
      <c r="V518" s="1745">
        <v>1</v>
      </c>
      <c r="W518" s="1745">
        <v>1</v>
      </c>
      <c r="X518" s="1745">
        <v>1</v>
      </c>
      <c r="Y518" s="1745">
        <f>S09E03</f>
        <v>1</v>
      </c>
      <c r="Z518" s="1746">
        <v>0</v>
      </c>
      <c r="AA518" s="1747"/>
      <c r="AB518" s="1748"/>
      <c r="AC518" s="1748"/>
      <c r="AD518" s="1595" t="str">
        <f t="shared" si="292"/>
        <v/>
      </c>
      <c r="AE518" s="1595">
        <f t="shared" si="310"/>
        <v>3</v>
      </c>
      <c r="AF518" s="1595" t="str">
        <f t="shared" si="311"/>
        <v/>
      </c>
      <c r="AG518" s="1748"/>
      <c r="AH518" s="1749" t="str">
        <f t="shared" si="293"/>
        <v/>
      </c>
      <c r="AI518" s="1620"/>
      <c r="AJ518" s="1616"/>
      <c r="AK518" s="1616"/>
      <c r="AL518" s="1617" t="s">
        <v>3213</v>
      </c>
      <c r="AM518" s="247" t="str">
        <f t="shared" ref="AM518:AM581" si="317">IF($AH518=1,$H518&amp;"."&amp;$I518&amp;$AH518,"")</f>
        <v/>
      </c>
      <c r="AN518" s="247" t="str">
        <f t="shared" ref="AN518:AN581" si="318">IF($AH518=2,$H518&amp;"."&amp;$I518&amp;$AH518,"")</f>
        <v/>
      </c>
      <c r="AO518" s="247" t="str">
        <f t="shared" ref="AO518:AO581" si="319">IF($AH518=3,$H518&amp;"."&amp;$I518&amp;$AH518,"")</f>
        <v/>
      </c>
      <c r="AP518" s="247" t="str">
        <f t="shared" ref="AP518:AP581" si="320">IF($AH518=4,$H518&amp;"."&amp;$I518&amp;$AH518,"")</f>
        <v/>
      </c>
      <c r="AQ518" s="42">
        <f t="shared" si="312"/>
        <v>1</v>
      </c>
      <c r="AR518" s="42">
        <f t="shared" si="313"/>
        <v>1</v>
      </c>
      <c r="AS518" s="42">
        <f t="shared" si="314"/>
        <v>1</v>
      </c>
      <c r="AT518" s="42">
        <f t="shared" si="315"/>
        <v>1</v>
      </c>
      <c r="AU518" s="247" t="str">
        <f t="shared" ref="AU518:AU581" si="321">IF(S518="","",IF(T518="","",10*S518+T518))</f>
        <v/>
      </c>
      <c r="AV518" s="247" t="str">
        <f t="shared" ref="AV518:AV581" si="322">IF(AD518="","",IF(AE518="","",10*AD518+AE518))</f>
        <v/>
      </c>
    </row>
    <row r="519" spans="1:48" ht="24" x14ac:dyDescent="0.2">
      <c r="A519" s="428" t="s">
        <v>557</v>
      </c>
      <c r="B519" s="429" t="s">
        <v>4213</v>
      </c>
      <c r="C519" s="430" t="s">
        <v>2787</v>
      </c>
      <c r="D519" s="1349" t="s">
        <v>1873</v>
      </c>
      <c r="E519" s="1350" t="s">
        <v>2045</v>
      </c>
      <c r="F519" s="1350" t="s">
        <v>1503</v>
      </c>
      <c r="G519" s="1351" t="s">
        <v>6064</v>
      </c>
      <c r="H519" s="1342" t="s">
        <v>5964</v>
      </c>
      <c r="I519" s="432" t="s">
        <v>1544</v>
      </c>
      <c r="J519" s="431"/>
      <c r="K519" s="431"/>
      <c r="L519" s="431"/>
      <c r="M519" s="433"/>
      <c r="N519" s="434"/>
      <c r="O519" s="1743" t="str">
        <f t="shared" si="316"/>
        <v>Arret de fonctionnement de services applicatifs, dû à un conflit social avec le personnel d'exploitation</v>
      </c>
      <c r="P519" s="435">
        <v>1</v>
      </c>
      <c r="Q519" s="1595" t="s">
        <v>5685</v>
      </c>
      <c r="R519" s="1595" t="s">
        <v>1873</v>
      </c>
      <c r="S519" s="1595" t="str">
        <f>Classif!C23</f>
        <v/>
      </c>
      <c r="T519" s="1595">
        <f t="shared" si="308"/>
        <v>2</v>
      </c>
      <c r="U519" s="1744" t="str">
        <f t="shared" si="309"/>
        <v/>
      </c>
      <c r="V519" s="1745">
        <v>1</v>
      </c>
      <c r="W519" s="1745">
        <v>1</v>
      </c>
      <c r="X519" s="1745">
        <v>1</v>
      </c>
      <c r="Y519" s="1745">
        <f>MIN(S01E01,S01E02)</f>
        <v>1</v>
      </c>
      <c r="Z519" s="1746">
        <v>0</v>
      </c>
      <c r="AA519" s="1747"/>
      <c r="AB519" s="1748"/>
      <c r="AC519" s="1748"/>
      <c r="AD519" s="1595" t="str">
        <f t="shared" ref="AD519:AD582" si="323">IF(OR(R519="",S519=""),"",IF(R519="D",INDEX(base_i,IF(IF(AA519="",Z519,AA519)=0,4,5-X519),Y519+7*(S519-1)),IF(R519="I",INDEX(base_i,IF(IF(AA519="",Z519,AA519)=0,15,16-X519),Y519+7*(S519-1)),IF(R519="C",INDEX(base_i,IF(IF(AA519="",Z519,AA519)=0,26,27-X519),Y519+7*(S519-1)),INDEX(base_i,38-X519,Y519+7*(S519-1))))))</f>
        <v/>
      </c>
      <c r="AE519" s="1595">
        <f t="shared" si="310"/>
        <v>2</v>
      </c>
      <c r="AF519" s="1595" t="str">
        <f t="shared" si="311"/>
        <v/>
      </c>
      <c r="AG519" s="1748"/>
      <c r="AH519" s="1749" t="str">
        <f t="shared" ref="AH519:AH582" si="324">IF(OR(AG519="A",AG519="a",AG519="T",AG519="t",AF519=""),"",AF519)</f>
        <v/>
      </c>
      <c r="AI519" s="1620"/>
      <c r="AJ519" s="1616"/>
      <c r="AK519" s="1616"/>
      <c r="AL519" s="1617" t="s">
        <v>1519</v>
      </c>
      <c r="AM519" s="247" t="str">
        <f t="shared" si="317"/>
        <v/>
      </c>
      <c r="AN519" s="247" t="str">
        <f t="shared" si="318"/>
        <v/>
      </c>
      <c r="AO519" s="247" t="str">
        <f t="shared" si="319"/>
        <v/>
      </c>
      <c r="AP519" s="247" t="str">
        <f t="shared" si="320"/>
        <v/>
      </c>
      <c r="AQ519" s="42">
        <f t="shared" si="312"/>
        <v>1</v>
      </c>
      <c r="AR519" s="42">
        <f t="shared" si="313"/>
        <v>1</v>
      </c>
      <c r="AS519" s="42">
        <f t="shared" si="314"/>
        <v>1</v>
      </c>
      <c r="AT519" s="42">
        <f t="shared" si="315"/>
        <v>1</v>
      </c>
      <c r="AU519" s="247" t="str">
        <f t="shared" si="321"/>
        <v/>
      </c>
      <c r="AV519" s="247" t="str">
        <f t="shared" si="322"/>
        <v/>
      </c>
    </row>
    <row r="520" spans="1:48" ht="24" x14ac:dyDescent="0.2">
      <c r="A520" s="428" t="s">
        <v>558</v>
      </c>
      <c r="B520" s="429" t="s">
        <v>4213</v>
      </c>
      <c r="C520" s="430" t="s">
        <v>2787</v>
      </c>
      <c r="D520" s="1349" t="s">
        <v>1873</v>
      </c>
      <c r="E520" s="1350" t="s">
        <v>2045</v>
      </c>
      <c r="F520" s="1350" t="s">
        <v>1503</v>
      </c>
      <c r="G520" s="1351" t="s">
        <v>6064</v>
      </c>
      <c r="H520" s="1342" t="s">
        <v>5275</v>
      </c>
      <c r="I520" s="432" t="s">
        <v>4814</v>
      </c>
      <c r="J520" s="431"/>
      <c r="K520" s="431"/>
      <c r="L520" s="431"/>
      <c r="M520" s="433"/>
      <c r="N520" s="434"/>
      <c r="O520" s="1743" t="str">
        <f t="shared" si="316"/>
        <v xml:space="preserve">Arret de fonctionnement de services applicatifs, dû à une absence durable du personnel (interne) nécessaire </v>
      </c>
      <c r="P520" s="435">
        <v>1</v>
      </c>
      <c r="Q520" s="1595" t="s">
        <v>1431</v>
      </c>
      <c r="R520" s="1595" t="s">
        <v>1873</v>
      </c>
      <c r="S520" s="1595" t="str">
        <f>Classif!C23</f>
        <v/>
      </c>
      <c r="T520" s="1595">
        <f t="shared" si="308"/>
        <v>2</v>
      </c>
      <c r="U520" s="1744" t="str">
        <f t="shared" si="309"/>
        <v/>
      </c>
      <c r="V520" s="1745">
        <v>1</v>
      </c>
      <c r="W520" s="1745">
        <v>1</v>
      </c>
      <c r="X520" s="1745">
        <v>1</v>
      </c>
      <c r="Y520" s="1745">
        <f>S01C02</f>
        <v>1</v>
      </c>
      <c r="Z520" s="1746">
        <v>0</v>
      </c>
      <c r="AA520" s="1747"/>
      <c r="AB520" s="1748"/>
      <c r="AC520" s="1748"/>
      <c r="AD520" s="1595" t="str">
        <f t="shared" si="323"/>
        <v/>
      </c>
      <c r="AE520" s="1595">
        <f t="shared" si="310"/>
        <v>2</v>
      </c>
      <c r="AF520" s="1595" t="str">
        <f t="shared" si="311"/>
        <v/>
      </c>
      <c r="AG520" s="1748"/>
      <c r="AH520" s="1749" t="str">
        <f t="shared" si="324"/>
        <v/>
      </c>
      <c r="AI520" s="1615"/>
      <c r="AJ520" s="1621"/>
      <c r="AK520" s="1618"/>
      <c r="AL520" s="1619" t="s">
        <v>2536</v>
      </c>
      <c r="AM520" s="247" t="str">
        <f t="shared" si="317"/>
        <v/>
      </c>
      <c r="AN520" s="247" t="str">
        <f t="shared" si="318"/>
        <v/>
      </c>
      <c r="AO520" s="247" t="str">
        <f t="shared" si="319"/>
        <v/>
      </c>
      <c r="AP520" s="247" t="str">
        <f t="shared" si="320"/>
        <v/>
      </c>
      <c r="AQ520" s="42">
        <f t="shared" si="312"/>
        <v>1</v>
      </c>
      <c r="AR520" s="42">
        <f t="shared" si="313"/>
        <v>1</v>
      </c>
      <c r="AS520" s="42">
        <f t="shared" si="314"/>
        <v>1</v>
      </c>
      <c r="AT520" s="42">
        <f t="shared" si="315"/>
        <v>1</v>
      </c>
      <c r="AU520" s="247" t="str">
        <f t="shared" si="321"/>
        <v/>
      </c>
      <c r="AV520" s="247" t="str">
        <f t="shared" si="322"/>
        <v/>
      </c>
    </row>
    <row r="521" spans="1:48" ht="24" x14ac:dyDescent="0.2">
      <c r="A521" s="428" t="s">
        <v>559</v>
      </c>
      <c r="B521" s="429" t="s">
        <v>4213</v>
      </c>
      <c r="C521" s="430" t="s">
        <v>2787</v>
      </c>
      <c r="D521" s="1349" t="s">
        <v>1873</v>
      </c>
      <c r="E521" s="1350" t="s">
        <v>2045</v>
      </c>
      <c r="F521" s="1350" t="s">
        <v>1503</v>
      </c>
      <c r="G521" s="1351" t="s">
        <v>6064</v>
      </c>
      <c r="H521" s="1342" t="s">
        <v>5275</v>
      </c>
      <c r="I521" s="432" t="s">
        <v>3718</v>
      </c>
      <c r="J521" s="431"/>
      <c r="K521" s="431"/>
      <c r="L521" s="431"/>
      <c r="M521" s="433"/>
      <c r="N521" s="434"/>
      <c r="O521" s="1743" t="str">
        <f t="shared" si="316"/>
        <v xml:space="preserve">Arret de fonctionnement de services applicatifs, dû à une absence durable du personnel d'un prestataire </v>
      </c>
      <c r="P521" s="435">
        <v>1</v>
      </c>
      <c r="Q521" s="1595" t="s">
        <v>1431</v>
      </c>
      <c r="R521" s="1595" t="s">
        <v>1873</v>
      </c>
      <c r="S521" s="1595" t="str">
        <f>Classif!C23</f>
        <v/>
      </c>
      <c r="T521" s="1595">
        <f t="shared" si="308"/>
        <v>3</v>
      </c>
      <c r="U521" s="1744" t="str">
        <f t="shared" si="309"/>
        <v/>
      </c>
      <c r="V521" s="1745">
        <v>1</v>
      </c>
      <c r="W521" s="1745">
        <v>1</v>
      </c>
      <c r="X521" s="1745">
        <v>1</v>
      </c>
      <c r="Y521" s="1745">
        <f>S01C02</f>
        <v>1</v>
      </c>
      <c r="Z521" s="1746">
        <v>0</v>
      </c>
      <c r="AA521" s="1747"/>
      <c r="AB521" s="1748"/>
      <c r="AC521" s="1748"/>
      <c r="AD521" s="1595" t="str">
        <f t="shared" si="323"/>
        <v/>
      </c>
      <c r="AE521" s="1595">
        <f t="shared" si="310"/>
        <v>3</v>
      </c>
      <c r="AF521" s="1595" t="str">
        <f t="shared" si="311"/>
        <v/>
      </c>
      <c r="AG521" s="1748"/>
      <c r="AH521" s="1749" t="str">
        <f t="shared" si="324"/>
        <v/>
      </c>
      <c r="AI521" s="1615"/>
      <c r="AJ521" s="1621"/>
      <c r="AK521" s="1618"/>
      <c r="AL521" s="1619" t="s">
        <v>2536</v>
      </c>
      <c r="AM521" s="247" t="str">
        <f t="shared" si="317"/>
        <v/>
      </c>
      <c r="AN521" s="247" t="str">
        <f t="shared" si="318"/>
        <v/>
      </c>
      <c r="AO521" s="247" t="str">
        <f t="shared" si="319"/>
        <v/>
      </c>
      <c r="AP521" s="247" t="str">
        <f t="shared" si="320"/>
        <v/>
      </c>
      <c r="AQ521" s="42">
        <f t="shared" si="312"/>
        <v>1</v>
      </c>
      <c r="AR521" s="42">
        <f t="shared" si="313"/>
        <v>1</v>
      </c>
      <c r="AS521" s="42">
        <f t="shared" si="314"/>
        <v>1</v>
      </c>
      <c r="AT521" s="42">
        <f t="shared" si="315"/>
        <v>1</v>
      </c>
      <c r="AU521" s="247" t="str">
        <f t="shared" si="321"/>
        <v/>
      </c>
      <c r="AV521" s="247" t="str">
        <f t="shared" si="322"/>
        <v/>
      </c>
    </row>
    <row r="522" spans="1:48" ht="24" x14ac:dyDescent="0.2">
      <c r="A522" s="428" t="s">
        <v>560</v>
      </c>
      <c r="B522" s="463" t="s">
        <v>4220</v>
      </c>
      <c r="C522" s="430" t="s">
        <v>2046</v>
      </c>
      <c r="D522" s="1349" t="s">
        <v>1873</v>
      </c>
      <c r="E522" s="1350" t="s">
        <v>2534</v>
      </c>
      <c r="F522" s="1350" t="s">
        <v>1602</v>
      </c>
      <c r="G522" s="1362" t="s">
        <v>6067</v>
      </c>
      <c r="H522" s="1342" t="s">
        <v>1465</v>
      </c>
      <c r="I522" s="432" t="s">
        <v>4217</v>
      </c>
      <c r="J522" s="431"/>
      <c r="K522" s="431"/>
      <c r="L522" s="431"/>
      <c r="M522" s="433" t="s">
        <v>1880</v>
      </c>
      <c r="N522" s="434"/>
      <c r="O522" s="1743" t="str">
        <f t="shared" si="316"/>
        <v>Blocage de services applicatifs, dû à un bug bloquant dans un logiciel système ou un progiciel</v>
      </c>
      <c r="P522" s="435">
        <v>1</v>
      </c>
      <c r="Q522" s="1595" t="s">
        <v>6403</v>
      </c>
      <c r="R522" s="1595" t="s">
        <v>1873</v>
      </c>
      <c r="S522" s="1595" t="str">
        <f>Classif!C23</f>
        <v/>
      </c>
      <c r="T522" s="1595">
        <f t="shared" si="308"/>
        <v>2</v>
      </c>
      <c r="U522" s="1744" t="str">
        <f t="shared" si="309"/>
        <v/>
      </c>
      <c r="V522" s="1745">
        <v>1</v>
      </c>
      <c r="W522" s="1745">
        <f>S08A03</f>
        <v>1</v>
      </c>
      <c r="X522" s="1745">
        <v>1</v>
      </c>
      <c r="Y522" s="1745">
        <f>S08D02</f>
        <v>1</v>
      </c>
      <c r="Z522" s="1746">
        <v>0</v>
      </c>
      <c r="AA522" s="1747"/>
      <c r="AB522" s="1748"/>
      <c r="AC522" s="1748"/>
      <c r="AD522" s="1595" t="str">
        <f t="shared" si="323"/>
        <v/>
      </c>
      <c r="AE522" s="1595">
        <f t="shared" si="310"/>
        <v>2</v>
      </c>
      <c r="AF522" s="1595" t="str">
        <f t="shared" si="311"/>
        <v/>
      </c>
      <c r="AG522" s="1748"/>
      <c r="AH522" s="1749" t="str">
        <f t="shared" si="324"/>
        <v/>
      </c>
      <c r="AI522" s="1620"/>
      <c r="AJ522" s="1616" t="s">
        <v>4324</v>
      </c>
      <c r="AK522" s="1616"/>
      <c r="AL522" s="1617" t="s">
        <v>1662</v>
      </c>
      <c r="AM522" s="247" t="str">
        <f t="shared" si="317"/>
        <v/>
      </c>
      <c r="AN522" s="247" t="str">
        <f t="shared" si="318"/>
        <v/>
      </c>
      <c r="AO522" s="247" t="str">
        <f t="shared" si="319"/>
        <v/>
      </c>
      <c r="AP522" s="247" t="str">
        <f t="shared" si="320"/>
        <v/>
      </c>
      <c r="AQ522" s="42">
        <f t="shared" si="312"/>
        <v>1</v>
      </c>
      <c r="AR522" s="42">
        <f t="shared" si="313"/>
        <v>1</v>
      </c>
      <c r="AS522" s="42">
        <f t="shared" si="314"/>
        <v>1</v>
      </c>
      <c r="AT522" s="42">
        <f t="shared" si="315"/>
        <v>1</v>
      </c>
      <c r="AU522" s="247" t="str">
        <f t="shared" si="321"/>
        <v/>
      </c>
      <c r="AV522" s="247" t="str">
        <f t="shared" si="322"/>
        <v/>
      </c>
    </row>
    <row r="523" spans="1:48" x14ac:dyDescent="0.2">
      <c r="A523" s="428" t="s">
        <v>561</v>
      </c>
      <c r="B523" s="463" t="s">
        <v>4220</v>
      </c>
      <c r="C523" s="430" t="s">
        <v>2046</v>
      </c>
      <c r="D523" s="1349" t="s">
        <v>1873</v>
      </c>
      <c r="E523" s="1350" t="s">
        <v>2534</v>
      </c>
      <c r="F523" s="1350" t="s">
        <v>1602</v>
      </c>
      <c r="G523" s="1362" t="s">
        <v>6067</v>
      </c>
      <c r="H523" s="1342" t="s">
        <v>1326</v>
      </c>
      <c r="I523" s="432" t="s">
        <v>4216</v>
      </c>
      <c r="J523" s="431"/>
      <c r="K523" s="464"/>
      <c r="L523" s="431"/>
      <c r="M523" s="433" t="s">
        <v>1880</v>
      </c>
      <c r="N523" s="465"/>
      <c r="O523" s="1743" t="str">
        <f t="shared" si="316"/>
        <v>Blocage de services applicatifs, dû à un bug bloquant dans un logiciel inerne</v>
      </c>
      <c r="P523" s="435">
        <v>1</v>
      </c>
      <c r="Q523" s="1595" t="s">
        <v>6403</v>
      </c>
      <c r="R523" s="1595" t="s">
        <v>1873</v>
      </c>
      <c r="S523" s="1595" t="str">
        <f>Classif!C23</f>
        <v/>
      </c>
      <c r="T523" s="1595">
        <f t="shared" si="308"/>
        <v>3</v>
      </c>
      <c r="U523" s="1744" t="str">
        <f t="shared" si="309"/>
        <v/>
      </c>
      <c r="V523" s="1745">
        <v>1</v>
      </c>
      <c r="W523" s="1745">
        <f>S08A03</f>
        <v>1</v>
      </c>
      <c r="X523" s="1745">
        <v>1</v>
      </c>
      <c r="Y523" s="1745">
        <f>S10A04</f>
        <v>1</v>
      </c>
      <c r="Z523" s="1746">
        <v>0</v>
      </c>
      <c r="AA523" s="1747"/>
      <c r="AB523" s="1748"/>
      <c r="AC523" s="1748"/>
      <c r="AD523" s="1595" t="str">
        <f t="shared" si="323"/>
        <v/>
      </c>
      <c r="AE523" s="1595">
        <f t="shared" si="310"/>
        <v>3</v>
      </c>
      <c r="AF523" s="1595" t="str">
        <f t="shared" si="311"/>
        <v/>
      </c>
      <c r="AG523" s="1748"/>
      <c r="AH523" s="1749" t="str">
        <f t="shared" si="324"/>
        <v/>
      </c>
      <c r="AI523" s="1620"/>
      <c r="AJ523" s="1616" t="s">
        <v>4324</v>
      </c>
      <c r="AK523" s="1616"/>
      <c r="AL523" s="1617" t="s">
        <v>1202</v>
      </c>
      <c r="AM523" s="247" t="str">
        <f t="shared" si="317"/>
        <v/>
      </c>
      <c r="AN523" s="247" t="str">
        <f t="shared" si="318"/>
        <v/>
      </c>
      <c r="AO523" s="247" t="str">
        <f t="shared" si="319"/>
        <v/>
      </c>
      <c r="AP523" s="247" t="str">
        <f t="shared" si="320"/>
        <v/>
      </c>
      <c r="AQ523" s="42">
        <f t="shared" si="312"/>
        <v>1</v>
      </c>
      <c r="AR523" s="42">
        <f t="shared" si="313"/>
        <v>1</v>
      </c>
      <c r="AS523" s="42">
        <f t="shared" si="314"/>
        <v>1</v>
      </c>
      <c r="AT523" s="42">
        <f t="shared" si="315"/>
        <v>1</v>
      </c>
      <c r="AU523" s="247" t="str">
        <f t="shared" si="321"/>
        <v/>
      </c>
      <c r="AV523" s="247" t="str">
        <f t="shared" si="322"/>
        <v/>
      </c>
    </row>
    <row r="524" spans="1:48" x14ac:dyDescent="0.2">
      <c r="A524" s="428" t="s">
        <v>562</v>
      </c>
      <c r="B524" s="463" t="s">
        <v>4220</v>
      </c>
      <c r="C524" s="430" t="s">
        <v>2787</v>
      </c>
      <c r="D524" s="1349" t="s">
        <v>1873</v>
      </c>
      <c r="E524" s="1350" t="s">
        <v>2534</v>
      </c>
      <c r="F524" s="1350" t="s">
        <v>1602</v>
      </c>
      <c r="G524" s="1362" t="s">
        <v>6067</v>
      </c>
      <c r="H524" s="1342" t="s">
        <v>1465</v>
      </c>
      <c r="I524" s="432" t="s">
        <v>1880</v>
      </c>
      <c r="J524" s="431"/>
      <c r="K524" s="464"/>
      <c r="L524" s="431"/>
      <c r="M524" s="433" t="s">
        <v>1880</v>
      </c>
      <c r="N524" s="465"/>
      <c r="O524" s="1743" t="str">
        <f t="shared" si="316"/>
        <v>Blocage de services applicatifs, dû à un incident d'exploitation</v>
      </c>
      <c r="P524" s="435">
        <v>1</v>
      </c>
      <c r="Q524" s="1595" t="s">
        <v>1431</v>
      </c>
      <c r="R524" s="1595" t="s">
        <v>1873</v>
      </c>
      <c r="S524" s="1595" t="str">
        <f>Classif!C23</f>
        <v/>
      </c>
      <c r="T524" s="1595">
        <f t="shared" si="308"/>
        <v>3</v>
      </c>
      <c r="U524" s="1744" t="str">
        <f t="shared" si="309"/>
        <v/>
      </c>
      <c r="V524" s="1745">
        <v>1</v>
      </c>
      <c r="W524" s="1745">
        <f>S07D01</f>
        <v>1</v>
      </c>
      <c r="X524" s="1745">
        <f>S08E01</f>
        <v>1</v>
      </c>
      <c r="Y524" s="1745">
        <f>S08D03</f>
        <v>1</v>
      </c>
      <c r="Z524" s="1746">
        <v>0</v>
      </c>
      <c r="AA524" s="1747"/>
      <c r="AB524" s="1748"/>
      <c r="AC524" s="1748"/>
      <c r="AD524" s="1595" t="str">
        <f t="shared" si="323"/>
        <v/>
      </c>
      <c r="AE524" s="1595">
        <f t="shared" si="310"/>
        <v>3</v>
      </c>
      <c r="AF524" s="1595" t="str">
        <f t="shared" si="311"/>
        <v/>
      </c>
      <c r="AG524" s="1748"/>
      <c r="AH524" s="1749" t="str">
        <f t="shared" si="324"/>
        <v/>
      </c>
      <c r="AI524" s="1620"/>
      <c r="AJ524" s="1616" t="s">
        <v>4980</v>
      </c>
      <c r="AK524" s="1616" t="s">
        <v>2800</v>
      </c>
      <c r="AL524" s="1617" t="s">
        <v>1663</v>
      </c>
      <c r="AM524" s="247" t="str">
        <f t="shared" si="317"/>
        <v/>
      </c>
      <c r="AN524" s="247" t="str">
        <f t="shared" si="318"/>
        <v/>
      </c>
      <c r="AO524" s="247" t="str">
        <f t="shared" si="319"/>
        <v/>
      </c>
      <c r="AP524" s="247" t="str">
        <f t="shared" si="320"/>
        <v/>
      </c>
      <c r="AQ524" s="42">
        <f t="shared" si="312"/>
        <v>1</v>
      </c>
      <c r="AR524" s="42">
        <f t="shared" si="313"/>
        <v>1</v>
      </c>
      <c r="AS524" s="42">
        <f t="shared" si="314"/>
        <v>1</v>
      </c>
      <c r="AT524" s="42">
        <f t="shared" si="315"/>
        <v>1</v>
      </c>
      <c r="AU524" s="247" t="str">
        <f t="shared" si="321"/>
        <v/>
      </c>
      <c r="AV524" s="247" t="str">
        <f t="shared" si="322"/>
        <v/>
      </c>
    </row>
    <row r="525" spans="1:48" ht="24" x14ac:dyDescent="0.2">
      <c r="A525" s="428" t="s">
        <v>563</v>
      </c>
      <c r="B525" s="463" t="s">
        <v>4220</v>
      </c>
      <c r="C525" s="430" t="s">
        <v>2787</v>
      </c>
      <c r="D525" s="1349" t="s">
        <v>1873</v>
      </c>
      <c r="E525" s="1350" t="s">
        <v>2534</v>
      </c>
      <c r="F525" s="1350" t="s">
        <v>1602</v>
      </c>
      <c r="G525" s="1362" t="s">
        <v>6067</v>
      </c>
      <c r="H525" s="1342" t="s">
        <v>1328</v>
      </c>
      <c r="I525" s="432" t="s">
        <v>4221</v>
      </c>
      <c r="J525" s="431"/>
      <c r="K525" s="431"/>
      <c r="L525" s="431"/>
      <c r="M525" s="433" t="s">
        <v>1880</v>
      </c>
      <c r="N525" s="434"/>
      <c r="O525" s="1743" t="str">
        <f t="shared" si="316"/>
        <v>Blocage de services applicatifs, dû à une saturation malveillante d'équipements informatiques ou réseaux</v>
      </c>
      <c r="P525" s="435">
        <v>1</v>
      </c>
      <c r="Q525" s="1595" t="s">
        <v>1299</v>
      </c>
      <c r="R525" s="1595" t="s">
        <v>1873</v>
      </c>
      <c r="S525" s="1595" t="str">
        <f>Classif!C23</f>
        <v/>
      </c>
      <c r="T525" s="1595">
        <f t="shared" si="308"/>
        <v>3</v>
      </c>
      <c r="U525" s="1744" t="str">
        <f t="shared" si="309"/>
        <v/>
      </c>
      <c r="V525" s="1745">
        <f>MIN(S07C01,S07C02)</f>
        <v>1</v>
      </c>
      <c r="W525" s="1745">
        <f>S08E01</f>
        <v>1</v>
      </c>
      <c r="X525" s="1745">
        <f>MIN(S08E02,S08E03)</f>
        <v>1</v>
      </c>
      <c r="Y525" s="1745">
        <v>1</v>
      </c>
      <c r="Z525" s="1746">
        <v>0</v>
      </c>
      <c r="AA525" s="1747"/>
      <c r="AB525" s="1748"/>
      <c r="AC525" s="1748"/>
      <c r="AD525" s="1595" t="str">
        <f t="shared" si="323"/>
        <v/>
      </c>
      <c r="AE525" s="1595">
        <f t="shared" si="310"/>
        <v>3</v>
      </c>
      <c r="AF525" s="1595" t="str">
        <f t="shared" si="311"/>
        <v/>
      </c>
      <c r="AG525" s="1748"/>
      <c r="AH525" s="1749" t="str">
        <f t="shared" si="324"/>
        <v/>
      </c>
      <c r="AI525" s="1620" t="s">
        <v>6404</v>
      </c>
      <c r="AJ525" s="1616" t="s">
        <v>2800</v>
      </c>
      <c r="AK525" s="1616" t="s">
        <v>6405</v>
      </c>
      <c r="AL525" s="1617"/>
      <c r="AM525" s="247" t="str">
        <f t="shared" si="317"/>
        <v/>
      </c>
      <c r="AN525" s="247" t="str">
        <f t="shared" si="318"/>
        <v/>
      </c>
      <c r="AO525" s="247" t="str">
        <f t="shared" si="319"/>
        <v/>
      </c>
      <c r="AP525" s="247" t="str">
        <f t="shared" si="320"/>
        <v/>
      </c>
      <c r="AQ525" s="42">
        <f t="shared" si="312"/>
        <v>1</v>
      </c>
      <c r="AR525" s="42">
        <f t="shared" si="313"/>
        <v>1</v>
      </c>
      <c r="AS525" s="42">
        <f t="shared" si="314"/>
        <v>1</v>
      </c>
      <c r="AT525" s="42">
        <f t="shared" si="315"/>
        <v>1</v>
      </c>
      <c r="AU525" s="247" t="str">
        <f t="shared" si="321"/>
        <v/>
      </c>
      <c r="AV525" s="247" t="str">
        <f t="shared" si="322"/>
        <v/>
      </c>
    </row>
    <row r="526" spans="1:48" ht="24" x14ac:dyDescent="0.2">
      <c r="A526" s="428" t="s">
        <v>564</v>
      </c>
      <c r="B526" s="463" t="s">
        <v>5950</v>
      </c>
      <c r="C526" s="430" t="s">
        <v>2787</v>
      </c>
      <c r="D526" s="1349" t="s">
        <v>1873</v>
      </c>
      <c r="E526" s="1350" t="s">
        <v>6680</v>
      </c>
      <c r="F526" s="1350" t="s">
        <v>1602</v>
      </c>
      <c r="G526" s="1362" t="s">
        <v>6077</v>
      </c>
      <c r="H526" s="1342" t="s">
        <v>1328</v>
      </c>
      <c r="I526" s="432" t="s">
        <v>2034</v>
      </c>
      <c r="J526" s="431"/>
      <c r="K526" s="431"/>
      <c r="L526" s="431"/>
      <c r="M526" s="433"/>
      <c r="N526" s="434"/>
      <c r="O526" s="1743" t="str">
        <f t="shared" si="316"/>
        <v>Blocage de comptes nécessaires à l'utilisation de services applicatifs, dû à une attaque en blocage de comptes</v>
      </c>
      <c r="P526" s="435">
        <v>1</v>
      </c>
      <c r="Q526" s="1595" t="s">
        <v>1299</v>
      </c>
      <c r="R526" s="1595" t="s">
        <v>1873</v>
      </c>
      <c r="S526" s="1595" t="str">
        <f>Classif!C23</f>
        <v/>
      </c>
      <c r="T526" s="1595">
        <f t="shared" si="308"/>
        <v>2</v>
      </c>
      <c r="U526" s="1744" t="str">
        <f t="shared" si="309"/>
        <v/>
      </c>
      <c r="V526" s="1745">
        <v>1</v>
      </c>
      <c r="W526" s="1745">
        <v>1</v>
      </c>
      <c r="X526" s="1745">
        <v>1</v>
      </c>
      <c r="Y526" s="1745">
        <f>S08D10</f>
        <v>1</v>
      </c>
      <c r="Z526" s="1746">
        <v>0</v>
      </c>
      <c r="AA526" s="1747"/>
      <c r="AB526" s="1748"/>
      <c r="AC526" s="1748"/>
      <c r="AD526" s="1595" t="str">
        <f t="shared" si="323"/>
        <v/>
      </c>
      <c r="AE526" s="1595">
        <f t="shared" si="310"/>
        <v>2</v>
      </c>
      <c r="AF526" s="1595" t="str">
        <f t="shared" si="311"/>
        <v/>
      </c>
      <c r="AG526" s="1748"/>
      <c r="AH526" s="1749" t="str">
        <f t="shared" si="324"/>
        <v/>
      </c>
      <c r="AI526" s="1615"/>
      <c r="AJ526" s="1621"/>
      <c r="AK526" s="1618"/>
      <c r="AL526" s="1617" t="s">
        <v>1324</v>
      </c>
      <c r="AM526" s="247" t="str">
        <f t="shared" si="317"/>
        <v/>
      </c>
      <c r="AN526" s="247" t="str">
        <f t="shared" si="318"/>
        <v/>
      </c>
      <c r="AO526" s="247" t="str">
        <f t="shared" si="319"/>
        <v/>
      </c>
      <c r="AP526" s="247" t="str">
        <f t="shared" si="320"/>
        <v/>
      </c>
      <c r="AQ526" s="42">
        <f t="shared" si="312"/>
        <v>1</v>
      </c>
      <c r="AR526" s="42">
        <f t="shared" si="313"/>
        <v>1</v>
      </c>
      <c r="AS526" s="42">
        <f t="shared" si="314"/>
        <v>1</v>
      </c>
      <c r="AT526" s="42">
        <f t="shared" si="315"/>
        <v>1</v>
      </c>
      <c r="AU526" s="247" t="str">
        <f t="shared" si="321"/>
        <v/>
      </c>
      <c r="AV526" s="247" t="str">
        <f t="shared" si="322"/>
        <v/>
      </c>
    </row>
    <row r="527" spans="1:48" ht="15" x14ac:dyDescent="0.2">
      <c r="A527" s="466" t="s">
        <v>4201</v>
      </c>
      <c r="B527" s="467"/>
      <c r="C527" s="468" t="s">
        <v>1660</v>
      </c>
      <c r="D527" s="1363"/>
      <c r="E527" s="1364"/>
      <c r="F527" s="1364"/>
      <c r="G527" s="1365"/>
      <c r="H527" s="1346"/>
      <c r="I527" s="470"/>
      <c r="J527" s="469"/>
      <c r="K527" s="469"/>
      <c r="L527" s="469"/>
      <c r="M527" s="471"/>
      <c r="N527" s="472"/>
      <c r="O527" s="1764"/>
      <c r="P527" s="1609"/>
      <c r="Q527" s="1600"/>
      <c r="R527" s="1600"/>
      <c r="S527" s="1765"/>
      <c r="T527" s="1595"/>
      <c r="U527" s="1744"/>
      <c r="V527" s="1766"/>
      <c r="W527" s="1766"/>
      <c r="X527" s="1766"/>
      <c r="Y527" s="1766"/>
      <c r="Z527" s="1767"/>
      <c r="AA527" s="1768"/>
      <c r="AB527" s="1769"/>
      <c r="AC527" s="1769"/>
      <c r="AD527" s="1595"/>
      <c r="AE527" s="1765"/>
      <c r="AF527" s="1595"/>
      <c r="AG527" s="1748"/>
      <c r="AH527" s="1749"/>
      <c r="AI527" s="1627"/>
      <c r="AJ527" s="1628"/>
      <c r="AK527" s="1628"/>
      <c r="AL527" s="1629"/>
      <c r="AM527" s="247" t="str">
        <f t="shared" si="317"/>
        <v/>
      </c>
      <c r="AN527" s="247" t="str">
        <f t="shared" si="318"/>
        <v/>
      </c>
      <c r="AO527" s="247" t="str">
        <f t="shared" si="319"/>
        <v/>
      </c>
      <c r="AP527" s="247" t="str">
        <f t="shared" si="320"/>
        <v/>
      </c>
      <c r="AU527" s="247" t="str">
        <f t="shared" si="321"/>
        <v/>
      </c>
      <c r="AV527" s="247" t="str">
        <f t="shared" si="322"/>
        <v/>
      </c>
    </row>
    <row r="528" spans="1:48" ht="24" x14ac:dyDescent="0.2">
      <c r="A528" s="428" t="s">
        <v>565</v>
      </c>
      <c r="B528" s="473" t="s">
        <v>5621</v>
      </c>
      <c r="C528" s="474" t="s">
        <v>1601</v>
      </c>
      <c r="D528" s="1366" t="s">
        <v>1873</v>
      </c>
      <c r="E528" s="1367" t="s">
        <v>2778</v>
      </c>
      <c r="F528" s="1367" t="s">
        <v>2779</v>
      </c>
      <c r="G528" s="1368" t="s">
        <v>6068</v>
      </c>
      <c r="H528" s="1347" t="s">
        <v>1465</v>
      </c>
      <c r="I528" s="476" t="s">
        <v>1880</v>
      </c>
      <c r="J528" s="475" t="s">
        <v>1880</v>
      </c>
      <c r="K528" s="475"/>
      <c r="L528" s="475"/>
      <c r="M528" s="477"/>
      <c r="N528" s="478"/>
      <c r="O528" s="1770" t="str">
        <f>VLOOKUP(B528,code_famille_scénario,2)&amp;VLOOKUP(C528,code_actif,2)&amp;", suite "&amp;VLOOKUP(I528,code_event,2)</f>
        <v>Effacement accidentel de programmes de services bureautiques communs, suite à un incident d'exploitation</v>
      </c>
      <c r="P528" s="1610">
        <v>1</v>
      </c>
      <c r="Q528" s="1601" t="s">
        <v>1431</v>
      </c>
      <c r="R528" s="1601" t="s">
        <v>1873</v>
      </c>
      <c r="S528" s="1595" t="str">
        <f>Classif!C24</f>
        <v/>
      </c>
      <c r="T528" s="1595">
        <f t="shared" ref="T528:T559" si="325">VLOOKUP(H528&amp;"."&amp;I528,Tab_event,4)</f>
        <v>3</v>
      </c>
      <c r="U528" s="1744" t="str">
        <f t="shared" ref="U528:U559" si="326">IF(AND(NOT(S528=""),NOT(T528="")),INDEX(base_g,5-S528,T528),"")</f>
        <v/>
      </c>
      <c r="V528" s="1771">
        <v>1</v>
      </c>
      <c r="W528" s="1771">
        <f>S08A03</f>
        <v>1</v>
      </c>
      <c r="X528" s="1771">
        <f>S08E03</f>
        <v>1</v>
      </c>
      <c r="Y528" s="1771">
        <f t="shared" ref="Y528:Y538" si="327">S08D04</f>
        <v>1</v>
      </c>
      <c r="Z528" s="1772">
        <v>0</v>
      </c>
      <c r="AA528" s="1773"/>
      <c r="AB528" s="1769"/>
      <c r="AC528" s="1769"/>
      <c r="AD528" s="1595" t="str">
        <f t="shared" si="323"/>
        <v/>
      </c>
      <c r="AE528" s="1601">
        <f t="shared" ref="AE528:AE559" si="328">IF(OR(Q528="",T528=""),"",IF(Q528="A",INDEX(base_p,4,W528+7*(T528-1)),IF(Q528="E",INDEX(base_p,15,W528+7*(T528-1)),INDEX(base_p,27-V528,W528+7*(T528-1)))))</f>
        <v>3</v>
      </c>
      <c r="AF528" s="1595" t="str">
        <f t="shared" ref="AF528:AF559" si="329">IF(AT528=1,IF(IndG=1,U528,IF(AND(OR(NOT(AD528=""),NOT(AB528="")),OR(NOT(AE528=""),NOT(AC528="")),AT528=1),INDEX(base_g,5-IF(AB528="",AD528,AB528),IF(AC528="",AE528,AC528)),"")),0)</f>
        <v/>
      </c>
      <c r="AG528" s="1748"/>
      <c r="AH528" s="1749" t="str">
        <f t="shared" si="324"/>
        <v/>
      </c>
      <c r="AI528" s="1634"/>
      <c r="AJ528" s="1616" t="s">
        <v>4324</v>
      </c>
      <c r="AK528" s="1616" t="s">
        <v>2532</v>
      </c>
      <c r="AL528" s="1617" t="s">
        <v>4954</v>
      </c>
      <c r="AM528" s="247" t="str">
        <f t="shared" si="317"/>
        <v/>
      </c>
      <c r="AN528" s="247" t="str">
        <f t="shared" si="318"/>
        <v/>
      </c>
      <c r="AO528" s="247" t="str">
        <f t="shared" si="319"/>
        <v/>
      </c>
      <c r="AP528" s="247" t="str">
        <f t="shared" si="320"/>
        <v/>
      </c>
      <c r="AQ528" s="42">
        <f t="shared" ref="AQ528:AQ559" si="330">VLOOKUP(LEFT(C528,3),Tab_classif_servIR,6)</f>
        <v>1</v>
      </c>
      <c r="AR528" s="42">
        <f t="shared" ref="AR528:AR559" si="331">VLOOKUP(G528,select_vul_serv,2)</f>
        <v>1</v>
      </c>
      <c r="AS528" s="42">
        <f t="shared" ref="AS528:AS559" si="332">VLOOKUP(H528&amp;"."&amp;I528,select_men,5)</f>
        <v>1</v>
      </c>
      <c r="AT528" s="42">
        <f t="shared" ref="AT528:AT559" si="333">P528*AQ528*AR528*AS528</f>
        <v>1</v>
      </c>
      <c r="AU528" s="247" t="str">
        <f t="shared" si="321"/>
        <v/>
      </c>
      <c r="AV528" s="247" t="str">
        <f t="shared" si="322"/>
        <v/>
      </c>
    </row>
    <row r="529" spans="1:48" ht="24" x14ac:dyDescent="0.2">
      <c r="A529" s="428" t="s">
        <v>566</v>
      </c>
      <c r="B529" s="473" t="s">
        <v>5625</v>
      </c>
      <c r="C529" s="474" t="s">
        <v>1601</v>
      </c>
      <c r="D529" s="1366" t="s">
        <v>1873</v>
      </c>
      <c r="E529" s="1367" t="s">
        <v>2778</v>
      </c>
      <c r="F529" s="1367" t="s">
        <v>2779</v>
      </c>
      <c r="G529" s="1368" t="s">
        <v>6068</v>
      </c>
      <c r="H529" s="1347" t="s">
        <v>1327</v>
      </c>
      <c r="I529" s="476" t="s">
        <v>1545</v>
      </c>
      <c r="J529" s="475" t="s">
        <v>1880</v>
      </c>
      <c r="K529" s="475"/>
      <c r="L529" s="475"/>
      <c r="M529" s="477"/>
      <c r="N529" s="478" t="s">
        <v>1301</v>
      </c>
      <c r="O529" s="1770" t="str">
        <f t="shared" ref="O529:O539" si="334">VLOOKUP(B529,code_famille_scénario,2)&amp;VLOOKUP(C529,code_actif,2)&amp;", par "&amp;VLOOKUP(N529,code_acteur,2)</f>
        <v>Effacement par erreur de programmes de services bureautiques communs, par un utilisateur autorisé légitime</v>
      </c>
      <c r="P529" s="1610">
        <v>1</v>
      </c>
      <c r="Q529" s="1601" t="s">
        <v>6403</v>
      </c>
      <c r="R529" s="1601" t="s">
        <v>1873</v>
      </c>
      <c r="S529" s="1595" t="str">
        <f>Classif!C24</f>
        <v/>
      </c>
      <c r="T529" s="1595">
        <f t="shared" si="325"/>
        <v>3</v>
      </c>
      <c r="U529" s="1744" t="str">
        <f t="shared" si="326"/>
        <v/>
      </c>
      <c r="V529" s="1771">
        <v>1</v>
      </c>
      <c r="W529" s="1771">
        <v>1</v>
      </c>
      <c r="X529" s="1771">
        <v>1</v>
      </c>
      <c r="Y529" s="1771">
        <f t="shared" si="327"/>
        <v>1</v>
      </c>
      <c r="Z529" s="1772">
        <v>0</v>
      </c>
      <c r="AA529" s="1773"/>
      <c r="AB529" s="1769"/>
      <c r="AC529" s="1769"/>
      <c r="AD529" s="1595" t="str">
        <f t="shared" si="323"/>
        <v/>
      </c>
      <c r="AE529" s="1601">
        <f t="shared" si="328"/>
        <v>3</v>
      </c>
      <c r="AF529" s="1595" t="str">
        <f t="shared" si="329"/>
        <v/>
      </c>
      <c r="AG529" s="1748"/>
      <c r="AH529" s="1749" t="str">
        <f t="shared" si="324"/>
        <v/>
      </c>
      <c r="AI529" s="1634"/>
      <c r="AJ529" s="1635"/>
      <c r="AK529" s="1635"/>
      <c r="AL529" s="1617" t="s">
        <v>4954</v>
      </c>
      <c r="AM529" s="247" t="str">
        <f t="shared" si="317"/>
        <v/>
      </c>
      <c r="AN529" s="247" t="str">
        <f t="shared" si="318"/>
        <v/>
      </c>
      <c r="AO529" s="247" t="str">
        <f t="shared" si="319"/>
        <v/>
      </c>
      <c r="AP529" s="247" t="str">
        <f t="shared" si="320"/>
        <v/>
      </c>
      <c r="AQ529" s="42">
        <f t="shared" si="330"/>
        <v>1</v>
      </c>
      <c r="AR529" s="42">
        <f t="shared" si="331"/>
        <v>1</v>
      </c>
      <c r="AS529" s="42">
        <f t="shared" si="332"/>
        <v>1</v>
      </c>
      <c r="AT529" s="42">
        <f t="shared" si="333"/>
        <v>1</v>
      </c>
      <c r="AU529" s="247" t="str">
        <f t="shared" si="321"/>
        <v/>
      </c>
      <c r="AV529" s="247" t="str">
        <f t="shared" si="322"/>
        <v/>
      </c>
    </row>
    <row r="530" spans="1:48" ht="24" x14ac:dyDescent="0.2">
      <c r="A530" s="428" t="s">
        <v>567</v>
      </c>
      <c r="B530" s="473" t="s">
        <v>5625</v>
      </c>
      <c r="C530" s="474" t="s">
        <v>1601</v>
      </c>
      <c r="D530" s="1366" t="s">
        <v>1873</v>
      </c>
      <c r="E530" s="1367" t="s">
        <v>2778</v>
      </c>
      <c r="F530" s="1367" t="s">
        <v>2779</v>
      </c>
      <c r="G530" s="1368" t="s">
        <v>6068</v>
      </c>
      <c r="H530" s="1347" t="s">
        <v>1327</v>
      </c>
      <c r="I530" s="476" t="s">
        <v>1545</v>
      </c>
      <c r="J530" s="475" t="s">
        <v>1880</v>
      </c>
      <c r="K530" s="475"/>
      <c r="L530" s="475"/>
      <c r="M530" s="477"/>
      <c r="N530" s="478" t="s">
        <v>1302</v>
      </c>
      <c r="O530" s="1770" t="str">
        <f t="shared" si="334"/>
        <v>Effacement par erreur de programmes de services bureautiques communs, par un utilisateur autorisé illégitime</v>
      </c>
      <c r="P530" s="1610">
        <v>1</v>
      </c>
      <c r="Q530" s="1601" t="s">
        <v>6403</v>
      </c>
      <c r="R530" s="1601" t="s">
        <v>1873</v>
      </c>
      <c r="S530" s="1595" t="str">
        <f>Classif!C24</f>
        <v/>
      </c>
      <c r="T530" s="1595">
        <f t="shared" si="325"/>
        <v>3</v>
      </c>
      <c r="U530" s="1744" t="str">
        <f t="shared" si="326"/>
        <v/>
      </c>
      <c r="V530" s="1771">
        <v>1</v>
      </c>
      <c r="W530" s="1771">
        <f>MAX(S07A02,S09A02)</f>
        <v>1</v>
      </c>
      <c r="X530" s="1771">
        <v>1</v>
      </c>
      <c r="Y530" s="1771">
        <f t="shared" si="327"/>
        <v>1</v>
      </c>
      <c r="Z530" s="1772">
        <v>0</v>
      </c>
      <c r="AA530" s="1773"/>
      <c r="AB530" s="1769"/>
      <c r="AC530" s="1769"/>
      <c r="AD530" s="1595" t="str">
        <f t="shared" si="323"/>
        <v/>
      </c>
      <c r="AE530" s="1601">
        <f t="shared" si="328"/>
        <v>3</v>
      </c>
      <c r="AF530" s="1595" t="str">
        <f t="shared" si="329"/>
        <v/>
      </c>
      <c r="AG530" s="1748"/>
      <c r="AH530" s="1749" t="str">
        <f t="shared" si="324"/>
        <v/>
      </c>
      <c r="AI530" s="1634"/>
      <c r="AJ530" s="1616" t="s">
        <v>6493</v>
      </c>
      <c r="AK530" s="1635"/>
      <c r="AL530" s="1617" t="s">
        <v>4954</v>
      </c>
      <c r="AM530" s="247" t="str">
        <f t="shared" si="317"/>
        <v/>
      </c>
      <c r="AN530" s="247" t="str">
        <f t="shared" si="318"/>
        <v/>
      </c>
      <c r="AO530" s="247" t="str">
        <f t="shared" si="319"/>
        <v/>
      </c>
      <c r="AP530" s="247" t="str">
        <f t="shared" si="320"/>
        <v/>
      </c>
      <c r="AQ530" s="42">
        <f t="shared" si="330"/>
        <v>1</v>
      </c>
      <c r="AR530" s="42">
        <f t="shared" si="331"/>
        <v>1</v>
      </c>
      <c r="AS530" s="42">
        <f t="shared" si="332"/>
        <v>1</v>
      </c>
      <c r="AT530" s="42">
        <f t="shared" si="333"/>
        <v>1</v>
      </c>
      <c r="AU530" s="247" t="str">
        <f t="shared" si="321"/>
        <v/>
      </c>
      <c r="AV530" s="247" t="str">
        <f t="shared" si="322"/>
        <v/>
      </c>
    </row>
    <row r="531" spans="1:48" ht="24" x14ac:dyDescent="0.2">
      <c r="A531" s="428" t="s">
        <v>568</v>
      </c>
      <c r="B531" s="473" t="s">
        <v>5625</v>
      </c>
      <c r="C531" s="474" t="s">
        <v>1601</v>
      </c>
      <c r="D531" s="1366" t="s">
        <v>1873</v>
      </c>
      <c r="E531" s="1367" t="s">
        <v>2778</v>
      </c>
      <c r="F531" s="1367" t="s">
        <v>2779</v>
      </c>
      <c r="G531" s="1368" t="s">
        <v>6068</v>
      </c>
      <c r="H531" s="1347" t="s">
        <v>1327</v>
      </c>
      <c r="I531" s="476" t="s">
        <v>1545</v>
      </c>
      <c r="J531" s="475" t="s">
        <v>1880</v>
      </c>
      <c r="K531" s="475"/>
      <c r="L531" s="475"/>
      <c r="M531" s="477"/>
      <c r="N531" s="478" t="s">
        <v>1303</v>
      </c>
      <c r="O531" s="1770" t="str">
        <f t="shared" si="334"/>
        <v>Effacement par erreur de programmes de services bureautiques communs, par un utilisateur non autorisé</v>
      </c>
      <c r="P531" s="1610">
        <v>1</v>
      </c>
      <c r="Q531" s="1601" t="s">
        <v>6403</v>
      </c>
      <c r="R531" s="1601" t="s">
        <v>1873</v>
      </c>
      <c r="S531" s="1595" t="str">
        <f>Classif!C24</f>
        <v/>
      </c>
      <c r="T531" s="1595">
        <f t="shared" si="325"/>
        <v>3</v>
      </c>
      <c r="U531" s="1744" t="str">
        <f t="shared" si="326"/>
        <v/>
      </c>
      <c r="V531" s="1771">
        <v>1</v>
      </c>
      <c r="W531" s="1771">
        <f>MIN(S07A03,S07A04)</f>
        <v>1</v>
      </c>
      <c r="X531" s="1771">
        <v>1</v>
      </c>
      <c r="Y531" s="1771">
        <f t="shared" si="327"/>
        <v>1</v>
      </c>
      <c r="Z531" s="1772">
        <v>0</v>
      </c>
      <c r="AA531" s="1773"/>
      <c r="AB531" s="1769"/>
      <c r="AC531" s="1769"/>
      <c r="AD531" s="1595" t="str">
        <f t="shared" si="323"/>
        <v/>
      </c>
      <c r="AE531" s="1601">
        <f t="shared" si="328"/>
        <v>3</v>
      </c>
      <c r="AF531" s="1595" t="str">
        <f t="shared" si="329"/>
        <v/>
      </c>
      <c r="AG531" s="1748"/>
      <c r="AH531" s="1749" t="str">
        <f t="shared" si="324"/>
        <v/>
      </c>
      <c r="AI531" s="1634"/>
      <c r="AJ531" s="1636" t="s">
        <v>6494</v>
      </c>
      <c r="AK531" s="1635"/>
      <c r="AL531" s="1617" t="s">
        <v>4954</v>
      </c>
      <c r="AM531" s="247" t="str">
        <f t="shared" si="317"/>
        <v/>
      </c>
      <c r="AN531" s="247" t="str">
        <f t="shared" si="318"/>
        <v/>
      </c>
      <c r="AO531" s="247" t="str">
        <f t="shared" si="319"/>
        <v/>
      </c>
      <c r="AP531" s="247" t="str">
        <f t="shared" si="320"/>
        <v/>
      </c>
      <c r="AQ531" s="42">
        <f t="shared" si="330"/>
        <v>1</v>
      </c>
      <c r="AR531" s="42">
        <f t="shared" si="331"/>
        <v>1</v>
      </c>
      <c r="AS531" s="42">
        <f t="shared" si="332"/>
        <v>1</v>
      </c>
      <c r="AT531" s="42">
        <f t="shared" si="333"/>
        <v>1</v>
      </c>
      <c r="AU531" s="247" t="str">
        <f t="shared" si="321"/>
        <v/>
      </c>
      <c r="AV531" s="247" t="str">
        <f t="shared" si="322"/>
        <v/>
      </c>
    </row>
    <row r="532" spans="1:48" ht="24" x14ac:dyDescent="0.2">
      <c r="A532" s="428" t="s">
        <v>569</v>
      </c>
      <c r="B532" s="473" t="s">
        <v>5625</v>
      </c>
      <c r="C532" s="474" t="s">
        <v>1601</v>
      </c>
      <c r="D532" s="1366" t="s">
        <v>1873</v>
      </c>
      <c r="E532" s="1367" t="s">
        <v>2778</v>
      </c>
      <c r="F532" s="1367" t="s">
        <v>2779</v>
      </c>
      <c r="G532" s="1368" t="s">
        <v>6068</v>
      </c>
      <c r="H532" s="1347" t="s">
        <v>1327</v>
      </c>
      <c r="I532" s="476" t="s">
        <v>1545</v>
      </c>
      <c r="J532" s="475" t="s">
        <v>1880</v>
      </c>
      <c r="K532" s="475"/>
      <c r="L532" s="475"/>
      <c r="M532" s="477"/>
      <c r="N532" s="478" t="s">
        <v>6403</v>
      </c>
      <c r="O532" s="1770" t="str">
        <f t="shared" si="334"/>
        <v>Effacement par erreur de programmes de services bureautiques communs, par un membre du personnel d'exploitation</v>
      </c>
      <c r="P532" s="1610">
        <v>1</v>
      </c>
      <c r="Q532" s="1601" t="s">
        <v>6403</v>
      </c>
      <c r="R532" s="1601" t="s">
        <v>1873</v>
      </c>
      <c r="S532" s="1595" t="str">
        <f>Classif!C24</f>
        <v/>
      </c>
      <c r="T532" s="1595">
        <f t="shared" si="325"/>
        <v>3</v>
      </c>
      <c r="U532" s="1744" t="str">
        <f t="shared" si="326"/>
        <v/>
      </c>
      <c r="V532" s="1771">
        <v>1</v>
      </c>
      <c r="W532" s="1771">
        <v>1</v>
      </c>
      <c r="X532" s="1771">
        <v>1</v>
      </c>
      <c r="Y532" s="1771">
        <f t="shared" si="327"/>
        <v>1</v>
      </c>
      <c r="Z532" s="1772">
        <v>0</v>
      </c>
      <c r="AA532" s="1773"/>
      <c r="AB532" s="1769"/>
      <c r="AC532" s="1769"/>
      <c r="AD532" s="1595" t="str">
        <f t="shared" si="323"/>
        <v/>
      </c>
      <c r="AE532" s="1601">
        <f t="shared" si="328"/>
        <v>3</v>
      </c>
      <c r="AF532" s="1595" t="str">
        <f t="shared" si="329"/>
        <v/>
      </c>
      <c r="AG532" s="1748"/>
      <c r="AH532" s="1749" t="str">
        <f t="shared" si="324"/>
        <v/>
      </c>
      <c r="AI532" s="1634"/>
      <c r="AJ532" s="1635"/>
      <c r="AK532" s="1635"/>
      <c r="AL532" s="1617" t="s">
        <v>4954</v>
      </c>
      <c r="AM532" s="247" t="str">
        <f t="shared" si="317"/>
        <v/>
      </c>
      <c r="AN532" s="247" t="str">
        <f t="shared" si="318"/>
        <v/>
      </c>
      <c r="AO532" s="247" t="str">
        <f t="shared" si="319"/>
        <v/>
      </c>
      <c r="AP532" s="247" t="str">
        <f t="shared" si="320"/>
        <v/>
      </c>
      <c r="AQ532" s="42">
        <f t="shared" si="330"/>
        <v>1</v>
      </c>
      <c r="AR532" s="42">
        <f t="shared" si="331"/>
        <v>1</v>
      </c>
      <c r="AS532" s="42">
        <f t="shared" si="332"/>
        <v>1</v>
      </c>
      <c r="AT532" s="42">
        <f t="shared" si="333"/>
        <v>1</v>
      </c>
      <c r="AU532" s="247" t="str">
        <f t="shared" si="321"/>
        <v/>
      </c>
      <c r="AV532" s="247" t="str">
        <f t="shared" si="322"/>
        <v/>
      </c>
    </row>
    <row r="533" spans="1:48" ht="24" x14ac:dyDescent="0.2">
      <c r="A533" s="428" t="s">
        <v>570</v>
      </c>
      <c r="B533" s="473" t="s">
        <v>5625</v>
      </c>
      <c r="C533" s="474" t="s">
        <v>1601</v>
      </c>
      <c r="D533" s="1366" t="s">
        <v>1873</v>
      </c>
      <c r="E533" s="1367" t="s">
        <v>2778</v>
      </c>
      <c r="F533" s="1367" t="s">
        <v>2779</v>
      </c>
      <c r="G533" s="1368" t="s">
        <v>6068</v>
      </c>
      <c r="H533" s="1347" t="s">
        <v>1327</v>
      </c>
      <c r="I533" s="476" t="s">
        <v>1545</v>
      </c>
      <c r="J533" s="475" t="s">
        <v>1880</v>
      </c>
      <c r="K533" s="475"/>
      <c r="L533" s="475"/>
      <c r="M533" s="477"/>
      <c r="N533" s="478" t="s">
        <v>1299</v>
      </c>
      <c r="O533" s="1770" t="str">
        <f t="shared" si="334"/>
        <v>Effacement par erreur de programmes de services bureautiques communs, par un membre du personnel de maintenance</v>
      </c>
      <c r="P533" s="1610">
        <v>1</v>
      </c>
      <c r="Q533" s="1601" t="s">
        <v>6403</v>
      </c>
      <c r="R533" s="1601" t="s">
        <v>1873</v>
      </c>
      <c r="S533" s="1595" t="str">
        <f>Classif!C24</f>
        <v/>
      </c>
      <c r="T533" s="1595">
        <f t="shared" si="325"/>
        <v>3</v>
      </c>
      <c r="U533" s="1744" t="str">
        <f t="shared" si="326"/>
        <v/>
      </c>
      <c r="V533" s="1771">
        <v>1</v>
      </c>
      <c r="W533" s="1771">
        <v>1</v>
      </c>
      <c r="X533" s="1771">
        <v>1</v>
      </c>
      <c r="Y533" s="1771">
        <f t="shared" si="327"/>
        <v>1</v>
      </c>
      <c r="Z533" s="1772">
        <v>0</v>
      </c>
      <c r="AA533" s="1773"/>
      <c r="AB533" s="1769"/>
      <c r="AC533" s="1769"/>
      <c r="AD533" s="1595" t="str">
        <f t="shared" si="323"/>
        <v/>
      </c>
      <c r="AE533" s="1601">
        <f t="shared" si="328"/>
        <v>3</v>
      </c>
      <c r="AF533" s="1595" t="str">
        <f t="shared" si="329"/>
        <v/>
      </c>
      <c r="AG533" s="1748"/>
      <c r="AH533" s="1749" t="str">
        <f t="shared" si="324"/>
        <v/>
      </c>
      <c r="AI533" s="1634"/>
      <c r="AJ533" s="1635"/>
      <c r="AK533" s="1635"/>
      <c r="AL533" s="1617" t="s">
        <v>4954</v>
      </c>
      <c r="AM533" s="247" t="str">
        <f t="shared" si="317"/>
        <v/>
      </c>
      <c r="AN533" s="247" t="str">
        <f t="shared" si="318"/>
        <v/>
      </c>
      <c r="AO533" s="247" t="str">
        <f t="shared" si="319"/>
        <v/>
      </c>
      <c r="AP533" s="247" t="str">
        <f t="shared" si="320"/>
        <v/>
      </c>
      <c r="AQ533" s="42">
        <f t="shared" si="330"/>
        <v>1</v>
      </c>
      <c r="AR533" s="42">
        <f t="shared" si="331"/>
        <v>1</v>
      </c>
      <c r="AS533" s="42">
        <f t="shared" si="332"/>
        <v>1</v>
      </c>
      <c r="AT533" s="42">
        <f t="shared" si="333"/>
        <v>1</v>
      </c>
      <c r="AU533" s="247" t="str">
        <f t="shared" si="321"/>
        <v/>
      </c>
      <c r="AV533" s="247" t="str">
        <f t="shared" si="322"/>
        <v/>
      </c>
    </row>
    <row r="534" spans="1:48" ht="24" x14ac:dyDescent="0.2">
      <c r="A534" s="428" t="s">
        <v>281</v>
      </c>
      <c r="B534" s="473" t="s">
        <v>5623</v>
      </c>
      <c r="C534" s="474" t="s">
        <v>1601</v>
      </c>
      <c r="D534" s="1366" t="s">
        <v>1873</v>
      </c>
      <c r="E534" s="1367" t="s">
        <v>2778</v>
      </c>
      <c r="F534" s="1367" t="s">
        <v>2779</v>
      </c>
      <c r="G534" s="1368" t="s">
        <v>6068</v>
      </c>
      <c r="H534" s="1298" t="s">
        <v>1328</v>
      </c>
      <c r="I534" s="479" t="s">
        <v>1546</v>
      </c>
      <c r="J534" s="475" t="s">
        <v>1880</v>
      </c>
      <c r="K534" s="475"/>
      <c r="L534" s="475"/>
      <c r="M534" s="477"/>
      <c r="N534" s="478" t="s">
        <v>1301</v>
      </c>
      <c r="O534" s="1770" t="str">
        <f t="shared" si="334"/>
        <v>Effacement malveillant de programmes de services bureautiques communs, par un utilisateur autorisé légitime</v>
      </c>
      <c r="P534" s="1610">
        <v>1</v>
      </c>
      <c r="Q534" s="1601" t="s">
        <v>1299</v>
      </c>
      <c r="R534" s="1601" t="s">
        <v>1873</v>
      </c>
      <c r="S534" s="1595" t="str">
        <f>Classif!C24</f>
        <v/>
      </c>
      <c r="T534" s="1595">
        <f t="shared" si="325"/>
        <v>2</v>
      </c>
      <c r="U534" s="1744" t="str">
        <f t="shared" si="326"/>
        <v/>
      </c>
      <c r="V534" s="1750">
        <f>MIN(S07C01,S08E02)</f>
        <v>1</v>
      </c>
      <c r="W534" s="1771">
        <v>1</v>
      </c>
      <c r="X534" s="1771">
        <v>1</v>
      </c>
      <c r="Y534" s="1771">
        <f t="shared" si="327"/>
        <v>1</v>
      </c>
      <c r="Z534" s="1772">
        <v>0</v>
      </c>
      <c r="AA534" s="1773"/>
      <c r="AB534" s="1769"/>
      <c r="AC534" s="1769"/>
      <c r="AD534" s="1595" t="str">
        <f t="shared" si="323"/>
        <v/>
      </c>
      <c r="AE534" s="1601">
        <f t="shared" si="328"/>
        <v>2</v>
      </c>
      <c r="AF534" s="1595" t="str">
        <f t="shared" si="329"/>
        <v/>
      </c>
      <c r="AG534" s="1748"/>
      <c r="AH534" s="1749" t="str">
        <f t="shared" si="324"/>
        <v/>
      </c>
      <c r="AI534" s="1620" t="s">
        <v>6492</v>
      </c>
      <c r="AJ534" s="1636"/>
      <c r="AK534" s="1635"/>
      <c r="AL534" s="1617" t="s">
        <v>4954</v>
      </c>
      <c r="AM534" s="247" t="str">
        <f t="shared" si="317"/>
        <v/>
      </c>
      <c r="AN534" s="247" t="str">
        <f t="shared" si="318"/>
        <v/>
      </c>
      <c r="AO534" s="247" t="str">
        <f t="shared" si="319"/>
        <v/>
      </c>
      <c r="AP534" s="247" t="str">
        <f t="shared" si="320"/>
        <v/>
      </c>
      <c r="AQ534" s="42">
        <f t="shared" si="330"/>
        <v>1</v>
      </c>
      <c r="AR534" s="42">
        <f t="shared" si="331"/>
        <v>1</v>
      </c>
      <c r="AS534" s="42">
        <f t="shared" si="332"/>
        <v>1</v>
      </c>
      <c r="AT534" s="42">
        <f t="shared" si="333"/>
        <v>1</v>
      </c>
      <c r="AU534" s="247" t="str">
        <f t="shared" si="321"/>
        <v/>
      </c>
      <c r="AV534" s="247" t="str">
        <f t="shared" si="322"/>
        <v/>
      </c>
    </row>
    <row r="535" spans="1:48" ht="24" x14ac:dyDescent="0.2">
      <c r="A535" s="428" t="s">
        <v>282</v>
      </c>
      <c r="B535" s="473" t="s">
        <v>5623</v>
      </c>
      <c r="C535" s="474" t="s">
        <v>1601</v>
      </c>
      <c r="D535" s="1366" t="s">
        <v>1873</v>
      </c>
      <c r="E535" s="1367" t="s">
        <v>2778</v>
      </c>
      <c r="F535" s="1367" t="s">
        <v>2779</v>
      </c>
      <c r="G535" s="1368" t="s">
        <v>6068</v>
      </c>
      <c r="H535" s="1347" t="s">
        <v>1328</v>
      </c>
      <c r="I535" s="476" t="s">
        <v>1546</v>
      </c>
      <c r="J535" s="475" t="s">
        <v>1880</v>
      </c>
      <c r="K535" s="475"/>
      <c r="L535" s="475"/>
      <c r="M535" s="477"/>
      <c r="N535" s="478" t="s">
        <v>1302</v>
      </c>
      <c r="O535" s="1770" t="str">
        <f t="shared" si="334"/>
        <v>Effacement malveillant de programmes de services bureautiques communs, par un utilisateur autorisé illégitime</v>
      </c>
      <c r="P535" s="1610">
        <v>1</v>
      </c>
      <c r="Q535" s="1601" t="s">
        <v>1299</v>
      </c>
      <c r="R535" s="1601" t="s">
        <v>1873</v>
      </c>
      <c r="S535" s="1595" t="str">
        <f>Classif!C24</f>
        <v/>
      </c>
      <c r="T535" s="1595">
        <f t="shared" si="325"/>
        <v>2</v>
      </c>
      <c r="U535" s="1744" t="str">
        <f t="shared" si="326"/>
        <v/>
      </c>
      <c r="V535" s="1750">
        <f>MIN(S07C01,S08E02)</f>
        <v>1</v>
      </c>
      <c r="W535" s="1771">
        <f>MAX(S07A02,S09A02)</f>
        <v>1</v>
      </c>
      <c r="X535" s="1771">
        <v>1</v>
      </c>
      <c r="Y535" s="1771">
        <f t="shared" si="327"/>
        <v>1</v>
      </c>
      <c r="Z535" s="1772">
        <v>0</v>
      </c>
      <c r="AA535" s="1773"/>
      <c r="AB535" s="1769"/>
      <c r="AC535" s="1769"/>
      <c r="AD535" s="1595" t="str">
        <f t="shared" si="323"/>
        <v/>
      </c>
      <c r="AE535" s="1601">
        <f t="shared" si="328"/>
        <v>2</v>
      </c>
      <c r="AF535" s="1595" t="str">
        <f t="shared" si="329"/>
        <v/>
      </c>
      <c r="AG535" s="1748"/>
      <c r="AH535" s="1749" t="str">
        <f t="shared" si="324"/>
        <v/>
      </c>
      <c r="AI535" s="1620" t="s">
        <v>6492</v>
      </c>
      <c r="AJ535" s="1616" t="s">
        <v>6493</v>
      </c>
      <c r="AK535" s="1635"/>
      <c r="AL535" s="1617" t="s">
        <v>4954</v>
      </c>
      <c r="AM535" s="247" t="str">
        <f t="shared" si="317"/>
        <v/>
      </c>
      <c r="AN535" s="247" t="str">
        <f t="shared" si="318"/>
        <v/>
      </c>
      <c r="AO535" s="247" t="str">
        <f t="shared" si="319"/>
        <v/>
      </c>
      <c r="AP535" s="247" t="str">
        <f t="shared" si="320"/>
        <v/>
      </c>
      <c r="AQ535" s="42">
        <f t="shared" si="330"/>
        <v>1</v>
      </c>
      <c r="AR535" s="42">
        <f t="shared" si="331"/>
        <v>1</v>
      </c>
      <c r="AS535" s="42">
        <f t="shared" si="332"/>
        <v>1</v>
      </c>
      <c r="AT535" s="42">
        <f t="shared" si="333"/>
        <v>1</v>
      </c>
      <c r="AU535" s="247" t="str">
        <f t="shared" si="321"/>
        <v/>
      </c>
      <c r="AV535" s="247" t="str">
        <f t="shared" si="322"/>
        <v/>
      </c>
    </row>
    <row r="536" spans="1:48" ht="24" x14ac:dyDescent="0.2">
      <c r="A536" s="428" t="s">
        <v>283</v>
      </c>
      <c r="B536" s="473" t="s">
        <v>5623</v>
      </c>
      <c r="C536" s="474" t="s">
        <v>1601</v>
      </c>
      <c r="D536" s="1366" t="s">
        <v>1873</v>
      </c>
      <c r="E536" s="1367" t="s">
        <v>2778</v>
      </c>
      <c r="F536" s="1367" t="s">
        <v>2779</v>
      </c>
      <c r="G536" s="1368" t="s">
        <v>6068</v>
      </c>
      <c r="H536" s="1347" t="s">
        <v>1328</v>
      </c>
      <c r="I536" s="476" t="s">
        <v>1546</v>
      </c>
      <c r="J536" s="475" t="s">
        <v>1880</v>
      </c>
      <c r="K536" s="475"/>
      <c r="L536" s="475"/>
      <c r="M536" s="477"/>
      <c r="N536" s="478" t="s">
        <v>1303</v>
      </c>
      <c r="O536" s="1770" t="str">
        <f t="shared" si="334"/>
        <v>Effacement malveillant de programmes de services bureautiques communs, par un utilisateur non autorisé</v>
      </c>
      <c r="P536" s="1610">
        <v>1</v>
      </c>
      <c r="Q536" s="1601" t="s">
        <v>1299</v>
      </c>
      <c r="R536" s="1601" t="s">
        <v>1873</v>
      </c>
      <c r="S536" s="1595" t="str">
        <f>Classif!C24</f>
        <v/>
      </c>
      <c r="T536" s="1595">
        <f t="shared" si="325"/>
        <v>2</v>
      </c>
      <c r="U536" s="1744" t="str">
        <f t="shared" si="326"/>
        <v/>
      </c>
      <c r="V536" s="1771">
        <v>1</v>
      </c>
      <c r="W536" s="1771">
        <f>MIN(S07A03,S07A04)</f>
        <v>1</v>
      </c>
      <c r="X536" s="1771">
        <v>1</v>
      </c>
      <c r="Y536" s="1771">
        <f t="shared" si="327"/>
        <v>1</v>
      </c>
      <c r="Z536" s="1772">
        <v>0</v>
      </c>
      <c r="AA536" s="1773"/>
      <c r="AB536" s="1769"/>
      <c r="AC536" s="1769"/>
      <c r="AD536" s="1595" t="str">
        <f t="shared" si="323"/>
        <v/>
      </c>
      <c r="AE536" s="1601">
        <f t="shared" si="328"/>
        <v>2</v>
      </c>
      <c r="AF536" s="1595" t="str">
        <f t="shared" si="329"/>
        <v/>
      </c>
      <c r="AG536" s="1748"/>
      <c r="AH536" s="1749" t="str">
        <f t="shared" si="324"/>
        <v/>
      </c>
      <c r="AI536" s="1634"/>
      <c r="AJ536" s="1636" t="s">
        <v>6494</v>
      </c>
      <c r="AK536" s="1635"/>
      <c r="AL536" s="1617" t="s">
        <v>4954</v>
      </c>
      <c r="AM536" s="247" t="str">
        <f t="shared" si="317"/>
        <v/>
      </c>
      <c r="AN536" s="247" t="str">
        <f t="shared" si="318"/>
        <v/>
      </c>
      <c r="AO536" s="247" t="str">
        <f t="shared" si="319"/>
        <v/>
      </c>
      <c r="AP536" s="247" t="str">
        <f t="shared" si="320"/>
        <v/>
      </c>
      <c r="AQ536" s="42">
        <f t="shared" si="330"/>
        <v>1</v>
      </c>
      <c r="AR536" s="42">
        <f t="shared" si="331"/>
        <v>1</v>
      </c>
      <c r="AS536" s="42">
        <f t="shared" si="332"/>
        <v>1</v>
      </c>
      <c r="AT536" s="42">
        <f t="shared" si="333"/>
        <v>1</v>
      </c>
      <c r="AU536" s="247" t="str">
        <f t="shared" si="321"/>
        <v/>
      </c>
      <c r="AV536" s="247" t="str">
        <f t="shared" si="322"/>
        <v/>
      </c>
    </row>
    <row r="537" spans="1:48" ht="24" x14ac:dyDescent="0.2">
      <c r="A537" s="428" t="s">
        <v>284</v>
      </c>
      <c r="B537" s="473" t="s">
        <v>5623</v>
      </c>
      <c r="C537" s="474" t="s">
        <v>1601</v>
      </c>
      <c r="D537" s="1366" t="s">
        <v>1873</v>
      </c>
      <c r="E537" s="1367" t="s">
        <v>2778</v>
      </c>
      <c r="F537" s="1367" t="s">
        <v>2779</v>
      </c>
      <c r="G537" s="1368" t="s">
        <v>6068</v>
      </c>
      <c r="H537" s="1347" t="s">
        <v>1328</v>
      </c>
      <c r="I537" s="476" t="s">
        <v>1546</v>
      </c>
      <c r="J537" s="475" t="s">
        <v>1880</v>
      </c>
      <c r="K537" s="475"/>
      <c r="L537" s="475"/>
      <c r="M537" s="477"/>
      <c r="N537" s="478" t="s">
        <v>6403</v>
      </c>
      <c r="O537" s="1770" t="str">
        <f t="shared" si="334"/>
        <v>Effacement malveillant de programmes de services bureautiques communs, par un membre du personnel d'exploitation</v>
      </c>
      <c r="P537" s="1610">
        <v>1</v>
      </c>
      <c r="Q537" s="1601" t="s">
        <v>1299</v>
      </c>
      <c r="R537" s="1601" t="s">
        <v>1873</v>
      </c>
      <c r="S537" s="1595" t="str">
        <f>Classif!C24</f>
        <v/>
      </c>
      <c r="T537" s="1595">
        <f t="shared" si="325"/>
        <v>2</v>
      </c>
      <c r="U537" s="1744" t="str">
        <f t="shared" si="326"/>
        <v/>
      </c>
      <c r="V537" s="1771">
        <f>MIN(S08F02,S08F03)</f>
        <v>1</v>
      </c>
      <c r="W537" s="1771">
        <v>1</v>
      </c>
      <c r="X537" s="1771">
        <v>1</v>
      </c>
      <c r="Y537" s="1771">
        <f t="shared" si="327"/>
        <v>1</v>
      </c>
      <c r="Z537" s="1772">
        <v>0</v>
      </c>
      <c r="AA537" s="1773"/>
      <c r="AB537" s="1769"/>
      <c r="AC537" s="1769"/>
      <c r="AD537" s="1595" t="str">
        <f t="shared" si="323"/>
        <v/>
      </c>
      <c r="AE537" s="1601">
        <f t="shared" si="328"/>
        <v>2</v>
      </c>
      <c r="AF537" s="1595" t="str">
        <f t="shared" si="329"/>
        <v/>
      </c>
      <c r="AG537" s="1748"/>
      <c r="AH537" s="1749" t="str">
        <f t="shared" si="324"/>
        <v/>
      </c>
      <c r="AI537" s="1637" t="s">
        <v>6495</v>
      </c>
      <c r="AJ537" s="1636"/>
      <c r="AK537" s="1635"/>
      <c r="AL537" s="1617" t="s">
        <v>4954</v>
      </c>
      <c r="AM537" s="247" t="str">
        <f t="shared" si="317"/>
        <v/>
      </c>
      <c r="AN537" s="247" t="str">
        <f t="shared" si="318"/>
        <v/>
      </c>
      <c r="AO537" s="247" t="str">
        <f t="shared" si="319"/>
        <v/>
      </c>
      <c r="AP537" s="247" t="str">
        <f t="shared" si="320"/>
        <v/>
      </c>
      <c r="AQ537" s="42">
        <f t="shared" si="330"/>
        <v>1</v>
      </c>
      <c r="AR537" s="42">
        <f t="shared" si="331"/>
        <v>1</v>
      </c>
      <c r="AS537" s="42">
        <f t="shared" si="332"/>
        <v>1</v>
      </c>
      <c r="AT537" s="42">
        <f t="shared" si="333"/>
        <v>1</v>
      </c>
      <c r="AU537" s="247" t="str">
        <f t="shared" si="321"/>
        <v/>
      </c>
      <c r="AV537" s="247" t="str">
        <f t="shared" si="322"/>
        <v/>
      </c>
    </row>
    <row r="538" spans="1:48" ht="24" x14ac:dyDescent="0.2">
      <c r="A538" s="428" t="s">
        <v>285</v>
      </c>
      <c r="B538" s="473" t="s">
        <v>5623</v>
      </c>
      <c r="C538" s="474" t="s">
        <v>1601</v>
      </c>
      <c r="D538" s="1366" t="s">
        <v>1873</v>
      </c>
      <c r="E538" s="1367" t="s">
        <v>2778</v>
      </c>
      <c r="F538" s="1367" t="s">
        <v>2779</v>
      </c>
      <c r="G538" s="1368" t="s">
        <v>6068</v>
      </c>
      <c r="H538" s="1347" t="s">
        <v>1328</v>
      </c>
      <c r="I538" s="476" t="s">
        <v>1546</v>
      </c>
      <c r="J538" s="475" t="s">
        <v>1880</v>
      </c>
      <c r="K538" s="475"/>
      <c r="L538" s="475"/>
      <c r="M538" s="477"/>
      <c r="N538" s="478" t="s">
        <v>1299</v>
      </c>
      <c r="O538" s="1770" t="str">
        <f t="shared" si="334"/>
        <v>Effacement malveillant de programmes de services bureautiques communs, par un membre du personnel de maintenance</v>
      </c>
      <c r="P538" s="1610">
        <v>1</v>
      </c>
      <c r="Q538" s="1601" t="s">
        <v>1299</v>
      </c>
      <c r="R538" s="1601" t="s">
        <v>1873</v>
      </c>
      <c r="S538" s="1595" t="str">
        <f>Classif!C24</f>
        <v/>
      </c>
      <c r="T538" s="1595">
        <f t="shared" si="325"/>
        <v>2</v>
      </c>
      <c r="U538" s="1744" t="str">
        <f t="shared" si="326"/>
        <v/>
      </c>
      <c r="V538" s="1771">
        <f>MIN(S07C02,S08E02)</f>
        <v>1</v>
      </c>
      <c r="W538" s="1771">
        <v>1</v>
      </c>
      <c r="X538" s="1771">
        <v>1</v>
      </c>
      <c r="Y538" s="1771">
        <f t="shared" si="327"/>
        <v>1</v>
      </c>
      <c r="Z538" s="1772">
        <v>0</v>
      </c>
      <c r="AA538" s="1773"/>
      <c r="AB538" s="1769"/>
      <c r="AC538" s="1769"/>
      <c r="AD538" s="1595" t="str">
        <f t="shared" si="323"/>
        <v/>
      </c>
      <c r="AE538" s="1601">
        <f t="shared" si="328"/>
        <v>2</v>
      </c>
      <c r="AF538" s="1595" t="str">
        <f t="shared" si="329"/>
        <v/>
      </c>
      <c r="AG538" s="1748"/>
      <c r="AH538" s="1749" t="str">
        <f t="shared" si="324"/>
        <v/>
      </c>
      <c r="AI538" s="1620" t="s">
        <v>6491</v>
      </c>
      <c r="AJ538" s="1616"/>
      <c r="AK538" s="1616"/>
      <c r="AL538" s="1617" t="s">
        <v>4954</v>
      </c>
      <c r="AM538" s="247" t="str">
        <f t="shared" si="317"/>
        <v/>
      </c>
      <c r="AN538" s="247" t="str">
        <f t="shared" si="318"/>
        <v/>
      </c>
      <c r="AO538" s="247" t="str">
        <f t="shared" si="319"/>
        <v/>
      </c>
      <c r="AP538" s="247" t="str">
        <f t="shared" si="320"/>
        <v/>
      </c>
      <c r="AQ538" s="42">
        <f t="shared" si="330"/>
        <v>1</v>
      </c>
      <c r="AR538" s="42">
        <f t="shared" si="331"/>
        <v>1</v>
      </c>
      <c r="AS538" s="42">
        <f t="shared" si="332"/>
        <v>1</v>
      </c>
      <c r="AT538" s="42">
        <f t="shared" si="333"/>
        <v>1</v>
      </c>
      <c r="AU538" s="247" t="str">
        <f t="shared" si="321"/>
        <v/>
      </c>
      <c r="AV538" s="247" t="str">
        <f t="shared" si="322"/>
        <v/>
      </c>
    </row>
    <row r="539" spans="1:48" ht="24" x14ac:dyDescent="0.2">
      <c r="A539" s="428" t="s">
        <v>286</v>
      </c>
      <c r="B539" s="473" t="s">
        <v>2602</v>
      </c>
      <c r="C539" s="474" t="s">
        <v>1601</v>
      </c>
      <c r="D539" s="1366" t="s">
        <v>1873</v>
      </c>
      <c r="E539" s="1367" t="s">
        <v>2778</v>
      </c>
      <c r="F539" s="1367" t="s">
        <v>2779</v>
      </c>
      <c r="G539" s="1368" t="s">
        <v>3739</v>
      </c>
      <c r="H539" s="1347" t="s">
        <v>1328</v>
      </c>
      <c r="I539" s="476" t="s">
        <v>1550</v>
      </c>
      <c r="J539" s="475"/>
      <c r="K539" s="475"/>
      <c r="L539" s="475"/>
      <c r="M539" s="477"/>
      <c r="N539" s="478" t="s">
        <v>6403</v>
      </c>
      <c r="O539" s="1770" t="str">
        <f t="shared" si="334"/>
        <v>Effacement malveillant total de fichiers et fichiers de sauvegarde de services bureautiques communs, par un membre du personnel d'exploitation</v>
      </c>
      <c r="P539" s="1610">
        <v>1</v>
      </c>
      <c r="Q539" s="1601" t="s">
        <v>1299</v>
      </c>
      <c r="R539" s="1601" t="s">
        <v>1873</v>
      </c>
      <c r="S539" s="1595" t="str">
        <f>Classif!C24</f>
        <v/>
      </c>
      <c r="T539" s="1595">
        <f t="shared" si="325"/>
        <v>2</v>
      </c>
      <c r="U539" s="1744" t="str">
        <f t="shared" si="326"/>
        <v/>
      </c>
      <c r="V539" s="1771">
        <f>MIN(S08F02,S08F03)</f>
        <v>1</v>
      </c>
      <c r="W539" s="1771">
        <v>1</v>
      </c>
      <c r="X539" s="1771">
        <v>1</v>
      </c>
      <c r="Y539" s="1771">
        <v>1</v>
      </c>
      <c r="Z539" s="1772">
        <v>0</v>
      </c>
      <c r="AA539" s="1773"/>
      <c r="AB539" s="1769"/>
      <c r="AC539" s="1769"/>
      <c r="AD539" s="1595" t="str">
        <f t="shared" si="323"/>
        <v/>
      </c>
      <c r="AE539" s="1601">
        <f t="shared" si="328"/>
        <v>2</v>
      </c>
      <c r="AF539" s="1595" t="str">
        <f t="shared" si="329"/>
        <v/>
      </c>
      <c r="AG539" s="1748"/>
      <c r="AH539" s="1749" t="str">
        <f t="shared" si="324"/>
        <v/>
      </c>
      <c r="AI539" s="1637" t="s">
        <v>6495</v>
      </c>
      <c r="AJ539" s="1636"/>
      <c r="AK539" s="1635"/>
      <c r="AL539" s="1617"/>
      <c r="AM539" s="247" t="str">
        <f t="shared" si="317"/>
        <v/>
      </c>
      <c r="AN539" s="247" t="str">
        <f t="shared" si="318"/>
        <v/>
      </c>
      <c r="AO539" s="247" t="str">
        <f t="shared" si="319"/>
        <v/>
      </c>
      <c r="AP539" s="247" t="str">
        <f t="shared" si="320"/>
        <v/>
      </c>
      <c r="AQ539" s="42">
        <f t="shared" si="330"/>
        <v>1</v>
      </c>
      <c r="AR539" s="42">
        <f t="shared" si="331"/>
        <v>1</v>
      </c>
      <c r="AS539" s="42">
        <f t="shared" si="332"/>
        <v>1</v>
      </c>
      <c r="AT539" s="42">
        <f t="shared" si="333"/>
        <v>1</v>
      </c>
      <c r="AU539" s="247" t="str">
        <f t="shared" si="321"/>
        <v/>
      </c>
      <c r="AV539" s="247" t="str">
        <f t="shared" si="322"/>
        <v/>
      </c>
    </row>
    <row r="540" spans="1:48" ht="24" x14ac:dyDescent="0.2">
      <c r="A540" s="428" t="s">
        <v>287</v>
      </c>
      <c r="B540" s="473" t="s">
        <v>5631</v>
      </c>
      <c r="C540" s="474" t="s">
        <v>1601</v>
      </c>
      <c r="D540" s="1366" t="s">
        <v>1873</v>
      </c>
      <c r="E540" s="1367" t="s">
        <v>2778</v>
      </c>
      <c r="F540" s="1367" t="s">
        <v>5162</v>
      </c>
      <c r="G540" s="1368" t="s">
        <v>5557</v>
      </c>
      <c r="H540" s="1347" t="s">
        <v>1327</v>
      </c>
      <c r="I540" s="476" t="s">
        <v>1545</v>
      </c>
      <c r="J540" s="475"/>
      <c r="K540" s="475"/>
      <c r="L540" s="475"/>
      <c r="M540" s="477" t="s">
        <v>5421</v>
      </c>
      <c r="N540" s="478" t="s">
        <v>1299</v>
      </c>
      <c r="O540" s="1770" t="str">
        <f>VLOOKUP(B540,code_famille_scénario,2)&amp;VLOOKUP(C540,code_actif,2)&amp;" due "&amp;VLOOKUP(I540,code_event,2)&amp;", "&amp;VLOOKUP(M540,code_process,2)</f>
        <v>Pollution accidentelle de programmes de services bureautiques communs due à une erreur de procédure, lors d'une opération de maintenance logicielle</v>
      </c>
      <c r="P540" s="1610">
        <v>1</v>
      </c>
      <c r="Q540" s="1601" t="s">
        <v>1431</v>
      </c>
      <c r="R540" s="1601" t="s">
        <v>1873</v>
      </c>
      <c r="S540" s="1595" t="str">
        <f>Classif!C24</f>
        <v/>
      </c>
      <c r="T540" s="1595">
        <f t="shared" si="325"/>
        <v>3</v>
      </c>
      <c r="U540" s="1744" t="str">
        <f t="shared" si="326"/>
        <v/>
      </c>
      <c r="V540" s="1771">
        <v>1</v>
      </c>
      <c r="W540" s="1771">
        <f>S10B05</f>
        <v>1</v>
      </c>
      <c r="X540" s="1771">
        <v>1</v>
      </c>
      <c r="Y540" s="1771">
        <f t="shared" ref="Y540:Y565" si="335">S08D04</f>
        <v>1</v>
      </c>
      <c r="Z540" s="1772">
        <v>0</v>
      </c>
      <c r="AA540" s="1773"/>
      <c r="AB540" s="1769"/>
      <c r="AC540" s="1769"/>
      <c r="AD540" s="1595" t="str">
        <f t="shared" si="323"/>
        <v/>
      </c>
      <c r="AE540" s="1601">
        <f t="shared" si="328"/>
        <v>3</v>
      </c>
      <c r="AF540" s="1595" t="str">
        <f t="shared" si="329"/>
        <v/>
      </c>
      <c r="AG540" s="1748"/>
      <c r="AH540" s="1749" t="str">
        <f t="shared" si="324"/>
        <v/>
      </c>
      <c r="AI540" s="1634"/>
      <c r="AJ540" s="1616" t="s">
        <v>3224</v>
      </c>
      <c r="AK540" s="1616"/>
      <c r="AL540" s="1617" t="s">
        <v>4954</v>
      </c>
      <c r="AM540" s="247" t="str">
        <f t="shared" si="317"/>
        <v/>
      </c>
      <c r="AN540" s="247" t="str">
        <f t="shared" si="318"/>
        <v/>
      </c>
      <c r="AO540" s="247" t="str">
        <f t="shared" si="319"/>
        <v/>
      </c>
      <c r="AP540" s="247" t="str">
        <f t="shared" si="320"/>
        <v/>
      </c>
      <c r="AQ540" s="42">
        <f t="shared" si="330"/>
        <v>1</v>
      </c>
      <c r="AR540" s="42">
        <f t="shared" si="331"/>
        <v>1</v>
      </c>
      <c r="AS540" s="42">
        <f t="shared" si="332"/>
        <v>1</v>
      </c>
      <c r="AT540" s="42">
        <f t="shared" si="333"/>
        <v>1</v>
      </c>
      <c r="AU540" s="247" t="str">
        <f t="shared" si="321"/>
        <v/>
      </c>
      <c r="AV540" s="247" t="str">
        <f t="shared" si="322"/>
        <v/>
      </c>
    </row>
    <row r="541" spans="1:48" ht="24" x14ac:dyDescent="0.2">
      <c r="A541" s="428" t="s">
        <v>288</v>
      </c>
      <c r="B541" s="473" t="s">
        <v>5631</v>
      </c>
      <c r="C541" s="474" t="s">
        <v>1601</v>
      </c>
      <c r="D541" s="1366" t="s">
        <v>1873</v>
      </c>
      <c r="E541" s="1367" t="s">
        <v>2778</v>
      </c>
      <c r="F541" s="1367" t="s">
        <v>5162</v>
      </c>
      <c r="G541" s="1368" t="s">
        <v>5557</v>
      </c>
      <c r="H541" s="1347" t="s">
        <v>1327</v>
      </c>
      <c r="I541" s="476" t="s">
        <v>1545</v>
      </c>
      <c r="J541" s="475"/>
      <c r="K541" s="475"/>
      <c r="L541" s="475"/>
      <c r="M541" s="477" t="s">
        <v>5422</v>
      </c>
      <c r="N541" s="478" t="s">
        <v>1299</v>
      </c>
      <c r="O541" s="1770" t="str">
        <f>VLOOKUP(B541,code_famille_scénario,2)&amp;VLOOKUP(C541,code_actif,2)&amp;" due "&amp;VLOOKUP(I541,code_event,2)&amp;", "&amp;VLOOKUP(M541,code_process,2)</f>
        <v>Pollution accidentelle de programmes de services bureautiques communs due à une erreur de procédure, lors d'une opération de maintenance à chaud</v>
      </c>
      <c r="P541" s="1610">
        <v>1</v>
      </c>
      <c r="Q541" s="1601" t="s">
        <v>1431</v>
      </c>
      <c r="R541" s="1601" t="s">
        <v>1873</v>
      </c>
      <c r="S541" s="1595" t="str">
        <f>Classif!C24</f>
        <v/>
      </c>
      <c r="T541" s="1595">
        <f t="shared" si="325"/>
        <v>3</v>
      </c>
      <c r="U541" s="1744" t="str">
        <f t="shared" si="326"/>
        <v/>
      </c>
      <c r="V541" s="1771">
        <v>1</v>
      </c>
      <c r="W541" s="1771">
        <f>S10B06</f>
        <v>1</v>
      </c>
      <c r="X541" s="1771">
        <v>1</v>
      </c>
      <c r="Y541" s="1771">
        <f t="shared" si="335"/>
        <v>1</v>
      </c>
      <c r="Z541" s="1772">
        <v>0</v>
      </c>
      <c r="AA541" s="1773"/>
      <c r="AB541" s="1769"/>
      <c r="AC541" s="1769"/>
      <c r="AD541" s="1595" t="str">
        <f t="shared" si="323"/>
        <v/>
      </c>
      <c r="AE541" s="1601">
        <f t="shared" si="328"/>
        <v>3</v>
      </c>
      <c r="AF541" s="1595" t="str">
        <f t="shared" si="329"/>
        <v/>
      </c>
      <c r="AG541" s="1748"/>
      <c r="AH541" s="1749" t="str">
        <f t="shared" si="324"/>
        <v/>
      </c>
      <c r="AI541" s="1634"/>
      <c r="AJ541" s="1616" t="s">
        <v>3226</v>
      </c>
      <c r="AK541" s="1616"/>
      <c r="AL541" s="1617" t="s">
        <v>4954</v>
      </c>
      <c r="AM541" s="247" t="str">
        <f t="shared" si="317"/>
        <v/>
      </c>
      <c r="AN541" s="247" t="str">
        <f t="shared" si="318"/>
        <v/>
      </c>
      <c r="AO541" s="247" t="str">
        <f t="shared" si="319"/>
        <v/>
      </c>
      <c r="AP541" s="247" t="str">
        <f t="shared" si="320"/>
        <v/>
      </c>
      <c r="AQ541" s="42">
        <f t="shared" si="330"/>
        <v>1</v>
      </c>
      <c r="AR541" s="42">
        <f t="shared" si="331"/>
        <v>1</v>
      </c>
      <c r="AS541" s="42">
        <f t="shared" si="332"/>
        <v>1</v>
      </c>
      <c r="AT541" s="42">
        <f t="shared" si="333"/>
        <v>1</v>
      </c>
      <c r="AU541" s="247" t="str">
        <f t="shared" si="321"/>
        <v/>
      </c>
      <c r="AV541" s="247" t="str">
        <f t="shared" si="322"/>
        <v/>
      </c>
    </row>
    <row r="542" spans="1:48" ht="24" x14ac:dyDescent="0.2">
      <c r="A542" s="428" t="s">
        <v>289</v>
      </c>
      <c r="B542" s="473" t="s">
        <v>5631</v>
      </c>
      <c r="C542" s="474" t="s">
        <v>1601</v>
      </c>
      <c r="D542" s="1366" t="s">
        <v>1873</v>
      </c>
      <c r="E542" s="1367" t="s">
        <v>2778</v>
      </c>
      <c r="F542" s="1367" t="s">
        <v>5162</v>
      </c>
      <c r="G542" s="1368" t="s">
        <v>5557</v>
      </c>
      <c r="H542" s="1347" t="s">
        <v>1465</v>
      </c>
      <c r="I542" s="476" t="s">
        <v>1880</v>
      </c>
      <c r="J542" s="475"/>
      <c r="K542" s="475"/>
      <c r="L542" s="475"/>
      <c r="M542" s="477"/>
      <c r="N542" s="478"/>
      <c r="O542" s="1770" t="str">
        <f>VLOOKUP(B542,code_famille_scénario,2)&amp;VLOOKUP(C542,code_actif,2)&amp;" due "&amp;VLOOKUP(I542,code_event,2)</f>
        <v>Pollution accidentelle de programmes de services bureautiques communs due à un incident d'exploitation</v>
      </c>
      <c r="P542" s="1610">
        <v>1</v>
      </c>
      <c r="Q542" s="1601" t="s">
        <v>1431</v>
      </c>
      <c r="R542" s="1601" t="s">
        <v>1873</v>
      </c>
      <c r="S542" s="1595" t="str">
        <f>Classif!C24</f>
        <v/>
      </c>
      <c r="T542" s="1595">
        <f t="shared" si="325"/>
        <v>3</v>
      </c>
      <c r="U542" s="1744" t="str">
        <f t="shared" si="326"/>
        <v/>
      </c>
      <c r="V542" s="1771">
        <v>1</v>
      </c>
      <c r="W542" s="1771">
        <f>S08D03</f>
        <v>1</v>
      </c>
      <c r="X542" s="1771">
        <f>S08E02</f>
        <v>1</v>
      </c>
      <c r="Y542" s="1771">
        <f t="shared" si="335"/>
        <v>1</v>
      </c>
      <c r="Z542" s="1772">
        <v>0</v>
      </c>
      <c r="AA542" s="1773"/>
      <c r="AB542" s="1769"/>
      <c r="AC542" s="1769"/>
      <c r="AD542" s="1595" t="str">
        <f t="shared" si="323"/>
        <v/>
      </c>
      <c r="AE542" s="1601">
        <f t="shared" si="328"/>
        <v>3</v>
      </c>
      <c r="AF542" s="1595" t="str">
        <f t="shared" si="329"/>
        <v/>
      </c>
      <c r="AG542" s="1748"/>
      <c r="AH542" s="1749" t="str">
        <f t="shared" si="324"/>
        <v/>
      </c>
      <c r="AI542" s="1634"/>
      <c r="AJ542" s="1616" t="s">
        <v>1663</v>
      </c>
      <c r="AK542" s="1616" t="s">
        <v>1498</v>
      </c>
      <c r="AL542" s="1617" t="s">
        <v>4954</v>
      </c>
      <c r="AM542" s="247" t="str">
        <f t="shared" si="317"/>
        <v/>
      </c>
      <c r="AN542" s="247" t="str">
        <f t="shared" si="318"/>
        <v/>
      </c>
      <c r="AO542" s="247" t="str">
        <f t="shared" si="319"/>
        <v/>
      </c>
      <c r="AP542" s="247" t="str">
        <f t="shared" si="320"/>
        <v/>
      </c>
      <c r="AQ542" s="42">
        <f t="shared" si="330"/>
        <v>1</v>
      </c>
      <c r="AR542" s="42">
        <f t="shared" si="331"/>
        <v>1</v>
      </c>
      <c r="AS542" s="42">
        <f t="shared" si="332"/>
        <v>1</v>
      </c>
      <c r="AT542" s="42">
        <f t="shared" si="333"/>
        <v>1</v>
      </c>
      <c r="AU542" s="247" t="str">
        <f t="shared" si="321"/>
        <v/>
      </c>
      <c r="AV542" s="247" t="str">
        <f t="shared" si="322"/>
        <v/>
      </c>
    </row>
    <row r="543" spans="1:48" ht="33.75" x14ac:dyDescent="0.2">
      <c r="A543" s="428" t="s">
        <v>290</v>
      </c>
      <c r="B543" s="473" t="s">
        <v>5576</v>
      </c>
      <c r="C543" s="474" t="s">
        <v>1601</v>
      </c>
      <c r="D543" s="1366" t="s">
        <v>1873</v>
      </c>
      <c r="E543" s="1367" t="s">
        <v>2778</v>
      </c>
      <c r="F543" s="1367" t="s">
        <v>5162</v>
      </c>
      <c r="G543" s="1368" t="s">
        <v>5557</v>
      </c>
      <c r="H543" s="1347" t="s">
        <v>1328</v>
      </c>
      <c r="I543" s="476" t="s">
        <v>1548</v>
      </c>
      <c r="J543" s="475"/>
      <c r="K543" s="475"/>
      <c r="L543" s="475"/>
      <c r="M543" s="477" t="s">
        <v>1880</v>
      </c>
      <c r="N543" s="478" t="s">
        <v>1302</v>
      </c>
      <c r="O543" s="1770" t="str">
        <f>VLOOKUP(B543,code_famille_scénario,2)&amp;VLOOKUP(C543,code_actif,2)&amp;" "&amp;VLOOKUP(M543,code_process,2)&amp;" par "&amp;VLOOKUP(N543,code_acteur,2)</f>
        <v>Pollution malveillante de programmes de services bureautiques communs en exploitation par un utilisateur autorisé illégitime</v>
      </c>
      <c r="P543" s="1610">
        <v>1</v>
      </c>
      <c r="Q543" s="1601" t="s">
        <v>1299</v>
      </c>
      <c r="R543" s="1601" t="s">
        <v>1873</v>
      </c>
      <c r="S543" s="1595" t="str">
        <f>Classif!C24</f>
        <v/>
      </c>
      <c r="T543" s="1595">
        <f t="shared" si="325"/>
        <v>3</v>
      </c>
      <c r="U543" s="1744" t="str">
        <f t="shared" si="326"/>
        <v/>
      </c>
      <c r="V543" s="1771">
        <v>1</v>
      </c>
      <c r="W543" s="1771">
        <f>MAX(MIN(S07A01,S07A02,S08F01),MIN(S09A01,S09A02))</f>
        <v>1</v>
      </c>
      <c r="X543" s="1771">
        <v>1</v>
      </c>
      <c r="Y543" s="1771">
        <f t="shared" si="335"/>
        <v>1</v>
      </c>
      <c r="Z543" s="1772">
        <v>0</v>
      </c>
      <c r="AA543" s="1773"/>
      <c r="AB543" s="1769"/>
      <c r="AC543" s="1769"/>
      <c r="AD543" s="1595" t="str">
        <f t="shared" si="323"/>
        <v/>
      </c>
      <c r="AE543" s="1601">
        <f t="shared" si="328"/>
        <v>3</v>
      </c>
      <c r="AF543" s="1595" t="str">
        <f t="shared" si="329"/>
        <v/>
      </c>
      <c r="AG543" s="1748"/>
      <c r="AH543" s="1749" t="str">
        <f t="shared" si="324"/>
        <v/>
      </c>
      <c r="AI543" s="1620"/>
      <c r="AJ543" s="1616" t="s">
        <v>6283</v>
      </c>
      <c r="AK543" s="1616"/>
      <c r="AL543" s="1617" t="s">
        <v>4954</v>
      </c>
      <c r="AM543" s="247" t="str">
        <f t="shared" si="317"/>
        <v/>
      </c>
      <c r="AN543" s="247" t="str">
        <f t="shared" si="318"/>
        <v/>
      </c>
      <c r="AO543" s="247" t="str">
        <f t="shared" si="319"/>
        <v/>
      </c>
      <c r="AP543" s="247" t="str">
        <f t="shared" si="320"/>
        <v/>
      </c>
      <c r="AQ543" s="42">
        <f t="shared" si="330"/>
        <v>1</v>
      </c>
      <c r="AR543" s="42">
        <f t="shared" si="331"/>
        <v>1</v>
      </c>
      <c r="AS543" s="42">
        <f t="shared" si="332"/>
        <v>1</v>
      </c>
      <c r="AT543" s="42">
        <f t="shared" si="333"/>
        <v>1</v>
      </c>
      <c r="AU543" s="247" t="str">
        <f t="shared" si="321"/>
        <v/>
      </c>
      <c r="AV543" s="247" t="str">
        <f t="shared" si="322"/>
        <v/>
      </c>
    </row>
    <row r="544" spans="1:48" ht="33.75" x14ac:dyDescent="0.2">
      <c r="A544" s="428" t="s">
        <v>291</v>
      </c>
      <c r="B544" s="473" t="s">
        <v>5576</v>
      </c>
      <c r="C544" s="474" t="s">
        <v>1601</v>
      </c>
      <c r="D544" s="1366" t="s">
        <v>1873</v>
      </c>
      <c r="E544" s="1367" t="s">
        <v>2778</v>
      </c>
      <c r="F544" s="1367" t="s">
        <v>5162</v>
      </c>
      <c r="G544" s="1368" t="s">
        <v>5557</v>
      </c>
      <c r="H544" s="1347" t="s">
        <v>1328</v>
      </c>
      <c r="I544" s="476" t="s">
        <v>1548</v>
      </c>
      <c r="J544" s="475"/>
      <c r="K544" s="475"/>
      <c r="L544" s="475"/>
      <c r="M544" s="477" t="s">
        <v>1880</v>
      </c>
      <c r="N544" s="478" t="s">
        <v>1303</v>
      </c>
      <c r="O544" s="1770" t="str">
        <f>VLOOKUP(B544,code_famille_scénario,2)&amp;VLOOKUP(C544,code_actif,2)&amp;" "&amp;VLOOKUP(M544,code_process,2)&amp;" par "&amp;VLOOKUP(N544,code_acteur,2)</f>
        <v>Pollution malveillante de programmes de services bureautiques communs en exploitation par un utilisateur non autorisé</v>
      </c>
      <c r="P544" s="1610">
        <v>1</v>
      </c>
      <c r="Q544" s="1601" t="s">
        <v>1299</v>
      </c>
      <c r="R544" s="1601" t="s">
        <v>1873</v>
      </c>
      <c r="S544" s="1595" t="str">
        <f>Classif!C24</f>
        <v/>
      </c>
      <c r="T544" s="1595">
        <f t="shared" si="325"/>
        <v>3</v>
      </c>
      <c r="U544" s="1744" t="str">
        <f t="shared" si="326"/>
        <v/>
      </c>
      <c r="V544" s="1771">
        <v>1</v>
      </c>
      <c r="W544" s="1771">
        <f>MAX(MIN(S07A03,S07A04,S08F02),MIN(S09A03,S09A04))</f>
        <v>1</v>
      </c>
      <c r="X544" s="1771">
        <v>1</v>
      </c>
      <c r="Y544" s="1771">
        <f t="shared" si="335"/>
        <v>1</v>
      </c>
      <c r="Z544" s="1772">
        <v>0</v>
      </c>
      <c r="AA544" s="1773"/>
      <c r="AB544" s="1769"/>
      <c r="AC544" s="1769"/>
      <c r="AD544" s="1595" t="str">
        <f t="shared" si="323"/>
        <v/>
      </c>
      <c r="AE544" s="1601">
        <f t="shared" si="328"/>
        <v>3</v>
      </c>
      <c r="AF544" s="1595" t="str">
        <f t="shared" si="329"/>
        <v/>
      </c>
      <c r="AG544" s="1748"/>
      <c r="AH544" s="1749" t="str">
        <f t="shared" si="324"/>
        <v/>
      </c>
      <c r="AI544" s="1620"/>
      <c r="AJ544" s="1616" t="s">
        <v>5180</v>
      </c>
      <c r="AK544" s="1616"/>
      <c r="AL544" s="1617" t="s">
        <v>4954</v>
      </c>
      <c r="AM544" s="247" t="str">
        <f t="shared" si="317"/>
        <v/>
      </c>
      <c r="AN544" s="247" t="str">
        <f t="shared" si="318"/>
        <v/>
      </c>
      <c r="AO544" s="247" t="str">
        <f t="shared" si="319"/>
        <v/>
      </c>
      <c r="AP544" s="247" t="str">
        <f t="shared" si="320"/>
        <v/>
      </c>
      <c r="AQ544" s="42">
        <f t="shared" si="330"/>
        <v>1</v>
      </c>
      <c r="AR544" s="42">
        <f t="shared" si="331"/>
        <v>1</v>
      </c>
      <c r="AS544" s="42">
        <f t="shared" si="332"/>
        <v>1</v>
      </c>
      <c r="AT544" s="42">
        <f t="shared" si="333"/>
        <v>1</v>
      </c>
      <c r="AU544" s="247" t="str">
        <f t="shared" si="321"/>
        <v/>
      </c>
      <c r="AV544" s="247" t="str">
        <f t="shared" si="322"/>
        <v/>
      </c>
    </row>
    <row r="545" spans="1:48" ht="24" x14ac:dyDescent="0.2">
      <c r="A545" s="428" t="s">
        <v>292</v>
      </c>
      <c r="B545" s="473" t="s">
        <v>5576</v>
      </c>
      <c r="C545" s="474" t="s">
        <v>1601</v>
      </c>
      <c r="D545" s="1366" t="s">
        <v>1873</v>
      </c>
      <c r="E545" s="1367" t="s">
        <v>2778</v>
      </c>
      <c r="F545" s="1367" t="s">
        <v>5162</v>
      </c>
      <c r="G545" s="1368" t="s">
        <v>5557</v>
      </c>
      <c r="H545" s="1347" t="s">
        <v>1328</v>
      </c>
      <c r="I545" s="476" t="s">
        <v>1548</v>
      </c>
      <c r="J545" s="475"/>
      <c r="K545" s="475"/>
      <c r="L545" s="475"/>
      <c r="M545" s="477" t="s">
        <v>1880</v>
      </c>
      <c r="N545" s="478" t="s">
        <v>6403</v>
      </c>
      <c r="O545" s="1770" t="str">
        <f>VLOOKUP(B545,code_famille_scénario,2)&amp;VLOOKUP(C545,code_actif,2)&amp;" "&amp;VLOOKUP(M545,code_process,2)&amp;" par "&amp;VLOOKUP(N545,code_acteur,2)</f>
        <v>Pollution malveillante de programmes de services bureautiques communs en exploitation par un membre du personnel d'exploitation</v>
      </c>
      <c r="P545" s="1610">
        <v>1</v>
      </c>
      <c r="Q545" s="1601" t="s">
        <v>1299</v>
      </c>
      <c r="R545" s="1601" t="s">
        <v>1873</v>
      </c>
      <c r="S545" s="1595" t="str">
        <f>Classif!C24</f>
        <v/>
      </c>
      <c r="T545" s="1595">
        <f t="shared" si="325"/>
        <v>3</v>
      </c>
      <c r="U545" s="1744" t="str">
        <f t="shared" si="326"/>
        <v/>
      </c>
      <c r="V545" s="1771">
        <f>MIN(S08F02,S08F03)</f>
        <v>1</v>
      </c>
      <c r="W545" s="1771">
        <v>1</v>
      </c>
      <c r="X545" s="1771">
        <v>1</v>
      </c>
      <c r="Y545" s="1771">
        <f t="shared" si="335"/>
        <v>1</v>
      </c>
      <c r="Z545" s="1772">
        <v>0</v>
      </c>
      <c r="AA545" s="1773"/>
      <c r="AB545" s="1769"/>
      <c r="AC545" s="1769"/>
      <c r="AD545" s="1595" t="str">
        <f t="shared" si="323"/>
        <v/>
      </c>
      <c r="AE545" s="1601">
        <f t="shared" si="328"/>
        <v>3</v>
      </c>
      <c r="AF545" s="1595" t="str">
        <f t="shared" si="329"/>
        <v/>
      </c>
      <c r="AG545" s="1748"/>
      <c r="AH545" s="1749" t="str">
        <f t="shared" si="324"/>
        <v/>
      </c>
      <c r="AI545" s="1637" t="s">
        <v>6495</v>
      </c>
      <c r="AJ545" s="1616"/>
      <c r="AK545" s="1635"/>
      <c r="AL545" s="1617" t="s">
        <v>4954</v>
      </c>
      <c r="AM545" s="247" t="str">
        <f t="shared" si="317"/>
        <v/>
      </c>
      <c r="AN545" s="247" t="str">
        <f t="shared" si="318"/>
        <v/>
      </c>
      <c r="AO545" s="247" t="str">
        <f t="shared" si="319"/>
        <v/>
      </c>
      <c r="AP545" s="247" t="str">
        <f t="shared" si="320"/>
        <v/>
      </c>
      <c r="AQ545" s="42">
        <f t="shared" si="330"/>
        <v>1</v>
      </c>
      <c r="AR545" s="42">
        <f t="shared" si="331"/>
        <v>1</v>
      </c>
      <c r="AS545" s="42">
        <f t="shared" si="332"/>
        <v>1</v>
      </c>
      <c r="AT545" s="42">
        <f t="shared" si="333"/>
        <v>1</v>
      </c>
      <c r="AU545" s="247" t="str">
        <f t="shared" si="321"/>
        <v/>
      </c>
      <c r="AV545" s="247" t="str">
        <f t="shared" si="322"/>
        <v/>
      </c>
    </row>
    <row r="546" spans="1:48" ht="24" x14ac:dyDescent="0.2">
      <c r="A546" s="428" t="s">
        <v>293</v>
      </c>
      <c r="B546" s="473" t="s">
        <v>5576</v>
      </c>
      <c r="C546" s="474" t="s">
        <v>1601</v>
      </c>
      <c r="D546" s="1366" t="s">
        <v>1873</v>
      </c>
      <c r="E546" s="1367" t="s">
        <v>2778</v>
      </c>
      <c r="F546" s="1367" t="s">
        <v>5162</v>
      </c>
      <c r="G546" s="1368" t="s">
        <v>5557</v>
      </c>
      <c r="H546" s="1347" t="s">
        <v>1328</v>
      </c>
      <c r="I546" s="476" t="s">
        <v>1548</v>
      </c>
      <c r="J546" s="475"/>
      <c r="K546" s="475"/>
      <c r="L546" s="475"/>
      <c r="M546" s="477" t="s">
        <v>1880</v>
      </c>
      <c r="N546" s="478" t="s">
        <v>1299</v>
      </c>
      <c r="O546" s="1770" t="str">
        <f>VLOOKUP(B546,code_famille_scénario,2)&amp;VLOOKUP(C546,code_actif,2)&amp;" "&amp;VLOOKUP(M546,code_process,2)&amp;" par "&amp;VLOOKUP(N546,code_acteur,2)</f>
        <v>Pollution malveillante de programmes de services bureautiques communs en exploitation par un membre du personnel de maintenance</v>
      </c>
      <c r="P546" s="1610">
        <v>1</v>
      </c>
      <c r="Q546" s="1601" t="s">
        <v>1299</v>
      </c>
      <c r="R546" s="1601" t="s">
        <v>1873</v>
      </c>
      <c r="S546" s="1595" t="str">
        <f>Classif!C24</f>
        <v/>
      </c>
      <c r="T546" s="1595">
        <f t="shared" si="325"/>
        <v>3</v>
      </c>
      <c r="U546" s="1744" t="str">
        <f t="shared" si="326"/>
        <v/>
      </c>
      <c r="V546" s="1771">
        <f>MIN(S08F02,S08F03)</f>
        <v>1</v>
      </c>
      <c r="W546" s="1771">
        <f>S10B05</f>
        <v>1</v>
      </c>
      <c r="X546" s="1771">
        <v>1</v>
      </c>
      <c r="Y546" s="1771">
        <f t="shared" si="335"/>
        <v>1</v>
      </c>
      <c r="Z546" s="1772">
        <v>0</v>
      </c>
      <c r="AA546" s="1773"/>
      <c r="AB546" s="1769"/>
      <c r="AC546" s="1769"/>
      <c r="AD546" s="1595" t="str">
        <f t="shared" si="323"/>
        <v/>
      </c>
      <c r="AE546" s="1601">
        <f t="shared" si="328"/>
        <v>3</v>
      </c>
      <c r="AF546" s="1595" t="str">
        <f t="shared" si="329"/>
        <v/>
      </c>
      <c r="AG546" s="1748"/>
      <c r="AH546" s="1749" t="str">
        <f t="shared" si="324"/>
        <v/>
      </c>
      <c r="AI546" s="1637" t="s">
        <v>6495</v>
      </c>
      <c r="AJ546" s="1616" t="s">
        <v>3224</v>
      </c>
      <c r="AK546" s="1635"/>
      <c r="AL546" s="1617" t="s">
        <v>4954</v>
      </c>
      <c r="AM546" s="247" t="str">
        <f t="shared" si="317"/>
        <v/>
      </c>
      <c r="AN546" s="247" t="str">
        <f t="shared" si="318"/>
        <v/>
      </c>
      <c r="AO546" s="247" t="str">
        <f t="shared" si="319"/>
        <v/>
      </c>
      <c r="AP546" s="247" t="str">
        <f t="shared" si="320"/>
        <v/>
      </c>
      <c r="AQ546" s="42">
        <f t="shared" si="330"/>
        <v>1</v>
      </c>
      <c r="AR546" s="42">
        <f t="shared" si="331"/>
        <v>1</v>
      </c>
      <c r="AS546" s="42">
        <f t="shared" si="332"/>
        <v>1</v>
      </c>
      <c r="AT546" s="42">
        <f t="shared" si="333"/>
        <v>1</v>
      </c>
      <c r="AU546" s="247" t="str">
        <f t="shared" si="321"/>
        <v/>
      </c>
      <c r="AV546" s="247" t="str">
        <f t="shared" si="322"/>
        <v/>
      </c>
    </row>
    <row r="547" spans="1:48" ht="24" x14ac:dyDescent="0.2">
      <c r="A547" s="428" t="s">
        <v>294</v>
      </c>
      <c r="B547" s="473" t="s">
        <v>4476</v>
      </c>
      <c r="C547" s="474" t="s">
        <v>1601</v>
      </c>
      <c r="D547" s="1366" t="s">
        <v>1873</v>
      </c>
      <c r="E547" s="1369" t="s">
        <v>1861</v>
      </c>
      <c r="F547" s="1367" t="s">
        <v>1875</v>
      </c>
      <c r="G547" s="1368" t="s">
        <v>6070</v>
      </c>
      <c r="H547" s="1347" t="s">
        <v>3919</v>
      </c>
      <c r="I547" s="476" t="s">
        <v>1535</v>
      </c>
      <c r="J547" s="475" t="s">
        <v>1880</v>
      </c>
      <c r="K547" s="480"/>
      <c r="L547" s="480"/>
      <c r="M547" s="481"/>
      <c r="N547" s="482"/>
      <c r="O547" s="1770" t="str">
        <f>VLOOKUP(B547,code_famille_scénario,2)&amp;VLOOKUP(C547,code_actif,2)&amp;", "&amp;VLOOKUP(J547,Code_lieu,2)&amp;", suite "&amp;VLOOKUP(I547,code_event,2)</f>
        <v>Perte, par destruction accidentelle, de media support de programme de services bureautiques communs, dans les locaux de l'exploitation, suite à un incendie</v>
      </c>
      <c r="P547" s="1610">
        <v>1</v>
      </c>
      <c r="Q547" s="1601" t="s">
        <v>1431</v>
      </c>
      <c r="R547" s="1601" t="s">
        <v>1873</v>
      </c>
      <c r="S547" s="1595" t="str">
        <f>Classif!C24</f>
        <v/>
      </c>
      <c r="T547" s="1595">
        <f t="shared" si="325"/>
        <v>2</v>
      </c>
      <c r="U547" s="1744" t="str">
        <f t="shared" si="326"/>
        <v/>
      </c>
      <c r="V547" s="1771">
        <v>1</v>
      </c>
      <c r="W547" s="1771">
        <f>S03D01</f>
        <v>1</v>
      </c>
      <c r="X547" s="1771">
        <v>1</v>
      </c>
      <c r="Y547" s="1771">
        <f t="shared" si="335"/>
        <v>1</v>
      </c>
      <c r="Z547" s="1772">
        <v>0</v>
      </c>
      <c r="AA547" s="1773"/>
      <c r="AB547" s="1769"/>
      <c r="AC547" s="1769"/>
      <c r="AD547" s="1595" t="str">
        <f t="shared" si="323"/>
        <v/>
      </c>
      <c r="AE547" s="1601">
        <f t="shared" si="328"/>
        <v>2</v>
      </c>
      <c r="AF547" s="1595" t="str">
        <f t="shared" si="329"/>
        <v/>
      </c>
      <c r="AG547" s="1748"/>
      <c r="AH547" s="1749" t="str">
        <f t="shared" si="324"/>
        <v/>
      </c>
      <c r="AI547" s="1634"/>
      <c r="AJ547" s="1636" t="s">
        <v>5225</v>
      </c>
      <c r="AK547" s="1635"/>
      <c r="AL547" s="1617" t="s">
        <v>4954</v>
      </c>
      <c r="AM547" s="247" t="str">
        <f t="shared" si="317"/>
        <v/>
      </c>
      <c r="AN547" s="247" t="str">
        <f t="shared" si="318"/>
        <v/>
      </c>
      <c r="AO547" s="247" t="str">
        <f t="shared" si="319"/>
        <v/>
      </c>
      <c r="AP547" s="247" t="str">
        <f t="shared" si="320"/>
        <v/>
      </c>
      <c r="AQ547" s="42">
        <f t="shared" si="330"/>
        <v>1</v>
      </c>
      <c r="AR547" s="42">
        <f t="shared" si="331"/>
        <v>1</v>
      </c>
      <c r="AS547" s="42">
        <f t="shared" si="332"/>
        <v>1</v>
      </c>
      <c r="AT547" s="42">
        <f t="shared" si="333"/>
        <v>1</v>
      </c>
      <c r="AU547" s="247" t="str">
        <f t="shared" si="321"/>
        <v/>
      </c>
      <c r="AV547" s="247" t="str">
        <f t="shared" si="322"/>
        <v/>
      </c>
    </row>
    <row r="548" spans="1:48" ht="24" x14ac:dyDescent="0.2">
      <c r="A548" s="428" t="s">
        <v>295</v>
      </c>
      <c r="B548" s="473" t="s">
        <v>4476</v>
      </c>
      <c r="C548" s="474" t="s">
        <v>1601</v>
      </c>
      <c r="D548" s="1366" t="s">
        <v>1873</v>
      </c>
      <c r="E548" s="1369" t="s">
        <v>1861</v>
      </c>
      <c r="F548" s="1367" t="s">
        <v>1875</v>
      </c>
      <c r="G548" s="1368" t="s">
        <v>6070</v>
      </c>
      <c r="H548" s="1347" t="s">
        <v>3919</v>
      </c>
      <c r="I548" s="476" t="s">
        <v>1536</v>
      </c>
      <c r="J548" s="475" t="s">
        <v>1880</v>
      </c>
      <c r="K548" s="480"/>
      <c r="L548" s="480"/>
      <c r="M548" s="481"/>
      <c r="N548" s="482"/>
      <c r="O548" s="1770" t="str">
        <f>VLOOKUP(B548,code_famille_scénario,2)&amp;VLOOKUP(C548,code_actif,2)&amp;", "&amp;VLOOKUP(J548,Code_lieu,2)&amp;", suite "&amp;VLOOKUP(I548,code_event,2)</f>
        <v>Perte, par destruction accidentelle, de media support de programme de services bureautiques communs, dans les locaux de l'exploitation, suite à une inondation</v>
      </c>
      <c r="P548" s="1610">
        <v>1</v>
      </c>
      <c r="Q548" s="1601" t="s">
        <v>1431</v>
      </c>
      <c r="R548" s="1601" t="s">
        <v>1873</v>
      </c>
      <c r="S548" s="1595" t="str">
        <f>Classif!C24</f>
        <v/>
      </c>
      <c r="T548" s="1595">
        <f t="shared" si="325"/>
        <v>2</v>
      </c>
      <c r="U548" s="1744" t="str">
        <f t="shared" si="326"/>
        <v/>
      </c>
      <c r="V548" s="1771">
        <v>1</v>
      </c>
      <c r="W548" s="1771">
        <v>1</v>
      </c>
      <c r="X548" s="1771">
        <v>1</v>
      </c>
      <c r="Y548" s="1771">
        <f t="shared" si="335"/>
        <v>1</v>
      </c>
      <c r="Z548" s="1772">
        <v>0</v>
      </c>
      <c r="AA548" s="1773"/>
      <c r="AB548" s="1769"/>
      <c r="AC548" s="1769"/>
      <c r="AD548" s="1595" t="str">
        <f t="shared" si="323"/>
        <v/>
      </c>
      <c r="AE548" s="1601">
        <f t="shared" si="328"/>
        <v>2</v>
      </c>
      <c r="AF548" s="1595" t="str">
        <f t="shared" si="329"/>
        <v/>
      </c>
      <c r="AG548" s="1748"/>
      <c r="AH548" s="1749" t="str">
        <f t="shared" si="324"/>
        <v/>
      </c>
      <c r="AI548" s="1634"/>
      <c r="AJ548" s="1636"/>
      <c r="AK548" s="1635"/>
      <c r="AL548" s="1617" t="s">
        <v>4954</v>
      </c>
      <c r="AM548" s="247" t="str">
        <f t="shared" si="317"/>
        <v/>
      </c>
      <c r="AN548" s="247" t="str">
        <f t="shared" si="318"/>
        <v/>
      </c>
      <c r="AO548" s="247" t="str">
        <f t="shared" si="319"/>
        <v/>
      </c>
      <c r="AP548" s="247" t="str">
        <f t="shared" si="320"/>
        <v/>
      </c>
      <c r="AQ548" s="42">
        <f t="shared" si="330"/>
        <v>1</v>
      </c>
      <c r="AR548" s="42">
        <f t="shared" si="331"/>
        <v>1</v>
      </c>
      <c r="AS548" s="42">
        <f t="shared" si="332"/>
        <v>1</v>
      </c>
      <c r="AT548" s="42">
        <f t="shared" si="333"/>
        <v>1</v>
      </c>
      <c r="AU548" s="247" t="str">
        <f t="shared" si="321"/>
        <v/>
      </c>
      <c r="AV548" s="247" t="str">
        <f t="shared" si="322"/>
        <v/>
      </c>
    </row>
    <row r="549" spans="1:48" ht="24" x14ac:dyDescent="0.2">
      <c r="A549" s="428" t="s">
        <v>296</v>
      </c>
      <c r="B549" s="473" t="s">
        <v>4476</v>
      </c>
      <c r="C549" s="474" t="s">
        <v>1601</v>
      </c>
      <c r="D549" s="1366" t="s">
        <v>1873</v>
      </c>
      <c r="E549" s="1369" t="s">
        <v>1861</v>
      </c>
      <c r="F549" s="1367" t="s">
        <v>1875</v>
      </c>
      <c r="G549" s="1368" t="s">
        <v>6070</v>
      </c>
      <c r="H549" s="1347" t="s">
        <v>3919</v>
      </c>
      <c r="I549" s="476" t="s">
        <v>1535</v>
      </c>
      <c r="J549" s="475" t="s">
        <v>1876</v>
      </c>
      <c r="K549" s="480"/>
      <c r="L549" s="480"/>
      <c r="M549" s="481"/>
      <c r="N549" s="482"/>
      <c r="O549" s="1770" t="str">
        <f>VLOOKUP(B549,code_famille_scénario,2)&amp;VLOOKUP(C549,code_actif,2)&amp;", "&amp;VLOOKUP(J549,Code_lieu,2)&amp;", suite "&amp;VLOOKUP(I549,code_event,2)</f>
        <v>Perte, par destruction accidentelle, de media support de programme de services bureautiques communs, en médiathèque, suite à un incendie</v>
      </c>
      <c r="P549" s="1610">
        <v>1</v>
      </c>
      <c r="Q549" s="1601" t="s">
        <v>1431</v>
      </c>
      <c r="R549" s="1601" t="s">
        <v>1873</v>
      </c>
      <c r="S549" s="1595" t="str">
        <f>Classif!C24</f>
        <v/>
      </c>
      <c r="T549" s="1595">
        <f t="shared" si="325"/>
        <v>2</v>
      </c>
      <c r="U549" s="1744" t="str">
        <f t="shared" si="326"/>
        <v/>
      </c>
      <c r="V549" s="1771">
        <v>1</v>
      </c>
      <c r="W549" s="1771">
        <f>S03D01</f>
        <v>1</v>
      </c>
      <c r="X549" s="1771">
        <v>1</v>
      </c>
      <c r="Y549" s="1771">
        <f t="shared" si="335"/>
        <v>1</v>
      </c>
      <c r="Z549" s="1772">
        <v>0</v>
      </c>
      <c r="AA549" s="1773"/>
      <c r="AB549" s="1769"/>
      <c r="AC549" s="1769"/>
      <c r="AD549" s="1595" t="str">
        <f t="shared" si="323"/>
        <v/>
      </c>
      <c r="AE549" s="1601">
        <f t="shared" si="328"/>
        <v>2</v>
      </c>
      <c r="AF549" s="1595" t="str">
        <f t="shared" si="329"/>
        <v/>
      </c>
      <c r="AG549" s="1748"/>
      <c r="AH549" s="1749" t="str">
        <f t="shared" si="324"/>
        <v/>
      </c>
      <c r="AI549" s="1634"/>
      <c r="AJ549" s="1636" t="s">
        <v>5225</v>
      </c>
      <c r="AK549" s="1635"/>
      <c r="AL549" s="1617" t="s">
        <v>4954</v>
      </c>
      <c r="AM549" s="247" t="str">
        <f t="shared" si="317"/>
        <v/>
      </c>
      <c r="AN549" s="247" t="str">
        <f t="shared" si="318"/>
        <v/>
      </c>
      <c r="AO549" s="247" t="str">
        <f t="shared" si="319"/>
        <v/>
      </c>
      <c r="AP549" s="247" t="str">
        <f t="shared" si="320"/>
        <v/>
      </c>
      <c r="AQ549" s="42">
        <f t="shared" si="330"/>
        <v>1</v>
      </c>
      <c r="AR549" s="42">
        <f t="shared" si="331"/>
        <v>1</v>
      </c>
      <c r="AS549" s="42">
        <f t="shared" si="332"/>
        <v>1</v>
      </c>
      <c r="AT549" s="42">
        <f t="shared" si="333"/>
        <v>1</v>
      </c>
      <c r="AU549" s="247" t="str">
        <f t="shared" si="321"/>
        <v/>
      </c>
      <c r="AV549" s="247" t="str">
        <f t="shared" si="322"/>
        <v/>
      </c>
    </row>
    <row r="550" spans="1:48" ht="24" x14ac:dyDescent="0.2">
      <c r="A550" s="428" t="s">
        <v>297</v>
      </c>
      <c r="B550" s="473" t="s">
        <v>4476</v>
      </c>
      <c r="C550" s="474" t="s">
        <v>1601</v>
      </c>
      <c r="D550" s="1366" t="s">
        <v>1873</v>
      </c>
      <c r="E550" s="1369" t="s">
        <v>1861</v>
      </c>
      <c r="F550" s="1367" t="s">
        <v>1875</v>
      </c>
      <c r="G550" s="1368" t="s">
        <v>6070</v>
      </c>
      <c r="H550" s="1347" t="s">
        <v>3919</v>
      </c>
      <c r="I550" s="476" t="s">
        <v>1536</v>
      </c>
      <c r="J550" s="475" t="s">
        <v>1876</v>
      </c>
      <c r="K550" s="480"/>
      <c r="L550" s="480"/>
      <c r="M550" s="481"/>
      <c r="N550" s="482"/>
      <c r="O550" s="1770" t="str">
        <f>VLOOKUP(B550,code_famille_scénario,2)&amp;VLOOKUP(C550,code_actif,2)&amp;", "&amp;VLOOKUP(J550,Code_lieu,2)&amp;", suite "&amp;VLOOKUP(I550,code_event,2)</f>
        <v>Perte, par destruction accidentelle, de media support de programme de services bureautiques communs, en médiathèque, suite à une inondation</v>
      </c>
      <c r="P550" s="1610">
        <v>1</v>
      </c>
      <c r="Q550" s="1601" t="s">
        <v>1431</v>
      </c>
      <c r="R550" s="1601" t="s">
        <v>1873</v>
      </c>
      <c r="S550" s="1595" t="str">
        <f>Classif!C24</f>
        <v/>
      </c>
      <c r="T550" s="1595">
        <f t="shared" si="325"/>
        <v>2</v>
      </c>
      <c r="U550" s="1744" t="str">
        <f t="shared" si="326"/>
        <v/>
      </c>
      <c r="V550" s="1771">
        <v>1</v>
      </c>
      <c r="W550" s="1771">
        <v>1</v>
      </c>
      <c r="X550" s="1771">
        <v>1</v>
      </c>
      <c r="Y550" s="1771">
        <f t="shared" si="335"/>
        <v>1</v>
      </c>
      <c r="Z550" s="1772">
        <v>0</v>
      </c>
      <c r="AA550" s="1773"/>
      <c r="AB550" s="1769"/>
      <c r="AC550" s="1769"/>
      <c r="AD550" s="1595" t="str">
        <f t="shared" si="323"/>
        <v/>
      </c>
      <c r="AE550" s="1601">
        <f t="shared" si="328"/>
        <v>2</v>
      </c>
      <c r="AF550" s="1595" t="str">
        <f t="shared" si="329"/>
        <v/>
      </c>
      <c r="AG550" s="1748"/>
      <c r="AH550" s="1749" t="str">
        <f t="shared" si="324"/>
        <v/>
      </c>
      <c r="AI550" s="1634"/>
      <c r="AJ550" s="1636"/>
      <c r="AK550" s="1635"/>
      <c r="AL550" s="1617" t="s">
        <v>4954</v>
      </c>
      <c r="AM550" s="247" t="str">
        <f t="shared" si="317"/>
        <v/>
      </c>
      <c r="AN550" s="247" t="str">
        <f t="shared" si="318"/>
        <v/>
      </c>
      <c r="AO550" s="247" t="str">
        <f t="shared" si="319"/>
        <v/>
      </c>
      <c r="AP550" s="247" t="str">
        <f t="shared" si="320"/>
        <v/>
      </c>
      <c r="AQ550" s="42">
        <f t="shared" si="330"/>
        <v>1</v>
      </c>
      <c r="AR550" s="42">
        <f t="shared" si="331"/>
        <v>1</v>
      </c>
      <c r="AS550" s="42">
        <f t="shared" si="332"/>
        <v>1</v>
      </c>
      <c r="AT550" s="42">
        <f t="shared" si="333"/>
        <v>1</v>
      </c>
      <c r="AU550" s="247" t="str">
        <f t="shared" si="321"/>
        <v/>
      </c>
      <c r="AV550" s="247" t="str">
        <f t="shared" si="322"/>
        <v/>
      </c>
    </row>
    <row r="551" spans="1:48" ht="24" x14ac:dyDescent="0.2">
      <c r="A551" s="428" t="s">
        <v>298</v>
      </c>
      <c r="B551" s="473" t="s">
        <v>4479</v>
      </c>
      <c r="C551" s="474" t="s">
        <v>1601</v>
      </c>
      <c r="D551" s="1366" t="s">
        <v>1873</v>
      </c>
      <c r="E551" s="1369" t="s">
        <v>1861</v>
      </c>
      <c r="F551" s="1367" t="s">
        <v>4498</v>
      </c>
      <c r="G551" s="1368" t="s">
        <v>6071</v>
      </c>
      <c r="H551" s="1347" t="s">
        <v>1327</v>
      </c>
      <c r="I551" s="476" t="s">
        <v>2506</v>
      </c>
      <c r="J551" s="475" t="s">
        <v>1876</v>
      </c>
      <c r="K551" s="475"/>
      <c r="L551" s="475"/>
      <c r="M551" s="477"/>
      <c r="N551" s="478"/>
      <c r="O551" s="1770" t="str">
        <f>VLOOKUP(B551,code_famille_scénario,2)&amp;VLOOKUP(C551,code_actif,2)&amp;", "&amp;VLOOKUP(J551,Code_lieu,2)</f>
        <v>Perte, par disparition accidentelle, de media support de programme de services bureautiques communs, en médiathèque</v>
      </c>
      <c r="P551" s="1610">
        <v>1</v>
      </c>
      <c r="Q551" s="1601" t="s">
        <v>1431</v>
      </c>
      <c r="R551" s="1601" t="s">
        <v>1873</v>
      </c>
      <c r="S551" s="1595" t="str">
        <f>Classif!C24</f>
        <v/>
      </c>
      <c r="T551" s="1595">
        <f t="shared" si="325"/>
        <v>3</v>
      </c>
      <c r="U551" s="1744" t="str">
        <f t="shared" si="326"/>
        <v/>
      </c>
      <c r="V551" s="1771">
        <v>1</v>
      </c>
      <c r="W551" s="1771">
        <v>1</v>
      </c>
      <c r="X551" s="1771">
        <v>1</v>
      </c>
      <c r="Y551" s="1771">
        <f t="shared" si="335"/>
        <v>1</v>
      </c>
      <c r="Z551" s="1772">
        <v>0</v>
      </c>
      <c r="AA551" s="1773"/>
      <c r="AB551" s="1769"/>
      <c r="AC551" s="1769"/>
      <c r="AD551" s="1595" t="str">
        <f t="shared" si="323"/>
        <v/>
      </c>
      <c r="AE551" s="1601">
        <f t="shared" si="328"/>
        <v>3</v>
      </c>
      <c r="AF551" s="1595" t="str">
        <f t="shared" si="329"/>
        <v/>
      </c>
      <c r="AG551" s="1748"/>
      <c r="AH551" s="1749" t="str">
        <f t="shared" si="324"/>
        <v/>
      </c>
      <c r="AI551" s="1634"/>
      <c r="AJ551" s="1636"/>
      <c r="AK551" s="1635"/>
      <c r="AL551" s="1617" t="s">
        <v>4954</v>
      </c>
      <c r="AM551" s="247" t="str">
        <f t="shared" si="317"/>
        <v/>
      </c>
      <c r="AN551" s="247" t="str">
        <f t="shared" si="318"/>
        <v/>
      </c>
      <c r="AO551" s="247" t="str">
        <f t="shared" si="319"/>
        <v/>
      </c>
      <c r="AP551" s="247" t="str">
        <f t="shared" si="320"/>
        <v/>
      </c>
      <c r="AQ551" s="42">
        <f t="shared" si="330"/>
        <v>1</v>
      </c>
      <c r="AR551" s="42">
        <f t="shared" si="331"/>
        <v>1</v>
      </c>
      <c r="AS551" s="42">
        <f t="shared" si="332"/>
        <v>1</v>
      </c>
      <c r="AT551" s="42">
        <f t="shared" si="333"/>
        <v>1</v>
      </c>
      <c r="AU551" s="247" t="str">
        <f t="shared" si="321"/>
        <v/>
      </c>
      <c r="AV551" s="247" t="str">
        <f t="shared" si="322"/>
        <v/>
      </c>
    </row>
    <row r="552" spans="1:48" ht="24" x14ac:dyDescent="0.2">
      <c r="A552" s="428" t="s">
        <v>299</v>
      </c>
      <c r="B552" s="473" t="s">
        <v>4479</v>
      </c>
      <c r="C552" s="474" t="s">
        <v>1601</v>
      </c>
      <c r="D552" s="1366" t="s">
        <v>1873</v>
      </c>
      <c r="E552" s="1369" t="s">
        <v>1861</v>
      </c>
      <c r="F552" s="1367" t="s">
        <v>4498</v>
      </c>
      <c r="G552" s="1368" t="s">
        <v>6071</v>
      </c>
      <c r="H552" s="1347" t="s">
        <v>1327</v>
      </c>
      <c r="I552" s="476" t="s">
        <v>2506</v>
      </c>
      <c r="J552" s="475" t="s">
        <v>1880</v>
      </c>
      <c r="K552" s="475"/>
      <c r="L552" s="475"/>
      <c r="M552" s="477"/>
      <c r="N552" s="478"/>
      <c r="O552" s="1770" t="str">
        <f>VLOOKUP(B552,code_famille_scénario,2)&amp;VLOOKUP(C552,code_actif,2)&amp;", "&amp;VLOOKUP(J552,Code_lieu,2)</f>
        <v>Perte, par disparition accidentelle, de media support de programme de services bureautiques communs, dans les locaux de l'exploitation</v>
      </c>
      <c r="P552" s="1610">
        <v>1</v>
      </c>
      <c r="Q552" s="1601" t="s">
        <v>1431</v>
      </c>
      <c r="R552" s="1601" t="s">
        <v>1873</v>
      </c>
      <c r="S552" s="1595" t="str">
        <f>Classif!C24</f>
        <v/>
      </c>
      <c r="T552" s="1595">
        <f t="shared" si="325"/>
        <v>3</v>
      </c>
      <c r="U552" s="1744" t="str">
        <f t="shared" si="326"/>
        <v/>
      </c>
      <c r="V552" s="1771">
        <v>1</v>
      </c>
      <c r="W552" s="1771">
        <v>1</v>
      </c>
      <c r="X552" s="1771">
        <v>1</v>
      </c>
      <c r="Y552" s="1771">
        <f t="shared" si="335"/>
        <v>1</v>
      </c>
      <c r="Z552" s="1772">
        <v>0</v>
      </c>
      <c r="AA552" s="1773"/>
      <c r="AB552" s="1769"/>
      <c r="AC552" s="1769"/>
      <c r="AD552" s="1595" t="str">
        <f t="shared" si="323"/>
        <v/>
      </c>
      <c r="AE552" s="1601">
        <f t="shared" si="328"/>
        <v>3</v>
      </c>
      <c r="AF552" s="1595" t="str">
        <f t="shared" si="329"/>
        <v/>
      </c>
      <c r="AG552" s="1748"/>
      <c r="AH552" s="1749" t="str">
        <f t="shared" si="324"/>
        <v/>
      </c>
      <c r="AI552" s="1634"/>
      <c r="AJ552" s="1636"/>
      <c r="AK552" s="1635"/>
      <c r="AL552" s="1617" t="s">
        <v>4954</v>
      </c>
      <c r="AM552" s="247" t="str">
        <f t="shared" si="317"/>
        <v/>
      </c>
      <c r="AN552" s="247" t="str">
        <f t="shared" si="318"/>
        <v/>
      </c>
      <c r="AO552" s="247" t="str">
        <f t="shared" si="319"/>
        <v/>
      </c>
      <c r="AP552" s="247" t="str">
        <f t="shared" si="320"/>
        <v/>
      </c>
      <c r="AQ552" s="42">
        <f t="shared" si="330"/>
        <v>1</v>
      </c>
      <c r="AR552" s="42">
        <f t="shared" si="331"/>
        <v>1</v>
      </c>
      <c r="AS552" s="42">
        <f t="shared" si="332"/>
        <v>1</v>
      </c>
      <c r="AT552" s="42">
        <f t="shared" si="333"/>
        <v>1</v>
      </c>
      <c r="AU552" s="247" t="str">
        <f t="shared" si="321"/>
        <v/>
      </c>
      <c r="AV552" s="247" t="str">
        <f t="shared" si="322"/>
        <v/>
      </c>
    </row>
    <row r="553" spans="1:48" ht="24" x14ac:dyDescent="0.2">
      <c r="A553" s="428" t="s">
        <v>300</v>
      </c>
      <c r="B553" s="473" t="s">
        <v>5613</v>
      </c>
      <c r="C553" s="474" t="s">
        <v>1601</v>
      </c>
      <c r="D553" s="1366" t="s">
        <v>1873</v>
      </c>
      <c r="E553" s="1369" t="s">
        <v>1861</v>
      </c>
      <c r="F553" s="1367" t="s">
        <v>4498</v>
      </c>
      <c r="G553" s="1368" t="s">
        <v>6071</v>
      </c>
      <c r="H553" s="1347" t="s">
        <v>1329</v>
      </c>
      <c r="I553" s="476" t="s">
        <v>1305</v>
      </c>
      <c r="J553" s="475" t="s">
        <v>1880</v>
      </c>
      <c r="K553" s="475"/>
      <c r="L553" s="475"/>
      <c r="M553" s="477"/>
      <c r="N553" s="478" t="s">
        <v>3518</v>
      </c>
      <c r="O553" s="1770" t="str">
        <f t="shared" ref="O553:O558" si="336">VLOOKUP(B553,code_famille_scénario,2)&amp;VLOOKUP(C553,code_actif,2)&amp;", "&amp;VLOOKUP(J553,Code_lieu,2)&amp;", par "&amp;VLOOKUP(N553,code_acteur,2)</f>
        <v>Vol de media support de programmes de services bureautiques communs, dans les locaux de l'exploitation, par un membre du personnel non autorisé</v>
      </c>
      <c r="P553" s="1610">
        <v>1</v>
      </c>
      <c r="Q553" s="1601" t="s">
        <v>1299</v>
      </c>
      <c r="R553" s="1601" t="s">
        <v>1873</v>
      </c>
      <c r="S553" s="1595" t="str">
        <f>Classif!C24</f>
        <v/>
      </c>
      <c r="T553" s="1595">
        <f t="shared" si="325"/>
        <v>2</v>
      </c>
      <c r="U553" s="1744" t="str">
        <f t="shared" si="326"/>
        <v/>
      </c>
      <c r="V553" s="1771">
        <f t="shared" ref="V553:V558" si="337">S03B06</f>
        <v>1</v>
      </c>
      <c r="W553" s="1771">
        <f>MIN(S03B03,S03B04)</f>
        <v>1</v>
      </c>
      <c r="X553" s="1771">
        <v>1</v>
      </c>
      <c r="Y553" s="1771">
        <f t="shared" si="335"/>
        <v>1</v>
      </c>
      <c r="Z553" s="1772">
        <v>0</v>
      </c>
      <c r="AA553" s="1773"/>
      <c r="AB553" s="1769"/>
      <c r="AC553" s="1769"/>
      <c r="AD553" s="1595" t="str">
        <f t="shared" si="323"/>
        <v/>
      </c>
      <c r="AE553" s="1601">
        <f t="shared" si="328"/>
        <v>2</v>
      </c>
      <c r="AF553" s="1595" t="str">
        <f t="shared" si="329"/>
        <v/>
      </c>
      <c r="AG553" s="1748"/>
      <c r="AH553" s="1749" t="str">
        <f t="shared" si="324"/>
        <v/>
      </c>
      <c r="AI553" s="1638" t="s">
        <v>1665</v>
      </c>
      <c r="AJ553" s="1639" t="s">
        <v>5279</v>
      </c>
      <c r="AK553" s="1639"/>
      <c r="AL553" s="1617" t="s">
        <v>4954</v>
      </c>
      <c r="AM553" s="247" t="str">
        <f t="shared" si="317"/>
        <v/>
      </c>
      <c r="AN553" s="247" t="str">
        <f t="shared" si="318"/>
        <v/>
      </c>
      <c r="AO553" s="247" t="str">
        <f t="shared" si="319"/>
        <v/>
      </c>
      <c r="AP553" s="247" t="str">
        <f t="shared" si="320"/>
        <v/>
      </c>
      <c r="AQ553" s="42">
        <f t="shared" si="330"/>
        <v>1</v>
      </c>
      <c r="AR553" s="42">
        <f t="shared" si="331"/>
        <v>1</v>
      </c>
      <c r="AS553" s="42">
        <f t="shared" si="332"/>
        <v>1</v>
      </c>
      <c r="AT553" s="42">
        <f t="shared" si="333"/>
        <v>1</v>
      </c>
      <c r="AU553" s="247" t="str">
        <f t="shared" si="321"/>
        <v/>
      </c>
      <c r="AV553" s="247" t="str">
        <f t="shared" si="322"/>
        <v/>
      </c>
    </row>
    <row r="554" spans="1:48" ht="24" x14ac:dyDescent="0.2">
      <c r="A554" s="428" t="s">
        <v>301</v>
      </c>
      <c r="B554" s="473" t="s">
        <v>5613</v>
      </c>
      <c r="C554" s="474" t="s">
        <v>1601</v>
      </c>
      <c r="D554" s="1366" t="s">
        <v>1873</v>
      </c>
      <c r="E554" s="1369" t="s">
        <v>1861</v>
      </c>
      <c r="F554" s="1367" t="s">
        <v>4498</v>
      </c>
      <c r="G554" s="1368" t="s">
        <v>6071</v>
      </c>
      <c r="H554" s="1298" t="s">
        <v>1329</v>
      </c>
      <c r="I554" s="479" t="s">
        <v>1305</v>
      </c>
      <c r="J554" s="475" t="s">
        <v>1880</v>
      </c>
      <c r="K554" s="475"/>
      <c r="L554" s="475"/>
      <c r="M554" s="477"/>
      <c r="N554" s="478" t="s">
        <v>6403</v>
      </c>
      <c r="O554" s="1770" t="str">
        <f t="shared" si="336"/>
        <v>Vol de media support de programmes de services bureautiques communs, dans les locaux de l'exploitation, par un membre du personnel d'exploitation</v>
      </c>
      <c r="P554" s="1610">
        <v>1</v>
      </c>
      <c r="Q554" s="1601" t="s">
        <v>1299</v>
      </c>
      <c r="R554" s="1601" t="s">
        <v>1873</v>
      </c>
      <c r="S554" s="1595" t="str">
        <f>Classif!C24</f>
        <v/>
      </c>
      <c r="T554" s="1595">
        <f t="shared" si="325"/>
        <v>2</v>
      </c>
      <c r="U554" s="1744" t="str">
        <f t="shared" si="326"/>
        <v/>
      </c>
      <c r="V554" s="1771">
        <f t="shared" si="337"/>
        <v>1</v>
      </c>
      <c r="W554" s="1771">
        <v>1</v>
      </c>
      <c r="X554" s="1771">
        <v>1</v>
      </c>
      <c r="Y554" s="1771">
        <f t="shared" si="335"/>
        <v>1</v>
      </c>
      <c r="Z554" s="1772">
        <v>0</v>
      </c>
      <c r="AA554" s="1773"/>
      <c r="AB554" s="1769"/>
      <c r="AC554" s="1769"/>
      <c r="AD554" s="1595" t="str">
        <f t="shared" si="323"/>
        <v/>
      </c>
      <c r="AE554" s="1601">
        <f t="shared" si="328"/>
        <v>2</v>
      </c>
      <c r="AF554" s="1595" t="str">
        <f t="shared" si="329"/>
        <v/>
      </c>
      <c r="AG554" s="1748"/>
      <c r="AH554" s="1749" t="str">
        <f t="shared" si="324"/>
        <v/>
      </c>
      <c r="AI554" s="1638" t="s">
        <v>1665</v>
      </c>
      <c r="AJ554" s="1639"/>
      <c r="AK554" s="1639"/>
      <c r="AL554" s="1617" t="s">
        <v>4954</v>
      </c>
      <c r="AM554" s="247" t="str">
        <f t="shared" si="317"/>
        <v/>
      </c>
      <c r="AN554" s="247" t="str">
        <f t="shared" si="318"/>
        <v/>
      </c>
      <c r="AO554" s="247" t="str">
        <f t="shared" si="319"/>
        <v/>
      </c>
      <c r="AP554" s="247" t="str">
        <f t="shared" si="320"/>
        <v/>
      </c>
      <c r="AQ554" s="42">
        <f t="shared" si="330"/>
        <v>1</v>
      </c>
      <c r="AR554" s="42">
        <f t="shared" si="331"/>
        <v>1</v>
      </c>
      <c r="AS554" s="42">
        <f t="shared" si="332"/>
        <v>1</v>
      </c>
      <c r="AT554" s="42">
        <f t="shared" si="333"/>
        <v>1</v>
      </c>
      <c r="AU554" s="247" t="str">
        <f t="shared" si="321"/>
        <v/>
      </c>
      <c r="AV554" s="247" t="str">
        <f t="shared" si="322"/>
        <v/>
      </c>
    </row>
    <row r="555" spans="1:48" ht="24" x14ac:dyDescent="0.2">
      <c r="A555" s="428" t="s">
        <v>302</v>
      </c>
      <c r="B555" s="473" t="s">
        <v>5613</v>
      </c>
      <c r="C555" s="474" t="s">
        <v>1601</v>
      </c>
      <c r="D555" s="1366" t="s">
        <v>1873</v>
      </c>
      <c r="E555" s="1369" t="s">
        <v>1861</v>
      </c>
      <c r="F555" s="1367" t="s">
        <v>4498</v>
      </c>
      <c r="G555" s="1368" t="s">
        <v>6071</v>
      </c>
      <c r="H555" s="1347" t="s">
        <v>1329</v>
      </c>
      <c r="I555" s="476" t="s">
        <v>1305</v>
      </c>
      <c r="J555" s="475" t="s">
        <v>1880</v>
      </c>
      <c r="K555" s="475"/>
      <c r="L555" s="475"/>
      <c r="M555" s="477"/>
      <c r="N555" s="478" t="s">
        <v>2218</v>
      </c>
      <c r="O555" s="1770" t="str">
        <f t="shared" si="336"/>
        <v>Vol de media support de programmes de services bureautiques communs, dans les locaux de l'exploitation, par un membre du personnel de service</v>
      </c>
      <c r="P555" s="1610">
        <v>1</v>
      </c>
      <c r="Q555" s="1601" t="s">
        <v>1299</v>
      </c>
      <c r="R555" s="1601" t="s">
        <v>1873</v>
      </c>
      <c r="S555" s="1595" t="str">
        <f>Classif!C24</f>
        <v/>
      </c>
      <c r="T555" s="1595">
        <f t="shared" si="325"/>
        <v>2</v>
      </c>
      <c r="U555" s="1744" t="str">
        <f t="shared" si="326"/>
        <v/>
      </c>
      <c r="V555" s="1771">
        <f t="shared" si="337"/>
        <v>1</v>
      </c>
      <c r="W555" s="1771">
        <v>1</v>
      </c>
      <c r="X555" s="1771">
        <v>1</v>
      </c>
      <c r="Y555" s="1771">
        <f t="shared" si="335"/>
        <v>1</v>
      </c>
      <c r="Z555" s="1772">
        <v>0</v>
      </c>
      <c r="AA555" s="1773"/>
      <c r="AB555" s="1769"/>
      <c r="AC555" s="1769"/>
      <c r="AD555" s="1595" t="str">
        <f t="shared" si="323"/>
        <v/>
      </c>
      <c r="AE555" s="1601">
        <f t="shared" si="328"/>
        <v>2</v>
      </c>
      <c r="AF555" s="1595" t="str">
        <f t="shared" si="329"/>
        <v/>
      </c>
      <c r="AG555" s="1748"/>
      <c r="AH555" s="1749" t="str">
        <f t="shared" si="324"/>
        <v/>
      </c>
      <c r="AI555" s="1638" t="s">
        <v>1665</v>
      </c>
      <c r="AJ555" s="1639"/>
      <c r="AK555" s="1639"/>
      <c r="AL555" s="1617" t="s">
        <v>4954</v>
      </c>
      <c r="AM555" s="247" t="str">
        <f t="shared" si="317"/>
        <v/>
      </c>
      <c r="AN555" s="247" t="str">
        <f t="shared" si="318"/>
        <v/>
      </c>
      <c r="AO555" s="247" t="str">
        <f t="shared" si="319"/>
        <v/>
      </c>
      <c r="AP555" s="247" t="str">
        <f t="shared" si="320"/>
        <v/>
      </c>
      <c r="AQ555" s="42">
        <f t="shared" si="330"/>
        <v>1</v>
      </c>
      <c r="AR555" s="42">
        <f t="shared" si="331"/>
        <v>1</v>
      </c>
      <c r="AS555" s="42">
        <f t="shared" si="332"/>
        <v>1</v>
      </c>
      <c r="AT555" s="42">
        <f t="shared" si="333"/>
        <v>1</v>
      </c>
      <c r="AU555" s="247" t="str">
        <f t="shared" si="321"/>
        <v/>
      </c>
      <c r="AV555" s="247" t="str">
        <f t="shared" si="322"/>
        <v/>
      </c>
    </row>
    <row r="556" spans="1:48" ht="24" x14ac:dyDescent="0.2">
      <c r="A556" s="428" t="s">
        <v>303</v>
      </c>
      <c r="B556" s="473" t="s">
        <v>5613</v>
      </c>
      <c r="C556" s="474" t="s">
        <v>1601</v>
      </c>
      <c r="D556" s="1366" t="s">
        <v>1873</v>
      </c>
      <c r="E556" s="1369" t="s">
        <v>1861</v>
      </c>
      <c r="F556" s="1367" t="s">
        <v>4498</v>
      </c>
      <c r="G556" s="1368" t="s">
        <v>6071</v>
      </c>
      <c r="H556" s="1347" t="s">
        <v>1329</v>
      </c>
      <c r="I556" s="476" t="s">
        <v>1305</v>
      </c>
      <c r="J556" s="475" t="s">
        <v>1876</v>
      </c>
      <c r="K556" s="475"/>
      <c r="L556" s="475"/>
      <c r="M556" s="477"/>
      <c r="N556" s="478" t="s">
        <v>3518</v>
      </c>
      <c r="O556" s="1770" t="str">
        <f t="shared" si="336"/>
        <v>Vol de media support de programmes de services bureautiques communs, en médiathèque, par un membre du personnel non autorisé</v>
      </c>
      <c r="P556" s="1610">
        <v>1</v>
      </c>
      <c r="Q556" s="1601" t="s">
        <v>1299</v>
      </c>
      <c r="R556" s="1601" t="s">
        <v>1873</v>
      </c>
      <c r="S556" s="1595" t="str">
        <f>Classif!C24</f>
        <v/>
      </c>
      <c r="T556" s="1595">
        <f t="shared" si="325"/>
        <v>2</v>
      </c>
      <c r="U556" s="1744" t="str">
        <f t="shared" si="326"/>
        <v/>
      </c>
      <c r="V556" s="1771">
        <f t="shared" si="337"/>
        <v>1</v>
      </c>
      <c r="W556" s="1771">
        <f>S08C03</f>
        <v>1</v>
      </c>
      <c r="X556" s="1771">
        <v>1</v>
      </c>
      <c r="Y556" s="1771">
        <f t="shared" si="335"/>
        <v>1</v>
      </c>
      <c r="Z556" s="1772">
        <v>0</v>
      </c>
      <c r="AA556" s="1773"/>
      <c r="AB556" s="1769"/>
      <c r="AC556" s="1769"/>
      <c r="AD556" s="1595" t="str">
        <f t="shared" si="323"/>
        <v/>
      </c>
      <c r="AE556" s="1601">
        <f t="shared" si="328"/>
        <v>2</v>
      </c>
      <c r="AF556" s="1595" t="str">
        <f t="shared" si="329"/>
        <v/>
      </c>
      <c r="AG556" s="1748"/>
      <c r="AH556" s="1749" t="str">
        <f t="shared" si="324"/>
        <v/>
      </c>
      <c r="AI556" s="1638" t="s">
        <v>1665</v>
      </c>
      <c r="AJ556" s="1625" t="s">
        <v>63</v>
      </c>
      <c r="AK556" s="1639"/>
      <c r="AL556" s="1617" t="s">
        <v>4954</v>
      </c>
      <c r="AM556" s="247" t="str">
        <f t="shared" si="317"/>
        <v/>
      </c>
      <c r="AN556" s="247" t="str">
        <f t="shared" si="318"/>
        <v/>
      </c>
      <c r="AO556" s="247" t="str">
        <f t="shared" si="319"/>
        <v/>
      </c>
      <c r="AP556" s="247" t="str">
        <f t="shared" si="320"/>
        <v/>
      </c>
      <c r="AQ556" s="42">
        <f t="shared" si="330"/>
        <v>1</v>
      </c>
      <c r="AR556" s="42">
        <f t="shared" si="331"/>
        <v>1</v>
      </c>
      <c r="AS556" s="42">
        <f t="shared" si="332"/>
        <v>1</v>
      </c>
      <c r="AT556" s="42">
        <f t="shared" si="333"/>
        <v>1</v>
      </c>
      <c r="AU556" s="247" t="str">
        <f t="shared" si="321"/>
        <v/>
      </c>
      <c r="AV556" s="247" t="str">
        <f t="shared" si="322"/>
        <v/>
      </c>
    </row>
    <row r="557" spans="1:48" ht="24" x14ac:dyDescent="0.2">
      <c r="A557" s="428" t="s">
        <v>304</v>
      </c>
      <c r="B557" s="473" t="s">
        <v>5613</v>
      </c>
      <c r="C557" s="474" t="s">
        <v>1601</v>
      </c>
      <c r="D557" s="1366" t="s">
        <v>1873</v>
      </c>
      <c r="E557" s="1369" t="s">
        <v>1861</v>
      </c>
      <c r="F557" s="1367" t="s">
        <v>4498</v>
      </c>
      <c r="G557" s="1368" t="s">
        <v>6071</v>
      </c>
      <c r="H557" s="1347" t="s">
        <v>1329</v>
      </c>
      <c r="I557" s="476" t="s">
        <v>1305</v>
      </c>
      <c r="J557" s="475" t="s">
        <v>1876</v>
      </c>
      <c r="K557" s="475"/>
      <c r="L557" s="475"/>
      <c r="M557" s="477"/>
      <c r="N557" s="478" t="s">
        <v>6403</v>
      </c>
      <c r="O557" s="1770" t="str">
        <f t="shared" si="336"/>
        <v>Vol de media support de programmes de services bureautiques communs, en médiathèque, par un membre du personnel d'exploitation</v>
      </c>
      <c r="P557" s="1610">
        <v>1</v>
      </c>
      <c r="Q557" s="1601" t="s">
        <v>1299</v>
      </c>
      <c r="R557" s="1601" t="s">
        <v>1873</v>
      </c>
      <c r="S557" s="1595" t="str">
        <f>Classif!C24</f>
        <v/>
      </c>
      <c r="T557" s="1595">
        <f t="shared" si="325"/>
        <v>2</v>
      </c>
      <c r="U557" s="1744" t="str">
        <f t="shared" si="326"/>
        <v/>
      </c>
      <c r="V557" s="1771">
        <f t="shared" si="337"/>
        <v>1</v>
      </c>
      <c r="W557" s="1771">
        <v>1</v>
      </c>
      <c r="X557" s="1771">
        <v>1</v>
      </c>
      <c r="Y557" s="1771">
        <f t="shared" si="335"/>
        <v>1</v>
      </c>
      <c r="Z557" s="1772">
        <v>0</v>
      </c>
      <c r="AA557" s="1773"/>
      <c r="AB557" s="1769"/>
      <c r="AC557" s="1769"/>
      <c r="AD557" s="1595" t="str">
        <f t="shared" si="323"/>
        <v/>
      </c>
      <c r="AE557" s="1601">
        <f t="shared" si="328"/>
        <v>2</v>
      </c>
      <c r="AF557" s="1595" t="str">
        <f t="shared" si="329"/>
        <v/>
      </c>
      <c r="AG557" s="1748"/>
      <c r="AH557" s="1749" t="str">
        <f t="shared" si="324"/>
        <v/>
      </c>
      <c r="AI557" s="1638" t="s">
        <v>1665</v>
      </c>
      <c r="AJ557" s="1639"/>
      <c r="AK557" s="1639"/>
      <c r="AL557" s="1617" t="s">
        <v>4954</v>
      </c>
      <c r="AM557" s="247" t="str">
        <f t="shared" si="317"/>
        <v/>
      </c>
      <c r="AN557" s="247" t="str">
        <f t="shared" si="318"/>
        <v/>
      </c>
      <c r="AO557" s="247" t="str">
        <f t="shared" si="319"/>
        <v/>
      </c>
      <c r="AP557" s="247" t="str">
        <f t="shared" si="320"/>
        <v/>
      </c>
      <c r="AQ557" s="42">
        <f t="shared" si="330"/>
        <v>1</v>
      </c>
      <c r="AR557" s="42">
        <f t="shared" si="331"/>
        <v>1</v>
      </c>
      <c r="AS557" s="42">
        <f t="shared" si="332"/>
        <v>1</v>
      </c>
      <c r="AT557" s="42">
        <f t="shared" si="333"/>
        <v>1</v>
      </c>
      <c r="AU557" s="247" t="str">
        <f t="shared" si="321"/>
        <v/>
      </c>
      <c r="AV557" s="247" t="str">
        <f t="shared" si="322"/>
        <v/>
      </c>
    </row>
    <row r="558" spans="1:48" ht="24" x14ac:dyDescent="0.2">
      <c r="A558" s="428" t="s">
        <v>305</v>
      </c>
      <c r="B558" s="473" t="s">
        <v>5613</v>
      </c>
      <c r="C558" s="474" t="s">
        <v>1601</v>
      </c>
      <c r="D558" s="1366" t="s">
        <v>1873</v>
      </c>
      <c r="E558" s="1369" t="s">
        <v>1861</v>
      </c>
      <c r="F558" s="1367" t="s">
        <v>4498</v>
      </c>
      <c r="G558" s="1368" t="s">
        <v>6071</v>
      </c>
      <c r="H558" s="1347" t="s">
        <v>1329</v>
      </c>
      <c r="I558" s="476" t="s">
        <v>1305</v>
      </c>
      <c r="J558" s="475" t="s">
        <v>1876</v>
      </c>
      <c r="K558" s="475"/>
      <c r="L558" s="475"/>
      <c r="M558" s="477"/>
      <c r="N558" s="478" t="s">
        <v>2218</v>
      </c>
      <c r="O558" s="1770" t="str">
        <f t="shared" si="336"/>
        <v>Vol de media support de programmes de services bureautiques communs, en médiathèque, par un membre du personnel de service</v>
      </c>
      <c r="P558" s="1610">
        <v>1</v>
      </c>
      <c r="Q558" s="1601" t="s">
        <v>1299</v>
      </c>
      <c r="R558" s="1601" t="s">
        <v>1873</v>
      </c>
      <c r="S558" s="1595" t="str">
        <f>Classif!C24</f>
        <v/>
      </c>
      <c r="T558" s="1595">
        <f t="shared" si="325"/>
        <v>2</v>
      </c>
      <c r="U558" s="1744" t="str">
        <f t="shared" si="326"/>
        <v/>
      </c>
      <c r="V558" s="1771">
        <f t="shared" si="337"/>
        <v>1</v>
      </c>
      <c r="W558" s="1771">
        <v>1</v>
      </c>
      <c r="X558" s="1771">
        <v>1</v>
      </c>
      <c r="Y558" s="1771">
        <f t="shared" si="335"/>
        <v>1</v>
      </c>
      <c r="Z558" s="1772">
        <v>0</v>
      </c>
      <c r="AA558" s="1773"/>
      <c r="AB558" s="1769"/>
      <c r="AC558" s="1769"/>
      <c r="AD558" s="1595" t="str">
        <f t="shared" si="323"/>
        <v/>
      </c>
      <c r="AE558" s="1601">
        <f t="shared" si="328"/>
        <v>2</v>
      </c>
      <c r="AF558" s="1595" t="str">
        <f t="shared" si="329"/>
        <v/>
      </c>
      <c r="AG558" s="1748"/>
      <c r="AH558" s="1749" t="str">
        <f t="shared" si="324"/>
        <v/>
      </c>
      <c r="AI558" s="1638" t="s">
        <v>1665</v>
      </c>
      <c r="AJ558" s="1639"/>
      <c r="AK558" s="1639"/>
      <c r="AL558" s="1617" t="s">
        <v>4954</v>
      </c>
      <c r="AM558" s="247" t="str">
        <f t="shared" si="317"/>
        <v/>
      </c>
      <c r="AN558" s="247" t="str">
        <f t="shared" si="318"/>
        <v/>
      </c>
      <c r="AO558" s="247" t="str">
        <f t="shared" si="319"/>
        <v/>
      </c>
      <c r="AP558" s="247" t="str">
        <f t="shared" si="320"/>
        <v/>
      </c>
      <c r="AQ558" s="42">
        <f t="shared" si="330"/>
        <v>1</v>
      </c>
      <c r="AR558" s="42">
        <f t="shared" si="331"/>
        <v>1</v>
      </c>
      <c r="AS558" s="42">
        <f t="shared" si="332"/>
        <v>1</v>
      </c>
      <c r="AT558" s="42">
        <f t="shared" si="333"/>
        <v>1</v>
      </c>
      <c r="AU558" s="247" t="str">
        <f t="shared" si="321"/>
        <v/>
      </c>
      <c r="AV558" s="247" t="str">
        <f t="shared" si="322"/>
        <v/>
      </c>
    </row>
    <row r="559" spans="1:48" ht="36" x14ac:dyDescent="0.2">
      <c r="A559" s="428" t="s">
        <v>306</v>
      </c>
      <c r="B559" s="473" t="s">
        <v>4482</v>
      </c>
      <c r="C559" s="474" t="s">
        <v>1601</v>
      </c>
      <c r="D559" s="1366" t="s">
        <v>1873</v>
      </c>
      <c r="E559" s="1369" t="s">
        <v>1861</v>
      </c>
      <c r="F559" s="1367" t="s">
        <v>2777</v>
      </c>
      <c r="G559" s="1368" t="s">
        <v>4610</v>
      </c>
      <c r="H559" s="1347" t="s">
        <v>3920</v>
      </c>
      <c r="I559" s="476" t="s">
        <v>3526</v>
      </c>
      <c r="J559" s="475" t="s">
        <v>1880</v>
      </c>
      <c r="K559" s="475"/>
      <c r="L559" s="475"/>
      <c r="M559" s="477"/>
      <c r="N559" s="478"/>
      <c r="O559" s="1770" t="str">
        <f t="shared" ref="O559:O570" si="338">VLOOKUP(B559,code_famille_scénario,2)&amp;VLOOKUP(C559,code_actif,2)&amp;", "&amp;VLOOKUP(J559,Code_lieu,2)&amp;", due "&amp;VLOOKUP(I559,code_event,2)</f>
        <v>Inexploitabilité accidentelle de media support de programmes de services bureautiques communs, dans les locaux de l'exploitation, due à une panne d'équipement</v>
      </c>
      <c r="P559" s="1610">
        <v>1</v>
      </c>
      <c r="Q559" s="1601" t="s">
        <v>1431</v>
      </c>
      <c r="R559" s="1601" t="s">
        <v>1873</v>
      </c>
      <c r="S559" s="1595" t="str">
        <f>Classif!C24</f>
        <v/>
      </c>
      <c r="T559" s="1595">
        <f t="shared" si="325"/>
        <v>3</v>
      </c>
      <c r="U559" s="1744" t="str">
        <f t="shared" si="326"/>
        <v/>
      </c>
      <c r="V559" s="1771">
        <v>1</v>
      </c>
      <c r="W559" s="1771">
        <v>1</v>
      </c>
      <c r="X559" s="1771">
        <v>1</v>
      </c>
      <c r="Y559" s="1771">
        <f t="shared" si="335"/>
        <v>1</v>
      </c>
      <c r="Z559" s="1772">
        <v>0</v>
      </c>
      <c r="AA559" s="1773"/>
      <c r="AB559" s="1769"/>
      <c r="AC559" s="1769"/>
      <c r="AD559" s="1595" t="str">
        <f t="shared" si="323"/>
        <v/>
      </c>
      <c r="AE559" s="1601">
        <f t="shared" si="328"/>
        <v>3</v>
      </c>
      <c r="AF559" s="1595" t="str">
        <f t="shared" si="329"/>
        <v/>
      </c>
      <c r="AG559" s="1748"/>
      <c r="AH559" s="1749" t="str">
        <f t="shared" si="324"/>
        <v/>
      </c>
      <c r="AI559" s="1634"/>
      <c r="AJ559" s="1636"/>
      <c r="AK559" s="1635"/>
      <c r="AL559" s="1617" t="s">
        <v>4954</v>
      </c>
      <c r="AM559" s="247" t="str">
        <f t="shared" si="317"/>
        <v/>
      </c>
      <c r="AN559" s="247" t="str">
        <f t="shared" si="318"/>
        <v/>
      </c>
      <c r="AO559" s="247" t="str">
        <f t="shared" si="319"/>
        <v/>
      </c>
      <c r="AP559" s="247" t="str">
        <f t="shared" si="320"/>
        <v/>
      </c>
      <c r="AQ559" s="42">
        <f t="shared" si="330"/>
        <v>1</v>
      </c>
      <c r="AR559" s="42">
        <f t="shared" si="331"/>
        <v>1</v>
      </c>
      <c r="AS559" s="42">
        <f t="shared" si="332"/>
        <v>1</v>
      </c>
      <c r="AT559" s="42">
        <f t="shared" si="333"/>
        <v>1</v>
      </c>
      <c r="AU559" s="247" t="str">
        <f t="shared" si="321"/>
        <v/>
      </c>
      <c r="AV559" s="247" t="str">
        <f t="shared" si="322"/>
        <v/>
      </c>
    </row>
    <row r="560" spans="1:48" ht="36" x14ac:dyDescent="0.2">
      <c r="A560" s="428" t="s">
        <v>307</v>
      </c>
      <c r="B560" s="473" t="s">
        <v>4482</v>
      </c>
      <c r="C560" s="474" t="s">
        <v>1601</v>
      </c>
      <c r="D560" s="1366" t="s">
        <v>1873</v>
      </c>
      <c r="E560" s="1369" t="s">
        <v>1861</v>
      </c>
      <c r="F560" s="1367" t="s">
        <v>2777</v>
      </c>
      <c r="G560" s="1368" t="s">
        <v>4610</v>
      </c>
      <c r="H560" s="1347" t="s">
        <v>1554</v>
      </c>
      <c r="I560" s="476" t="s">
        <v>1534</v>
      </c>
      <c r="J560" s="475" t="s">
        <v>1880</v>
      </c>
      <c r="K560" s="480"/>
      <c r="L560" s="480"/>
      <c r="M560" s="481"/>
      <c r="N560" s="482"/>
      <c r="O560" s="1770" t="str">
        <f t="shared" si="338"/>
        <v>Inexploitabilité accidentelle de media support de programmes de services bureautiques communs, dans les locaux de l'exploitation, due à un dégât des eaux</v>
      </c>
      <c r="P560" s="1610">
        <v>1</v>
      </c>
      <c r="Q560" s="1601" t="s">
        <v>1431</v>
      </c>
      <c r="R560" s="1601" t="s">
        <v>1873</v>
      </c>
      <c r="S560" s="1595" t="str">
        <f>Classif!C24</f>
        <v/>
      </c>
      <c r="T560" s="1595">
        <f t="shared" ref="T560:T588" si="339">VLOOKUP(H560&amp;"."&amp;I560,Tab_event,4)</f>
        <v>3</v>
      </c>
      <c r="U560" s="1744" t="str">
        <f t="shared" ref="U560:U588" si="340">IF(AND(NOT(S560=""),NOT(T560="")),INDEX(base_g,5-S560,T560),"")</f>
        <v/>
      </c>
      <c r="V560" s="1771">
        <v>1</v>
      </c>
      <c r="W560" s="1771">
        <f>S03C01</f>
        <v>1</v>
      </c>
      <c r="X560" s="1771">
        <v>1</v>
      </c>
      <c r="Y560" s="1771">
        <f t="shared" si="335"/>
        <v>1</v>
      </c>
      <c r="Z560" s="1772">
        <v>0</v>
      </c>
      <c r="AA560" s="1773"/>
      <c r="AB560" s="1769"/>
      <c r="AC560" s="1769"/>
      <c r="AD560" s="1595" t="str">
        <f t="shared" si="323"/>
        <v/>
      </c>
      <c r="AE560" s="1601">
        <f t="shared" ref="AE560:AE588" si="341">IF(OR(Q560="",T560=""),"",IF(Q560="A",INDEX(base_p,4,W560+7*(T560-1)),IF(Q560="E",INDEX(base_p,15,W560+7*(T560-1)),INDEX(base_p,27-V560,W560+7*(T560-1)))))</f>
        <v>3</v>
      </c>
      <c r="AF560" s="1595" t="str">
        <f t="shared" ref="AF560:AF588" si="342">IF(AT560=1,IF(IndG=1,U560,IF(AND(OR(NOT(AD560=""),NOT(AB560="")),OR(NOT(AE560=""),NOT(AC560="")),AT560=1),INDEX(base_g,5-IF(AB560="",AD560,AB560),IF(AC560="",AE560,AC560)),"")),0)</f>
        <v/>
      </c>
      <c r="AG560" s="1748"/>
      <c r="AH560" s="1749" t="str">
        <f t="shared" si="324"/>
        <v/>
      </c>
      <c r="AI560" s="1634"/>
      <c r="AJ560" s="1616" t="s">
        <v>5220</v>
      </c>
      <c r="AK560" s="1635"/>
      <c r="AL560" s="1617" t="s">
        <v>4954</v>
      </c>
      <c r="AM560" s="247" t="str">
        <f t="shared" si="317"/>
        <v/>
      </c>
      <c r="AN560" s="247" t="str">
        <f t="shared" si="318"/>
        <v/>
      </c>
      <c r="AO560" s="247" t="str">
        <f t="shared" si="319"/>
        <v/>
      </c>
      <c r="AP560" s="247" t="str">
        <f t="shared" si="320"/>
        <v/>
      </c>
      <c r="AQ560" s="42">
        <f t="shared" ref="AQ560:AQ588" si="343">VLOOKUP(LEFT(C560,3),Tab_classif_servIR,6)</f>
        <v>1</v>
      </c>
      <c r="AR560" s="42">
        <f t="shared" ref="AR560:AR588" si="344">VLOOKUP(G560,select_vul_serv,2)</f>
        <v>1</v>
      </c>
      <c r="AS560" s="42">
        <f t="shared" ref="AS560:AS588" si="345">VLOOKUP(H560&amp;"."&amp;I560,select_men,5)</f>
        <v>1</v>
      </c>
      <c r="AT560" s="42">
        <f t="shared" ref="AT560:AT588" si="346">P560*AQ560*AR560*AS560</f>
        <v>1</v>
      </c>
      <c r="AU560" s="247" t="str">
        <f t="shared" si="321"/>
        <v/>
      </c>
      <c r="AV560" s="247" t="str">
        <f t="shared" si="322"/>
        <v/>
      </c>
    </row>
    <row r="561" spans="1:48" ht="36" x14ac:dyDescent="0.2">
      <c r="A561" s="428" t="s">
        <v>308</v>
      </c>
      <c r="B561" s="473" t="s">
        <v>4482</v>
      </c>
      <c r="C561" s="474" t="s">
        <v>1601</v>
      </c>
      <c r="D561" s="1366" t="s">
        <v>1873</v>
      </c>
      <c r="E561" s="1369" t="s">
        <v>1861</v>
      </c>
      <c r="F561" s="1367" t="s">
        <v>2777</v>
      </c>
      <c r="G561" s="1368" t="s">
        <v>4610</v>
      </c>
      <c r="H561" s="1347" t="s">
        <v>1554</v>
      </c>
      <c r="I561" s="476" t="s">
        <v>1537</v>
      </c>
      <c r="J561" s="475" t="s">
        <v>1880</v>
      </c>
      <c r="K561" s="475"/>
      <c r="L561" s="475"/>
      <c r="M561" s="477"/>
      <c r="N561" s="478"/>
      <c r="O561" s="1770" t="str">
        <f t="shared" si="338"/>
        <v>Inexploitabilité accidentelle de media support de programmes de services bureautiques communs, dans les locaux de l'exploitation, due à une surcharge électrique</v>
      </c>
      <c r="P561" s="1610">
        <v>1</v>
      </c>
      <c r="Q561" s="1601" t="s">
        <v>1431</v>
      </c>
      <c r="R561" s="1601" t="s">
        <v>1873</v>
      </c>
      <c r="S561" s="1595" t="str">
        <f>Classif!C24</f>
        <v/>
      </c>
      <c r="T561" s="1595">
        <f t="shared" si="339"/>
        <v>2</v>
      </c>
      <c r="U561" s="1744" t="str">
        <f t="shared" si="340"/>
        <v/>
      </c>
      <c r="V561" s="1771">
        <v>1</v>
      </c>
      <c r="W561" s="1771">
        <f>MIN(S03A01,S03A04)</f>
        <v>1</v>
      </c>
      <c r="X561" s="1771">
        <v>1</v>
      </c>
      <c r="Y561" s="1771">
        <f t="shared" si="335"/>
        <v>1</v>
      </c>
      <c r="Z561" s="1772">
        <v>0</v>
      </c>
      <c r="AA561" s="1773"/>
      <c r="AB561" s="1769"/>
      <c r="AC561" s="1769"/>
      <c r="AD561" s="1595" t="str">
        <f t="shared" si="323"/>
        <v/>
      </c>
      <c r="AE561" s="1601">
        <f t="shared" si="341"/>
        <v>2</v>
      </c>
      <c r="AF561" s="1595" t="str">
        <f t="shared" si="342"/>
        <v/>
      </c>
      <c r="AG561" s="1748"/>
      <c r="AH561" s="1749" t="str">
        <f t="shared" si="324"/>
        <v/>
      </c>
      <c r="AI561" s="1634"/>
      <c r="AJ561" s="1616" t="s">
        <v>5252</v>
      </c>
      <c r="AK561" s="1635"/>
      <c r="AL561" s="1617" t="s">
        <v>4954</v>
      </c>
      <c r="AM561" s="247" t="str">
        <f t="shared" si="317"/>
        <v/>
      </c>
      <c r="AN561" s="247" t="str">
        <f t="shared" si="318"/>
        <v/>
      </c>
      <c r="AO561" s="247" t="str">
        <f t="shared" si="319"/>
        <v/>
      </c>
      <c r="AP561" s="247" t="str">
        <f t="shared" si="320"/>
        <v/>
      </c>
      <c r="AQ561" s="42">
        <f t="shared" si="343"/>
        <v>1</v>
      </c>
      <c r="AR561" s="42">
        <f t="shared" si="344"/>
        <v>1</v>
      </c>
      <c r="AS561" s="42">
        <f t="shared" si="345"/>
        <v>1</v>
      </c>
      <c r="AT561" s="42">
        <f t="shared" si="346"/>
        <v>1</v>
      </c>
      <c r="AU561" s="247" t="str">
        <f t="shared" si="321"/>
        <v/>
      </c>
      <c r="AV561" s="247" t="str">
        <f t="shared" si="322"/>
        <v/>
      </c>
    </row>
    <row r="562" spans="1:48" ht="36" x14ac:dyDescent="0.2">
      <c r="A562" s="428" t="s">
        <v>309</v>
      </c>
      <c r="B562" s="473" t="s">
        <v>4482</v>
      </c>
      <c r="C562" s="474" t="s">
        <v>1601</v>
      </c>
      <c r="D562" s="1366" t="s">
        <v>1873</v>
      </c>
      <c r="E562" s="1369" t="s">
        <v>1861</v>
      </c>
      <c r="F562" s="1367" t="s">
        <v>2777</v>
      </c>
      <c r="G562" s="1368" t="s">
        <v>4610</v>
      </c>
      <c r="H562" s="1347" t="s">
        <v>1465</v>
      </c>
      <c r="I562" s="476" t="s">
        <v>1880</v>
      </c>
      <c r="J562" s="475" t="s">
        <v>1880</v>
      </c>
      <c r="K562" s="475"/>
      <c r="L562" s="475"/>
      <c r="M562" s="477"/>
      <c r="N562" s="478"/>
      <c r="O562" s="1770" t="str">
        <f t="shared" si="338"/>
        <v>Inexploitabilité accidentelle de media support de programmes de services bureautiques communs, dans les locaux de l'exploitation, due à un incident d'exploitation</v>
      </c>
      <c r="P562" s="1610">
        <v>1</v>
      </c>
      <c r="Q562" s="1601" t="s">
        <v>1431</v>
      </c>
      <c r="R562" s="1601" t="s">
        <v>1873</v>
      </c>
      <c r="S562" s="1595" t="str">
        <f>Classif!C24</f>
        <v/>
      </c>
      <c r="T562" s="1595">
        <f t="shared" si="339"/>
        <v>3</v>
      </c>
      <c r="U562" s="1744" t="str">
        <f t="shared" si="340"/>
        <v/>
      </c>
      <c r="V562" s="1771">
        <v>1</v>
      </c>
      <c r="W562" s="1771">
        <f>S08A03</f>
        <v>1</v>
      </c>
      <c r="X562" s="1771">
        <f>S08E03</f>
        <v>1</v>
      </c>
      <c r="Y562" s="1771">
        <f t="shared" si="335"/>
        <v>1</v>
      </c>
      <c r="Z562" s="1772">
        <v>0</v>
      </c>
      <c r="AA562" s="1773"/>
      <c r="AB562" s="1769"/>
      <c r="AC562" s="1769"/>
      <c r="AD562" s="1595" t="str">
        <f t="shared" si="323"/>
        <v/>
      </c>
      <c r="AE562" s="1601">
        <f t="shared" si="341"/>
        <v>3</v>
      </c>
      <c r="AF562" s="1595" t="str">
        <f t="shared" si="342"/>
        <v/>
      </c>
      <c r="AG562" s="1748"/>
      <c r="AH562" s="1749" t="str">
        <f t="shared" si="324"/>
        <v/>
      </c>
      <c r="AI562" s="1626"/>
      <c r="AJ562" s="1616" t="s">
        <v>4324</v>
      </c>
      <c r="AK562" s="1616" t="s">
        <v>2532</v>
      </c>
      <c r="AL562" s="1617" t="s">
        <v>4954</v>
      </c>
      <c r="AM562" s="247" t="str">
        <f t="shared" si="317"/>
        <v/>
      </c>
      <c r="AN562" s="247" t="str">
        <f t="shared" si="318"/>
        <v/>
      </c>
      <c r="AO562" s="247" t="str">
        <f t="shared" si="319"/>
        <v/>
      </c>
      <c r="AP562" s="247" t="str">
        <f t="shared" si="320"/>
        <v/>
      </c>
      <c r="AQ562" s="42">
        <f t="shared" si="343"/>
        <v>1</v>
      </c>
      <c r="AR562" s="42">
        <f t="shared" si="344"/>
        <v>1</v>
      </c>
      <c r="AS562" s="42">
        <f t="shared" si="345"/>
        <v>1</v>
      </c>
      <c r="AT562" s="42">
        <f t="shared" si="346"/>
        <v>1</v>
      </c>
      <c r="AU562" s="247" t="str">
        <f t="shared" si="321"/>
        <v/>
      </c>
      <c r="AV562" s="247" t="str">
        <f t="shared" si="322"/>
        <v/>
      </c>
    </row>
    <row r="563" spans="1:48" ht="24" x14ac:dyDescent="0.2">
      <c r="A563" s="428" t="s">
        <v>310</v>
      </c>
      <c r="B563" s="473" t="s">
        <v>4482</v>
      </c>
      <c r="C563" s="474" t="s">
        <v>1601</v>
      </c>
      <c r="D563" s="1366" t="s">
        <v>1873</v>
      </c>
      <c r="E563" s="1369" t="s">
        <v>1861</v>
      </c>
      <c r="F563" s="1367" t="s">
        <v>2777</v>
      </c>
      <c r="G563" s="1368" t="s">
        <v>4610</v>
      </c>
      <c r="H563" s="1347" t="s">
        <v>1554</v>
      </c>
      <c r="I563" s="476" t="s">
        <v>1464</v>
      </c>
      <c r="J563" s="475" t="s">
        <v>1876</v>
      </c>
      <c r="K563" s="475"/>
      <c r="L563" s="475"/>
      <c r="M563" s="477"/>
      <c r="N563" s="478"/>
      <c r="O563" s="1770" t="str">
        <f t="shared" si="338"/>
        <v>Inexploitabilité accidentelle de media support de programmes de services bureautiques communs, en médiathèque, due à une pollution</v>
      </c>
      <c r="P563" s="1610">
        <v>1</v>
      </c>
      <c r="Q563" s="1601" t="s">
        <v>1431</v>
      </c>
      <c r="R563" s="1601" t="s">
        <v>1873</v>
      </c>
      <c r="S563" s="1595" t="str">
        <f>Classif!C24</f>
        <v/>
      </c>
      <c r="T563" s="1595">
        <f t="shared" si="339"/>
        <v>2</v>
      </c>
      <c r="U563" s="1744" t="str">
        <f t="shared" si="340"/>
        <v/>
      </c>
      <c r="V563" s="1771">
        <v>1</v>
      </c>
      <c r="W563" s="1771">
        <v>1</v>
      </c>
      <c r="X563" s="1771">
        <v>1</v>
      </c>
      <c r="Y563" s="1771">
        <f t="shared" si="335"/>
        <v>1</v>
      </c>
      <c r="Z563" s="1772">
        <v>0</v>
      </c>
      <c r="AA563" s="1773"/>
      <c r="AB563" s="1769"/>
      <c r="AC563" s="1769"/>
      <c r="AD563" s="1595" t="str">
        <f t="shared" si="323"/>
        <v/>
      </c>
      <c r="AE563" s="1601">
        <f t="shared" si="341"/>
        <v>2</v>
      </c>
      <c r="AF563" s="1595" t="str">
        <f t="shared" si="342"/>
        <v/>
      </c>
      <c r="AG563" s="1748"/>
      <c r="AH563" s="1749" t="str">
        <f t="shared" si="324"/>
        <v/>
      </c>
      <c r="AI563" s="1634"/>
      <c r="AJ563" s="1616"/>
      <c r="AK563" s="1616"/>
      <c r="AL563" s="1617" t="s">
        <v>4954</v>
      </c>
      <c r="AM563" s="247" t="str">
        <f t="shared" si="317"/>
        <v/>
      </c>
      <c r="AN563" s="247" t="str">
        <f t="shared" si="318"/>
        <v/>
      </c>
      <c r="AO563" s="247" t="str">
        <f t="shared" si="319"/>
        <v/>
      </c>
      <c r="AP563" s="247" t="str">
        <f t="shared" si="320"/>
        <v/>
      </c>
      <c r="AQ563" s="42">
        <f t="shared" si="343"/>
        <v>1</v>
      </c>
      <c r="AR563" s="42">
        <f t="shared" si="344"/>
        <v>1</v>
      </c>
      <c r="AS563" s="42">
        <f t="shared" si="345"/>
        <v>1</v>
      </c>
      <c r="AT563" s="42">
        <f t="shared" si="346"/>
        <v>1</v>
      </c>
      <c r="AU563" s="247" t="str">
        <f t="shared" si="321"/>
        <v/>
      </c>
      <c r="AV563" s="247" t="str">
        <f t="shared" si="322"/>
        <v/>
      </c>
    </row>
    <row r="564" spans="1:48" ht="24" x14ac:dyDescent="0.2">
      <c r="A564" s="428" t="s">
        <v>311</v>
      </c>
      <c r="B564" s="473" t="s">
        <v>4482</v>
      </c>
      <c r="C564" s="474" t="s">
        <v>1601</v>
      </c>
      <c r="D564" s="1366" t="s">
        <v>1873</v>
      </c>
      <c r="E564" s="1369" t="s">
        <v>1861</v>
      </c>
      <c r="F564" s="1367" t="s">
        <v>2777</v>
      </c>
      <c r="G564" s="1368" t="s">
        <v>4610</v>
      </c>
      <c r="H564" s="1347" t="s">
        <v>1554</v>
      </c>
      <c r="I564" s="476" t="s">
        <v>1534</v>
      </c>
      <c r="J564" s="475" t="s">
        <v>1876</v>
      </c>
      <c r="K564" s="480"/>
      <c r="L564" s="480"/>
      <c r="M564" s="481"/>
      <c r="N564" s="482"/>
      <c r="O564" s="1770" t="str">
        <f t="shared" si="338"/>
        <v>Inexploitabilité accidentelle de media support de programmes de services bureautiques communs, en médiathèque, due à un dégât des eaux</v>
      </c>
      <c r="P564" s="1610">
        <v>1</v>
      </c>
      <c r="Q564" s="1601" t="s">
        <v>1431</v>
      </c>
      <c r="R564" s="1601" t="s">
        <v>1873</v>
      </c>
      <c r="S564" s="1595" t="str">
        <f>Classif!C24</f>
        <v/>
      </c>
      <c r="T564" s="1595">
        <f t="shared" si="339"/>
        <v>3</v>
      </c>
      <c r="U564" s="1744" t="str">
        <f t="shared" si="340"/>
        <v/>
      </c>
      <c r="V564" s="1771">
        <v>1</v>
      </c>
      <c r="W564" s="1771">
        <f>S08C03</f>
        <v>1</v>
      </c>
      <c r="X564" s="1771">
        <v>1</v>
      </c>
      <c r="Y564" s="1771">
        <f t="shared" si="335"/>
        <v>1</v>
      </c>
      <c r="Z564" s="1772">
        <v>0</v>
      </c>
      <c r="AA564" s="1773"/>
      <c r="AB564" s="1769"/>
      <c r="AC564" s="1769"/>
      <c r="AD564" s="1595" t="str">
        <f t="shared" si="323"/>
        <v/>
      </c>
      <c r="AE564" s="1601">
        <f t="shared" si="341"/>
        <v>3</v>
      </c>
      <c r="AF564" s="1595" t="str">
        <f t="shared" si="342"/>
        <v/>
      </c>
      <c r="AG564" s="1748"/>
      <c r="AH564" s="1749" t="str">
        <f t="shared" si="324"/>
        <v/>
      </c>
      <c r="AI564" s="1634"/>
      <c r="AJ564" s="1636" t="s">
        <v>63</v>
      </c>
      <c r="AK564" s="1635"/>
      <c r="AL564" s="1617" t="s">
        <v>4954</v>
      </c>
      <c r="AM564" s="247" t="str">
        <f t="shared" si="317"/>
        <v/>
      </c>
      <c r="AN564" s="247" t="str">
        <f t="shared" si="318"/>
        <v/>
      </c>
      <c r="AO564" s="247" t="str">
        <f t="shared" si="319"/>
        <v/>
      </c>
      <c r="AP564" s="247" t="str">
        <f t="shared" si="320"/>
        <v/>
      </c>
      <c r="AQ564" s="42">
        <f t="shared" si="343"/>
        <v>1</v>
      </c>
      <c r="AR564" s="42">
        <f t="shared" si="344"/>
        <v>1</v>
      </c>
      <c r="AS564" s="42">
        <f t="shared" si="345"/>
        <v>1</v>
      </c>
      <c r="AT564" s="42">
        <f t="shared" si="346"/>
        <v>1</v>
      </c>
      <c r="AU564" s="247" t="str">
        <f t="shared" si="321"/>
        <v/>
      </c>
      <c r="AV564" s="247" t="str">
        <f t="shared" si="322"/>
        <v/>
      </c>
    </row>
    <row r="565" spans="1:48" ht="24" x14ac:dyDescent="0.2">
      <c r="A565" s="428" t="s">
        <v>312</v>
      </c>
      <c r="B565" s="473" t="s">
        <v>4482</v>
      </c>
      <c r="C565" s="474" t="s">
        <v>1601</v>
      </c>
      <c r="D565" s="1366" t="s">
        <v>1873</v>
      </c>
      <c r="E565" s="1369" t="s">
        <v>1861</v>
      </c>
      <c r="F565" s="1367" t="s">
        <v>2777</v>
      </c>
      <c r="G565" s="1368" t="s">
        <v>4610</v>
      </c>
      <c r="H565" s="1347" t="s">
        <v>1554</v>
      </c>
      <c r="I565" s="476" t="s">
        <v>1538</v>
      </c>
      <c r="J565" s="475" t="s">
        <v>1876</v>
      </c>
      <c r="K565" s="475"/>
      <c r="L565" s="475"/>
      <c r="M565" s="477"/>
      <c r="N565" s="478"/>
      <c r="O565" s="1770" t="str">
        <f t="shared" si="338"/>
        <v>Inexploitabilité accidentelle de media support de programmes de services bureautiques communs, en médiathèque, due au vieillissement</v>
      </c>
      <c r="P565" s="1610">
        <v>1</v>
      </c>
      <c r="Q565" s="1601" t="s">
        <v>1431</v>
      </c>
      <c r="R565" s="1601" t="s">
        <v>1873</v>
      </c>
      <c r="S565" s="1595" t="str">
        <f>Classif!C24</f>
        <v/>
      </c>
      <c r="T565" s="1595">
        <f t="shared" si="339"/>
        <v>2</v>
      </c>
      <c r="U565" s="1744" t="str">
        <f t="shared" si="340"/>
        <v/>
      </c>
      <c r="V565" s="1771">
        <v>1</v>
      </c>
      <c r="W565" s="1771">
        <v>1</v>
      </c>
      <c r="X565" s="1771">
        <f>S08C05</f>
        <v>1</v>
      </c>
      <c r="Y565" s="1771">
        <f t="shared" si="335"/>
        <v>1</v>
      </c>
      <c r="Z565" s="1772">
        <v>0</v>
      </c>
      <c r="AA565" s="1773"/>
      <c r="AB565" s="1769"/>
      <c r="AC565" s="1769"/>
      <c r="AD565" s="1595" t="str">
        <f t="shared" si="323"/>
        <v/>
      </c>
      <c r="AE565" s="1601">
        <f t="shared" si="341"/>
        <v>2</v>
      </c>
      <c r="AF565" s="1595" t="str">
        <f t="shared" si="342"/>
        <v/>
      </c>
      <c r="AG565" s="1748"/>
      <c r="AH565" s="1749" t="str">
        <f t="shared" si="324"/>
        <v/>
      </c>
      <c r="AI565" s="1634"/>
      <c r="AJ565" s="1636"/>
      <c r="AK565" s="1616" t="s">
        <v>2058</v>
      </c>
      <c r="AL565" s="1617" t="s">
        <v>4954</v>
      </c>
      <c r="AM565" s="247" t="str">
        <f t="shared" si="317"/>
        <v/>
      </c>
      <c r="AN565" s="247" t="str">
        <f t="shared" si="318"/>
        <v/>
      </c>
      <c r="AO565" s="247" t="str">
        <f t="shared" si="319"/>
        <v/>
      </c>
      <c r="AP565" s="247" t="str">
        <f t="shared" si="320"/>
        <v/>
      </c>
      <c r="AQ565" s="42">
        <f t="shared" si="343"/>
        <v>1</v>
      </c>
      <c r="AR565" s="42">
        <f t="shared" si="344"/>
        <v>1</v>
      </c>
      <c r="AS565" s="42">
        <f t="shared" si="345"/>
        <v>1</v>
      </c>
      <c r="AT565" s="42">
        <f t="shared" si="346"/>
        <v>1</v>
      </c>
      <c r="AU565" s="247" t="str">
        <f t="shared" si="321"/>
        <v/>
      </c>
      <c r="AV565" s="247" t="str">
        <f t="shared" si="322"/>
        <v/>
      </c>
    </row>
    <row r="566" spans="1:48" ht="33.75" x14ac:dyDescent="0.2">
      <c r="A566" s="428" t="s">
        <v>313</v>
      </c>
      <c r="B566" s="473" t="s">
        <v>4599</v>
      </c>
      <c r="C566" s="474" t="s">
        <v>1601</v>
      </c>
      <c r="D566" s="1366" t="s">
        <v>1873</v>
      </c>
      <c r="E566" s="1367" t="s">
        <v>1661</v>
      </c>
      <c r="F566" s="1367" t="s">
        <v>1879</v>
      </c>
      <c r="G566" s="1368" t="s">
        <v>5440</v>
      </c>
      <c r="H566" s="1347" t="s">
        <v>1554</v>
      </c>
      <c r="I566" s="476" t="s">
        <v>1534</v>
      </c>
      <c r="J566" s="475" t="s">
        <v>1880</v>
      </c>
      <c r="K566" s="475"/>
      <c r="L566" s="475"/>
      <c r="M566" s="477"/>
      <c r="N566" s="478"/>
      <c r="O566" s="1770" t="str">
        <f t="shared" si="338"/>
        <v>Endommagement accidentel de système hôte de services bureautiques communs, dans les locaux de l'exploitation, due à un dégât des eaux</v>
      </c>
      <c r="P566" s="1610">
        <v>1</v>
      </c>
      <c r="Q566" s="1601" t="s">
        <v>1431</v>
      </c>
      <c r="R566" s="1601" t="s">
        <v>1873</v>
      </c>
      <c r="S566" s="1595" t="str">
        <f>Classif!C24</f>
        <v/>
      </c>
      <c r="T566" s="1595">
        <f t="shared" si="339"/>
        <v>3</v>
      </c>
      <c r="U566" s="1744" t="str">
        <f t="shared" si="340"/>
        <v/>
      </c>
      <c r="V566" s="1771">
        <v>1</v>
      </c>
      <c r="W566" s="1771">
        <f>S03C01</f>
        <v>1</v>
      </c>
      <c r="X566" s="1771">
        <v>1</v>
      </c>
      <c r="Y566" s="1771">
        <f>MAX(S07D01,S09E01,MIN(S08D06,S09E02),MIN(S01E01,S01E02))</f>
        <v>1</v>
      </c>
      <c r="Z566" s="1772">
        <v>0</v>
      </c>
      <c r="AA566" s="1773"/>
      <c r="AB566" s="1769"/>
      <c r="AC566" s="1769"/>
      <c r="AD566" s="1595" t="str">
        <f t="shared" si="323"/>
        <v/>
      </c>
      <c r="AE566" s="1601">
        <f t="shared" si="341"/>
        <v>3</v>
      </c>
      <c r="AF566" s="1595" t="str">
        <f t="shared" si="342"/>
        <v/>
      </c>
      <c r="AG566" s="1748"/>
      <c r="AH566" s="1749" t="str">
        <f t="shared" si="324"/>
        <v/>
      </c>
      <c r="AI566" s="1620"/>
      <c r="AJ566" s="1616" t="s">
        <v>5220</v>
      </c>
      <c r="AK566" s="1635"/>
      <c r="AL566" s="1617" t="s">
        <v>1520</v>
      </c>
      <c r="AM566" s="247" t="str">
        <f t="shared" si="317"/>
        <v/>
      </c>
      <c r="AN566" s="247" t="str">
        <f t="shared" si="318"/>
        <v/>
      </c>
      <c r="AO566" s="247" t="str">
        <f t="shared" si="319"/>
        <v/>
      </c>
      <c r="AP566" s="247" t="str">
        <f t="shared" si="320"/>
        <v/>
      </c>
      <c r="AQ566" s="42">
        <f t="shared" si="343"/>
        <v>1</v>
      </c>
      <c r="AR566" s="42">
        <f t="shared" si="344"/>
        <v>1</v>
      </c>
      <c r="AS566" s="42">
        <f t="shared" si="345"/>
        <v>1</v>
      </c>
      <c r="AT566" s="42">
        <f t="shared" si="346"/>
        <v>1</v>
      </c>
      <c r="AU566" s="247" t="str">
        <f t="shared" si="321"/>
        <v/>
      </c>
      <c r="AV566" s="247" t="str">
        <f t="shared" si="322"/>
        <v/>
      </c>
    </row>
    <row r="567" spans="1:48" ht="33.75" x14ac:dyDescent="0.2">
      <c r="A567" s="428" t="s">
        <v>314</v>
      </c>
      <c r="B567" s="473" t="s">
        <v>4599</v>
      </c>
      <c r="C567" s="474" t="s">
        <v>1601</v>
      </c>
      <c r="D567" s="1366" t="s">
        <v>1873</v>
      </c>
      <c r="E567" s="1367" t="s">
        <v>1661</v>
      </c>
      <c r="F567" s="1367" t="s">
        <v>1879</v>
      </c>
      <c r="G567" s="1368" t="s">
        <v>5440</v>
      </c>
      <c r="H567" s="1347" t="s">
        <v>1554</v>
      </c>
      <c r="I567" s="476" t="s">
        <v>1537</v>
      </c>
      <c r="J567" s="475" t="s">
        <v>1880</v>
      </c>
      <c r="K567" s="475"/>
      <c r="L567" s="475"/>
      <c r="M567" s="477"/>
      <c r="N567" s="478"/>
      <c r="O567" s="1770" t="str">
        <f t="shared" si="338"/>
        <v>Endommagement accidentel de système hôte de services bureautiques communs, dans les locaux de l'exploitation, due à une surcharge électrique</v>
      </c>
      <c r="P567" s="1610">
        <v>1</v>
      </c>
      <c r="Q567" s="1601" t="s">
        <v>1431</v>
      </c>
      <c r="R567" s="1601" t="s">
        <v>1873</v>
      </c>
      <c r="S567" s="1595" t="str">
        <f>Classif!C24</f>
        <v/>
      </c>
      <c r="T567" s="1595">
        <f t="shared" si="339"/>
        <v>2</v>
      </c>
      <c r="U567" s="1744" t="str">
        <f t="shared" si="340"/>
        <v/>
      </c>
      <c r="V567" s="1771">
        <v>1</v>
      </c>
      <c r="W567" s="1771">
        <f>MIN(S03A01,S03A04)</f>
        <v>1</v>
      </c>
      <c r="X567" s="1771">
        <v>1</v>
      </c>
      <c r="Y567" s="1771">
        <f>MAX(S07D01,S09E01,MIN(S08D06,S09E02),MIN(S01E01,S01E02))</f>
        <v>1</v>
      </c>
      <c r="Z567" s="1772">
        <v>0</v>
      </c>
      <c r="AA567" s="1773"/>
      <c r="AB567" s="1769"/>
      <c r="AC567" s="1769"/>
      <c r="AD567" s="1595" t="str">
        <f t="shared" si="323"/>
        <v/>
      </c>
      <c r="AE567" s="1601">
        <f t="shared" si="341"/>
        <v>2</v>
      </c>
      <c r="AF567" s="1595" t="str">
        <f t="shared" si="342"/>
        <v/>
      </c>
      <c r="AG567" s="1748"/>
      <c r="AH567" s="1749" t="str">
        <f t="shared" si="324"/>
        <v/>
      </c>
      <c r="AI567" s="1634"/>
      <c r="AJ567" s="1616" t="s">
        <v>5252</v>
      </c>
      <c r="AK567" s="1616"/>
      <c r="AL567" s="1617" t="s">
        <v>1520</v>
      </c>
      <c r="AM567" s="247" t="str">
        <f t="shared" si="317"/>
        <v/>
      </c>
      <c r="AN567" s="247" t="str">
        <f t="shared" si="318"/>
        <v/>
      </c>
      <c r="AO567" s="247" t="str">
        <f t="shared" si="319"/>
        <v/>
      </c>
      <c r="AP567" s="247" t="str">
        <f t="shared" si="320"/>
        <v/>
      </c>
      <c r="AQ567" s="42">
        <f t="shared" si="343"/>
        <v>1</v>
      </c>
      <c r="AR567" s="42">
        <f t="shared" si="344"/>
        <v>1</v>
      </c>
      <c r="AS567" s="42">
        <f t="shared" si="345"/>
        <v>1</v>
      </c>
      <c r="AT567" s="42">
        <f t="shared" si="346"/>
        <v>1</v>
      </c>
      <c r="AU567" s="247" t="str">
        <f t="shared" si="321"/>
        <v/>
      </c>
      <c r="AV567" s="247" t="str">
        <f t="shared" si="322"/>
        <v/>
      </c>
    </row>
    <row r="568" spans="1:48" ht="36" x14ac:dyDescent="0.2">
      <c r="A568" s="428" t="s">
        <v>315</v>
      </c>
      <c r="B568" s="473" t="s">
        <v>4600</v>
      </c>
      <c r="C568" s="474" t="s">
        <v>1601</v>
      </c>
      <c r="D568" s="1366" t="s">
        <v>1873</v>
      </c>
      <c r="E568" s="1367" t="s">
        <v>1661</v>
      </c>
      <c r="F568" s="1367" t="s">
        <v>1875</v>
      </c>
      <c r="G568" s="1368" t="s">
        <v>5439</v>
      </c>
      <c r="H568" s="1347" t="s">
        <v>3919</v>
      </c>
      <c r="I568" s="476" t="s">
        <v>4329</v>
      </c>
      <c r="J568" s="475" t="s">
        <v>1880</v>
      </c>
      <c r="K568" s="475"/>
      <c r="L568" s="475"/>
      <c r="M568" s="477"/>
      <c r="N568" s="478"/>
      <c r="O568" s="1770" t="str">
        <f t="shared" si="338"/>
        <v>Indisponibilité de longue durée, destruction ou perte accidentelles de système hôte de services bureautiques communs, dans les locaux de l'exploitation, due à un foudroiement</v>
      </c>
      <c r="P568" s="1610">
        <v>1</v>
      </c>
      <c r="Q568" s="1601" t="s">
        <v>1431</v>
      </c>
      <c r="R568" s="1601" t="s">
        <v>1873</v>
      </c>
      <c r="S568" s="1595" t="str">
        <f>Classif!C24</f>
        <v/>
      </c>
      <c r="T568" s="1595">
        <f t="shared" si="339"/>
        <v>2</v>
      </c>
      <c r="U568" s="1744" t="str">
        <f t="shared" si="340"/>
        <v/>
      </c>
      <c r="V568" s="1771">
        <v>1</v>
      </c>
      <c r="W568" s="1771">
        <f>S03A05</f>
        <v>1</v>
      </c>
      <c r="X568" s="1771">
        <v>1</v>
      </c>
      <c r="Y568" s="1771">
        <f>MIN(S08D06,S09E02)</f>
        <v>1</v>
      </c>
      <c r="Z568" s="1772">
        <v>0</v>
      </c>
      <c r="AA568" s="1773"/>
      <c r="AB568" s="1769"/>
      <c r="AC568" s="1769"/>
      <c r="AD568" s="1595" t="str">
        <f t="shared" si="323"/>
        <v/>
      </c>
      <c r="AE568" s="1601">
        <f t="shared" si="341"/>
        <v>2</v>
      </c>
      <c r="AF568" s="1595" t="str">
        <f t="shared" si="342"/>
        <v/>
      </c>
      <c r="AG568" s="1748"/>
      <c r="AH568" s="1749" t="str">
        <f t="shared" si="324"/>
        <v/>
      </c>
      <c r="AI568" s="1620"/>
      <c r="AJ568" s="1616" t="s">
        <v>2343</v>
      </c>
      <c r="AK568" s="1616"/>
      <c r="AL568" s="1617" t="s">
        <v>5144</v>
      </c>
      <c r="AM568" s="247" t="str">
        <f t="shared" si="317"/>
        <v/>
      </c>
      <c r="AN568" s="247" t="str">
        <f t="shared" si="318"/>
        <v/>
      </c>
      <c r="AO568" s="247" t="str">
        <f t="shared" si="319"/>
        <v/>
      </c>
      <c r="AP568" s="247" t="str">
        <f t="shared" si="320"/>
        <v/>
      </c>
      <c r="AQ568" s="42">
        <f t="shared" si="343"/>
        <v>1</v>
      </c>
      <c r="AR568" s="42">
        <f t="shared" si="344"/>
        <v>1</v>
      </c>
      <c r="AS568" s="42">
        <f t="shared" si="345"/>
        <v>1</v>
      </c>
      <c r="AT568" s="42">
        <f t="shared" si="346"/>
        <v>1</v>
      </c>
      <c r="AU568" s="247" t="str">
        <f t="shared" si="321"/>
        <v/>
      </c>
      <c r="AV568" s="247" t="str">
        <f t="shared" si="322"/>
        <v/>
      </c>
    </row>
    <row r="569" spans="1:48" ht="36" x14ac:dyDescent="0.2">
      <c r="A569" s="428" t="s">
        <v>316</v>
      </c>
      <c r="B569" s="473" t="s">
        <v>4600</v>
      </c>
      <c r="C569" s="474" t="s">
        <v>1601</v>
      </c>
      <c r="D569" s="1366" t="s">
        <v>1873</v>
      </c>
      <c r="E569" s="1367" t="s">
        <v>1661</v>
      </c>
      <c r="F569" s="1367" t="s">
        <v>1875</v>
      </c>
      <c r="G569" s="1368" t="s">
        <v>5439</v>
      </c>
      <c r="H569" s="1347" t="s">
        <v>3919</v>
      </c>
      <c r="I569" s="476" t="s">
        <v>1535</v>
      </c>
      <c r="J569" s="475" t="s">
        <v>1880</v>
      </c>
      <c r="K569" s="475"/>
      <c r="L569" s="475"/>
      <c r="M569" s="477"/>
      <c r="N569" s="478"/>
      <c r="O569" s="1770" t="str">
        <f t="shared" si="338"/>
        <v>Indisponibilité de longue durée, destruction ou perte accidentelles de système hôte de services bureautiques communs, dans les locaux de l'exploitation, due à un incendie</v>
      </c>
      <c r="P569" s="1610">
        <v>1</v>
      </c>
      <c r="Q569" s="1601" t="s">
        <v>1431</v>
      </c>
      <c r="R569" s="1601" t="s">
        <v>1873</v>
      </c>
      <c r="S569" s="1595" t="str">
        <f>Classif!C24</f>
        <v/>
      </c>
      <c r="T569" s="1595">
        <f t="shared" si="339"/>
        <v>2</v>
      </c>
      <c r="U569" s="1744" t="str">
        <f t="shared" si="340"/>
        <v/>
      </c>
      <c r="V569" s="1771">
        <v>1</v>
      </c>
      <c r="W569" s="1771">
        <f>S03D01</f>
        <v>1</v>
      </c>
      <c r="X569" s="1771">
        <f>MIN(S03D02,S03D03)</f>
        <v>1</v>
      </c>
      <c r="Y569" s="1771">
        <f>MIN(S08D06,S09E02)</f>
        <v>1</v>
      </c>
      <c r="Z569" s="1772">
        <v>0</v>
      </c>
      <c r="AA569" s="1773"/>
      <c r="AB569" s="1769"/>
      <c r="AC569" s="1769"/>
      <c r="AD569" s="1595" t="str">
        <f t="shared" si="323"/>
        <v/>
      </c>
      <c r="AE569" s="1601">
        <f t="shared" si="341"/>
        <v>2</v>
      </c>
      <c r="AF569" s="1595" t="str">
        <f t="shared" si="342"/>
        <v/>
      </c>
      <c r="AG569" s="1748"/>
      <c r="AH569" s="1749" t="str">
        <f t="shared" si="324"/>
        <v/>
      </c>
      <c r="AI569" s="1620"/>
      <c r="AJ569" s="1616" t="s">
        <v>5225</v>
      </c>
      <c r="AK569" s="1616" t="s">
        <v>1052</v>
      </c>
      <c r="AL569" s="1617" t="s">
        <v>5144</v>
      </c>
      <c r="AM569" s="247" t="str">
        <f t="shared" si="317"/>
        <v/>
      </c>
      <c r="AN569" s="247" t="str">
        <f t="shared" si="318"/>
        <v/>
      </c>
      <c r="AO569" s="247" t="str">
        <f t="shared" si="319"/>
        <v/>
      </c>
      <c r="AP569" s="247" t="str">
        <f t="shared" si="320"/>
        <v/>
      </c>
      <c r="AQ569" s="42">
        <f t="shared" si="343"/>
        <v>1</v>
      </c>
      <c r="AR569" s="42">
        <f t="shared" si="344"/>
        <v>1</v>
      </c>
      <c r="AS569" s="42">
        <f t="shared" si="345"/>
        <v>1</v>
      </c>
      <c r="AT569" s="42">
        <f t="shared" si="346"/>
        <v>1</v>
      </c>
      <c r="AU569" s="247" t="str">
        <f t="shared" si="321"/>
        <v/>
      </c>
      <c r="AV569" s="247" t="str">
        <f t="shared" si="322"/>
        <v/>
      </c>
    </row>
    <row r="570" spans="1:48" ht="36" x14ac:dyDescent="0.2">
      <c r="A570" s="428" t="s">
        <v>317</v>
      </c>
      <c r="B570" s="473" t="s">
        <v>4600</v>
      </c>
      <c r="C570" s="474" t="s">
        <v>1601</v>
      </c>
      <c r="D570" s="1366" t="s">
        <v>1873</v>
      </c>
      <c r="E570" s="1367" t="s">
        <v>1661</v>
      </c>
      <c r="F570" s="1367" t="s">
        <v>1875</v>
      </c>
      <c r="G570" s="1368" t="s">
        <v>5439</v>
      </c>
      <c r="H570" s="1347" t="s">
        <v>3919</v>
      </c>
      <c r="I570" s="476" t="s">
        <v>1536</v>
      </c>
      <c r="J570" s="475" t="s">
        <v>1880</v>
      </c>
      <c r="K570" s="475"/>
      <c r="L570" s="475"/>
      <c r="M570" s="477"/>
      <c r="N570" s="478"/>
      <c r="O570" s="1770" t="str">
        <f t="shared" si="338"/>
        <v>Indisponibilité de longue durée, destruction ou perte accidentelles de système hôte de services bureautiques communs, dans les locaux de l'exploitation, due à une inondation</v>
      </c>
      <c r="P570" s="1610">
        <v>1</v>
      </c>
      <c r="Q570" s="1601" t="s">
        <v>1431</v>
      </c>
      <c r="R570" s="1601" t="s">
        <v>1873</v>
      </c>
      <c r="S570" s="1595" t="str">
        <f>Classif!C24</f>
        <v/>
      </c>
      <c r="T570" s="1595">
        <f t="shared" si="339"/>
        <v>2</v>
      </c>
      <c r="U570" s="1744" t="str">
        <f t="shared" si="340"/>
        <v/>
      </c>
      <c r="V570" s="1771">
        <v>1</v>
      </c>
      <c r="W570" s="1771">
        <f>S03C01</f>
        <v>1</v>
      </c>
      <c r="X570" s="1771">
        <f>MIN(S03C02,S03C03)</f>
        <v>1</v>
      </c>
      <c r="Y570" s="1771">
        <f>MIN(S08D06,S09E02)</f>
        <v>1</v>
      </c>
      <c r="Z570" s="1772">
        <v>0</v>
      </c>
      <c r="AA570" s="1773"/>
      <c r="AB570" s="1769"/>
      <c r="AC570" s="1769"/>
      <c r="AD570" s="1595" t="str">
        <f t="shared" si="323"/>
        <v/>
      </c>
      <c r="AE570" s="1601">
        <f t="shared" si="341"/>
        <v>2</v>
      </c>
      <c r="AF570" s="1595" t="str">
        <f t="shared" si="342"/>
        <v/>
      </c>
      <c r="AG570" s="1748"/>
      <c r="AH570" s="1749" t="str">
        <f t="shared" si="324"/>
        <v/>
      </c>
      <c r="AI570" s="1620"/>
      <c r="AJ570" s="1616" t="s">
        <v>5220</v>
      </c>
      <c r="AK570" s="1616" t="s">
        <v>1054</v>
      </c>
      <c r="AL570" s="1617" t="s">
        <v>5144</v>
      </c>
      <c r="AM570" s="247" t="str">
        <f t="shared" si="317"/>
        <v/>
      </c>
      <c r="AN570" s="247" t="str">
        <f t="shared" si="318"/>
        <v/>
      </c>
      <c r="AO570" s="247" t="str">
        <f t="shared" si="319"/>
        <v/>
      </c>
      <c r="AP570" s="247" t="str">
        <f t="shared" si="320"/>
        <v/>
      </c>
      <c r="AQ570" s="42">
        <f t="shared" si="343"/>
        <v>1</v>
      </c>
      <c r="AR570" s="42">
        <f t="shared" si="344"/>
        <v>1</v>
      </c>
      <c r="AS570" s="42">
        <f t="shared" si="345"/>
        <v>1</v>
      </c>
      <c r="AT570" s="42">
        <f t="shared" si="346"/>
        <v>1</v>
      </c>
      <c r="AU570" s="247" t="str">
        <f t="shared" si="321"/>
        <v/>
      </c>
      <c r="AV570" s="247" t="str">
        <f t="shared" si="322"/>
        <v/>
      </c>
    </row>
    <row r="571" spans="1:48" ht="24" x14ac:dyDescent="0.2">
      <c r="A571" s="428" t="s">
        <v>318</v>
      </c>
      <c r="B571" s="473" t="s">
        <v>4257</v>
      </c>
      <c r="C571" s="474" t="s">
        <v>1601</v>
      </c>
      <c r="D571" s="1366" t="s">
        <v>1873</v>
      </c>
      <c r="E571" s="1367" t="s">
        <v>1661</v>
      </c>
      <c r="F571" s="1367" t="s">
        <v>1503</v>
      </c>
      <c r="G571" s="1368" t="s">
        <v>5440</v>
      </c>
      <c r="H571" s="1347" t="s">
        <v>3920</v>
      </c>
      <c r="I571" s="476" t="s">
        <v>3526</v>
      </c>
      <c r="J571" s="475"/>
      <c r="K571" s="475"/>
      <c r="L571" s="475"/>
      <c r="M571" s="477"/>
      <c r="N571" s="478"/>
      <c r="O571" s="1770" t="str">
        <f>VLOOKUP(B571,code_famille_scénario,2)&amp;VLOOKUP(C571,code_actif,2)&amp;", due "&amp;VLOOKUP(I571,code_event,2)</f>
        <v>Indisponibilité temporaire accidentelle de système hôte de services bureautiques communs, due à une panne d'équipement</v>
      </c>
      <c r="P571" s="1610">
        <v>1</v>
      </c>
      <c r="Q571" s="1601" t="s">
        <v>1431</v>
      </c>
      <c r="R571" s="1601" t="s">
        <v>1873</v>
      </c>
      <c r="S571" s="1595" t="str">
        <f>Classif!C24</f>
        <v/>
      </c>
      <c r="T571" s="1595">
        <f t="shared" si="339"/>
        <v>3</v>
      </c>
      <c r="U571" s="1744" t="str">
        <f t="shared" si="340"/>
        <v/>
      </c>
      <c r="V571" s="1771">
        <v>1</v>
      </c>
      <c r="W571" s="1771">
        <f>S09E01</f>
        <v>1</v>
      </c>
      <c r="X571" s="1771">
        <v>1</v>
      </c>
      <c r="Y571" s="1771">
        <f>MAX(S07D01,S08D01)</f>
        <v>1</v>
      </c>
      <c r="Z571" s="1772">
        <v>0</v>
      </c>
      <c r="AA571" s="1773"/>
      <c r="AB571" s="1769"/>
      <c r="AC571" s="1769"/>
      <c r="AD571" s="1595" t="str">
        <f t="shared" si="323"/>
        <v/>
      </c>
      <c r="AE571" s="1601">
        <f t="shared" si="341"/>
        <v>3</v>
      </c>
      <c r="AF571" s="1595" t="str">
        <f t="shared" si="342"/>
        <v/>
      </c>
      <c r="AG571" s="1748"/>
      <c r="AH571" s="1749" t="str">
        <f t="shared" si="324"/>
        <v/>
      </c>
      <c r="AI571" s="1620"/>
      <c r="AJ571" s="1616" t="s">
        <v>5928</v>
      </c>
      <c r="AK571" s="1616"/>
      <c r="AL571" s="1617" t="s">
        <v>5145</v>
      </c>
      <c r="AM571" s="247" t="str">
        <f t="shared" si="317"/>
        <v/>
      </c>
      <c r="AN571" s="247" t="str">
        <f t="shared" si="318"/>
        <v/>
      </c>
      <c r="AO571" s="247" t="str">
        <f t="shared" si="319"/>
        <v/>
      </c>
      <c r="AP571" s="247" t="str">
        <f t="shared" si="320"/>
        <v/>
      </c>
      <c r="AQ571" s="42">
        <f t="shared" si="343"/>
        <v>1</v>
      </c>
      <c r="AR571" s="42">
        <f t="shared" si="344"/>
        <v>1</v>
      </c>
      <c r="AS571" s="42">
        <f t="shared" si="345"/>
        <v>1</v>
      </c>
      <c r="AT571" s="42">
        <f t="shared" si="346"/>
        <v>1</v>
      </c>
      <c r="AU571" s="247" t="str">
        <f t="shared" si="321"/>
        <v/>
      </c>
      <c r="AV571" s="247" t="str">
        <f t="shared" si="322"/>
        <v/>
      </c>
    </row>
    <row r="572" spans="1:48" ht="24" x14ac:dyDescent="0.2">
      <c r="A572" s="428" t="s">
        <v>319</v>
      </c>
      <c r="B572" s="473" t="s">
        <v>4257</v>
      </c>
      <c r="C572" s="474" t="s">
        <v>1601</v>
      </c>
      <c r="D572" s="1366" t="s">
        <v>1873</v>
      </c>
      <c r="E572" s="1367" t="s">
        <v>5927</v>
      </c>
      <c r="F572" s="1367" t="s">
        <v>1503</v>
      </c>
      <c r="G572" s="1368" t="s">
        <v>6079</v>
      </c>
      <c r="H572" s="1347" t="s">
        <v>3920</v>
      </c>
      <c r="I572" s="476" t="s">
        <v>4295</v>
      </c>
      <c r="J572" s="475"/>
      <c r="K572" s="475"/>
      <c r="L572" s="475"/>
      <c r="M572" s="477"/>
      <c r="N572" s="478"/>
      <c r="O572" s="1770" t="str">
        <f>VLOOKUP(B572,code_famille_scénario,2)&amp;VLOOKUP(C572,code_actif,2)&amp;", due "&amp;VLOOKUP(I572,code_event,2)</f>
        <v>Indisponibilité temporaire accidentelle de système hôte de services bureautiques communs, due à une défaillance ou à une indisponibilité de moyens de servitude</v>
      </c>
      <c r="P572" s="1610">
        <v>1</v>
      </c>
      <c r="Q572" s="1601" t="s">
        <v>1431</v>
      </c>
      <c r="R572" s="1601" t="s">
        <v>1873</v>
      </c>
      <c r="S572" s="1595" t="str">
        <f>Classif!C24</f>
        <v/>
      </c>
      <c r="T572" s="1595">
        <f t="shared" si="339"/>
        <v>3</v>
      </c>
      <c r="U572" s="1744" t="str">
        <f t="shared" si="340"/>
        <v/>
      </c>
      <c r="V572" s="1771">
        <v>1</v>
      </c>
      <c r="W572" s="1771">
        <v>1</v>
      </c>
      <c r="X572" s="1771">
        <v>1</v>
      </c>
      <c r="Y572" s="1771">
        <f>S03A06</f>
        <v>1</v>
      </c>
      <c r="Z572" s="1772">
        <v>0</v>
      </c>
      <c r="AA572" s="1773"/>
      <c r="AB572" s="1769"/>
      <c r="AC572" s="1769"/>
      <c r="AD572" s="1595" t="str">
        <f t="shared" si="323"/>
        <v/>
      </c>
      <c r="AE572" s="1601">
        <f t="shared" si="341"/>
        <v>3</v>
      </c>
      <c r="AF572" s="1595" t="str">
        <f t="shared" si="342"/>
        <v/>
      </c>
      <c r="AG572" s="1748"/>
      <c r="AH572" s="1749" t="str">
        <f t="shared" si="324"/>
        <v/>
      </c>
      <c r="AI572" s="1620"/>
      <c r="AJ572" s="1616"/>
      <c r="AK572" s="1616"/>
      <c r="AL572" s="1617" t="s">
        <v>1055</v>
      </c>
      <c r="AM572" s="247" t="str">
        <f t="shared" si="317"/>
        <v/>
      </c>
      <c r="AN572" s="247" t="str">
        <f t="shared" si="318"/>
        <v/>
      </c>
      <c r="AO572" s="247" t="str">
        <f t="shared" si="319"/>
        <v/>
      </c>
      <c r="AP572" s="247" t="str">
        <f t="shared" si="320"/>
        <v/>
      </c>
      <c r="AQ572" s="42">
        <f t="shared" si="343"/>
        <v>1</v>
      </c>
      <c r="AR572" s="42">
        <f t="shared" si="344"/>
        <v>1</v>
      </c>
      <c r="AS572" s="42">
        <f t="shared" si="345"/>
        <v>1</v>
      </c>
      <c r="AT572" s="42">
        <f t="shared" si="346"/>
        <v>1</v>
      </c>
      <c r="AU572" s="247" t="str">
        <f t="shared" si="321"/>
        <v/>
      </c>
      <c r="AV572" s="247" t="str">
        <f t="shared" si="322"/>
        <v/>
      </c>
    </row>
    <row r="573" spans="1:48" ht="24" x14ac:dyDescent="0.2">
      <c r="A573" s="428" t="s">
        <v>320</v>
      </c>
      <c r="B573" s="473" t="s">
        <v>4257</v>
      </c>
      <c r="C573" s="474" t="s">
        <v>1601</v>
      </c>
      <c r="D573" s="1366" t="s">
        <v>1873</v>
      </c>
      <c r="E573" s="1367" t="s">
        <v>5927</v>
      </c>
      <c r="F573" s="1367" t="s">
        <v>1503</v>
      </c>
      <c r="G573" s="1368" t="s">
        <v>6079</v>
      </c>
      <c r="H573" s="1347" t="s">
        <v>1474</v>
      </c>
      <c r="I573" s="476" t="s">
        <v>1541</v>
      </c>
      <c r="J573" s="475"/>
      <c r="K573" s="475"/>
      <c r="L573" s="475"/>
      <c r="M573" s="477"/>
      <c r="N573" s="478"/>
      <c r="O573" s="1770" t="str">
        <f>VLOOKUP(B573,code_famille_scénario,2)&amp;VLOOKUP(C573,code_actif,2)&amp;", due "&amp;VLOOKUP(I573,code_event,2)</f>
        <v>Indisponibilité temporaire accidentelle de système hôte de services bureautiques communs, due à un manque d'alimentation en énergie (défaut externe)</v>
      </c>
      <c r="P573" s="1610">
        <v>1</v>
      </c>
      <c r="Q573" s="1601" t="s">
        <v>1431</v>
      </c>
      <c r="R573" s="1601" t="s">
        <v>1873</v>
      </c>
      <c r="S573" s="1595" t="str">
        <f>Classif!C24</f>
        <v/>
      </c>
      <c r="T573" s="1595">
        <f t="shared" si="339"/>
        <v>3</v>
      </c>
      <c r="U573" s="1744" t="str">
        <f t="shared" si="340"/>
        <v/>
      </c>
      <c r="V573" s="1771">
        <v>1</v>
      </c>
      <c r="W573" s="1771">
        <v>1</v>
      </c>
      <c r="X573" s="1771">
        <v>1</v>
      </c>
      <c r="Y573" s="1771">
        <f>S03A02</f>
        <v>1</v>
      </c>
      <c r="Z573" s="1772">
        <v>0</v>
      </c>
      <c r="AA573" s="1773"/>
      <c r="AB573" s="1769"/>
      <c r="AC573" s="1769"/>
      <c r="AD573" s="1595" t="str">
        <f t="shared" si="323"/>
        <v/>
      </c>
      <c r="AE573" s="1601">
        <f t="shared" si="341"/>
        <v>3</v>
      </c>
      <c r="AF573" s="1595" t="str">
        <f t="shared" si="342"/>
        <v/>
      </c>
      <c r="AG573" s="1748"/>
      <c r="AH573" s="1749" t="str">
        <f t="shared" si="324"/>
        <v/>
      </c>
      <c r="AI573" s="1620"/>
      <c r="AJ573" s="1635"/>
      <c r="AK573" s="1616"/>
      <c r="AL573" s="1617" t="s">
        <v>6388</v>
      </c>
      <c r="AM573" s="247" t="str">
        <f t="shared" si="317"/>
        <v/>
      </c>
      <c r="AN573" s="247" t="str">
        <f t="shared" si="318"/>
        <v/>
      </c>
      <c r="AO573" s="247" t="str">
        <f t="shared" si="319"/>
        <v/>
      </c>
      <c r="AP573" s="247" t="str">
        <f t="shared" si="320"/>
        <v/>
      </c>
      <c r="AQ573" s="42">
        <f t="shared" si="343"/>
        <v>1</v>
      </c>
      <c r="AR573" s="42">
        <f t="shared" si="344"/>
        <v>1</v>
      </c>
      <c r="AS573" s="42">
        <f t="shared" si="345"/>
        <v>1</v>
      </c>
      <c r="AT573" s="42">
        <f t="shared" si="346"/>
        <v>1</v>
      </c>
      <c r="AU573" s="247" t="str">
        <f t="shared" si="321"/>
        <v/>
      </c>
      <c r="AV573" s="247" t="str">
        <f t="shared" si="322"/>
        <v/>
      </c>
    </row>
    <row r="574" spans="1:48" ht="36" x14ac:dyDescent="0.2">
      <c r="A574" s="428" t="s">
        <v>321</v>
      </c>
      <c r="B574" s="473" t="s">
        <v>2902</v>
      </c>
      <c r="C574" s="474" t="s">
        <v>1601</v>
      </c>
      <c r="D574" s="1366" t="s">
        <v>1873</v>
      </c>
      <c r="E574" s="1367" t="s">
        <v>1661</v>
      </c>
      <c r="F574" s="1367" t="s">
        <v>1879</v>
      </c>
      <c r="G574" s="1368" t="s">
        <v>5440</v>
      </c>
      <c r="H574" s="1347" t="s">
        <v>1329</v>
      </c>
      <c r="I574" s="476" t="s">
        <v>1552</v>
      </c>
      <c r="J574" s="475" t="s">
        <v>1880</v>
      </c>
      <c r="K574" s="475"/>
      <c r="L574" s="475"/>
      <c r="M574" s="477"/>
      <c r="N574" s="478" t="s">
        <v>4816</v>
      </c>
      <c r="O574" s="1770" t="str">
        <f>VLOOKUP(B574,code_famille_scénario,2)&amp;VLOOKUP(C574,code_actif,2)&amp;", due "&amp;VLOOKUP(I574,code_event,2)&amp;", "&amp;VLOOKUP(J574,Code_lieu,2)&amp;", par "&amp;VLOOKUP(N574,code_acteur,2)</f>
        <v>Endommagement malveillant de système hôte de services bureautiques communs, due à du vandalisme, dans les locaux de l'exploitation, par un membre  du personnel autorisé</v>
      </c>
      <c r="P574" s="1610">
        <v>1</v>
      </c>
      <c r="Q574" s="1601" t="s">
        <v>1299</v>
      </c>
      <c r="R574" s="1601" t="s">
        <v>1873</v>
      </c>
      <c r="S574" s="1595" t="str">
        <f>Classif!C24</f>
        <v/>
      </c>
      <c r="T574" s="1595">
        <f t="shared" si="339"/>
        <v>2</v>
      </c>
      <c r="U574" s="1744" t="str">
        <f t="shared" si="340"/>
        <v/>
      </c>
      <c r="V574" s="1771">
        <f>S03B06</f>
        <v>1</v>
      </c>
      <c r="W574" s="1771">
        <f>MIN(S03B01,S03B02,S03B03)</f>
        <v>1</v>
      </c>
      <c r="X574" s="1771">
        <f>S03B04</f>
        <v>1</v>
      </c>
      <c r="Y574" s="1771">
        <f>S08D01</f>
        <v>1</v>
      </c>
      <c r="Z574" s="1772">
        <v>0</v>
      </c>
      <c r="AA574" s="1773"/>
      <c r="AB574" s="1769"/>
      <c r="AC574" s="1769"/>
      <c r="AD574" s="1595" t="str">
        <f t="shared" si="323"/>
        <v/>
      </c>
      <c r="AE574" s="1601">
        <f t="shared" si="341"/>
        <v>2</v>
      </c>
      <c r="AF574" s="1595" t="str">
        <f t="shared" si="342"/>
        <v/>
      </c>
      <c r="AG574" s="1748"/>
      <c r="AH574" s="1749" t="str">
        <f t="shared" si="324"/>
        <v/>
      </c>
      <c r="AI574" s="1620" t="s">
        <v>1665</v>
      </c>
      <c r="AJ574" s="1616" t="s">
        <v>1053</v>
      </c>
      <c r="AK574" s="1616" t="s">
        <v>3254</v>
      </c>
      <c r="AL574" s="1617" t="s">
        <v>1137</v>
      </c>
      <c r="AM574" s="247" t="str">
        <f t="shared" si="317"/>
        <v/>
      </c>
      <c r="AN574" s="247" t="str">
        <f t="shared" si="318"/>
        <v/>
      </c>
      <c r="AO574" s="247" t="str">
        <f t="shared" si="319"/>
        <v/>
      </c>
      <c r="AP574" s="247" t="str">
        <f t="shared" si="320"/>
        <v/>
      </c>
      <c r="AQ574" s="42">
        <f t="shared" si="343"/>
        <v>1</v>
      </c>
      <c r="AR574" s="42">
        <f t="shared" si="344"/>
        <v>1</v>
      </c>
      <c r="AS574" s="42">
        <f t="shared" si="345"/>
        <v>1</v>
      </c>
      <c r="AT574" s="42">
        <f t="shared" si="346"/>
        <v>1</v>
      </c>
      <c r="AU574" s="247" t="str">
        <f t="shared" si="321"/>
        <v/>
      </c>
      <c r="AV574" s="247" t="str">
        <f t="shared" si="322"/>
        <v/>
      </c>
    </row>
    <row r="575" spans="1:48" ht="36" x14ac:dyDescent="0.2">
      <c r="A575" s="428" t="s">
        <v>322</v>
      </c>
      <c r="B575" s="473" t="s">
        <v>2902</v>
      </c>
      <c r="C575" s="474" t="s">
        <v>1601</v>
      </c>
      <c r="D575" s="1366" t="s">
        <v>1873</v>
      </c>
      <c r="E575" s="1367" t="s">
        <v>1661</v>
      </c>
      <c r="F575" s="1367" t="s">
        <v>1879</v>
      </c>
      <c r="G575" s="1368" t="s">
        <v>5440</v>
      </c>
      <c r="H575" s="1347" t="s">
        <v>1329</v>
      </c>
      <c r="I575" s="476" t="s">
        <v>1552</v>
      </c>
      <c r="J575" s="475" t="s">
        <v>1880</v>
      </c>
      <c r="K575" s="475"/>
      <c r="L575" s="475"/>
      <c r="M575" s="477"/>
      <c r="N575" s="478" t="s">
        <v>3518</v>
      </c>
      <c r="O575" s="1770" t="str">
        <f>VLOOKUP(B575,code_famille_scénario,2)&amp;VLOOKUP(C575,code_actif,2)&amp;", due "&amp;VLOOKUP(I575,code_event,2)&amp;", "&amp;VLOOKUP(J575,Code_lieu,2)&amp;", par "&amp;VLOOKUP(N575,code_acteur,2)</f>
        <v>Endommagement malveillant de système hôte de services bureautiques communs, due à du vandalisme, dans les locaux de l'exploitation, par un membre du personnel non autorisé</v>
      </c>
      <c r="P575" s="1610">
        <v>1</v>
      </c>
      <c r="Q575" s="1601" t="s">
        <v>1299</v>
      </c>
      <c r="R575" s="1601" t="s">
        <v>1873</v>
      </c>
      <c r="S575" s="1595" t="str">
        <f>Classif!C24</f>
        <v/>
      </c>
      <c r="T575" s="1595">
        <f t="shared" si="339"/>
        <v>2</v>
      </c>
      <c r="U575" s="1744" t="str">
        <f t="shared" si="340"/>
        <v/>
      </c>
      <c r="V575" s="1771">
        <v>1</v>
      </c>
      <c r="W575" s="1771">
        <f>MIN(S03B03,S03B04,S03B06)</f>
        <v>1</v>
      </c>
      <c r="X575" s="1771">
        <v>1</v>
      </c>
      <c r="Y575" s="1771">
        <f>S08D01</f>
        <v>1</v>
      </c>
      <c r="Z575" s="1772">
        <v>0</v>
      </c>
      <c r="AA575" s="1773"/>
      <c r="AB575" s="1769"/>
      <c r="AC575" s="1769"/>
      <c r="AD575" s="1595" t="str">
        <f t="shared" si="323"/>
        <v/>
      </c>
      <c r="AE575" s="1601">
        <f t="shared" si="341"/>
        <v>2</v>
      </c>
      <c r="AF575" s="1595" t="str">
        <f t="shared" si="342"/>
        <v/>
      </c>
      <c r="AG575" s="1748"/>
      <c r="AH575" s="1749" t="str">
        <f t="shared" si="324"/>
        <v/>
      </c>
      <c r="AI575" s="1634"/>
      <c r="AJ575" s="1616" t="s">
        <v>1412</v>
      </c>
      <c r="AK575" s="1635"/>
      <c r="AL575" s="1617" t="s">
        <v>1137</v>
      </c>
      <c r="AM575" s="247" t="str">
        <f t="shared" si="317"/>
        <v/>
      </c>
      <c r="AN575" s="247" t="str">
        <f t="shared" si="318"/>
        <v/>
      </c>
      <c r="AO575" s="247" t="str">
        <f t="shared" si="319"/>
        <v/>
      </c>
      <c r="AP575" s="247" t="str">
        <f t="shared" si="320"/>
        <v/>
      </c>
      <c r="AQ575" s="42">
        <f t="shared" si="343"/>
        <v>1</v>
      </c>
      <c r="AR575" s="42">
        <f t="shared" si="344"/>
        <v>1</v>
      </c>
      <c r="AS575" s="42">
        <f t="shared" si="345"/>
        <v>1</v>
      </c>
      <c r="AT575" s="42">
        <f t="shared" si="346"/>
        <v>1</v>
      </c>
      <c r="AU575" s="247" t="str">
        <f t="shared" si="321"/>
        <v/>
      </c>
      <c r="AV575" s="247" t="str">
        <f t="shared" si="322"/>
        <v/>
      </c>
    </row>
    <row r="576" spans="1:48" ht="36" x14ac:dyDescent="0.2">
      <c r="A576" s="428" t="s">
        <v>323</v>
      </c>
      <c r="B576" s="473" t="s">
        <v>2902</v>
      </c>
      <c r="C576" s="474" t="s">
        <v>1601</v>
      </c>
      <c r="D576" s="1366" t="s">
        <v>1873</v>
      </c>
      <c r="E576" s="1367" t="s">
        <v>1661</v>
      </c>
      <c r="F576" s="1367" t="s">
        <v>1879</v>
      </c>
      <c r="G576" s="1368" t="s">
        <v>5440</v>
      </c>
      <c r="H576" s="1347" t="s">
        <v>1329</v>
      </c>
      <c r="I576" s="476" t="s">
        <v>1552</v>
      </c>
      <c r="J576" s="475"/>
      <c r="K576" s="475"/>
      <c r="L576" s="475"/>
      <c r="M576" s="477"/>
      <c r="N576" s="478" t="s">
        <v>1521</v>
      </c>
      <c r="O576" s="1770" t="str">
        <f>VLOOKUP(B576,code_famille_scénario,2)&amp;VLOOKUP(C576,code_actif,2)&amp;", due "&amp;VLOOKUP(I576,code_event,2)&amp;", par "&amp;VLOOKUP(N576,code_acteur,2)</f>
        <v>Endommagement malveillant de système hôte de services bureautiques communs, due à du vandalisme, par des vandales ou des terroristes agissant depuis l'extérieur</v>
      </c>
      <c r="P576" s="1610">
        <v>1</v>
      </c>
      <c r="Q576" s="1601" t="s">
        <v>1299</v>
      </c>
      <c r="R576" s="1601" t="s">
        <v>1873</v>
      </c>
      <c r="S576" s="1595" t="str">
        <f>Classif!C24</f>
        <v/>
      </c>
      <c r="T576" s="1595">
        <f t="shared" si="339"/>
        <v>2</v>
      </c>
      <c r="U576" s="1744" t="str">
        <f t="shared" si="340"/>
        <v/>
      </c>
      <c r="V576" s="1771">
        <v>1</v>
      </c>
      <c r="W576" s="1771">
        <v>1</v>
      </c>
      <c r="X576" s="1771">
        <v>1</v>
      </c>
      <c r="Y576" s="1771">
        <f>S08D01</f>
        <v>1</v>
      </c>
      <c r="Z576" s="1772">
        <v>0</v>
      </c>
      <c r="AA576" s="1773"/>
      <c r="AB576" s="1769"/>
      <c r="AC576" s="1769"/>
      <c r="AD576" s="1595" t="str">
        <f t="shared" si="323"/>
        <v/>
      </c>
      <c r="AE576" s="1601">
        <f t="shared" si="341"/>
        <v>2</v>
      </c>
      <c r="AF576" s="1595" t="str">
        <f t="shared" si="342"/>
        <v/>
      </c>
      <c r="AG576" s="1748"/>
      <c r="AH576" s="1749" t="str">
        <f t="shared" si="324"/>
        <v/>
      </c>
      <c r="AI576" s="1620"/>
      <c r="AJ576" s="1616"/>
      <c r="AK576" s="1616"/>
      <c r="AL576" s="1617" t="s">
        <v>1137</v>
      </c>
      <c r="AM576" s="247" t="str">
        <f t="shared" si="317"/>
        <v/>
      </c>
      <c r="AN576" s="247" t="str">
        <f t="shared" si="318"/>
        <v/>
      </c>
      <c r="AO576" s="247" t="str">
        <f t="shared" si="319"/>
        <v/>
      </c>
      <c r="AP576" s="247" t="str">
        <f t="shared" si="320"/>
        <v/>
      </c>
      <c r="AQ576" s="42">
        <f t="shared" si="343"/>
        <v>1</v>
      </c>
      <c r="AR576" s="42">
        <f t="shared" si="344"/>
        <v>1</v>
      </c>
      <c r="AS576" s="42">
        <f t="shared" si="345"/>
        <v>1</v>
      </c>
      <c r="AT576" s="42">
        <f t="shared" si="346"/>
        <v>1</v>
      </c>
      <c r="AU576" s="247" t="str">
        <f t="shared" si="321"/>
        <v/>
      </c>
      <c r="AV576" s="247" t="str">
        <f t="shared" si="322"/>
        <v/>
      </c>
    </row>
    <row r="577" spans="1:48" ht="36" x14ac:dyDescent="0.2">
      <c r="A577" s="428" t="s">
        <v>324</v>
      </c>
      <c r="B577" s="473" t="s">
        <v>2902</v>
      </c>
      <c r="C577" s="474" t="s">
        <v>1601</v>
      </c>
      <c r="D577" s="1366" t="s">
        <v>1873</v>
      </c>
      <c r="E577" s="1367" t="s">
        <v>1661</v>
      </c>
      <c r="F577" s="1367" t="s">
        <v>1879</v>
      </c>
      <c r="G577" s="1368" t="s">
        <v>5440</v>
      </c>
      <c r="H577" s="1347" t="s">
        <v>1329</v>
      </c>
      <c r="I577" s="476" t="s">
        <v>1552</v>
      </c>
      <c r="J577" s="475"/>
      <c r="K577" s="475"/>
      <c r="L577" s="475"/>
      <c r="M577" s="477"/>
      <c r="N577" s="478" t="s">
        <v>1522</v>
      </c>
      <c r="O577" s="1770" t="str">
        <f>VLOOKUP(B577,code_famille_scénario,2)&amp;VLOOKUP(C577,code_actif,2)&amp;", due "&amp;VLOOKUP(I577,code_event,2)&amp;", par "&amp;VLOOKUP(N577,code_acteur,2)</f>
        <v>Endommagement malveillant de système hôte de services bureautiques communs, due à du vandalisme, par des vandales ou des terroristes agissant depuis l'intérieur (après intrusion)</v>
      </c>
      <c r="P577" s="1610">
        <v>1</v>
      </c>
      <c r="Q577" s="1601" t="s">
        <v>1299</v>
      </c>
      <c r="R577" s="1601" t="s">
        <v>1873</v>
      </c>
      <c r="S577" s="1595" t="str">
        <f>Classif!C24</f>
        <v/>
      </c>
      <c r="T577" s="1595">
        <f t="shared" si="339"/>
        <v>2</v>
      </c>
      <c r="U577" s="1744" t="str">
        <f t="shared" si="340"/>
        <v/>
      </c>
      <c r="V577" s="1771">
        <v>1</v>
      </c>
      <c r="W577" s="1745">
        <f>MIN(S02A01,S02A02,S02A03,S02A05)</f>
        <v>1</v>
      </c>
      <c r="X577" s="1745">
        <f>S02A04</f>
        <v>1</v>
      </c>
      <c r="Y577" s="1771">
        <f>S08D01</f>
        <v>1</v>
      </c>
      <c r="Z577" s="1772">
        <v>0</v>
      </c>
      <c r="AA577" s="1773"/>
      <c r="AB577" s="1769"/>
      <c r="AC577" s="1769"/>
      <c r="AD577" s="1595" t="str">
        <f t="shared" si="323"/>
        <v/>
      </c>
      <c r="AE577" s="1601">
        <f t="shared" si="341"/>
        <v>2</v>
      </c>
      <c r="AF577" s="1595" t="str">
        <f t="shared" si="342"/>
        <v/>
      </c>
      <c r="AG577" s="1748"/>
      <c r="AH577" s="1749" t="str">
        <f t="shared" si="324"/>
        <v/>
      </c>
      <c r="AI577" s="1620"/>
      <c r="AJ577" s="1616" t="s">
        <v>1518</v>
      </c>
      <c r="AK577" s="1616" t="s">
        <v>6400</v>
      </c>
      <c r="AL577" s="1617" t="s">
        <v>1137</v>
      </c>
      <c r="AM577" s="247" t="str">
        <f t="shared" si="317"/>
        <v/>
      </c>
      <c r="AN577" s="247" t="str">
        <f t="shared" si="318"/>
        <v/>
      </c>
      <c r="AO577" s="247" t="str">
        <f t="shared" si="319"/>
        <v/>
      </c>
      <c r="AP577" s="247" t="str">
        <f t="shared" si="320"/>
        <v/>
      </c>
      <c r="AQ577" s="42">
        <f t="shared" si="343"/>
        <v>1</v>
      </c>
      <c r="AR577" s="42">
        <f t="shared" si="344"/>
        <v>1</v>
      </c>
      <c r="AS577" s="42">
        <f t="shared" si="345"/>
        <v>1</v>
      </c>
      <c r="AT577" s="42">
        <f t="shared" si="346"/>
        <v>1</v>
      </c>
      <c r="AU577" s="247" t="str">
        <f t="shared" si="321"/>
        <v/>
      </c>
      <c r="AV577" s="247" t="str">
        <f t="shared" si="322"/>
        <v/>
      </c>
    </row>
    <row r="578" spans="1:48" ht="36" x14ac:dyDescent="0.2">
      <c r="A578" s="428" t="s">
        <v>325</v>
      </c>
      <c r="B578" s="473" t="s">
        <v>2870</v>
      </c>
      <c r="C578" s="474" t="s">
        <v>1601</v>
      </c>
      <c r="D578" s="1366" t="s">
        <v>1873</v>
      </c>
      <c r="E578" s="1367" t="s">
        <v>1661</v>
      </c>
      <c r="F578" s="1367" t="s">
        <v>1875</v>
      </c>
      <c r="G578" s="1368" t="s">
        <v>5439</v>
      </c>
      <c r="H578" s="1347" t="s">
        <v>1329</v>
      </c>
      <c r="I578" s="476" t="s">
        <v>1551</v>
      </c>
      <c r="J578" s="475"/>
      <c r="K578" s="475"/>
      <c r="L578" s="475"/>
      <c r="M578" s="477"/>
      <c r="N578" s="478" t="s">
        <v>1521</v>
      </c>
      <c r="O578" s="1770" t="str">
        <f>VLOOKUP(B578,code_famille_scénario,2)&amp;VLOOKUP(C578,code_actif,2)&amp;", due "&amp;VLOOKUP(I578,code_event,2)&amp;", par "&amp;VLOOKUP(N578,code_acteur,2)</f>
        <v>Destruction malveillante de système hôte de services bureautiques communs, due à un acte terroriste, par des vandales ou des terroristes agissant depuis l'extérieur</v>
      </c>
      <c r="P578" s="1610">
        <v>1</v>
      </c>
      <c r="Q578" s="1601" t="s">
        <v>1299</v>
      </c>
      <c r="R578" s="1601" t="s">
        <v>1873</v>
      </c>
      <c r="S578" s="1595" t="str">
        <f>Classif!C24</f>
        <v/>
      </c>
      <c r="T578" s="1595">
        <f t="shared" si="339"/>
        <v>2</v>
      </c>
      <c r="U578" s="1744" t="str">
        <f t="shared" si="340"/>
        <v/>
      </c>
      <c r="V578" s="1771">
        <v>1</v>
      </c>
      <c r="W578" s="1771">
        <v>1</v>
      </c>
      <c r="X578" s="1771">
        <v>1</v>
      </c>
      <c r="Y578" s="1771">
        <f>MIN(S08D06,S09E02)</f>
        <v>1</v>
      </c>
      <c r="Z578" s="1772">
        <v>0</v>
      </c>
      <c r="AA578" s="1773"/>
      <c r="AB578" s="1769"/>
      <c r="AC578" s="1769"/>
      <c r="AD578" s="1595" t="str">
        <f t="shared" si="323"/>
        <v/>
      </c>
      <c r="AE578" s="1601">
        <f t="shared" si="341"/>
        <v>2</v>
      </c>
      <c r="AF578" s="1595" t="str">
        <f t="shared" si="342"/>
        <v/>
      </c>
      <c r="AG578" s="1748"/>
      <c r="AH578" s="1749" t="str">
        <f t="shared" si="324"/>
        <v/>
      </c>
      <c r="AI578" s="1620"/>
      <c r="AJ578" s="1616"/>
      <c r="AK578" s="1616"/>
      <c r="AL578" s="1617" t="s">
        <v>5144</v>
      </c>
      <c r="AM578" s="247" t="str">
        <f t="shared" si="317"/>
        <v/>
      </c>
      <c r="AN578" s="247" t="str">
        <f t="shared" si="318"/>
        <v/>
      </c>
      <c r="AO578" s="247" t="str">
        <f t="shared" si="319"/>
        <v/>
      </c>
      <c r="AP578" s="247" t="str">
        <f t="shared" si="320"/>
        <v/>
      </c>
      <c r="AQ578" s="42">
        <f t="shared" si="343"/>
        <v>1</v>
      </c>
      <c r="AR578" s="42">
        <f t="shared" si="344"/>
        <v>1</v>
      </c>
      <c r="AS578" s="42">
        <f t="shared" si="345"/>
        <v>1</v>
      </c>
      <c r="AT578" s="42">
        <f t="shared" si="346"/>
        <v>1</v>
      </c>
      <c r="AU578" s="247" t="str">
        <f t="shared" si="321"/>
        <v/>
      </c>
      <c r="AV578" s="247" t="str">
        <f t="shared" si="322"/>
        <v/>
      </c>
    </row>
    <row r="579" spans="1:48" ht="36" x14ac:dyDescent="0.2">
      <c r="A579" s="428" t="s">
        <v>326</v>
      </c>
      <c r="B579" s="473" t="s">
        <v>5658</v>
      </c>
      <c r="C579" s="474" t="s">
        <v>1601</v>
      </c>
      <c r="D579" s="1366" t="s">
        <v>1873</v>
      </c>
      <c r="E579" s="1367" t="s">
        <v>1661</v>
      </c>
      <c r="F579" s="1367" t="s">
        <v>1503</v>
      </c>
      <c r="G579" s="1368" t="s">
        <v>5440</v>
      </c>
      <c r="H579" s="1342" t="s">
        <v>1328</v>
      </c>
      <c r="I579" s="432" t="s">
        <v>122</v>
      </c>
      <c r="J579" s="475"/>
      <c r="K579" s="475"/>
      <c r="L579" s="475"/>
      <c r="M579" s="477"/>
      <c r="N579" s="478" t="s">
        <v>6403</v>
      </c>
      <c r="O579" s="1770" t="str">
        <f>VLOOKUP(B579,code_famille_scénario,2)&amp;VLOOKUP(C579,code_actif,2)&amp;",  "&amp;VLOOKUP(I579,code_event,2)&amp;", par "&amp;VLOOKUP(N579,code_acteur,2)</f>
        <v>Mise hors service malveillante de services bureautiques communs,  par effacement ou polllution massive de la configuration du système hôte, par un membre du personnel d'exploitation</v>
      </c>
      <c r="P579" s="1610">
        <v>1</v>
      </c>
      <c r="Q579" s="1601" t="s">
        <v>1299</v>
      </c>
      <c r="R579" s="1601" t="s">
        <v>1873</v>
      </c>
      <c r="S579" s="1595" t="str">
        <f>Classif!C24</f>
        <v/>
      </c>
      <c r="T579" s="1595">
        <f t="shared" si="339"/>
        <v>2</v>
      </c>
      <c r="U579" s="1744" t="str">
        <f t="shared" si="340"/>
        <v/>
      </c>
      <c r="V579" s="1771">
        <f>MIN(S08F02,S08F03)</f>
        <v>1</v>
      </c>
      <c r="W579" s="1771">
        <v>1</v>
      </c>
      <c r="X579" s="1771">
        <v>1</v>
      </c>
      <c r="Y579" s="1771">
        <f>S08D04</f>
        <v>1</v>
      </c>
      <c r="Z579" s="1772">
        <v>0</v>
      </c>
      <c r="AA579" s="1773"/>
      <c r="AB579" s="1769"/>
      <c r="AC579" s="1769"/>
      <c r="AD579" s="1595" t="str">
        <f t="shared" si="323"/>
        <v/>
      </c>
      <c r="AE579" s="1601">
        <f t="shared" si="341"/>
        <v>2</v>
      </c>
      <c r="AF579" s="1595" t="str">
        <f t="shared" si="342"/>
        <v/>
      </c>
      <c r="AG579" s="1748"/>
      <c r="AH579" s="1749" t="str">
        <f t="shared" si="324"/>
        <v/>
      </c>
      <c r="AI579" s="1637" t="s">
        <v>6495</v>
      </c>
      <c r="AJ579" s="1616"/>
      <c r="AK579" s="1616"/>
      <c r="AL579" s="1617" t="s">
        <v>4954</v>
      </c>
      <c r="AM579" s="247" t="str">
        <f t="shared" si="317"/>
        <v/>
      </c>
      <c r="AN579" s="247" t="str">
        <f t="shared" si="318"/>
        <v/>
      </c>
      <c r="AO579" s="247" t="str">
        <f t="shared" si="319"/>
        <v/>
      </c>
      <c r="AP579" s="247" t="str">
        <f t="shared" si="320"/>
        <v/>
      </c>
      <c r="AQ579" s="42">
        <f t="shared" si="343"/>
        <v>1</v>
      </c>
      <c r="AR579" s="42">
        <f t="shared" si="344"/>
        <v>1</v>
      </c>
      <c r="AS579" s="42">
        <f t="shared" si="345"/>
        <v>1</v>
      </c>
      <c r="AT579" s="42">
        <f t="shared" si="346"/>
        <v>1</v>
      </c>
      <c r="AU579" s="247" t="str">
        <f t="shared" si="321"/>
        <v/>
      </c>
      <c r="AV579" s="247" t="str">
        <f t="shared" si="322"/>
        <v/>
      </c>
    </row>
    <row r="580" spans="1:48" ht="36" x14ac:dyDescent="0.2">
      <c r="A580" s="428" t="s">
        <v>327</v>
      </c>
      <c r="B580" s="473" t="s">
        <v>5658</v>
      </c>
      <c r="C580" s="474" t="s">
        <v>1601</v>
      </c>
      <c r="D580" s="1366" t="s">
        <v>1873</v>
      </c>
      <c r="E580" s="1367" t="s">
        <v>1661</v>
      </c>
      <c r="F580" s="1367" t="s">
        <v>1503</v>
      </c>
      <c r="G580" s="1368" t="s">
        <v>5440</v>
      </c>
      <c r="H580" s="1342" t="s">
        <v>1328</v>
      </c>
      <c r="I580" s="432" t="s">
        <v>122</v>
      </c>
      <c r="J580" s="475"/>
      <c r="K580" s="475"/>
      <c r="L580" s="475"/>
      <c r="M580" s="477"/>
      <c r="N580" s="478" t="s">
        <v>1299</v>
      </c>
      <c r="O580" s="1770" t="str">
        <f>VLOOKUP(B580,code_famille_scénario,2)&amp;VLOOKUP(C580,code_actif,2)&amp;",  "&amp;VLOOKUP(I580,code_event,2)&amp;", par "&amp;VLOOKUP(N580,code_acteur,2)</f>
        <v>Mise hors service malveillante de services bureautiques communs,  par effacement ou polllution massive de la configuration du système hôte, par un membre du personnel de maintenance</v>
      </c>
      <c r="P580" s="1610">
        <v>1</v>
      </c>
      <c r="Q580" s="1601" t="s">
        <v>1299</v>
      </c>
      <c r="R580" s="1601" t="s">
        <v>1873</v>
      </c>
      <c r="S580" s="1595" t="str">
        <f>Classif!C24</f>
        <v/>
      </c>
      <c r="T580" s="1595">
        <f t="shared" si="339"/>
        <v>2</v>
      </c>
      <c r="U580" s="1744" t="str">
        <f t="shared" si="340"/>
        <v/>
      </c>
      <c r="V580" s="1771">
        <f>MIN(S07C02,S08E02)</f>
        <v>1</v>
      </c>
      <c r="W580" s="1771">
        <v>1</v>
      </c>
      <c r="X580" s="1771">
        <v>1</v>
      </c>
      <c r="Y580" s="1771">
        <f>S08D04</f>
        <v>1</v>
      </c>
      <c r="Z580" s="1772">
        <v>0</v>
      </c>
      <c r="AA580" s="1773"/>
      <c r="AB580" s="1769"/>
      <c r="AC580" s="1769"/>
      <c r="AD580" s="1595" t="str">
        <f t="shared" si="323"/>
        <v/>
      </c>
      <c r="AE580" s="1601">
        <f t="shared" si="341"/>
        <v>2</v>
      </c>
      <c r="AF580" s="1595" t="str">
        <f t="shared" si="342"/>
        <v/>
      </c>
      <c r="AG580" s="1748"/>
      <c r="AH580" s="1749" t="str">
        <f t="shared" si="324"/>
        <v/>
      </c>
      <c r="AI580" s="1620" t="s">
        <v>6491</v>
      </c>
      <c r="AJ580" s="1616"/>
      <c r="AK580" s="1616"/>
      <c r="AL580" s="1617" t="s">
        <v>4954</v>
      </c>
      <c r="AM580" s="247" t="str">
        <f t="shared" si="317"/>
        <v/>
      </c>
      <c r="AN580" s="247" t="str">
        <f t="shared" si="318"/>
        <v/>
      </c>
      <c r="AO580" s="247" t="str">
        <f t="shared" si="319"/>
        <v/>
      </c>
      <c r="AP580" s="247" t="str">
        <f t="shared" si="320"/>
        <v/>
      </c>
      <c r="AQ580" s="42">
        <f t="shared" si="343"/>
        <v>1</v>
      </c>
      <c r="AR580" s="42">
        <f t="shared" si="344"/>
        <v>1</v>
      </c>
      <c r="AS580" s="42">
        <f t="shared" si="345"/>
        <v>1</v>
      </c>
      <c r="AT580" s="42">
        <f t="shared" si="346"/>
        <v>1</v>
      </c>
      <c r="AU580" s="247" t="str">
        <f t="shared" si="321"/>
        <v/>
      </c>
      <c r="AV580" s="247" t="str">
        <f t="shared" si="322"/>
        <v/>
      </c>
    </row>
    <row r="581" spans="1:48" ht="24" x14ac:dyDescent="0.2">
      <c r="A581" s="428" t="s">
        <v>328</v>
      </c>
      <c r="B581" s="473" t="s">
        <v>4213</v>
      </c>
      <c r="C581" s="474" t="s">
        <v>1601</v>
      </c>
      <c r="D581" s="1366" t="s">
        <v>1873</v>
      </c>
      <c r="E581" s="1367" t="s">
        <v>1661</v>
      </c>
      <c r="F581" s="1367" t="s">
        <v>1503</v>
      </c>
      <c r="G581" s="1368" t="s">
        <v>5440</v>
      </c>
      <c r="H581" s="1347" t="s">
        <v>1474</v>
      </c>
      <c r="I581" s="476" t="s">
        <v>5635</v>
      </c>
      <c r="J581" s="475"/>
      <c r="K581" s="475"/>
      <c r="L581" s="475"/>
      <c r="M581" s="477"/>
      <c r="N581" s="478"/>
      <c r="O581" s="1770" t="str">
        <f t="shared" ref="O581:O588" si="347">VLOOKUP(B581,code_famille_scénario,2)&amp;VLOOKUP(C581,code_actif,2)&amp;", dû "&amp;VLOOKUP(I581,code_event,2)</f>
        <v>Arret de fonctionnement de services bureautiques communs, dû à une incapacité de la maintenance système (panne non réparable ou défaillance du partenaire)</v>
      </c>
      <c r="P581" s="1610">
        <v>1</v>
      </c>
      <c r="Q581" s="1601" t="s">
        <v>1431</v>
      </c>
      <c r="R581" s="1601" t="s">
        <v>1873</v>
      </c>
      <c r="S581" s="1595" t="str">
        <f>Classif!C24</f>
        <v/>
      </c>
      <c r="T581" s="1595">
        <f t="shared" si="339"/>
        <v>2</v>
      </c>
      <c r="U581" s="1744" t="str">
        <f t="shared" si="340"/>
        <v/>
      </c>
      <c r="V581" s="1771">
        <v>1</v>
      </c>
      <c r="W581" s="1771">
        <v>1</v>
      </c>
      <c r="X581" s="1771">
        <v>1</v>
      </c>
      <c r="Y581" s="1771">
        <f>S08D08</f>
        <v>1</v>
      </c>
      <c r="Z581" s="1772">
        <v>0</v>
      </c>
      <c r="AA581" s="1773"/>
      <c r="AB581" s="1769"/>
      <c r="AC581" s="1769"/>
      <c r="AD581" s="1595" t="str">
        <f t="shared" si="323"/>
        <v/>
      </c>
      <c r="AE581" s="1601">
        <f t="shared" si="341"/>
        <v>2</v>
      </c>
      <c r="AF581" s="1595" t="str">
        <f t="shared" si="342"/>
        <v/>
      </c>
      <c r="AG581" s="1748"/>
      <c r="AH581" s="1749" t="str">
        <f t="shared" si="324"/>
        <v/>
      </c>
      <c r="AI581" s="1634"/>
      <c r="AJ581" s="1616"/>
      <c r="AK581" s="1616"/>
      <c r="AL581" s="1617" t="s">
        <v>1994</v>
      </c>
      <c r="AM581" s="247" t="str">
        <f t="shared" si="317"/>
        <v/>
      </c>
      <c r="AN581" s="247" t="str">
        <f t="shared" si="318"/>
        <v/>
      </c>
      <c r="AO581" s="247" t="str">
        <f t="shared" si="319"/>
        <v/>
      </c>
      <c r="AP581" s="247" t="str">
        <f t="shared" si="320"/>
        <v/>
      </c>
      <c r="AQ581" s="42">
        <f t="shared" si="343"/>
        <v>1</v>
      </c>
      <c r="AR581" s="42">
        <f t="shared" si="344"/>
        <v>1</v>
      </c>
      <c r="AS581" s="42">
        <f t="shared" si="345"/>
        <v>1</v>
      </c>
      <c r="AT581" s="42">
        <f t="shared" si="346"/>
        <v>1</v>
      </c>
      <c r="AU581" s="247" t="str">
        <f t="shared" si="321"/>
        <v/>
      </c>
      <c r="AV581" s="247" t="str">
        <f t="shared" si="322"/>
        <v/>
      </c>
    </row>
    <row r="582" spans="1:48" ht="24" x14ac:dyDescent="0.2">
      <c r="A582" s="428" t="s">
        <v>329</v>
      </c>
      <c r="B582" s="473" t="s">
        <v>4213</v>
      </c>
      <c r="C582" s="474" t="s">
        <v>1601</v>
      </c>
      <c r="D582" s="1366" t="s">
        <v>1873</v>
      </c>
      <c r="E582" s="1367" t="s">
        <v>2534</v>
      </c>
      <c r="F582" s="1367" t="s">
        <v>1602</v>
      </c>
      <c r="G582" s="1368" t="s">
        <v>6064</v>
      </c>
      <c r="H582" s="1347" t="s">
        <v>1474</v>
      </c>
      <c r="I582" s="476" t="s">
        <v>5633</v>
      </c>
      <c r="J582" s="475"/>
      <c r="K582" s="475"/>
      <c r="L582" s="475"/>
      <c r="M582" s="477" t="s">
        <v>1880</v>
      </c>
      <c r="N582" s="478"/>
      <c r="O582" s="1770" t="str">
        <f t="shared" si="347"/>
        <v>Arret de fonctionnement de services bureautiques communs, dû à une incapacité de la maintenance applicative (panne non réparable ou défaillance du partenaire)</v>
      </c>
      <c r="P582" s="1610">
        <v>1</v>
      </c>
      <c r="Q582" s="1601" t="s">
        <v>5685</v>
      </c>
      <c r="R582" s="1601" t="s">
        <v>1873</v>
      </c>
      <c r="S582" s="1595" t="str">
        <f>Classif!C24</f>
        <v/>
      </c>
      <c r="T582" s="1595">
        <f t="shared" si="339"/>
        <v>3</v>
      </c>
      <c r="U582" s="1744" t="str">
        <f t="shared" si="340"/>
        <v/>
      </c>
      <c r="V582" s="1771">
        <v>1</v>
      </c>
      <c r="W582" s="1771">
        <v>1</v>
      </c>
      <c r="X582" s="1771">
        <v>1</v>
      </c>
      <c r="Y582" s="1771">
        <f>S09E03</f>
        <v>1</v>
      </c>
      <c r="Z582" s="1772">
        <v>0</v>
      </c>
      <c r="AA582" s="1773"/>
      <c r="AB582" s="1769"/>
      <c r="AC582" s="1769"/>
      <c r="AD582" s="1595" t="str">
        <f t="shared" si="323"/>
        <v/>
      </c>
      <c r="AE582" s="1601">
        <f t="shared" si="341"/>
        <v>3</v>
      </c>
      <c r="AF582" s="1595" t="str">
        <f t="shared" si="342"/>
        <v/>
      </c>
      <c r="AG582" s="1748"/>
      <c r="AH582" s="1749" t="str">
        <f t="shared" si="324"/>
        <v/>
      </c>
      <c r="AI582" s="1620"/>
      <c r="AJ582" s="1616"/>
      <c r="AK582" s="1616"/>
      <c r="AL582" s="1617" t="s">
        <v>3213</v>
      </c>
      <c r="AM582" s="247" t="str">
        <f t="shared" ref="AM582:AM645" si="348">IF($AH582=1,$H582&amp;"."&amp;$I582&amp;$AH582,"")</f>
        <v/>
      </c>
      <c r="AN582" s="247" t="str">
        <f t="shared" ref="AN582:AN645" si="349">IF($AH582=2,$H582&amp;"."&amp;$I582&amp;$AH582,"")</f>
        <v/>
      </c>
      <c r="AO582" s="247" t="str">
        <f t="shared" ref="AO582:AO645" si="350">IF($AH582=3,$H582&amp;"."&amp;$I582&amp;$AH582,"")</f>
        <v/>
      </c>
      <c r="AP582" s="247" t="str">
        <f t="shared" ref="AP582:AP645" si="351">IF($AH582=4,$H582&amp;"."&amp;$I582&amp;$AH582,"")</f>
        <v/>
      </c>
      <c r="AQ582" s="42">
        <f t="shared" si="343"/>
        <v>1</v>
      </c>
      <c r="AR582" s="42">
        <f t="shared" si="344"/>
        <v>1</v>
      </c>
      <c r="AS582" s="42">
        <f t="shared" si="345"/>
        <v>1</v>
      </c>
      <c r="AT582" s="42">
        <f t="shared" si="346"/>
        <v>1</v>
      </c>
      <c r="AU582" s="247" t="str">
        <f t="shared" ref="AU582:AU645" si="352">IF(S582="","",IF(T582="","",10*S582+T582))</f>
        <v/>
      </c>
      <c r="AV582" s="247" t="str">
        <f t="shared" ref="AV582:AV645" si="353">IF(AD582="","",IF(AE582="","",10*AD582+AE582))</f>
        <v/>
      </c>
    </row>
    <row r="583" spans="1:48" ht="24" x14ac:dyDescent="0.2">
      <c r="A583" s="428" t="s">
        <v>330</v>
      </c>
      <c r="B583" s="473" t="s">
        <v>4213</v>
      </c>
      <c r="C583" s="474" t="s">
        <v>1601</v>
      </c>
      <c r="D583" s="1366" t="s">
        <v>1873</v>
      </c>
      <c r="E583" s="1367" t="s">
        <v>1661</v>
      </c>
      <c r="F583" s="1367" t="s">
        <v>1503</v>
      </c>
      <c r="G583" s="1368" t="s">
        <v>6064</v>
      </c>
      <c r="H583" s="1347" t="s">
        <v>5964</v>
      </c>
      <c r="I583" s="476" t="s">
        <v>1544</v>
      </c>
      <c r="J583" s="475"/>
      <c r="K583" s="475"/>
      <c r="L583" s="475"/>
      <c r="M583" s="477"/>
      <c r="N583" s="478"/>
      <c r="O583" s="1770" t="str">
        <f t="shared" si="347"/>
        <v>Arret de fonctionnement de services bureautiques communs, dû à un conflit social avec le personnel d'exploitation</v>
      </c>
      <c r="P583" s="1610">
        <v>1</v>
      </c>
      <c r="Q583" s="1601" t="s">
        <v>5685</v>
      </c>
      <c r="R583" s="1601" t="s">
        <v>1873</v>
      </c>
      <c r="S583" s="1595" t="str">
        <f>Classif!C24</f>
        <v/>
      </c>
      <c r="T583" s="1595">
        <f t="shared" si="339"/>
        <v>2</v>
      </c>
      <c r="U583" s="1744" t="str">
        <f t="shared" si="340"/>
        <v/>
      </c>
      <c r="V583" s="1771">
        <v>1</v>
      </c>
      <c r="W583" s="1771">
        <v>1</v>
      </c>
      <c r="X583" s="1771">
        <v>1</v>
      </c>
      <c r="Y583" s="1771">
        <f>MIN(S01E01,S01E02)</f>
        <v>1</v>
      </c>
      <c r="Z583" s="1772">
        <v>0</v>
      </c>
      <c r="AA583" s="1773"/>
      <c r="AB583" s="1769"/>
      <c r="AC583" s="1769"/>
      <c r="AD583" s="1595" t="str">
        <f t="shared" ref="AD583:AD646" si="354">IF(OR(R583="",S583=""),"",IF(R583="D",INDEX(base_i,IF(IF(AA583="",Z583,AA583)=0,4,5-X583),Y583+7*(S583-1)),IF(R583="I",INDEX(base_i,IF(IF(AA583="",Z583,AA583)=0,15,16-X583),Y583+7*(S583-1)),IF(R583="C",INDEX(base_i,IF(IF(AA583="",Z583,AA583)=0,26,27-X583),Y583+7*(S583-1)),INDEX(base_i,38-X583,Y583+7*(S583-1))))))</f>
        <v/>
      </c>
      <c r="AE583" s="1601">
        <f t="shared" si="341"/>
        <v>2</v>
      </c>
      <c r="AF583" s="1595" t="str">
        <f t="shared" si="342"/>
        <v/>
      </c>
      <c r="AG583" s="1748"/>
      <c r="AH583" s="1749" t="str">
        <f t="shared" ref="AH583:AH646" si="355">IF(OR(AG583="A",AG583="a",AG583="T",AG583="t",AF583=""),"",AF583)</f>
        <v/>
      </c>
      <c r="AI583" s="1620"/>
      <c r="AJ583" s="1616"/>
      <c r="AK583" s="1616"/>
      <c r="AL583" s="1617" t="s">
        <v>1519</v>
      </c>
      <c r="AM583" s="247" t="str">
        <f t="shared" si="348"/>
        <v/>
      </c>
      <c r="AN583" s="247" t="str">
        <f t="shared" si="349"/>
        <v/>
      </c>
      <c r="AO583" s="247" t="str">
        <f t="shared" si="350"/>
        <v/>
      </c>
      <c r="AP583" s="247" t="str">
        <f t="shared" si="351"/>
        <v/>
      </c>
      <c r="AQ583" s="42">
        <f t="shared" si="343"/>
        <v>1</v>
      </c>
      <c r="AR583" s="42">
        <f t="shared" si="344"/>
        <v>1</v>
      </c>
      <c r="AS583" s="42">
        <f t="shared" si="345"/>
        <v>1</v>
      </c>
      <c r="AT583" s="42">
        <f t="shared" si="346"/>
        <v>1</v>
      </c>
      <c r="AU583" s="247" t="str">
        <f t="shared" si="352"/>
        <v/>
      </c>
      <c r="AV583" s="247" t="str">
        <f t="shared" si="353"/>
        <v/>
      </c>
    </row>
    <row r="584" spans="1:48" ht="24" x14ac:dyDescent="0.2">
      <c r="A584" s="428" t="s">
        <v>331</v>
      </c>
      <c r="B584" s="473" t="s">
        <v>4213</v>
      </c>
      <c r="C584" s="474" t="s">
        <v>1601</v>
      </c>
      <c r="D584" s="1366" t="s">
        <v>1873</v>
      </c>
      <c r="E584" s="1367" t="s">
        <v>1661</v>
      </c>
      <c r="F584" s="1367" t="s">
        <v>1503</v>
      </c>
      <c r="G584" s="1368" t="s">
        <v>6064</v>
      </c>
      <c r="H584" s="1347" t="s">
        <v>5275</v>
      </c>
      <c r="I584" s="476" t="s">
        <v>4814</v>
      </c>
      <c r="J584" s="475"/>
      <c r="K584" s="475"/>
      <c r="L584" s="475"/>
      <c r="M584" s="477"/>
      <c r="N584" s="478"/>
      <c r="O584" s="1770" t="str">
        <f t="shared" si="347"/>
        <v xml:space="preserve">Arret de fonctionnement de services bureautiques communs, dû à une absence durable du personnel (interne) nécessaire </v>
      </c>
      <c r="P584" s="1610">
        <v>1</v>
      </c>
      <c r="Q584" s="1601" t="s">
        <v>1431</v>
      </c>
      <c r="R584" s="1601" t="s">
        <v>1873</v>
      </c>
      <c r="S584" s="1595" t="str">
        <f>Classif!C24</f>
        <v/>
      </c>
      <c r="T584" s="1595">
        <f t="shared" si="339"/>
        <v>2</v>
      </c>
      <c r="U584" s="1744" t="str">
        <f t="shared" si="340"/>
        <v/>
      </c>
      <c r="V584" s="1771">
        <v>1</v>
      </c>
      <c r="W584" s="1771">
        <v>1</v>
      </c>
      <c r="X584" s="1771">
        <v>1</v>
      </c>
      <c r="Y584" s="1771">
        <f>S01C02</f>
        <v>1</v>
      </c>
      <c r="Z584" s="1772">
        <v>0</v>
      </c>
      <c r="AA584" s="1773"/>
      <c r="AB584" s="1769"/>
      <c r="AC584" s="1769"/>
      <c r="AD584" s="1595" t="str">
        <f t="shared" si="354"/>
        <v/>
      </c>
      <c r="AE584" s="1601">
        <f t="shared" si="341"/>
        <v>2</v>
      </c>
      <c r="AF584" s="1595" t="str">
        <f t="shared" si="342"/>
        <v/>
      </c>
      <c r="AG584" s="1748"/>
      <c r="AH584" s="1749" t="str">
        <f t="shared" si="355"/>
        <v/>
      </c>
      <c r="AI584" s="1634"/>
      <c r="AJ584" s="1636"/>
      <c r="AK584" s="1635"/>
      <c r="AL584" s="1640" t="s">
        <v>2536</v>
      </c>
      <c r="AM584" s="247" t="str">
        <f t="shared" si="348"/>
        <v/>
      </c>
      <c r="AN584" s="247" t="str">
        <f t="shared" si="349"/>
        <v/>
      </c>
      <c r="AO584" s="247" t="str">
        <f t="shared" si="350"/>
        <v/>
      </c>
      <c r="AP584" s="247" t="str">
        <f t="shared" si="351"/>
        <v/>
      </c>
      <c r="AQ584" s="42">
        <f t="shared" si="343"/>
        <v>1</v>
      </c>
      <c r="AR584" s="42">
        <f t="shared" si="344"/>
        <v>1</v>
      </c>
      <c r="AS584" s="42">
        <f t="shared" si="345"/>
        <v>1</v>
      </c>
      <c r="AT584" s="42">
        <f t="shared" si="346"/>
        <v>1</v>
      </c>
      <c r="AU584" s="247" t="str">
        <f t="shared" si="352"/>
        <v/>
      </c>
      <c r="AV584" s="247" t="str">
        <f t="shared" si="353"/>
        <v/>
      </c>
    </row>
    <row r="585" spans="1:48" ht="24" x14ac:dyDescent="0.2">
      <c r="A585" s="428" t="s">
        <v>332</v>
      </c>
      <c r="B585" s="473" t="s">
        <v>4213</v>
      </c>
      <c r="C585" s="474" t="s">
        <v>1601</v>
      </c>
      <c r="D585" s="1366" t="s">
        <v>1873</v>
      </c>
      <c r="E585" s="1367" t="s">
        <v>1661</v>
      </c>
      <c r="F585" s="1367" t="s">
        <v>1503</v>
      </c>
      <c r="G585" s="1368" t="s">
        <v>6064</v>
      </c>
      <c r="H585" s="1347" t="s">
        <v>5275</v>
      </c>
      <c r="I585" s="476" t="s">
        <v>3718</v>
      </c>
      <c r="J585" s="475"/>
      <c r="K585" s="475"/>
      <c r="L585" s="475"/>
      <c r="M585" s="477"/>
      <c r="N585" s="478"/>
      <c r="O585" s="1770" t="str">
        <f t="shared" si="347"/>
        <v xml:space="preserve">Arret de fonctionnement de services bureautiques communs, dû à une absence durable du personnel d'un prestataire </v>
      </c>
      <c r="P585" s="1610">
        <v>1</v>
      </c>
      <c r="Q585" s="1601" t="s">
        <v>1431</v>
      </c>
      <c r="R585" s="1601" t="s">
        <v>1873</v>
      </c>
      <c r="S585" s="1595" t="str">
        <f>Classif!C24</f>
        <v/>
      </c>
      <c r="T585" s="1595">
        <f t="shared" si="339"/>
        <v>3</v>
      </c>
      <c r="U585" s="1744" t="str">
        <f t="shared" si="340"/>
        <v/>
      </c>
      <c r="V585" s="1771">
        <v>1</v>
      </c>
      <c r="W585" s="1771">
        <v>1</v>
      </c>
      <c r="X585" s="1771">
        <v>1</v>
      </c>
      <c r="Y585" s="1771">
        <f>S01C02</f>
        <v>1</v>
      </c>
      <c r="Z585" s="1772">
        <v>0</v>
      </c>
      <c r="AA585" s="1773"/>
      <c r="AB585" s="1769"/>
      <c r="AC585" s="1769"/>
      <c r="AD585" s="1595" t="str">
        <f t="shared" si="354"/>
        <v/>
      </c>
      <c r="AE585" s="1601">
        <f t="shared" si="341"/>
        <v>3</v>
      </c>
      <c r="AF585" s="1595" t="str">
        <f t="shared" si="342"/>
        <v/>
      </c>
      <c r="AG585" s="1748"/>
      <c r="AH585" s="1749" t="str">
        <f t="shared" si="355"/>
        <v/>
      </c>
      <c r="AI585" s="1634"/>
      <c r="AJ585" s="1636"/>
      <c r="AK585" s="1635"/>
      <c r="AL585" s="1640" t="s">
        <v>2536</v>
      </c>
      <c r="AM585" s="247" t="str">
        <f t="shared" si="348"/>
        <v/>
      </c>
      <c r="AN585" s="247" t="str">
        <f t="shared" si="349"/>
        <v/>
      </c>
      <c r="AO585" s="247" t="str">
        <f t="shared" si="350"/>
        <v/>
      </c>
      <c r="AP585" s="247" t="str">
        <f t="shared" si="351"/>
        <v/>
      </c>
      <c r="AQ585" s="42">
        <f t="shared" si="343"/>
        <v>1</v>
      </c>
      <c r="AR585" s="42">
        <f t="shared" si="344"/>
        <v>1</v>
      </c>
      <c r="AS585" s="42">
        <f t="shared" si="345"/>
        <v>1</v>
      </c>
      <c r="AT585" s="42">
        <f t="shared" si="346"/>
        <v>1</v>
      </c>
      <c r="AU585" s="247" t="str">
        <f t="shared" si="352"/>
        <v/>
      </c>
      <c r="AV585" s="247" t="str">
        <f t="shared" si="353"/>
        <v/>
      </c>
    </row>
    <row r="586" spans="1:48" ht="24" x14ac:dyDescent="0.2">
      <c r="A586" s="428" t="s">
        <v>333</v>
      </c>
      <c r="B586" s="483" t="s">
        <v>4220</v>
      </c>
      <c r="C586" s="474" t="s">
        <v>1601</v>
      </c>
      <c r="D586" s="1366" t="s">
        <v>1873</v>
      </c>
      <c r="E586" s="1367" t="s">
        <v>2534</v>
      </c>
      <c r="F586" s="1367" t="s">
        <v>1602</v>
      </c>
      <c r="G586" s="1370" t="s">
        <v>6067</v>
      </c>
      <c r="H586" s="1347" t="s">
        <v>1465</v>
      </c>
      <c r="I586" s="476" t="s">
        <v>4217</v>
      </c>
      <c r="J586" s="475"/>
      <c r="K586" s="475"/>
      <c r="L586" s="475"/>
      <c r="M586" s="477" t="s">
        <v>1880</v>
      </c>
      <c r="N586" s="478"/>
      <c r="O586" s="1770" t="str">
        <f t="shared" si="347"/>
        <v>Blocage de services bureautiques communs, dû à un bug bloquant dans un logiciel système ou un progiciel</v>
      </c>
      <c r="P586" s="1610">
        <v>1</v>
      </c>
      <c r="Q586" s="1601" t="s">
        <v>6403</v>
      </c>
      <c r="R586" s="1601" t="s">
        <v>1873</v>
      </c>
      <c r="S586" s="1595" t="str">
        <f>Classif!C24</f>
        <v/>
      </c>
      <c r="T586" s="1595">
        <f t="shared" si="339"/>
        <v>2</v>
      </c>
      <c r="U586" s="1744" t="str">
        <f t="shared" si="340"/>
        <v/>
      </c>
      <c r="V586" s="1771">
        <v>1</v>
      </c>
      <c r="W586" s="1771">
        <f>S08A03</f>
        <v>1</v>
      </c>
      <c r="X586" s="1771">
        <v>1</v>
      </c>
      <c r="Y586" s="1771">
        <f>S08D02</f>
        <v>1</v>
      </c>
      <c r="Z586" s="1772">
        <v>0</v>
      </c>
      <c r="AA586" s="1773"/>
      <c r="AB586" s="1769"/>
      <c r="AC586" s="1769"/>
      <c r="AD586" s="1595" t="str">
        <f t="shared" si="354"/>
        <v/>
      </c>
      <c r="AE586" s="1601">
        <f t="shared" si="341"/>
        <v>2</v>
      </c>
      <c r="AF586" s="1595" t="str">
        <f t="shared" si="342"/>
        <v/>
      </c>
      <c r="AG586" s="1748"/>
      <c r="AH586" s="1749" t="str">
        <f t="shared" si="355"/>
        <v/>
      </c>
      <c r="AI586" s="1620"/>
      <c r="AJ586" s="1616" t="s">
        <v>4324</v>
      </c>
      <c r="AK586" s="1616"/>
      <c r="AL586" s="1617" t="s">
        <v>1662</v>
      </c>
      <c r="AM586" s="247" t="str">
        <f t="shared" si="348"/>
        <v/>
      </c>
      <c r="AN586" s="247" t="str">
        <f t="shared" si="349"/>
        <v/>
      </c>
      <c r="AO586" s="247" t="str">
        <f t="shared" si="350"/>
        <v/>
      </c>
      <c r="AP586" s="247" t="str">
        <f t="shared" si="351"/>
        <v/>
      </c>
      <c r="AQ586" s="42">
        <f t="shared" si="343"/>
        <v>1</v>
      </c>
      <c r="AR586" s="42">
        <f t="shared" si="344"/>
        <v>1</v>
      </c>
      <c r="AS586" s="42">
        <f t="shared" si="345"/>
        <v>1</v>
      </c>
      <c r="AT586" s="42">
        <f t="shared" si="346"/>
        <v>1</v>
      </c>
      <c r="AU586" s="247" t="str">
        <f t="shared" si="352"/>
        <v/>
      </c>
      <c r="AV586" s="247" t="str">
        <f t="shared" si="353"/>
        <v/>
      </c>
    </row>
    <row r="587" spans="1:48" ht="24" x14ac:dyDescent="0.2">
      <c r="A587" s="428" t="s">
        <v>334</v>
      </c>
      <c r="B587" s="483" t="s">
        <v>4220</v>
      </c>
      <c r="C587" s="474" t="s">
        <v>1601</v>
      </c>
      <c r="D587" s="1366" t="s">
        <v>1873</v>
      </c>
      <c r="E587" s="1367" t="s">
        <v>2534</v>
      </c>
      <c r="F587" s="1367" t="s">
        <v>1602</v>
      </c>
      <c r="G587" s="1370" t="s">
        <v>6067</v>
      </c>
      <c r="H587" s="1347" t="s">
        <v>1328</v>
      </c>
      <c r="I587" s="476" t="s">
        <v>4221</v>
      </c>
      <c r="J587" s="475"/>
      <c r="K587" s="475"/>
      <c r="L587" s="475"/>
      <c r="M587" s="477" t="s">
        <v>1880</v>
      </c>
      <c r="N587" s="478"/>
      <c r="O587" s="1770" t="str">
        <f t="shared" si="347"/>
        <v>Blocage de services bureautiques communs, dû à une saturation malveillante d'équipements informatiques ou réseaux</v>
      </c>
      <c r="P587" s="1610">
        <v>1</v>
      </c>
      <c r="Q587" s="1601" t="s">
        <v>1299</v>
      </c>
      <c r="R587" s="1601" t="s">
        <v>1873</v>
      </c>
      <c r="S587" s="1595" t="str">
        <f>Classif!C24</f>
        <v/>
      </c>
      <c r="T587" s="1595">
        <f t="shared" si="339"/>
        <v>3</v>
      </c>
      <c r="U587" s="1744" t="str">
        <f t="shared" si="340"/>
        <v/>
      </c>
      <c r="V587" s="1771">
        <f>MIN(S07C01,S07C02)</f>
        <v>1</v>
      </c>
      <c r="W587" s="1771">
        <f>S08E01</f>
        <v>1</v>
      </c>
      <c r="X587" s="1771">
        <f>MIN(S08E02,S08E03)</f>
        <v>1</v>
      </c>
      <c r="Y587" s="1771">
        <v>1</v>
      </c>
      <c r="Z587" s="1772">
        <v>0</v>
      </c>
      <c r="AA587" s="1773"/>
      <c r="AB587" s="1769"/>
      <c r="AC587" s="1769"/>
      <c r="AD587" s="1595" t="str">
        <f t="shared" si="354"/>
        <v/>
      </c>
      <c r="AE587" s="1601">
        <f t="shared" si="341"/>
        <v>3</v>
      </c>
      <c r="AF587" s="1595" t="str">
        <f t="shared" si="342"/>
        <v/>
      </c>
      <c r="AG587" s="1748"/>
      <c r="AH587" s="1749" t="str">
        <f t="shared" si="355"/>
        <v/>
      </c>
      <c r="AI587" s="1620" t="s">
        <v>6404</v>
      </c>
      <c r="AJ587" s="1616" t="s">
        <v>2800</v>
      </c>
      <c r="AK587" s="1616" t="s">
        <v>6405</v>
      </c>
      <c r="AL587" s="1617"/>
      <c r="AM587" s="247" t="str">
        <f t="shared" si="348"/>
        <v/>
      </c>
      <c r="AN587" s="247" t="str">
        <f t="shared" si="349"/>
        <v/>
      </c>
      <c r="AO587" s="247" t="str">
        <f t="shared" si="350"/>
        <v/>
      </c>
      <c r="AP587" s="247" t="str">
        <f t="shared" si="351"/>
        <v/>
      </c>
      <c r="AQ587" s="42">
        <f t="shared" si="343"/>
        <v>1</v>
      </c>
      <c r="AR587" s="42">
        <f t="shared" si="344"/>
        <v>1</v>
      </c>
      <c r="AS587" s="42">
        <f t="shared" si="345"/>
        <v>1</v>
      </c>
      <c r="AT587" s="42">
        <f t="shared" si="346"/>
        <v>1</v>
      </c>
      <c r="AU587" s="247" t="str">
        <f t="shared" si="352"/>
        <v/>
      </c>
      <c r="AV587" s="247" t="str">
        <f t="shared" si="353"/>
        <v/>
      </c>
    </row>
    <row r="588" spans="1:48" ht="24" x14ac:dyDescent="0.2">
      <c r="A588" s="428" t="s">
        <v>335</v>
      </c>
      <c r="B588" s="483" t="s">
        <v>5950</v>
      </c>
      <c r="C588" s="474" t="s">
        <v>1601</v>
      </c>
      <c r="D588" s="1366" t="s">
        <v>1873</v>
      </c>
      <c r="E588" s="1367" t="s">
        <v>6680</v>
      </c>
      <c r="F588" s="1367" t="s">
        <v>1602</v>
      </c>
      <c r="G588" s="1370" t="s">
        <v>6077</v>
      </c>
      <c r="H588" s="1347" t="s">
        <v>1328</v>
      </c>
      <c r="I588" s="432" t="s">
        <v>2034</v>
      </c>
      <c r="J588" s="475"/>
      <c r="K588" s="475"/>
      <c r="L588" s="475"/>
      <c r="M588" s="477"/>
      <c r="N588" s="478"/>
      <c r="O588" s="1770" t="str">
        <f t="shared" si="347"/>
        <v>Blocage de comptes nécessaires à l'utilisation de services bureautiques communs, dû à une attaque en blocage de comptes</v>
      </c>
      <c r="P588" s="1610">
        <v>1</v>
      </c>
      <c r="Q588" s="1601" t="s">
        <v>1299</v>
      </c>
      <c r="R588" s="1601" t="s">
        <v>1873</v>
      </c>
      <c r="S588" s="1595" t="str">
        <f>Classif!C24</f>
        <v/>
      </c>
      <c r="T588" s="1595">
        <f t="shared" si="339"/>
        <v>2</v>
      </c>
      <c r="U588" s="1744" t="str">
        <f t="shared" si="340"/>
        <v/>
      </c>
      <c r="V588" s="1771">
        <v>1</v>
      </c>
      <c r="W588" s="1771">
        <v>1</v>
      </c>
      <c r="X588" s="1771">
        <v>1</v>
      </c>
      <c r="Y588" s="1771">
        <f>S08D10</f>
        <v>1</v>
      </c>
      <c r="Z588" s="1772">
        <v>0</v>
      </c>
      <c r="AA588" s="1773"/>
      <c r="AB588" s="1769"/>
      <c r="AC588" s="1769"/>
      <c r="AD588" s="1595" t="str">
        <f t="shared" si="354"/>
        <v/>
      </c>
      <c r="AE588" s="1601">
        <f t="shared" si="341"/>
        <v>2</v>
      </c>
      <c r="AF588" s="1595" t="str">
        <f t="shared" si="342"/>
        <v/>
      </c>
      <c r="AG588" s="1748"/>
      <c r="AH588" s="1749" t="str">
        <f t="shared" si="355"/>
        <v/>
      </c>
      <c r="AI588" s="1634"/>
      <c r="AJ588" s="1636"/>
      <c r="AK588" s="1635"/>
      <c r="AL588" s="1617" t="s">
        <v>1324</v>
      </c>
      <c r="AM588" s="247" t="str">
        <f t="shared" si="348"/>
        <v/>
      </c>
      <c r="AN588" s="247" t="str">
        <f t="shared" si="349"/>
        <v/>
      </c>
      <c r="AO588" s="247" t="str">
        <f t="shared" si="350"/>
        <v/>
      </c>
      <c r="AP588" s="247" t="str">
        <f t="shared" si="351"/>
        <v/>
      </c>
      <c r="AQ588" s="42">
        <f t="shared" si="343"/>
        <v>1</v>
      </c>
      <c r="AR588" s="42">
        <f t="shared" si="344"/>
        <v>1</v>
      </c>
      <c r="AS588" s="42">
        <f t="shared" si="345"/>
        <v>1</v>
      </c>
      <c r="AT588" s="42">
        <f t="shared" si="346"/>
        <v>1</v>
      </c>
      <c r="AU588" s="247" t="str">
        <f t="shared" si="352"/>
        <v/>
      </c>
      <c r="AV588" s="247" t="str">
        <f t="shared" si="353"/>
        <v/>
      </c>
    </row>
    <row r="589" spans="1:48" ht="15" x14ac:dyDescent="0.2">
      <c r="A589" s="466" t="s">
        <v>2823</v>
      </c>
      <c r="B589" s="467"/>
      <c r="C589" s="468" t="s">
        <v>2825</v>
      </c>
      <c r="D589" s="1363"/>
      <c r="E589" s="1364"/>
      <c r="F589" s="1364"/>
      <c r="G589" s="1365"/>
      <c r="H589" s="1346"/>
      <c r="I589" s="470"/>
      <c r="J589" s="469"/>
      <c r="K589" s="469"/>
      <c r="L589" s="469"/>
      <c r="M589" s="471"/>
      <c r="N589" s="472"/>
      <c r="O589" s="1764"/>
      <c r="P589" s="1611"/>
      <c r="Q589" s="1602"/>
      <c r="R589" s="1602"/>
      <c r="S589" s="1603"/>
      <c r="T589" s="1603"/>
      <c r="U589" s="1603"/>
      <c r="V589" s="1603"/>
      <c r="W589" s="1603"/>
      <c r="X589" s="1603"/>
      <c r="Y589" s="1603"/>
      <c r="Z589" s="1604"/>
      <c r="AA589" s="484"/>
      <c r="AB589" s="485"/>
      <c r="AC589" s="1769"/>
      <c r="AD589" s="1595"/>
      <c r="AE589" s="1601"/>
      <c r="AF589" s="1595"/>
      <c r="AG589" s="1748"/>
      <c r="AH589" s="1749"/>
      <c r="AI589" s="1627"/>
      <c r="AJ589" s="1628"/>
      <c r="AK589" s="1628"/>
      <c r="AL589" s="1629"/>
      <c r="AM589" s="247" t="str">
        <f t="shared" si="348"/>
        <v/>
      </c>
      <c r="AN589" s="247" t="str">
        <f t="shared" si="349"/>
        <v/>
      </c>
      <c r="AO589" s="247" t="str">
        <f t="shared" si="350"/>
        <v/>
      </c>
      <c r="AP589" s="247" t="str">
        <f t="shared" si="351"/>
        <v/>
      </c>
      <c r="AU589" s="247" t="str">
        <f t="shared" si="352"/>
        <v/>
      </c>
      <c r="AV589" s="247" t="str">
        <f t="shared" si="353"/>
        <v/>
      </c>
    </row>
    <row r="590" spans="1:48" ht="36" x14ac:dyDescent="0.2">
      <c r="A590" s="428" t="s">
        <v>336</v>
      </c>
      <c r="B590" s="473" t="s">
        <v>1638</v>
      </c>
      <c r="C590" s="474" t="s">
        <v>2826</v>
      </c>
      <c r="D590" s="1366" t="s">
        <v>1873</v>
      </c>
      <c r="E590" s="1367" t="s">
        <v>1637</v>
      </c>
      <c r="F590" s="1367" t="s">
        <v>2779</v>
      </c>
      <c r="G590" s="1368" t="s">
        <v>6068</v>
      </c>
      <c r="H590" s="1347" t="s">
        <v>1465</v>
      </c>
      <c r="I590" s="476" t="s">
        <v>1880</v>
      </c>
      <c r="J590" s="475" t="s">
        <v>1880</v>
      </c>
      <c r="K590" s="475"/>
      <c r="L590" s="475"/>
      <c r="M590" s="477"/>
      <c r="N590" s="478"/>
      <c r="O590" s="1770" t="str">
        <f>VLOOKUP(B590,code_famille_scénario,2)&amp;VLOOKUP(C590,code_actif,2)&amp;", suite "&amp;VLOOKUP(I590,code_event,2)</f>
        <v>Effacement généralisé accidentel de configuration (programmes, codes, paramétrage, etc.) d'équipements mis à la disposition des utilisateurs, suite à un incident d'exploitation</v>
      </c>
      <c r="P590" s="1610">
        <v>1</v>
      </c>
      <c r="Q590" s="1601" t="s">
        <v>1431</v>
      </c>
      <c r="R590" s="1601" t="s">
        <v>1873</v>
      </c>
      <c r="S590" s="1595" t="str">
        <f>Classif!C25</f>
        <v/>
      </c>
      <c r="T590" s="1595">
        <f t="shared" ref="T590:T601" si="356">VLOOKUP(H590&amp;"."&amp;I590,Tab_event,4)</f>
        <v>3</v>
      </c>
      <c r="U590" s="1744" t="str">
        <f t="shared" ref="U590:U601" si="357">IF(AND(NOT(S590=""),NOT(T590="")),INDEX(base_g,5-S590,T590),"")</f>
        <v/>
      </c>
      <c r="V590" s="1771">
        <v>1</v>
      </c>
      <c r="W590" s="1771">
        <f>S11A01</f>
        <v>1</v>
      </c>
      <c r="X590" s="1771">
        <v>1</v>
      </c>
      <c r="Y590" s="1771">
        <f>S11D03</f>
        <v>1</v>
      </c>
      <c r="Z590" s="1772">
        <v>0</v>
      </c>
      <c r="AA590" s="1773"/>
      <c r="AB590" s="1769"/>
      <c r="AC590" s="1769"/>
      <c r="AD590" s="1595" t="str">
        <f t="shared" si="354"/>
        <v/>
      </c>
      <c r="AE590" s="1601">
        <f t="shared" ref="AE590:AE601" si="358">IF(OR(Q590="",T590=""),"",IF(Q590="A",INDEX(base_p,4,W590+7*(T590-1)),IF(Q590="E",INDEX(base_p,15,W590+7*(T590-1)),INDEX(base_p,27-V590,W590+7*(T590-1)))))</f>
        <v>3</v>
      </c>
      <c r="AF590" s="1595" t="str">
        <f t="shared" ref="AF590:AF601" si="359">IF(AT590=1,IF(IndG=1,U590,IF(AND(OR(NOT(AD590=""),NOT(AB590="")),OR(NOT(AE590=""),NOT(AC590="")),AT590=1),INDEX(base_g,5-IF(AB590="",AD590,AB590),IF(AC590="",AE590,AC590)),"")),0)</f>
        <v/>
      </c>
      <c r="AG590" s="1748"/>
      <c r="AH590" s="1749" t="str">
        <f t="shared" si="355"/>
        <v/>
      </c>
      <c r="AI590" s="1634"/>
      <c r="AJ590" s="1616" t="s">
        <v>3228</v>
      </c>
      <c r="AK590" s="1616"/>
      <c r="AL590" s="1617" t="s">
        <v>5946</v>
      </c>
      <c r="AM590" s="247" t="str">
        <f t="shared" si="348"/>
        <v/>
      </c>
      <c r="AN590" s="247" t="str">
        <f t="shared" si="349"/>
        <v/>
      </c>
      <c r="AO590" s="247" t="str">
        <f t="shared" si="350"/>
        <v/>
      </c>
      <c r="AP590" s="247" t="str">
        <f t="shared" si="351"/>
        <v/>
      </c>
      <c r="AQ590" s="42">
        <f t="shared" ref="AQ590:AQ601" si="360">VLOOKUP(LEFT(C590,3),Tab_classif_servIR,6)</f>
        <v>1</v>
      </c>
      <c r="AR590" s="42">
        <f t="shared" ref="AR590:AR601" si="361">VLOOKUP(G590,select_vul_serv,2)</f>
        <v>1</v>
      </c>
      <c r="AS590" s="42">
        <f t="shared" ref="AS590:AS601" si="362">VLOOKUP(H590&amp;"."&amp;I590,select_men,5)</f>
        <v>1</v>
      </c>
      <c r="AT590" s="42">
        <f t="shared" ref="AT590:AT601" si="363">P590*AQ590*AR590*AS590</f>
        <v>1</v>
      </c>
      <c r="AU590" s="247" t="str">
        <f t="shared" si="352"/>
        <v/>
      </c>
      <c r="AV590" s="247" t="str">
        <f t="shared" si="353"/>
        <v/>
      </c>
    </row>
    <row r="591" spans="1:48" ht="36" x14ac:dyDescent="0.2">
      <c r="A591" s="428" t="s">
        <v>337</v>
      </c>
      <c r="B591" s="473" t="s">
        <v>5435</v>
      </c>
      <c r="C591" s="474" t="s">
        <v>2826</v>
      </c>
      <c r="D591" s="1366" t="s">
        <v>1873</v>
      </c>
      <c r="E591" s="1367" t="s">
        <v>1637</v>
      </c>
      <c r="F591" s="1367" t="s">
        <v>2779</v>
      </c>
      <c r="G591" s="1368" t="s">
        <v>6068</v>
      </c>
      <c r="H591" s="1347" t="s">
        <v>1327</v>
      </c>
      <c r="I591" s="476" t="s">
        <v>1545</v>
      </c>
      <c r="J591" s="475" t="s">
        <v>1880</v>
      </c>
      <c r="K591" s="475"/>
      <c r="L591" s="475"/>
      <c r="M591" s="477"/>
      <c r="N591" s="478" t="s">
        <v>6403</v>
      </c>
      <c r="O591" s="1770" t="str">
        <f>VLOOKUP(B591,code_famille_scénario,2)&amp;VLOOKUP(C591,code_actif,2)&amp;", par "&amp;VLOOKUP(N591,code_acteur,2)</f>
        <v>Effacement généralisé, par erreur, de configurations (programmes, codes, paramétrage, etc.) d'équipements mis à la disposition des utilisateurs, par un membre du personnel d'exploitation</v>
      </c>
      <c r="P591" s="1610">
        <v>1</v>
      </c>
      <c r="Q591" s="1601" t="s">
        <v>6403</v>
      </c>
      <c r="R591" s="1601" t="s">
        <v>1873</v>
      </c>
      <c r="S591" s="1595" t="str">
        <f>Classif!C25</f>
        <v/>
      </c>
      <c r="T591" s="1595">
        <f t="shared" si="356"/>
        <v>3</v>
      </c>
      <c r="U591" s="1744" t="str">
        <f t="shared" si="357"/>
        <v/>
      </c>
      <c r="V591" s="1771">
        <v>1</v>
      </c>
      <c r="W591" s="1771">
        <v>1</v>
      </c>
      <c r="X591" s="1771">
        <v>1</v>
      </c>
      <c r="Y591" s="1771">
        <f>S11D03</f>
        <v>1</v>
      </c>
      <c r="Z591" s="1772">
        <v>0</v>
      </c>
      <c r="AA591" s="1773"/>
      <c r="AB591" s="1769"/>
      <c r="AC591" s="1769"/>
      <c r="AD591" s="1595" t="str">
        <f t="shared" si="354"/>
        <v/>
      </c>
      <c r="AE591" s="1601">
        <f t="shared" si="358"/>
        <v>3</v>
      </c>
      <c r="AF591" s="1595" t="str">
        <f t="shared" si="359"/>
        <v/>
      </c>
      <c r="AG591" s="1748"/>
      <c r="AH591" s="1749" t="str">
        <f t="shared" si="355"/>
        <v/>
      </c>
      <c r="AI591" s="1634"/>
      <c r="AJ591" s="1635"/>
      <c r="AK591" s="1635"/>
      <c r="AL591" s="1617" t="s">
        <v>5946</v>
      </c>
      <c r="AM591" s="247" t="str">
        <f t="shared" si="348"/>
        <v/>
      </c>
      <c r="AN591" s="247" t="str">
        <f t="shared" si="349"/>
        <v/>
      </c>
      <c r="AO591" s="247" t="str">
        <f t="shared" si="350"/>
        <v/>
      </c>
      <c r="AP591" s="247" t="str">
        <f t="shared" si="351"/>
        <v/>
      </c>
      <c r="AQ591" s="42">
        <f t="shared" si="360"/>
        <v>1</v>
      </c>
      <c r="AR591" s="42">
        <f t="shared" si="361"/>
        <v>1</v>
      </c>
      <c r="AS591" s="42">
        <f t="shared" si="362"/>
        <v>1</v>
      </c>
      <c r="AT591" s="42">
        <f t="shared" si="363"/>
        <v>1</v>
      </c>
      <c r="AU591" s="247" t="str">
        <f t="shared" si="352"/>
        <v/>
      </c>
      <c r="AV591" s="247" t="str">
        <f t="shared" si="353"/>
        <v/>
      </c>
    </row>
    <row r="592" spans="1:48" ht="36" x14ac:dyDescent="0.2">
      <c r="A592" s="428" t="s">
        <v>338</v>
      </c>
      <c r="B592" s="473" t="s">
        <v>5435</v>
      </c>
      <c r="C592" s="474" t="s">
        <v>2826</v>
      </c>
      <c r="D592" s="1366" t="s">
        <v>1873</v>
      </c>
      <c r="E592" s="1367" t="s">
        <v>1637</v>
      </c>
      <c r="F592" s="1367" t="s">
        <v>2779</v>
      </c>
      <c r="G592" s="1368" t="s">
        <v>6068</v>
      </c>
      <c r="H592" s="1347" t="s">
        <v>1327</v>
      </c>
      <c r="I592" s="476" t="s">
        <v>1545</v>
      </c>
      <c r="J592" s="475" t="s">
        <v>1880</v>
      </c>
      <c r="K592" s="475"/>
      <c r="L592" s="475"/>
      <c r="M592" s="477"/>
      <c r="N592" s="478" t="s">
        <v>1299</v>
      </c>
      <c r="O592" s="1770" t="str">
        <f>VLOOKUP(B592,code_famille_scénario,2)&amp;VLOOKUP(C592,code_actif,2)&amp;", par "&amp;VLOOKUP(N592,code_acteur,2)</f>
        <v>Effacement généralisé, par erreur, de configurations (programmes, codes, paramétrage, etc.) d'équipements mis à la disposition des utilisateurs, par un membre du personnel de maintenance</v>
      </c>
      <c r="P592" s="1610">
        <v>1</v>
      </c>
      <c r="Q592" s="1601" t="s">
        <v>6403</v>
      </c>
      <c r="R592" s="1601" t="s">
        <v>1873</v>
      </c>
      <c r="S592" s="1595" t="str">
        <f>Classif!C25</f>
        <v/>
      </c>
      <c r="T592" s="1595">
        <f t="shared" si="356"/>
        <v>3</v>
      </c>
      <c r="U592" s="1744" t="str">
        <f t="shared" si="357"/>
        <v/>
      </c>
      <c r="V592" s="1771">
        <v>1</v>
      </c>
      <c r="W592" s="1771">
        <v>1</v>
      </c>
      <c r="X592" s="1771">
        <v>1</v>
      </c>
      <c r="Y592" s="1771">
        <f>S11D03</f>
        <v>1</v>
      </c>
      <c r="Z592" s="1772">
        <v>0</v>
      </c>
      <c r="AA592" s="1773"/>
      <c r="AB592" s="1769"/>
      <c r="AC592" s="1769"/>
      <c r="AD592" s="1595" t="str">
        <f t="shared" si="354"/>
        <v/>
      </c>
      <c r="AE592" s="1601">
        <f t="shared" si="358"/>
        <v>3</v>
      </c>
      <c r="AF592" s="1595" t="str">
        <f t="shared" si="359"/>
        <v/>
      </c>
      <c r="AG592" s="1748"/>
      <c r="AH592" s="1749" t="str">
        <f t="shared" si="355"/>
        <v/>
      </c>
      <c r="AI592" s="1634"/>
      <c r="AJ592" s="1635"/>
      <c r="AK592" s="1635"/>
      <c r="AL592" s="1617" t="s">
        <v>5946</v>
      </c>
      <c r="AM592" s="247" t="str">
        <f t="shared" si="348"/>
        <v/>
      </c>
      <c r="AN592" s="247" t="str">
        <f t="shared" si="349"/>
        <v/>
      </c>
      <c r="AO592" s="247" t="str">
        <f t="shared" si="350"/>
        <v/>
      </c>
      <c r="AP592" s="247" t="str">
        <f t="shared" si="351"/>
        <v/>
      </c>
      <c r="AQ592" s="42">
        <f t="shared" si="360"/>
        <v>1</v>
      </c>
      <c r="AR592" s="42">
        <f t="shared" si="361"/>
        <v>1</v>
      </c>
      <c r="AS592" s="42">
        <f t="shared" si="362"/>
        <v>1</v>
      </c>
      <c r="AT592" s="42">
        <f t="shared" si="363"/>
        <v>1</v>
      </c>
      <c r="AU592" s="247" t="str">
        <f t="shared" si="352"/>
        <v/>
      </c>
      <c r="AV592" s="247" t="str">
        <f t="shared" si="353"/>
        <v/>
      </c>
    </row>
    <row r="593" spans="1:48" ht="36" x14ac:dyDescent="0.2">
      <c r="A593" s="428" t="s">
        <v>339</v>
      </c>
      <c r="B593" s="473" t="s">
        <v>5437</v>
      </c>
      <c r="C593" s="474" t="s">
        <v>2826</v>
      </c>
      <c r="D593" s="1366" t="s">
        <v>1873</v>
      </c>
      <c r="E593" s="1367" t="s">
        <v>1637</v>
      </c>
      <c r="F593" s="1367" t="s">
        <v>2779</v>
      </c>
      <c r="G593" s="1368" t="s">
        <v>6068</v>
      </c>
      <c r="H593" s="1347" t="s">
        <v>1327</v>
      </c>
      <c r="I593" s="476" t="s">
        <v>1545</v>
      </c>
      <c r="J593" s="475" t="s">
        <v>1880</v>
      </c>
      <c r="K593" s="475"/>
      <c r="L593" s="475"/>
      <c r="M593" s="477"/>
      <c r="N593" s="478" t="s">
        <v>6403</v>
      </c>
      <c r="O593" s="1770" t="str">
        <f>VLOOKUP(B593,code_famille_scénario,2)&amp;VLOOKUP(C593,code_actif,2)&amp;", par "&amp;VLOOKUP(N593,code_acteur,2)</f>
        <v>Effacement malveillant généralisé de configurations (programmes, codes, paramétrage, etc.) d'équipements mis à la disposition des utilisateurs, par un membre du personnel d'exploitation</v>
      </c>
      <c r="P593" s="1610">
        <v>1</v>
      </c>
      <c r="Q593" s="1601" t="s">
        <v>1299</v>
      </c>
      <c r="R593" s="1601" t="s">
        <v>1873</v>
      </c>
      <c r="S593" s="1595" t="str">
        <f>Classif!C25</f>
        <v/>
      </c>
      <c r="T593" s="1595">
        <f t="shared" si="356"/>
        <v>3</v>
      </c>
      <c r="U593" s="1744" t="str">
        <f t="shared" si="357"/>
        <v/>
      </c>
      <c r="V593" s="1771">
        <f>MIN(S11E02,S11E03)</f>
        <v>1</v>
      </c>
      <c r="W593" s="1771">
        <v>1</v>
      </c>
      <c r="X593" s="1771">
        <v>1</v>
      </c>
      <c r="Y593" s="1771">
        <f>S11D03</f>
        <v>1</v>
      </c>
      <c r="Z593" s="1772">
        <v>0</v>
      </c>
      <c r="AA593" s="1773"/>
      <c r="AB593" s="1769"/>
      <c r="AC593" s="1769"/>
      <c r="AD593" s="1595" t="str">
        <f t="shared" si="354"/>
        <v/>
      </c>
      <c r="AE593" s="1601">
        <f t="shared" si="358"/>
        <v>3</v>
      </c>
      <c r="AF593" s="1595" t="str">
        <f t="shared" si="359"/>
        <v/>
      </c>
      <c r="AG593" s="1748"/>
      <c r="AH593" s="1749" t="str">
        <f t="shared" si="355"/>
        <v/>
      </c>
      <c r="AI593" s="1637" t="s">
        <v>1707</v>
      </c>
      <c r="AJ593" s="1635"/>
      <c r="AK593" s="1635"/>
      <c r="AL593" s="1617" t="s">
        <v>5946</v>
      </c>
      <c r="AM593" s="247" t="str">
        <f t="shared" si="348"/>
        <v/>
      </c>
      <c r="AN593" s="247" t="str">
        <f t="shared" si="349"/>
        <v/>
      </c>
      <c r="AO593" s="247" t="str">
        <f t="shared" si="350"/>
        <v/>
      </c>
      <c r="AP593" s="247" t="str">
        <f t="shared" si="351"/>
        <v/>
      </c>
      <c r="AQ593" s="42">
        <f t="shared" si="360"/>
        <v>1</v>
      </c>
      <c r="AR593" s="42">
        <f t="shared" si="361"/>
        <v>1</v>
      </c>
      <c r="AS593" s="42">
        <f t="shared" si="362"/>
        <v>1</v>
      </c>
      <c r="AT593" s="42">
        <f t="shared" si="363"/>
        <v>1</v>
      </c>
      <c r="AU593" s="247" t="str">
        <f t="shared" si="352"/>
        <v/>
      </c>
      <c r="AV593" s="247" t="str">
        <f t="shared" si="353"/>
        <v/>
      </c>
    </row>
    <row r="594" spans="1:48" ht="24" x14ac:dyDescent="0.2">
      <c r="A594" s="428" t="s">
        <v>340</v>
      </c>
      <c r="B594" s="473" t="s">
        <v>4349</v>
      </c>
      <c r="C594" s="474" t="s">
        <v>2826</v>
      </c>
      <c r="D594" s="1366" t="s">
        <v>1873</v>
      </c>
      <c r="E594" s="1367" t="s">
        <v>5285</v>
      </c>
      <c r="F594" s="1367" t="s">
        <v>1503</v>
      </c>
      <c r="G594" s="1368" t="s">
        <v>5440</v>
      </c>
      <c r="H594" s="1347" t="s">
        <v>1465</v>
      </c>
      <c r="I594" s="476" t="s">
        <v>1539</v>
      </c>
      <c r="J594" s="475" t="s">
        <v>1880</v>
      </c>
      <c r="K594" s="475"/>
      <c r="L594" s="475"/>
      <c r="M594" s="477"/>
      <c r="N594" s="478"/>
      <c r="O594" s="1770" t="str">
        <f>VLOOKUP(B594,code_famille_scénario,2)&amp;VLOOKUP(C594,code_actif,2)&amp;", due "&amp;VLOOKUP(I594,code_event,2)</f>
        <v>Indisponibilité massive d'équipements mis à la disposition des utilisateurs, due à un virus</v>
      </c>
      <c r="P594" s="1610">
        <v>1</v>
      </c>
      <c r="Q594" s="1601" t="s">
        <v>1431</v>
      </c>
      <c r="R594" s="1601" t="s">
        <v>1873</v>
      </c>
      <c r="S594" s="1595" t="str">
        <f>Classif!C25</f>
        <v/>
      </c>
      <c r="T594" s="1595">
        <f t="shared" si="356"/>
        <v>4</v>
      </c>
      <c r="U594" s="1744" t="str">
        <f t="shared" si="357"/>
        <v/>
      </c>
      <c r="V594" s="1771">
        <v>1</v>
      </c>
      <c r="W594" s="1771">
        <f>S11D06</f>
        <v>1</v>
      </c>
      <c r="X594" s="1771">
        <v>1</v>
      </c>
      <c r="Y594" s="1771">
        <f t="shared" ref="Y594:Y600" si="364">MAX(S01E03,S11D07)</f>
        <v>1</v>
      </c>
      <c r="Z594" s="1772">
        <v>0</v>
      </c>
      <c r="AA594" s="1773"/>
      <c r="AB594" s="1769"/>
      <c r="AC594" s="1769"/>
      <c r="AD594" s="1595" t="str">
        <f t="shared" si="354"/>
        <v/>
      </c>
      <c r="AE594" s="1601">
        <f t="shared" si="358"/>
        <v>4</v>
      </c>
      <c r="AF594" s="1595" t="str">
        <f t="shared" si="359"/>
        <v/>
      </c>
      <c r="AG594" s="1748"/>
      <c r="AH594" s="1749" t="str">
        <f t="shared" si="355"/>
        <v/>
      </c>
      <c r="AI594" s="1620"/>
      <c r="AJ594" s="1616" t="s">
        <v>3236</v>
      </c>
      <c r="AK594" s="1616"/>
      <c r="AL594" s="1617" t="s">
        <v>5758</v>
      </c>
      <c r="AM594" s="247" t="str">
        <f t="shared" si="348"/>
        <v/>
      </c>
      <c r="AN594" s="247" t="str">
        <f t="shared" si="349"/>
        <v/>
      </c>
      <c r="AO594" s="247" t="str">
        <f t="shared" si="350"/>
        <v/>
      </c>
      <c r="AP594" s="247" t="str">
        <f t="shared" si="351"/>
        <v/>
      </c>
      <c r="AQ594" s="42">
        <f t="shared" si="360"/>
        <v>1</v>
      </c>
      <c r="AR594" s="42">
        <f t="shared" si="361"/>
        <v>1</v>
      </c>
      <c r="AS594" s="42">
        <f t="shared" si="362"/>
        <v>1</v>
      </c>
      <c r="AT594" s="42">
        <f t="shared" si="363"/>
        <v>1</v>
      </c>
      <c r="AU594" s="247" t="str">
        <f t="shared" si="352"/>
        <v/>
      </c>
      <c r="AV594" s="247" t="str">
        <f t="shared" si="353"/>
        <v/>
      </c>
    </row>
    <row r="595" spans="1:48" ht="24" x14ac:dyDescent="0.2">
      <c r="A595" s="428" t="s">
        <v>341</v>
      </c>
      <c r="B595" s="473" t="s">
        <v>4349</v>
      </c>
      <c r="C595" s="474" t="s">
        <v>2826</v>
      </c>
      <c r="D595" s="1366" t="s">
        <v>1873</v>
      </c>
      <c r="E595" s="1367" t="s">
        <v>5285</v>
      </c>
      <c r="F595" s="1367" t="s">
        <v>1875</v>
      </c>
      <c r="G595" s="1368" t="s">
        <v>5440</v>
      </c>
      <c r="H595" s="1347" t="s">
        <v>3919</v>
      </c>
      <c r="I595" s="476" t="s">
        <v>4329</v>
      </c>
      <c r="J595" s="475" t="s">
        <v>1880</v>
      </c>
      <c r="K595" s="475"/>
      <c r="L595" s="475"/>
      <c r="M595" s="477"/>
      <c r="N595" s="478"/>
      <c r="O595" s="1770" t="str">
        <f>VLOOKUP(B595,code_famille_scénario,2)&amp;VLOOKUP(C595,code_actif,2)&amp;", "&amp;VLOOKUP(J595,Code_lieu,2)&amp;", due "&amp;VLOOKUP(I595,code_event,2)</f>
        <v>Indisponibilité massive d'équipements mis à la disposition des utilisateurs, dans les locaux de l'exploitation, due à un foudroiement</v>
      </c>
      <c r="P595" s="1610">
        <v>1</v>
      </c>
      <c r="Q595" s="1601" t="s">
        <v>1431</v>
      </c>
      <c r="R595" s="1601" t="s">
        <v>1873</v>
      </c>
      <c r="S595" s="1595" t="str">
        <f>Classif!C25</f>
        <v/>
      </c>
      <c r="T595" s="1595">
        <f t="shared" si="356"/>
        <v>2</v>
      </c>
      <c r="U595" s="1744" t="str">
        <f t="shared" si="357"/>
        <v/>
      </c>
      <c r="V595" s="1771">
        <v>1</v>
      </c>
      <c r="W595" s="1771">
        <f>S03A05</f>
        <v>1</v>
      </c>
      <c r="X595" s="1771">
        <v>1</v>
      </c>
      <c r="Y595" s="1771">
        <f t="shared" si="364"/>
        <v>1</v>
      </c>
      <c r="Z595" s="1772">
        <v>0</v>
      </c>
      <c r="AA595" s="1773"/>
      <c r="AB595" s="1769"/>
      <c r="AC595" s="1769"/>
      <c r="AD595" s="1595" t="str">
        <f t="shared" si="354"/>
        <v/>
      </c>
      <c r="AE595" s="1601">
        <f t="shared" si="358"/>
        <v>2</v>
      </c>
      <c r="AF595" s="1595" t="str">
        <f t="shared" si="359"/>
        <v/>
      </c>
      <c r="AG595" s="1748"/>
      <c r="AH595" s="1749" t="str">
        <f t="shared" si="355"/>
        <v/>
      </c>
      <c r="AI595" s="1620"/>
      <c r="AJ595" s="1616" t="s">
        <v>2343</v>
      </c>
      <c r="AK595" s="1616"/>
      <c r="AL595" s="1617" t="s">
        <v>5758</v>
      </c>
      <c r="AM595" s="247" t="str">
        <f t="shared" si="348"/>
        <v/>
      </c>
      <c r="AN595" s="247" t="str">
        <f t="shared" si="349"/>
        <v/>
      </c>
      <c r="AO595" s="247" t="str">
        <f t="shared" si="350"/>
        <v/>
      </c>
      <c r="AP595" s="247" t="str">
        <f t="shared" si="351"/>
        <v/>
      </c>
      <c r="AQ595" s="42">
        <f t="shared" si="360"/>
        <v>1</v>
      </c>
      <c r="AR595" s="42">
        <f t="shared" si="361"/>
        <v>1</v>
      </c>
      <c r="AS595" s="42">
        <f t="shared" si="362"/>
        <v>1</v>
      </c>
      <c r="AT595" s="42">
        <f t="shared" si="363"/>
        <v>1</v>
      </c>
      <c r="AU595" s="247" t="str">
        <f t="shared" si="352"/>
        <v/>
      </c>
      <c r="AV595" s="247" t="str">
        <f t="shared" si="353"/>
        <v/>
      </c>
    </row>
    <row r="596" spans="1:48" ht="24" x14ac:dyDescent="0.2">
      <c r="A596" s="428" t="s">
        <v>342</v>
      </c>
      <c r="B596" s="473" t="s">
        <v>4349</v>
      </c>
      <c r="C596" s="474" t="s">
        <v>2826</v>
      </c>
      <c r="D596" s="1366" t="s">
        <v>1873</v>
      </c>
      <c r="E596" s="1367" t="s">
        <v>5285</v>
      </c>
      <c r="F596" s="1367" t="s">
        <v>1875</v>
      </c>
      <c r="G596" s="1368" t="s">
        <v>5440</v>
      </c>
      <c r="H596" s="1347" t="s">
        <v>3919</v>
      </c>
      <c r="I596" s="476" t="s">
        <v>1535</v>
      </c>
      <c r="J596" s="475" t="s">
        <v>1880</v>
      </c>
      <c r="K596" s="475"/>
      <c r="L596" s="475"/>
      <c r="M596" s="477"/>
      <c r="N596" s="478"/>
      <c r="O596" s="1770" t="str">
        <f>VLOOKUP(B596,code_famille_scénario,2)&amp;VLOOKUP(C596,code_actif,2)&amp;", "&amp;VLOOKUP(J596,Code_lieu,2)&amp;", due "&amp;VLOOKUP(I596,code_event,2)</f>
        <v>Indisponibilité massive d'équipements mis à la disposition des utilisateurs, dans les locaux de l'exploitation, due à un incendie</v>
      </c>
      <c r="P596" s="1610">
        <v>1</v>
      </c>
      <c r="Q596" s="1601" t="s">
        <v>1431</v>
      </c>
      <c r="R596" s="1601" t="s">
        <v>1873</v>
      </c>
      <c r="S596" s="1595" t="str">
        <f>Classif!C25</f>
        <v/>
      </c>
      <c r="T596" s="1595">
        <f t="shared" si="356"/>
        <v>2</v>
      </c>
      <c r="U596" s="1744" t="str">
        <f t="shared" si="357"/>
        <v/>
      </c>
      <c r="V596" s="1771">
        <v>1</v>
      </c>
      <c r="W596" s="1771">
        <f>S03D01</f>
        <v>1</v>
      </c>
      <c r="X596" s="1771">
        <f>MIN(S03D02,S03D03)</f>
        <v>1</v>
      </c>
      <c r="Y596" s="1771">
        <f t="shared" si="364"/>
        <v>1</v>
      </c>
      <c r="Z596" s="1772">
        <v>0</v>
      </c>
      <c r="AA596" s="1773"/>
      <c r="AB596" s="1769"/>
      <c r="AC596" s="1769"/>
      <c r="AD596" s="1595" t="str">
        <f t="shared" si="354"/>
        <v/>
      </c>
      <c r="AE596" s="1601">
        <f t="shared" si="358"/>
        <v>2</v>
      </c>
      <c r="AF596" s="1595" t="str">
        <f t="shared" si="359"/>
        <v/>
      </c>
      <c r="AG596" s="1748"/>
      <c r="AH596" s="1749" t="str">
        <f t="shared" si="355"/>
        <v/>
      </c>
      <c r="AI596" s="1620"/>
      <c r="AJ596" s="1616" t="s">
        <v>5225</v>
      </c>
      <c r="AK596" s="1616" t="s">
        <v>1052</v>
      </c>
      <c r="AL596" s="1617" t="s">
        <v>5758</v>
      </c>
      <c r="AM596" s="247" t="str">
        <f t="shared" si="348"/>
        <v/>
      </c>
      <c r="AN596" s="247" t="str">
        <f t="shared" si="349"/>
        <v/>
      </c>
      <c r="AO596" s="247" t="str">
        <f t="shared" si="350"/>
        <v/>
      </c>
      <c r="AP596" s="247" t="str">
        <f t="shared" si="351"/>
        <v/>
      </c>
      <c r="AQ596" s="42">
        <f t="shared" si="360"/>
        <v>1</v>
      </c>
      <c r="AR596" s="42">
        <f t="shared" si="361"/>
        <v>1</v>
      </c>
      <c r="AS596" s="42">
        <f t="shared" si="362"/>
        <v>1</v>
      </c>
      <c r="AT596" s="42">
        <f t="shared" si="363"/>
        <v>1</v>
      </c>
      <c r="AU596" s="247" t="str">
        <f t="shared" si="352"/>
        <v/>
      </c>
      <c r="AV596" s="247" t="str">
        <f t="shared" si="353"/>
        <v/>
      </c>
    </row>
    <row r="597" spans="1:48" ht="24" x14ac:dyDescent="0.2">
      <c r="A597" s="428" t="s">
        <v>343</v>
      </c>
      <c r="B597" s="473" t="s">
        <v>4349</v>
      </c>
      <c r="C597" s="474" t="s">
        <v>2826</v>
      </c>
      <c r="D597" s="1366" t="s">
        <v>1873</v>
      </c>
      <c r="E597" s="1367" t="s">
        <v>5285</v>
      </c>
      <c r="F597" s="1367" t="s">
        <v>1875</v>
      </c>
      <c r="G597" s="1368" t="s">
        <v>5440</v>
      </c>
      <c r="H597" s="1347" t="s">
        <v>3919</v>
      </c>
      <c r="I597" s="476" t="s">
        <v>1536</v>
      </c>
      <c r="J597" s="475" t="s">
        <v>1880</v>
      </c>
      <c r="K597" s="475"/>
      <c r="L597" s="475"/>
      <c r="M597" s="477"/>
      <c r="N597" s="478"/>
      <c r="O597" s="1770" t="str">
        <f>VLOOKUP(B597,code_famille_scénario,2)&amp;VLOOKUP(C597,code_actif,2)&amp;", "&amp;VLOOKUP(J597,Code_lieu,2)&amp;", due "&amp;VLOOKUP(I597,code_event,2)</f>
        <v>Indisponibilité massive d'équipements mis à la disposition des utilisateurs, dans les locaux de l'exploitation, due à une inondation</v>
      </c>
      <c r="P597" s="1610">
        <v>1</v>
      </c>
      <c r="Q597" s="1601" t="s">
        <v>1431</v>
      </c>
      <c r="R597" s="1601" t="s">
        <v>1873</v>
      </c>
      <c r="S597" s="1595" t="str">
        <f>Classif!C25</f>
        <v/>
      </c>
      <c r="T597" s="1595">
        <f t="shared" si="356"/>
        <v>2</v>
      </c>
      <c r="U597" s="1744" t="str">
        <f t="shared" si="357"/>
        <v/>
      </c>
      <c r="V597" s="1771">
        <v>1</v>
      </c>
      <c r="W597" s="1771">
        <f>S03C01</f>
        <v>1</v>
      </c>
      <c r="X597" s="1771">
        <f>MIN(S03C02,S03C03)</f>
        <v>1</v>
      </c>
      <c r="Y597" s="1771">
        <f t="shared" si="364"/>
        <v>1</v>
      </c>
      <c r="Z597" s="1772">
        <v>0</v>
      </c>
      <c r="AA597" s="1773"/>
      <c r="AB597" s="1769"/>
      <c r="AC597" s="1769"/>
      <c r="AD597" s="1595" t="str">
        <f t="shared" si="354"/>
        <v/>
      </c>
      <c r="AE597" s="1601">
        <f t="shared" si="358"/>
        <v>2</v>
      </c>
      <c r="AF597" s="1595" t="str">
        <f t="shared" si="359"/>
        <v/>
      </c>
      <c r="AG597" s="1748"/>
      <c r="AH597" s="1749" t="str">
        <f t="shared" si="355"/>
        <v/>
      </c>
      <c r="AI597" s="1620"/>
      <c r="AJ597" s="1616" t="s">
        <v>5220</v>
      </c>
      <c r="AK597" s="1616" t="s">
        <v>1054</v>
      </c>
      <c r="AL597" s="1617" t="s">
        <v>5758</v>
      </c>
      <c r="AM597" s="247" t="str">
        <f t="shared" si="348"/>
        <v/>
      </c>
      <c r="AN597" s="247" t="str">
        <f t="shared" si="349"/>
        <v/>
      </c>
      <c r="AO597" s="247" t="str">
        <f t="shared" si="350"/>
        <v/>
      </c>
      <c r="AP597" s="247" t="str">
        <f t="shared" si="351"/>
        <v/>
      </c>
      <c r="AQ597" s="42">
        <f t="shared" si="360"/>
        <v>1</v>
      </c>
      <c r="AR597" s="42">
        <f t="shared" si="361"/>
        <v>1</v>
      </c>
      <c r="AS597" s="42">
        <f t="shared" si="362"/>
        <v>1</v>
      </c>
      <c r="AT597" s="42">
        <f t="shared" si="363"/>
        <v>1</v>
      </c>
      <c r="AU597" s="247" t="str">
        <f t="shared" si="352"/>
        <v/>
      </c>
      <c r="AV597" s="247" t="str">
        <f t="shared" si="353"/>
        <v/>
      </c>
    </row>
    <row r="598" spans="1:48" ht="24" x14ac:dyDescent="0.2">
      <c r="A598" s="428" t="s">
        <v>344</v>
      </c>
      <c r="B598" s="473" t="s">
        <v>4349</v>
      </c>
      <c r="C598" s="474" t="s">
        <v>2826</v>
      </c>
      <c r="D598" s="1366" t="s">
        <v>1873</v>
      </c>
      <c r="E598" s="1367" t="s">
        <v>5285</v>
      </c>
      <c r="F598" s="1367" t="s">
        <v>1503</v>
      </c>
      <c r="G598" s="1368" t="s">
        <v>5440</v>
      </c>
      <c r="H598" s="1347" t="s">
        <v>1474</v>
      </c>
      <c r="I598" s="476" t="s">
        <v>1541</v>
      </c>
      <c r="J598" s="475"/>
      <c r="K598" s="475"/>
      <c r="L598" s="475"/>
      <c r="M598" s="477"/>
      <c r="N598" s="478"/>
      <c r="O598" s="1770" t="str">
        <f>VLOOKUP(B598,code_famille_scénario,2)&amp;VLOOKUP(C598,code_actif,2)&amp;", due "&amp;VLOOKUP(I598,code_event,2)</f>
        <v>Indisponibilité massive d'équipements mis à la disposition des utilisateurs, due à un manque d'alimentation en énergie (défaut externe)</v>
      </c>
      <c r="P598" s="1610">
        <v>1</v>
      </c>
      <c r="Q598" s="1601" t="s">
        <v>1431</v>
      </c>
      <c r="R598" s="1601" t="s">
        <v>1873</v>
      </c>
      <c r="S598" s="1595" t="str">
        <f>Classif!C25</f>
        <v/>
      </c>
      <c r="T598" s="1595">
        <f t="shared" si="356"/>
        <v>3</v>
      </c>
      <c r="U598" s="1744" t="str">
        <f t="shared" si="357"/>
        <v/>
      </c>
      <c r="V598" s="1771">
        <v>1</v>
      </c>
      <c r="W598" s="1771">
        <f>S03A02</f>
        <v>1</v>
      </c>
      <c r="X598" s="1771">
        <v>1</v>
      </c>
      <c r="Y598" s="1771">
        <f t="shared" si="364"/>
        <v>1</v>
      </c>
      <c r="Z598" s="1772">
        <v>0</v>
      </c>
      <c r="AA598" s="1773"/>
      <c r="AB598" s="1769"/>
      <c r="AC598" s="1769"/>
      <c r="AD598" s="1595" t="str">
        <f t="shared" si="354"/>
        <v/>
      </c>
      <c r="AE598" s="1601">
        <f t="shared" si="358"/>
        <v>3</v>
      </c>
      <c r="AF598" s="1595" t="str">
        <f t="shared" si="359"/>
        <v/>
      </c>
      <c r="AG598" s="1748"/>
      <c r="AH598" s="1749" t="str">
        <f t="shared" si="355"/>
        <v/>
      </c>
      <c r="AI598" s="1620"/>
      <c r="AJ598" s="1616" t="s">
        <v>6388</v>
      </c>
      <c r="AK598" s="1616"/>
      <c r="AL598" s="1617" t="s">
        <v>5758</v>
      </c>
      <c r="AM598" s="247" t="str">
        <f t="shared" si="348"/>
        <v/>
      </c>
      <c r="AN598" s="247" t="str">
        <f t="shared" si="349"/>
        <v/>
      </c>
      <c r="AO598" s="247" t="str">
        <f t="shared" si="350"/>
        <v/>
      </c>
      <c r="AP598" s="247" t="str">
        <f t="shared" si="351"/>
        <v/>
      </c>
      <c r="AQ598" s="42">
        <f t="shared" si="360"/>
        <v>1</v>
      </c>
      <c r="AR598" s="42">
        <f t="shared" si="361"/>
        <v>1</v>
      </c>
      <c r="AS598" s="42">
        <f t="shared" si="362"/>
        <v>1</v>
      </c>
      <c r="AT598" s="42">
        <f t="shared" si="363"/>
        <v>1</v>
      </c>
      <c r="AU598" s="247" t="str">
        <f t="shared" si="352"/>
        <v/>
      </c>
      <c r="AV598" s="247" t="str">
        <f t="shared" si="353"/>
        <v/>
      </c>
    </row>
    <row r="599" spans="1:48" ht="36" x14ac:dyDescent="0.2">
      <c r="A599" s="428" t="s">
        <v>345</v>
      </c>
      <c r="B599" s="473" t="s">
        <v>3856</v>
      </c>
      <c r="C599" s="474" t="s">
        <v>2826</v>
      </c>
      <c r="D599" s="1366" t="s">
        <v>1873</v>
      </c>
      <c r="E599" s="1367" t="s">
        <v>5285</v>
      </c>
      <c r="F599" s="1367" t="s">
        <v>1879</v>
      </c>
      <c r="G599" s="1368" t="s">
        <v>5439</v>
      </c>
      <c r="H599" s="1347" t="s">
        <v>1329</v>
      </c>
      <c r="I599" s="476" t="s">
        <v>1552</v>
      </c>
      <c r="J599" s="475" t="s">
        <v>1880</v>
      </c>
      <c r="K599" s="475"/>
      <c r="L599" s="475"/>
      <c r="M599" s="477"/>
      <c r="N599" s="478" t="s">
        <v>4816</v>
      </c>
      <c r="O599" s="1770" t="str">
        <f>VLOOKUP(B599,code_famille_scénario,2)&amp;VLOOKUP(C599,code_actif,2)&amp;", due "&amp;VLOOKUP(I599,code_event,2)&amp;", "&amp;VLOOKUP(J599,Code_lieu,2)&amp;", par "&amp;VLOOKUP(N599,code_acteur,2)</f>
        <v>Perte de télécopie dû à un transfert de poste malveillant d'équipements mis à la disposition des utilisateurs, due à du vandalisme, dans les locaux de l'exploitation, par un membre  du personnel autorisé</v>
      </c>
      <c r="P599" s="1610">
        <v>1</v>
      </c>
      <c r="Q599" s="1601" t="s">
        <v>1299</v>
      </c>
      <c r="R599" s="1601" t="s">
        <v>1873</v>
      </c>
      <c r="S599" s="1595" t="str">
        <f>Classif!C25</f>
        <v/>
      </c>
      <c r="T599" s="1595">
        <f t="shared" si="356"/>
        <v>2</v>
      </c>
      <c r="U599" s="1744" t="str">
        <f t="shared" si="357"/>
        <v/>
      </c>
      <c r="V599" s="1771">
        <f>S03B06</f>
        <v>1</v>
      </c>
      <c r="W599" s="1771">
        <f>MIN(S03B01,S03B02,S03B03)</f>
        <v>1</v>
      </c>
      <c r="X599" s="1771">
        <f>S03B04</f>
        <v>1</v>
      </c>
      <c r="Y599" s="1771">
        <f t="shared" si="364"/>
        <v>1</v>
      </c>
      <c r="Z599" s="1772">
        <v>0</v>
      </c>
      <c r="AA599" s="1773"/>
      <c r="AB599" s="1769"/>
      <c r="AC599" s="1769"/>
      <c r="AD599" s="1595" t="str">
        <f t="shared" si="354"/>
        <v/>
      </c>
      <c r="AE599" s="1601">
        <f t="shared" si="358"/>
        <v>2</v>
      </c>
      <c r="AF599" s="1595" t="str">
        <f t="shared" si="359"/>
        <v/>
      </c>
      <c r="AG599" s="1748"/>
      <c r="AH599" s="1749" t="str">
        <f t="shared" si="355"/>
        <v/>
      </c>
      <c r="AI599" s="1620" t="s">
        <v>1665</v>
      </c>
      <c r="AJ599" s="1616" t="s">
        <v>1053</v>
      </c>
      <c r="AK599" s="1616" t="s">
        <v>3254</v>
      </c>
      <c r="AL599" s="1617" t="s">
        <v>5758</v>
      </c>
      <c r="AM599" s="247" t="str">
        <f t="shared" si="348"/>
        <v/>
      </c>
      <c r="AN599" s="247" t="str">
        <f t="shared" si="349"/>
        <v/>
      </c>
      <c r="AO599" s="247" t="str">
        <f t="shared" si="350"/>
        <v/>
      </c>
      <c r="AP599" s="247" t="str">
        <f t="shared" si="351"/>
        <v/>
      </c>
      <c r="AQ599" s="42">
        <f t="shared" si="360"/>
        <v>1</v>
      </c>
      <c r="AR599" s="42">
        <f t="shared" si="361"/>
        <v>1</v>
      </c>
      <c r="AS599" s="42">
        <f t="shared" si="362"/>
        <v>1</v>
      </c>
      <c r="AT599" s="42">
        <f t="shared" si="363"/>
        <v>1</v>
      </c>
      <c r="AU599" s="247" t="str">
        <f t="shared" si="352"/>
        <v/>
      </c>
      <c r="AV599" s="247" t="str">
        <f t="shared" si="353"/>
        <v/>
      </c>
    </row>
    <row r="600" spans="1:48" ht="36" x14ac:dyDescent="0.2">
      <c r="A600" s="428" t="s">
        <v>346</v>
      </c>
      <c r="B600" s="473" t="s">
        <v>3856</v>
      </c>
      <c r="C600" s="474" t="s">
        <v>2826</v>
      </c>
      <c r="D600" s="1366" t="s">
        <v>1873</v>
      </c>
      <c r="E600" s="1367" t="s">
        <v>5285</v>
      </c>
      <c r="F600" s="1367" t="s">
        <v>1879</v>
      </c>
      <c r="G600" s="1368" t="s">
        <v>5439</v>
      </c>
      <c r="H600" s="1347" t="s">
        <v>1329</v>
      </c>
      <c r="I600" s="476" t="s">
        <v>1552</v>
      </c>
      <c r="J600" s="475" t="s">
        <v>1880</v>
      </c>
      <c r="K600" s="475"/>
      <c r="L600" s="475"/>
      <c r="M600" s="477"/>
      <c r="N600" s="478" t="s">
        <v>2835</v>
      </c>
      <c r="O600" s="1770" t="str">
        <f>VLOOKUP(B600,code_famille_scénario,2)&amp;VLOOKUP(C600,code_actif,2)&amp;", due "&amp;VLOOKUP(I600,code_event,2)&amp;", "&amp;VLOOKUP(J600,Code_lieu,2)&amp;", par "&amp;VLOOKUP(N600,code_acteur,2)</f>
        <v>Perte de télécopie dû à un transfert de poste malveillant d'équipements mis à la disposition des utilisateurs, due à du vandalisme, dans les locaux de l'exploitation, par un tiers non autorisé</v>
      </c>
      <c r="P600" s="1610">
        <v>1</v>
      </c>
      <c r="Q600" s="1601" t="s">
        <v>1299</v>
      </c>
      <c r="R600" s="1601" t="s">
        <v>1873</v>
      </c>
      <c r="S600" s="1595" t="str">
        <f>Classif!C25</f>
        <v/>
      </c>
      <c r="T600" s="1595">
        <f t="shared" si="356"/>
        <v>2</v>
      </c>
      <c r="U600" s="1744" t="str">
        <f t="shared" si="357"/>
        <v/>
      </c>
      <c r="V600" s="1771">
        <v>1</v>
      </c>
      <c r="W600" s="1771">
        <f>MIN(S03B03,S03B04,S03B06)</f>
        <v>1</v>
      </c>
      <c r="X600" s="1771">
        <v>1</v>
      </c>
      <c r="Y600" s="1771">
        <f t="shared" si="364"/>
        <v>1</v>
      </c>
      <c r="Z600" s="1772">
        <v>0</v>
      </c>
      <c r="AA600" s="1773"/>
      <c r="AB600" s="1769"/>
      <c r="AC600" s="1769"/>
      <c r="AD600" s="1595" t="str">
        <f t="shared" si="354"/>
        <v/>
      </c>
      <c r="AE600" s="1601">
        <f t="shared" si="358"/>
        <v>2</v>
      </c>
      <c r="AF600" s="1595" t="str">
        <f t="shared" si="359"/>
        <v/>
      </c>
      <c r="AG600" s="1748"/>
      <c r="AH600" s="1749" t="str">
        <f t="shared" si="355"/>
        <v/>
      </c>
      <c r="AI600" s="1634"/>
      <c r="AJ600" s="1616" t="s">
        <v>1412</v>
      </c>
      <c r="AK600" s="1635"/>
      <c r="AL600" s="1617" t="s">
        <v>5758</v>
      </c>
      <c r="AM600" s="247" t="str">
        <f t="shared" si="348"/>
        <v/>
      </c>
      <c r="AN600" s="247" t="str">
        <f t="shared" si="349"/>
        <v/>
      </c>
      <c r="AO600" s="247" t="str">
        <f t="shared" si="350"/>
        <v/>
      </c>
      <c r="AP600" s="247" t="str">
        <f t="shared" si="351"/>
        <v/>
      </c>
      <c r="AQ600" s="42">
        <f t="shared" si="360"/>
        <v>1</v>
      </c>
      <c r="AR600" s="42">
        <f t="shared" si="361"/>
        <v>1</v>
      </c>
      <c r="AS600" s="42">
        <f t="shared" si="362"/>
        <v>1</v>
      </c>
      <c r="AT600" s="42">
        <f t="shared" si="363"/>
        <v>1</v>
      </c>
      <c r="AU600" s="247" t="str">
        <f t="shared" si="352"/>
        <v/>
      </c>
      <c r="AV600" s="247" t="str">
        <f t="shared" si="353"/>
        <v/>
      </c>
    </row>
    <row r="601" spans="1:48" ht="24" x14ac:dyDescent="0.2">
      <c r="A601" s="428" t="s">
        <v>347</v>
      </c>
      <c r="B601" s="429" t="s">
        <v>5755</v>
      </c>
      <c r="C601" s="474" t="s">
        <v>2826</v>
      </c>
      <c r="D601" s="1349" t="s">
        <v>1873</v>
      </c>
      <c r="E601" s="1350" t="s">
        <v>5754</v>
      </c>
      <c r="F601" s="1350" t="s">
        <v>1503</v>
      </c>
      <c r="G601" s="1351" t="s">
        <v>5440</v>
      </c>
      <c r="H601" s="1342" t="s">
        <v>3920</v>
      </c>
      <c r="I601" s="432" t="s">
        <v>3526</v>
      </c>
      <c r="J601" s="431"/>
      <c r="K601" s="431"/>
      <c r="L601" s="431"/>
      <c r="M601" s="433"/>
      <c r="N601" s="434"/>
      <c r="O601" s="1743" t="str">
        <f>VLOOKUP(B601,code_famille_scénario,2)&amp;VLOOKUP(C601,code_actif,2)&amp;", due "&amp;VLOOKUP(I601,code_event,2)&amp;" ("&amp;E601&amp;")"</f>
        <v>Indisponibilité temporaire accidentelle d'équipements mis à la disposition des utilisateurs, due à une panne d'équipement (Equipement partagé)</v>
      </c>
      <c r="P601" s="435">
        <v>1</v>
      </c>
      <c r="Q601" s="1595" t="s">
        <v>1431</v>
      </c>
      <c r="R601" s="1595" t="s">
        <v>1873</v>
      </c>
      <c r="S601" s="1595" t="str">
        <f>Classif!C25</f>
        <v/>
      </c>
      <c r="T601" s="1595">
        <f t="shared" si="356"/>
        <v>3</v>
      </c>
      <c r="U601" s="1744" t="str">
        <f t="shared" si="357"/>
        <v/>
      </c>
      <c r="V601" s="1771">
        <v>1</v>
      </c>
      <c r="W601" s="1771">
        <v>1</v>
      </c>
      <c r="X601" s="1771">
        <v>1</v>
      </c>
      <c r="Y601" s="1771">
        <f>S11D01</f>
        <v>1</v>
      </c>
      <c r="Z601" s="1746">
        <v>0</v>
      </c>
      <c r="AA601" s="1747"/>
      <c r="AB601" s="1748"/>
      <c r="AC601" s="1748"/>
      <c r="AD601" s="1595" t="str">
        <f t="shared" si="354"/>
        <v/>
      </c>
      <c r="AE601" s="1595">
        <f t="shared" si="358"/>
        <v>3</v>
      </c>
      <c r="AF601" s="1595" t="str">
        <f t="shared" si="359"/>
        <v/>
      </c>
      <c r="AG601" s="1748"/>
      <c r="AH601" s="1749" t="str">
        <f t="shared" si="355"/>
        <v/>
      </c>
      <c r="AI601" s="1620"/>
      <c r="AJ601" s="1616"/>
      <c r="AK601" s="1616"/>
      <c r="AL601" s="1617" t="s">
        <v>1600</v>
      </c>
      <c r="AM601" s="247" t="str">
        <f t="shared" si="348"/>
        <v/>
      </c>
      <c r="AN601" s="247" t="str">
        <f t="shared" si="349"/>
        <v/>
      </c>
      <c r="AO601" s="247" t="str">
        <f t="shared" si="350"/>
        <v/>
      </c>
      <c r="AP601" s="247" t="str">
        <f t="shared" si="351"/>
        <v/>
      </c>
      <c r="AQ601" s="42">
        <f t="shared" si="360"/>
        <v>1</v>
      </c>
      <c r="AR601" s="42">
        <f t="shared" si="361"/>
        <v>1</v>
      </c>
      <c r="AS601" s="42">
        <f t="shared" si="362"/>
        <v>1</v>
      </c>
      <c r="AT601" s="42">
        <f t="shared" si="363"/>
        <v>1</v>
      </c>
      <c r="AU601" s="247" t="str">
        <f t="shared" si="352"/>
        <v/>
      </c>
      <c r="AV601" s="247" t="str">
        <f t="shared" si="353"/>
        <v/>
      </c>
    </row>
    <row r="602" spans="1:48" ht="15" x14ac:dyDescent="0.2">
      <c r="A602" s="456" t="s">
        <v>5210</v>
      </c>
      <c r="B602" s="457"/>
      <c r="C602" s="423" t="s">
        <v>5211</v>
      </c>
      <c r="D602" s="1356"/>
      <c r="E602" s="1357"/>
      <c r="F602" s="1357"/>
      <c r="G602" s="1360"/>
      <c r="H602" s="1345"/>
      <c r="I602" s="459"/>
      <c r="J602" s="458"/>
      <c r="K602" s="458"/>
      <c r="L602" s="458"/>
      <c r="M602" s="460"/>
      <c r="N602" s="461"/>
      <c r="O602" s="1761"/>
      <c r="P602" s="1608"/>
      <c r="Q602" s="1596"/>
      <c r="R602" s="1596"/>
      <c r="S602" s="1595"/>
      <c r="T602" s="1595"/>
      <c r="U602" s="1744"/>
      <c r="V602" s="1754"/>
      <c r="W602" s="1754"/>
      <c r="X602" s="1754"/>
      <c r="Y602" s="1754"/>
      <c r="Z602" s="1762"/>
      <c r="AA602" s="1763"/>
      <c r="AB602" s="1748"/>
      <c r="AC602" s="1748"/>
      <c r="AD602" s="1595"/>
      <c r="AE602" s="1753"/>
      <c r="AF602" s="1595"/>
      <c r="AG602" s="1748"/>
      <c r="AH602" s="1749"/>
      <c r="AI602" s="1627"/>
      <c r="AJ602" s="1628"/>
      <c r="AK602" s="1628"/>
      <c r="AL602" s="1629"/>
      <c r="AM602" s="247" t="str">
        <f t="shared" si="348"/>
        <v/>
      </c>
      <c r="AN602" s="247" t="str">
        <f t="shared" si="349"/>
        <v/>
      </c>
      <c r="AO602" s="247" t="str">
        <f t="shared" si="350"/>
        <v/>
      </c>
      <c r="AP602" s="247" t="str">
        <f t="shared" si="351"/>
        <v/>
      </c>
      <c r="AU602" s="247" t="str">
        <f t="shared" si="352"/>
        <v/>
      </c>
      <c r="AV602" s="247" t="str">
        <f t="shared" si="353"/>
        <v/>
      </c>
    </row>
    <row r="603" spans="1:48" ht="24" x14ac:dyDescent="0.2">
      <c r="A603" s="428" t="s">
        <v>348</v>
      </c>
      <c r="B603" s="429" t="s">
        <v>5621</v>
      </c>
      <c r="C603" s="430" t="s">
        <v>3313</v>
      </c>
      <c r="D603" s="1349" t="s">
        <v>1873</v>
      </c>
      <c r="E603" s="1350" t="s">
        <v>7450</v>
      </c>
      <c r="F603" s="1350" t="s">
        <v>2779</v>
      </c>
      <c r="G603" s="1351" t="s">
        <v>6068</v>
      </c>
      <c r="H603" s="1342" t="s">
        <v>1465</v>
      </c>
      <c r="I603" s="432" t="s">
        <v>1880</v>
      </c>
      <c r="J603" s="431" t="s">
        <v>1880</v>
      </c>
      <c r="K603" s="431"/>
      <c r="L603" s="431"/>
      <c r="M603" s="433"/>
      <c r="N603" s="434"/>
      <c r="O603" s="1743" t="str">
        <f>VLOOKUP(B603,code_famille_scénario,2)&amp;VLOOKUP(C603,code_actif,2)&amp;", suite "&amp;VLOOKUP(I603,code_event,2)</f>
        <v>Effacement accidentel de programmes de services systèmes communs, suite à un incident d'exploitation</v>
      </c>
      <c r="P603" s="435">
        <v>1</v>
      </c>
      <c r="Q603" s="1595" t="s">
        <v>1431</v>
      </c>
      <c r="R603" s="1595" t="s">
        <v>1873</v>
      </c>
      <c r="S603" s="1595" t="str">
        <f>Classif!C26</f>
        <v/>
      </c>
      <c r="T603" s="1595">
        <f t="shared" ref="T603:T634" si="365">VLOOKUP(H603&amp;"."&amp;I603,Tab_event,4)</f>
        <v>3</v>
      </c>
      <c r="U603" s="1744" t="str">
        <f t="shared" ref="U603:U634" si="366">IF(AND(NOT(S603=""),NOT(T603="")),INDEX(base_g,5-S603,T603),"")</f>
        <v/>
      </c>
      <c r="V603" s="1771">
        <v>1</v>
      </c>
      <c r="W603" s="1771">
        <f>S08A03</f>
        <v>1</v>
      </c>
      <c r="X603" s="1771">
        <f>S08E03</f>
        <v>1</v>
      </c>
      <c r="Y603" s="1771">
        <f t="shared" ref="Y603:Y613" si="367">S08D04</f>
        <v>1</v>
      </c>
      <c r="Z603" s="1746">
        <v>0</v>
      </c>
      <c r="AA603" s="1747"/>
      <c r="AB603" s="1748"/>
      <c r="AC603" s="1748"/>
      <c r="AD603" s="1595" t="str">
        <f t="shared" si="354"/>
        <v/>
      </c>
      <c r="AE603" s="1595">
        <f t="shared" ref="AE603:AE634" si="368">IF(OR(Q603="",T603=""),"",IF(Q603="A",INDEX(base_p,4,W603+7*(T603-1)),IF(Q603="E",INDEX(base_p,15,W603+7*(T603-1)),INDEX(base_p,27-V603,W603+7*(T603-1)))))</f>
        <v>3</v>
      </c>
      <c r="AF603" s="1595" t="str">
        <f t="shared" ref="AF603:AF634" si="369">IF(AT603=1,IF(IndG=1,U603,IF(AND(OR(NOT(AD603=""),NOT(AB603="")),OR(NOT(AE603=""),NOT(AC603="")),AT603=1),INDEX(base_g,5-IF(AB603="",AD603,AB603),IF(AC603="",AE603,AC603)),"")),0)</f>
        <v/>
      </c>
      <c r="AG603" s="1748"/>
      <c r="AH603" s="1749" t="str">
        <f t="shared" si="355"/>
        <v/>
      </c>
      <c r="AI603" s="1615"/>
      <c r="AJ603" s="1616" t="s">
        <v>4324</v>
      </c>
      <c r="AK603" s="1616" t="s">
        <v>2532</v>
      </c>
      <c r="AL603" s="1617" t="s">
        <v>4954</v>
      </c>
      <c r="AM603" s="247" t="str">
        <f t="shared" si="348"/>
        <v/>
      </c>
      <c r="AN603" s="247" t="str">
        <f t="shared" si="349"/>
        <v/>
      </c>
      <c r="AO603" s="247" t="str">
        <f t="shared" si="350"/>
        <v/>
      </c>
      <c r="AP603" s="247" t="str">
        <f t="shared" si="351"/>
        <v/>
      </c>
      <c r="AQ603" s="42">
        <f t="shared" ref="AQ603:AQ634" si="370">VLOOKUP(LEFT(C603,3),Tab_classif_servIR,6)</f>
        <v>1</v>
      </c>
      <c r="AR603" s="42">
        <f t="shared" ref="AR603:AR634" si="371">VLOOKUP(G603,select_vul_serv,2)</f>
        <v>1</v>
      </c>
      <c r="AS603" s="42">
        <f t="shared" ref="AS603:AS634" si="372">VLOOKUP(H603&amp;"."&amp;I603,select_men,5)</f>
        <v>1</v>
      </c>
      <c r="AT603" s="42">
        <f t="shared" ref="AT603:AT634" si="373">P603*AQ603*AR603*AS603</f>
        <v>1</v>
      </c>
      <c r="AU603" s="247" t="str">
        <f t="shared" si="352"/>
        <v/>
      </c>
      <c r="AV603" s="247" t="str">
        <f t="shared" si="353"/>
        <v/>
      </c>
    </row>
    <row r="604" spans="1:48" ht="24" x14ac:dyDescent="0.2">
      <c r="A604" s="428" t="s">
        <v>349</v>
      </c>
      <c r="B604" s="429" t="s">
        <v>5625</v>
      </c>
      <c r="C604" s="430" t="s">
        <v>3313</v>
      </c>
      <c r="D604" s="1349" t="s">
        <v>1873</v>
      </c>
      <c r="E604" s="1350" t="s">
        <v>7450</v>
      </c>
      <c r="F604" s="1350" t="s">
        <v>2779</v>
      </c>
      <c r="G604" s="1351" t="s">
        <v>6068</v>
      </c>
      <c r="H604" s="1342" t="s">
        <v>1327</v>
      </c>
      <c r="I604" s="432" t="s">
        <v>1545</v>
      </c>
      <c r="J604" s="431" t="s">
        <v>1880</v>
      </c>
      <c r="K604" s="431"/>
      <c r="L604" s="431"/>
      <c r="M604" s="433"/>
      <c r="N604" s="434" t="s">
        <v>1301</v>
      </c>
      <c r="O604" s="1743" t="str">
        <f t="shared" ref="O604:O614" si="374">VLOOKUP(B604,code_famille_scénario,2)&amp;VLOOKUP(C604,code_actif,2)&amp;", par "&amp;VLOOKUP(N604,code_acteur,2)</f>
        <v>Effacement par erreur de programmes de services systèmes communs, par un utilisateur autorisé légitime</v>
      </c>
      <c r="P604" s="435">
        <v>1</v>
      </c>
      <c r="Q604" s="1595" t="s">
        <v>6403</v>
      </c>
      <c r="R604" s="1595" t="s">
        <v>1873</v>
      </c>
      <c r="S604" s="1595" t="str">
        <f>Classif!C26</f>
        <v/>
      </c>
      <c r="T604" s="1595">
        <f t="shared" si="365"/>
        <v>3</v>
      </c>
      <c r="U604" s="1744" t="str">
        <f t="shared" si="366"/>
        <v/>
      </c>
      <c r="V604" s="1771">
        <v>1</v>
      </c>
      <c r="W604" s="1771">
        <v>1</v>
      </c>
      <c r="X604" s="1771">
        <v>1</v>
      </c>
      <c r="Y604" s="1771">
        <f t="shared" si="367"/>
        <v>1</v>
      </c>
      <c r="Z604" s="1746">
        <v>0</v>
      </c>
      <c r="AA604" s="1747"/>
      <c r="AB604" s="1748"/>
      <c r="AC604" s="1748"/>
      <c r="AD604" s="1595" t="str">
        <f t="shared" si="354"/>
        <v/>
      </c>
      <c r="AE604" s="1595">
        <f t="shared" si="368"/>
        <v>3</v>
      </c>
      <c r="AF604" s="1595" t="str">
        <f t="shared" si="369"/>
        <v/>
      </c>
      <c r="AG604" s="1748"/>
      <c r="AH604" s="1749" t="str">
        <f t="shared" si="355"/>
        <v/>
      </c>
      <c r="AI604" s="1615"/>
      <c r="AJ604" s="1618"/>
      <c r="AK604" s="1618"/>
      <c r="AL604" s="1617" t="s">
        <v>4954</v>
      </c>
      <c r="AM604" s="247" t="str">
        <f t="shared" si="348"/>
        <v/>
      </c>
      <c r="AN604" s="247" t="str">
        <f t="shared" si="349"/>
        <v/>
      </c>
      <c r="AO604" s="247" t="str">
        <f t="shared" si="350"/>
        <v/>
      </c>
      <c r="AP604" s="247" t="str">
        <f t="shared" si="351"/>
        <v/>
      </c>
      <c r="AQ604" s="42">
        <f t="shared" si="370"/>
        <v>1</v>
      </c>
      <c r="AR604" s="42">
        <f t="shared" si="371"/>
        <v>1</v>
      </c>
      <c r="AS604" s="42">
        <f t="shared" si="372"/>
        <v>1</v>
      </c>
      <c r="AT604" s="42">
        <f t="shared" si="373"/>
        <v>1</v>
      </c>
      <c r="AU604" s="247" t="str">
        <f t="shared" si="352"/>
        <v/>
      </c>
      <c r="AV604" s="247" t="str">
        <f t="shared" si="353"/>
        <v/>
      </c>
    </row>
    <row r="605" spans="1:48" ht="24" x14ac:dyDescent="0.2">
      <c r="A605" s="428" t="s">
        <v>350</v>
      </c>
      <c r="B605" s="429" t="s">
        <v>5625</v>
      </c>
      <c r="C605" s="430" t="s">
        <v>3313</v>
      </c>
      <c r="D605" s="1349" t="s">
        <v>1873</v>
      </c>
      <c r="E605" s="1350" t="s">
        <v>7450</v>
      </c>
      <c r="F605" s="1350" t="s">
        <v>2779</v>
      </c>
      <c r="G605" s="1351" t="s">
        <v>6068</v>
      </c>
      <c r="H605" s="1342" t="s">
        <v>1327</v>
      </c>
      <c r="I605" s="432" t="s">
        <v>1545</v>
      </c>
      <c r="J605" s="431" t="s">
        <v>1880</v>
      </c>
      <c r="K605" s="431"/>
      <c r="L605" s="431"/>
      <c r="M605" s="433"/>
      <c r="N605" s="434" t="s">
        <v>1302</v>
      </c>
      <c r="O605" s="1743" t="str">
        <f t="shared" si="374"/>
        <v>Effacement par erreur de programmes de services systèmes communs, par un utilisateur autorisé illégitime</v>
      </c>
      <c r="P605" s="435">
        <v>1</v>
      </c>
      <c r="Q605" s="1595" t="s">
        <v>6403</v>
      </c>
      <c r="R605" s="1595" t="s">
        <v>1873</v>
      </c>
      <c r="S605" s="1595" t="str">
        <f>Classif!C26</f>
        <v/>
      </c>
      <c r="T605" s="1595">
        <f t="shared" si="365"/>
        <v>3</v>
      </c>
      <c r="U605" s="1744" t="str">
        <f t="shared" si="366"/>
        <v/>
      </c>
      <c r="V605" s="1771">
        <v>1</v>
      </c>
      <c r="W605" s="1771">
        <f>MAX(S07A02,S09A02)</f>
        <v>1</v>
      </c>
      <c r="X605" s="1771">
        <v>1</v>
      </c>
      <c r="Y605" s="1771">
        <f t="shared" si="367"/>
        <v>1</v>
      </c>
      <c r="Z605" s="1746">
        <v>0</v>
      </c>
      <c r="AA605" s="1747"/>
      <c r="AB605" s="1748"/>
      <c r="AC605" s="1748"/>
      <c r="AD605" s="1595" t="str">
        <f t="shared" si="354"/>
        <v/>
      </c>
      <c r="AE605" s="1595">
        <f t="shared" si="368"/>
        <v>3</v>
      </c>
      <c r="AF605" s="1595" t="str">
        <f t="shared" si="369"/>
        <v/>
      </c>
      <c r="AG605" s="1748"/>
      <c r="AH605" s="1749" t="str">
        <f t="shared" si="355"/>
        <v/>
      </c>
      <c r="AI605" s="1615"/>
      <c r="AJ605" s="1616" t="s">
        <v>6493</v>
      </c>
      <c r="AK605" s="1618"/>
      <c r="AL605" s="1617" t="s">
        <v>4954</v>
      </c>
      <c r="AM605" s="247" t="str">
        <f t="shared" si="348"/>
        <v/>
      </c>
      <c r="AN605" s="247" t="str">
        <f t="shared" si="349"/>
        <v/>
      </c>
      <c r="AO605" s="247" t="str">
        <f t="shared" si="350"/>
        <v/>
      </c>
      <c r="AP605" s="247" t="str">
        <f t="shared" si="351"/>
        <v/>
      </c>
      <c r="AQ605" s="42">
        <f t="shared" si="370"/>
        <v>1</v>
      </c>
      <c r="AR605" s="42">
        <f t="shared" si="371"/>
        <v>1</v>
      </c>
      <c r="AS605" s="42">
        <f t="shared" si="372"/>
        <v>1</v>
      </c>
      <c r="AT605" s="42">
        <f t="shared" si="373"/>
        <v>1</v>
      </c>
      <c r="AU605" s="247" t="str">
        <f t="shared" si="352"/>
        <v/>
      </c>
      <c r="AV605" s="247" t="str">
        <f t="shared" si="353"/>
        <v/>
      </c>
    </row>
    <row r="606" spans="1:48" ht="24" x14ac:dyDescent="0.2">
      <c r="A606" s="428" t="s">
        <v>351</v>
      </c>
      <c r="B606" s="429" t="s">
        <v>5625</v>
      </c>
      <c r="C606" s="430" t="s">
        <v>3313</v>
      </c>
      <c r="D606" s="1349" t="s">
        <v>1873</v>
      </c>
      <c r="E606" s="1350" t="s">
        <v>7450</v>
      </c>
      <c r="F606" s="1350" t="s">
        <v>2779</v>
      </c>
      <c r="G606" s="1351" t="s">
        <v>6068</v>
      </c>
      <c r="H606" s="1342" t="s">
        <v>1327</v>
      </c>
      <c r="I606" s="432" t="s">
        <v>1545</v>
      </c>
      <c r="J606" s="431" t="s">
        <v>1880</v>
      </c>
      <c r="K606" s="431"/>
      <c r="L606" s="431"/>
      <c r="M606" s="433"/>
      <c r="N606" s="434" t="s">
        <v>1303</v>
      </c>
      <c r="O606" s="1743" t="str">
        <f t="shared" si="374"/>
        <v>Effacement par erreur de programmes de services systèmes communs, par un utilisateur non autorisé</v>
      </c>
      <c r="P606" s="435">
        <v>1</v>
      </c>
      <c r="Q606" s="1595" t="s">
        <v>6403</v>
      </c>
      <c r="R606" s="1595" t="s">
        <v>1873</v>
      </c>
      <c r="S606" s="1595" t="str">
        <f>Classif!C26</f>
        <v/>
      </c>
      <c r="T606" s="1595">
        <f t="shared" si="365"/>
        <v>3</v>
      </c>
      <c r="U606" s="1744" t="str">
        <f t="shared" si="366"/>
        <v/>
      </c>
      <c r="V606" s="1771">
        <v>1</v>
      </c>
      <c r="W606" s="1771">
        <f>MIN(S07A03,S07A04)</f>
        <v>1</v>
      </c>
      <c r="X606" s="1771">
        <v>1</v>
      </c>
      <c r="Y606" s="1771">
        <f t="shared" si="367"/>
        <v>1</v>
      </c>
      <c r="Z606" s="1746">
        <v>0</v>
      </c>
      <c r="AA606" s="1747"/>
      <c r="AB606" s="1748"/>
      <c r="AC606" s="1748"/>
      <c r="AD606" s="1595" t="str">
        <f t="shared" si="354"/>
        <v/>
      </c>
      <c r="AE606" s="1595">
        <f t="shared" si="368"/>
        <v>3</v>
      </c>
      <c r="AF606" s="1595" t="str">
        <f t="shared" si="369"/>
        <v/>
      </c>
      <c r="AG606" s="1748"/>
      <c r="AH606" s="1749" t="str">
        <f t="shared" si="355"/>
        <v/>
      </c>
      <c r="AI606" s="1615"/>
      <c r="AJ606" s="1621" t="s">
        <v>6494</v>
      </c>
      <c r="AK606" s="1618"/>
      <c r="AL606" s="1617" t="s">
        <v>4954</v>
      </c>
      <c r="AM606" s="247" t="str">
        <f t="shared" si="348"/>
        <v/>
      </c>
      <c r="AN606" s="247" t="str">
        <f t="shared" si="349"/>
        <v/>
      </c>
      <c r="AO606" s="247" t="str">
        <f t="shared" si="350"/>
        <v/>
      </c>
      <c r="AP606" s="247" t="str">
        <f t="shared" si="351"/>
        <v/>
      </c>
      <c r="AQ606" s="42">
        <f t="shared" si="370"/>
        <v>1</v>
      </c>
      <c r="AR606" s="42">
        <f t="shared" si="371"/>
        <v>1</v>
      </c>
      <c r="AS606" s="42">
        <f t="shared" si="372"/>
        <v>1</v>
      </c>
      <c r="AT606" s="42">
        <f t="shared" si="373"/>
        <v>1</v>
      </c>
      <c r="AU606" s="247" t="str">
        <f t="shared" si="352"/>
        <v/>
      </c>
      <c r="AV606" s="247" t="str">
        <f t="shared" si="353"/>
        <v/>
      </c>
    </row>
    <row r="607" spans="1:48" ht="24" x14ac:dyDescent="0.2">
      <c r="A607" s="428" t="s">
        <v>352</v>
      </c>
      <c r="B607" s="429" t="s">
        <v>5625</v>
      </c>
      <c r="C607" s="430" t="s">
        <v>3313</v>
      </c>
      <c r="D607" s="1349" t="s">
        <v>1873</v>
      </c>
      <c r="E607" s="1350" t="s">
        <v>7450</v>
      </c>
      <c r="F607" s="1350" t="s">
        <v>2779</v>
      </c>
      <c r="G607" s="1351" t="s">
        <v>6068</v>
      </c>
      <c r="H607" s="1342" t="s">
        <v>1327</v>
      </c>
      <c r="I607" s="432" t="s">
        <v>1545</v>
      </c>
      <c r="J607" s="431" t="s">
        <v>1880</v>
      </c>
      <c r="K607" s="431"/>
      <c r="L607" s="431"/>
      <c r="M607" s="433"/>
      <c r="N607" s="434" t="s">
        <v>6403</v>
      </c>
      <c r="O607" s="1743" t="str">
        <f t="shared" si="374"/>
        <v>Effacement par erreur de programmes de services systèmes communs, par un membre du personnel d'exploitation</v>
      </c>
      <c r="P607" s="435">
        <v>1</v>
      </c>
      <c r="Q607" s="1595" t="s">
        <v>6403</v>
      </c>
      <c r="R607" s="1595" t="s">
        <v>1873</v>
      </c>
      <c r="S607" s="1595" t="str">
        <f>Classif!C26</f>
        <v/>
      </c>
      <c r="T607" s="1595">
        <f t="shared" si="365"/>
        <v>3</v>
      </c>
      <c r="U607" s="1744" t="str">
        <f t="shared" si="366"/>
        <v/>
      </c>
      <c r="V607" s="1771">
        <v>1</v>
      </c>
      <c r="W607" s="1771">
        <v>1</v>
      </c>
      <c r="X607" s="1771">
        <v>1</v>
      </c>
      <c r="Y607" s="1771">
        <f t="shared" si="367"/>
        <v>1</v>
      </c>
      <c r="Z607" s="1746">
        <v>0</v>
      </c>
      <c r="AA607" s="1747"/>
      <c r="AB607" s="1748"/>
      <c r="AC607" s="1748"/>
      <c r="AD607" s="1595" t="str">
        <f t="shared" si="354"/>
        <v/>
      </c>
      <c r="AE607" s="1595">
        <f t="shared" si="368"/>
        <v>3</v>
      </c>
      <c r="AF607" s="1595" t="str">
        <f t="shared" si="369"/>
        <v/>
      </c>
      <c r="AG607" s="1748"/>
      <c r="AH607" s="1749" t="str">
        <f t="shared" si="355"/>
        <v/>
      </c>
      <c r="AI607" s="1615"/>
      <c r="AJ607" s="1618"/>
      <c r="AK607" s="1618"/>
      <c r="AL607" s="1617" t="s">
        <v>4954</v>
      </c>
      <c r="AM607" s="247" t="str">
        <f t="shared" si="348"/>
        <v/>
      </c>
      <c r="AN607" s="247" t="str">
        <f t="shared" si="349"/>
        <v/>
      </c>
      <c r="AO607" s="247" t="str">
        <f t="shared" si="350"/>
        <v/>
      </c>
      <c r="AP607" s="247" t="str">
        <f t="shared" si="351"/>
        <v/>
      </c>
      <c r="AQ607" s="42">
        <f t="shared" si="370"/>
        <v>1</v>
      </c>
      <c r="AR607" s="42">
        <f t="shared" si="371"/>
        <v>1</v>
      </c>
      <c r="AS607" s="42">
        <f t="shared" si="372"/>
        <v>1</v>
      </c>
      <c r="AT607" s="42">
        <f t="shared" si="373"/>
        <v>1</v>
      </c>
      <c r="AU607" s="247" t="str">
        <f t="shared" si="352"/>
        <v/>
      </c>
      <c r="AV607" s="247" t="str">
        <f t="shared" si="353"/>
        <v/>
      </c>
    </row>
    <row r="608" spans="1:48" ht="24" x14ac:dyDescent="0.2">
      <c r="A608" s="428" t="s">
        <v>353</v>
      </c>
      <c r="B608" s="429" t="s">
        <v>5625</v>
      </c>
      <c r="C608" s="430" t="s">
        <v>3313</v>
      </c>
      <c r="D608" s="1349" t="s">
        <v>1873</v>
      </c>
      <c r="E608" s="1350" t="s">
        <v>7450</v>
      </c>
      <c r="F608" s="1350" t="s">
        <v>2779</v>
      </c>
      <c r="G608" s="1351" t="s">
        <v>6068</v>
      </c>
      <c r="H608" s="1342" t="s">
        <v>1327</v>
      </c>
      <c r="I608" s="432" t="s">
        <v>1545</v>
      </c>
      <c r="J608" s="431" t="s">
        <v>1880</v>
      </c>
      <c r="K608" s="431"/>
      <c r="L608" s="431"/>
      <c r="M608" s="433"/>
      <c r="N608" s="434" t="s">
        <v>1299</v>
      </c>
      <c r="O608" s="1743" t="str">
        <f t="shared" si="374"/>
        <v>Effacement par erreur de programmes de services systèmes communs, par un membre du personnel de maintenance</v>
      </c>
      <c r="P608" s="435">
        <v>1</v>
      </c>
      <c r="Q608" s="1595" t="s">
        <v>6403</v>
      </c>
      <c r="R608" s="1595" t="s">
        <v>1873</v>
      </c>
      <c r="S608" s="1595" t="str">
        <f>Classif!C26</f>
        <v/>
      </c>
      <c r="T608" s="1595">
        <f t="shared" si="365"/>
        <v>3</v>
      </c>
      <c r="U608" s="1744" t="str">
        <f t="shared" si="366"/>
        <v/>
      </c>
      <c r="V608" s="1771">
        <v>1</v>
      </c>
      <c r="W608" s="1771">
        <v>1</v>
      </c>
      <c r="X608" s="1771">
        <v>1</v>
      </c>
      <c r="Y608" s="1771">
        <f t="shared" si="367"/>
        <v>1</v>
      </c>
      <c r="Z608" s="1746">
        <v>0</v>
      </c>
      <c r="AA608" s="1747"/>
      <c r="AB608" s="1748"/>
      <c r="AC608" s="1748"/>
      <c r="AD608" s="1595" t="str">
        <f t="shared" si="354"/>
        <v/>
      </c>
      <c r="AE608" s="1595">
        <f t="shared" si="368"/>
        <v>3</v>
      </c>
      <c r="AF608" s="1595" t="str">
        <f t="shared" si="369"/>
        <v/>
      </c>
      <c r="AG608" s="1748"/>
      <c r="AH608" s="1749" t="str">
        <f t="shared" si="355"/>
        <v/>
      </c>
      <c r="AI608" s="1615"/>
      <c r="AJ608" s="1618"/>
      <c r="AK608" s="1618"/>
      <c r="AL608" s="1617" t="s">
        <v>4954</v>
      </c>
      <c r="AM608" s="247" t="str">
        <f t="shared" si="348"/>
        <v/>
      </c>
      <c r="AN608" s="247" t="str">
        <f t="shared" si="349"/>
        <v/>
      </c>
      <c r="AO608" s="247" t="str">
        <f t="shared" si="350"/>
        <v/>
      </c>
      <c r="AP608" s="247" t="str">
        <f t="shared" si="351"/>
        <v/>
      </c>
      <c r="AQ608" s="42">
        <f t="shared" si="370"/>
        <v>1</v>
      </c>
      <c r="AR608" s="42">
        <f t="shared" si="371"/>
        <v>1</v>
      </c>
      <c r="AS608" s="42">
        <f t="shared" si="372"/>
        <v>1</v>
      </c>
      <c r="AT608" s="42">
        <f t="shared" si="373"/>
        <v>1</v>
      </c>
      <c r="AU608" s="247" t="str">
        <f t="shared" si="352"/>
        <v/>
      </c>
      <c r="AV608" s="247" t="str">
        <f t="shared" si="353"/>
        <v/>
      </c>
    </row>
    <row r="609" spans="1:48" ht="24" x14ac:dyDescent="0.2">
      <c r="A609" s="428" t="s">
        <v>354</v>
      </c>
      <c r="B609" s="429" t="s">
        <v>5623</v>
      </c>
      <c r="C609" s="430" t="s">
        <v>3313</v>
      </c>
      <c r="D609" s="1349" t="s">
        <v>1873</v>
      </c>
      <c r="E609" s="1350" t="s">
        <v>7450</v>
      </c>
      <c r="F609" s="1350" t="s">
        <v>2779</v>
      </c>
      <c r="G609" s="1351" t="s">
        <v>6068</v>
      </c>
      <c r="H609" s="1297" t="s">
        <v>1328</v>
      </c>
      <c r="I609" s="437" t="s">
        <v>1546</v>
      </c>
      <c r="J609" s="431" t="s">
        <v>1880</v>
      </c>
      <c r="K609" s="431"/>
      <c r="L609" s="431"/>
      <c r="M609" s="433"/>
      <c r="N609" s="434" t="s">
        <v>1301</v>
      </c>
      <c r="O609" s="1743" t="str">
        <f t="shared" si="374"/>
        <v>Effacement malveillant de programmes de services systèmes communs, par un utilisateur autorisé légitime</v>
      </c>
      <c r="P609" s="435">
        <v>1</v>
      </c>
      <c r="Q609" s="1595" t="s">
        <v>1299</v>
      </c>
      <c r="R609" s="1595" t="s">
        <v>1873</v>
      </c>
      <c r="S609" s="1595" t="str">
        <f>Classif!C26</f>
        <v/>
      </c>
      <c r="T609" s="1595">
        <f t="shared" si="365"/>
        <v>2</v>
      </c>
      <c r="U609" s="1744" t="str">
        <f t="shared" si="366"/>
        <v/>
      </c>
      <c r="V609" s="1750">
        <f>MIN(S07C01,S08E02)</f>
        <v>1</v>
      </c>
      <c r="W609" s="1771">
        <v>1</v>
      </c>
      <c r="X609" s="1771">
        <v>1</v>
      </c>
      <c r="Y609" s="1771">
        <f t="shared" si="367"/>
        <v>1</v>
      </c>
      <c r="Z609" s="1746">
        <v>0</v>
      </c>
      <c r="AA609" s="1747"/>
      <c r="AB609" s="1748"/>
      <c r="AC609" s="1748"/>
      <c r="AD609" s="1595" t="str">
        <f t="shared" si="354"/>
        <v/>
      </c>
      <c r="AE609" s="1595">
        <f t="shared" si="368"/>
        <v>2</v>
      </c>
      <c r="AF609" s="1595" t="str">
        <f t="shared" si="369"/>
        <v/>
      </c>
      <c r="AG609" s="1748"/>
      <c r="AH609" s="1749" t="str">
        <f t="shared" si="355"/>
        <v/>
      </c>
      <c r="AI609" s="1620" t="s">
        <v>6492</v>
      </c>
      <c r="AJ609" s="1621"/>
      <c r="AK609" s="1618"/>
      <c r="AL609" s="1617" t="s">
        <v>4954</v>
      </c>
      <c r="AM609" s="247" t="str">
        <f t="shared" si="348"/>
        <v/>
      </c>
      <c r="AN609" s="247" t="str">
        <f t="shared" si="349"/>
        <v/>
      </c>
      <c r="AO609" s="247" t="str">
        <f t="shared" si="350"/>
        <v/>
      </c>
      <c r="AP609" s="247" t="str">
        <f t="shared" si="351"/>
        <v/>
      </c>
      <c r="AQ609" s="42">
        <f t="shared" si="370"/>
        <v>1</v>
      </c>
      <c r="AR609" s="42">
        <f t="shared" si="371"/>
        <v>1</v>
      </c>
      <c r="AS609" s="42">
        <f t="shared" si="372"/>
        <v>1</v>
      </c>
      <c r="AT609" s="42">
        <f t="shared" si="373"/>
        <v>1</v>
      </c>
      <c r="AU609" s="247" t="str">
        <f t="shared" si="352"/>
        <v/>
      </c>
      <c r="AV609" s="247" t="str">
        <f t="shared" si="353"/>
        <v/>
      </c>
    </row>
    <row r="610" spans="1:48" ht="24" x14ac:dyDescent="0.2">
      <c r="A610" s="428" t="s">
        <v>355</v>
      </c>
      <c r="B610" s="429" t="s">
        <v>5623</v>
      </c>
      <c r="C610" s="430" t="s">
        <v>3313</v>
      </c>
      <c r="D610" s="1349" t="s">
        <v>1873</v>
      </c>
      <c r="E610" s="1350" t="s">
        <v>7450</v>
      </c>
      <c r="F610" s="1350" t="s">
        <v>2779</v>
      </c>
      <c r="G610" s="1351" t="s">
        <v>6068</v>
      </c>
      <c r="H610" s="1342" t="s">
        <v>1328</v>
      </c>
      <c r="I610" s="432" t="s">
        <v>1546</v>
      </c>
      <c r="J610" s="431" t="s">
        <v>1880</v>
      </c>
      <c r="K610" s="431"/>
      <c r="L610" s="431"/>
      <c r="M610" s="433"/>
      <c r="N610" s="434" t="s">
        <v>1302</v>
      </c>
      <c r="O610" s="1743" t="str">
        <f t="shared" si="374"/>
        <v>Effacement malveillant de programmes de services systèmes communs, par un utilisateur autorisé illégitime</v>
      </c>
      <c r="P610" s="435">
        <v>1</v>
      </c>
      <c r="Q610" s="1595" t="s">
        <v>1299</v>
      </c>
      <c r="R610" s="1595" t="s">
        <v>1873</v>
      </c>
      <c r="S610" s="1595" t="str">
        <f>Classif!C26</f>
        <v/>
      </c>
      <c r="T610" s="1595">
        <f t="shared" si="365"/>
        <v>2</v>
      </c>
      <c r="U610" s="1744" t="str">
        <f t="shared" si="366"/>
        <v/>
      </c>
      <c r="V610" s="1750">
        <f>MIN(S07C01,S08E02)</f>
        <v>1</v>
      </c>
      <c r="W610" s="1771">
        <f>MAX(S07A02,S09A02)</f>
        <v>1</v>
      </c>
      <c r="X610" s="1771">
        <v>1</v>
      </c>
      <c r="Y610" s="1771">
        <f t="shared" si="367"/>
        <v>1</v>
      </c>
      <c r="Z610" s="1746">
        <v>0</v>
      </c>
      <c r="AA610" s="1747"/>
      <c r="AB610" s="1748"/>
      <c r="AC610" s="1748"/>
      <c r="AD610" s="1595" t="str">
        <f t="shared" si="354"/>
        <v/>
      </c>
      <c r="AE610" s="1595">
        <f t="shared" si="368"/>
        <v>2</v>
      </c>
      <c r="AF610" s="1595" t="str">
        <f t="shared" si="369"/>
        <v/>
      </c>
      <c r="AG610" s="1748"/>
      <c r="AH610" s="1749" t="str">
        <f t="shared" si="355"/>
        <v/>
      </c>
      <c r="AI610" s="1620" t="s">
        <v>6492</v>
      </c>
      <c r="AJ610" s="1616" t="s">
        <v>6493</v>
      </c>
      <c r="AK610" s="1618"/>
      <c r="AL610" s="1617" t="s">
        <v>4954</v>
      </c>
      <c r="AM610" s="247" t="str">
        <f t="shared" si="348"/>
        <v/>
      </c>
      <c r="AN610" s="247" t="str">
        <f t="shared" si="349"/>
        <v/>
      </c>
      <c r="AO610" s="247" t="str">
        <f t="shared" si="350"/>
        <v/>
      </c>
      <c r="AP610" s="247" t="str">
        <f t="shared" si="351"/>
        <v/>
      </c>
      <c r="AQ610" s="42">
        <f t="shared" si="370"/>
        <v>1</v>
      </c>
      <c r="AR610" s="42">
        <f t="shared" si="371"/>
        <v>1</v>
      </c>
      <c r="AS610" s="42">
        <f t="shared" si="372"/>
        <v>1</v>
      </c>
      <c r="AT610" s="42">
        <f t="shared" si="373"/>
        <v>1</v>
      </c>
      <c r="AU610" s="247" t="str">
        <f t="shared" si="352"/>
        <v/>
      </c>
      <c r="AV610" s="247" t="str">
        <f t="shared" si="353"/>
        <v/>
      </c>
    </row>
    <row r="611" spans="1:48" ht="24" x14ac:dyDescent="0.2">
      <c r="A611" s="428" t="s">
        <v>356</v>
      </c>
      <c r="B611" s="429" t="s">
        <v>5623</v>
      </c>
      <c r="C611" s="430" t="s">
        <v>3313</v>
      </c>
      <c r="D611" s="1349" t="s">
        <v>1873</v>
      </c>
      <c r="E611" s="1350" t="s">
        <v>7450</v>
      </c>
      <c r="F611" s="1350" t="s">
        <v>2779</v>
      </c>
      <c r="G611" s="1351" t="s">
        <v>6068</v>
      </c>
      <c r="H611" s="1342" t="s">
        <v>1328</v>
      </c>
      <c r="I611" s="432" t="s">
        <v>1546</v>
      </c>
      <c r="J611" s="431" t="s">
        <v>1880</v>
      </c>
      <c r="K611" s="431"/>
      <c r="L611" s="431"/>
      <c r="M611" s="433"/>
      <c r="N611" s="434" t="s">
        <v>1303</v>
      </c>
      <c r="O611" s="1743" t="str">
        <f t="shared" si="374"/>
        <v>Effacement malveillant de programmes de services systèmes communs, par un utilisateur non autorisé</v>
      </c>
      <c r="P611" s="435">
        <v>1</v>
      </c>
      <c r="Q611" s="1595" t="s">
        <v>1299</v>
      </c>
      <c r="R611" s="1595" t="s">
        <v>1873</v>
      </c>
      <c r="S611" s="1595" t="str">
        <f>Classif!C26</f>
        <v/>
      </c>
      <c r="T611" s="1595">
        <f t="shared" si="365"/>
        <v>2</v>
      </c>
      <c r="U611" s="1744" t="str">
        <f t="shared" si="366"/>
        <v/>
      </c>
      <c r="V611" s="1771">
        <v>1</v>
      </c>
      <c r="W611" s="1771">
        <f>MIN(S07A03,S07A04)</f>
        <v>1</v>
      </c>
      <c r="X611" s="1771">
        <v>1</v>
      </c>
      <c r="Y611" s="1771">
        <f t="shared" si="367"/>
        <v>1</v>
      </c>
      <c r="Z611" s="1746">
        <v>0</v>
      </c>
      <c r="AA611" s="1747"/>
      <c r="AB611" s="1748"/>
      <c r="AC611" s="1748"/>
      <c r="AD611" s="1595" t="str">
        <f t="shared" si="354"/>
        <v/>
      </c>
      <c r="AE611" s="1595">
        <f t="shared" si="368"/>
        <v>2</v>
      </c>
      <c r="AF611" s="1595" t="str">
        <f t="shared" si="369"/>
        <v/>
      </c>
      <c r="AG611" s="1748"/>
      <c r="AH611" s="1749" t="str">
        <f t="shared" si="355"/>
        <v/>
      </c>
      <c r="AI611" s="1615"/>
      <c r="AJ611" s="1621" t="s">
        <v>6494</v>
      </c>
      <c r="AK611" s="1618"/>
      <c r="AL611" s="1617" t="s">
        <v>4954</v>
      </c>
      <c r="AM611" s="247" t="str">
        <f t="shared" si="348"/>
        <v/>
      </c>
      <c r="AN611" s="247" t="str">
        <f t="shared" si="349"/>
        <v/>
      </c>
      <c r="AO611" s="247" t="str">
        <f t="shared" si="350"/>
        <v/>
      </c>
      <c r="AP611" s="247" t="str">
        <f t="shared" si="351"/>
        <v/>
      </c>
      <c r="AQ611" s="42">
        <f t="shared" si="370"/>
        <v>1</v>
      </c>
      <c r="AR611" s="42">
        <f t="shared" si="371"/>
        <v>1</v>
      </c>
      <c r="AS611" s="42">
        <f t="shared" si="372"/>
        <v>1</v>
      </c>
      <c r="AT611" s="42">
        <f t="shared" si="373"/>
        <v>1</v>
      </c>
      <c r="AU611" s="247" t="str">
        <f t="shared" si="352"/>
        <v/>
      </c>
      <c r="AV611" s="247" t="str">
        <f t="shared" si="353"/>
        <v/>
      </c>
    </row>
    <row r="612" spans="1:48" ht="24" x14ac:dyDescent="0.2">
      <c r="A612" s="428" t="s">
        <v>357</v>
      </c>
      <c r="B612" s="429" t="s">
        <v>5623</v>
      </c>
      <c r="C612" s="430" t="s">
        <v>3313</v>
      </c>
      <c r="D612" s="1349" t="s">
        <v>1873</v>
      </c>
      <c r="E612" s="1350" t="s">
        <v>7450</v>
      </c>
      <c r="F612" s="1350" t="s">
        <v>2779</v>
      </c>
      <c r="G612" s="1351" t="s">
        <v>6068</v>
      </c>
      <c r="H612" s="1342" t="s">
        <v>1328</v>
      </c>
      <c r="I612" s="432" t="s">
        <v>1546</v>
      </c>
      <c r="J612" s="431" t="s">
        <v>1880</v>
      </c>
      <c r="K612" s="431"/>
      <c r="L612" s="431"/>
      <c r="M612" s="433"/>
      <c r="N612" s="434" t="s">
        <v>6403</v>
      </c>
      <c r="O612" s="1743" t="str">
        <f t="shared" si="374"/>
        <v>Effacement malveillant de programmes de services systèmes communs, par un membre du personnel d'exploitation</v>
      </c>
      <c r="P612" s="435">
        <v>1</v>
      </c>
      <c r="Q612" s="1595" t="s">
        <v>1299</v>
      </c>
      <c r="R612" s="1595" t="s">
        <v>1873</v>
      </c>
      <c r="S612" s="1595" t="str">
        <f>Classif!C26</f>
        <v/>
      </c>
      <c r="T612" s="1595">
        <f t="shared" si="365"/>
        <v>2</v>
      </c>
      <c r="U612" s="1744" t="str">
        <f t="shared" si="366"/>
        <v/>
      </c>
      <c r="V612" s="1771">
        <f>MIN(S08F02,S08F03)</f>
        <v>1</v>
      </c>
      <c r="W612" s="1771">
        <v>1</v>
      </c>
      <c r="X612" s="1771">
        <v>1</v>
      </c>
      <c r="Y612" s="1771">
        <f t="shared" si="367"/>
        <v>1</v>
      </c>
      <c r="Z612" s="1746">
        <v>0</v>
      </c>
      <c r="AA612" s="1747"/>
      <c r="AB612" s="1748"/>
      <c r="AC612" s="1748"/>
      <c r="AD612" s="1595" t="str">
        <f t="shared" si="354"/>
        <v/>
      </c>
      <c r="AE612" s="1595">
        <f t="shared" si="368"/>
        <v>2</v>
      </c>
      <c r="AF612" s="1595" t="str">
        <f t="shared" si="369"/>
        <v/>
      </c>
      <c r="AG612" s="1748"/>
      <c r="AH612" s="1749" t="str">
        <f t="shared" si="355"/>
        <v/>
      </c>
      <c r="AI612" s="1622" t="s">
        <v>6495</v>
      </c>
      <c r="AJ612" s="1621"/>
      <c r="AK612" s="1618"/>
      <c r="AL612" s="1617" t="s">
        <v>4954</v>
      </c>
      <c r="AM612" s="247" t="str">
        <f t="shared" si="348"/>
        <v/>
      </c>
      <c r="AN612" s="247" t="str">
        <f t="shared" si="349"/>
        <v/>
      </c>
      <c r="AO612" s="247" t="str">
        <f t="shared" si="350"/>
        <v/>
      </c>
      <c r="AP612" s="247" t="str">
        <f t="shared" si="351"/>
        <v/>
      </c>
      <c r="AQ612" s="42">
        <f t="shared" si="370"/>
        <v>1</v>
      </c>
      <c r="AR612" s="42">
        <f t="shared" si="371"/>
        <v>1</v>
      </c>
      <c r="AS612" s="42">
        <f t="shared" si="372"/>
        <v>1</v>
      </c>
      <c r="AT612" s="42">
        <f t="shared" si="373"/>
        <v>1</v>
      </c>
      <c r="AU612" s="247" t="str">
        <f t="shared" si="352"/>
        <v/>
      </c>
      <c r="AV612" s="247" t="str">
        <f t="shared" si="353"/>
        <v/>
      </c>
    </row>
    <row r="613" spans="1:48" ht="24" x14ac:dyDescent="0.2">
      <c r="A613" s="428" t="s">
        <v>358</v>
      </c>
      <c r="B613" s="429" t="s">
        <v>5623</v>
      </c>
      <c r="C613" s="430" t="s">
        <v>3313</v>
      </c>
      <c r="D613" s="1349" t="s">
        <v>1873</v>
      </c>
      <c r="E613" s="1350" t="s">
        <v>7450</v>
      </c>
      <c r="F613" s="1350" t="s">
        <v>2779</v>
      </c>
      <c r="G613" s="1351" t="s">
        <v>6068</v>
      </c>
      <c r="H613" s="1342" t="s">
        <v>1328</v>
      </c>
      <c r="I613" s="432" t="s">
        <v>1546</v>
      </c>
      <c r="J613" s="431" t="s">
        <v>1880</v>
      </c>
      <c r="K613" s="431"/>
      <c r="L613" s="431"/>
      <c r="M613" s="433"/>
      <c r="N613" s="434" t="s">
        <v>1299</v>
      </c>
      <c r="O613" s="1743" t="str">
        <f t="shared" si="374"/>
        <v>Effacement malveillant de programmes de services systèmes communs, par un membre du personnel de maintenance</v>
      </c>
      <c r="P613" s="435">
        <v>1</v>
      </c>
      <c r="Q613" s="1595" t="s">
        <v>1299</v>
      </c>
      <c r="R613" s="1595" t="s">
        <v>1873</v>
      </c>
      <c r="S613" s="1595" t="str">
        <f>Classif!C26</f>
        <v/>
      </c>
      <c r="T613" s="1595">
        <f t="shared" si="365"/>
        <v>2</v>
      </c>
      <c r="U613" s="1744" t="str">
        <f t="shared" si="366"/>
        <v/>
      </c>
      <c r="V613" s="1771">
        <f>MIN(S07C02,S08E02)</f>
        <v>1</v>
      </c>
      <c r="W613" s="1771">
        <v>1</v>
      </c>
      <c r="X613" s="1771">
        <v>1</v>
      </c>
      <c r="Y613" s="1771">
        <f t="shared" si="367"/>
        <v>1</v>
      </c>
      <c r="Z613" s="1746">
        <v>0</v>
      </c>
      <c r="AA613" s="1747"/>
      <c r="AB613" s="1748"/>
      <c r="AC613" s="1748"/>
      <c r="AD613" s="1595" t="str">
        <f t="shared" si="354"/>
        <v/>
      </c>
      <c r="AE613" s="1595">
        <f t="shared" si="368"/>
        <v>2</v>
      </c>
      <c r="AF613" s="1595" t="str">
        <f t="shared" si="369"/>
        <v/>
      </c>
      <c r="AG613" s="1748"/>
      <c r="AH613" s="1749" t="str">
        <f t="shared" si="355"/>
        <v/>
      </c>
      <c r="AI613" s="1620" t="s">
        <v>6491</v>
      </c>
      <c r="AJ613" s="1616"/>
      <c r="AK613" s="1616"/>
      <c r="AL613" s="1617" t="s">
        <v>4954</v>
      </c>
      <c r="AM613" s="247" t="str">
        <f t="shared" si="348"/>
        <v/>
      </c>
      <c r="AN613" s="247" t="str">
        <f t="shared" si="349"/>
        <v/>
      </c>
      <c r="AO613" s="247" t="str">
        <f t="shared" si="350"/>
        <v/>
      </c>
      <c r="AP613" s="247" t="str">
        <f t="shared" si="351"/>
        <v/>
      </c>
      <c r="AQ613" s="42">
        <f t="shared" si="370"/>
        <v>1</v>
      </c>
      <c r="AR613" s="42">
        <f t="shared" si="371"/>
        <v>1</v>
      </c>
      <c r="AS613" s="42">
        <f t="shared" si="372"/>
        <v>1</v>
      </c>
      <c r="AT613" s="42">
        <f t="shared" si="373"/>
        <v>1</v>
      </c>
      <c r="AU613" s="247" t="str">
        <f t="shared" si="352"/>
        <v/>
      </c>
      <c r="AV613" s="247" t="str">
        <f t="shared" si="353"/>
        <v/>
      </c>
    </row>
    <row r="614" spans="1:48" ht="24" x14ac:dyDescent="0.2">
      <c r="A614" s="428" t="s">
        <v>359</v>
      </c>
      <c r="B614" s="429" t="s">
        <v>2602</v>
      </c>
      <c r="C614" s="430" t="s">
        <v>3313</v>
      </c>
      <c r="D614" s="1349" t="s">
        <v>1873</v>
      </c>
      <c r="E614" s="1350" t="s">
        <v>7450</v>
      </c>
      <c r="F614" s="1350" t="s">
        <v>2779</v>
      </c>
      <c r="G614" s="1351" t="s">
        <v>3739</v>
      </c>
      <c r="H614" s="1342" t="s">
        <v>1328</v>
      </c>
      <c r="I614" s="432" t="s">
        <v>1550</v>
      </c>
      <c r="J614" s="431"/>
      <c r="K614" s="431"/>
      <c r="L614" s="431"/>
      <c r="M614" s="433"/>
      <c r="N614" s="434" t="s">
        <v>6403</v>
      </c>
      <c r="O614" s="1743" t="str">
        <f t="shared" si="374"/>
        <v>Effacement malveillant total de fichiers et fichiers de sauvegarde de services systèmes communs, par un membre du personnel d'exploitation</v>
      </c>
      <c r="P614" s="435">
        <v>1</v>
      </c>
      <c r="Q614" s="1595" t="s">
        <v>1299</v>
      </c>
      <c r="R614" s="1595" t="s">
        <v>1873</v>
      </c>
      <c r="S614" s="1595" t="str">
        <f>Classif!C26</f>
        <v/>
      </c>
      <c r="T614" s="1595">
        <f t="shared" si="365"/>
        <v>2</v>
      </c>
      <c r="U614" s="1744" t="str">
        <f t="shared" si="366"/>
        <v/>
      </c>
      <c r="V614" s="1771">
        <f>MIN(S08F02,S08F03)</f>
        <v>1</v>
      </c>
      <c r="W614" s="1771">
        <v>1</v>
      </c>
      <c r="X614" s="1771">
        <v>1</v>
      </c>
      <c r="Y614" s="1771">
        <v>1</v>
      </c>
      <c r="Z614" s="1746">
        <v>0</v>
      </c>
      <c r="AA614" s="1747"/>
      <c r="AB614" s="1748"/>
      <c r="AC614" s="1748"/>
      <c r="AD614" s="1595" t="str">
        <f t="shared" si="354"/>
        <v/>
      </c>
      <c r="AE614" s="1595">
        <f t="shared" si="368"/>
        <v>2</v>
      </c>
      <c r="AF614" s="1595" t="str">
        <f t="shared" si="369"/>
        <v/>
      </c>
      <c r="AG614" s="1748"/>
      <c r="AH614" s="1749" t="str">
        <f t="shared" si="355"/>
        <v/>
      </c>
      <c r="AI614" s="1622" t="s">
        <v>6495</v>
      </c>
      <c r="AJ614" s="1621"/>
      <c r="AK614" s="1618"/>
      <c r="AL614" s="1617"/>
      <c r="AM614" s="247" t="str">
        <f t="shared" si="348"/>
        <v/>
      </c>
      <c r="AN614" s="247" t="str">
        <f t="shared" si="349"/>
        <v/>
      </c>
      <c r="AO614" s="247" t="str">
        <f t="shared" si="350"/>
        <v/>
      </c>
      <c r="AP614" s="247" t="str">
        <f t="shared" si="351"/>
        <v/>
      </c>
      <c r="AQ614" s="42">
        <f t="shared" si="370"/>
        <v>1</v>
      </c>
      <c r="AR614" s="42">
        <f t="shared" si="371"/>
        <v>1</v>
      </c>
      <c r="AS614" s="42">
        <f t="shared" si="372"/>
        <v>1</v>
      </c>
      <c r="AT614" s="42">
        <f t="shared" si="373"/>
        <v>1</v>
      </c>
      <c r="AU614" s="247" t="str">
        <f t="shared" si="352"/>
        <v/>
      </c>
      <c r="AV614" s="247" t="str">
        <f t="shared" si="353"/>
        <v/>
      </c>
    </row>
    <row r="615" spans="1:48" ht="24" x14ac:dyDescent="0.2">
      <c r="A615" s="428" t="s">
        <v>360</v>
      </c>
      <c r="B615" s="429" t="s">
        <v>5631</v>
      </c>
      <c r="C615" s="430" t="s">
        <v>3313</v>
      </c>
      <c r="D615" s="1349" t="s">
        <v>1873</v>
      </c>
      <c r="E615" s="1350" t="s">
        <v>7450</v>
      </c>
      <c r="F615" s="1350" t="s">
        <v>5162</v>
      </c>
      <c r="G615" s="1351" t="s">
        <v>5557</v>
      </c>
      <c r="H615" s="1342" t="s">
        <v>1327</v>
      </c>
      <c r="I615" s="432" t="s">
        <v>1545</v>
      </c>
      <c r="J615" s="431"/>
      <c r="K615" s="431"/>
      <c r="L615" s="431"/>
      <c r="M615" s="433" t="s">
        <v>5421</v>
      </c>
      <c r="N615" s="434" t="s">
        <v>1299</v>
      </c>
      <c r="O615" s="1743" t="str">
        <f>VLOOKUP(B615,code_famille_scénario,2)&amp;VLOOKUP(C615,code_actif,2)&amp;" due "&amp;VLOOKUP(I615,code_event,2)&amp;", "&amp;VLOOKUP(M615,code_process,2)</f>
        <v>Pollution accidentelle de programmes de services systèmes communs due à une erreur de procédure, lors d'une opération de maintenance logicielle</v>
      </c>
      <c r="P615" s="435">
        <v>1</v>
      </c>
      <c r="Q615" s="1595" t="s">
        <v>1431</v>
      </c>
      <c r="R615" s="1595" t="s">
        <v>1873</v>
      </c>
      <c r="S615" s="1595" t="str">
        <f>Classif!C26</f>
        <v/>
      </c>
      <c r="T615" s="1595">
        <f t="shared" si="365"/>
        <v>3</v>
      </c>
      <c r="U615" s="1744" t="str">
        <f t="shared" si="366"/>
        <v/>
      </c>
      <c r="V615" s="1771">
        <v>1</v>
      </c>
      <c r="W615" s="1771">
        <f>S10B05</f>
        <v>1</v>
      </c>
      <c r="X615" s="1771">
        <v>1</v>
      </c>
      <c r="Y615" s="1771">
        <f t="shared" ref="Y615:Y640" si="375">S08D04</f>
        <v>1</v>
      </c>
      <c r="Z615" s="1746">
        <v>0</v>
      </c>
      <c r="AA615" s="1747"/>
      <c r="AB615" s="1748"/>
      <c r="AC615" s="1748"/>
      <c r="AD615" s="1595" t="str">
        <f t="shared" si="354"/>
        <v/>
      </c>
      <c r="AE615" s="1595">
        <f t="shared" si="368"/>
        <v>3</v>
      </c>
      <c r="AF615" s="1595" t="str">
        <f t="shared" si="369"/>
        <v/>
      </c>
      <c r="AG615" s="1748"/>
      <c r="AH615" s="1749" t="str">
        <f t="shared" si="355"/>
        <v/>
      </c>
      <c r="AI615" s="1615"/>
      <c r="AJ615" s="1616" t="s">
        <v>3224</v>
      </c>
      <c r="AK615" s="1616"/>
      <c r="AL615" s="1617" t="s">
        <v>4954</v>
      </c>
      <c r="AM615" s="247" t="str">
        <f t="shared" si="348"/>
        <v/>
      </c>
      <c r="AN615" s="247" t="str">
        <f t="shared" si="349"/>
        <v/>
      </c>
      <c r="AO615" s="247" t="str">
        <f t="shared" si="350"/>
        <v/>
      </c>
      <c r="AP615" s="247" t="str">
        <f t="shared" si="351"/>
        <v/>
      </c>
      <c r="AQ615" s="42">
        <f t="shared" si="370"/>
        <v>1</v>
      </c>
      <c r="AR615" s="42">
        <f t="shared" si="371"/>
        <v>1</v>
      </c>
      <c r="AS615" s="42">
        <f t="shared" si="372"/>
        <v>1</v>
      </c>
      <c r="AT615" s="42">
        <f t="shared" si="373"/>
        <v>1</v>
      </c>
      <c r="AU615" s="247" t="str">
        <f t="shared" si="352"/>
        <v/>
      </c>
      <c r="AV615" s="247" t="str">
        <f t="shared" si="353"/>
        <v/>
      </c>
    </row>
    <row r="616" spans="1:48" ht="24" x14ac:dyDescent="0.2">
      <c r="A616" s="428" t="s">
        <v>361</v>
      </c>
      <c r="B616" s="429" t="s">
        <v>5631</v>
      </c>
      <c r="C616" s="430" t="s">
        <v>3313</v>
      </c>
      <c r="D616" s="1349" t="s">
        <v>1873</v>
      </c>
      <c r="E616" s="1350" t="s">
        <v>7450</v>
      </c>
      <c r="F616" s="1350" t="s">
        <v>5162</v>
      </c>
      <c r="G616" s="1351" t="s">
        <v>5557</v>
      </c>
      <c r="H616" s="1342" t="s">
        <v>1327</v>
      </c>
      <c r="I616" s="432" t="s">
        <v>1545</v>
      </c>
      <c r="J616" s="431"/>
      <c r="K616" s="431"/>
      <c r="L616" s="431"/>
      <c r="M616" s="433" t="s">
        <v>5422</v>
      </c>
      <c r="N616" s="434" t="s">
        <v>1299</v>
      </c>
      <c r="O616" s="1743" t="str">
        <f>VLOOKUP(B616,code_famille_scénario,2)&amp;VLOOKUP(C616,code_actif,2)&amp;" due "&amp;VLOOKUP(I616,code_event,2)&amp;", "&amp;VLOOKUP(M616,code_process,2)</f>
        <v>Pollution accidentelle de programmes de services systèmes communs due à une erreur de procédure, lors d'une opération de maintenance à chaud</v>
      </c>
      <c r="P616" s="435">
        <v>1</v>
      </c>
      <c r="Q616" s="1595" t="s">
        <v>1431</v>
      </c>
      <c r="R616" s="1595" t="s">
        <v>1873</v>
      </c>
      <c r="S616" s="1595" t="str">
        <f>Classif!C26</f>
        <v/>
      </c>
      <c r="T616" s="1595">
        <f t="shared" si="365"/>
        <v>3</v>
      </c>
      <c r="U616" s="1744" t="str">
        <f t="shared" si="366"/>
        <v/>
      </c>
      <c r="V616" s="1771">
        <v>1</v>
      </c>
      <c r="W616" s="1771">
        <f>S10B06</f>
        <v>1</v>
      </c>
      <c r="X616" s="1771">
        <v>1</v>
      </c>
      <c r="Y616" s="1771">
        <f t="shared" si="375"/>
        <v>1</v>
      </c>
      <c r="Z616" s="1746">
        <v>0</v>
      </c>
      <c r="AA616" s="1747"/>
      <c r="AB616" s="1748"/>
      <c r="AC616" s="1748"/>
      <c r="AD616" s="1595" t="str">
        <f t="shared" si="354"/>
        <v/>
      </c>
      <c r="AE616" s="1595">
        <f t="shared" si="368"/>
        <v>3</v>
      </c>
      <c r="AF616" s="1595" t="str">
        <f t="shared" si="369"/>
        <v/>
      </c>
      <c r="AG616" s="1748"/>
      <c r="AH616" s="1749" t="str">
        <f t="shared" si="355"/>
        <v/>
      </c>
      <c r="AI616" s="1615"/>
      <c r="AJ616" s="1616" t="s">
        <v>3226</v>
      </c>
      <c r="AK616" s="1616"/>
      <c r="AL616" s="1617" t="s">
        <v>4954</v>
      </c>
      <c r="AM616" s="247" t="str">
        <f t="shared" si="348"/>
        <v/>
      </c>
      <c r="AN616" s="247" t="str">
        <f t="shared" si="349"/>
        <v/>
      </c>
      <c r="AO616" s="247" t="str">
        <f t="shared" si="350"/>
        <v/>
      </c>
      <c r="AP616" s="247" t="str">
        <f t="shared" si="351"/>
        <v/>
      </c>
      <c r="AQ616" s="42">
        <f t="shared" si="370"/>
        <v>1</v>
      </c>
      <c r="AR616" s="42">
        <f t="shared" si="371"/>
        <v>1</v>
      </c>
      <c r="AS616" s="42">
        <f t="shared" si="372"/>
        <v>1</v>
      </c>
      <c r="AT616" s="42">
        <f t="shared" si="373"/>
        <v>1</v>
      </c>
      <c r="AU616" s="247" t="str">
        <f t="shared" si="352"/>
        <v/>
      </c>
      <c r="AV616" s="247" t="str">
        <f t="shared" si="353"/>
        <v/>
      </c>
    </row>
    <row r="617" spans="1:48" ht="24" x14ac:dyDescent="0.2">
      <c r="A617" s="428" t="s">
        <v>362</v>
      </c>
      <c r="B617" s="429" t="s">
        <v>5631</v>
      </c>
      <c r="C617" s="430" t="s">
        <v>3313</v>
      </c>
      <c r="D617" s="1349" t="s">
        <v>1873</v>
      </c>
      <c r="E617" s="1350" t="s">
        <v>7450</v>
      </c>
      <c r="F617" s="1350" t="s">
        <v>5162</v>
      </c>
      <c r="G617" s="1351" t="s">
        <v>5557</v>
      </c>
      <c r="H617" s="1342" t="s">
        <v>1465</v>
      </c>
      <c r="I617" s="432" t="s">
        <v>1880</v>
      </c>
      <c r="J617" s="431"/>
      <c r="K617" s="431"/>
      <c r="L617" s="431"/>
      <c r="M617" s="433"/>
      <c r="N617" s="434"/>
      <c r="O617" s="1743" t="str">
        <f>VLOOKUP(B617,code_famille_scénario,2)&amp;VLOOKUP(C617,code_actif,2)&amp;" due "&amp;VLOOKUP(I617,code_event,2)</f>
        <v>Pollution accidentelle de programmes de services systèmes communs due à un incident d'exploitation</v>
      </c>
      <c r="P617" s="435">
        <v>1</v>
      </c>
      <c r="Q617" s="1595" t="s">
        <v>1431</v>
      </c>
      <c r="R617" s="1595" t="s">
        <v>1873</v>
      </c>
      <c r="S617" s="1595" t="str">
        <f>Classif!C26</f>
        <v/>
      </c>
      <c r="T617" s="1595">
        <f t="shared" si="365"/>
        <v>3</v>
      </c>
      <c r="U617" s="1744" t="str">
        <f t="shared" si="366"/>
        <v/>
      </c>
      <c r="V617" s="1771">
        <v>1</v>
      </c>
      <c r="W617" s="1771">
        <v>1</v>
      </c>
      <c r="X617" s="1771">
        <f>S08E02</f>
        <v>1</v>
      </c>
      <c r="Y617" s="1771">
        <f t="shared" si="375"/>
        <v>1</v>
      </c>
      <c r="Z617" s="1746">
        <v>0</v>
      </c>
      <c r="AA617" s="1747"/>
      <c r="AB617" s="1748"/>
      <c r="AC617" s="1748"/>
      <c r="AD617" s="1595" t="str">
        <f t="shared" si="354"/>
        <v/>
      </c>
      <c r="AE617" s="1595">
        <f t="shared" si="368"/>
        <v>3</v>
      </c>
      <c r="AF617" s="1595" t="str">
        <f t="shared" si="369"/>
        <v/>
      </c>
      <c r="AG617" s="1748"/>
      <c r="AH617" s="1749" t="str">
        <f t="shared" si="355"/>
        <v/>
      </c>
      <c r="AI617" s="1615"/>
      <c r="AJ617" s="1616"/>
      <c r="AK617" s="1616" t="s">
        <v>1498</v>
      </c>
      <c r="AL617" s="1617" t="s">
        <v>4954</v>
      </c>
      <c r="AM617" s="247" t="str">
        <f t="shared" si="348"/>
        <v/>
      </c>
      <c r="AN617" s="247" t="str">
        <f t="shared" si="349"/>
        <v/>
      </c>
      <c r="AO617" s="247" t="str">
        <f t="shared" si="350"/>
        <v/>
      </c>
      <c r="AP617" s="247" t="str">
        <f t="shared" si="351"/>
        <v/>
      </c>
      <c r="AQ617" s="42">
        <f t="shared" si="370"/>
        <v>1</v>
      </c>
      <c r="AR617" s="42">
        <f t="shared" si="371"/>
        <v>1</v>
      </c>
      <c r="AS617" s="42">
        <f t="shared" si="372"/>
        <v>1</v>
      </c>
      <c r="AT617" s="42">
        <f t="shared" si="373"/>
        <v>1</v>
      </c>
      <c r="AU617" s="247" t="str">
        <f t="shared" si="352"/>
        <v/>
      </c>
      <c r="AV617" s="247" t="str">
        <f t="shared" si="353"/>
        <v/>
      </c>
    </row>
    <row r="618" spans="1:48" ht="33.75" x14ac:dyDescent="0.2">
      <c r="A618" s="428" t="s">
        <v>363</v>
      </c>
      <c r="B618" s="429" t="s">
        <v>5576</v>
      </c>
      <c r="C618" s="430" t="s">
        <v>3313</v>
      </c>
      <c r="D618" s="1349" t="s">
        <v>1873</v>
      </c>
      <c r="E618" s="1350" t="s">
        <v>7450</v>
      </c>
      <c r="F618" s="1350" t="s">
        <v>5162</v>
      </c>
      <c r="G618" s="1351" t="s">
        <v>5557</v>
      </c>
      <c r="H618" s="1342" t="s">
        <v>1328</v>
      </c>
      <c r="I618" s="432" t="s">
        <v>1548</v>
      </c>
      <c r="J618" s="431"/>
      <c r="K618" s="431"/>
      <c r="L618" s="431"/>
      <c r="M618" s="433" t="s">
        <v>1880</v>
      </c>
      <c r="N618" s="434" t="s">
        <v>1302</v>
      </c>
      <c r="O618" s="1743" t="str">
        <f>VLOOKUP(B618,code_famille_scénario,2)&amp;VLOOKUP(C618,code_actif,2)&amp;" "&amp;VLOOKUP(M618,code_process,2)&amp;" par "&amp;VLOOKUP(N618,code_acteur,2)</f>
        <v>Pollution malveillante de programmes de services systèmes communs en exploitation par un utilisateur autorisé illégitime</v>
      </c>
      <c r="P618" s="435">
        <v>1</v>
      </c>
      <c r="Q618" s="1595" t="s">
        <v>1299</v>
      </c>
      <c r="R618" s="1595" t="s">
        <v>1873</v>
      </c>
      <c r="S618" s="1595" t="str">
        <f>Classif!C26</f>
        <v/>
      </c>
      <c r="T618" s="1595">
        <f t="shared" si="365"/>
        <v>3</v>
      </c>
      <c r="U618" s="1744" t="str">
        <f t="shared" si="366"/>
        <v/>
      </c>
      <c r="V618" s="1771">
        <v>1</v>
      </c>
      <c r="W618" s="1771">
        <f>MAX(MIN(S07A01,S07A02,S08F01),MIN(S09A01,S09A02))</f>
        <v>1</v>
      </c>
      <c r="X618" s="1771">
        <v>1</v>
      </c>
      <c r="Y618" s="1771">
        <f t="shared" si="375"/>
        <v>1</v>
      </c>
      <c r="Z618" s="1746">
        <v>0</v>
      </c>
      <c r="AA618" s="1747"/>
      <c r="AB618" s="1748"/>
      <c r="AC618" s="1748"/>
      <c r="AD618" s="1595" t="str">
        <f t="shared" si="354"/>
        <v/>
      </c>
      <c r="AE618" s="1595">
        <f t="shared" si="368"/>
        <v>3</v>
      </c>
      <c r="AF618" s="1595" t="str">
        <f t="shared" si="369"/>
        <v/>
      </c>
      <c r="AG618" s="1748"/>
      <c r="AH618" s="1749" t="str">
        <f t="shared" si="355"/>
        <v/>
      </c>
      <c r="AI618" s="1620"/>
      <c r="AJ618" s="1616" t="s">
        <v>6283</v>
      </c>
      <c r="AK618" s="1616"/>
      <c r="AL618" s="1617" t="s">
        <v>4954</v>
      </c>
      <c r="AM618" s="247" t="str">
        <f t="shared" si="348"/>
        <v/>
      </c>
      <c r="AN618" s="247" t="str">
        <f t="shared" si="349"/>
        <v/>
      </c>
      <c r="AO618" s="247" t="str">
        <f t="shared" si="350"/>
        <v/>
      </c>
      <c r="AP618" s="247" t="str">
        <f t="shared" si="351"/>
        <v/>
      </c>
      <c r="AQ618" s="42">
        <f t="shared" si="370"/>
        <v>1</v>
      </c>
      <c r="AR618" s="42">
        <f t="shared" si="371"/>
        <v>1</v>
      </c>
      <c r="AS618" s="42">
        <f t="shared" si="372"/>
        <v>1</v>
      </c>
      <c r="AT618" s="42">
        <f t="shared" si="373"/>
        <v>1</v>
      </c>
      <c r="AU618" s="247" t="str">
        <f t="shared" si="352"/>
        <v/>
      </c>
      <c r="AV618" s="247" t="str">
        <f t="shared" si="353"/>
        <v/>
      </c>
    </row>
    <row r="619" spans="1:48" ht="33.75" x14ac:dyDescent="0.2">
      <c r="A619" s="428" t="s">
        <v>364</v>
      </c>
      <c r="B619" s="429" t="s">
        <v>5576</v>
      </c>
      <c r="C619" s="430" t="s">
        <v>3313</v>
      </c>
      <c r="D619" s="1349" t="s">
        <v>1873</v>
      </c>
      <c r="E619" s="1350" t="s">
        <v>7450</v>
      </c>
      <c r="F619" s="1350" t="s">
        <v>5162</v>
      </c>
      <c r="G619" s="1351" t="s">
        <v>5557</v>
      </c>
      <c r="H619" s="1342" t="s">
        <v>1328</v>
      </c>
      <c r="I619" s="432" t="s">
        <v>1548</v>
      </c>
      <c r="J619" s="431"/>
      <c r="K619" s="431"/>
      <c r="L619" s="431"/>
      <c r="M619" s="433" t="s">
        <v>1880</v>
      </c>
      <c r="N619" s="434" t="s">
        <v>1303</v>
      </c>
      <c r="O619" s="1743" t="str">
        <f>VLOOKUP(B619,code_famille_scénario,2)&amp;VLOOKUP(C619,code_actif,2)&amp;" "&amp;VLOOKUP(M619,code_process,2)&amp;" par "&amp;VLOOKUP(N619,code_acteur,2)</f>
        <v>Pollution malveillante de programmes de services systèmes communs en exploitation par un utilisateur non autorisé</v>
      </c>
      <c r="P619" s="435">
        <v>1</v>
      </c>
      <c r="Q619" s="1595" t="s">
        <v>1299</v>
      </c>
      <c r="R619" s="1595" t="s">
        <v>1873</v>
      </c>
      <c r="S619" s="1595" t="str">
        <f>Classif!C26</f>
        <v/>
      </c>
      <c r="T619" s="1595">
        <f t="shared" si="365"/>
        <v>3</v>
      </c>
      <c r="U619" s="1744" t="str">
        <f t="shared" si="366"/>
        <v/>
      </c>
      <c r="V619" s="1771">
        <v>1</v>
      </c>
      <c r="W619" s="1771">
        <f>MAX(MIN(S07A03,S07A04,S08F02),MIN(S09A03,S09A04))</f>
        <v>1</v>
      </c>
      <c r="X619" s="1771">
        <v>1</v>
      </c>
      <c r="Y619" s="1771">
        <f t="shared" si="375"/>
        <v>1</v>
      </c>
      <c r="Z619" s="1746">
        <v>0</v>
      </c>
      <c r="AA619" s="1747"/>
      <c r="AB619" s="1748"/>
      <c r="AC619" s="1748"/>
      <c r="AD619" s="1595" t="str">
        <f t="shared" si="354"/>
        <v/>
      </c>
      <c r="AE619" s="1595">
        <f t="shared" si="368"/>
        <v>3</v>
      </c>
      <c r="AF619" s="1595" t="str">
        <f t="shared" si="369"/>
        <v/>
      </c>
      <c r="AG619" s="1748"/>
      <c r="AH619" s="1749" t="str">
        <f t="shared" si="355"/>
        <v/>
      </c>
      <c r="AI619" s="1620"/>
      <c r="AJ619" s="1616" t="s">
        <v>5180</v>
      </c>
      <c r="AK619" s="1616"/>
      <c r="AL619" s="1617" t="s">
        <v>4954</v>
      </c>
      <c r="AM619" s="247" t="str">
        <f t="shared" si="348"/>
        <v/>
      </c>
      <c r="AN619" s="247" t="str">
        <f t="shared" si="349"/>
        <v/>
      </c>
      <c r="AO619" s="247" t="str">
        <f t="shared" si="350"/>
        <v/>
      </c>
      <c r="AP619" s="247" t="str">
        <f t="shared" si="351"/>
        <v/>
      </c>
      <c r="AQ619" s="42">
        <f t="shared" si="370"/>
        <v>1</v>
      </c>
      <c r="AR619" s="42">
        <f t="shared" si="371"/>
        <v>1</v>
      </c>
      <c r="AS619" s="42">
        <f t="shared" si="372"/>
        <v>1</v>
      </c>
      <c r="AT619" s="42">
        <f t="shared" si="373"/>
        <v>1</v>
      </c>
      <c r="AU619" s="247" t="str">
        <f t="shared" si="352"/>
        <v/>
      </c>
      <c r="AV619" s="247" t="str">
        <f t="shared" si="353"/>
        <v/>
      </c>
    </row>
    <row r="620" spans="1:48" ht="24" x14ac:dyDescent="0.2">
      <c r="A620" s="428" t="s">
        <v>365</v>
      </c>
      <c r="B620" s="429" t="s">
        <v>5576</v>
      </c>
      <c r="C620" s="430" t="s">
        <v>3313</v>
      </c>
      <c r="D620" s="1349" t="s">
        <v>1873</v>
      </c>
      <c r="E620" s="1350" t="s">
        <v>7450</v>
      </c>
      <c r="F620" s="1350" t="s">
        <v>5162</v>
      </c>
      <c r="G620" s="1351" t="s">
        <v>5557</v>
      </c>
      <c r="H620" s="1342" t="s">
        <v>1328</v>
      </c>
      <c r="I620" s="432" t="s">
        <v>1548</v>
      </c>
      <c r="J620" s="431"/>
      <c r="K620" s="431"/>
      <c r="L620" s="431"/>
      <c r="M620" s="433" t="s">
        <v>1880</v>
      </c>
      <c r="N620" s="434" t="s">
        <v>6403</v>
      </c>
      <c r="O620" s="1743" t="str">
        <f>VLOOKUP(B620,code_famille_scénario,2)&amp;VLOOKUP(C620,code_actif,2)&amp;" "&amp;VLOOKUP(M620,code_process,2)&amp;" par "&amp;VLOOKUP(N620,code_acteur,2)</f>
        <v>Pollution malveillante de programmes de services systèmes communs en exploitation par un membre du personnel d'exploitation</v>
      </c>
      <c r="P620" s="435">
        <v>1</v>
      </c>
      <c r="Q620" s="1595" t="s">
        <v>1299</v>
      </c>
      <c r="R620" s="1595" t="s">
        <v>1873</v>
      </c>
      <c r="S620" s="1595" t="str">
        <f>Classif!C26</f>
        <v/>
      </c>
      <c r="T620" s="1595">
        <f t="shared" si="365"/>
        <v>3</v>
      </c>
      <c r="U620" s="1744" t="str">
        <f t="shared" si="366"/>
        <v/>
      </c>
      <c r="V620" s="1771">
        <f>MIN(S08F02,S08F03)</f>
        <v>1</v>
      </c>
      <c r="W620" s="1771">
        <v>1</v>
      </c>
      <c r="X620" s="1771">
        <v>1</v>
      </c>
      <c r="Y620" s="1771">
        <f t="shared" si="375"/>
        <v>1</v>
      </c>
      <c r="Z620" s="1746">
        <v>0</v>
      </c>
      <c r="AA620" s="1747"/>
      <c r="AB620" s="1748"/>
      <c r="AC620" s="1748"/>
      <c r="AD620" s="1595" t="str">
        <f t="shared" si="354"/>
        <v/>
      </c>
      <c r="AE620" s="1595">
        <f t="shared" si="368"/>
        <v>3</v>
      </c>
      <c r="AF620" s="1595" t="str">
        <f t="shared" si="369"/>
        <v/>
      </c>
      <c r="AG620" s="1748"/>
      <c r="AH620" s="1749" t="str">
        <f t="shared" si="355"/>
        <v/>
      </c>
      <c r="AI620" s="1622" t="s">
        <v>6495</v>
      </c>
      <c r="AJ620" s="1616"/>
      <c r="AK620" s="1618"/>
      <c r="AL620" s="1617" t="s">
        <v>4954</v>
      </c>
      <c r="AM620" s="247" t="str">
        <f t="shared" si="348"/>
        <v/>
      </c>
      <c r="AN620" s="247" t="str">
        <f t="shared" si="349"/>
        <v/>
      </c>
      <c r="AO620" s="247" t="str">
        <f t="shared" si="350"/>
        <v/>
      </c>
      <c r="AP620" s="247" t="str">
        <f t="shared" si="351"/>
        <v/>
      </c>
      <c r="AQ620" s="42">
        <f t="shared" si="370"/>
        <v>1</v>
      </c>
      <c r="AR620" s="42">
        <f t="shared" si="371"/>
        <v>1</v>
      </c>
      <c r="AS620" s="42">
        <f t="shared" si="372"/>
        <v>1</v>
      </c>
      <c r="AT620" s="42">
        <f t="shared" si="373"/>
        <v>1</v>
      </c>
      <c r="AU620" s="247" t="str">
        <f t="shared" si="352"/>
        <v/>
      </c>
      <c r="AV620" s="247" t="str">
        <f t="shared" si="353"/>
        <v/>
      </c>
    </row>
    <row r="621" spans="1:48" ht="24" x14ac:dyDescent="0.2">
      <c r="A621" s="428" t="s">
        <v>366</v>
      </c>
      <c r="B621" s="429" t="s">
        <v>5576</v>
      </c>
      <c r="C621" s="430" t="s">
        <v>3313</v>
      </c>
      <c r="D621" s="1349" t="s">
        <v>1873</v>
      </c>
      <c r="E621" s="1350" t="s">
        <v>7450</v>
      </c>
      <c r="F621" s="1350" t="s">
        <v>5162</v>
      </c>
      <c r="G621" s="1351" t="s">
        <v>5557</v>
      </c>
      <c r="H621" s="1342" t="s">
        <v>1328</v>
      </c>
      <c r="I621" s="432" t="s">
        <v>1548</v>
      </c>
      <c r="J621" s="431"/>
      <c r="K621" s="431"/>
      <c r="L621" s="431"/>
      <c r="M621" s="433" t="s">
        <v>1880</v>
      </c>
      <c r="N621" s="434" t="s">
        <v>1299</v>
      </c>
      <c r="O621" s="1743" t="str">
        <f>VLOOKUP(B621,code_famille_scénario,2)&amp;VLOOKUP(C621,code_actif,2)&amp;" "&amp;VLOOKUP(M621,code_process,2)&amp;" par "&amp;VLOOKUP(N621,code_acteur,2)</f>
        <v>Pollution malveillante de programmes de services systèmes communs en exploitation par un membre du personnel de maintenance</v>
      </c>
      <c r="P621" s="435">
        <v>1</v>
      </c>
      <c r="Q621" s="1595" t="s">
        <v>1299</v>
      </c>
      <c r="R621" s="1595" t="s">
        <v>1873</v>
      </c>
      <c r="S621" s="1595" t="str">
        <f>Classif!C26</f>
        <v/>
      </c>
      <c r="T621" s="1595">
        <f t="shared" si="365"/>
        <v>3</v>
      </c>
      <c r="U621" s="1744" t="str">
        <f t="shared" si="366"/>
        <v/>
      </c>
      <c r="V621" s="1771">
        <f>MIN(S08F02,S08F03)</f>
        <v>1</v>
      </c>
      <c r="W621" s="1771">
        <f>S10B05</f>
        <v>1</v>
      </c>
      <c r="X621" s="1771">
        <v>1</v>
      </c>
      <c r="Y621" s="1771">
        <f t="shared" si="375"/>
        <v>1</v>
      </c>
      <c r="Z621" s="1746">
        <v>0</v>
      </c>
      <c r="AA621" s="1747"/>
      <c r="AB621" s="1748"/>
      <c r="AC621" s="1748"/>
      <c r="AD621" s="1595" t="str">
        <f t="shared" si="354"/>
        <v/>
      </c>
      <c r="AE621" s="1595">
        <f t="shared" si="368"/>
        <v>3</v>
      </c>
      <c r="AF621" s="1595" t="str">
        <f t="shared" si="369"/>
        <v/>
      </c>
      <c r="AG621" s="1748"/>
      <c r="AH621" s="1749" t="str">
        <f t="shared" si="355"/>
        <v/>
      </c>
      <c r="AI621" s="1622" t="s">
        <v>6495</v>
      </c>
      <c r="AJ621" s="1616" t="s">
        <v>3224</v>
      </c>
      <c r="AK621" s="1618"/>
      <c r="AL621" s="1617" t="s">
        <v>4954</v>
      </c>
      <c r="AM621" s="247" t="str">
        <f t="shared" si="348"/>
        <v/>
      </c>
      <c r="AN621" s="247" t="str">
        <f t="shared" si="349"/>
        <v/>
      </c>
      <c r="AO621" s="247" t="str">
        <f t="shared" si="350"/>
        <v/>
      </c>
      <c r="AP621" s="247" t="str">
        <f t="shared" si="351"/>
        <v/>
      </c>
      <c r="AQ621" s="42">
        <f t="shared" si="370"/>
        <v>1</v>
      </c>
      <c r="AR621" s="42">
        <f t="shared" si="371"/>
        <v>1</v>
      </c>
      <c r="AS621" s="42">
        <f t="shared" si="372"/>
        <v>1</v>
      </c>
      <c r="AT621" s="42">
        <f t="shared" si="373"/>
        <v>1</v>
      </c>
      <c r="AU621" s="247" t="str">
        <f t="shared" si="352"/>
        <v/>
      </c>
      <c r="AV621" s="247" t="str">
        <f t="shared" si="353"/>
        <v/>
      </c>
    </row>
    <row r="622" spans="1:48" ht="24" x14ac:dyDescent="0.2">
      <c r="A622" s="428" t="s">
        <v>367</v>
      </c>
      <c r="B622" s="429" t="s">
        <v>4476</v>
      </c>
      <c r="C622" s="430" t="s">
        <v>3313</v>
      </c>
      <c r="D622" s="1349" t="s">
        <v>1873</v>
      </c>
      <c r="E622" s="1361" t="s">
        <v>1861</v>
      </c>
      <c r="F622" s="1350" t="s">
        <v>1875</v>
      </c>
      <c r="G622" s="1351" t="s">
        <v>6070</v>
      </c>
      <c r="H622" s="1342" t="s">
        <v>3919</v>
      </c>
      <c r="I622" s="432" t="s">
        <v>1535</v>
      </c>
      <c r="J622" s="431" t="s">
        <v>1880</v>
      </c>
      <c r="K622" s="438"/>
      <c r="L622" s="438"/>
      <c r="M622" s="439"/>
      <c r="N622" s="440"/>
      <c r="O622" s="1743" t="str">
        <f>VLOOKUP(B622,code_famille_scénario,2)&amp;VLOOKUP(C622,code_actif,2)&amp;", "&amp;VLOOKUP(J622,Code_lieu,2)&amp;", suite "&amp;VLOOKUP(I622,code_event,2)</f>
        <v>Perte, par destruction accidentelle, de media support de programme de services systèmes communs, dans les locaux de l'exploitation, suite à un incendie</v>
      </c>
      <c r="P622" s="435">
        <v>1</v>
      </c>
      <c r="Q622" s="1595" t="s">
        <v>1431</v>
      </c>
      <c r="R622" s="1595" t="s">
        <v>1873</v>
      </c>
      <c r="S622" s="1595" t="str">
        <f>Classif!C26</f>
        <v/>
      </c>
      <c r="T622" s="1595">
        <f t="shared" si="365"/>
        <v>2</v>
      </c>
      <c r="U622" s="1744" t="str">
        <f t="shared" si="366"/>
        <v/>
      </c>
      <c r="V622" s="1771">
        <v>1</v>
      </c>
      <c r="W622" s="1771">
        <f>S03D01</f>
        <v>1</v>
      </c>
      <c r="X622" s="1771">
        <v>1</v>
      </c>
      <c r="Y622" s="1771">
        <f t="shared" si="375"/>
        <v>1</v>
      </c>
      <c r="Z622" s="1746">
        <v>0</v>
      </c>
      <c r="AA622" s="1747"/>
      <c r="AB622" s="1748"/>
      <c r="AC622" s="1748"/>
      <c r="AD622" s="1595" t="str">
        <f t="shared" si="354"/>
        <v/>
      </c>
      <c r="AE622" s="1595">
        <f t="shared" si="368"/>
        <v>2</v>
      </c>
      <c r="AF622" s="1595" t="str">
        <f t="shared" si="369"/>
        <v/>
      </c>
      <c r="AG622" s="1748"/>
      <c r="AH622" s="1749" t="str">
        <f t="shared" si="355"/>
        <v/>
      </c>
      <c r="AI622" s="1615"/>
      <c r="AJ622" s="1621" t="s">
        <v>5225</v>
      </c>
      <c r="AK622" s="1618"/>
      <c r="AL622" s="1617" t="s">
        <v>4954</v>
      </c>
      <c r="AM622" s="247" t="str">
        <f t="shared" si="348"/>
        <v/>
      </c>
      <c r="AN622" s="247" t="str">
        <f t="shared" si="349"/>
        <v/>
      </c>
      <c r="AO622" s="247" t="str">
        <f t="shared" si="350"/>
        <v/>
      </c>
      <c r="AP622" s="247" t="str">
        <f t="shared" si="351"/>
        <v/>
      </c>
      <c r="AQ622" s="42">
        <f t="shared" si="370"/>
        <v>1</v>
      </c>
      <c r="AR622" s="42">
        <f t="shared" si="371"/>
        <v>1</v>
      </c>
      <c r="AS622" s="42">
        <f t="shared" si="372"/>
        <v>1</v>
      </c>
      <c r="AT622" s="42">
        <f t="shared" si="373"/>
        <v>1</v>
      </c>
      <c r="AU622" s="247" t="str">
        <f t="shared" si="352"/>
        <v/>
      </c>
      <c r="AV622" s="247" t="str">
        <f t="shared" si="353"/>
        <v/>
      </c>
    </row>
    <row r="623" spans="1:48" ht="24" x14ac:dyDescent="0.2">
      <c r="A623" s="428" t="s">
        <v>368</v>
      </c>
      <c r="B623" s="429" t="s">
        <v>4476</v>
      </c>
      <c r="C623" s="430" t="s">
        <v>3313</v>
      </c>
      <c r="D623" s="1349" t="s">
        <v>1873</v>
      </c>
      <c r="E623" s="1361" t="s">
        <v>1861</v>
      </c>
      <c r="F623" s="1350" t="s">
        <v>1875</v>
      </c>
      <c r="G623" s="1351" t="s">
        <v>6070</v>
      </c>
      <c r="H623" s="1342" t="s">
        <v>3919</v>
      </c>
      <c r="I623" s="432" t="s">
        <v>1536</v>
      </c>
      <c r="J623" s="431" t="s">
        <v>1880</v>
      </c>
      <c r="K623" s="438"/>
      <c r="L623" s="438"/>
      <c r="M623" s="439"/>
      <c r="N623" s="440"/>
      <c r="O623" s="1743" t="str">
        <f>VLOOKUP(B623,code_famille_scénario,2)&amp;VLOOKUP(C623,code_actif,2)&amp;", "&amp;VLOOKUP(J623,Code_lieu,2)&amp;", suite "&amp;VLOOKUP(I623,code_event,2)</f>
        <v>Perte, par destruction accidentelle, de media support de programme de services systèmes communs, dans les locaux de l'exploitation, suite à une inondation</v>
      </c>
      <c r="P623" s="435">
        <v>1</v>
      </c>
      <c r="Q623" s="1595" t="s">
        <v>1431</v>
      </c>
      <c r="R623" s="1595" t="s">
        <v>1873</v>
      </c>
      <c r="S623" s="1595" t="str">
        <f>Classif!C26</f>
        <v/>
      </c>
      <c r="T623" s="1595">
        <f t="shared" si="365"/>
        <v>2</v>
      </c>
      <c r="U623" s="1744" t="str">
        <f t="shared" si="366"/>
        <v/>
      </c>
      <c r="V623" s="1771">
        <v>1</v>
      </c>
      <c r="W623" s="1771">
        <v>1</v>
      </c>
      <c r="X623" s="1771">
        <v>1</v>
      </c>
      <c r="Y623" s="1771">
        <f t="shared" si="375"/>
        <v>1</v>
      </c>
      <c r="Z623" s="1746">
        <v>0</v>
      </c>
      <c r="AA623" s="1747"/>
      <c r="AB623" s="1748"/>
      <c r="AC623" s="1748"/>
      <c r="AD623" s="1595" t="str">
        <f t="shared" si="354"/>
        <v/>
      </c>
      <c r="AE623" s="1595">
        <f t="shared" si="368"/>
        <v>2</v>
      </c>
      <c r="AF623" s="1595" t="str">
        <f t="shared" si="369"/>
        <v/>
      </c>
      <c r="AG623" s="1748"/>
      <c r="AH623" s="1749" t="str">
        <f t="shared" si="355"/>
        <v/>
      </c>
      <c r="AI623" s="1615"/>
      <c r="AJ623" s="1621"/>
      <c r="AK623" s="1618"/>
      <c r="AL623" s="1617" t="s">
        <v>4954</v>
      </c>
      <c r="AM623" s="247" t="str">
        <f t="shared" si="348"/>
        <v/>
      </c>
      <c r="AN623" s="247" t="str">
        <f t="shared" si="349"/>
        <v/>
      </c>
      <c r="AO623" s="247" t="str">
        <f t="shared" si="350"/>
        <v/>
      </c>
      <c r="AP623" s="247" t="str">
        <f t="shared" si="351"/>
        <v/>
      </c>
      <c r="AQ623" s="42">
        <f t="shared" si="370"/>
        <v>1</v>
      </c>
      <c r="AR623" s="42">
        <f t="shared" si="371"/>
        <v>1</v>
      </c>
      <c r="AS623" s="42">
        <f t="shared" si="372"/>
        <v>1</v>
      </c>
      <c r="AT623" s="42">
        <f t="shared" si="373"/>
        <v>1</v>
      </c>
      <c r="AU623" s="247" t="str">
        <f t="shared" si="352"/>
        <v/>
      </c>
      <c r="AV623" s="247" t="str">
        <f t="shared" si="353"/>
        <v/>
      </c>
    </row>
    <row r="624" spans="1:48" ht="24" x14ac:dyDescent="0.2">
      <c r="A624" s="428" t="s">
        <v>369</v>
      </c>
      <c r="B624" s="429" t="s">
        <v>4476</v>
      </c>
      <c r="C624" s="430" t="s">
        <v>3313</v>
      </c>
      <c r="D624" s="1349" t="s">
        <v>1873</v>
      </c>
      <c r="E624" s="1361" t="s">
        <v>1861</v>
      </c>
      <c r="F624" s="1350" t="s">
        <v>1875</v>
      </c>
      <c r="G624" s="1351" t="s">
        <v>6070</v>
      </c>
      <c r="H624" s="1342" t="s">
        <v>3919</v>
      </c>
      <c r="I624" s="432" t="s">
        <v>1535</v>
      </c>
      <c r="J624" s="431" t="s">
        <v>1876</v>
      </c>
      <c r="K624" s="438"/>
      <c r="L624" s="438"/>
      <c r="M624" s="439"/>
      <c r="N624" s="440"/>
      <c r="O624" s="1743" t="str">
        <f>VLOOKUP(B624,code_famille_scénario,2)&amp;VLOOKUP(C624,code_actif,2)&amp;", "&amp;VLOOKUP(J624,Code_lieu,2)&amp;", suite "&amp;VLOOKUP(I624,code_event,2)</f>
        <v>Perte, par destruction accidentelle, de media support de programme de services systèmes communs, en médiathèque, suite à un incendie</v>
      </c>
      <c r="P624" s="435">
        <v>1</v>
      </c>
      <c r="Q624" s="1595" t="s">
        <v>1431</v>
      </c>
      <c r="R624" s="1595" t="s">
        <v>1873</v>
      </c>
      <c r="S624" s="1595" t="str">
        <f>Classif!C26</f>
        <v/>
      </c>
      <c r="T624" s="1595">
        <f t="shared" si="365"/>
        <v>2</v>
      </c>
      <c r="U624" s="1744" t="str">
        <f t="shared" si="366"/>
        <v/>
      </c>
      <c r="V624" s="1771">
        <v>1</v>
      </c>
      <c r="W624" s="1771">
        <f>S03D01</f>
        <v>1</v>
      </c>
      <c r="X624" s="1771">
        <v>1</v>
      </c>
      <c r="Y624" s="1771">
        <f t="shared" si="375"/>
        <v>1</v>
      </c>
      <c r="Z624" s="1746">
        <v>0</v>
      </c>
      <c r="AA624" s="1747"/>
      <c r="AB624" s="1748"/>
      <c r="AC624" s="1748"/>
      <c r="AD624" s="1595" t="str">
        <f t="shared" si="354"/>
        <v/>
      </c>
      <c r="AE624" s="1595">
        <f t="shared" si="368"/>
        <v>2</v>
      </c>
      <c r="AF624" s="1595" t="str">
        <f t="shared" si="369"/>
        <v/>
      </c>
      <c r="AG624" s="1748"/>
      <c r="AH624" s="1749" t="str">
        <f t="shared" si="355"/>
        <v/>
      </c>
      <c r="AI624" s="1615"/>
      <c r="AJ624" s="1621" t="s">
        <v>5225</v>
      </c>
      <c r="AK624" s="1618"/>
      <c r="AL624" s="1617" t="s">
        <v>4954</v>
      </c>
      <c r="AM624" s="247" t="str">
        <f t="shared" si="348"/>
        <v/>
      </c>
      <c r="AN624" s="247" t="str">
        <f t="shared" si="349"/>
        <v/>
      </c>
      <c r="AO624" s="247" t="str">
        <f t="shared" si="350"/>
        <v/>
      </c>
      <c r="AP624" s="247" t="str">
        <f t="shared" si="351"/>
        <v/>
      </c>
      <c r="AQ624" s="42">
        <f t="shared" si="370"/>
        <v>1</v>
      </c>
      <c r="AR624" s="42">
        <f t="shared" si="371"/>
        <v>1</v>
      </c>
      <c r="AS624" s="42">
        <f t="shared" si="372"/>
        <v>1</v>
      </c>
      <c r="AT624" s="42">
        <f t="shared" si="373"/>
        <v>1</v>
      </c>
      <c r="AU624" s="247" t="str">
        <f t="shared" si="352"/>
        <v/>
      </c>
      <c r="AV624" s="247" t="str">
        <f t="shared" si="353"/>
        <v/>
      </c>
    </row>
    <row r="625" spans="1:48" ht="24" x14ac:dyDescent="0.2">
      <c r="A625" s="428" t="s">
        <v>370</v>
      </c>
      <c r="B625" s="429" t="s">
        <v>4476</v>
      </c>
      <c r="C625" s="430" t="s">
        <v>3313</v>
      </c>
      <c r="D625" s="1349" t="s">
        <v>1873</v>
      </c>
      <c r="E625" s="1361" t="s">
        <v>1861</v>
      </c>
      <c r="F625" s="1350" t="s">
        <v>1875</v>
      </c>
      <c r="G625" s="1351" t="s">
        <v>6070</v>
      </c>
      <c r="H625" s="1342" t="s">
        <v>3919</v>
      </c>
      <c r="I625" s="432" t="s">
        <v>1536</v>
      </c>
      <c r="J625" s="431" t="s">
        <v>1876</v>
      </c>
      <c r="K625" s="438"/>
      <c r="L625" s="438"/>
      <c r="M625" s="439"/>
      <c r="N625" s="440"/>
      <c r="O625" s="1743" t="str">
        <f>VLOOKUP(B625,code_famille_scénario,2)&amp;VLOOKUP(C625,code_actif,2)&amp;", "&amp;VLOOKUP(J625,Code_lieu,2)&amp;", suite "&amp;VLOOKUP(I625,code_event,2)</f>
        <v>Perte, par destruction accidentelle, de media support de programme de services systèmes communs, en médiathèque, suite à une inondation</v>
      </c>
      <c r="P625" s="435">
        <v>1</v>
      </c>
      <c r="Q625" s="1595" t="s">
        <v>1431</v>
      </c>
      <c r="R625" s="1595" t="s">
        <v>1873</v>
      </c>
      <c r="S625" s="1595" t="str">
        <f>Classif!C26</f>
        <v/>
      </c>
      <c r="T625" s="1595">
        <f t="shared" si="365"/>
        <v>2</v>
      </c>
      <c r="U625" s="1744" t="str">
        <f t="shared" si="366"/>
        <v/>
      </c>
      <c r="V625" s="1771">
        <v>1</v>
      </c>
      <c r="W625" s="1771">
        <v>1</v>
      </c>
      <c r="X625" s="1771">
        <v>1</v>
      </c>
      <c r="Y625" s="1771">
        <f t="shared" si="375"/>
        <v>1</v>
      </c>
      <c r="Z625" s="1746">
        <v>0</v>
      </c>
      <c r="AA625" s="1747"/>
      <c r="AB625" s="1748"/>
      <c r="AC625" s="1748"/>
      <c r="AD625" s="1595" t="str">
        <f t="shared" si="354"/>
        <v/>
      </c>
      <c r="AE625" s="1595">
        <f t="shared" si="368"/>
        <v>2</v>
      </c>
      <c r="AF625" s="1595" t="str">
        <f t="shared" si="369"/>
        <v/>
      </c>
      <c r="AG625" s="1748"/>
      <c r="AH625" s="1749" t="str">
        <f t="shared" si="355"/>
        <v/>
      </c>
      <c r="AI625" s="1615"/>
      <c r="AJ625" s="1621"/>
      <c r="AK625" s="1618"/>
      <c r="AL625" s="1617" t="s">
        <v>4954</v>
      </c>
      <c r="AM625" s="247" t="str">
        <f t="shared" si="348"/>
        <v/>
      </c>
      <c r="AN625" s="247" t="str">
        <f t="shared" si="349"/>
        <v/>
      </c>
      <c r="AO625" s="247" t="str">
        <f t="shared" si="350"/>
        <v/>
      </c>
      <c r="AP625" s="247" t="str">
        <f t="shared" si="351"/>
        <v/>
      </c>
      <c r="AQ625" s="42">
        <f t="shared" si="370"/>
        <v>1</v>
      </c>
      <c r="AR625" s="42">
        <f t="shared" si="371"/>
        <v>1</v>
      </c>
      <c r="AS625" s="42">
        <f t="shared" si="372"/>
        <v>1</v>
      </c>
      <c r="AT625" s="42">
        <f t="shared" si="373"/>
        <v>1</v>
      </c>
      <c r="AU625" s="247" t="str">
        <f t="shared" si="352"/>
        <v/>
      </c>
      <c r="AV625" s="247" t="str">
        <f t="shared" si="353"/>
        <v/>
      </c>
    </row>
    <row r="626" spans="1:48" ht="24" x14ac:dyDescent="0.2">
      <c r="A626" s="428" t="s">
        <v>371</v>
      </c>
      <c r="B626" s="429" t="s">
        <v>4479</v>
      </c>
      <c r="C626" s="430" t="s">
        <v>3313</v>
      </c>
      <c r="D626" s="1349" t="s">
        <v>1873</v>
      </c>
      <c r="E626" s="1361" t="s">
        <v>1861</v>
      </c>
      <c r="F626" s="1350" t="s">
        <v>4498</v>
      </c>
      <c r="G626" s="1351" t="s">
        <v>6071</v>
      </c>
      <c r="H626" s="1342" t="s">
        <v>1327</v>
      </c>
      <c r="I626" s="432" t="s">
        <v>2506</v>
      </c>
      <c r="J626" s="431" t="s">
        <v>1876</v>
      </c>
      <c r="K626" s="431"/>
      <c r="L626" s="431"/>
      <c r="M626" s="433"/>
      <c r="N626" s="434"/>
      <c r="O626" s="1743" t="str">
        <f>VLOOKUP(B626,code_famille_scénario,2)&amp;VLOOKUP(C626,code_actif,2)&amp;", "&amp;VLOOKUP(J626,Code_lieu,2)</f>
        <v>Perte, par disparition accidentelle, de media support de programme de services systèmes communs, en médiathèque</v>
      </c>
      <c r="P626" s="435">
        <v>1</v>
      </c>
      <c r="Q626" s="1595" t="s">
        <v>1431</v>
      </c>
      <c r="R626" s="1595" t="s">
        <v>1873</v>
      </c>
      <c r="S626" s="1595" t="str">
        <f>Classif!C26</f>
        <v/>
      </c>
      <c r="T626" s="1595">
        <f t="shared" si="365"/>
        <v>3</v>
      </c>
      <c r="U626" s="1744" t="str">
        <f t="shared" si="366"/>
        <v/>
      </c>
      <c r="V626" s="1771">
        <v>1</v>
      </c>
      <c r="W626" s="1771">
        <v>1</v>
      </c>
      <c r="X626" s="1771">
        <v>1</v>
      </c>
      <c r="Y626" s="1771">
        <f t="shared" si="375"/>
        <v>1</v>
      </c>
      <c r="Z626" s="1746">
        <v>0</v>
      </c>
      <c r="AA626" s="1747"/>
      <c r="AB626" s="1748"/>
      <c r="AC626" s="1748"/>
      <c r="AD626" s="1595" t="str">
        <f t="shared" si="354"/>
        <v/>
      </c>
      <c r="AE626" s="1595">
        <f t="shared" si="368"/>
        <v>3</v>
      </c>
      <c r="AF626" s="1595" t="str">
        <f t="shared" si="369"/>
        <v/>
      </c>
      <c r="AG626" s="1748"/>
      <c r="AH626" s="1749" t="str">
        <f t="shared" si="355"/>
        <v/>
      </c>
      <c r="AI626" s="1615"/>
      <c r="AJ626" s="1621"/>
      <c r="AK626" s="1618"/>
      <c r="AL626" s="1617" t="s">
        <v>4954</v>
      </c>
      <c r="AM626" s="247" t="str">
        <f t="shared" si="348"/>
        <v/>
      </c>
      <c r="AN626" s="247" t="str">
        <f t="shared" si="349"/>
        <v/>
      </c>
      <c r="AO626" s="247" t="str">
        <f t="shared" si="350"/>
        <v/>
      </c>
      <c r="AP626" s="247" t="str">
        <f t="shared" si="351"/>
        <v/>
      </c>
      <c r="AQ626" s="42">
        <f t="shared" si="370"/>
        <v>1</v>
      </c>
      <c r="AR626" s="42">
        <f t="shared" si="371"/>
        <v>1</v>
      </c>
      <c r="AS626" s="42">
        <f t="shared" si="372"/>
        <v>1</v>
      </c>
      <c r="AT626" s="42">
        <f t="shared" si="373"/>
        <v>1</v>
      </c>
      <c r="AU626" s="247" t="str">
        <f t="shared" si="352"/>
        <v/>
      </c>
      <c r="AV626" s="247" t="str">
        <f t="shared" si="353"/>
        <v/>
      </c>
    </row>
    <row r="627" spans="1:48" ht="24" x14ac:dyDescent="0.2">
      <c r="A627" s="428" t="s">
        <v>372</v>
      </c>
      <c r="B627" s="429" t="s">
        <v>4479</v>
      </c>
      <c r="C627" s="430" t="s">
        <v>3313</v>
      </c>
      <c r="D627" s="1349" t="s">
        <v>1873</v>
      </c>
      <c r="E627" s="1361" t="s">
        <v>1861</v>
      </c>
      <c r="F627" s="1350" t="s">
        <v>4498</v>
      </c>
      <c r="G627" s="1351" t="s">
        <v>6071</v>
      </c>
      <c r="H627" s="1342" t="s">
        <v>1327</v>
      </c>
      <c r="I627" s="432" t="s">
        <v>2506</v>
      </c>
      <c r="J627" s="431" t="s">
        <v>1880</v>
      </c>
      <c r="K627" s="431"/>
      <c r="L627" s="431"/>
      <c r="M627" s="433"/>
      <c r="N627" s="434"/>
      <c r="O627" s="1743" t="str">
        <f>VLOOKUP(B627,code_famille_scénario,2)&amp;VLOOKUP(C627,code_actif,2)&amp;", "&amp;VLOOKUP(J627,Code_lieu,2)</f>
        <v>Perte, par disparition accidentelle, de media support de programme de services systèmes communs, dans les locaux de l'exploitation</v>
      </c>
      <c r="P627" s="435">
        <v>1</v>
      </c>
      <c r="Q627" s="1595" t="s">
        <v>1431</v>
      </c>
      <c r="R627" s="1595" t="s">
        <v>1873</v>
      </c>
      <c r="S627" s="1595" t="str">
        <f>Classif!C26</f>
        <v/>
      </c>
      <c r="T627" s="1595">
        <f t="shared" si="365"/>
        <v>3</v>
      </c>
      <c r="U627" s="1744" t="str">
        <f t="shared" si="366"/>
        <v/>
      </c>
      <c r="V627" s="1771">
        <v>1</v>
      </c>
      <c r="W627" s="1771">
        <v>1</v>
      </c>
      <c r="X627" s="1771">
        <v>1</v>
      </c>
      <c r="Y627" s="1771">
        <f t="shared" si="375"/>
        <v>1</v>
      </c>
      <c r="Z627" s="1746">
        <v>0</v>
      </c>
      <c r="AA627" s="1747"/>
      <c r="AB627" s="1748"/>
      <c r="AC627" s="1748"/>
      <c r="AD627" s="1595" t="str">
        <f t="shared" si="354"/>
        <v/>
      </c>
      <c r="AE627" s="1595">
        <f t="shared" si="368"/>
        <v>3</v>
      </c>
      <c r="AF627" s="1595" t="str">
        <f t="shared" si="369"/>
        <v/>
      </c>
      <c r="AG627" s="1748"/>
      <c r="AH627" s="1749" t="str">
        <f t="shared" si="355"/>
        <v/>
      </c>
      <c r="AI627" s="1615"/>
      <c r="AJ627" s="1621"/>
      <c r="AK627" s="1618"/>
      <c r="AL627" s="1617" t="s">
        <v>4954</v>
      </c>
      <c r="AM627" s="247" t="str">
        <f t="shared" si="348"/>
        <v/>
      </c>
      <c r="AN627" s="247" t="str">
        <f t="shared" si="349"/>
        <v/>
      </c>
      <c r="AO627" s="247" t="str">
        <f t="shared" si="350"/>
        <v/>
      </c>
      <c r="AP627" s="247" t="str">
        <f t="shared" si="351"/>
        <v/>
      </c>
      <c r="AQ627" s="42">
        <f t="shared" si="370"/>
        <v>1</v>
      </c>
      <c r="AR627" s="42">
        <f t="shared" si="371"/>
        <v>1</v>
      </c>
      <c r="AS627" s="42">
        <f t="shared" si="372"/>
        <v>1</v>
      </c>
      <c r="AT627" s="42">
        <f t="shared" si="373"/>
        <v>1</v>
      </c>
      <c r="AU627" s="247" t="str">
        <f t="shared" si="352"/>
        <v/>
      </c>
      <c r="AV627" s="247" t="str">
        <f t="shared" si="353"/>
        <v/>
      </c>
    </row>
    <row r="628" spans="1:48" ht="24" x14ac:dyDescent="0.2">
      <c r="A628" s="428" t="s">
        <v>373</v>
      </c>
      <c r="B628" s="429" t="s">
        <v>5613</v>
      </c>
      <c r="C628" s="430" t="s">
        <v>3313</v>
      </c>
      <c r="D628" s="1349" t="s">
        <v>1873</v>
      </c>
      <c r="E628" s="1361" t="s">
        <v>1861</v>
      </c>
      <c r="F628" s="1350" t="s">
        <v>4498</v>
      </c>
      <c r="G628" s="1351" t="s">
        <v>6071</v>
      </c>
      <c r="H628" s="1342" t="s">
        <v>1329</v>
      </c>
      <c r="I628" s="432" t="s">
        <v>1305</v>
      </c>
      <c r="J628" s="431" t="s">
        <v>1880</v>
      </c>
      <c r="K628" s="431"/>
      <c r="L628" s="431"/>
      <c r="M628" s="433"/>
      <c r="N628" s="434" t="s">
        <v>3518</v>
      </c>
      <c r="O628" s="1743" t="str">
        <f t="shared" ref="O628:O633" si="376">VLOOKUP(B628,code_famille_scénario,2)&amp;VLOOKUP(C628,code_actif,2)&amp;", "&amp;VLOOKUP(J628,Code_lieu,2)&amp;", par "&amp;VLOOKUP(N628,code_acteur,2)</f>
        <v>Vol de media support de programmes de services systèmes communs, dans les locaux de l'exploitation, par un membre du personnel non autorisé</v>
      </c>
      <c r="P628" s="435">
        <v>1</v>
      </c>
      <c r="Q628" s="1595" t="s">
        <v>1299</v>
      </c>
      <c r="R628" s="1595" t="s">
        <v>1873</v>
      </c>
      <c r="S628" s="1595" t="str">
        <f>Classif!C26</f>
        <v/>
      </c>
      <c r="T628" s="1595">
        <f t="shared" si="365"/>
        <v>2</v>
      </c>
      <c r="U628" s="1744" t="str">
        <f t="shared" si="366"/>
        <v/>
      </c>
      <c r="V628" s="1771">
        <f t="shared" ref="V628:V633" si="377">S03B06</f>
        <v>1</v>
      </c>
      <c r="W628" s="1771">
        <f>MIN(S03B03,S03B04)</f>
        <v>1</v>
      </c>
      <c r="X628" s="1771">
        <v>1</v>
      </c>
      <c r="Y628" s="1771">
        <f t="shared" si="375"/>
        <v>1</v>
      </c>
      <c r="Z628" s="1746">
        <v>0</v>
      </c>
      <c r="AA628" s="1747"/>
      <c r="AB628" s="1748"/>
      <c r="AC628" s="1748"/>
      <c r="AD628" s="1595" t="str">
        <f t="shared" si="354"/>
        <v/>
      </c>
      <c r="AE628" s="1595">
        <f t="shared" si="368"/>
        <v>2</v>
      </c>
      <c r="AF628" s="1595" t="str">
        <f t="shared" si="369"/>
        <v/>
      </c>
      <c r="AG628" s="1748"/>
      <c r="AH628" s="1749" t="str">
        <f t="shared" si="355"/>
        <v/>
      </c>
      <c r="AI628" s="1623" t="s">
        <v>1665</v>
      </c>
      <c r="AJ628" s="1624" t="s">
        <v>5279</v>
      </c>
      <c r="AK628" s="1624"/>
      <c r="AL628" s="1617" t="s">
        <v>4954</v>
      </c>
      <c r="AM628" s="247" t="str">
        <f t="shared" si="348"/>
        <v/>
      </c>
      <c r="AN628" s="247" t="str">
        <f t="shared" si="349"/>
        <v/>
      </c>
      <c r="AO628" s="247" t="str">
        <f t="shared" si="350"/>
        <v/>
      </c>
      <c r="AP628" s="247" t="str">
        <f t="shared" si="351"/>
        <v/>
      </c>
      <c r="AQ628" s="42">
        <f t="shared" si="370"/>
        <v>1</v>
      </c>
      <c r="AR628" s="42">
        <f t="shared" si="371"/>
        <v>1</v>
      </c>
      <c r="AS628" s="42">
        <f t="shared" si="372"/>
        <v>1</v>
      </c>
      <c r="AT628" s="42">
        <f t="shared" si="373"/>
        <v>1</v>
      </c>
      <c r="AU628" s="247" t="str">
        <f t="shared" si="352"/>
        <v/>
      </c>
      <c r="AV628" s="247" t="str">
        <f t="shared" si="353"/>
        <v/>
      </c>
    </row>
    <row r="629" spans="1:48" ht="24" x14ac:dyDescent="0.2">
      <c r="A629" s="428" t="s">
        <v>374</v>
      </c>
      <c r="B629" s="429" t="s">
        <v>5613</v>
      </c>
      <c r="C629" s="430" t="s">
        <v>3313</v>
      </c>
      <c r="D629" s="1349" t="s">
        <v>1873</v>
      </c>
      <c r="E629" s="1361" t="s">
        <v>1861</v>
      </c>
      <c r="F629" s="1350" t="s">
        <v>4498</v>
      </c>
      <c r="G629" s="1351" t="s">
        <v>6071</v>
      </c>
      <c r="H629" s="1297" t="s">
        <v>1329</v>
      </c>
      <c r="I629" s="437" t="s">
        <v>1305</v>
      </c>
      <c r="J629" s="431" t="s">
        <v>1880</v>
      </c>
      <c r="K629" s="431"/>
      <c r="L629" s="431"/>
      <c r="M629" s="433"/>
      <c r="N629" s="434" t="s">
        <v>6403</v>
      </c>
      <c r="O629" s="1743" t="str">
        <f t="shared" si="376"/>
        <v>Vol de media support de programmes de services systèmes communs, dans les locaux de l'exploitation, par un membre du personnel d'exploitation</v>
      </c>
      <c r="P629" s="435">
        <v>1</v>
      </c>
      <c r="Q629" s="1595" t="s">
        <v>1299</v>
      </c>
      <c r="R629" s="1595" t="s">
        <v>1873</v>
      </c>
      <c r="S629" s="1595" t="str">
        <f>Classif!C26</f>
        <v/>
      </c>
      <c r="T629" s="1595">
        <f t="shared" si="365"/>
        <v>2</v>
      </c>
      <c r="U629" s="1744" t="str">
        <f t="shared" si="366"/>
        <v/>
      </c>
      <c r="V629" s="1771">
        <f t="shared" si="377"/>
        <v>1</v>
      </c>
      <c r="W629" s="1771">
        <v>1</v>
      </c>
      <c r="X629" s="1771">
        <v>1</v>
      </c>
      <c r="Y629" s="1771">
        <f t="shared" si="375"/>
        <v>1</v>
      </c>
      <c r="Z629" s="1746">
        <v>0</v>
      </c>
      <c r="AA629" s="1747"/>
      <c r="AB629" s="1748"/>
      <c r="AC629" s="1748"/>
      <c r="AD629" s="1595" t="str">
        <f t="shared" si="354"/>
        <v/>
      </c>
      <c r="AE629" s="1595">
        <f t="shared" si="368"/>
        <v>2</v>
      </c>
      <c r="AF629" s="1595" t="str">
        <f t="shared" si="369"/>
        <v/>
      </c>
      <c r="AG629" s="1748"/>
      <c r="AH629" s="1749" t="str">
        <f t="shared" si="355"/>
        <v/>
      </c>
      <c r="AI629" s="1623" t="s">
        <v>1665</v>
      </c>
      <c r="AJ629" s="1624"/>
      <c r="AK629" s="1624"/>
      <c r="AL629" s="1617" t="s">
        <v>4954</v>
      </c>
      <c r="AM629" s="247" t="str">
        <f t="shared" si="348"/>
        <v/>
      </c>
      <c r="AN629" s="247" t="str">
        <f t="shared" si="349"/>
        <v/>
      </c>
      <c r="AO629" s="247" t="str">
        <f t="shared" si="350"/>
        <v/>
      </c>
      <c r="AP629" s="247" t="str">
        <f t="shared" si="351"/>
        <v/>
      </c>
      <c r="AQ629" s="42">
        <f t="shared" si="370"/>
        <v>1</v>
      </c>
      <c r="AR629" s="42">
        <f t="shared" si="371"/>
        <v>1</v>
      </c>
      <c r="AS629" s="42">
        <f t="shared" si="372"/>
        <v>1</v>
      </c>
      <c r="AT629" s="42">
        <f t="shared" si="373"/>
        <v>1</v>
      </c>
      <c r="AU629" s="247" t="str">
        <f t="shared" si="352"/>
        <v/>
      </c>
      <c r="AV629" s="247" t="str">
        <f t="shared" si="353"/>
        <v/>
      </c>
    </row>
    <row r="630" spans="1:48" ht="24" x14ac:dyDescent="0.2">
      <c r="A630" s="428" t="s">
        <v>375</v>
      </c>
      <c r="B630" s="429" t="s">
        <v>5613</v>
      </c>
      <c r="C630" s="430" t="s">
        <v>3313</v>
      </c>
      <c r="D630" s="1349" t="s">
        <v>1873</v>
      </c>
      <c r="E630" s="1361" t="s">
        <v>1861</v>
      </c>
      <c r="F630" s="1350" t="s">
        <v>4498</v>
      </c>
      <c r="G630" s="1351" t="s">
        <v>6071</v>
      </c>
      <c r="H630" s="1342" t="s">
        <v>1329</v>
      </c>
      <c r="I630" s="432" t="s">
        <v>1305</v>
      </c>
      <c r="J630" s="431" t="s">
        <v>1880</v>
      </c>
      <c r="K630" s="431"/>
      <c r="L630" s="431"/>
      <c r="M630" s="433"/>
      <c r="N630" s="434" t="s">
        <v>2218</v>
      </c>
      <c r="O630" s="1743" t="str">
        <f t="shared" si="376"/>
        <v>Vol de media support de programmes de services systèmes communs, dans les locaux de l'exploitation, par un membre du personnel de service</v>
      </c>
      <c r="P630" s="435">
        <v>1</v>
      </c>
      <c r="Q630" s="1595" t="s">
        <v>1299</v>
      </c>
      <c r="R630" s="1595" t="s">
        <v>1873</v>
      </c>
      <c r="S630" s="1595" t="str">
        <f>Classif!C26</f>
        <v/>
      </c>
      <c r="T630" s="1595">
        <f t="shared" si="365"/>
        <v>2</v>
      </c>
      <c r="U630" s="1744" t="str">
        <f t="shared" si="366"/>
        <v/>
      </c>
      <c r="V630" s="1771">
        <f t="shared" si="377"/>
        <v>1</v>
      </c>
      <c r="W630" s="1771">
        <v>1</v>
      </c>
      <c r="X630" s="1771">
        <v>1</v>
      </c>
      <c r="Y630" s="1771">
        <f t="shared" si="375"/>
        <v>1</v>
      </c>
      <c r="Z630" s="1746">
        <v>0</v>
      </c>
      <c r="AA630" s="1747"/>
      <c r="AB630" s="1748"/>
      <c r="AC630" s="1748"/>
      <c r="AD630" s="1595" t="str">
        <f t="shared" si="354"/>
        <v/>
      </c>
      <c r="AE630" s="1595">
        <f t="shared" si="368"/>
        <v>2</v>
      </c>
      <c r="AF630" s="1595" t="str">
        <f t="shared" si="369"/>
        <v/>
      </c>
      <c r="AG630" s="1748"/>
      <c r="AH630" s="1749" t="str">
        <f t="shared" si="355"/>
        <v/>
      </c>
      <c r="AI630" s="1623" t="s">
        <v>1665</v>
      </c>
      <c r="AJ630" s="1624"/>
      <c r="AK630" s="1624"/>
      <c r="AL630" s="1617" t="s">
        <v>4954</v>
      </c>
      <c r="AM630" s="247" t="str">
        <f t="shared" si="348"/>
        <v/>
      </c>
      <c r="AN630" s="247" t="str">
        <f t="shared" si="349"/>
        <v/>
      </c>
      <c r="AO630" s="247" t="str">
        <f t="shared" si="350"/>
        <v/>
      </c>
      <c r="AP630" s="247" t="str">
        <f t="shared" si="351"/>
        <v/>
      </c>
      <c r="AQ630" s="42">
        <f t="shared" si="370"/>
        <v>1</v>
      </c>
      <c r="AR630" s="42">
        <f t="shared" si="371"/>
        <v>1</v>
      </c>
      <c r="AS630" s="42">
        <f t="shared" si="372"/>
        <v>1</v>
      </c>
      <c r="AT630" s="42">
        <f t="shared" si="373"/>
        <v>1</v>
      </c>
      <c r="AU630" s="247" t="str">
        <f t="shared" si="352"/>
        <v/>
      </c>
      <c r="AV630" s="247" t="str">
        <f t="shared" si="353"/>
        <v/>
      </c>
    </row>
    <row r="631" spans="1:48" ht="24" x14ac:dyDescent="0.2">
      <c r="A631" s="428" t="s">
        <v>376</v>
      </c>
      <c r="B631" s="429" t="s">
        <v>5613</v>
      </c>
      <c r="C631" s="430" t="s">
        <v>3313</v>
      </c>
      <c r="D631" s="1349" t="s">
        <v>1873</v>
      </c>
      <c r="E631" s="1361" t="s">
        <v>1861</v>
      </c>
      <c r="F631" s="1350" t="s">
        <v>4498</v>
      </c>
      <c r="G631" s="1351" t="s">
        <v>6071</v>
      </c>
      <c r="H631" s="1342" t="s">
        <v>1329</v>
      </c>
      <c r="I631" s="432" t="s">
        <v>1305</v>
      </c>
      <c r="J631" s="431" t="s">
        <v>1876</v>
      </c>
      <c r="K631" s="431"/>
      <c r="L631" s="431"/>
      <c r="M631" s="433"/>
      <c r="N631" s="434" t="s">
        <v>3518</v>
      </c>
      <c r="O631" s="1743" t="str">
        <f t="shared" si="376"/>
        <v>Vol de media support de programmes de services systèmes communs, en médiathèque, par un membre du personnel non autorisé</v>
      </c>
      <c r="P631" s="435">
        <v>1</v>
      </c>
      <c r="Q631" s="1595" t="s">
        <v>1299</v>
      </c>
      <c r="R631" s="1595" t="s">
        <v>1873</v>
      </c>
      <c r="S631" s="1595" t="str">
        <f>Classif!C26</f>
        <v/>
      </c>
      <c r="T631" s="1595">
        <f t="shared" si="365"/>
        <v>2</v>
      </c>
      <c r="U631" s="1744" t="str">
        <f t="shared" si="366"/>
        <v/>
      </c>
      <c r="V631" s="1771">
        <f t="shared" si="377"/>
        <v>1</v>
      </c>
      <c r="W631" s="1771">
        <f>S08C03</f>
        <v>1</v>
      </c>
      <c r="X631" s="1771">
        <v>1</v>
      </c>
      <c r="Y631" s="1771">
        <f t="shared" si="375"/>
        <v>1</v>
      </c>
      <c r="Z631" s="1746">
        <v>0</v>
      </c>
      <c r="AA631" s="1747"/>
      <c r="AB631" s="1748"/>
      <c r="AC631" s="1748"/>
      <c r="AD631" s="1595" t="str">
        <f t="shared" si="354"/>
        <v/>
      </c>
      <c r="AE631" s="1595">
        <f t="shared" si="368"/>
        <v>2</v>
      </c>
      <c r="AF631" s="1595" t="str">
        <f t="shared" si="369"/>
        <v/>
      </c>
      <c r="AG631" s="1748"/>
      <c r="AH631" s="1749" t="str">
        <f t="shared" si="355"/>
        <v/>
      </c>
      <c r="AI631" s="1623" t="s">
        <v>1665</v>
      </c>
      <c r="AJ631" s="1625" t="s">
        <v>63</v>
      </c>
      <c r="AK631" s="1624"/>
      <c r="AL631" s="1617" t="s">
        <v>4954</v>
      </c>
      <c r="AM631" s="247" t="str">
        <f t="shared" si="348"/>
        <v/>
      </c>
      <c r="AN631" s="247" t="str">
        <f t="shared" si="349"/>
        <v/>
      </c>
      <c r="AO631" s="247" t="str">
        <f t="shared" si="350"/>
        <v/>
      </c>
      <c r="AP631" s="247" t="str">
        <f t="shared" si="351"/>
        <v/>
      </c>
      <c r="AQ631" s="42">
        <f t="shared" si="370"/>
        <v>1</v>
      </c>
      <c r="AR631" s="42">
        <f t="shared" si="371"/>
        <v>1</v>
      </c>
      <c r="AS631" s="42">
        <f t="shared" si="372"/>
        <v>1</v>
      </c>
      <c r="AT631" s="42">
        <f t="shared" si="373"/>
        <v>1</v>
      </c>
      <c r="AU631" s="247" t="str">
        <f t="shared" si="352"/>
        <v/>
      </c>
      <c r="AV631" s="247" t="str">
        <f t="shared" si="353"/>
        <v/>
      </c>
    </row>
    <row r="632" spans="1:48" ht="24" x14ac:dyDescent="0.2">
      <c r="A632" s="428" t="s">
        <v>377</v>
      </c>
      <c r="B632" s="429" t="s">
        <v>5613</v>
      </c>
      <c r="C632" s="430" t="s">
        <v>3313</v>
      </c>
      <c r="D632" s="1349" t="s">
        <v>1873</v>
      </c>
      <c r="E632" s="1361" t="s">
        <v>1861</v>
      </c>
      <c r="F632" s="1350" t="s">
        <v>4498</v>
      </c>
      <c r="G632" s="1351" t="s">
        <v>6071</v>
      </c>
      <c r="H632" s="1342" t="s">
        <v>1329</v>
      </c>
      <c r="I632" s="432" t="s">
        <v>1305</v>
      </c>
      <c r="J632" s="431" t="s">
        <v>1876</v>
      </c>
      <c r="K632" s="431"/>
      <c r="L632" s="431"/>
      <c r="M632" s="433"/>
      <c r="N632" s="434" t="s">
        <v>6403</v>
      </c>
      <c r="O632" s="1743" t="str">
        <f t="shared" si="376"/>
        <v>Vol de media support de programmes de services systèmes communs, en médiathèque, par un membre du personnel d'exploitation</v>
      </c>
      <c r="P632" s="435">
        <v>1</v>
      </c>
      <c r="Q632" s="1595" t="s">
        <v>1299</v>
      </c>
      <c r="R632" s="1595" t="s">
        <v>1873</v>
      </c>
      <c r="S632" s="1595" t="str">
        <f>Classif!C26</f>
        <v/>
      </c>
      <c r="T632" s="1595">
        <f t="shared" si="365"/>
        <v>2</v>
      </c>
      <c r="U632" s="1744" t="str">
        <f t="shared" si="366"/>
        <v/>
      </c>
      <c r="V632" s="1771">
        <f t="shared" si="377"/>
        <v>1</v>
      </c>
      <c r="W632" s="1771">
        <v>1</v>
      </c>
      <c r="X632" s="1771">
        <v>1</v>
      </c>
      <c r="Y632" s="1771">
        <f t="shared" si="375"/>
        <v>1</v>
      </c>
      <c r="Z632" s="1746">
        <v>0</v>
      </c>
      <c r="AA632" s="1747"/>
      <c r="AB632" s="1748"/>
      <c r="AC632" s="1748"/>
      <c r="AD632" s="1595" t="str">
        <f t="shared" si="354"/>
        <v/>
      </c>
      <c r="AE632" s="1595">
        <f t="shared" si="368"/>
        <v>2</v>
      </c>
      <c r="AF632" s="1595" t="str">
        <f t="shared" si="369"/>
        <v/>
      </c>
      <c r="AG632" s="1748"/>
      <c r="AH632" s="1749" t="str">
        <f t="shared" si="355"/>
        <v/>
      </c>
      <c r="AI632" s="1623" t="s">
        <v>1665</v>
      </c>
      <c r="AJ632" s="1624"/>
      <c r="AK632" s="1624"/>
      <c r="AL632" s="1617" t="s">
        <v>4954</v>
      </c>
      <c r="AM632" s="247" t="str">
        <f t="shared" si="348"/>
        <v/>
      </c>
      <c r="AN632" s="247" t="str">
        <f t="shared" si="349"/>
        <v/>
      </c>
      <c r="AO632" s="247" t="str">
        <f t="shared" si="350"/>
        <v/>
      </c>
      <c r="AP632" s="247" t="str">
        <f t="shared" si="351"/>
        <v/>
      </c>
      <c r="AQ632" s="42">
        <f t="shared" si="370"/>
        <v>1</v>
      </c>
      <c r="AR632" s="42">
        <f t="shared" si="371"/>
        <v>1</v>
      </c>
      <c r="AS632" s="42">
        <f t="shared" si="372"/>
        <v>1</v>
      </c>
      <c r="AT632" s="42">
        <f t="shared" si="373"/>
        <v>1</v>
      </c>
      <c r="AU632" s="247" t="str">
        <f t="shared" si="352"/>
        <v/>
      </c>
      <c r="AV632" s="247" t="str">
        <f t="shared" si="353"/>
        <v/>
      </c>
    </row>
    <row r="633" spans="1:48" ht="24" x14ac:dyDescent="0.2">
      <c r="A633" s="428" t="s">
        <v>378</v>
      </c>
      <c r="B633" s="429" t="s">
        <v>5613</v>
      </c>
      <c r="C633" s="430" t="s">
        <v>3313</v>
      </c>
      <c r="D633" s="1349" t="s">
        <v>1873</v>
      </c>
      <c r="E633" s="1361" t="s">
        <v>1861</v>
      </c>
      <c r="F633" s="1350" t="s">
        <v>4498</v>
      </c>
      <c r="G633" s="1351" t="s">
        <v>6071</v>
      </c>
      <c r="H633" s="1342" t="s">
        <v>1329</v>
      </c>
      <c r="I633" s="432" t="s">
        <v>1305</v>
      </c>
      <c r="J633" s="431" t="s">
        <v>1876</v>
      </c>
      <c r="K633" s="431"/>
      <c r="L633" s="431"/>
      <c r="M633" s="433"/>
      <c r="N633" s="434" t="s">
        <v>2218</v>
      </c>
      <c r="O633" s="1743" t="str">
        <f t="shared" si="376"/>
        <v>Vol de media support de programmes de services systèmes communs, en médiathèque, par un membre du personnel de service</v>
      </c>
      <c r="P633" s="435">
        <v>1</v>
      </c>
      <c r="Q633" s="1595" t="s">
        <v>1299</v>
      </c>
      <c r="R633" s="1595" t="s">
        <v>1873</v>
      </c>
      <c r="S633" s="1595" t="str">
        <f>Classif!C26</f>
        <v/>
      </c>
      <c r="T633" s="1595">
        <f t="shared" si="365"/>
        <v>2</v>
      </c>
      <c r="U633" s="1744" t="str">
        <f t="shared" si="366"/>
        <v/>
      </c>
      <c r="V633" s="1771">
        <f t="shared" si="377"/>
        <v>1</v>
      </c>
      <c r="W633" s="1771">
        <v>1</v>
      </c>
      <c r="X633" s="1771">
        <v>1</v>
      </c>
      <c r="Y633" s="1771">
        <f t="shared" si="375"/>
        <v>1</v>
      </c>
      <c r="Z633" s="1746">
        <v>0</v>
      </c>
      <c r="AA633" s="1747"/>
      <c r="AB633" s="1748"/>
      <c r="AC633" s="1748"/>
      <c r="AD633" s="1595" t="str">
        <f t="shared" si="354"/>
        <v/>
      </c>
      <c r="AE633" s="1595">
        <f t="shared" si="368"/>
        <v>2</v>
      </c>
      <c r="AF633" s="1595" t="str">
        <f t="shared" si="369"/>
        <v/>
      </c>
      <c r="AG633" s="1748"/>
      <c r="AH633" s="1749" t="str">
        <f t="shared" si="355"/>
        <v/>
      </c>
      <c r="AI633" s="1623" t="s">
        <v>1665</v>
      </c>
      <c r="AJ633" s="1624"/>
      <c r="AK633" s="1624"/>
      <c r="AL633" s="1617" t="s">
        <v>4954</v>
      </c>
      <c r="AM633" s="247" t="str">
        <f t="shared" si="348"/>
        <v/>
      </c>
      <c r="AN633" s="247" t="str">
        <f t="shared" si="349"/>
        <v/>
      </c>
      <c r="AO633" s="247" t="str">
        <f t="shared" si="350"/>
        <v/>
      </c>
      <c r="AP633" s="247" t="str">
        <f t="shared" si="351"/>
        <v/>
      </c>
      <c r="AQ633" s="42">
        <f t="shared" si="370"/>
        <v>1</v>
      </c>
      <c r="AR633" s="42">
        <f t="shared" si="371"/>
        <v>1</v>
      </c>
      <c r="AS633" s="42">
        <f t="shared" si="372"/>
        <v>1</v>
      </c>
      <c r="AT633" s="42">
        <f t="shared" si="373"/>
        <v>1</v>
      </c>
      <c r="AU633" s="247" t="str">
        <f t="shared" si="352"/>
        <v/>
      </c>
      <c r="AV633" s="247" t="str">
        <f t="shared" si="353"/>
        <v/>
      </c>
    </row>
    <row r="634" spans="1:48" ht="36" x14ac:dyDescent="0.2">
      <c r="A634" s="428" t="s">
        <v>379</v>
      </c>
      <c r="B634" s="429" t="s">
        <v>4482</v>
      </c>
      <c r="C634" s="430" t="s">
        <v>3313</v>
      </c>
      <c r="D634" s="1349" t="s">
        <v>1873</v>
      </c>
      <c r="E634" s="1361" t="s">
        <v>1861</v>
      </c>
      <c r="F634" s="1350" t="s">
        <v>2777</v>
      </c>
      <c r="G634" s="1351" t="s">
        <v>4610</v>
      </c>
      <c r="H634" s="1342" t="s">
        <v>3920</v>
      </c>
      <c r="I634" s="432" t="s">
        <v>3526</v>
      </c>
      <c r="J634" s="431" t="s">
        <v>1880</v>
      </c>
      <c r="K634" s="431"/>
      <c r="L634" s="431"/>
      <c r="M634" s="433"/>
      <c r="N634" s="434"/>
      <c r="O634" s="1743" t="str">
        <f t="shared" ref="O634:O645" si="378">VLOOKUP(B634,code_famille_scénario,2)&amp;VLOOKUP(C634,code_actif,2)&amp;", "&amp;VLOOKUP(J634,Code_lieu,2)&amp;", due "&amp;VLOOKUP(I634,code_event,2)</f>
        <v>Inexploitabilité accidentelle de media support de programmes de services systèmes communs, dans les locaux de l'exploitation, due à une panne d'équipement</v>
      </c>
      <c r="P634" s="435">
        <v>1</v>
      </c>
      <c r="Q634" s="1595" t="s">
        <v>1431</v>
      </c>
      <c r="R634" s="1595" t="s">
        <v>1873</v>
      </c>
      <c r="S634" s="1595" t="str">
        <f>Classif!C26</f>
        <v/>
      </c>
      <c r="T634" s="1595">
        <f t="shared" si="365"/>
        <v>3</v>
      </c>
      <c r="U634" s="1744" t="str">
        <f t="shared" si="366"/>
        <v/>
      </c>
      <c r="V634" s="1771">
        <v>1</v>
      </c>
      <c r="W634" s="1771">
        <v>1</v>
      </c>
      <c r="X634" s="1771">
        <v>1</v>
      </c>
      <c r="Y634" s="1771">
        <f t="shared" si="375"/>
        <v>1</v>
      </c>
      <c r="Z634" s="1746">
        <v>0</v>
      </c>
      <c r="AA634" s="1747"/>
      <c r="AB634" s="1748"/>
      <c r="AC634" s="1748"/>
      <c r="AD634" s="1595" t="str">
        <f t="shared" si="354"/>
        <v/>
      </c>
      <c r="AE634" s="1595">
        <f t="shared" si="368"/>
        <v>3</v>
      </c>
      <c r="AF634" s="1595" t="str">
        <f t="shared" si="369"/>
        <v/>
      </c>
      <c r="AG634" s="1748"/>
      <c r="AH634" s="1749" t="str">
        <f t="shared" si="355"/>
        <v/>
      </c>
      <c r="AI634" s="1615"/>
      <c r="AJ634" s="1621"/>
      <c r="AK634" s="1618"/>
      <c r="AL634" s="1617" t="s">
        <v>4954</v>
      </c>
      <c r="AM634" s="247" t="str">
        <f t="shared" si="348"/>
        <v/>
      </c>
      <c r="AN634" s="247" t="str">
        <f t="shared" si="349"/>
        <v/>
      </c>
      <c r="AO634" s="247" t="str">
        <f t="shared" si="350"/>
        <v/>
      </c>
      <c r="AP634" s="247" t="str">
        <f t="shared" si="351"/>
        <v/>
      </c>
      <c r="AQ634" s="42">
        <f t="shared" si="370"/>
        <v>1</v>
      </c>
      <c r="AR634" s="42">
        <f t="shared" si="371"/>
        <v>1</v>
      </c>
      <c r="AS634" s="42">
        <f t="shared" si="372"/>
        <v>1</v>
      </c>
      <c r="AT634" s="42">
        <f t="shared" si="373"/>
        <v>1</v>
      </c>
      <c r="AU634" s="247" t="str">
        <f t="shared" si="352"/>
        <v/>
      </c>
      <c r="AV634" s="247" t="str">
        <f t="shared" si="353"/>
        <v/>
      </c>
    </row>
    <row r="635" spans="1:48" ht="24" x14ac:dyDescent="0.2">
      <c r="A635" s="428" t="s">
        <v>380</v>
      </c>
      <c r="B635" s="429" t="s">
        <v>4482</v>
      </c>
      <c r="C635" s="430" t="s">
        <v>3313</v>
      </c>
      <c r="D635" s="1349" t="s">
        <v>1873</v>
      </c>
      <c r="E635" s="1361" t="s">
        <v>1861</v>
      </c>
      <c r="F635" s="1350" t="s">
        <v>2777</v>
      </c>
      <c r="G635" s="1351" t="s">
        <v>4610</v>
      </c>
      <c r="H635" s="1342" t="s">
        <v>1554</v>
      </c>
      <c r="I635" s="432" t="s">
        <v>1534</v>
      </c>
      <c r="J635" s="431" t="s">
        <v>1880</v>
      </c>
      <c r="K635" s="438"/>
      <c r="L635" s="438"/>
      <c r="M635" s="439"/>
      <c r="N635" s="440"/>
      <c r="O635" s="1743" t="str">
        <f t="shared" si="378"/>
        <v>Inexploitabilité accidentelle de media support de programmes de services systèmes communs, dans les locaux de l'exploitation, due à un dégât des eaux</v>
      </c>
      <c r="P635" s="435">
        <v>1</v>
      </c>
      <c r="Q635" s="1595" t="s">
        <v>1431</v>
      </c>
      <c r="R635" s="1595" t="s">
        <v>1873</v>
      </c>
      <c r="S635" s="1595" t="str">
        <f>Classif!C26</f>
        <v/>
      </c>
      <c r="T635" s="1595">
        <f t="shared" ref="T635:T664" si="379">VLOOKUP(H635&amp;"."&amp;I635,Tab_event,4)</f>
        <v>3</v>
      </c>
      <c r="U635" s="1744" t="str">
        <f t="shared" ref="U635:U664" si="380">IF(AND(NOT(S635=""),NOT(T635="")),INDEX(base_g,5-S635,T635),"")</f>
        <v/>
      </c>
      <c r="V635" s="1771">
        <v>1</v>
      </c>
      <c r="W635" s="1771">
        <f>S03C01</f>
        <v>1</v>
      </c>
      <c r="X635" s="1771">
        <v>1</v>
      </c>
      <c r="Y635" s="1771">
        <f t="shared" si="375"/>
        <v>1</v>
      </c>
      <c r="Z635" s="1746">
        <v>0</v>
      </c>
      <c r="AA635" s="1747"/>
      <c r="AB635" s="1748"/>
      <c r="AC635" s="1748"/>
      <c r="AD635" s="1595" t="str">
        <f t="shared" si="354"/>
        <v/>
      </c>
      <c r="AE635" s="1595">
        <f t="shared" ref="AE635:AE664" si="381">IF(OR(Q635="",T635=""),"",IF(Q635="A",INDEX(base_p,4,W635+7*(T635-1)),IF(Q635="E",INDEX(base_p,15,W635+7*(T635-1)),INDEX(base_p,27-V635,W635+7*(T635-1)))))</f>
        <v>3</v>
      </c>
      <c r="AF635" s="1595" t="str">
        <f t="shared" ref="AF635:AF664" si="382">IF(AT635=1,IF(IndG=1,U635,IF(AND(OR(NOT(AD635=""),NOT(AB635="")),OR(NOT(AE635=""),NOT(AC635="")),AT635=1),INDEX(base_g,5-IF(AB635="",AD635,AB635),IF(AC635="",AE635,AC635)),"")),0)</f>
        <v/>
      </c>
      <c r="AG635" s="1748"/>
      <c r="AH635" s="1749" t="str">
        <f t="shared" si="355"/>
        <v/>
      </c>
      <c r="AI635" s="1615"/>
      <c r="AJ635" s="1616" t="s">
        <v>5220</v>
      </c>
      <c r="AK635" s="1618"/>
      <c r="AL635" s="1617" t="s">
        <v>4954</v>
      </c>
      <c r="AM635" s="247" t="str">
        <f t="shared" si="348"/>
        <v/>
      </c>
      <c r="AN635" s="247" t="str">
        <f t="shared" si="349"/>
        <v/>
      </c>
      <c r="AO635" s="247" t="str">
        <f t="shared" si="350"/>
        <v/>
      </c>
      <c r="AP635" s="247" t="str">
        <f t="shared" si="351"/>
        <v/>
      </c>
      <c r="AQ635" s="42">
        <f t="shared" ref="AQ635:AQ664" si="383">VLOOKUP(LEFT(C635,3),Tab_classif_servIR,6)</f>
        <v>1</v>
      </c>
      <c r="AR635" s="42">
        <f t="shared" ref="AR635:AR664" si="384">VLOOKUP(G635,select_vul_serv,2)</f>
        <v>1</v>
      </c>
      <c r="AS635" s="42">
        <f t="shared" ref="AS635:AS664" si="385">VLOOKUP(H635&amp;"."&amp;I635,select_men,5)</f>
        <v>1</v>
      </c>
      <c r="AT635" s="42">
        <f t="shared" ref="AT635:AT664" si="386">P635*AQ635*AR635*AS635</f>
        <v>1</v>
      </c>
      <c r="AU635" s="247" t="str">
        <f t="shared" si="352"/>
        <v/>
      </c>
      <c r="AV635" s="247" t="str">
        <f t="shared" si="353"/>
        <v/>
      </c>
    </row>
    <row r="636" spans="1:48" ht="36" x14ac:dyDescent="0.2">
      <c r="A636" s="428" t="s">
        <v>381</v>
      </c>
      <c r="B636" s="429" t="s">
        <v>4482</v>
      </c>
      <c r="C636" s="430" t="s">
        <v>3313</v>
      </c>
      <c r="D636" s="1349" t="s">
        <v>1873</v>
      </c>
      <c r="E636" s="1361" t="s">
        <v>1861</v>
      </c>
      <c r="F636" s="1350" t="s">
        <v>2777</v>
      </c>
      <c r="G636" s="1351" t="s">
        <v>4610</v>
      </c>
      <c r="H636" s="1342" t="s">
        <v>1554</v>
      </c>
      <c r="I636" s="432" t="s">
        <v>1537</v>
      </c>
      <c r="J636" s="431" t="s">
        <v>1880</v>
      </c>
      <c r="K636" s="431"/>
      <c r="L636" s="431"/>
      <c r="M636" s="433"/>
      <c r="N636" s="434"/>
      <c r="O636" s="1743" t="str">
        <f t="shared" si="378"/>
        <v>Inexploitabilité accidentelle de media support de programmes de services systèmes communs, dans les locaux de l'exploitation, due à une surcharge électrique</v>
      </c>
      <c r="P636" s="435">
        <v>1</v>
      </c>
      <c r="Q636" s="1595" t="s">
        <v>1431</v>
      </c>
      <c r="R636" s="1595" t="s">
        <v>1873</v>
      </c>
      <c r="S636" s="1595" t="str">
        <f>Classif!C26</f>
        <v/>
      </c>
      <c r="T636" s="1595">
        <f t="shared" si="379"/>
        <v>2</v>
      </c>
      <c r="U636" s="1744" t="str">
        <f t="shared" si="380"/>
        <v/>
      </c>
      <c r="V636" s="1771">
        <v>1</v>
      </c>
      <c r="W636" s="1771">
        <f>MIN(S03A01,S03A04)</f>
        <v>1</v>
      </c>
      <c r="X636" s="1771">
        <v>1</v>
      </c>
      <c r="Y636" s="1771">
        <f t="shared" si="375"/>
        <v>1</v>
      </c>
      <c r="Z636" s="1746">
        <v>0</v>
      </c>
      <c r="AA636" s="1747"/>
      <c r="AB636" s="1748"/>
      <c r="AC636" s="1748"/>
      <c r="AD636" s="1595" t="str">
        <f t="shared" si="354"/>
        <v/>
      </c>
      <c r="AE636" s="1595">
        <f t="shared" si="381"/>
        <v>2</v>
      </c>
      <c r="AF636" s="1595" t="str">
        <f t="shared" si="382"/>
        <v/>
      </c>
      <c r="AG636" s="1748"/>
      <c r="AH636" s="1749" t="str">
        <f t="shared" si="355"/>
        <v/>
      </c>
      <c r="AI636" s="1615"/>
      <c r="AJ636" s="1616" t="s">
        <v>5252</v>
      </c>
      <c r="AK636" s="1618"/>
      <c r="AL636" s="1617" t="s">
        <v>4954</v>
      </c>
      <c r="AM636" s="247" t="str">
        <f t="shared" si="348"/>
        <v/>
      </c>
      <c r="AN636" s="247" t="str">
        <f t="shared" si="349"/>
        <v/>
      </c>
      <c r="AO636" s="247" t="str">
        <f t="shared" si="350"/>
        <v/>
      </c>
      <c r="AP636" s="247" t="str">
        <f t="shared" si="351"/>
        <v/>
      </c>
      <c r="AQ636" s="42">
        <f t="shared" si="383"/>
        <v>1</v>
      </c>
      <c r="AR636" s="42">
        <f t="shared" si="384"/>
        <v>1</v>
      </c>
      <c r="AS636" s="42">
        <f t="shared" si="385"/>
        <v>1</v>
      </c>
      <c r="AT636" s="42">
        <f t="shared" si="386"/>
        <v>1</v>
      </c>
      <c r="AU636" s="247" t="str">
        <f t="shared" si="352"/>
        <v/>
      </c>
      <c r="AV636" s="247" t="str">
        <f t="shared" si="353"/>
        <v/>
      </c>
    </row>
    <row r="637" spans="1:48" ht="36" x14ac:dyDescent="0.2">
      <c r="A637" s="428" t="s">
        <v>382</v>
      </c>
      <c r="B637" s="429" t="s">
        <v>4482</v>
      </c>
      <c r="C637" s="430" t="s">
        <v>3313</v>
      </c>
      <c r="D637" s="1349" t="s">
        <v>1873</v>
      </c>
      <c r="E637" s="1361" t="s">
        <v>1861</v>
      </c>
      <c r="F637" s="1350" t="s">
        <v>2777</v>
      </c>
      <c r="G637" s="1351" t="s">
        <v>4610</v>
      </c>
      <c r="H637" s="1342" t="s">
        <v>1465</v>
      </c>
      <c r="I637" s="432" t="s">
        <v>1880</v>
      </c>
      <c r="J637" s="431" t="s">
        <v>1880</v>
      </c>
      <c r="K637" s="431"/>
      <c r="L637" s="431"/>
      <c r="M637" s="433"/>
      <c r="N637" s="434"/>
      <c r="O637" s="1743" t="str">
        <f t="shared" si="378"/>
        <v>Inexploitabilité accidentelle de media support de programmes de services systèmes communs, dans les locaux de l'exploitation, due à un incident d'exploitation</v>
      </c>
      <c r="P637" s="435">
        <v>1</v>
      </c>
      <c r="Q637" s="1595" t="s">
        <v>1431</v>
      </c>
      <c r="R637" s="1595" t="s">
        <v>1873</v>
      </c>
      <c r="S637" s="1595" t="str">
        <f>Classif!C26</f>
        <v/>
      </c>
      <c r="T637" s="1595">
        <f t="shared" si="379"/>
        <v>3</v>
      </c>
      <c r="U637" s="1744" t="str">
        <f t="shared" si="380"/>
        <v/>
      </c>
      <c r="V637" s="1771">
        <v>1</v>
      </c>
      <c r="W637" s="1771">
        <f>S08A03</f>
        <v>1</v>
      </c>
      <c r="X637" s="1771">
        <f>S08E03</f>
        <v>1</v>
      </c>
      <c r="Y637" s="1771">
        <f t="shared" si="375"/>
        <v>1</v>
      </c>
      <c r="Z637" s="1746">
        <v>0</v>
      </c>
      <c r="AA637" s="1747"/>
      <c r="AB637" s="1748"/>
      <c r="AC637" s="1748"/>
      <c r="AD637" s="1595" t="str">
        <f t="shared" si="354"/>
        <v/>
      </c>
      <c r="AE637" s="1595">
        <f t="shared" si="381"/>
        <v>3</v>
      </c>
      <c r="AF637" s="1595" t="str">
        <f t="shared" si="382"/>
        <v/>
      </c>
      <c r="AG637" s="1748"/>
      <c r="AH637" s="1749" t="str">
        <f t="shared" si="355"/>
        <v/>
      </c>
      <c r="AI637" s="1626"/>
      <c r="AJ637" s="1616" t="s">
        <v>4324</v>
      </c>
      <c r="AK637" s="1616" t="s">
        <v>2532</v>
      </c>
      <c r="AL637" s="1617" t="s">
        <v>4954</v>
      </c>
      <c r="AM637" s="247" t="str">
        <f t="shared" si="348"/>
        <v/>
      </c>
      <c r="AN637" s="247" t="str">
        <f t="shared" si="349"/>
        <v/>
      </c>
      <c r="AO637" s="247" t="str">
        <f t="shared" si="350"/>
        <v/>
      </c>
      <c r="AP637" s="247" t="str">
        <f t="shared" si="351"/>
        <v/>
      </c>
      <c r="AQ637" s="42">
        <f t="shared" si="383"/>
        <v>1</v>
      </c>
      <c r="AR637" s="42">
        <f t="shared" si="384"/>
        <v>1</v>
      </c>
      <c r="AS637" s="42">
        <f t="shared" si="385"/>
        <v>1</v>
      </c>
      <c r="AT637" s="42">
        <f t="shared" si="386"/>
        <v>1</v>
      </c>
      <c r="AU637" s="247" t="str">
        <f t="shared" si="352"/>
        <v/>
      </c>
      <c r="AV637" s="247" t="str">
        <f t="shared" si="353"/>
        <v/>
      </c>
    </row>
    <row r="638" spans="1:48" ht="24" x14ac:dyDescent="0.2">
      <c r="A638" s="428" t="s">
        <v>383</v>
      </c>
      <c r="B638" s="429" t="s">
        <v>4482</v>
      </c>
      <c r="C638" s="430" t="s">
        <v>3313</v>
      </c>
      <c r="D638" s="1349" t="s">
        <v>1873</v>
      </c>
      <c r="E638" s="1361" t="s">
        <v>1861</v>
      </c>
      <c r="F638" s="1350" t="s">
        <v>2777</v>
      </c>
      <c r="G638" s="1351" t="s">
        <v>4610</v>
      </c>
      <c r="H638" s="1342" t="s">
        <v>1554</v>
      </c>
      <c r="I638" s="432" t="s">
        <v>1464</v>
      </c>
      <c r="J638" s="431" t="s">
        <v>1876</v>
      </c>
      <c r="K638" s="431"/>
      <c r="L638" s="431"/>
      <c r="M638" s="433"/>
      <c r="N638" s="434"/>
      <c r="O638" s="1743" t="str">
        <f t="shared" si="378"/>
        <v>Inexploitabilité accidentelle de media support de programmes de services systèmes communs, en médiathèque, due à une pollution</v>
      </c>
      <c r="P638" s="435">
        <v>1</v>
      </c>
      <c r="Q638" s="1595" t="s">
        <v>1431</v>
      </c>
      <c r="R638" s="1595" t="s">
        <v>1873</v>
      </c>
      <c r="S638" s="1595" t="str">
        <f>Classif!C26</f>
        <v/>
      </c>
      <c r="T638" s="1595">
        <f t="shared" si="379"/>
        <v>2</v>
      </c>
      <c r="U638" s="1744" t="str">
        <f t="shared" si="380"/>
        <v/>
      </c>
      <c r="V638" s="1771">
        <v>1</v>
      </c>
      <c r="W638" s="1771">
        <v>1</v>
      </c>
      <c r="X638" s="1771">
        <v>1</v>
      </c>
      <c r="Y638" s="1771">
        <f t="shared" si="375"/>
        <v>1</v>
      </c>
      <c r="Z638" s="1746">
        <v>0</v>
      </c>
      <c r="AA638" s="1747"/>
      <c r="AB638" s="1748"/>
      <c r="AC638" s="1748"/>
      <c r="AD638" s="1595" t="str">
        <f t="shared" si="354"/>
        <v/>
      </c>
      <c r="AE638" s="1595">
        <f t="shared" si="381"/>
        <v>2</v>
      </c>
      <c r="AF638" s="1595" t="str">
        <f t="shared" si="382"/>
        <v/>
      </c>
      <c r="AG638" s="1748"/>
      <c r="AH638" s="1749" t="str">
        <f t="shared" si="355"/>
        <v/>
      </c>
      <c r="AI638" s="1615"/>
      <c r="AJ638" s="1616"/>
      <c r="AK638" s="1616"/>
      <c r="AL638" s="1617" t="s">
        <v>4954</v>
      </c>
      <c r="AM638" s="247" t="str">
        <f t="shared" si="348"/>
        <v/>
      </c>
      <c r="AN638" s="247" t="str">
        <f t="shared" si="349"/>
        <v/>
      </c>
      <c r="AO638" s="247" t="str">
        <f t="shared" si="350"/>
        <v/>
      </c>
      <c r="AP638" s="247" t="str">
        <f t="shared" si="351"/>
        <v/>
      </c>
      <c r="AQ638" s="42">
        <f t="shared" si="383"/>
        <v>1</v>
      </c>
      <c r="AR638" s="42">
        <f t="shared" si="384"/>
        <v>1</v>
      </c>
      <c r="AS638" s="42">
        <f t="shared" si="385"/>
        <v>1</v>
      </c>
      <c r="AT638" s="42">
        <f t="shared" si="386"/>
        <v>1</v>
      </c>
      <c r="AU638" s="247" t="str">
        <f t="shared" si="352"/>
        <v/>
      </c>
      <c r="AV638" s="247" t="str">
        <f t="shared" si="353"/>
        <v/>
      </c>
    </row>
    <row r="639" spans="1:48" ht="24" x14ac:dyDescent="0.2">
      <c r="A639" s="428" t="s">
        <v>384</v>
      </c>
      <c r="B639" s="429" t="s">
        <v>4482</v>
      </c>
      <c r="C639" s="430" t="s">
        <v>3313</v>
      </c>
      <c r="D639" s="1349" t="s">
        <v>1873</v>
      </c>
      <c r="E639" s="1361" t="s">
        <v>1861</v>
      </c>
      <c r="F639" s="1350" t="s">
        <v>2777</v>
      </c>
      <c r="G639" s="1351" t="s">
        <v>4610</v>
      </c>
      <c r="H639" s="1342" t="s">
        <v>1554</v>
      </c>
      <c r="I639" s="432" t="s">
        <v>1534</v>
      </c>
      <c r="J639" s="431" t="s">
        <v>1876</v>
      </c>
      <c r="K639" s="438"/>
      <c r="L639" s="438"/>
      <c r="M639" s="439"/>
      <c r="N639" s="440"/>
      <c r="O639" s="1743" t="str">
        <f t="shared" si="378"/>
        <v>Inexploitabilité accidentelle de media support de programmes de services systèmes communs, en médiathèque, due à un dégât des eaux</v>
      </c>
      <c r="P639" s="435">
        <v>1</v>
      </c>
      <c r="Q639" s="1595" t="s">
        <v>1431</v>
      </c>
      <c r="R639" s="1595" t="s">
        <v>1873</v>
      </c>
      <c r="S639" s="1595" t="str">
        <f>Classif!C26</f>
        <v/>
      </c>
      <c r="T639" s="1595">
        <f t="shared" si="379"/>
        <v>3</v>
      </c>
      <c r="U639" s="1744" t="str">
        <f t="shared" si="380"/>
        <v/>
      </c>
      <c r="V639" s="1771">
        <v>1</v>
      </c>
      <c r="W639" s="1771">
        <f>S08C03</f>
        <v>1</v>
      </c>
      <c r="X639" s="1771">
        <v>1</v>
      </c>
      <c r="Y639" s="1771">
        <f t="shared" si="375"/>
        <v>1</v>
      </c>
      <c r="Z639" s="1746">
        <v>0</v>
      </c>
      <c r="AA639" s="1747"/>
      <c r="AB639" s="1748"/>
      <c r="AC639" s="1748"/>
      <c r="AD639" s="1595" t="str">
        <f t="shared" si="354"/>
        <v/>
      </c>
      <c r="AE639" s="1595">
        <f t="shared" si="381"/>
        <v>3</v>
      </c>
      <c r="AF639" s="1595" t="str">
        <f t="shared" si="382"/>
        <v/>
      </c>
      <c r="AG639" s="1748"/>
      <c r="AH639" s="1749" t="str">
        <f t="shared" si="355"/>
        <v/>
      </c>
      <c r="AI639" s="1615"/>
      <c r="AJ639" s="1621" t="s">
        <v>63</v>
      </c>
      <c r="AK639" s="1618"/>
      <c r="AL639" s="1617" t="s">
        <v>4954</v>
      </c>
      <c r="AM639" s="247" t="str">
        <f t="shared" si="348"/>
        <v/>
      </c>
      <c r="AN639" s="247" t="str">
        <f t="shared" si="349"/>
        <v/>
      </c>
      <c r="AO639" s="247" t="str">
        <f t="shared" si="350"/>
        <v/>
      </c>
      <c r="AP639" s="247" t="str">
        <f t="shared" si="351"/>
        <v/>
      </c>
      <c r="AQ639" s="42">
        <f t="shared" si="383"/>
        <v>1</v>
      </c>
      <c r="AR639" s="42">
        <f t="shared" si="384"/>
        <v>1</v>
      </c>
      <c r="AS639" s="42">
        <f t="shared" si="385"/>
        <v>1</v>
      </c>
      <c r="AT639" s="42">
        <f t="shared" si="386"/>
        <v>1</v>
      </c>
      <c r="AU639" s="247" t="str">
        <f t="shared" si="352"/>
        <v/>
      </c>
      <c r="AV639" s="247" t="str">
        <f t="shared" si="353"/>
        <v/>
      </c>
    </row>
    <row r="640" spans="1:48" ht="24" x14ac:dyDescent="0.2">
      <c r="A640" s="428" t="s">
        <v>385</v>
      </c>
      <c r="B640" s="429" t="s">
        <v>4482</v>
      </c>
      <c r="C640" s="430" t="s">
        <v>3313</v>
      </c>
      <c r="D640" s="1349" t="s">
        <v>1873</v>
      </c>
      <c r="E640" s="1361" t="s">
        <v>1861</v>
      </c>
      <c r="F640" s="1350" t="s">
        <v>2777</v>
      </c>
      <c r="G640" s="1351" t="s">
        <v>4610</v>
      </c>
      <c r="H640" s="1342" t="s">
        <v>1554</v>
      </c>
      <c r="I640" s="432" t="s">
        <v>1538</v>
      </c>
      <c r="J640" s="431" t="s">
        <v>1876</v>
      </c>
      <c r="K640" s="431"/>
      <c r="L640" s="431"/>
      <c r="M640" s="433"/>
      <c r="N640" s="434"/>
      <c r="O640" s="1743" t="str">
        <f t="shared" si="378"/>
        <v>Inexploitabilité accidentelle de media support de programmes de services systèmes communs, en médiathèque, due au vieillissement</v>
      </c>
      <c r="P640" s="435">
        <v>1</v>
      </c>
      <c r="Q640" s="1595" t="s">
        <v>1431</v>
      </c>
      <c r="R640" s="1595" t="s">
        <v>1873</v>
      </c>
      <c r="S640" s="1595" t="str">
        <f>Classif!C26</f>
        <v/>
      </c>
      <c r="T640" s="1595">
        <f t="shared" si="379"/>
        <v>2</v>
      </c>
      <c r="U640" s="1744" t="str">
        <f t="shared" si="380"/>
        <v/>
      </c>
      <c r="V640" s="1771">
        <v>1</v>
      </c>
      <c r="W640" s="1771">
        <v>1</v>
      </c>
      <c r="X640" s="1771">
        <f>S08C05</f>
        <v>1</v>
      </c>
      <c r="Y640" s="1771">
        <f t="shared" si="375"/>
        <v>1</v>
      </c>
      <c r="Z640" s="1746">
        <v>0</v>
      </c>
      <c r="AA640" s="1747"/>
      <c r="AB640" s="1748"/>
      <c r="AC640" s="1748"/>
      <c r="AD640" s="1595" t="str">
        <f t="shared" si="354"/>
        <v/>
      </c>
      <c r="AE640" s="1595">
        <f t="shared" si="381"/>
        <v>2</v>
      </c>
      <c r="AF640" s="1595" t="str">
        <f t="shared" si="382"/>
        <v/>
      </c>
      <c r="AG640" s="1748"/>
      <c r="AH640" s="1749" t="str">
        <f t="shared" si="355"/>
        <v/>
      </c>
      <c r="AI640" s="1615"/>
      <c r="AJ640" s="1621"/>
      <c r="AK640" s="1618" t="s">
        <v>2058</v>
      </c>
      <c r="AL640" s="1617" t="s">
        <v>4954</v>
      </c>
      <c r="AM640" s="247" t="str">
        <f t="shared" si="348"/>
        <v/>
      </c>
      <c r="AN640" s="247" t="str">
        <f t="shared" si="349"/>
        <v/>
      </c>
      <c r="AO640" s="247" t="str">
        <f t="shared" si="350"/>
        <v/>
      </c>
      <c r="AP640" s="247" t="str">
        <f t="shared" si="351"/>
        <v/>
      </c>
      <c r="AQ640" s="42">
        <f t="shared" si="383"/>
        <v>1</v>
      </c>
      <c r="AR640" s="42">
        <f t="shared" si="384"/>
        <v>1</v>
      </c>
      <c r="AS640" s="42">
        <f t="shared" si="385"/>
        <v>1</v>
      </c>
      <c r="AT640" s="42">
        <f t="shared" si="386"/>
        <v>1</v>
      </c>
      <c r="AU640" s="247" t="str">
        <f t="shared" si="352"/>
        <v/>
      </c>
      <c r="AV640" s="247" t="str">
        <f t="shared" si="353"/>
        <v/>
      </c>
    </row>
    <row r="641" spans="1:48" ht="33.75" x14ac:dyDescent="0.2">
      <c r="A641" s="428" t="s">
        <v>386</v>
      </c>
      <c r="B641" s="429" t="s">
        <v>4599</v>
      </c>
      <c r="C641" s="430" t="s">
        <v>3313</v>
      </c>
      <c r="D641" s="1349" t="s">
        <v>1873</v>
      </c>
      <c r="E641" s="1350" t="s">
        <v>5213</v>
      </c>
      <c r="F641" s="1350" t="s">
        <v>1879</v>
      </c>
      <c r="G641" s="1351" t="s">
        <v>5440</v>
      </c>
      <c r="H641" s="1342" t="s">
        <v>1554</v>
      </c>
      <c r="I641" s="432" t="s">
        <v>1534</v>
      </c>
      <c r="J641" s="431" t="s">
        <v>1880</v>
      </c>
      <c r="K641" s="431"/>
      <c r="L641" s="431"/>
      <c r="M641" s="433"/>
      <c r="N641" s="434"/>
      <c r="O641" s="1743" t="str">
        <f t="shared" si="378"/>
        <v>Endommagement accidentel de système hôte de services systèmes communs, dans les locaux de l'exploitation, due à un dégât des eaux</v>
      </c>
      <c r="P641" s="435">
        <v>1</v>
      </c>
      <c r="Q641" s="1595" t="s">
        <v>1431</v>
      </c>
      <c r="R641" s="1595" t="s">
        <v>1873</v>
      </c>
      <c r="S641" s="1595" t="str">
        <f>Classif!C26</f>
        <v/>
      </c>
      <c r="T641" s="1595">
        <f t="shared" si="379"/>
        <v>3</v>
      </c>
      <c r="U641" s="1744" t="str">
        <f t="shared" si="380"/>
        <v/>
      </c>
      <c r="V641" s="1771">
        <v>1</v>
      </c>
      <c r="W641" s="1771">
        <f>S03C01</f>
        <v>1</v>
      </c>
      <c r="X641" s="1771">
        <v>1</v>
      </c>
      <c r="Y641" s="1771">
        <f>MAX(S07D01,S09E01,MIN(S08D06,S09E02),MIN(S01E01,S01E02))</f>
        <v>1</v>
      </c>
      <c r="Z641" s="1746">
        <v>0</v>
      </c>
      <c r="AA641" s="1747"/>
      <c r="AB641" s="1748"/>
      <c r="AC641" s="1748"/>
      <c r="AD641" s="1595" t="str">
        <f t="shared" si="354"/>
        <v/>
      </c>
      <c r="AE641" s="1595">
        <f t="shared" si="381"/>
        <v>3</v>
      </c>
      <c r="AF641" s="1595" t="str">
        <f t="shared" si="382"/>
        <v/>
      </c>
      <c r="AG641" s="1748"/>
      <c r="AH641" s="1749" t="str">
        <f t="shared" si="355"/>
        <v/>
      </c>
      <c r="AI641" s="1620"/>
      <c r="AJ641" s="1616" t="s">
        <v>5220</v>
      </c>
      <c r="AK641" s="1616"/>
      <c r="AL641" s="1617" t="s">
        <v>1520</v>
      </c>
      <c r="AM641" s="247" t="str">
        <f t="shared" si="348"/>
        <v/>
      </c>
      <c r="AN641" s="247" t="str">
        <f t="shared" si="349"/>
        <v/>
      </c>
      <c r="AO641" s="247" t="str">
        <f t="shared" si="350"/>
        <v/>
      </c>
      <c r="AP641" s="247" t="str">
        <f t="shared" si="351"/>
        <v/>
      </c>
      <c r="AQ641" s="42">
        <f t="shared" si="383"/>
        <v>1</v>
      </c>
      <c r="AR641" s="42">
        <f t="shared" si="384"/>
        <v>1</v>
      </c>
      <c r="AS641" s="42">
        <f t="shared" si="385"/>
        <v>1</v>
      </c>
      <c r="AT641" s="42">
        <f t="shared" si="386"/>
        <v>1</v>
      </c>
      <c r="AU641" s="247" t="str">
        <f t="shared" si="352"/>
        <v/>
      </c>
      <c r="AV641" s="247" t="str">
        <f t="shared" si="353"/>
        <v/>
      </c>
    </row>
    <row r="642" spans="1:48" ht="33.75" x14ac:dyDescent="0.2">
      <c r="A642" s="428" t="s">
        <v>387</v>
      </c>
      <c r="B642" s="429" t="s">
        <v>4599</v>
      </c>
      <c r="C642" s="430" t="s">
        <v>3313</v>
      </c>
      <c r="D642" s="1349" t="s">
        <v>1873</v>
      </c>
      <c r="E642" s="1350" t="s">
        <v>5213</v>
      </c>
      <c r="F642" s="1350" t="s">
        <v>1879</v>
      </c>
      <c r="G642" s="1351" t="s">
        <v>5440</v>
      </c>
      <c r="H642" s="1342" t="s">
        <v>1554</v>
      </c>
      <c r="I642" s="432" t="s">
        <v>1537</v>
      </c>
      <c r="J642" s="431" t="s">
        <v>1880</v>
      </c>
      <c r="K642" s="431"/>
      <c r="L642" s="431"/>
      <c r="M642" s="433"/>
      <c r="N642" s="434"/>
      <c r="O642" s="1743" t="str">
        <f t="shared" si="378"/>
        <v>Endommagement accidentel de système hôte de services systèmes communs, dans les locaux de l'exploitation, due à une surcharge électrique</v>
      </c>
      <c r="P642" s="435">
        <v>1</v>
      </c>
      <c r="Q642" s="1595" t="s">
        <v>1431</v>
      </c>
      <c r="R642" s="1595" t="s">
        <v>1873</v>
      </c>
      <c r="S642" s="1595" t="str">
        <f>Classif!C26</f>
        <v/>
      </c>
      <c r="T642" s="1595">
        <f t="shared" si="379"/>
        <v>2</v>
      </c>
      <c r="U642" s="1744" t="str">
        <f t="shared" si="380"/>
        <v/>
      </c>
      <c r="V642" s="1771">
        <v>1</v>
      </c>
      <c r="W642" s="1771">
        <f>MIN(S03A01,S03A04)</f>
        <v>1</v>
      </c>
      <c r="X642" s="1771">
        <v>1</v>
      </c>
      <c r="Y642" s="1771">
        <f>MAX(S07D01,S09E01,MIN(S08D06,S09E02),MIN(S01E01,S01E02))</f>
        <v>1</v>
      </c>
      <c r="Z642" s="1746">
        <v>0</v>
      </c>
      <c r="AA642" s="1747"/>
      <c r="AB642" s="1748"/>
      <c r="AC642" s="1748"/>
      <c r="AD642" s="1595" t="str">
        <f t="shared" si="354"/>
        <v/>
      </c>
      <c r="AE642" s="1595">
        <f t="shared" si="381"/>
        <v>2</v>
      </c>
      <c r="AF642" s="1595" t="str">
        <f t="shared" si="382"/>
        <v/>
      </c>
      <c r="AG642" s="1748"/>
      <c r="AH642" s="1749" t="str">
        <f t="shared" si="355"/>
        <v/>
      </c>
      <c r="AI642" s="1615"/>
      <c r="AJ642" s="1616" t="s">
        <v>5252</v>
      </c>
      <c r="AK642" s="1616"/>
      <c r="AL642" s="1617" t="s">
        <v>1520</v>
      </c>
      <c r="AM642" s="247" t="str">
        <f t="shared" si="348"/>
        <v/>
      </c>
      <c r="AN642" s="247" t="str">
        <f t="shared" si="349"/>
        <v/>
      </c>
      <c r="AO642" s="247" t="str">
        <f t="shared" si="350"/>
        <v/>
      </c>
      <c r="AP642" s="247" t="str">
        <f t="shared" si="351"/>
        <v/>
      </c>
      <c r="AQ642" s="42">
        <f t="shared" si="383"/>
        <v>1</v>
      </c>
      <c r="AR642" s="42">
        <f t="shared" si="384"/>
        <v>1</v>
      </c>
      <c r="AS642" s="42">
        <f t="shared" si="385"/>
        <v>1</v>
      </c>
      <c r="AT642" s="42">
        <f t="shared" si="386"/>
        <v>1</v>
      </c>
      <c r="AU642" s="247" t="str">
        <f t="shared" si="352"/>
        <v/>
      </c>
      <c r="AV642" s="247" t="str">
        <f t="shared" si="353"/>
        <v/>
      </c>
    </row>
    <row r="643" spans="1:48" ht="36" x14ac:dyDescent="0.2">
      <c r="A643" s="428" t="s">
        <v>388</v>
      </c>
      <c r="B643" s="429" t="s">
        <v>4600</v>
      </c>
      <c r="C643" s="430" t="s">
        <v>3313</v>
      </c>
      <c r="D643" s="1349" t="s">
        <v>1873</v>
      </c>
      <c r="E643" s="1350" t="s">
        <v>5213</v>
      </c>
      <c r="F643" s="1350" t="s">
        <v>1875</v>
      </c>
      <c r="G643" s="1351" t="s">
        <v>5439</v>
      </c>
      <c r="H643" s="1342" t="s">
        <v>3919</v>
      </c>
      <c r="I643" s="432" t="s">
        <v>4329</v>
      </c>
      <c r="J643" s="431" t="s">
        <v>1880</v>
      </c>
      <c r="K643" s="431"/>
      <c r="L643" s="431"/>
      <c r="M643" s="433"/>
      <c r="N643" s="434"/>
      <c r="O643" s="1743" t="str">
        <f t="shared" si="378"/>
        <v>Indisponibilité de longue durée, destruction ou perte accidentelles de système hôte de services systèmes communs, dans les locaux de l'exploitation, due à un foudroiement</v>
      </c>
      <c r="P643" s="435">
        <v>1</v>
      </c>
      <c r="Q643" s="1595" t="s">
        <v>1431</v>
      </c>
      <c r="R643" s="1595" t="s">
        <v>1873</v>
      </c>
      <c r="S643" s="1595" t="str">
        <f>Classif!C26</f>
        <v/>
      </c>
      <c r="T643" s="1595">
        <f t="shared" si="379"/>
        <v>2</v>
      </c>
      <c r="U643" s="1744" t="str">
        <f t="shared" si="380"/>
        <v/>
      </c>
      <c r="V643" s="1771">
        <v>1</v>
      </c>
      <c r="W643" s="1771">
        <f>S03A05</f>
        <v>1</v>
      </c>
      <c r="X643" s="1771">
        <v>1</v>
      </c>
      <c r="Y643" s="1771">
        <f>MIN(S08D06,S09E02)</f>
        <v>1</v>
      </c>
      <c r="Z643" s="1746">
        <v>0</v>
      </c>
      <c r="AA643" s="1747"/>
      <c r="AB643" s="1748"/>
      <c r="AC643" s="1748"/>
      <c r="AD643" s="1595" t="str">
        <f t="shared" si="354"/>
        <v/>
      </c>
      <c r="AE643" s="1595">
        <f t="shared" si="381"/>
        <v>2</v>
      </c>
      <c r="AF643" s="1595" t="str">
        <f t="shared" si="382"/>
        <v/>
      </c>
      <c r="AG643" s="1748"/>
      <c r="AH643" s="1749" t="str">
        <f t="shared" si="355"/>
        <v/>
      </c>
      <c r="AI643" s="1620"/>
      <c r="AJ643" s="1616" t="s">
        <v>2343</v>
      </c>
      <c r="AK643" s="1616"/>
      <c r="AL643" s="1617" t="s">
        <v>5144</v>
      </c>
      <c r="AM643" s="247" t="str">
        <f t="shared" si="348"/>
        <v/>
      </c>
      <c r="AN643" s="247" t="str">
        <f t="shared" si="349"/>
        <v/>
      </c>
      <c r="AO643" s="247" t="str">
        <f t="shared" si="350"/>
        <v/>
      </c>
      <c r="AP643" s="247" t="str">
        <f t="shared" si="351"/>
        <v/>
      </c>
      <c r="AQ643" s="42">
        <f t="shared" si="383"/>
        <v>1</v>
      </c>
      <c r="AR643" s="42">
        <f t="shared" si="384"/>
        <v>1</v>
      </c>
      <c r="AS643" s="42">
        <f t="shared" si="385"/>
        <v>1</v>
      </c>
      <c r="AT643" s="42">
        <f t="shared" si="386"/>
        <v>1</v>
      </c>
      <c r="AU643" s="247" t="str">
        <f t="shared" si="352"/>
        <v/>
      </c>
      <c r="AV643" s="247" t="str">
        <f t="shared" si="353"/>
        <v/>
      </c>
    </row>
    <row r="644" spans="1:48" ht="36" x14ac:dyDescent="0.2">
      <c r="A644" s="428" t="s">
        <v>389</v>
      </c>
      <c r="B644" s="429" t="s">
        <v>4600</v>
      </c>
      <c r="C644" s="430" t="s">
        <v>3313</v>
      </c>
      <c r="D644" s="1349" t="s">
        <v>1873</v>
      </c>
      <c r="E644" s="1350" t="s">
        <v>5213</v>
      </c>
      <c r="F644" s="1350" t="s">
        <v>1875</v>
      </c>
      <c r="G644" s="1351" t="s">
        <v>5439</v>
      </c>
      <c r="H644" s="1342" t="s">
        <v>3919</v>
      </c>
      <c r="I644" s="432" t="s">
        <v>1535</v>
      </c>
      <c r="J644" s="431" t="s">
        <v>1880</v>
      </c>
      <c r="K644" s="431"/>
      <c r="L644" s="431"/>
      <c r="M644" s="433"/>
      <c r="N644" s="434"/>
      <c r="O644" s="1743" t="str">
        <f t="shared" si="378"/>
        <v>Indisponibilité de longue durée, destruction ou perte accidentelles de système hôte de services systèmes communs, dans les locaux de l'exploitation, due à un incendie</v>
      </c>
      <c r="P644" s="435">
        <v>1</v>
      </c>
      <c r="Q644" s="1595" t="s">
        <v>1431</v>
      </c>
      <c r="R644" s="1595" t="s">
        <v>1873</v>
      </c>
      <c r="S644" s="1595" t="str">
        <f>Classif!C26</f>
        <v/>
      </c>
      <c r="T644" s="1595">
        <f t="shared" si="379"/>
        <v>2</v>
      </c>
      <c r="U644" s="1744" t="str">
        <f t="shared" si="380"/>
        <v/>
      </c>
      <c r="V644" s="1771">
        <v>1</v>
      </c>
      <c r="W644" s="1771">
        <f>S03D01</f>
        <v>1</v>
      </c>
      <c r="X644" s="1771">
        <f>MIN(S03D02,S03D03)</f>
        <v>1</v>
      </c>
      <c r="Y644" s="1771">
        <f>MIN(S08D06,S09E02)</f>
        <v>1</v>
      </c>
      <c r="Z644" s="1746">
        <v>0</v>
      </c>
      <c r="AA644" s="1747"/>
      <c r="AB644" s="1748"/>
      <c r="AC644" s="1748"/>
      <c r="AD644" s="1595" t="str">
        <f t="shared" si="354"/>
        <v/>
      </c>
      <c r="AE644" s="1595">
        <f t="shared" si="381"/>
        <v>2</v>
      </c>
      <c r="AF644" s="1595" t="str">
        <f t="shared" si="382"/>
        <v/>
      </c>
      <c r="AG644" s="1748"/>
      <c r="AH644" s="1749" t="str">
        <f t="shared" si="355"/>
        <v/>
      </c>
      <c r="AI644" s="1620"/>
      <c r="AJ644" s="1616" t="s">
        <v>5225</v>
      </c>
      <c r="AK644" s="1616" t="s">
        <v>1052</v>
      </c>
      <c r="AL644" s="1617" t="s">
        <v>5144</v>
      </c>
      <c r="AM644" s="247" t="str">
        <f t="shared" si="348"/>
        <v/>
      </c>
      <c r="AN644" s="247" t="str">
        <f t="shared" si="349"/>
        <v/>
      </c>
      <c r="AO644" s="247" t="str">
        <f t="shared" si="350"/>
        <v/>
      </c>
      <c r="AP644" s="247" t="str">
        <f t="shared" si="351"/>
        <v/>
      </c>
      <c r="AQ644" s="42">
        <f t="shared" si="383"/>
        <v>1</v>
      </c>
      <c r="AR644" s="42">
        <f t="shared" si="384"/>
        <v>1</v>
      </c>
      <c r="AS644" s="42">
        <f t="shared" si="385"/>
        <v>1</v>
      </c>
      <c r="AT644" s="42">
        <f t="shared" si="386"/>
        <v>1</v>
      </c>
      <c r="AU644" s="247" t="str">
        <f t="shared" si="352"/>
        <v/>
      </c>
      <c r="AV644" s="247" t="str">
        <f t="shared" si="353"/>
        <v/>
      </c>
    </row>
    <row r="645" spans="1:48" ht="36" x14ac:dyDescent="0.2">
      <c r="A645" s="428" t="s">
        <v>390</v>
      </c>
      <c r="B645" s="429" t="s">
        <v>4600</v>
      </c>
      <c r="C645" s="430" t="s">
        <v>3313</v>
      </c>
      <c r="D645" s="1349" t="s">
        <v>1873</v>
      </c>
      <c r="E645" s="1350" t="s">
        <v>5213</v>
      </c>
      <c r="F645" s="1350" t="s">
        <v>1875</v>
      </c>
      <c r="G645" s="1351" t="s">
        <v>5439</v>
      </c>
      <c r="H645" s="1342" t="s">
        <v>3919</v>
      </c>
      <c r="I645" s="432" t="s">
        <v>1536</v>
      </c>
      <c r="J645" s="431" t="s">
        <v>1880</v>
      </c>
      <c r="K645" s="431"/>
      <c r="L645" s="431"/>
      <c r="M645" s="433"/>
      <c r="N645" s="434"/>
      <c r="O645" s="1743" t="str">
        <f t="shared" si="378"/>
        <v>Indisponibilité de longue durée, destruction ou perte accidentelles de système hôte de services systèmes communs, dans les locaux de l'exploitation, due à une inondation</v>
      </c>
      <c r="P645" s="435">
        <v>1</v>
      </c>
      <c r="Q645" s="1595" t="s">
        <v>1431</v>
      </c>
      <c r="R645" s="1595" t="s">
        <v>1873</v>
      </c>
      <c r="S645" s="1595" t="str">
        <f>Classif!C26</f>
        <v/>
      </c>
      <c r="T645" s="1595">
        <f t="shared" si="379"/>
        <v>2</v>
      </c>
      <c r="U645" s="1744" t="str">
        <f t="shared" si="380"/>
        <v/>
      </c>
      <c r="V645" s="1771">
        <v>1</v>
      </c>
      <c r="W645" s="1771">
        <f>S03C01</f>
        <v>1</v>
      </c>
      <c r="X645" s="1771">
        <f>MIN(S03C02,S03C03)</f>
        <v>1</v>
      </c>
      <c r="Y645" s="1771">
        <f>MIN(S08D06,S09E02)</f>
        <v>1</v>
      </c>
      <c r="Z645" s="1746">
        <v>0</v>
      </c>
      <c r="AA645" s="1747"/>
      <c r="AB645" s="1748"/>
      <c r="AC645" s="1748"/>
      <c r="AD645" s="1595" t="str">
        <f t="shared" si="354"/>
        <v/>
      </c>
      <c r="AE645" s="1595">
        <f t="shared" si="381"/>
        <v>2</v>
      </c>
      <c r="AF645" s="1595" t="str">
        <f t="shared" si="382"/>
        <v/>
      </c>
      <c r="AG645" s="1748"/>
      <c r="AH645" s="1749" t="str">
        <f t="shared" si="355"/>
        <v/>
      </c>
      <c r="AI645" s="1620"/>
      <c r="AJ645" s="1616" t="s">
        <v>5220</v>
      </c>
      <c r="AK645" s="1616" t="s">
        <v>1054</v>
      </c>
      <c r="AL645" s="1617" t="s">
        <v>5144</v>
      </c>
      <c r="AM645" s="247" t="str">
        <f t="shared" si="348"/>
        <v/>
      </c>
      <c r="AN645" s="247" t="str">
        <f t="shared" si="349"/>
        <v/>
      </c>
      <c r="AO645" s="247" t="str">
        <f t="shared" si="350"/>
        <v/>
      </c>
      <c r="AP645" s="247" t="str">
        <f t="shared" si="351"/>
        <v/>
      </c>
      <c r="AQ645" s="42">
        <f t="shared" si="383"/>
        <v>1</v>
      </c>
      <c r="AR645" s="42">
        <f t="shared" si="384"/>
        <v>1</v>
      </c>
      <c r="AS645" s="42">
        <f t="shared" si="385"/>
        <v>1</v>
      </c>
      <c r="AT645" s="42">
        <f t="shared" si="386"/>
        <v>1</v>
      </c>
      <c r="AU645" s="247" t="str">
        <f t="shared" si="352"/>
        <v/>
      </c>
      <c r="AV645" s="247" t="str">
        <f t="shared" si="353"/>
        <v/>
      </c>
    </row>
    <row r="646" spans="1:48" ht="24" x14ac:dyDescent="0.2">
      <c r="A646" s="428" t="s">
        <v>391</v>
      </c>
      <c r="B646" s="429" t="s">
        <v>4257</v>
      </c>
      <c r="C646" s="430" t="s">
        <v>3313</v>
      </c>
      <c r="D646" s="1349" t="s">
        <v>1873</v>
      </c>
      <c r="E646" s="1350" t="s">
        <v>5213</v>
      </c>
      <c r="F646" s="1350" t="s">
        <v>1503</v>
      </c>
      <c r="G646" s="1351" t="s">
        <v>5440</v>
      </c>
      <c r="H646" s="1342" t="s">
        <v>3920</v>
      </c>
      <c r="I646" s="432" t="s">
        <v>3526</v>
      </c>
      <c r="J646" s="431"/>
      <c r="K646" s="431"/>
      <c r="L646" s="431"/>
      <c r="M646" s="433"/>
      <c r="N646" s="434"/>
      <c r="O646" s="1743" t="str">
        <f>VLOOKUP(B646,code_famille_scénario,2)&amp;VLOOKUP(C646,code_actif,2)&amp;", due "&amp;VLOOKUP(I646,code_event,2)</f>
        <v>Indisponibilité temporaire accidentelle de système hôte de services systèmes communs, due à une panne d'équipement</v>
      </c>
      <c r="P646" s="435">
        <v>1</v>
      </c>
      <c r="Q646" s="1595" t="s">
        <v>1431</v>
      </c>
      <c r="R646" s="1595" t="s">
        <v>1873</v>
      </c>
      <c r="S646" s="1595" t="str">
        <f>Classif!C26</f>
        <v/>
      </c>
      <c r="T646" s="1595">
        <f t="shared" si="379"/>
        <v>3</v>
      </c>
      <c r="U646" s="1744" t="str">
        <f t="shared" si="380"/>
        <v/>
      </c>
      <c r="V646" s="1771">
        <v>1</v>
      </c>
      <c r="W646" s="1771">
        <f>S09E01</f>
        <v>1</v>
      </c>
      <c r="X646" s="1771">
        <v>1</v>
      </c>
      <c r="Y646" s="1771">
        <f>MAX(S07D01,S08D01)</f>
        <v>1</v>
      </c>
      <c r="Z646" s="1746">
        <v>0</v>
      </c>
      <c r="AA646" s="1747"/>
      <c r="AB646" s="1748"/>
      <c r="AC646" s="1748"/>
      <c r="AD646" s="1595" t="str">
        <f t="shared" si="354"/>
        <v/>
      </c>
      <c r="AE646" s="1595">
        <f t="shared" si="381"/>
        <v>3</v>
      </c>
      <c r="AF646" s="1595" t="str">
        <f t="shared" si="382"/>
        <v/>
      </c>
      <c r="AG646" s="1748"/>
      <c r="AH646" s="1749" t="str">
        <f t="shared" si="355"/>
        <v/>
      </c>
      <c r="AI646" s="1620"/>
      <c r="AJ646" s="1616" t="s">
        <v>5928</v>
      </c>
      <c r="AK646" s="1616"/>
      <c r="AL646" s="1617" t="s">
        <v>5145</v>
      </c>
      <c r="AM646" s="247" t="str">
        <f t="shared" ref="AM646:AM709" si="387">IF($AH646=1,$H646&amp;"."&amp;$I646&amp;$AH646,"")</f>
        <v/>
      </c>
      <c r="AN646" s="247" t="str">
        <f t="shared" ref="AN646:AN709" si="388">IF($AH646=2,$H646&amp;"."&amp;$I646&amp;$AH646,"")</f>
        <v/>
      </c>
      <c r="AO646" s="247" t="str">
        <f t="shared" ref="AO646:AO709" si="389">IF($AH646=3,$H646&amp;"."&amp;$I646&amp;$AH646,"")</f>
        <v/>
      </c>
      <c r="AP646" s="247" t="str">
        <f t="shared" ref="AP646:AP709" si="390">IF($AH646=4,$H646&amp;"."&amp;$I646&amp;$AH646,"")</f>
        <v/>
      </c>
      <c r="AQ646" s="42">
        <f t="shared" si="383"/>
        <v>1</v>
      </c>
      <c r="AR646" s="42">
        <f t="shared" si="384"/>
        <v>1</v>
      </c>
      <c r="AS646" s="42">
        <f t="shared" si="385"/>
        <v>1</v>
      </c>
      <c r="AT646" s="42">
        <f t="shared" si="386"/>
        <v>1</v>
      </c>
      <c r="AU646" s="247" t="str">
        <f t="shared" ref="AU646:AU709" si="391">IF(S646="","",IF(T646="","",10*S646+T646))</f>
        <v/>
      </c>
      <c r="AV646" s="247" t="str">
        <f t="shared" ref="AV646:AV709" si="392">IF(AD646="","",IF(AE646="","",10*AD646+AE646))</f>
        <v/>
      </c>
    </row>
    <row r="647" spans="1:48" ht="24" x14ac:dyDescent="0.2">
      <c r="A647" s="428" t="s">
        <v>392</v>
      </c>
      <c r="B647" s="429" t="s">
        <v>4257</v>
      </c>
      <c r="C647" s="430" t="s">
        <v>3313</v>
      </c>
      <c r="D647" s="1349" t="s">
        <v>1873</v>
      </c>
      <c r="E647" s="1350" t="s">
        <v>5927</v>
      </c>
      <c r="F647" s="1350" t="s">
        <v>1503</v>
      </c>
      <c r="G647" s="1368" t="s">
        <v>6079</v>
      </c>
      <c r="H647" s="1342" t="s">
        <v>3920</v>
      </c>
      <c r="I647" s="432" t="s">
        <v>4295</v>
      </c>
      <c r="J647" s="431"/>
      <c r="K647" s="431"/>
      <c r="L647" s="431"/>
      <c r="M647" s="433"/>
      <c r="N647" s="434"/>
      <c r="O647" s="1743" t="str">
        <f>VLOOKUP(B647,code_famille_scénario,2)&amp;VLOOKUP(C647,code_actif,2)&amp;", due "&amp;VLOOKUP(I647,code_event,2)</f>
        <v>Indisponibilité temporaire accidentelle de système hôte de services systèmes communs, due à une défaillance ou à une indisponibilité de moyens de servitude</v>
      </c>
      <c r="P647" s="435">
        <v>1</v>
      </c>
      <c r="Q647" s="1595" t="s">
        <v>1431</v>
      </c>
      <c r="R647" s="1595" t="s">
        <v>1873</v>
      </c>
      <c r="S647" s="1595" t="str">
        <f>Classif!C26</f>
        <v/>
      </c>
      <c r="T647" s="1595">
        <f t="shared" si="379"/>
        <v>3</v>
      </c>
      <c r="U647" s="1744" t="str">
        <f t="shared" si="380"/>
        <v/>
      </c>
      <c r="V647" s="1771">
        <v>1</v>
      </c>
      <c r="W647" s="1771">
        <v>1</v>
      </c>
      <c r="X647" s="1771">
        <v>1</v>
      </c>
      <c r="Y647" s="1771">
        <f>S03A06</f>
        <v>1</v>
      </c>
      <c r="Z647" s="1746">
        <v>0</v>
      </c>
      <c r="AA647" s="1747"/>
      <c r="AB647" s="1748"/>
      <c r="AC647" s="1748"/>
      <c r="AD647" s="1595" t="str">
        <f t="shared" ref="AD647:AD710" si="393">IF(OR(R647="",S647=""),"",IF(R647="D",INDEX(base_i,IF(IF(AA647="",Z647,AA647)=0,4,5-X647),Y647+7*(S647-1)),IF(R647="I",INDEX(base_i,IF(IF(AA647="",Z647,AA647)=0,15,16-X647),Y647+7*(S647-1)),IF(R647="C",INDEX(base_i,IF(IF(AA647="",Z647,AA647)=0,26,27-X647),Y647+7*(S647-1)),INDEX(base_i,38-X647,Y647+7*(S647-1))))))</f>
        <v/>
      </c>
      <c r="AE647" s="1595">
        <f t="shared" si="381"/>
        <v>3</v>
      </c>
      <c r="AF647" s="1595" t="str">
        <f t="shared" si="382"/>
        <v/>
      </c>
      <c r="AG647" s="1748"/>
      <c r="AH647" s="1749" t="str">
        <f t="shared" ref="AH647:AH710" si="394">IF(OR(AG647="A",AG647="a",AG647="T",AG647="t",AF647=""),"",AF647)</f>
        <v/>
      </c>
      <c r="AI647" s="1620"/>
      <c r="AJ647" s="1616"/>
      <c r="AK647" s="1616"/>
      <c r="AL647" s="1617" t="s">
        <v>1055</v>
      </c>
      <c r="AM647" s="247" t="str">
        <f t="shared" si="387"/>
        <v/>
      </c>
      <c r="AN647" s="247" t="str">
        <f t="shared" si="388"/>
        <v/>
      </c>
      <c r="AO647" s="247" t="str">
        <f t="shared" si="389"/>
        <v/>
      </c>
      <c r="AP647" s="247" t="str">
        <f t="shared" si="390"/>
        <v/>
      </c>
      <c r="AQ647" s="42">
        <f t="shared" si="383"/>
        <v>1</v>
      </c>
      <c r="AR647" s="42">
        <f t="shared" si="384"/>
        <v>1</v>
      </c>
      <c r="AS647" s="42">
        <f t="shared" si="385"/>
        <v>1</v>
      </c>
      <c r="AT647" s="42">
        <f t="shared" si="386"/>
        <v>1</v>
      </c>
      <c r="AU647" s="247" t="str">
        <f t="shared" si="391"/>
        <v/>
      </c>
      <c r="AV647" s="247" t="str">
        <f t="shared" si="392"/>
        <v/>
      </c>
    </row>
    <row r="648" spans="1:48" ht="24" x14ac:dyDescent="0.2">
      <c r="A648" s="428" t="s">
        <v>393</v>
      </c>
      <c r="B648" s="429" t="s">
        <v>4257</v>
      </c>
      <c r="C648" s="430" t="s">
        <v>3313</v>
      </c>
      <c r="D648" s="1349" t="s">
        <v>1873</v>
      </c>
      <c r="E648" s="1350" t="s">
        <v>5927</v>
      </c>
      <c r="F648" s="1350" t="s">
        <v>1503</v>
      </c>
      <c r="G648" s="1368" t="s">
        <v>6079</v>
      </c>
      <c r="H648" s="1342" t="s">
        <v>1474</v>
      </c>
      <c r="I648" s="432" t="s">
        <v>1541</v>
      </c>
      <c r="J648" s="431"/>
      <c r="K648" s="431"/>
      <c r="L648" s="431"/>
      <c r="M648" s="433"/>
      <c r="N648" s="434"/>
      <c r="O648" s="1743" t="str">
        <f>VLOOKUP(B648,code_famille_scénario,2)&amp;VLOOKUP(C648,code_actif,2)&amp;", due "&amp;VLOOKUP(I648,code_event,2)</f>
        <v>Indisponibilité temporaire accidentelle de système hôte de services systèmes communs, due à un manque d'alimentation en énergie (défaut externe)</v>
      </c>
      <c r="P648" s="435">
        <v>1</v>
      </c>
      <c r="Q648" s="1595" t="s">
        <v>1431</v>
      </c>
      <c r="R648" s="1595" t="s">
        <v>1873</v>
      </c>
      <c r="S648" s="1595" t="str">
        <f>Classif!C26</f>
        <v/>
      </c>
      <c r="T648" s="1595">
        <f t="shared" si="379"/>
        <v>3</v>
      </c>
      <c r="U648" s="1744" t="str">
        <f t="shared" si="380"/>
        <v/>
      </c>
      <c r="V648" s="1771">
        <v>1</v>
      </c>
      <c r="W648" s="1771">
        <v>1</v>
      </c>
      <c r="X648" s="1771">
        <v>1</v>
      </c>
      <c r="Y648" s="1771">
        <f>S03A02</f>
        <v>1</v>
      </c>
      <c r="Z648" s="1746">
        <v>0</v>
      </c>
      <c r="AA648" s="1747"/>
      <c r="AB648" s="1748"/>
      <c r="AC648" s="1748"/>
      <c r="AD648" s="1595" t="str">
        <f t="shared" si="393"/>
        <v/>
      </c>
      <c r="AE648" s="1595">
        <f t="shared" si="381"/>
        <v>3</v>
      </c>
      <c r="AF648" s="1595" t="str">
        <f t="shared" si="382"/>
        <v/>
      </c>
      <c r="AG648" s="1748"/>
      <c r="AH648" s="1749" t="str">
        <f t="shared" si="394"/>
        <v/>
      </c>
      <c r="AI648" s="1620"/>
      <c r="AJ648" s="1618"/>
      <c r="AK648" s="1616"/>
      <c r="AL648" s="1617" t="s">
        <v>6388</v>
      </c>
      <c r="AM648" s="247" t="str">
        <f t="shared" si="387"/>
        <v/>
      </c>
      <c r="AN648" s="247" t="str">
        <f t="shared" si="388"/>
        <v/>
      </c>
      <c r="AO648" s="247" t="str">
        <f t="shared" si="389"/>
        <v/>
      </c>
      <c r="AP648" s="247" t="str">
        <f t="shared" si="390"/>
        <v/>
      </c>
      <c r="AQ648" s="42">
        <f t="shared" si="383"/>
        <v>1</v>
      </c>
      <c r="AR648" s="42">
        <f t="shared" si="384"/>
        <v>1</v>
      </c>
      <c r="AS648" s="42">
        <f t="shared" si="385"/>
        <v>1</v>
      </c>
      <c r="AT648" s="42">
        <f t="shared" si="386"/>
        <v>1</v>
      </c>
      <c r="AU648" s="247" t="str">
        <f t="shared" si="391"/>
        <v/>
      </c>
      <c r="AV648" s="247" t="str">
        <f t="shared" si="392"/>
        <v/>
      </c>
    </row>
    <row r="649" spans="1:48" ht="24" x14ac:dyDescent="0.2">
      <c r="A649" s="428" t="s">
        <v>394</v>
      </c>
      <c r="B649" s="429" t="s">
        <v>4257</v>
      </c>
      <c r="C649" s="430" t="s">
        <v>3313</v>
      </c>
      <c r="D649" s="1349" t="s">
        <v>1873</v>
      </c>
      <c r="E649" s="1350" t="s">
        <v>5927</v>
      </c>
      <c r="F649" s="1350" t="s">
        <v>1503</v>
      </c>
      <c r="G649" s="1368" t="s">
        <v>6079</v>
      </c>
      <c r="H649" s="1342" t="s">
        <v>1474</v>
      </c>
      <c r="I649" s="432" t="s">
        <v>1515</v>
      </c>
      <c r="J649" s="431"/>
      <c r="K649" s="431"/>
      <c r="L649" s="431"/>
      <c r="M649" s="433"/>
      <c r="N649" s="434"/>
      <c r="O649" s="1743" t="str">
        <f>VLOOKUP(B649,code_famille_scénario,2)&amp;VLOOKUP(C649,code_actif,2)&amp;", due "&amp;VLOOKUP(I649,code_event,2)</f>
        <v>Indisponibilité temporaire accidentelle de système hôte de services systèmes communs, due à un arrêt de la climatisation</v>
      </c>
      <c r="P649" s="435">
        <v>1</v>
      </c>
      <c r="Q649" s="1595" t="s">
        <v>1431</v>
      </c>
      <c r="R649" s="1595" t="s">
        <v>1873</v>
      </c>
      <c r="S649" s="1595" t="str">
        <f>Classif!C26</f>
        <v/>
      </c>
      <c r="T649" s="1595">
        <f t="shared" si="379"/>
        <v>2</v>
      </c>
      <c r="U649" s="1744" t="str">
        <f t="shared" si="380"/>
        <v/>
      </c>
      <c r="V649" s="1771">
        <v>1</v>
      </c>
      <c r="W649" s="1771">
        <v>1</v>
      </c>
      <c r="X649" s="1771">
        <v>1</v>
      </c>
      <c r="Y649" s="1771">
        <f>S03A03</f>
        <v>1</v>
      </c>
      <c r="Z649" s="1746">
        <v>0</v>
      </c>
      <c r="AA649" s="1747"/>
      <c r="AB649" s="1748"/>
      <c r="AC649" s="1748"/>
      <c r="AD649" s="1595" t="str">
        <f t="shared" si="393"/>
        <v/>
      </c>
      <c r="AE649" s="1595">
        <f t="shared" si="381"/>
        <v>2</v>
      </c>
      <c r="AF649" s="1595" t="str">
        <f t="shared" si="382"/>
        <v/>
      </c>
      <c r="AG649" s="1748"/>
      <c r="AH649" s="1749" t="str">
        <f t="shared" si="394"/>
        <v/>
      </c>
      <c r="AI649" s="1620"/>
      <c r="AJ649" s="1618"/>
      <c r="AK649" s="1616"/>
      <c r="AL649" s="1617" t="s">
        <v>2339</v>
      </c>
      <c r="AM649" s="247" t="str">
        <f t="shared" si="387"/>
        <v/>
      </c>
      <c r="AN649" s="247" t="str">
        <f t="shared" si="388"/>
        <v/>
      </c>
      <c r="AO649" s="247" t="str">
        <f t="shared" si="389"/>
        <v/>
      </c>
      <c r="AP649" s="247" t="str">
        <f t="shared" si="390"/>
        <v/>
      </c>
      <c r="AQ649" s="42">
        <f t="shared" si="383"/>
        <v>1</v>
      </c>
      <c r="AR649" s="42">
        <f t="shared" si="384"/>
        <v>1</v>
      </c>
      <c r="AS649" s="42">
        <f t="shared" si="385"/>
        <v>1</v>
      </c>
      <c r="AT649" s="42">
        <f t="shared" si="386"/>
        <v>1</v>
      </c>
      <c r="AU649" s="247" t="str">
        <f t="shared" si="391"/>
        <v/>
      </c>
      <c r="AV649" s="247" t="str">
        <f t="shared" si="392"/>
        <v/>
      </c>
    </row>
    <row r="650" spans="1:48" ht="36" x14ac:dyDescent="0.2">
      <c r="A650" s="428" t="s">
        <v>395</v>
      </c>
      <c r="B650" s="429" t="s">
        <v>2902</v>
      </c>
      <c r="C650" s="430" t="s">
        <v>3313</v>
      </c>
      <c r="D650" s="1349" t="s">
        <v>1873</v>
      </c>
      <c r="E650" s="1350" t="s">
        <v>5213</v>
      </c>
      <c r="F650" s="1350" t="s">
        <v>1879</v>
      </c>
      <c r="G650" s="1351" t="s">
        <v>5440</v>
      </c>
      <c r="H650" s="1342" t="s">
        <v>1329</v>
      </c>
      <c r="I650" s="432" t="s">
        <v>1552</v>
      </c>
      <c r="J650" s="431" t="s">
        <v>1880</v>
      </c>
      <c r="K650" s="431"/>
      <c r="L650" s="431"/>
      <c r="M650" s="433"/>
      <c r="N650" s="434" t="s">
        <v>4816</v>
      </c>
      <c r="O650" s="1743" t="str">
        <f>VLOOKUP(B650,code_famille_scénario,2)&amp;VLOOKUP(C650,code_actif,2)&amp;", due "&amp;VLOOKUP(I650,code_event,2)&amp;", "&amp;VLOOKUP(J650,Code_lieu,2)&amp;", par "&amp;VLOOKUP(N650,code_acteur,2)</f>
        <v>Endommagement malveillant de système hôte de services systèmes communs, due à du vandalisme, dans les locaux de l'exploitation, par un membre  du personnel autorisé</v>
      </c>
      <c r="P650" s="435">
        <v>1</v>
      </c>
      <c r="Q650" s="1595" t="s">
        <v>1299</v>
      </c>
      <c r="R650" s="1595" t="s">
        <v>1873</v>
      </c>
      <c r="S650" s="1595" t="str">
        <f>Classif!C26</f>
        <v/>
      </c>
      <c r="T650" s="1595">
        <f t="shared" si="379"/>
        <v>2</v>
      </c>
      <c r="U650" s="1744" t="str">
        <f t="shared" si="380"/>
        <v/>
      </c>
      <c r="V650" s="1771">
        <f>S03B06</f>
        <v>1</v>
      </c>
      <c r="W650" s="1771">
        <f>MIN(S03B01,S03B02,S03B03)</f>
        <v>1</v>
      </c>
      <c r="X650" s="1771">
        <f>S03B04</f>
        <v>1</v>
      </c>
      <c r="Y650" s="1771">
        <f>S08D01</f>
        <v>1</v>
      </c>
      <c r="Z650" s="1746">
        <v>0</v>
      </c>
      <c r="AA650" s="1747"/>
      <c r="AB650" s="1748"/>
      <c r="AC650" s="1748"/>
      <c r="AD650" s="1595" t="str">
        <f t="shared" si="393"/>
        <v/>
      </c>
      <c r="AE650" s="1595">
        <f t="shared" si="381"/>
        <v>2</v>
      </c>
      <c r="AF650" s="1595" t="str">
        <f t="shared" si="382"/>
        <v/>
      </c>
      <c r="AG650" s="1748"/>
      <c r="AH650" s="1749" t="str">
        <f t="shared" si="394"/>
        <v/>
      </c>
      <c r="AI650" s="1620" t="s">
        <v>1665</v>
      </c>
      <c r="AJ650" s="1616" t="s">
        <v>1053</v>
      </c>
      <c r="AK650" s="1616" t="s">
        <v>3254</v>
      </c>
      <c r="AL650" s="1617" t="s">
        <v>1137</v>
      </c>
      <c r="AM650" s="247" t="str">
        <f t="shared" si="387"/>
        <v/>
      </c>
      <c r="AN650" s="247" t="str">
        <f t="shared" si="388"/>
        <v/>
      </c>
      <c r="AO650" s="247" t="str">
        <f t="shared" si="389"/>
        <v/>
      </c>
      <c r="AP650" s="247" t="str">
        <f t="shared" si="390"/>
        <v/>
      </c>
      <c r="AQ650" s="42">
        <f t="shared" si="383"/>
        <v>1</v>
      </c>
      <c r="AR650" s="42">
        <f t="shared" si="384"/>
        <v>1</v>
      </c>
      <c r="AS650" s="42">
        <f t="shared" si="385"/>
        <v>1</v>
      </c>
      <c r="AT650" s="42">
        <f t="shared" si="386"/>
        <v>1</v>
      </c>
      <c r="AU650" s="247" t="str">
        <f t="shared" si="391"/>
        <v/>
      </c>
      <c r="AV650" s="247" t="str">
        <f t="shared" si="392"/>
        <v/>
      </c>
    </row>
    <row r="651" spans="1:48" ht="36" x14ac:dyDescent="0.2">
      <c r="A651" s="428" t="s">
        <v>396</v>
      </c>
      <c r="B651" s="429" t="s">
        <v>2902</v>
      </c>
      <c r="C651" s="430" t="s">
        <v>3313</v>
      </c>
      <c r="D651" s="1349" t="s">
        <v>1873</v>
      </c>
      <c r="E651" s="1350" t="s">
        <v>5213</v>
      </c>
      <c r="F651" s="1350" t="s">
        <v>1879</v>
      </c>
      <c r="G651" s="1351" t="s">
        <v>5440</v>
      </c>
      <c r="H651" s="1342" t="s">
        <v>1329</v>
      </c>
      <c r="I651" s="432" t="s">
        <v>1552</v>
      </c>
      <c r="J651" s="431" t="s">
        <v>1880</v>
      </c>
      <c r="K651" s="431"/>
      <c r="L651" s="431"/>
      <c r="M651" s="433"/>
      <c r="N651" s="434" t="s">
        <v>3518</v>
      </c>
      <c r="O651" s="1743" t="str">
        <f>VLOOKUP(B651,code_famille_scénario,2)&amp;VLOOKUP(C651,code_actif,2)&amp;", due "&amp;VLOOKUP(I651,code_event,2)&amp;", "&amp;VLOOKUP(J651,Code_lieu,2)&amp;", par "&amp;VLOOKUP(N651,code_acteur,2)</f>
        <v>Endommagement malveillant de système hôte de services systèmes communs, due à du vandalisme, dans les locaux de l'exploitation, par un membre du personnel non autorisé</v>
      </c>
      <c r="P651" s="435">
        <v>1</v>
      </c>
      <c r="Q651" s="1595" t="s">
        <v>1299</v>
      </c>
      <c r="R651" s="1595" t="s">
        <v>1873</v>
      </c>
      <c r="S651" s="1595" t="str">
        <f>Classif!C26</f>
        <v/>
      </c>
      <c r="T651" s="1595">
        <f t="shared" si="379"/>
        <v>2</v>
      </c>
      <c r="U651" s="1744" t="str">
        <f t="shared" si="380"/>
        <v/>
      </c>
      <c r="V651" s="1771">
        <v>1</v>
      </c>
      <c r="W651" s="1771">
        <f>MIN(S03B03,S03B04,S03B06)</f>
        <v>1</v>
      </c>
      <c r="X651" s="1771">
        <v>1</v>
      </c>
      <c r="Y651" s="1771">
        <f>S08D01</f>
        <v>1</v>
      </c>
      <c r="Z651" s="1746">
        <v>0</v>
      </c>
      <c r="AA651" s="1747"/>
      <c r="AB651" s="1748"/>
      <c r="AC651" s="1748"/>
      <c r="AD651" s="1595" t="str">
        <f t="shared" si="393"/>
        <v/>
      </c>
      <c r="AE651" s="1595">
        <f t="shared" si="381"/>
        <v>2</v>
      </c>
      <c r="AF651" s="1595" t="str">
        <f t="shared" si="382"/>
        <v/>
      </c>
      <c r="AG651" s="1748"/>
      <c r="AH651" s="1749" t="str">
        <f t="shared" si="394"/>
        <v/>
      </c>
      <c r="AI651" s="1615"/>
      <c r="AJ651" s="1616" t="s">
        <v>1412</v>
      </c>
      <c r="AK651" s="1618"/>
      <c r="AL651" s="1617" t="s">
        <v>1137</v>
      </c>
      <c r="AM651" s="247" t="str">
        <f t="shared" si="387"/>
        <v/>
      </c>
      <c r="AN651" s="247" t="str">
        <f t="shared" si="388"/>
        <v/>
      </c>
      <c r="AO651" s="247" t="str">
        <f t="shared" si="389"/>
        <v/>
      </c>
      <c r="AP651" s="247" t="str">
        <f t="shared" si="390"/>
        <v/>
      </c>
      <c r="AQ651" s="42">
        <f t="shared" si="383"/>
        <v>1</v>
      </c>
      <c r="AR651" s="42">
        <f t="shared" si="384"/>
        <v>1</v>
      </c>
      <c r="AS651" s="42">
        <f t="shared" si="385"/>
        <v>1</v>
      </c>
      <c r="AT651" s="42">
        <f t="shared" si="386"/>
        <v>1</v>
      </c>
      <c r="AU651" s="247" t="str">
        <f t="shared" si="391"/>
        <v/>
      </c>
      <c r="AV651" s="247" t="str">
        <f t="shared" si="392"/>
        <v/>
      </c>
    </row>
    <row r="652" spans="1:48" ht="36" x14ac:dyDescent="0.2">
      <c r="A652" s="428" t="s">
        <v>397</v>
      </c>
      <c r="B652" s="429" t="s">
        <v>2902</v>
      </c>
      <c r="C652" s="430" t="s">
        <v>3313</v>
      </c>
      <c r="D652" s="1349" t="s">
        <v>1873</v>
      </c>
      <c r="E652" s="1350" t="s">
        <v>5213</v>
      </c>
      <c r="F652" s="1350" t="s">
        <v>1879</v>
      </c>
      <c r="G652" s="1351" t="s">
        <v>5440</v>
      </c>
      <c r="H652" s="1342" t="s">
        <v>1329</v>
      </c>
      <c r="I652" s="432" t="s">
        <v>1552</v>
      </c>
      <c r="J652" s="431"/>
      <c r="K652" s="431"/>
      <c r="L652" s="431"/>
      <c r="M652" s="433"/>
      <c r="N652" s="434" t="s">
        <v>1521</v>
      </c>
      <c r="O652" s="1743" t="str">
        <f>VLOOKUP(B652,code_famille_scénario,2)&amp;VLOOKUP(C652,code_actif,2)&amp;", due "&amp;VLOOKUP(I652,code_event,2)&amp;", par "&amp;VLOOKUP(N652,code_acteur,2)</f>
        <v>Endommagement malveillant de système hôte de services systèmes communs, due à du vandalisme, par des vandales ou des terroristes agissant depuis l'extérieur</v>
      </c>
      <c r="P652" s="435">
        <v>1</v>
      </c>
      <c r="Q652" s="1595" t="s">
        <v>1299</v>
      </c>
      <c r="R652" s="1595" t="s">
        <v>1873</v>
      </c>
      <c r="S652" s="1595" t="str">
        <f>Classif!C26</f>
        <v/>
      </c>
      <c r="T652" s="1595">
        <f t="shared" si="379"/>
        <v>2</v>
      </c>
      <c r="U652" s="1744" t="str">
        <f t="shared" si="380"/>
        <v/>
      </c>
      <c r="V652" s="1771">
        <v>1</v>
      </c>
      <c r="W652" s="1771">
        <v>1</v>
      </c>
      <c r="X652" s="1771">
        <v>1</v>
      </c>
      <c r="Y652" s="1771">
        <f>S08D01</f>
        <v>1</v>
      </c>
      <c r="Z652" s="1746">
        <v>0</v>
      </c>
      <c r="AA652" s="1747"/>
      <c r="AB652" s="1748"/>
      <c r="AC652" s="1748"/>
      <c r="AD652" s="1595" t="str">
        <f t="shared" si="393"/>
        <v/>
      </c>
      <c r="AE652" s="1595">
        <f t="shared" si="381"/>
        <v>2</v>
      </c>
      <c r="AF652" s="1595" t="str">
        <f t="shared" si="382"/>
        <v/>
      </c>
      <c r="AG652" s="1748"/>
      <c r="AH652" s="1749" t="str">
        <f t="shared" si="394"/>
        <v/>
      </c>
      <c r="AI652" s="1620"/>
      <c r="AJ652" s="1616"/>
      <c r="AK652" s="1616"/>
      <c r="AL652" s="1617" t="s">
        <v>1137</v>
      </c>
      <c r="AM652" s="247" t="str">
        <f t="shared" si="387"/>
        <v/>
      </c>
      <c r="AN652" s="247" t="str">
        <f t="shared" si="388"/>
        <v/>
      </c>
      <c r="AO652" s="247" t="str">
        <f t="shared" si="389"/>
        <v/>
      </c>
      <c r="AP652" s="247" t="str">
        <f t="shared" si="390"/>
        <v/>
      </c>
      <c r="AQ652" s="42">
        <f t="shared" si="383"/>
        <v>1</v>
      </c>
      <c r="AR652" s="42">
        <f t="shared" si="384"/>
        <v>1</v>
      </c>
      <c r="AS652" s="42">
        <f t="shared" si="385"/>
        <v>1</v>
      </c>
      <c r="AT652" s="42">
        <f t="shared" si="386"/>
        <v>1</v>
      </c>
      <c r="AU652" s="247" t="str">
        <f t="shared" si="391"/>
        <v/>
      </c>
      <c r="AV652" s="247" t="str">
        <f t="shared" si="392"/>
        <v/>
      </c>
    </row>
    <row r="653" spans="1:48" ht="36" x14ac:dyDescent="0.2">
      <c r="A653" s="428" t="s">
        <v>398</v>
      </c>
      <c r="B653" s="429" t="s">
        <v>2902</v>
      </c>
      <c r="C653" s="430" t="s">
        <v>3313</v>
      </c>
      <c r="D653" s="1349" t="s">
        <v>1873</v>
      </c>
      <c r="E653" s="1350" t="s">
        <v>5213</v>
      </c>
      <c r="F653" s="1350" t="s">
        <v>1879</v>
      </c>
      <c r="G653" s="1351" t="s">
        <v>5440</v>
      </c>
      <c r="H653" s="1342" t="s">
        <v>1329</v>
      </c>
      <c r="I653" s="432" t="s">
        <v>1552</v>
      </c>
      <c r="J653" s="431"/>
      <c r="K653" s="431"/>
      <c r="L653" s="431"/>
      <c r="M653" s="433"/>
      <c r="N653" s="434" t="s">
        <v>1522</v>
      </c>
      <c r="O653" s="1743" t="str">
        <f>VLOOKUP(B653,code_famille_scénario,2)&amp;VLOOKUP(C653,code_actif,2)&amp;", due "&amp;VLOOKUP(I653,code_event,2)&amp;", par "&amp;VLOOKUP(N653,code_acteur,2)</f>
        <v>Endommagement malveillant de système hôte de services systèmes communs, due à du vandalisme, par des vandales ou des terroristes agissant depuis l'intérieur (après intrusion)</v>
      </c>
      <c r="P653" s="435">
        <v>1</v>
      </c>
      <c r="Q653" s="1595" t="s">
        <v>1299</v>
      </c>
      <c r="R653" s="1595" t="s">
        <v>1873</v>
      </c>
      <c r="S653" s="1595" t="str">
        <f>Classif!C26</f>
        <v/>
      </c>
      <c r="T653" s="1595">
        <f t="shared" si="379"/>
        <v>2</v>
      </c>
      <c r="U653" s="1744" t="str">
        <f t="shared" si="380"/>
        <v/>
      </c>
      <c r="V653" s="1771">
        <v>1</v>
      </c>
      <c r="W653" s="1745">
        <f>MIN(S02A01,S02A02,S02A03,S02A05)</f>
        <v>1</v>
      </c>
      <c r="X653" s="1745">
        <f>S02A04</f>
        <v>1</v>
      </c>
      <c r="Y653" s="1771">
        <f>S08D01</f>
        <v>1</v>
      </c>
      <c r="Z653" s="1746">
        <v>0</v>
      </c>
      <c r="AA653" s="1747"/>
      <c r="AB653" s="1748"/>
      <c r="AC653" s="1748"/>
      <c r="AD653" s="1595" t="str">
        <f t="shared" si="393"/>
        <v/>
      </c>
      <c r="AE653" s="1595">
        <f t="shared" si="381"/>
        <v>2</v>
      </c>
      <c r="AF653" s="1595" t="str">
        <f t="shared" si="382"/>
        <v/>
      </c>
      <c r="AG653" s="1748"/>
      <c r="AH653" s="1749" t="str">
        <f t="shared" si="394"/>
        <v/>
      </c>
      <c r="AI653" s="1620"/>
      <c r="AJ653" s="1616" t="s">
        <v>1518</v>
      </c>
      <c r="AK653" s="1616" t="s">
        <v>6400</v>
      </c>
      <c r="AL653" s="1617" t="s">
        <v>1137</v>
      </c>
      <c r="AM653" s="247" t="str">
        <f t="shared" si="387"/>
        <v/>
      </c>
      <c r="AN653" s="247" t="str">
        <f t="shared" si="388"/>
        <v/>
      </c>
      <c r="AO653" s="247" t="str">
        <f t="shared" si="389"/>
        <v/>
      </c>
      <c r="AP653" s="247" t="str">
        <f t="shared" si="390"/>
        <v/>
      </c>
      <c r="AQ653" s="42">
        <f t="shared" si="383"/>
        <v>1</v>
      </c>
      <c r="AR653" s="42">
        <f t="shared" si="384"/>
        <v>1</v>
      </c>
      <c r="AS653" s="42">
        <f t="shared" si="385"/>
        <v>1</v>
      </c>
      <c r="AT653" s="42">
        <f t="shared" si="386"/>
        <v>1</v>
      </c>
      <c r="AU653" s="247" t="str">
        <f t="shared" si="391"/>
        <v/>
      </c>
      <c r="AV653" s="247" t="str">
        <f t="shared" si="392"/>
        <v/>
      </c>
    </row>
    <row r="654" spans="1:48" ht="24" x14ac:dyDescent="0.2">
      <c r="A654" s="428" t="s">
        <v>399</v>
      </c>
      <c r="B654" s="429" t="s">
        <v>2870</v>
      </c>
      <c r="C654" s="430" t="s">
        <v>3313</v>
      </c>
      <c r="D654" s="1349" t="s">
        <v>1873</v>
      </c>
      <c r="E654" s="1350" t="s">
        <v>5213</v>
      </c>
      <c r="F654" s="1350" t="s">
        <v>1875</v>
      </c>
      <c r="G654" s="1351" t="s">
        <v>5439</v>
      </c>
      <c r="H654" s="1342" t="s">
        <v>1329</v>
      </c>
      <c r="I654" s="432" t="s">
        <v>1551</v>
      </c>
      <c r="J654" s="431"/>
      <c r="K654" s="431"/>
      <c r="L654" s="431"/>
      <c r="M654" s="433"/>
      <c r="N654" s="434" t="s">
        <v>1521</v>
      </c>
      <c r="O654" s="1743" t="str">
        <f>VLOOKUP(B654,code_famille_scénario,2)&amp;VLOOKUP(C654,code_actif,2)&amp;", due "&amp;VLOOKUP(I654,code_event,2)&amp;", par "&amp;VLOOKUP(N654,code_acteur,2)</f>
        <v>Destruction malveillante de système hôte de services systèmes communs, due à un acte terroriste, par des vandales ou des terroristes agissant depuis l'extérieur</v>
      </c>
      <c r="P654" s="435">
        <v>1</v>
      </c>
      <c r="Q654" s="1595" t="s">
        <v>1299</v>
      </c>
      <c r="R654" s="1595" t="s">
        <v>1873</v>
      </c>
      <c r="S654" s="1595" t="str">
        <f>Classif!C26</f>
        <v/>
      </c>
      <c r="T654" s="1595">
        <f t="shared" si="379"/>
        <v>2</v>
      </c>
      <c r="U654" s="1744" t="str">
        <f t="shared" si="380"/>
        <v/>
      </c>
      <c r="V654" s="1771">
        <v>1</v>
      </c>
      <c r="W654" s="1771">
        <v>1</v>
      </c>
      <c r="X654" s="1771">
        <v>1</v>
      </c>
      <c r="Y654" s="1771">
        <f>MIN(S08D06,S09E02)</f>
        <v>1</v>
      </c>
      <c r="Z654" s="1746">
        <v>0</v>
      </c>
      <c r="AA654" s="1747"/>
      <c r="AB654" s="1748"/>
      <c r="AC654" s="1748"/>
      <c r="AD654" s="1595" t="str">
        <f t="shared" si="393"/>
        <v/>
      </c>
      <c r="AE654" s="1595">
        <f t="shared" si="381"/>
        <v>2</v>
      </c>
      <c r="AF654" s="1595" t="str">
        <f t="shared" si="382"/>
        <v/>
      </c>
      <c r="AG654" s="1748"/>
      <c r="AH654" s="1749" t="str">
        <f t="shared" si="394"/>
        <v/>
      </c>
      <c r="AI654" s="1620"/>
      <c r="AJ654" s="1616"/>
      <c r="AK654" s="1616"/>
      <c r="AL654" s="1617" t="s">
        <v>5144</v>
      </c>
      <c r="AM654" s="247" t="str">
        <f t="shared" si="387"/>
        <v/>
      </c>
      <c r="AN654" s="247" t="str">
        <f t="shared" si="388"/>
        <v/>
      </c>
      <c r="AO654" s="247" t="str">
        <f t="shared" si="389"/>
        <v/>
      </c>
      <c r="AP654" s="247" t="str">
        <f t="shared" si="390"/>
        <v/>
      </c>
      <c r="AQ654" s="42">
        <f t="shared" si="383"/>
        <v>1</v>
      </c>
      <c r="AR654" s="42">
        <f t="shared" si="384"/>
        <v>1</v>
      </c>
      <c r="AS654" s="42">
        <f t="shared" si="385"/>
        <v>1</v>
      </c>
      <c r="AT654" s="42">
        <f t="shared" si="386"/>
        <v>1</v>
      </c>
      <c r="AU654" s="247" t="str">
        <f t="shared" si="391"/>
        <v/>
      </c>
      <c r="AV654" s="247" t="str">
        <f t="shared" si="392"/>
        <v/>
      </c>
    </row>
    <row r="655" spans="1:48" ht="24" x14ac:dyDescent="0.2">
      <c r="A655" s="428" t="s">
        <v>400</v>
      </c>
      <c r="B655" s="429" t="s">
        <v>4213</v>
      </c>
      <c r="C655" s="430" t="s">
        <v>3313</v>
      </c>
      <c r="D655" s="1349" t="s">
        <v>1873</v>
      </c>
      <c r="E655" s="1350" t="s">
        <v>5213</v>
      </c>
      <c r="F655" s="1350" t="s">
        <v>1503</v>
      </c>
      <c r="G655" s="1351" t="s">
        <v>5440</v>
      </c>
      <c r="H655" s="1342" t="s">
        <v>1474</v>
      </c>
      <c r="I655" s="432" t="s">
        <v>5635</v>
      </c>
      <c r="J655" s="431"/>
      <c r="K655" s="431"/>
      <c r="L655" s="431"/>
      <c r="M655" s="433"/>
      <c r="N655" s="434"/>
      <c r="O655" s="1743" t="str">
        <f t="shared" ref="O655:O664" si="395">VLOOKUP(B655,code_famille_scénario,2)&amp;VLOOKUP(C655,code_actif,2)&amp;", dû "&amp;VLOOKUP(I655,code_event,2)</f>
        <v>Arret de fonctionnement de services systèmes communs, dû à une incapacité de la maintenance système (panne non réparable ou défaillance du partenaire)</v>
      </c>
      <c r="P655" s="435">
        <v>1</v>
      </c>
      <c r="Q655" s="1595" t="s">
        <v>1431</v>
      </c>
      <c r="R655" s="1595" t="s">
        <v>1873</v>
      </c>
      <c r="S655" s="1595" t="str">
        <f>Classif!C26</f>
        <v/>
      </c>
      <c r="T655" s="1595">
        <f t="shared" si="379"/>
        <v>2</v>
      </c>
      <c r="U655" s="1744" t="str">
        <f t="shared" si="380"/>
        <v/>
      </c>
      <c r="V655" s="1771">
        <v>1</v>
      </c>
      <c r="W655" s="1771">
        <v>1</v>
      </c>
      <c r="X655" s="1771">
        <v>1</v>
      </c>
      <c r="Y655" s="1771">
        <f>S08D08</f>
        <v>1</v>
      </c>
      <c r="Z655" s="1746">
        <v>0</v>
      </c>
      <c r="AA655" s="1747"/>
      <c r="AB655" s="1748"/>
      <c r="AC655" s="1748"/>
      <c r="AD655" s="1595" t="str">
        <f t="shared" si="393"/>
        <v/>
      </c>
      <c r="AE655" s="1595">
        <f t="shared" si="381"/>
        <v>2</v>
      </c>
      <c r="AF655" s="1595" t="str">
        <f t="shared" si="382"/>
        <v/>
      </c>
      <c r="AG655" s="1748"/>
      <c r="AH655" s="1749" t="str">
        <f t="shared" si="394"/>
        <v/>
      </c>
      <c r="AI655" s="1615"/>
      <c r="AJ655" s="1616"/>
      <c r="AK655" s="1616"/>
      <c r="AL655" s="1617" t="s">
        <v>1994</v>
      </c>
      <c r="AM655" s="247" t="str">
        <f t="shared" si="387"/>
        <v/>
      </c>
      <c r="AN655" s="247" t="str">
        <f t="shared" si="388"/>
        <v/>
      </c>
      <c r="AO655" s="247" t="str">
        <f t="shared" si="389"/>
        <v/>
      </c>
      <c r="AP655" s="247" t="str">
        <f t="shared" si="390"/>
        <v/>
      </c>
      <c r="AQ655" s="42">
        <f t="shared" si="383"/>
        <v>1</v>
      </c>
      <c r="AR655" s="42">
        <f t="shared" si="384"/>
        <v>1</v>
      </c>
      <c r="AS655" s="42">
        <f t="shared" si="385"/>
        <v>1</v>
      </c>
      <c r="AT655" s="42">
        <f t="shared" si="386"/>
        <v>1</v>
      </c>
      <c r="AU655" s="247" t="str">
        <f t="shared" si="391"/>
        <v/>
      </c>
      <c r="AV655" s="247" t="str">
        <f t="shared" si="392"/>
        <v/>
      </c>
    </row>
    <row r="656" spans="1:48" ht="24" x14ac:dyDescent="0.2">
      <c r="A656" s="428" t="s">
        <v>401</v>
      </c>
      <c r="B656" s="429" t="s">
        <v>4213</v>
      </c>
      <c r="C656" s="430" t="s">
        <v>3313</v>
      </c>
      <c r="D656" s="1349" t="s">
        <v>1873</v>
      </c>
      <c r="E656" s="1350" t="s">
        <v>2534</v>
      </c>
      <c r="F656" s="1350" t="s">
        <v>1602</v>
      </c>
      <c r="G656" s="1351" t="s">
        <v>5440</v>
      </c>
      <c r="H656" s="1342" t="s">
        <v>1474</v>
      </c>
      <c r="I656" s="432" t="s">
        <v>5633</v>
      </c>
      <c r="J656" s="431"/>
      <c r="K656" s="431"/>
      <c r="L656" s="431"/>
      <c r="M656" s="433" t="s">
        <v>1880</v>
      </c>
      <c r="N656" s="434"/>
      <c r="O656" s="1743" t="str">
        <f t="shared" si="395"/>
        <v>Arret de fonctionnement de services systèmes communs, dû à une incapacité de la maintenance applicative (panne non réparable ou défaillance du partenaire)</v>
      </c>
      <c r="P656" s="435">
        <v>1</v>
      </c>
      <c r="Q656" s="1595" t="s">
        <v>1431</v>
      </c>
      <c r="R656" s="1595" t="s">
        <v>1873</v>
      </c>
      <c r="S656" s="1595" t="str">
        <f>Classif!C26</f>
        <v/>
      </c>
      <c r="T656" s="1595">
        <f t="shared" si="379"/>
        <v>3</v>
      </c>
      <c r="U656" s="1744" t="str">
        <f t="shared" si="380"/>
        <v/>
      </c>
      <c r="V656" s="1771">
        <v>1</v>
      </c>
      <c r="W656" s="1771">
        <v>1</v>
      </c>
      <c r="X656" s="1771">
        <v>1</v>
      </c>
      <c r="Y656" s="1771">
        <f>S09E03</f>
        <v>1</v>
      </c>
      <c r="Z656" s="1746">
        <v>0</v>
      </c>
      <c r="AA656" s="1747"/>
      <c r="AB656" s="1748"/>
      <c r="AC656" s="1748"/>
      <c r="AD656" s="1595" t="str">
        <f t="shared" si="393"/>
        <v/>
      </c>
      <c r="AE656" s="1595">
        <f t="shared" si="381"/>
        <v>3</v>
      </c>
      <c r="AF656" s="1595" t="str">
        <f t="shared" si="382"/>
        <v/>
      </c>
      <c r="AG656" s="1748"/>
      <c r="AH656" s="1749" t="str">
        <f t="shared" si="394"/>
        <v/>
      </c>
      <c r="AI656" s="1620"/>
      <c r="AJ656" s="1616"/>
      <c r="AK656" s="1616"/>
      <c r="AL656" s="1617" t="s">
        <v>3213</v>
      </c>
      <c r="AM656" s="247" t="str">
        <f t="shared" si="387"/>
        <v/>
      </c>
      <c r="AN656" s="247" t="str">
        <f t="shared" si="388"/>
        <v/>
      </c>
      <c r="AO656" s="247" t="str">
        <f t="shared" si="389"/>
        <v/>
      </c>
      <c r="AP656" s="247" t="str">
        <f t="shared" si="390"/>
        <v/>
      </c>
      <c r="AQ656" s="42">
        <f t="shared" si="383"/>
        <v>1</v>
      </c>
      <c r="AR656" s="42">
        <f t="shared" si="384"/>
        <v>1</v>
      </c>
      <c r="AS656" s="42">
        <f t="shared" si="385"/>
        <v>1</v>
      </c>
      <c r="AT656" s="42">
        <f t="shared" si="386"/>
        <v>1</v>
      </c>
      <c r="AU656" s="247" t="str">
        <f t="shared" si="391"/>
        <v/>
      </c>
      <c r="AV656" s="247" t="str">
        <f t="shared" si="392"/>
        <v/>
      </c>
    </row>
    <row r="657" spans="1:48" ht="24" x14ac:dyDescent="0.2">
      <c r="A657" s="428" t="s">
        <v>402</v>
      </c>
      <c r="B657" s="429" t="s">
        <v>4213</v>
      </c>
      <c r="C657" s="430" t="s">
        <v>3313</v>
      </c>
      <c r="D657" s="1349" t="s">
        <v>1873</v>
      </c>
      <c r="E657" s="1350" t="s">
        <v>5213</v>
      </c>
      <c r="F657" s="1350" t="s">
        <v>1503</v>
      </c>
      <c r="G657" s="1351" t="s">
        <v>6064</v>
      </c>
      <c r="H657" s="1342" t="s">
        <v>5964</v>
      </c>
      <c r="I657" s="432" t="s">
        <v>1544</v>
      </c>
      <c r="J657" s="431"/>
      <c r="K657" s="431"/>
      <c r="L657" s="431"/>
      <c r="M657" s="433"/>
      <c r="N657" s="434"/>
      <c r="O657" s="1743" t="str">
        <f t="shared" si="395"/>
        <v>Arret de fonctionnement de services systèmes communs, dû à un conflit social avec le personnel d'exploitation</v>
      </c>
      <c r="P657" s="435">
        <v>1</v>
      </c>
      <c r="Q657" s="1595" t="s">
        <v>5685</v>
      </c>
      <c r="R657" s="1595" t="s">
        <v>1873</v>
      </c>
      <c r="S657" s="1595" t="str">
        <f>Classif!C26</f>
        <v/>
      </c>
      <c r="T657" s="1595">
        <f t="shared" si="379"/>
        <v>2</v>
      </c>
      <c r="U657" s="1744" t="str">
        <f t="shared" si="380"/>
        <v/>
      </c>
      <c r="V657" s="1771">
        <v>1</v>
      </c>
      <c r="W657" s="1771">
        <v>1</v>
      </c>
      <c r="X657" s="1771">
        <v>1</v>
      </c>
      <c r="Y657" s="1771">
        <f>MIN(S01E01,S01E02)</f>
        <v>1</v>
      </c>
      <c r="Z657" s="1746">
        <v>0</v>
      </c>
      <c r="AA657" s="1747"/>
      <c r="AB657" s="1748"/>
      <c r="AC657" s="1748"/>
      <c r="AD657" s="1595" t="str">
        <f t="shared" si="393"/>
        <v/>
      </c>
      <c r="AE657" s="1595">
        <f t="shared" si="381"/>
        <v>2</v>
      </c>
      <c r="AF657" s="1595" t="str">
        <f t="shared" si="382"/>
        <v/>
      </c>
      <c r="AG657" s="1748"/>
      <c r="AH657" s="1749" t="str">
        <f t="shared" si="394"/>
        <v/>
      </c>
      <c r="AI657" s="1620"/>
      <c r="AJ657" s="1616"/>
      <c r="AK657" s="1616"/>
      <c r="AL657" s="1617" t="s">
        <v>1519</v>
      </c>
      <c r="AM657" s="247" t="str">
        <f t="shared" si="387"/>
        <v/>
      </c>
      <c r="AN657" s="247" t="str">
        <f t="shared" si="388"/>
        <v/>
      </c>
      <c r="AO657" s="247" t="str">
        <f t="shared" si="389"/>
        <v/>
      </c>
      <c r="AP657" s="247" t="str">
        <f t="shared" si="390"/>
        <v/>
      </c>
      <c r="AQ657" s="42">
        <f t="shared" si="383"/>
        <v>1</v>
      </c>
      <c r="AR657" s="42">
        <f t="shared" si="384"/>
        <v>1</v>
      </c>
      <c r="AS657" s="42">
        <f t="shared" si="385"/>
        <v>1</v>
      </c>
      <c r="AT657" s="42">
        <f t="shared" si="386"/>
        <v>1</v>
      </c>
      <c r="AU657" s="247" t="str">
        <f t="shared" si="391"/>
        <v/>
      </c>
      <c r="AV657" s="247" t="str">
        <f t="shared" si="392"/>
        <v/>
      </c>
    </row>
    <row r="658" spans="1:48" ht="24" x14ac:dyDescent="0.2">
      <c r="A658" s="428" t="s">
        <v>403</v>
      </c>
      <c r="B658" s="429" t="s">
        <v>4213</v>
      </c>
      <c r="C658" s="430" t="s">
        <v>3313</v>
      </c>
      <c r="D658" s="1349" t="s">
        <v>1873</v>
      </c>
      <c r="E658" s="1350" t="s">
        <v>5213</v>
      </c>
      <c r="F658" s="1350" t="s">
        <v>1503</v>
      </c>
      <c r="G658" s="1351" t="s">
        <v>6064</v>
      </c>
      <c r="H658" s="1342" t="s">
        <v>5275</v>
      </c>
      <c r="I658" s="432" t="s">
        <v>4814</v>
      </c>
      <c r="J658" s="431"/>
      <c r="K658" s="431"/>
      <c r="L658" s="431"/>
      <c r="M658" s="433"/>
      <c r="N658" s="434"/>
      <c r="O658" s="1743" t="str">
        <f t="shared" si="395"/>
        <v xml:space="preserve">Arret de fonctionnement de services systèmes communs, dû à une absence durable du personnel (interne) nécessaire </v>
      </c>
      <c r="P658" s="435">
        <v>1</v>
      </c>
      <c r="Q658" s="1595" t="s">
        <v>1431</v>
      </c>
      <c r="R658" s="1595" t="s">
        <v>1873</v>
      </c>
      <c r="S658" s="1595" t="str">
        <f>Classif!C26</f>
        <v/>
      </c>
      <c r="T658" s="1595">
        <f t="shared" si="379"/>
        <v>2</v>
      </c>
      <c r="U658" s="1744" t="str">
        <f t="shared" si="380"/>
        <v/>
      </c>
      <c r="V658" s="1771">
        <v>1</v>
      </c>
      <c r="W658" s="1771">
        <v>1</v>
      </c>
      <c r="X658" s="1771">
        <v>1</v>
      </c>
      <c r="Y658" s="1771">
        <f>S01C02</f>
        <v>1</v>
      </c>
      <c r="Z658" s="1746">
        <v>0</v>
      </c>
      <c r="AA658" s="1747"/>
      <c r="AB658" s="1748"/>
      <c r="AC658" s="1748"/>
      <c r="AD658" s="1595" t="str">
        <f t="shared" si="393"/>
        <v/>
      </c>
      <c r="AE658" s="1595">
        <f t="shared" si="381"/>
        <v>2</v>
      </c>
      <c r="AF658" s="1595" t="str">
        <f t="shared" si="382"/>
        <v/>
      </c>
      <c r="AG658" s="1748"/>
      <c r="AH658" s="1749" t="str">
        <f t="shared" si="394"/>
        <v/>
      </c>
      <c r="AI658" s="1615"/>
      <c r="AJ658" s="1621"/>
      <c r="AK658" s="1618"/>
      <c r="AL658" s="1619" t="s">
        <v>2536</v>
      </c>
      <c r="AM658" s="247" t="str">
        <f t="shared" si="387"/>
        <v/>
      </c>
      <c r="AN658" s="247" t="str">
        <f t="shared" si="388"/>
        <v/>
      </c>
      <c r="AO658" s="247" t="str">
        <f t="shared" si="389"/>
        <v/>
      </c>
      <c r="AP658" s="247" t="str">
        <f t="shared" si="390"/>
        <v/>
      </c>
      <c r="AQ658" s="42">
        <f t="shared" si="383"/>
        <v>1</v>
      </c>
      <c r="AR658" s="42">
        <f t="shared" si="384"/>
        <v>1</v>
      </c>
      <c r="AS658" s="42">
        <f t="shared" si="385"/>
        <v>1</v>
      </c>
      <c r="AT658" s="42">
        <f t="shared" si="386"/>
        <v>1</v>
      </c>
      <c r="AU658" s="247" t="str">
        <f t="shared" si="391"/>
        <v/>
      </c>
      <c r="AV658" s="247" t="str">
        <f t="shared" si="392"/>
        <v/>
      </c>
    </row>
    <row r="659" spans="1:48" ht="24" x14ac:dyDescent="0.2">
      <c r="A659" s="428" t="s">
        <v>404</v>
      </c>
      <c r="B659" s="429" t="s">
        <v>4213</v>
      </c>
      <c r="C659" s="430" t="s">
        <v>3313</v>
      </c>
      <c r="D659" s="1349" t="s">
        <v>1873</v>
      </c>
      <c r="E659" s="1350" t="s">
        <v>5213</v>
      </c>
      <c r="F659" s="1350" t="s">
        <v>1503</v>
      </c>
      <c r="G659" s="1351" t="s">
        <v>6064</v>
      </c>
      <c r="H659" s="1342" t="s">
        <v>5275</v>
      </c>
      <c r="I659" s="432" t="s">
        <v>3718</v>
      </c>
      <c r="J659" s="431"/>
      <c r="K659" s="431"/>
      <c r="L659" s="431"/>
      <c r="M659" s="433"/>
      <c r="N659" s="434"/>
      <c r="O659" s="1743" t="str">
        <f t="shared" si="395"/>
        <v xml:space="preserve">Arret de fonctionnement de services systèmes communs, dû à une absence durable du personnel d'un prestataire </v>
      </c>
      <c r="P659" s="435">
        <v>1</v>
      </c>
      <c r="Q659" s="1595" t="s">
        <v>1431</v>
      </c>
      <c r="R659" s="1595" t="s">
        <v>1873</v>
      </c>
      <c r="S659" s="1595" t="str">
        <f>Classif!C26</f>
        <v/>
      </c>
      <c r="T659" s="1595">
        <f t="shared" si="379"/>
        <v>3</v>
      </c>
      <c r="U659" s="1744" t="str">
        <f t="shared" si="380"/>
        <v/>
      </c>
      <c r="V659" s="1771">
        <v>1</v>
      </c>
      <c r="W659" s="1771">
        <v>1</v>
      </c>
      <c r="X659" s="1771">
        <v>1</v>
      </c>
      <c r="Y659" s="1771">
        <f>S01C02</f>
        <v>1</v>
      </c>
      <c r="Z659" s="1746">
        <v>0</v>
      </c>
      <c r="AA659" s="1747"/>
      <c r="AB659" s="1748"/>
      <c r="AC659" s="1748"/>
      <c r="AD659" s="1595" t="str">
        <f t="shared" si="393"/>
        <v/>
      </c>
      <c r="AE659" s="1595">
        <f t="shared" si="381"/>
        <v>3</v>
      </c>
      <c r="AF659" s="1595" t="str">
        <f t="shared" si="382"/>
        <v/>
      </c>
      <c r="AG659" s="1748"/>
      <c r="AH659" s="1749" t="str">
        <f t="shared" si="394"/>
        <v/>
      </c>
      <c r="AI659" s="1615"/>
      <c r="AJ659" s="1621"/>
      <c r="AK659" s="1618"/>
      <c r="AL659" s="1619" t="s">
        <v>2536</v>
      </c>
      <c r="AM659" s="247" t="str">
        <f t="shared" si="387"/>
        <v/>
      </c>
      <c r="AN659" s="247" t="str">
        <f t="shared" si="388"/>
        <v/>
      </c>
      <c r="AO659" s="247" t="str">
        <f t="shared" si="389"/>
        <v/>
      </c>
      <c r="AP659" s="247" t="str">
        <f t="shared" si="390"/>
        <v/>
      </c>
      <c r="AQ659" s="42">
        <f t="shared" si="383"/>
        <v>1</v>
      </c>
      <c r="AR659" s="42">
        <f t="shared" si="384"/>
        <v>1</v>
      </c>
      <c r="AS659" s="42">
        <f t="shared" si="385"/>
        <v>1</v>
      </c>
      <c r="AT659" s="42">
        <f t="shared" si="386"/>
        <v>1</v>
      </c>
      <c r="AU659" s="247" t="str">
        <f t="shared" si="391"/>
        <v/>
      </c>
      <c r="AV659" s="247" t="str">
        <f t="shared" si="392"/>
        <v/>
      </c>
    </row>
    <row r="660" spans="1:48" ht="24" x14ac:dyDescent="0.2">
      <c r="A660" s="428" t="s">
        <v>405</v>
      </c>
      <c r="B660" s="463" t="s">
        <v>4220</v>
      </c>
      <c r="C660" s="430" t="s">
        <v>3313</v>
      </c>
      <c r="D660" s="1349" t="s">
        <v>1873</v>
      </c>
      <c r="E660" s="1350" t="s">
        <v>2534</v>
      </c>
      <c r="F660" s="1350" t="s">
        <v>1602</v>
      </c>
      <c r="G660" s="1362" t="s">
        <v>6067</v>
      </c>
      <c r="H660" s="1342" t="s">
        <v>1465</v>
      </c>
      <c r="I660" s="432" t="s">
        <v>4217</v>
      </c>
      <c r="J660" s="431"/>
      <c r="K660" s="431"/>
      <c r="L660" s="431"/>
      <c r="M660" s="433" t="s">
        <v>1880</v>
      </c>
      <c r="N660" s="434"/>
      <c r="O660" s="1743" t="str">
        <f t="shared" si="395"/>
        <v>Blocage de services systèmes communs, dû à un bug bloquant dans un logiciel système ou un progiciel</v>
      </c>
      <c r="P660" s="435">
        <v>1</v>
      </c>
      <c r="Q660" s="1595" t="s">
        <v>6403</v>
      </c>
      <c r="R660" s="1595" t="s">
        <v>1873</v>
      </c>
      <c r="S660" s="1595" t="str">
        <f>Classif!C26</f>
        <v/>
      </c>
      <c r="T660" s="1595">
        <f t="shared" si="379"/>
        <v>2</v>
      </c>
      <c r="U660" s="1744" t="str">
        <f t="shared" si="380"/>
        <v/>
      </c>
      <c r="V660" s="1771">
        <v>1</v>
      </c>
      <c r="W660" s="1771">
        <f>S08A03</f>
        <v>1</v>
      </c>
      <c r="X660" s="1771">
        <v>1</v>
      </c>
      <c r="Y660" s="1771">
        <f>S08D02</f>
        <v>1</v>
      </c>
      <c r="Z660" s="1746">
        <v>0</v>
      </c>
      <c r="AA660" s="1747"/>
      <c r="AB660" s="1748"/>
      <c r="AC660" s="1748"/>
      <c r="AD660" s="1595" t="str">
        <f t="shared" si="393"/>
        <v/>
      </c>
      <c r="AE660" s="1595">
        <f t="shared" si="381"/>
        <v>2</v>
      </c>
      <c r="AF660" s="1595" t="str">
        <f t="shared" si="382"/>
        <v/>
      </c>
      <c r="AG660" s="1748"/>
      <c r="AH660" s="1749" t="str">
        <f t="shared" si="394"/>
        <v/>
      </c>
      <c r="AI660" s="1620"/>
      <c r="AJ660" s="1616" t="s">
        <v>4324</v>
      </c>
      <c r="AK660" s="1616"/>
      <c r="AL660" s="1617" t="s">
        <v>1662</v>
      </c>
      <c r="AM660" s="247" t="str">
        <f t="shared" si="387"/>
        <v/>
      </c>
      <c r="AN660" s="247" t="str">
        <f t="shared" si="388"/>
        <v/>
      </c>
      <c r="AO660" s="247" t="str">
        <f t="shared" si="389"/>
        <v/>
      </c>
      <c r="AP660" s="247" t="str">
        <f t="shared" si="390"/>
        <v/>
      </c>
      <c r="AQ660" s="42">
        <f t="shared" si="383"/>
        <v>1</v>
      </c>
      <c r="AR660" s="42">
        <f t="shared" si="384"/>
        <v>1</v>
      </c>
      <c r="AS660" s="42">
        <f t="shared" si="385"/>
        <v>1</v>
      </c>
      <c r="AT660" s="42">
        <f t="shared" si="386"/>
        <v>1</v>
      </c>
      <c r="AU660" s="247" t="str">
        <f t="shared" si="391"/>
        <v/>
      </c>
      <c r="AV660" s="247" t="str">
        <f t="shared" si="392"/>
        <v/>
      </c>
    </row>
    <row r="661" spans="1:48" ht="24" x14ac:dyDescent="0.2">
      <c r="A661" s="428" t="s">
        <v>406</v>
      </c>
      <c r="B661" s="463" t="s">
        <v>4220</v>
      </c>
      <c r="C661" s="430" t="s">
        <v>3313</v>
      </c>
      <c r="D661" s="1349" t="s">
        <v>1873</v>
      </c>
      <c r="E661" s="1350" t="s">
        <v>2534</v>
      </c>
      <c r="F661" s="1350" t="s">
        <v>1602</v>
      </c>
      <c r="G661" s="1362" t="s">
        <v>6067</v>
      </c>
      <c r="H661" s="1342" t="s">
        <v>1326</v>
      </c>
      <c r="I661" s="432" t="s">
        <v>4216</v>
      </c>
      <c r="J661" s="431"/>
      <c r="K661" s="464"/>
      <c r="L661" s="431"/>
      <c r="M661" s="433" t="s">
        <v>1880</v>
      </c>
      <c r="N661" s="465"/>
      <c r="O661" s="1743" t="str">
        <f t="shared" si="395"/>
        <v>Blocage de services systèmes communs, dû à un bug bloquant dans un logiciel inerne</v>
      </c>
      <c r="P661" s="435">
        <v>1</v>
      </c>
      <c r="Q661" s="1595" t="s">
        <v>6403</v>
      </c>
      <c r="R661" s="1595" t="s">
        <v>1873</v>
      </c>
      <c r="S661" s="1595" t="str">
        <f>Classif!C26</f>
        <v/>
      </c>
      <c r="T661" s="1595">
        <f t="shared" si="379"/>
        <v>3</v>
      </c>
      <c r="U661" s="1744" t="str">
        <f t="shared" si="380"/>
        <v/>
      </c>
      <c r="V661" s="1771">
        <v>1</v>
      </c>
      <c r="W661" s="1771">
        <f>S08A03</f>
        <v>1</v>
      </c>
      <c r="X661" s="1771">
        <v>1</v>
      </c>
      <c r="Y661" s="1771">
        <f>S10A04</f>
        <v>1</v>
      </c>
      <c r="Z661" s="1746">
        <v>0</v>
      </c>
      <c r="AA661" s="1747"/>
      <c r="AB661" s="1748"/>
      <c r="AC661" s="1748"/>
      <c r="AD661" s="1595" t="str">
        <f t="shared" si="393"/>
        <v/>
      </c>
      <c r="AE661" s="1595">
        <f t="shared" si="381"/>
        <v>3</v>
      </c>
      <c r="AF661" s="1595" t="str">
        <f t="shared" si="382"/>
        <v/>
      </c>
      <c r="AG661" s="1748"/>
      <c r="AH661" s="1749" t="str">
        <f t="shared" si="394"/>
        <v/>
      </c>
      <c r="AI661" s="1620"/>
      <c r="AJ661" s="1616" t="s">
        <v>4324</v>
      </c>
      <c r="AK661" s="1616"/>
      <c r="AL661" s="1617" t="s">
        <v>1202</v>
      </c>
      <c r="AM661" s="247" t="str">
        <f t="shared" si="387"/>
        <v/>
      </c>
      <c r="AN661" s="247" t="str">
        <f t="shared" si="388"/>
        <v/>
      </c>
      <c r="AO661" s="247" t="str">
        <f t="shared" si="389"/>
        <v/>
      </c>
      <c r="AP661" s="247" t="str">
        <f t="shared" si="390"/>
        <v/>
      </c>
      <c r="AQ661" s="42">
        <f t="shared" si="383"/>
        <v>1</v>
      </c>
      <c r="AR661" s="42">
        <f t="shared" si="384"/>
        <v>1</v>
      </c>
      <c r="AS661" s="42">
        <f t="shared" si="385"/>
        <v>1</v>
      </c>
      <c r="AT661" s="42">
        <f t="shared" si="386"/>
        <v>1</v>
      </c>
      <c r="AU661" s="247" t="str">
        <f t="shared" si="391"/>
        <v/>
      </c>
      <c r="AV661" s="247" t="str">
        <f t="shared" si="392"/>
        <v/>
      </c>
    </row>
    <row r="662" spans="1:48" x14ac:dyDescent="0.2">
      <c r="A662" s="428" t="s">
        <v>407</v>
      </c>
      <c r="B662" s="463" t="s">
        <v>4220</v>
      </c>
      <c r="C662" s="430" t="s">
        <v>3313</v>
      </c>
      <c r="D662" s="1349" t="s">
        <v>1873</v>
      </c>
      <c r="E662" s="1350" t="s">
        <v>2534</v>
      </c>
      <c r="F662" s="1350" t="s">
        <v>1602</v>
      </c>
      <c r="G662" s="1362" t="s">
        <v>6067</v>
      </c>
      <c r="H662" s="1342" t="s">
        <v>1465</v>
      </c>
      <c r="I662" s="432" t="s">
        <v>1880</v>
      </c>
      <c r="J662" s="431"/>
      <c r="K662" s="464"/>
      <c r="L662" s="431"/>
      <c r="M662" s="433" t="s">
        <v>1880</v>
      </c>
      <c r="N662" s="465"/>
      <c r="O662" s="1743" t="str">
        <f t="shared" si="395"/>
        <v>Blocage de services systèmes communs, dû à un incident d'exploitation</v>
      </c>
      <c r="P662" s="435">
        <v>1</v>
      </c>
      <c r="Q662" s="1595" t="s">
        <v>6403</v>
      </c>
      <c r="R662" s="1595" t="s">
        <v>1873</v>
      </c>
      <c r="S662" s="1595" t="str">
        <f>Classif!C26</f>
        <v/>
      </c>
      <c r="T662" s="1595">
        <f t="shared" si="379"/>
        <v>3</v>
      </c>
      <c r="U662" s="1744" t="str">
        <f t="shared" si="380"/>
        <v/>
      </c>
      <c r="V662" s="1771">
        <v>1</v>
      </c>
      <c r="W662" s="1771">
        <f>S07D01</f>
        <v>1</v>
      </c>
      <c r="X662" s="1771">
        <f>S08E01</f>
        <v>1</v>
      </c>
      <c r="Y662" s="1771">
        <f>S08D03</f>
        <v>1</v>
      </c>
      <c r="Z662" s="1746">
        <v>0</v>
      </c>
      <c r="AA662" s="1747"/>
      <c r="AB662" s="1748"/>
      <c r="AC662" s="1748"/>
      <c r="AD662" s="1595" t="str">
        <f t="shared" si="393"/>
        <v/>
      </c>
      <c r="AE662" s="1595">
        <f t="shared" si="381"/>
        <v>3</v>
      </c>
      <c r="AF662" s="1595" t="str">
        <f t="shared" si="382"/>
        <v/>
      </c>
      <c r="AG662" s="1748"/>
      <c r="AH662" s="1749" t="str">
        <f t="shared" si="394"/>
        <v/>
      </c>
      <c r="AI662" s="1620"/>
      <c r="AJ662" s="1616" t="s">
        <v>4980</v>
      </c>
      <c r="AK662" s="1616" t="s">
        <v>2800</v>
      </c>
      <c r="AL662" s="1617" t="s">
        <v>1663</v>
      </c>
      <c r="AM662" s="247" t="str">
        <f t="shared" si="387"/>
        <v/>
      </c>
      <c r="AN662" s="247" t="str">
        <f t="shared" si="388"/>
        <v/>
      </c>
      <c r="AO662" s="247" t="str">
        <f t="shared" si="389"/>
        <v/>
      </c>
      <c r="AP662" s="247" t="str">
        <f t="shared" si="390"/>
        <v/>
      </c>
      <c r="AQ662" s="42">
        <f t="shared" si="383"/>
        <v>1</v>
      </c>
      <c r="AR662" s="42">
        <f t="shared" si="384"/>
        <v>1</v>
      </c>
      <c r="AS662" s="42">
        <f t="shared" si="385"/>
        <v>1</v>
      </c>
      <c r="AT662" s="42">
        <f t="shared" si="386"/>
        <v>1</v>
      </c>
      <c r="AU662" s="247" t="str">
        <f t="shared" si="391"/>
        <v/>
      </c>
      <c r="AV662" s="247" t="str">
        <f t="shared" si="392"/>
        <v/>
      </c>
    </row>
    <row r="663" spans="1:48" ht="24" x14ac:dyDescent="0.2">
      <c r="A663" s="428" t="s">
        <v>408</v>
      </c>
      <c r="B663" s="463" t="s">
        <v>4220</v>
      </c>
      <c r="C663" s="430" t="s">
        <v>3313</v>
      </c>
      <c r="D663" s="1349" t="s">
        <v>1873</v>
      </c>
      <c r="E663" s="1350" t="s">
        <v>2534</v>
      </c>
      <c r="F663" s="1350" t="s">
        <v>1602</v>
      </c>
      <c r="G663" s="1362" t="s">
        <v>6067</v>
      </c>
      <c r="H663" s="1342" t="s">
        <v>1328</v>
      </c>
      <c r="I663" s="432" t="s">
        <v>4221</v>
      </c>
      <c r="J663" s="431"/>
      <c r="K663" s="431"/>
      <c r="L663" s="431"/>
      <c r="M663" s="433" t="s">
        <v>1880</v>
      </c>
      <c r="N663" s="434"/>
      <c r="O663" s="1743" t="str">
        <f t="shared" si="395"/>
        <v>Blocage de services systèmes communs, dû à une saturation malveillante d'équipements informatiques ou réseaux</v>
      </c>
      <c r="P663" s="435">
        <v>1</v>
      </c>
      <c r="Q663" s="1595" t="s">
        <v>1299</v>
      </c>
      <c r="R663" s="1595" t="s">
        <v>1873</v>
      </c>
      <c r="S663" s="1595" t="str">
        <f>Classif!C26</f>
        <v/>
      </c>
      <c r="T663" s="1595">
        <f t="shared" si="379"/>
        <v>3</v>
      </c>
      <c r="U663" s="1744" t="str">
        <f t="shared" si="380"/>
        <v/>
      </c>
      <c r="V663" s="1771">
        <f>MIN(S07C01,S07C02)</f>
        <v>1</v>
      </c>
      <c r="W663" s="1771">
        <f>S08E01</f>
        <v>1</v>
      </c>
      <c r="X663" s="1771">
        <f>MIN(S08E02,S08E03)</f>
        <v>1</v>
      </c>
      <c r="Y663" s="1771">
        <v>1</v>
      </c>
      <c r="Z663" s="1746">
        <v>0</v>
      </c>
      <c r="AA663" s="1747"/>
      <c r="AB663" s="1748"/>
      <c r="AC663" s="1748"/>
      <c r="AD663" s="1595" t="str">
        <f t="shared" si="393"/>
        <v/>
      </c>
      <c r="AE663" s="1595">
        <f t="shared" si="381"/>
        <v>3</v>
      </c>
      <c r="AF663" s="1595" t="str">
        <f t="shared" si="382"/>
        <v/>
      </c>
      <c r="AG663" s="1748"/>
      <c r="AH663" s="1749" t="str">
        <f t="shared" si="394"/>
        <v/>
      </c>
      <c r="AI663" s="1620" t="s">
        <v>6404</v>
      </c>
      <c r="AJ663" s="1616" t="s">
        <v>2800</v>
      </c>
      <c r="AK663" s="1616" t="s">
        <v>6405</v>
      </c>
      <c r="AL663" s="1617"/>
      <c r="AM663" s="247" t="str">
        <f t="shared" si="387"/>
        <v/>
      </c>
      <c r="AN663" s="247" t="str">
        <f t="shared" si="388"/>
        <v/>
      </c>
      <c r="AO663" s="247" t="str">
        <f t="shared" si="389"/>
        <v/>
      </c>
      <c r="AP663" s="247" t="str">
        <f t="shared" si="390"/>
        <v/>
      </c>
      <c r="AQ663" s="42">
        <f t="shared" si="383"/>
        <v>1</v>
      </c>
      <c r="AR663" s="42">
        <f t="shared" si="384"/>
        <v>1</v>
      </c>
      <c r="AS663" s="42">
        <f t="shared" si="385"/>
        <v>1</v>
      </c>
      <c r="AT663" s="42">
        <f t="shared" si="386"/>
        <v>1</v>
      </c>
      <c r="AU663" s="247" t="str">
        <f t="shared" si="391"/>
        <v/>
      </c>
      <c r="AV663" s="247" t="str">
        <f t="shared" si="392"/>
        <v/>
      </c>
    </row>
    <row r="664" spans="1:48" ht="24" x14ac:dyDescent="0.2">
      <c r="A664" s="428" t="s">
        <v>409</v>
      </c>
      <c r="B664" s="463" t="s">
        <v>5950</v>
      </c>
      <c r="C664" s="430" t="s">
        <v>3313</v>
      </c>
      <c r="D664" s="1349" t="s">
        <v>1873</v>
      </c>
      <c r="E664" s="1350" t="s">
        <v>6680</v>
      </c>
      <c r="F664" s="1350" t="s">
        <v>1602</v>
      </c>
      <c r="G664" s="1362" t="s">
        <v>6077</v>
      </c>
      <c r="H664" s="1342" t="s">
        <v>1328</v>
      </c>
      <c r="I664" s="432" t="s">
        <v>2034</v>
      </c>
      <c r="J664" s="431"/>
      <c r="K664" s="431"/>
      <c r="L664" s="431"/>
      <c r="M664" s="433"/>
      <c r="N664" s="434"/>
      <c r="O664" s="1743" t="str">
        <f t="shared" si="395"/>
        <v>Blocage de comptes nécessaires à l'utilisation de services systèmes communs, dû à une attaque en blocage de comptes</v>
      </c>
      <c r="P664" s="435">
        <v>1</v>
      </c>
      <c r="Q664" s="1595" t="s">
        <v>1299</v>
      </c>
      <c r="R664" s="1595" t="s">
        <v>1873</v>
      </c>
      <c r="S664" s="1595" t="str">
        <f>Classif!C26</f>
        <v/>
      </c>
      <c r="T664" s="1595">
        <f t="shared" si="379"/>
        <v>2</v>
      </c>
      <c r="U664" s="1744" t="str">
        <f t="shared" si="380"/>
        <v/>
      </c>
      <c r="V664" s="1771">
        <v>1</v>
      </c>
      <c r="W664" s="1771">
        <v>1</v>
      </c>
      <c r="X664" s="1771">
        <v>1</v>
      </c>
      <c r="Y664" s="1771">
        <f>S08D10</f>
        <v>1</v>
      </c>
      <c r="Z664" s="1746">
        <v>0</v>
      </c>
      <c r="AA664" s="1747"/>
      <c r="AB664" s="1748"/>
      <c r="AC664" s="1748"/>
      <c r="AD664" s="1595" t="str">
        <f t="shared" si="393"/>
        <v/>
      </c>
      <c r="AE664" s="1595">
        <f t="shared" si="381"/>
        <v>2</v>
      </c>
      <c r="AF664" s="1595" t="str">
        <f t="shared" si="382"/>
        <v/>
      </c>
      <c r="AG664" s="1748"/>
      <c r="AH664" s="1749" t="str">
        <f t="shared" si="394"/>
        <v/>
      </c>
      <c r="AI664" s="1615"/>
      <c r="AJ664" s="1621"/>
      <c r="AK664" s="1618"/>
      <c r="AL664" s="1617" t="s">
        <v>1324</v>
      </c>
      <c r="AM664" s="247" t="str">
        <f t="shared" si="387"/>
        <v/>
      </c>
      <c r="AN664" s="247" t="str">
        <f t="shared" si="388"/>
        <v/>
      </c>
      <c r="AO664" s="247" t="str">
        <f t="shared" si="389"/>
        <v/>
      </c>
      <c r="AP664" s="247" t="str">
        <f t="shared" si="390"/>
        <v/>
      </c>
      <c r="AQ664" s="42">
        <f t="shared" si="383"/>
        <v>1</v>
      </c>
      <c r="AR664" s="42">
        <f t="shared" si="384"/>
        <v>1</v>
      </c>
      <c r="AS664" s="42">
        <f t="shared" si="385"/>
        <v>1</v>
      </c>
      <c r="AT664" s="42">
        <f t="shared" si="386"/>
        <v>1</v>
      </c>
      <c r="AU664" s="247" t="str">
        <f t="shared" si="391"/>
        <v/>
      </c>
      <c r="AV664" s="247" t="str">
        <f t="shared" si="392"/>
        <v/>
      </c>
    </row>
    <row r="665" spans="1:48" ht="15" x14ac:dyDescent="0.2">
      <c r="A665" s="456" t="s">
        <v>5214</v>
      </c>
      <c r="B665" s="457"/>
      <c r="C665" s="423" t="s">
        <v>2601</v>
      </c>
      <c r="D665" s="1356"/>
      <c r="E665" s="1357"/>
      <c r="F665" s="1357"/>
      <c r="G665" s="1360"/>
      <c r="H665" s="1345"/>
      <c r="I665" s="459"/>
      <c r="J665" s="458"/>
      <c r="K665" s="458"/>
      <c r="L665" s="458"/>
      <c r="M665" s="460"/>
      <c r="N665" s="461"/>
      <c r="O665" s="1761"/>
      <c r="P665" s="1608"/>
      <c r="Q665" s="1596"/>
      <c r="R665" s="1596"/>
      <c r="S665" s="1753"/>
      <c r="T665" s="1595"/>
      <c r="U665" s="1744"/>
      <c r="V665" s="1745"/>
      <c r="W665" s="1745"/>
      <c r="X665" s="1745"/>
      <c r="Y665" s="1745"/>
      <c r="Z665" s="1762"/>
      <c r="AA665" s="1763"/>
      <c r="AB665" s="1748"/>
      <c r="AC665" s="1748"/>
      <c r="AD665" s="1595"/>
      <c r="AE665" s="1753"/>
      <c r="AF665" s="1595"/>
      <c r="AG665" s="1748"/>
      <c r="AH665" s="1749"/>
      <c r="AI665" s="1627"/>
      <c r="AJ665" s="1628"/>
      <c r="AK665" s="1628"/>
      <c r="AL665" s="1629"/>
      <c r="AM665" s="247" t="str">
        <f t="shared" si="387"/>
        <v/>
      </c>
      <c r="AN665" s="247" t="str">
        <f t="shared" si="388"/>
        <v/>
      </c>
      <c r="AO665" s="247" t="str">
        <f t="shared" si="389"/>
        <v/>
      </c>
      <c r="AP665" s="247" t="str">
        <f t="shared" si="390"/>
        <v/>
      </c>
      <c r="AU665" s="247" t="str">
        <f t="shared" si="391"/>
        <v/>
      </c>
      <c r="AV665" s="247" t="str">
        <f t="shared" si="392"/>
        <v/>
      </c>
    </row>
    <row r="666" spans="1:48" ht="24" x14ac:dyDescent="0.2">
      <c r="A666" s="428" t="s">
        <v>410</v>
      </c>
      <c r="B666" s="429" t="s">
        <v>5621</v>
      </c>
      <c r="C666" s="430" t="s">
        <v>3314</v>
      </c>
      <c r="D666" s="1349" t="s">
        <v>1873</v>
      </c>
      <c r="E666" s="1350" t="s">
        <v>7450</v>
      </c>
      <c r="F666" s="1350" t="s">
        <v>2779</v>
      </c>
      <c r="G666" s="1351" t="s">
        <v>6068</v>
      </c>
      <c r="H666" s="1342" t="s">
        <v>1465</v>
      </c>
      <c r="I666" s="432" t="s">
        <v>1880</v>
      </c>
      <c r="J666" s="431" t="s">
        <v>1880</v>
      </c>
      <c r="K666" s="431"/>
      <c r="L666" s="431"/>
      <c r="M666" s="433"/>
      <c r="N666" s="434"/>
      <c r="O666" s="1743" t="str">
        <f>VLOOKUP(B666,code_famille_scénario,2)&amp;VLOOKUP(C666,code_actif,2)&amp;", suite "&amp;VLOOKUP(I666,code_event,2)</f>
        <v>Effacement accidentel de programmes de services de publication d'informations sur un site web interne ou public, suite à un incident d'exploitation</v>
      </c>
      <c r="P666" s="435">
        <v>1</v>
      </c>
      <c r="Q666" s="1595" t="s">
        <v>1431</v>
      </c>
      <c r="R666" s="1595" t="s">
        <v>1873</v>
      </c>
      <c r="S666" s="1595" t="str">
        <f>Classif!C27</f>
        <v/>
      </c>
      <c r="T666" s="1595">
        <f t="shared" ref="T666:T697" si="396">VLOOKUP(H666&amp;"."&amp;I666,Tab_event,4)</f>
        <v>3</v>
      </c>
      <c r="U666" s="1744" t="str">
        <f t="shared" ref="U666:U697" si="397">IF(AND(NOT(S666=""),NOT(T666="")),INDEX(base_g,5-S666,T666),"")</f>
        <v/>
      </c>
      <c r="V666" s="1771">
        <v>1</v>
      </c>
      <c r="W666" s="1771">
        <f>S08A03</f>
        <v>1</v>
      </c>
      <c r="X666" s="1771">
        <f>S08E03</f>
        <v>1</v>
      </c>
      <c r="Y666" s="1771">
        <f t="shared" ref="Y666:Y676" si="398">S08D04</f>
        <v>1</v>
      </c>
      <c r="Z666" s="1746">
        <v>0</v>
      </c>
      <c r="AA666" s="1747"/>
      <c r="AB666" s="1748"/>
      <c r="AC666" s="1748"/>
      <c r="AD666" s="1595" t="str">
        <f t="shared" si="393"/>
        <v/>
      </c>
      <c r="AE666" s="1595">
        <f t="shared" ref="AE666:AE697" si="399">IF(OR(Q666="",T666=""),"",IF(Q666="A",INDEX(base_p,4,W666+7*(T666-1)),IF(Q666="E",INDEX(base_p,15,W666+7*(T666-1)),INDEX(base_p,27-V666,W666+7*(T666-1)))))</f>
        <v>3</v>
      </c>
      <c r="AF666" s="1595" t="str">
        <f t="shared" ref="AF666:AF697" si="400">IF(AT666=1,IF(IndG=1,U666,IF(AND(OR(NOT(AD666=""),NOT(AB666="")),OR(NOT(AE666=""),NOT(AC666="")),AT666=1),INDEX(base_g,5-IF(AB666="",AD666,AB666),IF(AC666="",AE666,AC666)),"")),0)</f>
        <v/>
      </c>
      <c r="AG666" s="1748"/>
      <c r="AH666" s="1749" t="str">
        <f t="shared" si="394"/>
        <v/>
      </c>
      <c r="AI666" s="1615"/>
      <c r="AJ666" s="1616" t="s">
        <v>4324</v>
      </c>
      <c r="AK666" s="1616" t="s">
        <v>2532</v>
      </c>
      <c r="AL666" s="1617" t="s">
        <v>4954</v>
      </c>
      <c r="AM666" s="247" t="str">
        <f t="shared" si="387"/>
        <v/>
      </c>
      <c r="AN666" s="247" t="str">
        <f t="shared" si="388"/>
        <v/>
      </c>
      <c r="AO666" s="247" t="str">
        <f t="shared" si="389"/>
        <v/>
      </c>
      <c r="AP666" s="247" t="str">
        <f t="shared" si="390"/>
        <v/>
      </c>
      <c r="AQ666" s="42">
        <f t="shared" ref="AQ666:AQ697" si="401">VLOOKUP(LEFT(C666,3),Tab_classif_servIR,6)</f>
        <v>1</v>
      </c>
      <c r="AR666" s="42">
        <f t="shared" ref="AR666:AR697" si="402">VLOOKUP(G666,select_vul_serv,2)</f>
        <v>1</v>
      </c>
      <c r="AS666" s="42">
        <f t="shared" ref="AS666:AS697" si="403">VLOOKUP(H666&amp;"."&amp;I666,select_men,5)</f>
        <v>1</v>
      </c>
      <c r="AT666" s="42">
        <f t="shared" ref="AT666:AT697" si="404">P666*AQ666*AR666*AS666</f>
        <v>1</v>
      </c>
      <c r="AU666" s="247" t="str">
        <f t="shared" si="391"/>
        <v/>
      </c>
      <c r="AV666" s="247" t="str">
        <f t="shared" si="392"/>
        <v/>
      </c>
    </row>
    <row r="667" spans="1:48" ht="24" x14ac:dyDescent="0.2">
      <c r="A667" s="428" t="s">
        <v>411</v>
      </c>
      <c r="B667" s="429" t="s">
        <v>5625</v>
      </c>
      <c r="C667" s="430" t="s">
        <v>3314</v>
      </c>
      <c r="D667" s="1349" t="s">
        <v>1873</v>
      </c>
      <c r="E667" s="1350" t="s">
        <v>7450</v>
      </c>
      <c r="F667" s="1350" t="s">
        <v>2779</v>
      </c>
      <c r="G667" s="1351" t="s">
        <v>6068</v>
      </c>
      <c r="H667" s="1342" t="s">
        <v>1327</v>
      </c>
      <c r="I667" s="432" t="s">
        <v>1545</v>
      </c>
      <c r="J667" s="431" t="s">
        <v>1880</v>
      </c>
      <c r="K667" s="431"/>
      <c r="L667" s="431"/>
      <c r="M667" s="433"/>
      <c r="N667" s="434" t="s">
        <v>1301</v>
      </c>
      <c r="O667" s="1743" t="str">
        <f t="shared" ref="O667:O677" si="405">VLOOKUP(B667,code_famille_scénario,2)&amp;VLOOKUP(C667,code_actif,2)&amp;", par "&amp;VLOOKUP(N667,code_acteur,2)</f>
        <v>Effacement par erreur de programmes de services de publication d'informations sur un site web interne ou public, par un utilisateur autorisé légitime</v>
      </c>
      <c r="P667" s="435">
        <v>1</v>
      </c>
      <c r="Q667" s="1595" t="s">
        <v>6403</v>
      </c>
      <c r="R667" s="1595" t="s">
        <v>1873</v>
      </c>
      <c r="S667" s="1595" t="str">
        <f>Classif!C27</f>
        <v/>
      </c>
      <c r="T667" s="1595">
        <f t="shared" si="396"/>
        <v>3</v>
      </c>
      <c r="U667" s="1744" t="str">
        <f t="shared" si="397"/>
        <v/>
      </c>
      <c r="V667" s="1771">
        <v>1</v>
      </c>
      <c r="W667" s="1771">
        <v>1</v>
      </c>
      <c r="X667" s="1771">
        <v>1</v>
      </c>
      <c r="Y667" s="1771">
        <f t="shared" si="398"/>
        <v>1</v>
      </c>
      <c r="Z667" s="1746">
        <v>0</v>
      </c>
      <c r="AA667" s="1747"/>
      <c r="AB667" s="1748"/>
      <c r="AC667" s="1748"/>
      <c r="AD667" s="1595" t="str">
        <f t="shared" si="393"/>
        <v/>
      </c>
      <c r="AE667" s="1595">
        <f t="shared" si="399"/>
        <v>3</v>
      </c>
      <c r="AF667" s="1595" t="str">
        <f t="shared" si="400"/>
        <v/>
      </c>
      <c r="AG667" s="1748"/>
      <c r="AH667" s="1749" t="str">
        <f t="shared" si="394"/>
        <v/>
      </c>
      <c r="AI667" s="1615"/>
      <c r="AJ667" s="1618"/>
      <c r="AK667" s="1618"/>
      <c r="AL667" s="1617" t="s">
        <v>4954</v>
      </c>
      <c r="AM667" s="247" t="str">
        <f t="shared" si="387"/>
        <v/>
      </c>
      <c r="AN667" s="247" t="str">
        <f t="shared" si="388"/>
        <v/>
      </c>
      <c r="AO667" s="247" t="str">
        <f t="shared" si="389"/>
        <v/>
      </c>
      <c r="AP667" s="247" t="str">
        <f t="shared" si="390"/>
        <v/>
      </c>
      <c r="AQ667" s="42">
        <f t="shared" si="401"/>
        <v>1</v>
      </c>
      <c r="AR667" s="42">
        <f t="shared" si="402"/>
        <v>1</v>
      </c>
      <c r="AS667" s="42">
        <f t="shared" si="403"/>
        <v>1</v>
      </c>
      <c r="AT667" s="42">
        <f t="shared" si="404"/>
        <v>1</v>
      </c>
      <c r="AU667" s="247" t="str">
        <f t="shared" si="391"/>
        <v/>
      </c>
      <c r="AV667" s="247" t="str">
        <f t="shared" si="392"/>
        <v/>
      </c>
    </row>
    <row r="668" spans="1:48" ht="24" x14ac:dyDescent="0.2">
      <c r="A668" s="428" t="s">
        <v>412</v>
      </c>
      <c r="B668" s="429" t="s">
        <v>5625</v>
      </c>
      <c r="C668" s="430" t="s">
        <v>3314</v>
      </c>
      <c r="D668" s="1349" t="s">
        <v>1873</v>
      </c>
      <c r="E668" s="1350" t="s">
        <v>7450</v>
      </c>
      <c r="F668" s="1350" t="s">
        <v>2779</v>
      </c>
      <c r="G668" s="1351" t="s">
        <v>6068</v>
      </c>
      <c r="H668" s="1342" t="s">
        <v>1327</v>
      </c>
      <c r="I668" s="432" t="s">
        <v>1545</v>
      </c>
      <c r="J668" s="431" t="s">
        <v>1880</v>
      </c>
      <c r="K668" s="431"/>
      <c r="L668" s="431"/>
      <c r="M668" s="433"/>
      <c r="N668" s="434" t="s">
        <v>1302</v>
      </c>
      <c r="O668" s="1743" t="str">
        <f t="shared" si="405"/>
        <v>Effacement par erreur de programmes de services de publication d'informations sur un site web interne ou public, par un utilisateur autorisé illégitime</v>
      </c>
      <c r="P668" s="435">
        <v>1</v>
      </c>
      <c r="Q668" s="1595" t="s">
        <v>6403</v>
      </c>
      <c r="R668" s="1595" t="s">
        <v>1873</v>
      </c>
      <c r="S668" s="1595" t="str">
        <f>Classif!C27</f>
        <v/>
      </c>
      <c r="T668" s="1595">
        <f t="shared" si="396"/>
        <v>3</v>
      </c>
      <c r="U668" s="1744" t="str">
        <f t="shared" si="397"/>
        <v/>
      </c>
      <c r="V668" s="1771">
        <v>1</v>
      </c>
      <c r="W668" s="1771">
        <f>MAX(S07A02,S09A02)</f>
        <v>1</v>
      </c>
      <c r="X668" s="1771">
        <v>1</v>
      </c>
      <c r="Y668" s="1771">
        <f t="shared" si="398"/>
        <v>1</v>
      </c>
      <c r="Z668" s="1746">
        <v>0</v>
      </c>
      <c r="AA668" s="1747"/>
      <c r="AB668" s="1748"/>
      <c r="AC668" s="1748"/>
      <c r="AD668" s="1595" t="str">
        <f t="shared" si="393"/>
        <v/>
      </c>
      <c r="AE668" s="1595">
        <f t="shared" si="399"/>
        <v>3</v>
      </c>
      <c r="AF668" s="1595" t="str">
        <f t="shared" si="400"/>
        <v/>
      </c>
      <c r="AG668" s="1748"/>
      <c r="AH668" s="1749" t="str">
        <f t="shared" si="394"/>
        <v/>
      </c>
      <c r="AI668" s="1615"/>
      <c r="AJ668" s="1616" t="s">
        <v>6493</v>
      </c>
      <c r="AK668" s="1618"/>
      <c r="AL668" s="1617" t="s">
        <v>4954</v>
      </c>
      <c r="AM668" s="247" t="str">
        <f t="shared" si="387"/>
        <v/>
      </c>
      <c r="AN668" s="247" t="str">
        <f t="shared" si="388"/>
        <v/>
      </c>
      <c r="AO668" s="247" t="str">
        <f t="shared" si="389"/>
        <v/>
      </c>
      <c r="AP668" s="247" t="str">
        <f t="shared" si="390"/>
        <v/>
      </c>
      <c r="AQ668" s="42">
        <f t="shared" si="401"/>
        <v>1</v>
      </c>
      <c r="AR668" s="42">
        <f t="shared" si="402"/>
        <v>1</v>
      </c>
      <c r="AS668" s="42">
        <f t="shared" si="403"/>
        <v>1</v>
      </c>
      <c r="AT668" s="42">
        <f t="shared" si="404"/>
        <v>1</v>
      </c>
      <c r="AU668" s="247" t="str">
        <f t="shared" si="391"/>
        <v/>
      </c>
      <c r="AV668" s="247" t="str">
        <f t="shared" si="392"/>
        <v/>
      </c>
    </row>
    <row r="669" spans="1:48" ht="24" x14ac:dyDescent="0.2">
      <c r="A669" s="428" t="s">
        <v>413</v>
      </c>
      <c r="B669" s="429" t="s">
        <v>5625</v>
      </c>
      <c r="C669" s="430" t="s">
        <v>3314</v>
      </c>
      <c r="D669" s="1349" t="s">
        <v>1873</v>
      </c>
      <c r="E669" s="1350" t="s">
        <v>7450</v>
      </c>
      <c r="F669" s="1350" t="s">
        <v>2779</v>
      </c>
      <c r="G669" s="1351" t="s">
        <v>6068</v>
      </c>
      <c r="H669" s="1342" t="s">
        <v>1327</v>
      </c>
      <c r="I669" s="432" t="s">
        <v>1545</v>
      </c>
      <c r="J669" s="431" t="s">
        <v>1880</v>
      </c>
      <c r="K669" s="431"/>
      <c r="L669" s="431"/>
      <c r="M669" s="433"/>
      <c r="N669" s="434" t="s">
        <v>1303</v>
      </c>
      <c r="O669" s="1743" t="str">
        <f t="shared" si="405"/>
        <v>Effacement par erreur de programmes de services de publication d'informations sur un site web interne ou public, par un utilisateur non autorisé</v>
      </c>
      <c r="P669" s="435">
        <v>1</v>
      </c>
      <c r="Q669" s="1595" t="s">
        <v>6403</v>
      </c>
      <c r="R669" s="1595" t="s">
        <v>1873</v>
      </c>
      <c r="S669" s="1595" t="str">
        <f>Classif!C27</f>
        <v/>
      </c>
      <c r="T669" s="1595">
        <f t="shared" si="396"/>
        <v>3</v>
      </c>
      <c r="U669" s="1744" t="str">
        <f t="shared" si="397"/>
        <v/>
      </c>
      <c r="V669" s="1771">
        <v>1</v>
      </c>
      <c r="W669" s="1771">
        <f>MIN(S07A03,S07A04)</f>
        <v>1</v>
      </c>
      <c r="X669" s="1771">
        <v>1</v>
      </c>
      <c r="Y669" s="1771">
        <f t="shared" si="398"/>
        <v>1</v>
      </c>
      <c r="Z669" s="1746">
        <v>0</v>
      </c>
      <c r="AA669" s="1747"/>
      <c r="AB669" s="1748"/>
      <c r="AC669" s="1748"/>
      <c r="AD669" s="1595" t="str">
        <f t="shared" si="393"/>
        <v/>
      </c>
      <c r="AE669" s="1595">
        <f t="shared" si="399"/>
        <v>3</v>
      </c>
      <c r="AF669" s="1595" t="str">
        <f t="shared" si="400"/>
        <v/>
      </c>
      <c r="AG669" s="1748"/>
      <c r="AH669" s="1749" t="str">
        <f t="shared" si="394"/>
        <v/>
      </c>
      <c r="AI669" s="1615"/>
      <c r="AJ669" s="1621" t="s">
        <v>6494</v>
      </c>
      <c r="AK669" s="1618"/>
      <c r="AL669" s="1617" t="s">
        <v>4954</v>
      </c>
      <c r="AM669" s="247" t="str">
        <f t="shared" si="387"/>
        <v/>
      </c>
      <c r="AN669" s="247" t="str">
        <f t="shared" si="388"/>
        <v/>
      </c>
      <c r="AO669" s="247" t="str">
        <f t="shared" si="389"/>
        <v/>
      </c>
      <c r="AP669" s="247" t="str">
        <f t="shared" si="390"/>
        <v/>
      </c>
      <c r="AQ669" s="42">
        <f t="shared" si="401"/>
        <v>1</v>
      </c>
      <c r="AR669" s="42">
        <f t="shared" si="402"/>
        <v>1</v>
      </c>
      <c r="AS669" s="42">
        <f t="shared" si="403"/>
        <v>1</v>
      </c>
      <c r="AT669" s="42">
        <f t="shared" si="404"/>
        <v>1</v>
      </c>
      <c r="AU669" s="247" t="str">
        <f t="shared" si="391"/>
        <v/>
      </c>
      <c r="AV669" s="247" t="str">
        <f t="shared" si="392"/>
        <v/>
      </c>
    </row>
    <row r="670" spans="1:48" ht="24" x14ac:dyDescent="0.2">
      <c r="A670" s="428" t="s">
        <v>414</v>
      </c>
      <c r="B670" s="429" t="s">
        <v>5625</v>
      </c>
      <c r="C670" s="430" t="s">
        <v>3314</v>
      </c>
      <c r="D670" s="1349" t="s">
        <v>1873</v>
      </c>
      <c r="E670" s="1350" t="s">
        <v>7450</v>
      </c>
      <c r="F670" s="1350" t="s">
        <v>2779</v>
      </c>
      <c r="G670" s="1351" t="s">
        <v>6068</v>
      </c>
      <c r="H670" s="1342" t="s">
        <v>1327</v>
      </c>
      <c r="I670" s="432" t="s">
        <v>1545</v>
      </c>
      <c r="J670" s="431" t="s">
        <v>1880</v>
      </c>
      <c r="K670" s="431"/>
      <c r="L670" s="431"/>
      <c r="M670" s="433"/>
      <c r="N670" s="434" t="s">
        <v>6403</v>
      </c>
      <c r="O670" s="1743" t="str">
        <f t="shared" si="405"/>
        <v>Effacement par erreur de programmes de services de publication d'informations sur un site web interne ou public, par un membre du personnel d'exploitation</v>
      </c>
      <c r="P670" s="435">
        <v>1</v>
      </c>
      <c r="Q670" s="1595" t="s">
        <v>6403</v>
      </c>
      <c r="R670" s="1595" t="s">
        <v>1873</v>
      </c>
      <c r="S670" s="1595" t="str">
        <f>Classif!C27</f>
        <v/>
      </c>
      <c r="T670" s="1595">
        <f t="shared" si="396"/>
        <v>3</v>
      </c>
      <c r="U670" s="1744" t="str">
        <f t="shared" si="397"/>
        <v/>
      </c>
      <c r="V670" s="1771">
        <v>1</v>
      </c>
      <c r="W670" s="1771">
        <v>1</v>
      </c>
      <c r="X670" s="1771">
        <v>1</v>
      </c>
      <c r="Y670" s="1771">
        <f t="shared" si="398"/>
        <v>1</v>
      </c>
      <c r="Z670" s="1746">
        <v>0</v>
      </c>
      <c r="AA670" s="1747"/>
      <c r="AB670" s="1748"/>
      <c r="AC670" s="1748"/>
      <c r="AD670" s="1595" t="str">
        <f t="shared" si="393"/>
        <v/>
      </c>
      <c r="AE670" s="1595">
        <f t="shared" si="399"/>
        <v>3</v>
      </c>
      <c r="AF670" s="1595" t="str">
        <f t="shared" si="400"/>
        <v/>
      </c>
      <c r="AG670" s="1748"/>
      <c r="AH670" s="1749" t="str">
        <f t="shared" si="394"/>
        <v/>
      </c>
      <c r="AI670" s="1615"/>
      <c r="AJ670" s="1618"/>
      <c r="AK670" s="1618"/>
      <c r="AL670" s="1617" t="s">
        <v>4954</v>
      </c>
      <c r="AM670" s="247" t="str">
        <f t="shared" si="387"/>
        <v/>
      </c>
      <c r="AN670" s="247" t="str">
        <f t="shared" si="388"/>
        <v/>
      </c>
      <c r="AO670" s="247" t="str">
        <f t="shared" si="389"/>
        <v/>
      </c>
      <c r="AP670" s="247" t="str">
        <f t="shared" si="390"/>
        <v/>
      </c>
      <c r="AQ670" s="42">
        <f t="shared" si="401"/>
        <v>1</v>
      </c>
      <c r="AR670" s="42">
        <f t="shared" si="402"/>
        <v>1</v>
      </c>
      <c r="AS670" s="42">
        <f t="shared" si="403"/>
        <v>1</v>
      </c>
      <c r="AT670" s="42">
        <f t="shared" si="404"/>
        <v>1</v>
      </c>
      <c r="AU670" s="247" t="str">
        <f t="shared" si="391"/>
        <v/>
      </c>
      <c r="AV670" s="247" t="str">
        <f t="shared" si="392"/>
        <v/>
      </c>
    </row>
    <row r="671" spans="1:48" ht="24" x14ac:dyDescent="0.2">
      <c r="A671" s="428" t="s">
        <v>415</v>
      </c>
      <c r="B671" s="429" t="s">
        <v>5625</v>
      </c>
      <c r="C671" s="430" t="s">
        <v>3314</v>
      </c>
      <c r="D671" s="1349" t="s">
        <v>1873</v>
      </c>
      <c r="E671" s="1350" t="s">
        <v>7450</v>
      </c>
      <c r="F671" s="1350" t="s">
        <v>2779</v>
      </c>
      <c r="G671" s="1351" t="s">
        <v>6068</v>
      </c>
      <c r="H671" s="1342" t="s">
        <v>1327</v>
      </c>
      <c r="I671" s="432" t="s">
        <v>1545</v>
      </c>
      <c r="J671" s="431" t="s">
        <v>1880</v>
      </c>
      <c r="K671" s="431"/>
      <c r="L671" s="431"/>
      <c r="M671" s="433"/>
      <c r="N671" s="434" t="s">
        <v>1299</v>
      </c>
      <c r="O671" s="1743" t="str">
        <f t="shared" si="405"/>
        <v>Effacement par erreur de programmes de services de publication d'informations sur un site web interne ou public, par un membre du personnel de maintenance</v>
      </c>
      <c r="P671" s="435">
        <v>1</v>
      </c>
      <c r="Q671" s="1595" t="s">
        <v>6403</v>
      </c>
      <c r="R671" s="1595" t="s">
        <v>1873</v>
      </c>
      <c r="S671" s="1595" t="str">
        <f>Classif!C27</f>
        <v/>
      </c>
      <c r="T671" s="1595">
        <f t="shared" si="396"/>
        <v>3</v>
      </c>
      <c r="U671" s="1744" t="str">
        <f t="shared" si="397"/>
        <v/>
      </c>
      <c r="V671" s="1771">
        <v>1</v>
      </c>
      <c r="W671" s="1771">
        <v>1</v>
      </c>
      <c r="X671" s="1771">
        <v>1</v>
      </c>
      <c r="Y671" s="1771">
        <f t="shared" si="398"/>
        <v>1</v>
      </c>
      <c r="Z671" s="1746">
        <v>0</v>
      </c>
      <c r="AA671" s="1747"/>
      <c r="AB671" s="1748"/>
      <c r="AC671" s="1748"/>
      <c r="AD671" s="1595" t="str">
        <f t="shared" si="393"/>
        <v/>
      </c>
      <c r="AE671" s="1595">
        <f t="shared" si="399"/>
        <v>3</v>
      </c>
      <c r="AF671" s="1595" t="str">
        <f t="shared" si="400"/>
        <v/>
      </c>
      <c r="AG671" s="1748"/>
      <c r="AH671" s="1749" t="str">
        <f t="shared" si="394"/>
        <v/>
      </c>
      <c r="AI671" s="1615"/>
      <c r="AJ671" s="1618"/>
      <c r="AK671" s="1618"/>
      <c r="AL671" s="1617" t="s">
        <v>4954</v>
      </c>
      <c r="AM671" s="247" t="str">
        <f t="shared" si="387"/>
        <v/>
      </c>
      <c r="AN671" s="247" t="str">
        <f t="shared" si="388"/>
        <v/>
      </c>
      <c r="AO671" s="247" t="str">
        <f t="shared" si="389"/>
        <v/>
      </c>
      <c r="AP671" s="247" t="str">
        <f t="shared" si="390"/>
        <v/>
      </c>
      <c r="AQ671" s="42">
        <f t="shared" si="401"/>
        <v>1</v>
      </c>
      <c r="AR671" s="42">
        <f t="shared" si="402"/>
        <v>1</v>
      </c>
      <c r="AS671" s="42">
        <f t="shared" si="403"/>
        <v>1</v>
      </c>
      <c r="AT671" s="42">
        <f t="shared" si="404"/>
        <v>1</v>
      </c>
      <c r="AU671" s="247" t="str">
        <f t="shared" si="391"/>
        <v/>
      </c>
      <c r="AV671" s="247" t="str">
        <f t="shared" si="392"/>
        <v/>
      </c>
    </row>
    <row r="672" spans="1:48" ht="24" x14ac:dyDescent="0.2">
      <c r="A672" s="428" t="s">
        <v>416</v>
      </c>
      <c r="B672" s="429" t="s">
        <v>5623</v>
      </c>
      <c r="C672" s="430" t="s">
        <v>3314</v>
      </c>
      <c r="D672" s="1349" t="s">
        <v>1873</v>
      </c>
      <c r="E672" s="1350" t="s">
        <v>7450</v>
      </c>
      <c r="F672" s="1350" t="s">
        <v>2779</v>
      </c>
      <c r="G672" s="1351" t="s">
        <v>6068</v>
      </c>
      <c r="H672" s="1297" t="s">
        <v>1328</v>
      </c>
      <c r="I672" s="437" t="s">
        <v>1546</v>
      </c>
      <c r="J672" s="431" t="s">
        <v>1880</v>
      </c>
      <c r="K672" s="431"/>
      <c r="L672" s="431"/>
      <c r="M672" s="433"/>
      <c r="N672" s="434" t="s">
        <v>1301</v>
      </c>
      <c r="O672" s="1743" t="str">
        <f t="shared" si="405"/>
        <v>Effacement malveillant de programmes de services de publication d'informations sur un site web interne ou public, par un utilisateur autorisé légitime</v>
      </c>
      <c r="P672" s="435">
        <v>1</v>
      </c>
      <c r="Q672" s="1595" t="s">
        <v>1299</v>
      </c>
      <c r="R672" s="1595" t="s">
        <v>1873</v>
      </c>
      <c r="S672" s="1595" t="str">
        <f>Classif!C27</f>
        <v/>
      </c>
      <c r="T672" s="1595">
        <f t="shared" si="396"/>
        <v>2</v>
      </c>
      <c r="U672" s="1744" t="str">
        <f t="shared" si="397"/>
        <v/>
      </c>
      <c r="V672" s="1750">
        <f>MIN(S07C01,S08E02)</f>
        <v>1</v>
      </c>
      <c r="W672" s="1771">
        <v>1</v>
      </c>
      <c r="X672" s="1771">
        <v>1</v>
      </c>
      <c r="Y672" s="1771">
        <f t="shared" si="398"/>
        <v>1</v>
      </c>
      <c r="Z672" s="1746">
        <v>0</v>
      </c>
      <c r="AA672" s="1747"/>
      <c r="AB672" s="1748"/>
      <c r="AC672" s="1748"/>
      <c r="AD672" s="1595" t="str">
        <f t="shared" si="393"/>
        <v/>
      </c>
      <c r="AE672" s="1595">
        <f t="shared" si="399"/>
        <v>2</v>
      </c>
      <c r="AF672" s="1595" t="str">
        <f t="shared" si="400"/>
        <v/>
      </c>
      <c r="AG672" s="1748"/>
      <c r="AH672" s="1749" t="str">
        <f t="shared" si="394"/>
        <v/>
      </c>
      <c r="AI672" s="1620" t="s">
        <v>6492</v>
      </c>
      <c r="AJ672" s="1621"/>
      <c r="AK672" s="1618"/>
      <c r="AL672" s="1617" t="s">
        <v>4954</v>
      </c>
      <c r="AM672" s="247" t="str">
        <f t="shared" si="387"/>
        <v/>
      </c>
      <c r="AN672" s="247" t="str">
        <f t="shared" si="388"/>
        <v/>
      </c>
      <c r="AO672" s="247" t="str">
        <f t="shared" si="389"/>
        <v/>
      </c>
      <c r="AP672" s="247" t="str">
        <f t="shared" si="390"/>
        <v/>
      </c>
      <c r="AQ672" s="42">
        <f t="shared" si="401"/>
        <v>1</v>
      </c>
      <c r="AR672" s="42">
        <f t="shared" si="402"/>
        <v>1</v>
      </c>
      <c r="AS672" s="42">
        <f t="shared" si="403"/>
        <v>1</v>
      </c>
      <c r="AT672" s="42">
        <f t="shared" si="404"/>
        <v>1</v>
      </c>
      <c r="AU672" s="247" t="str">
        <f t="shared" si="391"/>
        <v/>
      </c>
      <c r="AV672" s="247" t="str">
        <f t="shared" si="392"/>
        <v/>
      </c>
    </row>
    <row r="673" spans="1:48" ht="24" x14ac:dyDescent="0.2">
      <c r="A673" s="428" t="s">
        <v>417</v>
      </c>
      <c r="B673" s="429" t="s">
        <v>5623</v>
      </c>
      <c r="C673" s="430" t="s">
        <v>3314</v>
      </c>
      <c r="D673" s="1349" t="s">
        <v>1873</v>
      </c>
      <c r="E673" s="1350" t="s">
        <v>7450</v>
      </c>
      <c r="F673" s="1350" t="s">
        <v>2779</v>
      </c>
      <c r="G673" s="1351" t="s">
        <v>6068</v>
      </c>
      <c r="H673" s="1342" t="s">
        <v>1328</v>
      </c>
      <c r="I673" s="432" t="s">
        <v>1546</v>
      </c>
      <c r="J673" s="431" t="s">
        <v>1880</v>
      </c>
      <c r="K673" s="431"/>
      <c r="L673" s="431"/>
      <c r="M673" s="433"/>
      <c r="N673" s="434" t="s">
        <v>1302</v>
      </c>
      <c r="O673" s="1743" t="str">
        <f t="shared" si="405"/>
        <v>Effacement malveillant de programmes de services de publication d'informations sur un site web interne ou public, par un utilisateur autorisé illégitime</v>
      </c>
      <c r="P673" s="435">
        <v>1</v>
      </c>
      <c r="Q673" s="1595" t="s">
        <v>1299</v>
      </c>
      <c r="R673" s="1595" t="s">
        <v>1873</v>
      </c>
      <c r="S673" s="1595" t="str">
        <f>Classif!C27</f>
        <v/>
      </c>
      <c r="T673" s="1595">
        <f t="shared" si="396"/>
        <v>2</v>
      </c>
      <c r="U673" s="1744" t="str">
        <f t="shared" si="397"/>
        <v/>
      </c>
      <c r="V673" s="1750">
        <f>MIN(S07C01,S08E02)</f>
        <v>1</v>
      </c>
      <c r="W673" s="1771">
        <f>MAX(S07A02,S09A02)</f>
        <v>1</v>
      </c>
      <c r="X673" s="1771">
        <v>1</v>
      </c>
      <c r="Y673" s="1771">
        <f t="shared" si="398"/>
        <v>1</v>
      </c>
      <c r="Z673" s="1746">
        <v>0</v>
      </c>
      <c r="AA673" s="1747"/>
      <c r="AB673" s="1748"/>
      <c r="AC673" s="1748"/>
      <c r="AD673" s="1595" t="str">
        <f t="shared" si="393"/>
        <v/>
      </c>
      <c r="AE673" s="1595">
        <f t="shared" si="399"/>
        <v>2</v>
      </c>
      <c r="AF673" s="1595" t="str">
        <f t="shared" si="400"/>
        <v/>
      </c>
      <c r="AG673" s="1748"/>
      <c r="AH673" s="1749" t="str">
        <f t="shared" si="394"/>
        <v/>
      </c>
      <c r="AI673" s="1620" t="s">
        <v>6492</v>
      </c>
      <c r="AJ673" s="1616" t="s">
        <v>6493</v>
      </c>
      <c r="AK673" s="1618"/>
      <c r="AL673" s="1617" t="s">
        <v>4954</v>
      </c>
      <c r="AM673" s="247" t="str">
        <f t="shared" si="387"/>
        <v/>
      </c>
      <c r="AN673" s="247" t="str">
        <f t="shared" si="388"/>
        <v/>
      </c>
      <c r="AO673" s="247" t="str">
        <f t="shared" si="389"/>
        <v/>
      </c>
      <c r="AP673" s="247" t="str">
        <f t="shared" si="390"/>
        <v/>
      </c>
      <c r="AQ673" s="42">
        <f t="shared" si="401"/>
        <v>1</v>
      </c>
      <c r="AR673" s="42">
        <f t="shared" si="402"/>
        <v>1</v>
      </c>
      <c r="AS673" s="42">
        <f t="shared" si="403"/>
        <v>1</v>
      </c>
      <c r="AT673" s="42">
        <f t="shared" si="404"/>
        <v>1</v>
      </c>
      <c r="AU673" s="247" t="str">
        <f t="shared" si="391"/>
        <v/>
      </c>
      <c r="AV673" s="247" t="str">
        <f t="shared" si="392"/>
        <v/>
      </c>
    </row>
    <row r="674" spans="1:48" ht="24" x14ac:dyDescent="0.2">
      <c r="A674" s="428" t="s">
        <v>418</v>
      </c>
      <c r="B674" s="429" t="s">
        <v>5623</v>
      </c>
      <c r="C674" s="430" t="s">
        <v>3314</v>
      </c>
      <c r="D674" s="1349" t="s">
        <v>1873</v>
      </c>
      <c r="E674" s="1350" t="s">
        <v>7450</v>
      </c>
      <c r="F674" s="1350" t="s">
        <v>2779</v>
      </c>
      <c r="G674" s="1351" t="s">
        <v>6068</v>
      </c>
      <c r="H674" s="1342" t="s">
        <v>1328</v>
      </c>
      <c r="I674" s="432" t="s">
        <v>1546</v>
      </c>
      <c r="J674" s="431" t="s">
        <v>1880</v>
      </c>
      <c r="K674" s="431"/>
      <c r="L674" s="431"/>
      <c r="M674" s="433"/>
      <c r="N674" s="434" t="s">
        <v>1303</v>
      </c>
      <c r="O674" s="1743" t="str">
        <f t="shared" si="405"/>
        <v>Effacement malveillant de programmes de services de publication d'informations sur un site web interne ou public, par un utilisateur non autorisé</v>
      </c>
      <c r="P674" s="435">
        <v>1</v>
      </c>
      <c r="Q674" s="1595" t="s">
        <v>1299</v>
      </c>
      <c r="R674" s="1595" t="s">
        <v>1873</v>
      </c>
      <c r="S674" s="1595" t="str">
        <f>Classif!C27</f>
        <v/>
      </c>
      <c r="T674" s="1595">
        <f t="shared" si="396"/>
        <v>2</v>
      </c>
      <c r="U674" s="1744" t="str">
        <f t="shared" si="397"/>
        <v/>
      </c>
      <c r="V674" s="1771">
        <v>1</v>
      </c>
      <c r="W674" s="1771">
        <f>MIN(S07A03,S07A04)</f>
        <v>1</v>
      </c>
      <c r="X674" s="1771">
        <v>1</v>
      </c>
      <c r="Y674" s="1771">
        <f t="shared" si="398"/>
        <v>1</v>
      </c>
      <c r="Z674" s="1746">
        <v>0</v>
      </c>
      <c r="AA674" s="1747"/>
      <c r="AB674" s="1748"/>
      <c r="AC674" s="1748"/>
      <c r="AD674" s="1595" t="str">
        <f t="shared" si="393"/>
        <v/>
      </c>
      <c r="AE674" s="1595">
        <f t="shared" si="399"/>
        <v>2</v>
      </c>
      <c r="AF674" s="1595" t="str">
        <f t="shared" si="400"/>
        <v/>
      </c>
      <c r="AG674" s="1748"/>
      <c r="AH674" s="1749" t="str">
        <f t="shared" si="394"/>
        <v/>
      </c>
      <c r="AI674" s="1615"/>
      <c r="AJ674" s="1621" t="s">
        <v>6494</v>
      </c>
      <c r="AK674" s="1618"/>
      <c r="AL674" s="1617" t="s">
        <v>4954</v>
      </c>
      <c r="AM674" s="247" t="str">
        <f t="shared" si="387"/>
        <v/>
      </c>
      <c r="AN674" s="247" t="str">
        <f t="shared" si="388"/>
        <v/>
      </c>
      <c r="AO674" s="247" t="str">
        <f t="shared" si="389"/>
        <v/>
      </c>
      <c r="AP674" s="247" t="str">
        <f t="shared" si="390"/>
        <v/>
      </c>
      <c r="AQ674" s="42">
        <f t="shared" si="401"/>
        <v>1</v>
      </c>
      <c r="AR674" s="42">
        <f t="shared" si="402"/>
        <v>1</v>
      </c>
      <c r="AS674" s="42">
        <f t="shared" si="403"/>
        <v>1</v>
      </c>
      <c r="AT674" s="42">
        <f t="shared" si="404"/>
        <v>1</v>
      </c>
      <c r="AU674" s="247" t="str">
        <f t="shared" si="391"/>
        <v/>
      </c>
      <c r="AV674" s="247" t="str">
        <f t="shared" si="392"/>
        <v/>
      </c>
    </row>
    <row r="675" spans="1:48" ht="24" x14ac:dyDescent="0.2">
      <c r="A675" s="428" t="s">
        <v>419</v>
      </c>
      <c r="B675" s="429" t="s">
        <v>5623</v>
      </c>
      <c r="C675" s="430" t="s">
        <v>3314</v>
      </c>
      <c r="D675" s="1349" t="s">
        <v>1873</v>
      </c>
      <c r="E675" s="1350" t="s">
        <v>7450</v>
      </c>
      <c r="F675" s="1350" t="s">
        <v>2779</v>
      </c>
      <c r="G675" s="1351" t="s">
        <v>6068</v>
      </c>
      <c r="H675" s="1342" t="s">
        <v>1328</v>
      </c>
      <c r="I675" s="432" t="s">
        <v>1546</v>
      </c>
      <c r="J675" s="431" t="s">
        <v>1880</v>
      </c>
      <c r="K675" s="431"/>
      <c r="L675" s="431"/>
      <c r="M675" s="433"/>
      <c r="N675" s="434" t="s">
        <v>6403</v>
      </c>
      <c r="O675" s="1743" t="str">
        <f t="shared" si="405"/>
        <v>Effacement malveillant de programmes de services de publication d'informations sur un site web interne ou public, par un membre du personnel d'exploitation</v>
      </c>
      <c r="P675" s="435">
        <v>1</v>
      </c>
      <c r="Q675" s="1595" t="s">
        <v>1299</v>
      </c>
      <c r="R675" s="1595" t="s">
        <v>1873</v>
      </c>
      <c r="S675" s="1595" t="str">
        <f>Classif!C27</f>
        <v/>
      </c>
      <c r="T675" s="1595">
        <f t="shared" si="396"/>
        <v>2</v>
      </c>
      <c r="U675" s="1744" t="str">
        <f t="shared" si="397"/>
        <v/>
      </c>
      <c r="V675" s="1771">
        <f>MIN(S08F02,S08F03)</f>
        <v>1</v>
      </c>
      <c r="W675" s="1771">
        <v>1</v>
      </c>
      <c r="X675" s="1771">
        <v>1</v>
      </c>
      <c r="Y675" s="1771">
        <f t="shared" si="398"/>
        <v>1</v>
      </c>
      <c r="Z675" s="1746">
        <v>0</v>
      </c>
      <c r="AA675" s="1747"/>
      <c r="AB675" s="1748"/>
      <c r="AC675" s="1748"/>
      <c r="AD675" s="1595" t="str">
        <f t="shared" si="393"/>
        <v/>
      </c>
      <c r="AE675" s="1595">
        <f t="shared" si="399"/>
        <v>2</v>
      </c>
      <c r="AF675" s="1595" t="str">
        <f t="shared" si="400"/>
        <v/>
      </c>
      <c r="AG675" s="1748"/>
      <c r="AH675" s="1749" t="str">
        <f t="shared" si="394"/>
        <v/>
      </c>
      <c r="AI675" s="1622" t="s">
        <v>6495</v>
      </c>
      <c r="AJ675" s="1621"/>
      <c r="AK675" s="1618"/>
      <c r="AL675" s="1617" t="s">
        <v>4954</v>
      </c>
      <c r="AM675" s="247" t="str">
        <f t="shared" si="387"/>
        <v/>
      </c>
      <c r="AN675" s="247" t="str">
        <f t="shared" si="388"/>
        <v/>
      </c>
      <c r="AO675" s="247" t="str">
        <f t="shared" si="389"/>
        <v/>
      </c>
      <c r="AP675" s="247" t="str">
        <f t="shared" si="390"/>
        <v/>
      </c>
      <c r="AQ675" s="42">
        <f t="shared" si="401"/>
        <v>1</v>
      </c>
      <c r="AR675" s="42">
        <f t="shared" si="402"/>
        <v>1</v>
      </c>
      <c r="AS675" s="42">
        <f t="shared" si="403"/>
        <v>1</v>
      </c>
      <c r="AT675" s="42">
        <f t="shared" si="404"/>
        <v>1</v>
      </c>
      <c r="AU675" s="247" t="str">
        <f t="shared" si="391"/>
        <v/>
      </c>
      <c r="AV675" s="247" t="str">
        <f t="shared" si="392"/>
        <v/>
      </c>
    </row>
    <row r="676" spans="1:48" ht="24" x14ac:dyDescent="0.2">
      <c r="A676" s="428" t="s">
        <v>420</v>
      </c>
      <c r="B676" s="429" t="s">
        <v>5623</v>
      </c>
      <c r="C676" s="430" t="s">
        <v>3314</v>
      </c>
      <c r="D676" s="1349" t="s">
        <v>1873</v>
      </c>
      <c r="E676" s="1350" t="s">
        <v>7450</v>
      </c>
      <c r="F676" s="1350" t="s">
        <v>2779</v>
      </c>
      <c r="G676" s="1351" t="s">
        <v>6068</v>
      </c>
      <c r="H676" s="1342" t="s">
        <v>1328</v>
      </c>
      <c r="I676" s="432" t="s">
        <v>1546</v>
      </c>
      <c r="J676" s="431" t="s">
        <v>1880</v>
      </c>
      <c r="K676" s="431"/>
      <c r="L676" s="431"/>
      <c r="M676" s="433"/>
      <c r="N676" s="434" t="s">
        <v>1299</v>
      </c>
      <c r="O676" s="1743" t="str">
        <f t="shared" si="405"/>
        <v>Effacement malveillant de programmes de services de publication d'informations sur un site web interne ou public, par un membre du personnel de maintenance</v>
      </c>
      <c r="P676" s="435">
        <v>1</v>
      </c>
      <c r="Q676" s="1595" t="s">
        <v>1299</v>
      </c>
      <c r="R676" s="1595" t="s">
        <v>1873</v>
      </c>
      <c r="S676" s="1595" t="str">
        <f>Classif!C27</f>
        <v/>
      </c>
      <c r="T676" s="1595">
        <f t="shared" si="396"/>
        <v>2</v>
      </c>
      <c r="U676" s="1744" t="str">
        <f t="shared" si="397"/>
        <v/>
      </c>
      <c r="V676" s="1771">
        <f>MIN(S07C02,S08E02)</f>
        <v>1</v>
      </c>
      <c r="W676" s="1771">
        <v>1</v>
      </c>
      <c r="X676" s="1771">
        <v>1</v>
      </c>
      <c r="Y676" s="1771">
        <f t="shared" si="398"/>
        <v>1</v>
      </c>
      <c r="Z676" s="1746">
        <v>0</v>
      </c>
      <c r="AA676" s="1747"/>
      <c r="AB676" s="1748"/>
      <c r="AC676" s="1748"/>
      <c r="AD676" s="1595" t="str">
        <f t="shared" si="393"/>
        <v/>
      </c>
      <c r="AE676" s="1595">
        <f t="shared" si="399"/>
        <v>2</v>
      </c>
      <c r="AF676" s="1595" t="str">
        <f t="shared" si="400"/>
        <v/>
      </c>
      <c r="AG676" s="1748"/>
      <c r="AH676" s="1749" t="str">
        <f t="shared" si="394"/>
        <v/>
      </c>
      <c r="AI676" s="1620" t="s">
        <v>6491</v>
      </c>
      <c r="AJ676" s="1616"/>
      <c r="AK676" s="1616"/>
      <c r="AL676" s="1617" t="s">
        <v>4954</v>
      </c>
      <c r="AM676" s="247" t="str">
        <f t="shared" si="387"/>
        <v/>
      </c>
      <c r="AN676" s="247" t="str">
        <f t="shared" si="388"/>
        <v/>
      </c>
      <c r="AO676" s="247" t="str">
        <f t="shared" si="389"/>
        <v/>
      </c>
      <c r="AP676" s="247" t="str">
        <f t="shared" si="390"/>
        <v/>
      </c>
      <c r="AQ676" s="42">
        <f t="shared" si="401"/>
        <v>1</v>
      </c>
      <c r="AR676" s="42">
        <f t="shared" si="402"/>
        <v>1</v>
      </c>
      <c r="AS676" s="42">
        <f t="shared" si="403"/>
        <v>1</v>
      </c>
      <c r="AT676" s="42">
        <f t="shared" si="404"/>
        <v>1</v>
      </c>
      <c r="AU676" s="247" t="str">
        <f t="shared" si="391"/>
        <v/>
      </c>
      <c r="AV676" s="247" t="str">
        <f t="shared" si="392"/>
        <v/>
      </c>
    </row>
    <row r="677" spans="1:48" ht="36" x14ac:dyDescent="0.2">
      <c r="A677" s="428" t="s">
        <v>421</v>
      </c>
      <c r="B677" s="429" t="s">
        <v>2602</v>
      </c>
      <c r="C677" s="430" t="s">
        <v>3314</v>
      </c>
      <c r="D677" s="1349" t="s">
        <v>1873</v>
      </c>
      <c r="E677" s="1350" t="s">
        <v>7450</v>
      </c>
      <c r="F677" s="1350" t="s">
        <v>2779</v>
      </c>
      <c r="G677" s="1351" t="s">
        <v>3739</v>
      </c>
      <c r="H677" s="1342" t="s">
        <v>1328</v>
      </c>
      <c r="I677" s="432" t="s">
        <v>1550</v>
      </c>
      <c r="J677" s="431"/>
      <c r="K677" s="431"/>
      <c r="L677" s="431"/>
      <c r="M677" s="433"/>
      <c r="N677" s="434" t="s">
        <v>6403</v>
      </c>
      <c r="O677" s="1743" t="str">
        <f t="shared" si="405"/>
        <v>Effacement malveillant total de fichiers et fichiers de sauvegarde de services de publication d'informations sur un site web interne ou public, par un membre du personnel d'exploitation</v>
      </c>
      <c r="P677" s="435">
        <v>1</v>
      </c>
      <c r="Q677" s="1595" t="s">
        <v>1299</v>
      </c>
      <c r="R677" s="1595" t="s">
        <v>1873</v>
      </c>
      <c r="S677" s="1595" t="str">
        <f>Classif!C27</f>
        <v/>
      </c>
      <c r="T677" s="1595">
        <f t="shared" si="396"/>
        <v>2</v>
      </c>
      <c r="U677" s="1744" t="str">
        <f t="shared" si="397"/>
        <v/>
      </c>
      <c r="V677" s="1771">
        <f>MIN(S08F02,S08F03)</f>
        <v>1</v>
      </c>
      <c r="W677" s="1771">
        <v>1</v>
      </c>
      <c r="X677" s="1771">
        <v>1</v>
      </c>
      <c r="Y677" s="1771">
        <v>1</v>
      </c>
      <c r="Z677" s="1746">
        <v>0</v>
      </c>
      <c r="AA677" s="1747"/>
      <c r="AB677" s="1748"/>
      <c r="AC677" s="1748"/>
      <c r="AD677" s="1595" t="str">
        <f t="shared" si="393"/>
        <v/>
      </c>
      <c r="AE677" s="1595">
        <f t="shared" si="399"/>
        <v>2</v>
      </c>
      <c r="AF677" s="1595" t="str">
        <f t="shared" si="400"/>
        <v/>
      </c>
      <c r="AG677" s="1748"/>
      <c r="AH677" s="1749" t="str">
        <f t="shared" si="394"/>
        <v/>
      </c>
      <c r="AI677" s="1622" t="s">
        <v>6495</v>
      </c>
      <c r="AJ677" s="1621"/>
      <c r="AK677" s="1618"/>
      <c r="AL677" s="1617"/>
      <c r="AM677" s="247" t="str">
        <f t="shared" si="387"/>
        <v/>
      </c>
      <c r="AN677" s="247" t="str">
        <f t="shared" si="388"/>
        <v/>
      </c>
      <c r="AO677" s="247" t="str">
        <f t="shared" si="389"/>
        <v/>
      </c>
      <c r="AP677" s="247" t="str">
        <f t="shared" si="390"/>
        <v/>
      </c>
      <c r="AQ677" s="42">
        <f t="shared" si="401"/>
        <v>1</v>
      </c>
      <c r="AR677" s="42">
        <f t="shared" si="402"/>
        <v>1</v>
      </c>
      <c r="AS677" s="42">
        <f t="shared" si="403"/>
        <v>1</v>
      </c>
      <c r="AT677" s="42">
        <f t="shared" si="404"/>
        <v>1</v>
      </c>
      <c r="AU677" s="247" t="str">
        <f t="shared" si="391"/>
        <v/>
      </c>
      <c r="AV677" s="247" t="str">
        <f t="shared" si="392"/>
        <v/>
      </c>
    </row>
    <row r="678" spans="1:48" ht="36" x14ac:dyDescent="0.2">
      <c r="A678" s="428" t="s">
        <v>422</v>
      </c>
      <c r="B678" s="429" t="s">
        <v>5631</v>
      </c>
      <c r="C678" s="430" t="s">
        <v>3314</v>
      </c>
      <c r="D678" s="1349" t="s">
        <v>1873</v>
      </c>
      <c r="E678" s="1350" t="s">
        <v>7450</v>
      </c>
      <c r="F678" s="1350" t="s">
        <v>5162</v>
      </c>
      <c r="G678" s="1351" t="s">
        <v>5557</v>
      </c>
      <c r="H678" s="1342" t="s">
        <v>1327</v>
      </c>
      <c r="I678" s="432" t="s">
        <v>1545</v>
      </c>
      <c r="J678" s="431"/>
      <c r="K678" s="431"/>
      <c r="L678" s="431"/>
      <c r="M678" s="433" t="s">
        <v>5421</v>
      </c>
      <c r="N678" s="434" t="s">
        <v>1299</v>
      </c>
      <c r="O678" s="1743" t="str">
        <f>VLOOKUP(B678,code_famille_scénario,2)&amp;VLOOKUP(C678,code_actif,2)&amp;" due "&amp;VLOOKUP(I678,code_event,2)&amp;", "&amp;VLOOKUP(M678,code_process,2)</f>
        <v>Pollution accidentelle de programmes de services de publication d'informations sur un site web interne ou public due à une erreur de procédure, lors d'une opération de maintenance logicielle</v>
      </c>
      <c r="P678" s="435">
        <v>1</v>
      </c>
      <c r="Q678" s="1595" t="s">
        <v>1431</v>
      </c>
      <c r="R678" s="1595" t="s">
        <v>1873</v>
      </c>
      <c r="S678" s="1595" t="str">
        <f>Classif!C27</f>
        <v/>
      </c>
      <c r="T678" s="1595">
        <f t="shared" si="396"/>
        <v>3</v>
      </c>
      <c r="U678" s="1744" t="str">
        <f t="shared" si="397"/>
        <v/>
      </c>
      <c r="V678" s="1771">
        <v>1</v>
      </c>
      <c r="W678" s="1771">
        <f>S10B05</f>
        <v>1</v>
      </c>
      <c r="X678" s="1771">
        <v>1</v>
      </c>
      <c r="Y678" s="1771">
        <f t="shared" ref="Y678:Y703" si="406">S08D04</f>
        <v>1</v>
      </c>
      <c r="Z678" s="1746">
        <v>0</v>
      </c>
      <c r="AA678" s="1747"/>
      <c r="AB678" s="1748"/>
      <c r="AC678" s="1748"/>
      <c r="AD678" s="1595" t="str">
        <f t="shared" si="393"/>
        <v/>
      </c>
      <c r="AE678" s="1595">
        <f t="shared" si="399"/>
        <v>3</v>
      </c>
      <c r="AF678" s="1595" t="str">
        <f t="shared" si="400"/>
        <v/>
      </c>
      <c r="AG678" s="1748"/>
      <c r="AH678" s="1749" t="str">
        <f t="shared" si="394"/>
        <v/>
      </c>
      <c r="AI678" s="1615"/>
      <c r="AJ678" s="1616" t="s">
        <v>3224</v>
      </c>
      <c r="AK678" s="1616"/>
      <c r="AL678" s="1617" t="s">
        <v>4954</v>
      </c>
      <c r="AM678" s="247" t="str">
        <f t="shared" si="387"/>
        <v/>
      </c>
      <c r="AN678" s="247" t="str">
        <f t="shared" si="388"/>
        <v/>
      </c>
      <c r="AO678" s="247" t="str">
        <f t="shared" si="389"/>
        <v/>
      </c>
      <c r="AP678" s="247" t="str">
        <f t="shared" si="390"/>
        <v/>
      </c>
      <c r="AQ678" s="42">
        <f t="shared" si="401"/>
        <v>1</v>
      </c>
      <c r="AR678" s="42">
        <f t="shared" si="402"/>
        <v>1</v>
      </c>
      <c r="AS678" s="42">
        <f t="shared" si="403"/>
        <v>1</v>
      </c>
      <c r="AT678" s="42">
        <f t="shared" si="404"/>
        <v>1</v>
      </c>
      <c r="AU678" s="247" t="str">
        <f t="shared" si="391"/>
        <v/>
      </c>
      <c r="AV678" s="247" t="str">
        <f t="shared" si="392"/>
        <v/>
      </c>
    </row>
    <row r="679" spans="1:48" ht="36" x14ac:dyDescent="0.2">
      <c r="A679" s="428" t="s">
        <v>423</v>
      </c>
      <c r="B679" s="429" t="s">
        <v>5631</v>
      </c>
      <c r="C679" s="430" t="s">
        <v>3314</v>
      </c>
      <c r="D679" s="1349" t="s">
        <v>1873</v>
      </c>
      <c r="E679" s="1350" t="s">
        <v>7450</v>
      </c>
      <c r="F679" s="1350" t="s">
        <v>5162</v>
      </c>
      <c r="G679" s="1351" t="s">
        <v>5557</v>
      </c>
      <c r="H679" s="1342" t="s">
        <v>1327</v>
      </c>
      <c r="I679" s="432" t="s">
        <v>1545</v>
      </c>
      <c r="J679" s="431"/>
      <c r="K679" s="431"/>
      <c r="L679" s="431"/>
      <c r="M679" s="433" t="s">
        <v>5422</v>
      </c>
      <c r="N679" s="434" t="s">
        <v>1299</v>
      </c>
      <c r="O679" s="1743" t="str">
        <f>VLOOKUP(B679,code_famille_scénario,2)&amp;VLOOKUP(C679,code_actif,2)&amp;" due "&amp;VLOOKUP(I679,code_event,2)&amp;", "&amp;VLOOKUP(M679,code_process,2)</f>
        <v>Pollution accidentelle de programmes de services de publication d'informations sur un site web interne ou public due à une erreur de procédure, lors d'une opération de maintenance à chaud</v>
      </c>
      <c r="P679" s="435">
        <v>1</v>
      </c>
      <c r="Q679" s="1595" t="s">
        <v>1431</v>
      </c>
      <c r="R679" s="1595" t="s">
        <v>1873</v>
      </c>
      <c r="S679" s="1595" t="str">
        <f>Classif!C27</f>
        <v/>
      </c>
      <c r="T679" s="1595">
        <f t="shared" si="396"/>
        <v>3</v>
      </c>
      <c r="U679" s="1744" t="str">
        <f t="shared" si="397"/>
        <v/>
      </c>
      <c r="V679" s="1771">
        <v>1</v>
      </c>
      <c r="W679" s="1771">
        <f>S10B06</f>
        <v>1</v>
      </c>
      <c r="X679" s="1771">
        <v>1</v>
      </c>
      <c r="Y679" s="1771">
        <f t="shared" si="406"/>
        <v>1</v>
      </c>
      <c r="Z679" s="1746">
        <v>0</v>
      </c>
      <c r="AA679" s="1747"/>
      <c r="AB679" s="1748"/>
      <c r="AC679" s="1748"/>
      <c r="AD679" s="1595" t="str">
        <f t="shared" si="393"/>
        <v/>
      </c>
      <c r="AE679" s="1595">
        <f t="shared" si="399"/>
        <v>3</v>
      </c>
      <c r="AF679" s="1595" t="str">
        <f t="shared" si="400"/>
        <v/>
      </c>
      <c r="AG679" s="1748"/>
      <c r="AH679" s="1749" t="str">
        <f t="shared" si="394"/>
        <v/>
      </c>
      <c r="AI679" s="1615"/>
      <c r="AJ679" s="1616" t="s">
        <v>3226</v>
      </c>
      <c r="AK679" s="1616"/>
      <c r="AL679" s="1617" t="s">
        <v>4954</v>
      </c>
      <c r="AM679" s="247" t="str">
        <f t="shared" si="387"/>
        <v/>
      </c>
      <c r="AN679" s="247" t="str">
        <f t="shared" si="388"/>
        <v/>
      </c>
      <c r="AO679" s="247" t="str">
        <f t="shared" si="389"/>
        <v/>
      </c>
      <c r="AP679" s="247" t="str">
        <f t="shared" si="390"/>
        <v/>
      </c>
      <c r="AQ679" s="42">
        <f t="shared" si="401"/>
        <v>1</v>
      </c>
      <c r="AR679" s="42">
        <f t="shared" si="402"/>
        <v>1</v>
      </c>
      <c r="AS679" s="42">
        <f t="shared" si="403"/>
        <v>1</v>
      </c>
      <c r="AT679" s="42">
        <f t="shared" si="404"/>
        <v>1</v>
      </c>
      <c r="AU679" s="247" t="str">
        <f t="shared" si="391"/>
        <v/>
      </c>
      <c r="AV679" s="247" t="str">
        <f t="shared" si="392"/>
        <v/>
      </c>
    </row>
    <row r="680" spans="1:48" ht="24" x14ac:dyDescent="0.2">
      <c r="A680" s="428" t="s">
        <v>424</v>
      </c>
      <c r="B680" s="429" t="s">
        <v>5631</v>
      </c>
      <c r="C680" s="430" t="s">
        <v>3314</v>
      </c>
      <c r="D680" s="1349" t="s">
        <v>1873</v>
      </c>
      <c r="E680" s="1350" t="s">
        <v>7450</v>
      </c>
      <c r="F680" s="1350" t="s">
        <v>5162</v>
      </c>
      <c r="G680" s="1351" t="s">
        <v>5557</v>
      </c>
      <c r="H680" s="1342" t="s">
        <v>1465</v>
      </c>
      <c r="I680" s="432" t="s">
        <v>1880</v>
      </c>
      <c r="J680" s="431"/>
      <c r="K680" s="431"/>
      <c r="L680" s="431"/>
      <c r="M680" s="433"/>
      <c r="N680" s="434"/>
      <c r="O680" s="1743" t="str">
        <f>VLOOKUP(B680,code_famille_scénario,2)&amp;VLOOKUP(C680,code_actif,2)&amp;" due "&amp;VLOOKUP(I680,code_event,2)</f>
        <v>Pollution accidentelle de programmes de services de publication d'informations sur un site web interne ou public due à un incident d'exploitation</v>
      </c>
      <c r="P680" s="435">
        <v>1</v>
      </c>
      <c r="Q680" s="1595" t="s">
        <v>1431</v>
      </c>
      <c r="R680" s="1595" t="s">
        <v>1873</v>
      </c>
      <c r="S680" s="1595" t="str">
        <f>Classif!C27</f>
        <v/>
      </c>
      <c r="T680" s="1595">
        <f t="shared" si="396"/>
        <v>3</v>
      </c>
      <c r="U680" s="1744" t="str">
        <f t="shared" si="397"/>
        <v/>
      </c>
      <c r="V680" s="1771">
        <v>1</v>
      </c>
      <c r="W680" s="1771">
        <f>S08D03</f>
        <v>1</v>
      </c>
      <c r="X680" s="1771">
        <f>S08E02</f>
        <v>1</v>
      </c>
      <c r="Y680" s="1771">
        <f t="shared" si="406"/>
        <v>1</v>
      </c>
      <c r="Z680" s="1746">
        <v>0</v>
      </c>
      <c r="AA680" s="1747"/>
      <c r="AB680" s="1748"/>
      <c r="AC680" s="1748"/>
      <c r="AD680" s="1595" t="str">
        <f t="shared" si="393"/>
        <v/>
      </c>
      <c r="AE680" s="1595">
        <f t="shared" si="399"/>
        <v>3</v>
      </c>
      <c r="AF680" s="1595" t="str">
        <f t="shared" si="400"/>
        <v/>
      </c>
      <c r="AG680" s="1748"/>
      <c r="AH680" s="1749" t="str">
        <f t="shared" si="394"/>
        <v/>
      </c>
      <c r="AI680" s="1615"/>
      <c r="AJ680" s="1616" t="s">
        <v>1663</v>
      </c>
      <c r="AK680" s="1616" t="s">
        <v>1498</v>
      </c>
      <c r="AL680" s="1617" t="s">
        <v>4954</v>
      </c>
      <c r="AM680" s="247" t="str">
        <f t="shared" si="387"/>
        <v/>
      </c>
      <c r="AN680" s="247" t="str">
        <f t="shared" si="388"/>
        <v/>
      </c>
      <c r="AO680" s="247" t="str">
        <f t="shared" si="389"/>
        <v/>
      </c>
      <c r="AP680" s="247" t="str">
        <f t="shared" si="390"/>
        <v/>
      </c>
      <c r="AQ680" s="42">
        <f t="shared" si="401"/>
        <v>1</v>
      </c>
      <c r="AR680" s="42">
        <f t="shared" si="402"/>
        <v>1</v>
      </c>
      <c r="AS680" s="42">
        <f t="shared" si="403"/>
        <v>1</v>
      </c>
      <c r="AT680" s="42">
        <f t="shared" si="404"/>
        <v>1</v>
      </c>
      <c r="AU680" s="247" t="str">
        <f t="shared" si="391"/>
        <v/>
      </c>
      <c r="AV680" s="247" t="str">
        <f t="shared" si="392"/>
        <v/>
      </c>
    </row>
    <row r="681" spans="1:48" ht="36" x14ac:dyDescent="0.2">
      <c r="A681" s="428" t="s">
        <v>425</v>
      </c>
      <c r="B681" s="429" t="s">
        <v>5576</v>
      </c>
      <c r="C681" s="430" t="s">
        <v>3314</v>
      </c>
      <c r="D681" s="1349" t="s">
        <v>1873</v>
      </c>
      <c r="E681" s="1350" t="s">
        <v>7450</v>
      </c>
      <c r="F681" s="1350" t="s">
        <v>5162</v>
      </c>
      <c r="G681" s="1351" t="s">
        <v>5557</v>
      </c>
      <c r="H681" s="1342" t="s">
        <v>1328</v>
      </c>
      <c r="I681" s="432" t="s">
        <v>1548</v>
      </c>
      <c r="J681" s="431"/>
      <c r="K681" s="431"/>
      <c r="L681" s="431"/>
      <c r="M681" s="433" t="s">
        <v>1880</v>
      </c>
      <c r="N681" s="434" t="s">
        <v>1302</v>
      </c>
      <c r="O681" s="1743" t="str">
        <f>VLOOKUP(B681,code_famille_scénario,2)&amp;VLOOKUP(C681,code_actif,2)&amp;" "&amp;VLOOKUP(M681,code_process,2)&amp;" par "&amp;VLOOKUP(N681,code_acteur,2)</f>
        <v>Pollution malveillante de programmes de services de publication d'informations sur un site web interne ou public en exploitation par un utilisateur autorisé illégitime</v>
      </c>
      <c r="P681" s="435">
        <v>1</v>
      </c>
      <c r="Q681" s="1595" t="s">
        <v>1299</v>
      </c>
      <c r="R681" s="1595" t="s">
        <v>1873</v>
      </c>
      <c r="S681" s="1595" t="str">
        <f>Classif!C27</f>
        <v/>
      </c>
      <c r="T681" s="1595">
        <f t="shared" si="396"/>
        <v>3</v>
      </c>
      <c r="U681" s="1744" t="str">
        <f t="shared" si="397"/>
        <v/>
      </c>
      <c r="V681" s="1771">
        <v>1</v>
      </c>
      <c r="W681" s="1771">
        <f>MAX(MIN(S07A01,S07A02,S08F01),MIN(S09A01,S09A02))</f>
        <v>1</v>
      </c>
      <c r="X681" s="1771">
        <v>1</v>
      </c>
      <c r="Y681" s="1771">
        <f t="shared" si="406"/>
        <v>1</v>
      </c>
      <c r="Z681" s="1746">
        <v>0</v>
      </c>
      <c r="AA681" s="1747"/>
      <c r="AB681" s="1748"/>
      <c r="AC681" s="1748"/>
      <c r="AD681" s="1595" t="str">
        <f t="shared" si="393"/>
        <v/>
      </c>
      <c r="AE681" s="1595">
        <f t="shared" si="399"/>
        <v>3</v>
      </c>
      <c r="AF681" s="1595" t="str">
        <f t="shared" si="400"/>
        <v/>
      </c>
      <c r="AG681" s="1748"/>
      <c r="AH681" s="1749" t="str">
        <f t="shared" si="394"/>
        <v/>
      </c>
      <c r="AI681" s="1620"/>
      <c r="AJ681" s="1616" t="s">
        <v>6283</v>
      </c>
      <c r="AK681" s="1616"/>
      <c r="AL681" s="1617" t="s">
        <v>4954</v>
      </c>
      <c r="AM681" s="247" t="str">
        <f t="shared" si="387"/>
        <v/>
      </c>
      <c r="AN681" s="247" t="str">
        <f t="shared" si="388"/>
        <v/>
      </c>
      <c r="AO681" s="247" t="str">
        <f t="shared" si="389"/>
        <v/>
      </c>
      <c r="AP681" s="247" t="str">
        <f t="shared" si="390"/>
        <v/>
      </c>
      <c r="AQ681" s="42">
        <f t="shared" si="401"/>
        <v>1</v>
      </c>
      <c r="AR681" s="42">
        <f t="shared" si="402"/>
        <v>1</v>
      </c>
      <c r="AS681" s="42">
        <f t="shared" si="403"/>
        <v>1</v>
      </c>
      <c r="AT681" s="42">
        <f t="shared" si="404"/>
        <v>1</v>
      </c>
      <c r="AU681" s="247" t="str">
        <f t="shared" si="391"/>
        <v/>
      </c>
      <c r="AV681" s="247" t="str">
        <f t="shared" si="392"/>
        <v/>
      </c>
    </row>
    <row r="682" spans="1:48" ht="33.75" x14ac:dyDescent="0.2">
      <c r="A682" s="428" t="s">
        <v>136</v>
      </c>
      <c r="B682" s="429" t="s">
        <v>5576</v>
      </c>
      <c r="C682" s="430" t="s">
        <v>3314</v>
      </c>
      <c r="D682" s="1349" t="s">
        <v>1873</v>
      </c>
      <c r="E682" s="1350" t="s">
        <v>7450</v>
      </c>
      <c r="F682" s="1350" t="s">
        <v>5162</v>
      </c>
      <c r="G682" s="1351" t="s">
        <v>5557</v>
      </c>
      <c r="H682" s="1342" t="s">
        <v>1328</v>
      </c>
      <c r="I682" s="432" t="s">
        <v>1548</v>
      </c>
      <c r="J682" s="431"/>
      <c r="K682" s="431"/>
      <c r="L682" s="431"/>
      <c r="M682" s="433" t="s">
        <v>1880</v>
      </c>
      <c r="N682" s="434" t="s">
        <v>1303</v>
      </c>
      <c r="O682" s="1743" t="str">
        <f>VLOOKUP(B682,code_famille_scénario,2)&amp;VLOOKUP(C682,code_actif,2)&amp;" "&amp;VLOOKUP(M682,code_process,2)&amp;" par "&amp;VLOOKUP(N682,code_acteur,2)</f>
        <v>Pollution malveillante de programmes de services de publication d'informations sur un site web interne ou public en exploitation par un utilisateur non autorisé</v>
      </c>
      <c r="P682" s="435">
        <v>1</v>
      </c>
      <c r="Q682" s="1595" t="s">
        <v>1299</v>
      </c>
      <c r="R682" s="1595" t="s">
        <v>1873</v>
      </c>
      <c r="S682" s="1595" t="str">
        <f>Classif!C27</f>
        <v/>
      </c>
      <c r="T682" s="1595">
        <f t="shared" si="396"/>
        <v>3</v>
      </c>
      <c r="U682" s="1744" t="str">
        <f t="shared" si="397"/>
        <v/>
      </c>
      <c r="V682" s="1771">
        <v>1</v>
      </c>
      <c r="W682" s="1771">
        <f>MAX(MIN(S07A03,S07A04,S08F02),MIN(S09A03,S09A04))</f>
        <v>1</v>
      </c>
      <c r="X682" s="1771">
        <v>1</v>
      </c>
      <c r="Y682" s="1771">
        <f t="shared" si="406"/>
        <v>1</v>
      </c>
      <c r="Z682" s="1746">
        <v>0</v>
      </c>
      <c r="AA682" s="1747"/>
      <c r="AB682" s="1748"/>
      <c r="AC682" s="1748"/>
      <c r="AD682" s="1595" t="str">
        <f t="shared" si="393"/>
        <v/>
      </c>
      <c r="AE682" s="1595">
        <f t="shared" si="399"/>
        <v>3</v>
      </c>
      <c r="AF682" s="1595" t="str">
        <f t="shared" si="400"/>
        <v/>
      </c>
      <c r="AG682" s="1748"/>
      <c r="AH682" s="1749" t="str">
        <f t="shared" si="394"/>
        <v/>
      </c>
      <c r="AI682" s="1620"/>
      <c r="AJ682" s="1616" t="s">
        <v>5180</v>
      </c>
      <c r="AK682" s="1616"/>
      <c r="AL682" s="1617" t="s">
        <v>4954</v>
      </c>
      <c r="AM682" s="247" t="str">
        <f t="shared" si="387"/>
        <v/>
      </c>
      <c r="AN682" s="247" t="str">
        <f t="shared" si="388"/>
        <v/>
      </c>
      <c r="AO682" s="247" t="str">
        <f t="shared" si="389"/>
        <v/>
      </c>
      <c r="AP682" s="247" t="str">
        <f t="shared" si="390"/>
        <v/>
      </c>
      <c r="AQ682" s="42">
        <f t="shared" si="401"/>
        <v>1</v>
      </c>
      <c r="AR682" s="42">
        <f t="shared" si="402"/>
        <v>1</v>
      </c>
      <c r="AS682" s="42">
        <f t="shared" si="403"/>
        <v>1</v>
      </c>
      <c r="AT682" s="42">
        <f t="shared" si="404"/>
        <v>1</v>
      </c>
      <c r="AU682" s="247" t="str">
        <f t="shared" si="391"/>
        <v/>
      </c>
      <c r="AV682" s="247" t="str">
        <f t="shared" si="392"/>
        <v/>
      </c>
    </row>
    <row r="683" spans="1:48" ht="36" x14ac:dyDescent="0.2">
      <c r="A683" s="428" t="s">
        <v>137</v>
      </c>
      <c r="B683" s="429" t="s">
        <v>5576</v>
      </c>
      <c r="C683" s="430" t="s">
        <v>3314</v>
      </c>
      <c r="D683" s="1349" t="s">
        <v>1873</v>
      </c>
      <c r="E683" s="1350" t="s">
        <v>7450</v>
      </c>
      <c r="F683" s="1350" t="s">
        <v>5162</v>
      </c>
      <c r="G683" s="1351" t="s">
        <v>5557</v>
      </c>
      <c r="H683" s="1342" t="s">
        <v>1328</v>
      </c>
      <c r="I683" s="432" t="s">
        <v>1548</v>
      </c>
      <c r="J683" s="431"/>
      <c r="K683" s="431"/>
      <c r="L683" s="431"/>
      <c r="M683" s="433" t="s">
        <v>1880</v>
      </c>
      <c r="N683" s="434" t="s">
        <v>6403</v>
      </c>
      <c r="O683" s="1743" t="str">
        <f>VLOOKUP(B683,code_famille_scénario,2)&amp;VLOOKUP(C683,code_actif,2)&amp;" "&amp;VLOOKUP(M683,code_process,2)&amp;" par "&amp;VLOOKUP(N683,code_acteur,2)</f>
        <v>Pollution malveillante de programmes de services de publication d'informations sur un site web interne ou public en exploitation par un membre du personnel d'exploitation</v>
      </c>
      <c r="P683" s="435">
        <v>1</v>
      </c>
      <c r="Q683" s="1595" t="s">
        <v>1299</v>
      </c>
      <c r="R683" s="1595" t="s">
        <v>1873</v>
      </c>
      <c r="S683" s="1595" t="str">
        <f>Classif!C27</f>
        <v/>
      </c>
      <c r="T683" s="1595">
        <f t="shared" si="396"/>
        <v>3</v>
      </c>
      <c r="U683" s="1744" t="str">
        <f t="shared" si="397"/>
        <v/>
      </c>
      <c r="V683" s="1771">
        <f>MIN(S08F02,S08F03)</f>
        <v>1</v>
      </c>
      <c r="W683" s="1771">
        <v>1</v>
      </c>
      <c r="X683" s="1771">
        <v>1</v>
      </c>
      <c r="Y683" s="1771">
        <f t="shared" si="406"/>
        <v>1</v>
      </c>
      <c r="Z683" s="1746">
        <v>0</v>
      </c>
      <c r="AA683" s="1747"/>
      <c r="AB683" s="1748"/>
      <c r="AC683" s="1748"/>
      <c r="AD683" s="1595" t="str">
        <f t="shared" si="393"/>
        <v/>
      </c>
      <c r="AE683" s="1595">
        <f t="shared" si="399"/>
        <v>3</v>
      </c>
      <c r="AF683" s="1595" t="str">
        <f t="shared" si="400"/>
        <v/>
      </c>
      <c r="AG683" s="1748"/>
      <c r="AH683" s="1749" t="str">
        <f t="shared" si="394"/>
        <v/>
      </c>
      <c r="AI683" s="1622" t="s">
        <v>6495</v>
      </c>
      <c r="AJ683" s="1616"/>
      <c r="AK683" s="1618"/>
      <c r="AL683" s="1617" t="s">
        <v>4954</v>
      </c>
      <c r="AM683" s="247" t="str">
        <f t="shared" si="387"/>
        <v/>
      </c>
      <c r="AN683" s="247" t="str">
        <f t="shared" si="388"/>
        <v/>
      </c>
      <c r="AO683" s="247" t="str">
        <f t="shared" si="389"/>
        <v/>
      </c>
      <c r="AP683" s="247" t="str">
        <f t="shared" si="390"/>
        <v/>
      </c>
      <c r="AQ683" s="42">
        <f t="shared" si="401"/>
        <v>1</v>
      </c>
      <c r="AR683" s="42">
        <f t="shared" si="402"/>
        <v>1</v>
      </c>
      <c r="AS683" s="42">
        <f t="shared" si="403"/>
        <v>1</v>
      </c>
      <c r="AT683" s="42">
        <f t="shared" si="404"/>
        <v>1</v>
      </c>
      <c r="AU683" s="247" t="str">
        <f t="shared" si="391"/>
        <v/>
      </c>
      <c r="AV683" s="247" t="str">
        <f t="shared" si="392"/>
        <v/>
      </c>
    </row>
    <row r="684" spans="1:48" ht="36" x14ac:dyDescent="0.2">
      <c r="A684" s="428" t="s">
        <v>138</v>
      </c>
      <c r="B684" s="429" t="s">
        <v>5576</v>
      </c>
      <c r="C684" s="430" t="s">
        <v>3314</v>
      </c>
      <c r="D684" s="1349" t="s">
        <v>1873</v>
      </c>
      <c r="E684" s="1350" t="s">
        <v>7450</v>
      </c>
      <c r="F684" s="1350" t="s">
        <v>5162</v>
      </c>
      <c r="G684" s="1351" t="s">
        <v>5557</v>
      </c>
      <c r="H684" s="1342" t="s">
        <v>1328</v>
      </c>
      <c r="I684" s="432" t="s">
        <v>1548</v>
      </c>
      <c r="J684" s="431"/>
      <c r="K684" s="431"/>
      <c r="L684" s="431"/>
      <c r="M684" s="433" t="s">
        <v>1880</v>
      </c>
      <c r="N684" s="434" t="s">
        <v>1299</v>
      </c>
      <c r="O684" s="1743" t="str">
        <f>VLOOKUP(B684,code_famille_scénario,2)&amp;VLOOKUP(C684,code_actif,2)&amp;" "&amp;VLOOKUP(M684,code_process,2)&amp;" par "&amp;VLOOKUP(N684,code_acteur,2)</f>
        <v>Pollution malveillante de programmes de services de publication d'informations sur un site web interne ou public en exploitation par un membre du personnel de maintenance</v>
      </c>
      <c r="P684" s="435">
        <v>1</v>
      </c>
      <c r="Q684" s="1595" t="s">
        <v>1299</v>
      </c>
      <c r="R684" s="1595" t="s">
        <v>1873</v>
      </c>
      <c r="S684" s="1595" t="str">
        <f>Classif!C27</f>
        <v/>
      </c>
      <c r="T684" s="1595">
        <f t="shared" si="396"/>
        <v>3</v>
      </c>
      <c r="U684" s="1744" t="str">
        <f t="shared" si="397"/>
        <v/>
      </c>
      <c r="V684" s="1771">
        <f>MIN(S08F02,S08F03)</f>
        <v>1</v>
      </c>
      <c r="W684" s="1771">
        <f>S10B05</f>
        <v>1</v>
      </c>
      <c r="X684" s="1771">
        <v>1</v>
      </c>
      <c r="Y684" s="1771">
        <f t="shared" si="406"/>
        <v>1</v>
      </c>
      <c r="Z684" s="1746">
        <v>0</v>
      </c>
      <c r="AA684" s="1747"/>
      <c r="AB684" s="1748"/>
      <c r="AC684" s="1748"/>
      <c r="AD684" s="1595" t="str">
        <f t="shared" si="393"/>
        <v/>
      </c>
      <c r="AE684" s="1595">
        <f t="shared" si="399"/>
        <v>3</v>
      </c>
      <c r="AF684" s="1595" t="str">
        <f t="shared" si="400"/>
        <v/>
      </c>
      <c r="AG684" s="1748"/>
      <c r="AH684" s="1749" t="str">
        <f t="shared" si="394"/>
        <v/>
      </c>
      <c r="AI684" s="1622" t="s">
        <v>6495</v>
      </c>
      <c r="AJ684" s="1616" t="s">
        <v>3224</v>
      </c>
      <c r="AK684" s="1618"/>
      <c r="AL684" s="1617" t="s">
        <v>4954</v>
      </c>
      <c r="AM684" s="247" t="str">
        <f t="shared" si="387"/>
        <v/>
      </c>
      <c r="AN684" s="247" t="str">
        <f t="shared" si="388"/>
        <v/>
      </c>
      <c r="AO684" s="247" t="str">
        <f t="shared" si="389"/>
        <v/>
      </c>
      <c r="AP684" s="247" t="str">
        <f t="shared" si="390"/>
        <v/>
      </c>
      <c r="AQ684" s="42">
        <f t="shared" si="401"/>
        <v>1</v>
      </c>
      <c r="AR684" s="42">
        <f t="shared" si="402"/>
        <v>1</v>
      </c>
      <c r="AS684" s="42">
        <f t="shared" si="403"/>
        <v>1</v>
      </c>
      <c r="AT684" s="42">
        <f t="shared" si="404"/>
        <v>1</v>
      </c>
      <c r="AU684" s="247" t="str">
        <f t="shared" si="391"/>
        <v/>
      </c>
      <c r="AV684" s="247" t="str">
        <f t="shared" si="392"/>
        <v/>
      </c>
    </row>
    <row r="685" spans="1:48" ht="36" x14ac:dyDescent="0.2">
      <c r="A685" s="428" t="s">
        <v>139</v>
      </c>
      <c r="B685" s="429" t="s">
        <v>4476</v>
      </c>
      <c r="C685" s="430" t="s">
        <v>3314</v>
      </c>
      <c r="D685" s="1349" t="s">
        <v>1873</v>
      </c>
      <c r="E685" s="1361" t="s">
        <v>1861</v>
      </c>
      <c r="F685" s="1350" t="s">
        <v>1875</v>
      </c>
      <c r="G685" s="1351" t="s">
        <v>6070</v>
      </c>
      <c r="H685" s="1342" t="s">
        <v>3919</v>
      </c>
      <c r="I685" s="432" t="s">
        <v>1535</v>
      </c>
      <c r="J685" s="431" t="s">
        <v>1880</v>
      </c>
      <c r="K685" s="438"/>
      <c r="L685" s="438"/>
      <c r="M685" s="439"/>
      <c r="N685" s="440"/>
      <c r="O685" s="1743" t="str">
        <f>VLOOKUP(B685,code_famille_scénario,2)&amp;VLOOKUP(C685,code_actif,2)&amp;", "&amp;VLOOKUP(J685,Code_lieu,2)&amp;", suite "&amp;VLOOKUP(I685,code_event,2)</f>
        <v>Perte, par destruction accidentelle, de media support de programme de services de publication d'informations sur un site web interne ou public, dans les locaux de l'exploitation, suite à un incendie</v>
      </c>
      <c r="P685" s="435">
        <v>1</v>
      </c>
      <c r="Q685" s="1595" t="s">
        <v>1431</v>
      </c>
      <c r="R685" s="1595" t="s">
        <v>1873</v>
      </c>
      <c r="S685" s="1595" t="str">
        <f>Classif!C27</f>
        <v/>
      </c>
      <c r="T685" s="1595">
        <f t="shared" si="396"/>
        <v>2</v>
      </c>
      <c r="U685" s="1744" t="str">
        <f t="shared" si="397"/>
        <v/>
      </c>
      <c r="V685" s="1771">
        <v>1</v>
      </c>
      <c r="W685" s="1771">
        <f>S03D01</f>
        <v>1</v>
      </c>
      <c r="X685" s="1771">
        <v>1</v>
      </c>
      <c r="Y685" s="1771">
        <f t="shared" si="406"/>
        <v>1</v>
      </c>
      <c r="Z685" s="1746">
        <v>0</v>
      </c>
      <c r="AA685" s="1747"/>
      <c r="AB685" s="1748"/>
      <c r="AC685" s="1748"/>
      <c r="AD685" s="1595" t="str">
        <f t="shared" si="393"/>
        <v/>
      </c>
      <c r="AE685" s="1595">
        <f t="shared" si="399"/>
        <v>2</v>
      </c>
      <c r="AF685" s="1595" t="str">
        <f t="shared" si="400"/>
        <v/>
      </c>
      <c r="AG685" s="1748"/>
      <c r="AH685" s="1749" t="str">
        <f t="shared" si="394"/>
        <v/>
      </c>
      <c r="AI685" s="1615"/>
      <c r="AJ685" s="1621" t="s">
        <v>5225</v>
      </c>
      <c r="AK685" s="1618"/>
      <c r="AL685" s="1617" t="s">
        <v>4954</v>
      </c>
      <c r="AM685" s="247" t="str">
        <f t="shared" si="387"/>
        <v/>
      </c>
      <c r="AN685" s="247" t="str">
        <f t="shared" si="388"/>
        <v/>
      </c>
      <c r="AO685" s="247" t="str">
        <f t="shared" si="389"/>
        <v/>
      </c>
      <c r="AP685" s="247" t="str">
        <f t="shared" si="390"/>
        <v/>
      </c>
      <c r="AQ685" s="42">
        <f t="shared" si="401"/>
        <v>1</v>
      </c>
      <c r="AR685" s="42">
        <f t="shared" si="402"/>
        <v>1</v>
      </c>
      <c r="AS685" s="42">
        <f t="shared" si="403"/>
        <v>1</v>
      </c>
      <c r="AT685" s="42">
        <f t="shared" si="404"/>
        <v>1</v>
      </c>
      <c r="AU685" s="247" t="str">
        <f t="shared" si="391"/>
        <v/>
      </c>
      <c r="AV685" s="247" t="str">
        <f t="shared" si="392"/>
        <v/>
      </c>
    </row>
    <row r="686" spans="1:48" ht="36" x14ac:dyDescent="0.2">
      <c r="A686" s="428" t="s">
        <v>140</v>
      </c>
      <c r="B686" s="429" t="s">
        <v>4476</v>
      </c>
      <c r="C686" s="430" t="s">
        <v>3314</v>
      </c>
      <c r="D686" s="1349" t="s">
        <v>1873</v>
      </c>
      <c r="E686" s="1361" t="s">
        <v>1861</v>
      </c>
      <c r="F686" s="1350" t="s">
        <v>1875</v>
      </c>
      <c r="G686" s="1351" t="s">
        <v>6070</v>
      </c>
      <c r="H686" s="1342" t="s">
        <v>3919</v>
      </c>
      <c r="I686" s="432" t="s">
        <v>1536</v>
      </c>
      <c r="J686" s="431" t="s">
        <v>1880</v>
      </c>
      <c r="K686" s="438"/>
      <c r="L686" s="438"/>
      <c r="M686" s="439"/>
      <c r="N686" s="440"/>
      <c r="O686" s="1743" t="str">
        <f>VLOOKUP(B686,code_famille_scénario,2)&amp;VLOOKUP(C686,code_actif,2)&amp;", "&amp;VLOOKUP(J686,Code_lieu,2)&amp;", suite "&amp;VLOOKUP(I686,code_event,2)</f>
        <v>Perte, par destruction accidentelle, de media support de programme de services de publication d'informations sur un site web interne ou public, dans les locaux de l'exploitation, suite à une inondation</v>
      </c>
      <c r="P686" s="435">
        <v>1</v>
      </c>
      <c r="Q686" s="1595" t="s">
        <v>1431</v>
      </c>
      <c r="R686" s="1595" t="s">
        <v>1873</v>
      </c>
      <c r="S686" s="1595" t="str">
        <f>Classif!C27</f>
        <v/>
      </c>
      <c r="T686" s="1595">
        <f t="shared" si="396"/>
        <v>2</v>
      </c>
      <c r="U686" s="1744" t="str">
        <f t="shared" si="397"/>
        <v/>
      </c>
      <c r="V686" s="1771">
        <v>1</v>
      </c>
      <c r="W686" s="1771">
        <v>1</v>
      </c>
      <c r="X686" s="1771">
        <v>1</v>
      </c>
      <c r="Y686" s="1771">
        <f t="shared" si="406"/>
        <v>1</v>
      </c>
      <c r="Z686" s="1746">
        <v>0</v>
      </c>
      <c r="AA686" s="1747"/>
      <c r="AB686" s="1748"/>
      <c r="AC686" s="1748"/>
      <c r="AD686" s="1595" t="str">
        <f t="shared" si="393"/>
        <v/>
      </c>
      <c r="AE686" s="1595">
        <f t="shared" si="399"/>
        <v>2</v>
      </c>
      <c r="AF686" s="1595" t="str">
        <f t="shared" si="400"/>
        <v/>
      </c>
      <c r="AG686" s="1748"/>
      <c r="AH686" s="1749" t="str">
        <f t="shared" si="394"/>
        <v/>
      </c>
      <c r="AI686" s="1615"/>
      <c r="AJ686" s="1621"/>
      <c r="AK686" s="1618"/>
      <c r="AL686" s="1617" t="s">
        <v>4954</v>
      </c>
      <c r="AM686" s="247" t="str">
        <f t="shared" si="387"/>
        <v/>
      </c>
      <c r="AN686" s="247" t="str">
        <f t="shared" si="388"/>
        <v/>
      </c>
      <c r="AO686" s="247" t="str">
        <f t="shared" si="389"/>
        <v/>
      </c>
      <c r="AP686" s="247" t="str">
        <f t="shared" si="390"/>
        <v/>
      </c>
      <c r="AQ686" s="42">
        <f t="shared" si="401"/>
        <v>1</v>
      </c>
      <c r="AR686" s="42">
        <f t="shared" si="402"/>
        <v>1</v>
      </c>
      <c r="AS686" s="42">
        <f t="shared" si="403"/>
        <v>1</v>
      </c>
      <c r="AT686" s="42">
        <f t="shared" si="404"/>
        <v>1</v>
      </c>
      <c r="AU686" s="247" t="str">
        <f t="shared" si="391"/>
        <v/>
      </c>
      <c r="AV686" s="247" t="str">
        <f t="shared" si="392"/>
        <v/>
      </c>
    </row>
    <row r="687" spans="1:48" ht="36" x14ac:dyDescent="0.2">
      <c r="A687" s="428" t="s">
        <v>141</v>
      </c>
      <c r="B687" s="429" t="s">
        <v>4476</v>
      </c>
      <c r="C687" s="430" t="s">
        <v>3314</v>
      </c>
      <c r="D687" s="1349" t="s">
        <v>1873</v>
      </c>
      <c r="E687" s="1361" t="s">
        <v>1861</v>
      </c>
      <c r="F687" s="1350" t="s">
        <v>1875</v>
      </c>
      <c r="G687" s="1351" t="s">
        <v>6070</v>
      </c>
      <c r="H687" s="1342" t="s">
        <v>3919</v>
      </c>
      <c r="I687" s="432" t="s">
        <v>1535</v>
      </c>
      <c r="J687" s="431" t="s">
        <v>1876</v>
      </c>
      <c r="K687" s="438"/>
      <c r="L687" s="438"/>
      <c r="M687" s="439"/>
      <c r="N687" s="440"/>
      <c r="O687" s="1743" t="str">
        <f>VLOOKUP(B687,code_famille_scénario,2)&amp;VLOOKUP(C687,code_actif,2)&amp;", "&amp;VLOOKUP(J687,Code_lieu,2)&amp;", suite "&amp;VLOOKUP(I687,code_event,2)</f>
        <v>Perte, par destruction accidentelle, de media support de programme de services de publication d'informations sur un site web interne ou public, en médiathèque, suite à un incendie</v>
      </c>
      <c r="P687" s="435">
        <v>1</v>
      </c>
      <c r="Q687" s="1595" t="s">
        <v>1431</v>
      </c>
      <c r="R687" s="1595" t="s">
        <v>1873</v>
      </c>
      <c r="S687" s="1595" t="str">
        <f>Classif!C27</f>
        <v/>
      </c>
      <c r="T687" s="1595">
        <f t="shared" si="396"/>
        <v>2</v>
      </c>
      <c r="U687" s="1744" t="str">
        <f t="shared" si="397"/>
        <v/>
      </c>
      <c r="V687" s="1771">
        <v>1</v>
      </c>
      <c r="W687" s="1771">
        <f>S03D01</f>
        <v>1</v>
      </c>
      <c r="X687" s="1771">
        <v>1</v>
      </c>
      <c r="Y687" s="1771">
        <f t="shared" si="406"/>
        <v>1</v>
      </c>
      <c r="Z687" s="1746">
        <v>0</v>
      </c>
      <c r="AA687" s="1747"/>
      <c r="AB687" s="1748"/>
      <c r="AC687" s="1748"/>
      <c r="AD687" s="1595" t="str">
        <f t="shared" si="393"/>
        <v/>
      </c>
      <c r="AE687" s="1595">
        <f t="shared" si="399"/>
        <v>2</v>
      </c>
      <c r="AF687" s="1595" t="str">
        <f t="shared" si="400"/>
        <v/>
      </c>
      <c r="AG687" s="1748"/>
      <c r="AH687" s="1749" t="str">
        <f t="shared" si="394"/>
        <v/>
      </c>
      <c r="AI687" s="1615"/>
      <c r="AJ687" s="1621" t="s">
        <v>5225</v>
      </c>
      <c r="AK687" s="1618"/>
      <c r="AL687" s="1617" t="s">
        <v>4954</v>
      </c>
      <c r="AM687" s="247" t="str">
        <f t="shared" si="387"/>
        <v/>
      </c>
      <c r="AN687" s="247" t="str">
        <f t="shared" si="388"/>
        <v/>
      </c>
      <c r="AO687" s="247" t="str">
        <f t="shared" si="389"/>
        <v/>
      </c>
      <c r="AP687" s="247" t="str">
        <f t="shared" si="390"/>
        <v/>
      </c>
      <c r="AQ687" s="42">
        <f t="shared" si="401"/>
        <v>1</v>
      </c>
      <c r="AR687" s="42">
        <f t="shared" si="402"/>
        <v>1</v>
      </c>
      <c r="AS687" s="42">
        <f t="shared" si="403"/>
        <v>1</v>
      </c>
      <c r="AT687" s="42">
        <f t="shared" si="404"/>
        <v>1</v>
      </c>
      <c r="AU687" s="247" t="str">
        <f t="shared" si="391"/>
        <v/>
      </c>
      <c r="AV687" s="247" t="str">
        <f t="shared" si="392"/>
        <v/>
      </c>
    </row>
    <row r="688" spans="1:48" ht="36" x14ac:dyDescent="0.2">
      <c r="A688" s="428" t="s">
        <v>142</v>
      </c>
      <c r="B688" s="429" t="s">
        <v>4476</v>
      </c>
      <c r="C688" s="430" t="s">
        <v>3314</v>
      </c>
      <c r="D688" s="1349" t="s">
        <v>1873</v>
      </c>
      <c r="E688" s="1361" t="s">
        <v>1861</v>
      </c>
      <c r="F688" s="1350" t="s">
        <v>1875</v>
      </c>
      <c r="G688" s="1351" t="s">
        <v>6070</v>
      </c>
      <c r="H688" s="1342" t="s">
        <v>3919</v>
      </c>
      <c r="I688" s="432" t="s">
        <v>1536</v>
      </c>
      <c r="J688" s="431" t="s">
        <v>1876</v>
      </c>
      <c r="K688" s="438"/>
      <c r="L688" s="438"/>
      <c r="M688" s="439"/>
      <c r="N688" s="440"/>
      <c r="O688" s="1743" t="str">
        <f>VLOOKUP(B688,code_famille_scénario,2)&amp;VLOOKUP(C688,code_actif,2)&amp;", "&amp;VLOOKUP(J688,Code_lieu,2)&amp;", suite "&amp;VLOOKUP(I688,code_event,2)</f>
        <v>Perte, par destruction accidentelle, de media support de programme de services de publication d'informations sur un site web interne ou public, en médiathèque, suite à une inondation</v>
      </c>
      <c r="P688" s="435">
        <v>1</v>
      </c>
      <c r="Q688" s="1595" t="s">
        <v>1431</v>
      </c>
      <c r="R688" s="1595" t="s">
        <v>1873</v>
      </c>
      <c r="S688" s="1595" t="str">
        <f>Classif!C27</f>
        <v/>
      </c>
      <c r="T688" s="1595">
        <f t="shared" si="396"/>
        <v>2</v>
      </c>
      <c r="U688" s="1744" t="str">
        <f t="shared" si="397"/>
        <v/>
      </c>
      <c r="V688" s="1771">
        <v>1</v>
      </c>
      <c r="W688" s="1771">
        <v>1</v>
      </c>
      <c r="X688" s="1771">
        <v>1</v>
      </c>
      <c r="Y688" s="1771">
        <f t="shared" si="406"/>
        <v>1</v>
      </c>
      <c r="Z688" s="1746">
        <v>0</v>
      </c>
      <c r="AA688" s="1747"/>
      <c r="AB688" s="1748"/>
      <c r="AC688" s="1748"/>
      <c r="AD688" s="1595" t="str">
        <f t="shared" si="393"/>
        <v/>
      </c>
      <c r="AE688" s="1595">
        <f t="shared" si="399"/>
        <v>2</v>
      </c>
      <c r="AF688" s="1595" t="str">
        <f t="shared" si="400"/>
        <v/>
      </c>
      <c r="AG688" s="1748"/>
      <c r="AH688" s="1749" t="str">
        <f t="shared" si="394"/>
        <v/>
      </c>
      <c r="AI688" s="1615"/>
      <c r="AJ688" s="1621"/>
      <c r="AK688" s="1618"/>
      <c r="AL688" s="1617" t="s">
        <v>4954</v>
      </c>
      <c r="AM688" s="247" t="str">
        <f t="shared" si="387"/>
        <v/>
      </c>
      <c r="AN688" s="247" t="str">
        <f t="shared" si="388"/>
        <v/>
      </c>
      <c r="AO688" s="247" t="str">
        <f t="shared" si="389"/>
        <v/>
      </c>
      <c r="AP688" s="247" t="str">
        <f t="shared" si="390"/>
        <v/>
      </c>
      <c r="AQ688" s="42">
        <f t="shared" si="401"/>
        <v>1</v>
      </c>
      <c r="AR688" s="42">
        <f t="shared" si="402"/>
        <v>1</v>
      </c>
      <c r="AS688" s="42">
        <f t="shared" si="403"/>
        <v>1</v>
      </c>
      <c r="AT688" s="42">
        <f t="shared" si="404"/>
        <v>1</v>
      </c>
      <c r="AU688" s="247" t="str">
        <f t="shared" si="391"/>
        <v/>
      </c>
      <c r="AV688" s="247" t="str">
        <f t="shared" si="392"/>
        <v/>
      </c>
    </row>
    <row r="689" spans="1:48" ht="24" x14ac:dyDescent="0.2">
      <c r="A689" s="428" t="s">
        <v>143</v>
      </c>
      <c r="B689" s="429" t="s">
        <v>4479</v>
      </c>
      <c r="C689" s="430" t="s">
        <v>3314</v>
      </c>
      <c r="D689" s="1349" t="s">
        <v>1873</v>
      </c>
      <c r="E689" s="1361" t="s">
        <v>1861</v>
      </c>
      <c r="F689" s="1350" t="s">
        <v>4498</v>
      </c>
      <c r="G689" s="1351" t="s">
        <v>6071</v>
      </c>
      <c r="H689" s="1342" t="s">
        <v>1327</v>
      </c>
      <c r="I689" s="432" t="s">
        <v>2506</v>
      </c>
      <c r="J689" s="431" t="s">
        <v>1876</v>
      </c>
      <c r="K689" s="431"/>
      <c r="L689" s="431"/>
      <c r="M689" s="433"/>
      <c r="N689" s="434"/>
      <c r="O689" s="1743" t="str">
        <f>VLOOKUP(B689,code_famille_scénario,2)&amp;VLOOKUP(C689,code_actif,2)&amp;", "&amp;VLOOKUP(J689,Code_lieu,2)</f>
        <v>Perte, par disparition accidentelle, de media support de programme de services de publication d'informations sur un site web interne ou public, en médiathèque</v>
      </c>
      <c r="P689" s="435">
        <v>1</v>
      </c>
      <c r="Q689" s="1595" t="s">
        <v>1431</v>
      </c>
      <c r="R689" s="1595" t="s">
        <v>1873</v>
      </c>
      <c r="S689" s="1595" t="str">
        <f>Classif!C27</f>
        <v/>
      </c>
      <c r="T689" s="1595">
        <f t="shared" si="396"/>
        <v>3</v>
      </c>
      <c r="U689" s="1744" t="str">
        <f t="shared" si="397"/>
        <v/>
      </c>
      <c r="V689" s="1771">
        <v>1</v>
      </c>
      <c r="W689" s="1771">
        <v>1</v>
      </c>
      <c r="X689" s="1771">
        <v>1</v>
      </c>
      <c r="Y689" s="1771">
        <f t="shared" si="406"/>
        <v>1</v>
      </c>
      <c r="Z689" s="1746">
        <v>0</v>
      </c>
      <c r="AA689" s="1747"/>
      <c r="AB689" s="1748"/>
      <c r="AC689" s="1748"/>
      <c r="AD689" s="1595" t="str">
        <f t="shared" si="393"/>
        <v/>
      </c>
      <c r="AE689" s="1595">
        <f t="shared" si="399"/>
        <v>3</v>
      </c>
      <c r="AF689" s="1595" t="str">
        <f t="shared" si="400"/>
        <v/>
      </c>
      <c r="AG689" s="1748"/>
      <c r="AH689" s="1749" t="str">
        <f t="shared" si="394"/>
        <v/>
      </c>
      <c r="AI689" s="1615"/>
      <c r="AJ689" s="1621"/>
      <c r="AK689" s="1618"/>
      <c r="AL689" s="1617" t="s">
        <v>4954</v>
      </c>
      <c r="AM689" s="247" t="str">
        <f t="shared" si="387"/>
        <v/>
      </c>
      <c r="AN689" s="247" t="str">
        <f t="shared" si="388"/>
        <v/>
      </c>
      <c r="AO689" s="247" t="str">
        <f t="shared" si="389"/>
        <v/>
      </c>
      <c r="AP689" s="247" t="str">
        <f t="shared" si="390"/>
        <v/>
      </c>
      <c r="AQ689" s="42">
        <f t="shared" si="401"/>
        <v>1</v>
      </c>
      <c r="AR689" s="42">
        <f t="shared" si="402"/>
        <v>1</v>
      </c>
      <c r="AS689" s="42">
        <f t="shared" si="403"/>
        <v>1</v>
      </c>
      <c r="AT689" s="42">
        <f t="shared" si="404"/>
        <v>1</v>
      </c>
      <c r="AU689" s="247" t="str">
        <f t="shared" si="391"/>
        <v/>
      </c>
      <c r="AV689" s="247" t="str">
        <f t="shared" si="392"/>
        <v/>
      </c>
    </row>
    <row r="690" spans="1:48" ht="36" x14ac:dyDescent="0.2">
      <c r="A690" s="428" t="s">
        <v>144</v>
      </c>
      <c r="B690" s="429" t="s">
        <v>4479</v>
      </c>
      <c r="C690" s="430" t="s">
        <v>3314</v>
      </c>
      <c r="D690" s="1349" t="s">
        <v>1873</v>
      </c>
      <c r="E690" s="1361" t="s">
        <v>1861</v>
      </c>
      <c r="F690" s="1350" t="s">
        <v>4498</v>
      </c>
      <c r="G690" s="1351" t="s">
        <v>6071</v>
      </c>
      <c r="H690" s="1342" t="s">
        <v>1327</v>
      </c>
      <c r="I690" s="432" t="s">
        <v>2506</v>
      </c>
      <c r="J690" s="431" t="s">
        <v>1880</v>
      </c>
      <c r="K690" s="431"/>
      <c r="L690" s="431"/>
      <c r="M690" s="433"/>
      <c r="N690" s="434"/>
      <c r="O690" s="1743" t="str">
        <f>VLOOKUP(B690,code_famille_scénario,2)&amp;VLOOKUP(C690,code_actif,2)&amp;", "&amp;VLOOKUP(J690,Code_lieu,2)</f>
        <v>Perte, par disparition accidentelle, de media support de programme de services de publication d'informations sur un site web interne ou public, dans les locaux de l'exploitation</v>
      </c>
      <c r="P690" s="435">
        <v>1</v>
      </c>
      <c r="Q690" s="1595" t="s">
        <v>1431</v>
      </c>
      <c r="R690" s="1595" t="s">
        <v>1873</v>
      </c>
      <c r="S690" s="1595" t="str">
        <f>Classif!C27</f>
        <v/>
      </c>
      <c r="T690" s="1595">
        <f t="shared" si="396"/>
        <v>3</v>
      </c>
      <c r="U690" s="1744" t="str">
        <f t="shared" si="397"/>
        <v/>
      </c>
      <c r="V690" s="1771">
        <v>1</v>
      </c>
      <c r="W690" s="1771">
        <v>1</v>
      </c>
      <c r="X690" s="1771">
        <v>1</v>
      </c>
      <c r="Y690" s="1771">
        <f t="shared" si="406"/>
        <v>1</v>
      </c>
      <c r="Z690" s="1746">
        <v>0</v>
      </c>
      <c r="AA690" s="1747"/>
      <c r="AB690" s="1748"/>
      <c r="AC690" s="1748"/>
      <c r="AD690" s="1595" t="str">
        <f t="shared" si="393"/>
        <v/>
      </c>
      <c r="AE690" s="1595">
        <f t="shared" si="399"/>
        <v>3</v>
      </c>
      <c r="AF690" s="1595" t="str">
        <f t="shared" si="400"/>
        <v/>
      </c>
      <c r="AG690" s="1748"/>
      <c r="AH690" s="1749" t="str">
        <f t="shared" si="394"/>
        <v/>
      </c>
      <c r="AI690" s="1615"/>
      <c r="AJ690" s="1621"/>
      <c r="AK690" s="1618"/>
      <c r="AL690" s="1617" t="s">
        <v>4954</v>
      </c>
      <c r="AM690" s="247" t="str">
        <f t="shared" si="387"/>
        <v/>
      </c>
      <c r="AN690" s="247" t="str">
        <f t="shared" si="388"/>
        <v/>
      </c>
      <c r="AO690" s="247" t="str">
        <f t="shared" si="389"/>
        <v/>
      </c>
      <c r="AP690" s="247" t="str">
        <f t="shared" si="390"/>
        <v/>
      </c>
      <c r="AQ690" s="42">
        <f t="shared" si="401"/>
        <v>1</v>
      </c>
      <c r="AR690" s="42">
        <f t="shared" si="402"/>
        <v>1</v>
      </c>
      <c r="AS690" s="42">
        <f t="shared" si="403"/>
        <v>1</v>
      </c>
      <c r="AT690" s="42">
        <f t="shared" si="404"/>
        <v>1</v>
      </c>
      <c r="AU690" s="247" t="str">
        <f t="shared" si="391"/>
        <v/>
      </c>
      <c r="AV690" s="247" t="str">
        <f t="shared" si="392"/>
        <v/>
      </c>
    </row>
    <row r="691" spans="1:48" ht="36" x14ac:dyDescent="0.2">
      <c r="A691" s="428" t="s">
        <v>145</v>
      </c>
      <c r="B691" s="429" t="s">
        <v>5613</v>
      </c>
      <c r="C691" s="430" t="s">
        <v>3314</v>
      </c>
      <c r="D691" s="1349" t="s">
        <v>1873</v>
      </c>
      <c r="E691" s="1361" t="s">
        <v>1861</v>
      </c>
      <c r="F691" s="1350" t="s">
        <v>4498</v>
      </c>
      <c r="G691" s="1351" t="s">
        <v>6071</v>
      </c>
      <c r="H691" s="1342" t="s">
        <v>1329</v>
      </c>
      <c r="I691" s="432" t="s">
        <v>1305</v>
      </c>
      <c r="J691" s="431" t="s">
        <v>1880</v>
      </c>
      <c r="K691" s="431"/>
      <c r="L691" s="431"/>
      <c r="M691" s="433"/>
      <c r="N691" s="434" t="s">
        <v>3518</v>
      </c>
      <c r="O691" s="1743" t="str">
        <f t="shared" ref="O691:O696" si="407">VLOOKUP(B691,code_famille_scénario,2)&amp;VLOOKUP(C691,code_actif,2)&amp;", "&amp;VLOOKUP(J691,Code_lieu,2)&amp;", par "&amp;VLOOKUP(N691,code_acteur,2)</f>
        <v>Vol de media support de programmes de services de publication d'informations sur un site web interne ou public, dans les locaux de l'exploitation, par un membre du personnel non autorisé</v>
      </c>
      <c r="P691" s="435">
        <v>1</v>
      </c>
      <c r="Q691" s="1595" t="s">
        <v>1299</v>
      </c>
      <c r="R691" s="1595" t="s">
        <v>1873</v>
      </c>
      <c r="S691" s="1595" t="str">
        <f>Classif!C27</f>
        <v/>
      </c>
      <c r="T691" s="1595">
        <f t="shared" si="396"/>
        <v>2</v>
      </c>
      <c r="U691" s="1744" t="str">
        <f t="shared" si="397"/>
        <v/>
      </c>
      <c r="V691" s="1771">
        <f t="shared" ref="V691:V696" si="408">S03B06</f>
        <v>1</v>
      </c>
      <c r="W691" s="1771">
        <f>MIN(S03B03,S03B04)</f>
        <v>1</v>
      </c>
      <c r="X691" s="1771">
        <v>1</v>
      </c>
      <c r="Y691" s="1771">
        <f t="shared" si="406"/>
        <v>1</v>
      </c>
      <c r="Z691" s="1746">
        <v>0</v>
      </c>
      <c r="AA691" s="1747"/>
      <c r="AB691" s="1748"/>
      <c r="AC691" s="1748"/>
      <c r="AD691" s="1595" t="str">
        <f t="shared" si="393"/>
        <v/>
      </c>
      <c r="AE691" s="1595">
        <f t="shared" si="399"/>
        <v>2</v>
      </c>
      <c r="AF691" s="1595" t="str">
        <f t="shared" si="400"/>
        <v/>
      </c>
      <c r="AG691" s="1748"/>
      <c r="AH691" s="1749" t="str">
        <f t="shared" si="394"/>
        <v/>
      </c>
      <c r="AI691" s="1623" t="s">
        <v>1665</v>
      </c>
      <c r="AJ691" s="1624" t="s">
        <v>5279</v>
      </c>
      <c r="AK691" s="1624"/>
      <c r="AL691" s="1617" t="s">
        <v>4954</v>
      </c>
      <c r="AM691" s="247" t="str">
        <f t="shared" si="387"/>
        <v/>
      </c>
      <c r="AN691" s="247" t="str">
        <f t="shared" si="388"/>
        <v/>
      </c>
      <c r="AO691" s="247" t="str">
        <f t="shared" si="389"/>
        <v/>
      </c>
      <c r="AP691" s="247" t="str">
        <f t="shared" si="390"/>
        <v/>
      </c>
      <c r="AQ691" s="42">
        <f t="shared" si="401"/>
        <v>1</v>
      </c>
      <c r="AR691" s="42">
        <f t="shared" si="402"/>
        <v>1</v>
      </c>
      <c r="AS691" s="42">
        <f t="shared" si="403"/>
        <v>1</v>
      </c>
      <c r="AT691" s="42">
        <f t="shared" si="404"/>
        <v>1</v>
      </c>
      <c r="AU691" s="247" t="str">
        <f t="shared" si="391"/>
        <v/>
      </c>
      <c r="AV691" s="247" t="str">
        <f t="shared" si="392"/>
        <v/>
      </c>
    </row>
    <row r="692" spans="1:48" ht="36" x14ac:dyDescent="0.2">
      <c r="A692" s="428" t="s">
        <v>146</v>
      </c>
      <c r="B692" s="429" t="s">
        <v>5613</v>
      </c>
      <c r="C692" s="430" t="s">
        <v>3314</v>
      </c>
      <c r="D692" s="1349" t="s">
        <v>1873</v>
      </c>
      <c r="E692" s="1361" t="s">
        <v>1861</v>
      </c>
      <c r="F692" s="1350" t="s">
        <v>4498</v>
      </c>
      <c r="G692" s="1351" t="s">
        <v>6071</v>
      </c>
      <c r="H692" s="1297" t="s">
        <v>1329</v>
      </c>
      <c r="I692" s="437" t="s">
        <v>1305</v>
      </c>
      <c r="J692" s="431" t="s">
        <v>1880</v>
      </c>
      <c r="K692" s="431"/>
      <c r="L692" s="431"/>
      <c r="M692" s="433"/>
      <c r="N692" s="434" t="s">
        <v>6403</v>
      </c>
      <c r="O692" s="1743" t="str">
        <f t="shared" si="407"/>
        <v>Vol de media support de programmes de services de publication d'informations sur un site web interne ou public, dans les locaux de l'exploitation, par un membre du personnel d'exploitation</v>
      </c>
      <c r="P692" s="435">
        <v>1</v>
      </c>
      <c r="Q692" s="1595" t="s">
        <v>1299</v>
      </c>
      <c r="R692" s="1595" t="s">
        <v>1873</v>
      </c>
      <c r="S692" s="1595" t="str">
        <f>Classif!C27</f>
        <v/>
      </c>
      <c r="T692" s="1595">
        <f t="shared" si="396"/>
        <v>2</v>
      </c>
      <c r="U692" s="1744" t="str">
        <f t="shared" si="397"/>
        <v/>
      </c>
      <c r="V692" s="1771">
        <f t="shared" si="408"/>
        <v>1</v>
      </c>
      <c r="W692" s="1771">
        <v>1</v>
      </c>
      <c r="X692" s="1771">
        <v>1</v>
      </c>
      <c r="Y692" s="1771">
        <f t="shared" si="406"/>
        <v>1</v>
      </c>
      <c r="Z692" s="1746">
        <v>0</v>
      </c>
      <c r="AA692" s="1747"/>
      <c r="AB692" s="1748"/>
      <c r="AC692" s="1748"/>
      <c r="AD692" s="1595" t="str">
        <f t="shared" si="393"/>
        <v/>
      </c>
      <c r="AE692" s="1595">
        <f t="shared" si="399"/>
        <v>2</v>
      </c>
      <c r="AF692" s="1595" t="str">
        <f t="shared" si="400"/>
        <v/>
      </c>
      <c r="AG692" s="1748"/>
      <c r="AH692" s="1749" t="str">
        <f t="shared" si="394"/>
        <v/>
      </c>
      <c r="AI692" s="1623" t="s">
        <v>1665</v>
      </c>
      <c r="AJ692" s="1624"/>
      <c r="AK692" s="1624"/>
      <c r="AL692" s="1617" t="s">
        <v>4954</v>
      </c>
      <c r="AM692" s="247" t="str">
        <f t="shared" si="387"/>
        <v/>
      </c>
      <c r="AN692" s="247" t="str">
        <f t="shared" si="388"/>
        <v/>
      </c>
      <c r="AO692" s="247" t="str">
        <f t="shared" si="389"/>
        <v/>
      </c>
      <c r="AP692" s="247" t="str">
        <f t="shared" si="390"/>
        <v/>
      </c>
      <c r="AQ692" s="42">
        <f t="shared" si="401"/>
        <v>1</v>
      </c>
      <c r="AR692" s="42">
        <f t="shared" si="402"/>
        <v>1</v>
      </c>
      <c r="AS692" s="42">
        <f t="shared" si="403"/>
        <v>1</v>
      </c>
      <c r="AT692" s="42">
        <f t="shared" si="404"/>
        <v>1</v>
      </c>
      <c r="AU692" s="247" t="str">
        <f t="shared" si="391"/>
        <v/>
      </c>
      <c r="AV692" s="247" t="str">
        <f t="shared" si="392"/>
        <v/>
      </c>
    </row>
    <row r="693" spans="1:48" ht="36" x14ac:dyDescent="0.2">
      <c r="A693" s="428" t="s">
        <v>147</v>
      </c>
      <c r="B693" s="429" t="s">
        <v>5613</v>
      </c>
      <c r="C693" s="430" t="s">
        <v>3314</v>
      </c>
      <c r="D693" s="1349" t="s">
        <v>1873</v>
      </c>
      <c r="E693" s="1361" t="s">
        <v>1861</v>
      </c>
      <c r="F693" s="1350" t="s">
        <v>4498</v>
      </c>
      <c r="G693" s="1351" t="s">
        <v>6071</v>
      </c>
      <c r="H693" s="1342" t="s">
        <v>1329</v>
      </c>
      <c r="I693" s="432" t="s">
        <v>1305</v>
      </c>
      <c r="J693" s="431" t="s">
        <v>1880</v>
      </c>
      <c r="K693" s="431"/>
      <c r="L693" s="431"/>
      <c r="M693" s="433"/>
      <c r="N693" s="434" t="s">
        <v>2218</v>
      </c>
      <c r="O693" s="1743" t="str">
        <f t="shared" si="407"/>
        <v>Vol de media support de programmes de services de publication d'informations sur un site web interne ou public, dans les locaux de l'exploitation, par un membre du personnel de service</v>
      </c>
      <c r="P693" s="435">
        <v>1</v>
      </c>
      <c r="Q693" s="1595" t="s">
        <v>1299</v>
      </c>
      <c r="R693" s="1595" t="s">
        <v>1873</v>
      </c>
      <c r="S693" s="1595" t="str">
        <f>Classif!C27</f>
        <v/>
      </c>
      <c r="T693" s="1595">
        <f t="shared" si="396"/>
        <v>2</v>
      </c>
      <c r="U693" s="1744" t="str">
        <f t="shared" si="397"/>
        <v/>
      </c>
      <c r="V693" s="1771">
        <f t="shared" si="408"/>
        <v>1</v>
      </c>
      <c r="W693" s="1771">
        <v>1</v>
      </c>
      <c r="X693" s="1771">
        <v>1</v>
      </c>
      <c r="Y693" s="1771">
        <f t="shared" si="406"/>
        <v>1</v>
      </c>
      <c r="Z693" s="1746">
        <v>0</v>
      </c>
      <c r="AA693" s="1747"/>
      <c r="AB693" s="1748"/>
      <c r="AC693" s="1748"/>
      <c r="AD693" s="1595" t="str">
        <f t="shared" si="393"/>
        <v/>
      </c>
      <c r="AE693" s="1595">
        <f t="shared" si="399"/>
        <v>2</v>
      </c>
      <c r="AF693" s="1595" t="str">
        <f t="shared" si="400"/>
        <v/>
      </c>
      <c r="AG693" s="1748"/>
      <c r="AH693" s="1749" t="str">
        <f t="shared" si="394"/>
        <v/>
      </c>
      <c r="AI693" s="1623" t="s">
        <v>1665</v>
      </c>
      <c r="AJ693" s="1624"/>
      <c r="AK693" s="1624"/>
      <c r="AL693" s="1617" t="s">
        <v>4954</v>
      </c>
      <c r="AM693" s="247" t="str">
        <f t="shared" si="387"/>
        <v/>
      </c>
      <c r="AN693" s="247" t="str">
        <f t="shared" si="388"/>
        <v/>
      </c>
      <c r="AO693" s="247" t="str">
        <f t="shared" si="389"/>
        <v/>
      </c>
      <c r="AP693" s="247" t="str">
        <f t="shared" si="390"/>
        <v/>
      </c>
      <c r="AQ693" s="42">
        <f t="shared" si="401"/>
        <v>1</v>
      </c>
      <c r="AR693" s="42">
        <f t="shared" si="402"/>
        <v>1</v>
      </c>
      <c r="AS693" s="42">
        <f t="shared" si="403"/>
        <v>1</v>
      </c>
      <c r="AT693" s="42">
        <f t="shared" si="404"/>
        <v>1</v>
      </c>
      <c r="AU693" s="247" t="str">
        <f t="shared" si="391"/>
        <v/>
      </c>
      <c r="AV693" s="247" t="str">
        <f t="shared" si="392"/>
        <v/>
      </c>
    </row>
    <row r="694" spans="1:48" ht="36" x14ac:dyDescent="0.2">
      <c r="A694" s="428" t="s">
        <v>148</v>
      </c>
      <c r="B694" s="429" t="s">
        <v>5613</v>
      </c>
      <c r="C694" s="430" t="s">
        <v>3314</v>
      </c>
      <c r="D694" s="1349" t="s">
        <v>1873</v>
      </c>
      <c r="E694" s="1361" t="s">
        <v>1861</v>
      </c>
      <c r="F694" s="1350" t="s">
        <v>4498</v>
      </c>
      <c r="G694" s="1351" t="s">
        <v>6071</v>
      </c>
      <c r="H694" s="1342" t="s">
        <v>1329</v>
      </c>
      <c r="I694" s="432" t="s">
        <v>1305</v>
      </c>
      <c r="J694" s="431" t="s">
        <v>1876</v>
      </c>
      <c r="K694" s="431"/>
      <c r="L694" s="431"/>
      <c r="M694" s="433"/>
      <c r="N694" s="434" t="s">
        <v>3518</v>
      </c>
      <c r="O694" s="1743" t="str">
        <f t="shared" si="407"/>
        <v>Vol de media support de programmes de services de publication d'informations sur un site web interne ou public, en médiathèque, par un membre du personnel non autorisé</v>
      </c>
      <c r="P694" s="435">
        <v>1</v>
      </c>
      <c r="Q694" s="1595" t="s">
        <v>1299</v>
      </c>
      <c r="R694" s="1595" t="s">
        <v>1873</v>
      </c>
      <c r="S694" s="1595" t="str">
        <f>Classif!C27</f>
        <v/>
      </c>
      <c r="T694" s="1595">
        <f t="shared" si="396"/>
        <v>2</v>
      </c>
      <c r="U694" s="1744" t="str">
        <f t="shared" si="397"/>
        <v/>
      </c>
      <c r="V694" s="1771">
        <f t="shared" si="408"/>
        <v>1</v>
      </c>
      <c r="W694" s="1771">
        <f>S08C03</f>
        <v>1</v>
      </c>
      <c r="X694" s="1771">
        <v>1</v>
      </c>
      <c r="Y694" s="1771">
        <f t="shared" si="406"/>
        <v>1</v>
      </c>
      <c r="Z694" s="1746">
        <v>0</v>
      </c>
      <c r="AA694" s="1747"/>
      <c r="AB694" s="1748"/>
      <c r="AC694" s="1748"/>
      <c r="AD694" s="1595" t="str">
        <f t="shared" si="393"/>
        <v/>
      </c>
      <c r="AE694" s="1595">
        <f t="shared" si="399"/>
        <v>2</v>
      </c>
      <c r="AF694" s="1595" t="str">
        <f t="shared" si="400"/>
        <v/>
      </c>
      <c r="AG694" s="1748"/>
      <c r="AH694" s="1749" t="str">
        <f t="shared" si="394"/>
        <v/>
      </c>
      <c r="AI694" s="1623" t="s">
        <v>1665</v>
      </c>
      <c r="AJ694" s="1625" t="s">
        <v>63</v>
      </c>
      <c r="AK694" s="1624"/>
      <c r="AL694" s="1617" t="s">
        <v>4954</v>
      </c>
      <c r="AM694" s="247" t="str">
        <f t="shared" si="387"/>
        <v/>
      </c>
      <c r="AN694" s="247" t="str">
        <f t="shared" si="388"/>
        <v/>
      </c>
      <c r="AO694" s="247" t="str">
        <f t="shared" si="389"/>
        <v/>
      </c>
      <c r="AP694" s="247" t="str">
        <f t="shared" si="390"/>
        <v/>
      </c>
      <c r="AQ694" s="42">
        <f t="shared" si="401"/>
        <v>1</v>
      </c>
      <c r="AR694" s="42">
        <f t="shared" si="402"/>
        <v>1</v>
      </c>
      <c r="AS694" s="42">
        <f t="shared" si="403"/>
        <v>1</v>
      </c>
      <c r="AT694" s="42">
        <f t="shared" si="404"/>
        <v>1</v>
      </c>
      <c r="AU694" s="247" t="str">
        <f t="shared" si="391"/>
        <v/>
      </c>
      <c r="AV694" s="247" t="str">
        <f t="shared" si="392"/>
        <v/>
      </c>
    </row>
    <row r="695" spans="1:48" ht="36" x14ac:dyDescent="0.2">
      <c r="A695" s="428" t="s">
        <v>149</v>
      </c>
      <c r="B695" s="429" t="s">
        <v>5613</v>
      </c>
      <c r="C695" s="430" t="s">
        <v>3314</v>
      </c>
      <c r="D695" s="1349" t="s">
        <v>1873</v>
      </c>
      <c r="E695" s="1361" t="s">
        <v>1861</v>
      </c>
      <c r="F695" s="1350" t="s">
        <v>4498</v>
      </c>
      <c r="G695" s="1351" t="s">
        <v>6071</v>
      </c>
      <c r="H695" s="1342" t="s">
        <v>1329</v>
      </c>
      <c r="I695" s="432" t="s">
        <v>1305</v>
      </c>
      <c r="J695" s="431" t="s">
        <v>1876</v>
      </c>
      <c r="K695" s="431"/>
      <c r="L695" s="431"/>
      <c r="M695" s="433"/>
      <c r="N695" s="434" t="s">
        <v>6403</v>
      </c>
      <c r="O695" s="1743" t="str">
        <f t="shared" si="407"/>
        <v>Vol de media support de programmes de services de publication d'informations sur un site web interne ou public, en médiathèque, par un membre du personnel d'exploitation</v>
      </c>
      <c r="P695" s="435">
        <v>1</v>
      </c>
      <c r="Q695" s="1595" t="s">
        <v>1299</v>
      </c>
      <c r="R695" s="1595" t="s">
        <v>1873</v>
      </c>
      <c r="S695" s="1595" t="str">
        <f>Classif!C27</f>
        <v/>
      </c>
      <c r="T695" s="1595">
        <f t="shared" si="396"/>
        <v>2</v>
      </c>
      <c r="U695" s="1744" t="str">
        <f t="shared" si="397"/>
        <v/>
      </c>
      <c r="V695" s="1771">
        <f t="shared" si="408"/>
        <v>1</v>
      </c>
      <c r="W695" s="1771">
        <v>1</v>
      </c>
      <c r="X695" s="1771">
        <v>1</v>
      </c>
      <c r="Y695" s="1771">
        <f t="shared" si="406"/>
        <v>1</v>
      </c>
      <c r="Z695" s="1746">
        <v>0</v>
      </c>
      <c r="AA695" s="1747"/>
      <c r="AB695" s="1748"/>
      <c r="AC695" s="1748"/>
      <c r="AD695" s="1595" t="str">
        <f t="shared" si="393"/>
        <v/>
      </c>
      <c r="AE695" s="1595">
        <f t="shared" si="399"/>
        <v>2</v>
      </c>
      <c r="AF695" s="1595" t="str">
        <f t="shared" si="400"/>
        <v/>
      </c>
      <c r="AG695" s="1748"/>
      <c r="AH695" s="1749" t="str">
        <f t="shared" si="394"/>
        <v/>
      </c>
      <c r="AI695" s="1623" t="s">
        <v>1665</v>
      </c>
      <c r="AJ695" s="1624"/>
      <c r="AK695" s="1624"/>
      <c r="AL695" s="1617" t="s">
        <v>4954</v>
      </c>
      <c r="AM695" s="247" t="str">
        <f t="shared" si="387"/>
        <v/>
      </c>
      <c r="AN695" s="247" t="str">
        <f t="shared" si="388"/>
        <v/>
      </c>
      <c r="AO695" s="247" t="str">
        <f t="shared" si="389"/>
        <v/>
      </c>
      <c r="AP695" s="247" t="str">
        <f t="shared" si="390"/>
        <v/>
      </c>
      <c r="AQ695" s="42">
        <f t="shared" si="401"/>
        <v>1</v>
      </c>
      <c r="AR695" s="42">
        <f t="shared" si="402"/>
        <v>1</v>
      </c>
      <c r="AS695" s="42">
        <f t="shared" si="403"/>
        <v>1</v>
      </c>
      <c r="AT695" s="42">
        <f t="shared" si="404"/>
        <v>1</v>
      </c>
      <c r="AU695" s="247" t="str">
        <f t="shared" si="391"/>
        <v/>
      </c>
      <c r="AV695" s="247" t="str">
        <f t="shared" si="392"/>
        <v/>
      </c>
    </row>
    <row r="696" spans="1:48" ht="36" x14ac:dyDescent="0.2">
      <c r="A696" s="428" t="s">
        <v>150</v>
      </c>
      <c r="B696" s="429" t="s">
        <v>5613</v>
      </c>
      <c r="C696" s="430" t="s">
        <v>3314</v>
      </c>
      <c r="D696" s="1349" t="s">
        <v>1873</v>
      </c>
      <c r="E696" s="1361" t="s">
        <v>1861</v>
      </c>
      <c r="F696" s="1350" t="s">
        <v>4498</v>
      </c>
      <c r="G696" s="1351" t="s">
        <v>6071</v>
      </c>
      <c r="H696" s="1342" t="s">
        <v>1329</v>
      </c>
      <c r="I696" s="432" t="s">
        <v>1305</v>
      </c>
      <c r="J696" s="431" t="s">
        <v>1876</v>
      </c>
      <c r="K696" s="431"/>
      <c r="L696" s="431"/>
      <c r="M696" s="433"/>
      <c r="N696" s="434" t="s">
        <v>2218</v>
      </c>
      <c r="O696" s="1743" t="str">
        <f t="shared" si="407"/>
        <v>Vol de media support de programmes de services de publication d'informations sur un site web interne ou public, en médiathèque, par un membre du personnel de service</v>
      </c>
      <c r="P696" s="435">
        <v>1</v>
      </c>
      <c r="Q696" s="1595" t="s">
        <v>1299</v>
      </c>
      <c r="R696" s="1595" t="s">
        <v>1873</v>
      </c>
      <c r="S696" s="1595" t="str">
        <f>Classif!C27</f>
        <v/>
      </c>
      <c r="T696" s="1595">
        <f t="shared" si="396"/>
        <v>2</v>
      </c>
      <c r="U696" s="1744" t="str">
        <f t="shared" si="397"/>
        <v/>
      </c>
      <c r="V696" s="1771">
        <f t="shared" si="408"/>
        <v>1</v>
      </c>
      <c r="W696" s="1771">
        <v>1</v>
      </c>
      <c r="X696" s="1771">
        <v>1</v>
      </c>
      <c r="Y696" s="1771">
        <f t="shared" si="406"/>
        <v>1</v>
      </c>
      <c r="Z696" s="1746">
        <v>0</v>
      </c>
      <c r="AA696" s="1747"/>
      <c r="AB696" s="1748"/>
      <c r="AC696" s="1748"/>
      <c r="AD696" s="1595" t="str">
        <f t="shared" si="393"/>
        <v/>
      </c>
      <c r="AE696" s="1595">
        <f t="shared" si="399"/>
        <v>2</v>
      </c>
      <c r="AF696" s="1595" t="str">
        <f t="shared" si="400"/>
        <v/>
      </c>
      <c r="AG696" s="1748"/>
      <c r="AH696" s="1749" t="str">
        <f t="shared" si="394"/>
        <v/>
      </c>
      <c r="AI696" s="1623" t="s">
        <v>1665</v>
      </c>
      <c r="AJ696" s="1624"/>
      <c r="AK696" s="1624"/>
      <c r="AL696" s="1617" t="s">
        <v>4954</v>
      </c>
      <c r="AM696" s="247" t="str">
        <f t="shared" si="387"/>
        <v/>
      </c>
      <c r="AN696" s="247" t="str">
        <f t="shared" si="388"/>
        <v/>
      </c>
      <c r="AO696" s="247" t="str">
        <f t="shared" si="389"/>
        <v/>
      </c>
      <c r="AP696" s="247" t="str">
        <f t="shared" si="390"/>
        <v/>
      </c>
      <c r="AQ696" s="42">
        <f t="shared" si="401"/>
        <v>1</v>
      </c>
      <c r="AR696" s="42">
        <f t="shared" si="402"/>
        <v>1</v>
      </c>
      <c r="AS696" s="42">
        <f t="shared" si="403"/>
        <v>1</v>
      </c>
      <c r="AT696" s="42">
        <f t="shared" si="404"/>
        <v>1</v>
      </c>
      <c r="AU696" s="247" t="str">
        <f t="shared" si="391"/>
        <v/>
      </c>
      <c r="AV696" s="247" t="str">
        <f t="shared" si="392"/>
        <v/>
      </c>
    </row>
    <row r="697" spans="1:48" ht="36" x14ac:dyDescent="0.2">
      <c r="A697" s="428" t="s">
        <v>151</v>
      </c>
      <c r="B697" s="429" t="s">
        <v>4482</v>
      </c>
      <c r="C697" s="430" t="s">
        <v>3314</v>
      </c>
      <c r="D697" s="1349" t="s">
        <v>1873</v>
      </c>
      <c r="E697" s="1361" t="s">
        <v>1861</v>
      </c>
      <c r="F697" s="1350" t="s">
        <v>2777</v>
      </c>
      <c r="G697" s="1351" t="s">
        <v>4610</v>
      </c>
      <c r="H697" s="1342" t="s">
        <v>3920</v>
      </c>
      <c r="I697" s="432" t="s">
        <v>3526</v>
      </c>
      <c r="J697" s="431" t="s">
        <v>1880</v>
      </c>
      <c r="K697" s="431"/>
      <c r="L697" s="431"/>
      <c r="M697" s="433"/>
      <c r="N697" s="434"/>
      <c r="O697" s="1743" t="str">
        <f t="shared" ref="O697:O708" si="409">VLOOKUP(B697,code_famille_scénario,2)&amp;VLOOKUP(C697,code_actif,2)&amp;", "&amp;VLOOKUP(J697,Code_lieu,2)&amp;", due "&amp;VLOOKUP(I697,code_event,2)</f>
        <v>Inexploitabilité accidentelle de media support de programmes de services de publication d'informations sur un site web interne ou public, dans les locaux de l'exploitation, due à une panne d'équipement</v>
      </c>
      <c r="P697" s="435">
        <v>1</v>
      </c>
      <c r="Q697" s="1595" t="s">
        <v>1431</v>
      </c>
      <c r="R697" s="1595" t="s">
        <v>1873</v>
      </c>
      <c r="S697" s="1595" t="str">
        <f>Classif!C27</f>
        <v/>
      </c>
      <c r="T697" s="1595">
        <f t="shared" si="396"/>
        <v>3</v>
      </c>
      <c r="U697" s="1744" t="str">
        <f t="shared" si="397"/>
        <v/>
      </c>
      <c r="V697" s="1771">
        <v>1</v>
      </c>
      <c r="W697" s="1771">
        <v>1</v>
      </c>
      <c r="X697" s="1771">
        <v>1</v>
      </c>
      <c r="Y697" s="1771">
        <f t="shared" si="406"/>
        <v>1</v>
      </c>
      <c r="Z697" s="1746">
        <v>0</v>
      </c>
      <c r="AA697" s="1747"/>
      <c r="AB697" s="1748"/>
      <c r="AC697" s="1748"/>
      <c r="AD697" s="1595" t="str">
        <f t="shared" si="393"/>
        <v/>
      </c>
      <c r="AE697" s="1595">
        <f t="shared" si="399"/>
        <v>3</v>
      </c>
      <c r="AF697" s="1595" t="str">
        <f t="shared" si="400"/>
        <v/>
      </c>
      <c r="AG697" s="1748"/>
      <c r="AH697" s="1749" t="str">
        <f t="shared" si="394"/>
        <v/>
      </c>
      <c r="AI697" s="1615"/>
      <c r="AJ697" s="1621"/>
      <c r="AK697" s="1618"/>
      <c r="AL697" s="1617" t="s">
        <v>4954</v>
      </c>
      <c r="AM697" s="247" t="str">
        <f t="shared" si="387"/>
        <v/>
      </c>
      <c r="AN697" s="247" t="str">
        <f t="shared" si="388"/>
        <v/>
      </c>
      <c r="AO697" s="247" t="str">
        <f t="shared" si="389"/>
        <v/>
      </c>
      <c r="AP697" s="247" t="str">
        <f t="shared" si="390"/>
        <v/>
      </c>
      <c r="AQ697" s="42">
        <f t="shared" si="401"/>
        <v>1</v>
      </c>
      <c r="AR697" s="42">
        <f t="shared" si="402"/>
        <v>1</v>
      </c>
      <c r="AS697" s="42">
        <f t="shared" si="403"/>
        <v>1</v>
      </c>
      <c r="AT697" s="42">
        <f t="shared" si="404"/>
        <v>1</v>
      </c>
      <c r="AU697" s="247" t="str">
        <f t="shared" si="391"/>
        <v/>
      </c>
      <c r="AV697" s="247" t="str">
        <f t="shared" si="392"/>
        <v/>
      </c>
    </row>
    <row r="698" spans="1:48" ht="36" x14ac:dyDescent="0.2">
      <c r="A698" s="428" t="s">
        <v>152</v>
      </c>
      <c r="B698" s="429" t="s">
        <v>4482</v>
      </c>
      <c r="C698" s="430" t="s">
        <v>3314</v>
      </c>
      <c r="D698" s="1349" t="s">
        <v>1873</v>
      </c>
      <c r="E698" s="1361" t="s">
        <v>1861</v>
      </c>
      <c r="F698" s="1350" t="s">
        <v>2777</v>
      </c>
      <c r="G698" s="1351" t="s">
        <v>4610</v>
      </c>
      <c r="H698" s="1342" t="s">
        <v>1554</v>
      </c>
      <c r="I698" s="432" t="s">
        <v>1534</v>
      </c>
      <c r="J698" s="431" t="s">
        <v>1880</v>
      </c>
      <c r="K698" s="438"/>
      <c r="L698" s="438"/>
      <c r="M698" s="439"/>
      <c r="N698" s="440"/>
      <c r="O698" s="1743" t="str">
        <f t="shared" si="409"/>
        <v>Inexploitabilité accidentelle de media support de programmes de services de publication d'informations sur un site web interne ou public, dans les locaux de l'exploitation, due à un dégât des eaux</v>
      </c>
      <c r="P698" s="435">
        <v>1</v>
      </c>
      <c r="Q698" s="1595" t="s">
        <v>1431</v>
      </c>
      <c r="R698" s="1595" t="s">
        <v>1873</v>
      </c>
      <c r="S698" s="1595" t="str">
        <f>Classif!C27</f>
        <v/>
      </c>
      <c r="T698" s="1595">
        <f t="shared" ref="T698:T727" si="410">VLOOKUP(H698&amp;"."&amp;I698,Tab_event,4)</f>
        <v>3</v>
      </c>
      <c r="U698" s="1744" t="str">
        <f t="shared" ref="U698:U727" si="411">IF(AND(NOT(S698=""),NOT(T698="")),INDEX(base_g,5-S698,T698),"")</f>
        <v/>
      </c>
      <c r="V698" s="1771">
        <v>1</v>
      </c>
      <c r="W698" s="1771">
        <f>S03C01</f>
        <v>1</v>
      </c>
      <c r="X698" s="1771">
        <v>1</v>
      </c>
      <c r="Y698" s="1771">
        <f t="shared" si="406"/>
        <v>1</v>
      </c>
      <c r="Z698" s="1746">
        <v>0</v>
      </c>
      <c r="AA698" s="1747"/>
      <c r="AB698" s="1748"/>
      <c r="AC698" s="1748"/>
      <c r="AD698" s="1595" t="str">
        <f t="shared" si="393"/>
        <v/>
      </c>
      <c r="AE698" s="1595">
        <f t="shared" ref="AE698:AE727" si="412">IF(OR(Q698="",T698=""),"",IF(Q698="A",INDEX(base_p,4,W698+7*(T698-1)),IF(Q698="E",INDEX(base_p,15,W698+7*(T698-1)),INDEX(base_p,27-V698,W698+7*(T698-1)))))</f>
        <v>3</v>
      </c>
      <c r="AF698" s="1595" t="str">
        <f t="shared" ref="AF698:AF727" si="413">IF(AT698=1,IF(IndG=1,U698,IF(AND(OR(NOT(AD698=""),NOT(AB698="")),OR(NOT(AE698=""),NOT(AC698="")),AT698=1),INDEX(base_g,5-IF(AB698="",AD698,AB698),IF(AC698="",AE698,AC698)),"")),0)</f>
        <v/>
      </c>
      <c r="AG698" s="1748"/>
      <c r="AH698" s="1749" t="str">
        <f t="shared" si="394"/>
        <v/>
      </c>
      <c r="AI698" s="1615"/>
      <c r="AJ698" s="1616" t="s">
        <v>5220</v>
      </c>
      <c r="AK698" s="1618"/>
      <c r="AL698" s="1617" t="s">
        <v>4954</v>
      </c>
      <c r="AM698" s="247" t="str">
        <f t="shared" si="387"/>
        <v/>
      </c>
      <c r="AN698" s="247" t="str">
        <f t="shared" si="388"/>
        <v/>
      </c>
      <c r="AO698" s="247" t="str">
        <f t="shared" si="389"/>
        <v/>
      </c>
      <c r="AP698" s="247" t="str">
        <f t="shared" si="390"/>
        <v/>
      </c>
      <c r="AQ698" s="42">
        <f t="shared" ref="AQ698:AQ727" si="414">VLOOKUP(LEFT(C698,3),Tab_classif_servIR,6)</f>
        <v>1</v>
      </c>
      <c r="AR698" s="42">
        <f t="shared" ref="AR698:AR727" si="415">VLOOKUP(G698,select_vul_serv,2)</f>
        <v>1</v>
      </c>
      <c r="AS698" s="42">
        <f t="shared" ref="AS698:AS727" si="416">VLOOKUP(H698&amp;"."&amp;I698,select_men,5)</f>
        <v>1</v>
      </c>
      <c r="AT698" s="42">
        <f t="shared" ref="AT698:AT727" si="417">P698*AQ698*AR698*AS698</f>
        <v>1</v>
      </c>
      <c r="AU698" s="247" t="str">
        <f t="shared" si="391"/>
        <v/>
      </c>
      <c r="AV698" s="247" t="str">
        <f t="shared" si="392"/>
        <v/>
      </c>
    </row>
    <row r="699" spans="1:48" ht="36" x14ac:dyDescent="0.2">
      <c r="A699" s="428" t="s">
        <v>153</v>
      </c>
      <c r="B699" s="429" t="s">
        <v>4482</v>
      </c>
      <c r="C699" s="430" t="s">
        <v>3314</v>
      </c>
      <c r="D699" s="1349" t="s">
        <v>1873</v>
      </c>
      <c r="E699" s="1361" t="s">
        <v>1861</v>
      </c>
      <c r="F699" s="1350" t="s">
        <v>2777</v>
      </c>
      <c r="G699" s="1351" t="s">
        <v>4610</v>
      </c>
      <c r="H699" s="1342" t="s">
        <v>1554</v>
      </c>
      <c r="I699" s="432" t="s">
        <v>1537</v>
      </c>
      <c r="J699" s="431" t="s">
        <v>1880</v>
      </c>
      <c r="K699" s="431"/>
      <c r="L699" s="431"/>
      <c r="M699" s="433"/>
      <c r="N699" s="434"/>
      <c r="O699" s="1743" t="str">
        <f t="shared" si="409"/>
        <v>Inexploitabilité accidentelle de media support de programmes de services de publication d'informations sur un site web interne ou public, dans les locaux de l'exploitation, due à une surcharge électrique</v>
      </c>
      <c r="P699" s="435">
        <v>1</v>
      </c>
      <c r="Q699" s="1595" t="s">
        <v>1431</v>
      </c>
      <c r="R699" s="1595" t="s">
        <v>1873</v>
      </c>
      <c r="S699" s="1595" t="str">
        <f>Classif!C27</f>
        <v/>
      </c>
      <c r="T699" s="1595">
        <f t="shared" si="410"/>
        <v>2</v>
      </c>
      <c r="U699" s="1744" t="str">
        <f t="shared" si="411"/>
        <v/>
      </c>
      <c r="V699" s="1771">
        <v>1</v>
      </c>
      <c r="W699" s="1771">
        <f>MIN(S03A01,S03A04)</f>
        <v>1</v>
      </c>
      <c r="X699" s="1771">
        <v>1</v>
      </c>
      <c r="Y699" s="1771">
        <f t="shared" si="406"/>
        <v>1</v>
      </c>
      <c r="Z699" s="1746">
        <v>0</v>
      </c>
      <c r="AA699" s="1747"/>
      <c r="AB699" s="1748"/>
      <c r="AC699" s="1748"/>
      <c r="AD699" s="1595" t="str">
        <f t="shared" si="393"/>
        <v/>
      </c>
      <c r="AE699" s="1595">
        <f t="shared" si="412"/>
        <v>2</v>
      </c>
      <c r="AF699" s="1595" t="str">
        <f t="shared" si="413"/>
        <v/>
      </c>
      <c r="AG699" s="1748"/>
      <c r="AH699" s="1749" t="str">
        <f t="shared" si="394"/>
        <v/>
      </c>
      <c r="AI699" s="1615"/>
      <c r="AJ699" s="1616" t="s">
        <v>5252</v>
      </c>
      <c r="AK699" s="1618"/>
      <c r="AL699" s="1617" t="s">
        <v>4954</v>
      </c>
      <c r="AM699" s="247" t="str">
        <f t="shared" si="387"/>
        <v/>
      </c>
      <c r="AN699" s="247" t="str">
        <f t="shared" si="388"/>
        <v/>
      </c>
      <c r="AO699" s="247" t="str">
        <f t="shared" si="389"/>
        <v/>
      </c>
      <c r="AP699" s="247" t="str">
        <f t="shared" si="390"/>
        <v/>
      </c>
      <c r="AQ699" s="42">
        <f t="shared" si="414"/>
        <v>1</v>
      </c>
      <c r="AR699" s="42">
        <f t="shared" si="415"/>
        <v>1</v>
      </c>
      <c r="AS699" s="42">
        <f t="shared" si="416"/>
        <v>1</v>
      </c>
      <c r="AT699" s="42">
        <f t="shared" si="417"/>
        <v>1</v>
      </c>
      <c r="AU699" s="247" t="str">
        <f t="shared" si="391"/>
        <v/>
      </c>
      <c r="AV699" s="247" t="str">
        <f t="shared" si="392"/>
        <v/>
      </c>
    </row>
    <row r="700" spans="1:48" ht="36" x14ac:dyDescent="0.2">
      <c r="A700" s="428" t="s">
        <v>154</v>
      </c>
      <c r="B700" s="429" t="s">
        <v>4482</v>
      </c>
      <c r="C700" s="430" t="s">
        <v>3314</v>
      </c>
      <c r="D700" s="1349" t="s">
        <v>1873</v>
      </c>
      <c r="E700" s="1361" t="s">
        <v>1861</v>
      </c>
      <c r="F700" s="1350" t="s">
        <v>2777</v>
      </c>
      <c r="G700" s="1351" t="s">
        <v>4610</v>
      </c>
      <c r="H700" s="1342" t="s">
        <v>1465</v>
      </c>
      <c r="I700" s="432" t="s">
        <v>1880</v>
      </c>
      <c r="J700" s="431" t="s">
        <v>1880</v>
      </c>
      <c r="K700" s="431"/>
      <c r="L700" s="431"/>
      <c r="M700" s="433"/>
      <c r="N700" s="434"/>
      <c r="O700" s="1743" t="str">
        <f t="shared" si="409"/>
        <v>Inexploitabilité accidentelle de media support de programmes de services de publication d'informations sur un site web interne ou public, dans les locaux de l'exploitation, due à un incident d'exploitation</v>
      </c>
      <c r="P700" s="435">
        <v>1</v>
      </c>
      <c r="Q700" s="1595" t="s">
        <v>1431</v>
      </c>
      <c r="R700" s="1595" t="s">
        <v>1873</v>
      </c>
      <c r="S700" s="1595" t="str">
        <f>Classif!C27</f>
        <v/>
      </c>
      <c r="T700" s="1595">
        <f t="shared" si="410"/>
        <v>3</v>
      </c>
      <c r="U700" s="1744" t="str">
        <f t="shared" si="411"/>
        <v/>
      </c>
      <c r="V700" s="1771">
        <v>1</v>
      </c>
      <c r="W700" s="1771">
        <f>S08A03</f>
        <v>1</v>
      </c>
      <c r="X700" s="1771">
        <f>S08E03</f>
        <v>1</v>
      </c>
      <c r="Y700" s="1771">
        <f t="shared" si="406"/>
        <v>1</v>
      </c>
      <c r="Z700" s="1746">
        <v>0</v>
      </c>
      <c r="AA700" s="1747"/>
      <c r="AB700" s="1748"/>
      <c r="AC700" s="1748"/>
      <c r="AD700" s="1595" t="str">
        <f t="shared" si="393"/>
        <v/>
      </c>
      <c r="AE700" s="1595">
        <f t="shared" si="412"/>
        <v>3</v>
      </c>
      <c r="AF700" s="1595" t="str">
        <f t="shared" si="413"/>
        <v/>
      </c>
      <c r="AG700" s="1748"/>
      <c r="AH700" s="1749" t="str">
        <f t="shared" si="394"/>
        <v/>
      </c>
      <c r="AI700" s="1626"/>
      <c r="AJ700" s="1616" t="s">
        <v>4324</v>
      </c>
      <c r="AK700" s="1616" t="s">
        <v>2532</v>
      </c>
      <c r="AL700" s="1617" t="s">
        <v>4954</v>
      </c>
      <c r="AM700" s="247" t="str">
        <f t="shared" si="387"/>
        <v/>
      </c>
      <c r="AN700" s="247" t="str">
        <f t="shared" si="388"/>
        <v/>
      </c>
      <c r="AO700" s="247" t="str">
        <f t="shared" si="389"/>
        <v/>
      </c>
      <c r="AP700" s="247" t="str">
        <f t="shared" si="390"/>
        <v/>
      </c>
      <c r="AQ700" s="42">
        <f t="shared" si="414"/>
        <v>1</v>
      </c>
      <c r="AR700" s="42">
        <f t="shared" si="415"/>
        <v>1</v>
      </c>
      <c r="AS700" s="42">
        <f t="shared" si="416"/>
        <v>1</v>
      </c>
      <c r="AT700" s="42">
        <f t="shared" si="417"/>
        <v>1</v>
      </c>
      <c r="AU700" s="247" t="str">
        <f t="shared" si="391"/>
        <v/>
      </c>
      <c r="AV700" s="247" t="str">
        <f t="shared" si="392"/>
        <v/>
      </c>
    </row>
    <row r="701" spans="1:48" ht="36" x14ac:dyDescent="0.2">
      <c r="A701" s="428" t="s">
        <v>155</v>
      </c>
      <c r="B701" s="429" t="s">
        <v>4482</v>
      </c>
      <c r="C701" s="430" t="s">
        <v>3314</v>
      </c>
      <c r="D701" s="1349" t="s">
        <v>1873</v>
      </c>
      <c r="E701" s="1361" t="s">
        <v>1861</v>
      </c>
      <c r="F701" s="1350" t="s">
        <v>2777</v>
      </c>
      <c r="G701" s="1351" t="s">
        <v>4610</v>
      </c>
      <c r="H701" s="1342" t="s">
        <v>1554</v>
      </c>
      <c r="I701" s="432" t="s">
        <v>1464</v>
      </c>
      <c r="J701" s="431" t="s">
        <v>1876</v>
      </c>
      <c r="K701" s="431"/>
      <c r="L701" s="431"/>
      <c r="M701" s="433"/>
      <c r="N701" s="434"/>
      <c r="O701" s="1743" t="str">
        <f t="shared" si="409"/>
        <v>Inexploitabilité accidentelle de media support de programmes de services de publication d'informations sur un site web interne ou public, en médiathèque, due à une pollution</v>
      </c>
      <c r="P701" s="435">
        <v>1</v>
      </c>
      <c r="Q701" s="1595" t="s">
        <v>1431</v>
      </c>
      <c r="R701" s="1595" t="s">
        <v>1873</v>
      </c>
      <c r="S701" s="1595" t="str">
        <f>Classif!C27</f>
        <v/>
      </c>
      <c r="T701" s="1595">
        <f t="shared" si="410"/>
        <v>2</v>
      </c>
      <c r="U701" s="1744" t="str">
        <f t="shared" si="411"/>
        <v/>
      </c>
      <c r="V701" s="1771">
        <v>1</v>
      </c>
      <c r="W701" s="1771">
        <v>1</v>
      </c>
      <c r="X701" s="1771">
        <v>1</v>
      </c>
      <c r="Y701" s="1771">
        <f t="shared" si="406"/>
        <v>1</v>
      </c>
      <c r="Z701" s="1746">
        <v>0</v>
      </c>
      <c r="AA701" s="1747"/>
      <c r="AB701" s="1748"/>
      <c r="AC701" s="1748"/>
      <c r="AD701" s="1595" t="str">
        <f t="shared" si="393"/>
        <v/>
      </c>
      <c r="AE701" s="1595">
        <f t="shared" si="412"/>
        <v>2</v>
      </c>
      <c r="AF701" s="1595" t="str">
        <f t="shared" si="413"/>
        <v/>
      </c>
      <c r="AG701" s="1748"/>
      <c r="AH701" s="1749" t="str">
        <f t="shared" si="394"/>
        <v/>
      </c>
      <c r="AI701" s="1615"/>
      <c r="AJ701" s="1616"/>
      <c r="AK701" s="1616"/>
      <c r="AL701" s="1617" t="s">
        <v>4954</v>
      </c>
      <c r="AM701" s="247" t="str">
        <f t="shared" si="387"/>
        <v/>
      </c>
      <c r="AN701" s="247" t="str">
        <f t="shared" si="388"/>
        <v/>
      </c>
      <c r="AO701" s="247" t="str">
        <f t="shared" si="389"/>
        <v/>
      </c>
      <c r="AP701" s="247" t="str">
        <f t="shared" si="390"/>
        <v/>
      </c>
      <c r="AQ701" s="42">
        <f t="shared" si="414"/>
        <v>1</v>
      </c>
      <c r="AR701" s="42">
        <f t="shared" si="415"/>
        <v>1</v>
      </c>
      <c r="AS701" s="42">
        <f t="shared" si="416"/>
        <v>1</v>
      </c>
      <c r="AT701" s="42">
        <f t="shared" si="417"/>
        <v>1</v>
      </c>
      <c r="AU701" s="247" t="str">
        <f t="shared" si="391"/>
        <v/>
      </c>
      <c r="AV701" s="247" t="str">
        <f t="shared" si="392"/>
        <v/>
      </c>
    </row>
    <row r="702" spans="1:48" ht="36" x14ac:dyDescent="0.2">
      <c r="A702" s="428" t="s">
        <v>156</v>
      </c>
      <c r="B702" s="429" t="s">
        <v>4482</v>
      </c>
      <c r="C702" s="430" t="s">
        <v>3314</v>
      </c>
      <c r="D702" s="1349" t="s">
        <v>1873</v>
      </c>
      <c r="E702" s="1361" t="s">
        <v>1861</v>
      </c>
      <c r="F702" s="1350" t="s">
        <v>2777</v>
      </c>
      <c r="G702" s="1351" t="s">
        <v>4610</v>
      </c>
      <c r="H702" s="1342" t="s">
        <v>1554</v>
      </c>
      <c r="I702" s="432" t="s">
        <v>1534</v>
      </c>
      <c r="J702" s="431" t="s">
        <v>1876</v>
      </c>
      <c r="K702" s="438"/>
      <c r="L702" s="438"/>
      <c r="M702" s="439"/>
      <c r="N702" s="440"/>
      <c r="O702" s="1743" t="str">
        <f t="shared" si="409"/>
        <v>Inexploitabilité accidentelle de media support de programmes de services de publication d'informations sur un site web interne ou public, en médiathèque, due à un dégât des eaux</v>
      </c>
      <c r="P702" s="435">
        <v>1</v>
      </c>
      <c r="Q702" s="1595" t="s">
        <v>1431</v>
      </c>
      <c r="R702" s="1595" t="s">
        <v>1873</v>
      </c>
      <c r="S702" s="1595" t="str">
        <f>Classif!C27</f>
        <v/>
      </c>
      <c r="T702" s="1595">
        <f t="shared" si="410"/>
        <v>3</v>
      </c>
      <c r="U702" s="1744" t="str">
        <f t="shared" si="411"/>
        <v/>
      </c>
      <c r="V702" s="1771">
        <v>1</v>
      </c>
      <c r="W702" s="1771">
        <f>S08C03</f>
        <v>1</v>
      </c>
      <c r="X702" s="1771">
        <v>1</v>
      </c>
      <c r="Y702" s="1771">
        <f t="shared" si="406"/>
        <v>1</v>
      </c>
      <c r="Z702" s="1746">
        <v>0</v>
      </c>
      <c r="AA702" s="1747"/>
      <c r="AB702" s="1748"/>
      <c r="AC702" s="1748"/>
      <c r="AD702" s="1595" t="str">
        <f t="shared" si="393"/>
        <v/>
      </c>
      <c r="AE702" s="1595">
        <f t="shared" si="412"/>
        <v>3</v>
      </c>
      <c r="AF702" s="1595" t="str">
        <f t="shared" si="413"/>
        <v/>
      </c>
      <c r="AG702" s="1748"/>
      <c r="AH702" s="1749" t="str">
        <f t="shared" si="394"/>
        <v/>
      </c>
      <c r="AI702" s="1615"/>
      <c r="AJ702" s="1621" t="s">
        <v>63</v>
      </c>
      <c r="AK702" s="1618"/>
      <c r="AL702" s="1617" t="s">
        <v>4954</v>
      </c>
      <c r="AM702" s="247" t="str">
        <f t="shared" si="387"/>
        <v/>
      </c>
      <c r="AN702" s="247" t="str">
        <f t="shared" si="388"/>
        <v/>
      </c>
      <c r="AO702" s="247" t="str">
        <f t="shared" si="389"/>
        <v/>
      </c>
      <c r="AP702" s="247" t="str">
        <f t="shared" si="390"/>
        <v/>
      </c>
      <c r="AQ702" s="42">
        <f t="shared" si="414"/>
        <v>1</v>
      </c>
      <c r="AR702" s="42">
        <f t="shared" si="415"/>
        <v>1</v>
      </c>
      <c r="AS702" s="42">
        <f t="shared" si="416"/>
        <v>1</v>
      </c>
      <c r="AT702" s="42">
        <f t="shared" si="417"/>
        <v>1</v>
      </c>
      <c r="AU702" s="247" t="str">
        <f t="shared" si="391"/>
        <v/>
      </c>
      <c r="AV702" s="247" t="str">
        <f t="shared" si="392"/>
        <v/>
      </c>
    </row>
    <row r="703" spans="1:48" ht="36" x14ac:dyDescent="0.2">
      <c r="A703" s="428" t="s">
        <v>157</v>
      </c>
      <c r="B703" s="429" t="s">
        <v>4482</v>
      </c>
      <c r="C703" s="430" t="s">
        <v>3314</v>
      </c>
      <c r="D703" s="1349" t="s">
        <v>1873</v>
      </c>
      <c r="E703" s="1361" t="s">
        <v>1861</v>
      </c>
      <c r="F703" s="1350" t="s">
        <v>2777</v>
      </c>
      <c r="G703" s="1351" t="s">
        <v>4610</v>
      </c>
      <c r="H703" s="1342" t="s">
        <v>1554</v>
      </c>
      <c r="I703" s="432" t="s">
        <v>1538</v>
      </c>
      <c r="J703" s="431" t="s">
        <v>1876</v>
      </c>
      <c r="K703" s="431"/>
      <c r="L703" s="431"/>
      <c r="M703" s="433"/>
      <c r="N703" s="434"/>
      <c r="O703" s="1743" t="str">
        <f t="shared" si="409"/>
        <v>Inexploitabilité accidentelle de media support de programmes de services de publication d'informations sur un site web interne ou public, en médiathèque, due au vieillissement</v>
      </c>
      <c r="P703" s="435">
        <v>1</v>
      </c>
      <c r="Q703" s="1595" t="s">
        <v>1431</v>
      </c>
      <c r="R703" s="1595" t="s">
        <v>1873</v>
      </c>
      <c r="S703" s="1595" t="str">
        <f>Classif!C27</f>
        <v/>
      </c>
      <c r="T703" s="1595">
        <f t="shared" si="410"/>
        <v>2</v>
      </c>
      <c r="U703" s="1744" t="str">
        <f t="shared" si="411"/>
        <v/>
      </c>
      <c r="V703" s="1771">
        <v>1</v>
      </c>
      <c r="W703" s="1771">
        <v>1</v>
      </c>
      <c r="X703" s="1771">
        <f>S08C05</f>
        <v>1</v>
      </c>
      <c r="Y703" s="1771">
        <f t="shared" si="406"/>
        <v>1</v>
      </c>
      <c r="Z703" s="1746">
        <v>0</v>
      </c>
      <c r="AA703" s="1747"/>
      <c r="AB703" s="1748"/>
      <c r="AC703" s="1748"/>
      <c r="AD703" s="1595" t="str">
        <f t="shared" si="393"/>
        <v/>
      </c>
      <c r="AE703" s="1595">
        <f t="shared" si="412"/>
        <v>2</v>
      </c>
      <c r="AF703" s="1595" t="str">
        <f t="shared" si="413"/>
        <v/>
      </c>
      <c r="AG703" s="1748"/>
      <c r="AH703" s="1749" t="str">
        <f t="shared" si="394"/>
        <v/>
      </c>
      <c r="AI703" s="1615"/>
      <c r="AJ703" s="1621"/>
      <c r="AK703" s="1618" t="s">
        <v>2058</v>
      </c>
      <c r="AL703" s="1617" t="s">
        <v>4954</v>
      </c>
      <c r="AM703" s="247" t="str">
        <f t="shared" si="387"/>
        <v/>
      </c>
      <c r="AN703" s="247" t="str">
        <f t="shared" si="388"/>
        <v/>
      </c>
      <c r="AO703" s="247" t="str">
        <f t="shared" si="389"/>
        <v/>
      </c>
      <c r="AP703" s="247" t="str">
        <f t="shared" si="390"/>
        <v/>
      </c>
      <c r="AQ703" s="42">
        <f t="shared" si="414"/>
        <v>1</v>
      </c>
      <c r="AR703" s="42">
        <f t="shared" si="415"/>
        <v>1</v>
      </c>
      <c r="AS703" s="42">
        <f t="shared" si="416"/>
        <v>1</v>
      </c>
      <c r="AT703" s="42">
        <f t="shared" si="417"/>
        <v>1</v>
      </c>
      <c r="AU703" s="247" t="str">
        <f t="shared" si="391"/>
        <v/>
      </c>
      <c r="AV703" s="247" t="str">
        <f t="shared" si="392"/>
        <v/>
      </c>
    </row>
    <row r="704" spans="1:48" ht="36" x14ac:dyDescent="0.2">
      <c r="A704" s="428" t="s">
        <v>158</v>
      </c>
      <c r="B704" s="429" t="s">
        <v>4599</v>
      </c>
      <c r="C704" s="430" t="s">
        <v>3314</v>
      </c>
      <c r="D704" s="1349" t="s">
        <v>1873</v>
      </c>
      <c r="E704" s="1350" t="s">
        <v>5213</v>
      </c>
      <c r="F704" s="1350" t="s">
        <v>1879</v>
      </c>
      <c r="G704" s="1351" t="s">
        <v>5440</v>
      </c>
      <c r="H704" s="1342" t="s">
        <v>1554</v>
      </c>
      <c r="I704" s="432" t="s">
        <v>1534</v>
      </c>
      <c r="J704" s="431" t="s">
        <v>1880</v>
      </c>
      <c r="K704" s="431"/>
      <c r="L704" s="431"/>
      <c r="M704" s="433"/>
      <c r="N704" s="434"/>
      <c r="O704" s="1743" t="str">
        <f t="shared" si="409"/>
        <v>Endommagement accidentel de système hôte de services de publication d'informations sur un site web interne ou public, dans les locaux de l'exploitation, due à un dégât des eaux</v>
      </c>
      <c r="P704" s="435">
        <v>1</v>
      </c>
      <c r="Q704" s="1595" t="s">
        <v>1431</v>
      </c>
      <c r="R704" s="1595" t="s">
        <v>1873</v>
      </c>
      <c r="S704" s="1595" t="str">
        <f>Classif!C27</f>
        <v/>
      </c>
      <c r="T704" s="1595">
        <f t="shared" si="410"/>
        <v>3</v>
      </c>
      <c r="U704" s="1744" t="str">
        <f t="shared" si="411"/>
        <v/>
      </c>
      <c r="V704" s="1771">
        <v>1</v>
      </c>
      <c r="W704" s="1771">
        <f>S03C01</f>
        <v>1</v>
      </c>
      <c r="X704" s="1771">
        <v>1</v>
      </c>
      <c r="Y704" s="1771">
        <f>MAX(S07D01,S09E01,MIN(S08D06,S09E02),MIN(S01E01,S01E02))</f>
        <v>1</v>
      </c>
      <c r="Z704" s="1746">
        <v>0</v>
      </c>
      <c r="AA704" s="1747"/>
      <c r="AB704" s="1748"/>
      <c r="AC704" s="1748"/>
      <c r="AD704" s="1595" t="str">
        <f t="shared" si="393"/>
        <v/>
      </c>
      <c r="AE704" s="1595">
        <f t="shared" si="412"/>
        <v>3</v>
      </c>
      <c r="AF704" s="1595" t="str">
        <f t="shared" si="413"/>
        <v/>
      </c>
      <c r="AG704" s="1748"/>
      <c r="AH704" s="1749" t="str">
        <f t="shared" si="394"/>
        <v/>
      </c>
      <c r="AI704" s="1620"/>
      <c r="AJ704" s="1616" t="s">
        <v>5220</v>
      </c>
      <c r="AK704" s="1616"/>
      <c r="AL704" s="1617" t="s">
        <v>1520</v>
      </c>
      <c r="AM704" s="247" t="str">
        <f t="shared" si="387"/>
        <v/>
      </c>
      <c r="AN704" s="247" t="str">
        <f t="shared" si="388"/>
        <v/>
      </c>
      <c r="AO704" s="247" t="str">
        <f t="shared" si="389"/>
        <v/>
      </c>
      <c r="AP704" s="247" t="str">
        <f t="shared" si="390"/>
        <v/>
      </c>
      <c r="AQ704" s="42">
        <f t="shared" si="414"/>
        <v>1</v>
      </c>
      <c r="AR704" s="42">
        <f t="shared" si="415"/>
        <v>1</v>
      </c>
      <c r="AS704" s="42">
        <f t="shared" si="416"/>
        <v>1</v>
      </c>
      <c r="AT704" s="42">
        <f t="shared" si="417"/>
        <v>1</v>
      </c>
      <c r="AU704" s="247" t="str">
        <f t="shared" si="391"/>
        <v/>
      </c>
      <c r="AV704" s="247" t="str">
        <f t="shared" si="392"/>
        <v/>
      </c>
    </row>
    <row r="705" spans="1:48" ht="36" x14ac:dyDescent="0.2">
      <c r="A705" s="428" t="s">
        <v>159</v>
      </c>
      <c r="B705" s="429" t="s">
        <v>4599</v>
      </c>
      <c r="C705" s="430" t="s">
        <v>3314</v>
      </c>
      <c r="D705" s="1349" t="s">
        <v>1873</v>
      </c>
      <c r="E705" s="1350" t="s">
        <v>5213</v>
      </c>
      <c r="F705" s="1350" t="s">
        <v>1879</v>
      </c>
      <c r="G705" s="1351" t="s">
        <v>5440</v>
      </c>
      <c r="H705" s="1342" t="s">
        <v>1554</v>
      </c>
      <c r="I705" s="432" t="s">
        <v>1537</v>
      </c>
      <c r="J705" s="431" t="s">
        <v>1880</v>
      </c>
      <c r="K705" s="431"/>
      <c r="L705" s="431"/>
      <c r="M705" s="433"/>
      <c r="N705" s="434"/>
      <c r="O705" s="1743" t="str">
        <f t="shared" si="409"/>
        <v>Endommagement accidentel de système hôte de services de publication d'informations sur un site web interne ou public, dans les locaux de l'exploitation, due à une surcharge électrique</v>
      </c>
      <c r="P705" s="435">
        <v>1</v>
      </c>
      <c r="Q705" s="1595" t="s">
        <v>1431</v>
      </c>
      <c r="R705" s="1595" t="s">
        <v>1873</v>
      </c>
      <c r="S705" s="1595" t="str">
        <f>Classif!C27</f>
        <v/>
      </c>
      <c r="T705" s="1595">
        <f t="shared" si="410"/>
        <v>2</v>
      </c>
      <c r="U705" s="1744" t="str">
        <f t="shared" si="411"/>
        <v/>
      </c>
      <c r="V705" s="1771">
        <v>1</v>
      </c>
      <c r="W705" s="1771">
        <f>MIN(S03A01,S03A04)</f>
        <v>1</v>
      </c>
      <c r="X705" s="1771">
        <v>1</v>
      </c>
      <c r="Y705" s="1771">
        <f>MAX(S07D01,S09E01,MIN(S08D06,S09E02),MIN(S01E01,S01E02))</f>
        <v>1</v>
      </c>
      <c r="Z705" s="1746">
        <v>0</v>
      </c>
      <c r="AA705" s="1747"/>
      <c r="AB705" s="1748"/>
      <c r="AC705" s="1748"/>
      <c r="AD705" s="1595" t="str">
        <f t="shared" si="393"/>
        <v/>
      </c>
      <c r="AE705" s="1595">
        <f t="shared" si="412"/>
        <v>2</v>
      </c>
      <c r="AF705" s="1595" t="str">
        <f t="shared" si="413"/>
        <v/>
      </c>
      <c r="AG705" s="1748"/>
      <c r="AH705" s="1749" t="str">
        <f t="shared" si="394"/>
        <v/>
      </c>
      <c r="AI705" s="1615"/>
      <c r="AJ705" s="1616" t="s">
        <v>5252</v>
      </c>
      <c r="AK705" s="1616"/>
      <c r="AL705" s="1617" t="s">
        <v>1520</v>
      </c>
      <c r="AM705" s="247" t="str">
        <f t="shared" si="387"/>
        <v/>
      </c>
      <c r="AN705" s="247" t="str">
        <f t="shared" si="388"/>
        <v/>
      </c>
      <c r="AO705" s="247" t="str">
        <f t="shared" si="389"/>
        <v/>
      </c>
      <c r="AP705" s="247" t="str">
        <f t="shared" si="390"/>
        <v/>
      </c>
      <c r="AQ705" s="42">
        <f t="shared" si="414"/>
        <v>1</v>
      </c>
      <c r="AR705" s="42">
        <f t="shared" si="415"/>
        <v>1</v>
      </c>
      <c r="AS705" s="42">
        <f t="shared" si="416"/>
        <v>1</v>
      </c>
      <c r="AT705" s="42">
        <f t="shared" si="417"/>
        <v>1</v>
      </c>
      <c r="AU705" s="247" t="str">
        <f t="shared" si="391"/>
        <v/>
      </c>
      <c r="AV705" s="247" t="str">
        <f t="shared" si="392"/>
        <v/>
      </c>
    </row>
    <row r="706" spans="1:48" ht="36" x14ac:dyDescent="0.2">
      <c r="A706" s="428" t="s">
        <v>160</v>
      </c>
      <c r="B706" s="429" t="s">
        <v>4600</v>
      </c>
      <c r="C706" s="430" t="s">
        <v>3314</v>
      </c>
      <c r="D706" s="1349" t="s">
        <v>1873</v>
      </c>
      <c r="E706" s="1350" t="s">
        <v>5213</v>
      </c>
      <c r="F706" s="1350" t="s">
        <v>1875</v>
      </c>
      <c r="G706" s="1351" t="s">
        <v>5439</v>
      </c>
      <c r="H706" s="1342" t="s">
        <v>3919</v>
      </c>
      <c r="I706" s="432" t="s">
        <v>4329</v>
      </c>
      <c r="J706" s="431" t="s">
        <v>1880</v>
      </c>
      <c r="K706" s="431"/>
      <c r="L706" s="431"/>
      <c r="M706" s="433"/>
      <c r="N706" s="434"/>
      <c r="O706" s="1743" t="str">
        <f t="shared" si="409"/>
        <v>Indisponibilité de longue durée, destruction ou perte accidentelles de système hôte de services de publication d'informations sur un site web interne ou public, dans les locaux de l'exploitation, due à un foudroiement</v>
      </c>
      <c r="P706" s="435">
        <v>1</v>
      </c>
      <c r="Q706" s="1595" t="s">
        <v>1431</v>
      </c>
      <c r="R706" s="1595" t="s">
        <v>1873</v>
      </c>
      <c r="S706" s="1595" t="str">
        <f>Classif!C27</f>
        <v/>
      </c>
      <c r="T706" s="1595">
        <f t="shared" si="410"/>
        <v>2</v>
      </c>
      <c r="U706" s="1744" t="str">
        <f t="shared" si="411"/>
        <v/>
      </c>
      <c r="V706" s="1771">
        <v>1</v>
      </c>
      <c r="W706" s="1771">
        <f>S03A05</f>
        <v>1</v>
      </c>
      <c r="X706" s="1771">
        <v>1</v>
      </c>
      <c r="Y706" s="1771">
        <f>MIN(S08D06,S09E02)</f>
        <v>1</v>
      </c>
      <c r="Z706" s="1746">
        <v>0</v>
      </c>
      <c r="AA706" s="1747"/>
      <c r="AB706" s="1748"/>
      <c r="AC706" s="1748"/>
      <c r="AD706" s="1595" t="str">
        <f t="shared" si="393"/>
        <v/>
      </c>
      <c r="AE706" s="1595">
        <f t="shared" si="412"/>
        <v>2</v>
      </c>
      <c r="AF706" s="1595" t="str">
        <f t="shared" si="413"/>
        <v/>
      </c>
      <c r="AG706" s="1748"/>
      <c r="AH706" s="1749" t="str">
        <f t="shared" si="394"/>
        <v/>
      </c>
      <c r="AI706" s="1620"/>
      <c r="AJ706" s="1616" t="s">
        <v>2343</v>
      </c>
      <c r="AK706" s="1616"/>
      <c r="AL706" s="1617" t="s">
        <v>5144</v>
      </c>
      <c r="AM706" s="247" t="str">
        <f t="shared" si="387"/>
        <v/>
      </c>
      <c r="AN706" s="247" t="str">
        <f t="shared" si="388"/>
        <v/>
      </c>
      <c r="AO706" s="247" t="str">
        <f t="shared" si="389"/>
        <v/>
      </c>
      <c r="AP706" s="247" t="str">
        <f t="shared" si="390"/>
        <v/>
      </c>
      <c r="AQ706" s="42">
        <f t="shared" si="414"/>
        <v>1</v>
      </c>
      <c r="AR706" s="42">
        <f t="shared" si="415"/>
        <v>1</v>
      </c>
      <c r="AS706" s="42">
        <f t="shared" si="416"/>
        <v>1</v>
      </c>
      <c r="AT706" s="42">
        <f t="shared" si="417"/>
        <v>1</v>
      </c>
      <c r="AU706" s="247" t="str">
        <f t="shared" si="391"/>
        <v/>
      </c>
      <c r="AV706" s="247" t="str">
        <f t="shared" si="392"/>
        <v/>
      </c>
    </row>
    <row r="707" spans="1:48" ht="36" x14ac:dyDescent="0.2">
      <c r="A707" s="428" t="s">
        <v>161</v>
      </c>
      <c r="B707" s="429" t="s">
        <v>4600</v>
      </c>
      <c r="C707" s="430" t="s">
        <v>3314</v>
      </c>
      <c r="D707" s="1349" t="s">
        <v>1873</v>
      </c>
      <c r="E707" s="1350" t="s">
        <v>5213</v>
      </c>
      <c r="F707" s="1350" t="s">
        <v>1875</v>
      </c>
      <c r="G707" s="1351" t="s">
        <v>5439</v>
      </c>
      <c r="H707" s="1342" t="s">
        <v>3919</v>
      </c>
      <c r="I707" s="432" t="s">
        <v>1535</v>
      </c>
      <c r="J707" s="431" t="s">
        <v>1880</v>
      </c>
      <c r="K707" s="431"/>
      <c r="L707" s="431"/>
      <c r="M707" s="433"/>
      <c r="N707" s="434"/>
      <c r="O707" s="1743" t="str">
        <f t="shared" si="409"/>
        <v>Indisponibilité de longue durée, destruction ou perte accidentelles de système hôte de services de publication d'informations sur un site web interne ou public, dans les locaux de l'exploitation, due à un incendie</v>
      </c>
      <c r="P707" s="435">
        <v>1</v>
      </c>
      <c r="Q707" s="1595" t="s">
        <v>1431</v>
      </c>
      <c r="R707" s="1595" t="s">
        <v>1873</v>
      </c>
      <c r="S707" s="1595" t="str">
        <f>Classif!C27</f>
        <v/>
      </c>
      <c r="T707" s="1595">
        <f t="shared" si="410"/>
        <v>2</v>
      </c>
      <c r="U707" s="1744" t="str">
        <f t="shared" si="411"/>
        <v/>
      </c>
      <c r="V707" s="1771">
        <v>1</v>
      </c>
      <c r="W707" s="1771">
        <f>S03D01</f>
        <v>1</v>
      </c>
      <c r="X707" s="1771">
        <f>MIN(S03D02,S03D03)</f>
        <v>1</v>
      </c>
      <c r="Y707" s="1771">
        <f>MIN(S08D06,S09E02)</f>
        <v>1</v>
      </c>
      <c r="Z707" s="1746">
        <v>0</v>
      </c>
      <c r="AA707" s="1747"/>
      <c r="AB707" s="1748"/>
      <c r="AC707" s="1748"/>
      <c r="AD707" s="1595" t="str">
        <f t="shared" si="393"/>
        <v/>
      </c>
      <c r="AE707" s="1595">
        <f t="shared" si="412"/>
        <v>2</v>
      </c>
      <c r="AF707" s="1595" t="str">
        <f t="shared" si="413"/>
        <v/>
      </c>
      <c r="AG707" s="1748"/>
      <c r="AH707" s="1749" t="str">
        <f t="shared" si="394"/>
        <v/>
      </c>
      <c r="AI707" s="1620"/>
      <c r="AJ707" s="1616" t="s">
        <v>5225</v>
      </c>
      <c r="AK707" s="1616" t="s">
        <v>1052</v>
      </c>
      <c r="AL707" s="1617" t="s">
        <v>5144</v>
      </c>
      <c r="AM707" s="247" t="str">
        <f t="shared" si="387"/>
        <v/>
      </c>
      <c r="AN707" s="247" t="str">
        <f t="shared" si="388"/>
        <v/>
      </c>
      <c r="AO707" s="247" t="str">
        <f t="shared" si="389"/>
        <v/>
      </c>
      <c r="AP707" s="247" t="str">
        <f t="shared" si="390"/>
        <v/>
      </c>
      <c r="AQ707" s="42">
        <f t="shared" si="414"/>
        <v>1</v>
      </c>
      <c r="AR707" s="42">
        <f t="shared" si="415"/>
        <v>1</v>
      </c>
      <c r="AS707" s="42">
        <f t="shared" si="416"/>
        <v>1</v>
      </c>
      <c r="AT707" s="42">
        <f t="shared" si="417"/>
        <v>1</v>
      </c>
      <c r="AU707" s="247" t="str">
        <f t="shared" si="391"/>
        <v/>
      </c>
      <c r="AV707" s="247" t="str">
        <f t="shared" si="392"/>
        <v/>
      </c>
    </row>
    <row r="708" spans="1:48" ht="36" x14ac:dyDescent="0.2">
      <c r="A708" s="428" t="s">
        <v>162</v>
      </c>
      <c r="B708" s="429" t="s">
        <v>4600</v>
      </c>
      <c r="C708" s="430" t="s">
        <v>3314</v>
      </c>
      <c r="D708" s="1349" t="s">
        <v>1873</v>
      </c>
      <c r="E708" s="1350" t="s">
        <v>5213</v>
      </c>
      <c r="F708" s="1350" t="s">
        <v>1875</v>
      </c>
      <c r="G708" s="1351" t="s">
        <v>5439</v>
      </c>
      <c r="H708" s="1342" t="s">
        <v>3919</v>
      </c>
      <c r="I708" s="432" t="s">
        <v>1536</v>
      </c>
      <c r="J708" s="431" t="s">
        <v>1880</v>
      </c>
      <c r="K708" s="431"/>
      <c r="L708" s="431"/>
      <c r="M708" s="433"/>
      <c r="N708" s="434"/>
      <c r="O708" s="1743" t="str">
        <f t="shared" si="409"/>
        <v>Indisponibilité de longue durée, destruction ou perte accidentelles de système hôte de services de publication d'informations sur un site web interne ou public, dans les locaux de l'exploitation, due à une inondation</v>
      </c>
      <c r="P708" s="435">
        <v>1</v>
      </c>
      <c r="Q708" s="1595" t="s">
        <v>1431</v>
      </c>
      <c r="R708" s="1595" t="s">
        <v>1873</v>
      </c>
      <c r="S708" s="1595" t="str">
        <f>Classif!C27</f>
        <v/>
      </c>
      <c r="T708" s="1595">
        <f t="shared" si="410"/>
        <v>2</v>
      </c>
      <c r="U708" s="1744" t="str">
        <f t="shared" si="411"/>
        <v/>
      </c>
      <c r="V708" s="1771">
        <v>1</v>
      </c>
      <c r="W708" s="1771">
        <f>S03C01</f>
        <v>1</v>
      </c>
      <c r="X708" s="1771">
        <f>MIN(S03C02,S03C03)</f>
        <v>1</v>
      </c>
      <c r="Y708" s="1771">
        <f>MIN(S08D06,S09E02)</f>
        <v>1</v>
      </c>
      <c r="Z708" s="1746">
        <v>0</v>
      </c>
      <c r="AA708" s="1747"/>
      <c r="AB708" s="1748"/>
      <c r="AC708" s="1748"/>
      <c r="AD708" s="1595" t="str">
        <f t="shared" si="393"/>
        <v/>
      </c>
      <c r="AE708" s="1595">
        <f t="shared" si="412"/>
        <v>2</v>
      </c>
      <c r="AF708" s="1595" t="str">
        <f t="shared" si="413"/>
        <v/>
      </c>
      <c r="AG708" s="1748"/>
      <c r="AH708" s="1749" t="str">
        <f t="shared" si="394"/>
        <v/>
      </c>
      <c r="AI708" s="1620"/>
      <c r="AJ708" s="1616" t="s">
        <v>5220</v>
      </c>
      <c r="AK708" s="1616" t="s">
        <v>1054</v>
      </c>
      <c r="AL708" s="1617" t="s">
        <v>5144</v>
      </c>
      <c r="AM708" s="247" t="str">
        <f t="shared" si="387"/>
        <v/>
      </c>
      <c r="AN708" s="247" t="str">
        <f t="shared" si="388"/>
        <v/>
      </c>
      <c r="AO708" s="247" t="str">
        <f t="shared" si="389"/>
        <v/>
      </c>
      <c r="AP708" s="247" t="str">
        <f t="shared" si="390"/>
        <v/>
      </c>
      <c r="AQ708" s="42">
        <f t="shared" si="414"/>
        <v>1</v>
      </c>
      <c r="AR708" s="42">
        <f t="shared" si="415"/>
        <v>1</v>
      </c>
      <c r="AS708" s="42">
        <f t="shared" si="416"/>
        <v>1</v>
      </c>
      <c r="AT708" s="42">
        <f t="shared" si="417"/>
        <v>1</v>
      </c>
      <c r="AU708" s="247" t="str">
        <f t="shared" si="391"/>
        <v/>
      </c>
      <c r="AV708" s="247" t="str">
        <f t="shared" si="392"/>
        <v/>
      </c>
    </row>
    <row r="709" spans="1:48" ht="36" x14ac:dyDescent="0.2">
      <c r="A709" s="428" t="s">
        <v>163</v>
      </c>
      <c r="B709" s="429" t="s">
        <v>4257</v>
      </c>
      <c r="C709" s="430" t="s">
        <v>3314</v>
      </c>
      <c r="D709" s="1349" t="s">
        <v>1873</v>
      </c>
      <c r="E709" s="1350" t="s">
        <v>5213</v>
      </c>
      <c r="F709" s="1350" t="s">
        <v>1503</v>
      </c>
      <c r="G709" s="1351" t="s">
        <v>5440</v>
      </c>
      <c r="H709" s="1342" t="s">
        <v>3920</v>
      </c>
      <c r="I709" s="432" t="s">
        <v>3526</v>
      </c>
      <c r="J709" s="431"/>
      <c r="K709" s="431"/>
      <c r="L709" s="431"/>
      <c r="M709" s="433"/>
      <c r="N709" s="434"/>
      <c r="O709" s="1743" t="str">
        <f>VLOOKUP(B709,code_famille_scénario,2)&amp;VLOOKUP(C709,code_actif,2)&amp;", due "&amp;VLOOKUP(I709,code_event,2)</f>
        <v>Indisponibilité temporaire accidentelle de système hôte de services de publication d'informations sur un site web interne ou public, due à une panne d'équipement</v>
      </c>
      <c r="P709" s="435">
        <v>1</v>
      </c>
      <c r="Q709" s="1595" t="s">
        <v>1431</v>
      </c>
      <c r="R709" s="1595" t="s">
        <v>1873</v>
      </c>
      <c r="S709" s="1595" t="str">
        <f>Classif!C27</f>
        <v/>
      </c>
      <c r="T709" s="1595">
        <f t="shared" si="410"/>
        <v>3</v>
      </c>
      <c r="U709" s="1744" t="str">
        <f t="shared" si="411"/>
        <v/>
      </c>
      <c r="V709" s="1771">
        <v>1</v>
      </c>
      <c r="W709" s="1771">
        <f>S09E01</f>
        <v>1</v>
      </c>
      <c r="X709" s="1771">
        <v>1</v>
      </c>
      <c r="Y709" s="1771">
        <f>MAX(S07D01,S08D01)</f>
        <v>1</v>
      </c>
      <c r="Z709" s="1746">
        <v>0</v>
      </c>
      <c r="AA709" s="1747"/>
      <c r="AB709" s="1748"/>
      <c r="AC709" s="1748"/>
      <c r="AD709" s="1595" t="str">
        <f t="shared" si="393"/>
        <v/>
      </c>
      <c r="AE709" s="1595">
        <f t="shared" si="412"/>
        <v>3</v>
      </c>
      <c r="AF709" s="1595" t="str">
        <f t="shared" si="413"/>
        <v/>
      </c>
      <c r="AG709" s="1748"/>
      <c r="AH709" s="1749" t="str">
        <f t="shared" si="394"/>
        <v/>
      </c>
      <c r="AI709" s="1620"/>
      <c r="AJ709" s="1616" t="s">
        <v>5928</v>
      </c>
      <c r="AK709" s="1616"/>
      <c r="AL709" s="1617" t="s">
        <v>5145</v>
      </c>
      <c r="AM709" s="247" t="str">
        <f t="shared" si="387"/>
        <v/>
      </c>
      <c r="AN709" s="247" t="str">
        <f t="shared" si="388"/>
        <v/>
      </c>
      <c r="AO709" s="247" t="str">
        <f t="shared" si="389"/>
        <v/>
      </c>
      <c r="AP709" s="247" t="str">
        <f t="shared" si="390"/>
        <v/>
      </c>
      <c r="AQ709" s="42">
        <f t="shared" si="414"/>
        <v>1</v>
      </c>
      <c r="AR709" s="42">
        <f t="shared" si="415"/>
        <v>1</v>
      </c>
      <c r="AS709" s="42">
        <f t="shared" si="416"/>
        <v>1</v>
      </c>
      <c r="AT709" s="42">
        <f t="shared" si="417"/>
        <v>1</v>
      </c>
      <c r="AU709" s="247" t="str">
        <f t="shared" si="391"/>
        <v/>
      </c>
      <c r="AV709" s="247" t="str">
        <f t="shared" si="392"/>
        <v/>
      </c>
    </row>
    <row r="710" spans="1:48" ht="36" x14ac:dyDescent="0.2">
      <c r="A710" s="428" t="s">
        <v>164</v>
      </c>
      <c r="B710" s="429" t="s">
        <v>4257</v>
      </c>
      <c r="C710" s="430" t="s">
        <v>3314</v>
      </c>
      <c r="D710" s="1349" t="s">
        <v>1873</v>
      </c>
      <c r="E710" s="1350" t="s">
        <v>5927</v>
      </c>
      <c r="F710" s="1350" t="s">
        <v>1503</v>
      </c>
      <c r="G710" s="1368" t="s">
        <v>6079</v>
      </c>
      <c r="H710" s="1342" t="s">
        <v>3920</v>
      </c>
      <c r="I710" s="432" t="s">
        <v>4295</v>
      </c>
      <c r="J710" s="431"/>
      <c r="K710" s="431"/>
      <c r="L710" s="431"/>
      <c r="M710" s="433"/>
      <c r="N710" s="434"/>
      <c r="O710" s="1743" t="str">
        <f>VLOOKUP(B710,code_famille_scénario,2)&amp;VLOOKUP(C710,code_actif,2)&amp;", due "&amp;VLOOKUP(I710,code_event,2)</f>
        <v>Indisponibilité temporaire accidentelle de système hôte de services de publication d'informations sur un site web interne ou public, due à une défaillance ou à une indisponibilité de moyens de servitude</v>
      </c>
      <c r="P710" s="435">
        <v>1</v>
      </c>
      <c r="Q710" s="1595" t="s">
        <v>1431</v>
      </c>
      <c r="R710" s="1595" t="s">
        <v>1873</v>
      </c>
      <c r="S710" s="1595" t="str">
        <f>Classif!C27</f>
        <v/>
      </c>
      <c r="T710" s="1595">
        <f t="shared" si="410"/>
        <v>3</v>
      </c>
      <c r="U710" s="1744" t="str">
        <f t="shared" si="411"/>
        <v/>
      </c>
      <c r="V710" s="1771">
        <v>1</v>
      </c>
      <c r="W710" s="1771">
        <v>1</v>
      </c>
      <c r="X710" s="1771">
        <v>1</v>
      </c>
      <c r="Y710" s="1771">
        <f>S03A06</f>
        <v>1</v>
      </c>
      <c r="Z710" s="1746">
        <v>0</v>
      </c>
      <c r="AA710" s="1747"/>
      <c r="AB710" s="1748"/>
      <c r="AC710" s="1748"/>
      <c r="AD710" s="1595" t="str">
        <f t="shared" si="393"/>
        <v/>
      </c>
      <c r="AE710" s="1595">
        <f t="shared" si="412"/>
        <v>3</v>
      </c>
      <c r="AF710" s="1595" t="str">
        <f t="shared" si="413"/>
        <v/>
      </c>
      <c r="AG710" s="1748"/>
      <c r="AH710" s="1749" t="str">
        <f t="shared" si="394"/>
        <v/>
      </c>
      <c r="AI710" s="1620"/>
      <c r="AJ710" s="1616"/>
      <c r="AK710" s="1616"/>
      <c r="AL710" s="1617" t="s">
        <v>1055</v>
      </c>
      <c r="AM710" s="247" t="str">
        <f t="shared" ref="AM710:AM773" si="418">IF($AH710=1,$H710&amp;"."&amp;$I710&amp;$AH710,"")</f>
        <v/>
      </c>
      <c r="AN710" s="247" t="str">
        <f t="shared" ref="AN710:AN773" si="419">IF($AH710=2,$H710&amp;"."&amp;$I710&amp;$AH710,"")</f>
        <v/>
      </c>
      <c r="AO710" s="247" t="str">
        <f t="shared" ref="AO710:AO773" si="420">IF($AH710=3,$H710&amp;"."&amp;$I710&amp;$AH710,"")</f>
        <v/>
      </c>
      <c r="AP710" s="247" t="str">
        <f t="shared" ref="AP710:AP773" si="421">IF($AH710=4,$H710&amp;"."&amp;$I710&amp;$AH710,"")</f>
        <v/>
      </c>
      <c r="AQ710" s="42">
        <f t="shared" si="414"/>
        <v>1</v>
      </c>
      <c r="AR710" s="42">
        <f t="shared" si="415"/>
        <v>1</v>
      </c>
      <c r="AS710" s="42">
        <f t="shared" si="416"/>
        <v>1</v>
      </c>
      <c r="AT710" s="42">
        <f t="shared" si="417"/>
        <v>1</v>
      </c>
      <c r="AU710" s="247" t="str">
        <f t="shared" ref="AU710:AU773" si="422">IF(S710="","",IF(T710="","",10*S710+T710))</f>
        <v/>
      </c>
      <c r="AV710" s="247" t="str">
        <f t="shared" ref="AV710:AV773" si="423">IF(AD710="","",IF(AE710="","",10*AD710+AE710))</f>
        <v/>
      </c>
    </row>
    <row r="711" spans="1:48" ht="36" x14ac:dyDescent="0.2">
      <c r="A711" s="428" t="s">
        <v>165</v>
      </c>
      <c r="B711" s="429" t="s">
        <v>4257</v>
      </c>
      <c r="C711" s="430" t="s">
        <v>3314</v>
      </c>
      <c r="D711" s="1349" t="s">
        <v>1873</v>
      </c>
      <c r="E711" s="1350" t="s">
        <v>5927</v>
      </c>
      <c r="F711" s="1350" t="s">
        <v>1503</v>
      </c>
      <c r="G711" s="1368" t="s">
        <v>6079</v>
      </c>
      <c r="H711" s="1342" t="s">
        <v>1474</v>
      </c>
      <c r="I711" s="432" t="s">
        <v>1541</v>
      </c>
      <c r="J711" s="431"/>
      <c r="K711" s="431"/>
      <c r="L711" s="431"/>
      <c r="M711" s="433"/>
      <c r="N711" s="434"/>
      <c r="O711" s="1743" t="str">
        <f>VLOOKUP(B711,code_famille_scénario,2)&amp;VLOOKUP(C711,code_actif,2)&amp;", due "&amp;VLOOKUP(I711,code_event,2)</f>
        <v>Indisponibilité temporaire accidentelle de système hôte de services de publication d'informations sur un site web interne ou public, due à un manque d'alimentation en énergie (défaut externe)</v>
      </c>
      <c r="P711" s="435">
        <v>1</v>
      </c>
      <c r="Q711" s="1595" t="s">
        <v>1431</v>
      </c>
      <c r="R711" s="1595" t="s">
        <v>1873</v>
      </c>
      <c r="S711" s="1595" t="str">
        <f>Classif!C27</f>
        <v/>
      </c>
      <c r="T711" s="1595">
        <f t="shared" si="410"/>
        <v>3</v>
      </c>
      <c r="U711" s="1744" t="str">
        <f t="shared" si="411"/>
        <v/>
      </c>
      <c r="V711" s="1771">
        <v>1</v>
      </c>
      <c r="W711" s="1771">
        <v>1</v>
      </c>
      <c r="X711" s="1771">
        <v>1</v>
      </c>
      <c r="Y711" s="1771">
        <f>S03A02</f>
        <v>1</v>
      </c>
      <c r="Z711" s="1746">
        <v>0</v>
      </c>
      <c r="AA711" s="1747"/>
      <c r="AB711" s="1748"/>
      <c r="AC711" s="1748"/>
      <c r="AD711" s="1595" t="str">
        <f t="shared" ref="AD711:AD774" si="424">IF(OR(R711="",S711=""),"",IF(R711="D",INDEX(base_i,IF(IF(AA711="",Z711,AA711)=0,4,5-X711),Y711+7*(S711-1)),IF(R711="I",INDEX(base_i,IF(IF(AA711="",Z711,AA711)=0,15,16-X711),Y711+7*(S711-1)),IF(R711="C",INDEX(base_i,IF(IF(AA711="",Z711,AA711)=0,26,27-X711),Y711+7*(S711-1)),INDEX(base_i,38-X711,Y711+7*(S711-1))))))</f>
        <v/>
      </c>
      <c r="AE711" s="1595">
        <f t="shared" si="412"/>
        <v>3</v>
      </c>
      <c r="AF711" s="1595" t="str">
        <f t="shared" si="413"/>
        <v/>
      </c>
      <c r="AG711" s="1748"/>
      <c r="AH711" s="1749" t="str">
        <f t="shared" ref="AH711:AH774" si="425">IF(OR(AG711="A",AG711="a",AG711="T",AG711="t",AF711=""),"",AF711)</f>
        <v/>
      </c>
      <c r="AI711" s="1620"/>
      <c r="AJ711" s="1618"/>
      <c r="AK711" s="1616"/>
      <c r="AL711" s="1617" t="s">
        <v>6388</v>
      </c>
      <c r="AM711" s="247" t="str">
        <f t="shared" si="418"/>
        <v/>
      </c>
      <c r="AN711" s="247" t="str">
        <f t="shared" si="419"/>
        <v/>
      </c>
      <c r="AO711" s="247" t="str">
        <f t="shared" si="420"/>
        <v/>
      </c>
      <c r="AP711" s="247" t="str">
        <f t="shared" si="421"/>
        <v/>
      </c>
      <c r="AQ711" s="42">
        <f t="shared" si="414"/>
        <v>1</v>
      </c>
      <c r="AR711" s="42">
        <f t="shared" si="415"/>
        <v>1</v>
      </c>
      <c r="AS711" s="42">
        <f t="shared" si="416"/>
        <v>1</v>
      </c>
      <c r="AT711" s="42">
        <f t="shared" si="417"/>
        <v>1</v>
      </c>
      <c r="AU711" s="247" t="str">
        <f t="shared" si="422"/>
        <v/>
      </c>
      <c r="AV711" s="247" t="str">
        <f t="shared" si="423"/>
        <v/>
      </c>
    </row>
    <row r="712" spans="1:48" ht="36" x14ac:dyDescent="0.2">
      <c r="A712" s="428" t="s">
        <v>166</v>
      </c>
      <c r="B712" s="429" t="s">
        <v>2902</v>
      </c>
      <c r="C712" s="430" t="s">
        <v>3314</v>
      </c>
      <c r="D712" s="1349" t="s">
        <v>1873</v>
      </c>
      <c r="E712" s="1350" t="s">
        <v>5213</v>
      </c>
      <c r="F712" s="1350" t="s">
        <v>1879</v>
      </c>
      <c r="G712" s="1351" t="s">
        <v>5440</v>
      </c>
      <c r="H712" s="1342" t="s">
        <v>1329</v>
      </c>
      <c r="I712" s="432" t="s">
        <v>1552</v>
      </c>
      <c r="J712" s="431" t="s">
        <v>1880</v>
      </c>
      <c r="K712" s="431"/>
      <c r="L712" s="431"/>
      <c r="M712" s="433"/>
      <c r="N712" s="434" t="s">
        <v>4816</v>
      </c>
      <c r="O712" s="1743" t="str">
        <f>VLOOKUP(B712,code_famille_scénario,2)&amp;VLOOKUP(C712,code_actif,2)&amp;", due "&amp;VLOOKUP(I712,code_event,2)&amp;", "&amp;VLOOKUP(J712,Code_lieu,2)&amp;", par "&amp;VLOOKUP(N712,code_acteur,2)</f>
        <v>Endommagement malveillant de système hôte de services de publication d'informations sur un site web interne ou public, due à du vandalisme, dans les locaux de l'exploitation, par un membre  du personnel autorisé</v>
      </c>
      <c r="P712" s="435">
        <v>1</v>
      </c>
      <c r="Q712" s="1595" t="s">
        <v>1299</v>
      </c>
      <c r="R712" s="1595" t="s">
        <v>1873</v>
      </c>
      <c r="S712" s="1595" t="str">
        <f>Classif!C27</f>
        <v/>
      </c>
      <c r="T712" s="1595">
        <f t="shared" si="410"/>
        <v>2</v>
      </c>
      <c r="U712" s="1744" t="str">
        <f t="shared" si="411"/>
        <v/>
      </c>
      <c r="V712" s="1771">
        <f>S03B06</f>
        <v>1</v>
      </c>
      <c r="W712" s="1771">
        <f>MIN(S03B01,S03B02,S03B03)</f>
        <v>1</v>
      </c>
      <c r="X712" s="1771">
        <f>S03B04</f>
        <v>1</v>
      </c>
      <c r="Y712" s="1771">
        <f>S08D01</f>
        <v>1</v>
      </c>
      <c r="Z712" s="1746">
        <v>0</v>
      </c>
      <c r="AA712" s="1747"/>
      <c r="AB712" s="1748"/>
      <c r="AC712" s="1748"/>
      <c r="AD712" s="1595" t="str">
        <f t="shared" si="424"/>
        <v/>
      </c>
      <c r="AE712" s="1595">
        <f t="shared" si="412"/>
        <v>2</v>
      </c>
      <c r="AF712" s="1595" t="str">
        <f t="shared" si="413"/>
        <v/>
      </c>
      <c r="AG712" s="1748"/>
      <c r="AH712" s="1749" t="str">
        <f t="shared" si="425"/>
        <v/>
      </c>
      <c r="AI712" s="1620" t="s">
        <v>1665</v>
      </c>
      <c r="AJ712" s="1616" t="s">
        <v>1053</v>
      </c>
      <c r="AK712" s="1616" t="s">
        <v>3254</v>
      </c>
      <c r="AL712" s="1617" t="s">
        <v>1137</v>
      </c>
      <c r="AM712" s="247" t="str">
        <f t="shared" si="418"/>
        <v/>
      </c>
      <c r="AN712" s="247" t="str">
        <f t="shared" si="419"/>
        <v/>
      </c>
      <c r="AO712" s="247" t="str">
        <f t="shared" si="420"/>
        <v/>
      </c>
      <c r="AP712" s="247" t="str">
        <f t="shared" si="421"/>
        <v/>
      </c>
      <c r="AQ712" s="42">
        <f t="shared" si="414"/>
        <v>1</v>
      </c>
      <c r="AR712" s="42">
        <f t="shared" si="415"/>
        <v>1</v>
      </c>
      <c r="AS712" s="42">
        <f t="shared" si="416"/>
        <v>1</v>
      </c>
      <c r="AT712" s="42">
        <f t="shared" si="417"/>
        <v>1</v>
      </c>
      <c r="AU712" s="247" t="str">
        <f t="shared" si="422"/>
        <v/>
      </c>
      <c r="AV712" s="247" t="str">
        <f t="shared" si="423"/>
        <v/>
      </c>
    </row>
    <row r="713" spans="1:48" ht="36" x14ac:dyDescent="0.2">
      <c r="A713" s="428" t="s">
        <v>167</v>
      </c>
      <c r="B713" s="429" t="s">
        <v>2902</v>
      </c>
      <c r="C713" s="430" t="s">
        <v>3314</v>
      </c>
      <c r="D713" s="1349" t="s">
        <v>1873</v>
      </c>
      <c r="E713" s="1350" t="s">
        <v>1661</v>
      </c>
      <c r="F713" s="1350" t="s">
        <v>1879</v>
      </c>
      <c r="G713" s="1351" t="s">
        <v>5440</v>
      </c>
      <c r="H713" s="1342" t="s">
        <v>1329</v>
      </c>
      <c r="I713" s="432" t="s">
        <v>1552</v>
      </c>
      <c r="J713" s="431" t="s">
        <v>1880</v>
      </c>
      <c r="K713" s="431"/>
      <c r="L713" s="431"/>
      <c r="M713" s="433"/>
      <c r="N713" s="434" t="s">
        <v>3518</v>
      </c>
      <c r="O713" s="1743" t="str">
        <f>VLOOKUP(B713,code_famille_scénario,2)&amp;VLOOKUP(C713,code_actif,2)&amp;", due "&amp;VLOOKUP(I713,code_event,2)&amp;", "&amp;VLOOKUP(J713,Code_lieu,2)&amp;", par "&amp;VLOOKUP(N713,code_acteur,2)</f>
        <v>Endommagement malveillant de système hôte de services de publication d'informations sur un site web interne ou public, due à du vandalisme, dans les locaux de l'exploitation, par un membre du personnel non autorisé</v>
      </c>
      <c r="P713" s="435">
        <v>1</v>
      </c>
      <c r="Q713" s="1595" t="s">
        <v>1299</v>
      </c>
      <c r="R713" s="1595" t="s">
        <v>1873</v>
      </c>
      <c r="S713" s="1595" t="str">
        <f>Classif!C27</f>
        <v/>
      </c>
      <c r="T713" s="1595">
        <f t="shared" si="410"/>
        <v>2</v>
      </c>
      <c r="U713" s="1744" t="str">
        <f t="shared" si="411"/>
        <v/>
      </c>
      <c r="V713" s="1771">
        <v>1</v>
      </c>
      <c r="W713" s="1771">
        <f>MIN(S03B03,S03B04,S03B06)</f>
        <v>1</v>
      </c>
      <c r="X713" s="1771">
        <v>1</v>
      </c>
      <c r="Y713" s="1771">
        <f>S08D01</f>
        <v>1</v>
      </c>
      <c r="Z713" s="1746">
        <v>0</v>
      </c>
      <c r="AA713" s="1747"/>
      <c r="AB713" s="1748"/>
      <c r="AC713" s="1748"/>
      <c r="AD713" s="1595" t="str">
        <f t="shared" si="424"/>
        <v/>
      </c>
      <c r="AE713" s="1595">
        <f t="shared" si="412"/>
        <v>2</v>
      </c>
      <c r="AF713" s="1595" t="str">
        <f t="shared" si="413"/>
        <v/>
      </c>
      <c r="AG713" s="1748"/>
      <c r="AH713" s="1749" t="str">
        <f t="shared" si="425"/>
        <v/>
      </c>
      <c r="AI713" s="1615"/>
      <c r="AJ713" s="1616" t="s">
        <v>1412</v>
      </c>
      <c r="AK713" s="1618"/>
      <c r="AL713" s="1617" t="s">
        <v>1137</v>
      </c>
      <c r="AM713" s="247" t="str">
        <f t="shared" si="418"/>
        <v/>
      </c>
      <c r="AN713" s="247" t="str">
        <f t="shared" si="419"/>
        <v/>
      </c>
      <c r="AO713" s="247" t="str">
        <f t="shared" si="420"/>
        <v/>
      </c>
      <c r="AP713" s="247" t="str">
        <f t="shared" si="421"/>
        <v/>
      </c>
      <c r="AQ713" s="42">
        <f t="shared" si="414"/>
        <v>1</v>
      </c>
      <c r="AR713" s="42">
        <f t="shared" si="415"/>
        <v>1</v>
      </c>
      <c r="AS713" s="42">
        <f t="shared" si="416"/>
        <v>1</v>
      </c>
      <c r="AT713" s="42">
        <f t="shared" si="417"/>
        <v>1</v>
      </c>
      <c r="AU713" s="247" t="str">
        <f t="shared" si="422"/>
        <v/>
      </c>
      <c r="AV713" s="247" t="str">
        <f t="shared" si="423"/>
        <v/>
      </c>
    </row>
    <row r="714" spans="1:48" ht="36" x14ac:dyDescent="0.2">
      <c r="A714" s="428" t="s">
        <v>168</v>
      </c>
      <c r="B714" s="429" t="s">
        <v>2902</v>
      </c>
      <c r="C714" s="430" t="s">
        <v>3314</v>
      </c>
      <c r="D714" s="1349" t="s">
        <v>1873</v>
      </c>
      <c r="E714" s="1350" t="s">
        <v>1661</v>
      </c>
      <c r="F714" s="1350" t="s">
        <v>1879</v>
      </c>
      <c r="G714" s="1351" t="s">
        <v>5440</v>
      </c>
      <c r="H714" s="1342" t="s">
        <v>1329</v>
      </c>
      <c r="I714" s="432" t="s">
        <v>1552</v>
      </c>
      <c r="J714" s="431"/>
      <c r="K714" s="431"/>
      <c r="L714" s="431"/>
      <c r="M714" s="433"/>
      <c r="N714" s="434" t="s">
        <v>1521</v>
      </c>
      <c r="O714" s="1743" t="str">
        <f>VLOOKUP(B714,code_famille_scénario,2)&amp;VLOOKUP(C714,code_actif,2)&amp;", due "&amp;VLOOKUP(I714,code_event,2)&amp;", par "&amp;VLOOKUP(N714,code_acteur,2)</f>
        <v>Endommagement malveillant de système hôte de services de publication d'informations sur un site web interne ou public, due à du vandalisme, par des vandales ou des terroristes agissant depuis l'extérieur</v>
      </c>
      <c r="P714" s="435">
        <v>1</v>
      </c>
      <c r="Q714" s="1595" t="s">
        <v>1299</v>
      </c>
      <c r="R714" s="1595" t="s">
        <v>1873</v>
      </c>
      <c r="S714" s="1595" t="str">
        <f>Classif!C27</f>
        <v/>
      </c>
      <c r="T714" s="1595">
        <f t="shared" si="410"/>
        <v>2</v>
      </c>
      <c r="U714" s="1744" t="str">
        <f t="shared" si="411"/>
        <v/>
      </c>
      <c r="V714" s="1771">
        <v>1</v>
      </c>
      <c r="W714" s="1771">
        <v>1</v>
      </c>
      <c r="X714" s="1771">
        <v>1</v>
      </c>
      <c r="Y714" s="1771">
        <f>S08D01</f>
        <v>1</v>
      </c>
      <c r="Z714" s="1746">
        <v>0</v>
      </c>
      <c r="AA714" s="1747"/>
      <c r="AB714" s="1748"/>
      <c r="AC714" s="1748"/>
      <c r="AD714" s="1595" t="str">
        <f t="shared" si="424"/>
        <v/>
      </c>
      <c r="AE714" s="1595">
        <f t="shared" si="412"/>
        <v>2</v>
      </c>
      <c r="AF714" s="1595" t="str">
        <f t="shared" si="413"/>
        <v/>
      </c>
      <c r="AG714" s="1748"/>
      <c r="AH714" s="1749" t="str">
        <f t="shared" si="425"/>
        <v/>
      </c>
      <c r="AI714" s="1620"/>
      <c r="AJ714" s="1616"/>
      <c r="AK714" s="1616"/>
      <c r="AL714" s="1617" t="s">
        <v>1137</v>
      </c>
      <c r="AM714" s="247" t="str">
        <f t="shared" si="418"/>
        <v/>
      </c>
      <c r="AN714" s="247" t="str">
        <f t="shared" si="419"/>
        <v/>
      </c>
      <c r="AO714" s="247" t="str">
        <f t="shared" si="420"/>
        <v/>
      </c>
      <c r="AP714" s="247" t="str">
        <f t="shared" si="421"/>
        <v/>
      </c>
      <c r="AQ714" s="42">
        <f t="shared" si="414"/>
        <v>1</v>
      </c>
      <c r="AR714" s="42">
        <f t="shared" si="415"/>
        <v>1</v>
      </c>
      <c r="AS714" s="42">
        <f t="shared" si="416"/>
        <v>1</v>
      </c>
      <c r="AT714" s="42">
        <f t="shared" si="417"/>
        <v>1</v>
      </c>
      <c r="AU714" s="247" t="str">
        <f t="shared" si="422"/>
        <v/>
      </c>
      <c r="AV714" s="247" t="str">
        <f t="shared" si="423"/>
        <v/>
      </c>
    </row>
    <row r="715" spans="1:48" ht="36" x14ac:dyDescent="0.2">
      <c r="A715" s="428" t="s">
        <v>169</v>
      </c>
      <c r="B715" s="429" t="s">
        <v>2902</v>
      </c>
      <c r="C715" s="430" t="s">
        <v>3314</v>
      </c>
      <c r="D715" s="1349" t="s">
        <v>1873</v>
      </c>
      <c r="E715" s="1350" t="s">
        <v>1661</v>
      </c>
      <c r="F715" s="1350" t="s">
        <v>1879</v>
      </c>
      <c r="G715" s="1351" t="s">
        <v>5440</v>
      </c>
      <c r="H715" s="1342" t="s">
        <v>1329</v>
      </c>
      <c r="I715" s="432" t="s">
        <v>1552</v>
      </c>
      <c r="J715" s="431"/>
      <c r="K715" s="431"/>
      <c r="L715" s="431"/>
      <c r="M715" s="433"/>
      <c r="N715" s="434" t="s">
        <v>1522</v>
      </c>
      <c r="O715" s="1743" t="str">
        <f>VLOOKUP(B715,code_famille_scénario,2)&amp;VLOOKUP(C715,code_actif,2)&amp;", due "&amp;VLOOKUP(I715,code_event,2)&amp;", par "&amp;VLOOKUP(N715,code_acteur,2)</f>
        <v>Endommagement malveillant de système hôte de services de publication d'informations sur un site web interne ou public, due à du vandalisme, par des vandales ou des terroristes agissant depuis l'intérieur (après intrusion)</v>
      </c>
      <c r="P715" s="435">
        <v>1</v>
      </c>
      <c r="Q715" s="1595" t="s">
        <v>1299</v>
      </c>
      <c r="R715" s="1595" t="s">
        <v>1873</v>
      </c>
      <c r="S715" s="1595" t="str">
        <f>Classif!C27</f>
        <v/>
      </c>
      <c r="T715" s="1595">
        <f t="shared" si="410"/>
        <v>2</v>
      </c>
      <c r="U715" s="1744" t="str">
        <f t="shared" si="411"/>
        <v/>
      </c>
      <c r="V715" s="1771">
        <v>1</v>
      </c>
      <c r="W715" s="1745">
        <f>MIN(S02A01,S02A02,S02A03,S02A05)</f>
        <v>1</v>
      </c>
      <c r="X715" s="1745">
        <f>S02A04</f>
        <v>1</v>
      </c>
      <c r="Y715" s="1771">
        <f>S08D01</f>
        <v>1</v>
      </c>
      <c r="Z715" s="1746">
        <v>0</v>
      </c>
      <c r="AA715" s="1747"/>
      <c r="AB715" s="1748"/>
      <c r="AC715" s="1748"/>
      <c r="AD715" s="1595" t="str">
        <f t="shared" si="424"/>
        <v/>
      </c>
      <c r="AE715" s="1595">
        <f t="shared" si="412"/>
        <v>2</v>
      </c>
      <c r="AF715" s="1595" t="str">
        <f t="shared" si="413"/>
        <v/>
      </c>
      <c r="AG715" s="1748"/>
      <c r="AH715" s="1749" t="str">
        <f t="shared" si="425"/>
        <v/>
      </c>
      <c r="AI715" s="1620"/>
      <c r="AJ715" s="1616" t="s">
        <v>1518</v>
      </c>
      <c r="AK715" s="1616" t="s">
        <v>6400</v>
      </c>
      <c r="AL715" s="1617" t="s">
        <v>1137</v>
      </c>
      <c r="AM715" s="247" t="str">
        <f t="shared" si="418"/>
        <v/>
      </c>
      <c r="AN715" s="247" t="str">
        <f t="shared" si="419"/>
        <v/>
      </c>
      <c r="AO715" s="247" t="str">
        <f t="shared" si="420"/>
        <v/>
      </c>
      <c r="AP715" s="247" t="str">
        <f t="shared" si="421"/>
        <v/>
      </c>
      <c r="AQ715" s="42">
        <f t="shared" si="414"/>
        <v>1</v>
      </c>
      <c r="AR715" s="42">
        <f t="shared" si="415"/>
        <v>1</v>
      </c>
      <c r="AS715" s="42">
        <f t="shared" si="416"/>
        <v>1</v>
      </c>
      <c r="AT715" s="42">
        <f t="shared" si="417"/>
        <v>1</v>
      </c>
      <c r="AU715" s="247" t="str">
        <f t="shared" si="422"/>
        <v/>
      </c>
      <c r="AV715" s="247" t="str">
        <f t="shared" si="423"/>
        <v/>
      </c>
    </row>
    <row r="716" spans="1:48" ht="36" x14ac:dyDescent="0.2">
      <c r="A716" s="428" t="s">
        <v>170</v>
      </c>
      <c r="B716" s="429" t="s">
        <v>5658</v>
      </c>
      <c r="C716" s="430" t="s">
        <v>3314</v>
      </c>
      <c r="D716" s="1349" t="s">
        <v>1873</v>
      </c>
      <c r="E716" s="1350" t="s">
        <v>1661</v>
      </c>
      <c r="F716" s="1350" t="s">
        <v>1503</v>
      </c>
      <c r="G716" s="1351" t="s">
        <v>5440</v>
      </c>
      <c r="H716" s="1342" t="s">
        <v>1328</v>
      </c>
      <c r="I716" s="432" t="s">
        <v>122</v>
      </c>
      <c r="J716" s="431"/>
      <c r="K716" s="431"/>
      <c r="L716" s="431"/>
      <c r="M716" s="433"/>
      <c r="N716" s="434" t="s">
        <v>6403</v>
      </c>
      <c r="O716" s="1743" t="str">
        <f>VLOOKUP(B716,code_famille_scénario,2)&amp;VLOOKUP(C716,code_actif,2)&amp;",  "&amp;VLOOKUP(I716,code_event,2)&amp;", par "&amp;VLOOKUP(N716,code_acteur,2)</f>
        <v>Mise hors service malveillante de services de publication d'informations sur un site web interne ou public,  par effacement ou polllution massive de la configuration du système hôte, par un membre du personnel d'exploitation</v>
      </c>
      <c r="P716" s="435">
        <v>1</v>
      </c>
      <c r="Q716" s="1595" t="s">
        <v>1299</v>
      </c>
      <c r="R716" s="1595" t="s">
        <v>1873</v>
      </c>
      <c r="S716" s="1595" t="str">
        <f>Classif!C27</f>
        <v/>
      </c>
      <c r="T716" s="1595">
        <f t="shared" si="410"/>
        <v>2</v>
      </c>
      <c r="U716" s="1744" t="str">
        <f t="shared" si="411"/>
        <v/>
      </c>
      <c r="V716" s="1771">
        <f>MIN(S08F02,S08F03)</f>
        <v>1</v>
      </c>
      <c r="W716" s="1771">
        <v>1</v>
      </c>
      <c r="X716" s="1771">
        <v>1</v>
      </c>
      <c r="Y716" s="1771">
        <f>S08D04</f>
        <v>1</v>
      </c>
      <c r="Z716" s="1746">
        <v>0</v>
      </c>
      <c r="AA716" s="1747"/>
      <c r="AB716" s="1748"/>
      <c r="AC716" s="1748"/>
      <c r="AD716" s="1595" t="str">
        <f t="shared" si="424"/>
        <v/>
      </c>
      <c r="AE716" s="1595">
        <f t="shared" si="412"/>
        <v>2</v>
      </c>
      <c r="AF716" s="1595" t="str">
        <f t="shared" si="413"/>
        <v/>
      </c>
      <c r="AG716" s="1748"/>
      <c r="AH716" s="1749" t="str">
        <f t="shared" si="425"/>
        <v/>
      </c>
      <c r="AI716" s="1622" t="s">
        <v>6495</v>
      </c>
      <c r="AJ716" s="1616"/>
      <c r="AK716" s="1616"/>
      <c r="AL716" s="1617" t="s">
        <v>4954</v>
      </c>
      <c r="AM716" s="247" t="str">
        <f t="shared" si="418"/>
        <v/>
      </c>
      <c r="AN716" s="247" t="str">
        <f t="shared" si="419"/>
        <v/>
      </c>
      <c r="AO716" s="247" t="str">
        <f t="shared" si="420"/>
        <v/>
      </c>
      <c r="AP716" s="247" t="str">
        <f t="shared" si="421"/>
        <v/>
      </c>
      <c r="AQ716" s="42">
        <f t="shared" si="414"/>
        <v>1</v>
      </c>
      <c r="AR716" s="42">
        <f t="shared" si="415"/>
        <v>1</v>
      </c>
      <c r="AS716" s="42">
        <f t="shared" si="416"/>
        <v>1</v>
      </c>
      <c r="AT716" s="42">
        <f t="shared" si="417"/>
        <v>1</v>
      </c>
      <c r="AU716" s="247" t="str">
        <f t="shared" si="422"/>
        <v/>
      </c>
      <c r="AV716" s="247" t="str">
        <f t="shared" si="423"/>
        <v/>
      </c>
    </row>
    <row r="717" spans="1:48" ht="36" x14ac:dyDescent="0.2">
      <c r="A717" s="428" t="s">
        <v>171</v>
      </c>
      <c r="B717" s="429" t="s">
        <v>5658</v>
      </c>
      <c r="C717" s="430" t="s">
        <v>3314</v>
      </c>
      <c r="D717" s="1349" t="s">
        <v>1873</v>
      </c>
      <c r="E717" s="1350" t="s">
        <v>1661</v>
      </c>
      <c r="F717" s="1350" t="s">
        <v>1503</v>
      </c>
      <c r="G717" s="1351" t="s">
        <v>5440</v>
      </c>
      <c r="H717" s="1342" t="s">
        <v>1328</v>
      </c>
      <c r="I717" s="432" t="s">
        <v>122</v>
      </c>
      <c r="J717" s="431"/>
      <c r="K717" s="431"/>
      <c r="L717" s="431"/>
      <c r="M717" s="433"/>
      <c r="N717" s="434" t="s">
        <v>1299</v>
      </c>
      <c r="O717" s="1743" t="str">
        <f>VLOOKUP(B717,code_famille_scénario,2)&amp;VLOOKUP(C717,code_actif,2)&amp;",  "&amp;VLOOKUP(I717,code_event,2)&amp;", par "&amp;VLOOKUP(N717,code_acteur,2)</f>
        <v>Mise hors service malveillante de services de publication d'informations sur un site web interne ou public,  par effacement ou polllution massive de la configuration du système hôte, par un membre du personnel de maintenance</v>
      </c>
      <c r="P717" s="435">
        <v>1</v>
      </c>
      <c r="Q717" s="1595" t="s">
        <v>1299</v>
      </c>
      <c r="R717" s="1595" t="s">
        <v>1873</v>
      </c>
      <c r="S717" s="1595" t="str">
        <f>Classif!C27</f>
        <v/>
      </c>
      <c r="T717" s="1595">
        <f t="shared" si="410"/>
        <v>2</v>
      </c>
      <c r="U717" s="1744" t="str">
        <f t="shared" si="411"/>
        <v/>
      </c>
      <c r="V717" s="1771">
        <f>MIN(S07C02,S08E02)</f>
        <v>1</v>
      </c>
      <c r="W717" s="1771">
        <v>1</v>
      </c>
      <c r="X717" s="1771">
        <v>1</v>
      </c>
      <c r="Y717" s="1771">
        <f>S08D04</f>
        <v>1</v>
      </c>
      <c r="Z717" s="1746">
        <v>0</v>
      </c>
      <c r="AA717" s="1747"/>
      <c r="AB717" s="1748"/>
      <c r="AC717" s="1748"/>
      <c r="AD717" s="1595" t="str">
        <f t="shared" si="424"/>
        <v/>
      </c>
      <c r="AE717" s="1595">
        <f t="shared" si="412"/>
        <v>2</v>
      </c>
      <c r="AF717" s="1595" t="str">
        <f t="shared" si="413"/>
        <v/>
      </c>
      <c r="AG717" s="1748"/>
      <c r="AH717" s="1749" t="str">
        <f t="shared" si="425"/>
        <v/>
      </c>
      <c r="AI717" s="1620" t="s">
        <v>6491</v>
      </c>
      <c r="AJ717" s="1616"/>
      <c r="AK717" s="1616"/>
      <c r="AL717" s="1617" t="s">
        <v>4954</v>
      </c>
      <c r="AM717" s="247" t="str">
        <f t="shared" si="418"/>
        <v/>
      </c>
      <c r="AN717" s="247" t="str">
        <f t="shared" si="419"/>
        <v/>
      </c>
      <c r="AO717" s="247" t="str">
        <f t="shared" si="420"/>
        <v/>
      </c>
      <c r="AP717" s="247" t="str">
        <f t="shared" si="421"/>
        <v/>
      </c>
      <c r="AQ717" s="42">
        <f t="shared" si="414"/>
        <v>1</v>
      </c>
      <c r="AR717" s="42">
        <f t="shared" si="415"/>
        <v>1</v>
      </c>
      <c r="AS717" s="42">
        <f t="shared" si="416"/>
        <v>1</v>
      </c>
      <c r="AT717" s="42">
        <f t="shared" si="417"/>
        <v>1</v>
      </c>
      <c r="AU717" s="247" t="str">
        <f t="shared" si="422"/>
        <v/>
      </c>
      <c r="AV717" s="247" t="str">
        <f t="shared" si="423"/>
        <v/>
      </c>
    </row>
    <row r="718" spans="1:48" ht="36" x14ac:dyDescent="0.2">
      <c r="A718" s="428" t="s">
        <v>172</v>
      </c>
      <c r="B718" s="429" t="s">
        <v>2870</v>
      </c>
      <c r="C718" s="430" t="s">
        <v>3314</v>
      </c>
      <c r="D718" s="1349" t="s">
        <v>1873</v>
      </c>
      <c r="E718" s="1350" t="s">
        <v>1661</v>
      </c>
      <c r="F718" s="1350" t="s">
        <v>1875</v>
      </c>
      <c r="G718" s="1351" t="s">
        <v>5439</v>
      </c>
      <c r="H718" s="1342" t="s">
        <v>1329</v>
      </c>
      <c r="I718" s="432" t="s">
        <v>1551</v>
      </c>
      <c r="J718" s="431"/>
      <c r="K718" s="431"/>
      <c r="L718" s="431"/>
      <c r="M718" s="433"/>
      <c r="N718" s="434" t="s">
        <v>1521</v>
      </c>
      <c r="O718" s="1743" t="str">
        <f>VLOOKUP(B718,code_famille_scénario,2)&amp;VLOOKUP(C718,code_actif,2)&amp;", due "&amp;VLOOKUP(I718,code_event,2)&amp;", par "&amp;VLOOKUP(N718,code_acteur,2)</f>
        <v>Destruction malveillante de système hôte de services de publication d'informations sur un site web interne ou public, due à un acte terroriste, par des vandales ou des terroristes agissant depuis l'extérieur</v>
      </c>
      <c r="P718" s="435">
        <v>1</v>
      </c>
      <c r="Q718" s="1595" t="s">
        <v>1299</v>
      </c>
      <c r="R718" s="1595" t="s">
        <v>1873</v>
      </c>
      <c r="S718" s="1595" t="str">
        <f>Classif!C27</f>
        <v/>
      </c>
      <c r="T718" s="1595">
        <f t="shared" si="410"/>
        <v>2</v>
      </c>
      <c r="U718" s="1744" t="str">
        <f t="shared" si="411"/>
        <v/>
      </c>
      <c r="V718" s="1771">
        <v>1</v>
      </c>
      <c r="W718" s="1771">
        <v>1</v>
      </c>
      <c r="X718" s="1771">
        <v>1</v>
      </c>
      <c r="Y718" s="1771">
        <f>MIN(S08D06,S09E02)</f>
        <v>1</v>
      </c>
      <c r="Z718" s="1746">
        <v>0</v>
      </c>
      <c r="AA718" s="1747"/>
      <c r="AB718" s="1748"/>
      <c r="AC718" s="1748"/>
      <c r="AD718" s="1595" t="str">
        <f t="shared" si="424"/>
        <v/>
      </c>
      <c r="AE718" s="1595">
        <f t="shared" si="412"/>
        <v>2</v>
      </c>
      <c r="AF718" s="1595" t="str">
        <f t="shared" si="413"/>
        <v/>
      </c>
      <c r="AG718" s="1748"/>
      <c r="AH718" s="1749" t="str">
        <f t="shared" si="425"/>
        <v/>
      </c>
      <c r="AI718" s="1620"/>
      <c r="AJ718" s="1616"/>
      <c r="AK718" s="1616"/>
      <c r="AL718" s="1617" t="s">
        <v>5144</v>
      </c>
      <c r="AM718" s="247" t="str">
        <f t="shared" si="418"/>
        <v/>
      </c>
      <c r="AN718" s="247" t="str">
        <f t="shared" si="419"/>
        <v/>
      </c>
      <c r="AO718" s="247" t="str">
        <f t="shared" si="420"/>
        <v/>
      </c>
      <c r="AP718" s="247" t="str">
        <f t="shared" si="421"/>
        <v/>
      </c>
      <c r="AQ718" s="42">
        <f t="shared" si="414"/>
        <v>1</v>
      </c>
      <c r="AR718" s="42">
        <f t="shared" si="415"/>
        <v>1</v>
      </c>
      <c r="AS718" s="42">
        <f t="shared" si="416"/>
        <v>1</v>
      </c>
      <c r="AT718" s="42">
        <f t="shared" si="417"/>
        <v>1</v>
      </c>
      <c r="AU718" s="247" t="str">
        <f t="shared" si="422"/>
        <v/>
      </c>
      <c r="AV718" s="247" t="str">
        <f t="shared" si="423"/>
        <v/>
      </c>
    </row>
    <row r="719" spans="1:48" ht="36" x14ac:dyDescent="0.2">
      <c r="A719" s="428" t="s">
        <v>173</v>
      </c>
      <c r="B719" s="429" t="s">
        <v>4213</v>
      </c>
      <c r="C719" s="430" t="s">
        <v>3314</v>
      </c>
      <c r="D719" s="1349" t="s">
        <v>1873</v>
      </c>
      <c r="E719" s="1350" t="s">
        <v>1661</v>
      </c>
      <c r="F719" s="1350" t="s">
        <v>1503</v>
      </c>
      <c r="G719" s="1351" t="s">
        <v>5440</v>
      </c>
      <c r="H719" s="1342" t="s">
        <v>1474</v>
      </c>
      <c r="I719" s="432" t="s">
        <v>5635</v>
      </c>
      <c r="J719" s="431"/>
      <c r="K719" s="431"/>
      <c r="L719" s="431"/>
      <c r="M719" s="433"/>
      <c r="N719" s="434"/>
      <c r="O719" s="1743" t="str">
        <f t="shared" ref="O719:O727" si="426">VLOOKUP(B719,code_famille_scénario,2)&amp;VLOOKUP(C719,code_actif,2)&amp;", dû "&amp;VLOOKUP(I719,code_event,2)</f>
        <v>Arret de fonctionnement de services de publication d'informations sur un site web interne ou public, dû à une incapacité de la maintenance système (panne non réparable ou défaillance du partenaire)</v>
      </c>
      <c r="P719" s="435">
        <v>1</v>
      </c>
      <c r="Q719" s="1595" t="s">
        <v>1431</v>
      </c>
      <c r="R719" s="1595" t="s">
        <v>1873</v>
      </c>
      <c r="S719" s="1595" t="str">
        <f>Classif!C27</f>
        <v/>
      </c>
      <c r="T719" s="1595">
        <f t="shared" si="410"/>
        <v>2</v>
      </c>
      <c r="U719" s="1744" t="str">
        <f t="shared" si="411"/>
        <v/>
      </c>
      <c r="V719" s="1771">
        <v>1</v>
      </c>
      <c r="W719" s="1771">
        <v>1</v>
      </c>
      <c r="X719" s="1771">
        <v>1</v>
      </c>
      <c r="Y719" s="1771">
        <f>S08D08</f>
        <v>1</v>
      </c>
      <c r="Z719" s="1746">
        <v>0</v>
      </c>
      <c r="AA719" s="1747"/>
      <c r="AB719" s="1748"/>
      <c r="AC719" s="1748"/>
      <c r="AD719" s="1595" t="str">
        <f t="shared" si="424"/>
        <v/>
      </c>
      <c r="AE719" s="1595">
        <f t="shared" si="412"/>
        <v>2</v>
      </c>
      <c r="AF719" s="1595" t="str">
        <f t="shared" si="413"/>
        <v/>
      </c>
      <c r="AG719" s="1748"/>
      <c r="AH719" s="1749" t="str">
        <f t="shared" si="425"/>
        <v/>
      </c>
      <c r="AI719" s="1615"/>
      <c r="AJ719" s="1616"/>
      <c r="AK719" s="1616"/>
      <c r="AL719" s="1617" t="s">
        <v>1994</v>
      </c>
      <c r="AM719" s="247" t="str">
        <f t="shared" si="418"/>
        <v/>
      </c>
      <c r="AN719" s="247" t="str">
        <f t="shared" si="419"/>
        <v/>
      </c>
      <c r="AO719" s="247" t="str">
        <f t="shared" si="420"/>
        <v/>
      </c>
      <c r="AP719" s="247" t="str">
        <f t="shared" si="421"/>
        <v/>
      </c>
      <c r="AQ719" s="42">
        <f t="shared" si="414"/>
        <v>1</v>
      </c>
      <c r="AR719" s="42">
        <f t="shared" si="415"/>
        <v>1</v>
      </c>
      <c r="AS719" s="42">
        <f t="shared" si="416"/>
        <v>1</v>
      </c>
      <c r="AT719" s="42">
        <f t="shared" si="417"/>
        <v>1</v>
      </c>
      <c r="AU719" s="247" t="str">
        <f t="shared" si="422"/>
        <v/>
      </c>
      <c r="AV719" s="247" t="str">
        <f t="shared" si="423"/>
        <v/>
      </c>
    </row>
    <row r="720" spans="1:48" ht="36" x14ac:dyDescent="0.2">
      <c r="A720" s="428" t="s">
        <v>174</v>
      </c>
      <c r="B720" s="429" t="s">
        <v>4213</v>
      </c>
      <c r="C720" s="430" t="s">
        <v>3314</v>
      </c>
      <c r="D720" s="1349" t="s">
        <v>1873</v>
      </c>
      <c r="E720" s="1350" t="s">
        <v>2534</v>
      </c>
      <c r="F720" s="1350" t="s">
        <v>1602</v>
      </c>
      <c r="G720" s="1351" t="s">
        <v>5440</v>
      </c>
      <c r="H720" s="1342" t="s">
        <v>1474</v>
      </c>
      <c r="I720" s="432" t="s">
        <v>5633</v>
      </c>
      <c r="J720" s="431"/>
      <c r="K720" s="431"/>
      <c r="L720" s="431"/>
      <c r="M720" s="433" t="s">
        <v>1880</v>
      </c>
      <c r="N720" s="434"/>
      <c r="O720" s="1743" t="str">
        <f t="shared" si="426"/>
        <v>Arret de fonctionnement de services de publication d'informations sur un site web interne ou public, dû à une incapacité de la maintenance applicative (panne non réparable ou défaillance du partenaire)</v>
      </c>
      <c r="P720" s="435">
        <v>1</v>
      </c>
      <c r="Q720" s="1595" t="s">
        <v>1431</v>
      </c>
      <c r="R720" s="1595" t="s">
        <v>1873</v>
      </c>
      <c r="S720" s="1595" t="str">
        <f>Classif!C27</f>
        <v/>
      </c>
      <c r="T720" s="1595">
        <f t="shared" si="410"/>
        <v>3</v>
      </c>
      <c r="U720" s="1744" t="str">
        <f t="shared" si="411"/>
        <v/>
      </c>
      <c r="V720" s="1771">
        <v>1</v>
      </c>
      <c r="W720" s="1771">
        <v>1</v>
      </c>
      <c r="X720" s="1771">
        <v>1</v>
      </c>
      <c r="Y720" s="1771">
        <f>S09E03</f>
        <v>1</v>
      </c>
      <c r="Z720" s="1746">
        <v>0</v>
      </c>
      <c r="AA720" s="1747"/>
      <c r="AB720" s="1748"/>
      <c r="AC720" s="1748"/>
      <c r="AD720" s="1595" t="str">
        <f t="shared" si="424"/>
        <v/>
      </c>
      <c r="AE720" s="1595">
        <f t="shared" si="412"/>
        <v>3</v>
      </c>
      <c r="AF720" s="1595" t="str">
        <f t="shared" si="413"/>
        <v/>
      </c>
      <c r="AG720" s="1748"/>
      <c r="AH720" s="1749" t="str">
        <f t="shared" si="425"/>
        <v/>
      </c>
      <c r="AI720" s="1620"/>
      <c r="AJ720" s="1616"/>
      <c r="AK720" s="1616"/>
      <c r="AL720" s="1617" t="s">
        <v>3213</v>
      </c>
      <c r="AM720" s="247" t="str">
        <f t="shared" si="418"/>
        <v/>
      </c>
      <c r="AN720" s="247" t="str">
        <f t="shared" si="419"/>
        <v/>
      </c>
      <c r="AO720" s="247" t="str">
        <f t="shared" si="420"/>
        <v/>
      </c>
      <c r="AP720" s="247" t="str">
        <f t="shared" si="421"/>
        <v/>
      </c>
      <c r="AQ720" s="42">
        <f t="shared" si="414"/>
        <v>1</v>
      </c>
      <c r="AR720" s="42">
        <f t="shared" si="415"/>
        <v>1</v>
      </c>
      <c r="AS720" s="42">
        <f t="shared" si="416"/>
        <v>1</v>
      </c>
      <c r="AT720" s="42">
        <f t="shared" si="417"/>
        <v>1</v>
      </c>
      <c r="AU720" s="247" t="str">
        <f t="shared" si="422"/>
        <v/>
      </c>
      <c r="AV720" s="247" t="str">
        <f t="shared" si="423"/>
        <v/>
      </c>
    </row>
    <row r="721" spans="1:48" ht="24" x14ac:dyDescent="0.2">
      <c r="A721" s="428" t="s">
        <v>175</v>
      </c>
      <c r="B721" s="429" t="s">
        <v>4213</v>
      </c>
      <c r="C721" s="430" t="s">
        <v>3314</v>
      </c>
      <c r="D721" s="1349" t="s">
        <v>1873</v>
      </c>
      <c r="E721" s="1350" t="s">
        <v>1661</v>
      </c>
      <c r="F721" s="1350" t="s">
        <v>1503</v>
      </c>
      <c r="G721" s="1351" t="s">
        <v>6064</v>
      </c>
      <c r="H721" s="1342" t="s">
        <v>5964</v>
      </c>
      <c r="I721" s="432" t="s">
        <v>1544</v>
      </c>
      <c r="J721" s="431"/>
      <c r="K721" s="431"/>
      <c r="L721" s="431"/>
      <c r="M721" s="433"/>
      <c r="N721" s="434"/>
      <c r="O721" s="1743" t="str">
        <f t="shared" si="426"/>
        <v>Arret de fonctionnement de services de publication d'informations sur un site web interne ou public, dû à un conflit social avec le personnel d'exploitation</v>
      </c>
      <c r="P721" s="435">
        <v>1</v>
      </c>
      <c r="Q721" s="1595" t="s">
        <v>5685</v>
      </c>
      <c r="R721" s="1595" t="s">
        <v>1873</v>
      </c>
      <c r="S721" s="1595" t="str">
        <f>Classif!C27</f>
        <v/>
      </c>
      <c r="T721" s="1595">
        <f t="shared" si="410"/>
        <v>2</v>
      </c>
      <c r="U721" s="1744" t="str">
        <f t="shared" si="411"/>
        <v/>
      </c>
      <c r="V721" s="1771">
        <v>1</v>
      </c>
      <c r="W721" s="1771">
        <v>1</v>
      </c>
      <c r="X721" s="1771">
        <v>1</v>
      </c>
      <c r="Y721" s="1771">
        <f>MIN(S01E01,S01E02)</f>
        <v>1</v>
      </c>
      <c r="Z721" s="1746">
        <v>0</v>
      </c>
      <c r="AA721" s="1747"/>
      <c r="AB721" s="1748"/>
      <c r="AC721" s="1748"/>
      <c r="AD721" s="1595" t="str">
        <f t="shared" si="424"/>
        <v/>
      </c>
      <c r="AE721" s="1595">
        <f t="shared" si="412"/>
        <v>2</v>
      </c>
      <c r="AF721" s="1595" t="str">
        <f t="shared" si="413"/>
        <v/>
      </c>
      <c r="AG721" s="1748"/>
      <c r="AH721" s="1749" t="str">
        <f t="shared" si="425"/>
        <v/>
      </c>
      <c r="AI721" s="1620"/>
      <c r="AJ721" s="1616"/>
      <c r="AK721" s="1616"/>
      <c r="AL721" s="1617" t="s">
        <v>1519</v>
      </c>
      <c r="AM721" s="247" t="str">
        <f t="shared" si="418"/>
        <v/>
      </c>
      <c r="AN721" s="247" t="str">
        <f t="shared" si="419"/>
        <v/>
      </c>
      <c r="AO721" s="247" t="str">
        <f t="shared" si="420"/>
        <v/>
      </c>
      <c r="AP721" s="247" t="str">
        <f t="shared" si="421"/>
        <v/>
      </c>
      <c r="AQ721" s="42">
        <f t="shared" si="414"/>
        <v>1</v>
      </c>
      <c r="AR721" s="42">
        <f t="shared" si="415"/>
        <v>1</v>
      </c>
      <c r="AS721" s="42">
        <f t="shared" si="416"/>
        <v>1</v>
      </c>
      <c r="AT721" s="42">
        <f t="shared" si="417"/>
        <v>1</v>
      </c>
      <c r="AU721" s="247" t="str">
        <f t="shared" si="422"/>
        <v/>
      </c>
      <c r="AV721" s="247" t="str">
        <f t="shared" si="423"/>
        <v/>
      </c>
    </row>
    <row r="722" spans="1:48" ht="24" x14ac:dyDescent="0.2">
      <c r="A722" s="428" t="s">
        <v>176</v>
      </c>
      <c r="B722" s="429" t="s">
        <v>4213</v>
      </c>
      <c r="C722" s="430" t="s">
        <v>3314</v>
      </c>
      <c r="D722" s="1349" t="s">
        <v>1873</v>
      </c>
      <c r="E722" s="1350" t="s">
        <v>1661</v>
      </c>
      <c r="F722" s="1350" t="s">
        <v>1503</v>
      </c>
      <c r="G722" s="1351" t="s">
        <v>6064</v>
      </c>
      <c r="H722" s="1342" t="s">
        <v>5275</v>
      </c>
      <c r="I722" s="432" t="s">
        <v>4814</v>
      </c>
      <c r="J722" s="431"/>
      <c r="K722" s="431"/>
      <c r="L722" s="431"/>
      <c r="M722" s="433"/>
      <c r="N722" s="434"/>
      <c r="O722" s="1743" t="str">
        <f t="shared" si="426"/>
        <v xml:space="preserve">Arret de fonctionnement de services de publication d'informations sur un site web interne ou public, dû à une absence durable du personnel (interne) nécessaire </v>
      </c>
      <c r="P722" s="435">
        <v>1</v>
      </c>
      <c r="Q722" s="1595" t="s">
        <v>1431</v>
      </c>
      <c r="R722" s="1595" t="s">
        <v>1873</v>
      </c>
      <c r="S722" s="1595" t="str">
        <f>Classif!C27</f>
        <v/>
      </c>
      <c r="T722" s="1595">
        <f t="shared" si="410"/>
        <v>2</v>
      </c>
      <c r="U722" s="1744" t="str">
        <f t="shared" si="411"/>
        <v/>
      </c>
      <c r="V722" s="1771">
        <v>1</v>
      </c>
      <c r="W722" s="1771">
        <v>1</v>
      </c>
      <c r="X722" s="1771">
        <v>1</v>
      </c>
      <c r="Y722" s="1771">
        <f>S01C02</f>
        <v>1</v>
      </c>
      <c r="Z722" s="1746">
        <v>0</v>
      </c>
      <c r="AA722" s="1747"/>
      <c r="AB722" s="1748"/>
      <c r="AC722" s="1748"/>
      <c r="AD722" s="1595" t="str">
        <f t="shared" si="424"/>
        <v/>
      </c>
      <c r="AE722" s="1595">
        <f t="shared" si="412"/>
        <v>2</v>
      </c>
      <c r="AF722" s="1595" t="str">
        <f t="shared" si="413"/>
        <v/>
      </c>
      <c r="AG722" s="1748"/>
      <c r="AH722" s="1749" t="str">
        <f t="shared" si="425"/>
        <v/>
      </c>
      <c r="AI722" s="1615"/>
      <c r="AJ722" s="1621"/>
      <c r="AK722" s="1618"/>
      <c r="AL722" s="1619" t="s">
        <v>2536</v>
      </c>
      <c r="AM722" s="247" t="str">
        <f t="shared" si="418"/>
        <v/>
      </c>
      <c r="AN722" s="247" t="str">
        <f t="shared" si="419"/>
        <v/>
      </c>
      <c r="AO722" s="247" t="str">
        <f t="shared" si="420"/>
        <v/>
      </c>
      <c r="AP722" s="247" t="str">
        <f t="shared" si="421"/>
        <v/>
      </c>
      <c r="AQ722" s="42">
        <f t="shared" si="414"/>
        <v>1</v>
      </c>
      <c r="AR722" s="42">
        <f t="shared" si="415"/>
        <v>1</v>
      </c>
      <c r="AS722" s="42">
        <f t="shared" si="416"/>
        <v>1</v>
      </c>
      <c r="AT722" s="42">
        <f t="shared" si="417"/>
        <v>1</v>
      </c>
      <c r="AU722" s="247" t="str">
        <f t="shared" si="422"/>
        <v/>
      </c>
      <c r="AV722" s="247" t="str">
        <f t="shared" si="423"/>
        <v/>
      </c>
    </row>
    <row r="723" spans="1:48" ht="24" x14ac:dyDescent="0.2">
      <c r="A723" s="428" t="s">
        <v>177</v>
      </c>
      <c r="B723" s="429" t="s">
        <v>4213</v>
      </c>
      <c r="C723" s="430" t="s">
        <v>3314</v>
      </c>
      <c r="D723" s="1349" t="s">
        <v>1873</v>
      </c>
      <c r="E723" s="1350" t="s">
        <v>1661</v>
      </c>
      <c r="F723" s="1350" t="s">
        <v>1503</v>
      </c>
      <c r="G723" s="1351" t="s">
        <v>6064</v>
      </c>
      <c r="H723" s="1342" t="s">
        <v>5275</v>
      </c>
      <c r="I723" s="432" t="s">
        <v>3718</v>
      </c>
      <c r="J723" s="431"/>
      <c r="K723" s="431"/>
      <c r="L723" s="431"/>
      <c r="M723" s="433"/>
      <c r="N723" s="434"/>
      <c r="O723" s="1743" t="str">
        <f t="shared" si="426"/>
        <v xml:space="preserve">Arret de fonctionnement de services de publication d'informations sur un site web interne ou public, dû à une absence durable du personnel d'un prestataire </v>
      </c>
      <c r="P723" s="435">
        <v>1</v>
      </c>
      <c r="Q723" s="1595" t="s">
        <v>1431</v>
      </c>
      <c r="R723" s="1595" t="s">
        <v>1873</v>
      </c>
      <c r="S723" s="1595" t="str">
        <f>Classif!C27</f>
        <v/>
      </c>
      <c r="T723" s="1595">
        <f t="shared" si="410"/>
        <v>3</v>
      </c>
      <c r="U723" s="1744" t="str">
        <f t="shared" si="411"/>
        <v/>
      </c>
      <c r="V723" s="1771">
        <v>1</v>
      </c>
      <c r="W723" s="1771">
        <v>1</v>
      </c>
      <c r="X723" s="1771">
        <v>1</v>
      </c>
      <c r="Y723" s="1771">
        <f>S01C02</f>
        <v>1</v>
      </c>
      <c r="Z723" s="1746">
        <v>0</v>
      </c>
      <c r="AA723" s="1747"/>
      <c r="AB723" s="1748"/>
      <c r="AC723" s="1748"/>
      <c r="AD723" s="1595" t="str">
        <f t="shared" si="424"/>
        <v/>
      </c>
      <c r="AE723" s="1595">
        <f t="shared" si="412"/>
        <v>3</v>
      </c>
      <c r="AF723" s="1595" t="str">
        <f t="shared" si="413"/>
        <v/>
      </c>
      <c r="AG723" s="1748"/>
      <c r="AH723" s="1749" t="str">
        <f t="shared" si="425"/>
        <v/>
      </c>
      <c r="AI723" s="1615"/>
      <c r="AJ723" s="1621"/>
      <c r="AK723" s="1618"/>
      <c r="AL723" s="1619" t="s">
        <v>2536</v>
      </c>
      <c r="AM723" s="247" t="str">
        <f t="shared" si="418"/>
        <v/>
      </c>
      <c r="AN723" s="247" t="str">
        <f t="shared" si="419"/>
        <v/>
      </c>
      <c r="AO723" s="247" t="str">
        <f t="shared" si="420"/>
        <v/>
      </c>
      <c r="AP723" s="247" t="str">
        <f t="shared" si="421"/>
        <v/>
      </c>
      <c r="AQ723" s="42">
        <f t="shared" si="414"/>
        <v>1</v>
      </c>
      <c r="AR723" s="42">
        <f t="shared" si="415"/>
        <v>1</v>
      </c>
      <c r="AS723" s="42">
        <f t="shared" si="416"/>
        <v>1</v>
      </c>
      <c r="AT723" s="42">
        <f t="shared" si="417"/>
        <v>1</v>
      </c>
      <c r="AU723" s="247" t="str">
        <f t="shared" si="422"/>
        <v/>
      </c>
      <c r="AV723" s="247" t="str">
        <f t="shared" si="423"/>
        <v/>
      </c>
    </row>
    <row r="724" spans="1:48" ht="24" x14ac:dyDescent="0.2">
      <c r="A724" s="428" t="s">
        <v>178</v>
      </c>
      <c r="B724" s="463" t="s">
        <v>4220</v>
      </c>
      <c r="C724" s="430" t="s">
        <v>3314</v>
      </c>
      <c r="D724" s="1349" t="s">
        <v>1873</v>
      </c>
      <c r="E724" s="1350" t="s">
        <v>2534</v>
      </c>
      <c r="F724" s="1350" t="s">
        <v>1602</v>
      </c>
      <c r="G724" s="1362" t="s">
        <v>6067</v>
      </c>
      <c r="H724" s="1342" t="s">
        <v>1465</v>
      </c>
      <c r="I724" s="432" t="s">
        <v>4217</v>
      </c>
      <c r="J724" s="431"/>
      <c r="K724" s="431"/>
      <c r="L724" s="431"/>
      <c r="M724" s="433" t="s">
        <v>1880</v>
      </c>
      <c r="N724" s="434"/>
      <c r="O724" s="1743" t="str">
        <f t="shared" si="426"/>
        <v>Blocage de services de publication d'informations sur un site web interne ou public, dû à un bug bloquant dans un logiciel système ou un progiciel</v>
      </c>
      <c r="P724" s="435">
        <v>1</v>
      </c>
      <c r="Q724" s="1595" t="s">
        <v>6403</v>
      </c>
      <c r="R724" s="1595" t="s">
        <v>1873</v>
      </c>
      <c r="S724" s="1595" t="str">
        <f>Classif!C27</f>
        <v/>
      </c>
      <c r="T724" s="1595">
        <f t="shared" si="410"/>
        <v>2</v>
      </c>
      <c r="U724" s="1744" t="str">
        <f t="shared" si="411"/>
        <v/>
      </c>
      <c r="V724" s="1771">
        <v>1</v>
      </c>
      <c r="W724" s="1771">
        <f>S08A03</f>
        <v>1</v>
      </c>
      <c r="X724" s="1771">
        <v>1</v>
      </c>
      <c r="Y724" s="1771">
        <f>S08D02</f>
        <v>1</v>
      </c>
      <c r="Z724" s="1746">
        <v>0</v>
      </c>
      <c r="AA724" s="1747"/>
      <c r="AB724" s="1748"/>
      <c r="AC724" s="1748"/>
      <c r="AD724" s="1595" t="str">
        <f t="shared" si="424"/>
        <v/>
      </c>
      <c r="AE724" s="1595">
        <f t="shared" si="412"/>
        <v>2</v>
      </c>
      <c r="AF724" s="1595" t="str">
        <f t="shared" si="413"/>
        <v/>
      </c>
      <c r="AG724" s="1748"/>
      <c r="AH724" s="1749" t="str">
        <f t="shared" si="425"/>
        <v/>
      </c>
      <c r="AI724" s="1620"/>
      <c r="AJ724" s="1616" t="s">
        <v>4324</v>
      </c>
      <c r="AK724" s="1616"/>
      <c r="AL724" s="1617" t="s">
        <v>1662</v>
      </c>
      <c r="AM724" s="247" t="str">
        <f t="shared" si="418"/>
        <v/>
      </c>
      <c r="AN724" s="247" t="str">
        <f t="shared" si="419"/>
        <v/>
      </c>
      <c r="AO724" s="247" t="str">
        <f t="shared" si="420"/>
        <v/>
      </c>
      <c r="AP724" s="247" t="str">
        <f t="shared" si="421"/>
        <v/>
      </c>
      <c r="AQ724" s="42">
        <f t="shared" si="414"/>
        <v>1</v>
      </c>
      <c r="AR724" s="42">
        <f t="shared" si="415"/>
        <v>1</v>
      </c>
      <c r="AS724" s="42">
        <f t="shared" si="416"/>
        <v>1</v>
      </c>
      <c r="AT724" s="42">
        <f t="shared" si="417"/>
        <v>1</v>
      </c>
      <c r="AU724" s="247" t="str">
        <f t="shared" si="422"/>
        <v/>
      </c>
      <c r="AV724" s="247" t="str">
        <f t="shared" si="423"/>
        <v/>
      </c>
    </row>
    <row r="725" spans="1:48" ht="24" x14ac:dyDescent="0.2">
      <c r="A725" s="428" t="s">
        <v>179</v>
      </c>
      <c r="B725" s="463" t="s">
        <v>4220</v>
      </c>
      <c r="C725" s="430" t="s">
        <v>3314</v>
      </c>
      <c r="D725" s="1349" t="s">
        <v>1873</v>
      </c>
      <c r="E725" s="1350" t="s">
        <v>2534</v>
      </c>
      <c r="F725" s="1350" t="s">
        <v>1602</v>
      </c>
      <c r="G725" s="1362" t="s">
        <v>6067</v>
      </c>
      <c r="H725" s="1342" t="s">
        <v>1326</v>
      </c>
      <c r="I725" s="432" t="s">
        <v>4216</v>
      </c>
      <c r="J725" s="431"/>
      <c r="K725" s="464"/>
      <c r="L725" s="431"/>
      <c r="M725" s="433" t="s">
        <v>1880</v>
      </c>
      <c r="N725" s="465"/>
      <c r="O725" s="1743" t="str">
        <f t="shared" si="426"/>
        <v>Blocage de services de publication d'informations sur un site web interne ou public, dû à un bug bloquant dans un logiciel inerne</v>
      </c>
      <c r="P725" s="435">
        <v>1</v>
      </c>
      <c r="Q725" s="1595" t="s">
        <v>6403</v>
      </c>
      <c r="R725" s="1595" t="s">
        <v>1873</v>
      </c>
      <c r="S725" s="1595" t="str">
        <f>Classif!C27</f>
        <v/>
      </c>
      <c r="T725" s="1595">
        <f t="shared" si="410"/>
        <v>3</v>
      </c>
      <c r="U725" s="1744" t="str">
        <f t="shared" si="411"/>
        <v/>
      </c>
      <c r="V725" s="1771">
        <v>1</v>
      </c>
      <c r="W725" s="1771">
        <f>S08A03</f>
        <v>1</v>
      </c>
      <c r="X725" s="1771">
        <v>1</v>
      </c>
      <c r="Y725" s="1771">
        <f>S10A04</f>
        <v>1</v>
      </c>
      <c r="Z725" s="1746">
        <v>0</v>
      </c>
      <c r="AA725" s="1747"/>
      <c r="AB725" s="1748"/>
      <c r="AC725" s="1748"/>
      <c r="AD725" s="1595" t="str">
        <f t="shared" si="424"/>
        <v/>
      </c>
      <c r="AE725" s="1595">
        <f t="shared" si="412"/>
        <v>3</v>
      </c>
      <c r="AF725" s="1595" t="str">
        <f t="shared" si="413"/>
        <v/>
      </c>
      <c r="AG725" s="1748"/>
      <c r="AH725" s="1749" t="str">
        <f t="shared" si="425"/>
        <v/>
      </c>
      <c r="AI725" s="1620"/>
      <c r="AJ725" s="1616" t="s">
        <v>4324</v>
      </c>
      <c r="AK725" s="1616"/>
      <c r="AL725" s="1617" t="s">
        <v>1202</v>
      </c>
      <c r="AM725" s="247" t="str">
        <f t="shared" si="418"/>
        <v/>
      </c>
      <c r="AN725" s="247" t="str">
        <f t="shared" si="419"/>
        <v/>
      </c>
      <c r="AO725" s="247" t="str">
        <f t="shared" si="420"/>
        <v/>
      </c>
      <c r="AP725" s="247" t="str">
        <f t="shared" si="421"/>
        <v/>
      </c>
      <c r="AQ725" s="42">
        <f t="shared" si="414"/>
        <v>1</v>
      </c>
      <c r="AR725" s="42">
        <f t="shared" si="415"/>
        <v>1</v>
      </c>
      <c r="AS725" s="42">
        <f t="shared" si="416"/>
        <v>1</v>
      </c>
      <c r="AT725" s="42">
        <f t="shared" si="417"/>
        <v>1</v>
      </c>
      <c r="AU725" s="247" t="str">
        <f t="shared" si="422"/>
        <v/>
      </c>
      <c r="AV725" s="247" t="str">
        <f t="shared" si="423"/>
        <v/>
      </c>
    </row>
    <row r="726" spans="1:48" ht="24" x14ac:dyDescent="0.2">
      <c r="A726" s="428" t="s">
        <v>180</v>
      </c>
      <c r="B726" s="463" t="s">
        <v>4220</v>
      </c>
      <c r="C726" s="430" t="s">
        <v>3314</v>
      </c>
      <c r="D726" s="1349" t="s">
        <v>1873</v>
      </c>
      <c r="E726" s="1350" t="s">
        <v>2534</v>
      </c>
      <c r="F726" s="1350" t="s">
        <v>1602</v>
      </c>
      <c r="G726" s="1362" t="s">
        <v>6067</v>
      </c>
      <c r="H726" s="1342" t="s">
        <v>1465</v>
      </c>
      <c r="I726" s="432" t="s">
        <v>1880</v>
      </c>
      <c r="J726" s="431"/>
      <c r="K726" s="464"/>
      <c r="L726" s="431"/>
      <c r="M726" s="433" t="s">
        <v>1880</v>
      </c>
      <c r="N726" s="465"/>
      <c r="O726" s="1743" t="str">
        <f t="shared" si="426"/>
        <v>Blocage de services de publication d'informations sur un site web interne ou public, dû à un incident d'exploitation</v>
      </c>
      <c r="P726" s="435">
        <v>1</v>
      </c>
      <c r="Q726" s="1595" t="s">
        <v>6403</v>
      </c>
      <c r="R726" s="1595" t="s">
        <v>1873</v>
      </c>
      <c r="S726" s="1595" t="str">
        <f>Classif!C27</f>
        <v/>
      </c>
      <c r="T726" s="1595">
        <f t="shared" si="410"/>
        <v>3</v>
      </c>
      <c r="U726" s="1744" t="str">
        <f t="shared" si="411"/>
        <v/>
      </c>
      <c r="V726" s="1771">
        <v>1</v>
      </c>
      <c r="W726" s="1771">
        <f>S07D01</f>
        <v>1</v>
      </c>
      <c r="X726" s="1771">
        <f>S08E01</f>
        <v>1</v>
      </c>
      <c r="Y726" s="1771">
        <f>S08D03</f>
        <v>1</v>
      </c>
      <c r="Z726" s="1746">
        <v>0</v>
      </c>
      <c r="AA726" s="1747"/>
      <c r="AB726" s="1748"/>
      <c r="AC726" s="1748"/>
      <c r="AD726" s="1595" t="str">
        <f t="shared" si="424"/>
        <v/>
      </c>
      <c r="AE726" s="1595">
        <f t="shared" si="412"/>
        <v>3</v>
      </c>
      <c r="AF726" s="1595" t="str">
        <f t="shared" si="413"/>
        <v/>
      </c>
      <c r="AG726" s="1748"/>
      <c r="AH726" s="1749" t="str">
        <f t="shared" si="425"/>
        <v/>
      </c>
      <c r="AI726" s="1620"/>
      <c r="AJ726" s="1616" t="s">
        <v>4980</v>
      </c>
      <c r="AK726" s="1616" t="s">
        <v>2800</v>
      </c>
      <c r="AL726" s="1617" t="s">
        <v>1663</v>
      </c>
      <c r="AM726" s="247" t="str">
        <f t="shared" si="418"/>
        <v/>
      </c>
      <c r="AN726" s="247" t="str">
        <f t="shared" si="419"/>
        <v/>
      </c>
      <c r="AO726" s="247" t="str">
        <f t="shared" si="420"/>
        <v/>
      </c>
      <c r="AP726" s="247" t="str">
        <f t="shared" si="421"/>
        <v/>
      </c>
      <c r="AQ726" s="42">
        <f t="shared" si="414"/>
        <v>1</v>
      </c>
      <c r="AR726" s="42">
        <f t="shared" si="415"/>
        <v>1</v>
      </c>
      <c r="AS726" s="42">
        <f t="shared" si="416"/>
        <v>1</v>
      </c>
      <c r="AT726" s="42">
        <f t="shared" si="417"/>
        <v>1</v>
      </c>
      <c r="AU726" s="247" t="str">
        <f t="shared" si="422"/>
        <v/>
      </c>
      <c r="AV726" s="247" t="str">
        <f t="shared" si="423"/>
        <v/>
      </c>
    </row>
    <row r="727" spans="1:48" ht="24" x14ac:dyDescent="0.2">
      <c r="A727" s="428" t="s">
        <v>181</v>
      </c>
      <c r="B727" s="463" t="s">
        <v>4220</v>
      </c>
      <c r="C727" s="430" t="s">
        <v>3314</v>
      </c>
      <c r="D727" s="1349" t="s">
        <v>1873</v>
      </c>
      <c r="E727" s="1350" t="s">
        <v>2534</v>
      </c>
      <c r="F727" s="1350" t="s">
        <v>1602</v>
      </c>
      <c r="G727" s="1362" t="s">
        <v>6067</v>
      </c>
      <c r="H727" s="1342" t="s">
        <v>1328</v>
      </c>
      <c r="I727" s="432" t="s">
        <v>4221</v>
      </c>
      <c r="J727" s="431"/>
      <c r="K727" s="431"/>
      <c r="L727" s="431"/>
      <c r="M727" s="433" t="s">
        <v>1880</v>
      </c>
      <c r="N727" s="434"/>
      <c r="O727" s="1743" t="str">
        <f t="shared" si="426"/>
        <v>Blocage de services de publication d'informations sur un site web interne ou public, dû à une saturation malveillante d'équipements informatiques ou réseaux</v>
      </c>
      <c r="P727" s="435">
        <v>1</v>
      </c>
      <c r="Q727" s="1595" t="s">
        <v>1299</v>
      </c>
      <c r="R727" s="1595" t="s">
        <v>1873</v>
      </c>
      <c r="S727" s="1595" t="str">
        <f>Classif!C27</f>
        <v/>
      </c>
      <c r="T727" s="1595">
        <f t="shared" si="410"/>
        <v>3</v>
      </c>
      <c r="U727" s="1744" t="str">
        <f t="shared" si="411"/>
        <v/>
      </c>
      <c r="V727" s="1771">
        <f>MIN(S07C01,S07C02)</f>
        <v>1</v>
      </c>
      <c r="W727" s="1771">
        <f>S08E01</f>
        <v>1</v>
      </c>
      <c r="X727" s="1771">
        <f>MIN(S08E02,S08E03)</f>
        <v>1</v>
      </c>
      <c r="Y727" s="1771">
        <v>1</v>
      </c>
      <c r="Z727" s="1746">
        <v>1</v>
      </c>
      <c r="AA727" s="1747"/>
      <c r="AB727" s="1748"/>
      <c r="AC727" s="1748"/>
      <c r="AD727" s="1595" t="str">
        <f t="shared" si="424"/>
        <v/>
      </c>
      <c r="AE727" s="1595">
        <f t="shared" si="412"/>
        <v>3</v>
      </c>
      <c r="AF727" s="1595" t="str">
        <f t="shared" si="413"/>
        <v/>
      </c>
      <c r="AG727" s="1748"/>
      <c r="AH727" s="1749" t="str">
        <f t="shared" si="425"/>
        <v/>
      </c>
      <c r="AI727" s="1620" t="s">
        <v>6404</v>
      </c>
      <c r="AJ727" s="1616" t="s">
        <v>2800</v>
      </c>
      <c r="AK727" s="1616" t="s">
        <v>6405</v>
      </c>
      <c r="AL727" s="1617"/>
      <c r="AM727" s="247" t="str">
        <f t="shared" si="418"/>
        <v/>
      </c>
      <c r="AN727" s="247" t="str">
        <f t="shared" si="419"/>
        <v/>
      </c>
      <c r="AO727" s="247" t="str">
        <f t="shared" si="420"/>
        <v/>
      </c>
      <c r="AP727" s="247" t="str">
        <f t="shared" si="421"/>
        <v/>
      </c>
      <c r="AQ727" s="42">
        <f t="shared" si="414"/>
        <v>1</v>
      </c>
      <c r="AR727" s="42">
        <f t="shared" si="415"/>
        <v>1</v>
      </c>
      <c r="AS727" s="42">
        <f t="shared" si="416"/>
        <v>1</v>
      </c>
      <c r="AT727" s="42">
        <f t="shared" si="417"/>
        <v>1</v>
      </c>
      <c r="AU727" s="247" t="str">
        <f t="shared" si="422"/>
        <v/>
      </c>
      <c r="AV727" s="247" t="str">
        <f t="shared" si="423"/>
        <v/>
      </c>
    </row>
    <row r="728" spans="1:48" ht="15" x14ac:dyDescent="0.2">
      <c r="A728" s="456" t="s">
        <v>2663</v>
      </c>
      <c r="B728" s="457"/>
      <c r="C728" s="423" t="s">
        <v>1603</v>
      </c>
      <c r="D728" s="1356"/>
      <c r="E728" s="1357"/>
      <c r="F728" s="1357"/>
      <c r="G728" s="1360"/>
      <c r="H728" s="1345"/>
      <c r="I728" s="459"/>
      <c r="J728" s="458"/>
      <c r="K728" s="458"/>
      <c r="L728" s="458"/>
      <c r="M728" s="460"/>
      <c r="N728" s="461"/>
      <c r="O728" s="1761"/>
      <c r="P728" s="1608"/>
      <c r="Q728" s="1596"/>
      <c r="R728" s="1596"/>
      <c r="S728" s="1753"/>
      <c r="T728" s="1595"/>
      <c r="U728" s="1744"/>
      <c r="V728" s="1771"/>
      <c r="W728" s="1771"/>
      <c r="X728" s="1771"/>
      <c r="Y728" s="1771"/>
      <c r="Z728" s="1762"/>
      <c r="AA728" s="1763"/>
      <c r="AB728" s="1748"/>
      <c r="AC728" s="1748"/>
      <c r="AD728" s="1595"/>
      <c r="AE728" s="1753"/>
      <c r="AF728" s="1595"/>
      <c r="AG728" s="1748"/>
      <c r="AH728" s="1749"/>
      <c r="AI728" s="1627"/>
      <c r="AJ728" s="1628"/>
      <c r="AK728" s="1628"/>
      <c r="AL728" s="1629"/>
      <c r="AM728" s="247" t="str">
        <f t="shared" si="418"/>
        <v/>
      </c>
      <c r="AN728" s="247" t="str">
        <f t="shared" si="419"/>
        <v/>
      </c>
      <c r="AO728" s="247" t="str">
        <f t="shared" si="420"/>
        <v/>
      </c>
      <c r="AP728" s="247" t="str">
        <f t="shared" si="421"/>
        <v/>
      </c>
      <c r="AU728" s="247" t="str">
        <f t="shared" si="422"/>
        <v/>
      </c>
      <c r="AV728" s="247" t="str">
        <f t="shared" si="423"/>
        <v/>
      </c>
    </row>
    <row r="729" spans="1:48" ht="36" x14ac:dyDescent="0.2">
      <c r="A729" s="450" t="s">
        <v>182</v>
      </c>
      <c r="B729" s="429" t="s">
        <v>2494</v>
      </c>
      <c r="C729" s="430" t="s">
        <v>1894</v>
      </c>
      <c r="D729" s="1349" t="s">
        <v>4638</v>
      </c>
      <c r="E729" s="1350" t="s">
        <v>3686</v>
      </c>
      <c r="F729" s="1350" t="s">
        <v>6682</v>
      </c>
      <c r="G729" s="1351" t="s">
        <v>6069</v>
      </c>
      <c r="H729" s="1342" t="s">
        <v>1327</v>
      </c>
      <c r="I729" s="432" t="s">
        <v>1545</v>
      </c>
      <c r="J729" s="431"/>
      <c r="K729" s="431"/>
      <c r="L729" s="431"/>
      <c r="M729" s="433"/>
      <c r="N729" s="434" t="s">
        <v>1299</v>
      </c>
      <c r="O729" s="1743" t="str">
        <f>VLOOKUP(B729,code_famille_scénario,2)&amp;VLOOKUP(C729,code_actif,2)&amp;", par "&amp;VLOOKUP(N729,code_acteur,2)</f>
        <v>Altération, par erreur de procédure, de configuration de services de télécommunication (voix, télécopies, visioconférence, etc.), par un membre du personnel de maintenance</v>
      </c>
      <c r="P729" s="435">
        <v>1</v>
      </c>
      <c r="Q729" s="1595" t="s">
        <v>6403</v>
      </c>
      <c r="R729" s="1595" t="s">
        <v>4638</v>
      </c>
      <c r="S729" s="1595" t="str">
        <f>Classif!D19</f>
        <v/>
      </c>
      <c r="T729" s="1595">
        <f t="shared" ref="T729:T734" si="427">VLOOKUP(H729&amp;"."&amp;I729,Tab_event,4)</f>
        <v>3</v>
      </c>
      <c r="U729" s="1744" t="str">
        <f t="shared" ref="U729:U734" si="428">IF(AND(NOT(S729=""),NOT(T729="")),INDEX(base_g,5-S729,T729),"")</f>
        <v/>
      </c>
      <c r="V729" s="1771">
        <v>1</v>
      </c>
      <c r="W729" s="1771">
        <f>MIN(S12A02,S12B02)</f>
        <v>1</v>
      </c>
      <c r="X729" s="1771">
        <v>1</v>
      </c>
      <c r="Y729" s="1771">
        <v>1</v>
      </c>
      <c r="Z729" s="1758">
        <v>0</v>
      </c>
      <c r="AA729" s="1759"/>
      <c r="AB729" s="1748"/>
      <c r="AC729" s="1748"/>
      <c r="AD729" s="1595" t="str">
        <f t="shared" si="424"/>
        <v/>
      </c>
      <c r="AE729" s="1595">
        <f t="shared" ref="AE729:AE734" si="429">IF(OR(Q729="",T729=""),"",IF(Q729="A",INDEX(base_p,4,W729+7*(T729-1)),IF(Q729="E",INDEX(base_p,15,W729+7*(T729-1)),INDEX(base_p,27-V729,W729+7*(T729-1)))))</f>
        <v>3</v>
      </c>
      <c r="AF729" s="1595" t="str">
        <f t="shared" ref="AF729:AF734" si="430">IF(AT729=1,IF(IndG=1,U729,IF(AND(OR(NOT(AD729=""),NOT(AB729="")),OR(NOT(AE729=""),NOT(AC729="")),AT729=1),INDEX(base_g,5-IF(AB729="",AD729,AB729),IF(AC729="",AE729,AC729)),"")),0)</f>
        <v/>
      </c>
      <c r="AG729" s="1748"/>
      <c r="AH729" s="1749" t="str">
        <f t="shared" si="425"/>
        <v/>
      </c>
      <c r="AI729" s="1622"/>
      <c r="AJ729" s="1621" t="s">
        <v>2571</v>
      </c>
      <c r="AK729" s="1621"/>
      <c r="AL729" s="1619"/>
      <c r="AM729" s="247" t="str">
        <f t="shared" si="418"/>
        <v/>
      </c>
      <c r="AN729" s="247" t="str">
        <f t="shared" si="419"/>
        <v/>
      </c>
      <c r="AO729" s="247" t="str">
        <f t="shared" si="420"/>
        <v/>
      </c>
      <c r="AP729" s="247" t="str">
        <f t="shared" si="421"/>
        <v/>
      </c>
      <c r="AQ729" s="42">
        <f t="shared" ref="AQ729:AQ734" si="431">VLOOKUP(LEFT(C729,3),Tab_classif_servG,6)</f>
        <v>1</v>
      </c>
      <c r="AR729" s="42">
        <f t="shared" ref="AR729:AR734" si="432">VLOOKUP(G729,select_vul_serv,2)</f>
        <v>1</v>
      </c>
      <c r="AS729" s="42">
        <f t="shared" ref="AS729:AS734" si="433">VLOOKUP(H729&amp;"."&amp;I729,select_men,5)</f>
        <v>1</v>
      </c>
      <c r="AT729" s="42">
        <f t="shared" ref="AT729:AT734" si="434">P729*AQ729*AR729*AS729</f>
        <v>1</v>
      </c>
      <c r="AU729" s="247" t="str">
        <f t="shared" si="422"/>
        <v/>
      </c>
      <c r="AV729" s="247" t="str">
        <f t="shared" si="423"/>
        <v/>
      </c>
    </row>
    <row r="730" spans="1:48" ht="36" x14ac:dyDescent="0.2">
      <c r="A730" s="450" t="s">
        <v>183</v>
      </c>
      <c r="B730" s="429" t="s">
        <v>2494</v>
      </c>
      <c r="C730" s="430" t="s">
        <v>1894</v>
      </c>
      <c r="D730" s="1349" t="s">
        <v>4638</v>
      </c>
      <c r="E730" s="1350" t="s">
        <v>3686</v>
      </c>
      <c r="F730" s="1350" t="s">
        <v>6682</v>
      </c>
      <c r="G730" s="1351" t="s">
        <v>6069</v>
      </c>
      <c r="H730" s="1342" t="s">
        <v>1327</v>
      </c>
      <c r="I730" s="432" t="s">
        <v>1545</v>
      </c>
      <c r="J730" s="431"/>
      <c r="K730" s="431"/>
      <c r="L730" s="431"/>
      <c r="M730" s="433"/>
      <c r="N730" s="434" t="s">
        <v>6403</v>
      </c>
      <c r="O730" s="1743" t="str">
        <f>VLOOKUP(B730,code_famille_scénario,2)&amp;VLOOKUP(C730,code_actif,2)&amp;", par "&amp;VLOOKUP(N730,code_acteur,2)</f>
        <v>Altération, par erreur de procédure, de configuration de services de télécommunication (voix, télécopies, visioconférence, etc.), par un membre du personnel d'exploitation</v>
      </c>
      <c r="P730" s="435">
        <v>1</v>
      </c>
      <c r="Q730" s="1595" t="s">
        <v>6403</v>
      </c>
      <c r="R730" s="1595" t="s">
        <v>4638</v>
      </c>
      <c r="S730" s="1595" t="str">
        <f>Classif!D19</f>
        <v/>
      </c>
      <c r="T730" s="1595">
        <f t="shared" si="427"/>
        <v>3</v>
      </c>
      <c r="U730" s="1744" t="str">
        <f t="shared" si="428"/>
        <v/>
      </c>
      <c r="V730" s="1771">
        <v>1</v>
      </c>
      <c r="W730" s="1771">
        <f>S12B01</f>
        <v>1</v>
      </c>
      <c r="X730" s="1771">
        <v>1</v>
      </c>
      <c r="Y730" s="1771">
        <v>1</v>
      </c>
      <c r="Z730" s="1758">
        <v>0</v>
      </c>
      <c r="AA730" s="1759"/>
      <c r="AB730" s="1748"/>
      <c r="AC730" s="1748"/>
      <c r="AD730" s="1595" t="str">
        <f t="shared" si="424"/>
        <v/>
      </c>
      <c r="AE730" s="1595">
        <f t="shared" si="429"/>
        <v>3</v>
      </c>
      <c r="AF730" s="1595" t="str">
        <f t="shared" si="430"/>
        <v/>
      </c>
      <c r="AG730" s="1748"/>
      <c r="AH730" s="1749" t="str">
        <f t="shared" si="425"/>
        <v/>
      </c>
      <c r="AI730" s="1615"/>
      <c r="AJ730" s="1616" t="s">
        <v>3268</v>
      </c>
      <c r="AK730" s="1621"/>
      <c r="AL730" s="1619"/>
      <c r="AM730" s="247" t="str">
        <f t="shared" si="418"/>
        <v/>
      </c>
      <c r="AN730" s="247" t="str">
        <f t="shared" si="419"/>
        <v/>
      </c>
      <c r="AO730" s="247" t="str">
        <f t="shared" si="420"/>
        <v/>
      </c>
      <c r="AP730" s="247" t="str">
        <f t="shared" si="421"/>
        <v/>
      </c>
      <c r="AQ730" s="42">
        <f t="shared" si="431"/>
        <v>1</v>
      </c>
      <c r="AR730" s="42">
        <f t="shared" si="432"/>
        <v>1</v>
      </c>
      <c r="AS730" s="42">
        <f t="shared" si="433"/>
        <v>1</v>
      </c>
      <c r="AT730" s="42">
        <f t="shared" si="434"/>
        <v>1</v>
      </c>
      <c r="AU730" s="247" t="str">
        <f t="shared" si="422"/>
        <v/>
      </c>
      <c r="AV730" s="247" t="str">
        <f t="shared" si="423"/>
        <v/>
      </c>
    </row>
    <row r="731" spans="1:48" ht="36" x14ac:dyDescent="0.2">
      <c r="A731" s="450" t="s">
        <v>184</v>
      </c>
      <c r="B731" s="429" t="s">
        <v>6276</v>
      </c>
      <c r="C731" s="430" t="s">
        <v>1894</v>
      </c>
      <c r="D731" s="1349" t="s">
        <v>4638</v>
      </c>
      <c r="E731" s="1350" t="s">
        <v>3686</v>
      </c>
      <c r="F731" s="1350" t="s">
        <v>6682</v>
      </c>
      <c r="G731" s="1351" t="s">
        <v>6069</v>
      </c>
      <c r="H731" s="1342" t="s">
        <v>1328</v>
      </c>
      <c r="I731" s="432" t="s">
        <v>1548</v>
      </c>
      <c r="J731" s="431"/>
      <c r="K731" s="431"/>
      <c r="L731" s="431"/>
      <c r="M731" s="433"/>
      <c r="N731" s="434" t="s">
        <v>1299</v>
      </c>
      <c r="O731" s="1743" t="str">
        <f>VLOOKUP(B731,code_famille_scénario,2)&amp;VLOOKUP(C731,code_actif,2)&amp;", par "&amp;VLOOKUP(N731,code_acteur,2)</f>
        <v>Altération malveillante (non détectée) de configurations (code, paramétrage, etc.) de services de télécommunication (voix, télécopies, visioconférence, etc.), par un membre du personnel de maintenance</v>
      </c>
      <c r="P731" s="435">
        <v>1</v>
      </c>
      <c r="Q731" s="1595" t="s">
        <v>1299</v>
      </c>
      <c r="R731" s="1595" t="s">
        <v>4638</v>
      </c>
      <c r="S731" s="1595" t="str">
        <f>Classif!D19</f>
        <v/>
      </c>
      <c r="T731" s="1595">
        <f t="shared" si="427"/>
        <v>3</v>
      </c>
      <c r="U731" s="1744" t="str">
        <f t="shared" si="428"/>
        <v/>
      </c>
      <c r="V731" s="1771">
        <f>S12A03</f>
        <v>1</v>
      </c>
      <c r="W731" s="1771">
        <f>S12B01</f>
        <v>1</v>
      </c>
      <c r="X731" s="1771">
        <v>1</v>
      </c>
      <c r="Y731" s="1771">
        <v>1</v>
      </c>
      <c r="Z731" s="1758">
        <v>0</v>
      </c>
      <c r="AA731" s="1759"/>
      <c r="AB731" s="1748"/>
      <c r="AC731" s="1748"/>
      <c r="AD731" s="1595" t="str">
        <f t="shared" si="424"/>
        <v/>
      </c>
      <c r="AE731" s="1595">
        <f t="shared" si="429"/>
        <v>3</v>
      </c>
      <c r="AF731" s="1595" t="str">
        <f t="shared" si="430"/>
        <v/>
      </c>
      <c r="AG731" s="1748"/>
      <c r="AH731" s="1749" t="str">
        <f t="shared" si="425"/>
        <v/>
      </c>
      <c r="AI731" s="1622" t="s">
        <v>4024</v>
      </c>
      <c r="AJ731" s="1616" t="s">
        <v>3268</v>
      </c>
      <c r="AK731" s="1616"/>
      <c r="AL731" s="1619"/>
      <c r="AM731" s="247" t="str">
        <f t="shared" si="418"/>
        <v/>
      </c>
      <c r="AN731" s="247" t="str">
        <f t="shared" si="419"/>
        <v/>
      </c>
      <c r="AO731" s="247" t="str">
        <f t="shared" si="420"/>
        <v/>
      </c>
      <c r="AP731" s="247" t="str">
        <f t="shared" si="421"/>
        <v/>
      </c>
      <c r="AQ731" s="42">
        <f t="shared" si="431"/>
        <v>1</v>
      </c>
      <c r="AR731" s="42">
        <f t="shared" si="432"/>
        <v>1</v>
      </c>
      <c r="AS731" s="42">
        <f t="shared" si="433"/>
        <v>1</v>
      </c>
      <c r="AT731" s="42">
        <f t="shared" si="434"/>
        <v>1</v>
      </c>
      <c r="AU731" s="247" t="str">
        <f t="shared" si="422"/>
        <v/>
      </c>
      <c r="AV731" s="247" t="str">
        <f t="shared" si="423"/>
        <v/>
      </c>
    </row>
    <row r="732" spans="1:48" ht="36" x14ac:dyDescent="0.2">
      <c r="A732" s="450" t="s">
        <v>185</v>
      </c>
      <c r="B732" s="429" t="s">
        <v>6276</v>
      </c>
      <c r="C732" s="430" t="s">
        <v>1894</v>
      </c>
      <c r="D732" s="1349" t="s">
        <v>4638</v>
      </c>
      <c r="E732" s="1350" t="s">
        <v>3686</v>
      </c>
      <c r="F732" s="1350" t="s">
        <v>6682</v>
      </c>
      <c r="G732" s="1351" t="s">
        <v>6069</v>
      </c>
      <c r="H732" s="1342" t="s">
        <v>1328</v>
      </c>
      <c r="I732" s="432" t="s">
        <v>1548</v>
      </c>
      <c r="J732" s="431"/>
      <c r="K732" s="431"/>
      <c r="L732" s="431"/>
      <c r="M732" s="433"/>
      <c r="N732" s="434" t="s">
        <v>6403</v>
      </c>
      <c r="O732" s="1743" t="str">
        <f>VLOOKUP(B732,code_famille_scénario,2)&amp;VLOOKUP(C732,code_actif,2)&amp;", par "&amp;VLOOKUP(N732,code_acteur,2)</f>
        <v>Altération malveillante (non détectée) de configurations (code, paramétrage, etc.) de services de télécommunication (voix, télécopies, visioconférence, etc.), par un membre du personnel d'exploitation</v>
      </c>
      <c r="P732" s="435">
        <v>1</v>
      </c>
      <c r="Q732" s="1595" t="s">
        <v>1299</v>
      </c>
      <c r="R732" s="1595" t="s">
        <v>4638</v>
      </c>
      <c r="S732" s="1595" t="str">
        <f>Classif!D19</f>
        <v/>
      </c>
      <c r="T732" s="1595">
        <f t="shared" si="427"/>
        <v>3</v>
      </c>
      <c r="U732" s="1744" t="str">
        <f t="shared" si="428"/>
        <v/>
      </c>
      <c r="V732" s="1771">
        <f>MIN(S12E02,S12E03)</f>
        <v>1</v>
      </c>
      <c r="W732" s="1771">
        <v>1</v>
      </c>
      <c r="X732" s="1771">
        <v>1</v>
      </c>
      <c r="Y732" s="1771">
        <v>1</v>
      </c>
      <c r="Z732" s="1758">
        <v>0</v>
      </c>
      <c r="AA732" s="1759"/>
      <c r="AB732" s="1748"/>
      <c r="AC732" s="1748"/>
      <c r="AD732" s="1595" t="str">
        <f t="shared" si="424"/>
        <v/>
      </c>
      <c r="AE732" s="1595">
        <f t="shared" si="429"/>
        <v>3</v>
      </c>
      <c r="AF732" s="1595" t="str">
        <f t="shared" si="430"/>
        <v/>
      </c>
      <c r="AG732" s="1748"/>
      <c r="AH732" s="1749" t="str">
        <f t="shared" si="425"/>
        <v/>
      </c>
      <c r="AI732" s="1622" t="s">
        <v>1746</v>
      </c>
      <c r="AJ732" s="1616"/>
      <c r="AK732" s="1616"/>
      <c r="AL732" s="1619"/>
      <c r="AM732" s="247" t="str">
        <f t="shared" si="418"/>
        <v/>
      </c>
      <c r="AN732" s="247" t="str">
        <f t="shared" si="419"/>
        <v/>
      </c>
      <c r="AO732" s="247" t="str">
        <f t="shared" si="420"/>
        <v/>
      </c>
      <c r="AP732" s="247" t="str">
        <f t="shared" si="421"/>
        <v/>
      </c>
      <c r="AQ732" s="42">
        <f t="shared" si="431"/>
        <v>1</v>
      </c>
      <c r="AR732" s="42">
        <f t="shared" si="432"/>
        <v>1</v>
      </c>
      <c r="AS732" s="42">
        <f t="shared" si="433"/>
        <v>1</v>
      </c>
      <c r="AT732" s="42">
        <f t="shared" si="434"/>
        <v>1</v>
      </c>
      <c r="AU732" s="247" t="str">
        <f t="shared" si="422"/>
        <v/>
      </c>
      <c r="AV732" s="247" t="str">
        <f t="shared" si="423"/>
        <v/>
      </c>
    </row>
    <row r="733" spans="1:48" ht="36" x14ac:dyDescent="0.2">
      <c r="A733" s="450" t="s">
        <v>186</v>
      </c>
      <c r="B733" s="429" t="s">
        <v>6276</v>
      </c>
      <c r="C733" s="430" t="s">
        <v>1894</v>
      </c>
      <c r="D733" s="1349" t="s">
        <v>4638</v>
      </c>
      <c r="E733" s="1350" t="s">
        <v>3686</v>
      </c>
      <c r="F733" s="1350" t="s">
        <v>6682</v>
      </c>
      <c r="G733" s="1351" t="s">
        <v>6069</v>
      </c>
      <c r="H733" s="1342" t="s">
        <v>1328</v>
      </c>
      <c r="I733" s="432" t="s">
        <v>1548</v>
      </c>
      <c r="J733" s="431"/>
      <c r="K733" s="431"/>
      <c r="L733" s="431" t="s">
        <v>6541</v>
      </c>
      <c r="M733" s="433"/>
      <c r="N733" s="434" t="s">
        <v>1303</v>
      </c>
      <c r="O733" s="1743" t="str">
        <f>VLOOKUP(B733,code_famille_scénario,2)&amp;VLOOKUP(C733,code_actif,2)&amp;", par "&amp;VLOOKUP(N733,code_acteur,2)&amp;", "&amp;VLOOKUP(L733,code_acces,2)</f>
        <v>Altération malveillante (non détectée) de configurations (code, paramétrage, etc.) de services de télécommunication (voix, télécopies, visioconférence, etc.), par un utilisateur non autorisé, se connectant depuis le réseau interne</v>
      </c>
      <c r="P733" s="435">
        <v>1</v>
      </c>
      <c r="Q733" s="1595" t="s">
        <v>1299</v>
      </c>
      <c r="R733" s="1595" t="s">
        <v>4638</v>
      </c>
      <c r="S733" s="1595" t="str">
        <f>Classif!D19</f>
        <v/>
      </c>
      <c r="T733" s="1595">
        <f t="shared" si="427"/>
        <v>3</v>
      </c>
      <c r="U733" s="1744" t="str">
        <f t="shared" si="428"/>
        <v/>
      </c>
      <c r="V733" s="1771">
        <v>1</v>
      </c>
      <c r="W733" s="1771">
        <f>MIN(S12E01,S12E02)</f>
        <v>1</v>
      </c>
      <c r="X733" s="1771">
        <v>1</v>
      </c>
      <c r="Y733" s="1771">
        <v>1</v>
      </c>
      <c r="Z733" s="1758">
        <v>0</v>
      </c>
      <c r="AA733" s="1759"/>
      <c r="AB733" s="1748"/>
      <c r="AC733" s="1748"/>
      <c r="AD733" s="1595" t="str">
        <f t="shared" si="424"/>
        <v/>
      </c>
      <c r="AE733" s="1595">
        <f t="shared" si="429"/>
        <v>3</v>
      </c>
      <c r="AF733" s="1595" t="str">
        <f t="shared" si="430"/>
        <v/>
      </c>
      <c r="AG733" s="1748"/>
      <c r="AH733" s="1749" t="str">
        <f t="shared" si="425"/>
        <v/>
      </c>
      <c r="AI733" s="1620"/>
      <c r="AJ733" s="1621" t="s">
        <v>2572</v>
      </c>
      <c r="AK733" s="1616"/>
      <c r="AL733" s="1619"/>
      <c r="AM733" s="247" t="str">
        <f t="shared" si="418"/>
        <v/>
      </c>
      <c r="AN733" s="247" t="str">
        <f t="shared" si="419"/>
        <v/>
      </c>
      <c r="AO733" s="247" t="str">
        <f t="shared" si="420"/>
        <v/>
      </c>
      <c r="AP733" s="247" t="str">
        <f t="shared" si="421"/>
        <v/>
      </c>
      <c r="AQ733" s="42">
        <f t="shared" si="431"/>
        <v>1</v>
      </c>
      <c r="AR733" s="42">
        <f t="shared" si="432"/>
        <v>1</v>
      </c>
      <c r="AS733" s="42">
        <f t="shared" si="433"/>
        <v>1</v>
      </c>
      <c r="AT733" s="42">
        <f t="shared" si="434"/>
        <v>1</v>
      </c>
      <c r="AU733" s="247" t="str">
        <f t="shared" si="422"/>
        <v/>
      </c>
      <c r="AV733" s="247" t="str">
        <f t="shared" si="423"/>
        <v/>
      </c>
    </row>
    <row r="734" spans="1:48" ht="36" x14ac:dyDescent="0.2">
      <c r="A734" s="450" t="s">
        <v>187</v>
      </c>
      <c r="B734" s="429" t="s">
        <v>6276</v>
      </c>
      <c r="C734" s="430" t="s">
        <v>1894</v>
      </c>
      <c r="D734" s="1349" t="s">
        <v>4638</v>
      </c>
      <c r="E734" s="1350" t="s">
        <v>3686</v>
      </c>
      <c r="F734" s="1350" t="s">
        <v>6682</v>
      </c>
      <c r="G734" s="1351" t="s">
        <v>6069</v>
      </c>
      <c r="H734" s="1342" t="s">
        <v>1328</v>
      </c>
      <c r="I734" s="432" t="s">
        <v>1548</v>
      </c>
      <c r="J734" s="431"/>
      <c r="K734" s="431"/>
      <c r="L734" s="431" t="s">
        <v>6542</v>
      </c>
      <c r="M734" s="433"/>
      <c r="N734" s="434" t="s">
        <v>2835</v>
      </c>
      <c r="O734" s="1743" t="str">
        <f>VLOOKUP(B734,code_famille_scénario,2)&amp;VLOOKUP(C734,code_actif,2)&amp;", par "&amp;VLOOKUP(N734,code_acteur,2)&amp;", "&amp;VLOOKUP(L734,code_acces,2)</f>
        <v>Altération malveillante (non détectée) de configurations (code, paramétrage, etc.) de services de télécommunication (voix, télécopies, visioconférence, etc.), par un tiers non autorisé, se connectant par un port de télémaintenance</v>
      </c>
      <c r="P734" s="435">
        <v>1</v>
      </c>
      <c r="Q734" s="1595" t="s">
        <v>1299</v>
      </c>
      <c r="R734" s="1595" t="s">
        <v>4638</v>
      </c>
      <c r="S734" s="1595" t="str">
        <f>Classif!D19</f>
        <v/>
      </c>
      <c r="T734" s="1595">
        <f t="shared" si="427"/>
        <v>3</v>
      </c>
      <c r="U734" s="1744" t="str">
        <f t="shared" si="428"/>
        <v/>
      </c>
      <c r="V734" s="1771">
        <v>1</v>
      </c>
      <c r="W734" s="1771">
        <f>S12A04</f>
        <v>1</v>
      </c>
      <c r="X734" s="1771">
        <v>1</v>
      </c>
      <c r="Y734" s="1771">
        <v>1</v>
      </c>
      <c r="Z734" s="1758">
        <v>0</v>
      </c>
      <c r="AA734" s="1759"/>
      <c r="AB734" s="1748"/>
      <c r="AC734" s="1748"/>
      <c r="AD734" s="1595" t="str">
        <f t="shared" si="424"/>
        <v/>
      </c>
      <c r="AE734" s="1595">
        <f t="shared" si="429"/>
        <v>3</v>
      </c>
      <c r="AF734" s="1595" t="str">
        <f t="shared" si="430"/>
        <v/>
      </c>
      <c r="AG734" s="1748"/>
      <c r="AH734" s="1749" t="str">
        <f t="shared" si="425"/>
        <v/>
      </c>
      <c r="AI734" s="1620"/>
      <c r="AJ734" s="1621" t="s">
        <v>4031</v>
      </c>
      <c r="AK734" s="1616"/>
      <c r="AL734" s="1619"/>
      <c r="AM734" s="247" t="str">
        <f t="shared" si="418"/>
        <v/>
      </c>
      <c r="AN734" s="247" t="str">
        <f t="shared" si="419"/>
        <v/>
      </c>
      <c r="AO734" s="247" t="str">
        <f t="shared" si="420"/>
        <v/>
      </c>
      <c r="AP734" s="247" t="str">
        <f t="shared" si="421"/>
        <v/>
      </c>
      <c r="AQ734" s="42">
        <f t="shared" si="431"/>
        <v>1</v>
      </c>
      <c r="AR734" s="42">
        <f t="shared" si="432"/>
        <v>1</v>
      </c>
      <c r="AS734" s="42">
        <f t="shared" si="433"/>
        <v>1</v>
      </c>
      <c r="AT734" s="42">
        <f t="shared" si="434"/>
        <v>1</v>
      </c>
      <c r="AU734" s="247" t="str">
        <f t="shared" si="422"/>
        <v/>
      </c>
      <c r="AV734" s="247" t="str">
        <f t="shared" si="423"/>
        <v/>
      </c>
    </row>
    <row r="735" spans="1:48" ht="15" x14ac:dyDescent="0.2">
      <c r="A735" s="456" t="s">
        <v>3721</v>
      </c>
      <c r="B735" s="457"/>
      <c r="C735" s="423" t="s">
        <v>3720</v>
      </c>
      <c r="D735" s="1356"/>
      <c r="E735" s="1357"/>
      <c r="F735" s="1357"/>
      <c r="G735" s="1360"/>
      <c r="H735" s="1345"/>
      <c r="I735" s="459"/>
      <c r="J735" s="458"/>
      <c r="K735" s="458"/>
      <c r="L735" s="458"/>
      <c r="M735" s="460"/>
      <c r="N735" s="461"/>
      <c r="O735" s="1761"/>
      <c r="P735" s="1608"/>
      <c r="Q735" s="1596"/>
      <c r="R735" s="1596"/>
      <c r="S735" s="1753"/>
      <c r="T735" s="1595"/>
      <c r="U735" s="1744"/>
      <c r="V735" s="1754"/>
      <c r="W735" s="1754"/>
      <c r="X735" s="1754"/>
      <c r="Y735" s="1754"/>
      <c r="Z735" s="1758"/>
      <c r="AA735" s="1759"/>
      <c r="AB735" s="1748"/>
      <c r="AC735" s="1748"/>
      <c r="AD735" s="1595"/>
      <c r="AE735" s="1753"/>
      <c r="AF735" s="1595"/>
      <c r="AG735" s="1748"/>
      <c r="AH735" s="1749"/>
      <c r="AI735" s="1627"/>
      <c r="AJ735" s="1628"/>
      <c r="AK735" s="1628"/>
      <c r="AL735" s="1629"/>
      <c r="AM735" s="247" t="str">
        <f t="shared" si="418"/>
        <v/>
      </c>
      <c r="AN735" s="247" t="str">
        <f t="shared" si="419"/>
        <v/>
      </c>
      <c r="AO735" s="247" t="str">
        <f t="shared" si="420"/>
        <v/>
      </c>
      <c r="AP735" s="247" t="str">
        <f t="shared" si="421"/>
        <v/>
      </c>
      <c r="AU735" s="247" t="str">
        <f t="shared" si="422"/>
        <v/>
      </c>
      <c r="AV735" s="247" t="str">
        <f t="shared" si="423"/>
        <v/>
      </c>
    </row>
    <row r="736" spans="1:48" ht="36" x14ac:dyDescent="0.2">
      <c r="A736" s="450" t="s">
        <v>188</v>
      </c>
      <c r="B736" s="429" t="s">
        <v>2494</v>
      </c>
      <c r="C736" s="430" t="s">
        <v>2785</v>
      </c>
      <c r="D736" s="1349" t="s">
        <v>4638</v>
      </c>
      <c r="E736" s="1350" t="s">
        <v>3686</v>
      </c>
      <c r="F736" s="1350" t="s">
        <v>6682</v>
      </c>
      <c r="G736" s="1351" t="s">
        <v>6069</v>
      </c>
      <c r="H736" s="1342" t="s">
        <v>1327</v>
      </c>
      <c r="I736" s="432" t="s">
        <v>1545</v>
      </c>
      <c r="J736" s="431"/>
      <c r="K736" s="431"/>
      <c r="L736" s="431"/>
      <c r="M736" s="433"/>
      <c r="N736" s="434" t="s">
        <v>1299</v>
      </c>
      <c r="O736" s="1743" t="str">
        <f>VLOOKUP(B736,code_famille_scénario,2)&amp;VLOOKUP(C736,code_actif,2)&amp;", par "&amp;VLOOKUP(N736,code_acteur,2)</f>
        <v>Altération, par erreur de procédure, de configuration de services du réseau étendu, par un membre du personnel de maintenance</v>
      </c>
      <c r="P736" s="435">
        <v>1</v>
      </c>
      <c r="Q736" s="1595" t="s">
        <v>6403</v>
      </c>
      <c r="R736" s="1595" t="s">
        <v>4638</v>
      </c>
      <c r="S736" s="1595" t="str">
        <f>Classif!D21</f>
        <v/>
      </c>
      <c r="T736" s="1595">
        <f>VLOOKUP(H736&amp;"."&amp;I736,Tab_event,4)</f>
        <v>3</v>
      </c>
      <c r="U736" s="1744" t="str">
        <f>IF(AND(NOT(S736=""),NOT(T736="")),INDEX(base_g,5-S736,T736),"")</f>
        <v/>
      </c>
      <c r="V736" s="1771">
        <v>1</v>
      </c>
      <c r="W736" s="1771">
        <f>S06A02</f>
        <v>1</v>
      </c>
      <c r="X736" s="1771">
        <v>1</v>
      </c>
      <c r="Y736" s="1771">
        <v>1</v>
      </c>
      <c r="Z736" s="1758">
        <v>0</v>
      </c>
      <c r="AA736" s="1759"/>
      <c r="AB736" s="1748"/>
      <c r="AC736" s="1748"/>
      <c r="AD736" s="1595" t="str">
        <f t="shared" si="424"/>
        <v/>
      </c>
      <c r="AE736" s="1595">
        <f>IF(OR(Q736="",T736=""),"",IF(Q736="A",INDEX(base_p,4,W736+7*(T736-1)),IF(Q736="E",INDEX(base_p,15,W736+7*(T736-1)),INDEX(base_p,27-V736,W736+7*(T736-1)))))</f>
        <v>3</v>
      </c>
      <c r="AF736" s="1595" t="str">
        <f>IF(AT736=1,IF(IndG=1,U736,IF(AND(OR(NOT(AD736=""),NOT(AB736="")),OR(NOT(AE736=""),NOT(AC736="")),AT736=1),INDEX(base_g,5-IF(AB736="",AD736,AB736),IF(AC736="",AE736,AC736)),"")),0)</f>
        <v/>
      </c>
      <c r="AG736" s="1748"/>
      <c r="AH736" s="1749" t="str">
        <f t="shared" si="425"/>
        <v/>
      </c>
      <c r="AI736" s="1622"/>
      <c r="AJ736" s="1621" t="s">
        <v>4530</v>
      </c>
      <c r="AK736" s="1621"/>
      <c r="AL736" s="1619"/>
      <c r="AM736" s="247" t="str">
        <f t="shared" si="418"/>
        <v/>
      </c>
      <c r="AN736" s="247" t="str">
        <f t="shared" si="419"/>
        <v/>
      </c>
      <c r="AO736" s="247" t="str">
        <f t="shared" si="420"/>
        <v/>
      </c>
      <c r="AP736" s="247" t="str">
        <f t="shared" si="421"/>
        <v/>
      </c>
      <c r="AQ736" s="42">
        <f>VLOOKUP(LEFT(C736,3),Tab_classif_servIR,6)</f>
        <v>1</v>
      </c>
      <c r="AR736" s="42">
        <f>VLOOKUP(G736,select_vul_serv,2)</f>
        <v>1</v>
      </c>
      <c r="AS736" s="42">
        <f>VLOOKUP(H736&amp;"."&amp;I736,select_men,5)</f>
        <v>1</v>
      </c>
      <c r="AT736" s="42">
        <f>P736*AQ736*AR736*AS736</f>
        <v>1</v>
      </c>
      <c r="AU736" s="247" t="str">
        <f t="shared" si="422"/>
        <v/>
      </c>
      <c r="AV736" s="247" t="str">
        <f t="shared" si="423"/>
        <v/>
      </c>
    </row>
    <row r="737" spans="1:48" ht="36" x14ac:dyDescent="0.2">
      <c r="A737" s="450" t="s">
        <v>189</v>
      </c>
      <c r="B737" s="429" t="s">
        <v>2494</v>
      </c>
      <c r="C737" s="430" t="s">
        <v>2785</v>
      </c>
      <c r="D737" s="1349" t="s">
        <v>4638</v>
      </c>
      <c r="E737" s="1350" t="s">
        <v>3686</v>
      </c>
      <c r="F737" s="1350" t="s">
        <v>6682</v>
      </c>
      <c r="G737" s="1351" t="s">
        <v>6069</v>
      </c>
      <c r="H737" s="1342" t="s">
        <v>1327</v>
      </c>
      <c r="I737" s="432" t="s">
        <v>1545</v>
      </c>
      <c r="J737" s="431"/>
      <c r="K737" s="431"/>
      <c r="L737" s="431"/>
      <c r="M737" s="433"/>
      <c r="N737" s="434" t="s">
        <v>6403</v>
      </c>
      <c r="O737" s="1743" t="str">
        <f>VLOOKUP(B737,code_famille_scénario,2)&amp;VLOOKUP(C737,code_actif,2)&amp;", par "&amp;VLOOKUP(N737,code_acteur,2)</f>
        <v>Altération, par erreur de procédure, de configuration de services du réseau étendu, par un membre du personnel d'exploitation</v>
      </c>
      <c r="P737" s="435">
        <v>1</v>
      </c>
      <c r="Q737" s="1595" t="s">
        <v>6403</v>
      </c>
      <c r="R737" s="1595" t="s">
        <v>4638</v>
      </c>
      <c r="S737" s="1595" t="str">
        <f>Classif!D21</f>
        <v/>
      </c>
      <c r="T737" s="1595">
        <f>VLOOKUP(H737&amp;"."&amp;I737,Tab_event,4)</f>
        <v>3</v>
      </c>
      <c r="U737" s="1744" t="str">
        <f>IF(AND(NOT(S737=""),NOT(T737="")),INDEX(base_g,5-S737,T737),"")</f>
        <v/>
      </c>
      <c r="V737" s="1771">
        <v>1</v>
      </c>
      <c r="W737" s="1771">
        <f>S06B01</f>
        <v>1</v>
      </c>
      <c r="X737" s="1771">
        <v>1</v>
      </c>
      <c r="Y737" s="1771">
        <v>1</v>
      </c>
      <c r="Z737" s="1758">
        <v>0</v>
      </c>
      <c r="AA737" s="1759"/>
      <c r="AB737" s="1748"/>
      <c r="AC737" s="1748"/>
      <c r="AD737" s="1595" t="str">
        <f t="shared" si="424"/>
        <v/>
      </c>
      <c r="AE737" s="1595">
        <f>IF(OR(Q737="",T737=""),"",IF(Q737="A",INDEX(base_p,4,W737+7*(T737-1)),IF(Q737="E",INDEX(base_p,15,W737+7*(T737-1)),INDEX(base_p,27-V737,W737+7*(T737-1)))))</f>
        <v>3</v>
      </c>
      <c r="AF737" s="1595" t="str">
        <f>IF(AT737=1,IF(IndG=1,U737,IF(AND(OR(NOT(AD737=""),NOT(AB737="")),OR(NOT(AE737=""),NOT(AC737="")),AT737=1),INDEX(base_g,5-IF(AB737="",AD737,AB737),IF(AC737="",AE737,AC737)),"")),0)</f>
        <v/>
      </c>
      <c r="AG737" s="1748"/>
      <c r="AH737" s="1749" t="str">
        <f t="shared" si="425"/>
        <v/>
      </c>
      <c r="AI737" s="1615"/>
      <c r="AJ737" s="1616" t="s">
        <v>3643</v>
      </c>
      <c r="AK737" s="1621"/>
      <c r="AL737" s="1619"/>
      <c r="AM737" s="247" t="str">
        <f t="shared" si="418"/>
        <v/>
      </c>
      <c r="AN737" s="247" t="str">
        <f t="shared" si="419"/>
        <v/>
      </c>
      <c r="AO737" s="247" t="str">
        <f t="shared" si="420"/>
        <v/>
      </c>
      <c r="AP737" s="247" t="str">
        <f t="shared" si="421"/>
        <v/>
      </c>
      <c r="AQ737" s="42">
        <f>VLOOKUP(LEFT(C737,3),Tab_classif_servIR,6)</f>
        <v>1</v>
      </c>
      <c r="AR737" s="42">
        <f>VLOOKUP(G737,select_vul_serv,2)</f>
        <v>1</v>
      </c>
      <c r="AS737" s="42">
        <f>VLOOKUP(H737&amp;"."&amp;I737,select_men,5)</f>
        <v>1</v>
      </c>
      <c r="AT737" s="42">
        <f>P737*AQ737*AR737*AS737</f>
        <v>1</v>
      </c>
      <c r="AU737" s="247" t="str">
        <f t="shared" si="422"/>
        <v/>
      </c>
      <c r="AV737" s="247" t="str">
        <f t="shared" si="423"/>
        <v/>
      </c>
    </row>
    <row r="738" spans="1:48" ht="36" x14ac:dyDescent="0.2">
      <c r="A738" s="450" t="s">
        <v>190</v>
      </c>
      <c r="B738" s="429" t="s">
        <v>6276</v>
      </c>
      <c r="C738" s="430" t="s">
        <v>2785</v>
      </c>
      <c r="D738" s="1349" t="s">
        <v>4638</v>
      </c>
      <c r="E738" s="1350" t="s">
        <v>3686</v>
      </c>
      <c r="F738" s="1350" t="s">
        <v>6682</v>
      </c>
      <c r="G738" s="1351" t="s">
        <v>6069</v>
      </c>
      <c r="H738" s="1342" t="s">
        <v>1328</v>
      </c>
      <c r="I738" s="432" t="s">
        <v>1548</v>
      </c>
      <c r="J738" s="431"/>
      <c r="K738" s="431"/>
      <c r="L738" s="431"/>
      <c r="M738" s="433"/>
      <c r="N738" s="434" t="s">
        <v>1299</v>
      </c>
      <c r="O738" s="1743" t="str">
        <f>VLOOKUP(B738,code_famille_scénario,2)&amp;VLOOKUP(C738,code_actif,2)&amp;", par "&amp;VLOOKUP(N738,code_acteur,2)</f>
        <v>Altération malveillante (non détectée) de configurations (code, paramétrage, etc.) de services du réseau étendu, par un membre du personnel de maintenance</v>
      </c>
      <c r="P738" s="435">
        <v>1</v>
      </c>
      <c r="Q738" s="1595" t="s">
        <v>1299</v>
      </c>
      <c r="R738" s="1595" t="s">
        <v>4638</v>
      </c>
      <c r="S738" s="1595" t="str">
        <f>Classif!D21</f>
        <v/>
      </c>
      <c r="T738" s="1595">
        <f>VLOOKUP(H738&amp;"."&amp;I738,Tab_event,4)</f>
        <v>3</v>
      </c>
      <c r="U738" s="1744" t="str">
        <f>IF(AND(NOT(S738=""),NOT(T738="")),INDEX(base_g,5-S738,T738),"")</f>
        <v/>
      </c>
      <c r="V738" s="1771">
        <f>S06A03</f>
        <v>1</v>
      </c>
      <c r="W738" s="1771">
        <f>S06B01</f>
        <v>1</v>
      </c>
      <c r="X738" s="1771">
        <v>1</v>
      </c>
      <c r="Y738" s="1771">
        <v>1</v>
      </c>
      <c r="Z738" s="1758">
        <v>0</v>
      </c>
      <c r="AA738" s="1759"/>
      <c r="AB738" s="1748"/>
      <c r="AC738" s="1748"/>
      <c r="AD738" s="1595" t="str">
        <f t="shared" si="424"/>
        <v/>
      </c>
      <c r="AE738" s="1595">
        <f>IF(OR(Q738="",T738=""),"",IF(Q738="A",INDEX(base_p,4,W738+7*(T738-1)),IF(Q738="E",INDEX(base_p,15,W738+7*(T738-1)),INDEX(base_p,27-V738,W738+7*(T738-1)))))</f>
        <v>3</v>
      </c>
      <c r="AF738" s="1595" t="str">
        <f>IF(AT738=1,IF(IndG=1,U738,IF(AND(OR(NOT(AD738=""),NOT(AB738="")),OR(NOT(AE738=""),NOT(AC738="")),AT738=1),INDEX(base_g,5-IF(AB738="",AD738,AB738),IF(AC738="",AE738,AC738)),"")),0)</f>
        <v/>
      </c>
      <c r="AG738" s="1748"/>
      <c r="AH738" s="1749" t="str">
        <f t="shared" si="425"/>
        <v/>
      </c>
      <c r="AI738" s="1622" t="s">
        <v>4511</v>
      </c>
      <c r="AJ738" s="1616" t="s">
        <v>3643</v>
      </c>
      <c r="AK738" s="1616"/>
      <c r="AL738" s="1619"/>
      <c r="AM738" s="247" t="str">
        <f t="shared" si="418"/>
        <v/>
      </c>
      <c r="AN738" s="247" t="str">
        <f t="shared" si="419"/>
        <v/>
      </c>
      <c r="AO738" s="247" t="str">
        <f t="shared" si="420"/>
        <v/>
      </c>
      <c r="AP738" s="247" t="str">
        <f t="shared" si="421"/>
        <v/>
      </c>
      <c r="AQ738" s="42">
        <f>VLOOKUP(LEFT(C738,3),Tab_classif_servIR,6)</f>
        <v>1</v>
      </c>
      <c r="AR738" s="42">
        <f>VLOOKUP(G738,select_vul_serv,2)</f>
        <v>1</v>
      </c>
      <c r="AS738" s="42">
        <f>VLOOKUP(H738&amp;"."&amp;I738,select_men,5)</f>
        <v>1</v>
      </c>
      <c r="AT738" s="42">
        <f>P738*AQ738*AR738*AS738</f>
        <v>1</v>
      </c>
      <c r="AU738" s="247" t="str">
        <f t="shared" si="422"/>
        <v/>
      </c>
      <c r="AV738" s="247" t="str">
        <f t="shared" si="423"/>
        <v/>
      </c>
    </row>
    <row r="739" spans="1:48" ht="36" x14ac:dyDescent="0.2">
      <c r="A739" s="450" t="s">
        <v>191</v>
      </c>
      <c r="B739" s="429" t="s">
        <v>6276</v>
      </c>
      <c r="C739" s="430" t="s">
        <v>2785</v>
      </c>
      <c r="D739" s="1349" t="s">
        <v>4638</v>
      </c>
      <c r="E739" s="1350" t="s">
        <v>3686</v>
      </c>
      <c r="F739" s="1350" t="s">
        <v>6682</v>
      </c>
      <c r="G739" s="1351" t="s">
        <v>6069</v>
      </c>
      <c r="H739" s="1342" t="s">
        <v>1328</v>
      </c>
      <c r="I739" s="432" t="s">
        <v>1548</v>
      </c>
      <c r="J739" s="431"/>
      <c r="K739" s="431"/>
      <c r="L739" s="431"/>
      <c r="M739" s="433"/>
      <c r="N739" s="434" t="s">
        <v>6403</v>
      </c>
      <c r="O739" s="1743" t="str">
        <f>VLOOKUP(B739,code_famille_scénario,2)&amp;VLOOKUP(C739,code_actif,2)&amp;", par "&amp;VLOOKUP(N739,code_acteur,2)</f>
        <v>Altération malveillante (non détectée) de configurations (code, paramétrage, etc.) de services du réseau étendu, par un membre du personnel d'exploitation</v>
      </c>
      <c r="P739" s="435">
        <v>1</v>
      </c>
      <c r="Q739" s="1595" t="s">
        <v>1299</v>
      </c>
      <c r="R739" s="1595" t="s">
        <v>4638</v>
      </c>
      <c r="S739" s="1595" t="str">
        <f>Classif!D21</f>
        <v/>
      </c>
      <c r="T739" s="1595">
        <f>VLOOKUP(H739&amp;"."&amp;I739,Tab_event,4)</f>
        <v>3</v>
      </c>
      <c r="U739" s="1744" t="str">
        <f>IF(AND(NOT(S739=""),NOT(T739="")),INDEX(base_g,5-S739,T739),"")</f>
        <v/>
      </c>
      <c r="V739" s="1771">
        <f>MIN(S06C02,S06C03)</f>
        <v>1</v>
      </c>
      <c r="W739" s="1771">
        <v>1</v>
      </c>
      <c r="X739" s="1771">
        <v>1</v>
      </c>
      <c r="Y739" s="1771">
        <v>1</v>
      </c>
      <c r="Z739" s="1758">
        <v>0</v>
      </c>
      <c r="AA739" s="1759"/>
      <c r="AB739" s="1748"/>
      <c r="AC739" s="1748"/>
      <c r="AD739" s="1595" t="str">
        <f t="shared" si="424"/>
        <v/>
      </c>
      <c r="AE739" s="1595">
        <f>IF(OR(Q739="",T739=""),"",IF(Q739="A",INDEX(base_p,4,W739+7*(T739-1)),IF(Q739="E",INDEX(base_p,15,W739+7*(T739-1)),INDEX(base_p,27-V739,W739+7*(T739-1)))))</f>
        <v>3</v>
      </c>
      <c r="AF739" s="1595" t="str">
        <f>IF(AT739=1,IF(IndG=1,U739,IF(AND(OR(NOT(AD739=""),NOT(AB739="")),OR(NOT(AE739=""),NOT(AC739="")),AT739=1),INDEX(base_g,5-IF(AB739="",AD739,AB739),IF(AC739="",AE739,AC739)),"")),0)</f>
        <v/>
      </c>
      <c r="AG739" s="1748"/>
      <c r="AH739" s="1749" t="str">
        <f t="shared" si="425"/>
        <v/>
      </c>
      <c r="AI739" s="1622" t="s">
        <v>5000</v>
      </c>
      <c r="AJ739" s="1616"/>
      <c r="AK739" s="1616"/>
      <c r="AL739" s="1619"/>
      <c r="AM739" s="247" t="str">
        <f t="shared" si="418"/>
        <v/>
      </c>
      <c r="AN739" s="247" t="str">
        <f t="shared" si="419"/>
        <v/>
      </c>
      <c r="AO739" s="247" t="str">
        <f t="shared" si="420"/>
        <v/>
      </c>
      <c r="AP739" s="247" t="str">
        <f t="shared" si="421"/>
        <v/>
      </c>
      <c r="AQ739" s="42">
        <f>VLOOKUP(LEFT(C739,3),Tab_classif_servIR,6)</f>
        <v>1</v>
      </c>
      <c r="AR739" s="42">
        <f>VLOOKUP(G739,select_vul_serv,2)</f>
        <v>1</v>
      </c>
      <c r="AS739" s="42">
        <f>VLOOKUP(H739&amp;"."&amp;I739,select_men,5)</f>
        <v>1</v>
      </c>
      <c r="AT739" s="42">
        <f>P739*AQ739*AR739*AS739</f>
        <v>1</v>
      </c>
      <c r="AU739" s="247" t="str">
        <f t="shared" si="422"/>
        <v/>
      </c>
      <c r="AV739" s="247" t="str">
        <f t="shared" si="423"/>
        <v/>
      </c>
    </row>
    <row r="740" spans="1:48" ht="36" x14ac:dyDescent="0.2">
      <c r="A740" s="450" t="s">
        <v>192</v>
      </c>
      <c r="B740" s="429" t="s">
        <v>6276</v>
      </c>
      <c r="C740" s="430" t="s">
        <v>2785</v>
      </c>
      <c r="D740" s="1349" t="s">
        <v>4638</v>
      </c>
      <c r="E740" s="1350" t="s">
        <v>3686</v>
      </c>
      <c r="F740" s="1350" t="s">
        <v>6682</v>
      </c>
      <c r="G740" s="1351" t="s">
        <v>6069</v>
      </c>
      <c r="H740" s="1342" t="s">
        <v>1328</v>
      </c>
      <c r="I740" s="432" t="s">
        <v>1548</v>
      </c>
      <c r="J740" s="431"/>
      <c r="K740" s="431"/>
      <c r="L740" s="431"/>
      <c r="M740" s="433"/>
      <c r="N740" s="434" t="s">
        <v>1303</v>
      </c>
      <c r="O740" s="1743" t="str">
        <f>VLOOKUP(B740,code_famille_scénario,2)&amp;VLOOKUP(C740,code_actif,2)&amp;", par "&amp;VLOOKUP(N740,code_acteur,2)</f>
        <v>Altération malveillante (non détectée) de configurations (code, paramétrage, etc.) de services du réseau étendu, par un utilisateur non autorisé</v>
      </c>
      <c r="P740" s="435">
        <v>1</v>
      </c>
      <c r="Q740" s="1595" t="s">
        <v>1299</v>
      </c>
      <c r="R740" s="1595" t="s">
        <v>4638</v>
      </c>
      <c r="S740" s="1595" t="str">
        <f>Classif!D21</f>
        <v/>
      </c>
      <c r="T740" s="1595">
        <f>VLOOKUP(H740&amp;"."&amp;I740,Tab_event,4)</f>
        <v>3</v>
      </c>
      <c r="U740" s="1744" t="str">
        <f>IF(AND(NOT(S740=""),NOT(T740="")),INDEX(base_g,5-S740,T740),"")</f>
        <v/>
      </c>
      <c r="V740" s="1771">
        <v>1</v>
      </c>
      <c r="W740" s="1771">
        <f>MIN(S06C01,S06C02)</f>
        <v>1</v>
      </c>
      <c r="X740" s="1771">
        <v>1</v>
      </c>
      <c r="Y740" s="1771">
        <v>1</v>
      </c>
      <c r="Z740" s="1758">
        <v>0</v>
      </c>
      <c r="AA740" s="1759"/>
      <c r="AB740" s="1748"/>
      <c r="AC740" s="1748"/>
      <c r="AD740" s="1595" t="str">
        <f t="shared" si="424"/>
        <v/>
      </c>
      <c r="AE740" s="1595">
        <f>IF(OR(Q740="",T740=""),"",IF(Q740="A",INDEX(base_p,4,W740+7*(T740-1)),IF(Q740="E",INDEX(base_p,15,W740+7*(T740-1)),INDEX(base_p,27-V740,W740+7*(T740-1)))))</f>
        <v>3</v>
      </c>
      <c r="AF740" s="1595" t="str">
        <f>IF(AT740=1,IF(IndG=1,U740,IF(AND(OR(NOT(AD740=""),NOT(AB740="")),OR(NOT(AE740=""),NOT(AC740="")),AT740=1),INDEX(base_g,5-IF(AB740="",AD740,AB740),IF(AC740="",AE740,AC740)),"")),0)</f>
        <v/>
      </c>
      <c r="AG740" s="1748"/>
      <c r="AH740" s="1749" t="str">
        <f t="shared" si="425"/>
        <v/>
      </c>
      <c r="AI740" s="1620"/>
      <c r="AJ740" s="1621" t="s">
        <v>3687</v>
      </c>
      <c r="AK740" s="1616"/>
      <c r="AL740" s="1619"/>
      <c r="AM740" s="247" t="str">
        <f t="shared" si="418"/>
        <v/>
      </c>
      <c r="AN740" s="247" t="str">
        <f t="shared" si="419"/>
        <v/>
      </c>
      <c r="AO740" s="247" t="str">
        <f t="shared" si="420"/>
        <v/>
      </c>
      <c r="AP740" s="247" t="str">
        <f t="shared" si="421"/>
        <v/>
      </c>
      <c r="AQ740" s="42">
        <f>VLOOKUP(LEFT(C740,3),Tab_classif_servIR,6)</f>
        <v>1</v>
      </c>
      <c r="AR740" s="42">
        <f>VLOOKUP(G740,select_vul_serv,2)</f>
        <v>1</v>
      </c>
      <c r="AS740" s="42">
        <f>VLOOKUP(H740&amp;"."&amp;I740,select_men,5)</f>
        <v>1</v>
      </c>
      <c r="AT740" s="42">
        <f>P740*AQ740*AR740*AS740</f>
        <v>1</v>
      </c>
      <c r="AU740" s="247" t="str">
        <f t="shared" si="422"/>
        <v/>
      </c>
      <c r="AV740" s="247" t="str">
        <f t="shared" si="423"/>
        <v/>
      </c>
    </row>
    <row r="741" spans="1:48" ht="15" x14ac:dyDescent="0.2">
      <c r="A741" s="456" t="s">
        <v>3730</v>
      </c>
      <c r="B741" s="457"/>
      <c r="C741" s="423" t="s">
        <v>3731</v>
      </c>
      <c r="D741" s="1356"/>
      <c r="E741" s="1357"/>
      <c r="F741" s="1357"/>
      <c r="G741" s="1360"/>
      <c r="H741" s="1345"/>
      <c r="I741" s="459"/>
      <c r="J741" s="458"/>
      <c r="K741" s="458"/>
      <c r="L741" s="458"/>
      <c r="M741" s="460"/>
      <c r="N741" s="461"/>
      <c r="O741" s="1761"/>
      <c r="P741" s="1608"/>
      <c r="Q741" s="1596"/>
      <c r="R741" s="1596"/>
      <c r="S741" s="1753"/>
      <c r="T741" s="1595"/>
      <c r="U741" s="1744"/>
      <c r="V741" s="1754"/>
      <c r="W741" s="1754"/>
      <c r="X741" s="1754"/>
      <c r="Y741" s="1754"/>
      <c r="Z741" s="1762"/>
      <c r="AA741" s="1763"/>
      <c r="AB741" s="1748"/>
      <c r="AC741" s="1748"/>
      <c r="AD741" s="1595"/>
      <c r="AE741" s="1753"/>
      <c r="AF741" s="1595"/>
      <c r="AG741" s="1748"/>
      <c r="AH741" s="1749"/>
      <c r="AI741" s="1615"/>
      <c r="AJ741" s="1621"/>
      <c r="AK741" s="1618"/>
      <c r="AL741" s="1619"/>
      <c r="AM741" s="247" t="str">
        <f t="shared" si="418"/>
        <v/>
      </c>
      <c r="AN741" s="247" t="str">
        <f t="shared" si="419"/>
        <v/>
      </c>
      <c r="AO741" s="247" t="str">
        <f t="shared" si="420"/>
        <v/>
      </c>
      <c r="AP741" s="247" t="str">
        <f t="shared" si="421"/>
        <v/>
      </c>
      <c r="AU741" s="247" t="str">
        <f t="shared" si="422"/>
        <v/>
      </c>
      <c r="AV741" s="247" t="str">
        <f t="shared" si="423"/>
        <v/>
      </c>
    </row>
    <row r="742" spans="1:48" ht="36" x14ac:dyDescent="0.2">
      <c r="A742" s="450" t="s">
        <v>193</v>
      </c>
      <c r="B742" s="429" t="s">
        <v>2494</v>
      </c>
      <c r="C742" s="430" t="s">
        <v>2786</v>
      </c>
      <c r="D742" s="1349" t="s">
        <v>4638</v>
      </c>
      <c r="E742" s="1350" t="s">
        <v>3686</v>
      </c>
      <c r="F742" s="1350" t="s">
        <v>6682</v>
      </c>
      <c r="G742" s="1351" t="s">
        <v>6069</v>
      </c>
      <c r="H742" s="1342" t="s">
        <v>1327</v>
      </c>
      <c r="I742" s="432" t="s">
        <v>1545</v>
      </c>
      <c r="J742" s="431"/>
      <c r="K742" s="431"/>
      <c r="L742" s="431"/>
      <c r="M742" s="433"/>
      <c r="N742" s="434" t="s">
        <v>1299</v>
      </c>
      <c r="O742" s="1743" t="str">
        <f>VLOOKUP(B742,code_famille_scénario,2)&amp;VLOOKUP(C742,code_actif,2)&amp;", par "&amp;VLOOKUP(N742,code_acteur,2)</f>
        <v>Altération, par erreur de procédure, de configuration de services du réseau local, par un membre du personnel de maintenance</v>
      </c>
      <c r="P742" s="435">
        <v>1</v>
      </c>
      <c r="Q742" s="1595" t="s">
        <v>6403</v>
      </c>
      <c r="R742" s="1595" t="s">
        <v>4638</v>
      </c>
      <c r="S742" s="1595" t="str">
        <f>Classif!D22</f>
        <v/>
      </c>
      <c r="T742" s="1595">
        <f>VLOOKUP(H742&amp;"."&amp;I742,Tab_event,4)</f>
        <v>3</v>
      </c>
      <c r="U742" s="1744" t="str">
        <f>IF(AND(NOT(S742=""),NOT(T742="")),INDEX(base_g,5-S742,T742),"")</f>
        <v/>
      </c>
      <c r="V742" s="1771">
        <v>1</v>
      </c>
      <c r="W742" s="1771">
        <f>S06A02</f>
        <v>1</v>
      </c>
      <c r="X742" s="1771">
        <v>1</v>
      </c>
      <c r="Y742" s="1771">
        <v>1</v>
      </c>
      <c r="Z742" s="1758">
        <v>0</v>
      </c>
      <c r="AA742" s="1759"/>
      <c r="AB742" s="1748"/>
      <c r="AC742" s="1748"/>
      <c r="AD742" s="1595" t="str">
        <f t="shared" si="424"/>
        <v/>
      </c>
      <c r="AE742" s="1595">
        <f>IF(OR(Q742="",T742=""),"",IF(Q742="A",INDEX(base_p,4,W742+7*(T742-1)),IF(Q742="E",INDEX(base_p,15,W742+7*(T742-1)),INDEX(base_p,27-V742,W742+7*(T742-1)))))</f>
        <v>3</v>
      </c>
      <c r="AF742" s="1595" t="str">
        <f>IF(AT742=1,IF(IndG=1,U742,IF(AND(OR(NOT(AD742=""),NOT(AB742="")),OR(NOT(AE742=""),NOT(AC742="")),AT742=1),INDEX(base_g,5-IF(AB742="",AD742,AB742),IF(AC742="",AE742,AC742)),"")),0)</f>
        <v/>
      </c>
      <c r="AG742" s="1748"/>
      <c r="AH742" s="1749" t="str">
        <f t="shared" si="425"/>
        <v/>
      </c>
      <c r="AI742" s="1622"/>
      <c r="AJ742" s="1621" t="s">
        <v>4530</v>
      </c>
      <c r="AK742" s="1621"/>
      <c r="AL742" s="1619"/>
      <c r="AM742" s="247" t="str">
        <f t="shared" si="418"/>
        <v/>
      </c>
      <c r="AN742" s="247" t="str">
        <f t="shared" si="419"/>
        <v/>
      </c>
      <c r="AO742" s="247" t="str">
        <f t="shared" si="420"/>
        <v/>
      </c>
      <c r="AP742" s="247" t="str">
        <f t="shared" si="421"/>
        <v/>
      </c>
      <c r="AQ742" s="42">
        <f>VLOOKUP(LEFT(C742,3),Tab_classif_servIR,6)</f>
        <v>1</v>
      </c>
      <c r="AR742" s="42">
        <f>VLOOKUP(G742,select_vul_serv,2)</f>
        <v>1</v>
      </c>
      <c r="AS742" s="42">
        <f>VLOOKUP(H742&amp;"."&amp;I742,select_men,5)</f>
        <v>1</v>
      </c>
      <c r="AT742" s="42">
        <f>P742*AQ742*AR742*AS742</f>
        <v>1</v>
      </c>
      <c r="AU742" s="247" t="str">
        <f t="shared" si="422"/>
        <v/>
      </c>
      <c r="AV742" s="247" t="str">
        <f t="shared" si="423"/>
        <v/>
      </c>
    </row>
    <row r="743" spans="1:48" ht="36" x14ac:dyDescent="0.2">
      <c r="A743" s="450" t="s">
        <v>194</v>
      </c>
      <c r="B743" s="429" t="s">
        <v>2494</v>
      </c>
      <c r="C743" s="430" t="s">
        <v>2786</v>
      </c>
      <c r="D743" s="1349" t="s">
        <v>4638</v>
      </c>
      <c r="E743" s="1350" t="s">
        <v>3686</v>
      </c>
      <c r="F743" s="1350" t="s">
        <v>6682</v>
      </c>
      <c r="G743" s="1351" t="s">
        <v>6069</v>
      </c>
      <c r="H743" s="1342" t="s">
        <v>1327</v>
      </c>
      <c r="I743" s="432" t="s">
        <v>1545</v>
      </c>
      <c r="J743" s="431"/>
      <c r="K743" s="431"/>
      <c r="L743" s="431"/>
      <c r="M743" s="433"/>
      <c r="N743" s="434" t="s">
        <v>6403</v>
      </c>
      <c r="O743" s="1743" t="str">
        <f>VLOOKUP(B743,code_famille_scénario,2)&amp;VLOOKUP(C743,code_actif,2)&amp;", par "&amp;VLOOKUP(N743,code_acteur,2)</f>
        <v>Altération, par erreur de procédure, de configuration de services du réseau local, par un membre du personnel d'exploitation</v>
      </c>
      <c r="P743" s="435">
        <v>1</v>
      </c>
      <c r="Q743" s="1595" t="s">
        <v>6403</v>
      </c>
      <c r="R743" s="1595" t="s">
        <v>4638</v>
      </c>
      <c r="S743" s="1595" t="str">
        <f>Classif!D22</f>
        <v/>
      </c>
      <c r="T743" s="1595">
        <f>VLOOKUP(H743&amp;"."&amp;I743,Tab_event,4)</f>
        <v>3</v>
      </c>
      <c r="U743" s="1744" t="str">
        <f>IF(AND(NOT(S743=""),NOT(T743="")),INDEX(base_g,5-S743,T743),"")</f>
        <v/>
      </c>
      <c r="V743" s="1771">
        <v>1</v>
      </c>
      <c r="W743" s="1771">
        <f>S06B01</f>
        <v>1</v>
      </c>
      <c r="X743" s="1771">
        <v>1</v>
      </c>
      <c r="Y743" s="1771">
        <v>1</v>
      </c>
      <c r="Z743" s="1758">
        <v>0</v>
      </c>
      <c r="AA743" s="1759"/>
      <c r="AB743" s="1748"/>
      <c r="AC743" s="1748"/>
      <c r="AD743" s="1595" t="str">
        <f t="shared" si="424"/>
        <v/>
      </c>
      <c r="AE743" s="1595">
        <f>IF(OR(Q743="",T743=""),"",IF(Q743="A",INDEX(base_p,4,W743+7*(T743-1)),IF(Q743="E",INDEX(base_p,15,W743+7*(T743-1)),INDEX(base_p,27-V743,W743+7*(T743-1)))))</f>
        <v>3</v>
      </c>
      <c r="AF743" s="1595" t="str">
        <f>IF(AT743=1,IF(IndG=1,U743,IF(AND(OR(NOT(AD743=""),NOT(AB743="")),OR(NOT(AE743=""),NOT(AC743="")),AT743=1),INDEX(base_g,5-IF(AB743="",AD743,AB743),IF(AC743="",AE743,AC743)),"")),0)</f>
        <v/>
      </c>
      <c r="AG743" s="1748"/>
      <c r="AH743" s="1749" t="str">
        <f t="shared" si="425"/>
        <v/>
      </c>
      <c r="AI743" s="1615"/>
      <c r="AJ743" s="1616" t="s">
        <v>3643</v>
      </c>
      <c r="AK743" s="1621"/>
      <c r="AL743" s="1619"/>
      <c r="AM743" s="247" t="str">
        <f t="shared" si="418"/>
        <v/>
      </c>
      <c r="AN743" s="247" t="str">
        <f t="shared" si="419"/>
        <v/>
      </c>
      <c r="AO743" s="247" t="str">
        <f t="shared" si="420"/>
        <v/>
      </c>
      <c r="AP743" s="247" t="str">
        <f t="shared" si="421"/>
        <v/>
      </c>
      <c r="AQ743" s="42">
        <f>VLOOKUP(LEFT(C743,3),Tab_classif_servIR,6)</f>
        <v>1</v>
      </c>
      <c r="AR743" s="42">
        <f>VLOOKUP(G743,select_vul_serv,2)</f>
        <v>1</v>
      </c>
      <c r="AS743" s="42">
        <f>VLOOKUP(H743&amp;"."&amp;I743,select_men,5)</f>
        <v>1</v>
      </c>
      <c r="AT743" s="42">
        <f>P743*AQ743*AR743*AS743</f>
        <v>1</v>
      </c>
      <c r="AU743" s="247" t="str">
        <f t="shared" si="422"/>
        <v/>
      </c>
      <c r="AV743" s="247" t="str">
        <f t="shared" si="423"/>
        <v/>
      </c>
    </row>
    <row r="744" spans="1:48" ht="36" x14ac:dyDescent="0.2">
      <c r="A744" s="450" t="s">
        <v>195</v>
      </c>
      <c r="B744" s="429" t="s">
        <v>6276</v>
      </c>
      <c r="C744" s="430" t="s">
        <v>2786</v>
      </c>
      <c r="D744" s="1349" t="s">
        <v>4638</v>
      </c>
      <c r="E744" s="1350" t="s">
        <v>3686</v>
      </c>
      <c r="F744" s="1350" t="s">
        <v>6682</v>
      </c>
      <c r="G744" s="1351" t="s">
        <v>6069</v>
      </c>
      <c r="H744" s="1342" t="s">
        <v>1328</v>
      </c>
      <c r="I744" s="432" t="s">
        <v>1548</v>
      </c>
      <c r="J744" s="431"/>
      <c r="K744" s="431"/>
      <c r="L744" s="431"/>
      <c r="M744" s="433"/>
      <c r="N744" s="434" t="s">
        <v>1299</v>
      </c>
      <c r="O744" s="1743" t="str">
        <f>VLOOKUP(B744,code_famille_scénario,2)&amp;VLOOKUP(C744,code_actif,2)&amp;", par "&amp;VLOOKUP(N744,code_acteur,2)</f>
        <v>Altération malveillante (non détectée) de configurations (code, paramétrage, etc.) de services du réseau local, par un membre du personnel de maintenance</v>
      </c>
      <c r="P744" s="435">
        <v>1</v>
      </c>
      <c r="Q744" s="1595" t="s">
        <v>1299</v>
      </c>
      <c r="R744" s="1595" t="s">
        <v>4638</v>
      </c>
      <c r="S744" s="1595" t="str">
        <f>Classif!D22</f>
        <v/>
      </c>
      <c r="T744" s="1595">
        <f>VLOOKUP(H744&amp;"."&amp;I744,Tab_event,4)</f>
        <v>3</v>
      </c>
      <c r="U744" s="1744" t="str">
        <f>IF(AND(NOT(S744=""),NOT(T744="")),INDEX(base_g,5-S744,T744),"")</f>
        <v/>
      </c>
      <c r="V744" s="1771">
        <f>S06A03</f>
        <v>1</v>
      </c>
      <c r="W744" s="1771">
        <f>S06B01</f>
        <v>1</v>
      </c>
      <c r="X744" s="1771">
        <v>1</v>
      </c>
      <c r="Y744" s="1771">
        <v>1</v>
      </c>
      <c r="Z744" s="1758">
        <v>0</v>
      </c>
      <c r="AA744" s="1759"/>
      <c r="AB744" s="1748"/>
      <c r="AC744" s="1748"/>
      <c r="AD744" s="1595" t="str">
        <f t="shared" si="424"/>
        <v/>
      </c>
      <c r="AE744" s="1595">
        <f>IF(OR(Q744="",T744=""),"",IF(Q744="A",INDEX(base_p,4,W744+7*(T744-1)),IF(Q744="E",INDEX(base_p,15,W744+7*(T744-1)),INDEX(base_p,27-V744,W744+7*(T744-1)))))</f>
        <v>3</v>
      </c>
      <c r="AF744" s="1595" t="str">
        <f>IF(AT744=1,IF(IndG=1,U744,IF(AND(OR(NOT(AD744=""),NOT(AB744="")),OR(NOT(AE744=""),NOT(AC744="")),AT744=1),INDEX(base_g,5-IF(AB744="",AD744,AB744),IF(AC744="",AE744,AC744)),"")),0)</f>
        <v/>
      </c>
      <c r="AG744" s="1748"/>
      <c r="AH744" s="1749" t="str">
        <f t="shared" si="425"/>
        <v/>
      </c>
      <c r="AI744" s="1622" t="s">
        <v>4511</v>
      </c>
      <c r="AJ744" s="1616" t="s">
        <v>3643</v>
      </c>
      <c r="AK744" s="1616"/>
      <c r="AL744" s="1619"/>
      <c r="AM744" s="247" t="str">
        <f t="shared" si="418"/>
        <v/>
      </c>
      <c r="AN744" s="247" t="str">
        <f t="shared" si="419"/>
        <v/>
      </c>
      <c r="AO744" s="247" t="str">
        <f t="shared" si="420"/>
        <v/>
      </c>
      <c r="AP744" s="247" t="str">
        <f t="shared" si="421"/>
        <v/>
      </c>
      <c r="AQ744" s="42">
        <f>VLOOKUP(LEFT(C744,3),Tab_classif_servIR,6)</f>
        <v>1</v>
      </c>
      <c r="AR744" s="42">
        <f>VLOOKUP(G744,select_vul_serv,2)</f>
        <v>1</v>
      </c>
      <c r="AS744" s="42">
        <f>VLOOKUP(H744&amp;"."&amp;I744,select_men,5)</f>
        <v>1</v>
      </c>
      <c r="AT744" s="42">
        <f>P744*AQ744*AR744*AS744</f>
        <v>1</v>
      </c>
      <c r="AU744" s="247" t="str">
        <f t="shared" si="422"/>
        <v/>
      </c>
      <c r="AV744" s="247" t="str">
        <f t="shared" si="423"/>
        <v/>
      </c>
    </row>
    <row r="745" spans="1:48" ht="36" x14ac:dyDescent="0.2">
      <c r="A745" s="450" t="s">
        <v>196</v>
      </c>
      <c r="B745" s="429" t="s">
        <v>6276</v>
      </c>
      <c r="C745" s="430" t="s">
        <v>2786</v>
      </c>
      <c r="D745" s="1349" t="s">
        <v>4638</v>
      </c>
      <c r="E745" s="1350" t="s">
        <v>3686</v>
      </c>
      <c r="F745" s="1350" t="s">
        <v>6682</v>
      </c>
      <c r="G745" s="1351" t="s">
        <v>6069</v>
      </c>
      <c r="H745" s="1342" t="s">
        <v>1328</v>
      </c>
      <c r="I745" s="432" t="s">
        <v>1548</v>
      </c>
      <c r="J745" s="431"/>
      <c r="K745" s="431"/>
      <c r="L745" s="431"/>
      <c r="M745" s="433"/>
      <c r="N745" s="434" t="s">
        <v>6403</v>
      </c>
      <c r="O745" s="1743" t="str">
        <f>VLOOKUP(B745,code_famille_scénario,2)&amp;VLOOKUP(C745,code_actif,2)&amp;", par "&amp;VLOOKUP(N745,code_acteur,2)</f>
        <v>Altération malveillante (non détectée) de configurations (code, paramétrage, etc.) de services du réseau local, par un membre du personnel d'exploitation</v>
      </c>
      <c r="P745" s="435">
        <v>1</v>
      </c>
      <c r="Q745" s="1595" t="s">
        <v>1299</v>
      </c>
      <c r="R745" s="1595" t="s">
        <v>4638</v>
      </c>
      <c r="S745" s="1595" t="str">
        <f>Classif!D22</f>
        <v/>
      </c>
      <c r="T745" s="1595">
        <f>VLOOKUP(H745&amp;"."&amp;I745,Tab_event,4)</f>
        <v>3</v>
      </c>
      <c r="U745" s="1744" t="str">
        <f>IF(AND(NOT(S745=""),NOT(T745="")),INDEX(base_g,5-S745,T745),"")</f>
        <v/>
      </c>
      <c r="V745" s="1771">
        <f>MIN(S06C02,S06C03)</f>
        <v>1</v>
      </c>
      <c r="W745" s="1771">
        <v>1</v>
      </c>
      <c r="X745" s="1771">
        <v>1</v>
      </c>
      <c r="Y745" s="1771">
        <v>1</v>
      </c>
      <c r="Z745" s="1758">
        <v>0</v>
      </c>
      <c r="AA745" s="1759"/>
      <c r="AB745" s="1748"/>
      <c r="AC745" s="1748"/>
      <c r="AD745" s="1595" t="str">
        <f t="shared" si="424"/>
        <v/>
      </c>
      <c r="AE745" s="1595">
        <f>IF(OR(Q745="",T745=""),"",IF(Q745="A",INDEX(base_p,4,W745+7*(T745-1)),IF(Q745="E",INDEX(base_p,15,W745+7*(T745-1)),INDEX(base_p,27-V745,W745+7*(T745-1)))))</f>
        <v>3</v>
      </c>
      <c r="AF745" s="1595" t="str">
        <f>IF(AT745=1,IF(IndG=1,U745,IF(AND(OR(NOT(AD745=""),NOT(AB745="")),OR(NOT(AE745=""),NOT(AC745="")),AT745=1),INDEX(base_g,5-IF(AB745="",AD745,AB745),IF(AC745="",AE745,AC745)),"")),0)</f>
        <v/>
      </c>
      <c r="AG745" s="1748"/>
      <c r="AH745" s="1749" t="str">
        <f t="shared" si="425"/>
        <v/>
      </c>
      <c r="AI745" s="1622" t="s">
        <v>5000</v>
      </c>
      <c r="AJ745" s="1616"/>
      <c r="AK745" s="1616"/>
      <c r="AL745" s="1619"/>
      <c r="AM745" s="247" t="str">
        <f t="shared" si="418"/>
        <v/>
      </c>
      <c r="AN745" s="247" t="str">
        <f t="shared" si="419"/>
        <v/>
      </c>
      <c r="AO745" s="247" t="str">
        <f t="shared" si="420"/>
        <v/>
      </c>
      <c r="AP745" s="247" t="str">
        <f t="shared" si="421"/>
        <v/>
      </c>
      <c r="AQ745" s="42">
        <f>VLOOKUP(LEFT(C745,3),Tab_classif_servIR,6)</f>
        <v>1</v>
      </c>
      <c r="AR745" s="42">
        <f>VLOOKUP(G745,select_vul_serv,2)</f>
        <v>1</v>
      </c>
      <c r="AS745" s="42">
        <f>VLOOKUP(H745&amp;"."&amp;I745,select_men,5)</f>
        <v>1</v>
      </c>
      <c r="AT745" s="42">
        <f>P745*AQ745*AR745*AS745</f>
        <v>1</v>
      </c>
      <c r="AU745" s="247" t="str">
        <f t="shared" si="422"/>
        <v/>
      </c>
      <c r="AV745" s="247" t="str">
        <f t="shared" si="423"/>
        <v/>
      </c>
    </row>
    <row r="746" spans="1:48" ht="36" x14ac:dyDescent="0.2">
      <c r="A746" s="450" t="s">
        <v>197</v>
      </c>
      <c r="B746" s="429" t="s">
        <v>6276</v>
      </c>
      <c r="C746" s="430" t="s">
        <v>2786</v>
      </c>
      <c r="D746" s="1349" t="s">
        <v>4638</v>
      </c>
      <c r="E746" s="1350" t="s">
        <v>3686</v>
      </c>
      <c r="F746" s="1350" t="s">
        <v>6682</v>
      </c>
      <c r="G746" s="1351" t="s">
        <v>6069</v>
      </c>
      <c r="H746" s="1342" t="s">
        <v>1328</v>
      </c>
      <c r="I746" s="432" t="s">
        <v>1548</v>
      </c>
      <c r="J746" s="431"/>
      <c r="K746" s="431"/>
      <c r="L746" s="431"/>
      <c r="M746" s="433"/>
      <c r="N746" s="434" t="s">
        <v>1303</v>
      </c>
      <c r="O746" s="1743" t="str">
        <f>VLOOKUP(B746,code_famille_scénario,2)&amp;VLOOKUP(C746,code_actif,2)&amp;", par "&amp;VLOOKUP(N746,code_acteur,2)</f>
        <v>Altération malveillante (non détectée) de configurations (code, paramétrage, etc.) de services du réseau local, par un utilisateur non autorisé</v>
      </c>
      <c r="P746" s="435">
        <v>1</v>
      </c>
      <c r="Q746" s="1595" t="s">
        <v>1299</v>
      </c>
      <c r="R746" s="1595" t="s">
        <v>4638</v>
      </c>
      <c r="S746" s="1595" t="str">
        <f>Classif!D22</f>
        <v/>
      </c>
      <c r="T746" s="1595">
        <f>VLOOKUP(H746&amp;"."&amp;I746,Tab_event,4)</f>
        <v>3</v>
      </c>
      <c r="U746" s="1744" t="str">
        <f>IF(AND(NOT(S746=""),NOT(T746="")),INDEX(base_g,5-S746,T746),"")</f>
        <v/>
      </c>
      <c r="V746" s="1771">
        <v>1</v>
      </c>
      <c r="W746" s="1771">
        <f>MIN(S06C01,S06C02)</f>
        <v>1</v>
      </c>
      <c r="X746" s="1771">
        <v>1</v>
      </c>
      <c r="Y746" s="1771">
        <v>1</v>
      </c>
      <c r="Z746" s="1758">
        <v>0</v>
      </c>
      <c r="AA746" s="1759"/>
      <c r="AB746" s="1748"/>
      <c r="AC746" s="1748"/>
      <c r="AD746" s="1595" t="str">
        <f t="shared" si="424"/>
        <v/>
      </c>
      <c r="AE746" s="1595">
        <f>IF(OR(Q746="",T746=""),"",IF(Q746="A",INDEX(base_p,4,W746+7*(T746-1)),IF(Q746="E",INDEX(base_p,15,W746+7*(T746-1)),INDEX(base_p,27-V746,W746+7*(T746-1)))))</f>
        <v>3</v>
      </c>
      <c r="AF746" s="1595" t="str">
        <f>IF(AT746=1,IF(IndG=1,U746,IF(AND(OR(NOT(AD746=""),NOT(AB746="")),OR(NOT(AE746=""),NOT(AC746="")),AT746=1),INDEX(base_g,5-IF(AB746="",AD746,AB746),IF(AC746="",AE746,AC746)),"")),0)</f>
        <v/>
      </c>
      <c r="AG746" s="1748"/>
      <c r="AH746" s="1749" t="str">
        <f t="shared" si="425"/>
        <v/>
      </c>
      <c r="AI746" s="1620"/>
      <c r="AJ746" s="1621" t="s">
        <v>3687</v>
      </c>
      <c r="AK746" s="1616"/>
      <c r="AL746" s="1619"/>
      <c r="AM746" s="247" t="str">
        <f t="shared" si="418"/>
        <v/>
      </c>
      <c r="AN746" s="247" t="str">
        <f t="shared" si="419"/>
        <v/>
      </c>
      <c r="AO746" s="247" t="str">
        <f t="shared" si="420"/>
        <v/>
      </c>
      <c r="AP746" s="247" t="str">
        <f t="shared" si="421"/>
        <v/>
      </c>
      <c r="AQ746" s="42">
        <f>VLOOKUP(LEFT(C746,3),Tab_classif_servIR,6)</f>
        <v>1</v>
      </c>
      <c r="AR746" s="42">
        <f>VLOOKUP(G746,select_vul_serv,2)</f>
        <v>1</v>
      </c>
      <c r="AS746" s="42">
        <f>VLOOKUP(H746&amp;"."&amp;I746,select_men,5)</f>
        <v>1</v>
      </c>
      <c r="AT746" s="42">
        <f>P746*AQ746*AR746*AS746</f>
        <v>1</v>
      </c>
      <c r="AU746" s="247" t="str">
        <f t="shared" si="422"/>
        <v/>
      </c>
      <c r="AV746" s="247" t="str">
        <f t="shared" si="423"/>
        <v/>
      </c>
    </row>
    <row r="747" spans="1:48" ht="15" x14ac:dyDescent="0.2">
      <c r="A747" s="456" t="s">
        <v>4532</v>
      </c>
      <c r="B747" s="457"/>
      <c r="C747" s="423" t="s">
        <v>3732</v>
      </c>
      <c r="D747" s="1356"/>
      <c r="E747" s="1357"/>
      <c r="F747" s="1357"/>
      <c r="G747" s="1360"/>
      <c r="H747" s="1345"/>
      <c r="I747" s="459"/>
      <c r="J747" s="458"/>
      <c r="K747" s="458"/>
      <c r="L747" s="458"/>
      <c r="M747" s="460"/>
      <c r="N747" s="461"/>
      <c r="O747" s="1761"/>
      <c r="P747" s="1608"/>
      <c r="Q747" s="1596"/>
      <c r="R747" s="1596"/>
      <c r="S747" s="1753"/>
      <c r="T747" s="1595"/>
      <c r="U747" s="1744"/>
      <c r="V747" s="1754"/>
      <c r="W747" s="1754"/>
      <c r="X747" s="1754"/>
      <c r="Y747" s="1754"/>
      <c r="Z747" s="1762"/>
      <c r="AA747" s="1763"/>
      <c r="AB747" s="1748"/>
      <c r="AC747" s="1748"/>
      <c r="AD747" s="1595"/>
      <c r="AE747" s="1753"/>
      <c r="AF747" s="1595"/>
      <c r="AG747" s="1748"/>
      <c r="AH747" s="1749"/>
      <c r="AI747" s="1627"/>
      <c r="AJ747" s="1628"/>
      <c r="AK747" s="1628"/>
      <c r="AL747" s="1629"/>
      <c r="AM747" s="247" t="str">
        <f t="shared" si="418"/>
        <v/>
      </c>
      <c r="AN747" s="247" t="str">
        <f t="shared" si="419"/>
        <v/>
      </c>
      <c r="AO747" s="247" t="str">
        <f t="shared" si="420"/>
        <v/>
      </c>
      <c r="AP747" s="247" t="str">
        <f t="shared" si="421"/>
        <v/>
      </c>
      <c r="AU747" s="247" t="str">
        <f t="shared" si="422"/>
        <v/>
      </c>
      <c r="AV747" s="247" t="str">
        <f t="shared" si="423"/>
        <v/>
      </c>
    </row>
    <row r="748" spans="1:48" ht="24" x14ac:dyDescent="0.2">
      <c r="A748" s="450" t="s">
        <v>198</v>
      </c>
      <c r="B748" s="429" t="s">
        <v>2593</v>
      </c>
      <c r="C748" s="430" t="s">
        <v>2787</v>
      </c>
      <c r="D748" s="1349" t="s">
        <v>4638</v>
      </c>
      <c r="E748" s="1350" t="s">
        <v>7450</v>
      </c>
      <c r="F748" s="1350" t="s">
        <v>6682</v>
      </c>
      <c r="G748" s="1351" t="s">
        <v>6069</v>
      </c>
      <c r="H748" s="1342" t="s">
        <v>1327</v>
      </c>
      <c r="I748" s="432" t="s">
        <v>1545</v>
      </c>
      <c r="J748" s="431"/>
      <c r="K748" s="431"/>
      <c r="L748" s="431"/>
      <c r="M748" s="433"/>
      <c r="N748" s="434" t="s">
        <v>1873</v>
      </c>
      <c r="O748" s="1743" t="str">
        <f t="shared" ref="O748:O754" si="435">VLOOKUP(B748,code_famille_scénario,2)&amp;VLOOKUP(C748,code_actif,2)&amp;", par "&amp;VLOOKUP(N748,code_acteur,2)</f>
        <v>Altération accidentelle (non détectée) de programmes de services applicatifs, par un membre du personnel de développement</v>
      </c>
      <c r="P748" s="435">
        <v>1</v>
      </c>
      <c r="Q748" s="1595" t="s">
        <v>6403</v>
      </c>
      <c r="R748" s="1595" t="s">
        <v>4638</v>
      </c>
      <c r="S748" s="1595" t="str">
        <f>Classif!D23</f>
        <v/>
      </c>
      <c r="T748" s="1595">
        <f t="shared" ref="T748:T765" si="436">VLOOKUP(H748&amp;"."&amp;I748,Tab_event,4)</f>
        <v>3</v>
      </c>
      <c r="U748" s="1744" t="str">
        <f t="shared" ref="U748:U765" si="437">IF(AND(NOT(S748=""),NOT(T748="")),INDEX(base_g,5-S748,T748),"")</f>
        <v/>
      </c>
      <c r="V748" s="1771">
        <v>1</v>
      </c>
      <c r="W748" s="1771">
        <f>MAX(S08A03,S08B03,S09B05,S10B01)</f>
        <v>1</v>
      </c>
      <c r="X748" s="1771">
        <f>S09B05</f>
        <v>1</v>
      </c>
      <c r="Y748" s="1771">
        <v>1</v>
      </c>
      <c r="Z748" s="1758">
        <v>1</v>
      </c>
      <c r="AA748" s="1759"/>
      <c r="AB748" s="1748"/>
      <c r="AC748" s="1748"/>
      <c r="AD748" s="1595" t="str">
        <f t="shared" si="424"/>
        <v/>
      </c>
      <c r="AE748" s="1595">
        <f t="shared" ref="AE748:AE765" si="438">IF(OR(Q748="",T748=""),"",IF(Q748="A",INDEX(base_p,4,W748+7*(T748-1)),IF(Q748="E",INDEX(base_p,15,W748+7*(T748-1)),INDEX(base_p,27-V748,W748+7*(T748-1)))))</f>
        <v>3</v>
      </c>
      <c r="AF748" s="1595" t="str">
        <f t="shared" ref="AF748:AF765" si="439">IF(AT748=1,IF(IndG=1,U748,IF(AND(OR(NOT(AD748=""),NOT(AB748="")),OR(NOT(AE748=""),NOT(AC748="")),AT748=1),INDEX(base_g,5-IF(AB748="",AD748,AB748),IF(AC748="",AE748,AC748)),"")),0)</f>
        <v/>
      </c>
      <c r="AG748" s="1748"/>
      <c r="AH748" s="1749" t="str">
        <f t="shared" si="425"/>
        <v/>
      </c>
      <c r="AI748" s="1622"/>
      <c r="AJ748" s="1621" t="s">
        <v>5006</v>
      </c>
      <c r="AK748" s="1621" t="s">
        <v>1957</v>
      </c>
      <c r="AL748" s="1619"/>
      <c r="AM748" s="247" t="str">
        <f t="shared" si="418"/>
        <v/>
      </c>
      <c r="AN748" s="247" t="str">
        <f t="shared" si="419"/>
        <v/>
      </c>
      <c r="AO748" s="247" t="str">
        <f t="shared" si="420"/>
        <v/>
      </c>
      <c r="AP748" s="247" t="str">
        <f t="shared" si="421"/>
        <v/>
      </c>
      <c r="AQ748" s="42">
        <f t="shared" ref="AQ748:AQ765" si="440">VLOOKUP(LEFT(C748,3),Tab_classif_servIR,6)</f>
        <v>1</v>
      </c>
      <c r="AR748" s="42">
        <f t="shared" ref="AR748:AR765" si="441">VLOOKUP(G748,select_vul_serv,2)</f>
        <v>1</v>
      </c>
      <c r="AS748" s="42">
        <f t="shared" ref="AS748:AS765" si="442">VLOOKUP(H748&amp;"."&amp;I748,select_men,5)</f>
        <v>1</v>
      </c>
      <c r="AT748" s="42">
        <f t="shared" ref="AT748:AT765" si="443">P748*AQ748*AR748*AS748</f>
        <v>1</v>
      </c>
      <c r="AU748" s="247" t="str">
        <f t="shared" si="422"/>
        <v/>
      </c>
      <c r="AV748" s="247" t="str">
        <f t="shared" si="423"/>
        <v/>
      </c>
    </row>
    <row r="749" spans="1:48" ht="24" x14ac:dyDescent="0.2">
      <c r="A749" s="450" t="s">
        <v>199</v>
      </c>
      <c r="B749" s="429" t="s">
        <v>2593</v>
      </c>
      <c r="C749" s="430" t="s">
        <v>2787</v>
      </c>
      <c r="D749" s="1349" t="s">
        <v>4638</v>
      </c>
      <c r="E749" s="1350" t="s">
        <v>7450</v>
      </c>
      <c r="F749" s="1350" t="s">
        <v>6682</v>
      </c>
      <c r="G749" s="1351" t="s">
        <v>6069</v>
      </c>
      <c r="H749" s="1342" t="s">
        <v>1327</v>
      </c>
      <c r="I749" s="432" t="s">
        <v>1545</v>
      </c>
      <c r="J749" s="431"/>
      <c r="K749" s="431"/>
      <c r="L749" s="431"/>
      <c r="M749" s="433"/>
      <c r="N749" s="434" t="s">
        <v>1299</v>
      </c>
      <c r="O749" s="1743" t="str">
        <f t="shared" si="435"/>
        <v>Altération accidentelle (non détectée) de programmes de services applicatifs, par un membre du personnel de maintenance</v>
      </c>
      <c r="P749" s="435">
        <v>1</v>
      </c>
      <c r="Q749" s="1595" t="s">
        <v>6403</v>
      </c>
      <c r="R749" s="1595" t="s">
        <v>4638</v>
      </c>
      <c r="S749" s="1595" t="str">
        <f>Classif!D23</f>
        <v/>
      </c>
      <c r="T749" s="1595">
        <f t="shared" si="436"/>
        <v>3</v>
      </c>
      <c r="U749" s="1744" t="str">
        <f t="shared" si="437"/>
        <v/>
      </c>
      <c r="V749" s="1771">
        <v>1</v>
      </c>
      <c r="W749" s="1771">
        <f>MAX(S08A03,S08B03,S09B05,S10B05)</f>
        <v>1</v>
      </c>
      <c r="X749" s="1771">
        <f>S09B05</f>
        <v>1</v>
      </c>
      <c r="Y749" s="1771">
        <v>1</v>
      </c>
      <c r="Z749" s="1758">
        <v>1</v>
      </c>
      <c r="AA749" s="1759"/>
      <c r="AB749" s="1748"/>
      <c r="AC749" s="1748"/>
      <c r="AD749" s="1595" t="str">
        <f t="shared" si="424"/>
        <v/>
      </c>
      <c r="AE749" s="1595">
        <f t="shared" si="438"/>
        <v>3</v>
      </c>
      <c r="AF749" s="1595" t="str">
        <f t="shared" si="439"/>
        <v/>
      </c>
      <c r="AG749" s="1748"/>
      <c r="AH749" s="1749" t="str">
        <f t="shared" si="425"/>
        <v/>
      </c>
      <c r="AI749" s="1622"/>
      <c r="AJ749" s="1621" t="s">
        <v>5007</v>
      </c>
      <c r="AK749" s="1621" t="s">
        <v>1957</v>
      </c>
      <c r="AL749" s="1619"/>
      <c r="AM749" s="247" t="str">
        <f t="shared" si="418"/>
        <v/>
      </c>
      <c r="AN749" s="247" t="str">
        <f t="shared" si="419"/>
        <v/>
      </c>
      <c r="AO749" s="247" t="str">
        <f t="shared" si="420"/>
        <v/>
      </c>
      <c r="AP749" s="247" t="str">
        <f t="shared" si="421"/>
        <v/>
      </c>
      <c r="AQ749" s="42">
        <f t="shared" si="440"/>
        <v>1</v>
      </c>
      <c r="AR749" s="42">
        <f t="shared" si="441"/>
        <v>1</v>
      </c>
      <c r="AS749" s="42">
        <f t="shared" si="442"/>
        <v>1</v>
      </c>
      <c r="AT749" s="42">
        <f t="shared" si="443"/>
        <v>1</v>
      </c>
      <c r="AU749" s="247" t="str">
        <f t="shared" si="422"/>
        <v/>
      </c>
      <c r="AV749" s="247" t="str">
        <f t="shared" si="423"/>
        <v/>
      </c>
    </row>
    <row r="750" spans="1:48" ht="24" x14ac:dyDescent="0.2">
      <c r="A750" s="450" t="s">
        <v>200</v>
      </c>
      <c r="B750" s="429" t="s">
        <v>2593</v>
      </c>
      <c r="C750" s="430" t="s">
        <v>2787</v>
      </c>
      <c r="D750" s="1349" t="s">
        <v>4638</v>
      </c>
      <c r="E750" s="1350" t="s">
        <v>7450</v>
      </c>
      <c r="F750" s="1350" t="s">
        <v>6682</v>
      </c>
      <c r="G750" s="1351" t="s">
        <v>6069</v>
      </c>
      <c r="H750" s="1342" t="s">
        <v>1327</v>
      </c>
      <c r="I750" s="432" t="s">
        <v>1545</v>
      </c>
      <c r="J750" s="431"/>
      <c r="K750" s="431"/>
      <c r="L750" s="431"/>
      <c r="M750" s="433"/>
      <c r="N750" s="434" t="s">
        <v>6403</v>
      </c>
      <c r="O750" s="1743" t="str">
        <f t="shared" si="435"/>
        <v>Altération accidentelle (non détectée) de programmes de services applicatifs, par un membre du personnel d'exploitation</v>
      </c>
      <c r="P750" s="435">
        <v>1</v>
      </c>
      <c r="Q750" s="1595" t="s">
        <v>6403</v>
      </c>
      <c r="R750" s="1595" t="s">
        <v>4638</v>
      </c>
      <c r="S750" s="1595" t="str">
        <f>Classif!D23</f>
        <v/>
      </c>
      <c r="T750" s="1595">
        <f t="shared" si="436"/>
        <v>3</v>
      </c>
      <c r="U750" s="1744" t="str">
        <f t="shared" si="437"/>
        <v/>
      </c>
      <c r="V750" s="1771">
        <v>1</v>
      </c>
      <c r="W750" s="1771">
        <f>MAX(S08B02,S08B03,S09B05)</f>
        <v>1</v>
      </c>
      <c r="X750" s="1771">
        <f>S09B05</f>
        <v>1</v>
      </c>
      <c r="Y750" s="1771">
        <v>1</v>
      </c>
      <c r="Z750" s="1758">
        <v>1</v>
      </c>
      <c r="AA750" s="1759"/>
      <c r="AB750" s="1748"/>
      <c r="AC750" s="1748"/>
      <c r="AD750" s="1595" t="str">
        <f t="shared" si="424"/>
        <v/>
      </c>
      <c r="AE750" s="1595">
        <f t="shared" si="438"/>
        <v>3</v>
      </c>
      <c r="AF750" s="1595" t="str">
        <f t="shared" si="439"/>
        <v/>
      </c>
      <c r="AG750" s="1748"/>
      <c r="AH750" s="1749" t="str">
        <f t="shared" si="425"/>
        <v/>
      </c>
      <c r="AI750" s="1622"/>
      <c r="AJ750" s="1616" t="s">
        <v>5472</v>
      </c>
      <c r="AK750" s="1621" t="s">
        <v>1957</v>
      </c>
      <c r="AL750" s="1619"/>
      <c r="AM750" s="247" t="str">
        <f t="shared" si="418"/>
        <v/>
      </c>
      <c r="AN750" s="247" t="str">
        <f t="shared" si="419"/>
        <v/>
      </c>
      <c r="AO750" s="247" t="str">
        <f t="shared" si="420"/>
        <v/>
      </c>
      <c r="AP750" s="247" t="str">
        <f t="shared" si="421"/>
        <v/>
      </c>
      <c r="AQ750" s="42">
        <f t="shared" si="440"/>
        <v>1</v>
      </c>
      <c r="AR750" s="42">
        <f t="shared" si="441"/>
        <v>1</v>
      </c>
      <c r="AS750" s="42">
        <f t="shared" si="442"/>
        <v>1</v>
      </c>
      <c r="AT750" s="42">
        <f t="shared" si="443"/>
        <v>1</v>
      </c>
      <c r="AU750" s="247" t="str">
        <f t="shared" si="422"/>
        <v/>
      </c>
      <c r="AV750" s="247" t="str">
        <f t="shared" si="423"/>
        <v/>
      </c>
    </row>
    <row r="751" spans="1:48" ht="24" x14ac:dyDescent="0.2">
      <c r="A751" s="450" t="s">
        <v>201</v>
      </c>
      <c r="B751" s="429" t="s">
        <v>2596</v>
      </c>
      <c r="C751" s="430" t="s">
        <v>2787</v>
      </c>
      <c r="D751" s="1349" t="s">
        <v>4638</v>
      </c>
      <c r="E751" s="1350" t="s">
        <v>7450</v>
      </c>
      <c r="F751" s="1350" t="s">
        <v>6682</v>
      </c>
      <c r="G751" s="1351" t="s">
        <v>6069</v>
      </c>
      <c r="H751" s="1342" t="s">
        <v>1328</v>
      </c>
      <c r="I751" s="432" t="s">
        <v>1548</v>
      </c>
      <c r="J751" s="431"/>
      <c r="K751" s="431"/>
      <c r="L751" s="431"/>
      <c r="M751" s="433"/>
      <c r="N751" s="434" t="s">
        <v>1873</v>
      </c>
      <c r="O751" s="1743" t="str">
        <f t="shared" si="435"/>
        <v>Altération malveillante (non détectée) de programmes de services applicatifs, par un membre du personnel de développement</v>
      </c>
      <c r="P751" s="435">
        <v>1</v>
      </c>
      <c r="Q751" s="1595" t="s">
        <v>1299</v>
      </c>
      <c r="R751" s="1595" t="s">
        <v>4638</v>
      </c>
      <c r="S751" s="1595" t="str">
        <f>Classif!D23</f>
        <v/>
      </c>
      <c r="T751" s="1595">
        <f t="shared" si="436"/>
        <v>3</v>
      </c>
      <c r="U751" s="1744" t="str">
        <f t="shared" si="437"/>
        <v/>
      </c>
      <c r="V751" s="1771">
        <f>S10B01</f>
        <v>1</v>
      </c>
      <c r="W751" s="1771">
        <f>S10B01</f>
        <v>1</v>
      </c>
      <c r="X751" s="1771">
        <v>1</v>
      </c>
      <c r="Y751" s="1771">
        <v>1</v>
      </c>
      <c r="Z751" s="1758">
        <v>1</v>
      </c>
      <c r="AA751" s="1759"/>
      <c r="AB751" s="1748"/>
      <c r="AC751" s="1748"/>
      <c r="AD751" s="1595" t="str">
        <f t="shared" si="424"/>
        <v/>
      </c>
      <c r="AE751" s="1595">
        <f t="shared" si="438"/>
        <v>3</v>
      </c>
      <c r="AF751" s="1595" t="str">
        <f t="shared" si="439"/>
        <v/>
      </c>
      <c r="AG751" s="1748"/>
      <c r="AH751" s="1749" t="str">
        <f t="shared" si="425"/>
        <v/>
      </c>
      <c r="AI751" s="1622" t="s">
        <v>3217</v>
      </c>
      <c r="AJ751" s="1621" t="s">
        <v>3217</v>
      </c>
      <c r="AK751" s="1616"/>
      <c r="AL751" s="1619"/>
      <c r="AM751" s="247" t="str">
        <f t="shared" si="418"/>
        <v/>
      </c>
      <c r="AN751" s="247" t="str">
        <f t="shared" si="419"/>
        <v/>
      </c>
      <c r="AO751" s="247" t="str">
        <f t="shared" si="420"/>
        <v/>
      </c>
      <c r="AP751" s="247" t="str">
        <f t="shared" si="421"/>
        <v/>
      </c>
      <c r="AQ751" s="42">
        <f t="shared" si="440"/>
        <v>1</v>
      </c>
      <c r="AR751" s="42">
        <f t="shared" si="441"/>
        <v>1</v>
      </c>
      <c r="AS751" s="42">
        <f t="shared" si="442"/>
        <v>1</v>
      </c>
      <c r="AT751" s="42">
        <f t="shared" si="443"/>
        <v>1</v>
      </c>
      <c r="AU751" s="247" t="str">
        <f t="shared" si="422"/>
        <v/>
      </c>
      <c r="AV751" s="247" t="str">
        <f t="shared" si="423"/>
        <v/>
      </c>
    </row>
    <row r="752" spans="1:48" ht="24" x14ac:dyDescent="0.2">
      <c r="A752" s="450" t="s">
        <v>202</v>
      </c>
      <c r="B752" s="429" t="s">
        <v>2596</v>
      </c>
      <c r="C752" s="430" t="s">
        <v>2787</v>
      </c>
      <c r="D752" s="1349" t="s">
        <v>4638</v>
      </c>
      <c r="E752" s="1350" t="s">
        <v>7450</v>
      </c>
      <c r="F752" s="1350" t="s">
        <v>6682</v>
      </c>
      <c r="G752" s="1351" t="s">
        <v>6069</v>
      </c>
      <c r="H752" s="1342" t="s">
        <v>1328</v>
      </c>
      <c r="I752" s="432" t="s">
        <v>1548</v>
      </c>
      <c r="J752" s="431"/>
      <c r="K752" s="431"/>
      <c r="L752" s="431"/>
      <c r="M752" s="433"/>
      <c r="N752" s="434" t="s">
        <v>1299</v>
      </c>
      <c r="O752" s="1743" t="str">
        <f t="shared" si="435"/>
        <v>Altération malveillante (non détectée) de programmes de services applicatifs, par un membre du personnel de maintenance</v>
      </c>
      <c r="P752" s="435">
        <v>1</v>
      </c>
      <c r="Q752" s="1595" t="s">
        <v>1299</v>
      </c>
      <c r="R752" s="1595" t="s">
        <v>4638</v>
      </c>
      <c r="S752" s="1595" t="str">
        <f>Classif!D23</f>
        <v/>
      </c>
      <c r="T752" s="1595">
        <f t="shared" si="436"/>
        <v>3</v>
      </c>
      <c r="U752" s="1744" t="str">
        <f t="shared" si="437"/>
        <v/>
      </c>
      <c r="V752" s="1771">
        <f>S10B05</f>
        <v>1</v>
      </c>
      <c r="W752" s="1771">
        <f>S10B05</f>
        <v>1</v>
      </c>
      <c r="X752" s="1771">
        <v>1</v>
      </c>
      <c r="Y752" s="1771">
        <v>1</v>
      </c>
      <c r="Z752" s="1758">
        <v>1</v>
      </c>
      <c r="AA752" s="1759"/>
      <c r="AB752" s="1748"/>
      <c r="AC752" s="1748"/>
      <c r="AD752" s="1595" t="str">
        <f t="shared" si="424"/>
        <v/>
      </c>
      <c r="AE752" s="1595">
        <f t="shared" si="438"/>
        <v>3</v>
      </c>
      <c r="AF752" s="1595" t="str">
        <f t="shared" si="439"/>
        <v/>
      </c>
      <c r="AG752" s="1748"/>
      <c r="AH752" s="1749" t="str">
        <f t="shared" si="425"/>
        <v/>
      </c>
      <c r="AI752" s="1622" t="s">
        <v>3224</v>
      </c>
      <c r="AJ752" s="1621" t="s">
        <v>3224</v>
      </c>
      <c r="AK752" s="1616"/>
      <c r="AL752" s="1619"/>
      <c r="AM752" s="247" t="str">
        <f t="shared" si="418"/>
        <v/>
      </c>
      <c r="AN752" s="247" t="str">
        <f t="shared" si="419"/>
        <v/>
      </c>
      <c r="AO752" s="247" t="str">
        <f t="shared" si="420"/>
        <v/>
      </c>
      <c r="AP752" s="247" t="str">
        <f t="shared" si="421"/>
        <v/>
      </c>
      <c r="AQ752" s="42">
        <f t="shared" si="440"/>
        <v>1</v>
      </c>
      <c r="AR752" s="42">
        <f t="shared" si="441"/>
        <v>1</v>
      </c>
      <c r="AS752" s="42">
        <f t="shared" si="442"/>
        <v>1</v>
      </c>
      <c r="AT752" s="42">
        <f t="shared" si="443"/>
        <v>1</v>
      </c>
      <c r="AU752" s="247" t="str">
        <f t="shared" si="422"/>
        <v/>
      </c>
      <c r="AV752" s="247" t="str">
        <f t="shared" si="423"/>
        <v/>
      </c>
    </row>
    <row r="753" spans="1:48" ht="24" x14ac:dyDescent="0.2">
      <c r="A753" s="450" t="s">
        <v>203</v>
      </c>
      <c r="B753" s="429" t="s">
        <v>2596</v>
      </c>
      <c r="C753" s="430" t="s">
        <v>2787</v>
      </c>
      <c r="D753" s="1349" t="s">
        <v>4638</v>
      </c>
      <c r="E753" s="1350" t="s">
        <v>7450</v>
      </c>
      <c r="F753" s="1350" t="s">
        <v>6682</v>
      </c>
      <c r="G753" s="1351" t="s">
        <v>6069</v>
      </c>
      <c r="H753" s="1342" t="s">
        <v>1328</v>
      </c>
      <c r="I753" s="432" t="s">
        <v>1548</v>
      </c>
      <c r="J753" s="431"/>
      <c r="K753" s="431"/>
      <c r="L753" s="431"/>
      <c r="M753" s="433"/>
      <c r="N753" s="434" t="s">
        <v>6403</v>
      </c>
      <c r="O753" s="1743" t="str">
        <f t="shared" si="435"/>
        <v>Altération malveillante (non détectée) de programmes de services applicatifs, par un membre du personnel d'exploitation</v>
      </c>
      <c r="P753" s="435">
        <v>1</v>
      </c>
      <c r="Q753" s="1595" t="s">
        <v>1299</v>
      </c>
      <c r="R753" s="1595" t="s">
        <v>4638</v>
      </c>
      <c r="S753" s="1595" t="str">
        <f>Classif!D23</f>
        <v/>
      </c>
      <c r="T753" s="1595">
        <f t="shared" si="436"/>
        <v>3</v>
      </c>
      <c r="U753" s="1744" t="str">
        <f t="shared" si="437"/>
        <v/>
      </c>
      <c r="V753" s="1771">
        <f>MAX(S07C02,S08F03)</f>
        <v>1</v>
      </c>
      <c r="W753" s="1771">
        <f>MAX(S08B02,S08B03)</f>
        <v>1</v>
      </c>
      <c r="X753" s="1771">
        <f>S09B04</f>
        <v>1</v>
      </c>
      <c r="Y753" s="1771">
        <v>1</v>
      </c>
      <c r="Z753" s="1758">
        <v>1</v>
      </c>
      <c r="AA753" s="1759"/>
      <c r="AB753" s="1748"/>
      <c r="AC753" s="1748"/>
      <c r="AD753" s="1595" t="str">
        <f t="shared" si="424"/>
        <v/>
      </c>
      <c r="AE753" s="1595">
        <f t="shared" si="438"/>
        <v>3</v>
      </c>
      <c r="AF753" s="1595" t="str">
        <f t="shared" si="439"/>
        <v/>
      </c>
      <c r="AG753" s="1748"/>
      <c r="AH753" s="1749" t="str">
        <f t="shared" si="425"/>
        <v/>
      </c>
      <c r="AI753" s="1622" t="s">
        <v>2590</v>
      </c>
      <c r="AJ753" s="1616" t="s">
        <v>2591</v>
      </c>
      <c r="AK753" s="1616" t="s">
        <v>3669</v>
      </c>
      <c r="AL753" s="1619"/>
      <c r="AM753" s="247" t="str">
        <f t="shared" si="418"/>
        <v/>
      </c>
      <c r="AN753" s="247" t="str">
        <f t="shared" si="419"/>
        <v/>
      </c>
      <c r="AO753" s="247" t="str">
        <f t="shared" si="420"/>
        <v/>
      </c>
      <c r="AP753" s="247" t="str">
        <f t="shared" si="421"/>
        <v/>
      </c>
      <c r="AQ753" s="42">
        <f t="shared" si="440"/>
        <v>1</v>
      </c>
      <c r="AR753" s="42">
        <f t="shared" si="441"/>
        <v>1</v>
      </c>
      <c r="AS753" s="42">
        <f t="shared" si="442"/>
        <v>1</v>
      </c>
      <c r="AT753" s="42">
        <f t="shared" si="443"/>
        <v>1</v>
      </c>
      <c r="AU753" s="247" t="str">
        <f t="shared" si="422"/>
        <v/>
      </c>
      <c r="AV753" s="247" t="str">
        <f t="shared" si="423"/>
        <v/>
      </c>
    </row>
    <row r="754" spans="1:48" ht="33.75" x14ac:dyDescent="0.2">
      <c r="A754" s="450" t="s">
        <v>204</v>
      </c>
      <c r="B754" s="429" t="s">
        <v>2596</v>
      </c>
      <c r="C754" s="430" t="s">
        <v>2787</v>
      </c>
      <c r="D754" s="1349" t="s">
        <v>4638</v>
      </c>
      <c r="E754" s="1350" t="s">
        <v>7450</v>
      </c>
      <c r="F754" s="1350" t="s">
        <v>6682</v>
      </c>
      <c r="G754" s="1351" t="s">
        <v>6069</v>
      </c>
      <c r="H754" s="1342" t="s">
        <v>1328</v>
      </c>
      <c r="I754" s="432" t="s">
        <v>1548</v>
      </c>
      <c r="J754" s="431"/>
      <c r="K754" s="431"/>
      <c r="L754" s="431"/>
      <c r="M754" s="433"/>
      <c r="N754" s="434" t="s">
        <v>1303</v>
      </c>
      <c r="O754" s="1743" t="str">
        <f t="shared" si="435"/>
        <v>Altération malveillante (non détectée) de programmes de services applicatifs, par un utilisateur non autorisé</v>
      </c>
      <c r="P754" s="435">
        <v>1</v>
      </c>
      <c r="Q754" s="1595" t="s">
        <v>1299</v>
      </c>
      <c r="R754" s="1595" t="s">
        <v>4638</v>
      </c>
      <c r="S754" s="1595" t="str">
        <f>Classif!D23</f>
        <v/>
      </c>
      <c r="T754" s="1595">
        <f t="shared" si="436"/>
        <v>3</v>
      </c>
      <c r="U754" s="1744" t="str">
        <f t="shared" si="437"/>
        <v/>
      </c>
      <c r="V754" s="1771">
        <f>S07C02</f>
        <v>1</v>
      </c>
      <c r="W754" s="1771">
        <f>MAX(MIN(S07A01,S07A02,S07A03,S07A04),S08B02,S08B03,S09B05)</f>
        <v>1</v>
      </c>
      <c r="X754" s="1771">
        <f>S09B04</f>
        <v>1</v>
      </c>
      <c r="Y754" s="1771">
        <v>1</v>
      </c>
      <c r="Z754" s="1758">
        <v>1</v>
      </c>
      <c r="AA754" s="1759"/>
      <c r="AB754" s="1748"/>
      <c r="AC754" s="1748"/>
      <c r="AD754" s="1595" t="str">
        <f t="shared" si="424"/>
        <v/>
      </c>
      <c r="AE754" s="1595">
        <f t="shared" si="438"/>
        <v>3</v>
      </c>
      <c r="AF754" s="1595" t="str">
        <f t="shared" si="439"/>
        <v/>
      </c>
      <c r="AG754" s="1748"/>
      <c r="AH754" s="1749" t="str">
        <f t="shared" si="425"/>
        <v/>
      </c>
      <c r="AI754" s="1620" t="s">
        <v>5021</v>
      </c>
      <c r="AJ754" s="1616" t="s">
        <v>5473</v>
      </c>
      <c r="AK754" s="1616" t="s">
        <v>3669</v>
      </c>
      <c r="AL754" s="1619"/>
      <c r="AM754" s="247" t="str">
        <f t="shared" si="418"/>
        <v/>
      </c>
      <c r="AN754" s="247" t="str">
        <f t="shared" si="419"/>
        <v/>
      </c>
      <c r="AO754" s="247" t="str">
        <f t="shared" si="420"/>
        <v/>
      </c>
      <c r="AP754" s="247" t="str">
        <f t="shared" si="421"/>
        <v/>
      </c>
      <c r="AQ754" s="42">
        <f t="shared" si="440"/>
        <v>1</v>
      </c>
      <c r="AR754" s="42">
        <f t="shared" si="441"/>
        <v>1</v>
      </c>
      <c r="AS754" s="42">
        <f t="shared" si="442"/>
        <v>1</v>
      </c>
      <c r="AT754" s="42">
        <f t="shared" si="443"/>
        <v>1</v>
      </c>
      <c r="AU754" s="247" t="str">
        <f t="shared" si="422"/>
        <v/>
      </c>
      <c r="AV754" s="247" t="str">
        <f t="shared" si="423"/>
        <v/>
      </c>
    </row>
    <row r="755" spans="1:48" ht="24" x14ac:dyDescent="0.2">
      <c r="A755" s="450" t="s">
        <v>205</v>
      </c>
      <c r="B755" s="429" t="s">
        <v>2599</v>
      </c>
      <c r="C755" s="430" t="s">
        <v>2787</v>
      </c>
      <c r="D755" s="1349" t="s">
        <v>4638</v>
      </c>
      <c r="E755" s="1361" t="s">
        <v>1861</v>
      </c>
      <c r="F755" s="1350" t="s">
        <v>6758</v>
      </c>
      <c r="G755" s="1351" t="s">
        <v>4612</v>
      </c>
      <c r="H755" s="1342" t="s">
        <v>1329</v>
      </c>
      <c r="I755" s="432" t="s">
        <v>1548</v>
      </c>
      <c r="J755" s="431"/>
      <c r="K755" s="431"/>
      <c r="L755" s="431"/>
      <c r="M755" s="433" t="s">
        <v>1880</v>
      </c>
      <c r="N755" s="434" t="s">
        <v>4816</v>
      </c>
      <c r="O755" s="1760" t="str">
        <f t="shared" ref="O755:O765" si="444">VLOOKUP(B755,code_famille_scénario,2)&amp;VLOOKUP(C755,code_actif,2)&amp;" "&amp;VLOOKUP(M755,code_process,2)&amp;" par "&amp;VLOOKUP(N755,code_acteur,2)</f>
        <v>Echange malveillant (non détecté) de media support de programmes de services applicatifs en exploitation par un membre  du personnel autorisé</v>
      </c>
      <c r="P755" s="435">
        <v>1</v>
      </c>
      <c r="Q755" s="1595" t="s">
        <v>1299</v>
      </c>
      <c r="R755" s="1595" t="s">
        <v>4638</v>
      </c>
      <c r="S755" s="1595" t="str">
        <f>Classif!D23</f>
        <v/>
      </c>
      <c r="T755" s="1595">
        <f t="shared" si="436"/>
        <v>2</v>
      </c>
      <c r="U755" s="1744" t="str">
        <f t="shared" si="437"/>
        <v/>
      </c>
      <c r="V755" s="1771">
        <v>1</v>
      </c>
      <c r="W755" s="1771">
        <f>MAX(S08B03,S09B05)</f>
        <v>1</v>
      </c>
      <c r="X755" s="1771">
        <f>S09B04</f>
        <v>1</v>
      </c>
      <c r="Y755" s="1771">
        <v>1</v>
      </c>
      <c r="Z755" s="1758">
        <v>1</v>
      </c>
      <c r="AA755" s="1759"/>
      <c r="AB755" s="1748"/>
      <c r="AC755" s="1748"/>
      <c r="AD755" s="1595" t="str">
        <f t="shared" si="424"/>
        <v/>
      </c>
      <c r="AE755" s="1595">
        <f t="shared" si="438"/>
        <v>2</v>
      </c>
      <c r="AF755" s="1595" t="str">
        <f t="shared" si="439"/>
        <v/>
      </c>
      <c r="AG755" s="1748"/>
      <c r="AH755" s="1749" t="str">
        <f t="shared" si="425"/>
        <v/>
      </c>
      <c r="AI755" s="1615"/>
      <c r="AJ755" s="1621" t="s">
        <v>5474</v>
      </c>
      <c r="AK755" s="1616" t="s">
        <v>3669</v>
      </c>
      <c r="AL755" s="1619"/>
      <c r="AM755" s="247" t="str">
        <f t="shared" si="418"/>
        <v/>
      </c>
      <c r="AN755" s="247" t="str">
        <f t="shared" si="419"/>
        <v/>
      </c>
      <c r="AO755" s="247" t="str">
        <f t="shared" si="420"/>
        <v/>
      </c>
      <c r="AP755" s="247" t="str">
        <f t="shared" si="421"/>
        <v/>
      </c>
      <c r="AQ755" s="42">
        <f t="shared" si="440"/>
        <v>1</v>
      </c>
      <c r="AR755" s="42">
        <f t="shared" si="441"/>
        <v>1</v>
      </c>
      <c r="AS755" s="42">
        <f t="shared" si="442"/>
        <v>1</v>
      </c>
      <c r="AT755" s="42">
        <f t="shared" si="443"/>
        <v>1</v>
      </c>
      <c r="AU755" s="247" t="str">
        <f t="shared" si="422"/>
        <v/>
      </c>
      <c r="AV755" s="247" t="str">
        <f t="shared" si="423"/>
        <v/>
      </c>
    </row>
    <row r="756" spans="1:48" ht="33.75" x14ac:dyDescent="0.2">
      <c r="A756" s="450" t="s">
        <v>206</v>
      </c>
      <c r="B756" s="429" t="s">
        <v>2599</v>
      </c>
      <c r="C756" s="430" t="s">
        <v>2787</v>
      </c>
      <c r="D756" s="1349" t="s">
        <v>4638</v>
      </c>
      <c r="E756" s="1361" t="s">
        <v>1861</v>
      </c>
      <c r="F756" s="1350" t="s">
        <v>6758</v>
      </c>
      <c r="G756" s="1351" t="s">
        <v>4612</v>
      </c>
      <c r="H756" s="1342" t="s">
        <v>1329</v>
      </c>
      <c r="I756" s="432" t="s">
        <v>1548</v>
      </c>
      <c r="J756" s="431"/>
      <c r="K756" s="431"/>
      <c r="L756" s="431"/>
      <c r="M756" s="433" t="s">
        <v>1880</v>
      </c>
      <c r="N756" s="434" t="s">
        <v>3518</v>
      </c>
      <c r="O756" s="1760" t="str">
        <f t="shared" si="444"/>
        <v>Echange malveillant (non détecté) de media support de programmes de services applicatifs en exploitation par un membre du personnel non autorisé</v>
      </c>
      <c r="P756" s="435">
        <v>1</v>
      </c>
      <c r="Q756" s="1595" t="s">
        <v>1299</v>
      </c>
      <c r="R756" s="1595" t="s">
        <v>4638</v>
      </c>
      <c r="S756" s="1595" t="str">
        <f>Classif!D23</f>
        <v/>
      </c>
      <c r="T756" s="1595">
        <f t="shared" si="436"/>
        <v>2</v>
      </c>
      <c r="U756" s="1744" t="str">
        <f t="shared" si="437"/>
        <v/>
      </c>
      <c r="V756" s="1771">
        <f>MAX(S03B04,S03B05,S03B06)</f>
        <v>1</v>
      </c>
      <c r="W756" s="1771">
        <f>MAX(MIN(S03B01,S03B02,S03B03),S08B03,S08C02,S09B05)</f>
        <v>1</v>
      </c>
      <c r="X756" s="1771">
        <f>S09B04</f>
        <v>1</v>
      </c>
      <c r="Y756" s="1771">
        <v>1</v>
      </c>
      <c r="Z756" s="1758">
        <v>1</v>
      </c>
      <c r="AA756" s="1759"/>
      <c r="AB756" s="1748"/>
      <c r="AC756" s="1748"/>
      <c r="AD756" s="1595" t="str">
        <f t="shared" si="424"/>
        <v/>
      </c>
      <c r="AE756" s="1595">
        <f t="shared" si="438"/>
        <v>2</v>
      </c>
      <c r="AF756" s="1595" t="str">
        <f t="shared" si="439"/>
        <v/>
      </c>
      <c r="AG756" s="1748"/>
      <c r="AH756" s="1749" t="str">
        <f t="shared" si="425"/>
        <v/>
      </c>
      <c r="AI756" s="1620" t="s">
        <v>1440</v>
      </c>
      <c r="AJ756" s="1616" t="s">
        <v>4531</v>
      </c>
      <c r="AK756" s="1616" t="s">
        <v>3669</v>
      </c>
      <c r="AL756" s="1619"/>
      <c r="AM756" s="247" t="str">
        <f t="shared" si="418"/>
        <v/>
      </c>
      <c r="AN756" s="247" t="str">
        <f t="shared" si="419"/>
        <v/>
      </c>
      <c r="AO756" s="247" t="str">
        <f t="shared" si="420"/>
        <v/>
      </c>
      <c r="AP756" s="247" t="str">
        <f t="shared" si="421"/>
        <v/>
      </c>
      <c r="AQ756" s="42">
        <f t="shared" si="440"/>
        <v>1</v>
      </c>
      <c r="AR756" s="42">
        <f t="shared" si="441"/>
        <v>1</v>
      </c>
      <c r="AS756" s="42">
        <f t="shared" si="442"/>
        <v>1</v>
      </c>
      <c r="AT756" s="42">
        <f t="shared" si="443"/>
        <v>1</v>
      </c>
      <c r="AU756" s="247" t="str">
        <f t="shared" si="422"/>
        <v/>
      </c>
      <c r="AV756" s="247" t="str">
        <f t="shared" si="423"/>
        <v/>
      </c>
    </row>
    <row r="757" spans="1:48" ht="24" x14ac:dyDescent="0.2">
      <c r="A757" s="450" t="s">
        <v>207</v>
      </c>
      <c r="B757" s="429" t="s">
        <v>2599</v>
      </c>
      <c r="C757" s="430" t="s">
        <v>2787</v>
      </c>
      <c r="D757" s="1349" t="s">
        <v>4638</v>
      </c>
      <c r="E757" s="1361" t="s">
        <v>1861</v>
      </c>
      <c r="F757" s="1350" t="s">
        <v>6758</v>
      </c>
      <c r="G757" s="1351" t="s">
        <v>4612</v>
      </c>
      <c r="H757" s="1342" t="s">
        <v>1329</v>
      </c>
      <c r="I757" s="432" t="s">
        <v>1548</v>
      </c>
      <c r="J757" s="431"/>
      <c r="K757" s="431"/>
      <c r="L757" s="431"/>
      <c r="M757" s="433" t="s">
        <v>6757</v>
      </c>
      <c r="N757" s="434" t="s">
        <v>4816</v>
      </c>
      <c r="O757" s="1760" t="str">
        <f t="shared" si="444"/>
        <v>Echange malveillant (non détecté) de media support de programmes de services applicatifs pendant le transport entre sites par un membre  du personnel autorisé</v>
      </c>
      <c r="P757" s="435">
        <v>1</v>
      </c>
      <c r="Q757" s="1595" t="s">
        <v>1299</v>
      </c>
      <c r="R757" s="1595" t="s">
        <v>4638</v>
      </c>
      <c r="S757" s="1595" t="str">
        <f>Classif!D23</f>
        <v/>
      </c>
      <c r="T757" s="1595">
        <f t="shared" si="436"/>
        <v>2</v>
      </c>
      <c r="U757" s="1744" t="str">
        <f t="shared" si="437"/>
        <v/>
      </c>
      <c r="V757" s="1771">
        <v>1</v>
      </c>
      <c r="W757" s="1771">
        <f>MAX(S08B03,S09B05)</f>
        <v>1</v>
      </c>
      <c r="X757" s="1771">
        <f>S09B04</f>
        <v>1</v>
      </c>
      <c r="Y757" s="1771">
        <v>1</v>
      </c>
      <c r="Z757" s="1758">
        <v>1</v>
      </c>
      <c r="AA757" s="1759"/>
      <c r="AB757" s="1748"/>
      <c r="AC757" s="1748"/>
      <c r="AD757" s="1595" t="str">
        <f t="shared" si="424"/>
        <v/>
      </c>
      <c r="AE757" s="1595">
        <f t="shared" si="438"/>
        <v>2</v>
      </c>
      <c r="AF757" s="1595" t="str">
        <f t="shared" si="439"/>
        <v/>
      </c>
      <c r="AG757" s="1748"/>
      <c r="AH757" s="1749" t="str">
        <f t="shared" si="425"/>
        <v/>
      </c>
      <c r="AI757" s="1620"/>
      <c r="AJ757" s="1621" t="s">
        <v>5474</v>
      </c>
      <c r="AK757" s="1616" t="s">
        <v>3669</v>
      </c>
      <c r="AL757" s="1619"/>
      <c r="AM757" s="247" t="str">
        <f t="shared" si="418"/>
        <v/>
      </c>
      <c r="AN757" s="247" t="str">
        <f t="shared" si="419"/>
        <v/>
      </c>
      <c r="AO757" s="247" t="str">
        <f t="shared" si="420"/>
        <v/>
      </c>
      <c r="AP757" s="247" t="str">
        <f t="shared" si="421"/>
        <v/>
      </c>
      <c r="AQ757" s="42">
        <f t="shared" si="440"/>
        <v>1</v>
      </c>
      <c r="AR757" s="42">
        <f t="shared" si="441"/>
        <v>1</v>
      </c>
      <c r="AS757" s="42">
        <f t="shared" si="442"/>
        <v>1</v>
      </c>
      <c r="AT757" s="42">
        <f t="shared" si="443"/>
        <v>1</v>
      </c>
      <c r="AU757" s="247" t="str">
        <f t="shared" si="422"/>
        <v/>
      </c>
      <c r="AV757" s="247" t="str">
        <f t="shared" si="423"/>
        <v/>
      </c>
    </row>
    <row r="758" spans="1:48" ht="36" x14ac:dyDescent="0.2">
      <c r="A758" s="450" t="s">
        <v>208</v>
      </c>
      <c r="B758" s="429" t="s">
        <v>6098</v>
      </c>
      <c r="C758" s="430" t="s">
        <v>2787</v>
      </c>
      <c r="D758" s="1349" t="s">
        <v>4638</v>
      </c>
      <c r="E758" s="1350" t="s">
        <v>6097</v>
      </c>
      <c r="F758" s="1350" t="s">
        <v>6682</v>
      </c>
      <c r="G758" s="1351" t="s">
        <v>6069</v>
      </c>
      <c r="H758" s="1342" t="s">
        <v>1328</v>
      </c>
      <c r="I758" s="432" t="s">
        <v>1548</v>
      </c>
      <c r="J758" s="431"/>
      <c r="K758" s="431"/>
      <c r="L758" s="431"/>
      <c r="M758" s="433" t="s">
        <v>6095</v>
      </c>
      <c r="N758" s="434" t="s">
        <v>6403</v>
      </c>
      <c r="O758" s="1760" t="str">
        <f t="shared" si="444"/>
        <v>Altération de service par falsification du processus de connexion au serveur  de services applicatifs lors de la connexion au service par un membre du personnel d'exploitation</v>
      </c>
      <c r="P758" s="435">
        <v>1</v>
      </c>
      <c r="Q758" s="1595" t="s">
        <v>1299</v>
      </c>
      <c r="R758" s="1595" t="s">
        <v>4638</v>
      </c>
      <c r="S758" s="1595" t="str">
        <f>Classif!D23</f>
        <v/>
      </c>
      <c r="T758" s="1595">
        <f t="shared" si="436"/>
        <v>3</v>
      </c>
      <c r="U758" s="1744" t="str">
        <f t="shared" si="437"/>
        <v/>
      </c>
      <c r="V758" s="1771">
        <f>MAX(S07C02,S08F03)</f>
        <v>1</v>
      </c>
      <c r="W758" s="1771">
        <f>MAX(S07A05,S09A05)</f>
        <v>1</v>
      </c>
      <c r="X758" s="1771">
        <v>1</v>
      </c>
      <c r="Y758" s="1771">
        <v>1</v>
      </c>
      <c r="Z758" s="1758">
        <v>1</v>
      </c>
      <c r="AA758" s="1759"/>
      <c r="AB758" s="1748"/>
      <c r="AC758" s="1748"/>
      <c r="AD758" s="1595" t="str">
        <f t="shared" si="424"/>
        <v/>
      </c>
      <c r="AE758" s="1595">
        <f t="shared" si="438"/>
        <v>3</v>
      </c>
      <c r="AF758" s="1595" t="str">
        <f t="shared" si="439"/>
        <v/>
      </c>
      <c r="AG758" s="1748"/>
      <c r="AH758" s="1749" t="str">
        <f t="shared" si="425"/>
        <v/>
      </c>
      <c r="AI758" s="1622" t="s">
        <v>2590</v>
      </c>
      <c r="AJ758" s="1621" t="s">
        <v>6551</v>
      </c>
      <c r="AK758" s="1618"/>
      <c r="AL758" s="1619"/>
      <c r="AM758" s="247" t="str">
        <f t="shared" si="418"/>
        <v/>
      </c>
      <c r="AN758" s="247" t="str">
        <f t="shared" si="419"/>
        <v/>
      </c>
      <c r="AO758" s="247" t="str">
        <f t="shared" si="420"/>
        <v/>
      </c>
      <c r="AP758" s="247" t="str">
        <f t="shared" si="421"/>
        <v/>
      </c>
      <c r="AQ758" s="42">
        <f t="shared" si="440"/>
        <v>1</v>
      </c>
      <c r="AR758" s="42">
        <f t="shared" si="441"/>
        <v>1</v>
      </c>
      <c r="AS758" s="42">
        <f t="shared" si="442"/>
        <v>1</v>
      </c>
      <c r="AT758" s="42">
        <f t="shared" si="443"/>
        <v>1</v>
      </c>
      <c r="AU758" s="247" t="str">
        <f t="shared" si="422"/>
        <v/>
      </c>
      <c r="AV758" s="247" t="str">
        <f t="shared" si="423"/>
        <v/>
      </c>
    </row>
    <row r="759" spans="1:48" ht="36" x14ac:dyDescent="0.2">
      <c r="A759" s="450" t="s">
        <v>209</v>
      </c>
      <c r="B759" s="429" t="s">
        <v>6098</v>
      </c>
      <c r="C759" s="430" t="s">
        <v>2787</v>
      </c>
      <c r="D759" s="1349" t="s">
        <v>4638</v>
      </c>
      <c r="E759" s="1350" t="s">
        <v>6097</v>
      </c>
      <c r="F759" s="1350" t="s">
        <v>6682</v>
      </c>
      <c r="G759" s="1351" t="s">
        <v>6069</v>
      </c>
      <c r="H759" s="1342" t="s">
        <v>1328</v>
      </c>
      <c r="I759" s="432" t="s">
        <v>1548</v>
      </c>
      <c r="J759" s="431"/>
      <c r="K759" s="431"/>
      <c r="L759" s="431"/>
      <c r="M759" s="433" t="s">
        <v>6095</v>
      </c>
      <c r="N759" s="434" t="s">
        <v>1873</v>
      </c>
      <c r="O759" s="1760" t="str">
        <f t="shared" si="444"/>
        <v>Altération de service par falsification du processus de connexion au serveur  de services applicatifs lors de la connexion au service par un membre du personnel de développement</v>
      </c>
      <c r="P759" s="435">
        <v>1</v>
      </c>
      <c r="Q759" s="1595" t="s">
        <v>1299</v>
      </c>
      <c r="R759" s="1595" t="s">
        <v>4638</v>
      </c>
      <c r="S759" s="1595" t="str">
        <f>Classif!D23</f>
        <v/>
      </c>
      <c r="T759" s="1595">
        <f t="shared" si="436"/>
        <v>3</v>
      </c>
      <c r="U759" s="1744" t="str">
        <f t="shared" si="437"/>
        <v/>
      </c>
      <c r="V759" s="1771">
        <f>S10B01</f>
        <v>1</v>
      </c>
      <c r="W759" s="1771">
        <f>MAX(S07A05,S09A05)</f>
        <v>1</v>
      </c>
      <c r="X759" s="1771">
        <v>1</v>
      </c>
      <c r="Y759" s="1771">
        <v>1</v>
      </c>
      <c r="Z759" s="1758">
        <v>1</v>
      </c>
      <c r="AA759" s="1759"/>
      <c r="AB759" s="1748"/>
      <c r="AC759" s="1748"/>
      <c r="AD759" s="1595" t="str">
        <f t="shared" si="424"/>
        <v/>
      </c>
      <c r="AE759" s="1595">
        <f t="shared" si="438"/>
        <v>3</v>
      </c>
      <c r="AF759" s="1595" t="str">
        <f t="shared" si="439"/>
        <v/>
      </c>
      <c r="AG759" s="1748"/>
      <c r="AH759" s="1749" t="str">
        <f t="shared" si="425"/>
        <v/>
      </c>
      <c r="AI759" s="1622" t="s">
        <v>3217</v>
      </c>
      <c r="AJ759" s="1621" t="s">
        <v>6551</v>
      </c>
      <c r="AK759" s="1618"/>
      <c r="AL759" s="1619"/>
      <c r="AM759" s="247" t="str">
        <f t="shared" si="418"/>
        <v/>
      </c>
      <c r="AN759" s="247" t="str">
        <f t="shared" si="419"/>
        <v/>
      </c>
      <c r="AO759" s="247" t="str">
        <f t="shared" si="420"/>
        <v/>
      </c>
      <c r="AP759" s="247" t="str">
        <f t="shared" si="421"/>
        <v/>
      </c>
      <c r="AQ759" s="42">
        <f t="shared" si="440"/>
        <v>1</v>
      </c>
      <c r="AR759" s="42">
        <f t="shared" si="441"/>
        <v>1</v>
      </c>
      <c r="AS759" s="42">
        <f t="shared" si="442"/>
        <v>1</v>
      </c>
      <c r="AT759" s="42">
        <f t="shared" si="443"/>
        <v>1</v>
      </c>
      <c r="AU759" s="247" t="str">
        <f t="shared" si="422"/>
        <v/>
      </c>
      <c r="AV759" s="247" t="str">
        <f t="shared" si="423"/>
        <v/>
      </c>
    </row>
    <row r="760" spans="1:48" ht="36" x14ac:dyDescent="0.2">
      <c r="A760" s="450" t="s">
        <v>210</v>
      </c>
      <c r="B760" s="429" t="s">
        <v>6098</v>
      </c>
      <c r="C760" s="430" t="s">
        <v>2787</v>
      </c>
      <c r="D760" s="1349" t="s">
        <v>4638</v>
      </c>
      <c r="E760" s="1350" t="s">
        <v>6097</v>
      </c>
      <c r="F760" s="1350" t="s">
        <v>6682</v>
      </c>
      <c r="G760" s="1351" t="s">
        <v>6069</v>
      </c>
      <c r="H760" s="1342" t="s">
        <v>1328</v>
      </c>
      <c r="I760" s="432" t="s">
        <v>1548</v>
      </c>
      <c r="J760" s="431"/>
      <c r="K760" s="431"/>
      <c r="L760" s="431"/>
      <c r="M760" s="433" t="s">
        <v>6095</v>
      </c>
      <c r="N760" s="434" t="s">
        <v>1299</v>
      </c>
      <c r="O760" s="1760" t="str">
        <f t="shared" si="444"/>
        <v>Altération de service par falsification du processus de connexion au serveur  de services applicatifs lors de la connexion au service par un membre du personnel de maintenance</v>
      </c>
      <c r="P760" s="435">
        <v>1</v>
      </c>
      <c r="Q760" s="1595" t="s">
        <v>1299</v>
      </c>
      <c r="R760" s="1595" t="s">
        <v>4638</v>
      </c>
      <c r="S760" s="1595" t="str">
        <f>Classif!D23</f>
        <v/>
      </c>
      <c r="T760" s="1595">
        <f t="shared" si="436"/>
        <v>3</v>
      </c>
      <c r="U760" s="1744" t="str">
        <f t="shared" si="437"/>
        <v/>
      </c>
      <c r="V760" s="1771">
        <f>S10B05</f>
        <v>1</v>
      </c>
      <c r="W760" s="1771">
        <f>MAX(S07A05,S09A05)</f>
        <v>1</v>
      </c>
      <c r="X760" s="1771">
        <v>1</v>
      </c>
      <c r="Y760" s="1771">
        <v>1</v>
      </c>
      <c r="Z760" s="1758">
        <v>1</v>
      </c>
      <c r="AA760" s="1759"/>
      <c r="AB760" s="1748"/>
      <c r="AC760" s="1748"/>
      <c r="AD760" s="1595" t="str">
        <f t="shared" si="424"/>
        <v/>
      </c>
      <c r="AE760" s="1595">
        <f t="shared" si="438"/>
        <v>3</v>
      </c>
      <c r="AF760" s="1595" t="str">
        <f t="shared" si="439"/>
        <v/>
      </c>
      <c r="AG760" s="1748"/>
      <c r="AH760" s="1749" t="str">
        <f t="shared" si="425"/>
        <v/>
      </c>
      <c r="AI760" s="1622" t="s">
        <v>3224</v>
      </c>
      <c r="AJ760" s="1621" t="s">
        <v>6551</v>
      </c>
      <c r="AK760" s="1618"/>
      <c r="AL760" s="1619"/>
      <c r="AM760" s="247" t="str">
        <f t="shared" si="418"/>
        <v/>
      </c>
      <c r="AN760" s="247" t="str">
        <f t="shared" si="419"/>
        <v/>
      </c>
      <c r="AO760" s="247" t="str">
        <f t="shared" si="420"/>
        <v/>
      </c>
      <c r="AP760" s="247" t="str">
        <f t="shared" si="421"/>
        <v/>
      </c>
      <c r="AQ760" s="42">
        <f t="shared" si="440"/>
        <v>1</v>
      </c>
      <c r="AR760" s="42">
        <f t="shared" si="441"/>
        <v>1</v>
      </c>
      <c r="AS760" s="42">
        <f t="shared" si="442"/>
        <v>1</v>
      </c>
      <c r="AT760" s="42">
        <f t="shared" si="443"/>
        <v>1</v>
      </c>
      <c r="AU760" s="247" t="str">
        <f t="shared" si="422"/>
        <v/>
      </c>
      <c r="AV760" s="247" t="str">
        <f t="shared" si="423"/>
        <v/>
      </c>
    </row>
    <row r="761" spans="1:48" ht="36" x14ac:dyDescent="0.2">
      <c r="A761" s="450" t="s">
        <v>211</v>
      </c>
      <c r="B761" s="429" t="s">
        <v>3722</v>
      </c>
      <c r="C761" s="430" t="s">
        <v>2787</v>
      </c>
      <c r="D761" s="1349" t="s">
        <v>4638</v>
      </c>
      <c r="E761" s="1350" t="s">
        <v>3727</v>
      </c>
      <c r="F761" s="1350" t="s">
        <v>6682</v>
      </c>
      <c r="G761" s="1351" t="s">
        <v>6069</v>
      </c>
      <c r="H761" s="1342" t="s">
        <v>1327</v>
      </c>
      <c r="I761" s="432" t="s">
        <v>1545</v>
      </c>
      <c r="J761" s="431"/>
      <c r="K761" s="431"/>
      <c r="L761" s="431"/>
      <c r="M761" s="433" t="s">
        <v>2976</v>
      </c>
      <c r="N761" s="434" t="s">
        <v>6403</v>
      </c>
      <c r="O761" s="1760" t="str">
        <f t="shared" si="444"/>
        <v>Altération ou inhibition accidentelle (non détectée) des fonctions de sécurité de services applicatifs lors de la remise en service après intervention par un membre du personnel d'exploitation</v>
      </c>
      <c r="P761" s="435">
        <v>1</v>
      </c>
      <c r="Q761" s="1595" t="s">
        <v>6403</v>
      </c>
      <c r="R761" s="1595" t="s">
        <v>4638</v>
      </c>
      <c r="S761" s="1595" t="str">
        <f>Classif!D23</f>
        <v/>
      </c>
      <c r="T761" s="1595">
        <f t="shared" si="436"/>
        <v>3</v>
      </c>
      <c r="U761" s="1744" t="str">
        <f t="shared" si="437"/>
        <v/>
      </c>
      <c r="V761" s="1771">
        <v>1</v>
      </c>
      <c r="W761" s="1771">
        <f>MIN(S08A03,S08A04)</f>
        <v>1</v>
      </c>
      <c r="X761" s="1771">
        <v>1</v>
      </c>
      <c r="Y761" s="1771">
        <v>1</v>
      </c>
      <c r="Z761" s="1758">
        <v>1</v>
      </c>
      <c r="AA761" s="1759"/>
      <c r="AB761" s="1748"/>
      <c r="AC761" s="1748"/>
      <c r="AD761" s="1595" t="str">
        <f t="shared" si="424"/>
        <v/>
      </c>
      <c r="AE761" s="1595">
        <f t="shared" si="438"/>
        <v>3</v>
      </c>
      <c r="AF761" s="1595" t="str">
        <f t="shared" si="439"/>
        <v/>
      </c>
      <c r="AG761" s="1748"/>
      <c r="AH761" s="1749" t="str">
        <f t="shared" si="425"/>
        <v/>
      </c>
      <c r="AI761" s="1622"/>
      <c r="AJ761" s="1621" t="s">
        <v>7282</v>
      </c>
      <c r="AK761" s="1618"/>
      <c r="AL761" s="1619"/>
      <c r="AM761" s="247" t="str">
        <f t="shared" si="418"/>
        <v/>
      </c>
      <c r="AN761" s="247" t="str">
        <f t="shared" si="419"/>
        <v/>
      </c>
      <c r="AO761" s="247" t="str">
        <f t="shared" si="420"/>
        <v/>
      </c>
      <c r="AP761" s="247" t="str">
        <f t="shared" si="421"/>
        <v/>
      </c>
      <c r="AQ761" s="42">
        <f t="shared" si="440"/>
        <v>1</v>
      </c>
      <c r="AR761" s="42">
        <f t="shared" si="441"/>
        <v>1</v>
      </c>
      <c r="AS761" s="42">
        <f t="shared" si="442"/>
        <v>1</v>
      </c>
      <c r="AT761" s="42">
        <f t="shared" si="443"/>
        <v>1</v>
      </c>
      <c r="AU761" s="247" t="str">
        <f t="shared" si="422"/>
        <v/>
      </c>
      <c r="AV761" s="247" t="str">
        <f t="shared" si="423"/>
        <v/>
      </c>
    </row>
    <row r="762" spans="1:48" ht="36" x14ac:dyDescent="0.2">
      <c r="A762" s="450" t="s">
        <v>212</v>
      </c>
      <c r="B762" s="429" t="s">
        <v>3722</v>
      </c>
      <c r="C762" s="430" t="s">
        <v>2787</v>
      </c>
      <c r="D762" s="1349" t="s">
        <v>4638</v>
      </c>
      <c r="E762" s="1350" t="s">
        <v>3727</v>
      </c>
      <c r="F762" s="1350" t="s">
        <v>6682</v>
      </c>
      <c r="G762" s="1351" t="s">
        <v>6069</v>
      </c>
      <c r="H762" s="1342" t="s">
        <v>1327</v>
      </c>
      <c r="I762" s="432" t="s">
        <v>1545</v>
      </c>
      <c r="J762" s="431"/>
      <c r="K762" s="431"/>
      <c r="L762" s="431"/>
      <c r="M762" s="433" t="s">
        <v>2976</v>
      </c>
      <c r="N762" s="434" t="s">
        <v>1299</v>
      </c>
      <c r="O762" s="1760" t="str">
        <f t="shared" si="444"/>
        <v>Altération ou inhibition accidentelle (non détectée) des fonctions de sécurité de services applicatifs lors de la remise en service après intervention par un membre du personnel de maintenance</v>
      </c>
      <c r="P762" s="435">
        <v>1</v>
      </c>
      <c r="Q762" s="1595" t="s">
        <v>6403</v>
      </c>
      <c r="R762" s="1595" t="s">
        <v>4638</v>
      </c>
      <c r="S762" s="1595" t="str">
        <f>Classif!D23</f>
        <v/>
      </c>
      <c r="T762" s="1595">
        <f t="shared" si="436"/>
        <v>3</v>
      </c>
      <c r="U762" s="1744" t="str">
        <f t="shared" si="437"/>
        <v/>
      </c>
      <c r="V762" s="1771">
        <v>1</v>
      </c>
      <c r="W762" s="1771">
        <f>S08A04</f>
        <v>1</v>
      </c>
      <c r="X762" s="1771">
        <v>1</v>
      </c>
      <c r="Y762" s="1771">
        <v>1</v>
      </c>
      <c r="Z762" s="1758">
        <v>1</v>
      </c>
      <c r="AA762" s="1759"/>
      <c r="AB762" s="1748"/>
      <c r="AC762" s="1748"/>
      <c r="AD762" s="1595" t="str">
        <f t="shared" si="424"/>
        <v/>
      </c>
      <c r="AE762" s="1595">
        <f t="shared" si="438"/>
        <v>3</v>
      </c>
      <c r="AF762" s="1595" t="str">
        <f t="shared" si="439"/>
        <v/>
      </c>
      <c r="AG762" s="1748"/>
      <c r="AH762" s="1749" t="str">
        <f t="shared" si="425"/>
        <v/>
      </c>
      <c r="AI762" s="1622"/>
      <c r="AJ762" s="1621" t="s">
        <v>4325</v>
      </c>
      <c r="AK762" s="1618"/>
      <c r="AL762" s="1619"/>
      <c r="AM762" s="247" t="str">
        <f t="shared" si="418"/>
        <v/>
      </c>
      <c r="AN762" s="247" t="str">
        <f t="shared" si="419"/>
        <v/>
      </c>
      <c r="AO762" s="247" t="str">
        <f t="shared" si="420"/>
        <v/>
      </c>
      <c r="AP762" s="247" t="str">
        <f t="shared" si="421"/>
        <v/>
      </c>
      <c r="AQ762" s="42">
        <f t="shared" si="440"/>
        <v>1</v>
      </c>
      <c r="AR762" s="42">
        <f t="shared" si="441"/>
        <v>1</v>
      </c>
      <c r="AS762" s="42">
        <f t="shared" si="442"/>
        <v>1</v>
      </c>
      <c r="AT762" s="42">
        <f t="shared" si="443"/>
        <v>1</v>
      </c>
      <c r="AU762" s="247" t="str">
        <f t="shared" si="422"/>
        <v/>
      </c>
      <c r="AV762" s="247" t="str">
        <f t="shared" si="423"/>
        <v/>
      </c>
    </row>
    <row r="763" spans="1:48" ht="36" x14ac:dyDescent="0.2">
      <c r="A763" s="450" t="s">
        <v>213</v>
      </c>
      <c r="B763" s="429" t="s">
        <v>3724</v>
      </c>
      <c r="C763" s="430" t="s">
        <v>2787</v>
      </c>
      <c r="D763" s="1349" t="s">
        <v>4638</v>
      </c>
      <c r="E763" s="1350" t="s">
        <v>3727</v>
      </c>
      <c r="F763" s="1350" t="s">
        <v>6682</v>
      </c>
      <c r="G763" s="1351" t="s">
        <v>6069</v>
      </c>
      <c r="H763" s="1342" t="s">
        <v>1328</v>
      </c>
      <c r="I763" s="432" t="s">
        <v>1548</v>
      </c>
      <c r="J763" s="431"/>
      <c r="K763" s="431"/>
      <c r="L763" s="431"/>
      <c r="M763" s="433" t="s">
        <v>2976</v>
      </c>
      <c r="N763" s="434" t="s">
        <v>6403</v>
      </c>
      <c r="O763" s="1760" t="str">
        <f t="shared" si="444"/>
        <v>Altération ou inhibition malveillante (non détectée) des fonctions de sécurité de services applicatifs lors de la remise en service après intervention par un membre du personnel d'exploitation</v>
      </c>
      <c r="P763" s="435">
        <v>1</v>
      </c>
      <c r="Q763" s="1595" t="s">
        <v>1299</v>
      </c>
      <c r="R763" s="1595" t="s">
        <v>4638</v>
      </c>
      <c r="S763" s="1595" t="str">
        <f>Classif!D23</f>
        <v/>
      </c>
      <c r="T763" s="1595">
        <f t="shared" si="436"/>
        <v>3</v>
      </c>
      <c r="U763" s="1744" t="str">
        <f t="shared" si="437"/>
        <v/>
      </c>
      <c r="V763" s="1771">
        <f>MIN(S07C02,S08F03)</f>
        <v>1</v>
      </c>
      <c r="W763" s="1771">
        <v>1</v>
      </c>
      <c r="X763" s="1771">
        <v>1</v>
      </c>
      <c r="Y763" s="1771">
        <v>1</v>
      </c>
      <c r="Z763" s="1758">
        <v>1</v>
      </c>
      <c r="AA763" s="1759"/>
      <c r="AB763" s="1748"/>
      <c r="AC763" s="1748"/>
      <c r="AD763" s="1595" t="str">
        <f t="shared" si="424"/>
        <v/>
      </c>
      <c r="AE763" s="1595">
        <f t="shared" si="438"/>
        <v>3</v>
      </c>
      <c r="AF763" s="1595" t="str">
        <f t="shared" si="439"/>
        <v/>
      </c>
      <c r="AG763" s="1748"/>
      <c r="AH763" s="1749" t="str">
        <f t="shared" si="425"/>
        <v/>
      </c>
      <c r="AI763" s="1622" t="s">
        <v>3728</v>
      </c>
      <c r="AJ763" s="1621"/>
      <c r="AK763" s="1618"/>
      <c r="AL763" s="1619"/>
      <c r="AM763" s="247" t="str">
        <f t="shared" si="418"/>
        <v/>
      </c>
      <c r="AN763" s="247" t="str">
        <f t="shared" si="419"/>
        <v/>
      </c>
      <c r="AO763" s="247" t="str">
        <f t="shared" si="420"/>
        <v/>
      </c>
      <c r="AP763" s="247" t="str">
        <f t="shared" si="421"/>
        <v/>
      </c>
      <c r="AQ763" s="42">
        <f t="shared" si="440"/>
        <v>1</v>
      </c>
      <c r="AR763" s="42">
        <f t="shared" si="441"/>
        <v>1</v>
      </c>
      <c r="AS763" s="42">
        <f t="shared" si="442"/>
        <v>1</v>
      </c>
      <c r="AT763" s="42">
        <f t="shared" si="443"/>
        <v>1</v>
      </c>
      <c r="AU763" s="247" t="str">
        <f t="shared" si="422"/>
        <v/>
      </c>
      <c r="AV763" s="247" t="str">
        <f t="shared" si="423"/>
        <v/>
      </c>
    </row>
    <row r="764" spans="1:48" ht="36" x14ac:dyDescent="0.2">
      <c r="A764" s="450" t="s">
        <v>214</v>
      </c>
      <c r="B764" s="429" t="s">
        <v>3724</v>
      </c>
      <c r="C764" s="430" t="s">
        <v>2787</v>
      </c>
      <c r="D764" s="1349" t="s">
        <v>4638</v>
      </c>
      <c r="E764" s="1350" t="s">
        <v>3727</v>
      </c>
      <c r="F764" s="1350" t="s">
        <v>6682</v>
      </c>
      <c r="G764" s="1351" t="s">
        <v>6069</v>
      </c>
      <c r="H764" s="1342" t="s">
        <v>1328</v>
      </c>
      <c r="I764" s="432" t="s">
        <v>1548</v>
      </c>
      <c r="J764" s="431"/>
      <c r="K764" s="431"/>
      <c r="L764" s="431"/>
      <c r="M764" s="433" t="s">
        <v>2976</v>
      </c>
      <c r="N764" s="434" t="s">
        <v>1299</v>
      </c>
      <c r="O764" s="1760" t="str">
        <f t="shared" si="444"/>
        <v>Altération ou inhibition malveillante (non détectée) des fonctions de sécurité de services applicatifs lors de la remise en service après intervention par un membre du personnel de maintenance</v>
      </c>
      <c r="P764" s="435">
        <v>1</v>
      </c>
      <c r="Q764" s="1595" t="s">
        <v>1299</v>
      </c>
      <c r="R764" s="1595" t="s">
        <v>4638</v>
      </c>
      <c r="S764" s="1595" t="str">
        <f>Classif!D23</f>
        <v/>
      </c>
      <c r="T764" s="1595">
        <f t="shared" si="436"/>
        <v>3</v>
      </c>
      <c r="U764" s="1744" t="str">
        <f t="shared" si="437"/>
        <v/>
      </c>
      <c r="V764" s="1771">
        <f>S10B05</f>
        <v>1</v>
      </c>
      <c r="W764" s="1771">
        <f>S08A04</f>
        <v>1</v>
      </c>
      <c r="X764" s="1771">
        <v>1</v>
      </c>
      <c r="Y764" s="1771">
        <v>1</v>
      </c>
      <c r="Z764" s="1758">
        <v>1</v>
      </c>
      <c r="AA764" s="1759"/>
      <c r="AB764" s="1748"/>
      <c r="AC764" s="1748"/>
      <c r="AD764" s="1595" t="str">
        <f t="shared" si="424"/>
        <v/>
      </c>
      <c r="AE764" s="1595">
        <f t="shared" si="438"/>
        <v>3</v>
      </c>
      <c r="AF764" s="1595" t="str">
        <f t="shared" si="439"/>
        <v/>
      </c>
      <c r="AG764" s="1748"/>
      <c r="AH764" s="1749" t="str">
        <f t="shared" si="425"/>
        <v/>
      </c>
      <c r="AI764" s="1622" t="s">
        <v>3224</v>
      </c>
      <c r="AJ764" s="1621" t="s">
        <v>4325</v>
      </c>
      <c r="AK764" s="1618"/>
      <c r="AL764" s="1619"/>
      <c r="AM764" s="247" t="str">
        <f t="shared" si="418"/>
        <v/>
      </c>
      <c r="AN764" s="247" t="str">
        <f t="shared" si="419"/>
        <v/>
      </c>
      <c r="AO764" s="247" t="str">
        <f t="shared" si="420"/>
        <v/>
      </c>
      <c r="AP764" s="247" t="str">
        <f t="shared" si="421"/>
        <v/>
      </c>
      <c r="AQ764" s="42">
        <f t="shared" si="440"/>
        <v>1</v>
      </c>
      <c r="AR764" s="42">
        <f t="shared" si="441"/>
        <v>1</v>
      </c>
      <c r="AS764" s="42">
        <f t="shared" si="442"/>
        <v>1</v>
      </c>
      <c r="AT764" s="42">
        <f t="shared" si="443"/>
        <v>1</v>
      </c>
      <c r="AU764" s="247" t="str">
        <f t="shared" si="422"/>
        <v/>
      </c>
      <c r="AV764" s="247" t="str">
        <f t="shared" si="423"/>
        <v/>
      </c>
    </row>
    <row r="765" spans="1:48" ht="36" x14ac:dyDescent="0.2">
      <c r="A765" s="450" t="s">
        <v>215</v>
      </c>
      <c r="B765" s="429" t="s">
        <v>3724</v>
      </c>
      <c r="C765" s="430" t="s">
        <v>2787</v>
      </c>
      <c r="D765" s="1349" t="s">
        <v>4638</v>
      </c>
      <c r="E765" s="1350" t="s">
        <v>3727</v>
      </c>
      <c r="F765" s="1350" t="s">
        <v>6682</v>
      </c>
      <c r="G765" s="1351" t="s">
        <v>6069</v>
      </c>
      <c r="H765" s="1342" t="s">
        <v>1328</v>
      </c>
      <c r="I765" s="432" t="s">
        <v>1548</v>
      </c>
      <c r="J765" s="431"/>
      <c r="K765" s="431"/>
      <c r="L765" s="431"/>
      <c r="M765" s="433" t="s">
        <v>2976</v>
      </c>
      <c r="N765" s="434" t="s">
        <v>3518</v>
      </c>
      <c r="O765" s="1760" t="str">
        <f t="shared" si="444"/>
        <v>Altération ou inhibition malveillante (non détectée) des fonctions de sécurité de services applicatifs lors de la remise en service après intervention par un membre du personnel non autorisé</v>
      </c>
      <c r="P765" s="435">
        <v>1</v>
      </c>
      <c r="Q765" s="1595" t="s">
        <v>1299</v>
      </c>
      <c r="R765" s="1595" t="s">
        <v>4638</v>
      </c>
      <c r="S765" s="1595" t="str">
        <f>Classif!D23</f>
        <v/>
      </c>
      <c r="T765" s="1595">
        <f t="shared" si="436"/>
        <v>3</v>
      </c>
      <c r="U765" s="1744" t="str">
        <f t="shared" si="437"/>
        <v/>
      </c>
      <c r="V765" s="1771">
        <v>1</v>
      </c>
      <c r="W765" s="1771">
        <f>MIN(S08F01,S08F02)</f>
        <v>1</v>
      </c>
      <c r="X765" s="1771">
        <v>1</v>
      </c>
      <c r="Y765" s="1771">
        <v>1</v>
      </c>
      <c r="Z765" s="1758">
        <v>1</v>
      </c>
      <c r="AA765" s="1759"/>
      <c r="AB765" s="1748"/>
      <c r="AC765" s="1748"/>
      <c r="AD765" s="1595" t="str">
        <f t="shared" si="424"/>
        <v/>
      </c>
      <c r="AE765" s="1595">
        <f t="shared" si="438"/>
        <v>3</v>
      </c>
      <c r="AF765" s="1595" t="str">
        <f t="shared" si="439"/>
        <v/>
      </c>
      <c r="AG765" s="1748"/>
      <c r="AH765" s="1749" t="str">
        <f t="shared" si="425"/>
        <v/>
      </c>
      <c r="AI765" s="1615"/>
      <c r="AJ765" s="1621" t="s">
        <v>3729</v>
      </c>
      <c r="AK765" s="1618"/>
      <c r="AL765" s="1619"/>
      <c r="AM765" s="247" t="str">
        <f t="shared" si="418"/>
        <v/>
      </c>
      <c r="AN765" s="247" t="str">
        <f t="shared" si="419"/>
        <v/>
      </c>
      <c r="AO765" s="247" t="str">
        <f t="shared" si="420"/>
        <v/>
      </c>
      <c r="AP765" s="247" t="str">
        <f t="shared" si="421"/>
        <v/>
      </c>
      <c r="AQ765" s="42">
        <f t="shared" si="440"/>
        <v>1</v>
      </c>
      <c r="AR765" s="42">
        <f t="shared" si="441"/>
        <v>1</v>
      </c>
      <c r="AS765" s="42">
        <f t="shared" si="442"/>
        <v>1</v>
      </c>
      <c r="AT765" s="42">
        <f t="shared" si="443"/>
        <v>1</v>
      </c>
      <c r="AU765" s="247" t="str">
        <f t="shared" si="422"/>
        <v/>
      </c>
      <c r="AV765" s="247" t="str">
        <f t="shared" si="423"/>
        <v/>
      </c>
    </row>
    <row r="766" spans="1:48" ht="15" x14ac:dyDescent="0.2">
      <c r="A766" s="456" t="s">
        <v>3733</v>
      </c>
      <c r="B766" s="457"/>
      <c r="C766" s="423" t="s">
        <v>3734</v>
      </c>
      <c r="D766" s="1356"/>
      <c r="E766" s="1357"/>
      <c r="F766" s="1357"/>
      <c r="G766" s="1360"/>
      <c r="H766" s="1345"/>
      <c r="I766" s="459"/>
      <c r="J766" s="458"/>
      <c r="K766" s="458"/>
      <c r="L766" s="458"/>
      <c r="M766" s="460"/>
      <c r="N766" s="461"/>
      <c r="O766" s="1761"/>
      <c r="P766" s="1608"/>
      <c r="Q766" s="1596"/>
      <c r="R766" s="1596"/>
      <c r="S766" s="1753"/>
      <c r="T766" s="1595"/>
      <c r="U766" s="1744"/>
      <c r="V766" s="1754"/>
      <c r="W766" s="1754"/>
      <c r="X766" s="1754"/>
      <c r="Y766" s="1754"/>
      <c r="Z766" s="1762"/>
      <c r="AA766" s="1763"/>
      <c r="AB766" s="1748"/>
      <c r="AC766" s="1748"/>
      <c r="AD766" s="1595"/>
      <c r="AE766" s="1753"/>
      <c r="AF766" s="1595"/>
      <c r="AG766" s="1748"/>
      <c r="AH766" s="1749"/>
      <c r="AI766" s="1627"/>
      <c r="AJ766" s="1628"/>
      <c r="AK766" s="1628"/>
      <c r="AL766" s="1629"/>
      <c r="AM766" s="247" t="str">
        <f t="shared" si="418"/>
        <v/>
      </c>
      <c r="AN766" s="247" t="str">
        <f t="shared" si="419"/>
        <v/>
      </c>
      <c r="AO766" s="247" t="str">
        <f t="shared" si="420"/>
        <v/>
      </c>
      <c r="AP766" s="247" t="str">
        <f t="shared" si="421"/>
        <v/>
      </c>
      <c r="AU766" s="247" t="str">
        <f t="shared" si="422"/>
        <v/>
      </c>
      <c r="AV766" s="247" t="str">
        <f t="shared" si="423"/>
        <v/>
      </c>
    </row>
    <row r="767" spans="1:48" ht="24" x14ac:dyDescent="0.2">
      <c r="A767" s="450" t="s">
        <v>216</v>
      </c>
      <c r="B767" s="429" t="s">
        <v>2494</v>
      </c>
      <c r="C767" s="430" t="s">
        <v>1601</v>
      </c>
      <c r="D767" s="1349" t="s">
        <v>4638</v>
      </c>
      <c r="E767" s="1350" t="s">
        <v>1493</v>
      </c>
      <c r="F767" s="1350" t="s">
        <v>6682</v>
      </c>
      <c r="G767" s="1351" t="s">
        <v>6069</v>
      </c>
      <c r="H767" s="1342" t="s">
        <v>1327</v>
      </c>
      <c r="I767" s="432" t="s">
        <v>1545</v>
      </c>
      <c r="J767" s="431"/>
      <c r="K767" s="431"/>
      <c r="L767" s="431"/>
      <c r="M767" s="433"/>
      <c r="N767" s="434" t="s">
        <v>1299</v>
      </c>
      <c r="O767" s="1743" t="str">
        <f>VLOOKUP(B767,code_famille_scénario,2)&amp;VLOOKUP(C767,code_actif,2)&amp;", par "&amp;VLOOKUP(N767,code_acteur,2)</f>
        <v>Altération, par erreur de procédure, de configuration de services bureautiques communs, par un membre du personnel de maintenance</v>
      </c>
      <c r="P767" s="435">
        <v>1</v>
      </c>
      <c r="Q767" s="1595" t="s">
        <v>6403</v>
      </c>
      <c r="R767" s="1595" t="s">
        <v>4638</v>
      </c>
      <c r="S767" s="1595" t="str">
        <f>Classif!D24</f>
        <v/>
      </c>
      <c r="T767" s="1595">
        <f t="shared" ref="T767:T775" si="445">VLOOKUP(H767&amp;"."&amp;I767,Tab_event,4)</f>
        <v>3</v>
      </c>
      <c r="U767" s="1744" t="str">
        <f t="shared" ref="U767:U775" si="446">IF(AND(NOT(S767=""),NOT(T767="")),INDEX(base_g,5-S767,T767),"")</f>
        <v/>
      </c>
      <c r="V767" s="1771">
        <v>1</v>
      </c>
      <c r="W767" s="1771">
        <f>S08B01</f>
        <v>1</v>
      </c>
      <c r="X767" s="1771">
        <v>1</v>
      </c>
      <c r="Y767" s="1771">
        <v>1</v>
      </c>
      <c r="Z767" s="1758">
        <v>0</v>
      </c>
      <c r="AA767" s="1759"/>
      <c r="AB767" s="1748"/>
      <c r="AC767" s="1748"/>
      <c r="AD767" s="1595" t="str">
        <f t="shared" si="424"/>
        <v/>
      </c>
      <c r="AE767" s="1595">
        <f t="shared" ref="AE767:AE775" si="447">IF(OR(Q767="",T767=""),"",IF(Q767="A",INDEX(base_p,4,W767+7*(T767-1)),IF(Q767="E",INDEX(base_p,15,W767+7*(T767-1)),INDEX(base_p,27-V767,W767+7*(T767-1)))))</f>
        <v>3</v>
      </c>
      <c r="AF767" s="1595" t="str">
        <f t="shared" ref="AF767:AF775" si="448">IF(AT767=1,IF(IndG=1,U767,IF(AND(OR(NOT(AD767=""),NOT(AB767="")),OR(NOT(AE767=""),NOT(AC767="")),AT767=1),INDEX(base_g,5-IF(AB767="",AD767,AB767),IF(AC767="",AE767,AC767)),"")),0)</f>
        <v/>
      </c>
      <c r="AG767" s="1748"/>
      <c r="AH767" s="1749" t="str">
        <f t="shared" si="425"/>
        <v/>
      </c>
      <c r="AI767" s="1622"/>
      <c r="AJ767" s="1621" t="s">
        <v>4807</v>
      </c>
      <c r="AK767" s="1621"/>
      <c r="AL767" s="1619"/>
      <c r="AM767" s="247" t="str">
        <f t="shared" si="418"/>
        <v/>
      </c>
      <c r="AN767" s="247" t="str">
        <f t="shared" si="419"/>
        <v/>
      </c>
      <c r="AO767" s="247" t="str">
        <f t="shared" si="420"/>
        <v/>
      </c>
      <c r="AP767" s="247" t="str">
        <f t="shared" si="421"/>
        <v/>
      </c>
      <c r="AQ767" s="42">
        <f t="shared" ref="AQ767:AQ775" si="449">VLOOKUP(LEFT(C767,3),Tab_classif_servIR,6)</f>
        <v>1</v>
      </c>
      <c r="AR767" s="42">
        <f t="shared" ref="AR767:AR775" si="450">VLOOKUP(G767,select_vul_serv,2)</f>
        <v>1</v>
      </c>
      <c r="AS767" s="42">
        <f t="shared" ref="AS767:AS775" si="451">VLOOKUP(H767&amp;"."&amp;I767,select_men,5)</f>
        <v>1</v>
      </c>
      <c r="AT767" s="42">
        <f t="shared" ref="AT767:AT775" si="452">P767*AQ767*AR767*AS767</f>
        <v>1</v>
      </c>
      <c r="AU767" s="247" t="str">
        <f t="shared" si="422"/>
        <v/>
      </c>
      <c r="AV767" s="247" t="str">
        <f t="shared" si="423"/>
        <v/>
      </c>
    </row>
    <row r="768" spans="1:48" ht="24" x14ac:dyDescent="0.2">
      <c r="A768" s="450" t="s">
        <v>217</v>
      </c>
      <c r="B768" s="429" t="s">
        <v>2494</v>
      </c>
      <c r="C768" s="430" t="s">
        <v>1601</v>
      </c>
      <c r="D768" s="1349" t="s">
        <v>4638</v>
      </c>
      <c r="E768" s="1350" t="s">
        <v>1493</v>
      </c>
      <c r="F768" s="1350" t="s">
        <v>6682</v>
      </c>
      <c r="G768" s="1351" t="s">
        <v>6069</v>
      </c>
      <c r="H768" s="1342" t="s">
        <v>1327</v>
      </c>
      <c r="I768" s="432" t="s">
        <v>1545</v>
      </c>
      <c r="J768" s="431"/>
      <c r="K768" s="431"/>
      <c r="L768" s="431"/>
      <c r="M768" s="433"/>
      <c r="N768" s="434" t="s">
        <v>6403</v>
      </c>
      <c r="O768" s="1743" t="str">
        <f>VLOOKUP(B768,code_famille_scénario,2)&amp;VLOOKUP(C768,code_actif,2)&amp;", par "&amp;VLOOKUP(N768,code_acteur,2)</f>
        <v>Altération, par erreur de procédure, de configuration de services bureautiques communs, par un membre du personnel d'exploitation</v>
      </c>
      <c r="P768" s="435">
        <v>1</v>
      </c>
      <c r="Q768" s="1595" t="s">
        <v>6403</v>
      </c>
      <c r="R768" s="1595" t="s">
        <v>4638</v>
      </c>
      <c r="S768" s="1595" t="str">
        <f>Classif!D24</f>
        <v/>
      </c>
      <c r="T768" s="1595">
        <f t="shared" si="445"/>
        <v>3</v>
      </c>
      <c r="U768" s="1744" t="str">
        <f t="shared" si="446"/>
        <v/>
      </c>
      <c r="V768" s="1771">
        <v>1</v>
      </c>
      <c r="W768" s="1771">
        <f>S08B01</f>
        <v>1</v>
      </c>
      <c r="X768" s="1771">
        <v>1</v>
      </c>
      <c r="Y768" s="1771">
        <v>1</v>
      </c>
      <c r="Z768" s="1758">
        <v>0</v>
      </c>
      <c r="AA768" s="1759"/>
      <c r="AB768" s="1748"/>
      <c r="AC768" s="1748"/>
      <c r="AD768" s="1595" t="str">
        <f t="shared" si="424"/>
        <v/>
      </c>
      <c r="AE768" s="1595">
        <f t="shared" si="447"/>
        <v>3</v>
      </c>
      <c r="AF768" s="1595" t="str">
        <f t="shared" si="448"/>
        <v/>
      </c>
      <c r="AG768" s="1748"/>
      <c r="AH768" s="1749" t="str">
        <f t="shared" si="425"/>
        <v/>
      </c>
      <c r="AI768" s="1622"/>
      <c r="AJ768" s="1621" t="s">
        <v>4807</v>
      </c>
      <c r="AK768" s="1621"/>
      <c r="AL768" s="1619"/>
      <c r="AM768" s="247" t="str">
        <f t="shared" si="418"/>
        <v/>
      </c>
      <c r="AN768" s="247" t="str">
        <f t="shared" si="419"/>
        <v/>
      </c>
      <c r="AO768" s="247" t="str">
        <f t="shared" si="420"/>
        <v/>
      </c>
      <c r="AP768" s="247" t="str">
        <f t="shared" si="421"/>
        <v/>
      </c>
      <c r="AQ768" s="42">
        <f t="shared" si="449"/>
        <v>1</v>
      </c>
      <c r="AR768" s="42">
        <f t="shared" si="450"/>
        <v>1</v>
      </c>
      <c r="AS768" s="42">
        <f t="shared" si="451"/>
        <v>1</v>
      </c>
      <c r="AT768" s="42">
        <f t="shared" si="452"/>
        <v>1</v>
      </c>
      <c r="AU768" s="247" t="str">
        <f t="shared" si="422"/>
        <v/>
      </c>
      <c r="AV768" s="247" t="str">
        <f t="shared" si="423"/>
        <v/>
      </c>
    </row>
    <row r="769" spans="1:48" ht="36" x14ac:dyDescent="0.2">
      <c r="A769" s="450" t="s">
        <v>218</v>
      </c>
      <c r="B769" s="429" t="s">
        <v>6276</v>
      </c>
      <c r="C769" s="430" t="s">
        <v>1601</v>
      </c>
      <c r="D769" s="1349" t="s">
        <v>4638</v>
      </c>
      <c r="E769" s="1350" t="s">
        <v>1493</v>
      </c>
      <c r="F769" s="1350" t="s">
        <v>6682</v>
      </c>
      <c r="G769" s="1351" t="s">
        <v>6069</v>
      </c>
      <c r="H769" s="1342" t="s">
        <v>1328</v>
      </c>
      <c r="I769" s="432" t="s">
        <v>1548</v>
      </c>
      <c r="J769" s="431"/>
      <c r="K769" s="431"/>
      <c r="L769" s="431"/>
      <c r="M769" s="433"/>
      <c r="N769" s="434" t="s">
        <v>1299</v>
      </c>
      <c r="O769" s="1743" t="str">
        <f>VLOOKUP(B769,code_famille_scénario,2)&amp;VLOOKUP(C769,code_actif,2)&amp;", par "&amp;VLOOKUP(N769,code_acteur,2)</f>
        <v>Altération malveillante (non détectée) de configurations (code, paramétrage, etc.) de services bureautiques communs, par un membre du personnel de maintenance</v>
      </c>
      <c r="P769" s="435">
        <v>1</v>
      </c>
      <c r="Q769" s="1595" t="s">
        <v>1299</v>
      </c>
      <c r="R769" s="1595" t="s">
        <v>4638</v>
      </c>
      <c r="S769" s="1595" t="str">
        <f>Classif!D24</f>
        <v/>
      </c>
      <c r="T769" s="1595">
        <f t="shared" si="445"/>
        <v>3</v>
      </c>
      <c r="U769" s="1744" t="str">
        <f t="shared" si="446"/>
        <v/>
      </c>
      <c r="V769" s="1771">
        <f>S08A04</f>
        <v>1</v>
      </c>
      <c r="W769" s="1771">
        <f>S08B01</f>
        <v>1</v>
      </c>
      <c r="X769" s="1771">
        <v>1</v>
      </c>
      <c r="Y769" s="1771">
        <v>1</v>
      </c>
      <c r="Z769" s="1758">
        <v>0</v>
      </c>
      <c r="AA769" s="1759"/>
      <c r="AB769" s="1748"/>
      <c r="AC769" s="1748"/>
      <c r="AD769" s="1595" t="str">
        <f t="shared" si="424"/>
        <v/>
      </c>
      <c r="AE769" s="1595">
        <f t="shared" si="447"/>
        <v>3</v>
      </c>
      <c r="AF769" s="1595" t="str">
        <f t="shared" si="448"/>
        <v/>
      </c>
      <c r="AG769" s="1748"/>
      <c r="AH769" s="1749" t="str">
        <f t="shared" si="425"/>
        <v/>
      </c>
      <c r="AI769" s="1622" t="s">
        <v>4325</v>
      </c>
      <c r="AJ769" s="1621" t="s">
        <v>4807</v>
      </c>
      <c r="AK769" s="1616"/>
      <c r="AL769" s="1619"/>
      <c r="AM769" s="247" t="str">
        <f t="shared" si="418"/>
        <v/>
      </c>
      <c r="AN769" s="247" t="str">
        <f t="shared" si="419"/>
        <v/>
      </c>
      <c r="AO769" s="247" t="str">
        <f t="shared" si="420"/>
        <v/>
      </c>
      <c r="AP769" s="247" t="str">
        <f t="shared" si="421"/>
        <v/>
      </c>
      <c r="AQ769" s="42">
        <f t="shared" si="449"/>
        <v>1</v>
      </c>
      <c r="AR769" s="42">
        <f t="shared" si="450"/>
        <v>1</v>
      </c>
      <c r="AS769" s="42">
        <f t="shared" si="451"/>
        <v>1</v>
      </c>
      <c r="AT769" s="42">
        <f t="shared" si="452"/>
        <v>1</v>
      </c>
      <c r="AU769" s="247" t="str">
        <f t="shared" si="422"/>
        <v/>
      </c>
      <c r="AV769" s="247" t="str">
        <f t="shared" si="423"/>
        <v/>
      </c>
    </row>
    <row r="770" spans="1:48" ht="24" x14ac:dyDescent="0.2">
      <c r="A770" s="450" t="s">
        <v>219</v>
      </c>
      <c r="B770" s="429" t="s">
        <v>6276</v>
      </c>
      <c r="C770" s="430" t="s">
        <v>1601</v>
      </c>
      <c r="D770" s="1349" t="s">
        <v>4638</v>
      </c>
      <c r="E770" s="1350" t="s">
        <v>1493</v>
      </c>
      <c r="F770" s="1350" t="s">
        <v>6682</v>
      </c>
      <c r="G770" s="1351" t="s">
        <v>6069</v>
      </c>
      <c r="H770" s="1342" t="s">
        <v>1328</v>
      </c>
      <c r="I770" s="432" t="s">
        <v>1548</v>
      </c>
      <c r="J770" s="431"/>
      <c r="K770" s="431"/>
      <c r="L770" s="431"/>
      <c r="M770" s="433"/>
      <c r="N770" s="434" t="s">
        <v>6403</v>
      </c>
      <c r="O770" s="1743" t="str">
        <f>VLOOKUP(B770,code_famille_scénario,2)&amp;VLOOKUP(C770,code_actif,2)&amp;", par "&amp;VLOOKUP(N770,code_acteur,2)</f>
        <v>Altération malveillante (non détectée) de configurations (code, paramétrage, etc.) de services bureautiques communs, par un membre du personnel d'exploitation</v>
      </c>
      <c r="P770" s="435">
        <v>1</v>
      </c>
      <c r="Q770" s="1595" t="s">
        <v>1299</v>
      </c>
      <c r="R770" s="1595" t="s">
        <v>4638</v>
      </c>
      <c r="S770" s="1595" t="str">
        <f>Classif!D24</f>
        <v/>
      </c>
      <c r="T770" s="1595">
        <f t="shared" si="445"/>
        <v>3</v>
      </c>
      <c r="U770" s="1744" t="str">
        <f t="shared" si="446"/>
        <v/>
      </c>
      <c r="V770" s="1771">
        <f>MIN(S08F02,S08F03)</f>
        <v>1</v>
      </c>
      <c r="W770" s="1771">
        <v>1</v>
      </c>
      <c r="X770" s="1771">
        <v>1</v>
      </c>
      <c r="Y770" s="1771">
        <v>1</v>
      </c>
      <c r="Z770" s="1758">
        <v>0</v>
      </c>
      <c r="AA770" s="1759"/>
      <c r="AB770" s="1748"/>
      <c r="AC770" s="1748"/>
      <c r="AD770" s="1595" t="str">
        <f t="shared" si="424"/>
        <v/>
      </c>
      <c r="AE770" s="1595">
        <f t="shared" si="447"/>
        <v>3</v>
      </c>
      <c r="AF770" s="1595" t="str">
        <f t="shared" si="448"/>
        <v/>
      </c>
      <c r="AG770" s="1748"/>
      <c r="AH770" s="1749" t="str">
        <f t="shared" si="425"/>
        <v/>
      </c>
      <c r="AI770" s="1622" t="s">
        <v>6495</v>
      </c>
      <c r="AJ770" s="1616"/>
      <c r="AK770" s="1616"/>
      <c r="AL770" s="1619"/>
      <c r="AM770" s="247" t="str">
        <f t="shared" si="418"/>
        <v/>
      </c>
      <c r="AN770" s="247" t="str">
        <f t="shared" si="419"/>
        <v/>
      </c>
      <c r="AO770" s="247" t="str">
        <f t="shared" si="420"/>
        <v/>
      </c>
      <c r="AP770" s="247" t="str">
        <f t="shared" si="421"/>
        <v/>
      </c>
      <c r="AQ770" s="42">
        <f t="shared" si="449"/>
        <v>1</v>
      </c>
      <c r="AR770" s="42">
        <f t="shared" si="450"/>
        <v>1</v>
      </c>
      <c r="AS770" s="42">
        <f t="shared" si="451"/>
        <v>1</v>
      </c>
      <c r="AT770" s="42">
        <f t="shared" si="452"/>
        <v>1</v>
      </c>
      <c r="AU770" s="247" t="str">
        <f t="shared" si="422"/>
        <v/>
      </c>
      <c r="AV770" s="247" t="str">
        <f t="shared" si="423"/>
        <v/>
      </c>
    </row>
    <row r="771" spans="1:48" ht="33.75" x14ac:dyDescent="0.2">
      <c r="A771" s="450" t="s">
        <v>220</v>
      </c>
      <c r="B771" s="429" t="s">
        <v>6276</v>
      </c>
      <c r="C771" s="430" t="s">
        <v>1601</v>
      </c>
      <c r="D771" s="1349" t="s">
        <v>4638</v>
      </c>
      <c r="E771" s="1350" t="s">
        <v>1493</v>
      </c>
      <c r="F771" s="1350" t="s">
        <v>6682</v>
      </c>
      <c r="G771" s="1351" t="s">
        <v>6069</v>
      </c>
      <c r="H771" s="1342" t="s">
        <v>1328</v>
      </c>
      <c r="I771" s="432" t="s">
        <v>1548</v>
      </c>
      <c r="J771" s="431"/>
      <c r="K771" s="431"/>
      <c r="L771" s="431"/>
      <c r="M771" s="433"/>
      <c r="N771" s="434" t="s">
        <v>1303</v>
      </c>
      <c r="O771" s="1743" t="str">
        <f>VLOOKUP(B771,code_famille_scénario,2)&amp;VLOOKUP(C771,code_actif,2)&amp;", par "&amp;VLOOKUP(N771,code_acteur,2)</f>
        <v>Altération malveillante (non détectée) de configurations (code, paramétrage, etc.) de services bureautiques communs, par un utilisateur non autorisé</v>
      </c>
      <c r="P771" s="435">
        <v>1</v>
      </c>
      <c r="Q771" s="1595" t="s">
        <v>1299</v>
      </c>
      <c r="R771" s="1595" t="s">
        <v>4638</v>
      </c>
      <c r="S771" s="1595" t="str">
        <f>Classif!D24</f>
        <v/>
      </c>
      <c r="T771" s="1595">
        <f t="shared" si="445"/>
        <v>3</v>
      </c>
      <c r="U771" s="1744" t="str">
        <f t="shared" si="446"/>
        <v/>
      </c>
      <c r="V771" s="1771">
        <v>1</v>
      </c>
      <c r="W771" s="1771">
        <f>MAX(MIN(S07A01,S07A02,S07A03,S07A04),S08B01)</f>
        <v>1</v>
      </c>
      <c r="X771" s="1771">
        <v>1</v>
      </c>
      <c r="Y771" s="1771">
        <v>1</v>
      </c>
      <c r="Z771" s="1758">
        <v>0</v>
      </c>
      <c r="AA771" s="1759"/>
      <c r="AB771" s="1748"/>
      <c r="AC771" s="1748"/>
      <c r="AD771" s="1595" t="str">
        <f t="shared" si="424"/>
        <v/>
      </c>
      <c r="AE771" s="1595">
        <f t="shared" si="447"/>
        <v>3</v>
      </c>
      <c r="AF771" s="1595" t="str">
        <f t="shared" si="448"/>
        <v/>
      </c>
      <c r="AG771" s="1748"/>
      <c r="AH771" s="1749" t="str">
        <f t="shared" si="425"/>
        <v/>
      </c>
      <c r="AI771" s="1620"/>
      <c r="AJ771" s="1616" t="s">
        <v>3688</v>
      </c>
      <c r="AK771" s="1616"/>
      <c r="AL771" s="1619"/>
      <c r="AM771" s="247" t="str">
        <f t="shared" si="418"/>
        <v/>
      </c>
      <c r="AN771" s="247" t="str">
        <f t="shared" si="419"/>
        <v/>
      </c>
      <c r="AO771" s="247" t="str">
        <f t="shared" si="420"/>
        <v/>
      </c>
      <c r="AP771" s="247" t="str">
        <f t="shared" si="421"/>
        <v/>
      </c>
      <c r="AQ771" s="42">
        <f t="shared" si="449"/>
        <v>1</v>
      </c>
      <c r="AR771" s="42">
        <f t="shared" si="450"/>
        <v>1</v>
      </c>
      <c r="AS771" s="42">
        <f t="shared" si="451"/>
        <v>1</v>
      </c>
      <c r="AT771" s="42">
        <f t="shared" si="452"/>
        <v>1</v>
      </c>
      <c r="AU771" s="247" t="str">
        <f t="shared" si="422"/>
        <v/>
      </c>
      <c r="AV771" s="247" t="str">
        <f t="shared" si="423"/>
        <v/>
      </c>
    </row>
    <row r="772" spans="1:48" ht="36" x14ac:dyDescent="0.2">
      <c r="A772" s="450" t="s">
        <v>221</v>
      </c>
      <c r="B772" s="429" t="s">
        <v>3722</v>
      </c>
      <c r="C772" s="430" t="s">
        <v>1601</v>
      </c>
      <c r="D772" s="1349" t="s">
        <v>4638</v>
      </c>
      <c r="E772" s="1350" t="s">
        <v>3727</v>
      </c>
      <c r="F772" s="1350" t="s">
        <v>6682</v>
      </c>
      <c r="G772" s="1351" t="s">
        <v>6069</v>
      </c>
      <c r="H772" s="1342" t="s">
        <v>1327</v>
      </c>
      <c r="I772" s="432" t="s">
        <v>1545</v>
      </c>
      <c r="J772" s="431"/>
      <c r="K772" s="431"/>
      <c r="L772" s="431"/>
      <c r="M772" s="433" t="s">
        <v>2976</v>
      </c>
      <c r="N772" s="434" t="s">
        <v>6403</v>
      </c>
      <c r="O772" s="1760" t="str">
        <f>VLOOKUP(B772,code_famille_scénario,2)&amp;VLOOKUP(C772,code_actif,2)&amp;", "&amp;VLOOKUP(M772,code_process,2)&amp;" par "&amp;VLOOKUP(N772,code_acteur,2)</f>
        <v>Altération ou inhibition accidentelle (non détectée) des fonctions de sécurité de services bureautiques communs, lors de la remise en service après intervention par un membre du personnel d'exploitation</v>
      </c>
      <c r="P772" s="435">
        <v>1</v>
      </c>
      <c r="Q772" s="1595" t="s">
        <v>6403</v>
      </c>
      <c r="R772" s="1595" t="s">
        <v>4638</v>
      </c>
      <c r="S772" s="1595" t="str">
        <f>Classif!D24</f>
        <v/>
      </c>
      <c r="T772" s="1595">
        <f t="shared" si="445"/>
        <v>3</v>
      </c>
      <c r="U772" s="1744" t="str">
        <f t="shared" si="446"/>
        <v/>
      </c>
      <c r="V772" s="1771">
        <v>1</v>
      </c>
      <c r="W772" s="1771">
        <f>S08B01</f>
        <v>1</v>
      </c>
      <c r="X772" s="1771">
        <v>1</v>
      </c>
      <c r="Y772" s="1771">
        <v>1</v>
      </c>
      <c r="Z772" s="1758">
        <v>0</v>
      </c>
      <c r="AA772" s="1759"/>
      <c r="AB772" s="1748"/>
      <c r="AC772" s="1748"/>
      <c r="AD772" s="1595" t="str">
        <f t="shared" si="424"/>
        <v/>
      </c>
      <c r="AE772" s="1595">
        <f t="shared" si="447"/>
        <v>3</v>
      </c>
      <c r="AF772" s="1595" t="str">
        <f t="shared" si="448"/>
        <v/>
      </c>
      <c r="AG772" s="1748"/>
      <c r="AH772" s="1749" t="str">
        <f t="shared" si="425"/>
        <v/>
      </c>
      <c r="AI772" s="1622"/>
      <c r="AJ772" s="1621" t="s">
        <v>4807</v>
      </c>
      <c r="AK772" s="1618"/>
      <c r="AL772" s="1619"/>
      <c r="AM772" s="247" t="str">
        <f t="shared" si="418"/>
        <v/>
      </c>
      <c r="AN772" s="247" t="str">
        <f t="shared" si="419"/>
        <v/>
      </c>
      <c r="AO772" s="247" t="str">
        <f t="shared" si="420"/>
        <v/>
      </c>
      <c r="AP772" s="247" t="str">
        <f t="shared" si="421"/>
        <v/>
      </c>
      <c r="AQ772" s="42">
        <f t="shared" si="449"/>
        <v>1</v>
      </c>
      <c r="AR772" s="42">
        <f t="shared" si="450"/>
        <v>1</v>
      </c>
      <c r="AS772" s="42">
        <f t="shared" si="451"/>
        <v>1</v>
      </c>
      <c r="AT772" s="42">
        <f t="shared" si="452"/>
        <v>1</v>
      </c>
      <c r="AU772" s="247" t="str">
        <f t="shared" si="422"/>
        <v/>
      </c>
      <c r="AV772" s="247" t="str">
        <f t="shared" si="423"/>
        <v/>
      </c>
    </row>
    <row r="773" spans="1:48" ht="36" x14ac:dyDescent="0.2">
      <c r="A773" s="450" t="s">
        <v>222</v>
      </c>
      <c r="B773" s="429" t="s">
        <v>3722</v>
      </c>
      <c r="C773" s="430" t="s">
        <v>1601</v>
      </c>
      <c r="D773" s="1349" t="s">
        <v>4638</v>
      </c>
      <c r="E773" s="1350" t="s">
        <v>3727</v>
      </c>
      <c r="F773" s="1350" t="s">
        <v>6682</v>
      </c>
      <c r="G773" s="1351" t="s">
        <v>6069</v>
      </c>
      <c r="H773" s="1342" t="s">
        <v>1327</v>
      </c>
      <c r="I773" s="432" t="s">
        <v>1545</v>
      </c>
      <c r="J773" s="431"/>
      <c r="K773" s="431"/>
      <c r="L773" s="431"/>
      <c r="M773" s="433" t="s">
        <v>2976</v>
      </c>
      <c r="N773" s="434" t="s">
        <v>1299</v>
      </c>
      <c r="O773" s="1760" t="str">
        <f>VLOOKUP(B773,code_famille_scénario,2)&amp;VLOOKUP(C773,code_actif,2)&amp;", "&amp;VLOOKUP(M773,code_process,2)&amp;" par "&amp;VLOOKUP(N773,code_acteur,2)</f>
        <v>Altération ou inhibition accidentelle (non détectée) des fonctions de sécurité de services bureautiques communs, lors de la remise en service après intervention par un membre du personnel de maintenance</v>
      </c>
      <c r="P773" s="435">
        <v>1</v>
      </c>
      <c r="Q773" s="1595" t="s">
        <v>6403</v>
      </c>
      <c r="R773" s="1595" t="s">
        <v>4638</v>
      </c>
      <c r="S773" s="1595" t="str">
        <f>Classif!D24</f>
        <v/>
      </c>
      <c r="T773" s="1595">
        <f t="shared" si="445"/>
        <v>3</v>
      </c>
      <c r="U773" s="1744" t="str">
        <f t="shared" si="446"/>
        <v/>
      </c>
      <c r="V773" s="1771">
        <v>1</v>
      </c>
      <c r="W773" s="1771">
        <f>S08B01</f>
        <v>1</v>
      </c>
      <c r="X773" s="1771">
        <v>1</v>
      </c>
      <c r="Y773" s="1771">
        <v>1</v>
      </c>
      <c r="Z773" s="1758">
        <v>0</v>
      </c>
      <c r="AA773" s="1759"/>
      <c r="AB773" s="1748"/>
      <c r="AC773" s="1748"/>
      <c r="AD773" s="1595" t="str">
        <f t="shared" si="424"/>
        <v/>
      </c>
      <c r="AE773" s="1595">
        <f t="shared" si="447"/>
        <v>3</v>
      </c>
      <c r="AF773" s="1595" t="str">
        <f t="shared" si="448"/>
        <v/>
      </c>
      <c r="AG773" s="1748"/>
      <c r="AH773" s="1749" t="str">
        <f t="shared" si="425"/>
        <v/>
      </c>
      <c r="AI773" s="1615"/>
      <c r="AJ773" s="1621" t="s">
        <v>4807</v>
      </c>
      <c r="AK773" s="1618"/>
      <c r="AL773" s="1619"/>
      <c r="AM773" s="247" t="str">
        <f t="shared" si="418"/>
        <v/>
      </c>
      <c r="AN773" s="247" t="str">
        <f t="shared" si="419"/>
        <v/>
      </c>
      <c r="AO773" s="247" t="str">
        <f t="shared" si="420"/>
        <v/>
      </c>
      <c r="AP773" s="247" t="str">
        <f t="shared" si="421"/>
        <v/>
      </c>
      <c r="AQ773" s="42">
        <f t="shared" si="449"/>
        <v>1</v>
      </c>
      <c r="AR773" s="42">
        <f t="shared" si="450"/>
        <v>1</v>
      </c>
      <c r="AS773" s="42">
        <f t="shared" si="451"/>
        <v>1</v>
      </c>
      <c r="AT773" s="42">
        <f t="shared" si="452"/>
        <v>1</v>
      </c>
      <c r="AU773" s="247" t="str">
        <f t="shared" si="422"/>
        <v/>
      </c>
      <c r="AV773" s="247" t="str">
        <f t="shared" si="423"/>
        <v/>
      </c>
    </row>
    <row r="774" spans="1:48" ht="36" x14ac:dyDescent="0.2">
      <c r="A774" s="450" t="s">
        <v>223</v>
      </c>
      <c r="B774" s="429" t="s">
        <v>3724</v>
      </c>
      <c r="C774" s="430" t="s">
        <v>1601</v>
      </c>
      <c r="D774" s="1349" t="s">
        <v>4638</v>
      </c>
      <c r="E774" s="1350" t="s">
        <v>3727</v>
      </c>
      <c r="F774" s="1350" t="s">
        <v>6682</v>
      </c>
      <c r="G774" s="1351" t="s">
        <v>6069</v>
      </c>
      <c r="H774" s="1342" t="s">
        <v>1328</v>
      </c>
      <c r="I774" s="432" t="s">
        <v>1548</v>
      </c>
      <c r="J774" s="431"/>
      <c r="K774" s="431"/>
      <c r="L774" s="431"/>
      <c r="M774" s="433" t="s">
        <v>2976</v>
      </c>
      <c r="N774" s="434" t="s">
        <v>6403</v>
      </c>
      <c r="O774" s="1760" t="str">
        <f>VLOOKUP(B774,code_famille_scénario,2)&amp;VLOOKUP(C774,code_actif,2)&amp;", "&amp;VLOOKUP(M774,code_process,2)&amp;" par "&amp;VLOOKUP(N774,code_acteur,2)</f>
        <v>Altération ou inhibition malveillante (non détectée) des fonctions de sécurité de services bureautiques communs, lors de la remise en service après intervention par un membre du personnel d'exploitation</v>
      </c>
      <c r="P774" s="435">
        <v>1</v>
      </c>
      <c r="Q774" s="1595" t="s">
        <v>1299</v>
      </c>
      <c r="R774" s="1595" t="s">
        <v>4638</v>
      </c>
      <c r="S774" s="1595" t="str">
        <f>Classif!D24</f>
        <v/>
      </c>
      <c r="T774" s="1595">
        <f t="shared" si="445"/>
        <v>3</v>
      </c>
      <c r="U774" s="1744" t="str">
        <f t="shared" si="446"/>
        <v/>
      </c>
      <c r="V774" s="1771">
        <f>MIN(S07C02,S08F03)</f>
        <v>1</v>
      </c>
      <c r="W774" s="1771">
        <v>1</v>
      </c>
      <c r="X774" s="1771">
        <v>1</v>
      </c>
      <c r="Y774" s="1771">
        <v>1</v>
      </c>
      <c r="Z774" s="1758">
        <v>0</v>
      </c>
      <c r="AA774" s="1759"/>
      <c r="AB774" s="1748"/>
      <c r="AC774" s="1748"/>
      <c r="AD774" s="1595" t="str">
        <f t="shared" si="424"/>
        <v/>
      </c>
      <c r="AE774" s="1595">
        <f t="shared" si="447"/>
        <v>3</v>
      </c>
      <c r="AF774" s="1595" t="str">
        <f t="shared" si="448"/>
        <v/>
      </c>
      <c r="AG774" s="1748"/>
      <c r="AH774" s="1749" t="str">
        <f t="shared" si="425"/>
        <v/>
      </c>
      <c r="AI774" s="1622" t="s">
        <v>3728</v>
      </c>
      <c r="AJ774" s="1621"/>
      <c r="AK774" s="1618"/>
      <c r="AL774" s="1619"/>
      <c r="AM774" s="247" t="str">
        <f t="shared" ref="AM774:AM837" si="453">IF($AH774=1,$H774&amp;"."&amp;$I774&amp;$AH774,"")</f>
        <v/>
      </c>
      <c r="AN774" s="247" t="str">
        <f t="shared" ref="AN774:AN837" si="454">IF($AH774=2,$H774&amp;"."&amp;$I774&amp;$AH774,"")</f>
        <v/>
      </c>
      <c r="AO774" s="247" t="str">
        <f t="shared" ref="AO774:AO837" si="455">IF($AH774=3,$H774&amp;"."&amp;$I774&amp;$AH774,"")</f>
        <v/>
      </c>
      <c r="AP774" s="247" t="str">
        <f t="shared" ref="AP774:AP837" si="456">IF($AH774=4,$H774&amp;"."&amp;$I774&amp;$AH774,"")</f>
        <v/>
      </c>
      <c r="AQ774" s="42">
        <f t="shared" si="449"/>
        <v>1</v>
      </c>
      <c r="AR774" s="42">
        <f t="shared" si="450"/>
        <v>1</v>
      </c>
      <c r="AS774" s="42">
        <f t="shared" si="451"/>
        <v>1</v>
      </c>
      <c r="AT774" s="42">
        <f t="shared" si="452"/>
        <v>1</v>
      </c>
      <c r="AU774" s="247" t="str">
        <f t="shared" ref="AU774:AU837" si="457">IF(S774="","",IF(T774="","",10*S774+T774))</f>
        <v/>
      </c>
      <c r="AV774" s="247" t="str">
        <f t="shared" ref="AV774:AV837" si="458">IF(AD774="","",IF(AE774="","",10*AD774+AE774))</f>
        <v/>
      </c>
    </row>
    <row r="775" spans="1:48" ht="36" x14ac:dyDescent="0.2">
      <c r="A775" s="450" t="s">
        <v>224</v>
      </c>
      <c r="B775" s="429" t="s">
        <v>3724</v>
      </c>
      <c r="C775" s="430" t="s">
        <v>1601</v>
      </c>
      <c r="D775" s="1349" t="s">
        <v>4638</v>
      </c>
      <c r="E775" s="1350" t="s">
        <v>3727</v>
      </c>
      <c r="F775" s="1350" t="s">
        <v>6682</v>
      </c>
      <c r="G775" s="1351" t="s">
        <v>6069</v>
      </c>
      <c r="H775" s="1342" t="s">
        <v>1328</v>
      </c>
      <c r="I775" s="432" t="s">
        <v>1548</v>
      </c>
      <c r="J775" s="431"/>
      <c r="K775" s="431"/>
      <c r="L775" s="431"/>
      <c r="M775" s="433" t="s">
        <v>2976</v>
      </c>
      <c r="N775" s="434" t="s">
        <v>3518</v>
      </c>
      <c r="O775" s="1760" t="str">
        <f>VLOOKUP(B775,code_famille_scénario,2)&amp;VLOOKUP(C775,code_actif,2)&amp;", "&amp;VLOOKUP(M775,code_process,2)&amp;" par "&amp;VLOOKUP(N775,code_acteur,2)</f>
        <v>Altération ou inhibition malveillante (non détectée) des fonctions de sécurité de services bureautiques communs, lors de la remise en service après intervention par un membre du personnel non autorisé</v>
      </c>
      <c r="P775" s="435">
        <v>1</v>
      </c>
      <c r="Q775" s="1595" t="s">
        <v>1299</v>
      </c>
      <c r="R775" s="1595" t="s">
        <v>4638</v>
      </c>
      <c r="S775" s="1595" t="str">
        <f>Classif!D24</f>
        <v/>
      </c>
      <c r="T775" s="1595">
        <f t="shared" si="445"/>
        <v>3</v>
      </c>
      <c r="U775" s="1744" t="str">
        <f t="shared" si="446"/>
        <v/>
      </c>
      <c r="V775" s="1771">
        <v>1</v>
      </c>
      <c r="W775" s="1771">
        <f>MIN(S08F01,S08F02)</f>
        <v>1</v>
      </c>
      <c r="X775" s="1771">
        <v>1</v>
      </c>
      <c r="Y775" s="1771">
        <v>1</v>
      </c>
      <c r="Z775" s="1758">
        <v>0</v>
      </c>
      <c r="AA775" s="1759"/>
      <c r="AB775" s="1748"/>
      <c r="AC775" s="1748"/>
      <c r="AD775" s="1595" t="str">
        <f t="shared" ref="AD775:AD838" si="459">IF(OR(R775="",S775=""),"",IF(R775="D",INDEX(base_i,IF(IF(AA775="",Z775,AA775)=0,4,5-X775),Y775+7*(S775-1)),IF(R775="I",INDEX(base_i,IF(IF(AA775="",Z775,AA775)=0,15,16-X775),Y775+7*(S775-1)),IF(R775="C",INDEX(base_i,IF(IF(AA775="",Z775,AA775)=0,26,27-X775),Y775+7*(S775-1)),INDEX(base_i,38-X775,Y775+7*(S775-1))))))</f>
        <v/>
      </c>
      <c r="AE775" s="1595">
        <f t="shared" si="447"/>
        <v>3</v>
      </c>
      <c r="AF775" s="1595" t="str">
        <f t="shared" si="448"/>
        <v/>
      </c>
      <c r="AG775" s="1748"/>
      <c r="AH775" s="1749" t="str">
        <f t="shared" ref="AH775:AH838" si="460">IF(OR(AG775="A",AG775="a",AG775="T",AG775="t",AF775=""),"",AF775)</f>
        <v/>
      </c>
      <c r="AI775" s="1615"/>
      <c r="AJ775" s="1621" t="s">
        <v>3729</v>
      </c>
      <c r="AK775" s="1618"/>
      <c r="AL775" s="1619"/>
      <c r="AM775" s="247" t="str">
        <f t="shared" si="453"/>
        <v/>
      </c>
      <c r="AN775" s="247" t="str">
        <f t="shared" si="454"/>
        <v/>
      </c>
      <c r="AO775" s="247" t="str">
        <f t="shared" si="455"/>
        <v/>
      </c>
      <c r="AP775" s="247" t="str">
        <f t="shared" si="456"/>
        <v/>
      </c>
      <c r="AQ775" s="42">
        <f t="shared" si="449"/>
        <v>1</v>
      </c>
      <c r="AR775" s="42">
        <f t="shared" si="450"/>
        <v>1</v>
      </c>
      <c r="AS775" s="42">
        <f t="shared" si="451"/>
        <v>1</v>
      </c>
      <c r="AT775" s="42">
        <f t="shared" si="452"/>
        <v>1</v>
      </c>
      <c r="AU775" s="247" t="str">
        <f t="shared" si="457"/>
        <v/>
      </c>
      <c r="AV775" s="247" t="str">
        <f t="shared" si="458"/>
        <v/>
      </c>
    </row>
    <row r="776" spans="1:48" ht="15" x14ac:dyDescent="0.2">
      <c r="A776" s="456" t="s">
        <v>3735</v>
      </c>
      <c r="B776" s="457"/>
      <c r="C776" s="423" t="s">
        <v>3736</v>
      </c>
      <c r="D776" s="1356"/>
      <c r="E776" s="1357"/>
      <c r="F776" s="1357"/>
      <c r="G776" s="1360"/>
      <c r="H776" s="1345"/>
      <c r="I776" s="459"/>
      <c r="J776" s="458"/>
      <c r="K776" s="458"/>
      <c r="L776" s="458"/>
      <c r="M776" s="460"/>
      <c r="N776" s="461"/>
      <c r="O776" s="1761"/>
      <c r="P776" s="1608"/>
      <c r="Q776" s="1596"/>
      <c r="R776" s="1595"/>
      <c r="S776" s="1753"/>
      <c r="T776" s="1595"/>
      <c r="U776" s="1744"/>
      <c r="V776" s="1754"/>
      <c r="W776" s="1754"/>
      <c r="X776" s="1754"/>
      <c r="Y776" s="1754"/>
      <c r="Z776" s="1762"/>
      <c r="AA776" s="1763"/>
      <c r="AB776" s="1748"/>
      <c r="AC776" s="1748"/>
      <c r="AD776" s="1595"/>
      <c r="AE776" s="1753"/>
      <c r="AF776" s="1595"/>
      <c r="AG776" s="1748"/>
      <c r="AH776" s="1749"/>
      <c r="AI776" s="1627"/>
      <c r="AJ776" s="1628"/>
      <c r="AK776" s="1628"/>
      <c r="AL776" s="1629"/>
      <c r="AM776" s="247" t="str">
        <f t="shared" si="453"/>
        <v/>
      </c>
      <c r="AN776" s="247" t="str">
        <f t="shared" si="454"/>
        <v/>
      </c>
      <c r="AO776" s="247" t="str">
        <f t="shared" si="455"/>
        <v/>
      </c>
      <c r="AP776" s="247" t="str">
        <f t="shared" si="456"/>
        <v/>
      </c>
      <c r="AU776" s="247" t="str">
        <f t="shared" si="457"/>
        <v/>
      </c>
      <c r="AV776" s="247" t="str">
        <f t="shared" si="458"/>
        <v/>
      </c>
    </row>
    <row r="777" spans="1:48" ht="24" x14ac:dyDescent="0.2">
      <c r="A777" s="450" t="s">
        <v>225</v>
      </c>
      <c r="B777" s="429" t="s">
        <v>2494</v>
      </c>
      <c r="C777" s="430" t="s">
        <v>3313</v>
      </c>
      <c r="D777" s="1349" t="s">
        <v>4638</v>
      </c>
      <c r="E777" s="1350" t="s">
        <v>1493</v>
      </c>
      <c r="F777" s="1350" t="s">
        <v>6682</v>
      </c>
      <c r="G777" s="1351" t="s">
        <v>6069</v>
      </c>
      <c r="H777" s="1342" t="s">
        <v>1327</v>
      </c>
      <c r="I777" s="432" t="s">
        <v>1545</v>
      </c>
      <c r="J777" s="431"/>
      <c r="K777" s="431"/>
      <c r="L777" s="431"/>
      <c r="M777" s="433"/>
      <c r="N777" s="434" t="s">
        <v>1299</v>
      </c>
      <c r="O777" s="1743" t="str">
        <f>VLOOKUP(B777,code_famille_scénario,2)&amp;VLOOKUP(C777,code_actif,2)&amp;", par "&amp;VLOOKUP(N777,code_acteur,2)</f>
        <v>Altération, par erreur de procédure, de configuration de services systèmes communs, par un membre du personnel de maintenance</v>
      </c>
      <c r="P777" s="435">
        <v>1</v>
      </c>
      <c r="Q777" s="1595" t="s">
        <v>6403</v>
      </c>
      <c r="R777" s="1595" t="s">
        <v>4638</v>
      </c>
      <c r="S777" s="1595" t="str">
        <f>Classif!D26</f>
        <v/>
      </c>
      <c r="T777" s="1595">
        <f t="shared" ref="T777:T785" si="461">VLOOKUP(H777&amp;"."&amp;I777,Tab_event,4)</f>
        <v>3</v>
      </c>
      <c r="U777" s="1744" t="str">
        <f t="shared" ref="U777:U785" si="462">IF(AND(NOT(S777=""),NOT(T777="")),INDEX(base_g,5-S777,T777),"")</f>
        <v/>
      </c>
      <c r="V777" s="1771">
        <v>1</v>
      </c>
      <c r="W777" s="1771">
        <f>S08B01</f>
        <v>1</v>
      </c>
      <c r="X777" s="1771">
        <v>1</v>
      </c>
      <c r="Y777" s="1771">
        <v>1</v>
      </c>
      <c r="Z777" s="1758">
        <v>0</v>
      </c>
      <c r="AA777" s="1759"/>
      <c r="AB777" s="1748"/>
      <c r="AC777" s="1748"/>
      <c r="AD777" s="1595" t="str">
        <f t="shared" si="459"/>
        <v/>
      </c>
      <c r="AE777" s="1595">
        <f t="shared" ref="AE777:AE785" si="463">IF(OR(Q777="",T777=""),"",IF(Q777="A",INDEX(base_p,4,W777+7*(T777-1)),IF(Q777="E",INDEX(base_p,15,W777+7*(T777-1)),INDEX(base_p,27-V777,W777+7*(T777-1)))))</f>
        <v>3</v>
      </c>
      <c r="AF777" s="1595" t="str">
        <f t="shared" ref="AF777:AF785" si="464">IF(AT777=1,IF(IndG=1,U777,IF(AND(OR(NOT(AD777=""),NOT(AB777="")),OR(NOT(AE777=""),NOT(AC777="")),AT777=1),INDEX(base_g,5-IF(AB777="",AD777,AB777),IF(AC777="",AE777,AC777)),"")),0)</f>
        <v/>
      </c>
      <c r="AG777" s="1748"/>
      <c r="AH777" s="1749" t="str">
        <f t="shared" si="460"/>
        <v/>
      </c>
      <c r="AI777" s="1622"/>
      <c r="AJ777" s="1621" t="s">
        <v>4807</v>
      </c>
      <c r="AK777" s="1621"/>
      <c r="AL777" s="1619"/>
      <c r="AM777" s="247" t="str">
        <f t="shared" si="453"/>
        <v/>
      </c>
      <c r="AN777" s="247" t="str">
        <f t="shared" si="454"/>
        <v/>
      </c>
      <c r="AO777" s="247" t="str">
        <f t="shared" si="455"/>
        <v/>
      </c>
      <c r="AP777" s="247" t="str">
        <f t="shared" si="456"/>
        <v/>
      </c>
      <c r="AQ777" s="42">
        <f t="shared" ref="AQ777:AQ785" si="465">VLOOKUP(LEFT(C777,3),Tab_classif_servIR,6)</f>
        <v>1</v>
      </c>
      <c r="AR777" s="42">
        <f t="shared" ref="AR777:AR785" si="466">VLOOKUP(G777,select_vul_serv,2)</f>
        <v>1</v>
      </c>
      <c r="AS777" s="42">
        <f t="shared" ref="AS777:AS785" si="467">VLOOKUP(H777&amp;"."&amp;I777,select_men,5)</f>
        <v>1</v>
      </c>
      <c r="AT777" s="42">
        <f t="shared" ref="AT777:AT785" si="468">P777*AQ777*AR777*AS777</f>
        <v>1</v>
      </c>
      <c r="AU777" s="247" t="str">
        <f t="shared" si="457"/>
        <v/>
      </c>
      <c r="AV777" s="247" t="str">
        <f t="shared" si="458"/>
        <v/>
      </c>
    </row>
    <row r="778" spans="1:48" ht="24" x14ac:dyDescent="0.2">
      <c r="A778" s="450" t="s">
        <v>226</v>
      </c>
      <c r="B778" s="429" t="s">
        <v>2494</v>
      </c>
      <c r="C778" s="430" t="s">
        <v>3313</v>
      </c>
      <c r="D778" s="1349" t="s">
        <v>4638</v>
      </c>
      <c r="E778" s="1350" t="s">
        <v>1493</v>
      </c>
      <c r="F778" s="1350" t="s">
        <v>6682</v>
      </c>
      <c r="G778" s="1351" t="s">
        <v>6069</v>
      </c>
      <c r="H778" s="1342" t="s">
        <v>1327</v>
      </c>
      <c r="I778" s="432" t="s">
        <v>1545</v>
      </c>
      <c r="J778" s="431"/>
      <c r="K778" s="431"/>
      <c r="L778" s="431"/>
      <c r="M778" s="433"/>
      <c r="N778" s="434" t="s">
        <v>6403</v>
      </c>
      <c r="O778" s="1743" t="str">
        <f>VLOOKUP(B778,code_famille_scénario,2)&amp;VLOOKUP(C778,code_actif,2)&amp;", par "&amp;VLOOKUP(N778,code_acteur,2)</f>
        <v>Altération, par erreur de procédure, de configuration de services systèmes communs, par un membre du personnel d'exploitation</v>
      </c>
      <c r="P778" s="435">
        <v>1</v>
      </c>
      <c r="Q778" s="1595" t="s">
        <v>6403</v>
      </c>
      <c r="R778" s="1595" t="s">
        <v>4638</v>
      </c>
      <c r="S778" s="1595" t="str">
        <f>Classif!D26</f>
        <v/>
      </c>
      <c r="T778" s="1595">
        <f t="shared" si="461"/>
        <v>3</v>
      </c>
      <c r="U778" s="1744" t="str">
        <f t="shared" si="462"/>
        <v/>
      </c>
      <c r="V778" s="1771">
        <v>1</v>
      </c>
      <c r="W778" s="1771">
        <f>S08B01</f>
        <v>1</v>
      </c>
      <c r="X778" s="1771">
        <v>1</v>
      </c>
      <c r="Y778" s="1771">
        <v>1</v>
      </c>
      <c r="Z778" s="1758">
        <v>0</v>
      </c>
      <c r="AA778" s="1759"/>
      <c r="AB778" s="1748"/>
      <c r="AC778" s="1748"/>
      <c r="AD778" s="1595" t="str">
        <f t="shared" si="459"/>
        <v/>
      </c>
      <c r="AE778" s="1595">
        <f t="shared" si="463"/>
        <v>3</v>
      </c>
      <c r="AF778" s="1595" t="str">
        <f t="shared" si="464"/>
        <v/>
      </c>
      <c r="AG778" s="1748"/>
      <c r="AH778" s="1749" t="str">
        <f t="shared" si="460"/>
        <v/>
      </c>
      <c r="AI778" s="1622"/>
      <c r="AJ778" s="1621" t="s">
        <v>4807</v>
      </c>
      <c r="AK778" s="1621"/>
      <c r="AL778" s="1619"/>
      <c r="AM778" s="247" t="str">
        <f t="shared" si="453"/>
        <v/>
      </c>
      <c r="AN778" s="247" t="str">
        <f t="shared" si="454"/>
        <v/>
      </c>
      <c r="AO778" s="247" t="str">
        <f t="shared" si="455"/>
        <v/>
      </c>
      <c r="AP778" s="247" t="str">
        <f t="shared" si="456"/>
        <v/>
      </c>
      <c r="AQ778" s="42">
        <f t="shared" si="465"/>
        <v>1</v>
      </c>
      <c r="AR778" s="42">
        <f t="shared" si="466"/>
        <v>1</v>
      </c>
      <c r="AS778" s="42">
        <f t="shared" si="467"/>
        <v>1</v>
      </c>
      <c r="AT778" s="42">
        <f t="shared" si="468"/>
        <v>1</v>
      </c>
      <c r="AU778" s="247" t="str">
        <f t="shared" si="457"/>
        <v/>
      </c>
      <c r="AV778" s="247" t="str">
        <f t="shared" si="458"/>
        <v/>
      </c>
    </row>
    <row r="779" spans="1:48" ht="24" x14ac:dyDescent="0.2">
      <c r="A779" s="450" t="s">
        <v>227</v>
      </c>
      <c r="B779" s="429" t="s">
        <v>6276</v>
      </c>
      <c r="C779" s="430" t="s">
        <v>3313</v>
      </c>
      <c r="D779" s="1349" t="s">
        <v>4638</v>
      </c>
      <c r="E779" s="1350" t="s">
        <v>1493</v>
      </c>
      <c r="F779" s="1350" t="s">
        <v>6682</v>
      </c>
      <c r="G779" s="1351" t="s">
        <v>6069</v>
      </c>
      <c r="H779" s="1342" t="s">
        <v>1328</v>
      </c>
      <c r="I779" s="432" t="s">
        <v>1548</v>
      </c>
      <c r="J779" s="431"/>
      <c r="K779" s="431"/>
      <c r="L779" s="431"/>
      <c r="M779" s="433"/>
      <c r="N779" s="434" t="s">
        <v>1299</v>
      </c>
      <c r="O779" s="1743" t="str">
        <f>VLOOKUP(B779,code_famille_scénario,2)&amp;VLOOKUP(C779,code_actif,2)&amp;", par "&amp;VLOOKUP(N779,code_acteur,2)</f>
        <v>Altération malveillante (non détectée) de configurations (code, paramétrage, etc.) de services systèmes communs, par un membre du personnel de maintenance</v>
      </c>
      <c r="P779" s="435">
        <v>1</v>
      </c>
      <c r="Q779" s="1595" t="s">
        <v>1299</v>
      </c>
      <c r="R779" s="1595" t="s">
        <v>4638</v>
      </c>
      <c r="S779" s="1595" t="str">
        <f>Classif!D26</f>
        <v/>
      </c>
      <c r="T779" s="1595">
        <f t="shared" si="461"/>
        <v>3</v>
      </c>
      <c r="U779" s="1744" t="str">
        <f t="shared" si="462"/>
        <v/>
      </c>
      <c r="V779" s="1771">
        <f>S08A04</f>
        <v>1</v>
      </c>
      <c r="W779" s="1771">
        <f>S08B01</f>
        <v>1</v>
      </c>
      <c r="X779" s="1771">
        <v>1</v>
      </c>
      <c r="Y779" s="1771">
        <v>1</v>
      </c>
      <c r="Z779" s="1758">
        <v>0</v>
      </c>
      <c r="AA779" s="1759"/>
      <c r="AB779" s="1748"/>
      <c r="AC779" s="1748"/>
      <c r="AD779" s="1595" t="str">
        <f t="shared" si="459"/>
        <v/>
      </c>
      <c r="AE779" s="1595">
        <f t="shared" si="463"/>
        <v>3</v>
      </c>
      <c r="AF779" s="1595" t="str">
        <f t="shared" si="464"/>
        <v/>
      </c>
      <c r="AG779" s="1748"/>
      <c r="AH779" s="1749" t="str">
        <f t="shared" si="460"/>
        <v/>
      </c>
      <c r="AI779" s="1622" t="s">
        <v>4325</v>
      </c>
      <c r="AJ779" s="1621" t="s">
        <v>4807</v>
      </c>
      <c r="AK779" s="1616"/>
      <c r="AL779" s="1619"/>
      <c r="AM779" s="247" t="str">
        <f t="shared" si="453"/>
        <v/>
      </c>
      <c r="AN779" s="247" t="str">
        <f t="shared" si="454"/>
        <v/>
      </c>
      <c r="AO779" s="247" t="str">
        <f t="shared" si="455"/>
        <v/>
      </c>
      <c r="AP779" s="247" t="str">
        <f t="shared" si="456"/>
        <v/>
      </c>
      <c r="AQ779" s="42">
        <f t="shared" si="465"/>
        <v>1</v>
      </c>
      <c r="AR779" s="42">
        <f t="shared" si="466"/>
        <v>1</v>
      </c>
      <c r="AS779" s="42">
        <f t="shared" si="467"/>
        <v>1</v>
      </c>
      <c r="AT779" s="42">
        <f t="shared" si="468"/>
        <v>1</v>
      </c>
      <c r="AU779" s="247" t="str">
        <f t="shared" si="457"/>
        <v/>
      </c>
      <c r="AV779" s="247" t="str">
        <f t="shared" si="458"/>
        <v/>
      </c>
    </row>
    <row r="780" spans="1:48" ht="24" x14ac:dyDescent="0.2">
      <c r="A780" s="450" t="s">
        <v>228</v>
      </c>
      <c r="B780" s="429" t="s">
        <v>6276</v>
      </c>
      <c r="C780" s="430" t="s">
        <v>3313</v>
      </c>
      <c r="D780" s="1349" t="s">
        <v>4638</v>
      </c>
      <c r="E780" s="1350" t="s">
        <v>1493</v>
      </c>
      <c r="F780" s="1350" t="s">
        <v>6682</v>
      </c>
      <c r="G780" s="1351" t="s">
        <v>6069</v>
      </c>
      <c r="H780" s="1342" t="s">
        <v>1328</v>
      </c>
      <c r="I780" s="432" t="s">
        <v>1548</v>
      </c>
      <c r="J780" s="431"/>
      <c r="K780" s="431"/>
      <c r="L780" s="431"/>
      <c r="M780" s="433"/>
      <c r="N780" s="434" t="s">
        <v>6403</v>
      </c>
      <c r="O780" s="1743" t="str">
        <f>VLOOKUP(B780,code_famille_scénario,2)&amp;VLOOKUP(C780,code_actif,2)&amp;", par "&amp;VLOOKUP(N780,code_acteur,2)</f>
        <v>Altération malveillante (non détectée) de configurations (code, paramétrage, etc.) de services systèmes communs, par un membre du personnel d'exploitation</v>
      </c>
      <c r="P780" s="435">
        <v>1</v>
      </c>
      <c r="Q780" s="1595" t="s">
        <v>1299</v>
      </c>
      <c r="R780" s="1595" t="s">
        <v>4638</v>
      </c>
      <c r="S780" s="1595" t="str">
        <f>Classif!D26</f>
        <v/>
      </c>
      <c r="T780" s="1595">
        <f t="shared" si="461"/>
        <v>3</v>
      </c>
      <c r="U780" s="1744" t="str">
        <f t="shared" si="462"/>
        <v/>
      </c>
      <c r="V780" s="1771">
        <f>MIN(S08F02,S08F03)</f>
        <v>1</v>
      </c>
      <c r="W780" s="1771">
        <v>1</v>
      </c>
      <c r="X780" s="1771">
        <v>1</v>
      </c>
      <c r="Y780" s="1771">
        <v>1</v>
      </c>
      <c r="Z780" s="1758">
        <v>0</v>
      </c>
      <c r="AA780" s="1759"/>
      <c r="AB780" s="1748"/>
      <c r="AC780" s="1748"/>
      <c r="AD780" s="1595" t="str">
        <f t="shared" si="459"/>
        <v/>
      </c>
      <c r="AE780" s="1595">
        <f t="shared" si="463"/>
        <v>3</v>
      </c>
      <c r="AF780" s="1595" t="str">
        <f t="shared" si="464"/>
        <v/>
      </c>
      <c r="AG780" s="1748"/>
      <c r="AH780" s="1749" t="str">
        <f t="shared" si="460"/>
        <v/>
      </c>
      <c r="AI780" s="1622" t="s">
        <v>6495</v>
      </c>
      <c r="AJ780" s="1616"/>
      <c r="AK780" s="1616"/>
      <c r="AL780" s="1619"/>
      <c r="AM780" s="247" t="str">
        <f t="shared" si="453"/>
        <v/>
      </c>
      <c r="AN780" s="247" t="str">
        <f t="shared" si="454"/>
        <v/>
      </c>
      <c r="AO780" s="247" t="str">
        <f t="shared" si="455"/>
        <v/>
      </c>
      <c r="AP780" s="247" t="str">
        <f t="shared" si="456"/>
        <v/>
      </c>
      <c r="AQ780" s="42">
        <f t="shared" si="465"/>
        <v>1</v>
      </c>
      <c r="AR780" s="42">
        <f t="shared" si="466"/>
        <v>1</v>
      </c>
      <c r="AS780" s="42">
        <f t="shared" si="467"/>
        <v>1</v>
      </c>
      <c r="AT780" s="42">
        <f t="shared" si="468"/>
        <v>1</v>
      </c>
      <c r="AU780" s="247" t="str">
        <f t="shared" si="457"/>
        <v/>
      </c>
      <c r="AV780" s="247" t="str">
        <f t="shared" si="458"/>
        <v/>
      </c>
    </row>
    <row r="781" spans="1:48" ht="33.75" x14ac:dyDescent="0.2">
      <c r="A781" s="450" t="s">
        <v>229</v>
      </c>
      <c r="B781" s="429" t="s">
        <v>6276</v>
      </c>
      <c r="C781" s="430" t="s">
        <v>3313</v>
      </c>
      <c r="D781" s="1349" t="s">
        <v>4638</v>
      </c>
      <c r="E781" s="1350" t="s">
        <v>1493</v>
      </c>
      <c r="F781" s="1350" t="s">
        <v>6682</v>
      </c>
      <c r="G781" s="1351" t="s">
        <v>6069</v>
      </c>
      <c r="H781" s="1342" t="s">
        <v>1328</v>
      </c>
      <c r="I781" s="432" t="s">
        <v>1548</v>
      </c>
      <c r="J781" s="431"/>
      <c r="K781" s="431"/>
      <c r="L781" s="431"/>
      <c r="M781" s="433"/>
      <c r="N781" s="434" t="s">
        <v>1303</v>
      </c>
      <c r="O781" s="1743" t="str">
        <f>VLOOKUP(B781,code_famille_scénario,2)&amp;VLOOKUP(C781,code_actif,2)&amp;", par "&amp;VLOOKUP(N781,code_acteur,2)</f>
        <v>Altération malveillante (non détectée) de configurations (code, paramétrage, etc.) de services systèmes communs, par un utilisateur non autorisé</v>
      </c>
      <c r="P781" s="435">
        <v>1</v>
      </c>
      <c r="Q781" s="1595" t="s">
        <v>1299</v>
      </c>
      <c r="R781" s="1595" t="s">
        <v>4638</v>
      </c>
      <c r="S781" s="1595" t="str">
        <f>Classif!D26</f>
        <v/>
      </c>
      <c r="T781" s="1595">
        <f t="shared" si="461"/>
        <v>3</v>
      </c>
      <c r="U781" s="1744" t="str">
        <f t="shared" si="462"/>
        <v/>
      </c>
      <c r="V781" s="1771">
        <v>1</v>
      </c>
      <c r="W781" s="1771">
        <f>MAX(MIN(S07A01,S07A02,S07A03,S07A04),S08B01)</f>
        <v>1</v>
      </c>
      <c r="X781" s="1771">
        <v>1</v>
      </c>
      <c r="Y781" s="1771">
        <v>1</v>
      </c>
      <c r="Z781" s="1758">
        <v>0</v>
      </c>
      <c r="AA781" s="1759"/>
      <c r="AB781" s="1748"/>
      <c r="AC781" s="1748"/>
      <c r="AD781" s="1595" t="str">
        <f t="shared" si="459"/>
        <v/>
      </c>
      <c r="AE781" s="1595">
        <f t="shared" si="463"/>
        <v>3</v>
      </c>
      <c r="AF781" s="1595" t="str">
        <f t="shared" si="464"/>
        <v/>
      </c>
      <c r="AG781" s="1748"/>
      <c r="AH781" s="1749" t="str">
        <f t="shared" si="460"/>
        <v/>
      </c>
      <c r="AI781" s="1620"/>
      <c r="AJ781" s="1616" t="s">
        <v>3688</v>
      </c>
      <c r="AK781" s="1616"/>
      <c r="AL781" s="1619"/>
      <c r="AM781" s="247" t="str">
        <f t="shared" si="453"/>
        <v/>
      </c>
      <c r="AN781" s="247" t="str">
        <f t="shared" si="454"/>
        <v/>
      </c>
      <c r="AO781" s="247" t="str">
        <f t="shared" si="455"/>
        <v/>
      </c>
      <c r="AP781" s="247" t="str">
        <f t="shared" si="456"/>
        <v/>
      </c>
      <c r="AQ781" s="42">
        <f t="shared" si="465"/>
        <v>1</v>
      </c>
      <c r="AR781" s="42">
        <f t="shared" si="466"/>
        <v>1</v>
      </c>
      <c r="AS781" s="42">
        <f t="shared" si="467"/>
        <v>1</v>
      </c>
      <c r="AT781" s="42">
        <f t="shared" si="468"/>
        <v>1</v>
      </c>
      <c r="AU781" s="247" t="str">
        <f t="shared" si="457"/>
        <v/>
      </c>
      <c r="AV781" s="247" t="str">
        <f t="shared" si="458"/>
        <v/>
      </c>
    </row>
    <row r="782" spans="1:48" ht="36" x14ac:dyDescent="0.2">
      <c r="A782" s="450" t="s">
        <v>230</v>
      </c>
      <c r="B782" s="429" t="s">
        <v>3722</v>
      </c>
      <c r="C782" s="430" t="s">
        <v>3313</v>
      </c>
      <c r="D782" s="1349" t="s">
        <v>4638</v>
      </c>
      <c r="E782" s="1350" t="s">
        <v>3727</v>
      </c>
      <c r="F782" s="1350" t="s">
        <v>6682</v>
      </c>
      <c r="G782" s="1351" t="s">
        <v>6069</v>
      </c>
      <c r="H782" s="1342" t="s">
        <v>1327</v>
      </c>
      <c r="I782" s="432" t="s">
        <v>1545</v>
      </c>
      <c r="J782" s="431"/>
      <c r="K782" s="431"/>
      <c r="L782" s="431"/>
      <c r="M782" s="433" t="s">
        <v>2976</v>
      </c>
      <c r="N782" s="434" t="s">
        <v>6403</v>
      </c>
      <c r="O782" s="1760" t="str">
        <f>VLOOKUP(B782,code_famille_scénario,2)&amp;VLOOKUP(C782,code_actif,2)&amp;", "&amp;VLOOKUP(M782,code_process,2)&amp;" par "&amp;VLOOKUP(N782,code_acteur,2)</f>
        <v>Altération ou inhibition accidentelle (non détectée) des fonctions de sécurité de services systèmes communs, lors de la remise en service après intervention par un membre du personnel d'exploitation</v>
      </c>
      <c r="P782" s="435">
        <v>1</v>
      </c>
      <c r="Q782" s="1595" t="s">
        <v>6403</v>
      </c>
      <c r="R782" s="1595" t="s">
        <v>4638</v>
      </c>
      <c r="S782" s="1595" t="str">
        <f>Classif!D26</f>
        <v/>
      </c>
      <c r="T782" s="1595">
        <f t="shared" si="461"/>
        <v>3</v>
      </c>
      <c r="U782" s="1744" t="str">
        <f t="shared" si="462"/>
        <v/>
      </c>
      <c r="V782" s="1771">
        <v>1</v>
      </c>
      <c r="W782" s="1771">
        <f>S08B01</f>
        <v>1</v>
      </c>
      <c r="X782" s="1771">
        <v>1</v>
      </c>
      <c r="Y782" s="1771">
        <v>1</v>
      </c>
      <c r="Z782" s="1758">
        <v>0</v>
      </c>
      <c r="AA782" s="1759"/>
      <c r="AB782" s="1748"/>
      <c r="AC782" s="1748"/>
      <c r="AD782" s="1595" t="str">
        <f t="shared" si="459"/>
        <v/>
      </c>
      <c r="AE782" s="1595">
        <f t="shared" si="463"/>
        <v>3</v>
      </c>
      <c r="AF782" s="1595" t="str">
        <f t="shared" si="464"/>
        <v/>
      </c>
      <c r="AG782" s="1748"/>
      <c r="AH782" s="1749" t="str">
        <f t="shared" si="460"/>
        <v/>
      </c>
      <c r="AI782" s="1622"/>
      <c r="AJ782" s="1621" t="s">
        <v>4807</v>
      </c>
      <c r="AK782" s="1618"/>
      <c r="AL782" s="1619"/>
      <c r="AM782" s="247" t="str">
        <f t="shared" si="453"/>
        <v/>
      </c>
      <c r="AN782" s="247" t="str">
        <f t="shared" si="454"/>
        <v/>
      </c>
      <c r="AO782" s="247" t="str">
        <f t="shared" si="455"/>
        <v/>
      </c>
      <c r="AP782" s="247" t="str">
        <f t="shared" si="456"/>
        <v/>
      </c>
      <c r="AQ782" s="42">
        <f t="shared" si="465"/>
        <v>1</v>
      </c>
      <c r="AR782" s="42">
        <f t="shared" si="466"/>
        <v>1</v>
      </c>
      <c r="AS782" s="42">
        <f t="shared" si="467"/>
        <v>1</v>
      </c>
      <c r="AT782" s="42">
        <f t="shared" si="468"/>
        <v>1</v>
      </c>
      <c r="AU782" s="247" t="str">
        <f t="shared" si="457"/>
        <v/>
      </c>
      <c r="AV782" s="247" t="str">
        <f t="shared" si="458"/>
        <v/>
      </c>
    </row>
    <row r="783" spans="1:48" ht="36" x14ac:dyDescent="0.2">
      <c r="A783" s="450" t="s">
        <v>231</v>
      </c>
      <c r="B783" s="429" t="s">
        <v>3722</v>
      </c>
      <c r="C783" s="430" t="s">
        <v>3313</v>
      </c>
      <c r="D783" s="1349" t="s">
        <v>4638</v>
      </c>
      <c r="E783" s="1350" t="s">
        <v>3727</v>
      </c>
      <c r="F783" s="1350" t="s">
        <v>6682</v>
      </c>
      <c r="G783" s="1351" t="s">
        <v>6069</v>
      </c>
      <c r="H783" s="1342" t="s">
        <v>1327</v>
      </c>
      <c r="I783" s="432" t="s">
        <v>1545</v>
      </c>
      <c r="J783" s="431"/>
      <c r="K783" s="431"/>
      <c r="L783" s="431"/>
      <c r="M783" s="433" t="s">
        <v>2976</v>
      </c>
      <c r="N783" s="434" t="s">
        <v>1299</v>
      </c>
      <c r="O783" s="1760" t="str">
        <f>VLOOKUP(B783,code_famille_scénario,2)&amp;VLOOKUP(C783,code_actif,2)&amp;", "&amp;VLOOKUP(M783,code_process,2)&amp;" par "&amp;VLOOKUP(N783,code_acteur,2)</f>
        <v>Altération ou inhibition accidentelle (non détectée) des fonctions de sécurité de services systèmes communs, lors de la remise en service après intervention par un membre du personnel de maintenance</v>
      </c>
      <c r="P783" s="435">
        <v>1</v>
      </c>
      <c r="Q783" s="1595" t="s">
        <v>6403</v>
      </c>
      <c r="R783" s="1595" t="s">
        <v>4638</v>
      </c>
      <c r="S783" s="1595" t="str">
        <f>Classif!D26</f>
        <v/>
      </c>
      <c r="T783" s="1595">
        <f t="shared" si="461"/>
        <v>3</v>
      </c>
      <c r="U783" s="1744" t="str">
        <f t="shared" si="462"/>
        <v/>
      </c>
      <c r="V783" s="1771">
        <v>1</v>
      </c>
      <c r="W783" s="1771">
        <f>S08B01</f>
        <v>1</v>
      </c>
      <c r="X783" s="1771">
        <v>1</v>
      </c>
      <c r="Y783" s="1771">
        <v>1</v>
      </c>
      <c r="Z783" s="1758">
        <v>0</v>
      </c>
      <c r="AA783" s="1759"/>
      <c r="AB783" s="1748"/>
      <c r="AC783" s="1748"/>
      <c r="AD783" s="1595" t="str">
        <f t="shared" si="459"/>
        <v/>
      </c>
      <c r="AE783" s="1595">
        <f t="shared" si="463"/>
        <v>3</v>
      </c>
      <c r="AF783" s="1595" t="str">
        <f t="shared" si="464"/>
        <v/>
      </c>
      <c r="AG783" s="1748"/>
      <c r="AH783" s="1749" t="str">
        <f t="shared" si="460"/>
        <v/>
      </c>
      <c r="AI783" s="1615"/>
      <c r="AJ783" s="1621" t="s">
        <v>4807</v>
      </c>
      <c r="AK783" s="1618"/>
      <c r="AL783" s="1619"/>
      <c r="AM783" s="247" t="str">
        <f t="shared" si="453"/>
        <v/>
      </c>
      <c r="AN783" s="247" t="str">
        <f t="shared" si="454"/>
        <v/>
      </c>
      <c r="AO783" s="247" t="str">
        <f t="shared" si="455"/>
        <v/>
      </c>
      <c r="AP783" s="247" t="str">
        <f t="shared" si="456"/>
        <v/>
      </c>
      <c r="AQ783" s="42">
        <f t="shared" si="465"/>
        <v>1</v>
      </c>
      <c r="AR783" s="42">
        <f t="shared" si="466"/>
        <v>1</v>
      </c>
      <c r="AS783" s="42">
        <f t="shared" si="467"/>
        <v>1</v>
      </c>
      <c r="AT783" s="42">
        <f t="shared" si="468"/>
        <v>1</v>
      </c>
      <c r="AU783" s="247" t="str">
        <f t="shared" si="457"/>
        <v/>
      </c>
      <c r="AV783" s="247" t="str">
        <f t="shared" si="458"/>
        <v/>
      </c>
    </row>
    <row r="784" spans="1:48" ht="36" x14ac:dyDescent="0.2">
      <c r="A784" s="450" t="s">
        <v>232</v>
      </c>
      <c r="B784" s="429" t="s">
        <v>3724</v>
      </c>
      <c r="C784" s="430" t="s">
        <v>3313</v>
      </c>
      <c r="D784" s="1349" t="s">
        <v>4638</v>
      </c>
      <c r="E784" s="1350" t="s">
        <v>3727</v>
      </c>
      <c r="F784" s="1350" t="s">
        <v>6682</v>
      </c>
      <c r="G784" s="1351" t="s">
        <v>6069</v>
      </c>
      <c r="H784" s="1342" t="s">
        <v>1328</v>
      </c>
      <c r="I784" s="432" t="s">
        <v>1548</v>
      </c>
      <c r="J784" s="431"/>
      <c r="K784" s="431"/>
      <c r="L784" s="431"/>
      <c r="M784" s="433" t="s">
        <v>2976</v>
      </c>
      <c r="N784" s="434" t="s">
        <v>6403</v>
      </c>
      <c r="O784" s="1760" t="str">
        <f>VLOOKUP(B784,code_famille_scénario,2)&amp;VLOOKUP(C784,code_actif,2)&amp;", "&amp;VLOOKUP(M784,code_process,2)&amp;" par "&amp;VLOOKUP(N784,code_acteur,2)</f>
        <v>Altération ou inhibition malveillante (non détectée) des fonctions de sécurité de services systèmes communs, lors de la remise en service après intervention par un membre du personnel d'exploitation</v>
      </c>
      <c r="P784" s="435">
        <v>1</v>
      </c>
      <c r="Q784" s="1595" t="s">
        <v>1299</v>
      </c>
      <c r="R784" s="1595" t="s">
        <v>4638</v>
      </c>
      <c r="S784" s="1595" t="str">
        <f>Classif!D26</f>
        <v/>
      </c>
      <c r="T784" s="1595">
        <f t="shared" si="461"/>
        <v>3</v>
      </c>
      <c r="U784" s="1744" t="str">
        <f t="shared" si="462"/>
        <v/>
      </c>
      <c r="V784" s="1771">
        <f>MIN(S07C02,S08F03)</f>
        <v>1</v>
      </c>
      <c r="W784" s="1771">
        <v>1</v>
      </c>
      <c r="X784" s="1771">
        <v>1</v>
      </c>
      <c r="Y784" s="1771">
        <v>1</v>
      </c>
      <c r="Z784" s="1758">
        <v>0</v>
      </c>
      <c r="AA784" s="1759"/>
      <c r="AB784" s="1748"/>
      <c r="AC784" s="1748"/>
      <c r="AD784" s="1595" t="str">
        <f t="shared" si="459"/>
        <v/>
      </c>
      <c r="AE784" s="1595">
        <f t="shared" si="463"/>
        <v>3</v>
      </c>
      <c r="AF784" s="1595" t="str">
        <f t="shared" si="464"/>
        <v/>
      </c>
      <c r="AG784" s="1748"/>
      <c r="AH784" s="1749" t="str">
        <f t="shared" si="460"/>
        <v/>
      </c>
      <c r="AI784" s="1622" t="s">
        <v>3728</v>
      </c>
      <c r="AJ784" s="1621"/>
      <c r="AK784" s="1618"/>
      <c r="AL784" s="1619"/>
      <c r="AM784" s="247" t="str">
        <f t="shared" si="453"/>
        <v/>
      </c>
      <c r="AN784" s="247" t="str">
        <f t="shared" si="454"/>
        <v/>
      </c>
      <c r="AO784" s="247" t="str">
        <f t="shared" si="455"/>
        <v/>
      </c>
      <c r="AP784" s="247" t="str">
        <f t="shared" si="456"/>
        <v/>
      </c>
      <c r="AQ784" s="42">
        <f t="shared" si="465"/>
        <v>1</v>
      </c>
      <c r="AR784" s="42">
        <f t="shared" si="466"/>
        <v>1</v>
      </c>
      <c r="AS784" s="42">
        <f t="shared" si="467"/>
        <v>1</v>
      </c>
      <c r="AT784" s="42">
        <f t="shared" si="468"/>
        <v>1</v>
      </c>
      <c r="AU784" s="247" t="str">
        <f t="shared" si="457"/>
        <v/>
      </c>
      <c r="AV784" s="247" t="str">
        <f t="shared" si="458"/>
        <v/>
      </c>
    </row>
    <row r="785" spans="1:48" ht="36" x14ac:dyDescent="0.2">
      <c r="A785" s="450" t="s">
        <v>233</v>
      </c>
      <c r="B785" s="429" t="s">
        <v>3724</v>
      </c>
      <c r="C785" s="430" t="s">
        <v>3313</v>
      </c>
      <c r="D785" s="1349" t="s">
        <v>4638</v>
      </c>
      <c r="E785" s="1350" t="s">
        <v>3727</v>
      </c>
      <c r="F785" s="1350" t="s">
        <v>6682</v>
      </c>
      <c r="G785" s="1351" t="s">
        <v>6069</v>
      </c>
      <c r="H785" s="1342" t="s">
        <v>1328</v>
      </c>
      <c r="I785" s="432" t="s">
        <v>1548</v>
      </c>
      <c r="J785" s="431"/>
      <c r="K785" s="431"/>
      <c r="L785" s="431"/>
      <c r="M785" s="433" t="s">
        <v>2976</v>
      </c>
      <c r="N785" s="434" t="s">
        <v>3518</v>
      </c>
      <c r="O785" s="1760" t="str">
        <f>VLOOKUP(B785,code_famille_scénario,2)&amp;VLOOKUP(C785,code_actif,2)&amp;", "&amp;VLOOKUP(M785,code_process,2)&amp;" par "&amp;VLOOKUP(N785,code_acteur,2)</f>
        <v>Altération ou inhibition malveillante (non détectée) des fonctions de sécurité de services systèmes communs, lors de la remise en service après intervention par un membre du personnel non autorisé</v>
      </c>
      <c r="P785" s="435">
        <v>1</v>
      </c>
      <c r="Q785" s="1595" t="s">
        <v>1299</v>
      </c>
      <c r="R785" s="1595" t="s">
        <v>4638</v>
      </c>
      <c r="S785" s="1595" t="str">
        <f>Classif!D26</f>
        <v/>
      </c>
      <c r="T785" s="1595">
        <f t="shared" si="461"/>
        <v>3</v>
      </c>
      <c r="U785" s="1744" t="str">
        <f t="shared" si="462"/>
        <v/>
      </c>
      <c r="V785" s="1771">
        <v>1</v>
      </c>
      <c r="W785" s="1771">
        <f>MIN(S08F01,S08F02)</f>
        <v>1</v>
      </c>
      <c r="X785" s="1771">
        <v>1</v>
      </c>
      <c r="Y785" s="1771">
        <v>1</v>
      </c>
      <c r="Z785" s="1758">
        <v>0</v>
      </c>
      <c r="AA785" s="1759"/>
      <c r="AB785" s="1748"/>
      <c r="AC785" s="1748"/>
      <c r="AD785" s="1595" t="str">
        <f t="shared" si="459"/>
        <v/>
      </c>
      <c r="AE785" s="1595">
        <f t="shared" si="463"/>
        <v>3</v>
      </c>
      <c r="AF785" s="1595" t="str">
        <f t="shared" si="464"/>
        <v/>
      </c>
      <c r="AG785" s="1748"/>
      <c r="AH785" s="1749" t="str">
        <f t="shared" si="460"/>
        <v/>
      </c>
      <c r="AI785" s="1615"/>
      <c r="AJ785" s="1621" t="s">
        <v>3729</v>
      </c>
      <c r="AK785" s="1618"/>
      <c r="AL785" s="1619"/>
      <c r="AM785" s="247" t="str">
        <f t="shared" si="453"/>
        <v/>
      </c>
      <c r="AN785" s="247" t="str">
        <f t="shared" si="454"/>
        <v/>
      </c>
      <c r="AO785" s="247" t="str">
        <f t="shared" si="455"/>
        <v/>
      </c>
      <c r="AP785" s="247" t="str">
        <f t="shared" si="456"/>
        <v/>
      </c>
      <c r="AQ785" s="42">
        <f t="shared" si="465"/>
        <v>1</v>
      </c>
      <c r="AR785" s="42">
        <f t="shared" si="466"/>
        <v>1</v>
      </c>
      <c r="AS785" s="42">
        <f t="shared" si="467"/>
        <v>1</v>
      </c>
      <c r="AT785" s="42">
        <f t="shared" si="468"/>
        <v>1</v>
      </c>
      <c r="AU785" s="247" t="str">
        <f t="shared" si="457"/>
        <v/>
      </c>
      <c r="AV785" s="247" t="str">
        <f t="shared" si="458"/>
        <v/>
      </c>
    </row>
    <row r="786" spans="1:48" ht="15" x14ac:dyDescent="0.2">
      <c r="A786" s="456" t="s">
        <v>3737</v>
      </c>
      <c r="B786" s="457"/>
      <c r="C786" s="423" t="s">
        <v>3641</v>
      </c>
      <c r="D786" s="1356"/>
      <c r="E786" s="1357"/>
      <c r="F786" s="1357"/>
      <c r="G786" s="1360"/>
      <c r="H786" s="1345"/>
      <c r="I786" s="459"/>
      <c r="J786" s="458"/>
      <c r="K786" s="458"/>
      <c r="L786" s="458"/>
      <c r="M786" s="460"/>
      <c r="N786" s="461"/>
      <c r="O786" s="1761"/>
      <c r="P786" s="1608"/>
      <c r="Q786" s="1596"/>
      <c r="R786" s="1596"/>
      <c r="S786" s="1753"/>
      <c r="T786" s="1595"/>
      <c r="U786" s="1744"/>
      <c r="V786" s="1754"/>
      <c r="W786" s="1754"/>
      <c r="X786" s="1754"/>
      <c r="Y786" s="1754"/>
      <c r="Z786" s="1762"/>
      <c r="AA786" s="1763"/>
      <c r="AB786" s="1748"/>
      <c r="AC786" s="1748"/>
      <c r="AD786" s="1595"/>
      <c r="AE786" s="1753"/>
      <c r="AF786" s="1595"/>
      <c r="AG786" s="1748"/>
      <c r="AH786" s="1749"/>
      <c r="AI786" s="1627"/>
      <c r="AJ786" s="1628"/>
      <c r="AK786" s="1628"/>
      <c r="AL786" s="1629"/>
      <c r="AM786" s="247" t="str">
        <f t="shared" si="453"/>
        <v/>
      </c>
      <c r="AN786" s="247" t="str">
        <f t="shared" si="454"/>
        <v/>
      </c>
      <c r="AO786" s="247" t="str">
        <f t="shared" si="455"/>
        <v/>
      </c>
      <c r="AP786" s="247" t="str">
        <f t="shared" si="456"/>
        <v/>
      </c>
      <c r="AU786" s="247" t="str">
        <f t="shared" si="457"/>
        <v/>
      </c>
      <c r="AV786" s="247" t="str">
        <f t="shared" si="458"/>
        <v/>
      </c>
    </row>
    <row r="787" spans="1:48" ht="36" x14ac:dyDescent="0.2">
      <c r="A787" s="450" t="s">
        <v>234</v>
      </c>
      <c r="B787" s="429" t="s">
        <v>2593</v>
      </c>
      <c r="C787" s="430" t="s">
        <v>3314</v>
      </c>
      <c r="D787" s="1349" t="s">
        <v>4638</v>
      </c>
      <c r="E787" s="1350" t="s">
        <v>7450</v>
      </c>
      <c r="F787" s="1350" t="s">
        <v>6682</v>
      </c>
      <c r="G787" s="1351" t="s">
        <v>6069</v>
      </c>
      <c r="H787" s="1342" t="s">
        <v>1327</v>
      </c>
      <c r="I787" s="432" t="s">
        <v>1545</v>
      </c>
      <c r="J787" s="431"/>
      <c r="K787" s="431"/>
      <c r="L787" s="431"/>
      <c r="M787" s="433"/>
      <c r="N787" s="434" t="s">
        <v>1873</v>
      </c>
      <c r="O787" s="1743" t="str">
        <f t="shared" ref="O787:O793" si="469">VLOOKUP(B787,code_famille_scénario,2)&amp;VLOOKUP(C787,code_actif,2)&amp;", par "&amp;VLOOKUP(N787,code_acteur,2)</f>
        <v>Altération accidentelle (non détectée) de programmes de services de publication d'informations sur un site web interne ou public, par un membre du personnel de développement</v>
      </c>
      <c r="P787" s="435">
        <v>1</v>
      </c>
      <c r="Q787" s="1595" t="s">
        <v>6403</v>
      </c>
      <c r="R787" s="1595" t="s">
        <v>4638</v>
      </c>
      <c r="S787" s="1595" t="str">
        <f>Classif!D27</f>
        <v/>
      </c>
      <c r="T787" s="1595">
        <f t="shared" ref="T787:T804" si="470">VLOOKUP(H787&amp;"."&amp;I787,Tab_event,4)</f>
        <v>3</v>
      </c>
      <c r="U787" s="1744" t="str">
        <f t="shared" ref="U787:U804" si="471">IF(AND(NOT(S787=""),NOT(T787="")),INDEX(base_g,5-S787,T787),"")</f>
        <v/>
      </c>
      <c r="V787" s="1771">
        <v>1</v>
      </c>
      <c r="W787" s="1771">
        <f>MAX(S08A03,S08B03,S09B05,S10B01)</f>
        <v>1</v>
      </c>
      <c r="X787" s="1771">
        <f>S09B05</f>
        <v>1</v>
      </c>
      <c r="Y787" s="1771">
        <v>1</v>
      </c>
      <c r="Z787" s="1758">
        <v>1</v>
      </c>
      <c r="AA787" s="1759"/>
      <c r="AB787" s="1748"/>
      <c r="AC787" s="1748"/>
      <c r="AD787" s="1595" t="str">
        <f t="shared" si="459"/>
        <v/>
      </c>
      <c r="AE787" s="1595">
        <f t="shared" ref="AE787:AE804" si="472">IF(OR(Q787="",T787=""),"",IF(Q787="A",INDEX(base_p,4,W787+7*(T787-1)),IF(Q787="E",INDEX(base_p,15,W787+7*(T787-1)),INDEX(base_p,27-V787,W787+7*(T787-1)))))</f>
        <v>3</v>
      </c>
      <c r="AF787" s="1595" t="str">
        <f t="shared" ref="AF787:AF804" si="473">IF(AT787=1,IF(IndG=1,U787,IF(AND(OR(NOT(AD787=""),NOT(AB787="")),OR(NOT(AE787=""),NOT(AC787="")),AT787=1),INDEX(base_g,5-IF(AB787="",AD787,AB787),IF(AC787="",AE787,AC787)),"")),0)</f>
        <v/>
      </c>
      <c r="AG787" s="1748"/>
      <c r="AH787" s="1749" t="str">
        <f t="shared" si="460"/>
        <v/>
      </c>
      <c r="AI787" s="1622"/>
      <c r="AJ787" s="1621" t="s">
        <v>5006</v>
      </c>
      <c r="AK787" s="1621" t="s">
        <v>1957</v>
      </c>
      <c r="AL787" s="1619"/>
      <c r="AM787" s="247" t="str">
        <f t="shared" si="453"/>
        <v/>
      </c>
      <c r="AN787" s="247" t="str">
        <f t="shared" si="454"/>
        <v/>
      </c>
      <c r="AO787" s="247" t="str">
        <f t="shared" si="455"/>
        <v/>
      </c>
      <c r="AP787" s="247" t="str">
        <f t="shared" si="456"/>
        <v/>
      </c>
      <c r="AQ787" s="42">
        <f t="shared" ref="AQ787:AQ804" si="474">VLOOKUP(LEFT(C787,3),Tab_classif_servIR,6)</f>
        <v>1</v>
      </c>
      <c r="AR787" s="42">
        <f t="shared" ref="AR787:AR804" si="475">VLOOKUP(G787,select_vul_serv,2)</f>
        <v>1</v>
      </c>
      <c r="AS787" s="42">
        <f t="shared" ref="AS787:AS804" si="476">VLOOKUP(H787&amp;"."&amp;I787,select_men,5)</f>
        <v>1</v>
      </c>
      <c r="AT787" s="42">
        <f t="shared" ref="AT787:AT804" si="477">P787*AQ787*AR787*AS787</f>
        <v>1</v>
      </c>
      <c r="AU787" s="247" t="str">
        <f t="shared" si="457"/>
        <v/>
      </c>
      <c r="AV787" s="247" t="str">
        <f t="shared" si="458"/>
        <v/>
      </c>
    </row>
    <row r="788" spans="1:48" ht="36" x14ac:dyDescent="0.2">
      <c r="A788" s="450" t="s">
        <v>235</v>
      </c>
      <c r="B788" s="429" t="s">
        <v>2593</v>
      </c>
      <c r="C788" s="430" t="s">
        <v>3314</v>
      </c>
      <c r="D788" s="1349" t="s">
        <v>4638</v>
      </c>
      <c r="E788" s="1350" t="s">
        <v>7450</v>
      </c>
      <c r="F788" s="1350" t="s">
        <v>6682</v>
      </c>
      <c r="G788" s="1351" t="s">
        <v>6069</v>
      </c>
      <c r="H788" s="1342" t="s">
        <v>1327</v>
      </c>
      <c r="I788" s="432" t="s">
        <v>1545</v>
      </c>
      <c r="J788" s="431"/>
      <c r="K788" s="431"/>
      <c r="L788" s="431"/>
      <c r="M788" s="433"/>
      <c r="N788" s="434" t="s">
        <v>1299</v>
      </c>
      <c r="O788" s="1743" t="str">
        <f t="shared" si="469"/>
        <v>Altération accidentelle (non détectée) de programmes de services de publication d'informations sur un site web interne ou public, par un membre du personnel de maintenance</v>
      </c>
      <c r="P788" s="435">
        <v>1</v>
      </c>
      <c r="Q788" s="1595" t="s">
        <v>6403</v>
      </c>
      <c r="R788" s="1595" t="s">
        <v>4638</v>
      </c>
      <c r="S788" s="1595" t="str">
        <f>Classif!D27</f>
        <v/>
      </c>
      <c r="T788" s="1595">
        <f t="shared" si="470"/>
        <v>3</v>
      </c>
      <c r="U788" s="1744" t="str">
        <f t="shared" si="471"/>
        <v/>
      </c>
      <c r="V788" s="1771">
        <v>1</v>
      </c>
      <c r="W788" s="1771">
        <f>MAX(S08A03,S08B03,S09B05,S10B05)</f>
        <v>1</v>
      </c>
      <c r="X788" s="1771">
        <f>S09B05</f>
        <v>1</v>
      </c>
      <c r="Y788" s="1771">
        <v>1</v>
      </c>
      <c r="Z788" s="1758">
        <v>1</v>
      </c>
      <c r="AA788" s="1759"/>
      <c r="AB788" s="1748"/>
      <c r="AC788" s="1748"/>
      <c r="AD788" s="1595" t="str">
        <f t="shared" si="459"/>
        <v/>
      </c>
      <c r="AE788" s="1595">
        <f t="shared" si="472"/>
        <v>3</v>
      </c>
      <c r="AF788" s="1595" t="str">
        <f t="shared" si="473"/>
        <v/>
      </c>
      <c r="AG788" s="1748"/>
      <c r="AH788" s="1749" t="str">
        <f t="shared" si="460"/>
        <v/>
      </c>
      <c r="AI788" s="1622"/>
      <c r="AJ788" s="1621" t="s">
        <v>5007</v>
      </c>
      <c r="AK788" s="1621" t="s">
        <v>1957</v>
      </c>
      <c r="AL788" s="1619"/>
      <c r="AM788" s="247" t="str">
        <f t="shared" si="453"/>
        <v/>
      </c>
      <c r="AN788" s="247" t="str">
        <f t="shared" si="454"/>
        <v/>
      </c>
      <c r="AO788" s="247" t="str">
        <f t="shared" si="455"/>
        <v/>
      </c>
      <c r="AP788" s="247" t="str">
        <f t="shared" si="456"/>
        <v/>
      </c>
      <c r="AQ788" s="42">
        <f t="shared" si="474"/>
        <v>1</v>
      </c>
      <c r="AR788" s="42">
        <f t="shared" si="475"/>
        <v>1</v>
      </c>
      <c r="AS788" s="42">
        <f t="shared" si="476"/>
        <v>1</v>
      </c>
      <c r="AT788" s="42">
        <f t="shared" si="477"/>
        <v>1</v>
      </c>
      <c r="AU788" s="247" t="str">
        <f t="shared" si="457"/>
        <v/>
      </c>
      <c r="AV788" s="247" t="str">
        <f t="shared" si="458"/>
        <v/>
      </c>
    </row>
    <row r="789" spans="1:48" ht="36" x14ac:dyDescent="0.2">
      <c r="A789" s="450" t="s">
        <v>236</v>
      </c>
      <c r="B789" s="429" t="s">
        <v>2593</v>
      </c>
      <c r="C789" s="430" t="s">
        <v>3314</v>
      </c>
      <c r="D789" s="1349" t="s">
        <v>4638</v>
      </c>
      <c r="E789" s="1350" t="s">
        <v>7450</v>
      </c>
      <c r="F789" s="1350" t="s">
        <v>6682</v>
      </c>
      <c r="G789" s="1351" t="s">
        <v>6069</v>
      </c>
      <c r="H789" s="1342" t="s">
        <v>1327</v>
      </c>
      <c r="I789" s="432" t="s">
        <v>1545</v>
      </c>
      <c r="J789" s="431"/>
      <c r="K789" s="431"/>
      <c r="L789" s="431"/>
      <c r="M789" s="433"/>
      <c r="N789" s="434" t="s">
        <v>6403</v>
      </c>
      <c r="O789" s="1743" t="str">
        <f t="shared" si="469"/>
        <v>Altération accidentelle (non détectée) de programmes de services de publication d'informations sur un site web interne ou public, par un membre du personnel d'exploitation</v>
      </c>
      <c r="P789" s="435">
        <v>1</v>
      </c>
      <c r="Q789" s="1595" t="s">
        <v>6403</v>
      </c>
      <c r="R789" s="1595" t="s">
        <v>4638</v>
      </c>
      <c r="S789" s="1595" t="str">
        <f>Classif!D27</f>
        <v/>
      </c>
      <c r="T789" s="1595">
        <f t="shared" si="470"/>
        <v>3</v>
      </c>
      <c r="U789" s="1744" t="str">
        <f t="shared" si="471"/>
        <v/>
      </c>
      <c r="V789" s="1771">
        <v>1</v>
      </c>
      <c r="W789" s="1771">
        <f>MAX(S08B02,S08B03,S09B05)</f>
        <v>1</v>
      </c>
      <c r="X789" s="1771">
        <f>S09B05</f>
        <v>1</v>
      </c>
      <c r="Y789" s="1771">
        <v>1</v>
      </c>
      <c r="Z789" s="1758">
        <v>1</v>
      </c>
      <c r="AA789" s="1759"/>
      <c r="AB789" s="1748"/>
      <c r="AC789" s="1748"/>
      <c r="AD789" s="1595" t="str">
        <f t="shared" si="459"/>
        <v/>
      </c>
      <c r="AE789" s="1595">
        <f t="shared" si="472"/>
        <v>3</v>
      </c>
      <c r="AF789" s="1595" t="str">
        <f t="shared" si="473"/>
        <v/>
      </c>
      <c r="AG789" s="1748"/>
      <c r="AH789" s="1749" t="str">
        <f t="shared" si="460"/>
        <v/>
      </c>
      <c r="AI789" s="1622"/>
      <c r="AJ789" s="1616" t="s">
        <v>5472</v>
      </c>
      <c r="AK789" s="1621" t="s">
        <v>1957</v>
      </c>
      <c r="AL789" s="1619"/>
      <c r="AM789" s="247" t="str">
        <f t="shared" si="453"/>
        <v/>
      </c>
      <c r="AN789" s="247" t="str">
        <f t="shared" si="454"/>
        <v/>
      </c>
      <c r="AO789" s="247" t="str">
        <f t="shared" si="455"/>
        <v/>
      </c>
      <c r="AP789" s="247" t="str">
        <f t="shared" si="456"/>
        <v/>
      </c>
      <c r="AQ789" s="42">
        <f t="shared" si="474"/>
        <v>1</v>
      </c>
      <c r="AR789" s="42">
        <f t="shared" si="475"/>
        <v>1</v>
      </c>
      <c r="AS789" s="42">
        <f t="shared" si="476"/>
        <v>1</v>
      </c>
      <c r="AT789" s="42">
        <f t="shared" si="477"/>
        <v>1</v>
      </c>
      <c r="AU789" s="247" t="str">
        <f t="shared" si="457"/>
        <v/>
      </c>
      <c r="AV789" s="247" t="str">
        <f t="shared" si="458"/>
        <v/>
      </c>
    </row>
    <row r="790" spans="1:48" ht="36" x14ac:dyDescent="0.2">
      <c r="A790" s="450" t="s">
        <v>237</v>
      </c>
      <c r="B790" s="429" t="s">
        <v>2596</v>
      </c>
      <c r="C790" s="430" t="s">
        <v>3314</v>
      </c>
      <c r="D790" s="1349" t="s">
        <v>4638</v>
      </c>
      <c r="E790" s="1350" t="s">
        <v>7450</v>
      </c>
      <c r="F790" s="1350" t="s">
        <v>6682</v>
      </c>
      <c r="G790" s="1351" t="s">
        <v>6069</v>
      </c>
      <c r="H790" s="1342" t="s">
        <v>1328</v>
      </c>
      <c r="I790" s="432" t="s">
        <v>1548</v>
      </c>
      <c r="J790" s="431"/>
      <c r="K790" s="431"/>
      <c r="L790" s="431"/>
      <c r="M790" s="433"/>
      <c r="N790" s="434" t="s">
        <v>1873</v>
      </c>
      <c r="O790" s="1743" t="str">
        <f t="shared" si="469"/>
        <v>Altération malveillante (non détectée) de programmes de services de publication d'informations sur un site web interne ou public, par un membre du personnel de développement</v>
      </c>
      <c r="P790" s="435">
        <v>1</v>
      </c>
      <c r="Q790" s="1595" t="s">
        <v>1299</v>
      </c>
      <c r="R790" s="1595" t="s">
        <v>4638</v>
      </c>
      <c r="S790" s="1595" t="str">
        <f>Classif!D27</f>
        <v/>
      </c>
      <c r="T790" s="1595">
        <f t="shared" si="470"/>
        <v>3</v>
      </c>
      <c r="U790" s="1744" t="str">
        <f t="shared" si="471"/>
        <v/>
      </c>
      <c r="V790" s="1771">
        <f>S10B01</f>
        <v>1</v>
      </c>
      <c r="W790" s="1771">
        <f>S10B01</f>
        <v>1</v>
      </c>
      <c r="X790" s="1771">
        <v>1</v>
      </c>
      <c r="Y790" s="1771">
        <v>1</v>
      </c>
      <c r="Z790" s="1758">
        <v>1</v>
      </c>
      <c r="AA790" s="1759"/>
      <c r="AB790" s="1748"/>
      <c r="AC790" s="1748"/>
      <c r="AD790" s="1595" t="str">
        <f t="shared" si="459"/>
        <v/>
      </c>
      <c r="AE790" s="1595">
        <f t="shared" si="472"/>
        <v>3</v>
      </c>
      <c r="AF790" s="1595" t="str">
        <f t="shared" si="473"/>
        <v/>
      </c>
      <c r="AG790" s="1748"/>
      <c r="AH790" s="1749" t="str">
        <f t="shared" si="460"/>
        <v/>
      </c>
      <c r="AI790" s="1622" t="s">
        <v>3217</v>
      </c>
      <c r="AJ790" s="1621" t="s">
        <v>3217</v>
      </c>
      <c r="AK790" s="1616"/>
      <c r="AL790" s="1619"/>
      <c r="AM790" s="247" t="str">
        <f t="shared" si="453"/>
        <v/>
      </c>
      <c r="AN790" s="247" t="str">
        <f t="shared" si="454"/>
        <v/>
      </c>
      <c r="AO790" s="247" t="str">
        <f t="shared" si="455"/>
        <v/>
      </c>
      <c r="AP790" s="247" t="str">
        <f t="shared" si="456"/>
        <v/>
      </c>
      <c r="AQ790" s="42">
        <f t="shared" si="474"/>
        <v>1</v>
      </c>
      <c r="AR790" s="42">
        <f t="shared" si="475"/>
        <v>1</v>
      </c>
      <c r="AS790" s="42">
        <f t="shared" si="476"/>
        <v>1</v>
      </c>
      <c r="AT790" s="42">
        <f t="shared" si="477"/>
        <v>1</v>
      </c>
      <c r="AU790" s="247" t="str">
        <f t="shared" si="457"/>
        <v/>
      </c>
      <c r="AV790" s="247" t="str">
        <f t="shared" si="458"/>
        <v/>
      </c>
    </row>
    <row r="791" spans="1:48" ht="36" x14ac:dyDescent="0.2">
      <c r="A791" s="450" t="s">
        <v>238</v>
      </c>
      <c r="B791" s="429" t="s">
        <v>2596</v>
      </c>
      <c r="C791" s="430" t="s">
        <v>3314</v>
      </c>
      <c r="D791" s="1349" t="s">
        <v>4638</v>
      </c>
      <c r="E791" s="1350" t="s">
        <v>7450</v>
      </c>
      <c r="F791" s="1350" t="s">
        <v>6682</v>
      </c>
      <c r="G791" s="1351" t="s">
        <v>6069</v>
      </c>
      <c r="H791" s="1342" t="s">
        <v>1328</v>
      </c>
      <c r="I791" s="432" t="s">
        <v>1548</v>
      </c>
      <c r="J791" s="431"/>
      <c r="K791" s="431"/>
      <c r="L791" s="431"/>
      <c r="M791" s="433"/>
      <c r="N791" s="434" t="s">
        <v>1299</v>
      </c>
      <c r="O791" s="1743" t="str">
        <f t="shared" si="469"/>
        <v>Altération malveillante (non détectée) de programmes de services de publication d'informations sur un site web interne ou public, par un membre du personnel de maintenance</v>
      </c>
      <c r="P791" s="435">
        <v>1</v>
      </c>
      <c r="Q791" s="1595" t="s">
        <v>1299</v>
      </c>
      <c r="R791" s="1595" t="s">
        <v>4638</v>
      </c>
      <c r="S791" s="1595" t="str">
        <f>Classif!D27</f>
        <v/>
      </c>
      <c r="T791" s="1595">
        <f t="shared" si="470"/>
        <v>3</v>
      </c>
      <c r="U791" s="1744" t="str">
        <f t="shared" si="471"/>
        <v/>
      </c>
      <c r="V791" s="1771">
        <f>S10B05</f>
        <v>1</v>
      </c>
      <c r="W791" s="1771">
        <f>S10B05</f>
        <v>1</v>
      </c>
      <c r="X791" s="1771">
        <v>1</v>
      </c>
      <c r="Y791" s="1771">
        <v>1</v>
      </c>
      <c r="Z791" s="1758">
        <v>1</v>
      </c>
      <c r="AA791" s="1759"/>
      <c r="AB791" s="1748"/>
      <c r="AC791" s="1748"/>
      <c r="AD791" s="1595" t="str">
        <f t="shared" si="459"/>
        <v/>
      </c>
      <c r="AE791" s="1595">
        <f t="shared" si="472"/>
        <v>3</v>
      </c>
      <c r="AF791" s="1595" t="str">
        <f t="shared" si="473"/>
        <v/>
      </c>
      <c r="AG791" s="1748"/>
      <c r="AH791" s="1749" t="str">
        <f t="shared" si="460"/>
        <v/>
      </c>
      <c r="AI791" s="1622" t="s">
        <v>3224</v>
      </c>
      <c r="AJ791" s="1621" t="s">
        <v>3224</v>
      </c>
      <c r="AK791" s="1616"/>
      <c r="AL791" s="1619"/>
      <c r="AM791" s="247" t="str">
        <f t="shared" si="453"/>
        <v/>
      </c>
      <c r="AN791" s="247" t="str">
        <f t="shared" si="454"/>
        <v/>
      </c>
      <c r="AO791" s="247" t="str">
        <f t="shared" si="455"/>
        <v/>
      </c>
      <c r="AP791" s="247" t="str">
        <f t="shared" si="456"/>
        <v/>
      </c>
      <c r="AQ791" s="42">
        <f t="shared" si="474"/>
        <v>1</v>
      </c>
      <c r="AR791" s="42">
        <f t="shared" si="475"/>
        <v>1</v>
      </c>
      <c r="AS791" s="42">
        <f t="shared" si="476"/>
        <v>1</v>
      </c>
      <c r="AT791" s="42">
        <f t="shared" si="477"/>
        <v>1</v>
      </c>
      <c r="AU791" s="247" t="str">
        <f t="shared" si="457"/>
        <v/>
      </c>
      <c r="AV791" s="247" t="str">
        <f t="shared" si="458"/>
        <v/>
      </c>
    </row>
    <row r="792" spans="1:48" ht="36" x14ac:dyDescent="0.2">
      <c r="A792" s="450" t="s">
        <v>239</v>
      </c>
      <c r="B792" s="429" t="s">
        <v>2596</v>
      </c>
      <c r="C792" s="430" t="s">
        <v>3314</v>
      </c>
      <c r="D792" s="1349" t="s">
        <v>4638</v>
      </c>
      <c r="E792" s="1350" t="s">
        <v>7450</v>
      </c>
      <c r="F792" s="1350" t="s">
        <v>6682</v>
      </c>
      <c r="G792" s="1351" t="s">
        <v>6069</v>
      </c>
      <c r="H792" s="1342" t="s">
        <v>1328</v>
      </c>
      <c r="I792" s="432" t="s">
        <v>1548</v>
      </c>
      <c r="J792" s="431"/>
      <c r="K792" s="431"/>
      <c r="L792" s="431"/>
      <c r="M792" s="433"/>
      <c r="N792" s="434" t="s">
        <v>6403</v>
      </c>
      <c r="O792" s="1743" t="str">
        <f t="shared" si="469"/>
        <v>Altération malveillante (non détectée) de programmes de services de publication d'informations sur un site web interne ou public, par un membre du personnel d'exploitation</v>
      </c>
      <c r="P792" s="435">
        <v>1</v>
      </c>
      <c r="Q792" s="1595" t="s">
        <v>1299</v>
      </c>
      <c r="R792" s="1595" t="s">
        <v>4638</v>
      </c>
      <c r="S792" s="1595" t="str">
        <f>Classif!D27</f>
        <v/>
      </c>
      <c r="T792" s="1595">
        <f t="shared" si="470"/>
        <v>3</v>
      </c>
      <c r="U792" s="1744" t="str">
        <f t="shared" si="471"/>
        <v/>
      </c>
      <c r="V792" s="1771">
        <f>MAX(S07C02,S08F03)</f>
        <v>1</v>
      </c>
      <c r="W792" s="1771">
        <f>MAX(S08B02,S08B03)</f>
        <v>1</v>
      </c>
      <c r="X792" s="1771">
        <f>S09B04</f>
        <v>1</v>
      </c>
      <c r="Y792" s="1771">
        <v>1</v>
      </c>
      <c r="Z792" s="1758">
        <v>1</v>
      </c>
      <c r="AA792" s="1759"/>
      <c r="AB792" s="1748"/>
      <c r="AC792" s="1748"/>
      <c r="AD792" s="1595" t="str">
        <f t="shared" si="459"/>
        <v/>
      </c>
      <c r="AE792" s="1595">
        <f t="shared" si="472"/>
        <v>3</v>
      </c>
      <c r="AF792" s="1595" t="str">
        <f t="shared" si="473"/>
        <v/>
      </c>
      <c r="AG792" s="1748"/>
      <c r="AH792" s="1749" t="str">
        <f t="shared" si="460"/>
        <v/>
      </c>
      <c r="AI792" s="1622" t="s">
        <v>2590</v>
      </c>
      <c r="AJ792" s="1616" t="s">
        <v>2591</v>
      </c>
      <c r="AK792" s="1616" t="s">
        <v>3669</v>
      </c>
      <c r="AL792" s="1619"/>
      <c r="AM792" s="247" t="str">
        <f t="shared" si="453"/>
        <v/>
      </c>
      <c r="AN792" s="247" t="str">
        <f t="shared" si="454"/>
        <v/>
      </c>
      <c r="AO792" s="247" t="str">
        <f t="shared" si="455"/>
        <v/>
      </c>
      <c r="AP792" s="247" t="str">
        <f t="shared" si="456"/>
        <v/>
      </c>
      <c r="AQ792" s="42">
        <f t="shared" si="474"/>
        <v>1</v>
      </c>
      <c r="AR792" s="42">
        <f t="shared" si="475"/>
        <v>1</v>
      </c>
      <c r="AS792" s="42">
        <f t="shared" si="476"/>
        <v>1</v>
      </c>
      <c r="AT792" s="42">
        <f t="shared" si="477"/>
        <v>1</v>
      </c>
      <c r="AU792" s="247" t="str">
        <f t="shared" si="457"/>
        <v/>
      </c>
      <c r="AV792" s="247" t="str">
        <f t="shared" si="458"/>
        <v/>
      </c>
    </row>
    <row r="793" spans="1:48" ht="33.75" x14ac:dyDescent="0.2">
      <c r="A793" s="450" t="s">
        <v>240</v>
      </c>
      <c r="B793" s="429" t="s">
        <v>2596</v>
      </c>
      <c r="C793" s="430" t="s">
        <v>3314</v>
      </c>
      <c r="D793" s="1349" t="s">
        <v>4638</v>
      </c>
      <c r="E793" s="1350" t="s">
        <v>7450</v>
      </c>
      <c r="F793" s="1350" t="s">
        <v>6682</v>
      </c>
      <c r="G793" s="1351" t="s">
        <v>6069</v>
      </c>
      <c r="H793" s="1342" t="s">
        <v>1328</v>
      </c>
      <c r="I793" s="432" t="s">
        <v>1548</v>
      </c>
      <c r="J793" s="431"/>
      <c r="K793" s="431"/>
      <c r="L793" s="431"/>
      <c r="M793" s="433"/>
      <c r="N793" s="434" t="s">
        <v>1303</v>
      </c>
      <c r="O793" s="1743" t="str">
        <f t="shared" si="469"/>
        <v>Altération malveillante (non détectée) de programmes de services de publication d'informations sur un site web interne ou public, par un utilisateur non autorisé</v>
      </c>
      <c r="P793" s="435">
        <v>1</v>
      </c>
      <c r="Q793" s="1595" t="s">
        <v>1299</v>
      </c>
      <c r="R793" s="1595" t="s">
        <v>4638</v>
      </c>
      <c r="S793" s="1595" t="str">
        <f>Classif!D27</f>
        <v/>
      </c>
      <c r="T793" s="1595">
        <f t="shared" si="470"/>
        <v>3</v>
      </c>
      <c r="U793" s="1744" t="str">
        <f t="shared" si="471"/>
        <v/>
      </c>
      <c r="V793" s="1771">
        <f>S07C02</f>
        <v>1</v>
      </c>
      <c r="W793" s="1771">
        <f>MAX(MIN(S07A01,S07A02,S07A03,S07A04),S08B02,S08B03,S09B05)</f>
        <v>1</v>
      </c>
      <c r="X793" s="1771">
        <f>S09B04</f>
        <v>1</v>
      </c>
      <c r="Y793" s="1771">
        <v>1</v>
      </c>
      <c r="Z793" s="1758">
        <v>1</v>
      </c>
      <c r="AA793" s="1759"/>
      <c r="AB793" s="1748"/>
      <c r="AC793" s="1748"/>
      <c r="AD793" s="1595" t="str">
        <f t="shared" si="459"/>
        <v/>
      </c>
      <c r="AE793" s="1595">
        <f t="shared" si="472"/>
        <v>3</v>
      </c>
      <c r="AF793" s="1595" t="str">
        <f t="shared" si="473"/>
        <v/>
      </c>
      <c r="AG793" s="1748"/>
      <c r="AH793" s="1749" t="str">
        <f t="shared" si="460"/>
        <v/>
      </c>
      <c r="AI793" s="1620" t="s">
        <v>5021</v>
      </c>
      <c r="AJ793" s="1616" t="s">
        <v>5473</v>
      </c>
      <c r="AK793" s="1616" t="s">
        <v>3669</v>
      </c>
      <c r="AL793" s="1619"/>
      <c r="AM793" s="247" t="str">
        <f t="shared" si="453"/>
        <v/>
      </c>
      <c r="AN793" s="247" t="str">
        <f t="shared" si="454"/>
        <v/>
      </c>
      <c r="AO793" s="247" t="str">
        <f t="shared" si="455"/>
        <v/>
      </c>
      <c r="AP793" s="247" t="str">
        <f t="shared" si="456"/>
        <v/>
      </c>
      <c r="AQ793" s="42">
        <f t="shared" si="474"/>
        <v>1</v>
      </c>
      <c r="AR793" s="42">
        <f t="shared" si="475"/>
        <v>1</v>
      </c>
      <c r="AS793" s="42">
        <f t="shared" si="476"/>
        <v>1</v>
      </c>
      <c r="AT793" s="42">
        <f t="shared" si="477"/>
        <v>1</v>
      </c>
      <c r="AU793" s="247" t="str">
        <f t="shared" si="457"/>
        <v/>
      </c>
      <c r="AV793" s="247" t="str">
        <f t="shared" si="458"/>
        <v/>
      </c>
    </row>
    <row r="794" spans="1:48" ht="36" x14ac:dyDescent="0.2">
      <c r="A794" s="450" t="s">
        <v>241</v>
      </c>
      <c r="B794" s="429" t="s">
        <v>2599</v>
      </c>
      <c r="C794" s="430" t="s">
        <v>3314</v>
      </c>
      <c r="D794" s="1349" t="s">
        <v>4638</v>
      </c>
      <c r="E794" s="1361" t="s">
        <v>1861</v>
      </c>
      <c r="F794" s="1350" t="s">
        <v>6758</v>
      </c>
      <c r="G794" s="1351" t="s">
        <v>4612</v>
      </c>
      <c r="H794" s="1342" t="s">
        <v>1329</v>
      </c>
      <c r="I794" s="432" t="s">
        <v>1548</v>
      </c>
      <c r="J794" s="431"/>
      <c r="K794" s="431"/>
      <c r="L794" s="431"/>
      <c r="M794" s="433" t="s">
        <v>1880</v>
      </c>
      <c r="N794" s="434" t="s">
        <v>4816</v>
      </c>
      <c r="O794" s="1760" t="str">
        <f t="shared" ref="O794:O804" si="478">VLOOKUP(B794,code_famille_scénario,2)&amp;VLOOKUP(C794,code_actif,2)&amp;" "&amp;VLOOKUP(M794,code_process,2)&amp;" par "&amp;VLOOKUP(N794,code_acteur,2)</f>
        <v>Echange malveillant (non détecté) de media support de programmes de services de publication d'informations sur un site web interne ou public en exploitation par un membre  du personnel autorisé</v>
      </c>
      <c r="P794" s="435">
        <v>1</v>
      </c>
      <c r="Q794" s="1595" t="s">
        <v>1299</v>
      </c>
      <c r="R794" s="1595" t="s">
        <v>4638</v>
      </c>
      <c r="S794" s="1595" t="str">
        <f>Classif!D27</f>
        <v/>
      </c>
      <c r="T794" s="1595">
        <f t="shared" si="470"/>
        <v>2</v>
      </c>
      <c r="U794" s="1744" t="str">
        <f t="shared" si="471"/>
        <v/>
      </c>
      <c r="V794" s="1771">
        <v>1</v>
      </c>
      <c r="W794" s="1771">
        <f>MAX(S08B03,S09B05)</f>
        <v>1</v>
      </c>
      <c r="X794" s="1771">
        <f>S09B04</f>
        <v>1</v>
      </c>
      <c r="Y794" s="1771">
        <v>1</v>
      </c>
      <c r="Z794" s="1758">
        <v>1</v>
      </c>
      <c r="AA794" s="1759"/>
      <c r="AB794" s="1748"/>
      <c r="AC794" s="1748"/>
      <c r="AD794" s="1595" t="str">
        <f t="shared" si="459"/>
        <v/>
      </c>
      <c r="AE794" s="1595">
        <f t="shared" si="472"/>
        <v>2</v>
      </c>
      <c r="AF794" s="1595" t="str">
        <f t="shared" si="473"/>
        <v/>
      </c>
      <c r="AG794" s="1748"/>
      <c r="AH794" s="1749" t="str">
        <f t="shared" si="460"/>
        <v/>
      </c>
      <c r="AI794" s="1615"/>
      <c r="AJ794" s="1621" t="s">
        <v>5474</v>
      </c>
      <c r="AK794" s="1616" t="s">
        <v>3669</v>
      </c>
      <c r="AL794" s="1619"/>
      <c r="AM794" s="247" t="str">
        <f t="shared" si="453"/>
        <v/>
      </c>
      <c r="AN794" s="247" t="str">
        <f t="shared" si="454"/>
        <v/>
      </c>
      <c r="AO794" s="247" t="str">
        <f t="shared" si="455"/>
        <v/>
      </c>
      <c r="AP794" s="247" t="str">
        <f t="shared" si="456"/>
        <v/>
      </c>
      <c r="AQ794" s="42">
        <f t="shared" si="474"/>
        <v>1</v>
      </c>
      <c r="AR794" s="42">
        <f t="shared" si="475"/>
        <v>1</v>
      </c>
      <c r="AS794" s="42">
        <f t="shared" si="476"/>
        <v>1</v>
      </c>
      <c r="AT794" s="42">
        <f t="shared" si="477"/>
        <v>1</v>
      </c>
      <c r="AU794" s="247" t="str">
        <f t="shared" si="457"/>
        <v/>
      </c>
      <c r="AV794" s="247" t="str">
        <f t="shared" si="458"/>
        <v/>
      </c>
    </row>
    <row r="795" spans="1:48" ht="36" x14ac:dyDescent="0.2">
      <c r="A795" s="450" t="s">
        <v>242</v>
      </c>
      <c r="B795" s="429" t="s">
        <v>2599</v>
      </c>
      <c r="C795" s="430" t="s">
        <v>3314</v>
      </c>
      <c r="D795" s="1349" t="s">
        <v>4638</v>
      </c>
      <c r="E795" s="1361" t="s">
        <v>1861</v>
      </c>
      <c r="F795" s="1350" t="s">
        <v>6758</v>
      </c>
      <c r="G795" s="1351" t="s">
        <v>4612</v>
      </c>
      <c r="H795" s="1342" t="s">
        <v>1329</v>
      </c>
      <c r="I795" s="432" t="s">
        <v>1548</v>
      </c>
      <c r="J795" s="431"/>
      <c r="K795" s="431"/>
      <c r="L795" s="431"/>
      <c r="M795" s="433" t="s">
        <v>1880</v>
      </c>
      <c r="N795" s="434" t="s">
        <v>3518</v>
      </c>
      <c r="O795" s="1760" t="str">
        <f t="shared" si="478"/>
        <v>Echange malveillant (non détecté) de media support de programmes de services de publication d'informations sur un site web interne ou public en exploitation par un membre du personnel non autorisé</v>
      </c>
      <c r="P795" s="435">
        <v>1</v>
      </c>
      <c r="Q795" s="1595" t="s">
        <v>1299</v>
      </c>
      <c r="R795" s="1595" t="s">
        <v>4638</v>
      </c>
      <c r="S795" s="1595" t="str">
        <f>Classif!D27</f>
        <v/>
      </c>
      <c r="T795" s="1595">
        <f t="shared" si="470"/>
        <v>2</v>
      </c>
      <c r="U795" s="1744" t="str">
        <f t="shared" si="471"/>
        <v/>
      </c>
      <c r="V795" s="1771">
        <f>MAX(S03B04,S03B05,S03B06)</f>
        <v>1</v>
      </c>
      <c r="W795" s="1771">
        <f>MAX(MIN(S03B01,S03B02,S03B03),S08B03,S08C02,S09B05)</f>
        <v>1</v>
      </c>
      <c r="X795" s="1771">
        <f>S09B04</f>
        <v>1</v>
      </c>
      <c r="Y795" s="1771">
        <v>1</v>
      </c>
      <c r="Z795" s="1758">
        <v>1</v>
      </c>
      <c r="AA795" s="1759"/>
      <c r="AB795" s="1748"/>
      <c r="AC795" s="1748"/>
      <c r="AD795" s="1595" t="str">
        <f t="shared" si="459"/>
        <v/>
      </c>
      <c r="AE795" s="1595">
        <f t="shared" si="472"/>
        <v>2</v>
      </c>
      <c r="AF795" s="1595" t="str">
        <f t="shared" si="473"/>
        <v/>
      </c>
      <c r="AG795" s="1748"/>
      <c r="AH795" s="1749" t="str">
        <f t="shared" si="460"/>
        <v/>
      </c>
      <c r="AI795" s="1620" t="s">
        <v>1440</v>
      </c>
      <c r="AJ795" s="1616" t="s">
        <v>4531</v>
      </c>
      <c r="AK795" s="1616" t="s">
        <v>3669</v>
      </c>
      <c r="AL795" s="1619"/>
      <c r="AM795" s="247" t="str">
        <f t="shared" si="453"/>
        <v/>
      </c>
      <c r="AN795" s="247" t="str">
        <f t="shared" si="454"/>
        <v/>
      </c>
      <c r="AO795" s="247" t="str">
        <f t="shared" si="455"/>
        <v/>
      </c>
      <c r="AP795" s="247" t="str">
        <f t="shared" si="456"/>
        <v/>
      </c>
      <c r="AQ795" s="42">
        <f t="shared" si="474"/>
        <v>1</v>
      </c>
      <c r="AR795" s="42">
        <f t="shared" si="475"/>
        <v>1</v>
      </c>
      <c r="AS795" s="42">
        <f t="shared" si="476"/>
        <v>1</v>
      </c>
      <c r="AT795" s="42">
        <f t="shared" si="477"/>
        <v>1</v>
      </c>
      <c r="AU795" s="247" t="str">
        <f t="shared" si="457"/>
        <v/>
      </c>
      <c r="AV795" s="247" t="str">
        <f t="shared" si="458"/>
        <v/>
      </c>
    </row>
    <row r="796" spans="1:48" ht="36" x14ac:dyDescent="0.2">
      <c r="A796" s="450" t="s">
        <v>243</v>
      </c>
      <c r="B796" s="429" t="s">
        <v>2599</v>
      </c>
      <c r="C796" s="430" t="s">
        <v>3314</v>
      </c>
      <c r="D796" s="1349" t="s">
        <v>4638</v>
      </c>
      <c r="E796" s="1361" t="s">
        <v>1861</v>
      </c>
      <c r="F796" s="1350" t="s">
        <v>6758</v>
      </c>
      <c r="G796" s="1351" t="s">
        <v>4612</v>
      </c>
      <c r="H796" s="1342" t="s">
        <v>1329</v>
      </c>
      <c r="I796" s="432" t="s">
        <v>1548</v>
      </c>
      <c r="J796" s="431"/>
      <c r="K796" s="431"/>
      <c r="L796" s="431"/>
      <c r="M796" s="433" t="s">
        <v>6757</v>
      </c>
      <c r="N796" s="434" t="s">
        <v>4816</v>
      </c>
      <c r="O796" s="1760" t="str">
        <f t="shared" si="478"/>
        <v>Echange malveillant (non détecté) de media support de programmes de services de publication d'informations sur un site web interne ou public pendant le transport entre sites par un membre  du personnel autorisé</v>
      </c>
      <c r="P796" s="435">
        <v>1</v>
      </c>
      <c r="Q796" s="1595" t="s">
        <v>1299</v>
      </c>
      <c r="R796" s="1595" t="s">
        <v>4638</v>
      </c>
      <c r="S796" s="1595" t="str">
        <f>Classif!D27</f>
        <v/>
      </c>
      <c r="T796" s="1595">
        <f t="shared" si="470"/>
        <v>2</v>
      </c>
      <c r="U796" s="1744" t="str">
        <f t="shared" si="471"/>
        <v/>
      </c>
      <c r="V796" s="1771">
        <v>1</v>
      </c>
      <c r="W796" s="1771">
        <f>MAX(S08B03,S09B05)</f>
        <v>1</v>
      </c>
      <c r="X796" s="1771">
        <f>S09B04</f>
        <v>1</v>
      </c>
      <c r="Y796" s="1771">
        <v>1</v>
      </c>
      <c r="Z796" s="1758">
        <v>1</v>
      </c>
      <c r="AA796" s="1759"/>
      <c r="AB796" s="1748"/>
      <c r="AC796" s="1748"/>
      <c r="AD796" s="1595" t="str">
        <f t="shared" si="459"/>
        <v/>
      </c>
      <c r="AE796" s="1595">
        <f t="shared" si="472"/>
        <v>2</v>
      </c>
      <c r="AF796" s="1595" t="str">
        <f t="shared" si="473"/>
        <v/>
      </c>
      <c r="AG796" s="1748"/>
      <c r="AH796" s="1749" t="str">
        <f t="shared" si="460"/>
        <v/>
      </c>
      <c r="AI796" s="1620"/>
      <c r="AJ796" s="1621" t="s">
        <v>5474</v>
      </c>
      <c r="AK796" s="1616" t="s">
        <v>3669</v>
      </c>
      <c r="AL796" s="1619"/>
      <c r="AM796" s="247" t="str">
        <f t="shared" si="453"/>
        <v/>
      </c>
      <c r="AN796" s="247" t="str">
        <f t="shared" si="454"/>
        <v/>
      </c>
      <c r="AO796" s="247" t="str">
        <f t="shared" si="455"/>
        <v/>
      </c>
      <c r="AP796" s="247" t="str">
        <f t="shared" si="456"/>
        <v/>
      </c>
      <c r="AQ796" s="42">
        <f t="shared" si="474"/>
        <v>1</v>
      </c>
      <c r="AR796" s="42">
        <f t="shared" si="475"/>
        <v>1</v>
      </c>
      <c r="AS796" s="42">
        <f t="shared" si="476"/>
        <v>1</v>
      </c>
      <c r="AT796" s="42">
        <f t="shared" si="477"/>
        <v>1</v>
      </c>
      <c r="AU796" s="247" t="str">
        <f t="shared" si="457"/>
        <v/>
      </c>
      <c r="AV796" s="247" t="str">
        <f t="shared" si="458"/>
        <v/>
      </c>
    </row>
    <row r="797" spans="1:48" ht="36" x14ac:dyDescent="0.2">
      <c r="A797" s="450" t="s">
        <v>244</v>
      </c>
      <c r="B797" s="429" t="s">
        <v>6098</v>
      </c>
      <c r="C797" s="430" t="s">
        <v>3314</v>
      </c>
      <c r="D797" s="1349" t="s">
        <v>4638</v>
      </c>
      <c r="E797" s="1350" t="s">
        <v>6097</v>
      </c>
      <c r="F797" s="1350" t="s">
        <v>6682</v>
      </c>
      <c r="G797" s="1351" t="s">
        <v>6069</v>
      </c>
      <c r="H797" s="1342" t="s">
        <v>1328</v>
      </c>
      <c r="I797" s="432" t="s">
        <v>1548</v>
      </c>
      <c r="J797" s="431"/>
      <c r="K797" s="431"/>
      <c r="L797" s="431"/>
      <c r="M797" s="433" t="s">
        <v>6095</v>
      </c>
      <c r="N797" s="434" t="s">
        <v>6403</v>
      </c>
      <c r="O797" s="1760" t="str">
        <f t="shared" si="478"/>
        <v>Altération de service par falsification du processus de connexion au serveur  de services de publication d'informations sur un site web interne ou public lors de la connexion au service par un membre du personnel d'exploitation</v>
      </c>
      <c r="P797" s="435">
        <v>1</v>
      </c>
      <c r="Q797" s="1595" t="s">
        <v>1299</v>
      </c>
      <c r="R797" s="1595" t="s">
        <v>4638</v>
      </c>
      <c r="S797" s="1595" t="str">
        <f>Classif!D27</f>
        <v/>
      </c>
      <c r="T797" s="1595">
        <f t="shared" si="470"/>
        <v>3</v>
      </c>
      <c r="U797" s="1744" t="str">
        <f t="shared" si="471"/>
        <v/>
      </c>
      <c r="V797" s="1771">
        <f>MAX(S07C02,S08F03)</f>
        <v>1</v>
      </c>
      <c r="W797" s="1771">
        <f>MAX(S07A05,S09A05)</f>
        <v>1</v>
      </c>
      <c r="X797" s="1771">
        <v>1</v>
      </c>
      <c r="Y797" s="1771">
        <v>1</v>
      </c>
      <c r="Z797" s="1758">
        <v>1</v>
      </c>
      <c r="AA797" s="1759"/>
      <c r="AB797" s="1748"/>
      <c r="AC797" s="1748"/>
      <c r="AD797" s="1595" t="str">
        <f t="shared" si="459"/>
        <v/>
      </c>
      <c r="AE797" s="1595">
        <f t="shared" si="472"/>
        <v>3</v>
      </c>
      <c r="AF797" s="1595" t="str">
        <f t="shared" si="473"/>
        <v/>
      </c>
      <c r="AG797" s="1748"/>
      <c r="AH797" s="1749" t="str">
        <f t="shared" si="460"/>
        <v/>
      </c>
      <c r="AI797" s="1622" t="s">
        <v>2590</v>
      </c>
      <c r="AJ797" s="1621" t="s">
        <v>6551</v>
      </c>
      <c r="AK797" s="1618"/>
      <c r="AL797" s="1619"/>
      <c r="AM797" s="247" t="str">
        <f t="shared" si="453"/>
        <v/>
      </c>
      <c r="AN797" s="247" t="str">
        <f t="shared" si="454"/>
        <v/>
      </c>
      <c r="AO797" s="247" t="str">
        <f t="shared" si="455"/>
        <v/>
      </c>
      <c r="AP797" s="247" t="str">
        <f t="shared" si="456"/>
        <v/>
      </c>
      <c r="AQ797" s="42">
        <f t="shared" si="474"/>
        <v>1</v>
      </c>
      <c r="AR797" s="42">
        <f t="shared" si="475"/>
        <v>1</v>
      </c>
      <c r="AS797" s="42">
        <f t="shared" si="476"/>
        <v>1</v>
      </c>
      <c r="AT797" s="42">
        <f t="shared" si="477"/>
        <v>1</v>
      </c>
      <c r="AU797" s="247" t="str">
        <f t="shared" si="457"/>
        <v/>
      </c>
      <c r="AV797" s="247" t="str">
        <f t="shared" si="458"/>
        <v/>
      </c>
    </row>
    <row r="798" spans="1:48" ht="36" x14ac:dyDescent="0.2">
      <c r="A798" s="450" t="s">
        <v>245</v>
      </c>
      <c r="B798" s="429" t="s">
        <v>6098</v>
      </c>
      <c r="C798" s="430" t="s">
        <v>3314</v>
      </c>
      <c r="D798" s="1349" t="s">
        <v>4638</v>
      </c>
      <c r="E798" s="1350" t="s">
        <v>6097</v>
      </c>
      <c r="F798" s="1350" t="s">
        <v>6682</v>
      </c>
      <c r="G798" s="1351" t="s">
        <v>6069</v>
      </c>
      <c r="H798" s="1342" t="s">
        <v>1328</v>
      </c>
      <c r="I798" s="432" t="s">
        <v>1548</v>
      </c>
      <c r="J798" s="431"/>
      <c r="K798" s="431"/>
      <c r="L798" s="431"/>
      <c r="M798" s="433" t="s">
        <v>6095</v>
      </c>
      <c r="N798" s="434" t="s">
        <v>1873</v>
      </c>
      <c r="O798" s="1760" t="str">
        <f t="shared" si="478"/>
        <v>Altération de service par falsification du processus de connexion au serveur  de services de publication d'informations sur un site web interne ou public lors de la connexion au service par un membre du personnel de développement</v>
      </c>
      <c r="P798" s="435">
        <v>1</v>
      </c>
      <c r="Q798" s="1595" t="s">
        <v>1299</v>
      </c>
      <c r="R798" s="1595" t="s">
        <v>4638</v>
      </c>
      <c r="S798" s="1595" t="str">
        <f>Classif!D27</f>
        <v/>
      </c>
      <c r="T798" s="1595">
        <f t="shared" si="470"/>
        <v>3</v>
      </c>
      <c r="U798" s="1744" t="str">
        <f t="shared" si="471"/>
        <v/>
      </c>
      <c r="V798" s="1771">
        <f>S10B01</f>
        <v>1</v>
      </c>
      <c r="W798" s="1771">
        <f>MAX(S07A05,S09A05)</f>
        <v>1</v>
      </c>
      <c r="X798" s="1771">
        <v>1</v>
      </c>
      <c r="Y798" s="1771">
        <v>1</v>
      </c>
      <c r="Z798" s="1758">
        <v>1</v>
      </c>
      <c r="AA798" s="1759"/>
      <c r="AB798" s="1748"/>
      <c r="AC798" s="1748"/>
      <c r="AD798" s="1595" t="str">
        <f t="shared" si="459"/>
        <v/>
      </c>
      <c r="AE798" s="1595">
        <f t="shared" si="472"/>
        <v>3</v>
      </c>
      <c r="AF798" s="1595" t="str">
        <f t="shared" si="473"/>
        <v/>
      </c>
      <c r="AG798" s="1748"/>
      <c r="AH798" s="1749" t="str">
        <f t="shared" si="460"/>
        <v/>
      </c>
      <c r="AI798" s="1622" t="s">
        <v>3217</v>
      </c>
      <c r="AJ798" s="1621" t="s">
        <v>6551</v>
      </c>
      <c r="AK798" s="1618"/>
      <c r="AL798" s="1619"/>
      <c r="AM798" s="247" t="str">
        <f t="shared" si="453"/>
        <v/>
      </c>
      <c r="AN798" s="247" t="str">
        <f t="shared" si="454"/>
        <v/>
      </c>
      <c r="AO798" s="247" t="str">
        <f t="shared" si="455"/>
        <v/>
      </c>
      <c r="AP798" s="247" t="str">
        <f t="shared" si="456"/>
        <v/>
      </c>
      <c r="AQ798" s="42">
        <f t="shared" si="474"/>
        <v>1</v>
      </c>
      <c r="AR798" s="42">
        <f t="shared" si="475"/>
        <v>1</v>
      </c>
      <c r="AS798" s="42">
        <f t="shared" si="476"/>
        <v>1</v>
      </c>
      <c r="AT798" s="42">
        <f t="shared" si="477"/>
        <v>1</v>
      </c>
      <c r="AU798" s="247" t="str">
        <f t="shared" si="457"/>
        <v/>
      </c>
      <c r="AV798" s="247" t="str">
        <f t="shared" si="458"/>
        <v/>
      </c>
    </row>
    <row r="799" spans="1:48" ht="36" x14ac:dyDescent="0.2">
      <c r="A799" s="450" t="s">
        <v>246</v>
      </c>
      <c r="B799" s="429" t="s">
        <v>6098</v>
      </c>
      <c r="C799" s="430" t="s">
        <v>3314</v>
      </c>
      <c r="D799" s="1349" t="s">
        <v>4638</v>
      </c>
      <c r="E799" s="1350" t="s">
        <v>6097</v>
      </c>
      <c r="F799" s="1350" t="s">
        <v>6682</v>
      </c>
      <c r="G799" s="1351" t="s">
        <v>6069</v>
      </c>
      <c r="H799" s="1342" t="s">
        <v>1328</v>
      </c>
      <c r="I799" s="432" t="s">
        <v>1548</v>
      </c>
      <c r="J799" s="431"/>
      <c r="K799" s="431"/>
      <c r="L799" s="431"/>
      <c r="M799" s="433" t="s">
        <v>6095</v>
      </c>
      <c r="N799" s="434" t="s">
        <v>1299</v>
      </c>
      <c r="O799" s="1760" t="str">
        <f t="shared" si="478"/>
        <v>Altération de service par falsification du processus de connexion au serveur  de services de publication d'informations sur un site web interne ou public lors de la connexion au service par un membre du personnel de maintenance</v>
      </c>
      <c r="P799" s="435">
        <v>1</v>
      </c>
      <c r="Q799" s="1595" t="s">
        <v>1299</v>
      </c>
      <c r="R799" s="1595" t="s">
        <v>4638</v>
      </c>
      <c r="S799" s="1595" t="str">
        <f>Classif!D27</f>
        <v/>
      </c>
      <c r="T799" s="1595">
        <f t="shared" si="470"/>
        <v>3</v>
      </c>
      <c r="U799" s="1744" t="str">
        <f t="shared" si="471"/>
        <v/>
      </c>
      <c r="V799" s="1771">
        <f>S10B05</f>
        <v>1</v>
      </c>
      <c r="W799" s="1771">
        <f>MAX(S07A05,S09A05)</f>
        <v>1</v>
      </c>
      <c r="X799" s="1771">
        <v>1</v>
      </c>
      <c r="Y799" s="1771">
        <v>1</v>
      </c>
      <c r="Z799" s="1758">
        <v>1</v>
      </c>
      <c r="AA799" s="1759"/>
      <c r="AB799" s="1748"/>
      <c r="AC799" s="1748"/>
      <c r="AD799" s="1595" t="str">
        <f t="shared" si="459"/>
        <v/>
      </c>
      <c r="AE799" s="1595">
        <f t="shared" si="472"/>
        <v>3</v>
      </c>
      <c r="AF799" s="1595" t="str">
        <f t="shared" si="473"/>
        <v/>
      </c>
      <c r="AG799" s="1748"/>
      <c r="AH799" s="1749" t="str">
        <f t="shared" si="460"/>
        <v/>
      </c>
      <c r="AI799" s="1622" t="s">
        <v>3224</v>
      </c>
      <c r="AJ799" s="1621" t="s">
        <v>6551</v>
      </c>
      <c r="AK799" s="1618"/>
      <c r="AL799" s="1619"/>
      <c r="AM799" s="247" t="str">
        <f t="shared" si="453"/>
        <v/>
      </c>
      <c r="AN799" s="247" t="str">
        <f t="shared" si="454"/>
        <v/>
      </c>
      <c r="AO799" s="247" t="str">
        <f t="shared" si="455"/>
        <v/>
      </c>
      <c r="AP799" s="247" t="str">
        <f t="shared" si="456"/>
        <v/>
      </c>
      <c r="AQ799" s="42">
        <f t="shared" si="474"/>
        <v>1</v>
      </c>
      <c r="AR799" s="42">
        <f t="shared" si="475"/>
        <v>1</v>
      </c>
      <c r="AS799" s="42">
        <f t="shared" si="476"/>
        <v>1</v>
      </c>
      <c r="AT799" s="42">
        <f t="shared" si="477"/>
        <v>1</v>
      </c>
      <c r="AU799" s="247" t="str">
        <f t="shared" si="457"/>
        <v/>
      </c>
      <c r="AV799" s="247" t="str">
        <f t="shared" si="458"/>
        <v/>
      </c>
    </row>
    <row r="800" spans="1:48" ht="36" x14ac:dyDescent="0.2">
      <c r="A800" s="450" t="s">
        <v>247</v>
      </c>
      <c r="B800" s="429" t="s">
        <v>3722</v>
      </c>
      <c r="C800" s="430" t="s">
        <v>3314</v>
      </c>
      <c r="D800" s="1349" t="s">
        <v>4638</v>
      </c>
      <c r="E800" s="1350" t="s">
        <v>3727</v>
      </c>
      <c r="F800" s="1350" t="s">
        <v>6682</v>
      </c>
      <c r="G800" s="1351" t="s">
        <v>6069</v>
      </c>
      <c r="H800" s="1342" t="s">
        <v>1327</v>
      </c>
      <c r="I800" s="432" t="s">
        <v>1545</v>
      </c>
      <c r="J800" s="431"/>
      <c r="K800" s="431"/>
      <c r="L800" s="431"/>
      <c r="M800" s="433" t="s">
        <v>2976</v>
      </c>
      <c r="N800" s="434" t="s">
        <v>6403</v>
      </c>
      <c r="O800" s="1760" t="str">
        <f t="shared" si="478"/>
        <v>Altération ou inhibition accidentelle (non détectée) des fonctions de sécurité de services de publication d'informations sur un site web interne ou public lors de la remise en service après intervention par un membre du personnel d'exploitation</v>
      </c>
      <c r="P800" s="435">
        <v>1</v>
      </c>
      <c r="Q800" s="1595" t="s">
        <v>6403</v>
      </c>
      <c r="R800" s="1595" t="s">
        <v>4638</v>
      </c>
      <c r="S800" s="1595" t="str">
        <f>Classif!D27</f>
        <v/>
      </c>
      <c r="T800" s="1595">
        <f t="shared" si="470"/>
        <v>3</v>
      </c>
      <c r="U800" s="1744" t="str">
        <f t="shared" si="471"/>
        <v/>
      </c>
      <c r="V800" s="1771">
        <v>1</v>
      </c>
      <c r="W800" s="1771">
        <v>1</v>
      </c>
      <c r="X800" s="1771">
        <v>1</v>
      </c>
      <c r="Y800" s="1771">
        <v>1</v>
      </c>
      <c r="Z800" s="1758">
        <v>1</v>
      </c>
      <c r="AA800" s="1759"/>
      <c r="AB800" s="1748"/>
      <c r="AC800" s="1748"/>
      <c r="AD800" s="1595" t="str">
        <f t="shared" si="459"/>
        <v/>
      </c>
      <c r="AE800" s="1595">
        <f t="shared" si="472"/>
        <v>3</v>
      </c>
      <c r="AF800" s="1595" t="str">
        <f t="shared" si="473"/>
        <v/>
      </c>
      <c r="AG800" s="1748"/>
      <c r="AH800" s="1749" t="str">
        <f t="shared" si="460"/>
        <v/>
      </c>
      <c r="AI800" s="1622"/>
      <c r="AJ800" s="1621"/>
      <c r="AK800" s="1618"/>
      <c r="AL800" s="1619"/>
      <c r="AM800" s="247" t="str">
        <f t="shared" si="453"/>
        <v/>
      </c>
      <c r="AN800" s="247" t="str">
        <f t="shared" si="454"/>
        <v/>
      </c>
      <c r="AO800" s="247" t="str">
        <f t="shared" si="455"/>
        <v/>
      </c>
      <c r="AP800" s="247" t="str">
        <f t="shared" si="456"/>
        <v/>
      </c>
      <c r="AQ800" s="42">
        <f t="shared" si="474"/>
        <v>1</v>
      </c>
      <c r="AR800" s="42">
        <f t="shared" si="475"/>
        <v>1</v>
      </c>
      <c r="AS800" s="42">
        <f t="shared" si="476"/>
        <v>1</v>
      </c>
      <c r="AT800" s="42">
        <f t="shared" si="477"/>
        <v>1</v>
      </c>
      <c r="AU800" s="247" t="str">
        <f t="shared" si="457"/>
        <v/>
      </c>
      <c r="AV800" s="247" t="str">
        <f t="shared" si="458"/>
        <v/>
      </c>
    </row>
    <row r="801" spans="1:48" ht="48" x14ac:dyDescent="0.2">
      <c r="A801" s="450" t="s">
        <v>248</v>
      </c>
      <c r="B801" s="429" t="s">
        <v>3722</v>
      </c>
      <c r="C801" s="430" t="s">
        <v>3314</v>
      </c>
      <c r="D801" s="1349" t="s">
        <v>4638</v>
      </c>
      <c r="E801" s="1350" t="s">
        <v>3727</v>
      </c>
      <c r="F801" s="1350" t="s">
        <v>6682</v>
      </c>
      <c r="G801" s="1351" t="s">
        <v>6069</v>
      </c>
      <c r="H801" s="1342" t="s">
        <v>1327</v>
      </c>
      <c r="I801" s="432" t="s">
        <v>1545</v>
      </c>
      <c r="J801" s="431"/>
      <c r="K801" s="431"/>
      <c r="L801" s="431"/>
      <c r="M801" s="433" t="s">
        <v>2976</v>
      </c>
      <c r="N801" s="434" t="s">
        <v>1299</v>
      </c>
      <c r="O801" s="1760" t="str">
        <f t="shared" si="478"/>
        <v>Altération ou inhibition accidentelle (non détectée) des fonctions de sécurité de services de publication d'informations sur un site web interne ou public lors de la remise en service après intervention par un membre du personnel de maintenance</v>
      </c>
      <c r="P801" s="435">
        <v>1</v>
      </c>
      <c r="Q801" s="1595" t="s">
        <v>6403</v>
      </c>
      <c r="R801" s="1595" t="s">
        <v>4638</v>
      </c>
      <c r="S801" s="1595" t="str">
        <f>Classif!D27</f>
        <v/>
      </c>
      <c r="T801" s="1595">
        <f t="shared" si="470"/>
        <v>3</v>
      </c>
      <c r="U801" s="1744" t="str">
        <f t="shared" si="471"/>
        <v/>
      </c>
      <c r="V801" s="1771">
        <v>1</v>
      </c>
      <c r="W801" s="1771">
        <f>S08A04</f>
        <v>1</v>
      </c>
      <c r="X801" s="1771">
        <v>1</v>
      </c>
      <c r="Y801" s="1771">
        <v>1</v>
      </c>
      <c r="Z801" s="1758">
        <v>1</v>
      </c>
      <c r="AA801" s="1759"/>
      <c r="AB801" s="1748"/>
      <c r="AC801" s="1748"/>
      <c r="AD801" s="1595" t="str">
        <f t="shared" si="459"/>
        <v/>
      </c>
      <c r="AE801" s="1595">
        <f t="shared" si="472"/>
        <v>3</v>
      </c>
      <c r="AF801" s="1595" t="str">
        <f t="shared" si="473"/>
        <v/>
      </c>
      <c r="AG801" s="1748"/>
      <c r="AH801" s="1749" t="str">
        <f t="shared" si="460"/>
        <v/>
      </c>
      <c r="AI801" s="1622"/>
      <c r="AJ801" s="1621" t="s">
        <v>4325</v>
      </c>
      <c r="AK801" s="1618"/>
      <c r="AL801" s="1619"/>
      <c r="AM801" s="247" t="str">
        <f t="shared" si="453"/>
        <v/>
      </c>
      <c r="AN801" s="247" t="str">
        <f t="shared" si="454"/>
        <v/>
      </c>
      <c r="AO801" s="247" t="str">
        <f t="shared" si="455"/>
        <v/>
      </c>
      <c r="AP801" s="247" t="str">
        <f t="shared" si="456"/>
        <v/>
      </c>
      <c r="AQ801" s="42">
        <f t="shared" si="474"/>
        <v>1</v>
      </c>
      <c r="AR801" s="42">
        <f t="shared" si="475"/>
        <v>1</v>
      </c>
      <c r="AS801" s="42">
        <f t="shared" si="476"/>
        <v>1</v>
      </c>
      <c r="AT801" s="42">
        <f t="shared" si="477"/>
        <v>1</v>
      </c>
      <c r="AU801" s="247" t="str">
        <f t="shared" si="457"/>
        <v/>
      </c>
      <c r="AV801" s="247" t="str">
        <f t="shared" si="458"/>
        <v/>
      </c>
    </row>
    <row r="802" spans="1:48" ht="36" x14ac:dyDescent="0.2">
      <c r="A802" s="450" t="s">
        <v>249</v>
      </c>
      <c r="B802" s="429" t="s">
        <v>3724</v>
      </c>
      <c r="C802" s="430" t="s">
        <v>3314</v>
      </c>
      <c r="D802" s="1349" t="s">
        <v>4638</v>
      </c>
      <c r="E802" s="1350" t="s">
        <v>3727</v>
      </c>
      <c r="F802" s="1350" t="s">
        <v>6682</v>
      </c>
      <c r="G802" s="1351" t="s">
        <v>6069</v>
      </c>
      <c r="H802" s="1342" t="s">
        <v>1328</v>
      </c>
      <c r="I802" s="432" t="s">
        <v>1548</v>
      </c>
      <c r="J802" s="431"/>
      <c r="K802" s="431"/>
      <c r="L802" s="431"/>
      <c r="M802" s="433" t="s">
        <v>2976</v>
      </c>
      <c r="N802" s="434" t="s">
        <v>6403</v>
      </c>
      <c r="O802" s="1760" t="str">
        <f t="shared" si="478"/>
        <v>Altération ou inhibition malveillante (non détectée) des fonctions de sécurité de services de publication d'informations sur un site web interne ou public lors de la remise en service après intervention par un membre du personnel d'exploitation</v>
      </c>
      <c r="P802" s="435">
        <v>1</v>
      </c>
      <c r="Q802" s="1595" t="s">
        <v>1299</v>
      </c>
      <c r="R802" s="1595" t="s">
        <v>4638</v>
      </c>
      <c r="S802" s="1595" t="str">
        <f>Classif!D27</f>
        <v/>
      </c>
      <c r="T802" s="1595">
        <f t="shared" si="470"/>
        <v>3</v>
      </c>
      <c r="U802" s="1744" t="str">
        <f t="shared" si="471"/>
        <v/>
      </c>
      <c r="V802" s="1771">
        <f>MIN(S07C02,S08F03)</f>
        <v>1</v>
      </c>
      <c r="W802" s="1771">
        <v>1</v>
      </c>
      <c r="X802" s="1771">
        <v>1</v>
      </c>
      <c r="Y802" s="1771">
        <v>1</v>
      </c>
      <c r="Z802" s="1758">
        <v>1</v>
      </c>
      <c r="AA802" s="1759"/>
      <c r="AB802" s="1748"/>
      <c r="AC802" s="1748"/>
      <c r="AD802" s="1595" t="str">
        <f t="shared" si="459"/>
        <v/>
      </c>
      <c r="AE802" s="1595">
        <f t="shared" si="472"/>
        <v>3</v>
      </c>
      <c r="AF802" s="1595" t="str">
        <f t="shared" si="473"/>
        <v/>
      </c>
      <c r="AG802" s="1748"/>
      <c r="AH802" s="1749" t="str">
        <f t="shared" si="460"/>
        <v/>
      </c>
      <c r="AI802" s="1622" t="s">
        <v>3728</v>
      </c>
      <c r="AJ802" s="1621"/>
      <c r="AK802" s="1618"/>
      <c r="AL802" s="1619"/>
      <c r="AM802" s="247" t="str">
        <f t="shared" si="453"/>
        <v/>
      </c>
      <c r="AN802" s="247" t="str">
        <f t="shared" si="454"/>
        <v/>
      </c>
      <c r="AO802" s="247" t="str">
        <f t="shared" si="455"/>
        <v/>
      </c>
      <c r="AP802" s="247" t="str">
        <f t="shared" si="456"/>
        <v/>
      </c>
      <c r="AQ802" s="42">
        <f t="shared" si="474"/>
        <v>1</v>
      </c>
      <c r="AR802" s="42">
        <f t="shared" si="475"/>
        <v>1</v>
      </c>
      <c r="AS802" s="42">
        <f t="shared" si="476"/>
        <v>1</v>
      </c>
      <c r="AT802" s="42">
        <f t="shared" si="477"/>
        <v>1</v>
      </c>
      <c r="AU802" s="247" t="str">
        <f t="shared" si="457"/>
        <v/>
      </c>
      <c r="AV802" s="247" t="str">
        <f t="shared" si="458"/>
        <v/>
      </c>
    </row>
    <row r="803" spans="1:48" ht="48" x14ac:dyDescent="0.2">
      <c r="A803" s="450" t="s">
        <v>250</v>
      </c>
      <c r="B803" s="429" t="s">
        <v>3724</v>
      </c>
      <c r="C803" s="430" t="s">
        <v>3314</v>
      </c>
      <c r="D803" s="1349" t="s">
        <v>4638</v>
      </c>
      <c r="E803" s="1350" t="s">
        <v>3727</v>
      </c>
      <c r="F803" s="1350" t="s">
        <v>6682</v>
      </c>
      <c r="G803" s="1351" t="s">
        <v>6069</v>
      </c>
      <c r="H803" s="1342" t="s">
        <v>1328</v>
      </c>
      <c r="I803" s="432" t="s">
        <v>1548</v>
      </c>
      <c r="J803" s="431"/>
      <c r="K803" s="431"/>
      <c r="L803" s="431"/>
      <c r="M803" s="433" t="s">
        <v>2976</v>
      </c>
      <c r="N803" s="434" t="s">
        <v>1299</v>
      </c>
      <c r="O803" s="1760" t="str">
        <f t="shared" si="478"/>
        <v>Altération ou inhibition malveillante (non détectée) des fonctions de sécurité de services de publication d'informations sur un site web interne ou public lors de la remise en service après intervention par un membre du personnel de maintenance</v>
      </c>
      <c r="P803" s="435">
        <v>1</v>
      </c>
      <c r="Q803" s="1595" t="s">
        <v>1299</v>
      </c>
      <c r="R803" s="1595" t="s">
        <v>4638</v>
      </c>
      <c r="S803" s="1595" t="str">
        <f>Classif!D27</f>
        <v/>
      </c>
      <c r="T803" s="1595">
        <f t="shared" si="470"/>
        <v>3</v>
      </c>
      <c r="U803" s="1744" t="str">
        <f t="shared" si="471"/>
        <v/>
      </c>
      <c r="V803" s="1771">
        <f>S10B05</f>
        <v>1</v>
      </c>
      <c r="W803" s="1771">
        <f>S08A04</f>
        <v>1</v>
      </c>
      <c r="X803" s="1771">
        <v>1</v>
      </c>
      <c r="Y803" s="1771">
        <v>1</v>
      </c>
      <c r="Z803" s="1758">
        <v>1</v>
      </c>
      <c r="AA803" s="1759"/>
      <c r="AB803" s="1748"/>
      <c r="AC803" s="1748"/>
      <c r="AD803" s="1595" t="str">
        <f t="shared" si="459"/>
        <v/>
      </c>
      <c r="AE803" s="1595">
        <f t="shared" si="472"/>
        <v>3</v>
      </c>
      <c r="AF803" s="1595" t="str">
        <f t="shared" si="473"/>
        <v/>
      </c>
      <c r="AG803" s="1748"/>
      <c r="AH803" s="1749" t="str">
        <f t="shared" si="460"/>
        <v/>
      </c>
      <c r="AI803" s="1622" t="s">
        <v>3224</v>
      </c>
      <c r="AJ803" s="1621" t="s">
        <v>4325</v>
      </c>
      <c r="AK803" s="1618"/>
      <c r="AL803" s="1619"/>
      <c r="AM803" s="247" t="str">
        <f t="shared" si="453"/>
        <v/>
      </c>
      <c r="AN803" s="247" t="str">
        <f t="shared" si="454"/>
        <v/>
      </c>
      <c r="AO803" s="247" t="str">
        <f t="shared" si="455"/>
        <v/>
      </c>
      <c r="AP803" s="247" t="str">
        <f t="shared" si="456"/>
        <v/>
      </c>
      <c r="AQ803" s="42">
        <f t="shared" si="474"/>
        <v>1</v>
      </c>
      <c r="AR803" s="42">
        <f t="shared" si="475"/>
        <v>1</v>
      </c>
      <c r="AS803" s="42">
        <f t="shared" si="476"/>
        <v>1</v>
      </c>
      <c r="AT803" s="42">
        <f t="shared" si="477"/>
        <v>1</v>
      </c>
      <c r="AU803" s="247" t="str">
        <f t="shared" si="457"/>
        <v/>
      </c>
      <c r="AV803" s="247" t="str">
        <f t="shared" si="458"/>
        <v/>
      </c>
    </row>
    <row r="804" spans="1:48" ht="36" x14ac:dyDescent="0.2">
      <c r="A804" s="450" t="s">
        <v>251</v>
      </c>
      <c r="B804" s="429" t="s">
        <v>3724</v>
      </c>
      <c r="C804" s="430" t="s">
        <v>3314</v>
      </c>
      <c r="D804" s="1349" t="s">
        <v>4638</v>
      </c>
      <c r="E804" s="1350" t="s">
        <v>3727</v>
      </c>
      <c r="F804" s="1350" t="s">
        <v>6682</v>
      </c>
      <c r="G804" s="1351" t="s">
        <v>6069</v>
      </c>
      <c r="H804" s="1342" t="s">
        <v>1328</v>
      </c>
      <c r="I804" s="432" t="s">
        <v>1548</v>
      </c>
      <c r="J804" s="431"/>
      <c r="K804" s="431"/>
      <c r="L804" s="431"/>
      <c r="M804" s="433" t="s">
        <v>2976</v>
      </c>
      <c r="N804" s="434" t="s">
        <v>3518</v>
      </c>
      <c r="O804" s="1760" t="str">
        <f t="shared" si="478"/>
        <v>Altération ou inhibition malveillante (non détectée) des fonctions de sécurité de services de publication d'informations sur un site web interne ou public lors de la remise en service après intervention par un membre du personnel non autorisé</v>
      </c>
      <c r="P804" s="435">
        <v>1</v>
      </c>
      <c r="Q804" s="1595" t="s">
        <v>1299</v>
      </c>
      <c r="R804" s="1595" t="s">
        <v>4638</v>
      </c>
      <c r="S804" s="1595" t="str">
        <f>Classif!D27</f>
        <v/>
      </c>
      <c r="T804" s="1595">
        <f t="shared" si="470"/>
        <v>3</v>
      </c>
      <c r="U804" s="1744" t="str">
        <f t="shared" si="471"/>
        <v/>
      </c>
      <c r="V804" s="1771">
        <v>1</v>
      </c>
      <c r="W804" s="1771">
        <f>MIN(S08F01,S08F02)</f>
        <v>1</v>
      </c>
      <c r="X804" s="1771">
        <v>1</v>
      </c>
      <c r="Y804" s="1771">
        <v>1</v>
      </c>
      <c r="Z804" s="1758">
        <v>1</v>
      </c>
      <c r="AA804" s="1759"/>
      <c r="AB804" s="1748"/>
      <c r="AC804" s="1748"/>
      <c r="AD804" s="1595" t="str">
        <f t="shared" si="459"/>
        <v/>
      </c>
      <c r="AE804" s="1595">
        <f t="shared" si="472"/>
        <v>3</v>
      </c>
      <c r="AF804" s="1595" t="str">
        <f t="shared" si="473"/>
        <v/>
      </c>
      <c r="AG804" s="1748"/>
      <c r="AH804" s="1749" t="str">
        <f t="shared" si="460"/>
        <v/>
      </c>
      <c r="AI804" s="1615"/>
      <c r="AJ804" s="1621" t="s">
        <v>3729</v>
      </c>
      <c r="AK804" s="1618"/>
      <c r="AL804" s="1619"/>
      <c r="AM804" s="247" t="str">
        <f t="shared" si="453"/>
        <v/>
      </c>
      <c r="AN804" s="247" t="str">
        <f t="shared" si="454"/>
        <v/>
      </c>
      <c r="AO804" s="247" t="str">
        <f t="shared" si="455"/>
        <v/>
      </c>
      <c r="AP804" s="247" t="str">
        <f t="shared" si="456"/>
        <v/>
      </c>
      <c r="AQ804" s="42">
        <f t="shared" si="474"/>
        <v>1</v>
      </c>
      <c r="AR804" s="42">
        <f t="shared" si="475"/>
        <v>1</v>
      </c>
      <c r="AS804" s="42">
        <f t="shared" si="476"/>
        <v>1</v>
      </c>
      <c r="AT804" s="42">
        <f t="shared" si="477"/>
        <v>1</v>
      </c>
      <c r="AU804" s="247" t="str">
        <f t="shared" si="457"/>
        <v/>
      </c>
      <c r="AV804" s="247" t="str">
        <f t="shared" si="458"/>
        <v/>
      </c>
    </row>
    <row r="805" spans="1:48" ht="15" x14ac:dyDescent="0.2">
      <c r="A805" s="456" t="s">
        <v>3642</v>
      </c>
      <c r="B805" s="457"/>
      <c r="C805" s="423" t="s">
        <v>3690</v>
      </c>
      <c r="D805" s="1356"/>
      <c r="E805" s="1357"/>
      <c r="F805" s="1357"/>
      <c r="G805" s="1360"/>
      <c r="H805" s="1345"/>
      <c r="I805" s="459"/>
      <c r="J805" s="458"/>
      <c r="K805" s="458"/>
      <c r="L805" s="458"/>
      <c r="M805" s="460"/>
      <c r="N805" s="461"/>
      <c r="O805" s="1761"/>
      <c r="P805" s="435"/>
      <c r="Q805" s="1595"/>
      <c r="R805" s="1595"/>
      <c r="S805" s="1753"/>
      <c r="T805" s="1595"/>
      <c r="U805" s="1744"/>
      <c r="V805" s="1754"/>
      <c r="W805" s="1754"/>
      <c r="X805" s="1754"/>
      <c r="Y805" s="1754"/>
      <c r="Z805" s="1762"/>
      <c r="AA805" s="1763"/>
      <c r="AB805" s="1748"/>
      <c r="AC805" s="1748"/>
      <c r="AD805" s="1595"/>
      <c r="AE805" s="1753"/>
      <c r="AF805" s="1595"/>
      <c r="AG805" s="1748"/>
      <c r="AH805" s="1749"/>
      <c r="AI805" s="1627"/>
      <c r="AJ805" s="1628"/>
      <c r="AK805" s="1628"/>
      <c r="AL805" s="1629"/>
      <c r="AM805" s="247" t="str">
        <f t="shared" si="453"/>
        <v/>
      </c>
      <c r="AN805" s="247" t="str">
        <f t="shared" si="454"/>
        <v/>
      </c>
      <c r="AO805" s="247" t="str">
        <f t="shared" si="455"/>
        <v/>
      </c>
      <c r="AP805" s="247" t="str">
        <f t="shared" si="456"/>
        <v/>
      </c>
      <c r="AU805" s="247" t="str">
        <f t="shared" si="457"/>
        <v/>
      </c>
      <c r="AV805" s="247" t="str">
        <f t="shared" si="458"/>
        <v/>
      </c>
    </row>
    <row r="806" spans="1:48" ht="24" x14ac:dyDescent="0.2">
      <c r="A806" s="450" t="s">
        <v>252</v>
      </c>
      <c r="B806" s="429" t="s">
        <v>3692</v>
      </c>
      <c r="C806" s="430" t="s">
        <v>2787</v>
      </c>
      <c r="D806" s="1349" t="s">
        <v>4811</v>
      </c>
      <c r="E806" s="1350" t="s">
        <v>7450</v>
      </c>
      <c r="F806" s="1350" t="s">
        <v>2794</v>
      </c>
      <c r="G806" s="1351" t="s">
        <v>6739</v>
      </c>
      <c r="H806" s="1342" t="s">
        <v>1327</v>
      </c>
      <c r="I806" s="432" t="s">
        <v>1545</v>
      </c>
      <c r="J806" s="431"/>
      <c r="K806" s="431"/>
      <c r="L806" s="431"/>
      <c r="M806" s="433" t="s">
        <v>1880</v>
      </c>
      <c r="N806" s="434" t="s">
        <v>6403</v>
      </c>
      <c r="O806" s="1743" t="str">
        <f>VLOOKUP(B806,code_famille_scénario,2)&amp;VLOOKUP(C806,code_actif,2)&amp;" due "&amp;VLOOKUP(I806,code_event,2)&amp;", "&amp;VLOOKUP(M806,code_process,2)</f>
        <v>Divulgation, par erreur, de programmes de services applicatifs due à une erreur de procédure, en exploitation</v>
      </c>
      <c r="P806" s="435">
        <v>1</v>
      </c>
      <c r="Q806" s="1595" t="s">
        <v>1299</v>
      </c>
      <c r="R806" s="1595" t="s">
        <v>4811</v>
      </c>
      <c r="S806" s="1595" t="str">
        <f>Classif!E23</f>
        <v/>
      </c>
      <c r="T806" s="1595">
        <f t="shared" ref="T806:T821" si="479">VLOOKUP(H806&amp;"."&amp;I806,Tab_event,4)</f>
        <v>3</v>
      </c>
      <c r="U806" s="1744" t="str">
        <f t="shared" ref="U806:U821" si="480">IF(AND(NOT(S806=""),NOT(T806="")),INDEX(base_g,5-S806,T806),"")</f>
        <v/>
      </c>
      <c r="V806" s="1745">
        <v>1</v>
      </c>
      <c r="W806" s="1745">
        <f>S10B02</f>
        <v>1</v>
      </c>
      <c r="X806" s="1745">
        <v>1</v>
      </c>
      <c r="Y806" s="1745">
        <v>1</v>
      </c>
      <c r="Z806" s="1758">
        <v>0</v>
      </c>
      <c r="AA806" s="1759"/>
      <c r="AB806" s="1748"/>
      <c r="AC806" s="1748"/>
      <c r="AD806" s="1595" t="str">
        <f t="shared" si="459"/>
        <v/>
      </c>
      <c r="AE806" s="1595">
        <f t="shared" ref="AE806:AE821" si="481">IF(OR(Q806="",T806=""),"",IF(Q806="A",INDEX(base_p,4,W806+7*(T806-1)),IF(Q806="E",INDEX(base_p,15,W806+7*(T806-1)),INDEX(base_p,27-V806,W806+7*(T806-1)))))</f>
        <v>3</v>
      </c>
      <c r="AF806" s="1595" t="str">
        <f t="shared" ref="AF806:AF821" si="482">IF(AT806=1,IF(IndG=1,U806,IF(AND(OR(NOT(AD806=""),NOT(AB806="")),OR(NOT(AE806=""),NOT(AC806="")),AT806=1),INDEX(base_g,5-IF(AB806="",AD806,AB806),IF(AC806="",AE806,AC806)),"")),0)</f>
        <v/>
      </c>
      <c r="AG806" s="1748"/>
      <c r="AH806" s="1749" t="str">
        <f t="shared" si="460"/>
        <v/>
      </c>
      <c r="AI806" s="1615"/>
      <c r="AJ806" s="1616" t="s">
        <v>3219</v>
      </c>
      <c r="AK806" s="1618"/>
      <c r="AL806" s="1619"/>
      <c r="AM806" s="247" t="str">
        <f t="shared" si="453"/>
        <v/>
      </c>
      <c r="AN806" s="247" t="str">
        <f t="shared" si="454"/>
        <v/>
      </c>
      <c r="AO806" s="247" t="str">
        <f t="shared" si="455"/>
        <v/>
      </c>
      <c r="AP806" s="247" t="str">
        <f t="shared" si="456"/>
        <v/>
      </c>
      <c r="AQ806" s="42">
        <f t="shared" ref="AQ806:AQ821" si="483">VLOOKUP(LEFT(C806,3),Tab_classif_servIR,6)</f>
        <v>1</v>
      </c>
      <c r="AR806" s="42">
        <f t="shared" ref="AR806:AR821" si="484">VLOOKUP(G806,select_vul_serv,2)</f>
        <v>1</v>
      </c>
      <c r="AS806" s="42">
        <f t="shared" ref="AS806:AS821" si="485">VLOOKUP(H806&amp;"."&amp;I806,select_men,5)</f>
        <v>1</v>
      </c>
      <c r="AT806" s="42">
        <f t="shared" ref="AT806:AT821" si="486">P806*AQ806*AR806*AS806</f>
        <v>1</v>
      </c>
      <c r="AU806" s="247" t="str">
        <f t="shared" si="457"/>
        <v/>
      </c>
      <c r="AV806" s="247" t="str">
        <f t="shared" si="458"/>
        <v/>
      </c>
    </row>
    <row r="807" spans="1:48" ht="24" x14ac:dyDescent="0.2">
      <c r="A807" s="450" t="s">
        <v>253</v>
      </c>
      <c r="B807" s="429" t="s">
        <v>3692</v>
      </c>
      <c r="C807" s="430" t="s">
        <v>2787</v>
      </c>
      <c r="D807" s="1349" t="s">
        <v>4811</v>
      </c>
      <c r="E807" s="1350" t="s">
        <v>7450</v>
      </c>
      <c r="F807" s="1350" t="s">
        <v>2794</v>
      </c>
      <c r="G807" s="1351" t="s">
        <v>6739</v>
      </c>
      <c r="H807" s="1342" t="s">
        <v>1327</v>
      </c>
      <c r="I807" s="432" t="s">
        <v>1545</v>
      </c>
      <c r="J807" s="431"/>
      <c r="K807" s="431"/>
      <c r="L807" s="431"/>
      <c r="M807" s="433" t="s">
        <v>6513</v>
      </c>
      <c r="N807" s="434" t="s">
        <v>6403</v>
      </c>
      <c r="O807" s="1743" t="str">
        <f>VLOOKUP(B807,code_famille_scénario,2)&amp;VLOOKUP(C807,code_actif,2)&amp;" due "&amp;VLOOKUP(I807,code_event,2)&amp;", "&amp;VLOOKUP(M807,code_process,2)</f>
        <v>Divulgation, par erreur, de programmes de services applicatifs due à une erreur de procédure, lors d'une opération de maintenance matérielle</v>
      </c>
      <c r="P807" s="435">
        <v>1</v>
      </c>
      <c r="Q807" s="1595" t="s">
        <v>1299</v>
      </c>
      <c r="R807" s="1595" t="s">
        <v>4811</v>
      </c>
      <c r="S807" s="1595" t="str">
        <f>Classif!E23</f>
        <v/>
      </c>
      <c r="T807" s="1595">
        <f t="shared" si="479"/>
        <v>3</v>
      </c>
      <c r="U807" s="1744" t="str">
        <f t="shared" si="480"/>
        <v/>
      </c>
      <c r="V807" s="1745">
        <v>1</v>
      </c>
      <c r="W807" s="1745">
        <f>S10B02</f>
        <v>1</v>
      </c>
      <c r="X807" s="1745">
        <v>1</v>
      </c>
      <c r="Y807" s="1745">
        <v>1</v>
      </c>
      <c r="Z807" s="1758">
        <v>0</v>
      </c>
      <c r="AA807" s="1759"/>
      <c r="AB807" s="1748"/>
      <c r="AC807" s="1748"/>
      <c r="AD807" s="1595" t="str">
        <f t="shared" si="459"/>
        <v/>
      </c>
      <c r="AE807" s="1595">
        <f t="shared" si="481"/>
        <v>3</v>
      </c>
      <c r="AF807" s="1595" t="str">
        <f t="shared" si="482"/>
        <v/>
      </c>
      <c r="AG807" s="1748"/>
      <c r="AH807" s="1749" t="str">
        <f t="shared" si="460"/>
        <v/>
      </c>
      <c r="AI807" s="1615"/>
      <c r="AJ807" s="1616" t="s">
        <v>3219</v>
      </c>
      <c r="AK807" s="1618"/>
      <c r="AL807" s="1619"/>
      <c r="AM807" s="247" t="str">
        <f t="shared" si="453"/>
        <v/>
      </c>
      <c r="AN807" s="247" t="str">
        <f t="shared" si="454"/>
        <v/>
      </c>
      <c r="AO807" s="247" t="str">
        <f t="shared" si="455"/>
        <v/>
      </c>
      <c r="AP807" s="247" t="str">
        <f t="shared" si="456"/>
        <v/>
      </c>
      <c r="AQ807" s="42">
        <f t="shared" si="483"/>
        <v>1</v>
      </c>
      <c r="AR807" s="42">
        <f t="shared" si="484"/>
        <v>1</v>
      </c>
      <c r="AS807" s="42">
        <f t="shared" si="485"/>
        <v>1</v>
      </c>
      <c r="AT807" s="42">
        <f t="shared" si="486"/>
        <v>1</v>
      </c>
      <c r="AU807" s="247" t="str">
        <f t="shared" si="457"/>
        <v/>
      </c>
      <c r="AV807" s="247" t="str">
        <f t="shared" si="458"/>
        <v/>
      </c>
    </row>
    <row r="808" spans="1:48" ht="24" x14ac:dyDescent="0.2">
      <c r="A808" s="450" t="s">
        <v>254</v>
      </c>
      <c r="B808" s="429" t="s">
        <v>3692</v>
      </c>
      <c r="C808" s="430" t="s">
        <v>2787</v>
      </c>
      <c r="D808" s="1349" t="s">
        <v>4811</v>
      </c>
      <c r="E808" s="1350" t="s">
        <v>7450</v>
      </c>
      <c r="F808" s="1350" t="s">
        <v>2794</v>
      </c>
      <c r="G808" s="1351" t="s">
        <v>6739</v>
      </c>
      <c r="H808" s="1342" t="s">
        <v>1327</v>
      </c>
      <c r="I808" s="432" t="s">
        <v>1545</v>
      </c>
      <c r="J808" s="431"/>
      <c r="K808" s="431"/>
      <c r="L808" s="431"/>
      <c r="M808" s="433" t="s">
        <v>5068</v>
      </c>
      <c r="N808" s="434" t="s">
        <v>1873</v>
      </c>
      <c r="O808" s="1743" t="str">
        <f>VLOOKUP(B808,code_famille_scénario,2)&amp;VLOOKUP(C808,code_actif,2)&amp;" due "&amp;VLOOKUP(I808,code_event,2)&amp;", "&amp;VLOOKUP(M808,code_process,2)</f>
        <v>Divulgation, par erreur, de programmes de services applicatifs due à une erreur de procédure, lors de tests de développement</v>
      </c>
      <c r="P808" s="435">
        <v>1</v>
      </c>
      <c r="Q808" s="1595" t="s">
        <v>1299</v>
      </c>
      <c r="R808" s="1595" t="s">
        <v>4811</v>
      </c>
      <c r="S808" s="1595" t="str">
        <f>Classif!E23</f>
        <v/>
      </c>
      <c r="T808" s="1595">
        <f t="shared" si="479"/>
        <v>3</v>
      </c>
      <c r="U808" s="1744" t="str">
        <f t="shared" si="480"/>
        <v/>
      </c>
      <c r="V808" s="1745">
        <v>1</v>
      </c>
      <c r="W808" s="1745">
        <f>S10B02</f>
        <v>1</v>
      </c>
      <c r="X808" s="1745">
        <v>1</v>
      </c>
      <c r="Y808" s="1745">
        <v>1</v>
      </c>
      <c r="Z808" s="1758">
        <v>0</v>
      </c>
      <c r="AA808" s="1759"/>
      <c r="AB808" s="1748"/>
      <c r="AC808" s="1748"/>
      <c r="AD808" s="1595" t="str">
        <f t="shared" si="459"/>
        <v/>
      </c>
      <c r="AE808" s="1595">
        <f t="shared" si="481"/>
        <v>3</v>
      </c>
      <c r="AF808" s="1595" t="str">
        <f t="shared" si="482"/>
        <v/>
      </c>
      <c r="AG808" s="1748"/>
      <c r="AH808" s="1749" t="str">
        <f t="shared" si="460"/>
        <v/>
      </c>
      <c r="AI808" s="1615"/>
      <c r="AJ808" s="1616" t="s">
        <v>3219</v>
      </c>
      <c r="AK808" s="1618"/>
      <c r="AL808" s="1619"/>
      <c r="AM808" s="247" t="str">
        <f t="shared" si="453"/>
        <v/>
      </c>
      <c r="AN808" s="247" t="str">
        <f t="shared" si="454"/>
        <v/>
      </c>
      <c r="AO808" s="247" t="str">
        <f t="shared" si="455"/>
        <v/>
      </c>
      <c r="AP808" s="247" t="str">
        <f t="shared" si="456"/>
        <v/>
      </c>
      <c r="AQ808" s="42">
        <f t="shared" si="483"/>
        <v>1</v>
      </c>
      <c r="AR808" s="42">
        <f t="shared" si="484"/>
        <v>1</v>
      </c>
      <c r="AS808" s="42">
        <f t="shared" si="485"/>
        <v>1</v>
      </c>
      <c r="AT808" s="42">
        <f t="shared" si="486"/>
        <v>1</v>
      </c>
      <c r="AU808" s="247" t="str">
        <f t="shared" si="457"/>
        <v/>
      </c>
      <c r="AV808" s="247" t="str">
        <f t="shared" si="458"/>
        <v/>
      </c>
    </row>
    <row r="809" spans="1:48" ht="24" x14ac:dyDescent="0.2">
      <c r="A809" s="450" t="s">
        <v>255</v>
      </c>
      <c r="B809" s="429" t="s">
        <v>3692</v>
      </c>
      <c r="C809" s="430" t="s">
        <v>2787</v>
      </c>
      <c r="D809" s="1349" t="s">
        <v>4811</v>
      </c>
      <c r="E809" s="1350" t="s">
        <v>7450</v>
      </c>
      <c r="F809" s="1350" t="s">
        <v>2794</v>
      </c>
      <c r="G809" s="1351" t="s">
        <v>6739</v>
      </c>
      <c r="H809" s="1342" t="s">
        <v>1327</v>
      </c>
      <c r="I809" s="432" t="s">
        <v>1545</v>
      </c>
      <c r="J809" s="431"/>
      <c r="K809" s="431"/>
      <c r="L809" s="431"/>
      <c r="M809" s="433" t="s">
        <v>5421</v>
      </c>
      <c r="N809" s="434" t="s">
        <v>1299</v>
      </c>
      <c r="O809" s="1743" t="str">
        <f>VLOOKUP(B809,code_famille_scénario,2)&amp;VLOOKUP(C809,code_actif,2)&amp;" due "&amp;VLOOKUP(I809,code_event,2)&amp;", "&amp;VLOOKUP(M809,code_process,2)</f>
        <v>Divulgation, par erreur, de programmes de services applicatifs due à une erreur de procédure, lors d'une opération de maintenance logicielle</v>
      </c>
      <c r="P809" s="435">
        <v>1</v>
      </c>
      <c r="Q809" s="1595" t="s">
        <v>1299</v>
      </c>
      <c r="R809" s="1595" t="s">
        <v>4811</v>
      </c>
      <c r="S809" s="1595" t="str">
        <f>Classif!E23</f>
        <v/>
      </c>
      <c r="T809" s="1595">
        <f t="shared" si="479"/>
        <v>3</v>
      </c>
      <c r="U809" s="1744" t="str">
        <f t="shared" si="480"/>
        <v/>
      </c>
      <c r="V809" s="1745">
        <v>1</v>
      </c>
      <c r="W809" s="1745">
        <f>S10B02</f>
        <v>1</v>
      </c>
      <c r="X809" s="1745">
        <v>1</v>
      </c>
      <c r="Y809" s="1745">
        <v>1</v>
      </c>
      <c r="Z809" s="1758">
        <v>0</v>
      </c>
      <c r="AA809" s="1759"/>
      <c r="AB809" s="1748"/>
      <c r="AC809" s="1748"/>
      <c r="AD809" s="1595" t="str">
        <f t="shared" si="459"/>
        <v/>
      </c>
      <c r="AE809" s="1595">
        <f t="shared" si="481"/>
        <v>3</v>
      </c>
      <c r="AF809" s="1595" t="str">
        <f t="shared" si="482"/>
        <v/>
      </c>
      <c r="AG809" s="1748"/>
      <c r="AH809" s="1749" t="str">
        <f t="shared" si="460"/>
        <v/>
      </c>
      <c r="AI809" s="1615"/>
      <c r="AJ809" s="1616" t="s">
        <v>3219</v>
      </c>
      <c r="AK809" s="1618"/>
      <c r="AL809" s="1619"/>
      <c r="AM809" s="247" t="str">
        <f t="shared" si="453"/>
        <v/>
      </c>
      <c r="AN809" s="247" t="str">
        <f t="shared" si="454"/>
        <v/>
      </c>
      <c r="AO809" s="247" t="str">
        <f t="shared" si="455"/>
        <v/>
      </c>
      <c r="AP809" s="247" t="str">
        <f t="shared" si="456"/>
        <v/>
      </c>
      <c r="AQ809" s="42">
        <f t="shared" si="483"/>
        <v>1</v>
      </c>
      <c r="AR809" s="42">
        <f t="shared" si="484"/>
        <v>1</v>
      </c>
      <c r="AS809" s="42">
        <f t="shared" si="485"/>
        <v>1</v>
      </c>
      <c r="AT809" s="42">
        <f t="shared" si="486"/>
        <v>1</v>
      </c>
      <c r="AU809" s="247" t="str">
        <f t="shared" si="457"/>
        <v/>
      </c>
      <c r="AV809" s="247" t="str">
        <f t="shared" si="458"/>
        <v/>
      </c>
    </row>
    <row r="810" spans="1:48" ht="24" x14ac:dyDescent="0.2">
      <c r="A810" s="450" t="s">
        <v>256</v>
      </c>
      <c r="B810" s="429" t="s">
        <v>3697</v>
      </c>
      <c r="C810" s="430" t="s">
        <v>2787</v>
      </c>
      <c r="D810" s="1349" t="s">
        <v>4811</v>
      </c>
      <c r="E810" s="1350" t="s">
        <v>7450</v>
      </c>
      <c r="F810" s="1350" t="s">
        <v>2794</v>
      </c>
      <c r="G810" s="1351" t="s">
        <v>6739</v>
      </c>
      <c r="H810" s="1342" t="s">
        <v>1328</v>
      </c>
      <c r="I810" s="432" t="s">
        <v>1305</v>
      </c>
      <c r="J810" s="431"/>
      <c r="K810" s="431"/>
      <c r="L810" s="431"/>
      <c r="M810" s="433" t="s">
        <v>5066</v>
      </c>
      <c r="N810" s="434" t="s">
        <v>1301</v>
      </c>
      <c r="O810" s="1743" t="str">
        <f t="shared" ref="O810:O821" si="487">VLOOKUP(B810,code_famille_scénario,2)&amp;VLOOKUP(C810,code_actif,2)&amp;", "&amp;VLOOKUP(M810,code_process,2)&amp;", par "&amp;VLOOKUP(N810,code_acteur,2)</f>
        <v>Détournement de programmes de services applicatifs, lors de traitements utilisateurs, par un utilisateur autorisé légitime</v>
      </c>
      <c r="P810" s="435">
        <v>1</v>
      </c>
      <c r="Q810" s="1595" t="s">
        <v>1299</v>
      </c>
      <c r="R810" s="1595" t="s">
        <v>4811</v>
      </c>
      <c r="S810" s="1595" t="str">
        <f>Classif!E23</f>
        <v/>
      </c>
      <c r="T810" s="1595">
        <f t="shared" si="479"/>
        <v>3</v>
      </c>
      <c r="U810" s="1744" t="str">
        <f t="shared" si="480"/>
        <v/>
      </c>
      <c r="V810" s="1745">
        <v>1</v>
      </c>
      <c r="W810" s="1745">
        <f>S10B02</f>
        <v>1</v>
      </c>
      <c r="X810" s="1745">
        <v>1</v>
      </c>
      <c r="Y810" s="1745">
        <v>1</v>
      </c>
      <c r="Z810" s="1758">
        <v>0</v>
      </c>
      <c r="AA810" s="1759"/>
      <c r="AB810" s="1748"/>
      <c r="AC810" s="1748"/>
      <c r="AD810" s="1595" t="str">
        <f t="shared" si="459"/>
        <v/>
      </c>
      <c r="AE810" s="1595">
        <f t="shared" si="481"/>
        <v>3</v>
      </c>
      <c r="AF810" s="1595" t="str">
        <f t="shared" si="482"/>
        <v/>
      </c>
      <c r="AG810" s="1748"/>
      <c r="AH810" s="1749" t="str">
        <f t="shared" si="460"/>
        <v/>
      </c>
      <c r="AI810" s="1615"/>
      <c r="AJ810" s="1616" t="s">
        <v>3219</v>
      </c>
      <c r="AK810" s="1618"/>
      <c r="AL810" s="1619"/>
      <c r="AM810" s="247" t="str">
        <f t="shared" si="453"/>
        <v/>
      </c>
      <c r="AN810" s="247" t="str">
        <f t="shared" si="454"/>
        <v/>
      </c>
      <c r="AO810" s="247" t="str">
        <f t="shared" si="455"/>
        <v/>
      </c>
      <c r="AP810" s="247" t="str">
        <f t="shared" si="456"/>
        <v/>
      </c>
      <c r="AQ810" s="42">
        <f t="shared" si="483"/>
        <v>1</v>
      </c>
      <c r="AR810" s="42">
        <f t="shared" si="484"/>
        <v>1</v>
      </c>
      <c r="AS810" s="42">
        <f t="shared" si="485"/>
        <v>1</v>
      </c>
      <c r="AT810" s="42">
        <f t="shared" si="486"/>
        <v>1</v>
      </c>
      <c r="AU810" s="247" t="str">
        <f t="shared" si="457"/>
        <v/>
      </c>
      <c r="AV810" s="247" t="str">
        <f t="shared" si="458"/>
        <v/>
      </c>
    </row>
    <row r="811" spans="1:48" ht="33.75" x14ac:dyDescent="0.2">
      <c r="A811" s="450" t="s">
        <v>257</v>
      </c>
      <c r="B811" s="429" t="s">
        <v>3697</v>
      </c>
      <c r="C811" s="430" t="s">
        <v>2787</v>
      </c>
      <c r="D811" s="1349" t="s">
        <v>4811</v>
      </c>
      <c r="E811" s="1350" t="s">
        <v>7450</v>
      </c>
      <c r="F811" s="1350" t="s">
        <v>2794</v>
      </c>
      <c r="G811" s="1351" t="s">
        <v>6739</v>
      </c>
      <c r="H811" s="1342" t="s">
        <v>1328</v>
      </c>
      <c r="I811" s="432" t="s">
        <v>1305</v>
      </c>
      <c r="J811" s="431"/>
      <c r="K811" s="431"/>
      <c r="L811" s="431"/>
      <c r="M811" s="433" t="s">
        <v>5066</v>
      </c>
      <c r="N811" s="434" t="s">
        <v>1302</v>
      </c>
      <c r="O811" s="1743" t="str">
        <f t="shared" si="487"/>
        <v>Détournement de programmes de services applicatifs, lors de traitements utilisateurs, par un utilisateur autorisé illégitime</v>
      </c>
      <c r="P811" s="435">
        <v>1</v>
      </c>
      <c r="Q811" s="1595" t="s">
        <v>1299</v>
      </c>
      <c r="R811" s="1595" t="s">
        <v>4811</v>
      </c>
      <c r="S811" s="1595" t="str">
        <f>Classif!E23</f>
        <v/>
      </c>
      <c r="T811" s="1595">
        <f t="shared" si="479"/>
        <v>3</v>
      </c>
      <c r="U811" s="1744" t="str">
        <f t="shared" si="480"/>
        <v/>
      </c>
      <c r="V811" s="1745">
        <v>1</v>
      </c>
      <c r="W811" s="1745">
        <f>MAX(MIN(S07A01,S07A02),MIN(S09A01,S09A02),S10B02)</f>
        <v>1</v>
      </c>
      <c r="X811" s="1745">
        <v>1</v>
      </c>
      <c r="Y811" s="1745">
        <v>1</v>
      </c>
      <c r="Z811" s="1758">
        <v>0</v>
      </c>
      <c r="AA811" s="1759"/>
      <c r="AB811" s="1748"/>
      <c r="AC811" s="1748"/>
      <c r="AD811" s="1595" t="str">
        <f t="shared" si="459"/>
        <v/>
      </c>
      <c r="AE811" s="1595">
        <f t="shared" si="481"/>
        <v>3</v>
      </c>
      <c r="AF811" s="1595" t="str">
        <f t="shared" si="482"/>
        <v/>
      </c>
      <c r="AG811" s="1748"/>
      <c r="AH811" s="1749" t="str">
        <f t="shared" si="460"/>
        <v/>
      </c>
      <c r="AI811" s="1615"/>
      <c r="AJ811" s="1616" t="s">
        <v>3689</v>
      </c>
      <c r="AK811" s="1618"/>
      <c r="AL811" s="1619"/>
      <c r="AM811" s="247" t="str">
        <f t="shared" si="453"/>
        <v/>
      </c>
      <c r="AN811" s="247" t="str">
        <f t="shared" si="454"/>
        <v/>
      </c>
      <c r="AO811" s="247" t="str">
        <f t="shared" si="455"/>
        <v/>
      </c>
      <c r="AP811" s="247" t="str">
        <f t="shared" si="456"/>
        <v/>
      </c>
      <c r="AQ811" s="42">
        <f t="shared" si="483"/>
        <v>1</v>
      </c>
      <c r="AR811" s="42">
        <f t="shared" si="484"/>
        <v>1</v>
      </c>
      <c r="AS811" s="42">
        <f t="shared" si="485"/>
        <v>1</v>
      </c>
      <c r="AT811" s="42">
        <f t="shared" si="486"/>
        <v>1</v>
      </c>
      <c r="AU811" s="247" t="str">
        <f t="shared" si="457"/>
        <v/>
      </c>
      <c r="AV811" s="247" t="str">
        <f t="shared" si="458"/>
        <v/>
      </c>
    </row>
    <row r="812" spans="1:48" ht="45" x14ac:dyDescent="0.2">
      <c r="A812" s="450" t="s">
        <v>258</v>
      </c>
      <c r="B812" s="429" t="s">
        <v>3697</v>
      </c>
      <c r="C812" s="430" t="s">
        <v>2787</v>
      </c>
      <c r="D812" s="1349" t="s">
        <v>4811</v>
      </c>
      <c r="E812" s="1350" t="s">
        <v>7450</v>
      </c>
      <c r="F812" s="1350" t="s">
        <v>2794</v>
      </c>
      <c r="G812" s="1351" t="s">
        <v>6739</v>
      </c>
      <c r="H812" s="1342" t="s">
        <v>1328</v>
      </c>
      <c r="I812" s="432" t="s">
        <v>1305</v>
      </c>
      <c r="J812" s="431"/>
      <c r="K812" s="431"/>
      <c r="L812" s="431"/>
      <c r="M812" s="433" t="s">
        <v>5066</v>
      </c>
      <c r="N812" s="434" t="s">
        <v>1303</v>
      </c>
      <c r="O812" s="1743" t="str">
        <f t="shared" si="487"/>
        <v>Détournement de programmes de services applicatifs, lors de traitements utilisateurs, par un utilisateur non autorisé</v>
      </c>
      <c r="P812" s="435">
        <v>1</v>
      </c>
      <c r="Q812" s="1595" t="s">
        <v>1299</v>
      </c>
      <c r="R812" s="1595" t="s">
        <v>4811</v>
      </c>
      <c r="S812" s="1595" t="str">
        <f>Classif!E23</f>
        <v/>
      </c>
      <c r="T812" s="1595">
        <f t="shared" si="479"/>
        <v>3</v>
      </c>
      <c r="U812" s="1744" t="str">
        <f t="shared" si="480"/>
        <v/>
      </c>
      <c r="V812" s="1745">
        <v>1</v>
      </c>
      <c r="W812" s="1745">
        <f>MAX(MIN(S07A03,S07A04,S08F02,S08C06),MIN(S09A03,S09A04),S10B02)</f>
        <v>1</v>
      </c>
      <c r="X812" s="1745">
        <v>1</v>
      </c>
      <c r="Y812" s="1745">
        <v>1</v>
      </c>
      <c r="Z812" s="1758">
        <v>0</v>
      </c>
      <c r="AA812" s="1759"/>
      <c r="AB812" s="1748"/>
      <c r="AC812" s="1748"/>
      <c r="AD812" s="1595" t="str">
        <f t="shared" si="459"/>
        <v/>
      </c>
      <c r="AE812" s="1595">
        <f t="shared" si="481"/>
        <v>3</v>
      </c>
      <c r="AF812" s="1595" t="str">
        <f t="shared" si="482"/>
        <v/>
      </c>
      <c r="AG812" s="1748"/>
      <c r="AH812" s="1749" t="str">
        <f t="shared" si="460"/>
        <v/>
      </c>
      <c r="AI812" s="1615"/>
      <c r="AJ812" s="1616" t="s">
        <v>3110</v>
      </c>
      <c r="AK812" s="1618"/>
      <c r="AL812" s="1619"/>
      <c r="AM812" s="247" t="str">
        <f t="shared" si="453"/>
        <v/>
      </c>
      <c r="AN812" s="247" t="str">
        <f t="shared" si="454"/>
        <v/>
      </c>
      <c r="AO812" s="247" t="str">
        <f t="shared" si="455"/>
        <v/>
      </c>
      <c r="AP812" s="247" t="str">
        <f t="shared" si="456"/>
        <v/>
      </c>
      <c r="AQ812" s="42">
        <f t="shared" si="483"/>
        <v>1</v>
      </c>
      <c r="AR812" s="42">
        <f t="shared" si="484"/>
        <v>1</v>
      </c>
      <c r="AS812" s="42">
        <f t="shared" si="485"/>
        <v>1</v>
      </c>
      <c r="AT812" s="42">
        <f t="shared" si="486"/>
        <v>1</v>
      </c>
      <c r="AU812" s="247" t="str">
        <f t="shared" si="457"/>
        <v/>
      </c>
      <c r="AV812" s="247" t="str">
        <f t="shared" si="458"/>
        <v/>
      </c>
    </row>
    <row r="813" spans="1:48" ht="24" x14ac:dyDescent="0.2">
      <c r="A813" s="450" t="s">
        <v>259</v>
      </c>
      <c r="B813" s="429" t="s">
        <v>3697</v>
      </c>
      <c r="C813" s="430" t="s">
        <v>2787</v>
      </c>
      <c r="D813" s="1349" t="s">
        <v>4811</v>
      </c>
      <c r="E813" s="1350" t="s">
        <v>7450</v>
      </c>
      <c r="F813" s="1350" t="s">
        <v>2794</v>
      </c>
      <c r="G813" s="1351" t="s">
        <v>6739</v>
      </c>
      <c r="H813" s="1342" t="s">
        <v>1328</v>
      </c>
      <c r="I813" s="432" t="s">
        <v>1305</v>
      </c>
      <c r="J813" s="431"/>
      <c r="K813" s="431"/>
      <c r="L813" s="431"/>
      <c r="M813" s="433" t="s">
        <v>1880</v>
      </c>
      <c r="N813" s="434" t="s">
        <v>6403</v>
      </c>
      <c r="O813" s="1743" t="str">
        <f t="shared" si="487"/>
        <v>Détournement de programmes de services applicatifs, en exploitation, par un membre du personnel d'exploitation</v>
      </c>
      <c r="P813" s="435">
        <v>1</v>
      </c>
      <c r="Q813" s="1595" t="s">
        <v>1299</v>
      </c>
      <c r="R813" s="1595" t="s">
        <v>4811</v>
      </c>
      <c r="S813" s="1595" t="str">
        <f>Classif!E23</f>
        <v/>
      </c>
      <c r="T813" s="1595">
        <f t="shared" si="479"/>
        <v>3</v>
      </c>
      <c r="U813" s="1744" t="str">
        <f t="shared" si="480"/>
        <v/>
      </c>
      <c r="V813" s="1745">
        <v>1</v>
      </c>
      <c r="W813" s="1745">
        <f>S10B02</f>
        <v>1</v>
      </c>
      <c r="X813" s="1745">
        <v>1</v>
      </c>
      <c r="Y813" s="1745">
        <v>1</v>
      </c>
      <c r="Z813" s="1758">
        <v>0</v>
      </c>
      <c r="AA813" s="1759"/>
      <c r="AB813" s="1748"/>
      <c r="AC813" s="1748"/>
      <c r="AD813" s="1595" t="str">
        <f t="shared" si="459"/>
        <v/>
      </c>
      <c r="AE813" s="1595">
        <f t="shared" si="481"/>
        <v>3</v>
      </c>
      <c r="AF813" s="1595" t="str">
        <f t="shared" si="482"/>
        <v/>
      </c>
      <c r="AG813" s="1748"/>
      <c r="AH813" s="1749" t="str">
        <f t="shared" si="460"/>
        <v/>
      </c>
      <c r="AI813" s="1615"/>
      <c r="AJ813" s="1616" t="s">
        <v>3219</v>
      </c>
      <c r="AK813" s="1618"/>
      <c r="AL813" s="1619"/>
      <c r="AM813" s="247" t="str">
        <f t="shared" si="453"/>
        <v/>
      </c>
      <c r="AN813" s="247" t="str">
        <f t="shared" si="454"/>
        <v/>
      </c>
      <c r="AO813" s="247" t="str">
        <f t="shared" si="455"/>
        <v/>
      </c>
      <c r="AP813" s="247" t="str">
        <f t="shared" si="456"/>
        <v/>
      </c>
      <c r="AQ813" s="42">
        <f t="shared" si="483"/>
        <v>1</v>
      </c>
      <c r="AR813" s="42">
        <f t="shared" si="484"/>
        <v>1</v>
      </c>
      <c r="AS813" s="42">
        <f t="shared" si="485"/>
        <v>1</v>
      </c>
      <c r="AT813" s="42">
        <f t="shared" si="486"/>
        <v>1</v>
      </c>
      <c r="AU813" s="247" t="str">
        <f t="shared" si="457"/>
        <v/>
      </c>
      <c r="AV813" s="247" t="str">
        <f t="shared" si="458"/>
        <v/>
      </c>
    </row>
    <row r="814" spans="1:48" ht="24" x14ac:dyDescent="0.2">
      <c r="A814" s="450" t="s">
        <v>260</v>
      </c>
      <c r="B814" s="429" t="s">
        <v>3697</v>
      </c>
      <c r="C814" s="430" t="s">
        <v>2787</v>
      </c>
      <c r="D814" s="1349" t="s">
        <v>4811</v>
      </c>
      <c r="E814" s="1350" t="s">
        <v>7450</v>
      </c>
      <c r="F814" s="1350" t="s">
        <v>2794</v>
      </c>
      <c r="G814" s="1351" t="s">
        <v>6739</v>
      </c>
      <c r="H814" s="1342" t="s">
        <v>1328</v>
      </c>
      <c r="I814" s="432" t="s">
        <v>1305</v>
      </c>
      <c r="J814" s="431"/>
      <c r="K814" s="431"/>
      <c r="L814" s="431"/>
      <c r="M814" s="433" t="s">
        <v>1542</v>
      </c>
      <c r="N814" s="434" t="s">
        <v>1299</v>
      </c>
      <c r="O814" s="1743" t="str">
        <f t="shared" si="487"/>
        <v>Détournement de programmes de services applicatifs, lors d'une opération de maintenance, par un membre du personnel de maintenance</v>
      </c>
      <c r="P814" s="435">
        <v>1</v>
      </c>
      <c r="Q814" s="1595" t="s">
        <v>1299</v>
      </c>
      <c r="R814" s="1595" t="s">
        <v>4811</v>
      </c>
      <c r="S814" s="1595" t="str">
        <f>Classif!E23</f>
        <v/>
      </c>
      <c r="T814" s="1595">
        <f t="shared" si="479"/>
        <v>3</v>
      </c>
      <c r="U814" s="1744" t="str">
        <f t="shared" si="480"/>
        <v/>
      </c>
      <c r="V814" s="1745">
        <v>1</v>
      </c>
      <c r="W814" s="1745">
        <f>S10B02</f>
        <v>1</v>
      </c>
      <c r="X814" s="1745">
        <v>1</v>
      </c>
      <c r="Y814" s="1745">
        <v>1</v>
      </c>
      <c r="Z814" s="1758">
        <v>0</v>
      </c>
      <c r="AA814" s="1759"/>
      <c r="AB814" s="1748"/>
      <c r="AC814" s="1748"/>
      <c r="AD814" s="1595" t="str">
        <f t="shared" si="459"/>
        <v/>
      </c>
      <c r="AE814" s="1595">
        <f t="shared" si="481"/>
        <v>3</v>
      </c>
      <c r="AF814" s="1595" t="str">
        <f t="shared" si="482"/>
        <v/>
      </c>
      <c r="AG814" s="1748"/>
      <c r="AH814" s="1749" t="str">
        <f t="shared" si="460"/>
        <v/>
      </c>
      <c r="AI814" s="1615"/>
      <c r="AJ814" s="1616" t="s">
        <v>3219</v>
      </c>
      <c r="AK814" s="1618"/>
      <c r="AL814" s="1619"/>
      <c r="AM814" s="247" t="str">
        <f t="shared" si="453"/>
        <v/>
      </c>
      <c r="AN814" s="247" t="str">
        <f t="shared" si="454"/>
        <v/>
      </c>
      <c r="AO814" s="247" t="str">
        <f t="shared" si="455"/>
        <v/>
      </c>
      <c r="AP814" s="247" t="str">
        <f t="shared" si="456"/>
        <v/>
      </c>
      <c r="AQ814" s="42">
        <f t="shared" si="483"/>
        <v>1</v>
      </c>
      <c r="AR814" s="42">
        <f t="shared" si="484"/>
        <v>1</v>
      </c>
      <c r="AS814" s="42">
        <f t="shared" si="485"/>
        <v>1</v>
      </c>
      <c r="AT814" s="42">
        <f t="shared" si="486"/>
        <v>1</v>
      </c>
      <c r="AU814" s="247" t="str">
        <f t="shared" si="457"/>
        <v/>
      </c>
      <c r="AV814" s="247" t="str">
        <f t="shared" si="458"/>
        <v/>
      </c>
    </row>
    <row r="815" spans="1:48" ht="36" x14ac:dyDescent="0.2">
      <c r="A815" s="450" t="s">
        <v>261</v>
      </c>
      <c r="B815" s="429" t="s">
        <v>2461</v>
      </c>
      <c r="C815" s="430" t="s">
        <v>2787</v>
      </c>
      <c r="D815" s="1349" t="s">
        <v>4811</v>
      </c>
      <c r="E815" s="1350" t="s">
        <v>1874</v>
      </c>
      <c r="F815" s="1350" t="s">
        <v>4498</v>
      </c>
      <c r="G815" s="1351" t="s">
        <v>6071</v>
      </c>
      <c r="H815" s="1342" t="s">
        <v>1329</v>
      </c>
      <c r="I815" s="432" t="s">
        <v>1305</v>
      </c>
      <c r="J815" s="431"/>
      <c r="K815" s="431"/>
      <c r="L815" s="431"/>
      <c r="M815" s="433" t="s">
        <v>6757</v>
      </c>
      <c r="N815" s="434" t="s">
        <v>4816</v>
      </c>
      <c r="O815" s="1743" t="str">
        <f t="shared" si="487"/>
        <v>Divulgation d'informations, par vol de media support de fichiers  de services applicatifs, pendant le transport entre sites, par un membre  du personnel autorisé</v>
      </c>
      <c r="P815" s="435">
        <v>1</v>
      </c>
      <c r="Q815" s="1595" t="s">
        <v>1299</v>
      </c>
      <c r="R815" s="1595" t="s">
        <v>4811</v>
      </c>
      <c r="S815" s="1595" t="str">
        <f>Classif!E23</f>
        <v/>
      </c>
      <c r="T815" s="1595">
        <f t="shared" si="479"/>
        <v>2</v>
      </c>
      <c r="U815" s="1744" t="str">
        <f t="shared" si="480"/>
        <v/>
      </c>
      <c r="V815" s="1745">
        <v>1</v>
      </c>
      <c r="W815" s="1745">
        <f>S10B02</f>
        <v>1</v>
      </c>
      <c r="X815" s="1745">
        <v>1</v>
      </c>
      <c r="Y815" s="1745">
        <v>1</v>
      </c>
      <c r="Z815" s="1758">
        <v>0</v>
      </c>
      <c r="AA815" s="1759"/>
      <c r="AB815" s="1748"/>
      <c r="AC815" s="1748"/>
      <c r="AD815" s="1595" t="str">
        <f t="shared" si="459"/>
        <v/>
      </c>
      <c r="AE815" s="1595">
        <f t="shared" si="481"/>
        <v>2</v>
      </c>
      <c r="AF815" s="1595" t="str">
        <f t="shared" si="482"/>
        <v/>
      </c>
      <c r="AG815" s="1748"/>
      <c r="AH815" s="1749" t="str">
        <f t="shared" si="460"/>
        <v/>
      </c>
      <c r="AI815" s="1615"/>
      <c r="AJ815" s="1616" t="s">
        <v>3219</v>
      </c>
      <c r="AK815" s="1618"/>
      <c r="AL815" s="1619"/>
      <c r="AM815" s="247" t="str">
        <f t="shared" si="453"/>
        <v/>
      </c>
      <c r="AN815" s="247" t="str">
        <f t="shared" si="454"/>
        <v/>
      </c>
      <c r="AO815" s="247" t="str">
        <f t="shared" si="455"/>
        <v/>
      </c>
      <c r="AP815" s="247" t="str">
        <f t="shared" si="456"/>
        <v/>
      </c>
      <c r="AQ815" s="42">
        <f t="shared" si="483"/>
        <v>1</v>
      </c>
      <c r="AR815" s="42">
        <f t="shared" si="484"/>
        <v>1</v>
      </c>
      <c r="AS815" s="42">
        <f t="shared" si="485"/>
        <v>1</v>
      </c>
      <c r="AT815" s="42">
        <f t="shared" si="486"/>
        <v>1</v>
      </c>
      <c r="AU815" s="247" t="str">
        <f t="shared" si="457"/>
        <v/>
      </c>
      <c r="AV815" s="247" t="str">
        <f t="shared" si="458"/>
        <v/>
      </c>
    </row>
    <row r="816" spans="1:48" ht="36" x14ac:dyDescent="0.2">
      <c r="A816" s="450" t="s">
        <v>262</v>
      </c>
      <c r="B816" s="429" t="s">
        <v>2462</v>
      </c>
      <c r="C816" s="430" t="s">
        <v>2787</v>
      </c>
      <c r="D816" s="1349" t="s">
        <v>4811</v>
      </c>
      <c r="E816" s="1350" t="s">
        <v>1874</v>
      </c>
      <c r="F816" s="1350" t="s">
        <v>4498</v>
      </c>
      <c r="G816" s="1351" t="s">
        <v>6071</v>
      </c>
      <c r="H816" s="1342" t="s">
        <v>1329</v>
      </c>
      <c r="I816" s="432" t="s">
        <v>1305</v>
      </c>
      <c r="J816" s="431"/>
      <c r="K816" s="431"/>
      <c r="L816" s="431"/>
      <c r="M816" s="433" t="s">
        <v>2795</v>
      </c>
      <c r="N816" s="434" t="s">
        <v>4816</v>
      </c>
      <c r="O816" s="1743" t="str">
        <f t="shared" si="487"/>
        <v>Divulgation de programmes, par vol de media support de fichiers de programmes de services applicatifs, lors du stockage sur site, par un membre  du personnel autorisé</v>
      </c>
      <c r="P816" s="435">
        <v>1</v>
      </c>
      <c r="Q816" s="1595" t="s">
        <v>1299</v>
      </c>
      <c r="R816" s="1595" t="s">
        <v>4811</v>
      </c>
      <c r="S816" s="1595" t="str">
        <f>Classif!E23</f>
        <v/>
      </c>
      <c r="T816" s="1595">
        <f t="shared" si="479"/>
        <v>2</v>
      </c>
      <c r="U816" s="1744" t="str">
        <f t="shared" si="480"/>
        <v/>
      </c>
      <c r="V816" s="1745">
        <f>S08C03</f>
        <v>1</v>
      </c>
      <c r="W816" s="1745">
        <f>S10B02</f>
        <v>1</v>
      </c>
      <c r="X816" s="1745">
        <v>1</v>
      </c>
      <c r="Y816" s="1745">
        <v>1</v>
      </c>
      <c r="Z816" s="1758">
        <v>0</v>
      </c>
      <c r="AA816" s="1759"/>
      <c r="AB816" s="1748"/>
      <c r="AC816" s="1748"/>
      <c r="AD816" s="1595" t="str">
        <f t="shared" si="459"/>
        <v/>
      </c>
      <c r="AE816" s="1595">
        <f t="shared" si="481"/>
        <v>2</v>
      </c>
      <c r="AF816" s="1595" t="str">
        <f t="shared" si="482"/>
        <v/>
      </c>
      <c r="AG816" s="1748"/>
      <c r="AH816" s="1749" t="str">
        <f t="shared" si="460"/>
        <v/>
      </c>
      <c r="AI816" s="1620" t="s">
        <v>63</v>
      </c>
      <c r="AJ816" s="1616" t="s">
        <v>3219</v>
      </c>
      <c r="AK816" s="1618"/>
      <c r="AL816" s="1619"/>
      <c r="AM816" s="247" t="str">
        <f t="shared" si="453"/>
        <v/>
      </c>
      <c r="AN816" s="247" t="str">
        <f t="shared" si="454"/>
        <v/>
      </c>
      <c r="AO816" s="247" t="str">
        <f t="shared" si="455"/>
        <v/>
      </c>
      <c r="AP816" s="247" t="str">
        <f t="shared" si="456"/>
        <v/>
      </c>
      <c r="AQ816" s="42">
        <f t="shared" si="483"/>
        <v>1</v>
      </c>
      <c r="AR816" s="42">
        <f t="shared" si="484"/>
        <v>1</v>
      </c>
      <c r="AS816" s="42">
        <f t="shared" si="485"/>
        <v>1</v>
      </c>
      <c r="AT816" s="42">
        <f t="shared" si="486"/>
        <v>1</v>
      </c>
      <c r="AU816" s="247" t="str">
        <f t="shared" si="457"/>
        <v/>
      </c>
      <c r="AV816" s="247" t="str">
        <f t="shared" si="458"/>
        <v/>
      </c>
    </row>
    <row r="817" spans="1:48" ht="36" x14ac:dyDescent="0.2">
      <c r="A817" s="450" t="s">
        <v>263</v>
      </c>
      <c r="B817" s="429" t="s">
        <v>2462</v>
      </c>
      <c r="C817" s="430" t="s">
        <v>2787</v>
      </c>
      <c r="D817" s="1349" t="s">
        <v>4811</v>
      </c>
      <c r="E817" s="1350" t="s">
        <v>1874</v>
      </c>
      <c r="F817" s="1350" t="s">
        <v>4498</v>
      </c>
      <c r="G817" s="1351" t="s">
        <v>6071</v>
      </c>
      <c r="H817" s="1342" t="s">
        <v>1329</v>
      </c>
      <c r="I817" s="432" t="s">
        <v>1305</v>
      </c>
      <c r="J817" s="431"/>
      <c r="K817" s="431"/>
      <c r="L817" s="431"/>
      <c r="M817" s="433" t="s">
        <v>2796</v>
      </c>
      <c r="N817" s="434" t="s">
        <v>4816</v>
      </c>
      <c r="O817" s="1743" t="str">
        <f t="shared" si="487"/>
        <v>Divulgation de programmes, par vol de media support de fichiers de programmes de services applicatifs, lors du stockage externalisé, par un membre  du personnel autorisé</v>
      </c>
      <c r="P817" s="435">
        <v>1</v>
      </c>
      <c r="Q817" s="1595" t="s">
        <v>1299</v>
      </c>
      <c r="R817" s="1595" t="s">
        <v>4811</v>
      </c>
      <c r="S817" s="1595" t="str">
        <f>Classif!E23</f>
        <v/>
      </c>
      <c r="T817" s="1595">
        <f t="shared" si="479"/>
        <v>2</v>
      </c>
      <c r="U817" s="1744" t="str">
        <f t="shared" si="480"/>
        <v/>
      </c>
      <c r="V817" s="1745">
        <f>S08C04</f>
        <v>1</v>
      </c>
      <c r="W817" s="1745">
        <f>S10B02</f>
        <v>1</v>
      </c>
      <c r="X817" s="1745">
        <v>1</v>
      </c>
      <c r="Y817" s="1745">
        <v>1</v>
      </c>
      <c r="Z817" s="1758">
        <v>0</v>
      </c>
      <c r="AA817" s="1759"/>
      <c r="AB817" s="1748"/>
      <c r="AC817" s="1748"/>
      <c r="AD817" s="1595" t="str">
        <f t="shared" si="459"/>
        <v/>
      </c>
      <c r="AE817" s="1595">
        <f t="shared" si="481"/>
        <v>2</v>
      </c>
      <c r="AF817" s="1595" t="str">
        <f t="shared" si="482"/>
        <v/>
      </c>
      <c r="AG817" s="1748"/>
      <c r="AH817" s="1749" t="str">
        <f t="shared" si="460"/>
        <v/>
      </c>
      <c r="AI817" s="1620" t="s">
        <v>2057</v>
      </c>
      <c r="AJ817" s="1616" t="s">
        <v>3219</v>
      </c>
      <c r="AK817" s="1618"/>
      <c r="AL817" s="1619"/>
      <c r="AM817" s="247" t="str">
        <f t="shared" si="453"/>
        <v/>
      </c>
      <c r="AN817" s="247" t="str">
        <f t="shared" si="454"/>
        <v/>
      </c>
      <c r="AO817" s="247" t="str">
        <f t="shared" si="455"/>
        <v/>
      </c>
      <c r="AP817" s="247" t="str">
        <f t="shared" si="456"/>
        <v/>
      </c>
      <c r="AQ817" s="42">
        <f t="shared" si="483"/>
        <v>1</v>
      </c>
      <c r="AR817" s="42">
        <f t="shared" si="484"/>
        <v>1</v>
      </c>
      <c r="AS817" s="42">
        <f t="shared" si="485"/>
        <v>1</v>
      </c>
      <c r="AT817" s="42">
        <f t="shared" si="486"/>
        <v>1</v>
      </c>
      <c r="AU817" s="247" t="str">
        <f t="shared" si="457"/>
        <v/>
      </c>
      <c r="AV817" s="247" t="str">
        <f t="shared" si="458"/>
        <v/>
      </c>
    </row>
    <row r="818" spans="1:48" ht="24" x14ac:dyDescent="0.2">
      <c r="A818" s="450" t="s">
        <v>264</v>
      </c>
      <c r="B818" s="429" t="s">
        <v>2462</v>
      </c>
      <c r="C818" s="430" t="s">
        <v>2787</v>
      </c>
      <c r="D818" s="1349" t="s">
        <v>4811</v>
      </c>
      <c r="E818" s="1350" t="s">
        <v>1874</v>
      </c>
      <c r="F818" s="1350" t="s">
        <v>4498</v>
      </c>
      <c r="G818" s="1351" t="s">
        <v>6071</v>
      </c>
      <c r="H818" s="1342" t="s">
        <v>1329</v>
      </c>
      <c r="I818" s="432" t="s">
        <v>1305</v>
      </c>
      <c r="J818" s="431"/>
      <c r="K818" s="431"/>
      <c r="L818" s="431"/>
      <c r="M818" s="433" t="s">
        <v>1880</v>
      </c>
      <c r="N818" s="434" t="s">
        <v>3518</v>
      </c>
      <c r="O818" s="1743" t="str">
        <f t="shared" si="487"/>
        <v>Divulgation de programmes, par vol de media support de fichiers de programmes de services applicatifs, en exploitation, par un membre du personnel non autorisé</v>
      </c>
      <c r="P818" s="435">
        <v>1</v>
      </c>
      <c r="Q818" s="1595" t="s">
        <v>1299</v>
      </c>
      <c r="R818" s="1595" t="s">
        <v>4811</v>
      </c>
      <c r="S818" s="1595" t="str">
        <f>Classif!E23</f>
        <v/>
      </c>
      <c r="T818" s="1595">
        <f t="shared" si="479"/>
        <v>2</v>
      </c>
      <c r="U818" s="1744" t="str">
        <f t="shared" si="480"/>
        <v/>
      </c>
      <c r="V818" s="1745">
        <f>S03B06</f>
        <v>1</v>
      </c>
      <c r="W818" s="1745">
        <f>MAX(MIN(S03B03,S03B04),S10B02)</f>
        <v>1</v>
      </c>
      <c r="X818" s="1745">
        <v>1</v>
      </c>
      <c r="Y818" s="1745">
        <v>1</v>
      </c>
      <c r="Z818" s="1758">
        <v>0</v>
      </c>
      <c r="AA818" s="1759"/>
      <c r="AB818" s="1748"/>
      <c r="AC818" s="1748"/>
      <c r="AD818" s="1595" t="str">
        <f t="shared" si="459"/>
        <v/>
      </c>
      <c r="AE818" s="1595">
        <f t="shared" si="481"/>
        <v>2</v>
      </c>
      <c r="AF818" s="1595" t="str">
        <f t="shared" si="482"/>
        <v/>
      </c>
      <c r="AG818" s="1748"/>
      <c r="AH818" s="1749" t="str">
        <f t="shared" si="460"/>
        <v/>
      </c>
      <c r="AI818" s="1620" t="s">
        <v>1665</v>
      </c>
      <c r="AJ818" s="1621" t="s">
        <v>3111</v>
      </c>
      <c r="AK818" s="1618"/>
      <c r="AL818" s="1619"/>
      <c r="AM818" s="247" t="str">
        <f t="shared" si="453"/>
        <v/>
      </c>
      <c r="AN818" s="247" t="str">
        <f t="shared" si="454"/>
        <v/>
      </c>
      <c r="AO818" s="247" t="str">
        <f t="shared" si="455"/>
        <v/>
      </c>
      <c r="AP818" s="247" t="str">
        <f t="shared" si="456"/>
        <v/>
      </c>
      <c r="AQ818" s="42">
        <f t="shared" si="483"/>
        <v>1</v>
      </c>
      <c r="AR818" s="42">
        <f t="shared" si="484"/>
        <v>1</v>
      </c>
      <c r="AS818" s="42">
        <f t="shared" si="485"/>
        <v>1</v>
      </c>
      <c r="AT818" s="42">
        <f t="shared" si="486"/>
        <v>1</v>
      </c>
      <c r="AU818" s="247" t="str">
        <f t="shared" si="457"/>
        <v/>
      </c>
      <c r="AV818" s="247" t="str">
        <f t="shared" si="458"/>
        <v/>
      </c>
    </row>
    <row r="819" spans="1:48" ht="36" x14ac:dyDescent="0.2">
      <c r="A819" s="450" t="s">
        <v>265</v>
      </c>
      <c r="B819" s="429" t="s">
        <v>2462</v>
      </c>
      <c r="C819" s="430" t="s">
        <v>2787</v>
      </c>
      <c r="D819" s="1349" t="s">
        <v>4811</v>
      </c>
      <c r="E819" s="1350" t="s">
        <v>1874</v>
      </c>
      <c r="F819" s="1350" t="s">
        <v>4498</v>
      </c>
      <c r="G819" s="1351" t="s">
        <v>6071</v>
      </c>
      <c r="H819" s="1342" t="s">
        <v>1329</v>
      </c>
      <c r="I819" s="432" t="s">
        <v>1305</v>
      </c>
      <c r="J819" s="431"/>
      <c r="K819" s="431"/>
      <c r="L819" s="431"/>
      <c r="M819" s="433" t="s">
        <v>6757</v>
      </c>
      <c r="N819" s="434" t="s">
        <v>3518</v>
      </c>
      <c r="O819" s="1743" t="str">
        <f t="shared" si="487"/>
        <v>Divulgation de programmes, par vol de media support de fichiers de programmes de services applicatifs, pendant le transport entre sites, par un membre du personnel non autorisé</v>
      </c>
      <c r="P819" s="435">
        <v>1</v>
      </c>
      <c r="Q819" s="1595" t="s">
        <v>1299</v>
      </c>
      <c r="R819" s="1595" t="s">
        <v>4811</v>
      </c>
      <c r="S819" s="1595" t="str">
        <f>Classif!E23</f>
        <v/>
      </c>
      <c r="T819" s="1595">
        <f t="shared" si="479"/>
        <v>2</v>
      </c>
      <c r="U819" s="1744" t="str">
        <f t="shared" si="480"/>
        <v/>
      </c>
      <c r="V819" s="1745">
        <v>1</v>
      </c>
      <c r="W819" s="1745">
        <f>MAX(S08C07,S10B02)</f>
        <v>1</v>
      </c>
      <c r="X819" s="1745">
        <v>1</v>
      </c>
      <c r="Y819" s="1745">
        <v>1</v>
      </c>
      <c r="Z819" s="1758">
        <v>0</v>
      </c>
      <c r="AA819" s="1759"/>
      <c r="AB819" s="1748"/>
      <c r="AC819" s="1748"/>
      <c r="AD819" s="1595" t="str">
        <f t="shared" si="459"/>
        <v/>
      </c>
      <c r="AE819" s="1595">
        <f t="shared" si="481"/>
        <v>2</v>
      </c>
      <c r="AF819" s="1595" t="str">
        <f t="shared" si="482"/>
        <v/>
      </c>
      <c r="AG819" s="1748"/>
      <c r="AH819" s="1749" t="str">
        <f t="shared" si="460"/>
        <v/>
      </c>
      <c r="AI819" s="1615"/>
      <c r="AJ819" s="1616" t="s">
        <v>3112</v>
      </c>
      <c r="AK819" s="1618"/>
      <c r="AL819" s="1619"/>
      <c r="AM819" s="247" t="str">
        <f t="shared" si="453"/>
        <v/>
      </c>
      <c r="AN819" s="247" t="str">
        <f t="shared" si="454"/>
        <v/>
      </c>
      <c r="AO819" s="247" t="str">
        <f t="shared" si="455"/>
        <v/>
      </c>
      <c r="AP819" s="247" t="str">
        <f t="shared" si="456"/>
        <v/>
      </c>
      <c r="AQ819" s="42">
        <f t="shared" si="483"/>
        <v>1</v>
      </c>
      <c r="AR819" s="42">
        <f t="shared" si="484"/>
        <v>1</v>
      </c>
      <c r="AS819" s="42">
        <f t="shared" si="485"/>
        <v>1</v>
      </c>
      <c r="AT819" s="42">
        <f t="shared" si="486"/>
        <v>1</v>
      </c>
      <c r="AU819" s="247" t="str">
        <f t="shared" si="457"/>
        <v/>
      </c>
      <c r="AV819" s="247" t="str">
        <f t="shared" si="458"/>
        <v/>
      </c>
    </row>
    <row r="820" spans="1:48" ht="36" x14ac:dyDescent="0.2">
      <c r="A820" s="450" t="s">
        <v>266</v>
      </c>
      <c r="B820" s="429" t="s">
        <v>2462</v>
      </c>
      <c r="C820" s="430" t="s">
        <v>2787</v>
      </c>
      <c r="D820" s="1349" t="s">
        <v>4811</v>
      </c>
      <c r="E820" s="1350" t="s">
        <v>1874</v>
      </c>
      <c r="F820" s="1350" t="s">
        <v>4498</v>
      </c>
      <c r="G820" s="1351" t="s">
        <v>6071</v>
      </c>
      <c r="H820" s="1342" t="s">
        <v>1329</v>
      </c>
      <c r="I820" s="432" t="s">
        <v>1305</v>
      </c>
      <c r="J820" s="431"/>
      <c r="K820" s="431"/>
      <c r="L820" s="431"/>
      <c r="M820" s="433" t="s">
        <v>2795</v>
      </c>
      <c r="N820" s="434" t="s">
        <v>3518</v>
      </c>
      <c r="O820" s="1743" t="str">
        <f t="shared" si="487"/>
        <v>Divulgation de programmes, par vol de media support de fichiers de programmes de services applicatifs, lors du stockage sur site, par un membre du personnel non autorisé</v>
      </c>
      <c r="P820" s="435">
        <v>1</v>
      </c>
      <c r="Q820" s="1595" t="s">
        <v>1299</v>
      </c>
      <c r="R820" s="1595" t="s">
        <v>4811</v>
      </c>
      <c r="S820" s="1595" t="str">
        <f>Classif!E23</f>
        <v/>
      </c>
      <c r="T820" s="1595">
        <f t="shared" si="479"/>
        <v>2</v>
      </c>
      <c r="U820" s="1744" t="str">
        <f t="shared" si="480"/>
        <v/>
      </c>
      <c r="V820" s="1745">
        <f>S08C03</f>
        <v>1</v>
      </c>
      <c r="W820" s="1745">
        <f>MAX(S08C03,S10B02)</f>
        <v>1</v>
      </c>
      <c r="X820" s="1745">
        <v>1</v>
      </c>
      <c r="Y820" s="1745">
        <v>1</v>
      </c>
      <c r="Z820" s="1758">
        <v>0</v>
      </c>
      <c r="AA820" s="1759"/>
      <c r="AB820" s="1748"/>
      <c r="AC820" s="1748"/>
      <c r="AD820" s="1595" t="str">
        <f t="shared" si="459"/>
        <v/>
      </c>
      <c r="AE820" s="1595">
        <f t="shared" si="481"/>
        <v>2</v>
      </c>
      <c r="AF820" s="1595" t="str">
        <f t="shared" si="482"/>
        <v/>
      </c>
      <c r="AG820" s="1748"/>
      <c r="AH820" s="1749" t="str">
        <f t="shared" si="460"/>
        <v/>
      </c>
      <c r="AI820" s="1620" t="s">
        <v>63</v>
      </c>
      <c r="AJ820" s="1616" t="s">
        <v>3113</v>
      </c>
      <c r="AK820" s="1618"/>
      <c r="AL820" s="1619"/>
      <c r="AM820" s="247" t="str">
        <f t="shared" si="453"/>
        <v/>
      </c>
      <c r="AN820" s="247" t="str">
        <f t="shared" si="454"/>
        <v/>
      </c>
      <c r="AO820" s="247" t="str">
        <f t="shared" si="455"/>
        <v/>
      </c>
      <c r="AP820" s="247" t="str">
        <f t="shared" si="456"/>
        <v/>
      </c>
      <c r="AQ820" s="42">
        <f t="shared" si="483"/>
        <v>1</v>
      </c>
      <c r="AR820" s="42">
        <f t="shared" si="484"/>
        <v>1</v>
      </c>
      <c r="AS820" s="42">
        <f t="shared" si="485"/>
        <v>1</v>
      </c>
      <c r="AT820" s="42">
        <f t="shared" si="486"/>
        <v>1</v>
      </c>
      <c r="AU820" s="247" t="str">
        <f t="shared" si="457"/>
        <v/>
      </c>
      <c r="AV820" s="247" t="str">
        <f t="shared" si="458"/>
        <v/>
      </c>
    </row>
    <row r="821" spans="1:48" ht="36" x14ac:dyDescent="0.2">
      <c r="A821" s="450" t="s">
        <v>267</v>
      </c>
      <c r="B821" s="429" t="s">
        <v>2462</v>
      </c>
      <c r="C821" s="430" t="s">
        <v>2787</v>
      </c>
      <c r="D821" s="1349" t="s">
        <v>4811</v>
      </c>
      <c r="E821" s="1350" t="s">
        <v>1874</v>
      </c>
      <c r="F821" s="1350" t="s">
        <v>4498</v>
      </c>
      <c r="G821" s="1351" t="s">
        <v>6071</v>
      </c>
      <c r="H821" s="1342" t="s">
        <v>1329</v>
      </c>
      <c r="I821" s="432" t="s">
        <v>1305</v>
      </c>
      <c r="J821" s="431"/>
      <c r="K821" s="431"/>
      <c r="L821" s="431"/>
      <c r="M821" s="433" t="s">
        <v>2796</v>
      </c>
      <c r="N821" s="434" t="s">
        <v>3518</v>
      </c>
      <c r="O821" s="1743" t="str">
        <f t="shared" si="487"/>
        <v>Divulgation de programmes, par vol de media support de fichiers de programmes de services applicatifs, lors du stockage externalisé, par un membre du personnel non autorisé</v>
      </c>
      <c r="P821" s="435">
        <v>1</v>
      </c>
      <c r="Q821" s="1595" t="s">
        <v>1299</v>
      </c>
      <c r="R821" s="1595" t="s">
        <v>4811</v>
      </c>
      <c r="S821" s="1595" t="str">
        <f>Classif!E23</f>
        <v/>
      </c>
      <c r="T821" s="1595">
        <f t="shared" si="479"/>
        <v>2</v>
      </c>
      <c r="U821" s="1744" t="str">
        <f t="shared" si="480"/>
        <v/>
      </c>
      <c r="V821" s="1745">
        <f>S08C04</f>
        <v>1</v>
      </c>
      <c r="W821" s="1745">
        <f>MAX(S08C04,S10B02)</f>
        <v>1</v>
      </c>
      <c r="X821" s="1745">
        <v>1</v>
      </c>
      <c r="Y821" s="1745">
        <v>1</v>
      </c>
      <c r="Z821" s="1758">
        <v>0</v>
      </c>
      <c r="AA821" s="1759"/>
      <c r="AB821" s="1748"/>
      <c r="AC821" s="1748"/>
      <c r="AD821" s="1595" t="str">
        <f t="shared" si="459"/>
        <v/>
      </c>
      <c r="AE821" s="1595">
        <f t="shared" si="481"/>
        <v>2</v>
      </c>
      <c r="AF821" s="1595" t="str">
        <f t="shared" si="482"/>
        <v/>
      </c>
      <c r="AG821" s="1748"/>
      <c r="AH821" s="1749" t="str">
        <f t="shared" si="460"/>
        <v/>
      </c>
      <c r="AI821" s="1620" t="s">
        <v>2057</v>
      </c>
      <c r="AJ821" s="1616" t="s">
        <v>3114</v>
      </c>
      <c r="AK821" s="1618"/>
      <c r="AL821" s="1619"/>
      <c r="AM821" s="247" t="str">
        <f t="shared" si="453"/>
        <v/>
      </c>
      <c r="AN821" s="247" t="str">
        <f t="shared" si="454"/>
        <v/>
      </c>
      <c r="AO821" s="247" t="str">
        <f t="shared" si="455"/>
        <v/>
      </c>
      <c r="AP821" s="247" t="str">
        <f t="shared" si="456"/>
        <v/>
      </c>
      <c r="AQ821" s="42">
        <f t="shared" si="483"/>
        <v>1</v>
      </c>
      <c r="AR821" s="42">
        <f t="shared" si="484"/>
        <v>1</v>
      </c>
      <c r="AS821" s="42">
        <f t="shared" si="485"/>
        <v>1</v>
      </c>
      <c r="AT821" s="42">
        <f t="shared" si="486"/>
        <v>1</v>
      </c>
      <c r="AU821" s="247" t="str">
        <f t="shared" si="457"/>
        <v/>
      </c>
      <c r="AV821" s="247" t="str">
        <f t="shared" si="458"/>
        <v/>
      </c>
    </row>
    <row r="822" spans="1:48" ht="15" x14ac:dyDescent="0.2">
      <c r="A822" s="456" t="s">
        <v>4335</v>
      </c>
      <c r="B822" s="457"/>
      <c r="C822" s="423" t="s">
        <v>3061</v>
      </c>
      <c r="D822" s="1356"/>
      <c r="E822" s="1357"/>
      <c r="F822" s="1357"/>
      <c r="G822" s="1360"/>
      <c r="H822" s="1345"/>
      <c r="I822" s="459"/>
      <c r="J822" s="458"/>
      <c r="K822" s="458"/>
      <c r="L822" s="458"/>
      <c r="M822" s="460"/>
      <c r="N822" s="461"/>
      <c r="O822" s="1761"/>
      <c r="P822" s="435"/>
      <c r="Q822" s="1595"/>
      <c r="R822" s="1595"/>
      <c r="S822" s="1753"/>
      <c r="T822" s="1595"/>
      <c r="U822" s="1744"/>
      <c r="V822" s="1754"/>
      <c r="W822" s="1754"/>
      <c r="X822" s="1754"/>
      <c r="Y822" s="1754"/>
      <c r="Z822" s="1762"/>
      <c r="AA822" s="1763"/>
      <c r="AB822" s="1748"/>
      <c r="AC822" s="1748"/>
      <c r="AD822" s="1595"/>
      <c r="AE822" s="1753"/>
      <c r="AF822" s="1595"/>
      <c r="AG822" s="1748"/>
      <c r="AH822" s="1749"/>
      <c r="AI822" s="1627"/>
      <c r="AJ822" s="1628"/>
      <c r="AK822" s="1628"/>
      <c r="AL822" s="1629"/>
      <c r="AM822" s="247" t="str">
        <f t="shared" si="453"/>
        <v/>
      </c>
      <c r="AN822" s="247" t="str">
        <f t="shared" si="454"/>
        <v/>
      </c>
      <c r="AO822" s="247" t="str">
        <f t="shared" si="455"/>
        <v/>
      </c>
      <c r="AP822" s="247" t="str">
        <f t="shared" si="456"/>
        <v/>
      </c>
      <c r="AU822" s="247" t="str">
        <f t="shared" si="457"/>
        <v/>
      </c>
      <c r="AV822" s="247" t="str">
        <f t="shared" si="458"/>
        <v/>
      </c>
    </row>
    <row r="823" spans="1:48" ht="36" x14ac:dyDescent="0.2">
      <c r="A823" s="450" t="s">
        <v>268</v>
      </c>
      <c r="B823" s="429" t="s">
        <v>1959</v>
      </c>
      <c r="C823" s="430" t="s">
        <v>2790</v>
      </c>
      <c r="D823" s="1349" t="s">
        <v>6403</v>
      </c>
      <c r="E823" s="1350" t="s">
        <v>4333</v>
      </c>
      <c r="F823" s="1350" t="s">
        <v>1887</v>
      </c>
      <c r="G823" s="1351" t="s">
        <v>3829</v>
      </c>
      <c r="H823" s="1342" t="s">
        <v>2317</v>
      </c>
      <c r="I823" s="432" t="s">
        <v>2309</v>
      </c>
      <c r="J823" s="431"/>
      <c r="K823" s="431"/>
      <c r="L823" s="431"/>
      <c r="M823" s="433" t="s">
        <v>1880</v>
      </c>
      <c r="N823" s="434"/>
      <c r="O823" s="1743" t="str">
        <f>VLOOKUP(B823,code_famille_scénario,2)&amp;VLOOKUP(C823,code_actif,2)&amp;" due "&amp;VLOOKUP(I823,code_event,2)</f>
        <v>Non conformité à la législation ou aux réglements relatifs à la protection des renseignements personnels due à l'application de procédures inadéquates</v>
      </c>
      <c r="P823" s="435">
        <v>1</v>
      </c>
      <c r="Q823" s="1595" t="s">
        <v>6403</v>
      </c>
      <c r="R823" s="1595" t="s">
        <v>6403</v>
      </c>
      <c r="S823" s="1595" t="str">
        <f>Classif!C31</f>
        <v/>
      </c>
      <c r="T823" s="1595">
        <f>VLOOKUP(H823&amp;"."&amp;I823,Tab_event,4)</f>
        <v>2</v>
      </c>
      <c r="U823" s="1744" t="str">
        <f>IF(AND(NOT(S823=""),NOT(T823="")),INDEX(base_g,5-S823,T823),"")</f>
        <v/>
      </c>
      <c r="V823" s="1745">
        <v>1</v>
      </c>
      <c r="W823" s="1745">
        <f>S13A01</f>
        <v>1</v>
      </c>
      <c r="X823" s="1745">
        <v>1</v>
      </c>
      <c r="Y823" s="1745">
        <v>1</v>
      </c>
      <c r="Z823" s="1746">
        <v>1</v>
      </c>
      <c r="AA823" s="1747"/>
      <c r="AB823" s="1748"/>
      <c r="AC823" s="1748"/>
      <c r="AD823" s="1595" t="str">
        <f t="shared" si="459"/>
        <v/>
      </c>
      <c r="AE823" s="1595">
        <f>IF(OR(Q823="",T823=""),"",IF(Q823="A",INDEX(base_p,4,W823+7*(T823-1)),IF(Q823="E",INDEX(base_p,15,W823+7*(T823-1)),INDEX(base_p,27-V823,W823+7*(T823-1)))))</f>
        <v>2</v>
      </c>
      <c r="AF823" s="1595" t="str">
        <f>IF(AT823=1,IF(IndG=1,U823,IF(AND(OR(NOT(AD823=""),NOT(AB823="")),OR(NOT(AE823=""),NOT(AC823="")),AT823=1),INDEX(base_g,5-IF(AB823="",AD823,AB823),IF(AC823="",AE823,AC823)),"")),0)</f>
        <v/>
      </c>
      <c r="AG823" s="1748"/>
      <c r="AH823" s="1749" t="str">
        <f t="shared" si="460"/>
        <v/>
      </c>
      <c r="AI823" s="1615"/>
      <c r="AJ823" s="1616" t="s">
        <v>3806</v>
      </c>
      <c r="AK823" s="1618"/>
      <c r="AL823" s="1619"/>
      <c r="AM823" s="247" t="str">
        <f t="shared" si="453"/>
        <v/>
      </c>
      <c r="AN823" s="247" t="str">
        <f t="shared" si="454"/>
        <v/>
      </c>
      <c r="AO823" s="247" t="str">
        <f t="shared" si="455"/>
        <v/>
      </c>
      <c r="AP823" s="247" t="str">
        <f t="shared" si="456"/>
        <v/>
      </c>
      <c r="AQ823" s="42">
        <f>VLOOKUP(LEFT(C823,3),Tab_classif_conf,6)</f>
        <v>1</v>
      </c>
      <c r="AR823" s="42">
        <f>VLOOKUP(G823,select_vul_proc,2)</f>
        <v>1</v>
      </c>
      <c r="AS823" s="42">
        <f>VLOOKUP(H823&amp;"."&amp;I823,select_men,5)</f>
        <v>1</v>
      </c>
      <c r="AT823" s="42">
        <f>P823*AQ823*AR823*AS823</f>
        <v>1</v>
      </c>
      <c r="AU823" s="247" t="str">
        <f t="shared" si="457"/>
        <v/>
      </c>
      <c r="AV823" s="247" t="str">
        <f t="shared" si="458"/>
        <v/>
      </c>
    </row>
    <row r="824" spans="1:48" ht="36" x14ac:dyDescent="0.2">
      <c r="A824" s="450" t="s">
        <v>269</v>
      </c>
      <c r="B824" s="429" t="s">
        <v>1959</v>
      </c>
      <c r="C824" s="430" t="s">
        <v>2790</v>
      </c>
      <c r="D824" s="1349" t="s">
        <v>6403</v>
      </c>
      <c r="E824" s="1350" t="s">
        <v>4333</v>
      </c>
      <c r="F824" s="1350" t="s">
        <v>1887</v>
      </c>
      <c r="G824" s="1351" t="s">
        <v>3829</v>
      </c>
      <c r="H824" s="1342" t="s">
        <v>2317</v>
      </c>
      <c r="I824" s="432" t="s">
        <v>2310</v>
      </c>
      <c r="J824" s="431"/>
      <c r="K824" s="431"/>
      <c r="L824" s="431"/>
      <c r="M824" s="433" t="s">
        <v>1880</v>
      </c>
      <c r="N824" s="434"/>
      <c r="O824" s="1743" t="str">
        <f>VLOOKUP(B824,code_famille_scénario,2)&amp;VLOOKUP(C824,code_actif,2)&amp;" due "&amp;VLOOKUP(I824,code_event,2)</f>
        <v>Non conformité à la législation ou aux réglements relatifs à la protection des renseignements personnels due à la non application de procédures, par manque de moyens</v>
      </c>
      <c r="P824" s="435">
        <v>1</v>
      </c>
      <c r="Q824" s="1595" t="s">
        <v>6403</v>
      </c>
      <c r="R824" s="1595" t="s">
        <v>6403</v>
      </c>
      <c r="S824" s="1595" t="str">
        <f>Classif!C31</f>
        <v/>
      </c>
      <c r="T824" s="1595">
        <f>VLOOKUP(H824&amp;"."&amp;I824,Tab_event,4)</f>
        <v>2</v>
      </c>
      <c r="U824" s="1744" t="str">
        <f>IF(AND(NOT(S824=""),NOT(T824="")),INDEX(base_g,5-S824,T824),"")</f>
        <v/>
      </c>
      <c r="V824" s="1745">
        <v>1</v>
      </c>
      <c r="W824" s="1745">
        <f>S13A03</f>
        <v>1</v>
      </c>
      <c r="X824" s="1745">
        <v>1</v>
      </c>
      <c r="Y824" s="1745">
        <v>1</v>
      </c>
      <c r="Z824" s="1746">
        <v>1</v>
      </c>
      <c r="AA824" s="1747"/>
      <c r="AB824" s="1748"/>
      <c r="AC824" s="1748"/>
      <c r="AD824" s="1595" t="str">
        <f t="shared" si="459"/>
        <v/>
      </c>
      <c r="AE824" s="1595">
        <f>IF(OR(Q824="",T824=""),"",IF(Q824="A",INDEX(base_p,4,W824+7*(T824-1)),IF(Q824="E",INDEX(base_p,15,W824+7*(T824-1)),INDEX(base_p,27-V824,W824+7*(T824-1)))))</f>
        <v>2</v>
      </c>
      <c r="AF824" s="1595" t="str">
        <f>IF(AT824=1,IF(IndG=1,U824,IF(AND(OR(NOT(AD824=""),NOT(AB824="")),OR(NOT(AE824=""),NOT(AC824="")),AT824=1),INDEX(base_g,5-IF(AB824="",AD824,AB824),IF(AC824="",AE824,AC824)),"")),0)</f>
        <v/>
      </c>
      <c r="AG824" s="1748"/>
      <c r="AH824" s="1749" t="str">
        <f t="shared" si="460"/>
        <v/>
      </c>
      <c r="AI824" s="1615"/>
      <c r="AJ824" s="1616" t="s">
        <v>2612</v>
      </c>
      <c r="AK824" s="1618"/>
      <c r="AL824" s="1619"/>
      <c r="AM824" s="247" t="str">
        <f t="shared" si="453"/>
        <v/>
      </c>
      <c r="AN824" s="247" t="str">
        <f t="shared" si="454"/>
        <v/>
      </c>
      <c r="AO824" s="247" t="str">
        <f t="shared" si="455"/>
        <v/>
      </c>
      <c r="AP824" s="247" t="str">
        <f t="shared" si="456"/>
        <v/>
      </c>
      <c r="AQ824" s="42">
        <f>VLOOKUP(LEFT(C824,3),Tab_classif_conf,6)</f>
        <v>1</v>
      </c>
      <c r="AR824" s="42">
        <f>VLOOKUP(G824,select_vul_proc,2)</f>
        <v>1</v>
      </c>
      <c r="AS824" s="42">
        <f>VLOOKUP(H824&amp;"."&amp;I824,select_men,5)</f>
        <v>1</v>
      </c>
      <c r="AT824" s="42">
        <f>P824*AQ824*AR824*AS824</f>
        <v>1</v>
      </c>
      <c r="AU824" s="247" t="str">
        <f t="shared" si="457"/>
        <v/>
      </c>
      <c r="AV824" s="247" t="str">
        <f t="shared" si="458"/>
        <v/>
      </c>
    </row>
    <row r="825" spans="1:48" ht="36" x14ac:dyDescent="0.2">
      <c r="A825" s="450" t="s">
        <v>270</v>
      </c>
      <c r="B825" s="429" t="s">
        <v>1959</v>
      </c>
      <c r="C825" s="430" t="s">
        <v>2790</v>
      </c>
      <c r="D825" s="1349" t="s">
        <v>6403</v>
      </c>
      <c r="E825" s="1350" t="s">
        <v>4333</v>
      </c>
      <c r="F825" s="1350" t="s">
        <v>1887</v>
      </c>
      <c r="G825" s="1351" t="s">
        <v>3829</v>
      </c>
      <c r="H825" s="1342" t="s">
        <v>2317</v>
      </c>
      <c r="I825" s="432" t="s">
        <v>2311</v>
      </c>
      <c r="J825" s="431"/>
      <c r="K825" s="431"/>
      <c r="L825" s="431"/>
      <c r="M825" s="433" t="s">
        <v>1880</v>
      </c>
      <c r="N825" s="434"/>
      <c r="O825" s="1743" t="str">
        <f>VLOOKUP(B825,code_famille_scénario,2)&amp;VLOOKUP(C825,code_actif,2)&amp;" due "&amp;VLOOKUP(I825,code_event,2)</f>
        <v>Non conformité à la législation ou aux réglements relatifs à la protection des renseignements personnels due à la non application de procédures, par méconnaissance</v>
      </c>
      <c r="P825" s="435">
        <v>1</v>
      </c>
      <c r="Q825" s="1595" t="s">
        <v>6403</v>
      </c>
      <c r="R825" s="1595" t="s">
        <v>6403</v>
      </c>
      <c r="S825" s="1595" t="str">
        <f>Classif!C31</f>
        <v/>
      </c>
      <c r="T825" s="1595">
        <f>VLOOKUP(H825&amp;"."&amp;I825,Tab_event,4)</f>
        <v>2</v>
      </c>
      <c r="U825" s="1744" t="str">
        <f>IF(AND(NOT(S825=""),NOT(T825="")),INDEX(base_g,5-S825,T825),"")</f>
        <v/>
      </c>
      <c r="V825" s="1745">
        <v>1</v>
      </c>
      <c r="W825" s="1745">
        <f>S13A02</f>
        <v>1</v>
      </c>
      <c r="X825" s="1745">
        <v>1</v>
      </c>
      <c r="Y825" s="1745">
        <v>1</v>
      </c>
      <c r="Z825" s="1746">
        <v>1</v>
      </c>
      <c r="AA825" s="1747"/>
      <c r="AB825" s="1748"/>
      <c r="AC825" s="1748"/>
      <c r="AD825" s="1595" t="str">
        <f t="shared" si="459"/>
        <v/>
      </c>
      <c r="AE825" s="1595">
        <f>IF(OR(Q825="",T825=""),"",IF(Q825="A",INDEX(base_p,4,W825+7*(T825-1)),IF(Q825="E",INDEX(base_p,15,W825+7*(T825-1)),INDEX(base_p,27-V825,W825+7*(T825-1)))))</f>
        <v>2</v>
      </c>
      <c r="AF825" s="1595" t="str">
        <f>IF(AT825=1,IF(IndG=1,U825,IF(AND(OR(NOT(AD825=""),NOT(AB825="")),OR(NOT(AE825=""),NOT(AC825="")),AT825=1),INDEX(base_g,5-IF(AB825="",AD825,AB825),IF(AC825="",AE825,AC825)),"")),0)</f>
        <v/>
      </c>
      <c r="AG825" s="1748"/>
      <c r="AH825" s="1749" t="str">
        <f t="shared" si="460"/>
        <v/>
      </c>
      <c r="AI825" s="1615"/>
      <c r="AJ825" s="1616" t="s">
        <v>3807</v>
      </c>
      <c r="AK825" s="1618"/>
      <c r="AL825" s="1619"/>
      <c r="AM825" s="247" t="str">
        <f t="shared" si="453"/>
        <v/>
      </c>
      <c r="AN825" s="247" t="str">
        <f t="shared" si="454"/>
        <v/>
      </c>
      <c r="AO825" s="247" t="str">
        <f t="shared" si="455"/>
        <v/>
      </c>
      <c r="AP825" s="247" t="str">
        <f t="shared" si="456"/>
        <v/>
      </c>
      <c r="AQ825" s="42">
        <f>VLOOKUP(LEFT(C825,3),Tab_classif_conf,6)</f>
        <v>1</v>
      </c>
      <c r="AR825" s="42">
        <f>VLOOKUP(G825,select_vul_proc,2)</f>
        <v>1</v>
      </c>
      <c r="AS825" s="42">
        <f>VLOOKUP(H825&amp;"."&amp;I825,select_men,5)</f>
        <v>1</v>
      </c>
      <c r="AT825" s="42">
        <f>P825*AQ825*AR825*AS825</f>
        <v>1</v>
      </c>
      <c r="AU825" s="247" t="str">
        <f t="shared" si="457"/>
        <v/>
      </c>
      <c r="AV825" s="247" t="str">
        <f t="shared" si="458"/>
        <v/>
      </c>
    </row>
    <row r="826" spans="1:48" ht="36" x14ac:dyDescent="0.2">
      <c r="A826" s="450" t="s">
        <v>271</v>
      </c>
      <c r="B826" s="429" t="s">
        <v>1959</v>
      </c>
      <c r="C826" s="430" t="s">
        <v>2790</v>
      </c>
      <c r="D826" s="1349" t="s">
        <v>6403</v>
      </c>
      <c r="E826" s="1350" t="s">
        <v>4333</v>
      </c>
      <c r="F826" s="1350" t="s">
        <v>1887</v>
      </c>
      <c r="G826" s="1351" t="s">
        <v>3829</v>
      </c>
      <c r="H826" s="1342" t="s">
        <v>2317</v>
      </c>
      <c r="I826" s="432" t="s">
        <v>2312</v>
      </c>
      <c r="J826" s="431"/>
      <c r="K826" s="431"/>
      <c r="L826" s="431"/>
      <c r="M826" s="433" t="s">
        <v>1880</v>
      </c>
      <c r="N826" s="434"/>
      <c r="O826" s="1743" t="str">
        <f>VLOOKUP(B826,code_famille_scénario,2)&amp;VLOOKUP(C826,code_actif,2)&amp;" due "&amp;VLOOKUP(I826,code_event,2)</f>
        <v>Non conformité à la législation ou aux réglements relatifs à la protection des renseignements personnels due à la non application volontaire de procédures</v>
      </c>
      <c r="P826" s="435">
        <v>1</v>
      </c>
      <c r="Q826" s="1595" t="s">
        <v>1299</v>
      </c>
      <c r="R826" s="1595" t="s">
        <v>6403</v>
      </c>
      <c r="S826" s="1595" t="str">
        <f>Classif!C31</f>
        <v/>
      </c>
      <c r="T826" s="1595">
        <f>VLOOKUP(H826&amp;"."&amp;I826,Tab_event,4)</f>
        <v>2</v>
      </c>
      <c r="U826" s="1744" t="str">
        <f>IF(AND(NOT(S826=""),NOT(T826="")),INDEX(base_g,5-S826,T826),"")</f>
        <v/>
      </c>
      <c r="V826" s="1745">
        <f>S13A04</f>
        <v>1</v>
      </c>
      <c r="W826" s="1745">
        <v>1</v>
      </c>
      <c r="X826" s="1745">
        <v>1</v>
      </c>
      <c r="Y826" s="1745">
        <v>1</v>
      </c>
      <c r="Z826" s="1746">
        <v>1</v>
      </c>
      <c r="AA826" s="1747"/>
      <c r="AB826" s="1748"/>
      <c r="AC826" s="1748"/>
      <c r="AD826" s="1595" t="str">
        <f t="shared" si="459"/>
        <v/>
      </c>
      <c r="AE826" s="1595">
        <f>IF(OR(Q826="",T826=""),"",IF(Q826="A",INDEX(base_p,4,W826+7*(T826-1)),IF(Q826="E",INDEX(base_p,15,W826+7*(T826-1)),INDEX(base_p,27-V826,W826+7*(T826-1)))))</f>
        <v>2</v>
      </c>
      <c r="AF826" s="1595" t="str">
        <f>IF(AT826=1,IF(IndG=1,U826,IF(AND(OR(NOT(AD826=""),NOT(AB826="")),OR(NOT(AE826=""),NOT(AC826="")),AT826=1),INDEX(base_g,5-IF(AB826="",AD826,AB826),IF(AC826="",AE826,AC826)),"")),0)</f>
        <v/>
      </c>
      <c r="AG826" s="1748"/>
      <c r="AH826" s="1749" t="str">
        <f t="shared" si="460"/>
        <v/>
      </c>
      <c r="AI826" s="1620" t="s">
        <v>5408</v>
      </c>
      <c r="AJ826" s="1616"/>
      <c r="AK826" s="1618"/>
      <c r="AL826" s="1619"/>
      <c r="AM826" s="247" t="str">
        <f t="shared" si="453"/>
        <v/>
      </c>
      <c r="AN826" s="247" t="str">
        <f t="shared" si="454"/>
        <v/>
      </c>
      <c r="AO826" s="247" t="str">
        <f t="shared" si="455"/>
        <v/>
      </c>
      <c r="AP826" s="247" t="str">
        <f t="shared" si="456"/>
        <v/>
      </c>
      <c r="AQ826" s="42">
        <f>VLOOKUP(LEFT(C826,3),Tab_classif_conf,6)</f>
        <v>1</v>
      </c>
      <c r="AR826" s="42">
        <f>VLOOKUP(G826,select_vul_proc,2)</f>
        <v>1</v>
      </c>
      <c r="AS826" s="42">
        <f>VLOOKUP(H826&amp;"."&amp;I826,select_men,5)</f>
        <v>1</v>
      </c>
      <c r="AT826" s="42">
        <f>P826*AQ826*AR826*AS826</f>
        <v>1</v>
      </c>
      <c r="AU826" s="247" t="str">
        <f t="shared" si="457"/>
        <v/>
      </c>
      <c r="AV826" s="247" t="str">
        <f t="shared" si="458"/>
        <v/>
      </c>
    </row>
    <row r="827" spans="1:48" ht="15" x14ac:dyDescent="0.2">
      <c r="A827" s="456" t="s">
        <v>4336</v>
      </c>
      <c r="B827" s="457"/>
      <c r="C827" s="423" t="s">
        <v>4900</v>
      </c>
      <c r="D827" s="1356"/>
      <c r="E827" s="1357"/>
      <c r="F827" s="1357"/>
      <c r="G827" s="1360"/>
      <c r="H827" s="1345"/>
      <c r="I827" s="459"/>
      <c r="J827" s="458"/>
      <c r="K827" s="458"/>
      <c r="L827" s="458"/>
      <c r="M827" s="460"/>
      <c r="N827" s="461"/>
      <c r="O827" s="1761"/>
      <c r="P827" s="435"/>
      <c r="Q827" s="1595"/>
      <c r="R827" s="1595"/>
      <c r="S827" s="1753"/>
      <c r="T827" s="1595"/>
      <c r="U827" s="1744"/>
      <c r="V827" s="1754"/>
      <c r="W827" s="1754"/>
      <c r="X827" s="1754"/>
      <c r="Y827" s="1754"/>
      <c r="Z827" s="1762"/>
      <c r="AA827" s="1763"/>
      <c r="AB827" s="1748"/>
      <c r="AC827" s="1748"/>
      <c r="AD827" s="1595"/>
      <c r="AE827" s="1753"/>
      <c r="AF827" s="1595"/>
      <c r="AG827" s="1748"/>
      <c r="AH827" s="1749"/>
      <c r="AI827" s="1627"/>
      <c r="AJ827" s="1628"/>
      <c r="AK827" s="1628"/>
      <c r="AL827" s="1629"/>
      <c r="AM827" s="247" t="str">
        <f t="shared" si="453"/>
        <v/>
      </c>
      <c r="AN827" s="247" t="str">
        <f t="shared" si="454"/>
        <v/>
      </c>
      <c r="AO827" s="247" t="str">
        <f t="shared" si="455"/>
        <v/>
      </c>
      <c r="AP827" s="247" t="str">
        <f t="shared" si="456"/>
        <v/>
      </c>
      <c r="AU827" s="247" t="str">
        <f t="shared" si="457"/>
        <v/>
      </c>
      <c r="AV827" s="247" t="str">
        <f t="shared" si="458"/>
        <v/>
      </c>
    </row>
    <row r="828" spans="1:48" ht="36" x14ac:dyDescent="0.2">
      <c r="A828" s="450" t="s">
        <v>272</v>
      </c>
      <c r="B828" s="429" t="s">
        <v>1959</v>
      </c>
      <c r="C828" s="430" t="s">
        <v>2791</v>
      </c>
      <c r="D828" s="1349" t="s">
        <v>6403</v>
      </c>
      <c r="E828" s="1350" t="s">
        <v>4333</v>
      </c>
      <c r="F828" s="1350" t="s">
        <v>1887</v>
      </c>
      <c r="G828" s="1351" t="s">
        <v>3829</v>
      </c>
      <c r="H828" s="1342" t="s">
        <v>2317</v>
      </c>
      <c r="I828" s="432" t="s">
        <v>2309</v>
      </c>
      <c r="J828" s="431"/>
      <c r="K828" s="431"/>
      <c r="L828" s="431"/>
      <c r="M828" s="433" t="s">
        <v>1880</v>
      </c>
      <c r="N828" s="434"/>
      <c r="O828" s="1743" t="str">
        <f>VLOOKUP(B828,code_famille_scénario,2)&amp;VLOOKUP(C828,code_actif,2)&amp;" due "&amp;VLOOKUP(I828,code_event,2)</f>
        <v>Non conformité à la législation ou aux réglements relatifs à la communication financière due à l'application de procédures inadéquates</v>
      </c>
      <c r="P828" s="435">
        <v>1</v>
      </c>
      <c r="Q828" s="1595" t="s">
        <v>6403</v>
      </c>
      <c r="R828" s="1595" t="s">
        <v>6403</v>
      </c>
      <c r="S828" s="1595" t="str">
        <f>Classif!C32</f>
        <v/>
      </c>
      <c r="T828" s="1595">
        <f>VLOOKUP(H828&amp;"."&amp;I828,Tab_event,4)</f>
        <v>2</v>
      </c>
      <c r="U828" s="1744" t="str">
        <f>IF(AND(NOT(S828=""),NOT(T828="")),INDEX(base_g,5-S828,T828),"")</f>
        <v/>
      </c>
      <c r="V828" s="1745">
        <v>1</v>
      </c>
      <c r="W828" s="1745">
        <f>S13B01</f>
        <v>1</v>
      </c>
      <c r="X828" s="1745">
        <v>1</v>
      </c>
      <c r="Y828" s="1745">
        <v>1</v>
      </c>
      <c r="Z828" s="1746">
        <v>1</v>
      </c>
      <c r="AA828" s="1747"/>
      <c r="AB828" s="1748"/>
      <c r="AC828" s="1748"/>
      <c r="AD828" s="1595" t="str">
        <f t="shared" si="459"/>
        <v/>
      </c>
      <c r="AE828" s="1595">
        <f>IF(OR(Q828="",T828=""),"",IF(Q828="A",INDEX(base_p,4,W828+7*(T828-1)),IF(Q828="E",INDEX(base_p,15,W828+7*(T828-1)),INDEX(base_p,27-V828,W828+7*(T828-1)))))</f>
        <v>2</v>
      </c>
      <c r="AF828" s="1595" t="str">
        <f>IF(AT828=1,IF(IndG=1,U828,IF(AND(OR(NOT(AD828=""),NOT(AB828="")),OR(NOT(AE828=""),NOT(AC828="")),AT828=1),INDEX(base_g,5-IF(AB828="",AD828,AB828),IF(AC828="",AE828,AC828)),"")),0)</f>
        <v/>
      </c>
      <c r="AG828" s="1748"/>
      <c r="AH828" s="1749" t="str">
        <f t="shared" si="460"/>
        <v/>
      </c>
      <c r="AI828" s="1615"/>
      <c r="AJ828" s="1616" t="s">
        <v>3671</v>
      </c>
      <c r="AK828" s="1618"/>
      <c r="AL828" s="1619"/>
      <c r="AM828" s="247" t="str">
        <f t="shared" si="453"/>
        <v/>
      </c>
      <c r="AN828" s="247" t="str">
        <f t="shared" si="454"/>
        <v/>
      </c>
      <c r="AO828" s="247" t="str">
        <f t="shared" si="455"/>
        <v/>
      </c>
      <c r="AP828" s="247" t="str">
        <f t="shared" si="456"/>
        <v/>
      </c>
      <c r="AQ828" s="42">
        <f>VLOOKUP(LEFT(C828,3),Tab_classif_conf,6)</f>
        <v>1</v>
      </c>
      <c r="AR828" s="42">
        <f>VLOOKUP(G828,select_vul_proc,2)</f>
        <v>1</v>
      </c>
      <c r="AS828" s="42">
        <f>VLOOKUP(H828&amp;"."&amp;I828,select_men,5)</f>
        <v>1</v>
      </c>
      <c r="AT828" s="42">
        <f>P828*AQ828*AR828*AS828</f>
        <v>1</v>
      </c>
      <c r="AU828" s="247" t="str">
        <f t="shared" si="457"/>
        <v/>
      </c>
      <c r="AV828" s="247" t="str">
        <f t="shared" si="458"/>
        <v/>
      </c>
    </row>
    <row r="829" spans="1:48" ht="36" x14ac:dyDescent="0.2">
      <c r="A829" s="450" t="s">
        <v>273</v>
      </c>
      <c r="B829" s="429" t="s">
        <v>1959</v>
      </c>
      <c r="C829" s="430" t="s">
        <v>2791</v>
      </c>
      <c r="D829" s="1349" t="s">
        <v>6403</v>
      </c>
      <c r="E829" s="1350" t="s">
        <v>4333</v>
      </c>
      <c r="F829" s="1350" t="s">
        <v>1887</v>
      </c>
      <c r="G829" s="1351" t="s">
        <v>3829</v>
      </c>
      <c r="H829" s="1342" t="s">
        <v>2317</v>
      </c>
      <c r="I829" s="432" t="s">
        <v>2310</v>
      </c>
      <c r="J829" s="431"/>
      <c r="K829" s="431"/>
      <c r="L829" s="431"/>
      <c r="M829" s="433" t="s">
        <v>1880</v>
      </c>
      <c r="N829" s="434"/>
      <c r="O829" s="1743" t="str">
        <f>VLOOKUP(B829,code_famille_scénario,2)&amp;VLOOKUP(C829,code_actif,2)&amp;" due "&amp;VLOOKUP(I829,code_event,2)</f>
        <v>Non conformité à la législation ou aux réglements relatifs à la communication financière due à la non application de procédures, par manque de moyens</v>
      </c>
      <c r="P829" s="435">
        <v>1</v>
      </c>
      <c r="Q829" s="1595" t="s">
        <v>6403</v>
      </c>
      <c r="R829" s="1595" t="s">
        <v>6403</v>
      </c>
      <c r="S829" s="1595" t="str">
        <f>Classif!C32</f>
        <v/>
      </c>
      <c r="T829" s="1595">
        <f>VLOOKUP(H829&amp;"."&amp;I829,Tab_event,4)</f>
        <v>2</v>
      </c>
      <c r="U829" s="1744" t="str">
        <f>IF(AND(NOT(S829=""),NOT(T829="")),INDEX(base_g,5-S829,T829),"")</f>
        <v/>
      </c>
      <c r="V829" s="1745">
        <v>1</v>
      </c>
      <c r="W829" s="1745">
        <f>S13B03</f>
        <v>1</v>
      </c>
      <c r="X829" s="1745">
        <v>1</v>
      </c>
      <c r="Y829" s="1745">
        <v>1</v>
      </c>
      <c r="Z829" s="1746">
        <v>1</v>
      </c>
      <c r="AA829" s="1747"/>
      <c r="AB829" s="1748"/>
      <c r="AC829" s="1748"/>
      <c r="AD829" s="1595" t="str">
        <f t="shared" si="459"/>
        <v/>
      </c>
      <c r="AE829" s="1595">
        <f>IF(OR(Q829="",T829=""),"",IF(Q829="A",INDEX(base_p,4,W829+7*(T829-1)),IF(Q829="E",INDEX(base_p,15,W829+7*(T829-1)),INDEX(base_p,27-V829,W829+7*(T829-1)))))</f>
        <v>2</v>
      </c>
      <c r="AF829" s="1595" t="str">
        <f>IF(AT829=1,IF(IndG=1,U829,IF(AND(OR(NOT(AD829=""),NOT(AB829="")),OR(NOT(AE829=""),NOT(AC829="")),AT829=1),INDEX(base_g,5-IF(AB829="",AD829,AB829),IF(AC829="",AE829,AC829)),"")),0)</f>
        <v/>
      </c>
      <c r="AG829" s="1748"/>
      <c r="AH829" s="1749" t="str">
        <f t="shared" si="460"/>
        <v/>
      </c>
      <c r="AI829" s="1615"/>
      <c r="AJ829" s="1616" t="s">
        <v>4389</v>
      </c>
      <c r="AK829" s="1618"/>
      <c r="AL829" s="1619"/>
      <c r="AM829" s="247" t="str">
        <f t="shared" si="453"/>
        <v/>
      </c>
      <c r="AN829" s="247" t="str">
        <f t="shared" si="454"/>
        <v/>
      </c>
      <c r="AO829" s="247" t="str">
        <f t="shared" si="455"/>
        <v/>
      </c>
      <c r="AP829" s="247" t="str">
        <f t="shared" si="456"/>
        <v/>
      </c>
      <c r="AQ829" s="42">
        <f>VLOOKUP(LEFT(C829,3),Tab_classif_conf,6)</f>
        <v>1</v>
      </c>
      <c r="AR829" s="42">
        <f>VLOOKUP(G829,select_vul_proc,2)</f>
        <v>1</v>
      </c>
      <c r="AS829" s="42">
        <f>VLOOKUP(H829&amp;"."&amp;I829,select_men,5)</f>
        <v>1</v>
      </c>
      <c r="AT829" s="42">
        <f>P829*AQ829*AR829*AS829</f>
        <v>1</v>
      </c>
      <c r="AU829" s="247" t="str">
        <f t="shared" si="457"/>
        <v/>
      </c>
      <c r="AV829" s="247" t="str">
        <f t="shared" si="458"/>
        <v/>
      </c>
    </row>
    <row r="830" spans="1:48" ht="36" x14ac:dyDescent="0.2">
      <c r="A830" s="450" t="s">
        <v>274</v>
      </c>
      <c r="B830" s="429" t="s">
        <v>1959</v>
      </c>
      <c r="C830" s="430" t="s">
        <v>2791</v>
      </c>
      <c r="D830" s="1349" t="s">
        <v>6403</v>
      </c>
      <c r="E830" s="1350" t="s">
        <v>4333</v>
      </c>
      <c r="F830" s="1350" t="s">
        <v>1887</v>
      </c>
      <c r="G830" s="1351" t="s">
        <v>3829</v>
      </c>
      <c r="H830" s="1342" t="s">
        <v>2317</v>
      </c>
      <c r="I830" s="432" t="s">
        <v>2311</v>
      </c>
      <c r="J830" s="431"/>
      <c r="K830" s="431"/>
      <c r="L830" s="431"/>
      <c r="M830" s="433" t="s">
        <v>1880</v>
      </c>
      <c r="N830" s="434"/>
      <c r="O830" s="1743" t="str">
        <f>VLOOKUP(B830,code_famille_scénario,2)&amp;VLOOKUP(C830,code_actif,2)&amp;" due "&amp;VLOOKUP(I830,code_event,2)</f>
        <v>Non conformité à la législation ou aux réglements relatifs à la communication financière due à la non application de procédures, par méconnaissance</v>
      </c>
      <c r="P830" s="435">
        <v>1</v>
      </c>
      <c r="Q830" s="1595" t="s">
        <v>6403</v>
      </c>
      <c r="R830" s="1595" t="s">
        <v>6403</v>
      </c>
      <c r="S830" s="1595" t="str">
        <f>Classif!C32</f>
        <v/>
      </c>
      <c r="T830" s="1595">
        <f>VLOOKUP(H830&amp;"."&amp;I830,Tab_event,4)</f>
        <v>2</v>
      </c>
      <c r="U830" s="1744" t="str">
        <f>IF(AND(NOT(S830=""),NOT(T830="")),INDEX(base_g,5-S830,T830),"")</f>
        <v/>
      </c>
      <c r="V830" s="1745">
        <v>1</v>
      </c>
      <c r="W830" s="1745">
        <f>S13B02</f>
        <v>1</v>
      </c>
      <c r="X830" s="1745">
        <v>1</v>
      </c>
      <c r="Y830" s="1745">
        <v>1</v>
      </c>
      <c r="Z830" s="1746">
        <v>1</v>
      </c>
      <c r="AA830" s="1747"/>
      <c r="AB830" s="1748"/>
      <c r="AC830" s="1748"/>
      <c r="AD830" s="1595" t="str">
        <f t="shared" si="459"/>
        <v/>
      </c>
      <c r="AE830" s="1595">
        <f>IF(OR(Q830="",T830=""),"",IF(Q830="A",INDEX(base_p,4,W830+7*(T830-1)),IF(Q830="E",INDEX(base_p,15,W830+7*(T830-1)),INDEX(base_p,27-V830,W830+7*(T830-1)))))</f>
        <v>2</v>
      </c>
      <c r="AF830" s="1595" t="str">
        <f>IF(AT830=1,IF(IndG=1,U830,IF(AND(OR(NOT(AD830=""),NOT(AB830="")),OR(NOT(AE830=""),NOT(AC830="")),AT830=1),INDEX(base_g,5-IF(AB830="",AD830,AB830),IF(AC830="",AE830,AC830)),"")),0)</f>
        <v/>
      </c>
      <c r="AG830" s="1748"/>
      <c r="AH830" s="1749" t="str">
        <f t="shared" si="460"/>
        <v/>
      </c>
      <c r="AI830" s="1615"/>
      <c r="AJ830" s="1616" t="s">
        <v>4380</v>
      </c>
      <c r="AK830" s="1618"/>
      <c r="AL830" s="1619"/>
      <c r="AM830" s="247" t="str">
        <f t="shared" si="453"/>
        <v/>
      </c>
      <c r="AN830" s="247" t="str">
        <f t="shared" si="454"/>
        <v/>
      </c>
      <c r="AO830" s="247" t="str">
        <f t="shared" si="455"/>
        <v/>
      </c>
      <c r="AP830" s="247" t="str">
        <f t="shared" si="456"/>
        <v/>
      </c>
      <c r="AQ830" s="42">
        <f>VLOOKUP(LEFT(C830,3),Tab_classif_conf,6)</f>
        <v>1</v>
      </c>
      <c r="AR830" s="42">
        <f>VLOOKUP(G830,select_vul_proc,2)</f>
        <v>1</v>
      </c>
      <c r="AS830" s="42">
        <f>VLOOKUP(H830&amp;"."&amp;I830,select_men,5)</f>
        <v>1</v>
      </c>
      <c r="AT830" s="42">
        <f>P830*AQ830*AR830*AS830</f>
        <v>1</v>
      </c>
      <c r="AU830" s="247" t="str">
        <f t="shared" si="457"/>
        <v/>
      </c>
      <c r="AV830" s="247" t="str">
        <f t="shared" si="458"/>
        <v/>
      </c>
    </row>
    <row r="831" spans="1:48" ht="36" x14ac:dyDescent="0.2">
      <c r="A831" s="450" t="s">
        <v>275</v>
      </c>
      <c r="B831" s="429" t="s">
        <v>1959</v>
      </c>
      <c r="C831" s="430" t="s">
        <v>2791</v>
      </c>
      <c r="D831" s="1349" t="s">
        <v>6403</v>
      </c>
      <c r="E831" s="1350" t="s">
        <v>4333</v>
      </c>
      <c r="F831" s="1350" t="s">
        <v>1887</v>
      </c>
      <c r="G831" s="1351" t="s">
        <v>3829</v>
      </c>
      <c r="H831" s="1342" t="s">
        <v>2317</v>
      </c>
      <c r="I831" s="432" t="s">
        <v>2312</v>
      </c>
      <c r="J831" s="431"/>
      <c r="K831" s="431"/>
      <c r="L831" s="431"/>
      <c r="M831" s="433" t="s">
        <v>1880</v>
      </c>
      <c r="N831" s="434"/>
      <c r="O831" s="1743" t="str">
        <f>VLOOKUP(B831,code_famille_scénario,2)&amp;VLOOKUP(C831,code_actif,2)&amp;" due "&amp;VLOOKUP(I831,code_event,2)</f>
        <v>Non conformité à la législation ou aux réglements relatifs à la communication financière due à la non application volontaire de procédures</v>
      </c>
      <c r="P831" s="435">
        <v>1</v>
      </c>
      <c r="Q831" s="1595" t="s">
        <v>1299</v>
      </c>
      <c r="R831" s="1595" t="s">
        <v>6403</v>
      </c>
      <c r="S831" s="1595" t="str">
        <f>Classif!C32</f>
        <v/>
      </c>
      <c r="T831" s="1595">
        <f>VLOOKUP(H831&amp;"."&amp;I831,Tab_event,4)</f>
        <v>2</v>
      </c>
      <c r="U831" s="1744" t="str">
        <f>IF(AND(NOT(S831=""),NOT(T831="")),INDEX(base_g,5-S831,T831),"")</f>
        <v/>
      </c>
      <c r="V831" s="1745">
        <f>S13B04</f>
        <v>1</v>
      </c>
      <c r="W831" s="1745">
        <v>1</v>
      </c>
      <c r="X831" s="1745">
        <v>1</v>
      </c>
      <c r="Y831" s="1745">
        <v>1</v>
      </c>
      <c r="Z831" s="1746">
        <v>1</v>
      </c>
      <c r="AA831" s="1747"/>
      <c r="AB831" s="1748"/>
      <c r="AC831" s="1748"/>
      <c r="AD831" s="1595" t="str">
        <f t="shared" si="459"/>
        <v/>
      </c>
      <c r="AE831" s="1595">
        <f>IF(OR(Q831="",T831=""),"",IF(Q831="A",INDEX(base_p,4,W831+7*(T831-1)),IF(Q831="E",INDEX(base_p,15,W831+7*(T831-1)),INDEX(base_p,27-V831,W831+7*(T831-1)))))</f>
        <v>2</v>
      </c>
      <c r="AF831" s="1595" t="str">
        <f>IF(AT831=1,IF(IndG=1,U831,IF(AND(OR(NOT(AD831=""),NOT(AB831="")),OR(NOT(AE831=""),NOT(AC831="")),AT831=1),INDEX(base_g,5-IF(AB831="",AD831,AB831),IF(AC831="",AE831,AC831)),"")),0)</f>
        <v/>
      </c>
      <c r="AG831" s="1748"/>
      <c r="AH831" s="1749" t="str">
        <f t="shared" si="460"/>
        <v/>
      </c>
      <c r="AI831" s="1620" t="s">
        <v>4390</v>
      </c>
      <c r="AJ831" s="1616"/>
      <c r="AK831" s="1618"/>
      <c r="AL831" s="1619"/>
      <c r="AM831" s="247" t="str">
        <f t="shared" si="453"/>
        <v/>
      </c>
      <c r="AN831" s="247" t="str">
        <f t="shared" si="454"/>
        <v/>
      </c>
      <c r="AO831" s="247" t="str">
        <f t="shared" si="455"/>
        <v/>
      </c>
      <c r="AP831" s="247" t="str">
        <f t="shared" si="456"/>
        <v/>
      </c>
      <c r="AQ831" s="42">
        <f>VLOOKUP(LEFT(C831,3),Tab_classif_conf,6)</f>
        <v>1</v>
      </c>
      <c r="AR831" s="42">
        <f>VLOOKUP(G831,select_vul_proc,2)</f>
        <v>1</v>
      </c>
      <c r="AS831" s="42">
        <f>VLOOKUP(H831&amp;"."&amp;I831,select_men,5)</f>
        <v>1</v>
      </c>
      <c r="AT831" s="42">
        <f>P831*AQ831*AR831*AS831</f>
        <v>1</v>
      </c>
      <c r="AU831" s="247" t="str">
        <f t="shared" si="457"/>
        <v/>
      </c>
      <c r="AV831" s="247" t="str">
        <f t="shared" si="458"/>
        <v/>
      </c>
    </row>
    <row r="832" spans="1:48" ht="15" x14ac:dyDescent="0.2">
      <c r="A832" s="456" t="s">
        <v>4337</v>
      </c>
      <c r="B832" s="457"/>
      <c r="C832" s="423" t="s">
        <v>4901</v>
      </c>
      <c r="D832" s="1356"/>
      <c r="E832" s="1357"/>
      <c r="F832" s="1357"/>
      <c r="G832" s="1360"/>
      <c r="H832" s="1345"/>
      <c r="I832" s="459"/>
      <c r="J832" s="458"/>
      <c r="K832" s="458"/>
      <c r="L832" s="458"/>
      <c r="M832" s="460"/>
      <c r="N832" s="461"/>
      <c r="O832" s="1761"/>
      <c r="P832" s="435"/>
      <c r="Q832" s="1595"/>
      <c r="R832" s="1595"/>
      <c r="S832" s="1753"/>
      <c r="T832" s="1595"/>
      <c r="U832" s="1744"/>
      <c r="V832" s="1754"/>
      <c r="W832" s="1754"/>
      <c r="X832" s="1754"/>
      <c r="Y832" s="1754"/>
      <c r="Z832" s="1762"/>
      <c r="AA832" s="1763"/>
      <c r="AB832" s="1748"/>
      <c r="AC832" s="1748"/>
      <c r="AD832" s="1595"/>
      <c r="AE832" s="1753"/>
      <c r="AF832" s="1595"/>
      <c r="AG832" s="1748"/>
      <c r="AH832" s="1749"/>
      <c r="AI832" s="1627"/>
      <c r="AJ832" s="1628"/>
      <c r="AK832" s="1628"/>
      <c r="AL832" s="1629"/>
      <c r="AM832" s="247" t="str">
        <f t="shared" si="453"/>
        <v/>
      </c>
      <c r="AN832" s="247" t="str">
        <f t="shared" si="454"/>
        <v/>
      </c>
      <c r="AO832" s="247" t="str">
        <f t="shared" si="455"/>
        <v/>
      </c>
      <c r="AP832" s="247" t="str">
        <f t="shared" si="456"/>
        <v/>
      </c>
      <c r="AU832" s="247" t="str">
        <f t="shared" si="457"/>
        <v/>
      </c>
      <c r="AV832" s="247" t="str">
        <f t="shared" si="458"/>
        <v/>
      </c>
    </row>
    <row r="833" spans="1:48" ht="36" x14ac:dyDescent="0.2">
      <c r="A833" s="450" t="s">
        <v>276</v>
      </c>
      <c r="B833" s="429" t="s">
        <v>1959</v>
      </c>
      <c r="C833" s="430" t="s">
        <v>2792</v>
      </c>
      <c r="D833" s="1349" t="s">
        <v>6403</v>
      </c>
      <c r="E833" s="1350" t="s">
        <v>4333</v>
      </c>
      <c r="F833" s="1350" t="s">
        <v>1887</v>
      </c>
      <c r="G833" s="1351" t="s">
        <v>3829</v>
      </c>
      <c r="H833" s="1342" t="s">
        <v>2317</v>
      </c>
      <c r="I833" s="432" t="s">
        <v>2309</v>
      </c>
      <c r="J833" s="431"/>
      <c r="K833" s="431"/>
      <c r="L833" s="431"/>
      <c r="M833" s="433" t="s">
        <v>1880</v>
      </c>
      <c r="N833" s="434"/>
      <c r="O833" s="1743" t="str">
        <f>VLOOKUP(B833,code_famille_scénario,2)&amp;VLOOKUP(C833,code_actif,2)&amp;" due "&amp;VLOOKUP(I833,code_event,2)</f>
        <v>Non conformité à la législation ou aux réglements relatifs à la vérification de la comptabilité informatisée due à l'application de procédures inadéquates</v>
      </c>
      <c r="P833" s="435">
        <v>1</v>
      </c>
      <c r="Q833" s="1595" t="s">
        <v>6403</v>
      </c>
      <c r="R833" s="1595" t="s">
        <v>6403</v>
      </c>
      <c r="S833" s="1595" t="str">
        <f>Classif!C33</f>
        <v/>
      </c>
      <c r="T833" s="1595">
        <f>VLOOKUP(H833&amp;"."&amp;I833,Tab_event,4)</f>
        <v>2</v>
      </c>
      <c r="U833" s="1744" t="str">
        <f>IF(AND(NOT(S833=""),NOT(T833="")),INDEX(base_g,5-S833,T833),"")</f>
        <v/>
      </c>
      <c r="V833" s="1745">
        <v>1</v>
      </c>
      <c r="W833" s="1745">
        <f>MIN(S13C01,S13C02)</f>
        <v>1</v>
      </c>
      <c r="X833" s="1745">
        <v>1</v>
      </c>
      <c r="Y833" s="1745">
        <v>1</v>
      </c>
      <c r="Z833" s="1746">
        <v>1</v>
      </c>
      <c r="AA833" s="1747"/>
      <c r="AB833" s="1748"/>
      <c r="AC833" s="1748"/>
      <c r="AD833" s="1595" t="str">
        <f t="shared" si="459"/>
        <v/>
      </c>
      <c r="AE833" s="1595">
        <f>IF(OR(Q833="",T833=""),"",IF(Q833="A",INDEX(base_p,4,W833+7*(T833-1)),IF(Q833="E",INDEX(base_p,15,W833+7*(T833-1)),INDEX(base_p,27-V833,W833+7*(T833-1)))))</f>
        <v>2</v>
      </c>
      <c r="AF833" s="1595" t="str">
        <f>IF(AT833=1,IF(IndG=1,U833,IF(AND(OR(NOT(AD833=""),NOT(AB833="")),OR(NOT(AE833=""),NOT(AC833="")),AT833=1),INDEX(base_g,5-IF(AB833="",AD833,AB833),IF(AC833="",AE833,AC833)),"")),0)</f>
        <v/>
      </c>
      <c r="AG833" s="1748"/>
      <c r="AH833" s="1749" t="str">
        <f t="shared" si="460"/>
        <v/>
      </c>
      <c r="AI833" s="1615"/>
      <c r="AJ833" s="1616" t="s">
        <v>2712</v>
      </c>
      <c r="AK833" s="1618"/>
      <c r="AL833" s="1619"/>
      <c r="AM833" s="247" t="str">
        <f t="shared" si="453"/>
        <v/>
      </c>
      <c r="AN833" s="247" t="str">
        <f t="shared" si="454"/>
        <v/>
      </c>
      <c r="AO833" s="247" t="str">
        <f t="shared" si="455"/>
        <v/>
      </c>
      <c r="AP833" s="247" t="str">
        <f t="shared" si="456"/>
        <v/>
      </c>
      <c r="AQ833" s="42">
        <f>VLOOKUP(LEFT(C833,3),Tab_classif_conf,6)</f>
        <v>1</v>
      </c>
      <c r="AR833" s="42">
        <f>VLOOKUP(G833,select_vul_proc,2)</f>
        <v>1</v>
      </c>
      <c r="AS833" s="42">
        <f>VLOOKUP(H833&amp;"."&amp;I833,select_men,5)</f>
        <v>1</v>
      </c>
      <c r="AT833" s="42">
        <f>P833*AQ833*AR833*AS833</f>
        <v>1</v>
      </c>
      <c r="AU833" s="247" t="str">
        <f t="shared" si="457"/>
        <v/>
      </c>
      <c r="AV833" s="247" t="str">
        <f t="shared" si="458"/>
        <v/>
      </c>
    </row>
    <row r="834" spans="1:48" ht="36" x14ac:dyDescent="0.2">
      <c r="A834" s="450" t="s">
        <v>277</v>
      </c>
      <c r="B834" s="429" t="s">
        <v>1959</v>
      </c>
      <c r="C834" s="430" t="s">
        <v>2792</v>
      </c>
      <c r="D834" s="1349" t="s">
        <v>6403</v>
      </c>
      <c r="E834" s="1350" t="s">
        <v>4333</v>
      </c>
      <c r="F834" s="1350" t="s">
        <v>1887</v>
      </c>
      <c r="G834" s="1351" t="s">
        <v>3829</v>
      </c>
      <c r="H834" s="1342" t="s">
        <v>2317</v>
      </c>
      <c r="I834" s="432" t="s">
        <v>2310</v>
      </c>
      <c r="J834" s="431"/>
      <c r="K834" s="431"/>
      <c r="L834" s="431"/>
      <c r="M834" s="433" t="s">
        <v>1880</v>
      </c>
      <c r="N834" s="434"/>
      <c r="O834" s="1743" t="str">
        <f>VLOOKUP(B834,code_famille_scénario,2)&amp;VLOOKUP(C834,code_actif,2)&amp;" due "&amp;VLOOKUP(I834,code_event,2)</f>
        <v>Non conformité à la législation ou aux réglements relatifs à la vérification de la comptabilité informatisée due à la non application de procédures, par manque de moyens</v>
      </c>
      <c r="P834" s="435">
        <v>1</v>
      </c>
      <c r="Q834" s="1595" t="s">
        <v>6403</v>
      </c>
      <c r="R834" s="1595" t="s">
        <v>6403</v>
      </c>
      <c r="S834" s="1595" t="str">
        <f>Classif!C33</f>
        <v/>
      </c>
      <c r="T834" s="1595">
        <f>VLOOKUP(H834&amp;"."&amp;I834,Tab_event,4)</f>
        <v>2</v>
      </c>
      <c r="U834" s="1744" t="str">
        <f>IF(AND(NOT(S834=""),NOT(T834="")),INDEX(base_g,5-S834,T834),"")</f>
        <v/>
      </c>
      <c r="V834" s="1745">
        <v>1</v>
      </c>
      <c r="W834" s="1745">
        <f>S13C04</f>
        <v>1</v>
      </c>
      <c r="X834" s="1745">
        <v>1</v>
      </c>
      <c r="Y834" s="1745">
        <v>1</v>
      </c>
      <c r="Z834" s="1746">
        <v>1</v>
      </c>
      <c r="AA834" s="1747"/>
      <c r="AB834" s="1748"/>
      <c r="AC834" s="1748"/>
      <c r="AD834" s="1595" t="str">
        <f t="shared" si="459"/>
        <v/>
      </c>
      <c r="AE834" s="1595">
        <f>IF(OR(Q834="",T834=""),"",IF(Q834="A",INDEX(base_p,4,W834+7*(T834-1)),IF(Q834="E",INDEX(base_p,15,W834+7*(T834-1)),INDEX(base_p,27-V834,W834+7*(T834-1)))))</f>
        <v>2</v>
      </c>
      <c r="AF834" s="1595" t="str">
        <f>IF(AT834=1,IF(IndG=1,U834,IF(AND(OR(NOT(AD834=""),NOT(AB834="")),OR(NOT(AE834=""),NOT(AC834="")),AT834=1),INDEX(base_g,5-IF(AB834="",AD834,AB834),IF(AC834="",AE834,AC834)),"")),0)</f>
        <v/>
      </c>
      <c r="AG834" s="1748"/>
      <c r="AH834" s="1749" t="str">
        <f t="shared" si="460"/>
        <v/>
      </c>
      <c r="AI834" s="1615"/>
      <c r="AJ834" s="1616" t="s">
        <v>3432</v>
      </c>
      <c r="AK834" s="1618"/>
      <c r="AL834" s="1619"/>
      <c r="AM834" s="247" t="str">
        <f t="shared" si="453"/>
        <v/>
      </c>
      <c r="AN834" s="247" t="str">
        <f t="shared" si="454"/>
        <v/>
      </c>
      <c r="AO834" s="247" t="str">
        <f t="shared" si="455"/>
        <v/>
      </c>
      <c r="AP834" s="247" t="str">
        <f t="shared" si="456"/>
        <v/>
      </c>
      <c r="AQ834" s="42">
        <f>VLOOKUP(LEFT(C834,3),Tab_classif_conf,6)</f>
        <v>1</v>
      </c>
      <c r="AR834" s="42">
        <f>VLOOKUP(G834,select_vul_proc,2)</f>
        <v>1</v>
      </c>
      <c r="AS834" s="42">
        <f>VLOOKUP(H834&amp;"."&amp;I834,select_men,5)</f>
        <v>1</v>
      </c>
      <c r="AT834" s="42">
        <f>P834*AQ834*AR834*AS834</f>
        <v>1</v>
      </c>
      <c r="AU834" s="247" t="str">
        <f t="shared" si="457"/>
        <v/>
      </c>
      <c r="AV834" s="247" t="str">
        <f t="shared" si="458"/>
        <v/>
      </c>
    </row>
    <row r="835" spans="1:48" ht="36" x14ac:dyDescent="0.2">
      <c r="A835" s="450" t="s">
        <v>278</v>
      </c>
      <c r="B835" s="429" t="s">
        <v>1959</v>
      </c>
      <c r="C835" s="430" t="s">
        <v>2792</v>
      </c>
      <c r="D835" s="1349" t="s">
        <v>6403</v>
      </c>
      <c r="E835" s="1350" t="s">
        <v>4333</v>
      </c>
      <c r="F835" s="1350" t="s">
        <v>1887</v>
      </c>
      <c r="G835" s="1351" t="s">
        <v>3829</v>
      </c>
      <c r="H835" s="1342" t="s">
        <v>2317</v>
      </c>
      <c r="I835" s="432" t="s">
        <v>2311</v>
      </c>
      <c r="J835" s="431"/>
      <c r="K835" s="431"/>
      <c r="L835" s="431"/>
      <c r="M835" s="433" t="s">
        <v>1880</v>
      </c>
      <c r="N835" s="434"/>
      <c r="O835" s="1743" t="str">
        <f>VLOOKUP(B835,code_famille_scénario,2)&amp;VLOOKUP(C835,code_actif,2)&amp;" due "&amp;VLOOKUP(I835,code_event,2)</f>
        <v>Non conformité à la législation ou aux réglements relatifs à la vérification de la comptabilité informatisée due à la non application de procédures, par méconnaissance</v>
      </c>
      <c r="P835" s="435">
        <v>1</v>
      </c>
      <c r="Q835" s="1595" t="s">
        <v>6403</v>
      </c>
      <c r="R835" s="1595" t="s">
        <v>6403</v>
      </c>
      <c r="S835" s="1595" t="str">
        <f>Classif!C33</f>
        <v/>
      </c>
      <c r="T835" s="1595">
        <f>VLOOKUP(H835&amp;"."&amp;I835,Tab_event,4)</f>
        <v>2</v>
      </c>
      <c r="U835" s="1744" t="str">
        <f>IF(AND(NOT(S835=""),NOT(T835="")),INDEX(base_g,5-S835,T835),"")</f>
        <v/>
      </c>
      <c r="V835" s="1745">
        <v>1</v>
      </c>
      <c r="W835" s="1745">
        <f>S13C03</f>
        <v>1</v>
      </c>
      <c r="X835" s="1745">
        <v>1</v>
      </c>
      <c r="Y835" s="1745">
        <v>1</v>
      </c>
      <c r="Z835" s="1746">
        <v>1</v>
      </c>
      <c r="AA835" s="1747"/>
      <c r="AB835" s="1748"/>
      <c r="AC835" s="1748"/>
      <c r="AD835" s="1595" t="str">
        <f t="shared" si="459"/>
        <v/>
      </c>
      <c r="AE835" s="1595">
        <f>IF(OR(Q835="",T835=""),"",IF(Q835="A",INDEX(base_p,4,W835+7*(T835-1)),IF(Q835="E",INDEX(base_p,15,W835+7*(T835-1)),INDEX(base_p,27-V835,W835+7*(T835-1)))))</f>
        <v>2</v>
      </c>
      <c r="AF835" s="1595" t="str">
        <f>IF(AT835=1,IF(IndG=1,U835,IF(AND(OR(NOT(AD835=""),NOT(AB835="")),OR(NOT(AE835=""),NOT(AC835="")),AT835=1),INDEX(base_g,5-IF(AB835="",AD835,AB835),IF(AC835="",AE835,AC835)),"")),0)</f>
        <v/>
      </c>
      <c r="AG835" s="1748"/>
      <c r="AH835" s="1749" t="str">
        <f t="shared" si="460"/>
        <v/>
      </c>
      <c r="AI835" s="1615"/>
      <c r="AJ835" s="1616" t="s">
        <v>3373</v>
      </c>
      <c r="AK835" s="1618"/>
      <c r="AL835" s="1619"/>
      <c r="AM835" s="247" t="str">
        <f t="shared" si="453"/>
        <v/>
      </c>
      <c r="AN835" s="247" t="str">
        <f t="shared" si="454"/>
        <v/>
      </c>
      <c r="AO835" s="247" t="str">
        <f t="shared" si="455"/>
        <v/>
      </c>
      <c r="AP835" s="247" t="str">
        <f t="shared" si="456"/>
        <v/>
      </c>
      <c r="AQ835" s="42">
        <f>VLOOKUP(LEFT(C835,3),Tab_classif_conf,6)</f>
        <v>1</v>
      </c>
      <c r="AR835" s="42">
        <f>VLOOKUP(G835,select_vul_proc,2)</f>
        <v>1</v>
      </c>
      <c r="AS835" s="42">
        <f>VLOOKUP(H835&amp;"."&amp;I835,select_men,5)</f>
        <v>1</v>
      </c>
      <c r="AT835" s="42">
        <f>P835*AQ835*AR835*AS835</f>
        <v>1</v>
      </c>
      <c r="AU835" s="247" t="str">
        <f t="shared" si="457"/>
        <v/>
      </c>
      <c r="AV835" s="247" t="str">
        <f t="shared" si="458"/>
        <v/>
      </c>
    </row>
    <row r="836" spans="1:48" ht="36" x14ac:dyDescent="0.2">
      <c r="A836" s="450" t="s">
        <v>279</v>
      </c>
      <c r="B836" s="429" t="s">
        <v>1959</v>
      </c>
      <c r="C836" s="430" t="s">
        <v>2792</v>
      </c>
      <c r="D836" s="1349" t="s">
        <v>6403</v>
      </c>
      <c r="E836" s="1350" t="s">
        <v>4333</v>
      </c>
      <c r="F836" s="1350" t="s">
        <v>1887</v>
      </c>
      <c r="G836" s="1351" t="s">
        <v>3829</v>
      </c>
      <c r="H836" s="1342" t="s">
        <v>2317</v>
      </c>
      <c r="I836" s="432" t="s">
        <v>2312</v>
      </c>
      <c r="J836" s="431"/>
      <c r="K836" s="431"/>
      <c r="L836" s="431"/>
      <c r="M836" s="433" t="s">
        <v>1880</v>
      </c>
      <c r="N836" s="434"/>
      <c r="O836" s="1743" t="str">
        <f>VLOOKUP(B836,code_famille_scénario,2)&amp;VLOOKUP(C836,code_actif,2)&amp;" due "&amp;VLOOKUP(I836,code_event,2)</f>
        <v>Non conformité à la législation ou aux réglements relatifs à la vérification de la comptabilité informatisée due à la non application volontaire de procédures</v>
      </c>
      <c r="P836" s="435">
        <v>1</v>
      </c>
      <c r="Q836" s="1595" t="s">
        <v>1299</v>
      </c>
      <c r="R836" s="1595" t="s">
        <v>6403</v>
      </c>
      <c r="S836" s="1595" t="str">
        <f>Classif!C33</f>
        <v/>
      </c>
      <c r="T836" s="1595">
        <f>VLOOKUP(H836&amp;"."&amp;I836,Tab_event,4)</f>
        <v>2</v>
      </c>
      <c r="U836" s="1744" t="str">
        <f>IF(AND(NOT(S836=""),NOT(T836="")),INDEX(base_g,5-S836,T836),"")</f>
        <v/>
      </c>
      <c r="V836" s="1745">
        <f>S13C05</f>
        <v>1</v>
      </c>
      <c r="W836" s="1745">
        <v>1</v>
      </c>
      <c r="X836" s="1745">
        <v>1</v>
      </c>
      <c r="Y836" s="1745">
        <v>1</v>
      </c>
      <c r="Z836" s="1746">
        <v>1</v>
      </c>
      <c r="AA836" s="1747"/>
      <c r="AB836" s="1748"/>
      <c r="AC836" s="1748"/>
      <c r="AD836" s="1595" t="str">
        <f t="shared" si="459"/>
        <v/>
      </c>
      <c r="AE836" s="1595">
        <f>IF(OR(Q836="",T836=""),"",IF(Q836="A",INDEX(base_p,4,W836+7*(T836-1)),IF(Q836="E",INDEX(base_p,15,W836+7*(T836-1)),INDEX(base_p,27-V836,W836+7*(T836-1)))))</f>
        <v>2</v>
      </c>
      <c r="AF836" s="1595" t="str">
        <f>IF(AT836=1,IF(IndG=1,U836,IF(AND(OR(NOT(AD836=""),NOT(AB836="")),OR(NOT(AE836=""),NOT(AC836="")),AT836=1),INDEX(base_g,5-IF(AB836="",AD836,AB836),IF(AC836="",AE836,AC836)),"")),0)</f>
        <v/>
      </c>
      <c r="AG836" s="1748"/>
      <c r="AH836" s="1749" t="str">
        <f t="shared" si="460"/>
        <v/>
      </c>
      <c r="AI836" s="1620" t="s">
        <v>3433</v>
      </c>
      <c r="AJ836" s="1616"/>
      <c r="AK836" s="1618"/>
      <c r="AL836" s="1619"/>
      <c r="AM836" s="247" t="str">
        <f t="shared" si="453"/>
        <v/>
      </c>
      <c r="AN836" s="247" t="str">
        <f t="shared" si="454"/>
        <v/>
      </c>
      <c r="AO836" s="247" t="str">
        <f t="shared" si="455"/>
        <v/>
      </c>
      <c r="AP836" s="247" t="str">
        <f t="shared" si="456"/>
        <v/>
      </c>
      <c r="AQ836" s="42">
        <f>VLOOKUP(LEFT(C836,3),Tab_classif_conf,6)</f>
        <v>1</v>
      </c>
      <c r="AR836" s="42">
        <f>VLOOKUP(G836,select_vul_proc,2)</f>
        <v>1</v>
      </c>
      <c r="AS836" s="42">
        <f>VLOOKUP(H836&amp;"."&amp;I836,select_men,5)</f>
        <v>1</v>
      </c>
      <c r="AT836" s="42">
        <f>P836*AQ836*AR836*AS836</f>
        <v>1</v>
      </c>
      <c r="AU836" s="247" t="str">
        <f t="shared" si="457"/>
        <v/>
      </c>
      <c r="AV836" s="247" t="str">
        <f t="shared" si="458"/>
        <v/>
      </c>
    </row>
    <row r="837" spans="1:48" ht="15" x14ac:dyDescent="0.2">
      <c r="A837" s="456" t="s">
        <v>4338</v>
      </c>
      <c r="B837" s="457"/>
      <c r="C837" s="423" t="s">
        <v>4902</v>
      </c>
      <c r="D837" s="1356"/>
      <c r="E837" s="1357"/>
      <c r="F837" s="1357"/>
      <c r="G837" s="1360"/>
      <c r="H837" s="1345"/>
      <c r="I837" s="459"/>
      <c r="J837" s="458"/>
      <c r="K837" s="458"/>
      <c r="L837" s="458"/>
      <c r="M837" s="460"/>
      <c r="N837" s="461"/>
      <c r="O837" s="1761"/>
      <c r="P837" s="435"/>
      <c r="Q837" s="1595"/>
      <c r="R837" s="1595"/>
      <c r="S837" s="1753"/>
      <c r="T837" s="1595"/>
      <c r="U837" s="1744"/>
      <c r="V837" s="1754"/>
      <c r="W837" s="1754"/>
      <c r="X837" s="1754"/>
      <c r="Y837" s="1754"/>
      <c r="Z837" s="1762"/>
      <c r="AA837" s="1763"/>
      <c r="AB837" s="1748"/>
      <c r="AC837" s="1748"/>
      <c r="AD837" s="1595"/>
      <c r="AE837" s="1753"/>
      <c r="AF837" s="1595"/>
      <c r="AG837" s="1748"/>
      <c r="AH837" s="1749"/>
      <c r="AI837" s="1627"/>
      <c r="AJ837" s="1628"/>
      <c r="AK837" s="1628"/>
      <c r="AL837" s="1629"/>
      <c r="AM837" s="247" t="str">
        <f t="shared" si="453"/>
        <v/>
      </c>
      <c r="AN837" s="247" t="str">
        <f t="shared" si="454"/>
        <v/>
      </c>
      <c r="AO837" s="247" t="str">
        <f t="shared" si="455"/>
        <v/>
      </c>
      <c r="AP837" s="247" t="str">
        <f t="shared" si="456"/>
        <v/>
      </c>
      <c r="AU837" s="247" t="str">
        <f t="shared" si="457"/>
        <v/>
      </c>
      <c r="AV837" s="247" t="str">
        <f t="shared" si="458"/>
        <v/>
      </c>
    </row>
    <row r="838" spans="1:48" ht="36" x14ac:dyDescent="0.2">
      <c r="A838" s="450" t="s">
        <v>280</v>
      </c>
      <c r="B838" s="429" t="s">
        <v>1959</v>
      </c>
      <c r="C838" s="430" t="s">
        <v>2793</v>
      </c>
      <c r="D838" s="1349" t="s">
        <v>6403</v>
      </c>
      <c r="E838" s="1350" t="s">
        <v>4333</v>
      </c>
      <c r="F838" s="1350" t="s">
        <v>1887</v>
      </c>
      <c r="G838" s="1351" t="s">
        <v>3829</v>
      </c>
      <c r="H838" s="1342" t="s">
        <v>2317</v>
      </c>
      <c r="I838" s="432" t="s">
        <v>2309</v>
      </c>
      <c r="J838" s="431"/>
      <c r="K838" s="431"/>
      <c r="L838" s="431"/>
      <c r="M838" s="433" t="s">
        <v>1880</v>
      </c>
      <c r="N838" s="434"/>
      <c r="O838" s="1743" t="str">
        <f>VLOOKUP(B838,code_famille_scénario,2)&amp;VLOOKUP(C838,code_actif,2)&amp;" due "&amp;VLOOKUP(I838,code_event,2)</f>
        <v>Non conformité à la législation ou aux réglements relatifs à la protection de la propriété intellectuelle due à l'application de procédures inadéquates</v>
      </c>
      <c r="P838" s="435">
        <v>1</v>
      </c>
      <c r="Q838" s="1595" t="s">
        <v>6403</v>
      </c>
      <c r="R838" s="1595" t="s">
        <v>6403</v>
      </c>
      <c r="S838" s="1595" t="str">
        <f>Classif!C34</f>
        <v/>
      </c>
      <c r="T838" s="1595">
        <f>VLOOKUP(H838&amp;"."&amp;I838,Tab_event,4)</f>
        <v>2</v>
      </c>
      <c r="U838" s="1744" t="str">
        <f>IF(AND(NOT(S838=""),NOT(T838="")),INDEX(base_g,5-S838,T838),"")</f>
        <v/>
      </c>
      <c r="V838" s="1745">
        <v>1</v>
      </c>
      <c r="W838" s="1745">
        <f>MIN(S11A03,S13D01)</f>
        <v>1</v>
      </c>
      <c r="X838" s="1745">
        <v>1</v>
      </c>
      <c r="Y838" s="1745">
        <v>1</v>
      </c>
      <c r="Z838" s="1746">
        <v>1</v>
      </c>
      <c r="AA838" s="1747"/>
      <c r="AB838" s="1748"/>
      <c r="AC838" s="1748"/>
      <c r="AD838" s="1595" t="str">
        <f t="shared" si="459"/>
        <v/>
      </c>
      <c r="AE838" s="1595">
        <f>IF(OR(Q838="",T838=""),"",IF(Q838="A",INDEX(base_p,4,W838+7*(T838-1)),IF(Q838="E",INDEX(base_p,15,W838+7*(T838-1)),INDEX(base_p,27-V838,W838+7*(T838-1)))))</f>
        <v>2</v>
      </c>
      <c r="AF838" s="1595" t="str">
        <f>IF(AT838=1,IF(IndG=1,U838,IF(AND(OR(NOT(AD838=""),NOT(AB838="")),OR(NOT(AE838=""),NOT(AC838="")),AT838=1),INDEX(base_g,5-IF(AB838="",AD838,AB838),IF(AC838="",AE838,AC838)),"")),0)</f>
        <v/>
      </c>
      <c r="AG838" s="1748"/>
      <c r="AH838" s="1749" t="str">
        <f t="shared" si="460"/>
        <v/>
      </c>
      <c r="AI838" s="1615"/>
      <c r="AJ838" s="1616" t="s">
        <v>5751</v>
      </c>
      <c r="AK838" s="1618"/>
      <c r="AL838" s="1619"/>
      <c r="AM838" s="247" t="str">
        <f t="shared" ref="AM838:AM851" si="488">IF($AH838=1,$H838&amp;"."&amp;$I838&amp;$AH838,"")</f>
        <v/>
      </c>
      <c r="AN838" s="247" t="str">
        <f t="shared" ref="AN838:AN851" si="489">IF($AH838=2,$H838&amp;"."&amp;$I838&amp;$AH838,"")</f>
        <v/>
      </c>
      <c r="AO838" s="247" t="str">
        <f t="shared" ref="AO838:AO851" si="490">IF($AH838=3,$H838&amp;"."&amp;$I838&amp;$AH838,"")</f>
        <v/>
      </c>
      <c r="AP838" s="247" t="str">
        <f t="shared" ref="AP838:AP851" si="491">IF($AH838=4,$H838&amp;"."&amp;$I838&amp;$AH838,"")</f>
        <v/>
      </c>
      <c r="AQ838" s="42">
        <f>VLOOKUP(LEFT(C838,3),Tab_classif_conf,6)</f>
        <v>1</v>
      </c>
      <c r="AR838" s="42">
        <f>VLOOKUP(G838,select_vul_proc,2)</f>
        <v>1</v>
      </c>
      <c r="AS838" s="42">
        <f>VLOOKUP(H838&amp;"."&amp;I838,select_men,5)</f>
        <v>1</v>
      </c>
      <c r="AT838" s="42">
        <f>P838*AQ838*AR838*AS838</f>
        <v>1</v>
      </c>
      <c r="AU838" s="247" t="str">
        <f t="shared" ref="AU838:AU851" si="492">IF(S838="","",IF(T838="","",10*S838+T838))</f>
        <v/>
      </c>
      <c r="AV838" s="247" t="str">
        <f t="shared" ref="AV838:AV851" si="493">IF(AD838="","",IF(AE838="","",10*AD838+AE838))</f>
        <v/>
      </c>
    </row>
    <row r="839" spans="1:48" ht="36" x14ac:dyDescent="0.2">
      <c r="A839" s="450" t="s">
        <v>100</v>
      </c>
      <c r="B839" s="429" t="s">
        <v>1959</v>
      </c>
      <c r="C839" s="430" t="s">
        <v>2793</v>
      </c>
      <c r="D839" s="1349" t="s">
        <v>6403</v>
      </c>
      <c r="E839" s="1350" t="s">
        <v>4333</v>
      </c>
      <c r="F839" s="1350" t="s">
        <v>1887</v>
      </c>
      <c r="G839" s="1351" t="s">
        <v>3829</v>
      </c>
      <c r="H839" s="1342" t="s">
        <v>2317</v>
      </c>
      <c r="I839" s="432" t="s">
        <v>2310</v>
      </c>
      <c r="J839" s="431"/>
      <c r="K839" s="431"/>
      <c r="L839" s="431"/>
      <c r="M839" s="433" t="s">
        <v>1880</v>
      </c>
      <c r="N839" s="434"/>
      <c r="O839" s="1743" t="str">
        <f>VLOOKUP(B839,code_famille_scénario,2)&amp;VLOOKUP(C839,code_actif,2)&amp;" due "&amp;VLOOKUP(I839,code_event,2)</f>
        <v>Non conformité à la législation ou aux réglements relatifs à la protection de la propriété intellectuelle due à la non application de procédures, par manque de moyens</v>
      </c>
      <c r="P839" s="435">
        <v>1</v>
      </c>
      <c r="Q839" s="1595" t="s">
        <v>6403</v>
      </c>
      <c r="R839" s="1595" t="s">
        <v>6403</v>
      </c>
      <c r="S839" s="1595" t="str">
        <f>Classif!C34</f>
        <v/>
      </c>
      <c r="T839" s="1595">
        <f>VLOOKUP(H839&amp;"."&amp;I839,Tab_event,4)</f>
        <v>2</v>
      </c>
      <c r="U839" s="1744" t="str">
        <f>IF(AND(NOT(S839=""),NOT(T839="")),INDEX(base_g,5-S839,T839),"")</f>
        <v/>
      </c>
      <c r="V839" s="1745">
        <v>1</v>
      </c>
      <c r="W839" s="1745">
        <f>S13D03</f>
        <v>1</v>
      </c>
      <c r="X839" s="1745">
        <v>1</v>
      </c>
      <c r="Y839" s="1745">
        <v>1</v>
      </c>
      <c r="Z839" s="1746">
        <v>1</v>
      </c>
      <c r="AA839" s="1747"/>
      <c r="AB839" s="1748"/>
      <c r="AC839" s="1748"/>
      <c r="AD839" s="1595" t="str">
        <f t="shared" ref="AD839:AD851" si="494">IF(OR(R839="",S839=""),"",IF(R839="D",INDEX(base_i,IF(IF(AA839="",Z839,AA839)=0,4,5-X839),Y839+7*(S839-1)),IF(R839="I",INDEX(base_i,IF(IF(AA839="",Z839,AA839)=0,15,16-X839),Y839+7*(S839-1)),IF(R839="C",INDEX(base_i,IF(IF(AA839="",Z839,AA839)=0,26,27-X839),Y839+7*(S839-1)),INDEX(base_i,38-X839,Y839+7*(S839-1))))))</f>
        <v/>
      </c>
      <c r="AE839" s="1595">
        <f>IF(OR(Q839="",T839=""),"",IF(Q839="A",INDEX(base_p,4,W839+7*(T839-1)),IF(Q839="E",INDEX(base_p,15,W839+7*(T839-1)),INDEX(base_p,27-V839,W839+7*(T839-1)))))</f>
        <v>2</v>
      </c>
      <c r="AF839" s="1595" t="str">
        <f>IF(AT839=1,IF(IndG=1,U839,IF(AND(OR(NOT(AD839=""),NOT(AB839="")),OR(NOT(AE839=""),NOT(AC839="")),AT839=1),INDEX(base_g,5-IF(AB839="",AD839,AB839),IF(AC839="",AE839,AC839)),"")),0)</f>
        <v/>
      </c>
      <c r="AG839" s="1748"/>
      <c r="AH839" s="1749" t="str">
        <f t="shared" ref="AH839:AH851" si="495">IF(OR(AG839="A",AG839="a",AG839="T",AG839="t",AF839=""),"",AF839)</f>
        <v/>
      </c>
      <c r="AI839" s="1615"/>
      <c r="AJ839" s="1616" t="s">
        <v>2358</v>
      </c>
      <c r="AK839" s="1618"/>
      <c r="AL839" s="1619"/>
      <c r="AM839" s="247" t="str">
        <f t="shared" si="488"/>
        <v/>
      </c>
      <c r="AN839" s="247" t="str">
        <f t="shared" si="489"/>
        <v/>
      </c>
      <c r="AO839" s="247" t="str">
        <f t="shared" si="490"/>
        <v/>
      </c>
      <c r="AP839" s="247" t="str">
        <f t="shared" si="491"/>
        <v/>
      </c>
      <c r="AQ839" s="42">
        <f>VLOOKUP(LEFT(C839,3),Tab_classif_conf,6)</f>
        <v>1</v>
      </c>
      <c r="AR839" s="42">
        <f>VLOOKUP(G839,select_vul_proc,2)</f>
        <v>1</v>
      </c>
      <c r="AS839" s="42">
        <f>VLOOKUP(H839&amp;"."&amp;I839,select_men,5)</f>
        <v>1</v>
      </c>
      <c r="AT839" s="42">
        <f>P839*AQ839*AR839*AS839</f>
        <v>1</v>
      </c>
      <c r="AU839" s="247" t="str">
        <f t="shared" si="492"/>
        <v/>
      </c>
      <c r="AV839" s="247" t="str">
        <f t="shared" si="493"/>
        <v/>
      </c>
    </row>
    <row r="840" spans="1:48" ht="36" x14ac:dyDescent="0.2">
      <c r="A840" s="450" t="s">
        <v>101</v>
      </c>
      <c r="B840" s="429" t="s">
        <v>1959</v>
      </c>
      <c r="C840" s="430" t="s">
        <v>2793</v>
      </c>
      <c r="D840" s="1349" t="s">
        <v>6403</v>
      </c>
      <c r="E840" s="1350" t="s">
        <v>4333</v>
      </c>
      <c r="F840" s="1350" t="s">
        <v>1887</v>
      </c>
      <c r="G840" s="1351" t="s">
        <v>3829</v>
      </c>
      <c r="H840" s="1342" t="s">
        <v>2317</v>
      </c>
      <c r="I840" s="432" t="s">
        <v>2311</v>
      </c>
      <c r="J840" s="431"/>
      <c r="K840" s="431"/>
      <c r="L840" s="431"/>
      <c r="M840" s="433" t="s">
        <v>1880</v>
      </c>
      <c r="N840" s="434"/>
      <c r="O840" s="1743" t="str">
        <f>VLOOKUP(B840,code_famille_scénario,2)&amp;VLOOKUP(C840,code_actif,2)&amp;" due "&amp;VLOOKUP(I840,code_event,2)</f>
        <v>Non conformité à la législation ou aux réglements relatifs à la protection de la propriété intellectuelle due à la non application de procédures, par méconnaissance</v>
      </c>
      <c r="P840" s="435">
        <v>1</v>
      </c>
      <c r="Q840" s="1595" t="s">
        <v>6403</v>
      </c>
      <c r="R840" s="1595" t="s">
        <v>6403</v>
      </c>
      <c r="S840" s="1595" t="str">
        <f>Classif!C34</f>
        <v/>
      </c>
      <c r="T840" s="1595">
        <f>VLOOKUP(H840&amp;"."&amp;I840,Tab_event,4)</f>
        <v>2</v>
      </c>
      <c r="U840" s="1744" t="str">
        <f>IF(AND(NOT(S840=""),NOT(T840="")),INDEX(base_g,5-S840,T840),"")</f>
        <v/>
      </c>
      <c r="V840" s="1745">
        <v>1</v>
      </c>
      <c r="W840" s="1745">
        <f>S13D02</f>
        <v>1</v>
      </c>
      <c r="X840" s="1745">
        <v>1</v>
      </c>
      <c r="Y840" s="1745">
        <v>1</v>
      </c>
      <c r="Z840" s="1746">
        <v>1</v>
      </c>
      <c r="AA840" s="1747"/>
      <c r="AB840" s="1748"/>
      <c r="AC840" s="1748"/>
      <c r="AD840" s="1595" t="str">
        <f t="shared" si="494"/>
        <v/>
      </c>
      <c r="AE840" s="1595">
        <f>IF(OR(Q840="",T840=""),"",IF(Q840="A",INDEX(base_p,4,W840+7*(T840-1)),IF(Q840="E",INDEX(base_p,15,W840+7*(T840-1)),INDEX(base_p,27-V840,W840+7*(T840-1)))))</f>
        <v>2</v>
      </c>
      <c r="AF840" s="1595" t="str">
        <f>IF(AT840=1,IF(IndG=1,U840,IF(AND(OR(NOT(AD840=""),NOT(AB840="")),OR(NOT(AE840=""),NOT(AC840="")),AT840=1),INDEX(base_g,5-IF(AB840="",AD840,AB840),IF(AC840="",AE840,AC840)),"")),0)</f>
        <v/>
      </c>
      <c r="AG840" s="1748"/>
      <c r="AH840" s="1749" t="str">
        <f t="shared" si="495"/>
        <v/>
      </c>
      <c r="AI840" s="1615"/>
      <c r="AJ840" s="1616" t="s">
        <v>3010</v>
      </c>
      <c r="AK840" s="1618"/>
      <c r="AL840" s="1619"/>
      <c r="AM840" s="247" t="str">
        <f t="shared" si="488"/>
        <v/>
      </c>
      <c r="AN840" s="247" t="str">
        <f t="shared" si="489"/>
        <v/>
      </c>
      <c r="AO840" s="247" t="str">
        <f t="shared" si="490"/>
        <v/>
      </c>
      <c r="AP840" s="247" t="str">
        <f t="shared" si="491"/>
        <v/>
      </c>
      <c r="AQ840" s="42">
        <f>VLOOKUP(LEFT(C840,3),Tab_classif_conf,6)</f>
        <v>1</v>
      </c>
      <c r="AR840" s="42">
        <f>VLOOKUP(G840,select_vul_proc,2)</f>
        <v>1</v>
      </c>
      <c r="AS840" s="42">
        <f>VLOOKUP(H840&amp;"."&amp;I840,select_men,5)</f>
        <v>1</v>
      </c>
      <c r="AT840" s="42">
        <f>P840*AQ840*AR840*AS840</f>
        <v>1</v>
      </c>
      <c r="AU840" s="247" t="str">
        <f t="shared" si="492"/>
        <v/>
      </c>
      <c r="AV840" s="247" t="str">
        <f t="shared" si="493"/>
        <v/>
      </c>
    </row>
    <row r="841" spans="1:48" ht="36" x14ac:dyDescent="0.2">
      <c r="A841" s="450" t="s">
        <v>102</v>
      </c>
      <c r="B841" s="429" t="s">
        <v>1959</v>
      </c>
      <c r="C841" s="430" t="s">
        <v>2793</v>
      </c>
      <c r="D841" s="1349" t="s">
        <v>6403</v>
      </c>
      <c r="E841" s="1350" t="s">
        <v>4333</v>
      </c>
      <c r="F841" s="1350" t="s">
        <v>1887</v>
      </c>
      <c r="G841" s="1351" t="s">
        <v>3829</v>
      </c>
      <c r="H841" s="1342" t="s">
        <v>2317</v>
      </c>
      <c r="I841" s="432" t="s">
        <v>2312</v>
      </c>
      <c r="J841" s="431"/>
      <c r="K841" s="431"/>
      <c r="L841" s="431"/>
      <c r="M841" s="433" t="s">
        <v>1880</v>
      </c>
      <c r="N841" s="434"/>
      <c r="O841" s="1743" t="str">
        <f>VLOOKUP(B841,code_famille_scénario,2)&amp;VLOOKUP(C841,code_actif,2)&amp;" due "&amp;VLOOKUP(I841,code_event,2)</f>
        <v>Non conformité à la législation ou aux réglements relatifs à la protection de la propriété intellectuelle due à la non application volontaire de procédures</v>
      </c>
      <c r="P841" s="435">
        <v>1</v>
      </c>
      <c r="Q841" s="1595" t="s">
        <v>1299</v>
      </c>
      <c r="R841" s="1595" t="s">
        <v>6403</v>
      </c>
      <c r="S841" s="1595" t="str">
        <f>Classif!C34</f>
        <v/>
      </c>
      <c r="T841" s="1595">
        <f>VLOOKUP(H841&amp;"."&amp;I841,Tab_event,4)</f>
        <v>2</v>
      </c>
      <c r="U841" s="1744" t="str">
        <f>IF(AND(NOT(S841=""),NOT(T841="")),INDEX(base_g,5-S841,T841),"")</f>
        <v/>
      </c>
      <c r="V841" s="1745">
        <f>MIN(S11A03,S13D04)</f>
        <v>1</v>
      </c>
      <c r="W841" s="1745">
        <v>1</v>
      </c>
      <c r="X841" s="1745">
        <v>1</v>
      </c>
      <c r="Y841" s="1745">
        <v>1</v>
      </c>
      <c r="Z841" s="1746">
        <v>1</v>
      </c>
      <c r="AA841" s="1747"/>
      <c r="AB841" s="1748"/>
      <c r="AC841" s="1748"/>
      <c r="AD841" s="1595" t="str">
        <f t="shared" si="494"/>
        <v/>
      </c>
      <c r="AE841" s="1595">
        <f>IF(OR(Q841="",T841=""),"",IF(Q841="A",INDEX(base_p,4,W841+7*(T841-1)),IF(Q841="E",INDEX(base_p,15,W841+7*(T841-1)),INDEX(base_p,27-V841,W841+7*(T841-1)))))</f>
        <v>2</v>
      </c>
      <c r="AF841" s="1595" t="str">
        <f>IF(AT841=1,IF(IndG=1,U841,IF(AND(OR(NOT(AD841=""),NOT(AB841="")),OR(NOT(AE841=""),NOT(AC841="")),AT841=1),INDEX(base_g,5-IF(AB841="",AD841,AB841),IF(AC841="",AE841,AC841)),"")),0)</f>
        <v/>
      </c>
      <c r="AG841" s="1748"/>
      <c r="AH841" s="1749" t="str">
        <f t="shared" si="495"/>
        <v/>
      </c>
      <c r="AI841" s="1620" t="s">
        <v>5752</v>
      </c>
      <c r="AJ841" s="1616"/>
      <c r="AK841" s="1618"/>
      <c r="AL841" s="1619"/>
      <c r="AM841" s="247" t="str">
        <f t="shared" si="488"/>
        <v/>
      </c>
      <c r="AN841" s="247" t="str">
        <f t="shared" si="489"/>
        <v/>
      </c>
      <c r="AO841" s="247" t="str">
        <f t="shared" si="490"/>
        <v/>
      </c>
      <c r="AP841" s="247" t="str">
        <f t="shared" si="491"/>
        <v/>
      </c>
      <c r="AQ841" s="42">
        <f>VLOOKUP(LEFT(C841,3),Tab_classif_conf,6)</f>
        <v>1</v>
      </c>
      <c r="AR841" s="42">
        <f>VLOOKUP(G841,select_vul_proc,2)</f>
        <v>1</v>
      </c>
      <c r="AS841" s="42">
        <f>VLOOKUP(H841&amp;"."&amp;I841,select_men,5)</f>
        <v>1</v>
      </c>
      <c r="AT841" s="42">
        <f>P841*AQ841*AR841*AS841</f>
        <v>1</v>
      </c>
      <c r="AU841" s="247" t="str">
        <f t="shared" si="492"/>
        <v/>
      </c>
      <c r="AV841" s="247" t="str">
        <f t="shared" si="493"/>
        <v/>
      </c>
    </row>
    <row r="842" spans="1:48" ht="15" x14ac:dyDescent="0.2">
      <c r="A842" s="456" t="s">
        <v>4339</v>
      </c>
      <c r="B842" s="457"/>
      <c r="C842" s="423" t="s">
        <v>3794</v>
      </c>
      <c r="D842" s="1356"/>
      <c r="E842" s="1357"/>
      <c r="F842" s="1357"/>
      <c r="G842" s="1360"/>
      <c r="H842" s="1345"/>
      <c r="I842" s="459"/>
      <c r="J842" s="458"/>
      <c r="K842" s="458"/>
      <c r="L842" s="458"/>
      <c r="M842" s="460"/>
      <c r="N842" s="461"/>
      <c r="O842" s="1761"/>
      <c r="P842" s="435"/>
      <c r="Q842" s="1595"/>
      <c r="R842" s="1595"/>
      <c r="S842" s="1753"/>
      <c r="T842" s="1595"/>
      <c r="U842" s="1744"/>
      <c r="V842" s="1754"/>
      <c r="W842" s="1754"/>
      <c r="X842" s="1754"/>
      <c r="Y842" s="1754"/>
      <c r="Z842" s="1762"/>
      <c r="AA842" s="1763"/>
      <c r="AB842" s="1748"/>
      <c r="AC842" s="1748"/>
      <c r="AD842" s="1595"/>
      <c r="AE842" s="1753"/>
      <c r="AF842" s="1595"/>
      <c r="AG842" s="1748"/>
      <c r="AH842" s="1749"/>
      <c r="AI842" s="1627"/>
      <c r="AJ842" s="1628"/>
      <c r="AK842" s="1628"/>
      <c r="AL842" s="1629"/>
      <c r="AM842" s="247" t="str">
        <f t="shared" si="488"/>
        <v/>
      </c>
      <c r="AN842" s="247" t="str">
        <f t="shared" si="489"/>
        <v/>
      </c>
      <c r="AO842" s="247" t="str">
        <f t="shared" si="490"/>
        <v/>
      </c>
      <c r="AP842" s="247" t="str">
        <f t="shared" si="491"/>
        <v/>
      </c>
      <c r="AU842" s="247" t="str">
        <f t="shared" si="492"/>
        <v/>
      </c>
      <c r="AV842" s="247" t="str">
        <f t="shared" si="493"/>
        <v/>
      </c>
    </row>
    <row r="843" spans="1:48" ht="36" x14ac:dyDescent="0.2">
      <c r="A843" s="450" t="s">
        <v>103</v>
      </c>
      <c r="B843" s="429" t="s">
        <v>1959</v>
      </c>
      <c r="C843" s="430" t="s">
        <v>5578</v>
      </c>
      <c r="D843" s="1349" t="s">
        <v>6403</v>
      </c>
      <c r="E843" s="1350" t="s">
        <v>4333</v>
      </c>
      <c r="F843" s="1350" t="s">
        <v>1887</v>
      </c>
      <c r="G843" s="1351" t="s">
        <v>3829</v>
      </c>
      <c r="H843" s="1342" t="s">
        <v>2317</v>
      </c>
      <c r="I843" s="432" t="s">
        <v>2309</v>
      </c>
      <c r="J843" s="431"/>
      <c r="K843" s="431"/>
      <c r="L843" s="431"/>
      <c r="M843" s="433" t="s">
        <v>1880</v>
      </c>
      <c r="N843" s="434"/>
      <c r="O843" s="1743" t="str">
        <f>VLOOKUP(B843,code_famille_scénario,2)&amp;VLOOKUP(C843,code_actif,2)&amp;" due "&amp;VLOOKUP(I843,code_event,2)</f>
        <v>Non conformité à la législation ou aux réglements relatifs à la protection des systèmes informatisés due à l'application de procédures inadéquates</v>
      </c>
      <c r="P843" s="435">
        <v>1</v>
      </c>
      <c r="Q843" s="1595" t="s">
        <v>6403</v>
      </c>
      <c r="R843" s="1595" t="s">
        <v>6403</v>
      </c>
      <c r="S843" s="1595" t="str">
        <f>Classif!C35</f>
        <v/>
      </c>
      <c r="T843" s="1595">
        <f>VLOOKUP(H843&amp;"."&amp;I843,Tab_event,4)</f>
        <v>2</v>
      </c>
      <c r="U843" s="1744" t="str">
        <f>IF(AND(NOT(S843=""),NOT(T843="")),INDEX(base_g,5-S843,T843),"")</f>
        <v/>
      </c>
      <c r="V843" s="1745">
        <v>1</v>
      </c>
      <c r="W843" s="1745">
        <f>S13E01</f>
        <v>1</v>
      </c>
      <c r="X843" s="1745">
        <v>1</v>
      </c>
      <c r="Y843" s="1745">
        <v>1</v>
      </c>
      <c r="Z843" s="1746">
        <v>1</v>
      </c>
      <c r="AA843" s="1747"/>
      <c r="AB843" s="1748"/>
      <c r="AC843" s="1748"/>
      <c r="AD843" s="1595" t="str">
        <f t="shared" si="494"/>
        <v/>
      </c>
      <c r="AE843" s="1595">
        <f>IF(OR(Q843="",T843=""),"",IF(Q843="A",INDEX(base_p,4,W843+7*(T843-1)),IF(Q843="E",INDEX(base_p,15,W843+7*(T843-1)),INDEX(base_p,27-V843,W843+7*(T843-1)))))</f>
        <v>2</v>
      </c>
      <c r="AF843" s="1595" t="str">
        <f>IF(AT843=1,IF(IndG=1,U843,IF(AND(OR(NOT(AD843=""),NOT(AB843="")),OR(NOT(AE843=""),NOT(AC843="")),AT843=1),INDEX(base_g,5-IF(AB843="",AD843,AB843),IF(AC843="",AE843,AC843)),"")),0)</f>
        <v/>
      </c>
      <c r="AG843" s="1748"/>
      <c r="AH843" s="1749" t="str">
        <f t="shared" si="495"/>
        <v/>
      </c>
      <c r="AI843" s="1615"/>
      <c r="AJ843" s="1616" t="s">
        <v>3674</v>
      </c>
      <c r="AK843" s="1618"/>
      <c r="AL843" s="1619"/>
      <c r="AM843" s="247" t="str">
        <f t="shared" si="488"/>
        <v/>
      </c>
      <c r="AN843" s="247" t="str">
        <f t="shared" si="489"/>
        <v/>
      </c>
      <c r="AO843" s="247" t="str">
        <f t="shared" si="490"/>
        <v/>
      </c>
      <c r="AP843" s="247" t="str">
        <f t="shared" si="491"/>
        <v/>
      </c>
      <c r="AQ843" s="42">
        <f>VLOOKUP(LEFT(C843,3),Tab_classif_conf,6)</f>
        <v>1</v>
      </c>
      <c r="AR843" s="42">
        <f>VLOOKUP(G843,select_vul_proc,2)</f>
        <v>1</v>
      </c>
      <c r="AS843" s="42">
        <f>VLOOKUP(H843&amp;"."&amp;I843,select_men,5)</f>
        <v>1</v>
      </c>
      <c r="AT843" s="42">
        <f>P843*AQ843*AR843*AS843</f>
        <v>1</v>
      </c>
      <c r="AU843" s="247" t="str">
        <f t="shared" si="492"/>
        <v/>
      </c>
      <c r="AV843" s="247" t="str">
        <f t="shared" si="493"/>
        <v/>
      </c>
    </row>
    <row r="844" spans="1:48" ht="36" x14ac:dyDescent="0.2">
      <c r="A844" s="450" t="s">
        <v>104</v>
      </c>
      <c r="B844" s="429" t="s">
        <v>1959</v>
      </c>
      <c r="C844" s="430" t="s">
        <v>5578</v>
      </c>
      <c r="D844" s="1349" t="s">
        <v>6403</v>
      </c>
      <c r="E844" s="1350" t="s">
        <v>4333</v>
      </c>
      <c r="F844" s="1350" t="s">
        <v>1887</v>
      </c>
      <c r="G844" s="1351" t="s">
        <v>3829</v>
      </c>
      <c r="H844" s="1342" t="s">
        <v>2317</v>
      </c>
      <c r="I844" s="432" t="s">
        <v>2310</v>
      </c>
      <c r="J844" s="431"/>
      <c r="K844" s="431"/>
      <c r="L844" s="431"/>
      <c r="M844" s="433" t="s">
        <v>1880</v>
      </c>
      <c r="N844" s="434"/>
      <c r="O844" s="1743" t="str">
        <f>VLOOKUP(B844,code_famille_scénario,2)&amp;VLOOKUP(C844,code_actif,2)&amp;" due "&amp;VLOOKUP(I844,code_event,2)</f>
        <v>Non conformité à la législation ou aux réglements relatifs à la protection des systèmes informatisés due à la non application de procédures, par manque de moyens</v>
      </c>
      <c r="P844" s="435">
        <v>1</v>
      </c>
      <c r="Q844" s="1595" t="s">
        <v>6403</v>
      </c>
      <c r="R844" s="1595" t="s">
        <v>6403</v>
      </c>
      <c r="S844" s="1595" t="str">
        <f>Classif!C35</f>
        <v/>
      </c>
      <c r="T844" s="1595">
        <f>VLOOKUP(H844&amp;"."&amp;I844,Tab_event,4)</f>
        <v>2</v>
      </c>
      <c r="U844" s="1744" t="str">
        <f>IF(AND(NOT(S844=""),NOT(T844="")),INDEX(base_g,5-S844,T844),"")</f>
        <v/>
      </c>
      <c r="V844" s="1745">
        <v>1</v>
      </c>
      <c r="W844" s="1745">
        <f>S13E03</f>
        <v>1</v>
      </c>
      <c r="X844" s="1745">
        <v>1</v>
      </c>
      <c r="Y844" s="1745">
        <v>1</v>
      </c>
      <c r="Z844" s="1746">
        <v>1</v>
      </c>
      <c r="AA844" s="1747"/>
      <c r="AB844" s="1748"/>
      <c r="AC844" s="1748"/>
      <c r="AD844" s="1595" t="str">
        <f t="shared" si="494"/>
        <v/>
      </c>
      <c r="AE844" s="1595">
        <f>IF(OR(Q844="",T844=""),"",IF(Q844="A",INDEX(base_p,4,W844+7*(T844-1)),IF(Q844="E",INDEX(base_p,15,W844+7*(T844-1)),INDEX(base_p,27-V844,W844+7*(T844-1)))))</f>
        <v>2</v>
      </c>
      <c r="AF844" s="1595" t="str">
        <f>IF(AT844=1,IF(IndG=1,U844,IF(AND(OR(NOT(AD844=""),NOT(AB844="")),OR(NOT(AE844=""),NOT(AC844="")),AT844=1),INDEX(base_g,5-IF(AB844="",AD844,AB844),IF(AC844="",AE844,AC844)),"")),0)</f>
        <v/>
      </c>
      <c r="AG844" s="1748"/>
      <c r="AH844" s="1749" t="str">
        <f t="shared" si="495"/>
        <v/>
      </c>
      <c r="AI844" s="1615"/>
      <c r="AJ844" s="1616" t="s">
        <v>1570</v>
      </c>
      <c r="AK844" s="1618"/>
      <c r="AL844" s="1619"/>
      <c r="AM844" s="247" t="str">
        <f t="shared" si="488"/>
        <v/>
      </c>
      <c r="AN844" s="247" t="str">
        <f t="shared" si="489"/>
        <v/>
      </c>
      <c r="AO844" s="247" t="str">
        <f t="shared" si="490"/>
        <v/>
      </c>
      <c r="AP844" s="247" t="str">
        <f t="shared" si="491"/>
        <v/>
      </c>
      <c r="AQ844" s="42">
        <f>VLOOKUP(LEFT(C844,3),Tab_classif_conf,6)</f>
        <v>1</v>
      </c>
      <c r="AR844" s="42">
        <f>VLOOKUP(G844,select_vul_proc,2)</f>
        <v>1</v>
      </c>
      <c r="AS844" s="42">
        <f>VLOOKUP(H844&amp;"."&amp;I844,select_men,5)</f>
        <v>1</v>
      </c>
      <c r="AT844" s="42">
        <f>P844*AQ844*AR844*AS844</f>
        <v>1</v>
      </c>
      <c r="AU844" s="247" t="str">
        <f t="shared" si="492"/>
        <v/>
      </c>
      <c r="AV844" s="247" t="str">
        <f t="shared" si="493"/>
        <v/>
      </c>
    </row>
    <row r="845" spans="1:48" ht="36" x14ac:dyDescent="0.2">
      <c r="A845" s="450" t="s">
        <v>105</v>
      </c>
      <c r="B845" s="429" t="s">
        <v>1959</v>
      </c>
      <c r="C845" s="430" t="s">
        <v>5578</v>
      </c>
      <c r="D845" s="1349" t="s">
        <v>6403</v>
      </c>
      <c r="E845" s="1350" t="s">
        <v>4333</v>
      </c>
      <c r="F845" s="1350" t="s">
        <v>1887</v>
      </c>
      <c r="G845" s="1351" t="s">
        <v>3829</v>
      </c>
      <c r="H845" s="1342" t="s">
        <v>2317</v>
      </c>
      <c r="I845" s="432" t="s">
        <v>2311</v>
      </c>
      <c r="J845" s="431"/>
      <c r="K845" s="431"/>
      <c r="L845" s="431"/>
      <c r="M845" s="433" t="s">
        <v>1880</v>
      </c>
      <c r="N845" s="434"/>
      <c r="O845" s="1743" t="str">
        <f>VLOOKUP(B845,code_famille_scénario,2)&amp;VLOOKUP(C845,code_actif,2)&amp;" due "&amp;VLOOKUP(I845,code_event,2)</f>
        <v>Non conformité à la législation ou aux réglements relatifs à la protection des systèmes informatisés due à la non application de procédures, par méconnaissance</v>
      </c>
      <c r="P845" s="435">
        <v>1</v>
      </c>
      <c r="Q845" s="1595" t="s">
        <v>6403</v>
      </c>
      <c r="R845" s="1595" t="s">
        <v>6403</v>
      </c>
      <c r="S845" s="1595" t="str">
        <f>Classif!C35</f>
        <v/>
      </c>
      <c r="T845" s="1595">
        <f>VLOOKUP(H845&amp;"."&amp;I845,Tab_event,4)</f>
        <v>2</v>
      </c>
      <c r="U845" s="1744" t="str">
        <f>IF(AND(NOT(S845=""),NOT(T845="")),INDEX(base_g,5-S845,T845),"")</f>
        <v/>
      </c>
      <c r="V845" s="1745">
        <v>1</v>
      </c>
      <c r="W845" s="1745">
        <f>S13E02</f>
        <v>1</v>
      </c>
      <c r="X845" s="1745">
        <v>1</v>
      </c>
      <c r="Y845" s="1745">
        <v>1</v>
      </c>
      <c r="Z845" s="1746">
        <v>1</v>
      </c>
      <c r="AA845" s="1747"/>
      <c r="AB845" s="1748"/>
      <c r="AC845" s="1748"/>
      <c r="AD845" s="1595" t="str">
        <f t="shared" si="494"/>
        <v/>
      </c>
      <c r="AE845" s="1595">
        <f>IF(OR(Q845="",T845=""),"",IF(Q845="A",INDEX(base_p,4,W845+7*(T845-1)),IF(Q845="E",INDEX(base_p,15,W845+7*(T845-1)),INDEX(base_p,27-V845,W845+7*(T845-1)))))</f>
        <v>2</v>
      </c>
      <c r="AF845" s="1595" t="str">
        <f>IF(AT845=1,IF(IndG=1,U845,IF(AND(OR(NOT(AD845=""),NOT(AB845="")),OR(NOT(AE845=""),NOT(AC845="")),AT845=1),INDEX(base_g,5-IF(AB845="",AD845,AB845),IF(AC845="",AE845,AC845)),"")),0)</f>
        <v/>
      </c>
      <c r="AG845" s="1748"/>
      <c r="AH845" s="1749" t="str">
        <f t="shared" si="495"/>
        <v/>
      </c>
      <c r="AI845" s="1615"/>
      <c r="AJ845" s="1616" t="s">
        <v>5438</v>
      </c>
      <c r="AK845" s="1618"/>
      <c r="AL845" s="1619"/>
      <c r="AM845" s="247" t="str">
        <f t="shared" si="488"/>
        <v/>
      </c>
      <c r="AN845" s="247" t="str">
        <f t="shared" si="489"/>
        <v/>
      </c>
      <c r="AO845" s="247" t="str">
        <f t="shared" si="490"/>
        <v/>
      </c>
      <c r="AP845" s="247" t="str">
        <f t="shared" si="491"/>
        <v/>
      </c>
      <c r="AQ845" s="42">
        <f>VLOOKUP(LEFT(C845,3),Tab_classif_conf,6)</f>
        <v>1</v>
      </c>
      <c r="AR845" s="42">
        <f>VLOOKUP(G845,select_vul_proc,2)</f>
        <v>1</v>
      </c>
      <c r="AS845" s="42">
        <f>VLOOKUP(H845&amp;"."&amp;I845,select_men,5)</f>
        <v>1</v>
      </c>
      <c r="AT845" s="42">
        <f>P845*AQ845*AR845*AS845</f>
        <v>1</v>
      </c>
      <c r="AU845" s="247" t="str">
        <f t="shared" si="492"/>
        <v/>
      </c>
      <c r="AV845" s="247" t="str">
        <f t="shared" si="493"/>
        <v/>
      </c>
    </row>
    <row r="846" spans="1:48" ht="36" x14ac:dyDescent="0.2">
      <c r="A846" s="450" t="s">
        <v>106</v>
      </c>
      <c r="B846" s="429" t="s">
        <v>1959</v>
      </c>
      <c r="C846" s="430" t="s">
        <v>5578</v>
      </c>
      <c r="D846" s="1349" t="s">
        <v>6403</v>
      </c>
      <c r="E846" s="1350" t="s">
        <v>4333</v>
      </c>
      <c r="F846" s="1350" t="s">
        <v>1887</v>
      </c>
      <c r="G846" s="1351" t="s">
        <v>3829</v>
      </c>
      <c r="H846" s="1342" t="s">
        <v>2317</v>
      </c>
      <c r="I846" s="432" t="s">
        <v>2312</v>
      </c>
      <c r="J846" s="431"/>
      <c r="K846" s="431"/>
      <c r="L846" s="431"/>
      <c r="M846" s="433" t="s">
        <v>1880</v>
      </c>
      <c r="N846" s="434"/>
      <c r="O846" s="1743" t="str">
        <f>VLOOKUP(B846,code_famille_scénario,2)&amp;VLOOKUP(C846,code_actif,2)&amp;" due "&amp;VLOOKUP(I846,code_event,2)</f>
        <v>Non conformité à la législation ou aux réglements relatifs à la protection des systèmes informatisés due à la non application volontaire de procédures</v>
      </c>
      <c r="P846" s="435">
        <v>1</v>
      </c>
      <c r="Q846" s="1595" t="s">
        <v>1299</v>
      </c>
      <c r="R846" s="1595" t="s">
        <v>6403</v>
      </c>
      <c r="S846" s="1595" t="str">
        <f>Classif!C35</f>
        <v/>
      </c>
      <c r="T846" s="1595">
        <f>VLOOKUP(H846&amp;"."&amp;I846,Tab_event,4)</f>
        <v>2</v>
      </c>
      <c r="U846" s="1744" t="str">
        <f>IF(AND(NOT(S846=""),NOT(T846="")),INDEX(base_g,5-S846,T846),"")</f>
        <v/>
      </c>
      <c r="V846" s="1745">
        <f>S13E04</f>
        <v>1</v>
      </c>
      <c r="W846" s="1745">
        <v>1</v>
      </c>
      <c r="X846" s="1745">
        <v>1</v>
      </c>
      <c r="Y846" s="1745">
        <v>1</v>
      </c>
      <c r="Z846" s="1746">
        <v>1</v>
      </c>
      <c r="AA846" s="1747"/>
      <c r="AB846" s="1748"/>
      <c r="AC846" s="1748"/>
      <c r="AD846" s="1595" t="str">
        <f t="shared" si="494"/>
        <v/>
      </c>
      <c r="AE846" s="1595">
        <f>IF(OR(Q846="",T846=""),"",IF(Q846="A",INDEX(base_p,4,W846+7*(T846-1)),IF(Q846="E",INDEX(base_p,15,W846+7*(T846-1)),INDEX(base_p,27-V846,W846+7*(T846-1)))))</f>
        <v>2</v>
      </c>
      <c r="AF846" s="1595" t="str">
        <f>IF(AT846=1,IF(IndG=1,U846,IF(AND(OR(NOT(AD846=""),NOT(AB846="")),OR(NOT(AE846=""),NOT(AC846="")),AT846=1),INDEX(base_g,5-IF(AB846="",AD846,AB846),IF(AC846="",AE846,AC846)),"")),0)</f>
        <v/>
      </c>
      <c r="AG846" s="1748"/>
      <c r="AH846" s="1749" t="str">
        <f t="shared" si="495"/>
        <v/>
      </c>
      <c r="AI846" s="1620" t="s">
        <v>1569</v>
      </c>
      <c r="AJ846" s="1616"/>
      <c r="AK846" s="1618"/>
      <c r="AL846" s="1619"/>
      <c r="AM846" s="247" t="str">
        <f t="shared" si="488"/>
        <v/>
      </c>
      <c r="AN846" s="247" t="str">
        <f t="shared" si="489"/>
        <v/>
      </c>
      <c r="AO846" s="247" t="str">
        <f t="shared" si="490"/>
        <v/>
      </c>
      <c r="AP846" s="247" t="str">
        <f t="shared" si="491"/>
        <v/>
      </c>
      <c r="AQ846" s="42">
        <f>VLOOKUP(LEFT(C846,3),Tab_classif_conf,6)</f>
        <v>1</v>
      </c>
      <c r="AR846" s="42">
        <f>VLOOKUP(G846,select_vul_proc,2)</f>
        <v>1</v>
      </c>
      <c r="AS846" s="42">
        <f>VLOOKUP(H846&amp;"."&amp;I846,select_men,5)</f>
        <v>1</v>
      </c>
      <c r="AT846" s="42">
        <f>P846*AQ846*AR846*AS846</f>
        <v>1</v>
      </c>
      <c r="AU846" s="247" t="str">
        <f t="shared" si="492"/>
        <v/>
      </c>
      <c r="AV846" s="247" t="str">
        <f t="shared" si="493"/>
        <v/>
      </c>
    </row>
    <row r="847" spans="1:48" ht="15" x14ac:dyDescent="0.2">
      <c r="A847" s="456" t="s">
        <v>4340</v>
      </c>
      <c r="B847" s="457"/>
      <c r="C847" s="423" t="s">
        <v>2711</v>
      </c>
      <c r="D847" s="1356"/>
      <c r="E847" s="1357"/>
      <c r="F847" s="1357"/>
      <c r="G847" s="1360"/>
      <c r="H847" s="1345"/>
      <c r="I847" s="459"/>
      <c r="J847" s="458"/>
      <c r="K847" s="458"/>
      <c r="L847" s="458"/>
      <c r="M847" s="460"/>
      <c r="N847" s="461"/>
      <c r="O847" s="1761"/>
      <c r="P847" s="435"/>
      <c r="Q847" s="1595"/>
      <c r="R847" s="1595"/>
      <c r="S847" s="1753"/>
      <c r="T847" s="1595"/>
      <c r="U847" s="1744"/>
      <c r="V847" s="1754"/>
      <c r="W847" s="1754"/>
      <c r="X847" s="1754"/>
      <c r="Y847" s="1754"/>
      <c r="Z847" s="1762"/>
      <c r="AA847" s="1763"/>
      <c r="AB847" s="1748"/>
      <c r="AC847" s="1748"/>
      <c r="AD847" s="1595"/>
      <c r="AE847" s="1753"/>
      <c r="AF847" s="1595"/>
      <c r="AG847" s="1748"/>
      <c r="AH847" s="1749"/>
      <c r="AI847" s="1627"/>
      <c r="AJ847" s="1628"/>
      <c r="AK847" s="1628"/>
      <c r="AL847" s="1629"/>
      <c r="AM847" s="247" t="str">
        <f t="shared" si="488"/>
        <v/>
      </c>
      <c r="AN847" s="247" t="str">
        <f t="shared" si="489"/>
        <v/>
      </c>
      <c r="AO847" s="247" t="str">
        <f t="shared" si="490"/>
        <v/>
      </c>
      <c r="AP847" s="247" t="str">
        <f t="shared" si="491"/>
        <v/>
      </c>
      <c r="AU847" s="247" t="str">
        <f t="shared" si="492"/>
        <v/>
      </c>
      <c r="AV847" s="247" t="str">
        <f t="shared" si="493"/>
        <v/>
      </c>
    </row>
    <row r="848" spans="1:48" ht="36" x14ac:dyDescent="0.2">
      <c r="A848" s="450" t="s">
        <v>107</v>
      </c>
      <c r="B848" s="429" t="s">
        <v>1959</v>
      </c>
      <c r="C848" s="430" t="s">
        <v>2928</v>
      </c>
      <c r="D848" s="1349" t="s">
        <v>6403</v>
      </c>
      <c r="E848" s="1350" t="s">
        <v>4333</v>
      </c>
      <c r="F848" s="1350" t="s">
        <v>1887</v>
      </c>
      <c r="G848" s="1351" t="s">
        <v>3829</v>
      </c>
      <c r="H848" s="1342" t="s">
        <v>2317</v>
      </c>
      <c r="I848" s="432" t="s">
        <v>2309</v>
      </c>
      <c r="J848" s="431"/>
      <c r="K848" s="431"/>
      <c r="L848" s="431"/>
      <c r="M848" s="433" t="s">
        <v>1880</v>
      </c>
      <c r="N848" s="434"/>
      <c r="O848" s="1743" t="str">
        <f>VLOOKUP(B848,code_famille_scénario,2)&amp;VLOOKUP(C848,code_actif,2)&amp;" due "&amp;VLOOKUP(I848,code_event,2)</f>
        <v>Non conformité à la législation ou aux réglements relatifs à la sécurité des personnes et à la protection de l'environnement due à l'application de procédures inadéquates</v>
      </c>
      <c r="P848" s="435">
        <v>1</v>
      </c>
      <c r="Q848" s="1595" t="s">
        <v>6403</v>
      </c>
      <c r="R848" s="1595" t="s">
        <v>6403</v>
      </c>
      <c r="S848" s="1595" t="str">
        <f>Classif!C36</f>
        <v/>
      </c>
      <c r="T848" s="1595">
        <f>VLOOKUP(H848&amp;"."&amp;I848,Tab_event,4)</f>
        <v>2</v>
      </c>
      <c r="U848" s="1744" t="str">
        <f>IF(AND(NOT(S848=""),NOT(T848="")),INDEX(base_g,5-S848,T848),"")</f>
        <v/>
      </c>
      <c r="V848" s="1745">
        <v>1</v>
      </c>
      <c r="W848" s="1745">
        <f>S13F01</f>
        <v>1</v>
      </c>
      <c r="X848" s="1745">
        <v>1</v>
      </c>
      <c r="Y848" s="1745">
        <v>1</v>
      </c>
      <c r="Z848" s="1746">
        <v>1</v>
      </c>
      <c r="AA848" s="1747"/>
      <c r="AB848" s="1748"/>
      <c r="AC848" s="1748"/>
      <c r="AD848" s="1595" t="str">
        <f t="shared" si="494"/>
        <v/>
      </c>
      <c r="AE848" s="1595">
        <f>IF(OR(Q848="",T848=""),"",IF(Q848="A",INDEX(base_p,4,W848+7*(T848-1)),IF(Q848="E",INDEX(base_p,15,W848+7*(T848-1)),INDEX(base_p,27-V848,W848+7*(T848-1)))))</f>
        <v>2</v>
      </c>
      <c r="AF848" s="1595" t="str">
        <f>IF(AT848=1,IF(IndG=1,U848,IF(AND(OR(NOT(AD848=""),NOT(AB848="")),OR(NOT(AE848=""),NOT(AC848="")),AT848=1),INDEX(base_g,5-IF(AB848="",AD848,AB848),IF(AC848="",AE848,AC848)),"")),0)</f>
        <v/>
      </c>
      <c r="AG848" s="1748"/>
      <c r="AH848" s="1749" t="str">
        <f t="shared" si="495"/>
        <v/>
      </c>
      <c r="AI848" s="1615"/>
      <c r="AJ848" s="1616" t="s">
        <v>1084</v>
      </c>
      <c r="AK848" s="1618"/>
      <c r="AL848" s="1619"/>
      <c r="AM848" s="247" t="str">
        <f t="shared" si="488"/>
        <v/>
      </c>
      <c r="AN848" s="247" t="str">
        <f t="shared" si="489"/>
        <v/>
      </c>
      <c r="AO848" s="247" t="str">
        <f t="shared" si="490"/>
        <v/>
      </c>
      <c r="AP848" s="247" t="str">
        <f t="shared" si="491"/>
        <v/>
      </c>
      <c r="AQ848" s="42">
        <f>VLOOKUP(LEFT(C848,3),Tab_classif_conf,6)</f>
        <v>1</v>
      </c>
      <c r="AR848" s="42">
        <f>VLOOKUP(G848,select_vul_proc,2)</f>
        <v>1</v>
      </c>
      <c r="AS848" s="42">
        <f>VLOOKUP(H848&amp;"."&amp;I848,select_men,5)</f>
        <v>1</v>
      </c>
      <c r="AT848" s="42">
        <f>P848*AQ848*AR848*AS848</f>
        <v>1</v>
      </c>
      <c r="AU848" s="247" t="str">
        <f t="shared" si="492"/>
        <v/>
      </c>
      <c r="AV848" s="247" t="str">
        <f t="shared" si="493"/>
        <v/>
      </c>
    </row>
    <row r="849" spans="1:48" ht="36" x14ac:dyDescent="0.2">
      <c r="A849" s="450" t="s">
        <v>108</v>
      </c>
      <c r="B849" s="429" t="s">
        <v>1959</v>
      </c>
      <c r="C849" s="430" t="s">
        <v>2928</v>
      </c>
      <c r="D849" s="1349" t="s">
        <v>6403</v>
      </c>
      <c r="E849" s="1350" t="s">
        <v>4333</v>
      </c>
      <c r="F849" s="1350" t="s">
        <v>1887</v>
      </c>
      <c r="G849" s="1351" t="s">
        <v>3829</v>
      </c>
      <c r="H849" s="1342" t="s">
        <v>2317</v>
      </c>
      <c r="I849" s="432" t="s">
        <v>2310</v>
      </c>
      <c r="J849" s="431"/>
      <c r="K849" s="431"/>
      <c r="L849" s="431"/>
      <c r="M849" s="433" t="s">
        <v>1880</v>
      </c>
      <c r="N849" s="434"/>
      <c r="O849" s="1743" t="str">
        <f>VLOOKUP(B849,code_famille_scénario,2)&amp;VLOOKUP(C849,code_actif,2)&amp;" due "&amp;VLOOKUP(I849,code_event,2)</f>
        <v>Non conformité à la législation ou aux réglements relatifs à la sécurité des personnes et à la protection de l'environnement due à la non application de procédures, par manque de moyens</v>
      </c>
      <c r="P849" s="435">
        <v>1</v>
      </c>
      <c r="Q849" s="1595" t="s">
        <v>6403</v>
      </c>
      <c r="R849" s="1595" t="s">
        <v>6403</v>
      </c>
      <c r="S849" s="1595" t="str">
        <f>Classif!C36</f>
        <v/>
      </c>
      <c r="T849" s="1595">
        <f>VLOOKUP(H849&amp;"."&amp;I849,Tab_event,4)</f>
        <v>2</v>
      </c>
      <c r="U849" s="1744" t="str">
        <f>IF(AND(NOT(S849=""),NOT(T849="")),INDEX(base_g,5-S849,T849),"")</f>
        <v/>
      </c>
      <c r="V849" s="1745">
        <v>1</v>
      </c>
      <c r="W849" s="1745">
        <f>S13F03</f>
        <v>1</v>
      </c>
      <c r="X849" s="1745">
        <v>1</v>
      </c>
      <c r="Y849" s="1745">
        <v>1</v>
      </c>
      <c r="Z849" s="1746">
        <v>1</v>
      </c>
      <c r="AA849" s="1747"/>
      <c r="AB849" s="1748"/>
      <c r="AC849" s="1748"/>
      <c r="AD849" s="1595" t="str">
        <f t="shared" si="494"/>
        <v/>
      </c>
      <c r="AE849" s="1595">
        <f>IF(OR(Q849="",T849=""),"",IF(Q849="A",INDEX(base_p,4,W849+7*(T849-1)),IF(Q849="E",INDEX(base_p,15,W849+7*(T849-1)),INDEX(base_p,27-V849,W849+7*(T849-1)))))</f>
        <v>2</v>
      </c>
      <c r="AF849" s="1595" t="str">
        <f>IF(AT849=1,IF(IndG=1,U849,IF(AND(OR(NOT(AD849=""),NOT(AB849="")),OR(NOT(AE849=""),NOT(AC849="")),AT849=1),INDEX(base_g,5-IF(AB849="",AD849,AB849),IF(AC849="",AE849,AC849)),"")),0)</f>
        <v/>
      </c>
      <c r="AG849" s="1748"/>
      <c r="AH849" s="1749" t="str">
        <f t="shared" si="495"/>
        <v/>
      </c>
      <c r="AI849" s="1615"/>
      <c r="AJ849" s="1616" t="s">
        <v>1104</v>
      </c>
      <c r="AK849" s="1618"/>
      <c r="AL849" s="1619"/>
      <c r="AM849" s="247" t="str">
        <f t="shared" si="488"/>
        <v/>
      </c>
      <c r="AN849" s="247" t="str">
        <f t="shared" si="489"/>
        <v/>
      </c>
      <c r="AO849" s="247" t="str">
        <f t="shared" si="490"/>
        <v/>
      </c>
      <c r="AP849" s="247" t="str">
        <f t="shared" si="491"/>
        <v/>
      </c>
      <c r="AQ849" s="42">
        <f>VLOOKUP(LEFT(C849,3),Tab_classif_conf,6)</f>
        <v>1</v>
      </c>
      <c r="AR849" s="42">
        <f>VLOOKUP(G849,select_vul_proc,2)</f>
        <v>1</v>
      </c>
      <c r="AS849" s="42">
        <f>VLOOKUP(H849&amp;"."&amp;I849,select_men,5)</f>
        <v>1</v>
      </c>
      <c r="AT849" s="42">
        <f>P849*AQ849*AR849*AS849</f>
        <v>1</v>
      </c>
      <c r="AU849" s="247" t="str">
        <f t="shared" si="492"/>
        <v/>
      </c>
      <c r="AV849" s="247" t="str">
        <f t="shared" si="493"/>
        <v/>
      </c>
    </row>
    <row r="850" spans="1:48" ht="36" x14ac:dyDescent="0.2">
      <c r="A850" s="450" t="s">
        <v>109</v>
      </c>
      <c r="B850" s="429" t="s">
        <v>1959</v>
      </c>
      <c r="C850" s="430" t="s">
        <v>2928</v>
      </c>
      <c r="D850" s="1349" t="s">
        <v>6403</v>
      </c>
      <c r="E850" s="1350" t="s">
        <v>4333</v>
      </c>
      <c r="F850" s="1350" t="s">
        <v>1887</v>
      </c>
      <c r="G850" s="1351" t="s">
        <v>3829</v>
      </c>
      <c r="H850" s="1342" t="s">
        <v>2317</v>
      </c>
      <c r="I850" s="432" t="s">
        <v>2311</v>
      </c>
      <c r="J850" s="431"/>
      <c r="K850" s="431"/>
      <c r="L850" s="431"/>
      <c r="M850" s="433" t="s">
        <v>1880</v>
      </c>
      <c r="N850" s="434"/>
      <c r="O850" s="1743" t="str">
        <f>VLOOKUP(B850,code_famille_scénario,2)&amp;VLOOKUP(C850,code_actif,2)&amp;" due "&amp;VLOOKUP(I850,code_event,2)</f>
        <v>Non conformité à la législation ou aux réglements relatifs à la sécurité des personnes et à la protection de l'environnement due à la non application de procédures, par méconnaissance</v>
      </c>
      <c r="P850" s="435">
        <v>1</v>
      </c>
      <c r="Q850" s="1595" t="s">
        <v>6403</v>
      </c>
      <c r="R850" s="1595" t="s">
        <v>6403</v>
      </c>
      <c r="S850" s="1595" t="str">
        <f>Classif!C36</f>
        <v/>
      </c>
      <c r="T850" s="1595">
        <f>VLOOKUP(H850&amp;"."&amp;I850,Tab_event,4)</f>
        <v>2</v>
      </c>
      <c r="U850" s="1744" t="str">
        <f>IF(AND(NOT(S850=""),NOT(T850="")),INDEX(base_g,5-S850,T850),"")</f>
        <v/>
      </c>
      <c r="V850" s="1745">
        <v>1</v>
      </c>
      <c r="W850" s="1745">
        <f>S13F02</f>
        <v>1</v>
      </c>
      <c r="X850" s="1745">
        <v>1</v>
      </c>
      <c r="Y850" s="1745">
        <v>1</v>
      </c>
      <c r="Z850" s="1746">
        <v>1</v>
      </c>
      <c r="AA850" s="1747"/>
      <c r="AB850" s="1748"/>
      <c r="AC850" s="1748"/>
      <c r="AD850" s="1595" t="str">
        <f t="shared" si="494"/>
        <v/>
      </c>
      <c r="AE850" s="1595">
        <f>IF(OR(Q850="",T850=""),"",IF(Q850="A",INDEX(base_p,4,W850+7*(T850-1)),IF(Q850="E",INDEX(base_p,15,W850+7*(T850-1)),INDEX(base_p,27-V850,W850+7*(T850-1)))))</f>
        <v>2</v>
      </c>
      <c r="AF850" s="1595" t="str">
        <f>IF(AT850=1,IF(IndG=1,U850,IF(AND(OR(NOT(AD850=""),NOT(AB850="")),OR(NOT(AE850=""),NOT(AC850="")),AT850=1),INDEX(base_g,5-IF(AB850="",AD850,AB850),IF(AC850="",AE850,AC850)),"")),0)</f>
        <v/>
      </c>
      <c r="AG850" s="1748"/>
      <c r="AH850" s="1749" t="str">
        <f t="shared" si="495"/>
        <v/>
      </c>
      <c r="AI850" s="1615"/>
      <c r="AJ850" s="1616" t="s">
        <v>1096</v>
      </c>
      <c r="AK850" s="1618"/>
      <c r="AL850" s="1619"/>
      <c r="AM850" s="247" t="str">
        <f t="shared" si="488"/>
        <v/>
      </c>
      <c r="AN850" s="247" t="str">
        <f t="shared" si="489"/>
        <v/>
      </c>
      <c r="AO850" s="247" t="str">
        <f t="shared" si="490"/>
        <v/>
      </c>
      <c r="AP850" s="247" t="str">
        <f t="shared" si="491"/>
        <v/>
      </c>
      <c r="AQ850" s="42">
        <f>VLOOKUP(LEFT(C850,3),Tab_classif_conf,6)</f>
        <v>1</v>
      </c>
      <c r="AR850" s="42">
        <f>VLOOKUP(G850,select_vul_proc,2)</f>
        <v>1</v>
      </c>
      <c r="AS850" s="42">
        <f>VLOOKUP(H850&amp;"."&amp;I850,select_men,5)</f>
        <v>1</v>
      </c>
      <c r="AT850" s="42">
        <f>P850*AQ850*AR850*AS850</f>
        <v>1</v>
      </c>
      <c r="AU850" s="247" t="str">
        <f t="shared" si="492"/>
        <v/>
      </c>
      <c r="AV850" s="247" t="str">
        <f t="shared" si="493"/>
        <v/>
      </c>
    </row>
    <row r="851" spans="1:48" ht="36" x14ac:dyDescent="0.2">
      <c r="A851" s="450" t="s">
        <v>110</v>
      </c>
      <c r="B851" s="429" t="s">
        <v>1959</v>
      </c>
      <c r="C851" s="430" t="s">
        <v>2928</v>
      </c>
      <c r="D851" s="1349" t="s">
        <v>6403</v>
      </c>
      <c r="E851" s="1350" t="s">
        <v>4333</v>
      </c>
      <c r="F851" s="1350" t="s">
        <v>1887</v>
      </c>
      <c r="G851" s="1351" t="s">
        <v>3829</v>
      </c>
      <c r="H851" s="1342" t="s">
        <v>2317</v>
      </c>
      <c r="I851" s="432" t="s">
        <v>2312</v>
      </c>
      <c r="J851" s="431"/>
      <c r="K851" s="431"/>
      <c r="L851" s="431"/>
      <c r="M851" s="433" t="s">
        <v>1880</v>
      </c>
      <c r="N851" s="434"/>
      <c r="O851" s="1743" t="str">
        <f>VLOOKUP(B851,code_famille_scénario,2)&amp;VLOOKUP(C851,code_actif,2)&amp;" due "&amp;VLOOKUP(I851,code_event,2)</f>
        <v>Non conformité à la législation ou aux réglements relatifs à la sécurité des personnes et à la protection de l'environnement due à la non application volontaire de procédures</v>
      </c>
      <c r="P851" s="1612">
        <v>1</v>
      </c>
      <c r="Q851" s="1595" t="s">
        <v>1299</v>
      </c>
      <c r="R851" s="1595" t="s">
        <v>6403</v>
      </c>
      <c r="S851" s="1595" t="str">
        <f>Classif!C36</f>
        <v/>
      </c>
      <c r="T851" s="1595">
        <f>VLOOKUP(H851&amp;"."&amp;I851,Tab_event,4)</f>
        <v>2</v>
      </c>
      <c r="U851" s="1595" t="str">
        <f>IF(AND(NOT(S851=""),NOT(T851="")),INDEX(base_g,5-S851,T851),"")</f>
        <v/>
      </c>
      <c r="V851" s="1745">
        <f>S13F04</f>
        <v>1</v>
      </c>
      <c r="W851" s="1745">
        <v>1</v>
      </c>
      <c r="X851" s="1745">
        <v>1</v>
      </c>
      <c r="Y851" s="1745">
        <v>1</v>
      </c>
      <c r="Z851" s="1746">
        <v>1</v>
      </c>
      <c r="AA851" s="1747"/>
      <c r="AB851" s="1748"/>
      <c r="AC851" s="1748"/>
      <c r="AD851" s="1595" t="str">
        <f t="shared" si="494"/>
        <v/>
      </c>
      <c r="AE851" s="1595">
        <f>IF(OR(Q851="",T851=""),"",IF(Q851="A",INDEX(base_p,4,W851+7*(T851-1)),IF(Q851="E",INDEX(base_p,15,W851+7*(T851-1)),INDEX(base_p,27-V851,W851+7*(T851-1)))))</f>
        <v>2</v>
      </c>
      <c r="AF851" s="1595" t="str">
        <f>IF(AT851=1,IF(IndG=1,U851,IF(AND(OR(NOT(AD851=""),NOT(AB851="")),OR(NOT(AE851=""),NOT(AC851="")),AT851=1),INDEX(base_g,5-IF(AB851="",AD851,AB851),IF(AC851="",AE851,AC851)),"")),0)</f>
        <v/>
      </c>
      <c r="AG851" s="1748"/>
      <c r="AH851" s="1749" t="str">
        <f t="shared" si="495"/>
        <v/>
      </c>
      <c r="AI851" s="1620" t="s">
        <v>1108</v>
      </c>
      <c r="AJ851" s="1616"/>
      <c r="AK851" s="1618"/>
      <c r="AL851" s="1619"/>
      <c r="AM851" s="247" t="str">
        <f t="shared" si="488"/>
        <v/>
      </c>
      <c r="AN851" s="247" t="str">
        <f t="shared" si="489"/>
        <v/>
      </c>
      <c r="AO851" s="247" t="str">
        <f t="shared" si="490"/>
        <v/>
      </c>
      <c r="AP851" s="247" t="str">
        <f t="shared" si="491"/>
        <v/>
      </c>
      <c r="AQ851" s="42">
        <f>VLOOKUP(LEFT(C851,3),Tab_classif_conf,6)</f>
        <v>1</v>
      </c>
      <c r="AR851" s="42">
        <f>VLOOKUP(G851,select_vul_proc,2)</f>
        <v>1</v>
      </c>
      <c r="AS851" s="42">
        <f>VLOOKUP(H851&amp;"."&amp;I851,select_men,5)</f>
        <v>1</v>
      </c>
      <c r="AT851" s="42">
        <f>P851*AQ851*AR851*AS851</f>
        <v>1</v>
      </c>
      <c r="AU851" s="247" t="str">
        <f t="shared" si="492"/>
        <v/>
      </c>
      <c r="AV851" s="247" t="str">
        <f t="shared" si="493"/>
        <v/>
      </c>
    </row>
    <row r="852" spans="1:48" ht="15" x14ac:dyDescent="0.2">
      <c r="A852" s="417"/>
      <c r="B852" s="417"/>
      <c r="C852" s="417"/>
      <c r="D852" s="417"/>
      <c r="E852" s="486"/>
      <c r="F852" s="486"/>
      <c r="G852" s="486"/>
      <c r="H852" s="486"/>
      <c r="I852" s="486"/>
      <c r="J852" s="486"/>
      <c r="K852" s="486"/>
      <c r="L852" s="486"/>
      <c r="M852" s="486"/>
      <c r="N852" s="486"/>
      <c r="O852" s="1605" t="s">
        <v>7467</v>
      </c>
      <c r="P852" s="1613">
        <f>SUM(P6:P851)</f>
        <v>796</v>
      </c>
      <c r="Q852" s="487"/>
      <c r="Z852" s="1402"/>
      <c r="AI852" s="488"/>
      <c r="AJ852" s="489"/>
      <c r="AK852" s="490"/>
      <c r="AL852" s="490"/>
      <c r="AM852" s="404" t="str">
        <f t="shared" ref="AM852:AM853" si="496">IF($AH852=1,$H852&amp;"."&amp;$I852&amp;$AH852,"")</f>
        <v/>
      </c>
      <c r="AN852" s="247" t="str">
        <f t="shared" ref="AN852:AN853" si="497">IF($AH852=2,$H852&amp;"."&amp;$I852&amp;$AH852,"")</f>
        <v/>
      </c>
      <c r="AO852" s="247" t="str">
        <f t="shared" ref="AO852:AO853" si="498">IF($AH852=3,$H852&amp;"."&amp;$I852&amp;$AH852,"")</f>
        <v/>
      </c>
      <c r="AP852" s="247" t="str">
        <f t="shared" ref="AP852:AP853" si="499">IF($AH852=4,$H852&amp;"."&amp;$I852&amp;$AH852,"")</f>
        <v/>
      </c>
    </row>
    <row r="853" spans="1:48" ht="15" x14ac:dyDescent="0.2">
      <c r="A853" s="417"/>
      <c r="B853" s="417"/>
      <c r="C853" s="417"/>
      <c r="D853" s="417"/>
      <c r="E853" s="486"/>
      <c r="F853" s="486"/>
      <c r="G853" s="486"/>
      <c r="H853" s="486"/>
      <c r="I853" s="486"/>
      <c r="J853" s="486"/>
      <c r="K853" s="486"/>
      <c r="L853" s="486"/>
      <c r="M853" s="486"/>
      <c r="N853" s="486"/>
      <c r="O853" s="1605" t="s">
        <v>7559</v>
      </c>
      <c r="P853" s="1614">
        <f>796-P852</f>
        <v>0</v>
      </c>
      <c r="Q853" s="487"/>
      <c r="Z853" s="1402"/>
      <c r="AI853" s="488"/>
      <c r="AJ853" s="489"/>
      <c r="AK853" s="490"/>
      <c r="AL853" s="490"/>
      <c r="AM853" s="404" t="str">
        <f t="shared" si="496"/>
        <v/>
      </c>
      <c r="AN853" s="247" t="str">
        <f t="shared" si="497"/>
        <v/>
      </c>
      <c r="AO853" s="247" t="str">
        <f t="shared" si="498"/>
        <v/>
      </c>
      <c r="AP853" s="247" t="str">
        <f t="shared" si="499"/>
        <v/>
      </c>
    </row>
    <row r="854" spans="1:48" x14ac:dyDescent="0.2">
      <c r="K854" s="2016"/>
      <c r="L854" s="2016"/>
      <c r="M854" s="2016"/>
      <c r="N854" s="2016"/>
      <c r="Z854" s="1403"/>
      <c r="AJ854" s="492"/>
    </row>
    <row r="855" spans="1:48" x14ac:dyDescent="0.2">
      <c r="Z855" s="1403"/>
      <c r="AJ855" s="492"/>
    </row>
    <row r="856" spans="1:48" x14ac:dyDescent="0.2">
      <c r="Z856" s="1403"/>
      <c r="AJ856" s="492"/>
    </row>
    <row r="857" spans="1:48" x14ac:dyDescent="0.2">
      <c r="Z857" s="1403"/>
      <c r="AJ857" s="492"/>
    </row>
    <row r="858" spans="1:48" x14ac:dyDescent="0.2">
      <c r="Z858" s="1403"/>
      <c r="AJ858" s="492"/>
    </row>
    <row r="859" spans="1:48" x14ac:dyDescent="0.2">
      <c r="Z859" s="1403"/>
      <c r="AJ859" s="492"/>
    </row>
    <row r="860" spans="1:48" x14ac:dyDescent="0.2">
      <c r="Z860" s="1403"/>
      <c r="AJ860" s="492"/>
    </row>
    <row r="861" spans="1:48" x14ac:dyDescent="0.2">
      <c r="Z861" s="1403"/>
      <c r="AJ861" s="492"/>
    </row>
    <row r="862" spans="1:48" x14ac:dyDescent="0.2">
      <c r="Z862" s="1403"/>
      <c r="AJ862" s="492"/>
    </row>
    <row r="863" spans="1:48" x14ac:dyDescent="0.2">
      <c r="Z863" s="1403"/>
      <c r="AJ863" s="492"/>
    </row>
    <row r="864" spans="1:48" x14ac:dyDescent="0.2">
      <c r="Z864" s="1403"/>
      <c r="AJ864" s="492"/>
    </row>
    <row r="865" spans="26:36" x14ac:dyDescent="0.2">
      <c r="Z865" s="1403"/>
      <c r="AJ865" s="492"/>
    </row>
    <row r="866" spans="26:36" x14ac:dyDescent="0.2">
      <c r="Z866" s="1403"/>
      <c r="AJ866" s="492"/>
    </row>
    <row r="867" spans="26:36" x14ac:dyDescent="0.2">
      <c r="Z867" s="1403"/>
      <c r="AJ867" s="492"/>
    </row>
    <row r="868" spans="26:36" x14ac:dyDescent="0.2">
      <c r="Z868" s="1403"/>
      <c r="AJ868" s="492"/>
    </row>
    <row r="869" spans="26:36" x14ac:dyDescent="0.2">
      <c r="Z869" s="1403"/>
      <c r="AJ869" s="492"/>
    </row>
    <row r="870" spans="26:36" x14ac:dyDescent="0.2">
      <c r="Z870" s="1403"/>
      <c r="AJ870" s="492"/>
    </row>
    <row r="871" spans="26:36" x14ac:dyDescent="0.2">
      <c r="Z871" s="1403"/>
      <c r="AJ871" s="492"/>
    </row>
    <row r="872" spans="26:36" x14ac:dyDescent="0.2">
      <c r="Z872" s="1403"/>
      <c r="AJ872" s="492"/>
    </row>
    <row r="873" spans="26:36" x14ac:dyDescent="0.2">
      <c r="Z873" s="1403"/>
      <c r="AJ873" s="492"/>
    </row>
    <row r="874" spans="26:36" x14ac:dyDescent="0.2">
      <c r="Z874" s="1403"/>
      <c r="AJ874" s="492"/>
    </row>
    <row r="875" spans="26:36" x14ac:dyDescent="0.2">
      <c r="Z875" s="1403"/>
      <c r="AJ875" s="492"/>
    </row>
    <row r="876" spans="26:36" x14ac:dyDescent="0.2">
      <c r="Z876" s="1403"/>
      <c r="AJ876" s="492"/>
    </row>
    <row r="877" spans="26:36" x14ac:dyDescent="0.2">
      <c r="Z877" s="1403"/>
      <c r="AJ877" s="492"/>
    </row>
    <row r="878" spans="26:36" x14ac:dyDescent="0.2">
      <c r="Z878" s="1403"/>
      <c r="AJ878" s="492"/>
    </row>
    <row r="879" spans="26:36" x14ac:dyDescent="0.2">
      <c r="Z879" s="1403"/>
      <c r="AJ879" s="492"/>
    </row>
    <row r="880" spans="26:36" x14ac:dyDescent="0.2">
      <c r="Z880" s="1403"/>
      <c r="AJ880" s="492"/>
    </row>
    <row r="881" spans="26:36" x14ac:dyDescent="0.2">
      <c r="Z881" s="1403"/>
      <c r="AJ881" s="492"/>
    </row>
    <row r="882" spans="26:36" x14ac:dyDescent="0.2">
      <c r="Z882" s="1403"/>
      <c r="AJ882" s="492"/>
    </row>
    <row r="883" spans="26:36" x14ac:dyDescent="0.2">
      <c r="Z883" s="1403"/>
      <c r="AJ883" s="492"/>
    </row>
    <row r="884" spans="26:36" x14ac:dyDescent="0.2">
      <c r="Z884" s="1403"/>
      <c r="AJ884" s="492"/>
    </row>
    <row r="885" spans="26:36" x14ac:dyDescent="0.2">
      <c r="Z885" s="1403"/>
      <c r="AJ885" s="492"/>
    </row>
    <row r="886" spans="26:36" x14ac:dyDescent="0.2">
      <c r="Z886" s="1403"/>
      <c r="AJ886" s="492"/>
    </row>
    <row r="887" spans="26:36" x14ac:dyDescent="0.2">
      <c r="Z887" s="1403"/>
      <c r="AJ887" s="492"/>
    </row>
    <row r="888" spans="26:36" x14ac:dyDescent="0.2">
      <c r="Z888" s="1403"/>
      <c r="AJ888" s="492"/>
    </row>
    <row r="889" spans="26:36" x14ac:dyDescent="0.2">
      <c r="Z889" s="1403"/>
      <c r="AJ889" s="492"/>
    </row>
    <row r="890" spans="26:36" x14ac:dyDescent="0.2">
      <c r="Z890" s="1403"/>
      <c r="AJ890" s="492"/>
    </row>
    <row r="891" spans="26:36" x14ac:dyDescent="0.2">
      <c r="Z891" s="1403"/>
      <c r="AJ891" s="492"/>
    </row>
    <row r="892" spans="26:36" x14ac:dyDescent="0.2">
      <c r="Z892" s="1403"/>
      <c r="AJ892" s="492"/>
    </row>
    <row r="893" spans="26:36" x14ac:dyDescent="0.2">
      <c r="Z893" s="1403"/>
      <c r="AJ893" s="492"/>
    </row>
    <row r="894" spans="26:36" x14ac:dyDescent="0.2">
      <c r="Z894" s="1403"/>
      <c r="AJ894" s="492"/>
    </row>
    <row r="895" spans="26:36" x14ac:dyDescent="0.2">
      <c r="Z895" s="1403"/>
      <c r="AJ895" s="492"/>
    </row>
    <row r="896" spans="26:36" x14ac:dyDescent="0.2">
      <c r="Z896" s="1403"/>
      <c r="AJ896" s="492"/>
    </row>
    <row r="897" spans="26:36" x14ac:dyDescent="0.2">
      <c r="Z897" s="1403"/>
      <c r="AJ897" s="492"/>
    </row>
    <row r="898" spans="26:36" x14ac:dyDescent="0.2">
      <c r="Z898" s="1403"/>
      <c r="AJ898" s="492"/>
    </row>
    <row r="899" spans="26:36" x14ac:dyDescent="0.2">
      <c r="Z899" s="1403"/>
      <c r="AJ899" s="492"/>
    </row>
    <row r="900" spans="26:36" x14ac:dyDescent="0.2">
      <c r="Z900" s="1403"/>
      <c r="AJ900" s="492"/>
    </row>
    <row r="901" spans="26:36" x14ac:dyDescent="0.2">
      <c r="Z901" s="1403"/>
      <c r="AJ901" s="492"/>
    </row>
    <row r="902" spans="26:36" x14ac:dyDescent="0.2">
      <c r="Z902" s="1403"/>
      <c r="AJ902" s="492"/>
    </row>
    <row r="903" spans="26:36" x14ac:dyDescent="0.2">
      <c r="Z903" s="1403"/>
      <c r="AJ903" s="492"/>
    </row>
    <row r="904" spans="26:36" x14ac:dyDescent="0.2">
      <c r="Z904" s="1403"/>
      <c r="AJ904" s="492"/>
    </row>
    <row r="905" spans="26:36" x14ac:dyDescent="0.2">
      <c r="Z905" s="1403"/>
      <c r="AJ905" s="492"/>
    </row>
    <row r="906" spans="26:36" x14ac:dyDescent="0.2">
      <c r="Z906" s="1403"/>
      <c r="AJ906" s="492"/>
    </row>
    <row r="907" spans="26:36" x14ac:dyDescent="0.2">
      <c r="Z907" s="1403"/>
      <c r="AJ907" s="492"/>
    </row>
    <row r="908" spans="26:36" x14ac:dyDescent="0.2">
      <c r="Z908" s="1403"/>
      <c r="AJ908" s="492"/>
    </row>
    <row r="909" spans="26:36" x14ac:dyDescent="0.2">
      <c r="Z909" s="1403"/>
      <c r="AJ909" s="492"/>
    </row>
    <row r="910" spans="26:36" x14ac:dyDescent="0.2">
      <c r="Z910" s="1403"/>
      <c r="AJ910" s="492"/>
    </row>
    <row r="911" spans="26:36" x14ac:dyDescent="0.2">
      <c r="Z911" s="1403"/>
      <c r="AJ911" s="492"/>
    </row>
    <row r="912" spans="26:36" x14ac:dyDescent="0.2">
      <c r="Z912" s="1403"/>
      <c r="AJ912" s="492"/>
    </row>
    <row r="913" spans="26:36" x14ac:dyDescent="0.2">
      <c r="Z913" s="1403"/>
      <c r="AJ913" s="492"/>
    </row>
    <row r="914" spans="26:36" x14ac:dyDescent="0.2">
      <c r="Z914" s="1403"/>
      <c r="AJ914" s="492"/>
    </row>
    <row r="915" spans="26:36" x14ac:dyDescent="0.2">
      <c r="Z915" s="1403"/>
      <c r="AJ915" s="492"/>
    </row>
    <row r="916" spans="26:36" x14ac:dyDescent="0.2">
      <c r="Z916" s="1403"/>
      <c r="AJ916" s="492"/>
    </row>
    <row r="917" spans="26:36" x14ac:dyDescent="0.2">
      <c r="Z917" s="1403"/>
      <c r="AJ917" s="492"/>
    </row>
    <row r="918" spans="26:36" x14ac:dyDescent="0.2">
      <c r="Z918" s="1403"/>
      <c r="AJ918" s="492"/>
    </row>
    <row r="919" spans="26:36" x14ac:dyDescent="0.2">
      <c r="Z919" s="1403"/>
      <c r="AJ919" s="492"/>
    </row>
    <row r="920" spans="26:36" x14ac:dyDescent="0.2">
      <c r="Z920" s="1403"/>
      <c r="AJ920" s="492"/>
    </row>
    <row r="921" spans="26:36" x14ac:dyDescent="0.2">
      <c r="Z921" s="1403"/>
      <c r="AJ921" s="492"/>
    </row>
    <row r="922" spans="26:36" x14ac:dyDescent="0.2">
      <c r="Z922" s="1403"/>
      <c r="AJ922" s="492"/>
    </row>
    <row r="923" spans="26:36" x14ac:dyDescent="0.2">
      <c r="Z923" s="1403"/>
      <c r="AJ923" s="492"/>
    </row>
    <row r="924" spans="26:36" x14ac:dyDescent="0.2">
      <c r="Z924" s="1403"/>
      <c r="AJ924" s="492"/>
    </row>
    <row r="925" spans="26:36" x14ac:dyDescent="0.2">
      <c r="Z925" s="1403"/>
      <c r="AJ925" s="492"/>
    </row>
    <row r="926" spans="26:36" x14ac:dyDescent="0.2">
      <c r="Z926" s="1403"/>
      <c r="AJ926" s="492"/>
    </row>
    <row r="927" spans="26:36" x14ac:dyDescent="0.2">
      <c r="Z927" s="1403"/>
      <c r="AJ927" s="492"/>
    </row>
    <row r="928" spans="26:36" x14ac:dyDescent="0.2">
      <c r="Z928" s="1403"/>
      <c r="AJ928" s="492"/>
    </row>
    <row r="929" spans="26:36" x14ac:dyDescent="0.2">
      <c r="Z929" s="1403"/>
      <c r="AJ929" s="492"/>
    </row>
    <row r="930" spans="26:36" x14ac:dyDescent="0.2">
      <c r="Z930" s="1403"/>
      <c r="AJ930" s="492"/>
    </row>
    <row r="931" spans="26:36" x14ac:dyDescent="0.2">
      <c r="Z931" s="1403"/>
      <c r="AJ931" s="492"/>
    </row>
    <row r="932" spans="26:36" x14ac:dyDescent="0.2">
      <c r="Z932" s="1403"/>
      <c r="AJ932" s="492"/>
    </row>
    <row r="933" spans="26:36" x14ac:dyDescent="0.2">
      <c r="Z933" s="1403"/>
      <c r="AJ933" s="492"/>
    </row>
    <row r="934" spans="26:36" x14ac:dyDescent="0.2">
      <c r="Z934" s="1403"/>
      <c r="AJ934" s="492"/>
    </row>
    <row r="935" spans="26:36" x14ac:dyDescent="0.2">
      <c r="Z935" s="1403"/>
      <c r="AJ935" s="492"/>
    </row>
    <row r="936" spans="26:36" x14ac:dyDescent="0.2">
      <c r="Z936" s="1403"/>
      <c r="AJ936" s="492"/>
    </row>
    <row r="937" spans="26:36" x14ac:dyDescent="0.2">
      <c r="Z937" s="1403"/>
      <c r="AJ937" s="492"/>
    </row>
    <row r="938" spans="26:36" x14ac:dyDescent="0.2">
      <c r="Z938" s="1403"/>
      <c r="AJ938" s="492"/>
    </row>
    <row r="939" spans="26:36" x14ac:dyDescent="0.2">
      <c r="Z939" s="1403"/>
      <c r="AJ939" s="492"/>
    </row>
    <row r="940" spans="26:36" x14ac:dyDescent="0.2">
      <c r="Z940" s="1403"/>
      <c r="AJ940" s="492"/>
    </row>
    <row r="941" spans="26:36" x14ac:dyDescent="0.2">
      <c r="Z941" s="1403"/>
      <c r="AJ941" s="492"/>
    </row>
    <row r="942" spans="26:36" x14ac:dyDescent="0.2">
      <c r="Z942" s="1403"/>
      <c r="AJ942" s="492"/>
    </row>
    <row r="943" spans="26:36" x14ac:dyDescent="0.2">
      <c r="Z943" s="1403"/>
      <c r="AJ943" s="492"/>
    </row>
    <row r="944" spans="26:36" x14ac:dyDescent="0.2">
      <c r="Z944" s="1403"/>
      <c r="AJ944" s="492"/>
    </row>
    <row r="945" spans="26:36" x14ac:dyDescent="0.2">
      <c r="Z945" s="1403"/>
      <c r="AJ945" s="492"/>
    </row>
    <row r="946" spans="26:36" x14ac:dyDescent="0.2">
      <c r="Z946" s="1403"/>
      <c r="AJ946" s="492"/>
    </row>
    <row r="947" spans="26:36" x14ac:dyDescent="0.2">
      <c r="Z947" s="1403"/>
      <c r="AJ947" s="492"/>
    </row>
    <row r="948" spans="26:36" x14ac:dyDescent="0.2">
      <c r="Z948" s="1403"/>
      <c r="AJ948" s="492"/>
    </row>
    <row r="949" spans="26:36" x14ac:dyDescent="0.2">
      <c r="Z949" s="1403"/>
      <c r="AJ949" s="492"/>
    </row>
    <row r="950" spans="26:36" x14ac:dyDescent="0.2">
      <c r="Z950" s="1403"/>
      <c r="AJ950" s="492"/>
    </row>
    <row r="951" spans="26:36" x14ac:dyDescent="0.2">
      <c r="Z951" s="1403"/>
      <c r="AJ951" s="492"/>
    </row>
    <row r="952" spans="26:36" x14ac:dyDescent="0.2">
      <c r="Z952" s="1403"/>
      <c r="AJ952" s="492"/>
    </row>
    <row r="953" spans="26:36" x14ac:dyDescent="0.2">
      <c r="Z953" s="1403"/>
      <c r="AJ953" s="492"/>
    </row>
    <row r="954" spans="26:36" x14ac:dyDescent="0.2">
      <c r="Z954" s="1403"/>
      <c r="AJ954" s="492"/>
    </row>
    <row r="955" spans="26:36" x14ac:dyDescent="0.2">
      <c r="Z955" s="1403"/>
      <c r="AJ955" s="492"/>
    </row>
    <row r="956" spans="26:36" x14ac:dyDescent="0.2">
      <c r="Z956" s="1403"/>
      <c r="AJ956" s="492"/>
    </row>
    <row r="957" spans="26:36" x14ac:dyDescent="0.2">
      <c r="Z957" s="1403"/>
      <c r="AJ957" s="492"/>
    </row>
    <row r="958" spans="26:36" x14ac:dyDescent="0.2">
      <c r="Z958" s="1403"/>
      <c r="AJ958" s="492"/>
    </row>
    <row r="959" spans="26:36" x14ac:dyDescent="0.2">
      <c r="Z959" s="1403"/>
      <c r="AJ959" s="492"/>
    </row>
    <row r="960" spans="26:36" x14ac:dyDescent="0.2">
      <c r="Z960" s="1403"/>
      <c r="AJ960" s="492"/>
    </row>
    <row r="961" spans="26:36" x14ac:dyDescent="0.2">
      <c r="Z961" s="1403"/>
      <c r="AJ961" s="492"/>
    </row>
    <row r="962" spans="26:36" x14ac:dyDescent="0.2">
      <c r="Z962" s="1403"/>
      <c r="AJ962" s="492"/>
    </row>
    <row r="963" spans="26:36" x14ac:dyDescent="0.2">
      <c r="Z963" s="1403"/>
      <c r="AJ963" s="492"/>
    </row>
    <row r="964" spans="26:36" x14ac:dyDescent="0.2">
      <c r="Z964" s="1403"/>
      <c r="AJ964" s="492"/>
    </row>
    <row r="965" spans="26:36" x14ac:dyDescent="0.2">
      <c r="Z965" s="1403"/>
      <c r="AJ965" s="492"/>
    </row>
    <row r="966" spans="26:36" x14ac:dyDescent="0.2">
      <c r="Z966" s="1403"/>
      <c r="AJ966" s="492"/>
    </row>
    <row r="967" spans="26:36" x14ac:dyDescent="0.2">
      <c r="Z967" s="1403"/>
      <c r="AJ967" s="492"/>
    </row>
    <row r="968" spans="26:36" x14ac:dyDescent="0.2">
      <c r="Z968" s="1403"/>
      <c r="AJ968" s="492"/>
    </row>
    <row r="969" spans="26:36" x14ac:dyDescent="0.2">
      <c r="Z969" s="1403"/>
      <c r="AJ969" s="492"/>
    </row>
    <row r="970" spans="26:36" x14ac:dyDescent="0.2">
      <c r="Z970" s="1403"/>
      <c r="AJ970" s="492"/>
    </row>
    <row r="971" spans="26:36" x14ac:dyDescent="0.2">
      <c r="Z971" s="1403"/>
      <c r="AJ971" s="492"/>
    </row>
    <row r="972" spans="26:36" x14ac:dyDescent="0.2">
      <c r="Z972" s="1403"/>
      <c r="AJ972" s="492"/>
    </row>
    <row r="973" spans="26:36" x14ac:dyDescent="0.2">
      <c r="Z973" s="1403"/>
      <c r="AJ973" s="492"/>
    </row>
    <row r="974" spans="26:36" x14ac:dyDescent="0.2">
      <c r="Z974" s="1403"/>
      <c r="AJ974" s="492"/>
    </row>
    <row r="975" spans="26:36" x14ac:dyDescent="0.2">
      <c r="Z975" s="1403"/>
      <c r="AJ975" s="492"/>
    </row>
  </sheetData>
  <sheetProtection sheet="1" objects="1" scenarios="1"/>
  <autoFilter ref="J1:N975"/>
  <mergeCells count="30">
    <mergeCell ref="A2:A4"/>
    <mergeCell ref="B2:B4"/>
    <mergeCell ref="D2:G2"/>
    <mergeCell ref="G3:G4"/>
    <mergeCell ref="D3:D4"/>
    <mergeCell ref="F3:F4"/>
    <mergeCell ref="E3:E4"/>
    <mergeCell ref="C3:C4"/>
    <mergeCell ref="AM3:AP3"/>
    <mergeCell ref="AG2:AG4"/>
    <mergeCell ref="AL3:AL4"/>
    <mergeCell ref="K854:N854"/>
    <mergeCell ref="S2:U3"/>
    <mergeCell ref="V2:Z3"/>
    <mergeCell ref="AA2:AC3"/>
    <mergeCell ref="AD2:AF3"/>
    <mergeCell ref="Q2:Q4"/>
    <mergeCell ref="O2:O4"/>
    <mergeCell ref="J3:M3"/>
    <mergeCell ref="H2:N2"/>
    <mergeCell ref="N3:N4"/>
    <mergeCell ref="P2:P4"/>
    <mergeCell ref="R2:R4"/>
    <mergeCell ref="H3:I3"/>
    <mergeCell ref="AH2:AH4"/>
    <mergeCell ref="AI1:AL1"/>
    <mergeCell ref="AI2:AL2"/>
    <mergeCell ref="AI3:AI4"/>
    <mergeCell ref="AJ3:AJ4"/>
    <mergeCell ref="AK3:AK4"/>
  </mergeCells>
  <phoneticPr fontId="5" type="noConversion"/>
  <conditionalFormatting sqref="AF6:AG45 AF47:AG851 AH6:AH851">
    <cfRule type="cellIs" dxfId="54" priority="1" stopIfTrue="1" operator="equal">
      <formula>3</formula>
    </cfRule>
    <cfRule type="cellIs" dxfId="53" priority="2" stopIfTrue="1" operator="equal">
      <formula>4</formula>
    </cfRule>
  </conditionalFormatting>
  <dataValidations count="1">
    <dataValidation type="whole" allowBlank="1" showInputMessage="1" showErrorMessage="1" sqref="P6:P45 P47:P69 P71:P96 P98:P107 P109:P114 P116:P124 P126:P139 P141:P150 P152:P169 P171:P851">
      <formula1>0</formula1>
      <formula2>1</formula2>
    </dataValidation>
  </dataValidations>
  <pageMargins left="0.75" right="0.75" top="1" bottom="1" header="0.4921259845" footer="0.4921259845"/>
  <pageSetup paperSize="9" orientation="portrait" r:id="rId1"/>
  <headerFooter alignWithMargins="0"/>
  <legacyDrawing r:id="rId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tabColor indexed="44"/>
  </sheetPr>
  <dimension ref="A1:AJ81"/>
  <sheetViews>
    <sheetView zoomScaleNormal="100" workbookViewId="0">
      <pane xSplit="16" ySplit="2" topLeftCell="S3" activePane="bottomRight" state="frozen"/>
      <selection activeCell="I304" sqref="I304"/>
      <selection pane="topRight" activeCell="I304" sqref="I304"/>
      <selection pane="bottomLeft" activeCell="I304" sqref="I304"/>
      <selection pane="bottomRight" sqref="A1:B2"/>
    </sheetView>
  </sheetViews>
  <sheetFormatPr baseColWidth="10" defaultColWidth="11.42578125" defaultRowHeight="12.75" x14ac:dyDescent="0.2"/>
  <cols>
    <col min="1" max="1" width="4.42578125" style="384" customWidth="1"/>
    <col min="2" max="2" width="70.85546875" style="383" customWidth="1"/>
    <col min="3" max="6" width="3.85546875" style="384" customWidth="1"/>
    <col min="7" max="7" width="1.85546875" style="384" customWidth="1"/>
    <col min="8" max="11" width="3.85546875" style="384" customWidth="1"/>
    <col min="12" max="12" width="1.85546875" style="384" customWidth="1"/>
    <col min="13" max="16" width="3.85546875" style="384" customWidth="1"/>
    <col min="17" max="17" width="1.85546875" style="384" customWidth="1"/>
    <col min="18" max="18" width="2.7109375" style="385" customWidth="1"/>
    <col min="19" max="19" width="9.42578125" style="385" customWidth="1"/>
    <col min="20" max="20" width="13.5703125" style="385" customWidth="1"/>
    <col min="21" max="24" width="6.85546875" style="385" customWidth="1"/>
    <col min="25" max="36" width="11.42578125" style="385"/>
    <col min="37" max="16384" width="11.42578125" style="384"/>
  </cols>
  <sheetData>
    <row r="1" spans="1:36" s="387" customFormat="1" ht="33.75" customHeight="1" thickBot="1" x14ac:dyDescent="0.25">
      <c r="A1" s="2064" t="s">
        <v>7560</v>
      </c>
      <c r="B1" s="2065"/>
      <c r="C1" s="2063" t="s">
        <v>4595</v>
      </c>
      <c r="D1" s="2063"/>
      <c r="E1" s="2063"/>
      <c r="F1" s="2063"/>
      <c r="G1" s="2063"/>
      <c r="H1" s="2063" t="s">
        <v>4596</v>
      </c>
      <c r="I1" s="2063"/>
      <c r="J1" s="2063"/>
      <c r="K1" s="2063"/>
      <c r="L1" s="2063"/>
      <c r="M1" s="2063" t="s">
        <v>4597</v>
      </c>
      <c r="N1" s="2063"/>
      <c r="O1" s="2063"/>
      <c r="P1" s="2063"/>
      <c r="Q1" s="2063"/>
      <c r="R1" s="386"/>
      <c r="S1" s="1304" t="s">
        <v>7462</v>
      </c>
      <c r="T1" s="2051" t="str">
        <f>IF(IndG=1,"Intrinsèque",IF(IndG=2,"actuelle",IF(IndG=3,"réalisée suite aux projets "&amp;CHAR(10)&amp;"achevés avant  20"&amp;Obj_Projets!J4,"Préconisée, pour les Plans d'action"&amp;CHAR(10)&amp;" dont la cellule décision est à 1")))</f>
        <v>actuelle</v>
      </c>
      <c r="U1" s="2052"/>
      <c r="V1" s="2052"/>
      <c r="W1" s="2052"/>
      <c r="X1" s="2052"/>
      <c r="Z1" s="386"/>
      <c r="AA1" s="386"/>
      <c r="AB1" s="386"/>
      <c r="AC1" s="386"/>
      <c r="AD1" s="386"/>
      <c r="AE1" s="386"/>
      <c r="AF1" s="386"/>
      <c r="AG1" s="386"/>
      <c r="AH1" s="386"/>
      <c r="AI1" s="386"/>
      <c r="AJ1" s="386"/>
    </row>
    <row r="2" spans="1:36" s="387" customFormat="1" ht="15.75" customHeight="1" x14ac:dyDescent="0.2">
      <c r="A2" s="2066"/>
      <c r="B2" s="2067"/>
      <c r="C2" s="1404" t="s">
        <v>6552</v>
      </c>
      <c r="D2" s="1404" t="s">
        <v>6553</v>
      </c>
      <c r="E2" s="1404" t="s">
        <v>6554</v>
      </c>
      <c r="F2" s="1404" t="s">
        <v>6555</v>
      </c>
      <c r="G2" s="1404"/>
      <c r="H2" s="1404" t="s">
        <v>6552</v>
      </c>
      <c r="I2" s="1404" t="s">
        <v>6553</v>
      </c>
      <c r="J2" s="1404" t="s">
        <v>6554</v>
      </c>
      <c r="K2" s="1404" t="s">
        <v>6555</v>
      </c>
      <c r="L2" s="1404"/>
      <c r="M2" s="1404" t="s">
        <v>6552</v>
      </c>
      <c r="N2" s="1404" t="s">
        <v>6553</v>
      </c>
      <c r="O2" s="1404" t="s">
        <v>6554</v>
      </c>
      <c r="P2" s="1404" t="s">
        <v>6555</v>
      </c>
      <c r="Q2" s="1307"/>
      <c r="R2" s="386"/>
      <c r="S2" s="1339"/>
      <c r="T2" s="1339"/>
      <c r="Z2" s="386"/>
      <c r="AA2" s="386"/>
      <c r="AB2" s="386"/>
      <c r="AC2" s="386"/>
      <c r="AD2" s="386"/>
      <c r="AE2" s="386"/>
      <c r="AF2" s="386"/>
      <c r="AG2" s="386"/>
      <c r="AH2" s="386"/>
      <c r="AI2" s="386"/>
      <c r="AJ2" s="386"/>
    </row>
    <row r="3" spans="1:36" ht="15.75" customHeight="1" thickBot="1" x14ac:dyDescent="0.25">
      <c r="A3" s="1190" t="s">
        <v>4967</v>
      </c>
      <c r="B3" s="1190"/>
      <c r="C3" s="1190"/>
      <c r="D3" s="1190"/>
      <c r="E3" s="1190"/>
      <c r="F3" s="1190"/>
      <c r="G3" s="1190"/>
      <c r="H3" s="1190"/>
      <c r="I3" s="1190"/>
      <c r="J3" s="1190"/>
      <c r="K3" s="1190"/>
      <c r="L3" s="1190"/>
      <c r="M3" s="1190"/>
      <c r="N3" s="1190"/>
      <c r="O3" s="1190"/>
      <c r="P3" s="1190"/>
      <c r="Q3" s="1190"/>
    </row>
    <row r="4" spans="1:36" ht="15.75" customHeight="1" x14ac:dyDescent="0.2">
      <c r="A4" s="1282" t="s">
        <v>3851</v>
      </c>
      <c r="B4" s="1282"/>
      <c r="C4" s="1323"/>
      <c r="D4" s="1323"/>
      <c r="E4" s="1323"/>
      <c r="F4" s="1323"/>
      <c r="G4" s="1323"/>
      <c r="H4" s="1323"/>
      <c r="I4" s="1323"/>
      <c r="J4" s="1323"/>
      <c r="K4" s="1323"/>
      <c r="L4" s="1323"/>
      <c r="M4" s="1323"/>
      <c r="N4" s="1323"/>
      <c r="O4" s="1323"/>
      <c r="P4" s="1323"/>
      <c r="Q4" s="1282"/>
      <c r="S4" s="2086" t="s">
        <v>7590</v>
      </c>
      <c r="T4" s="2087"/>
      <c r="U4" s="2088"/>
      <c r="V4" s="2088"/>
      <c r="W4" s="2088"/>
      <c r="X4" s="2089"/>
    </row>
    <row r="5" spans="1:36" ht="15.75" customHeight="1" x14ac:dyDescent="0.2">
      <c r="A5" s="1392" t="s">
        <v>1872</v>
      </c>
      <c r="B5" s="1393" t="s">
        <v>3852</v>
      </c>
      <c r="C5" s="1300">
        <f>Plans_action!B5</f>
        <v>0</v>
      </c>
      <c r="D5" s="1300">
        <f>Plans_action!C5</f>
        <v>0</v>
      </c>
      <c r="E5" s="1309">
        <f>Plans_action!D5</f>
        <v>0</v>
      </c>
      <c r="F5" s="1300">
        <f>Plans_action!E5</f>
        <v>0</v>
      </c>
      <c r="G5" s="1321" t="s">
        <v>3352</v>
      </c>
      <c r="H5" s="1324">
        <f>Plans_action!B63</f>
        <v>0</v>
      </c>
      <c r="I5" s="1324">
        <f>Plans_action!C63</f>
        <v>0</v>
      </c>
      <c r="J5" s="1325">
        <f>Plans_action!D63</f>
        <v>0</v>
      </c>
      <c r="K5" s="1324">
        <f>Plans_action!E63</f>
        <v>0</v>
      </c>
      <c r="L5" s="1321" t="s">
        <v>3352</v>
      </c>
      <c r="M5" s="1324">
        <f>Plans_action!B122</f>
        <v>0</v>
      </c>
      <c r="N5" s="1324">
        <f>Plans_action!C122</f>
        <v>0</v>
      </c>
      <c r="O5" s="1324">
        <f>Plans_action!D122</f>
        <v>0</v>
      </c>
      <c r="P5" s="1324">
        <f>Plans_action!E122</f>
        <v>0</v>
      </c>
      <c r="Q5" s="1321" t="s">
        <v>3352</v>
      </c>
      <c r="S5" s="2090"/>
      <c r="T5" s="2091"/>
      <c r="U5" s="2061"/>
      <c r="V5" s="2061"/>
      <c r="W5" s="2061"/>
      <c r="X5" s="2062"/>
    </row>
    <row r="6" spans="1:36" ht="15.75" customHeight="1" thickBot="1" x14ac:dyDescent="0.25">
      <c r="A6" s="1392" t="s">
        <v>3519</v>
      </c>
      <c r="B6" s="1393" t="s">
        <v>3853</v>
      </c>
      <c r="C6" s="1324">
        <f>Plans_action!B13</f>
        <v>0</v>
      </c>
      <c r="D6" s="1324">
        <f>Plans_action!C13</f>
        <v>0</v>
      </c>
      <c r="E6" s="1325">
        <f>Plans_action!D13</f>
        <v>0</v>
      </c>
      <c r="F6" s="1324">
        <f>Plans_action!E13</f>
        <v>0</v>
      </c>
      <c r="G6" s="1321" t="s">
        <v>3352</v>
      </c>
      <c r="H6" s="1324">
        <f>Plans_action!B72</f>
        <v>0</v>
      </c>
      <c r="I6" s="1324">
        <f>Plans_action!C72</f>
        <v>0</v>
      </c>
      <c r="J6" s="1325">
        <f>Plans_action!D72</f>
        <v>0</v>
      </c>
      <c r="K6" s="1324">
        <f>Plans_action!E72</f>
        <v>0</v>
      </c>
      <c r="L6" s="1321" t="s">
        <v>3352</v>
      </c>
      <c r="M6" s="1324">
        <f>Plans_action!B132</f>
        <v>0</v>
      </c>
      <c r="N6" s="1324">
        <f>Plans_action!C132</f>
        <v>0</v>
      </c>
      <c r="O6" s="1324">
        <f>Plans_action!D132</f>
        <v>0</v>
      </c>
      <c r="P6" s="1324">
        <f>Plans_action!E132</f>
        <v>0</v>
      </c>
      <c r="Q6" s="1321" t="s">
        <v>3352</v>
      </c>
      <c r="S6" s="2092"/>
      <c r="T6" s="2093"/>
      <c r="U6" s="2074"/>
      <c r="V6" s="2074"/>
      <c r="W6" s="2074"/>
      <c r="X6" s="2075"/>
    </row>
    <row r="7" spans="1:36" ht="15.75" customHeight="1" x14ac:dyDescent="0.2">
      <c r="A7" s="1392" t="s">
        <v>3521</v>
      </c>
      <c r="B7" s="1388" t="s">
        <v>4968</v>
      </c>
      <c r="C7" s="1324">
        <f>Plans_action!B21</f>
        <v>0</v>
      </c>
      <c r="D7" s="1325">
        <f>Plans_action!C21</f>
        <v>0</v>
      </c>
      <c r="E7" s="1325">
        <f>Plans_action!D21</f>
        <v>0</v>
      </c>
      <c r="F7" s="1324">
        <f>Plans_action!E21</f>
        <v>0</v>
      </c>
      <c r="G7" s="1321" t="s">
        <v>3352</v>
      </c>
      <c r="H7" s="1324">
        <f>Plans_action!B80</f>
        <v>0</v>
      </c>
      <c r="I7" s="1324">
        <f>Plans_action!C80</f>
        <v>0</v>
      </c>
      <c r="J7" s="1325">
        <f>Plans_action!D80</f>
        <v>0</v>
      </c>
      <c r="K7" s="1324">
        <f>Plans_action!E80</f>
        <v>0</v>
      </c>
      <c r="L7" s="1321" t="s">
        <v>3352</v>
      </c>
      <c r="M7" s="1324">
        <f>Plans_action!B140</f>
        <v>0</v>
      </c>
      <c r="N7" s="1324">
        <f>Plans_action!C140</f>
        <v>0</v>
      </c>
      <c r="O7" s="1324">
        <f>Plans_action!D140</f>
        <v>0</v>
      </c>
      <c r="P7" s="1324">
        <f>Plans_action!E140</f>
        <v>0</v>
      </c>
      <c r="Q7" s="1321" t="s">
        <v>3352</v>
      </c>
      <c r="S7" s="1305"/>
      <c r="T7" s="2094"/>
      <c r="U7" s="2095"/>
      <c r="V7" s="2095"/>
      <c r="W7" s="2095"/>
      <c r="X7" s="2096"/>
    </row>
    <row r="8" spans="1:36" ht="24" customHeight="1" x14ac:dyDescent="0.2">
      <c r="A8" s="1392" t="s">
        <v>5459</v>
      </c>
      <c r="B8" s="1388" t="s">
        <v>4702</v>
      </c>
      <c r="C8" s="1326">
        <f>Plans_action!B28</f>
        <v>0</v>
      </c>
      <c r="D8" s="1326">
        <f>Plans_action!C28</f>
        <v>0</v>
      </c>
      <c r="E8" s="1327">
        <f>Plans_action!D28</f>
        <v>0</v>
      </c>
      <c r="F8" s="1324">
        <f>Plans_action!E28</f>
        <v>0</v>
      </c>
      <c r="G8" s="1321" t="s">
        <v>3352</v>
      </c>
      <c r="H8" s="1328"/>
      <c r="I8" s="1328"/>
      <c r="J8" s="1328"/>
      <c r="K8" s="1328"/>
      <c r="L8" s="1328"/>
      <c r="M8" s="1324">
        <f>Plans_action!B147</f>
        <v>0</v>
      </c>
      <c r="N8" s="1324">
        <f>Plans_action!C147</f>
        <v>0</v>
      </c>
      <c r="O8" s="1324">
        <f>Plans_action!D147</f>
        <v>0</v>
      </c>
      <c r="P8" s="1324">
        <f>Plans_action!E147</f>
        <v>0</v>
      </c>
      <c r="Q8" s="1321" t="s">
        <v>3352</v>
      </c>
      <c r="S8" s="2070"/>
      <c r="T8" s="2060" t="s">
        <v>7591</v>
      </c>
      <c r="U8" s="2061"/>
      <c r="V8" s="2061"/>
      <c r="W8" s="2061"/>
      <c r="X8" s="2062"/>
    </row>
    <row r="9" spans="1:36" ht="15.75" customHeight="1" x14ac:dyDescent="0.2">
      <c r="A9" s="1392" t="s">
        <v>4813</v>
      </c>
      <c r="B9" s="1388" t="s">
        <v>2782</v>
      </c>
      <c r="C9" s="1328"/>
      <c r="D9" s="1328"/>
      <c r="E9" s="1329"/>
      <c r="F9" s="1328"/>
      <c r="G9" s="1328"/>
      <c r="H9" s="1328"/>
      <c r="I9" s="1328"/>
      <c r="J9" s="1328"/>
      <c r="K9" s="1328"/>
      <c r="L9" s="1328"/>
      <c r="M9" s="1324">
        <f>Plans_action!B153</f>
        <v>0</v>
      </c>
      <c r="N9" s="1324">
        <f>Plans_action!C153</f>
        <v>0</v>
      </c>
      <c r="O9" s="1324">
        <f>Plans_action!D153</f>
        <v>0</v>
      </c>
      <c r="P9" s="1324">
        <f>Plans_action!E153</f>
        <v>0</v>
      </c>
      <c r="Q9" s="1321" t="s">
        <v>3352</v>
      </c>
      <c r="S9" s="2071"/>
      <c r="T9" s="2060"/>
      <c r="U9" s="2061"/>
      <c r="V9" s="2061"/>
      <c r="W9" s="2061"/>
      <c r="X9" s="2062"/>
    </row>
    <row r="10" spans="1:36" ht="15.75" customHeight="1" x14ac:dyDescent="0.2">
      <c r="A10" s="1392" t="s">
        <v>5476</v>
      </c>
      <c r="B10" s="1388" t="s">
        <v>4969</v>
      </c>
      <c r="C10" s="1324">
        <f>Plans_action!B33</f>
        <v>0</v>
      </c>
      <c r="D10" s="1324">
        <f>Plans_action!C33</f>
        <v>0</v>
      </c>
      <c r="E10" s="1327">
        <f>Plans_action!D33</f>
        <v>0</v>
      </c>
      <c r="F10" s="1324">
        <f>Plans_action!E33</f>
        <v>0</v>
      </c>
      <c r="G10" s="1321" t="s">
        <v>3352</v>
      </c>
      <c r="H10" s="1324">
        <f>Plans_action!B88</f>
        <v>0</v>
      </c>
      <c r="I10" s="1324">
        <f>Plans_action!C88</f>
        <v>0</v>
      </c>
      <c r="J10" s="1325">
        <f>Plans_action!D88</f>
        <v>0</v>
      </c>
      <c r="K10" s="1324">
        <f>Plans_action!E88</f>
        <v>0</v>
      </c>
      <c r="L10" s="1321" t="s">
        <v>3352</v>
      </c>
      <c r="M10" s="1324">
        <f>Plans_action!B158</f>
        <v>0</v>
      </c>
      <c r="N10" s="1324">
        <f>Plans_action!C158</f>
        <v>0</v>
      </c>
      <c r="O10" s="1324">
        <f>Plans_action!D158</f>
        <v>0</v>
      </c>
      <c r="P10" s="1324">
        <f>Plans_action!E158</f>
        <v>0</v>
      </c>
      <c r="Q10" s="1321" t="s">
        <v>3352</v>
      </c>
      <c r="S10" s="1306"/>
      <c r="T10" s="2057"/>
      <c r="U10" s="2058"/>
      <c r="V10" s="2058"/>
      <c r="W10" s="2058"/>
      <c r="X10" s="2059"/>
    </row>
    <row r="11" spans="1:36" ht="15.75" customHeight="1" x14ac:dyDescent="0.2">
      <c r="A11" s="1392" t="s">
        <v>5461</v>
      </c>
      <c r="B11" s="1388" t="s">
        <v>5708</v>
      </c>
      <c r="C11" s="1324">
        <f>Plans_action!B38</f>
        <v>0</v>
      </c>
      <c r="D11" s="1324">
        <f>Plans_action!C38</f>
        <v>0</v>
      </c>
      <c r="E11" s="1327">
        <f>Plans_action!D38</f>
        <v>0</v>
      </c>
      <c r="F11" s="1324">
        <f>Plans_action!E38</f>
        <v>0</v>
      </c>
      <c r="G11" s="1321" t="s">
        <v>3352</v>
      </c>
      <c r="H11" s="1324">
        <f>Plans_action!B98</f>
        <v>0</v>
      </c>
      <c r="I11" s="1324">
        <f>Plans_action!C98</f>
        <v>0</v>
      </c>
      <c r="J11" s="1325">
        <f>Plans_action!D98</f>
        <v>0</v>
      </c>
      <c r="K11" s="1324">
        <f>Plans_action!E98</f>
        <v>0</v>
      </c>
      <c r="L11" s="1321" t="s">
        <v>3352</v>
      </c>
      <c r="M11" s="1324">
        <f>Plans_action!B168</f>
        <v>0</v>
      </c>
      <c r="N11" s="1324">
        <f>Plans_action!C168</f>
        <v>0</v>
      </c>
      <c r="O11" s="1324">
        <f>Plans_action!D168</f>
        <v>0</v>
      </c>
      <c r="P11" s="1324">
        <f>Plans_action!E168</f>
        <v>0</v>
      </c>
      <c r="Q11" s="1321" t="s">
        <v>3352</v>
      </c>
      <c r="S11" s="2070"/>
      <c r="T11" s="2060" t="s">
        <v>7592</v>
      </c>
      <c r="U11" s="2061"/>
      <c r="V11" s="2061"/>
      <c r="W11" s="2061"/>
      <c r="X11" s="2062"/>
    </row>
    <row r="12" spans="1:36" ht="15.75" customHeight="1" x14ac:dyDescent="0.2">
      <c r="A12" s="1392" t="s">
        <v>5464</v>
      </c>
      <c r="B12" s="1388" t="s">
        <v>4909</v>
      </c>
      <c r="C12" s="1324">
        <f>Plans_action!B43</f>
        <v>0</v>
      </c>
      <c r="D12" s="1324">
        <f>Plans_action!C43</f>
        <v>0</v>
      </c>
      <c r="E12" s="1327">
        <f>Plans_action!D43</f>
        <v>0</v>
      </c>
      <c r="F12" s="1324">
        <f>Plans_action!E43</f>
        <v>0</v>
      </c>
      <c r="G12" s="1321" t="s">
        <v>3352</v>
      </c>
      <c r="H12" s="1324">
        <f>Plans_action!B103</f>
        <v>0</v>
      </c>
      <c r="I12" s="1324">
        <f>Plans_action!C103</f>
        <v>0</v>
      </c>
      <c r="J12" s="1325">
        <f>Plans_action!D103</f>
        <v>0</v>
      </c>
      <c r="K12" s="1324">
        <f>Plans_action!E103</f>
        <v>0</v>
      </c>
      <c r="L12" s="1321" t="s">
        <v>3352</v>
      </c>
      <c r="M12" s="1324">
        <f>Plans_action!B173</f>
        <v>0</v>
      </c>
      <c r="N12" s="1324">
        <f>Plans_action!C173</f>
        <v>0</v>
      </c>
      <c r="O12" s="1324">
        <f>Plans_action!D173</f>
        <v>0</v>
      </c>
      <c r="P12" s="1324">
        <f>Plans_action!E173</f>
        <v>0</v>
      </c>
      <c r="Q12" s="1321" t="s">
        <v>3352</v>
      </c>
      <c r="S12" s="2071"/>
      <c r="T12" s="2060"/>
      <c r="U12" s="2061"/>
      <c r="V12" s="2061"/>
      <c r="W12" s="2061"/>
      <c r="X12" s="2062"/>
    </row>
    <row r="13" spans="1:36" ht="15.75" customHeight="1" x14ac:dyDescent="0.2">
      <c r="A13" s="1392" t="s">
        <v>2783</v>
      </c>
      <c r="B13" s="1393" t="s">
        <v>2900</v>
      </c>
      <c r="C13" s="1324">
        <f>Plans_action!B48</f>
        <v>0</v>
      </c>
      <c r="D13" s="1324">
        <f>Plans_action!C48</f>
        <v>0</v>
      </c>
      <c r="E13" s="1327">
        <f>Plans_action!D48</f>
        <v>0</v>
      </c>
      <c r="F13" s="1324">
        <f>Plans_action!E48</f>
        <v>0</v>
      </c>
      <c r="G13" s="1321" t="s">
        <v>3352</v>
      </c>
      <c r="H13" s="1328"/>
      <c r="I13" s="1328"/>
      <c r="J13" s="1328"/>
      <c r="K13" s="1328"/>
      <c r="L13" s="1328"/>
      <c r="M13" s="1324">
        <f>Plans_action!B178</f>
        <v>0</v>
      </c>
      <c r="N13" s="1324">
        <f>Plans_action!C178</f>
        <v>0</v>
      </c>
      <c r="O13" s="1324">
        <f>Plans_action!D178</f>
        <v>0</v>
      </c>
      <c r="P13" s="1324">
        <f>Plans_action!E178</f>
        <v>0</v>
      </c>
      <c r="Q13" s="1321" t="s">
        <v>3352</v>
      </c>
      <c r="S13" s="1306"/>
      <c r="T13" s="2057"/>
      <c r="U13" s="2058"/>
      <c r="V13" s="2058"/>
      <c r="W13" s="2058"/>
      <c r="X13" s="2059"/>
    </row>
    <row r="14" spans="1:36" ht="15.75" customHeight="1" x14ac:dyDescent="0.2">
      <c r="A14" s="1392" t="s">
        <v>4734</v>
      </c>
      <c r="B14" s="1393" t="s">
        <v>3429</v>
      </c>
      <c r="C14" s="1324">
        <f>Plans_action!B53</f>
        <v>0</v>
      </c>
      <c r="D14" s="1324">
        <f>Plans_action!C53</f>
        <v>0</v>
      </c>
      <c r="E14" s="1327">
        <f>Plans_action!D53</f>
        <v>0</v>
      </c>
      <c r="F14" s="1324">
        <f>Plans_action!E53</f>
        <v>0</v>
      </c>
      <c r="G14" s="1321" t="s">
        <v>3352</v>
      </c>
      <c r="H14" s="1324">
        <f>Plans_action!B108</f>
        <v>0</v>
      </c>
      <c r="I14" s="1324">
        <f>Plans_action!C108</f>
        <v>0</v>
      </c>
      <c r="J14" s="1325">
        <f>Plans_action!D108</f>
        <v>0</v>
      </c>
      <c r="K14" s="1324">
        <f>Plans_action!E108</f>
        <v>0</v>
      </c>
      <c r="L14" s="1321" t="s">
        <v>3352</v>
      </c>
      <c r="M14" s="1324">
        <f>Plans_action!B183</f>
        <v>0</v>
      </c>
      <c r="N14" s="1324">
        <f>Plans_action!C183</f>
        <v>0</v>
      </c>
      <c r="O14" s="1324">
        <f>Plans_action!D183</f>
        <v>0</v>
      </c>
      <c r="P14" s="1324">
        <f>Plans_action!E183</f>
        <v>0</v>
      </c>
      <c r="Q14" s="1321" t="s">
        <v>3352</v>
      </c>
      <c r="S14" s="2070"/>
      <c r="T14" s="2060" t="s">
        <v>7593</v>
      </c>
      <c r="U14" s="2061"/>
      <c r="V14" s="2061"/>
      <c r="W14" s="2061"/>
      <c r="X14" s="2062"/>
    </row>
    <row r="15" spans="1:36" ht="17.25" customHeight="1" x14ac:dyDescent="0.2">
      <c r="A15" s="1392" t="s">
        <v>4873</v>
      </c>
      <c r="B15" s="1393" t="s">
        <v>2784</v>
      </c>
      <c r="C15" s="1324">
        <f>Plans_action!B58</f>
        <v>0</v>
      </c>
      <c r="D15" s="1324">
        <f>Plans_action!C58</f>
        <v>0</v>
      </c>
      <c r="E15" s="1327">
        <f>Plans_action!D58</f>
        <v>0</v>
      </c>
      <c r="F15" s="1324">
        <f>Plans_action!E58</f>
        <v>0</v>
      </c>
      <c r="G15" s="1321" t="s">
        <v>3352</v>
      </c>
      <c r="H15" s="1324">
        <f>Plans_action!B113</f>
        <v>0</v>
      </c>
      <c r="I15" s="1324">
        <f>Plans_action!C113</f>
        <v>0</v>
      </c>
      <c r="J15" s="1325">
        <f>Plans_action!D113</f>
        <v>0</v>
      </c>
      <c r="K15" s="1324">
        <f>Plans_action!E113</f>
        <v>0</v>
      </c>
      <c r="L15" s="1321" t="s">
        <v>3352</v>
      </c>
      <c r="M15" s="1330"/>
      <c r="N15" s="1328"/>
      <c r="O15" s="1328"/>
      <c r="P15" s="1328"/>
      <c r="Q15" s="1310"/>
      <c r="S15" s="2071"/>
      <c r="T15" s="2060"/>
      <c r="U15" s="2061"/>
      <c r="V15" s="2061"/>
      <c r="W15" s="2061"/>
      <c r="X15" s="2062"/>
    </row>
    <row r="16" spans="1:36" ht="15.75" customHeight="1" x14ac:dyDescent="0.2">
      <c r="A16" s="1193"/>
      <c r="B16" s="1194"/>
      <c r="C16" s="1331"/>
      <c r="D16" s="1326"/>
      <c r="E16" s="1332"/>
      <c r="F16" s="1326"/>
      <c r="G16" s="1326"/>
      <c r="H16" s="1331"/>
      <c r="I16" s="1326"/>
      <c r="J16" s="1326"/>
      <c r="K16" s="1326"/>
      <c r="L16" s="1326"/>
      <c r="M16" s="1331"/>
      <c r="N16" s="1326"/>
      <c r="O16" s="1326"/>
      <c r="P16" s="1326"/>
      <c r="Q16" s="1301"/>
      <c r="S16" s="1306"/>
      <c r="T16" s="2057"/>
      <c r="U16" s="2058"/>
      <c r="V16" s="2058"/>
      <c r="W16" s="2058"/>
      <c r="X16" s="2059"/>
    </row>
    <row r="17" spans="1:24" ht="18" customHeight="1" x14ac:dyDescent="0.2">
      <c r="A17" s="1190" t="s">
        <v>4966</v>
      </c>
      <c r="B17" s="1190"/>
      <c r="C17" s="1302"/>
      <c r="D17" s="1302"/>
      <c r="E17" s="1303"/>
      <c r="F17" s="1302"/>
      <c r="G17" s="1302"/>
      <c r="H17" s="1302"/>
      <c r="I17" s="1302"/>
      <c r="J17" s="1302"/>
      <c r="K17" s="1302"/>
      <c r="L17" s="1302"/>
      <c r="M17" s="1302"/>
      <c r="N17" s="1302"/>
      <c r="O17" s="1302"/>
      <c r="P17" s="1302"/>
      <c r="Q17" s="1302"/>
      <c r="S17" s="2070"/>
      <c r="T17" s="2060" t="s">
        <v>7594</v>
      </c>
      <c r="U17" s="2061"/>
      <c r="V17" s="2061"/>
      <c r="W17" s="2061"/>
      <c r="X17" s="2062"/>
    </row>
    <row r="18" spans="1:24" ht="17.25" customHeight="1" thickBot="1" x14ac:dyDescent="0.25">
      <c r="A18" s="1282" t="s">
        <v>1796</v>
      </c>
      <c r="B18" s="1282"/>
      <c r="C18" s="1323"/>
      <c r="D18" s="1323"/>
      <c r="E18" s="1333"/>
      <c r="F18" s="1323"/>
      <c r="G18" s="1323"/>
      <c r="H18" s="1323"/>
      <c r="I18" s="1323"/>
      <c r="J18" s="1323"/>
      <c r="K18" s="1323"/>
      <c r="L18" s="1323"/>
      <c r="M18" s="1323"/>
      <c r="N18" s="1323"/>
      <c r="O18" s="1323"/>
      <c r="P18" s="1323"/>
      <c r="Q18" s="1282"/>
      <c r="S18" s="2072"/>
      <c r="T18" s="2073"/>
      <c r="U18" s="2074"/>
      <c r="V18" s="2074"/>
      <c r="W18" s="2074"/>
      <c r="X18" s="2075"/>
    </row>
    <row r="19" spans="1:24" ht="15.75" customHeight="1" x14ac:dyDescent="0.2">
      <c r="A19" s="1392" t="s">
        <v>1797</v>
      </c>
      <c r="B19" s="1393" t="s">
        <v>2788</v>
      </c>
      <c r="C19" s="1326">
        <f>Plans_action!B188</f>
        <v>0</v>
      </c>
      <c r="D19" s="1326">
        <f>Plans_action!C188</f>
        <v>0</v>
      </c>
      <c r="E19" s="1334">
        <f>Plans_action!D188</f>
        <v>0</v>
      </c>
      <c r="F19" s="1326">
        <f>Plans_action!E188</f>
        <v>0</v>
      </c>
      <c r="G19" s="1321" t="s">
        <v>3352</v>
      </c>
      <c r="H19" s="1328"/>
      <c r="I19" s="1328"/>
      <c r="J19" s="1328"/>
      <c r="K19" s="1328"/>
      <c r="L19" s="1328"/>
      <c r="M19" s="1328"/>
      <c r="N19" s="1328"/>
      <c r="O19" s="1328"/>
      <c r="P19" s="1328"/>
      <c r="Q19" s="1293"/>
    </row>
    <row r="20" spans="1:24" ht="15.75" customHeight="1" x14ac:dyDescent="0.2">
      <c r="A20" s="1392" t="s">
        <v>1894</v>
      </c>
      <c r="B20" s="1388" t="s">
        <v>5671</v>
      </c>
      <c r="C20" s="1326">
        <f>Plans_action!B193</f>
        <v>0</v>
      </c>
      <c r="D20" s="1326">
        <f>Plans_action!C193</f>
        <v>0</v>
      </c>
      <c r="E20" s="1334">
        <f>Plans_action!D193</f>
        <v>0</v>
      </c>
      <c r="F20" s="1326">
        <f>Plans_action!E193</f>
        <v>0</v>
      </c>
      <c r="G20" s="1321" t="s">
        <v>3352</v>
      </c>
      <c r="H20" s="1326">
        <f>Plans_action!B258</f>
        <v>0</v>
      </c>
      <c r="I20" s="1326">
        <f>Plans_action!C258</f>
        <v>0</v>
      </c>
      <c r="J20" s="1326">
        <f>Plans_action!D258</f>
        <v>0</v>
      </c>
      <c r="K20" s="1326">
        <f>Plans_action!E258</f>
        <v>0</v>
      </c>
      <c r="L20" s="1321" t="s">
        <v>3352</v>
      </c>
      <c r="M20" s="1328"/>
      <c r="N20" s="1328"/>
      <c r="O20" s="1328"/>
      <c r="P20" s="1328"/>
      <c r="Q20" s="1293"/>
      <c r="T20" s="1658" t="s">
        <v>1225</v>
      </c>
      <c r="U20" s="2055" t="str">
        <f>IF(IndG=1,"Intrinsèque",IF(IndG=2,"actuelle",IF(IndG=3,"à date","Préconisée")))</f>
        <v>actuelle</v>
      </c>
      <c r="V20" s="2056"/>
      <c r="W20" s="2056"/>
      <c r="X20" s="2056"/>
    </row>
    <row r="21" spans="1:24" ht="15.75" customHeight="1" x14ac:dyDescent="0.2">
      <c r="A21" s="1308"/>
      <c r="B21" s="1311"/>
      <c r="C21" s="1326"/>
      <c r="D21" s="1326"/>
      <c r="E21" s="1334"/>
      <c r="F21" s="1326"/>
      <c r="G21" s="1322"/>
      <c r="H21" s="1326"/>
      <c r="I21" s="1326"/>
      <c r="J21" s="1335"/>
      <c r="K21" s="1326"/>
      <c r="L21" s="1321"/>
      <c r="M21" s="1326"/>
      <c r="N21" s="1326"/>
      <c r="O21" s="1335"/>
      <c r="P21" s="1326"/>
      <c r="Q21" s="1312"/>
      <c r="T21" s="1659">
        <v>4</v>
      </c>
      <c r="U21" s="1661">
        <f>IF(IndG = 1, COUNTIF(Scénarios!$AU$6:$AU$851,41),COUNTIF(Scénarios!$AV$6:$AV$851,41))</f>
        <v>0</v>
      </c>
      <c r="V21" s="1662">
        <f>IF(IndG = 1, COUNTIF(Scénarios!$AU$6:$AU$851,42),COUNTIF(Scénarios!$AV$6:$AV$851,42))</f>
        <v>0</v>
      </c>
      <c r="W21" s="1660">
        <f>IF(IndG = 1, COUNTIF(Scénarios!$AU$6:$AU$851,43),COUNTIF(Scénarios!$AV$6:$AV$851,43))</f>
        <v>0</v>
      </c>
      <c r="X21" s="1660">
        <f>IF(IndG = 1, COUNTIF(Scénarios!$AU$6:$AU$851,44),COUNTIF(Scénarios!$AV$6:$AV$851,44))</f>
        <v>0</v>
      </c>
    </row>
    <row r="22" spans="1:24" ht="15.75" customHeight="1" x14ac:dyDescent="0.2">
      <c r="A22" s="1282" t="s">
        <v>3309</v>
      </c>
      <c r="B22" s="1282"/>
      <c r="C22" s="1323"/>
      <c r="D22" s="1323"/>
      <c r="E22" s="1333"/>
      <c r="F22" s="1323"/>
      <c r="G22" s="1322"/>
      <c r="H22" s="1323"/>
      <c r="I22" s="1323"/>
      <c r="J22" s="1323"/>
      <c r="K22" s="1323"/>
      <c r="L22" s="1323"/>
      <c r="M22" s="1323"/>
      <c r="N22" s="1323"/>
      <c r="O22" s="1323"/>
      <c r="P22" s="1323"/>
      <c r="Q22" s="1282"/>
      <c r="T22" s="1659">
        <v>3</v>
      </c>
      <c r="U22" s="1661">
        <f>IF(IndG = 1, COUNTIF(Scénarios!$AU$6:$AU$851,31),COUNTIF(Scénarios!$AV$6:$AV$851,31))</f>
        <v>0</v>
      </c>
      <c r="V22" s="1662">
        <f>IF(IndG = 1, COUNTIF(Scénarios!$AU$6:$AU$851,32),COUNTIF(Scénarios!$AV$6:$AV$851,32))</f>
        <v>0</v>
      </c>
      <c r="W22" s="1662">
        <f>IF(IndG = 1, COUNTIF(Scénarios!$AU$6:$AU$851,33),COUNTIF(Scénarios!$AV$6:$AV$851,33))</f>
        <v>0</v>
      </c>
      <c r="X22" s="1660">
        <f>IF(IndG = 1, COUNTIF(Scénarios!$AU$6:$AU$851,34),COUNTIF(Scénarios!$AV$6:$AV$851,34))</f>
        <v>0</v>
      </c>
    </row>
    <row r="23" spans="1:24" ht="15.75" customHeight="1" x14ac:dyDescent="0.2">
      <c r="A23" s="1392" t="s">
        <v>2785</v>
      </c>
      <c r="B23" s="1393" t="s">
        <v>3310</v>
      </c>
      <c r="C23" s="1326">
        <f>Plans_action!B200</f>
        <v>0</v>
      </c>
      <c r="D23" s="1326">
        <f>Plans_action!C200</f>
        <v>0</v>
      </c>
      <c r="E23" s="1334">
        <f>Plans_action!D200</f>
        <v>0</v>
      </c>
      <c r="F23" s="1326">
        <f>Plans_action!E200</f>
        <v>0</v>
      </c>
      <c r="G23" s="1321" t="s">
        <v>3352</v>
      </c>
      <c r="H23" s="1326">
        <f>Plans_action!B263</f>
        <v>0</v>
      </c>
      <c r="I23" s="1326">
        <f>Plans_action!C263</f>
        <v>0</v>
      </c>
      <c r="J23" s="1326">
        <f>Plans_action!D263</f>
        <v>0</v>
      </c>
      <c r="K23" s="1326">
        <f>Plans_action!E263</f>
        <v>0</v>
      </c>
      <c r="L23" s="1321" t="s">
        <v>3352</v>
      </c>
      <c r="M23" s="1328"/>
      <c r="N23" s="1328"/>
      <c r="O23" s="1328"/>
      <c r="P23" s="1328"/>
      <c r="Q23" s="1293"/>
      <c r="T23" s="1659">
        <v>2</v>
      </c>
      <c r="U23" s="1657">
        <f>IF(IndG = 1, COUNTIF(Scénarios!$AU$6:$AU$851,21),COUNTIF(Scénarios!$AV$6:$AV$851,21))</f>
        <v>0</v>
      </c>
      <c r="V23" s="1661">
        <f>IF(IndG = 1, COUNTIF(Scénarios!$AU$6:$AU$851,22),COUNTIF(Scénarios!$AV$6:$AV$851,22))</f>
        <v>0</v>
      </c>
      <c r="W23" s="1661">
        <f>IF(IndG = 1, COUNTIF(Scénarios!$AU$6:$AU$851,23),COUNTIF(Scénarios!$AV$6:$AV$851,23))</f>
        <v>0</v>
      </c>
      <c r="X23" s="1662">
        <f>IF(IndG = 1, COUNTIF(Scénarios!$AU$6:$AU$851,24),COUNTIF(Scénarios!$AV$6:$AV$851,24))</f>
        <v>0</v>
      </c>
    </row>
    <row r="24" spans="1:24" ht="15.75" customHeight="1" x14ac:dyDescent="0.2">
      <c r="A24" s="1392" t="s">
        <v>2786</v>
      </c>
      <c r="B24" s="1393" t="s">
        <v>3311</v>
      </c>
      <c r="C24" s="1326">
        <f>Plans_action!B207</f>
        <v>0</v>
      </c>
      <c r="D24" s="1326">
        <f>Plans_action!C207</f>
        <v>0</v>
      </c>
      <c r="E24" s="1334">
        <f>Plans_action!D207</f>
        <v>0</v>
      </c>
      <c r="F24" s="1326">
        <f>Plans_action!E207</f>
        <v>0</v>
      </c>
      <c r="G24" s="1321" t="s">
        <v>3352</v>
      </c>
      <c r="H24" s="1326">
        <f>Plans_action!B268</f>
        <v>0</v>
      </c>
      <c r="I24" s="1326">
        <f>Plans_action!C268</f>
        <v>0</v>
      </c>
      <c r="J24" s="1326">
        <f>Plans_action!D268</f>
        <v>0</v>
      </c>
      <c r="K24" s="1326">
        <f>Plans_action!E268</f>
        <v>0</v>
      </c>
      <c r="L24" s="1321" t="s">
        <v>3352</v>
      </c>
      <c r="M24" s="1328"/>
      <c r="N24" s="1328"/>
      <c r="O24" s="1328"/>
      <c r="P24" s="1328"/>
      <c r="Q24" s="1293"/>
      <c r="T24" s="1659">
        <v>1</v>
      </c>
      <c r="U24" s="1657">
        <f>IF(IndG = 1, COUNTIF(Scénarios!$AU$6:$AU$851,11),COUNTIF(Scénarios!$AV$6:$AV$851,11))</f>
        <v>0</v>
      </c>
      <c r="V24" s="1657">
        <f>IF(IndG = 1, COUNTIF(Scénarios!$AU$6:$AU$851,12),COUNTIF(Scénarios!$AV$6:$AV$851,12))</f>
        <v>0</v>
      </c>
      <c r="W24" s="1657">
        <f>IF(IndG = 1, COUNTIF(Scénarios!$AU$6:$AU$851,13),COUNTIF(Scénarios!$AV$6:$AV$851,13))</f>
        <v>0</v>
      </c>
      <c r="X24" s="1661">
        <f>IF(IndG = 1, COUNTIF(Scénarios!$AU$6:$AU$851,14),COUNTIF(Scénarios!$AV$6:$AV$851,14))</f>
        <v>0</v>
      </c>
    </row>
    <row r="25" spans="1:24" ht="15.75" customHeight="1" x14ac:dyDescent="0.2">
      <c r="A25" s="1392" t="s">
        <v>2787</v>
      </c>
      <c r="B25" s="1393" t="s">
        <v>3312</v>
      </c>
      <c r="C25" s="1326">
        <f>Plans_action!B215</f>
        <v>0</v>
      </c>
      <c r="D25" s="1326">
        <f>Plans_action!C215</f>
        <v>0</v>
      </c>
      <c r="E25" s="1334">
        <f>Plans_action!D215</f>
        <v>0</v>
      </c>
      <c r="F25" s="1326">
        <f>Plans_action!E215</f>
        <v>0</v>
      </c>
      <c r="G25" s="1321" t="s">
        <v>3352</v>
      </c>
      <c r="H25" s="1326">
        <f>Plans_action!B273</f>
        <v>0</v>
      </c>
      <c r="I25" s="1326">
        <f>Plans_action!C273</f>
        <v>0</v>
      </c>
      <c r="J25" s="1326">
        <f>Plans_action!D273</f>
        <v>0</v>
      </c>
      <c r="K25" s="1326">
        <f>Plans_action!E273</f>
        <v>0</v>
      </c>
      <c r="L25" s="1321" t="s">
        <v>3352</v>
      </c>
      <c r="M25" s="1326">
        <f>Plans_action!B296</f>
        <v>0</v>
      </c>
      <c r="N25" s="1326">
        <f>Plans_action!C296</f>
        <v>0</v>
      </c>
      <c r="O25" s="1326">
        <f>Plans_action!D296</f>
        <v>0</v>
      </c>
      <c r="P25" s="1326">
        <f>Plans_action!E296</f>
        <v>0</v>
      </c>
      <c r="Q25" s="1321" t="s">
        <v>3352</v>
      </c>
      <c r="U25" s="1659">
        <v>1</v>
      </c>
      <c r="V25" s="1659">
        <v>2</v>
      </c>
      <c r="W25" s="1659">
        <v>3</v>
      </c>
      <c r="X25" s="1659">
        <v>4</v>
      </c>
    </row>
    <row r="26" spans="1:24" ht="25.5" x14ac:dyDescent="0.2">
      <c r="A26" s="1392" t="s">
        <v>5458</v>
      </c>
      <c r="B26" s="1388" t="s">
        <v>5075</v>
      </c>
      <c r="C26" s="1326">
        <f>Plans_action!B224</f>
        <v>0</v>
      </c>
      <c r="D26" s="1326">
        <f>Plans_action!C224</f>
        <v>0</v>
      </c>
      <c r="E26" s="1334">
        <f>Plans_action!D224</f>
        <v>0</v>
      </c>
      <c r="F26" s="1326">
        <f>Plans_action!E224</f>
        <v>0</v>
      </c>
      <c r="G26" s="1321" t="s">
        <v>3352</v>
      </c>
      <c r="H26" s="1326">
        <f>Plans_action!B279</f>
        <v>0</v>
      </c>
      <c r="I26" s="1326">
        <f>Plans_action!C279</f>
        <v>0</v>
      </c>
      <c r="J26" s="1326">
        <f>Plans_action!D279</f>
        <v>0</v>
      </c>
      <c r="K26" s="1326">
        <f>Plans_action!E279</f>
        <v>0</v>
      </c>
      <c r="L26" s="1321" t="s">
        <v>3352</v>
      </c>
      <c r="M26" s="1328"/>
      <c r="N26" s="1328"/>
      <c r="O26" s="1328"/>
      <c r="P26" s="1328"/>
      <c r="Q26" s="1321"/>
      <c r="U26" s="2076" t="s">
        <v>1226</v>
      </c>
      <c r="V26" s="2076"/>
      <c r="W26" s="2076"/>
      <c r="X26" s="2076"/>
    </row>
    <row r="27" spans="1:24" ht="25.5" customHeight="1" x14ac:dyDescent="0.2">
      <c r="A27" s="1392" t="s">
        <v>4819</v>
      </c>
      <c r="B27" s="1388" t="s">
        <v>4780</v>
      </c>
      <c r="C27" s="1326">
        <f>Plans_action!B233</f>
        <v>0</v>
      </c>
      <c r="D27" s="1326">
        <f>Plans_action!C233</f>
        <v>0</v>
      </c>
      <c r="E27" s="1334">
        <f>Plans_action!D233</f>
        <v>0</v>
      </c>
      <c r="F27" s="1326">
        <f>Plans_action!E233</f>
        <v>0</v>
      </c>
      <c r="G27" s="1321" t="s">
        <v>3352</v>
      </c>
      <c r="H27" s="1328"/>
      <c r="I27" s="1328"/>
      <c r="J27" s="1328"/>
      <c r="K27" s="1328"/>
      <c r="L27" s="1328"/>
      <c r="M27" s="1328"/>
      <c r="N27" s="1328"/>
      <c r="O27" s="1328"/>
      <c r="P27" s="1328"/>
      <c r="Q27" s="1321"/>
      <c r="T27" s="2077" t="s">
        <v>7575</v>
      </c>
      <c r="U27" s="2077"/>
      <c r="V27" s="2077"/>
      <c r="W27" s="2077"/>
      <c r="X27" s="2077"/>
    </row>
    <row r="28" spans="1:24" ht="15.75" customHeight="1" x14ac:dyDescent="0.2">
      <c r="A28" s="1392" t="s">
        <v>3313</v>
      </c>
      <c r="B28" s="1388" t="s">
        <v>6496</v>
      </c>
      <c r="C28" s="1326">
        <f>Plans_action!B240</f>
        <v>0</v>
      </c>
      <c r="D28" s="1326">
        <f>Plans_action!C240</f>
        <v>0</v>
      </c>
      <c r="E28" s="1334">
        <f>Plans_action!D240</f>
        <v>0</v>
      </c>
      <c r="F28" s="1326">
        <f>Plans_action!E240</f>
        <v>0</v>
      </c>
      <c r="G28" s="1321" t="s">
        <v>3352</v>
      </c>
      <c r="H28" s="1326">
        <f>Plans_action!B285</f>
        <v>0</v>
      </c>
      <c r="I28" s="1326">
        <f>Plans_action!C285</f>
        <v>0</v>
      </c>
      <c r="J28" s="1326">
        <f>Plans_action!D285</f>
        <v>0</v>
      </c>
      <c r="K28" s="1326">
        <f>Plans_action!E285</f>
        <v>0</v>
      </c>
      <c r="L28" s="1321" t="s">
        <v>3352</v>
      </c>
      <c r="M28" s="1328"/>
      <c r="N28" s="1328"/>
      <c r="O28" s="1328"/>
      <c r="P28" s="1328"/>
      <c r="Q28" s="1321"/>
      <c r="T28" s="385" t="s">
        <v>7576</v>
      </c>
    </row>
    <row r="29" spans="1:24" ht="15.75" customHeight="1" x14ac:dyDescent="0.2">
      <c r="A29" s="1392" t="s">
        <v>3314</v>
      </c>
      <c r="B29" s="1388" t="s">
        <v>5161</v>
      </c>
      <c r="C29" s="1326">
        <f>Plans_action!B249</f>
        <v>0</v>
      </c>
      <c r="D29" s="1326">
        <f>Plans_action!C249</f>
        <v>0</v>
      </c>
      <c r="E29" s="1334">
        <f>Plans_action!D249</f>
        <v>0</v>
      </c>
      <c r="F29" s="1326">
        <f>Plans_action!E249</f>
        <v>0</v>
      </c>
      <c r="G29" s="1321" t="s">
        <v>3352</v>
      </c>
      <c r="H29" s="1326">
        <f>Plans_action!B290</f>
        <v>0</v>
      </c>
      <c r="I29" s="1326">
        <f>Plans_action!C290</f>
        <v>0</v>
      </c>
      <c r="J29" s="1326">
        <f>Plans_action!D290</f>
        <v>0</v>
      </c>
      <c r="K29" s="1326">
        <f>Plans_action!E290</f>
        <v>0</v>
      </c>
      <c r="L29" s="1321" t="s">
        <v>3352</v>
      </c>
      <c r="M29" s="1328"/>
      <c r="N29" s="1328"/>
      <c r="O29" s="1328"/>
      <c r="P29" s="1328"/>
      <c r="Q29" s="1321"/>
      <c r="T29" s="2078" t="s">
        <v>7578</v>
      </c>
      <c r="U29" s="2079"/>
      <c r="V29" s="2079"/>
      <c r="W29" s="2079"/>
      <c r="X29" s="2079"/>
    </row>
    <row r="30" spans="1:24" ht="15.75" customHeight="1" x14ac:dyDescent="0.2">
      <c r="A30" s="1200"/>
      <c r="B30" s="1201"/>
      <c r="C30" s="1324"/>
      <c r="D30" s="1324"/>
      <c r="E30" s="1336"/>
      <c r="F30" s="1324"/>
      <c r="G30" s="1324"/>
      <c r="H30" s="1324"/>
      <c r="I30" s="1324"/>
      <c r="J30" s="1324"/>
      <c r="K30" s="1324"/>
      <c r="L30" s="1324"/>
      <c r="M30" s="1324"/>
      <c r="N30" s="1324"/>
      <c r="O30" s="1324"/>
      <c r="P30" s="1324"/>
      <c r="Q30" s="1321"/>
      <c r="T30" s="2080" t="s">
        <v>7577</v>
      </c>
      <c r="U30" s="2081"/>
      <c r="V30" s="2081"/>
      <c r="W30" s="2081"/>
      <c r="X30" s="2081"/>
    </row>
    <row r="31" spans="1:24" ht="15.75" customHeight="1" x14ac:dyDescent="0.2">
      <c r="A31" s="1190" t="s">
        <v>5283</v>
      </c>
      <c r="B31" s="1190"/>
      <c r="C31" s="2063" t="s">
        <v>4341</v>
      </c>
      <c r="D31" s="2063"/>
      <c r="E31" s="2063"/>
      <c r="F31" s="2063"/>
      <c r="G31" s="2063"/>
      <c r="H31" s="1302"/>
      <c r="I31" s="1302"/>
      <c r="J31" s="1302"/>
      <c r="K31" s="1302"/>
      <c r="L31" s="1302"/>
      <c r="M31" s="1302"/>
      <c r="N31" s="1302"/>
      <c r="O31" s="1302"/>
      <c r="P31" s="1302"/>
      <c r="Q31" s="1321"/>
      <c r="T31" s="2084" t="s">
        <v>7579</v>
      </c>
      <c r="U31" s="2085"/>
      <c r="V31" s="2085"/>
      <c r="W31" s="2085"/>
      <c r="X31" s="2085"/>
    </row>
    <row r="32" spans="1:24" ht="15.75" customHeight="1" x14ac:dyDescent="0.2">
      <c r="A32" s="1282" t="s">
        <v>2789</v>
      </c>
      <c r="B32" s="1282"/>
      <c r="C32" s="1323"/>
      <c r="D32" s="1323"/>
      <c r="E32" s="1323"/>
      <c r="F32" s="1323"/>
      <c r="G32" s="1323"/>
      <c r="H32" s="1323"/>
      <c r="I32" s="1323"/>
      <c r="J32" s="1323"/>
      <c r="K32" s="1323"/>
      <c r="L32" s="1323"/>
      <c r="M32" s="1323"/>
      <c r="N32" s="1323"/>
      <c r="O32" s="1323"/>
      <c r="P32" s="1323"/>
      <c r="Q32" s="1321"/>
      <c r="T32" s="2082" t="s">
        <v>7580</v>
      </c>
      <c r="U32" s="2083"/>
      <c r="V32" s="2083"/>
      <c r="W32" s="2083"/>
      <c r="X32" s="2083"/>
    </row>
    <row r="33" spans="1:36" ht="25.5" x14ac:dyDescent="0.2">
      <c r="A33" s="1199" t="s">
        <v>2790</v>
      </c>
      <c r="B33" s="1195" t="s">
        <v>1227</v>
      </c>
      <c r="C33" s="1327">
        <f>Plans_action!B301</f>
        <v>0</v>
      </c>
      <c r="D33" s="1327">
        <f>Plans_action!C301</f>
        <v>0</v>
      </c>
      <c r="E33" s="1327">
        <f>Plans_action!D301</f>
        <v>0</v>
      </c>
      <c r="F33" s="1327">
        <f>Plans_action!E301</f>
        <v>0</v>
      </c>
      <c r="G33" s="1321" t="s">
        <v>3352</v>
      </c>
      <c r="H33" s="1328"/>
      <c r="I33" s="1328"/>
      <c r="J33" s="1328"/>
      <c r="K33" s="1328"/>
      <c r="L33" s="1328"/>
      <c r="M33" s="1328"/>
      <c r="N33" s="1328"/>
      <c r="O33" s="1328"/>
      <c r="P33" s="1328"/>
      <c r="Q33" s="1321"/>
    </row>
    <row r="34" spans="1:36" x14ac:dyDescent="0.2">
      <c r="A34" s="1199" t="s">
        <v>2791</v>
      </c>
      <c r="B34" s="1203" t="s">
        <v>2926</v>
      </c>
      <c r="C34" s="1327">
        <f>Plans_action!B306</f>
        <v>0</v>
      </c>
      <c r="D34" s="1327">
        <f>Plans_action!C306</f>
        <v>0</v>
      </c>
      <c r="E34" s="1327">
        <f>Plans_action!D306</f>
        <v>0</v>
      </c>
      <c r="F34" s="1327">
        <f>Plans_action!E306</f>
        <v>0</v>
      </c>
      <c r="G34" s="1321" t="s">
        <v>3352</v>
      </c>
      <c r="H34" s="1328"/>
      <c r="I34" s="1328"/>
      <c r="J34" s="1328"/>
      <c r="K34" s="1328"/>
      <c r="L34" s="1328"/>
      <c r="M34" s="1328"/>
      <c r="N34" s="1328"/>
      <c r="O34" s="1328"/>
      <c r="P34" s="1328"/>
      <c r="Q34" s="1321"/>
      <c r="T34" s="1678" t="s">
        <v>1225</v>
      </c>
      <c r="U34" s="1680" t="s">
        <v>7595</v>
      </c>
      <c r="V34" s="1681"/>
      <c r="W34" s="1681"/>
      <c r="X34" s="1681"/>
    </row>
    <row r="35" spans="1:36" ht="25.5" x14ac:dyDescent="0.2">
      <c r="A35" s="1199" t="s">
        <v>2792</v>
      </c>
      <c r="B35" s="1204" t="s">
        <v>2927</v>
      </c>
      <c r="C35" s="1327">
        <f>Plans_action!B311</f>
        <v>0</v>
      </c>
      <c r="D35" s="1327">
        <f>Plans_action!C311</f>
        <v>0</v>
      </c>
      <c r="E35" s="1327">
        <f>Plans_action!D311</f>
        <v>0</v>
      </c>
      <c r="F35" s="1327">
        <f>Plans_action!E311</f>
        <v>0</v>
      </c>
      <c r="G35" s="1321" t="s">
        <v>3352</v>
      </c>
      <c r="H35" s="1328"/>
      <c r="I35" s="1328"/>
      <c r="J35" s="1328"/>
      <c r="K35" s="1328"/>
      <c r="L35" s="1328"/>
      <c r="M35" s="1328"/>
      <c r="N35" s="1328"/>
      <c r="O35" s="1328"/>
      <c r="P35" s="1328"/>
      <c r="Q35" s="1293"/>
      <c r="T35" s="1679">
        <v>4</v>
      </c>
      <c r="U35" s="1674">
        <f>COUNTIF(Scénarios!$AU$6:$AU$851,41)</f>
        <v>0</v>
      </c>
      <c r="V35" s="1675">
        <f>COUNTIF(Scénarios!$AU$6:$AU$851,42)</f>
        <v>0</v>
      </c>
      <c r="W35" s="1676">
        <f>COUNTIF(Scénarios!$AU$6:$AU$851,43)</f>
        <v>0</v>
      </c>
      <c r="X35" s="1676">
        <f>COUNTIF(Scénarios!$AU$6:$AU$851,44)</f>
        <v>0</v>
      </c>
    </row>
    <row r="36" spans="1:36" x14ac:dyDescent="0.2">
      <c r="A36" s="1199" t="s">
        <v>2793</v>
      </c>
      <c r="B36" s="1203" t="s">
        <v>1228</v>
      </c>
      <c r="C36" s="1327">
        <f>Plans_action!B316</f>
        <v>0</v>
      </c>
      <c r="D36" s="1327">
        <f>Plans_action!C316</f>
        <v>0</v>
      </c>
      <c r="E36" s="1327">
        <f>Plans_action!D316</f>
        <v>0</v>
      </c>
      <c r="F36" s="1327">
        <f>Plans_action!E316</f>
        <v>0</v>
      </c>
      <c r="G36" s="1321" t="s">
        <v>3352</v>
      </c>
      <c r="H36" s="1328"/>
      <c r="I36" s="1328"/>
      <c r="J36" s="1328"/>
      <c r="K36" s="1328"/>
      <c r="L36" s="1328"/>
      <c r="M36" s="1328"/>
      <c r="N36" s="1328"/>
      <c r="O36" s="1328"/>
      <c r="P36" s="1328"/>
      <c r="Q36" s="1293"/>
      <c r="T36" s="1679">
        <v>3</v>
      </c>
      <c r="U36" s="1674">
        <f>COUNTIF(Scénarios!$AU$6:$AU$851,31)</f>
        <v>0</v>
      </c>
      <c r="V36" s="1675">
        <f>COUNTIF(Scénarios!$AU$6:$AU$851,32)</f>
        <v>0</v>
      </c>
      <c r="W36" s="1675">
        <f>COUNTIF(Scénarios!$AU$6:$AU$851,33)</f>
        <v>0</v>
      </c>
      <c r="X36" s="1676">
        <f>COUNTIF(Scénarios!$AU$6:$AU$851,34)</f>
        <v>0</v>
      </c>
    </row>
    <row r="37" spans="1:36" x14ac:dyDescent="0.2">
      <c r="A37" s="1199" t="s">
        <v>5578</v>
      </c>
      <c r="B37" s="1203" t="s">
        <v>944</v>
      </c>
      <c r="C37" s="1327">
        <f>Plans_action!B321</f>
        <v>0</v>
      </c>
      <c r="D37" s="1327">
        <f>Plans_action!C321</f>
        <v>0</v>
      </c>
      <c r="E37" s="1327">
        <f>Plans_action!D321</f>
        <v>0</v>
      </c>
      <c r="F37" s="1327">
        <f>Plans_action!E321</f>
        <v>0</v>
      </c>
      <c r="G37" s="1321" t="s">
        <v>3352</v>
      </c>
      <c r="H37" s="1328"/>
      <c r="I37" s="1328"/>
      <c r="J37" s="1328"/>
      <c r="K37" s="1328"/>
      <c r="L37" s="1328"/>
      <c r="M37" s="1328"/>
      <c r="N37" s="1328"/>
      <c r="O37" s="1328"/>
      <c r="P37" s="1328"/>
      <c r="Q37" s="1293"/>
      <c r="T37" s="1679">
        <v>2</v>
      </c>
      <c r="U37" s="1677">
        <f>COUNTIF(Scénarios!$AU$6:$AU$851,21)</f>
        <v>0</v>
      </c>
      <c r="V37" s="1674">
        <f>COUNTIF(Scénarios!$AU$6:$AU$851,22)</f>
        <v>0</v>
      </c>
      <c r="W37" s="1674">
        <f>COUNTIF(Scénarios!$AU$6:$AU$851,23)</f>
        <v>0</v>
      </c>
      <c r="X37" s="1675">
        <f>COUNTIF(Scénarios!$AU$6:$AU$851,24)</f>
        <v>0</v>
      </c>
    </row>
    <row r="38" spans="1:36" s="389" customFormat="1" ht="25.5" x14ac:dyDescent="0.2">
      <c r="A38" s="1199" t="s">
        <v>2928</v>
      </c>
      <c r="B38" s="1313" t="s">
        <v>1760</v>
      </c>
      <c r="C38" s="1327">
        <f>Plans_action!B326</f>
        <v>0</v>
      </c>
      <c r="D38" s="1327">
        <f>Plans_action!C326</f>
        <v>0</v>
      </c>
      <c r="E38" s="1327">
        <f>Plans_action!D326</f>
        <v>0</v>
      </c>
      <c r="F38" s="1327">
        <f>Plans_action!E326</f>
        <v>0</v>
      </c>
      <c r="G38" s="1321" t="s">
        <v>3352</v>
      </c>
      <c r="H38" s="1328"/>
      <c r="I38" s="1328"/>
      <c r="J38" s="1328"/>
      <c r="K38" s="1328"/>
      <c r="L38" s="1328"/>
      <c r="M38" s="1328"/>
      <c r="N38" s="1328"/>
      <c r="O38" s="1328"/>
      <c r="P38" s="1328"/>
      <c r="Q38" s="1293"/>
      <c r="R38" s="388"/>
      <c r="S38" s="388"/>
      <c r="T38" s="1679">
        <v>1</v>
      </c>
      <c r="U38" s="1677">
        <f>COUNTIF(Scénarios!$AU$6:$AU$851,11)</f>
        <v>0</v>
      </c>
      <c r="V38" s="1677">
        <f>COUNTIF(Scénarios!$AU$6:$AU$851,12)</f>
        <v>0</v>
      </c>
      <c r="W38" s="1677">
        <f>COUNTIF(Scénarios!$AU$6:$AU$851,13)</f>
        <v>0</v>
      </c>
      <c r="X38" s="1674">
        <f>COUNTIF(Scénarios!$AU$6:$AU$851,14)</f>
        <v>0</v>
      </c>
      <c r="Y38" s="388"/>
      <c r="Z38" s="388"/>
      <c r="AA38" s="388"/>
      <c r="AB38" s="388"/>
      <c r="AC38" s="388"/>
      <c r="AD38" s="388"/>
      <c r="AE38" s="388"/>
      <c r="AF38" s="388"/>
      <c r="AG38" s="388"/>
      <c r="AH38" s="388"/>
      <c r="AI38" s="388"/>
      <c r="AJ38" s="388"/>
    </row>
    <row r="39" spans="1:36" ht="15.75" customHeight="1" x14ac:dyDescent="0.2">
      <c r="A39" s="392"/>
      <c r="B39" s="1194"/>
      <c r="C39" s="1326"/>
      <c r="D39" s="1326"/>
      <c r="E39" s="1326"/>
      <c r="F39" s="1326"/>
      <c r="G39" s="1326"/>
      <c r="H39" s="1293"/>
      <c r="I39" s="1293"/>
      <c r="J39" s="1293"/>
      <c r="K39" s="1293"/>
      <c r="L39" s="1293"/>
      <c r="M39" s="1293"/>
      <c r="N39" s="1293"/>
      <c r="O39" s="1293"/>
      <c r="P39" s="1293"/>
      <c r="Q39" s="1293"/>
      <c r="T39" s="394"/>
      <c r="U39" s="1679">
        <v>1</v>
      </c>
      <c r="V39" s="1679">
        <v>2</v>
      </c>
      <c r="W39" s="1679">
        <v>3</v>
      </c>
      <c r="X39" s="1679">
        <v>4</v>
      </c>
    </row>
    <row r="40" spans="1:36" s="385" customFormat="1" ht="15.75" customHeight="1" x14ac:dyDescent="0.2">
      <c r="B40" s="390"/>
      <c r="C40" s="1337"/>
      <c r="D40" s="1337"/>
      <c r="E40" s="1337"/>
      <c r="F40" s="1337"/>
      <c r="G40" s="1337"/>
      <c r="H40" s="1337"/>
      <c r="I40" s="1337"/>
      <c r="J40" s="1337"/>
      <c r="K40" s="1337"/>
      <c r="L40" s="1337"/>
      <c r="M40" s="1337"/>
      <c r="N40" s="1337"/>
      <c r="O40" s="1337"/>
      <c r="P40" s="1337"/>
      <c r="T40" s="394"/>
      <c r="U40" s="2053" t="s">
        <v>1226</v>
      </c>
      <c r="V40" s="2053"/>
      <c r="W40" s="2053"/>
      <c r="X40" s="2053"/>
    </row>
    <row r="41" spans="1:36" s="385" customFormat="1" ht="15.75" customHeight="1" x14ac:dyDescent="0.2">
      <c r="B41" s="391" t="s">
        <v>7285</v>
      </c>
      <c r="C41" s="1324">
        <f>SUM( C5:C15)+SUM(C19:C29)</f>
        <v>0</v>
      </c>
      <c r="D41" s="1324">
        <f t="shared" ref="D41:P41" si="0">SUM( D5:D15)+SUM(D19:D29)</f>
        <v>0</v>
      </c>
      <c r="E41" s="1324">
        <f t="shared" si="0"/>
        <v>0</v>
      </c>
      <c r="F41" s="1324">
        <f t="shared" si="0"/>
        <v>0</v>
      </c>
      <c r="G41" s="1338"/>
      <c r="H41" s="1324">
        <f t="shared" si="0"/>
        <v>0</v>
      </c>
      <c r="I41" s="1324">
        <f t="shared" si="0"/>
        <v>0</v>
      </c>
      <c r="J41" s="1324">
        <f t="shared" si="0"/>
        <v>0</v>
      </c>
      <c r="K41" s="1324">
        <f t="shared" si="0"/>
        <v>0</v>
      </c>
      <c r="L41" s="1338"/>
      <c r="M41" s="1324">
        <f t="shared" si="0"/>
        <v>0</v>
      </c>
      <c r="N41" s="1324">
        <f t="shared" si="0"/>
        <v>0</v>
      </c>
      <c r="O41" s="1324">
        <f t="shared" si="0"/>
        <v>0</v>
      </c>
      <c r="P41" s="1324">
        <f t="shared" si="0"/>
        <v>0</v>
      </c>
      <c r="T41" s="2054" t="s">
        <v>7575</v>
      </c>
      <c r="U41" s="2054"/>
      <c r="V41" s="2054"/>
      <c r="W41" s="2054"/>
      <c r="X41" s="2054"/>
    </row>
    <row r="42" spans="1:36" s="385" customFormat="1" ht="15.75" customHeight="1" x14ac:dyDescent="0.2">
      <c r="B42" s="395" t="s">
        <v>7286</v>
      </c>
      <c r="C42" s="1324">
        <f>SUM(C33:C38)</f>
        <v>0</v>
      </c>
      <c r="D42" s="1324">
        <f>SUM(D33:D38)</f>
        <v>0</v>
      </c>
      <c r="E42" s="1324">
        <f>SUM(E33:E38)</f>
        <v>0</v>
      </c>
      <c r="F42" s="1324">
        <f>SUM(F33:F38)</f>
        <v>0</v>
      </c>
      <c r="G42" s="1338"/>
      <c r="H42" s="1338"/>
      <c r="I42" s="1338"/>
      <c r="J42" s="1338"/>
      <c r="K42" s="1338"/>
      <c r="L42" s="1338"/>
      <c r="M42" s="1338"/>
      <c r="N42" s="1338"/>
      <c r="O42" s="1338"/>
      <c r="P42" s="1338"/>
    </row>
    <row r="43" spans="1:36" s="385" customFormat="1" ht="15.75" customHeight="1" x14ac:dyDescent="0.2">
      <c r="B43" s="396"/>
      <c r="C43" s="396"/>
      <c r="D43" s="396"/>
      <c r="E43" s="396"/>
      <c r="F43" s="397"/>
      <c r="K43" s="397"/>
    </row>
    <row r="44" spans="1:36" s="385" customFormat="1" ht="15.75" customHeight="1" x14ac:dyDescent="0.2">
      <c r="B44" s="1314" t="s">
        <v>7288</v>
      </c>
      <c r="C44" s="2068" t="s">
        <v>7283</v>
      </c>
      <c r="D44" s="2069"/>
      <c r="E44" s="2069"/>
      <c r="F44" s="380"/>
      <c r="G44" s="382"/>
      <c r="K44" s="397"/>
    </row>
    <row r="45" spans="1:36" s="385" customFormat="1" ht="15.75" customHeight="1" x14ac:dyDescent="0.2">
      <c r="B45" s="398" t="s">
        <v>7284</v>
      </c>
      <c r="C45" s="382"/>
      <c r="D45" s="382"/>
      <c r="E45" s="382"/>
      <c r="F45" s="399"/>
      <c r="G45" s="382"/>
      <c r="K45" s="397"/>
    </row>
    <row r="46" spans="1:36" s="385" customFormat="1" x14ac:dyDescent="0.2">
      <c r="B46" s="390"/>
      <c r="F46" s="397"/>
      <c r="K46" s="397"/>
    </row>
    <row r="47" spans="1:36" s="385" customFormat="1" x14ac:dyDescent="0.2">
      <c r="B47" s="390"/>
    </row>
    <row r="48" spans="1:36" s="385" customFormat="1" x14ac:dyDescent="0.2">
      <c r="B48" s="390"/>
    </row>
    <row r="49" spans="2:2" s="385" customFormat="1" x14ac:dyDescent="0.2">
      <c r="B49" s="390"/>
    </row>
    <row r="50" spans="2:2" s="385" customFormat="1" x14ac:dyDescent="0.2">
      <c r="B50" s="390"/>
    </row>
    <row r="51" spans="2:2" s="385" customFormat="1" x14ac:dyDescent="0.2">
      <c r="B51" s="390"/>
    </row>
    <row r="52" spans="2:2" s="385" customFormat="1" x14ac:dyDescent="0.2">
      <c r="B52" s="390"/>
    </row>
    <row r="53" spans="2:2" s="385" customFormat="1" x14ac:dyDescent="0.2">
      <c r="B53" s="390"/>
    </row>
    <row r="54" spans="2:2" s="385" customFormat="1" x14ac:dyDescent="0.2">
      <c r="B54" s="390"/>
    </row>
    <row r="55" spans="2:2" s="385" customFormat="1" x14ac:dyDescent="0.2">
      <c r="B55" s="390"/>
    </row>
    <row r="56" spans="2:2" s="385" customFormat="1" x14ac:dyDescent="0.2">
      <c r="B56" s="390"/>
    </row>
    <row r="57" spans="2:2" s="385" customFormat="1" x14ac:dyDescent="0.2">
      <c r="B57" s="390"/>
    </row>
    <row r="58" spans="2:2" s="385" customFormat="1" x14ac:dyDescent="0.2">
      <c r="B58" s="390"/>
    </row>
    <row r="59" spans="2:2" s="385" customFormat="1" x14ac:dyDescent="0.2">
      <c r="B59" s="390"/>
    </row>
    <row r="60" spans="2:2" s="385" customFormat="1" x14ac:dyDescent="0.2">
      <c r="B60" s="390"/>
    </row>
    <row r="61" spans="2:2" s="385" customFormat="1" x14ac:dyDescent="0.2">
      <c r="B61" s="390"/>
    </row>
    <row r="62" spans="2:2" s="385" customFormat="1" x14ac:dyDescent="0.2">
      <c r="B62" s="390"/>
    </row>
    <row r="63" spans="2:2" s="385" customFormat="1" x14ac:dyDescent="0.2">
      <c r="B63" s="390"/>
    </row>
    <row r="64" spans="2:2" s="385" customFormat="1" x14ac:dyDescent="0.2">
      <c r="B64" s="390"/>
    </row>
    <row r="65" spans="2:2" s="385" customFormat="1" x14ac:dyDescent="0.2">
      <c r="B65" s="390"/>
    </row>
    <row r="66" spans="2:2" s="385" customFormat="1" x14ac:dyDescent="0.2">
      <c r="B66" s="390"/>
    </row>
    <row r="67" spans="2:2" s="385" customFormat="1" x14ac:dyDescent="0.2">
      <c r="B67" s="390"/>
    </row>
    <row r="68" spans="2:2" s="385" customFormat="1" x14ac:dyDescent="0.2">
      <c r="B68" s="390"/>
    </row>
    <row r="69" spans="2:2" s="385" customFormat="1" x14ac:dyDescent="0.2">
      <c r="B69" s="390"/>
    </row>
    <row r="70" spans="2:2" s="385" customFormat="1" x14ac:dyDescent="0.2">
      <c r="B70" s="390"/>
    </row>
    <row r="71" spans="2:2" s="385" customFormat="1" x14ac:dyDescent="0.2">
      <c r="B71" s="390"/>
    </row>
    <row r="72" spans="2:2" s="385" customFormat="1" x14ac:dyDescent="0.2">
      <c r="B72" s="390"/>
    </row>
    <row r="73" spans="2:2" s="385" customFormat="1" x14ac:dyDescent="0.2">
      <c r="B73" s="390"/>
    </row>
    <row r="74" spans="2:2" s="385" customFormat="1" x14ac:dyDescent="0.2">
      <c r="B74" s="390"/>
    </row>
    <row r="75" spans="2:2" s="385" customFormat="1" x14ac:dyDescent="0.2">
      <c r="B75" s="390"/>
    </row>
    <row r="76" spans="2:2" s="385" customFormat="1" x14ac:dyDescent="0.2">
      <c r="B76" s="390"/>
    </row>
    <row r="77" spans="2:2" s="385" customFormat="1" x14ac:dyDescent="0.2">
      <c r="B77" s="390"/>
    </row>
    <row r="78" spans="2:2" s="385" customFormat="1" x14ac:dyDescent="0.2">
      <c r="B78" s="390"/>
    </row>
    <row r="79" spans="2:2" s="385" customFormat="1" x14ac:dyDescent="0.2">
      <c r="B79" s="390"/>
    </row>
    <row r="80" spans="2:2" s="385" customFormat="1" x14ac:dyDescent="0.2">
      <c r="B80" s="390"/>
    </row>
    <row r="81" spans="2:2" s="385" customFormat="1" x14ac:dyDescent="0.2">
      <c r="B81" s="390"/>
    </row>
  </sheetData>
  <sheetProtection sheet="1" objects="1" scenarios="1" formatCells="0" formatColumns="0" formatRows="0" insertColumns="0" insertRows="0"/>
  <mergeCells count="29">
    <mergeCell ref="S8:S9"/>
    <mergeCell ref="S11:S12"/>
    <mergeCell ref="S4:X6"/>
    <mergeCell ref="T7:X7"/>
    <mergeCell ref="T10:X10"/>
    <mergeCell ref="C44:E44"/>
    <mergeCell ref="S14:S15"/>
    <mergeCell ref="S17:S18"/>
    <mergeCell ref="T17:X18"/>
    <mergeCell ref="U26:X26"/>
    <mergeCell ref="T27:X27"/>
    <mergeCell ref="T29:X29"/>
    <mergeCell ref="T30:X30"/>
    <mergeCell ref="T32:X32"/>
    <mergeCell ref="T31:X31"/>
    <mergeCell ref="M1:Q1"/>
    <mergeCell ref="C31:G31"/>
    <mergeCell ref="C1:G1"/>
    <mergeCell ref="H1:L1"/>
    <mergeCell ref="A1:B2"/>
    <mergeCell ref="T1:X1"/>
    <mergeCell ref="U40:X40"/>
    <mergeCell ref="T41:X41"/>
    <mergeCell ref="U20:X20"/>
    <mergeCell ref="T13:X13"/>
    <mergeCell ref="T16:X16"/>
    <mergeCell ref="T8:X9"/>
    <mergeCell ref="T11:X12"/>
    <mergeCell ref="T14:X15"/>
  </mergeCells>
  <phoneticPr fontId="20" type="noConversion"/>
  <conditionalFormatting sqref="E4 E40 E47:E65535">
    <cfRule type="cellIs" dxfId="52" priority="16" stopIfTrue="1" operator="greaterThan">
      <formula>0</formula>
    </cfRule>
  </conditionalFormatting>
  <conditionalFormatting sqref="F4 F40 F47:F65535">
    <cfRule type="cellIs" dxfId="51" priority="17" stopIfTrue="1" operator="greaterThan">
      <formula>0</formula>
    </cfRule>
  </conditionalFormatting>
  <conditionalFormatting sqref="O1 O4 O40 O47:O65535">
    <cfRule type="cellIs" dxfId="50" priority="18" stopIfTrue="1" operator="greaterThan">
      <formula>0</formula>
    </cfRule>
  </conditionalFormatting>
  <conditionalFormatting sqref="D30:F32 C5:C38 N30:P38 I30:K38 G5:H38 L5:M38">
    <cfRule type="cellIs" dxfId="49" priority="19" stopIfTrue="1" operator="equal">
      <formula>4</formula>
    </cfRule>
    <cfRule type="cellIs" dxfId="48" priority="20" stopIfTrue="1" operator="equal">
      <formula>3</formula>
    </cfRule>
    <cfRule type="cellIs" dxfId="47" priority="21" stopIfTrue="1" operator="equal">
      <formula>2</formula>
    </cfRule>
  </conditionalFormatting>
  <conditionalFormatting sqref="F33:F38 F5:F29 K5:K29 P5:P29">
    <cfRule type="cellIs" dxfId="46" priority="22" stopIfTrue="1" operator="greaterThan">
      <formula>0</formula>
    </cfRule>
  </conditionalFormatting>
  <conditionalFormatting sqref="E33:E38 E5:E29 J5:J29 O5:O29">
    <cfRule type="cellIs" dxfId="45" priority="23" stopIfTrue="1" operator="greaterThan">
      <formula>0</formula>
    </cfRule>
  </conditionalFormatting>
  <conditionalFormatting sqref="D33:D38 D5:D29 I5:I29 N5:N29">
    <cfRule type="cellIs" dxfId="44" priority="24" stopIfTrue="1" operator="greaterThan">
      <formula>0</formula>
    </cfRule>
  </conditionalFormatting>
  <conditionalFormatting sqref="E45:E46">
    <cfRule type="cellIs" dxfId="43" priority="10" stopIfTrue="1" operator="greaterThan">
      <formula>0</formula>
    </cfRule>
  </conditionalFormatting>
  <conditionalFormatting sqref="O42:O46">
    <cfRule type="cellIs" dxfId="42" priority="11" stopIfTrue="1" operator="greaterThan">
      <formula>0</formula>
    </cfRule>
  </conditionalFormatting>
  <conditionalFormatting sqref="F43:F46">
    <cfRule type="cellIs" dxfId="41" priority="12" stopIfTrue="1" operator="greaterThan">
      <formula>0</formula>
    </cfRule>
  </conditionalFormatting>
  <conditionalFormatting sqref="E41:E42 J41">
    <cfRule type="cellIs" dxfId="40" priority="13" stopIfTrue="1" operator="greaterThan">
      <formula>0</formula>
    </cfRule>
  </conditionalFormatting>
  <conditionalFormatting sqref="F41:F42 K41 P41">
    <cfRule type="cellIs" dxfId="39" priority="14" stopIfTrue="1" operator="greaterThan">
      <formula>0</formula>
    </cfRule>
  </conditionalFormatting>
  <conditionalFormatting sqref="D41:D42 I41 N41">
    <cfRule type="cellIs" dxfId="38" priority="15" stopIfTrue="1" operator="greaterThan">
      <formula>0</formula>
    </cfRule>
  </conditionalFormatting>
  <conditionalFormatting sqref="E45">
    <cfRule type="cellIs" dxfId="37" priority="9" stopIfTrue="1" operator="greaterThan">
      <formula>0</formula>
    </cfRule>
  </conditionalFormatting>
  <conditionalFormatting sqref="O41">
    <cfRule type="cellIs" dxfId="36" priority="7" stopIfTrue="1" operator="greaterThan">
      <formula>0</formula>
    </cfRule>
  </conditionalFormatting>
  <conditionalFormatting sqref="Q5:Q14">
    <cfRule type="cellIs" dxfId="35" priority="4" stopIfTrue="1" operator="equal">
      <formula>4</formula>
    </cfRule>
    <cfRule type="cellIs" dxfId="34" priority="5" stopIfTrue="1" operator="equal">
      <formula>3</formula>
    </cfRule>
    <cfRule type="cellIs" dxfId="33" priority="6" stopIfTrue="1" operator="equal">
      <formula>2</formula>
    </cfRule>
  </conditionalFormatting>
  <conditionalFormatting sqref="Q25:Q34">
    <cfRule type="cellIs" dxfId="32" priority="1" stopIfTrue="1" operator="equal">
      <formula>4</formula>
    </cfRule>
    <cfRule type="cellIs" dxfId="31" priority="2" stopIfTrue="1" operator="equal">
      <formula>3</formula>
    </cfRule>
    <cfRule type="cellIs" dxfId="30" priority="3" stopIfTrue="1" operator="equal">
      <formula>2</formula>
    </cfRule>
  </conditionalFormatting>
  <hyperlinks>
    <hyperlink ref="G5" location="'Plans_action'!A4" display="&gt;"/>
    <hyperlink ref="G6" location="'Plans_action'!A12" display="&gt;"/>
    <hyperlink ref="G7" location="'Plans_action'!A20" display="&gt;"/>
    <hyperlink ref="G8" location="'Plans_action'!A27" display="&gt;"/>
    <hyperlink ref="G10" location="'Plans_action'!A32" display="&gt;"/>
    <hyperlink ref="G11:G15" location="'Plans_d''action'!A24" display="&gt;"/>
    <hyperlink ref="G11" location="'Plans_action'!A37" display="&gt;"/>
    <hyperlink ref="G12" location="'Plans_action'!A42" display="&gt;"/>
    <hyperlink ref="G13" location="'Plans_action'!A47" display="&gt;"/>
    <hyperlink ref="G14" location="'Plans_action'!A52" display="&gt;"/>
    <hyperlink ref="G15" location="'Plans_action'!A57" display="&gt;"/>
    <hyperlink ref="G19" location="'Plans_action'!A187" display="&gt;"/>
    <hyperlink ref="G20" location="'Plans_action'!A192" display="&gt;"/>
    <hyperlink ref="G23" location="'Plans_action'!A199" display="&gt;"/>
    <hyperlink ref="G24" location="'Plans_action'!A206" display="&gt;"/>
    <hyperlink ref="G25" location="'Plans_action'!A214" display="&gt;"/>
    <hyperlink ref="G26" location="'Plans_action'!A223" display="&gt;"/>
    <hyperlink ref="G27" location="'Plans_action'!A232" display="&gt;"/>
    <hyperlink ref="G28" location="'Plans_action'!A239" display="&gt;"/>
    <hyperlink ref="G29" location="'Plans_action'!A248" display="&gt;"/>
    <hyperlink ref="L5" location="'Plans_action'!A62" display="&gt;"/>
    <hyperlink ref="L6" location="'Plans_action'!A71" display="&gt;"/>
    <hyperlink ref="L7" location="'Plans_action'!A79" display="&gt;"/>
    <hyperlink ref="L10" location="'Plans_action'!A87" display="&gt;"/>
    <hyperlink ref="L11" location="'Plans_action'!A97" display="&gt;"/>
    <hyperlink ref="L12" location="'Plans_action'!A102" display="&gt;"/>
    <hyperlink ref="L14" location="'Plans_action'!A107" display="&gt;"/>
    <hyperlink ref="L15" location="'Plans_action'!A112" display="&gt;"/>
    <hyperlink ref="L20" location="'Plans_action'!A257" display="&gt;"/>
    <hyperlink ref="L23" location="'Plans_action'!A262" display="&gt;"/>
    <hyperlink ref="L24" location="'Plans_action'!A267" display="&gt;"/>
    <hyperlink ref="L25" location="'Plans_action'!A272" display="&gt;"/>
    <hyperlink ref="L26" location="'Plans_action'!A278" display="&gt;"/>
    <hyperlink ref="L28" location="'Plans_action'!A284" display="&gt;"/>
    <hyperlink ref="L29" location="'Plans_action'!A289" display="&gt;"/>
    <hyperlink ref="Q5" location="'Plans_action'!A121" display="&gt;"/>
    <hyperlink ref="Q6" location="'Plans_action'!A131" display="&gt;"/>
    <hyperlink ref="Q7" location="'Plans_action'!A139" display="&gt;"/>
    <hyperlink ref="Q8" location="'Plans_action'!A146" display="&gt;"/>
    <hyperlink ref="Q9" location="'Plans_action'!A152" display="&gt;"/>
    <hyperlink ref="Q10" location="'Plans_action'!A157" display="&gt;"/>
    <hyperlink ref="Q11" location="'Plans_action'!A167" display="&gt;"/>
    <hyperlink ref="Q12" location="'Plans_action'!A172" display="&gt;"/>
    <hyperlink ref="Q13" location="'Plans_action'!A177" display="&gt;"/>
    <hyperlink ref="Q14" location="'Plans_action'!A182" display="&gt;"/>
    <hyperlink ref="Q25" location="'Plans_action'!A295" display="&gt;"/>
    <hyperlink ref="G33" location="'Plans_action'!A300" display="&gt;"/>
    <hyperlink ref="G34" location="'Plans_action'!A305" display="&gt;"/>
    <hyperlink ref="G35" location="'Plans_action'!A310" display="&gt;"/>
    <hyperlink ref="G36" location="'Plans_action'!A315" display="&gt;"/>
    <hyperlink ref="G37" location="'Plans_action'!A320" display="&gt;"/>
    <hyperlink ref="G38" location="'Plans_action'!A325" display="&gt;"/>
  </hyperlinks>
  <printOptions gridLines="1"/>
  <pageMargins left="0.28999999999999998" right="0.45" top="0.35" bottom="0.48" header="0.28999999999999998" footer="0.28000000000000003"/>
  <pageSetup paperSize="9" orientation="landscape" r:id="rId1"/>
  <headerFooter alignWithMargins="0">
    <oddFooter>&amp;L&amp;8&amp;F ! &amp;A&amp;C&amp;8&amp;P&amp;R&amp;8Décembre 2006</oddFooter>
  </headerFooter>
  <ignoredErrors>
    <ignoredError sqref="U21:X24"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88429" r:id="rId4" name="Option Button 13">
              <controlPr defaultSize="0" autoFill="0" autoLine="0" autoPict="0">
                <anchor moveWithCells="1">
                  <from>
                    <xdr:col>18</xdr:col>
                    <xdr:colOff>142875</xdr:colOff>
                    <xdr:row>7</xdr:row>
                    <xdr:rowOff>47625</xdr:rowOff>
                  </from>
                  <to>
                    <xdr:col>18</xdr:col>
                    <xdr:colOff>428625</xdr:colOff>
                    <xdr:row>7</xdr:row>
                    <xdr:rowOff>295275</xdr:rowOff>
                  </to>
                </anchor>
              </controlPr>
            </control>
          </mc:Choice>
        </mc:AlternateContent>
        <mc:AlternateContent xmlns:mc="http://schemas.openxmlformats.org/markup-compatibility/2006">
          <mc:Choice Requires="x14">
            <control shapeId="188430" r:id="rId5" name="Option Button 14">
              <controlPr defaultSize="0" autoFill="0" autoLine="0" autoPict="0">
                <anchor moveWithCells="1">
                  <from>
                    <xdr:col>18</xdr:col>
                    <xdr:colOff>142875</xdr:colOff>
                    <xdr:row>10</xdr:row>
                    <xdr:rowOff>47625</xdr:rowOff>
                  </from>
                  <to>
                    <xdr:col>18</xdr:col>
                    <xdr:colOff>409575</xdr:colOff>
                    <xdr:row>11</xdr:row>
                    <xdr:rowOff>76200</xdr:rowOff>
                  </to>
                </anchor>
              </controlPr>
            </control>
          </mc:Choice>
        </mc:AlternateContent>
        <mc:AlternateContent xmlns:mc="http://schemas.openxmlformats.org/markup-compatibility/2006">
          <mc:Choice Requires="x14">
            <control shapeId="188431" r:id="rId6" name="Option Button 15">
              <controlPr defaultSize="0" autoFill="0" autoLine="0" autoPict="0">
                <anchor moveWithCells="1">
                  <from>
                    <xdr:col>18</xdr:col>
                    <xdr:colOff>152400</xdr:colOff>
                    <xdr:row>13</xdr:row>
                    <xdr:rowOff>66675</xdr:rowOff>
                  </from>
                  <to>
                    <xdr:col>18</xdr:col>
                    <xdr:colOff>409575</xdr:colOff>
                    <xdr:row>14</xdr:row>
                    <xdr:rowOff>76200</xdr:rowOff>
                  </to>
                </anchor>
              </controlPr>
            </control>
          </mc:Choice>
        </mc:AlternateContent>
        <mc:AlternateContent xmlns:mc="http://schemas.openxmlformats.org/markup-compatibility/2006">
          <mc:Choice Requires="x14">
            <control shapeId="188432" r:id="rId7" name="Option Button 16">
              <controlPr defaultSize="0" autoFill="0" autoLine="0" autoPict="0" altText="">
                <anchor moveWithCells="1">
                  <from>
                    <xdr:col>18</xdr:col>
                    <xdr:colOff>152400</xdr:colOff>
                    <xdr:row>16</xdr:row>
                    <xdr:rowOff>28575</xdr:rowOff>
                  </from>
                  <to>
                    <xdr:col>18</xdr:col>
                    <xdr:colOff>419100</xdr:colOff>
                    <xdr:row>17</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tabColor indexed="44"/>
  </sheetPr>
  <dimension ref="A1:Y60"/>
  <sheetViews>
    <sheetView workbookViewId="0">
      <pane xSplit="7" ySplit="3" topLeftCell="H4" activePane="bottomRight" state="frozen"/>
      <selection activeCell="I304" sqref="I304"/>
      <selection pane="topRight" activeCell="I304" sqref="I304"/>
      <selection pane="bottomLeft" activeCell="I304" sqref="I304"/>
      <selection pane="bottomRight"/>
    </sheetView>
  </sheetViews>
  <sheetFormatPr baseColWidth="10" defaultColWidth="9.140625" defaultRowHeight="12.75" x14ac:dyDescent="0.2"/>
  <cols>
    <col min="1" max="1" width="28.42578125" style="115" customWidth="1"/>
    <col min="2" max="2" width="10.140625" style="115" customWidth="1"/>
    <col min="3" max="3" width="70.42578125" style="115" customWidth="1"/>
    <col min="4" max="4" width="10.28515625" style="115" customWidth="1"/>
    <col min="5" max="8" width="7.28515625" style="42" customWidth="1"/>
    <col min="9" max="9" width="5.42578125" style="144" customWidth="1"/>
    <col min="10" max="10" width="10.140625" style="144" customWidth="1"/>
    <col min="11" max="12" width="11.42578125" style="144" customWidth="1"/>
    <col min="13" max="13" width="13.42578125" style="144" customWidth="1"/>
    <col min="14" max="25" width="11.42578125" style="144" customWidth="1"/>
    <col min="26" max="256" width="11.42578125" style="42" customWidth="1"/>
    <col min="257" max="16384" width="9.140625" style="42"/>
  </cols>
  <sheetData>
    <row r="1" spans="1:25" s="359" customFormat="1" ht="16.5" thickBot="1" x14ac:dyDescent="0.25">
      <c r="A1" s="358"/>
      <c r="I1" s="360"/>
      <c r="J1" s="360"/>
      <c r="K1" s="360"/>
      <c r="L1" s="360"/>
      <c r="M1" s="360"/>
      <c r="N1" s="360"/>
      <c r="O1" s="360"/>
      <c r="P1" s="360"/>
      <c r="Q1" s="360"/>
      <c r="R1" s="360"/>
      <c r="S1" s="360"/>
      <c r="T1" s="360"/>
      <c r="U1" s="360"/>
      <c r="V1" s="360"/>
      <c r="W1" s="360"/>
      <c r="X1" s="360"/>
      <c r="Y1" s="360"/>
    </row>
    <row r="2" spans="1:25" ht="34.5" customHeight="1" x14ac:dyDescent="0.2">
      <c r="A2" s="2107" t="s">
        <v>7463</v>
      </c>
      <c r="B2" s="2108"/>
      <c r="C2" s="2108"/>
      <c r="D2" s="361"/>
      <c r="E2" s="2109" t="s">
        <v>7501</v>
      </c>
      <c r="F2" s="2109"/>
      <c r="G2" s="2109"/>
      <c r="H2" s="2110"/>
      <c r="J2" s="2099" t="s">
        <v>7462</v>
      </c>
      <c r="K2" s="2101" t="str">
        <f>IF(IndG=1,"Intrinsèque",IF(IndG=2,"Actuelle",IF(IndG=3,"réalisée par les projets "&amp;CHAR(10)&amp;"achevés avant (aa mm): "&amp;Obj_Projets!J4,"proposée par les Plans_action"&amp;CHAR(10)&amp;" dont la cellule décision est mise à 1")))</f>
        <v>Actuelle</v>
      </c>
      <c r="L2" s="2102"/>
      <c r="M2" s="2103"/>
    </row>
    <row r="3" spans="1:25" ht="13.5" customHeight="1" thickBot="1" x14ac:dyDescent="0.25">
      <c r="A3" s="362" t="s">
        <v>1865</v>
      </c>
      <c r="B3" s="363" t="s">
        <v>3918</v>
      </c>
      <c r="C3" s="364" t="s">
        <v>1854</v>
      </c>
      <c r="D3" s="364" t="s">
        <v>1871</v>
      </c>
      <c r="E3" s="365" t="s">
        <v>4305</v>
      </c>
      <c r="F3" s="365" t="s">
        <v>4306</v>
      </c>
      <c r="G3" s="365" t="s">
        <v>4437</v>
      </c>
      <c r="H3" s="366" t="s">
        <v>4438</v>
      </c>
      <c r="J3" s="2100"/>
      <c r="K3" s="2104"/>
      <c r="L3" s="2105"/>
      <c r="M3" s="2106"/>
    </row>
    <row r="4" spans="1:25" ht="15.75" customHeight="1" x14ac:dyDescent="0.2">
      <c r="A4" s="1953" t="s">
        <v>1857</v>
      </c>
      <c r="B4" s="2097" t="s">
        <v>5275</v>
      </c>
      <c r="C4" s="367" t="s">
        <v>945</v>
      </c>
      <c r="D4" s="367" t="s">
        <v>1005</v>
      </c>
      <c r="E4" s="368">
        <f>COUNTIF(Scénarios!AM$6:AM$851,$D4&amp;"1")</f>
        <v>0</v>
      </c>
      <c r="F4" s="368">
        <f>COUNTIF(Scénarios!AN$6:AN$851,$D4&amp;"2")</f>
        <v>0</v>
      </c>
      <c r="G4" s="368">
        <f>COUNTIF(Scénarios!AO$6:AO$851,$D4&amp;"3")</f>
        <v>0</v>
      </c>
      <c r="H4" s="369">
        <f>COUNTIF(Scénarios!AP$6:AP$851,$D4&amp;"4")</f>
        <v>0</v>
      </c>
    </row>
    <row r="5" spans="1:25" ht="15.75" customHeight="1" x14ac:dyDescent="0.2">
      <c r="A5" s="1953"/>
      <c r="B5" s="2097"/>
      <c r="C5" s="367" t="s">
        <v>1004</v>
      </c>
      <c r="D5" s="367" t="s">
        <v>5276</v>
      </c>
      <c r="E5" s="368">
        <f>COUNTIF(Scénarios!AM$6:AM$851,$D5&amp;"1")</f>
        <v>0</v>
      </c>
      <c r="F5" s="368">
        <f>COUNTIF(Scénarios!AN$6:AN$851,$D5&amp;"2")</f>
        <v>0</v>
      </c>
      <c r="G5" s="368">
        <f>COUNTIF(Scénarios!AO$6:AO$851,$D5&amp;"3")</f>
        <v>0</v>
      </c>
      <c r="H5" s="369">
        <f>COUNTIF(Scénarios!AP$6:AP$851,$D5&amp;"4")</f>
        <v>0</v>
      </c>
    </row>
    <row r="6" spans="1:25" ht="15.75" customHeight="1" x14ac:dyDescent="0.2">
      <c r="A6" s="1953" t="s">
        <v>1858</v>
      </c>
      <c r="B6" s="2097" t="s">
        <v>1474</v>
      </c>
      <c r="C6" s="367" t="s">
        <v>4830</v>
      </c>
      <c r="D6" s="367" t="s">
        <v>5277</v>
      </c>
      <c r="E6" s="368">
        <f>COUNTIF(Scénarios!AM$6:AM$851,$D6&amp;"1")</f>
        <v>0</v>
      </c>
      <c r="F6" s="368">
        <f>COUNTIF(Scénarios!AN$6:AN$851,$D6&amp;"2")</f>
        <v>0</v>
      </c>
      <c r="G6" s="368">
        <f>COUNTIF(Scénarios!AO$6:AO$851,$D6&amp;"3")</f>
        <v>0</v>
      </c>
      <c r="H6" s="369">
        <f>COUNTIF(Scénarios!AP$6:AP$851,$D6&amp;"4")</f>
        <v>0</v>
      </c>
    </row>
    <row r="7" spans="1:25" ht="15.75" customHeight="1" x14ac:dyDescent="0.2">
      <c r="A7" s="1953"/>
      <c r="B7" s="2097"/>
      <c r="C7" s="367" t="s">
        <v>1517</v>
      </c>
      <c r="D7" s="367" t="s">
        <v>6748</v>
      </c>
      <c r="E7" s="368">
        <f>COUNTIF(Scénarios!AM$6:AM$851,$D7&amp;"1")</f>
        <v>0</v>
      </c>
      <c r="F7" s="368">
        <f>COUNTIF(Scénarios!AN$6:AN$851,$D7&amp;"2")</f>
        <v>0</v>
      </c>
      <c r="G7" s="368">
        <f>COUNTIF(Scénarios!AO$6:AO$851,$D7&amp;"3")</f>
        <v>0</v>
      </c>
      <c r="H7" s="369">
        <f>COUNTIF(Scénarios!AP$6:AP$851,$D7&amp;"4")</f>
        <v>0</v>
      </c>
    </row>
    <row r="8" spans="1:25" ht="20.25" customHeight="1" x14ac:dyDescent="0.2">
      <c r="A8" s="1953"/>
      <c r="B8" s="2097"/>
      <c r="C8" s="367" t="s">
        <v>4906</v>
      </c>
      <c r="D8" s="367" t="s">
        <v>5278</v>
      </c>
      <c r="E8" s="368">
        <f>COUNTIF(Scénarios!AM$6:AM$851,$D8&amp;"1")</f>
        <v>0</v>
      </c>
      <c r="F8" s="368">
        <f>COUNTIF(Scénarios!AN$6:AN$851,$D8&amp;"2")</f>
        <v>0</v>
      </c>
      <c r="G8" s="368">
        <f>COUNTIF(Scénarios!AO$6:AO$851,$D8&amp;"3")</f>
        <v>0</v>
      </c>
      <c r="H8" s="369">
        <f>COUNTIF(Scénarios!AP$6:AP$851,$D8&amp;"4")</f>
        <v>0</v>
      </c>
    </row>
    <row r="9" spans="1:25" ht="15.75" customHeight="1" x14ac:dyDescent="0.2">
      <c r="A9" s="1953"/>
      <c r="B9" s="2097"/>
      <c r="C9" s="367" t="s">
        <v>4106</v>
      </c>
      <c r="D9" s="367" t="s">
        <v>4104</v>
      </c>
      <c r="E9" s="368">
        <f>COUNTIF(Scénarios!AM$6:AM$851,$D9&amp;"1")</f>
        <v>0</v>
      </c>
      <c r="F9" s="368">
        <f>COUNTIF(Scénarios!AN$6:AN$851,$D9&amp;"2")</f>
        <v>0</v>
      </c>
      <c r="G9" s="368">
        <f>COUNTIF(Scénarios!AO$6:AO$851,$D9&amp;"3")</f>
        <v>0</v>
      </c>
      <c r="H9" s="369">
        <f>COUNTIF(Scénarios!AP$6:AP$851,$D9&amp;"4")</f>
        <v>0</v>
      </c>
    </row>
    <row r="10" spans="1:25" ht="15.75" customHeight="1" x14ac:dyDescent="0.2">
      <c r="A10" s="1953"/>
      <c r="B10" s="2097"/>
      <c r="C10" s="367" t="s">
        <v>1391</v>
      </c>
      <c r="D10" s="367" t="s">
        <v>4105</v>
      </c>
      <c r="E10" s="368">
        <f>COUNTIF(Scénarios!AM$6:AM$851,$D10&amp;"1")</f>
        <v>0</v>
      </c>
      <c r="F10" s="368">
        <f>COUNTIF(Scénarios!AN$6:AN$851,$D10&amp;"2")</f>
        <v>0</v>
      </c>
      <c r="G10" s="368">
        <f>COUNTIF(Scénarios!AO$6:AO$851,$D10&amp;"3")</f>
        <v>0</v>
      </c>
      <c r="H10" s="369">
        <f>COUNTIF(Scénarios!AP$6:AP$851,$D10&amp;"4")</f>
        <v>0</v>
      </c>
    </row>
    <row r="11" spans="1:25" ht="15.75" customHeight="1" x14ac:dyDescent="0.2">
      <c r="A11" s="1953" t="s">
        <v>3409</v>
      </c>
      <c r="B11" s="2097" t="s">
        <v>3919</v>
      </c>
      <c r="C11" s="367" t="s">
        <v>4327</v>
      </c>
      <c r="D11" s="367" t="s">
        <v>4328</v>
      </c>
      <c r="E11" s="368">
        <f>COUNTIF(Scénarios!AM$6:AM$851,$D11&amp;"1")</f>
        <v>0</v>
      </c>
      <c r="F11" s="368">
        <f>COUNTIF(Scénarios!AN$6:AN$851,$D11&amp;"2")</f>
        <v>0</v>
      </c>
      <c r="G11" s="368">
        <f>COUNTIF(Scénarios!AO$6:AO$851,$D11&amp;"3")</f>
        <v>0</v>
      </c>
      <c r="H11" s="369">
        <f>COUNTIF(Scénarios!AP$6:AP$851,$D11&amp;"4")</f>
        <v>0</v>
      </c>
    </row>
    <row r="12" spans="1:25" ht="15.75" customHeight="1" x14ac:dyDescent="0.2">
      <c r="A12" s="1953"/>
      <c r="B12" s="2097"/>
      <c r="C12" s="367" t="s">
        <v>4821</v>
      </c>
      <c r="D12" s="367" t="s">
        <v>1877</v>
      </c>
      <c r="E12" s="368">
        <f>COUNTIF(Scénarios!AM$6:AM$851,$D12&amp;"1")</f>
        <v>0</v>
      </c>
      <c r="F12" s="368">
        <f>COUNTIF(Scénarios!AN$6:AN$851,$D12&amp;"2")</f>
        <v>0</v>
      </c>
      <c r="G12" s="368">
        <f>COUNTIF(Scénarios!AO$6:AO$851,$D12&amp;"3")</f>
        <v>0</v>
      </c>
      <c r="H12" s="369">
        <f>COUNTIF(Scénarios!AP$6:AP$851,$D12&amp;"4")</f>
        <v>0</v>
      </c>
    </row>
    <row r="13" spans="1:25" ht="15.75" customHeight="1" x14ac:dyDescent="0.2">
      <c r="A13" s="1953"/>
      <c r="B13" s="2097"/>
      <c r="C13" s="367" t="s">
        <v>4822</v>
      </c>
      <c r="D13" s="367" t="s">
        <v>1878</v>
      </c>
      <c r="E13" s="368">
        <f>COUNTIF(Scénarios!AM$6:AM$851,$D13&amp;"1")</f>
        <v>0</v>
      </c>
      <c r="F13" s="368">
        <f>COUNTIF(Scénarios!AN$6:AN$851,$D13&amp;"2")</f>
        <v>0</v>
      </c>
      <c r="G13" s="368">
        <f>COUNTIF(Scénarios!AO$6:AO$851,$D13&amp;"3")</f>
        <v>0</v>
      </c>
      <c r="H13" s="369">
        <f>COUNTIF(Scénarios!AP$6:AP$851,$D13&amp;"4")</f>
        <v>0</v>
      </c>
    </row>
    <row r="14" spans="1:25" ht="15.75" customHeight="1" x14ac:dyDescent="0.2">
      <c r="A14" s="1953" t="s">
        <v>1856</v>
      </c>
      <c r="B14" s="2097" t="s">
        <v>3920</v>
      </c>
      <c r="C14" s="367" t="s">
        <v>4828</v>
      </c>
      <c r="D14" s="367" t="s">
        <v>2973</v>
      </c>
      <c r="E14" s="368">
        <f>COUNTIF(Scénarios!AM$6:AM$851,$D14&amp;"1")</f>
        <v>0</v>
      </c>
      <c r="F14" s="368">
        <f>COUNTIF(Scénarios!AN$6:AN$851,$D14&amp;"2")</f>
        <v>0</v>
      </c>
      <c r="G14" s="368">
        <f>COUNTIF(Scénarios!AO$6:AO$851,$D14&amp;"3")</f>
        <v>0</v>
      </c>
      <c r="H14" s="369">
        <f>COUNTIF(Scénarios!AP$6:AP$851,$D14&amp;"4")</f>
        <v>0</v>
      </c>
    </row>
    <row r="15" spans="1:25" ht="18.75" customHeight="1" x14ac:dyDescent="0.2">
      <c r="A15" s="1953"/>
      <c r="B15" s="2097"/>
      <c r="C15" s="367" t="s">
        <v>4829</v>
      </c>
      <c r="D15" s="367" t="s">
        <v>4817</v>
      </c>
      <c r="E15" s="368">
        <f>COUNTIF(Scénarios!AM$6:AM$851,$D15&amp;"1")</f>
        <v>0</v>
      </c>
      <c r="F15" s="368">
        <f>COUNTIF(Scénarios!AN$6:AN$851,$D15&amp;"2")</f>
        <v>0</v>
      </c>
      <c r="G15" s="368">
        <f>COUNTIF(Scénarios!AO$6:AO$851,$D15&amp;"3")</f>
        <v>0</v>
      </c>
      <c r="H15" s="369">
        <f>COUNTIF(Scénarios!AP$6:AP$851,$D15&amp;"4")</f>
        <v>0</v>
      </c>
    </row>
    <row r="16" spans="1:25" ht="15.75" customHeight="1" x14ac:dyDescent="0.2">
      <c r="A16" s="370" t="s">
        <v>4971</v>
      </c>
      <c r="B16" s="371" t="s">
        <v>5964</v>
      </c>
      <c r="C16" s="367" t="s">
        <v>4907</v>
      </c>
      <c r="D16" s="367" t="s">
        <v>4818</v>
      </c>
      <c r="E16" s="368">
        <f>COUNTIF(Scénarios!AM$6:AM$851,$D16&amp;"1")</f>
        <v>0</v>
      </c>
      <c r="F16" s="368">
        <f>COUNTIF(Scénarios!AN$6:AN$851,$D16&amp;"2")</f>
        <v>0</v>
      </c>
      <c r="G16" s="368">
        <f>COUNTIF(Scénarios!AO$6:AO$851,$D16&amp;"3")</f>
        <v>0</v>
      </c>
      <c r="H16" s="369">
        <f>COUNTIF(Scénarios!AP$6:AP$851,$D16&amp;"4")</f>
        <v>0</v>
      </c>
    </row>
    <row r="17" spans="1:10" ht="15.75" customHeight="1" x14ac:dyDescent="0.2">
      <c r="A17" s="370" t="s">
        <v>1859</v>
      </c>
      <c r="B17" s="371" t="s">
        <v>1326</v>
      </c>
      <c r="C17" s="367" t="s">
        <v>5582</v>
      </c>
      <c r="D17" s="367" t="s">
        <v>4215</v>
      </c>
      <c r="E17" s="368">
        <f>COUNTIF(Scénarios!AM$6:AM$851,$D17&amp;"1")</f>
        <v>0</v>
      </c>
      <c r="F17" s="368">
        <f>COUNTIF(Scénarios!AN$6:AN$851,$D17&amp;"2")</f>
        <v>0</v>
      </c>
      <c r="G17" s="368">
        <f>COUNTIF(Scénarios!AO$6:AO$851,$D17&amp;"3")</f>
        <v>0</v>
      </c>
      <c r="H17" s="369">
        <f>COUNTIF(Scénarios!AP$6:AP$851,$D17&amp;"4")</f>
        <v>0</v>
      </c>
      <c r="J17" s="372"/>
    </row>
    <row r="18" spans="1:10" ht="12.75" customHeight="1" x14ac:dyDescent="0.2">
      <c r="A18" s="1953" t="s">
        <v>6533</v>
      </c>
      <c r="B18" s="2097" t="s">
        <v>1327</v>
      </c>
      <c r="C18" s="367" t="s">
        <v>3837</v>
      </c>
      <c r="D18" s="367" t="s">
        <v>2974</v>
      </c>
      <c r="E18" s="368">
        <f>COUNTIF(Scénarios!AM$6:AM$851,$D18&amp;"1")</f>
        <v>0</v>
      </c>
      <c r="F18" s="368">
        <f>COUNTIF(Scénarios!AN$6:AN$851,$D18&amp;"2")</f>
        <v>0</v>
      </c>
      <c r="G18" s="368">
        <f>COUNTIF(Scénarios!AO$6:AO$851,$D18&amp;"3")</f>
        <v>0</v>
      </c>
      <c r="H18" s="369">
        <f>COUNTIF(Scénarios!AP$6:AP$851,$D18&amp;"4")</f>
        <v>0</v>
      </c>
      <c r="J18" s="372"/>
    </row>
    <row r="19" spans="1:10" ht="12.75" customHeight="1" x14ac:dyDescent="0.2">
      <c r="A19" s="1953"/>
      <c r="B19" s="2097"/>
      <c r="C19" s="367" t="s">
        <v>1860</v>
      </c>
      <c r="D19" s="367" t="s">
        <v>2780</v>
      </c>
      <c r="E19" s="368">
        <f>COUNTIF(Scénarios!AM$6:AM$851,$D19&amp;"1")</f>
        <v>0</v>
      </c>
      <c r="F19" s="368">
        <f>COUNTIF(Scénarios!AN$6:AN$851,$D19&amp;"2")</f>
        <v>0</v>
      </c>
      <c r="G19" s="368">
        <f>COUNTIF(Scénarios!AO$6:AO$851,$D19&amp;"3")</f>
        <v>0</v>
      </c>
      <c r="H19" s="369">
        <f>COUNTIF(Scénarios!AP$6:AP$851,$D19&amp;"4")</f>
        <v>0</v>
      </c>
      <c r="J19" s="372"/>
    </row>
    <row r="20" spans="1:10" ht="12.75" customHeight="1" x14ac:dyDescent="0.2">
      <c r="A20" s="1953"/>
      <c r="B20" s="2097"/>
      <c r="C20" s="367" t="s">
        <v>2836</v>
      </c>
      <c r="D20" s="367" t="s">
        <v>2975</v>
      </c>
      <c r="E20" s="368">
        <f>COUNTIF(Scénarios!AM$6:AM$851,$D20&amp;"1")</f>
        <v>0</v>
      </c>
      <c r="F20" s="368">
        <f>COUNTIF(Scénarios!AN$6:AN$851,$D20&amp;"2")</f>
        <v>0</v>
      </c>
      <c r="G20" s="368">
        <f>COUNTIF(Scénarios!AO$6:AO$851,$D20&amp;"3")</f>
        <v>0</v>
      </c>
      <c r="H20" s="369">
        <f>COUNTIF(Scénarios!AP$6:AP$851,$D20&amp;"4")</f>
        <v>0</v>
      </c>
      <c r="J20" s="372"/>
    </row>
    <row r="21" spans="1:10" ht="15.75" customHeight="1" x14ac:dyDescent="0.2">
      <c r="A21" s="1953" t="s">
        <v>1553</v>
      </c>
      <c r="B21" s="2097" t="s">
        <v>1554</v>
      </c>
      <c r="C21" s="367" t="s">
        <v>4827</v>
      </c>
      <c r="D21" s="367" t="s">
        <v>1463</v>
      </c>
      <c r="E21" s="368">
        <f>COUNTIF(Scénarios!AM$6:AM$851,$D21&amp;"1")</f>
        <v>0</v>
      </c>
      <c r="F21" s="368">
        <f>COUNTIF(Scénarios!AN$6:AN$851,$D21&amp;"2")</f>
        <v>0</v>
      </c>
      <c r="G21" s="368">
        <f>COUNTIF(Scénarios!AO$6:AO$851,$D21&amp;"3")</f>
        <v>0</v>
      </c>
      <c r="H21" s="369">
        <f>COUNTIF(Scénarios!AP$6:AP$851,$D21&amp;"4")</f>
        <v>0</v>
      </c>
    </row>
    <row r="22" spans="1:10" ht="15.75" customHeight="1" x14ac:dyDescent="0.2">
      <c r="A22" s="1953"/>
      <c r="B22" s="2097"/>
      <c r="C22" s="367" t="s">
        <v>4820</v>
      </c>
      <c r="D22" s="367" t="s">
        <v>1461</v>
      </c>
      <c r="E22" s="368">
        <f>COUNTIF(Scénarios!AM$6:AM$851,$D22&amp;"1")</f>
        <v>0</v>
      </c>
      <c r="F22" s="368">
        <f>COUNTIF(Scénarios!AN$6:AN$851,$D22&amp;"2")</f>
        <v>0</v>
      </c>
      <c r="G22" s="368">
        <f>COUNTIF(Scénarios!AO$6:AO$851,$D22&amp;"3")</f>
        <v>0</v>
      </c>
      <c r="H22" s="369">
        <f>COUNTIF(Scénarios!AP$6:AP$851,$D22&amp;"4")</f>
        <v>0</v>
      </c>
    </row>
    <row r="23" spans="1:10" ht="15.75" customHeight="1" x14ac:dyDescent="0.2">
      <c r="A23" s="1953"/>
      <c r="B23" s="2097"/>
      <c r="C23" s="367" t="s">
        <v>4824</v>
      </c>
      <c r="D23" s="367" t="s">
        <v>3410</v>
      </c>
      <c r="E23" s="368">
        <f>COUNTIF(Scénarios!AM$6:AM$851,$D23&amp;"1")</f>
        <v>0</v>
      </c>
      <c r="F23" s="368">
        <f>COUNTIF(Scénarios!AN$6:AN$851,$D23&amp;"2")</f>
        <v>0</v>
      </c>
      <c r="G23" s="368">
        <f>COUNTIF(Scénarios!AO$6:AO$851,$D23&amp;"3")</f>
        <v>0</v>
      </c>
      <c r="H23" s="369">
        <f>COUNTIF(Scénarios!AP$6:AP$851,$D23&amp;"4")</f>
        <v>0</v>
      </c>
    </row>
    <row r="24" spans="1:10" ht="15.75" customHeight="1" x14ac:dyDescent="0.2">
      <c r="A24" s="1953"/>
      <c r="B24" s="2097"/>
      <c r="C24" s="367" t="s">
        <v>4823</v>
      </c>
      <c r="D24" s="367" t="s">
        <v>1462</v>
      </c>
      <c r="E24" s="368">
        <f>COUNTIF(Scénarios!AM$6:AM$851,$D24&amp;"1")</f>
        <v>0</v>
      </c>
      <c r="F24" s="368">
        <f>COUNTIF(Scénarios!AN$6:AN$851,$D24&amp;"2")</f>
        <v>0</v>
      </c>
      <c r="G24" s="368">
        <f>COUNTIF(Scénarios!AO$6:AO$851,$D24&amp;"3")</f>
        <v>0</v>
      </c>
      <c r="H24" s="369">
        <f>COUNTIF(Scénarios!AP$6:AP$851,$D24&amp;"4")</f>
        <v>0</v>
      </c>
    </row>
    <row r="25" spans="1:10" ht="15.75" customHeight="1" x14ac:dyDescent="0.2">
      <c r="A25" s="1953" t="s">
        <v>1855</v>
      </c>
      <c r="B25" s="2097" t="s">
        <v>1465</v>
      </c>
      <c r="C25" s="367" t="s">
        <v>4825</v>
      </c>
      <c r="D25" s="367" t="s">
        <v>1466</v>
      </c>
      <c r="E25" s="368">
        <f>COUNTIF(Scénarios!AM$6:AM$851,$D25&amp;"1")</f>
        <v>0</v>
      </c>
      <c r="F25" s="368">
        <f>COUNTIF(Scénarios!AN$6:AN$851,$D25&amp;"2")</f>
        <v>0</v>
      </c>
      <c r="G25" s="368">
        <f>COUNTIF(Scénarios!AO$6:AO$851,$D25&amp;"3")</f>
        <v>0</v>
      </c>
      <c r="H25" s="369">
        <f>COUNTIF(Scénarios!AP$6:AP$851,$D25&amp;"4")</f>
        <v>0</v>
      </c>
    </row>
    <row r="26" spans="1:10" ht="15.75" customHeight="1" x14ac:dyDescent="0.2">
      <c r="A26" s="1953"/>
      <c r="B26" s="2097"/>
      <c r="C26" s="367" t="s">
        <v>5581</v>
      </c>
      <c r="D26" s="367" t="s">
        <v>4214</v>
      </c>
      <c r="E26" s="368">
        <f>COUNTIF(Scénarios!AM$6:AM$851,$D26&amp;"1")</f>
        <v>0</v>
      </c>
      <c r="F26" s="368">
        <f>COUNTIF(Scénarios!AN$6:AN$851,$D26&amp;"2")</f>
        <v>0</v>
      </c>
      <c r="G26" s="368">
        <f>COUNTIF(Scénarios!AO$6:AO$851,$D26&amp;"3")</f>
        <v>0</v>
      </c>
      <c r="H26" s="369">
        <f>COUNTIF(Scénarios!AP$6:AP$851,$D26&amp;"4")</f>
        <v>0</v>
      </c>
    </row>
    <row r="27" spans="1:10" ht="15.75" customHeight="1" x14ac:dyDescent="0.2">
      <c r="A27" s="1953"/>
      <c r="B27" s="2097"/>
      <c r="C27" s="367" t="s">
        <v>4970</v>
      </c>
      <c r="D27" s="367" t="s">
        <v>2018</v>
      </c>
      <c r="E27" s="368">
        <f>COUNTIF(Scénarios!AM$6:AM$851,$D27&amp;"1")</f>
        <v>0</v>
      </c>
      <c r="F27" s="368">
        <f>COUNTIF(Scénarios!AN$6:AN$851,$D27&amp;"2")</f>
        <v>0</v>
      </c>
      <c r="G27" s="368">
        <f>COUNTIF(Scénarios!AO$6:AO$851,$D27&amp;"3")</f>
        <v>0</v>
      </c>
      <c r="H27" s="369">
        <f>COUNTIF(Scénarios!AP$6:AP$851,$D27&amp;"4")</f>
        <v>0</v>
      </c>
    </row>
    <row r="28" spans="1:10" ht="15.75" customHeight="1" x14ac:dyDescent="0.2">
      <c r="A28" s="1953"/>
      <c r="B28" s="2097"/>
      <c r="C28" s="367" t="s">
        <v>4826</v>
      </c>
      <c r="D28" s="367" t="s">
        <v>2559</v>
      </c>
      <c r="E28" s="368">
        <f>COUNTIF(Scénarios!AM$6:AM$851,$D28&amp;"1")</f>
        <v>0</v>
      </c>
      <c r="F28" s="368">
        <f>COUNTIF(Scénarios!AN$6:AN$851,$D28&amp;"2")</f>
        <v>0</v>
      </c>
      <c r="G28" s="368">
        <f>COUNTIF(Scénarios!AO$6:AO$851,$D28&amp;"3")</f>
        <v>0</v>
      </c>
      <c r="H28" s="369">
        <f>COUNTIF(Scénarios!AP$6:AP$851,$D28&amp;"4")</f>
        <v>0</v>
      </c>
    </row>
    <row r="29" spans="1:10" ht="15.75" customHeight="1" x14ac:dyDescent="0.2">
      <c r="A29" s="1953" t="s">
        <v>6534</v>
      </c>
      <c r="B29" s="2097" t="s">
        <v>1328</v>
      </c>
      <c r="C29" s="367" t="s">
        <v>6215</v>
      </c>
      <c r="D29" s="367" t="s">
        <v>2033</v>
      </c>
      <c r="E29" s="368">
        <f>COUNTIF(Scénarios!AM$6:AM$851,$D29&amp;"1")</f>
        <v>0</v>
      </c>
      <c r="F29" s="368">
        <f>COUNTIF(Scénarios!AN$6:AN$851,$D29&amp;"2")</f>
        <v>0</v>
      </c>
      <c r="G29" s="368">
        <f>COUNTIF(Scénarios!AO$6:AO$851,$D29&amp;"3")</f>
        <v>0</v>
      </c>
      <c r="H29" s="369">
        <f>COUNTIF(Scénarios!AP$6:AP$851,$D29&amp;"4")</f>
        <v>0</v>
      </c>
    </row>
    <row r="30" spans="1:10" ht="15.75" customHeight="1" x14ac:dyDescent="0.2">
      <c r="A30" s="1953"/>
      <c r="B30" s="2097"/>
      <c r="C30" s="367" t="s">
        <v>121</v>
      </c>
      <c r="D30" s="367" t="s">
        <v>120</v>
      </c>
      <c r="E30" s="368">
        <f>COUNTIF(Scénarios!AM$6:AM$851,$D30&amp;"1")</f>
        <v>0</v>
      </c>
      <c r="F30" s="368">
        <f>COUNTIF(Scénarios!AN$6:AN$851,$D30&amp;"2")</f>
        <v>0</v>
      </c>
      <c r="G30" s="368">
        <f>COUNTIF(Scénarios!AO$6:AO$851,$D30&amp;"3")</f>
        <v>0</v>
      </c>
      <c r="H30" s="369">
        <f>COUNTIF(Scénarios!AP$6:AP$851,$D30&amp;"4")</f>
        <v>0</v>
      </c>
    </row>
    <row r="31" spans="1:10" ht="15.75" customHeight="1" x14ac:dyDescent="0.2">
      <c r="A31" s="1953"/>
      <c r="B31" s="2097"/>
      <c r="C31" s="367" t="s">
        <v>2837</v>
      </c>
      <c r="D31" s="367" t="s">
        <v>1300</v>
      </c>
      <c r="E31" s="368">
        <f>COUNTIF(Scénarios!AM$6:AM$851,$D31&amp;"1")</f>
        <v>0</v>
      </c>
      <c r="F31" s="368">
        <f>COUNTIF(Scénarios!AN$6:AN$851,$D31&amp;"2")</f>
        <v>0</v>
      </c>
      <c r="G31" s="368">
        <f>COUNTIF(Scénarios!AO$6:AO$851,$D31&amp;"3")</f>
        <v>0</v>
      </c>
      <c r="H31" s="369">
        <f>COUNTIF(Scénarios!AP$6:AP$851,$D31&amp;"4")</f>
        <v>0</v>
      </c>
    </row>
    <row r="32" spans="1:10" ht="15.75" customHeight="1" x14ac:dyDescent="0.2">
      <c r="A32" s="1953"/>
      <c r="B32" s="2097"/>
      <c r="C32" s="367" t="s">
        <v>1528</v>
      </c>
      <c r="D32" s="367" t="s">
        <v>1527</v>
      </c>
      <c r="E32" s="368">
        <f>COUNTIF(Scénarios!AM$6:AM$851,$D32&amp;"1")</f>
        <v>0</v>
      </c>
      <c r="F32" s="368">
        <f>COUNTIF(Scénarios!AN$6:AN$851,$D32&amp;"2")</f>
        <v>0</v>
      </c>
      <c r="G32" s="368">
        <f>COUNTIF(Scénarios!AO$6:AO$851,$D32&amp;"3")</f>
        <v>0</v>
      </c>
      <c r="H32" s="369">
        <f>COUNTIF(Scénarios!AP$6:AP$851,$D32&amp;"4")</f>
        <v>0</v>
      </c>
    </row>
    <row r="33" spans="1:8" ht="15.75" customHeight="1" x14ac:dyDescent="0.2">
      <c r="A33" s="1953"/>
      <c r="B33" s="2097"/>
      <c r="C33" s="367" t="s">
        <v>2838</v>
      </c>
      <c r="D33" s="367" t="s">
        <v>5463</v>
      </c>
      <c r="E33" s="368">
        <f>COUNTIF(Scénarios!AM$6:AM$851,$D33&amp;"1")</f>
        <v>0</v>
      </c>
      <c r="F33" s="368">
        <f>COUNTIF(Scénarios!AN$6:AN$851,$D33&amp;"2")</f>
        <v>0</v>
      </c>
      <c r="G33" s="368">
        <f>COUNTIF(Scénarios!AO$6:AO$851,$D33&amp;"3")</f>
        <v>0</v>
      </c>
      <c r="H33" s="369">
        <f>COUNTIF(Scénarios!AP$6:AP$851,$D33&amp;"4")</f>
        <v>0</v>
      </c>
    </row>
    <row r="34" spans="1:8" ht="15.75" customHeight="1" x14ac:dyDescent="0.2">
      <c r="A34" s="1953"/>
      <c r="B34" s="2097"/>
      <c r="C34" s="367" t="s">
        <v>5412</v>
      </c>
      <c r="D34" s="367" t="s">
        <v>5413</v>
      </c>
      <c r="E34" s="368">
        <f>COUNTIF(Scénarios!AM$6:AM$851,$D34&amp;"1")</f>
        <v>0</v>
      </c>
      <c r="F34" s="368">
        <f>COUNTIF(Scénarios!AN$6:AN$851,$D34&amp;"2")</f>
        <v>0</v>
      </c>
      <c r="G34" s="368">
        <f>COUNTIF(Scénarios!AO$6:AO$851,$D34&amp;"3")</f>
        <v>0</v>
      </c>
      <c r="H34" s="369">
        <f>COUNTIF(Scénarios!AP$6:AP$851,$D34&amp;"4")</f>
        <v>0</v>
      </c>
    </row>
    <row r="35" spans="1:8" ht="15.75" customHeight="1" x14ac:dyDescent="0.2">
      <c r="A35" s="1953"/>
      <c r="B35" s="2097"/>
      <c r="C35" s="367" t="s">
        <v>5281</v>
      </c>
      <c r="D35" s="367" t="s">
        <v>5280</v>
      </c>
      <c r="E35" s="368">
        <f>COUNTIF(Scénarios!AM$6:AM$851,$D35&amp;"1")</f>
        <v>0</v>
      </c>
      <c r="F35" s="368">
        <f>COUNTIF(Scénarios!AN$6:AN$851,$D35&amp;"2")</f>
        <v>0</v>
      </c>
      <c r="G35" s="368">
        <f>COUNTIF(Scénarios!AO$6:AO$851,$D35&amp;"3")</f>
        <v>0</v>
      </c>
      <c r="H35" s="369">
        <f>COUNTIF(Scénarios!AP$6:AP$851,$D35&amp;"4")</f>
        <v>0</v>
      </c>
    </row>
    <row r="36" spans="1:8" ht="15.75" customHeight="1" x14ac:dyDescent="0.2">
      <c r="A36" s="1953"/>
      <c r="B36" s="2097"/>
      <c r="C36" s="367" t="s">
        <v>3233</v>
      </c>
      <c r="D36" s="367" t="s">
        <v>3234</v>
      </c>
      <c r="E36" s="368">
        <f>COUNTIF(Scénarios!AM$6:AM$851,$D36&amp;"1")</f>
        <v>0</v>
      </c>
      <c r="F36" s="368">
        <f>COUNTIF(Scénarios!AN$6:AN$851,$D36&amp;"2")</f>
        <v>0</v>
      </c>
      <c r="G36" s="368">
        <f>COUNTIF(Scénarios!AO$6:AO$851,$D36&amp;"3")</f>
        <v>0</v>
      </c>
      <c r="H36" s="369">
        <f>COUNTIF(Scénarios!AP$6:AP$851,$D36&amp;"4")</f>
        <v>0</v>
      </c>
    </row>
    <row r="37" spans="1:8" ht="15.75" customHeight="1" x14ac:dyDescent="0.2">
      <c r="A37" s="1953"/>
      <c r="B37" s="2097"/>
      <c r="C37" s="367" t="s">
        <v>5282</v>
      </c>
      <c r="D37" s="367" t="s">
        <v>1304</v>
      </c>
      <c r="E37" s="368">
        <f>COUNTIF(Scénarios!AM$6:AM$851,$D37&amp;"1")</f>
        <v>0</v>
      </c>
      <c r="F37" s="368">
        <f>COUNTIF(Scénarios!AN$6:AN$851,$D37&amp;"2")</f>
        <v>0</v>
      </c>
      <c r="G37" s="368">
        <f>COUNTIF(Scénarios!AO$6:AO$851,$D37&amp;"3")</f>
        <v>0</v>
      </c>
      <c r="H37" s="369">
        <f>COUNTIF(Scénarios!AP$6:AP$851,$D37&amp;"4")</f>
        <v>0</v>
      </c>
    </row>
    <row r="38" spans="1:8" ht="15.75" customHeight="1" x14ac:dyDescent="0.2">
      <c r="A38" s="1953"/>
      <c r="B38" s="2097"/>
      <c r="C38" s="367" t="s">
        <v>1499</v>
      </c>
      <c r="D38" s="367" t="s">
        <v>4812</v>
      </c>
      <c r="E38" s="368">
        <f>COUNTIF(Scénarios!AM$6:AM$851,$D38&amp;"1")</f>
        <v>0</v>
      </c>
      <c r="F38" s="368">
        <f>COUNTIF(Scénarios!AN$6:AN$851,$D38&amp;"2")</f>
        <v>0</v>
      </c>
      <c r="G38" s="368">
        <f>COUNTIF(Scénarios!AO$6:AO$851,$D38&amp;"3")</f>
        <v>0</v>
      </c>
      <c r="H38" s="369">
        <f>COUNTIF(Scénarios!AP$6:AP$851,$D38&amp;"4")</f>
        <v>0</v>
      </c>
    </row>
    <row r="39" spans="1:8" ht="15.75" customHeight="1" x14ac:dyDescent="0.2">
      <c r="A39" s="1953" t="s">
        <v>6535</v>
      </c>
      <c r="B39" s="2097" t="s">
        <v>1329</v>
      </c>
      <c r="C39" s="367" t="s">
        <v>1500</v>
      </c>
      <c r="D39" s="367" t="s">
        <v>2101</v>
      </c>
      <c r="E39" s="368">
        <f>COUNTIF(Scénarios!AM$6:AM$851,$D39&amp;"1")</f>
        <v>0</v>
      </c>
      <c r="F39" s="368">
        <f>COUNTIF(Scénarios!AN$6:AN$851,$D39&amp;"2")</f>
        <v>0</v>
      </c>
      <c r="G39" s="368">
        <f>COUNTIF(Scénarios!AO$6:AO$851,$D39&amp;"3")</f>
        <v>0</v>
      </c>
      <c r="H39" s="369">
        <f>COUNTIF(Scénarios!AP$6:AP$851,$D39&amp;"4")</f>
        <v>0</v>
      </c>
    </row>
    <row r="40" spans="1:8" ht="15.75" customHeight="1" x14ac:dyDescent="0.2">
      <c r="A40" s="1953"/>
      <c r="B40" s="2097"/>
      <c r="C40" s="367" t="s">
        <v>1501</v>
      </c>
      <c r="D40" s="367" t="s">
        <v>2102</v>
      </c>
      <c r="E40" s="368">
        <f>COUNTIF(Scénarios!AM$6:AM$851,$D40&amp;"1")</f>
        <v>0</v>
      </c>
      <c r="F40" s="368">
        <f>COUNTIF(Scénarios!AN$6:AN$851,$D40&amp;"2")</f>
        <v>0</v>
      </c>
      <c r="G40" s="368">
        <f>COUNTIF(Scénarios!AO$6:AO$851,$D40&amp;"3")</f>
        <v>0</v>
      </c>
      <c r="H40" s="369">
        <f>COUNTIF(Scénarios!AP$6:AP$851,$D40&amp;"4")</f>
        <v>0</v>
      </c>
    </row>
    <row r="41" spans="1:8" ht="15.75" customHeight="1" x14ac:dyDescent="0.2">
      <c r="A41" s="1953"/>
      <c r="B41" s="2097"/>
      <c r="C41" s="367" t="s">
        <v>1502</v>
      </c>
      <c r="D41" s="367" t="s">
        <v>2103</v>
      </c>
      <c r="E41" s="368">
        <f>COUNTIF(Scénarios!AM$6:AM$851,$D41&amp;"1")</f>
        <v>0</v>
      </c>
      <c r="F41" s="368">
        <f>COUNTIF(Scénarios!AN$6:AN$851,$D41&amp;"2")</f>
        <v>0</v>
      </c>
      <c r="G41" s="368">
        <f>COUNTIF(Scénarios!AO$6:AO$851,$D41&amp;"3")</f>
        <v>0</v>
      </c>
      <c r="H41" s="369">
        <f>COUNTIF(Scénarios!AP$6:AP$851,$D41&amp;"4")</f>
        <v>0</v>
      </c>
    </row>
    <row r="42" spans="1:8" ht="15.75" customHeight="1" x14ac:dyDescent="0.2">
      <c r="A42" s="1953"/>
      <c r="B42" s="2097"/>
      <c r="C42" s="367" t="s">
        <v>4499</v>
      </c>
      <c r="D42" s="367" t="s">
        <v>3520</v>
      </c>
      <c r="E42" s="368">
        <f>COUNTIF(Scénarios!AM$6:AM$851,$D42&amp;"1")</f>
        <v>0</v>
      </c>
      <c r="F42" s="368">
        <f>COUNTIF(Scénarios!AN$6:AN$851,$D42&amp;"2")</f>
        <v>0</v>
      </c>
      <c r="G42" s="368">
        <f>COUNTIF(Scénarios!AO$6:AO$851,$D42&amp;"3")</f>
        <v>0</v>
      </c>
      <c r="H42" s="369">
        <f>COUNTIF(Scénarios!AP$6:AP$851,$D42&amp;"4")</f>
        <v>0</v>
      </c>
    </row>
    <row r="43" spans="1:8" ht="15.75" customHeight="1" thickBot="1" x14ac:dyDescent="0.25">
      <c r="A43" s="1959" t="s">
        <v>2316</v>
      </c>
      <c r="B43" s="2098" t="s">
        <v>2317</v>
      </c>
      <c r="C43" s="367" t="s">
        <v>2318</v>
      </c>
      <c r="D43" s="367" t="s">
        <v>4899</v>
      </c>
      <c r="E43" s="368">
        <f>COUNTIF(Scénarios!AM$6:AM$851,$D43&amp;"1")</f>
        <v>0</v>
      </c>
      <c r="F43" s="368">
        <f>COUNTIF(Scénarios!AN$6:AN$851,$D43&amp;"2")</f>
        <v>0</v>
      </c>
      <c r="G43" s="368">
        <f>COUNTIF(Scénarios!AO$6:AO$851,$D43&amp;"3")</f>
        <v>0</v>
      </c>
      <c r="H43" s="369">
        <f>COUNTIF(Scénarios!AP$6:AP$851,$D43&amp;"4")</f>
        <v>0</v>
      </c>
    </row>
    <row r="44" spans="1:8" ht="15.75" customHeight="1" thickBot="1" x14ac:dyDescent="0.25">
      <c r="A44" s="1959"/>
      <c r="B44" s="2098"/>
      <c r="C44" s="367" t="s">
        <v>2334</v>
      </c>
      <c r="D44" s="367" t="s">
        <v>1683</v>
      </c>
      <c r="E44" s="368">
        <f>COUNTIF(Scénarios!AM$6:AM$851,$D44&amp;"1")</f>
        <v>0</v>
      </c>
      <c r="F44" s="368">
        <f>COUNTIF(Scénarios!AN$6:AN$851,$D44&amp;"2")</f>
        <v>0</v>
      </c>
      <c r="G44" s="368">
        <f>COUNTIF(Scénarios!AO$6:AO$851,$D44&amp;"3")</f>
        <v>0</v>
      </c>
      <c r="H44" s="369">
        <f>COUNTIF(Scénarios!AP$6:AP$851,$D44&amp;"4")</f>
        <v>0</v>
      </c>
    </row>
    <row r="45" spans="1:8" ht="15.75" customHeight="1" thickBot="1" x14ac:dyDescent="0.25">
      <c r="A45" s="1959"/>
      <c r="B45" s="2098"/>
      <c r="C45" s="367" t="s">
        <v>2335</v>
      </c>
      <c r="D45" s="367" t="s">
        <v>1684</v>
      </c>
      <c r="E45" s="368">
        <f>COUNTIF(Scénarios!AM$6:AM$851,$D45&amp;"1")</f>
        <v>0</v>
      </c>
      <c r="F45" s="368">
        <f>COUNTIF(Scénarios!AN$6:AN$851,$D45&amp;"2")</f>
        <v>0</v>
      </c>
      <c r="G45" s="368">
        <f>COUNTIF(Scénarios!AO$6:AO$851,$D45&amp;"3")</f>
        <v>0</v>
      </c>
      <c r="H45" s="369">
        <f>COUNTIF(Scénarios!AP$6:AP$851,$D45&amp;"4")</f>
        <v>0</v>
      </c>
    </row>
    <row r="46" spans="1:8" ht="15.75" customHeight="1" thickBot="1" x14ac:dyDescent="0.25">
      <c r="A46" s="1959"/>
      <c r="B46" s="2098"/>
      <c r="C46" s="373" t="s">
        <v>4898</v>
      </c>
      <c r="D46" s="373" t="s">
        <v>119</v>
      </c>
      <c r="E46" s="374">
        <f>COUNTIF(Scénarios!AM$6:AM$851,$D46&amp;"1")</f>
        <v>0</v>
      </c>
      <c r="F46" s="374">
        <f>COUNTIF(Scénarios!AN$6:AN$851,$D46&amp;"2")</f>
        <v>0</v>
      </c>
      <c r="G46" s="374">
        <f>COUNTIF(Scénarios!AO$6:AO$851,$D46&amp;"3")</f>
        <v>0</v>
      </c>
      <c r="H46" s="375">
        <f>COUNTIF(Scénarios!AP$6:AP$851,$D46&amp;"4")</f>
        <v>0</v>
      </c>
    </row>
    <row r="47" spans="1:8" ht="15.75" customHeight="1" x14ac:dyDescent="0.2">
      <c r="A47" s="376"/>
      <c r="B47" s="376"/>
      <c r="C47" s="376"/>
      <c r="D47" s="376"/>
      <c r="E47" s="377"/>
      <c r="F47" s="377"/>
      <c r="G47" s="377"/>
      <c r="H47" s="377"/>
    </row>
    <row r="48" spans="1:8" ht="15.75" customHeight="1" x14ac:dyDescent="0.2">
      <c r="A48" s="378"/>
      <c r="B48" s="378"/>
      <c r="C48" s="379" t="s">
        <v>7287</v>
      </c>
      <c r="D48" s="380" t="s">
        <v>7283</v>
      </c>
      <c r="E48" s="144"/>
      <c r="F48" s="144"/>
      <c r="G48" s="144"/>
      <c r="H48" s="144"/>
    </row>
    <row r="49" spans="1:4" s="144" customFormat="1" ht="15.75" customHeight="1" x14ac:dyDescent="0.2">
      <c r="A49" s="376"/>
      <c r="B49" s="376"/>
      <c r="C49" s="381" t="s">
        <v>7284</v>
      </c>
      <c r="D49" s="382"/>
    </row>
    <row r="50" spans="1:4" s="144" customFormat="1" x14ac:dyDescent="0.2">
      <c r="A50" s="376"/>
      <c r="B50" s="376"/>
      <c r="C50" s="376"/>
      <c r="D50" s="376"/>
    </row>
    <row r="51" spans="1:4" s="144" customFormat="1" x14ac:dyDescent="0.2">
      <c r="A51" s="376"/>
      <c r="B51" s="376"/>
      <c r="C51" s="376"/>
      <c r="D51" s="376"/>
    </row>
    <row r="52" spans="1:4" s="144" customFormat="1" x14ac:dyDescent="0.2">
      <c r="A52" s="376"/>
      <c r="B52" s="376"/>
      <c r="C52" s="376"/>
      <c r="D52" s="376"/>
    </row>
    <row r="53" spans="1:4" s="144" customFormat="1" x14ac:dyDescent="0.2">
      <c r="A53" s="376"/>
      <c r="B53" s="376"/>
      <c r="C53" s="376"/>
      <c r="D53" s="376"/>
    </row>
    <row r="54" spans="1:4" s="144" customFormat="1" x14ac:dyDescent="0.2">
      <c r="A54" s="376"/>
      <c r="B54" s="376"/>
      <c r="C54" s="376"/>
      <c r="D54" s="376"/>
    </row>
    <row r="55" spans="1:4" s="144" customFormat="1" x14ac:dyDescent="0.2">
      <c r="A55" s="376"/>
      <c r="B55" s="376"/>
      <c r="C55" s="376"/>
      <c r="D55" s="376"/>
    </row>
    <row r="56" spans="1:4" s="144" customFormat="1" x14ac:dyDescent="0.2">
      <c r="A56" s="376"/>
      <c r="B56" s="376"/>
      <c r="C56" s="376"/>
      <c r="D56" s="376"/>
    </row>
    <row r="57" spans="1:4" s="144" customFormat="1" x14ac:dyDescent="0.2">
      <c r="A57" s="376"/>
      <c r="B57" s="376"/>
      <c r="C57" s="376"/>
      <c r="D57" s="376"/>
    </row>
    <row r="58" spans="1:4" s="144" customFormat="1" x14ac:dyDescent="0.2">
      <c r="A58" s="376"/>
      <c r="B58" s="376"/>
      <c r="C58" s="376"/>
      <c r="D58" s="376"/>
    </row>
    <row r="59" spans="1:4" s="144" customFormat="1" x14ac:dyDescent="0.2">
      <c r="A59" s="376"/>
      <c r="B59" s="376"/>
      <c r="C59" s="376"/>
      <c r="D59" s="376"/>
    </row>
    <row r="60" spans="1:4" s="144" customFormat="1" x14ac:dyDescent="0.2">
      <c r="A60" s="376"/>
      <c r="B60" s="376"/>
      <c r="C60" s="376"/>
      <c r="D60" s="376"/>
    </row>
  </sheetData>
  <sheetProtection sheet="1" objects="1" scenarios="1" formatCells="0" formatColumns="0" formatRows="0"/>
  <mergeCells count="24">
    <mergeCell ref="J2:J3"/>
    <mergeCell ref="K2:M3"/>
    <mergeCell ref="A2:C2"/>
    <mergeCell ref="B4:B5"/>
    <mergeCell ref="A21:A24"/>
    <mergeCell ref="E2:H2"/>
    <mergeCell ref="B6:B10"/>
    <mergeCell ref="B21:B24"/>
    <mergeCell ref="B11:B13"/>
    <mergeCell ref="B14:B15"/>
    <mergeCell ref="A6:A10"/>
    <mergeCell ref="A11:A13"/>
    <mergeCell ref="A29:A38"/>
    <mergeCell ref="A4:A5"/>
    <mergeCell ref="B25:B28"/>
    <mergeCell ref="A43:A46"/>
    <mergeCell ref="B43:B46"/>
    <mergeCell ref="A39:A42"/>
    <mergeCell ref="B18:B20"/>
    <mergeCell ref="B39:B42"/>
    <mergeCell ref="B29:B38"/>
    <mergeCell ref="A25:A28"/>
    <mergeCell ref="A14:A15"/>
    <mergeCell ref="A18:A20"/>
  </mergeCells>
  <phoneticPr fontId="5" type="noConversion"/>
  <conditionalFormatting sqref="H4:H46">
    <cfRule type="cellIs" dxfId="29" priority="1" stopIfTrue="1" operator="greaterThan">
      <formula>0</formula>
    </cfRule>
  </conditionalFormatting>
  <conditionalFormatting sqref="G4:G46">
    <cfRule type="cellIs" dxfId="28" priority="2" stopIfTrue="1" operator="greaterThan">
      <formula>0</formula>
    </cfRule>
  </conditionalFormatting>
  <conditionalFormatting sqref="F4:F46">
    <cfRule type="cellIs" dxfId="27" priority="3" stopIfTrue="1" operator="greaterThan">
      <formula>0</formula>
    </cfRule>
  </conditionalFormatting>
  <printOptions gridLines="1"/>
  <pageMargins left="0.3298611111111111" right="0.35" top="0.52986111111111112" bottom="0.5" header="0.51180555555555562" footer="0.51180555555555562"/>
  <pageSetup paperSize="9" scale="95" firstPageNumber="0" orientation="portrait" horizontalDpi="300" verticalDpi="300" r:id="rId1"/>
  <headerFooter alignWithMargins="0"/>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indexed="42"/>
  </sheetPr>
  <dimension ref="A1:BA1777"/>
  <sheetViews>
    <sheetView zoomScaleSheetLayoutView="100" workbookViewId="0">
      <pane ySplit="3" topLeftCell="A4" activePane="bottomLeft" state="frozenSplit"/>
      <selection activeCell="I304" sqref="I304"/>
      <selection pane="bottomLeft"/>
    </sheetView>
  </sheetViews>
  <sheetFormatPr baseColWidth="10" defaultColWidth="11.42578125" defaultRowHeight="12.75" outlineLevelCol="1" x14ac:dyDescent="0.2"/>
  <cols>
    <col min="1" max="1" width="11" style="355" customWidth="1"/>
    <col min="2" max="2" width="6" style="356" customWidth="1"/>
    <col min="3" max="3" width="6" style="357" customWidth="1"/>
    <col min="4" max="6" width="6" style="247" customWidth="1"/>
    <col min="7" max="7" width="14.42578125" style="247" customWidth="1"/>
    <col min="8" max="8" width="26.28515625" style="247" customWidth="1"/>
    <col min="9" max="9" width="8" style="356" customWidth="1"/>
    <col min="10" max="10" width="8.85546875" style="247" customWidth="1" outlineLevel="1"/>
    <col min="11" max="11" width="7" style="247" customWidth="1" outlineLevel="1"/>
    <col min="12" max="12" width="5.85546875" style="247" customWidth="1" outlineLevel="1"/>
    <col min="13" max="13" width="8.85546875" style="247" customWidth="1" outlineLevel="1"/>
    <col min="14" max="14" width="5.85546875" style="247" customWidth="1" outlineLevel="1"/>
    <col min="15" max="15" width="6.28515625" style="247" customWidth="1" outlineLevel="1"/>
    <col min="16" max="16" width="9.42578125" style="247" customWidth="1" outlineLevel="1"/>
    <col min="17" max="18" width="5.85546875" style="247" customWidth="1" outlineLevel="1"/>
    <col min="19" max="19" width="8.85546875" style="247" customWidth="1" outlineLevel="1"/>
    <col min="20" max="21" width="5.85546875" style="247" customWidth="1" outlineLevel="1"/>
    <col min="22" max="22" width="8.85546875" style="247" customWidth="1" outlineLevel="1"/>
    <col min="23" max="24" width="5.85546875" style="247" customWidth="1" outlineLevel="1"/>
    <col min="25" max="25" width="8.85546875" style="247" customWidth="1" outlineLevel="1"/>
    <col min="26" max="27" width="5.85546875" style="247" customWidth="1" outlineLevel="1"/>
    <col min="28" max="28" width="8.85546875" style="247" customWidth="1" outlineLevel="1"/>
    <col min="29" max="30" width="5.85546875" style="247" customWidth="1" outlineLevel="1"/>
    <col min="31" max="31" width="8.85546875" style="247" customWidth="1" outlineLevel="1"/>
    <col min="32" max="33" width="5.85546875" style="247" customWidth="1" outlineLevel="1"/>
    <col min="34" max="34" width="8.85546875" style="247" customWidth="1" outlineLevel="1"/>
    <col min="35" max="36" width="5.85546875" style="247" customWidth="1" outlineLevel="1"/>
    <col min="37" max="37" width="8.85546875" style="247" customWidth="1" outlineLevel="1"/>
    <col min="38" max="39" width="5.85546875" style="247" customWidth="1" outlineLevel="1"/>
    <col min="40" max="16384" width="11.42578125" style="250"/>
  </cols>
  <sheetData>
    <row r="1" spans="1:39" ht="23.25" customHeight="1" x14ac:dyDescent="0.2">
      <c r="A1" s="242" t="s">
        <v>4304</v>
      </c>
      <c r="B1" s="243"/>
      <c r="C1" s="244"/>
      <c r="D1" s="244"/>
      <c r="E1" s="244"/>
      <c r="F1" s="245"/>
      <c r="G1" s="2111"/>
      <c r="H1" s="2112"/>
      <c r="I1" s="2113"/>
      <c r="J1" s="2113"/>
      <c r="K1" s="2113"/>
      <c r="L1" s="2113"/>
      <c r="M1" s="2113"/>
      <c r="N1" s="246"/>
      <c r="P1" s="248"/>
      <c r="Q1" s="249"/>
      <c r="R1" s="248"/>
      <c r="T1" s="249"/>
      <c r="W1" s="249"/>
      <c r="Z1" s="249"/>
      <c r="AC1" s="249"/>
      <c r="AF1" s="249"/>
      <c r="AI1" s="249"/>
      <c r="AL1" s="249"/>
    </row>
    <row r="2" spans="1:39" ht="21.75" customHeight="1" x14ac:dyDescent="0.2">
      <c r="A2" s="2138" t="s">
        <v>2562</v>
      </c>
      <c r="B2" s="2140" t="s">
        <v>5580</v>
      </c>
      <c r="C2" s="2141"/>
      <c r="D2" s="2141"/>
      <c r="E2" s="2141"/>
      <c r="F2" s="2142"/>
      <c r="G2" s="2111"/>
      <c r="H2" s="2112"/>
      <c r="I2" s="2113"/>
      <c r="J2" s="2113"/>
      <c r="K2" s="2113"/>
      <c r="L2" s="2113"/>
      <c r="M2" s="2113"/>
      <c r="N2" s="251"/>
      <c r="O2" s="1068"/>
      <c r="Q2" s="1068"/>
      <c r="S2" s="1068"/>
      <c r="T2" s="1068"/>
      <c r="U2" s="1068"/>
      <c r="V2" s="1068"/>
      <c r="W2" s="1068"/>
      <c r="X2" s="1068"/>
      <c r="Y2" s="1068"/>
      <c r="Z2" s="1068"/>
      <c r="AA2" s="1068"/>
      <c r="AB2" s="1068"/>
      <c r="AC2" s="1068"/>
      <c r="AD2" s="1068"/>
      <c r="AE2" s="1068"/>
      <c r="AF2" s="1068"/>
      <c r="AG2" s="1068"/>
      <c r="AH2" s="1068"/>
      <c r="AI2" s="1068"/>
      <c r="AJ2" s="1068"/>
      <c r="AK2" s="1068"/>
      <c r="AL2" s="1068"/>
      <c r="AM2" s="1068"/>
    </row>
    <row r="3" spans="1:39" s="247" customFormat="1" ht="27" customHeight="1" thickBot="1" x14ac:dyDescent="0.25">
      <c r="A3" s="2139"/>
      <c r="B3" s="252" t="s">
        <v>4305</v>
      </c>
      <c r="C3" s="252" t="s">
        <v>4306</v>
      </c>
      <c r="D3" s="252" t="s">
        <v>4437</v>
      </c>
      <c r="E3" s="252" t="s">
        <v>4438</v>
      </c>
      <c r="F3" s="252" t="s">
        <v>1550</v>
      </c>
      <c r="G3" s="253" t="s">
        <v>4480</v>
      </c>
      <c r="H3" s="254" t="s">
        <v>6368</v>
      </c>
      <c r="I3" s="255" t="s">
        <v>5619</v>
      </c>
      <c r="J3" s="256" t="s">
        <v>5632</v>
      </c>
      <c r="K3" s="257" t="s">
        <v>3297</v>
      </c>
      <c r="L3" s="258" t="s">
        <v>6488</v>
      </c>
      <c r="M3" s="259" t="s">
        <v>5632</v>
      </c>
      <c r="N3" s="257" t="s">
        <v>3297</v>
      </c>
      <c r="O3" s="258" t="s">
        <v>6488</v>
      </c>
      <c r="P3" s="259" t="s">
        <v>5632</v>
      </c>
      <c r="Q3" s="257" t="s">
        <v>3297</v>
      </c>
      <c r="R3" s="258" t="s">
        <v>6488</v>
      </c>
      <c r="S3" s="259" t="s">
        <v>5632</v>
      </c>
      <c r="T3" s="257" t="s">
        <v>3297</v>
      </c>
      <c r="U3" s="258" t="s">
        <v>6488</v>
      </c>
      <c r="V3" s="259" t="s">
        <v>5632</v>
      </c>
      <c r="W3" s="257" t="s">
        <v>3297</v>
      </c>
      <c r="X3" s="258" t="s">
        <v>6488</v>
      </c>
      <c r="Y3" s="259" t="s">
        <v>5632</v>
      </c>
      <c r="Z3" s="257" t="s">
        <v>3297</v>
      </c>
      <c r="AA3" s="258" t="s">
        <v>6488</v>
      </c>
      <c r="AB3" s="259" t="s">
        <v>5632</v>
      </c>
      <c r="AC3" s="257" t="s">
        <v>3297</v>
      </c>
      <c r="AD3" s="258" t="s">
        <v>6488</v>
      </c>
      <c r="AE3" s="259" t="s">
        <v>5632</v>
      </c>
      <c r="AF3" s="257" t="s">
        <v>3297</v>
      </c>
      <c r="AG3" s="258" t="s">
        <v>6488</v>
      </c>
      <c r="AH3" s="259" t="s">
        <v>5632</v>
      </c>
      <c r="AI3" s="257" t="s">
        <v>3297</v>
      </c>
      <c r="AJ3" s="258" t="s">
        <v>6488</v>
      </c>
      <c r="AK3" s="259" t="s">
        <v>5632</v>
      </c>
      <c r="AL3" s="257" t="s">
        <v>3297</v>
      </c>
      <c r="AM3" s="258" t="s">
        <v>6488</v>
      </c>
    </row>
    <row r="4" spans="1:39" ht="15" customHeight="1" x14ac:dyDescent="0.2">
      <c r="A4" s="1371" t="s">
        <v>4833</v>
      </c>
      <c r="B4" s="260" t="s">
        <v>4735</v>
      </c>
      <c r="C4" s="261"/>
      <c r="D4" s="261"/>
      <c r="E4" s="261"/>
      <c r="F4" s="261"/>
      <c r="G4" s="262"/>
      <c r="H4" s="262"/>
      <c r="I4" s="263"/>
      <c r="J4" s="264"/>
      <c r="K4" s="265"/>
      <c r="L4" s="266"/>
      <c r="M4" s="267"/>
      <c r="N4" s="265"/>
      <c r="O4" s="266"/>
      <c r="P4" s="268"/>
      <c r="Q4" s="269"/>
      <c r="R4" s="270"/>
      <c r="S4" s="271"/>
      <c r="T4" s="269"/>
      <c r="U4" s="272"/>
      <c r="V4" s="271"/>
      <c r="W4" s="269"/>
      <c r="X4" s="272"/>
      <c r="Y4" s="271"/>
      <c r="Z4" s="269"/>
      <c r="AA4" s="272"/>
      <c r="AB4" s="271"/>
      <c r="AC4" s="269"/>
      <c r="AD4" s="272"/>
      <c r="AE4" s="271"/>
      <c r="AF4" s="269"/>
      <c r="AG4" s="272"/>
      <c r="AH4" s="271"/>
      <c r="AI4" s="269"/>
      <c r="AJ4" s="272"/>
      <c r="AK4" s="271"/>
      <c r="AL4" s="269"/>
      <c r="AM4" s="272"/>
    </row>
    <row r="5" spans="1:39" s="247" customFormat="1" ht="11.25" customHeight="1" x14ac:dyDescent="0.2">
      <c r="A5" s="273"/>
      <c r="B5" s="2117">
        <f>COUNTIF(Scénarios!AH6:AH45,1)</f>
        <v>0</v>
      </c>
      <c r="C5" s="2117">
        <f>COUNTIF(Scénarios!AH6:AH45,2)</f>
        <v>0</v>
      </c>
      <c r="D5" s="2143">
        <f>COUNTIF(Scénarios!AH6:AH45,3)</f>
        <v>0</v>
      </c>
      <c r="E5" s="2123">
        <f>COUNTIF(Scénarios!AH6:AH45,4)</f>
        <v>0</v>
      </c>
      <c r="F5" s="2114">
        <f>SUM(B5:E5)</f>
        <v>0</v>
      </c>
      <c r="G5" s="274" t="s">
        <v>5616</v>
      </c>
      <c r="H5" s="275" t="s">
        <v>998</v>
      </c>
      <c r="I5" s="276"/>
      <c r="J5" s="277" t="s">
        <v>5019</v>
      </c>
      <c r="K5" s="278">
        <f>ES07C01</f>
        <v>1</v>
      </c>
      <c r="L5" s="279">
        <v>3</v>
      </c>
      <c r="M5" s="280" t="s">
        <v>5021</v>
      </c>
      <c r="N5" s="278">
        <f>ES07C02</f>
        <v>1</v>
      </c>
      <c r="O5" s="279">
        <v>3</v>
      </c>
      <c r="P5" s="280" t="s">
        <v>1498</v>
      </c>
      <c r="Q5" s="278">
        <f>ES08E02</f>
        <v>1</v>
      </c>
      <c r="R5" s="279">
        <v>3</v>
      </c>
      <c r="S5" s="277" t="s">
        <v>4299</v>
      </c>
      <c r="T5" s="278">
        <f>ES08F02</f>
        <v>1</v>
      </c>
      <c r="U5" s="279">
        <v>3</v>
      </c>
      <c r="V5" s="277" t="s">
        <v>4300</v>
      </c>
      <c r="W5" s="278">
        <f>ES08F03</f>
        <v>1</v>
      </c>
      <c r="X5" s="279">
        <v>3</v>
      </c>
      <c r="Y5" s="277"/>
      <c r="Z5" s="278"/>
      <c r="AA5" s="279"/>
      <c r="AB5" s="277"/>
      <c r="AC5" s="278"/>
      <c r="AD5" s="279"/>
      <c r="AE5" s="277"/>
      <c r="AF5" s="278"/>
      <c r="AG5" s="279"/>
      <c r="AH5" s="277"/>
      <c r="AI5" s="278"/>
      <c r="AJ5" s="279"/>
      <c r="AK5" s="277"/>
      <c r="AL5" s="278"/>
      <c r="AM5" s="279"/>
    </row>
    <row r="6" spans="1:39" s="247" customFormat="1" ht="11.25" customHeight="1" x14ac:dyDescent="0.2">
      <c r="A6" s="273"/>
      <c r="B6" s="2118"/>
      <c r="C6" s="2120"/>
      <c r="D6" s="2144"/>
      <c r="E6" s="2146"/>
      <c r="F6" s="2115"/>
      <c r="G6" s="274" t="s">
        <v>5616</v>
      </c>
      <c r="H6" s="275" t="s">
        <v>998</v>
      </c>
      <c r="I6" s="276"/>
      <c r="J6" s="277" t="s">
        <v>1665</v>
      </c>
      <c r="K6" s="278">
        <f>ES03B06</f>
        <v>1</v>
      </c>
      <c r="L6" s="279">
        <v>3</v>
      </c>
      <c r="M6" s="280"/>
      <c r="N6" s="278"/>
      <c r="O6" s="279"/>
      <c r="P6" s="280"/>
      <c r="Q6" s="278"/>
      <c r="R6" s="279"/>
      <c r="S6" s="277"/>
      <c r="T6" s="278"/>
      <c r="U6" s="279"/>
      <c r="V6" s="277"/>
      <c r="W6" s="278"/>
      <c r="X6" s="279"/>
      <c r="Y6" s="277"/>
      <c r="Z6" s="278"/>
      <c r="AA6" s="279"/>
      <c r="AB6" s="277"/>
      <c r="AC6" s="278"/>
      <c r="AD6" s="279"/>
      <c r="AE6" s="277"/>
      <c r="AF6" s="278"/>
      <c r="AG6" s="279"/>
      <c r="AH6" s="277"/>
      <c r="AI6" s="278"/>
      <c r="AJ6" s="279"/>
      <c r="AK6" s="277"/>
      <c r="AL6" s="278"/>
      <c r="AM6" s="279"/>
    </row>
    <row r="7" spans="1:39" s="247" customFormat="1" ht="11.25" customHeight="1" x14ac:dyDescent="0.2">
      <c r="A7" s="273"/>
      <c r="B7" s="2119"/>
      <c r="C7" s="2121"/>
      <c r="D7" s="2145"/>
      <c r="E7" s="2147"/>
      <c r="F7" s="2116"/>
      <c r="G7" s="274" t="s">
        <v>5615</v>
      </c>
      <c r="H7" s="275" t="s">
        <v>998</v>
      </c>
      <c r="I7" s="276"/>
      <c r="J7" s="277" t="s">
        <v>5426</v>
      </c>
      <c r="K7" s="278">
        <f>ES07A01</f>
        <v>1</v>
      </c>
      <c r="L7" s="279">
        <v>4</v>
      </c>
      <c r="M7" s="277" t="s">
        <v>5428</v>
      </c>
      <c r="N7" s="278">
        <f>ES07A02</f>
        <v>1</v>
      </c>
      <c r="O7" s="279">
        <v>4</v>
      </c>
      <c r="P7" s="277" t="s">
        <v>5429</v>
      </c>
      <c r="Q7" s="278">
        <f>ES07A03</f>
        <v>1</v>
      </c>
      <c r="R7" s="279">
        <v>4</v>
      </c>
      <c r="S7" s="277" t="s">
        <v>5137</v>
      </c>
      <c r="T7" s="278">
        <f>ES07A04</f>
        <v>1</v>
      </c>
      <c r="U7" s="279">
        <v>4</v>
      </c>
      <c r="V7" s="277" t="s">
        <v>5147</v>
      </c>
      <c r="W7" s="278">
        <f>ES08F01</f>
        <v>1</v>
      </c>
      <c r="X7" s="279">
        <v>4</v>
      </c>
      <c r="Y7" s="277" t="s">
        <v>4299</v>
      </c>
      <c r="Z7" s="278">
        <f>ES08F02</f>
        <v>1</v>
      </c>
      <c r="AA7" s="279">
        <v>4</v>
      </c>
      <c r="AB7" s="277" t="s">
        <v>3657</v>
      </c>
      <c r="AC7" s="278">
        <f>ES09A01</f>
        <v>1</v>
      </c>
      <c r="AD7" s="279">
        <v>4</v>
      </c>
      <c r="AE7" s="277" t="s">
        <v>3659</v>
      </c>
      <c r="AF7" s="278">
        <f>ES09A02</f>
        <v>1</v>
      </c>
      <c r="AG7" s="279">
        <v>4</v>
      </c>
      <c r="AH7" s="277" t="s">
        <v>3661</v>
      </c>
      <c r="AI7" s="278">
        <f>ES09A03</f>
        <v>1</v>
      </c>
      <c r="AJ7" s="279">
        <v>4</v>
      </c>
      <c r="AK7" s="277" t="s">
        <v>3662</v>
      </c>
      <c r="AL7" s="278">
        <f>ES09A04</f>
        <v>1</v>
      </c>
      <c r="AM7" s="279">
        <v>4</v>
      </c>
    </row>
    <row r="8" spans="1:39" s="247" customFormat="1" ht="12.75" customHeight="1" x14ac:dyDescent="0.2">
      <c r="A8" s="273"/>
      <c r="B8" s="281"/>
      <c r="C8" s="281"/>
      <c r="D8" s="281"/>
      <c r="E8" s="281"/>
      <c r="F8" s="281"/>
      <c r="G8" s="274" t="s">
        <v>5615</v>
      </c>
      <c r="H8" s="275" t="s">
        <v>6370</v>
      </c>
      <c r="I8" s="276"/>
      <c r="J8" s="277" t="s">
        <v>4324</v>
      </c>
      <c r="K8" s="278">
        <f>ES08A03</f>
        <v>1</v>
      </c>
      <c r="L8" s="279">
        <v>4</v>
      </c>
      <c r="M8" s="277" t="s">
        <v>2558</v>
      </c>
      <c r="N8" s="278">
        <f>ES08A06</f>
        <v>1</v>
      </c>
      <c r="O8" s="279">
        <v>4</v>
      </c>
      <c r="P8" s="277" t="s">
        <v>63</v>
      </c>
      <c r="Q8" s="278">
        <f>ES08C03</f>
        <v>1</v>
      </c>
      <c r="R8" s="279">
        <v>4</v>
      </c>
      <c r="S8" s="277" t="s">
        <v>1663</v>
      </c>
      <c r="T8" s="278">
        <f>ES08D03</f>
        <v>1</v>
      </c>
      <c r="U8" s="279">
        <v>4</v>
      </c>
      <c r="V8" s="280" t="s">
        <v>2553</v>
      </c>
      <c r="W8" s="278">
        <f>ES09C02</f>
        <v>1</v>
      </c>
      <c r="X8" s="279">
        <v>4</v>
      </c>
      <c r="Y8" s="277" t="s">
        <v>3224</v>
      </c>
      <c r="Z8" s="278">
        <f>ES10B05</f>
        <v>1</v>
      </c>
      <c r="AA8" s="279">
        <v>4</v>
      </c>
      <c r="AB8" s="280" t="s">
        <v>3226</v>
      </c>
      <c r="AC8" s="278">
        <f>ES10B06</f>
        <v>1</v>
      </c>
      <c r="AD8" s="279">
        <v>4</v>
      </c>
      <c r="AE8" s="277"/>
      <c r="AF8" s="278"/>
      <c r="AG8" s="279"/>
      <c r="AH8" s="277"/>
      <c r="AI8" s="278"/>
      <c r="AJ8" s="279"/>
      <c r="AK8" s="277"/>
      <c r="AL8" s="278"/>
      <c r="AM8" s="279"/>
    </row>
    <row r="9" spans="1:39" s="247" customFormat="1" ht="12.75" customHeight="1" x14ac:dyDescent="0.2">
      <c r="A9" s="273"/>
      <c r="B9" s="1110"/>
      <c r="C9" s="1110"/>
      <c r="D9" s="1110"/>
      <c r="E9" s="1110"/>
      <c r="F9" s="282"/>
      <c r="G9" s="274" t="s">
        <v>5615</v>
      </c>
      <c r="H9" s="275" t="s">
        <v>998</v>
      </c>
      <c r="I9" s="276"/>
      <c r="J9" s="277" t="s">
        <v>6386</v>
      </c>
      <c r="K9" s="278">
        <f>ES03A01</f>
        <v>1</v>
      </c>
      <c r="L9" s="279">
        <v>4</v>
      </c>
      <c r="M9" s="277" t="s">
        <v>2341</v>
      </c>
      <c r="N9" s="278">
        <f>ES03A04</f>
        <v>1</v>
      </c>
      <c r="O9" s="279">
        <v>4</v>
      </c>
      <c r="P9" s="280" t="s">
        <v>3252</v>
      </c>
      <c r="Q9" s="278">
        <f>ES03B03</f>
        <v>1</v>
      </c>
      <c r="R9" s="279">
        <v>4</v>
      </c>
      <c r="S9" s="280" t="s">
        <v>3254</v>
      </c>
      <c r="T9" s="278">
        <f>ES03B04</f>
        <v>1</v>
      </c>
      <c r="U9" s="279">
        <v>4</v>
      </c>
      <c r="V9" s="277" t="s">
        <v>5220</v>
      </c>
      <c r="W9" s="278">
        <f>ES03C01</f>
        <v>1</v>
      </c>
      <c r="X9" s="279">
        <v>4</v>
      </c>
      <c r="Y9" s="277" t="s">
        <v>5225</v>
      </c>
      <c r="Z9" s="278">
        <f>ES03D01</f>
        <v>1</v>
      </c>
      <c r="AA9" s="279">
        <v>4</v>
      </c>
      <c r="AB9" s="277" t="s">
        <v>4189</v>
      </c>
      <c r="AC9" s="278">
        <f>ES09D01</f>
        <v>1</v>
      </c>
      <c r="AD9" s="279">
        <v>4</v>
      </c>
      <c r="AE9" s="277"/>
      <c r="AF9" s="278"/>
      <c r="AG9" s="279"/>
      <c r="AH9" s="277"/>
      <c r="AI9" s="278"/>
      <c r="AJ9" s="279"/>
      <c r="AK9" s="277"/>
      <c r="AL9" s="278"/>
      <c r="AM9" s="279"/>
    </row>
    <row r="10" spans="1:39" s="247" customFormat="1" ht="12.75" customHeight="1" x14ac:dyDescent="0.2">
      <c r="A10" s="273"/>
      <c r="B10" s="1110"/>
      <c r="C10" s="1110"/>
      <c r="D10" s="1110"/>
      <c r="E10" s="1110"/>
      <c r="F10" s="282"/>
      <c r="G10" s="274" t="s">
        <v>5617</v>
      </c>
      <c r="H10" s="275" t="s">
        <v>998</v>
      </c>
      <c r="I10" s="276"/>
      <c r="J10" s="277" t="s">
        <v>1498</v>
      </c>
      <c r="K10" s="278">
        <f>ES08E02</f>
        <v>1</v>
      </c>
      <c r="L10" s="279">
        <v>3</v>
      </c>
      <c r="M10" s="277" t="s">
        <v>2532</v>
      </c>
      <c r="N10" s="278">
        <f>ES08E03</f>
        <v>1</v>
      </c>
      <c r="O10" s="279">
        <v>3</v>
      </c>
      <c r="P10" s="280"/>
      <c r="Q10" s="278"/>
      <c r="R10" s="279"/>
      <c r="S10" s="277"/>
      <c r="T10" s="278"/>
      <c r="U10" s="279"/>
      <c r="V10" s="277"/>
      <c r="W10" s="278"/>
      <c r="X10" s="279"/>
      <c r="Y10" s="277"/>
      <c r="Z10" s="278"/>
      <c r="AA10" s="279"/>
      <c r="AB10" s="277"/>
      <c r="AC10" s="278"/>
      <c r="AD10" s="279"/>
      <c r="AE10" s="277"/>
      <c r="AF10" s="278"/>
      <c r="AG10" s="279"/>
      <c r="AH10" s="277"/>
      <c r="AI10" s="278"/>
      <c r="AJ10" s="279"/>
      <c r="AK10" s="277"/>
      <c r="AL10" s="278"/>
      <c r="AM10" s="279"/>
    </row>
    <row r="11" spans="1:39" s="247" customFormat="1" ht="13.5" customHeight="1" x14ac:dyDescent="0.2">
      <c r="A11" s="283"/>
      <c r="B11" s="1112"/>
      <c r="C11" s="1112"/>
      <c r="D11" s="1112"/>
      <c r="E11" s="1112"/>
      <c r="F11" s="1113"/>
      <c r="G11" s="284" t="s">
        <v>5618</v>
      </c>
      <c r="H11" s="285" t="s">
        <v>6369</v>
      </c>
      <c r="I11" s="286"/>
      <c r="J11" s="277" t="s">
        <v>4439</v>
      </c>
      <c r="K11" s="278">
        <f>ES08D05</f>
        <v>1</v>
      </c>
      <c r="L11" s="279">
        <v>3</v>
      </c>
      <c r="M11" s="277" t="s">
        <v>2514</v>
      </c>
      <c r="N11" s="278">
        <f>ES08D09</f>
        <v>1</v>
      </c>
      <c r="O11" s="279">
        <v>3</v>
      </c>
      <c r="P11" s="277" t="s">
        <v>5998</v>
      </c>
      <c r="Q11" s="278">
        <f>ES09D02</f>
        <v>1</v>
      </c>
      <c r="R11" s="279">
        <v>3</v>
      </c>
      <c r="S11" s="277"/>
      <c r="T11" s="278"/>
      <c r="U11" s="287"/>
      <c r="V11" s="277"/>
      <c r="W11" s="278"/>
      <c r="X11" s="287"/>
      <c r="Y11" s="277"/>
      <c r="Z11" s="278"/>
      <c r="AA11" s="287"/>
      <c r="AB11" s="277"/>
      <c r="AC11" s="278"/>
      <c r="AD11" s="287"/>
      <c r="AE11" s="277"/>
      <c r="AF11" s="278"/>
      <c r="AG11" s="287"/>
      <c r="AH11" s="277"/>
      <c r="AI11" s="278"/>
      <c r="AJ11" s="287"/>
      <c r="AK11" s="277"/>
      <c r="AL11" s="278"/>
      <c r="AM11" s="287"/>
    </row>
    <row r="12" spans="1:39" s="247" customFormat="1" ht="14.25" customHeight="1" x14ac:dyDescent="0.2">
      <c r="A12" s="1372" t="s">
        <v>4834</v>
      </c>
      <c r="B12" s="260" t="s">
        <v>4736</v>
      </c>
      <c r="C12" s="261"/>
      <c r="D12" s="261"/>
      <c r="E12" s="261"/>
      <c r="F12" s="261"/>
      <c r="G12" s="261"/>
      <c r="H12" s="261"/>
      <c r="I12" s="288"/>
      <c r="J12" s="289"/>
      <c r="K12" s="290"/>
      <c r="L12" s="291"/>
      <c r="M12" s="292"/>
      <c r="N12" s="290"/>
      <c r="O12" s="291"/>
      <c r="P12" s="293"/>
      <c r="Q12" s="290"/>
      <c r="R12" s="294"/>
      <c r="S12" s="295"/>
      <c r="T12" s="290"/>
      <c r="U12" s="296"/>
      <c r="V12" s="295"/>
      <c r="W12" s="290"/>
      <c r="X12" s="296"/>
      <c r="Y12" s="295"/>
      <c r="Z12" s="290"/>
      <c r="AA12" s="296"/>
      <c r="AB12" s="295"/>
      <c r="AC12" s="290"/>
      <c r="AD12" s="296"/>
      <c r="AE12" s="295"/>
      <c r="AF12" s="290"/>
      <c r="AG12" s="296"/>
      <c r="AH12" s="295"/>
      <c r="AI12" s="290"/>
      <c r="AJ12" s="296"/>
      <c r="AK12" s="295"/>
      <c r="AL12" s="290"/>
      <c r="AM12" s="296"/>
    </row>
    <row r="13" spans="1:39" s="247" customFormat="1" ht="11.25" customHeight="1" x14ac:dyDescent="0.2">
      <c r="A13" s="297"/>
      <c r="B13" s="2117">
        <f>COUNTIF(Scénarios!AH47:AH69,1)</f>
        <v>0</v>
      </c>
      <c r="C13" s="2117">
        <f>COUNTIF(Scénarios!AH47:AH69,2)</f>
        <v>0</v>
      </c>
      <c r="D13" s="2122">
        <f>COUNTIF(Scénarios!AH47:AH69,3)</f>
        <v>0</v>
      </c>
      <c r="E13" s="2123">
        <f>COUNTIF(Scénarios!AH47:AH69,4)</f>
        <v>0</v>
      </c>
      <c r="F13" s="2114">
        <f>SUM(B13:E13)</f>
        <v>0</v>
      </c>
      <c r="G13" s="274" t="s">
        <v>5616</v>
      </c>
      <c r="H13" s="275" t="s">
        <v>998</v>
      </c>
      <c r="I13" s="276"/>
      <c r="J13" s="277" t="s">
        <v>4299</v>
      </c>
      <c r="K13" s="278">
        <f>ES08F02</f>
        <v>1</v>
      </c>
      <c r="L13" s="279">
        <v>4</v>
      </c>
      <c r="M13" s="280" t="s">
        <v>4300</v>
      </c>
      <c r="N13" s="278">
        <f>ES08F03</f>
        <v>1</v>
      </c>
      <c r="O13" s="279">
        <v>4</v>
      </c>
      <c r="P13" s="280"/>
      <c r="Q13" s="278"/>
      <c r="R13" s="279"/>
      <c r="S13" s="280"/>
      <c r="T13" s="278"/>
      <c r="U13" s="279"/>
      <c r="V13" s="280"/>
      <c r="W13" s="278"/>
      <c r="X13" s="279"/>
      <c r="Y13" s="280"/>
      <c r="Z13" s="278"/>
      <c r="AA13" s="279"/>
      <c r="AB13" s="280"/>
      <c r="AC13" s="278"/>
      <c r="AD13" s="279"/>
      <c r="AE13" s="280"/>
      <c r="AF13" s="278"/>
      <c r="AG13" s="279"/>
      <c r="AH13" s="280"/>
      <c r="AI13" s="278"/>
      <c r="AJ13" s="279"/>
      <c r="AK13" s="280"/>
      <c r="AL13" s="278"/>
      <c r="AM13" s="279"/>
    </row>
    <row r="14" spans="1:39" ht="11.25" customHeight="1" x14ac:dyDescent="0.2">
      <c r="A14" s="273"/>
      <c r="B14" s="2118"/>
      <c r="C14" s="2120"/>
      <c r="D14" s="2120"/>
      <c r="E14" s="2120"/>
      <c r="F14" s="2115"/>
      <c r="G14" s="274" t="s">
        <v>5616</v>
      </c>
      <c r="H14" s="275" t="s">
        <v>998</v>
      </c>
      <c r="I14" s="276"/>
      <c r="J14" s="277" t="s">
        <v>1665</v>
      </c>
      <c r="K14" s="278">
        <f>ES03B06</f>
        <v>1</v>
      </c>
      <c r="L14" s="279">
        <v>4</v>
      </c>
      <c r="M14" s="280"/>
      <c r="N14" s="278"/>
      <c r="O14" s="279"/>
      <c r="P14" s="280"/>
      <c r="Q14" s="278"/>
      <c r="R14" s="279"/>
      <c r="S14" s="277"/>
      <c r="T14" s="278"/>
      <c r="U14" s="279"/>
      <c r="V14" s="277"/>
      <c r="W14" s="278"/>
      <c r="X14" s="279"/>
      <c r="Y14" s="277"/>
      <c r="Z14" s="278"/>
      <c r="AA14" s="279"/>
      <c r="AB14" s="277"/>
      <c r="AC14" s="278"/>
      <c r="AD14" s="279"/>
      <c r="AE14" s="277"/>
      <c r="AF14" s="278"/>
      <c r="AG14" s="279"/>
      <c r="AH14" s="277"/>
      <c r="AI14" s="278"/>
      <c r="AJ14" s="279"/>
      <c r="AK14" s="277"/>
      <c r="AL14" s="278"/>
      <c r="AM14" s="279"/>
    </row>
    <row r="15" spans="1:39" x14ac:dyDescent="0.2">
      <c r="A15" s="273"/>
      <c r="B15" s="2119"/>
      <c r="C15" s="2121"/>
      <c r="D15" s="2121"/>
      <c r="E15" s="2121"/>
      <c r="F15" s="2116"/>
      <c r="G15" s="274" t="s">
        <v>5615</v>
      </c>
      <c r="H15" s="275" t="s">
        <v>998</v>
      </c>
      <c r="I15" s="276"/>
      <c r="J15" s="277" t="s">
        <v>5428</v>
      </c>
      <c r="K15" s="278">
        <f>ES07A02</f>
        <v>1</v>
      </c>
      <c r="L15" s="279">
        <v>4</v>
      </c>
      <c r="M15" s="277" t="s">
        <v>5429</v>
      </c>
      <c r="N15" s="278">
        <f>ES07A03</f>
        <v>1</v>
      </c>
      <c r="O15" s="279">
        <v>4</v>
      </c>
      <c r="P15" s="277" t="s">
        <v>5137</v>
      </c>
      <c r="Q15" s="278">
        <f>ES07A04</f>
        <v>1</v>
      </c>
      <c r="R15" s="279">
        <v>4</v>
      </c>
      <c r="S15" s="277" t="s">
        <v>4324</v>
      </c>
      <c r="T15" s="278">
        <f>ES08A03</f>
        <v>1</v>
      </c>
      <c r="U15" s="279">
        <v>4</v>
      </c>
      <c r="V15" s="277"/>
      <c r="W15" s="298"/>
      <c r="X15" s="279"/>
      <c r="Y15" s="277"/>
      <c r="Z15" s="298"/>
      <c r="AA15" s="279"/>
      <c r="AB15" s="277"/>
      <c r="AC15" s="298"/>
      <c r="AD15" s="279"/>
      <c r="AE15" s="277"/>
      <c r="AF15" s="298"/>
      <c r="AG15" s="279"/>
      <c r="AH15" s="277"/>
      <c r="AI15" s="298"/>
      <c r="AJ15" s="279"/>
      <c r="AK15" s="277"/>
      <c r="AL15" s="298"/>
      <c r="AM15" s="279"/>
    </row>
    <row r="16" spans="1:39" s="247" customFormat="1" ht="13.5" customHeight="1" x14ac:dyDescent="0.2">
      <c r="A16" s="273"/>
      <c r="B16" s="281"/>
      <c r="C16" s="281"/>
      <c r="D16" s="281"/>
      <c r="E16" s="281"/>
      <c r="F16" s="281"/>
      <c r="G16" s="274" t="s">
        <v>5615</v>
      </c>
      <c r="H16" s="275" t="s">
        <v>998</v>
      </c>
      <c r="I16" s="276"/>
      <c r="J16" s="277" t="s">
        <v>6386</v>
      </c>
      <c r="K16" s="278">
        <f>ES03A01</f>
        <v>1</v>
      </c>
      <c r="L16" s="279">
        <v>4</v>
      </c>
      <c r="M16" s="277" t="s">
        <v>2341</v>
      </c>
      <c r="N16" s="278">
        <f>ES03A04</f>
        <v>1</v>
      </c>
      <c r="O16" s="279">
        <v>4</v>
      </c>
      <c r="P16" s="280" t="s">
        <v>3252</v>
      </c>
      <c r="Q16" s="278">
        <f>ES03B03</f>
        <v>1</v>
      </c>
      <c r="R16" s="279">
        <v>4</v>
      </c>
      <c r="S16" s="280" t="s">
        <v>3254</v>
      </c>
      <c r="T16" s="278">
        <f>ES03B04</f>
        <v>1</v>
      </c>
      <c r="U16" s="279">
        <v>4</v>
      </c>
      <c r="V16" s="277" t="s">
        <v>5220</v>
      </c>
      <c r="W16" s="278">
        <f>ES03C01</f>
        <v>1</v>
      </c>
      <c r="X16" s="279">
        <v>4</v>
      </c>
      <c r="Y16" s="277" t="s">
        <v>5225</v>
      </c>
      <c r="Z16" s="278">
        <f>ES03D01</f>
        <v>1</v>
      </c>
      <c r="AA16" s="279">
        <v>4</v>
      </c>
      <c r="AB16" s="277"/>
      <c r="AC16" s="278"/>
      <c r="AD16" s="279"/>
      <c r="AE16" s="277"/>
      <c r="AF16" s="278"/>
      <c r="AG16" s="279"/>
      <c r="AH16" s="277"/>
      <c r="AI16" s="278"/>
      <c r="AJ16" s="279"/>
      <c r="AK16" s="277"/>
      <c r="AL16" s="278"/>
      <c r="AM16" s="279"/>
    </row>
    <row r="17" spans="1:53" s="247" customFormat="1" ht="13.5" customHeight="1" x14ac:dyDescent="0.2">
      <c r="A17" s="273"/>
      <c r="B17" s="299"/>
      <c r="C17" s="299"/>
      <c r="D17" s="299"/>
      <c r="E17" s="299"/>
      <c r="F17" s="299"/>
      <c r="G17" s="274" t="s">
        <v>5615</v>
      </c>
      <c r="H17" s="300" t="s">
        <v>998</v>
      </c>
      <c r="I17" s="301"/>
      <c r="J17" s="277" t="s">
        <v>1992</v>
      </c>
      <c r="K17" s="278">
        <f>ES08D07</f>
        <v>1</v>
      </c>
      <c r="L17" s="279">
        <v>3</v>
      </c>
      <c r="M17" s="277" t="s">
        <v>3236</v>
      </c>
      <c r="N17" s="278">
        <f>ES11D06</f>
        <v>1</v>
      </c>
      <c r="O17" s="279">
        <v>3</v>
      </c>
      <c r="P17" s="280"/>
      <c r="Q17" s="278"/>
      <c r="R17" s="279"/>
      <c r="S17" s="277"/>
      <c r="T17" s="278"/>
      <c r="U17" s="279"/>
      <c r="V17" s="277"/>
      <c r="W17" s="278"/>
      <c r="X17" s="279"/>
      <c r="Y17" s="277"/>
      <c r="Z17" s="278"/>
      <c r="AA17" s="279"/>
      <c r="AB17" s="277"/>
      <c r="AC17" s="278"/>
      <c r="AD17" s="279"/>
      <c r="AE17" s="277"/>
      <c r="AF17" s="278"/>
      <c r="AG17" s="279"/>
      <c r="AH17" s="277"/>
      <c r="AI17" s="278"/>
      <c r="AJ17" s="279"/>
      <c r="AK17" s="277"/>
      <c r="AL17" s="278"/>
      <c r="AM17" s="279"/>
      <c r="BA17" s="302"/>
    </row>
    <row r="18" spans="1:53" s="247" customFormat="1" ht="13.5" customHeight="1" x14ac:dyDescent="0.2">
      <c r="A18" s="273"/>
      <c r="B18" s="1110"/>
      <c r="C18" s="1110"/>
      <c r="D18" s="1110"/>
      <c r="E18" s="1110"/>
      <c r="F18" s="282"/>
      <c r="G18" s="274" t="s">
        <v>5617</v>
      </c>
      <c r="H18" s="275" t="s">
        <v>998</v>
      </c>
      <c r="I18" s="276"/>
      <c r="J18" s="277" t="s">
        <v>2532</v>
      </c>
      <c r="K18" s="278">
        <f>ES08E03</f>
        <v>1</v>
      </c>
      <c r="L18" s="279">
        <v>3</v>
      </c>
      <c r="M18" s="280"/>
      <c r="N18" s="278"/>
      <c r="O18" s="279"/>
      <c r="P18" s="280"/>
      <c r="Q18" s="278"/>
      <c r="R18" s="287"/>
      <c r="S18" s="277"/>
      <c r="T18" s="278"/>
      <c r="U18" s="279"/>
      <c r="V18" s="277"/>
      <c r="W18" s="278"/>
      <c r="X18" s="279"/>
      <c r="Y18" s="277"/>
      <c r="Z18" s="278"/>
      <c r="AA18" s="279"/>
      <c r="AB18" s="277"/>
      <c r="AC18" s="278"/>
      <c r="AD18" s="279"/>
      <c r="AE18" s="277"/>
      <c r="AF18" s="278"/>
      <c r="AG18" s="279"/>
      <c r="AH18" s="277"/>
      <c r="AI18" s="278"/>
      <c r="AJ18" s="279"/>
      <c r="AK18" s="277"/>
      <c r="AL18" s="278"/>
      <c r="AM18" s="279"/>
    </row>
    <row r="19" spans="1:53" s="247" customFormat="1" ht="13.5" customHeight="1" x14ac:dyDescent="0.2">
      <c r="A19" s="283"/>
      <c r="B19" s="1112"/>
      <c r="C19" s="1112"/>
      <c r="D19" s="1112"/>
      <c r="E19" s="1112"/>
      <c r="F19" s="1112"/>
      <c r="G19" s="284" t="s">
        <v>5618</v>
      </c>
      <c r="H19" s="285" t="s">
        <v>6369</v>
      </c>
      <c r="I19" s="276"/>
      <c r="J19" s="277" t="s">
        <v>2514</v>
      </c>
      <c r="K19" s="278">
        <f>ES08D09</f>
        <v>1</v>
      </c>
      <c r="L19" s="279">
        <v>3</v>
      </c>
      <c r="M19" s="277" t="s">
        <v>4440</v>
      </c>
      <c r="N19" s="278">
        <f>ES11D04</f>
        <v>1</v>
      </c>
      <c r="O19" s="279">
        <v>3</v>
      </c>
      <c r="P19" s="277" t="s">
        <v>4256</v>
      </c>
      <c r="Q19" s="278">
        <f>ES11D08</f>
        <v>1</v>
      </c>
      <c r="R19" s="279">
        <v>3</v>
      </c>
      <c r="S19" s="277"/>
      <c r="T19" s="278"/>
      <c r="U19" s="279"/>
      <c r="V19" s="277"/>
      <c r="W19" s="278"/>
      <c r="X19" s="287"/>
      <c r="Y19" s="277"/>
      <c r="Z19" s="278"/>
      <c r="AA19" s="287"/>
      <c r="AB19" s="277"/>
      <c r="AC19" s="278"/>
      <c r="AD19" s="287"/>
      <c r="AE19" s="277"/>
      <c r="AF19" s="278"/>
      <c r="AG19" s="287"/>
      <c r="AH19" s="277"/>
      <c r="AI19" s="278"/>
      <c r="AJ19" s="287"/>
      <c r="AK19" s="277"/>
      <c r="AL19" s="278"/>
      <c r="AM19" s="287"/>
    </row>
    <row r="20" spans="1:53" ht="15" x14ac:dyDescent="0.2">
      <c r="A20" s="1371" t="s">
        <v>4835</v>
      </c>
      <c r="B20" s="260" t="s">
        <v>4737</v>
      </c>
      <c r="C20" s="261"/>
      <c r="D20" s="261"/>
      <c r="E20" s="261"/>
      <c r="F20" s="261"/>
      <c r="G20" s="261"/>
      <c r="H20" s="261"/>
      <c r="I20" s="303"/>
      <c r="J20" s="270"/>
      <c r="K20" s="269"/>
      <c r="L20" s="294"/>
      <c r="M20" s="271"/>
      <c r="N20" s="269"/>
      <c r="O20" s="294"/>
      <c r="P20" s="268"/>
      <c r="Q20" s="269"/>
      <c r="R20" s="304"/>
      <c r="S20" s="271"/>
      <c r="T20" s="269"/>
      <c r="U20" s="294"/>
      <c r="V20" s="271"/>
      <c r="W20" s="269"/>
      <c r="X20" s="294"/>
      <c r="Y20" s="271"/>
      <c r="Z20" s="269"/>
      <c r="AA20" s="294"/>
      <c r="AB20" s="271"/>
      <c r="AC20" s="269"/>
      <c r="AD20" s="294"/>
      <c r="AE20" s="271"/>
      <c r="AF20" s="269"/>
      <c r="AG20" s="294"/>
      <c r="AH20" s="271"/>
      <c r="AI20" s="269"/>
      <c r="AJ20" s="294"/>
      <c r="AK20" s="271"/>
      <c r="AL20" s="269"/>
      <c r="AM20" s="294"/>
    </row>
    <row r="21" spans="1:53" s="247" customFormat="1" ht="12" customHeight="1" x14ac:dyDescent="0.2">
      <c r="A21" s="297"/>
      <c r="B21" s="2117">
        <f>COUNTIF(Scénarios!AH71:AH96,1)</f>
        <v>0</v>
      </c>
      <c r="C21" s="2117">
        <f>COUNTIF(Scénarios!AH71:AH96,2)</f>
        <v>0</v>
      </c>
      <c r="D21" s="2122">
        <f>COUNTIF(Scénarios!AH71:AH96,3)</f>
        <v>0</v>
      </c>
      <c r="E21" s="2123">
        <f>COUNTIF(Scénarios!AH71:AH96,4)</f>
        <v>0</v>
      </c>
      <c r="F21" s="2114">
        <f>SUM(B21:E21)</f>
        <v>0</v>
      </c>
      <c r="G21" s="274" t="s">
        <v>5616</v>
      </c>
      <c r="H21" s="275" t="s">
        <v>998</v>
      </c>
      <c r="I21" s="276"/>
      <c r="J21" s="277" t="s">
        <v>4299</v>
      </c>
      <c r="K21" s="278">
        <f>ES08F02</f>
        <v>1</v>
      </c>
      <c r="L21" s="279">
        <v>4</v>
      </c>
      <c r="M21" s="280" t="s">
        <v>4300</v>
      </c>
      <c r="N21" s="278">
        <f>ES08F03</f>
        <v>1</v>
      </c>
      <c r="O21" s="279">
        <v>4</v>
      </c>
      <c r="P21" s="280"/>
      <c r="Q21" s="278"/>
      <c r="R21" s="279"/>
      <c r="S21" s="280"/>
      <c r="T21" s="278"/>
      <c r="U21" s="279"/>
      <c r="V21" s="280"/>
      <c r="W21" s="278"/>
      <c r="X21" s="279"/>
      <c r="Y21" s="280"/>
      <c r="Z21" s="278"/>
      <c r="AA21" s="279"/>
      <c r="AB21" s="280"/>
      <c r="AC21" s="278"/>
      <c r="AD21" s="279"/>
      <c r="AE21" s="280"/>
      <c r="AF21" s="278"/>
      <c r="AG21" s="279"/>
      <c r="AH21" s="280"/>
      <c r="AI21" s="278"/>
      <c r="AJ21" s="279"/>
      <c r="AK21" s="280"/>
      <c r="AL21" s="278"/>
      <c r="AM21" s="279"/>
    </row>
    <row r="22" spans="1:53" s="247" customFormat="1" ht="12" customHeight="1" x14ac:dyDescent="0.2">
      <c r="A22" s="273"/>
      <c r="B22" s="2118"/>
      <c r="C22" s="2120"/>
      <c r="D22" s="2120"/>
      <c r="E22" s="2120"/>
      <c r="F22" s="2115"/>
      <c r="G22" s="274" t="s">
        <v>5616</v>
      </c>
      <c r="H22" s="275" t="s">
        <v>6370</v>
      </c>
      <c r="I22" s="276"/>
      <c r="J22" s="277" t="s">
        <v>3120</v>
      </c>
      <c r="K22" s="278">
        <f>ES02C05</f>
        <v>1</v>
      </c>
      <c r="L22" s="279">
        <v>4</v>
      </c>
      <c r="M22" s="280"/>
      <c r="N22" s="278"/>
      <c r="O22" s="279"/>
      <c r="P22" s="280"/>
      <c r="Q22" s="278"/>
      <c r="R22" s="279"/>
      <c r="S22" s="277"/>
      <c r="T22" s="278"/>
      <c r="U22" s="279"/>
      <c r="V22" s="277"/>
      <c r="W22" s="278"/>
      <c r="X22" s="279"/>
      <c r="Y22" s="277"/>
      <c r="Z22" s="278"/>
      <c r="AA22" s="279"/>
      <c r="AB22" s="277"/>
      <c r="AC22" s="278"/>
      <c r="AD22" s="279"/>
      <c r="AE22" s="277"/>
      <c r="AF22" s="278"/>
      <c r="AG22" s="279"/>
      <c r="AH22" s="277"/>
      <c r="AI22" s="278"/>
      <c r="AJ22" s="279"/>
      <c r="AK22" s="277"/>
      <c r="AL22" s="278"/>
      <c r="AM22" s="279"/>
    </row>
    <row r="23" spans="1:53" s="247" customFormat="1" ht="12" customHeight="1" x14ac:dyDescent="0.2">
      <c r="A23" s="273"/>
      <c r="B23" s="2119"/>
      <c r="C23" s="2121"/>
      <c r="D23" s="2121"/>
      <c r="E23" s="2121"/>
      <c r="F23" s="2116"/>
      <c r="G23" s="274" t="s">
        <v>5615</v>
      </c>
      <c r="H23" s="275" t="s">
        <v>998</v>
      </c>
      <c r="I23" s="276"/>
      <c r="J23" s="277" t="s">
        <v>1992</v>
      </c>
      <c r="K23" s="278">
        <f>ES08D07</f>
        <v>1</v>
      </c>
      <c r="L23" s="279">
        <v>4</v>
      </c>
      <c r="M23" s="277" t="s">
        <v>4148</v>
      </c>
      <c r="N23" s="278">
        <f>ES11B01</f>
        <v>1</v>
      </c>
      <c r="O23" s="279">
        <v>4</v>
      </c>
      <c r="P23" s="277" t="s">
        <v>3236</v>
      </c>
      <c r="Q23" s="278">
        <f>ES11D06</f>
        <v>1</v>
      </c>
      <c r="R23" s="279">
        <v>4</v>
      </c>
      <c r="S23" s="277"/>
      <c r="T23" s="298"/>
      <c r="U23" s="279"/>
      <c r="V23" s="277"/>
      <c r="W23" s="298"/>
      <c r="X23" s="279"/>
      <c r="Y23" s="277"/>
      <c r="Z23" s="298"/>
      <c r="AA23" s="279"/>
      <c r="AB23" s="277"/>
      <c r="AC23" s="298"/>
      <c r="AD23" s="279"/>
      <c r="AE23" s="277"/>
      <c r="AF23" s="298"/>
      <c r="AG23" s="279"/>
      <c r="AH23" s="277"/>
      <c r="AI23" s="298"/>
      <c r="AJ23" s="279"/>
      <c r="AK23" s="277"/>
      <c r="AL23" s="298"/>
      <c r="AM23" s="279"/>
    </row>
    <row r="24" spans="1:53" s="247" customFormat="1" ht="12" customHeight="1" x14ac:dyDescent="0.2">
      <c r="A24" s="273"/>
      <c r="B24" s="281"/>
      <c r="C24" s="281"/>
      <c r="D24" s="281"/>
      <c r="E24" s="281"/>
      <c r="F24" s="281"/>
      <c r="G24" s="274" t="s">
        <v>5615</v>
      </c>
      <c r="H24" s="275" t="s">
        <v>6370</v>
      </c>
      <c r="I24" s="276"/>
      <c r="J24" s="277" t="s">
        <v>6413</v>
      </c>
      <c r="K24" s="278">
        <f>ES02C03</f>
        <v>1</v>
      </c>
      <c r="L24" s="279">
        <v>4</v>
      </c>
      <c r="M24" s="277" t="s">
        <v>3122</v>
      </c>
      <c r="N24" s="278">
        <f>ES02D02</f>
        <v>1</v>
      </c>
      <c r="O24" s="279">
        <v>4</v>
      </c>
      <c r="P24" s="277" t="s">
        <v>6386</v>
      </c>
      <c r="Q24" s="278">
        <f>ES03A01</f>
        <v>1</v>
      </c>
      <c r="R24" s="279">
        <v>4</v>
      </c>
      <c r="S24" s="277" t="s">
        <v>2341</v>
      </c>
      <c r="T24" s="278">
        <f>ES03A04</f>
        <v>1</v>
      </c>
      <c r="U24" s="279">
        <v>4</v>
      </c>
      <c r="V24" s="277" t="s">
        <v>5220</v>
      </c>
      <c r="W24" s="278">
        <f>ES03C01</f>
        <v>1</v>
      </c>
      <c r="X24" s="279">
        <v>4</v>
      </c>
      <c r="Y24" s="277" t="s">
        <v>5225</v>
      </c>
      <c r="Z24" s="278">
        <f>ES03D01</f>
        <v>1</v>
      </c>
      <c r="AA24" s="279">
        <v>4</v>
      </c>
      <c r="AB24" s="277"/>
      <c r="AC24" s="278"/>
      <c r="AD24" s="279"/>
      <c r="AE24" s="277"/>
      <c r="AF24" s="278"/>
      <c r="AG24" s="279"/>
      <c r="AH24" s="277"/>
      <c r="AI24" s="278"/>
      <c r="AJ24" s="279"/>
      <c r="AK24" s="277"/>
      <c r="AL24" s="278"/>
      <c r="AM24" s="279"/>
    </row>
    <row r="25" spans="1:53" x14ac:dyDescent="0.2">
      <c r="A25" s="273"/>
      <c r="B25" s="1110"/>
      <c r="C25" s="1110"/>
      <c r="D25" s="1110"/>
      <c r="E25" s="1110"/>
      <c r="F25" s="282"/>
      <c r="G25" s="274" t="s">
        <v>5617</v>
      </c>
      <c r="H25" s="275"/>
      <c r="I25" s="276"/>
      <c r="J25" s="277"/>
      <c r="K25" s="278"/>
      <c r="L25" s="279"/>
      <c r="M25" s="280"/>
      <c r="N25" s="278"/>
      <c r="O25" s="279"/>
      <c r="P25" s="280"/>
      <c r="Q25" s="278"/>
      <c r="R25" s="287"/>
      <c r="S25" s="277"/>
      <c r="T25" s="278"/>
      <c r="U25" s="279"/>
      <c r="V25" s="277"/>
      <c r="W25" s="278"/>
      <c r="X25" s="279"/>
      <c r="Y25" s="277"/>
      <c r="Z25" s="278"/>
      <c r="AA25" s="279"/>
      <c r="AB25" s="277"/>
      <c r="AC25" s="278"/>
      <c r="AD25" s="279"/>
      <c r="AE25" s="277"/>
      <c r="AF25" s="278"/>
      <c r="AG25" s="279"/>
      <c r="AH25" s="277"/>
      <c r="AI25" s="278"/>
      <c r="AJ25" s="279"/>
      <c r="AK25" s="277"/>
      <c r="AL25" s="278"/>
      <c r="AM25" s="279"/>
    </row>
    <row r="26" spans="1:53" s="247" customFormat="1" ht="12" customHeight="1" x14ac:dyDescent="0.2">
      <c r="A26" s="283"/>
      <c r="B26" s="1112"/>
      <c r="C26" s="1112"/>
      <c r="D26" s="1112"/>
      <c r="E26" s="1112"/>
      <c r="F26" s="1112"/>
      <c r="G26" s="284" t="s">
        <v>5618</v>
      </c>
      <c r="H26" s="285" t="s">
        <v>6369</v>
      </c>
      <c r="I26" s="276"/>
      <c r="J26" s="277" t="s">
        <v>5949</v>
      </c>
      <c r="K26" s="278">
        <f>ES11D05</f>
        <v>1</v>
      </c>
      <c r="L26" s="279">
        <v>3</v>
      </c>
      <c r="M26" s="277" t="s">
        <v>4256</v>
      </c>
      <c r="N26" s="278">
        <f>ES11D08</f>
        <v>1</v>
      </c>
      <c r="O26" s="279">
        <v>3</v>
      </c>
      <c r="P26" s="277"/>
      <c r="Q26" s="278"/>
      <c r="R26" s="279"/>
      <c r="S26" s="277"/>
      <c r="T26" s="278"/>
      <c r="U26" s="287"/>
      <c r="V26" s="277"/>
      <c r="W26" s="278"/>
      <c r="X26" s="287"/>
      <c r="Y26" s="277"/>
      <c r="Z26" s="278"/>
      <c r="AA26" s="287"/>
      <c r="AB26" s="277"/>
      <c r="AC26" s="278"/>
      <c r="AD26" s="287"/>
      <c r="AE26" s="277"/>
      <c r="AF26" s="278"/>
      <c r="AG26" s="287"/>
      <c r="AH26" s="277"/>
      <c r="AI26" s="278"/>
      <c r="AJ26" s="287"/>
      <c r="AK26" s="277"/>
      <c r="AL26" s="278"/>
      <c r="AM26" s="287"/>
    </row>
    <row r="27" spans="1:53" s="247" customFormat="1" ht="16.5" customHeight="1" x14ac:dyDescent="0.2">
      <c r="A27" s="1373" t="s">
        <v>4836</v>
      </c>
      <c r="B27" s="260" t="s">
        <v>2467</v>
      </c>
      <c r="C27" s="261"/>
      <c r="D27" s="261"/>
      <c r="E27" s="261"/>
      <c r="F27" s="305"/>
      <c r="G27" s="305"/>
      <c r="H27" s="262"/>
      <c r="I27" s="303"/>
      <c r="J27" s="270"/>
      <c r="K27" s="269"/>
      <c r="L27" s="294"/>
      <c r="M27" s="271"/>
      <c r="N27" s="269"/>
      <c r="O27" s="294"/>
      <c r="P27" s="268"/>
      <c r="Q27" s="269"/>
      <c r="R27" s="304"/>
      <c r="S27" s="271"/>
      <c r="T27" s="269"/>
      <c r="U27" s="294"/>
      <c r="V27" s="271"/>
      <c r="W27" s="269"/>
      <c r="X27" s="294"/>
      <c r="Y27" s="271"/>
      <c r="Z27" s="269"/>
      <c r="AA27" s="294"/>
      <c r="AB27" s="271"/>
      <c r="AC27" s="269"/>
      <c r="AD27" s="294"/>
      <c r="AE27" s="271"/>
      <c r="AF27" s="269"/>
      <c r="AG27" s="294"/>
      <c r="AH27" s="271"/>
      <c r="AI27" s="269"/>
      <c r="AJ27" s="294"/>
      <c r="AK27" s="271"/>
      <c r="AL27" s="269"/>
      <c r="AM27" s="294"/>
    </row>
    <row r="28" spans="1:53" s="247" customFormat="1" ht="14.25" customHeight="1" x14ac:dyDescent="0.2">
      <c r="A28" s="297"/>
      <c r="B28" s="2117">
        <f>COUNTIF(Scénarios!AH98:AH107,1)</f>
        <v>0</v>
      </c>
      <c r="C28" s="2117">
        <f>COUNTIF(Scénarios!AH98:AH107,2)</f>
        <v>0</v>
      </c>
      <c r="D28" s="2122">
        <f>COUNTIF(Scénarios!AH98:AH107,3)</f>
        <v>0</v>
      </c>
      <c r="E28" s="2123">
        <f>COUNTIF(Scénarios!AH98:AH107,4)</f>
        <v>0</v>
      </c>
      <c r="F28" s="2148">
        <f>SUM(B28:E28)</f>
        <v>0</v>
      </c>
      <c r="G28" s="274" t="s">
        <v>5616</v>
      </c>
      <c r="H28" s="275" t="s">
        <v>6370</v>
      </c>
      <c r="I28" s="276"/>
      <c r="J28" s="277" t="s">
        <v>3120</v>
      </c>
      <c r="K28" s="278">
        <f>ES02C05</f>
        <v>1</v>
      </c>
      <c r="L28" s="279">
        <v>3</v>
      </c>
      <c r="M28" s="280"/>
      <c r="N28" s="278"/>
      <c r="O28" s="279"/>
      <c r="P28" s="280"/>
      <c r="Q28" s="278"/>
      <c r="R28" s="279"/>
      <c r="S28" s="280"/>
      <c r="T28" s="278"/>
      <c r="U28" s="279"/>
      <c r="V28" s="280"/>
      <c r="W28" s="278"/>
      <c r="X28" s="279"/>
      <c r="Y28" s="280"/>
      <c r="Z28" s="278"/>
      <c r="AA28" s="279"/>
      <c r="AB28" s="280"/>
      <c r="AC28" s="278"/>
      <c r="AD28" s="279"/>
      <c r="AE28" s="280"/>
      <c r="AF28" s="278"/>
      <c r="AG28" s="279"/>
      <c r="AH28" s="280"/>
      <c r="AI28" s="278"/>
      <c r="AJ28" s="279"/>
      <c r="AK28" s="280"/>
      <c r="AL28" s="278"/>
      <c r="AM28" s="279"/>
    </row>
    <row r="29" spans="1:53" s="247" customFormat="1" ht="12" customHeight="1" x14ac:dyDescent="0.2">
      <c r="A29" s="273"/>
      <c r="B29" s="2118"/>
      <c r="C29" s="2120"/>
      <c r="D29" s="2120"/>
      <c r="E29" s="2120"/>
      <c r="F29" s="2115"/>
      <c r="G29" s="274" t="s">
        <v>5615</v>
      </c>
      <c r="H29" s="285" t="s">
        <v>6369</v>
      </c>
      <c r="I29" s="276"/>
      <c r="J29" s="277" t="s">
        <v>3121</v>
      </c>
      <c r="K29" s="278">
        <f>ES02D01</f>
        <v>1</v>
      </c>
      <c r="L29" s="279">
        <v>4</v>
      </c>
      <c r="M29" s="277" t="s">
        <v>3126</v>
      </c>
      <c r="N29" s="278">
        <f>ES02D06</f>
        <v>1</v>
      </c>
      <c r="O29" s="279">
        <v>4</v>
      </c>
      <c r="P29" s="277" t="s">
        <v>4149</v>
      </c>
      <c r="Q29" s="278">
        <f>ES11B02</f>
        <v>1</v>
      </c>
      <c r="R29" s="279">
        <v>4</v>
      </c>
      <c r="S29" s="277"/>
      <c r="T29" s="278"/>
      <c r="U29" s="279"/>
      <c r="V29" s="277"/>
      <c r="W29" s="278"/>
      <c r="X29" s="279"/>
      <c r="Y29" s="277"/>
      <c r="Z29" s="278"/>
      <c r="AA29" s="279"/>
      <c r="AB29" s="277"/>
      <c r="AC29" s="278"/>
      <c r="AD29" s="279"/>
      <c r="AE29" s="277"/>
      <c r="AF29" s="278"/>
      <c r="AG29" s="279"/>
      <c r="AH29" s="277"/>
      <c r="AI29" s="278"/>
      <c r="AJ29" s="279"/>
      <c r="AK29" s="277"/>
      <c r="AL29" s="278"/>
      <c r="AM29" s="279"/>
    </row>
    <row r="30" spans="1:53" x14ac:dyDescent="0.2">
      <c r="A30" s="273"/>
      <c r="B30" s="2119"/>
      <c r="C30" s="2121"/>
      <c r="D30" s="2121"/>
      <c r="E30" s="2121"/>
      <c r="F30" s="2116"/>
      <c r="G30" s="274" t="s">
        <v>5617</v>
      </c>
      <c r="H30" s="275"/>
      <c r="I30" s="276"/>
      <c r="J30" s="277"/>
      <c r="K30" s="278"/>
      <c r="L30" s="279"/>
      <c r="M30" s="280"/>
      <c r="N30" s="278"/>
      <c r="O30" s="279"/>
      <c r="P30" s="280"/>
      <c r="Q30" s="278"/>
      <c r="R30" s="287"/>
      <c r="S30" s="277"/>
      <c r="T30" s="278"/>
      <c r="U30" s="279"/>
      <c r="V30" s="277"/>
      <c r="W30" s="278"/>
      <c r="X30" s="279"/>
      <c r="Y30" s="277"/>
      <c r="Z30" s="278"/>
      <c r="AA30" s="279"/>
      <c r="AB30" s="277"/>
      <c r="AC30" s="278"/>
      <c r="AD30" s="279"/>
      <c r="AE30" s="277"/>
      <c r="AF30" s="278"/>
      <c r="AG30" s="279"/>
      <c r="AH30" s="277"/>
      <c r="AI30" s="278"/>
      <c r="AJ30" s="279"/>
      <c r="AK30" s="277"/>
      <c r="AL30" s="278"/>
      <c r="AM30" s="279"/>
    </row>
    <row r="31" spans="1:53" s="247" customFormat="1" ht="12" customHeight="1" x14ac:dyDescent="0.2">
      <c r="A31" s="273"/>
      <c r="B31" s="306"/>
      <c r="C31" s="306"/>
      <c r="D31" s="306"/>
      <c r="E31" s="306"/>
      <c r="F31" s="306"/>
      <c r="G31" s="284" t="s">
        <v>5618</v>
      </c>
      <c r="H31" s="307"/>
      <c r="I31" s="276"/>
      <c r="J31" s="277"/>
      <c r="K31" s="278"/>
      <c r="L31" s="279"/>
      <c r="M31" s="277"/>
      <c r="N31" s="278"/>
      <c r="O31" s="279"/>
      <c r="P31" s="277"/>
      <c r="Q31" s="278"/>
      <c r="R31" s="279"/>
      <c r="S31" s="277"/>
      <c r="T31" s="278"/>
      <c r="U31" s="287"/>
      <c r="V31" s="277"/>
      <c r="W31" s="278"/>
      <c r="X31" s="287"/>
      <c r="Y31" s="277"/>
      <c r="Z31" s="278"/>
      <c r="AA31" s="287"/>
      <c r="AB31" s="277"/>
      <c r="AC31" s="278"/>
      <c r="AD31" s="287"/>
      <c r="AE31" s="277"/>
      <c r="AF31" s="278"/>
      <c r="AG31" s="287"/>
      <c r="AH31" s="277"/>
      <c r="AI31" s="278"/>
      <c r="AJ31" s="287"/>
      <c r="AK31" s="277"/>
      <c r="AL31" s="278"/>
      <c r="AM31" s="287"/>
    </row>
    <row r="32" spans="1:53" s="247" customFormat="1" ht="16.5" customHeight="1" x14ac:dyDescent="0.2">
      <c r="A32" s="1373" t="s">
        <v>4837</v>
      </c>
      <c r="B32" s="260" t="s">
        <v>2468</v>
      </c>
      <c r="C32" s="261"/>
      <c r="D32" s="261"/>
      <c r="E32" s="261"/>
      <c r="F32" s="305"/>
      <c r="G32" s="305"/>
      <c r="H32" s="262"/>
      <c r="I32" s="303"/>
      <c r="J32" s="270"/>
      <c r="K32" s="269"/>
      <c r="L32" s="294"/>
      <c r="M32" s="271"/>
      <c r="N32" s="269"/>
      <c r="O32" s="294"/>
      <c r="P32" s="268"/>
      <c r="Q32" s="269"/>
      <c r="R32" s="304"/>
      <c r="S32" s="271"/>
      <c r="T32" s="269"/>
      <c r="U32" s="294"/>
      <c r="V32" s="271"/>
      <c r="W32" s="269"/>
      <c r="X32" s="294"/>
      <c r="Y32" s="271"/>
      <c r="Z32" s="269"/>
      <c r="AA32" s="294"/>
      <c r="AB32" s="271"/>
      <c r="AC32" s="269"/>
      <c r="AD32" s="294"/>
      <c r="AE32" s="271"/>
      <c r="AF32" s="269"/>
      <c r="AG32" s="294"/>
      <c r="AH32" s="271"/>
      <c r="AI32" s="269"/>
      <c r="AJ32" s="294"/>
      <c r="AK32" s="271"/>
      <c r="AL32" s="269"/>
      <c r="AM32" s="294"/>
    </row>
    <row r="33" spans="1:39" s="247" customFormat="1" ht="13.5" customHeight="1" x14ac:dyDescent="0.2">
      <c r="A33" s="297"/>
      <c r="B33" s="2117">
        <f>COUNTIF(Scénarios!AH109:AH114,1)</f>
        <v>0</v>
      </c>
      <c r="C33" s="2117">
        <f>COUNTIF(Scénarios!AH109:AH114,2)</f>
        <v>0</v>
      </c>
      <c r="D33" s="2122">
        <f>COUNTIF(Scénarios!AH109:AH114,3)</f>
        <v>0</v>
      </c>
      <c r="E33" s="2123">
        <f>COUNTIF(Scénarios!AH109:AH114,4)</f>
        <v>0</v>
      </c>
      <c r="F33" s="2148">
        <f>SUM(B33:E33)</f>
        <v>0</v>
      </c>
      <c r="G33" s="274" t="s">
        <v>5616</v>
      </c>
      <c r="H33" s="275" t="s">
        <v>998</v>
      </c>
      <c r="I33" s="276"/>
      <c r="J33" s="277" t="s">
        <v>4299</v>
      </c>
      <c r="K33" s="278">
        <f>ES08F02</f>
        <v>1</v>
      </c>
      <c r="L33" s="279">
        <v>4</v>
      </c>
      <c r="M33" s="280" t="s">
        <v>4300</v>
      </c>
      <c r="N33" s="278">
        <f>ES08F03</f>
        <v>1</v>
      </c>
      <c r="O33" s="279">
        <v>4</v>
      </c>
      <c r="P33" s="280"/>
      <c r="Q33" s="278"/>
      <c r="R33" s="279"/>
      <c r="S33" s="280"/>
      <c r="T33" s="278"/>
      <c r="U33" s="279"/>
      <c r="V33" s="280"/>
      <c r="W33" s="278"/>
      <c r="X33" s="279"/>
      <c r="Y33" s="280"/>
      <c r="Z33" s="278"/>
      <c r="AA33" s="279"/>
      <c r="AB33" s="280"/>
      <c r="AC33" s="278"/>
      <c r="AD33" s="279"/>
      <c r="AE33" s="280"/>
      <c r="AF33" s="278"/>
      <c r="AG33" s="279"/>
      <c r="AH33" s="280"/>
      <c r="AI33" s="278"/>
      <c r="AJ33" s="279"/>
      <c r="AK33" s="280"/>
      <c r="AL33" s="278"/>
      <c r="AM33" s="279"/>
    </row>
    <row r="34" spans="1:39" s="247" customFormat="1" ht="12" customHeight="1" x14ac:dyDescent="0.2">
      <c r="A34" s="273"/>
      <c r="B34" s="2118"/>
      <c r="C34" s="2120"/>
      <c r="D34" s="2120"/>
      <c r="E34" s="2120"/>
      <c r="F34" s="2115"/>
      <c r="G34" s="274" t="s">
        <v>5615</v>
      </c>
      <c r="H34" s="275" t="s">
        <v>1935</v>
      </c>
      <c r="I34" s="276"/>
      <c r="J34" s="277" t="s">
        <v>5220</v>
      </c>
      <c r="K34" s="278">
        <f>ES03C01</f>
        <v>1</v>
      </c>
      <c r="L34" s="279">
        <v>4</v>
      </c>
      <c r="M34" s="277" t="s">
        <v>5225</v>
      </c>
      <c r="N34" s="278">
        <f>ES03D01</f>
        <v>1</v>
      </c>
      <c r="O34" s="279">
        <v>4</v>
      </c>
      <c r="P34" s="277" t="s">
        <v>5429</v>
      </c>
      <c r="Q34" s="278">
        <f>ES07A03</f>
        <v>1</v>
      </c>
      <c r="R34" s="279">
        <v>4</v>
      </c>
      <c r="S34" s="277" t="s">
        <v>5137</v>
      </c>
      <c r="T34" s="278">
        <f>ES07A04</f>
        <v>1</v>
      </c>
      <c r="U34" s="279">
        <v>4</v>
      </c>
      <c r="V34" s="277" t="s">
        <v>4324</v>
      </c>
      <c r="W34" s="278">
        <f>ES08A03</f>
        <v>1</v>
      </c>
      <c r="X34" s="279">
        <v>4</v>
      </c>
      <c r="Y34" s="277" t="s">
        <v>4299</v>
      </c>
      <c r="Z34" s="278">
        <f>ES08F02</f>
        <v>1</v>
      </c>
      <c r="AA34" s="279">
        <v>3</v>
      </c>
      <c r="AB34" s="277"/>
      <c r="AC34" s="278"/>
      <c r="AD34" s="279"/>
      <c r="AE34" s="277"/>
      <c r="AF34" s="278"/>
      <c r="AG34" s="279"/>
      <c r="AH34" s="277"/>
      <c r="AI34" s="278"/>
      <c r="AJ34" s="279"/>
      <c r="AK34" s="277"/>
      <c r="AL34" s="278"/>
      <c r="AM34" s="279"/>
    </row>
    <row r="35" spans="1:39" ht="12.75" customHeight="1" x14ac:dyDescent="0.2">
      <c r="A35" s="273"/>
      <c r="B35" s="2119"/>
      <c r="C35" s="2121"/>
      <c r="D35" s="2121"/>
      <c r="E35" s="2121"/>
      <c r="F35" s="2116"/>
      <c r="G35" s="274" t="s">
        <v>5617</v>
      </c>
      <c r="H35" s="275"/>
      <c r="I35" s="276"/>
      <c r="J35" s="277"/>
      <c r="K35" s="278"/>
      <c r="L35" s="279"/>
      <c r="M35" s="280"/>
      <c r="N35" s="278"/>
      <c r="O35" s="279"/>
      <c r="P35" s="280"/>
      <c r="Q35" s="278"/>
      <c r="R35" s="287"/>
      <c r="S35" s="277"/>
      <c r="T35" s="278"/>
      <c r="U35" s="279"/>
      <c r="V35" s="277"/>
      <c r="W35" s="278"/>
      <c r="X35" s="279"/>
      <c r="Y35" s="277"/>
      <c r="Z35" s="278"/>
      <c r="AA35" s="279"/>
      <c r="AB35" s="277"/>
      <c r="AC35" s="278"/>
      <c r="AD35" s="279"/>
      <c r="AE35" s="277"/>
      <c r="AF35" s="278"/>
      <c r="AG35" s="279"/>
      <c r="AH35" s="277"/>
      <c r="AI35" s="278"/>
      <c r="AJ35" s="279"/>
      <c r="AK35" s="277"/>
      <c r="AL35" s="278"/>
      <c r="AM35" s="279"/>
    </row>
    <row r="36" spans="1:39" s="247" customFormat="1" ht="11.25" customHeight="1" x14ac:dyDescent="0.2">
      <c r="A36" s="273"/>
      <c r="B36" s="306"/>
      <c r="C36" s="306"/>
      <c r="D36" s="306"/>
      <c r="E36" s="306"/>
      <c r="F36" s="306"/>
      <c r="G36" s="284" t="s">
        <v>5618</v>
      </c>
      <c r="H36" s="285" t="s">
        <v>6369</v>
      </c>
      <c r="I36" s="276"/>
      <c r="J36" s="277" t="s">
        <v>4211</v>
      </c>
      <c r="K36" s="278">
        <f>ES09F03</f>
        <v>1</v>
      </c>
      <c r="L36" s="279">
        <v>3</v>
      </c>
      <c r="M36" s="277"/>
      <c r="N36" s="278"/>
      <c r="O36" s="279"/>
      <c r="P36" s="277"/>
      <c r="Q36" s="278"/>
      <c r="R36" s="279"/>
      <c r="S36" s="277"/>
      <c r="T36" s="278"/>
      <c r="U36" s="287"/>
      <c r="V36" s="277"/>
      <c r="W36" s="278"/>
      <c r="X36" s="287"/>
      <c r="Y36" s="277"/>
      <c r="Z36" s="278"/>
      <c r="AA36" s="287"/>
      <c r="AB36" s="277"/>
      <c r="AC36" s="278"/>
      <c r="AD36" s="287"/>
      <c r="AE36" s="277"/>
      <c r="AF36" s="278"/>
      <c r="AG36" s="287"/>
      <c r="AH36" s="277"/>
      <c r="AI36" s="278"/>
      <c r="AJ36" s="287"/>
      <c r="AK36" s="277"/>
      <c r="AL36" s="278"/>
      <c r="AM36" s="287"/>
    </row>
    <row r="37" spans="1:39" s="247" customFormat="1" ht="15" customHeight="1" x14ac:dyDescent="0.2">
      <c r="A37" s="1373" t="s">
        <v>4838</v>
      </c>
      <c r="B37" s="260" t="s">
        <v>2469</v>
      </c>
      <c r="C37" s="261"/>
      <c r="D37" s="261"/>
      <c r="E37" s="261"/>
      <c r="F37" s="305"/>
      <c r="G37" s="305"/>
      <c r="H37" s="262"/>
      <c r="I37" s="308"/>
      <c r="J37" s="270"/>
      <c r="K37" s="269"/>
      <c r="L37" s="294"/>
      <c r="M37" s="271"/>
      <c r="N37" s="269"/>
      <c r="O37" s="294"/>
      <c r="P37" s="268"/>
      <c r="Q37" s="269"/>
      <c r="R37" s="304"/>
      <c r="S37" s="271"/>
      <c r="T37" s="269"/>
      <c r="U37" s="294"/>
      <c r="V37" s="271"/>
      <c r="W37" s="269"/>
      <c r="X37" s="294"/>
      <c r="Y37" s="271"/>
      <c r="Z37" s="269"/>
      <c r="AA37" s="294"/>
      <c r="AB37" s="271"/>
      <c r="AC37" s="269"/>
      <c r="AD37" s="294"/>
      <c r="AE37" s="271"/>
      <c r="AF37" s="269"/>
      <c r="AG37" s="294"/>
      <c r="AH37" s="271"/>
      <c r="AI37" s="269"/>
      <c r="AJ37" s="294"/>
      <c r="AK37" s="271"/>
      <c r="AL37" s="269"/>
      <c r="AM37" s="294"/>
    </row>
    <row r="38" spans="1:39" s="247" customFormat="1" ht="12" customHeight="1" x14ac:dyDescent="0.2">
      <c r="A38" s="297"/>
      <c r="B38" s="2117">
        <f>COUNTIF(Scénarios!AH116:AH124,1)</f>
        <v>0</v>
      </c>
      <c r="C38" s="2117">
        <f>COUNTIF(Scénarios!AH116:AH124,2)</f>
        <v>0</v>
      </c>
      <c r="D38" s="2122">
        <f>COUNTIF(Scénarios!AH116:AH124,3)</f>
        <v>0</v>
      </c>
      <c r="E38" s="2123">
        <f>COUNTIF(Scénarios!AH116:AH124,4)</f>
        <v>0</v>
      </c>
      <c r="F38" s="2148">
        <f>SUM(B38:E38)</f>
        <v>0</v>
      </c>
      <c r="G38" s="274" t="s">
        <v>5616</v>
      </c>
      <c r="H38" s="275" t="s">
        <v>998</v>
      </c>
      <c r="I38" s="276"/>
      <c r="J38" s="277" t="s">
        <v>4299</v>
      </c>
      <c r="K38" s="278">
        <f>ES08F02</f>
        <v>1</v>
      </c>
      <c r="L38" s="279">
        <v>4</v>
      </c>
      <c r="M38" s="280" t="s">
        <v>4300</v>
      </c>
      <c r="N38" s="278">
        <f>ES08F03</f>
        <v>1</v>
      </c>
      <c r="O38" s="279">
        <v>4</v>
      </c>
      <c r="P38" s="280"/>
      <c r="Q38" s="278"/>
      <c r="R38" s="279"/>
      <c r="S38" s="280"/>
      <c r="T38" s="278"/>
      <c r="U38" s="279"/>
      <c r="V38" s="280"/>
      <c r="W38" s="278"/>
      <c r="X38" s="279"/>
      <c r="Y38" s="280"/>
      <c r="Z38" s="278"/>
      <c r="AA38" s="279"/>
      <c r="AB38" s="280"/>
      <c r="AC38" s="278"/>
      <c r="AD38" s="279"/>
      <c r="AE38" s="280"/>
      <c r="AF38" s="278"/>
      <c r="AG38" s="279"/>
      <c r="AH38" s="280"/>
      <c r="AI38" s="278"/>
      <c r="AJ38" s="279"/>
      <c r="AK38" s="280"/>
      <c r="AL38" s="278"/>
      <c r="AM38" s="279"/>
    </row>
    <row r="39" spans="1:39" s="247" customFormat="1" ht="12" customHeight="1" x14ac:dyDescent="0.2">
      <c r="A39" s="273"/>
      <c r="B39" s="2118"/>
      <c r="C39" s="2120"/>
      <c r="D39" s="2120"/>
      <c r="E39" s="2120"/>
      <c r="F39" s="2115"/>
      <c r="G39" s="274" t="s">
        <v>5615</v>
      </c>
      <c r="H39" s="275" t="s">
        <v>1934</v>
      </c>
      <c r="I39" s="276"/>
      <c r="J39" s="277" t="s">
        <v>5220</v>
      </c>
      <c r="K39" s="278">
        <f>ES03C01</f>
        <v>1</v>
      </c>
      <c r="L39" s="279">
        <v>4</v>
      </c>
      <c r="M39" s="277" t="s">
        <v>5225</v>
      </c>
      <c r="N39" s="278">
        <f>ES03D01</f>
        <v>1</v>
      </c>
      <c r="O39" s="279">
        <v>4</v>
      </c>
      <c r="P39" s="277" t="s">
        <v>5429</v>
      </c>
      <c r="Q39" s="278">
        <f>ES07A03</f>
        <v>1</v>
      </c>
      <c r="R39" s="279">
        <v>4</v>
      </c>
      <c r="S39" s="277" t="s">
        <v>5137</v>
      </c>
      <c r="T39" s="278">
        <f>ES07A04</f>
        <v>1</v>
      </c>
      <c r="U39" s="279">
        <v>4</v>
      </c>
      <c r="V39" s="277" t="s">
        <v>4324</v>
      </c>
      <c r="W39" s="278">
        <f>ES08A03</f>
        <v>1</v>
      </c>
      <c r="X39" s="279">
        <v>4</v>
      </c>
      <c r="Y39" s="277" t="s">
        <v>4299</v>
      </c>
      <c r="Z39" s="278">
        <f>ES08F02</f>
        <v>1</v>
      </c>
      <c r="AA39" s="279">
        <v>4</v>
      </c>
      <c r="AB39" s="277"/>
      <c r="AC39" s="278"/>
      <c r="AD39" s="279"/>
      <c r="AE39" s="277"/>
      <c r="AF39" s="278"/>
      <c r="AG39" s="279"/>
      <c r="AH39" s="277"/>
      <c r="AI39" s="278"/>
      <c r="AJ39" s="279"/>
      <c r="AK39" s="277"/>
      <c r="AL39" s="278"/>
      <c r="AM39" s="279"/>
    </row>
    <row r="40" spans="1:39" x14ac:dyDescent="0.2">
      <c r="A40" s="273"/>
      <c r="B40" s="2119"/>
      <c r="C40" s="2121"/>
      <c r="D40" s="2121"/>
      <c r="E40" s="2121"/>
      <c r="F40" s="2116"/>
      <c r="G40" s="274" t="s">
        <v>5617</v>
      </c>
      <c r="H40" s="275"/>
      <c r="I40" s="276"/>
      <c r="J40" s="277"/>
      <c r="K40" s="278"/>
      <c r="L40" s="279"/>
      <c r="M40" s="280"/>
      <c r="N40" s="278"/>
      <c r="O40" s="279"/>
      <c r="P40" s="280"/>
      <c r="Q40" s="278"/>
      <c r="R40" s="287"/>
      <c r="S40" s="277"/>
      <c r="T40" s="278"/>
      <c r="U40" s="279"/>
      <c r="V40" s="277"/>
      <c r="W40" s="278"/>
      <c r="X40" s="279"/>
      <c r="Y40" s="277"/>
      <c r="Z40" s="278"/>
      <c r="AA40" s="279"/>
      <c r="AB40" s="277"/>
      <c r="AC40" s="278"/>
      <c r="AD40" s="279"/>
      <c r="AE40" s="277"/>
      <c r="AF40" s="278"/>
      <c r="AG40" s="279"/>
      <c r="AH40" s="277"/>
      <c r="AI40" s="278"/>
      <c r="AJ40" s="279"/>
      <c r="AK40" s="277"/>
      <c r="AL40" s="278"/>
      <c r="AM40" s="279"/>
    </row>
    <row r="41" spans="1:39" s="247" customFormat="1" ht="12" customHeight="1" x14ac:dyDescent="0.2">
      <c r="A41" s="273"/>
      <c r="B41" s="306"/>
      <c r="C41" s="306"/>
      <c r="D41" s="306"/>
      <c r="E41" s="306"/>
      <c r="F41" s="306"/>
      <c r="G41" s="284" t="s">
        <v>5618</v>
      </c>
      <c r="H41" s="285" t="s">
        <v>6369</v>
      </c>
      <c r="I41" s="276"/>
      <c r="J41" s="277" t="s">
        <v>1597</v>
      </c>
      <c r="K41" s="278">
        <f>ES11C05</f>
        <v>1</v>
      </c>
      <c r="L41" s="279">
        <v>3</v>
      </c>
      <c r="M41" s="277"/>
      <c r="N41" s="278"/>
      <c r="O41" s="279"/>
      <c r="P41" s="277"/>
      <c r="Q41" s="278"/>
      <c r="R41" s="279"/>
      <c r="S41" s="277"/>
      <c r="T41" s="278"/>
      <c r="U41" s="287"/>
      <c r="V41" s="277"/>
      <c r="W41" s="278"/>
      <c r="X41" s="287"/>
      <c r="Y41" s="277"/>
      <c r="Z41" s="278"/>
      <c r="AA41" s="287"/>
      <c r="AB41" s="277"/>
      <c r="AC41" s="278"/>
      <c r="AD41" s="287"/>
      <c r="AE41" s="277"/>
      <c r="AF41" s="278"/>
      <c r="AG41" s="287"/>
      <c r="AH41" s="277"/>
      <c r="AI41" s="278"/>
      <c r="AJ41" s="287"/>
      <c r="AK41" s="277"/>
      <c r="AL41" s="278"/>
      <c r="AM41" s="287"/>
    </row>
    <row r="42" spans="1:39" s="247" customFormat="1" ht="15" customHeight="1" x14ac:dyDescent="0.2">
      <c r="A42" s="1373" t="s">
        <v>4839</v>
      </c>
      <c r="B42" s="260" t="s">
        <v>2470</v>
      </c>
      <c r="C42" s="261"/>
      <c r="D42" s="261"/>
      <c r="E42" s="261"/>
      <c r="F42" s="305"/>
      <c r="G42" s="305"/>
      <c r="H42" s="262"/>
      <c r="I42" s="308"/>
      <c r="J42" s="270"/>
      <c r="K42" s="269"/>
      <c r="L42" s="294"/>
      <c r="M42" s="271"/>
      <c r="N42" s="269"/>
      <c r="O42" s="294"/>
      <c r="P42" s="268"/>
      <c r="Q42" s="269"/>
      <c r="R42" s="304"/>
      <c r="S42" s="271"/>
      <c r="T42" s="269"/>
      <c r="U42" s="294"/>
      <c r="V42" s="271"/>
      <c r="W42" s="269"/>
      <c r="X42" s="294"/>
      <c r="Y42" s="271"/>
      <c r="Z42" s="269"/>
      <c r="AA42" s="294"/>
      <c r="AB42" s="271"/>
      <c r="AC42" s="269"/>
      <c r="AD42" s="294"/>
      <c r="AE42" s="271"/>
      <c r="AF42" s="269"/>
      <c r="AG42" s="294"/>
      <c r="AH42" s="271"/>
      <c r="AI42" s="269"/>
      <c r="AJ42" s="294"/>
      <c r="AK42" s="271"/>
      <c r="AL42" s="269"/>
      <c r="AM42" s="294"/>
    </row>
    <row r="43" spans="1:39" s="247" customFormat="1" ht="14.25" customHeight="1" x14ac:dyDescent="0.2">
      <c r="A43" s="297"/>
      <c r="B43" s="2117">
        <f>COUNTIF(Scénarios!AH126:AH139,1)</f>
        <v>0</v>
      </c>
      <c r="C43" s="2117">
        <f>COUNTIF(Scénarios!AH126:AH139,2)</f>
        <v>0</v>
      </c>
      <c r="D43" s="2122">
        <f>COUNTIF(Scénarios!AH126:AH139,3)</f>
        <v>0</v>
      </c>
      <c r="E43" s="2123">
        <f>COUNTIF(Scénarios!AH126:AH139,4)</f>
        <v>0</v>
      </c>
      <c r="F43" s="2148">
        <f>SUM(B43:E43)</f>
        <v>0</v>
      </c>
      <c r="G43" s="274" t="s">
        <v>5616</v>
      </c>
      <c r="H43" s="275"/>
      <c r="I43" s="276"/>
      <c r="J43" s="277"/>
      <c r="K43" s="278"/>
      <c r="L43" s="279"/>
      <c r="M43" s="280"/>
      <c r="N43" s="278"/>
      <c r="O43" s="279"/>
      <c r="P43" s="280"/>
      <c r="Q43" s="278"/>
      <c r="R43" s="279"/>
      <c r="S43" s="280"/>
      <c r="T43" s="278"/>
      <c r="U43" s="279"/>
      <c r="V43" s="280"/>
      <c r="W43" s="278"/>
      <c r="X43" s="279"/>
      <c r="Y43" s="280"/>
      <c r="Z43" s="278"/>
      <c r="AA43" s="279"/>
      <c r="AB43" s="280"/>
      <c r="AC43" s="278"/>
      <c r="AD43" s="279"/>
      <c r="AE43" s="280"/>
      <c r="AF43" s="278"/>
      <c r="AG43" s="279"/>
      <c r="AH43" s="280"/>
      <c r="AI43" s="278"/>
      <c r="AJ43" s="279"/>
      <c r="AK43" s="280"/>
      <c r="AL43" s="278"/>
      <c r="AM43" s="279"/>
    </row>
    <row r="44" spans="1:39" s="247" customFormat="1" ht="12" customHeight="1" x14ac:dyDescent="0.2">
      <c r="A44" s="273"/>
      <c r="B44" s="2118"/>
      <c r="C44" s="2120"/>
      <c r="D44" s="2120"/>
      <c r="E44" s="2120"/>
      <c r="F44" s="2115"/>
      <c r="G44" s="274" t="s">
        <v>5615</v>
      </c>
      <c r="H44" s="275"/>
      <c r="I44" s="276"/>
      <c r="J44" s="277"/>
      <c r="K44" s="278"/>
      <c r="L44" s="279"/>
      <c r="M44" s="277"/>
      <c r="N44" s="278"/>
      <c r="O44" s="279"/>
      <c r="P44" s="277"/>
      <c r="Q44" s="278"/>
      <c r="R44" s="279"/>
      <c r="S44" s="277"/>
      <c r="T44" s="278"/>
      <c r="U44" s="279"/>
      <c r="V44" s="277"/>
      <c r="W44" s="278"/>
      <c r="X44" s="279"/>
      <c r="Y44" s="277"/>
      <c r="Z44" s="278"/>
      <c r="AA44" s="279"/>
      <c r="AB44" s="277"/>
      <c r="AC44" s="278"/>
      <c r="AD44" s="279"/>
      <c r="AE44" s="277"/>
      <c r="AF44" s="278"/>
      <c r="AG44" s="279"/>
      <c r="AH44" s="277"/>
      <c r="AI44" s="278"/>
      <c r="AJ44" s="279"/>
      <c r="AK44" s="277"/>
      <c r="AL44" s="278"/>
      <c r="AM44" s="279"/>
    </row>
    <row r="45" spans="1:39" x14ac:dyDescent="0.2">
      <c r="A45" s="273"/>
      <c r="B45" s="2119"/>
      <c r="C45" s="2121"/>
      <c r="D45" s="2121"/>
      <c r="E45" s="2121"/>
      <c r="F45" s="2116"/>
      <c r="G45" s="274" t="s">
        <v>5617</v>
      </c>
      <c r="H45" s="275"/>
      <c r="I45" s="276"/>
      <c r="J45" s="277"/>
      <c r="K45" s="278"/>
      <c r="L45" s="279"/>
      <c r="M45" s="280"/>
      <c r="N45" s="278"/>
      <c r="O45" s="279"/>
      <c r="P45" s="280"/>
      <c r="Q45" s="278"/>
      <c r="R45" s="287"/>
      <c r="S45" s="277"/>
      <c r="T45" s="278"/>
      <c r="U45" s="279"/>
      <c r="V45" s="277"/>
      <c r="W45" s="278"/>
      <c r="X45" s="279"/>
      <c r="Y45" s="277"/>
      <c r="Z45" s="278"/>
      <c r="AA45" s="279"/>
      <c r="AB45" s="277"/>
      <c r="AC45" s="278"/>
      <c r="AD45" s="279"/>
      <c r="AE45" s="277"/>
      <c r="AF45" s="278"/>
      <c r="AG45" s="279"/>
      <c r="AH45" s="277"/>
      <c r="AI45" s="278"/>
      <c r="AJ45" s="279"/>
      <c r="AK45" s="277"/>
      <c r="AL45" s="278"/>
      <c r="AM45" s="279"/>
    </row>
    <row r="46" spans="1:39" s="247" customFormat="1" ht="12" customHeight="1" x14ac:dyDescent="0.2">
      <c r="A46" s="273"/>
      <c r="B46" s="306"/>
      <c r="C46" s="306"/>
      <c r="D46" s="306"/>
      <c r="E46" s="306"/>
      <c r="F46" s="306"/>
      <c r="G46" s="284" t="s">
        <v>5618</v>
      </c>
      <c r="H46" s="285" t="s">
        <v>6369</v>
      </c>
      <c r="I46" s="276"/>
      <c r="J46" s="277" t="s">
        <v>3124</v>
      </c>
      <c r="K46" s="278">
        <f>ES02D04</f>
        <v>1</v>
      </c>
      <c r="L46" s="279">
        <v>3</v>
      </c>
      <c r="M46" s="277" t="s">
        <v>3125</v>
      </c>
      <c r="N46" s="278">
        <f>ES02D05</f>
        <v>1</v>
      </c>
      <c r="O46" s="279">
        <v>3</v>
      </c>
      <c r="P46" s="277"/>
      <c r="Q46" s="278"/>
      <c r="R46" s="279"/>
      <c r="S46" s="277"/>
      <c r="T46" s="278"/>
      <c r="U46" s="287"/>
      <c r="V46" s="277"/>
      <c r="W46" s="278"/>
      <c r="X46" s="287"/>
      <c r="Y46" s="277"/>
      <c r="Z46" s="278"/>
      <c r="AA46" s="287"/>
      <c r="AB46" s="277"/>
      <c r="AC46" s="278"/>
      <c r="AD46" s="287"/>
      <c r="AE46" s="277"/>
      <c r="AF46" s="278"/>
      <c r="AG46" s="287"/>
      <c r="AH46" s="277"/>
      <c r="AI46" s="278"/>
      <c r="AJ46" s="287"/>
      <c r="AK46" s="277"/>
      <c r="AL46" s="278"/>
      <c r="AM46" s="287"/>
    </row>
    <row r="47" spans="1:39" s="247" customFormat="1" ht="15.75" customHeight="1" x14ac:dyDescent="0.2">
      <c r="A47" s="1373" t="s">
        <v>4840</v>
      </c>
      <c r="B47" s="260" t="s">
        <v>1167</v>
      </c>
      <c r="C47" s="261"/>
      <c r="D47" s="261"/>
      <c r="E47" s="261"/>
      <c r="F47" s="305"/>
      <c r="G47" s="305"/>
      <c r="H47" s="262"/>
      <c r="I47" s="308"/>
      <c r="J47" s="270"/>
      <c r="K47" s="269"/>
      <c r="L47" s="294"/>
      <c r="M47" s="271"/>
      <c r="N47" s="269"/>
      <c r="O47" s="294"/>
      <c r="P47" s="268"/>
      <c r="Q47" s="269"/>
      <c r="R47" s="304"/>
      <c r="S47" s="271"/>
      <c r="T47" s="269"/>
      <c r="U47" s="294"/>
      <c r="V47" s="271"/>
      <c r="W47" s="269"/>
      <c r="X47" s="294"/>
      <c r="Y47" s="271"/>
      <c r="Z47" s="269"/>
      <c r="AA47" s="294"/>
      <c r="AB47" s="271"/>
      <c r="AC47" s="269"/>
      <c r="AD47" s="294"/>
      <c r="AE47" s="271"/>
      <c r="AF47" s="269"/>
      <c r="AG47" s="294"/>
      <c r="AH47" s="271"/>
      <c r="AI47" s="269"/>
      <c r="AJ47" s="294"/>
      <c r="AK47" s="271"/>
      <c r="AL47" s="269"/>
      <c r="AM47" s="294"/>
    </row>
    <row r="48" spans="1:39" s="247" customFormat="1" ht="15" customHeight="1" x14ac:dyDescent="0.2">
      <c r="A48" s="297"/>
      <c r="B48" s="2117">
        <f>COUNTIF(Scénarios!AH141:AH150,1)</f>
        <v>0</v>
      </c>
      <c r="C48" s="2117">
        <f>COUNTIF(Scénarios!AH141:AH150,2)</f>
        <v>0</v>
      </c>
      <c r="D48" s="2122">
        <f>COUNTIF(Scénarios!AH141:AH150,3)</f>
        <v>0</v>
      </c>
      <c r="E48" s="2123">
        <f>COUNTIF(Scénarios!AH141:AH150,4)</f>
        <v>0</v>
      </c>
      <c r="F48" s="2148">
        <f>SUM(B48:E48)</f>
        <v>0</v>
      </c>
      <c r="G48" s="274" t="s">
        <v>5616</v>
      </c>
      <c r="H48" s="275" t="s">
        <v>1935</v>
      </c>
      <c r="I48" s="276"/>
      <c r="J48" s="277" t="s">
        <v>3126</v>
      </c>
      <c r="K48" s="278">
        <f>ES02D06</f>
        <v>1</v>
      </c>
      <c r="L48" s="279">
        <v>4</v>
      </c>
      <c r="M48" s="277" t="s">
        <v>3127</v>
      </c>
      <c r="N48" s="278">
        <f>ES02D07</f>
        <v>1</v>
      </c>
      <c r="O48" s="279">
        <v>4</v>
      </c>
      <c r="P48" s="277"/>
      <c r="Q48" s="278"/>
      <c r="R48" s="279"/>
      <c r="S48" s="280"/>
      <c r="T48" s="278"/>
      <c r="U48" s="279"/>
      <c r="V48" s="280"/>
      <c r="W48" s="278"/>
      <c r="X48" s="279"/>
      <c r="Y48" s="280"/>
      <c r="Z48" s="278"/>
      <c r="AA48" s="279"/>
      <c r="AB48" s="280"/>
      <c r="AC48" s="278"/>
      <c r="AD48" s="279"/>
      <c r="AE48" s="280"/>
      <c r="AF48" s="278"/>
      <c r="AG48" s="279"/>
      <c r="AH48" s="280"/>
      <c r="AI48" s="278"/>
      <c r="AJ48" s="279"/>
      <c r="AK48" s="280"/>
      <c r="AL48" s="278"/>
      <c r="AM48" s="279"/>
    </row>
    <row r="49" spans="1:39" s="247" customFormat="1" ht="12" customHeight="1" x14ac:dyDescent="0.2">
      <c r="A49" s="273"/>
      <c r="B49" s="2118"/>
      <c r="C49" s="2120"/>
      <c r="D49" s="2120"/>
      <c r="E49" s="2120"/>
      <c r="F49" s="2115"/>
      <c r="G49" s="274" t="s">
        <v>5615</v>
      </c>
      <c r="H49" s="285" t="s">
        <v>6369</v>
      </c>
      <c r="I49" s="276"/>
      <c r="J49" s="277" t="s">
        <v>3126</v>
      </c>
      <c r="K49" s="278">
        <f>ES02D06</f>
        <v>1</v>
      </c>
      <c r="L49" s="279">
        <v>4</v>
      </c>
      <c r="M49" s="277" t="s">
        <v>3127</v>
      </c>
      <c r="N49" s="278">
        <f>ES02D07</f>
        <v>1</v>
      </c>
      <c r="O49" s="279">
        <v>4</v>
      </c>
      <c r="P49" s="277"/>
      <c r="Q49" s="278"/>
      <c r="R49" s="279"/>
      <c r="S49" s="277"/>
      <c r="T49" s="278"/>
      <c r="U49" s="279"/>
      <c r="V49" s="277"/>
      <c r="W49" s="278"/>
      <c r="X49" s="279"/>
      <c r="Y49" s="277"/>
      <c r="Z49" s="278"/>
      <c r="AA49" s="279"/>
      <c r="AB49" s="277"/>
      <c r="AC49" s="278"/>
      <c r="AD49" s="279"/>
      <c r="AE49" s="277"/>
      <c r="AF49" s="278"/>
      <c r="AG49" s="279"/>
      <c r="AH49" s="277"/>
      <c r="AI49" s="278"/>
      <c r="AJ49" s="279"/>
      <c r="AK49" s="277"/>
      <c r="AL49" s="278"/>
      <c r="AM49" s="279"/>
    </row>
    <row r="50" spans="1:39" ht="14.25" customHeight="1" x14ac:dyDescent="0.2">
      <c r="A50" s="273"/>
      <c r="B50" s="2119"/>
      <c r="C50" s="2121"/>
      <c r="D50" s="2121"/>
      <c r="E50" s="2121"/>
      <c r="F50" s="2116"/>
      <c r="G50" s="274" t="s">
        <v>5617</v>
      </c>
      <c r="H50" s="275"/>
      <c r="I50" s="276"/>
      <c r="J50" s="277"/>
      <c r="K50" s="278"/>
      <c r="L50" s="279"/>
      <c r="M50" s="280"/>
      <c r="N50" s="278"/>
      <c r="O50" s="279"/>
      <c r="P50" s="280"/>
      <c r="Q50" s="278"/>
      <c r="R50" s="287"/>
      <c r="S50" s="277"/>
      <c r="T50" s="278"/>
      <c r="U50" s="279"/>
      <c r="V50" s="277"/>
      <c r="W50" s="278"/>
      <c r="X50" s="279"/>
      <c r="Y50" s="277"/>
      <c r="Z50" s="278"/>
      <c r="AA50" s="279"/>
      <c r="AB50" s="277"/>
      <c r="AC50" s="278"/>
      <c r="AD50" s="279"/>
      <c r="AE50" s="277"/>
      <c r="AF50" s="278"/>
      <c r="AG50" s="279"/>
      <c r="AH50" s="277"/>
      <c r="AI50" s="278"/>
      <c r="AJ50" s="279"/>
      <c r="AK50" s="277"/>
      <c r="AL50" s="278"/>
      <c r="AM50" s="279"/>
    </row>
    <row r="51" spans="1:39" ht="13.5" customHeight="1" x14ac:dyDescent="0.2">
      <c r="A51" s="273"/>
      <c r="B51" s="306"/>
      <c r="C51" s="306"/>
      <c r="D51" s="306"/>
      <c r="E51" s="306"/>
      <c r="F51" s="306"/>
      <c r="G51" s="284" t="s">
        <v>5618</v>
      </c>
      <c r="H51" s="275"/>
      <c r="I51" s="276"/>
      <c r="J51" s="277"/>
      <c r="K51" s="278"/>
      <c r="L51" s="279"/>
      <c r="M51" s="277"/>
      <c r="N51" s="278"/>
      <c r="O51" s="279"/>
      <c r="P51" s="277"/>
      <c r="Q51" s="278"/>
      <c r="R51" s="279"/>
      <c r="S51" s="277"/>
      <c r="T51" s="278"/>
      <c r="U51" s="287"/>
      <c r="V51" s="277"/>
      <c r="W51" s="278"/>
      <c r="X51" s="287"/>
      <c r="Y51" s="277"/>
      <c r="Z51" s="278"/>
      <c r="AA51" s="287"/>
      <c r="AB51" s="277"/>
      <c r="AC51" s="278"/>
      <c r="AD51" s="287"/>
      <c r="AE51" s="277"/>
      <c r="AF51" s="278"/>
      <c r="AG51" s="287"/>
      <c r="AH51" s="277"/>
      <c r="AI51" s="278"/>
      <c r="AJ51" s="287"/>
      <c r="AK51" s="277"/>
      <c r="AL51" s="278"/>
      <c r="AM51" s="287"/>
    </row>
    <row r="52" spans="1:39" s="247" customFormat="1" ht="13.5" customHeight="1" x14ac:dyDescent="0.2">
      <c r="A52" s="1373" t="s">
        <v>4841</v>
      </c>
      <c r="B52" s="260" t="s">
        <v>4738</v>
      </c>
      <c r="C52" s="261"/>
      <c r="D52" s="261"/>
      <c r="E52" s="261"/>
      <c r="F52" s="261"/>
      <c r="G52" s="261"/>
      <c r="H52" s="261"/>
      <c r="I52" s="288"/>
      <c r="J52" s="270"/>
      <c r="K52" s="269"/>
      <c r="L52" s="294"/>
      <c r="M52" s="271"/>
      <c r="N52" s="269"/>
      <c r="O52" s="294"/>
      <c r="P52" s="268"/>
      <c r="Q52" s="269"/>
      <c r="R52" s="304"/>
      <c r="S52" s="271"/>
      <c r="T52" s="269"/>
      <c r="U52" s="294"/>
      <c r="V52" s="271"/>
      <c r="W52" s="269"/>
      <c r="X52" s="294"/>
      <c r="Y52" s="271"/>
      <c r="Z52" s="269"/>
      <c r="AA52" s="294"/>
      <c r="AB52" s="271"/>
      <c r="AC52" s="269"/>
      <c r="AD52" s="294"/>
      <c r="AE52" s="271"/>
      <c r="AF52" s="269"/>
      <c r="AG52" s="294"/>
      <c r="AH52" s="271"/>
      <c r="AI52" s="269"/>
      <c r="AJ52" s="294"/>
      <c r="AK52" s="271"/>
      <c r="AL52" s="269"/>
      <c r="AM52" s="294"/>
    </row>
    <row r="53" spans="1:39" s="247" customFormat="1" ht="13.5" customHeight="1" x14ac:dyDescent="0.2">
      <c r="A53" s="297"/>
      <c r="B53" s="2117">
        <f>COUNTIF(Scénarios!AH152:AH169,1)</f>
        <v>0</v>
      </c>
      <c r="C53" s="2117">
        <f>COUNTIF(Scénarios!AH152:AH169,2)</f>
        <v>0</v>
      </c>
      <c r="D53" s="2122">
        <f>COUNTIF(Scénarios!AH152:AH169,3)</f>
        <v>0</v>
      </c>
      <c r="E53" s="2123">
        <f>COUNTIF(Scénarios!AH152:AH169,4)</f>
        <v>0</v>
      </c>
      <c r="F53" s="2114">
        <f>SUM(B53:E53)</f>
        <v>0</v>
      </c>
      <c r="G53" s="274" t="s">
        <v>5616</v>
      </c>
      <c r="H53" s="275" t="s">
        <v>998</v>
      </c>
      <c r="I53" s="276"/>
      <c r="J53" s="309" t="s">
        <v>5417</v>
      </c>
      <c r="K53" s="310">
        <f>ES08H03</f>
        <v>1</v>
      </c>
      <c r="L53" s="279">
        <v>4</v>
      </c>
      <c r="M53" s="309"/>
      <c r="N53" s="310"/>
      <c r="O53" s="311"/>
      <c r="P53" s="312"/>
      <c r="Q53" s="310"/>
      <c r="R53" s="311"/>
      <c r="S53" s="280"/>
      <c r="T53" s="310"/>
      <c r="U53" s="279"/>
      <c r="V53" s="280"/>
      <c r="W53" s="310"/>
      <c r="X53" s="279"/>
      <c r="Y53" s="280"/>
      <c r="Z53" s="310"/>
      <c r="AA53" s="279"/>
      <c r="AB53" s="280"/>
      <c r="AC53" s="310"/>
      <c r="AD53" s="279"/>
      <c r="AE53" s="280"/>
      <c r="AF53" s="310"/>
      <c r="AG53" s="279"/>
      <c r="AH53" s="280"/>
      <c r="AI53" s="310"/>
      <c r="AJ53" s="279"/>
      <c r="AK53" s="280"/>
      <c r="AL53" s="310"/>
      <c r="AM53" s="279"/>
    </row>
    <row r="54" spans="1:39" s="247" customFormat="1" ht="12" customHeight="1" x14ac:dyDescent="0.2">
      <c r="A54" s="273"/>
      <c r="B54" s="2118"/>
      <c r="C54" s="2120"/>
      <c r="D54" s="2120"/>
      <c r="E54" s="2120"/>
      <c r="F54" s="2115"/>
      <c r="G54" s="274" t="s">
        <v>5615</v>
      </c>
      <c r="H54" s="275" t="s">
        <v>6370</v>
      </c>
      <c r="I54" s="276"/>
      <c r="J54" s="277" t="s">
        <v>4253</v>
      </c>
      <c r="K54" s="278">
        <f>ES08H01</f>
        <v>1</v>
      </c>
      <c r="L54" s="279">
        <v>4</v>
      </c>
      <c r="M54" s="277" t="s">
        <v>5417</v>
      </c>
      <c r="N54" s="278">
        <f>ES08H03</f>
        <v>1</v>
      </c>
      <c r="O54" s="279">
        <v>4</v>
      </c>
      <c r="P54" s="277"/>
      <c r="Q54" s="278"/>
      <c r="R54" s="279"/>
      <c r="S54" s="277"/>
      <c r="T54" s="278"/>
      <c r="U54" s="279"/>
      <c r="V54" s="277"/>
      <c r="W54" s="278"/>
      <c r="X54" s="279"/>
      <c r="Y54" s="277"/>
      <c r="Z54" s="278"/>
      <c r="AA54" s="279"/>
      <c r="AB54" s="277"/>
      <c r="AC54" s="278"/>
      <c r="AD54" s="279"/>
      <c r="AE54" s="277"/>
      <c r="AF54" s="278"/>
      <c r="AG54" s="279"/>
      <c r="AH54" s="277"/>
      <c r="AI54" s="278"/>
      <c r="AJ54" s="279"/>
      <c r="AK54" s="277"/>
      <c r="AL54" s="278"/>
      <c r="AM54" s="279"/>
    </row>
    <row r="55" spans="1:39" x14ac:dyDescent="0.2">
      <c r="A55" s="273"/>
      <c r="B55" s="2119"/>
      <c r="C55" s="2121"/>
      <c r="D55" s="2121"/>
      <c r="E55" s="2121"/>
      <c r="F55" s="2116"/>
      <c r="G55" s="274" t="s">
        <v>5617</v>
      </c>
      <c r="H55" s="275" t="s">
        <v>998</v>
      </c>
      <c r="I55" s="276"/>
      <c r="J55" s="277" t="s">
        <v>2058</v>
      </c>
      <c r="K55" s="278">
        <f>ES08C05</f>
        <v>1</v>
      </c>
      <c r="L55" s="279">
        <v>4</v>
      </c>
      <c r="M55" s="280"/>
      <c r="N55" s="278"/>
      <c r="O55" s="279"/>
      <c r="P55" s="280"/>
      <c r="Q55" s="278"/>
      <c r="R55" s="287"/>
      <c r="S55" s="277"/>
      <c r="T55" s="278"/>
      <c r="U55" s="279"/>
      <c r="V55" s="277"/>
      <c r="W55" s="278"/>
      <c r="X55" s="279"/>
      <c r="Y55" s="277"/>
      <c r="Z55" s="278"/>
      <c r="AA55" s="279"/>
      <c r="AB55" s="277"/>
      <c r="AC55" s="278"/>
      <c r="AD55" s="279"/>
      <c r="AE55" s="277"/>
      <c r="AF55" s="278"/>
      <c r="AG55" s="279"/>
      <c r="AH55" s="277"/>
      <c r="AI55" s="278"/>
      <c r="AJ55" s="279"/>
      <c r="AK55" s="277"/>
      <c r="AL55" s="278"/>
      <c r="AM55" s="279"/>
    </row>
    <row r="56" spans="1:39" s="247" customFormat="1" ht="12" customHeight="1" x14ac:dyDescent="0.2">
      <c r="A56" s="283"/>
      <c r="B56" s="306"/>
      <c r="C56" s="306"/>
      <c r="D56" s="306"/>
      <c r="E56" s="306"/>
      <c r="F56" s="306"/>
      <c r="G56" s="284" t="s">
        <v>5618</v>
      </c>
      <c r="H56" s="275" t="s">
        <v>1935</v>
      </c>
      <c r="I56" s="276"/>
      <c r="J56" s="313" t="s">
        <v>4252</v>
      </c>
      <c r="K56" s="314">
        <f>ES08H02</f>
        <v>1</v>
      </c>
      <c r="L56" s="315">
        <v>3</v>
      </c>
      <c r="M56" s="277" t="s">
        <v>5998</v>
      </c>
      <c r="N56" s="314">
        <f>ES09D02</f>
        <v>1</v>
      </c>
      <c r="O56" s="279">
        <v>3</v>
      </c>
      <c r="P56" s="313"/>
      <c r="Q56" s="314"/>
      <c r="R56" s="315"/>
      <c r="S56" s="313"/>
      <c r="T56" s="314"/>
      <c r="U56" s="315"/>
      <c r="V56" s="313"/>
      <c r="W56" s="314"/>
      <c r="X56" s="316"/>
      <c r="Y56" s="313"/>
      <c r="Z56" s="314"/>
      <c r="AA56" s="316"/>
      <c r="AB56" s="313"/>
      <c r="AC56" s="314"/>
      <c r="AD56" s="316"/>
      <c r="AE56" s="313"/>
      <c r="AF56" s="314"/>
      <c r="AG56" s="316"/>
      <c r="AH56" s="313"/>
      <c r="AI56" s="314"/>
      <c r="AJ56" s="316"/>
      <c r="AK56" s="313"/>
      <c r="AL56" s="314"/>
      <c r="AM56" s="316"/>
    </row>
    <row r="57" spans="1:39" s="247" customFormat="1" ht="16.5" customHeight="1" x14ac:dyDescent="0.2">
      <c r="A57" s="1373" t="s">
        <v>4039</v>
      </c>
      <c r="B57" s="260" t="s">
        <v>4740</v>
      </c>
      <c r="C57" s="261"/>
      <c r="D57" s="261"/>
      <c r="E57" s="261"/>
      <c r="F57" s="305"/>
      <c r="G57" s="305"/>
      <c r="H57" s="262"/>
      <c r="I57" s="308"/>
      <c r="J57" s="270"/>
      <c r="K57" s="269"/>
      <c r="L57" s="294"/>
      <c r="M57" s="271"/>
      <c r="N57" s="269"/>
      <c r="O57" s="294"/>
      <c r="P57" s="268"/>
      <c r="Q57" s="269"/>
      <c r="R57" s="304"/>
      <c r="S57" s="271"/>
      <c r="T57" s="269"/>
      <c r="U57" s="294"/>
      <c r="V57" s="271"/>
      <c r="W57" s="269"/>
      <c r="X57" s="294"/>
      <c r="Y57" s="271"/>
      <c r="Z57" s="269"/>
      <c r="AA57" s="294"/>
      <c r="AB57" s="271"/>
      <c r="AC57" s="269"/>
      <c r="AD57" s="294"/>
      <c r="AE57" s="271"/>
      <c r="AF57" s="269"/>
      <c r="AG57" s="294"/>
      <c r="AH57" s="271"/>
      <c r="AI57" s="269"/>
      <c r="AJ57" s="294"/>
      <c r="AK57" s="271"/>
      <c r="AL57" s="269"/>
      <c r="AM57" s="294"/>
    </row>
    <row r="58" spans="1:39" s="247" customFormat="1" ht="15" customHeight="1" x14ac:dyDescent="0.2">
      <c r="A58" s="297"/>
      <c r="B58" s="2117">
        <f>COUNTIF(Scénarios!AH171:AH193,1)</f>
        <v>0</v>
      </c>
      <c r="C58" s="2117">
        <f>COUNTIF(Scénarios!AH171:AH193,2)</f>
        <v>0</v>
      </c>
      <c r="D58" s="2122">
        <f>COUNTIF(Scénarios!AH171:AH193,3)</f>
        <v>0</v>
      </c>
      <c r="E58" s="2123">
        <f>COUNTIF(Scénarios!AH171:AH193,4)</f>
        <v>0</v>
      </c>
      <c r="F58" s="2148">
        <f>SUM(B58:E58)</f>
        <v>0</v>
      </c>
      <c r="G58" s="274" t="s">
        <v>5616</v>
      </c>
      <c r="H58" s="275"/>
      <c r="I58" s="276"/>
      <c r="J58" s="277"/>
      <c r="K58" s="278"/>
      <c r="L58" s="279"/>
      <c r="M58" s="280"/>
      <c r="N58" s="278"/>
      <c r="O58" s="279"/>
      <c r="P58" s="280"/>
      <c r="Q58" s="278"/>
      <c r="R58" s="279"/>
      <c r="S58" s="280"/>
      <c r="T58" s="278"/>
      <c r="U58" s="279"/>
      <c r="V58" s="280"/>
      <c r="W58" s="278"/>
      <c r="X58" s="279"/>
      <c r="Y58" s="280"/>
      <c r="Z58" s="278"/>
      <c r="AA58" s="279"/>
      <c r="AB58" s="280"/>
      <c r="AC58" s="278"/>
      <c r="AD58" s="279"/>
      <c r="AE58" s="280"/>
      <c r="AF58" s="278"/>
      <c r="AG58" s="279"/>
      <c r="AH58" s="280"/>
      <c r="AI58" s="278"/>
      <c r="AJ58" s="279"/>
      <c r="AK58" s="280"/>
      <c r="AL58" s="278"/>
      <c r="AM58" s="279"/>
    </row>
    <row r="59" spans="1:39" s="247" customFormat="1" ht="12" customHeight="1" x14ac:dyDescent="0.2">
      <c r="A59" s="273"/>
      <c r="B59" s="2118"/>
      <c r="C59" s="2120"/>
      <c r="D59" s="2120"/>
      <c r="E59" s="2120"/>
      <c r="F59" s="2115"/>
      <c r="G59" s="274" t="s">
        <v>5615</v>
      </c>
      <c r="H59" s="275"/>
      <c r="I59" s="276"/>
      <c r="J59" s="277"/>
      <c r="K59" s="278"/>
      <c r="L59" s="279"/>
      <c r="M59" s="277"/>
      <c r="N59" s="278"/>
      <c r="O59" s="279"/>
      <c r="P59" s="277"/>
      <c r="Q59" s="278"/>
      <c r="R59" s="279"/>
      <c r="S59" s="277"/>
      <c r="T59" s="278"/>
      <c r="U59" s="279"/>
      <c r="V59" s="277"/>
      <c r="W59" s="278"/>
      <c r="X59" s="279"/>
      <c r="Y59" s="277"/>
      <c r="Z59" s="278"/>
      <c r="AA59" s="279"/>
      <c r="AB59" s="277"/>
      <c r="AC59" s="278"/>
      <c r="AD59" s="279"/>
      <c r="AE59" s="277"/>
      <c r="AF59" s="278"/>
      <c r="AG59" s="279"/>
      <c r="AH59" s="277"/>
      <c r="AI59" s="278"/>
      <c r="AJ59" s="279"/>
      <c r="AK59" s="277"/>
      <c r="AL59" s="278"/>
      <c r="AM59" s="279"/>
    </row>
    <row r="60" spans="1:39" ht="13.5" customHeight="1" x14ac:dyDescent="0.2">
      <c r="A60" s="273"/>
      <c r="B60" s="2119"/>
      <c r="C60" s="2121"/>
      <c r="D60" s="2121"/>
      <c r="E60" s="2121"/>
      <c r="F60" s="2116"/>
      <c r="G60" s="274" t="s">
        <v>5617</v>
      </c>
      <c r="H60" s="275"/>
      <c r="I60" s="276"/>
      <c r="J60" s="277"/>
      <c r="K60" s="278"/>
      <c r="L60" s="279"/>
      <c r="M60" s="280"/>
      <c r="N60" s="278"/>
      <c r="O60" s="279"/>
      <c r="P60" s="280"/>
      <c r="Q60" s="278"/>
      <c r="R60" s="287"/>
      <c r="S60" s="277"/>
      <c r="T60" s="278"/>
      <c r="U60" s="279"/>
      <c r="V60" s="277"/>
      <c r="W60" s="278"/>
      <c r="X60" s="279"/>
      <c r="Y60" s="277"/>
      <c r="Z60" s="278"/>
      <c r="AA60" s="279"/>
      <c r="AB60" s="277"/>
      <c r="AC60" s="278"/>
      <c r="AD60" s="279"/>
      <c r="AE60" s="277"/>
      <c r="AF60" s="278"/>
      <c r="AG60" s="279"/>
      <c r="AH60" s="277"/>
      <c r="AI60" s="278"/>
      <c r="AJ60" s="279"/>
      <c r="AK60" s="277"/>
      <c r="AL60" s="278"/>
      <c r="AM60" s="279"/>
    </row>
    <row r="61" spans="1:39" s="247" customFormat="1" ht="12" customHeight="1" x14ac:dyDescent="0.2">
      <c r="A61" s="273"/>
      <c r="B61" s="306"/>
      <c r="C61" s="306"/>
      <c r="D61" s="306"/>
      <c r="E61" s="306"/>
      <c r="F61" s="306"/>
      <c r="G61" s="284" t="s">
        <v>5618</v>
      </c>
      <c r="H61" s="285" t="s">
        <v>6369</v>
      </c>
      <c r="I61" s="276"/>
      <c r="J61" s="277" t="s">
        <v>4439</v>
      </c>
      <c r="K61" s="278">
        <f>ES08D05</f>
        <v>1</v>
      </c>
      <c r="L61" s="279">
        <v>3</v>
      </c>
      <c r="M61" s="277" t="s">
        <v>2514</v>
      </c>
      <c r="N61" s="278">
        <f>ES08D09</f>
        <v>1</v>
      </c>
      <c r="O61" s="279">
        <v>3</v>
      </c>
      <c r="P61" s="277"/>
      <c r="Q61" s="278"/>
      <c r="R61" s="279"/>
      <c r="S61" s="277"/>
      <c r="T61" s="278"/>
      <c r="U61" s="287"/>
      <c r="V61" s="277"/>
      <c r="W61" s="278"/>
      <c r="X61" s="287"/>
      <c r="Y61" s="277"/>
      <c r="Z61" s="278"/>
      <c r="AA61" s="287"/>
      <c r="AB61" s="277"/>
      <c r="AC61" s="278"/>
      <c r="AD61" s="287"/>
      <c r="AE61" s="277"/>
      <c r="AF61" s="278"/>
      <c r="AG61" s="287"/>
      <c r="AH61" s="277"/>
      <c r="AI61" s="278"/>
      <c r="AJ61" s="287"/>
      <c r="AK61" s="277"/>
      <c r="AL61" s="278"/>
      <c r="AM61" s="287"/>
    </row>
    <row r="62" spans="1:39" s="247" customFormat="1" ht="15.75" customHeight="1" x14ac:dyDescent="0.2">
      <c r="A62" s="1373" t="s">
        <v>1168</v>
      </c>
      <c r="B62" s="317" t="s">
        <v>1169</v>
      </c>
      <c r="C62" s="317"/>
      <c r="D62" s="317"/>
      <c r="E62" s="317"/>
      <c r="F62" s="317"/>
      <c r="G62" s="317"/>
      <c r="H62" s="317"/>
      <c r="I62" s="318"/>
      <c r="J62" s="268"/>
      <c r="K62" s="269"/>
      <c r="L62" s="294"/>
      <c r="M62" s="271"/>
      <c r="N62" s="269"/>
      <c r="O62" s="294"/>
      <c r="P62" s="268"/>
      <c r="Q62" s="269"/>
      <c r="R62" s="304"/>
      <c r="S62" s="271"/>
      <c r="T62" s="269"/>
      <c r="U62" s="294"/>
      <c r="V62" s="271"/>
      <c r="W62" s="269"/>
      <c r="X62" s="294"/>
      <c r="Y62" s="271"/>
      <c r="Z62" s="269"/>
      <c r="AA62" s="294"/>
      <c r="AB62" s="271"/>
      <c r="AC62" s="269"/>
      <c r="AD62" s="294"/>
      <c r="AE62" s="271"/>
      <c r="AF62" s="269"/>
      <c r="AG62" s="294"/>
      <c r="AH62" s="271"/>
      <c r="AI62" s="269"/>
      <c r="AJ62" s="294"/>
      <c r="AK62" s="271"/>
      <c r="AL62" s="269"/>
      <c r="AM62" s="294"/>
    </row>
    <row r="63" spans="1:39" s="247" customFormat="1" ht="12" customHeight="1" x14ac:dyDescent="0.2">
      <c r="A63" s="297"/>
      <c r="B63" s="2117">
        <f>COUNTIF(Scénarios!AH195:AH210,1)</f>
        <v>0</v>
      </c>
      <c r="C63" s="2117">
        <f>COUNTIF(Scénarios!AH195:AH210,2)</f>
        <v>0</v>
      </c>
      <c r="D63" s="2122">
        <f>COUNTIF(Scénarios!AH195:AH210,3)</f>
        <v>0</v>
      </c>
      <c r="E63" s="2123">
        <f>COUNTIF(Scénarios!AH195:AH210,4)</f>
        <v>0</v>
      </c>
      <c r="F63" s="2114">
        <f>SUM(B63:E63)</f>
        <v>0</v>
      </c>
      <c r="G63" s="274" t="s">
        <v>5616</v>
      </c>
      <c r="H63" s="275"/>
      <c r="I63" s="276"/>
      <c r="J63" s="277"/>
      <c r="K63" s="278"/>
      <c r="L63" s="279"/>
      <c r="M63" s="280"/>
      <c r="N63" s="278"/>
      <c r="O63" s="279"/>
      <c r="P63" s="280"/>
      <c r="Q63" s="278"/>
      <c r="R63" s="279"/>
      <c r="S63" s="280"/>
      <c r="T63" s="278"/>
      <c r="U63" s="279"/>
      <c r="V63" s="280"/>
      <c r="W63" s="278"/>
      <c r="X63" s="279"/>
      <c r="Y63" s="280"/>
      <c r="Z63" s="278"/>
      <c r="AA63" s="279"/>
      <c r="AB63" s="280"/>
      <c r="AC63" s="278"/>
      <c r="AD63" s="279"/>
      <c r="AE63" s="280"/>
      <c r="AF63" s="278"/>
      <c r="AG63" s="279"/>
      <c r="AH63" s="280"/>
      <c r="AI63" s="278"/>
      <c r="AJ63" s="279"/>
      <c r="AK63" s="280"/>
      <c r="AL63" s="278"/>
      <c r="AM63" s="279"/>
    </row>
    <row r="64" spans="1:39" s="247" customFormat="1" ht="12" customHeight="1" x14ac:dyDescent="0.2">
      <c r="A64" s="273"/>
      <c r="B64" s="2118"/>
      <c r="C64" s="2120"/>
      <c r="D64" s="2120"/>
      <c r="E64" s="2120"/>
      <c r="F64" s="2115"/>
      <c r="G64" s="274" t="s">
        <v>5615</v>
      </c>
      <c r="H64" s="275" t="s">
        <v>6370</v>
      </c>
      <c r="I64" s="276"/>
      <c r="J64" s="277" t="s">
        <v>1663</v>
      </c>
      <c r="K64" s="278">
        <f>ES08D03</f>
        <v>1</v>
      </c>
      <c r="L64" s="279">
        <v>4</v>
      </c>
      <c r="M64" s="277" t="s">
        <v>3224</v>
      </c>
      <c r="N64" s="278">
        <f>ES10B05</f>
        <v>1</v>
      </c>
      <c r="O64" s="279">
        <v>4</v>
      </c>
      <c r="P64" s="277" t="s">
        <v>3226</v>
      </c>
      <c r="Q64" s="278">
        <f>ES10B06</f>
        <v>1</v>
      </c>
      <c r="R64" s="279">
        <v>4</v>
      </c>
      <c r="S64" s="277"/>
      <c r="T64" s="278"/>
      <c r="U64" s="279"/>
      <c r="V64" s="277"/>
      <c r="W64" s="278"/>
      <c r="X64" s="279"/>
      <c r="Y64" s="277"/>
      <c r="Z64" s="278"/>
      <c r="AA64" s="279"/>
      <c r="AB64" s="277"/>
      <c r="AC64" s="278"/>
      <c r="AD64" s="279"/>
      <c r="AE64" s="277"/>
      <c r="AF64" s="278"/>
      <c r="AG64" s="279"/>
      <c r="AH64" s="277"/>
      <c r="AI64" s="278"/>
      <c r="AJ64" s="279"/>
      <c r="AK64" s="277"/>
      <c r="AL64" s="278"/>
      <c r="AM64" s="279"/>
    </row>
    <row r="65" spans="1:39" s="247" customFormat="1" ht="12" customHeight="1" x14ac:dyDescent="0.2">
      <c r="A65" s="273"/>
      <c r="B65" s="2119"/>
      <c r="C65" s="2121"/>
      <c r="D65" s="2121"/>
      <c r="E65" s="2121"/>
      <c r="F65" s="2116"/>
      <c r="G65" s="274" t="s">
        <v>5615</v>
      </c>
      <c r="H65" s="275" t="s">
        <v>6370</v>
      </c>
      <c r="I65" s="276"/>
      <c r="J65" s="277" t="s">
        <v>5426</v>
      </c>
      <c r="K65" s="278">
        <f>ES07A01</f>
        <v>1</v>
      </c>
      <c r="L65" s="279">
        <v>4</v>
      </c>
      <c r="M65" s="277" t="s">
        <v>5428</v>
      </c>
      <c r="N65" s="278">
        <f>ES07A02</f>
        <v>1</v>
      </c>
      <c r="O65" s="279">
        <v>4</v>
      </c>
      <c r="P65" s="277" t="s">
        <v>5429</v>
      </c>
      <c r="Q65" s="278">
        <f>ES07A03</f>
        <v>1</v>
      </c>
      <c r="R65" s="279">
        <v>4</v>
      </c>
      <c r="S65" s="277" t="s">
        <v>5137</v>
      </c>
      <c r="T65" s="278">
        <f>ES07A04</f>
        <v>1</v>
      </c>
      <c r="U65" s="279">
        <v>4</v>
      </c>
      <c r="V65" s="277" t="s">
        <v>2558</v>
      </c>
      <c r="W65" s="278">
        <f>ES08A06</f>
        <v>1</v>
      </c>
      <c r="X65" s="279">
        <v>4</v>
      </c>
      <c r="Y65" s="277" t="s">
        <v>5147</v>
      </c>
      <c r="Z65" s="278">
        <f>ES08F01</f>
        <v>1</v>
      </c>
      <c r="AA65" s="279">
        <v>4</v>
      </c>
      <c r="AB65" s="277" t="s">
        <v>4299</v>
      </c>
      <c r="AC65" s="278">
        <f>ES08F02</f>
        <v>1</v>
      </c>
      <c r="AD65" s="279">
        <v>4</v>
      </c>
      <c r="AE65" s="277"/>
      <c r="AF65" s="278"/>
      <c r="AG65" s="279"/>
      <c r="AH65" s="277"/>
      <c r="AI65" s="278"/>
      <c r="AJ65" s="279"/>
      <c r="AK65" s="277"/>
      <c r="AL65" s="278"/>
      <c r="AM65" s="279"/>
    </row>
    <row r="66" spans="1:39" s="247" customFormat="1" ht="13.5" customHeight="1" x14ac:dyDescent="0.2">
      <c r="A66" s="273"/>
      <c r="B66" s="281"/>
      <c r="C66" s="281"/>
      <c r="D66" s="281"/>
      <c r="E66" s="281"/>
      <c r="F66" s="281"/>
      <c r="G66" s="274" t="s">
        <v>5615</v>
      </c>
      <c r="H66" s="275" t="s">
        <v>6370</v>
      </c>
      <c r="I66" s="276"/>
      <c r="J66" s="277" t="s">
        <v>3657</v>
      </c>
      <c r="K66" s="278">
        <f>ES09A01</f>
        <v>1</v>
      </c>
      <c r="L66" s="279">
        <v>4</v>
      </c>
      <c r="M66" s="277" t="s">
        <v>3659</v>
      </c>
      <c r="N66" s="278">
        <f>ES09A02</f>
        <v>1</v>
      </c>
      <c r="O66" s="279">
        <v>4</v>
      </c>
      <c r="P66" s="277" t="s">
        <v>3661</v>
      </c>
      <c r="Q66" s="278">
        <f>ES09A03</f>
        <v>1</v>
      </c>
      <c r="R66" s="279">
        <v>4</v>
      </c>
      <c r="S66" s="277" t="s">
        <v>3662</v>
      </c>
      <c r="T66" s="278">
        <f>ES09A04</f>
        <v>1</v>
      </c>
      <c r="U66" s="279">
        <v>4</v>
      </c>
      <c r="V66" s="277"/>
      <c r="W66" s="278"/>
      <c r="X66" s="279"/>
      <c r="Y66" s="277"/>
      <c r="Z66" s="278"/>
      <c r="AA66" s="279"/>
      <c r="AB66" s="277"/>
      <c r="AC66" s="278"/>
      <c r="AD66" s="279"/>
      <c r="AE66" s="277"/>
      <c r="AF66" s="278"/>
      <c r="AG66" s="279"/>
      <c r="AH66" s="277"/>
      <c r="AI66" s="278"/>
      <c r="AJ66" s="279"/>
      <c r="AK66" s="277"/>
      <c r="AL66" s="278"/>
      <c r="AM66" s="279"/>
    </row>
    <row r="67" spans="1:39" x14ac:dyDescent="0.2">
      <c r="A67" s="273"/>
      <c r="B67" s="1110"/>
      <c r="C67" s="1110"/>
      <c r="D67" s="1110"/>
      <c r="E67" s="1110"/>
      <c r="F67" s="1110"/>
      <c r="G67" s="274" t="s">
        <v>5615</v>
      </c>
      <c r="H67" s="275" t="s">
        <v>6370</v>
      </c>
      <c r="I67" s="276"/>
      <c r="J67" s="277" t="s">
        <v>3663</v>
      </c>
      <c r="K67" s="278">
        <f>ES09B01</f>
        <v>1</v>
      </c>
      <c r="L67" s="279">
        <v>4</v>
      </c>
      <c r="M67" s="277"/>
      <c r="N67" s="278"/>
      <c r="O67" s="279"/>
      <c r="P67" s="277"/>
      <c r="Q67" s="278"/>
      <c r="R67" s="279"/>
      <c r="S67" s="277"/>
      <c r="T67" s="278"/>
      <c r="U67" s="279"/>
      <c r="V67" s="277"/>
      <c r="W67" s="278"/>
      <c r="X67" s="279"/>
      <c r="Y67" s="277"/>
      <c r="Z67" s="278"/>
      <c r="AA67" s="279"/>
      <c r="AB67" s="277"/>
      <c r="AC67" s="278"/>
      <c r="AD67" s="279"/>
      <c r="AE67" s="277"/>
      <c r="AF67" s="278"/>
      <c r="AG67" s="279"/>
      <c r="AH67" s="277"/>
      <c r="AI67" s="278"/>
      <c r="AJ67" s="279"/>
      <c r="AK67" s="277"/>
      <c r="AL67" s="278"/>
      <c r="AM67" s="279"/>
    </row>
    <row r="68" spans="1:39" s="247" customFormat="1" ht="12" customHeight="1" x14ac:dyDescent="0.2">
      <c r="A68" s="273"/>
      <c r="B68" s="1110"/>
      <c r="C68" s="1110"/>
      <c r="D68" s="1110"/>
      <c r="E68" s="1110"/>
      <c r="F68" s="1110"/>
      <c r="G68" s="274" t="s">
        <v>5615</v>
      </c>
      <c r="H68" s="275" t="s">
        <v>6370</v>
      </c>
      <c r="I68" s="276"/>
      <c r="J68" s="277" t="s">
        <v>2553</v>
      </c>
      <c r="K68" s="278">
        <f>ES09C02</f>
        <v>1</v>
      </c>
      <c r="L68" s="279">
        <v>4</v>
      </c>
      <c r="M68" s="277"/>
      <c r="N68" s="278"/>
      <c r="O68" s="279"/>
      <c r="P68" s="277"/>
      <c r="Q68" s="278"/>
      <c r="R68" s="279"/>
      <c r="S68" s="277"/>
      <c r="T68" s="278"/>
      <c r="U68" s="279"/>
      <c r="V68" s="277"/>
      <c r="W68" s="278"/>
      <c r="X68" s="279"/>
      <c r="Y68" s="277"/>
      <c r="Z68" s="278"/>
      <c r="AA68" s="279"/>
      <c r="AB68" s="277"/>
      <c r="AC68" s="278"/>
      <c r="AD68" s="279"/>
      <c r="AE68" s="277"/>
      <c r="AF68" s="278"/>
      <c r="AG68" s="279"/>
      <c r="AH68" s="277"/>
      <c r="AI68" s="278"/>
      <c r="AJ68" s="279"/>
      <c r="AK68" s="277"/>
      <c r="AL68" s="278"/>
      <c r="AM68" s="279"/>
    </row>
    <row r="69" spans="1:39" s="247" customFormat="1" ht="12.75" customHeight="1" x14ac:dyDescent="0.2">
      <c r="A69" s="273"/>
      <c r="B69" s="1110"/>
      <c r="C69" s="1110"/>
      <c r="D69" s="1110"/>
      <c r="E69" s="1110"/>
      <c r="F69" s="1110"/>
      <c r="G69" s="274" t="s">
        <v>5617</v>
      </c>
      <c r="H69" s="285" t="s">
        <v>6369</v>
      </c>
      <c r="I69" s="276"/>
      <c r="J69" s="277" t="s">
        <v>3669</v>
      </c>
      <c r="K69" s="278">
        <f>ES09B04</f>
        <v>1</v>
      </c>
      <c r="L69" s="279">
        <v>3</v>
      </c>
      <c r="M69" s="280"/>
      <c r="N69" s="278"/>
      <c r="O69" s="279"/>
      <c r="P69" s="280"/>
      <c r="Q69" s="278"/>
      <c r="R69" s="287"/>
      <c r="S69" s="277"/>
      <c r="T69" s="278"/>
      <c r="U69" s="279"/>
      <c r="V69" s="277"/>
      <c r="W69" s="278"/>
      <c r="X69" s="279"/>
      <c r="Y69" s="277"/>
      <c r="Z69" s="278"/>
      <c r="AA69" s="279"/>
      <c r="AB69" s="277"/>
      <c r="AC69" s="278"/>
      <c r="AD69" s="279"/>
      <c r="AE69" s="277"/>
      <c r="AF69" s="278"/>
      <c r="AG69" s="279"/>
      <c r="AH69" s="277"/>
      <c r="AI69" s="278"/>
      <c r="AJ69" s="279"/>
      <c r="AK69" s="277"/>
      <c r="AL69" s="278"/>
      <c r="AM69" s="279"/>
    </row>
    <row r="70" spans="1:39" s="247" customFormat="1" ht="12" customHeight="1" x14ac:dyDescent="0.2">
      <c r="A70" s="273"/>
      <c r="B70" s="1112"/>
      <c r="C70" s="1112"/>
      <c r="D70" s="1112"/>
      <c r="E70" s="1112"/>
      <c r="F70" s="1112"/>
      <c r="G70" s="284" t="s">
        <v>5618</v>
      </c>
      <c r="H70" s="275"/>
      <c r="I70" s="276"/>
      <c r="J70" s="277"/>
      <c r="K70" s="278"/>
      <c r="L70" s="279"/>
      <c r="M70" s="277"/>
      <c r="N70" s="278"/>
      <c r="O70" s="279"/>
      <c r="P70" s="277"/>
      <c r="Q70" s="278"/>
      <c r="R70" s="279"/>
      <c r="S70" s="277"/>
      <c r="T70" s="278"/>
      <c r="U70" s="287"/>
      <c r="V70" s="277"/>
      <c r="W70" s="278"/>
      <c r="X70" s="287"/>
      <c r="Y70" s="277"/>
      <c r="Z70" s="278"/>
      <c r="AA70" s="287"/>
      <c r="AB70" s="277"/>
      <c r="AC70" s="278"/>
      <c r="AD70" s="287"/>
      <c r="AE70" s="277"/>
      <c r="AF70" s="278"/>
      <c r="AG70" s="287"/>
      <c r="AH70" s="277"/>
      <c r="AI70" s="278"/>
      <c r="AJ70" s="287"/>
      <c r="AK70" s="277"/>
      <c r="AL70" s="278"/>
      <c r="AM70" s="287"/>
    </row>
    <row r="71" spans="1:39" s="247" customFormat="1" ht="12" customHeight="1" x14ac:dyDescent="0.2">
      <c r="A71" s="1373" t="s">
        <v>1170</v>
      </c>
      <c r="B71" s="317" t="s">
        <v>1195</v>
      </c>
      <c r="C71" s="262"/>
      <c r="D71" s="262"/>
      <c r="E71" s="262"/>
      <c r="F71" s="262"/>
      <c r="G71" s="262"/>
      <c r="H71" s="262"/>
      <c r="I71" s="308"/>
      <c r="J71" s="270"/>
      <c r="K71" s="269"/>
      <c r="L71" s="294"/>
      <c r="M71" s="271"/>
      <c r="N71" s="269"/>
      <c r="O71" s="294"/>
      <c r="P71" s="268"/>
      <c r="Q71" s="269"/>
      <c r="R71" s="304"/>
      <c r="S71" s="271"/>
      <c r="T71" s="269"/>
      <c r="U71" s="294"/>
      <c r="V71" s="271"/>
      <c r="W71" s="269"/>
      <c r="X71" s="294"/>
      <c r="Y71" s="271"/>
      <c r="Z71" s="269"/>
      <c r="AA71" s="294"/>
      <c r="AB71" s="271"/>
      <c r="AC71" s="269"/>
      <c r="AD71" s="294"/>
      <c r="AE71" s="271"/>
      <c r="AF71" s="269"/>
      <c r="AG71" s="294"/>
      <c r="AH71" s="271"/>
      <c r="AI71" s="269"/>
      <c r="AJ71" s="294"/>
      <c r="AK71" s="271"/>
      <c r="AL71" s="269"/>
      <c r="AM71" s="294"/>
    </row>
    <row r="72" spans="1:39" ht="12.75" customHeight="1" x14ac:dyDescent="0.2">
      <c r="A72" s="297"/>
      <c r="B72" s="2117">
        <f>COUNTIF(Scénarios!AH212:AH220,1)</f>
        <v>0</v>
      </c>
      <c r="C72" s="2117">
        <f>COUNTIF(Scénarios!AH212:AH220,2)</f>
        <v>0</v>
      </c>
      <c r="D72" s="2122">
        <f>COUNTIF(Scénarios!AH212:AH220,3)</f>
        <v>0</v>
      </c>
      <c r="E72" s="2123">
        <f>COUNTIF(Scénarios!AH212:AH220,4)</f>
        <v>0</v>
      </c>
      <c r="F72" s="2114">
        <f>SUM(B72:E72)</f>
        <v>0</v>
      </c>
      <c r="G72" s="274" t="s">
        <v>5616</v>
      </c>
      <c r="H72" s="275"/>
      <c r="I72" s="276"/>
      <c r="J72" s="277"/>
      <c r="K72" s="278"/>
      <c r="L72" s="279"/>
      <c r="M72" s="280"/>
      <c r="N72" s="278"/>
      <c r="O72" s="279"/>
      <c r="P72" s="280"/>
      <c r="Q72" s="278"/>
      <c r="R72" s="279"/>
      <c r="S72" s="280"/>
      <c r="T72" s="278"/>
      <c r="U72" s="279"/>
      <c r="V72" s="280"/>
      <c r="W72" s="278"/>
      <c r="X72" s="279"/>
      <c r="Y72" s="280"/>
      <c r="Z72" s="278"/>
      <c r="AA72" s="279"/>
      <c r="AB72" s="280"/>
      <c r="AC72" s="278"/>
      <c r="AD72" s="279"/>
      <c r="AE72" s="280"/>
      <c r="AF72" s="278"/>
      <c r="AG72" s="279"/>
      <c r="AH72" s="280"/>
      <c r="AI72" s="278"/>
      <c r="AJ72" s="279"/>
      <c r="AK72" s="280"/>
      <c r="AL72" s="278"/>
      <c r="AM72" s="279"/>
    </row>
    <row r="73" spans="1:39" s="247" customFormat="1" ht="12" customHeight="1" x14ac:dyDescent="0.2">
      <c r="A73" s="273"/>
      <c r="B73" s="2118"/>
      <c r="C73" s="2120"/>
      <c r="D73" s="2120"/>
      <c r="E73" s="2120"/>
      <c r="F73" s="2115"/>
      <c r="G73" s="274" t="s">
        <v>5615</v>
      </c>
      <c r="H73" s="275" t="s">
        <v>1935</v>
      </c>
      <c r="I73" s="276"/>
      <c r="J73" s="277" t="s">
        <v>12</v>
      </c>
      <c r="K73" s="278">
        <f>ES11C01</f>
        <v>1</v>
      </c>
      <c r="L73" s="279">
        <v>4</v>
      </c>
      <c r="M73" s="277"/>
      <c r="N73" s="278"/>
      <c r="O73" s="279"/>
      <c r="P73" s="277"/>
      <c r="Q73" s="278"/>
      <c r="R73" s="279"/>
      <c r="S73" s="277"/>
      <c r="T73" s="278"/>
      <c r="U73" s="279"/>
      <c r="V73" s="277"/>
      <c r="W73" s="278"/>
      <c r="X73" s="279"/>
      <c r="Y73" s="277"/>
      <c r="Z73" s="278"/>
      <c r="AA73" s="279"/>
      <c r="AB73" s="277"/>
      <c r="AC73" s="278"/>
      <c r="AD73" s="279"/>
      <c r="AE73" s="277"/>
      <c r="AF73" s="278"/>
      <c r="AG73" s="279"/>
      <c r="AH73" s="277"/>
      <c r="AI73" s="278"/>
      <c r="AJ73" s="279"/>
      <c r="AK73" s="277"/>
      <c r="AL73" s="278"/>
      <c r="AM73" s="279"/>
    </row>
    <row r="74" spans="1:39" s="247" customFormat="1" ht="12.75" customHeight="1" x14ac:dyDescent="0.2">
      <c r="A74" s="273"/>
      <c r="B74" s="2119"/>
      <c r="C74" s="2121"/>
      <c r="D74" s="2121"/>
      <c r="E74" s="2121"/>
      <c r="F74" s="2116"/>
      <c r="G74" s="274" t="s">
        <v>5615</v>
      </c>
      <c r="H74" s="275" t="s">
        <v>998</v>
      </c>
      <c r="I74" s="276"/>
      <c r="J74" s="277" t="s">
        <v>1651</v>
      </c>
      <c r="K74" s="278">
        <f>ES11C03</f>
        <v>1</v>
      </c>
      <c r="L74" s="279">
        <v>4</v>
      </c>
      <c r="M74" s="277"/>
      <c r="N74" s="278"/>
      <c r="O74" s="279"/>
      <c r="P74" s="277"/>
      <c r="Q74" s="278"/>
      <c r="R74" s="279"/>
      <c r="S74" s="277"/>
      <c r="T74" s="278"/>
      <c r="U74" s="279"/>
      <c r="V74" s="277"/>
      <c r="W74" s="278"/>
      <c r="X74" s="279"/>
      <c r="Y74" s="277"/>
      <c r="Z74" s="278"/>
      <c r="AA74" s="279"/>
      <c r="AB74" s="277"/>
      <c r="AC74" s="278"/>
      <c r="AD74" s="279"/>
      <c r="AE74" s="277"/>
      <c r="AF74" s="278"/>
      <c r="AG74" s="279"/>
      <c r="AH74" s="277"/>
      <c r="AI74" s="278"/>
      <c r="AJ74" s="279"/>
      <c r="AK74" s="277"/>
      <c r="AL74" s="278"/>
      <c r="AM74" s="279"/>
    </row>
    <row r="75" spans="1:39" x14ac:dyDescent="0.2">
      <c r="A75" s="273"/>
      <c r="B75" s="281"/>
      <c r="C75" s="281"/>
      <c r="D75" s="281"/>
      <c r="E75" s="281"/>
      <c r="F75" s="281"/>
      <c r="G75" s="274" t="s">
        <v>5615</v>
      </c>
      <c r="H75" s="275" t="s">
        <v>1935</v>
      </c>
      <c r="I75" s="276"/>
      <c r="J75" s="277" t="s">
        <v>1653</v>
      </c>
      <c r="K75" s="278">
        <f>ES11C04</f>
        <v>1</v>
      </c>
      <c r="L75" s="279">
        <v>4</v>
      </c>
      <c r="M75" s="277"/>
      <c r="N75" s="278"/>
      <c r="O75" s="279"/>
      <c r="P75" s="277"/>
      <c r="Q75" s="278"/>
      <c r="R75" s="279"/>
      <c r="S75" s="277"/>
      <c r="T75" s="278"/>
      <c r="U75" s="279"/>
      <c r="V75" s="277"/>
      <c r="W75" s="278"/>
      <c r="X75" s="279"/>
      <c r="Y75" s="277"/>
      <c r="Z75" s="278"/>
      <c r="AA75" s="279"/>
      <c r="AB75" s="277"/>
      <c r="AC75" s="278"/>
      <c r="AD75" s="279"/>
      <c r="AE75" s="277"/>
      <c r="AF75" s="278"/>
      <c r="AG75" s="279"/>
      <c r="AH75" s="277"/>
      <c r="AI75" s="278"/>
      <c r="AJ75" s="279"/>
      <c r="AK75" s="277"/>
      <c r="AL75" s="278"/>
      <c r="AM75" s="279"/>
    </row>
    <row r="76" spans="1:39" s="247" customFormat="1" ht="12" customHeight="1" x14ac:dyDescent="0.2">
      <c r="A76" s="273"/>
      <c r="B76" s="1110"/>
      <c r="C76" s="1110"/>
      <c r="D76" s="1110"/>
      <c r="E76" s="1110"/>
      <c r="F76" s="1110"/>
      <c r="G76" s="274" t="s">
        <v>5615</v>
      </c>
      <c r="H76" s="275" t="s">
        <v>1934</v>
      </c>
      <c r="I76" s="276"/>
      <c r="J76" s="277" t="s">
        <v>5426</v>
      </c>
      <c r="K76" s="278">
        <f>ES07A01</f>
        <v>1</v>
      </c>
      <c r="L76" s="279">
        <v>4</v>
      </c>
      <c r="M76" s="277" t="s">
        <v>5428</v>
      </c>
      <c r="N76" s="278">
        <f>ES07A02</f>
        <v>1</v>
      </c>
      <c r="O76" s="279">
        <v>4</v>
      </c>
      <c r="P76" s="277" t="s">
        <v>5429</v>
      </c>
      <c r="Q76" s="278">
        <f>ES07A03</f>
        <v>1</v>
      </c>
      <c r="R76" s="279">
        <v>4</v>
      </c>
      <c r="S76" s="277" t="s">
        <v>5137</v>
      </c>
      <c r="T76" s="278">
        <f>ES07A04</f>
        <v>1</v>
      </c>
      <c r="U76" s="279">
        <v>4</v>
      </c>
      <c r="V76" s="277" t="s">
        <v>5147</v>
      </c>
      <c r="W76" s="278">
        <f>ES08F01</f>
        <v>1</v>
      </c>
      <c r="X76" s="279">
        <v>4</v>
      </c>
      <c r="Y76" s="277" t="s">
        <v>4299</v>
      </c>
      <c r="Z76" s="278">
        <f>ES08F02</f>
        <v>1</v>
      </c>
      <c r="AA76" s="279">
        <v>4</v>
      </c>
      <c r="AB76" s="277"/>
      <c r="AC76" s="278"/>
      <c r="AD76" s="279"/>
      <c r="AE76" s="277"/>
      <c r="AF76" s="278"/>
      <c r="AG76" s="279"/>
      <c r="AH76" s="277"/>
      <c r="AI76" s="278"/>
      <c r="AJ76" s="279"/>
      <c r="AK76" s="277"/>
      <c r="AL76" s="278"/>
      <c r="AM76" s="279"/>
    </row>
    <row r="77" spans="1:39" s="247" customFormat="1" ht="12.75" customHeight="1" x14ac:dyDescent="0.2">
      <c r="A77" s="273"/>
      <c r="B77" s="1110"/>
      <c r="C77" s="1110"/>
      <c r="D77" s="1110"/>
      <c r="E77" s="1110"/>
      <c r="F77" s="1110"/>
      <c r="G77" s="274" t="s">
        <v>5617</v>
      </c>
      <c r="H77" s="275"/>
      <c r="I77" s="276"/>
      <c r="J77" s="277"/>
      <c r="K77" s="278"/>
      <c r="L77" s="279"/>
      <c r="M77" s="280"/>
      <c r="N77" s="278"/>
      <c r="O77" s="279"/>
      <c r="P77" s="280"/>
      <c r="Q77" s="278"/>
      <c r="R77" s="287"/>
      <c r="S77" s="277"/>
      <c r="T77" s="278"/>
      <c r="U77" s="279"/>
      <c r="V77" s="277"/>
      <c r="W77" s="278"/>
      <c r="X77" s="279"/>
      <c r="Y77" s="277"/>
      <c r="Z77" s="278"/>
      <c r="AA77" s="279"/>
      <c r="AB77" s="277"/>
      <c r="AC77" s="278"/>
      <c r="AD77" s="279"/>
      <c r="AE77" s="277"/>
      <c r="AF77" s="278"/>
      <c r="AG77" s="279"/>
      <c r="AH77" s="277"/>
      <c r="AI77" s="278"/>
      <c r="AJ77" s="279"/>
      <c r="AK77" s="277"/>
      <c r="AL77" s="278"/>
      <c r="AM77" s="279"/>
    </row>
    <row r="78" spans="1:39" s="247" customFormat="1" ht="12" customHeight="1" x14ac:dyDescent="0.2">
      <c r="A78" s="273"/>
      <c r="B78" s="1112"/>
      <c r="C78" s="1112"/>
      <c r="D78" s="1112"/>
      <c r="E78" s="1112"/>
      <c r="F78" s="1112"/>
      <c r="G78" s="284" t="s">
        <v>5618</v>
      </c>
      <c r="H78" s="275"/>
      <c r="I78" s="276"/>
      <c r="J78" s="277"/>
      <c r="K78" s="278"/>
      <c r="L78" s="279"/>
      <c r="M78" s="277"/>
      <c r="N78" s="278"/>
      <c r="O78" s="279"/>
      <c r="P78" s="277"/>
      <c r="Q78" s="278"/>
      <c r="R78" s="279"/>
      <c r="S78" s="277"/>
      <c r="T78" s="278"/>
      <c r="U78" s="287"/>
      <c r="V78" s="277"/>
      <c r="W78" s="278"/>
      <c r="X78" s="287"/>
      <c r="Y78" s="277"/>
      <c r="Z78" s="278"/>
      <c r="AA78" s="287"/>
      <c r="AB78" s="277"/>
      <c r="AC78" s="278"/>
      <c r="AD78" s="287"/>
      <c r="AE78" s="277"/>
      <c r="AF78" s="278"/>
      <c r="AG78" s="287"/>
      <c r="AH78" s="277"/>
      <c r="AI78" s="278"/>
      <c r="AJ78" s="287"/>
      <c r="AK78" s="277"/>
      <c r="AL78" s="278"/>
      <c r="AM78" s="287"/>
    </row>
    <row r="79" spans="1:39" s="247" customFormat="1" ht="16.5" customHeight="1" x14ac:dyDescent="0.2">
      <c r="A79" s="1373" t="s">
        <v>1171</v>
      </c>
      <c r="B79" s="317" t="s">
        <v>3953</v>
      </c>
      <c r="C79" s="262"/>
      <c r="D79" s="262"/>
      <c r="E79" s="262"/>
      <c r="F79" s="262"/>
      <c r="G79" s="262"/>
      <c r="H79" s="262"/>
      <c r="I79" s="308"/>
      <c r="J79" s="270"/>
      <c r="K79" s="269"/>
      <c r="L79" s="294"/>
      <c r="M79" s="271"/>
      <c r="N79" s="269"/>
      <c r="O79" s="294"/>
      <c r="P79" s="268"/>
      <c r="Q79" s="269"/>
      <c r="R79" s="304"/>
      <c r="S79" s="271"/>
      <c r="T79" s="269"/>
      <c r="U79" s="294"/>
      <c r="V79" s="271"/>
      <c r="W79" s="269"/>
      <c r="X79" s="294"/>
      <c r="Y79" s="271"/>
      <c r="Z79" s="269"/>
      <c r="AA79" s="294"/>
      <c r="AB79" s="271"/>
      <c r="AC79" s="269"/>
      <c r="AD79" s="294"/>
      <c r="AE79" s="271"/>
      <c r="AF79" s="269"/>
      <c r="AG79" s="294"/>
      <c r="AH79" s="271"/>
      <c r="AI79" s="269"/>
      <c r="AJ79" s="294"/>
      <c r="AK79" s="271"/>
      <c r="AL79" s="269"/>
      <c r="AM79" s="294"/>
    </row>
    <row r="80" spans="1:39" ht="12.75" customHeight="1" x14ac:dyDescent="0.2">
      <c r="A80" s="297"/>
      <c r="B80" s="2117">
        <f>COUNTIF(Scénarios!AH222:AH228,1)</f>
        <v>0</v>
      </c>
      <c r="C80" s="2117">
        <f>COUNTIF(Scénarios!AH222:AH228,2)</f>
        <v>0</v>
      </c>
      <c r="D80" s="2122">
        <f>COUNTIF(Scénarios!AH222:AH228,3)</f>
        <v>0</v>
      </c>
      <c r="E80" s="2123">
        <f>COUNTIF(Scénarios!AH222:AH228,4)</f>
        <v>0</v>
      </c>
      <c r="F80" s="2114">
        <f>SUM(B80:E80)</f>
        <v>0</v>
      </c>
      <c r="G80" s="274" t="s">
        <v>5616</v>
      </c>
      <c r="H80" s="275"/>
      <c r="I80" s="276"/>
      <c r="J80" s="277"/>
      <c r="K80" s="278"/>
      <c r="L80" s="279"/>
      <c r="M80" s="280"/>
      <c r="N80" s="278"/>
      <c r="O80" s="279"/>
      <c r="P80" s="280"/>
      <c r="Q80" s="278"/>
      <c r="R80" s="279"/>
      <c r="S80" s="280"/>
      <c r="T80" s="278"/>
      <c r="U80" s="279"/>
      <c r="V80" s="280"/>
      <c r="W80" s="278"/>
      <c r="X80" s="279"/>
      <c r="Y80" s="280"/>
      <c r="Z80" s="278"/>
      <c r="AA80" s="279"/>
      <c r="AB80" s="280"/>
      <c r="AC80" s="278"/>
      <c r="AD80" s="279"/>
      <c r="AE80" s="280"/>
      <c r="AF80" s="278"/>
      <c r="AG80" s="279"/>
      <c r="AH80" s="280"/>
      <c r="AI80" s="278"/>
      <c r="AJ80" s="279"/>
      <c r="AK80" s="280"/>
      <c r="AL80" s="278"/>
      <c r="AM80" s="279"/>
    </row>
    <row r="81" spans="1:39" s="247" customFormat="1" ht="12" customHeight="1" x14ac:dyDescent="0.2">
      <c r="A81" s="273"/>
      <c r="B81" s="2118"/>
      <c r="C81" s="2120"/>
      <c r="D81" s="2120"/>
      <c r="E81" s="2120"/>
      <c r="F81" s="2115"/>
      <c r="G81" s="274" t="s">
        <v>5615</v>
      </c>
      <c r="H81" s="275" t="s">
        <v>1934</v>
      </c>
      <c r="I81" s="276"/>
      <c r="J81" s="277" t="s">
        <v>12</v>
      </c>
      <c r="K81" s="278">
        <f>ES11C01</f>
        <v>1</v>
      </c>
      <c r="L81" s="279">
        <v>4</v>
      </c>
      <c r="M81" s="277"/>
      <c r="N81" s="278"/>
      <c r="O81" s="279"/>
      <c r="P81" s="277"/>
      <c r="Q81" s="278"/>
      <c r="R81" s="279"/>
      <c r="S81" s="277"/>
      <c r="T81" s="278"/>
      <c r="U81" s="279"/>
      <c r="V81" s="277"/>
      <c r="W81" s="278"/>
      <c r="X81" s="279"/>
      <c r="Y81" s="277"/>
      <c r="Z81" s="278"/>
      <c r="AA81" s="279"/>
      <c r="AB81" s="277"/>
      <c r="AC81" s="278"/>
      <c r="AD81" s="279"/>
      <c r="AE81" s="277"/>
      <c r="AF81" s="278"/>
      <c r="AG81" s="279"/>
      <c r="AH81" s="277"/>
      <c r="AI81" s="278"/>
      <c r="AJ81" s="279"/>
      <c r="AK81" s="277"/>
      <c r="AL81" s="278"/>
      <c r="AM81" s="279"/>
    </row>
    <row r="82" spans="1:39" s="247" customFormat="1" ht="12.75" customHeight="1" x14ac:dyDescent="0.2">
      <c r="A82" s="273"/>
      <c r="B82" s="2119"/>
      <c r="C82" s="2121"/>
      <c r="D82" s="2121"/>
      <c r="E82" s="2121"/>
      <c r="F82" s="2116"/>
      <c r="G82" s="274" t="s">
        <v>5615</v>
      </c>
      <c r="H82" s="275" t="s">
        <v>998</v>
      </c>
      <c r="I82" s="276"/>
      <c r="J82" s="277" t="s">
        <v>1651</v>
      </c>
      <c r="K82" s="278">
        <f>ES11C03</f>
        <v>1</v>
      </c>
      <c r="L82" s="279">
        <v>4</v>
      </c>
      <c r="M82" s="277"/>
      <c r="N82" s="278"/>
      <c r="O82" s="279"/>
      <c r="P82" s="277"/>
      <c r="Q82" s="278"/>
      <c r="R82" s="279"/>
      <c r="S82" s="277"/>
      <c r="T82" s="278"/>
      <c r="U82" s="279"/>
      <c r="V82" s="277"/>
      <c r="W82" s="278"/>
      <c r="X82" s="279"/>
      <c r="Y82" s="277"/>
      <c r="Z82" s="278"/>
      <c r="AA82" s="279"/>
      <c r="AB82" s="277"/>
      <c r="AC82" s="278"/>
      <c r="AD82" s="279"/>
      <c r="AE82" s="277"/>
      <c r="AF82" s="278"/>
      <c r="AG82" s="279"/>
      <c r="AH82" s="277"/>
      <c r="AI82" s="278"/>
      <c r="AJ82" s="279"/>
      <c r="AK82" s="277"/>
      <c r="AL82" s="278"/>
      <c r="AM82" s="279"/>
    </row>
    <row r="83" spans="1:39" s="247" customFormat="1" ht="12" customHeight="1" x14ac:dyDescent="0.2">
      <c r="A83" s="273"/>
      <c r="B83" s="281"/>
      <c r="C83" s="281"/>
      <c r="D83" s="281"/>
      <c r="E83" s="281"/>
      <c r="F83" s="281"/>
      <c r="G83" s="274" t="s">
        <v>5615</v>
      </c>
      <c r="H83" s="275" t="s">
        <v>1935</v>
      </c>
      <c r="I83" s="276"/>
      <c r="J83" s="277" t="s">
        <v>1653</v>
      </c>
      <c r="K83" s="278">
        <f>ES11C04</f>
        <v>1</v>
      </c>
      <c r="L83" s="279">
        <v>4</v>
      </c>
      <c r="M83" s="277"/>
      <c r="N83" s="278"/>
      <c r="O83" s="279"/>
      <c r="P83" s="277"/>
      <c r="Q83" s="278"/>
      <c r="R83" s="279"/>
      <c r="S83" s="277"/>
      <c r="T83" s="278"/>
      <c r="U83" s="279"/>
      <c r="V83" s="277"/>
      <c r="W83" s="278"/>
      <c r="X83" s="279"/>
      <c r="Y83" s="277"/>
      <c r="Z83" s="278"/>
      <c r="AA83" s="279"/>
      <c r="AB83" s="277"/>
      <c r="AC83" s="278"/>
      <c r="AD83" s="279"/>
      <c r="AE83" s="277"/>
      <c r="AF83" s="278"/>
      <c r="AG83" s="279"/>
      <c r="AH83" s="277"/>
      <c r="AI83" s="278"/>
      <c r="AJ83" s="279"/>
      <c r="AK83" s="277"/>
      <c r="AL83" s="278"/>
      <c r="AM83" s="279"/>
    </row>
    <row r="84" spans="1:39" s="247" customFormat="1" ht="12" customHeight="1" x14ac:dyDescent="0.2">
      <c r="A84" s="273"/>
      <c r="B84" s="1110"/>
      <c r="C84" s="1110"/>
      <c r="D84" s="1110"/>
      <c r="E84" s="1110"/>
      <c r="F84" s="1110"/>
      <c r="G84" s="274" t="s">
        <v>5615</v>
      </c>
      <c r="H84" s="275" t="s">
        <v>6370</v>
      </c>
      <c r="I84" s="276"/>
      <c r="J84" s="277" t="s">
        <v>1320</v>
      </c>
      <c r="K84" s="278">
        <f>ES11C02</f>
        <v>1</v>
      </c>
      <c r="L84" s="279">
        <v>4</v>
      </c>
      <c r="M84" s="277"/>
      <c r="N84" s="278"/>
      <c r="O84" s="279"/>
      <c r="P84" s="277"/>
      <c r="Q84" s="278"/>
      <c r="R84" s="279"/>
      <c r="S84" s="277"/>
      <c r="T84" s="278"/>
      <c r="U84" s="279"/>
      <c r="V84" s="277"/>
      <c r="W84" s="278"/>
      <c r="X84" s="279"/>
      <c r="Y84" s="277"/>
      <c r="Z84" s="278"/>
      <c r="AA84" s="279"/>
      <c r="AB84" s="277"/>
      <c r="AC84" s="278"/>
      <c r="AD84" s="279"/>
      <c r="AE84" s="277"/>
      <c r="AF84" s="278"/>
      <c r="AG84" s="279"/>
      <c r="AH84" s="277"/>
      <c r="AI84" s="278"/>
      <c r="AJ84" s="279"/>
      <c r="AK84" s="277"/>
      <c r="AL84" s="278"/>
      <c r="AM84" s="279"/>
    </row>
    <row r="85" spans="1:39" ht="12.75" customHeight="1" x14ac:dyDescent="0.2">
      <c r="A85" s="273"/>
      <c r="B85" s="1110"/>
      <c r="C85" s="1110"/>
      <c r="D85" s="1110"/>
      <c r="E85" s="1110"/>
      <c r="F85" s="1110"/>
      <c r="G85" s="274" t="s">
        <v>5617</v>
      </c>
      <c r="H85" s="275"/>
      <c r="I85" s="276"/>
      <c r="J85" s="277"/>
      <c r="K85" s="278"/>
      <c r="L85" s="279"/>
      <c r="M85" s="280"/>
      <c r="N85" s="278"/>
      <c r="O85" s="279"/>
      <c r="P85" s="280"/>
      <c r="Q85" s="278"/>
      <c r="R85" s="287"/>
      <c r="S85" s="277"/>
      <c r="T85" s="278"/>
      <c r="U85" s="279"/>
      <c r="V85" s="277"/>
      <c r="W85" s="278"/>
      <c r="X85" s="279"/>
      <c r="Y85" s="277"/>
      <c r="Z85" s="278"/>
      <c r="AA85" s="279"/>
      <c r="AB85" s="277"/>
      <c r="AC85" s="278"/>
      <c r="AD85" s="279"/>
      <c r="AE85" s="277"/>
      <c r="AF85" s="278"/>
      <c r="AG85" s="279"/>
      <c r="AH85" s="277"/>
      <c r="AI85" s="278"/>
      <c r="AJ85" s="279"/>
      <c r="AK85" s="277"/>
      <c r="AL85" s="278"/>
      <c r="AM85" s="279"/>
    </row>
    <row r="86" spans="1:39" s="247" customFormat="1" ht="12" customHeight="1" x14ac:dyDescent="0.2">
      <c r="A86" s="273"/>
      <c r="B86" s="1112"/>
      <c r="C86" s="1112"/>
      <c r="D86" s="1112"/>
      <c r="E86" s="1112"/>
      <c r="F86" s="1112"/>
      <c r="G86" s="284" t="s">
        <v>5618</v>
      </c>
      <c r="H86" s="275"/>
      <c r="I86" s="276"/>
      <c r="J86" s="277"/>
      <c r="K86" s="278"/>
      <c r="L86" s="279"/>
      <c r="M86" s="277"/>
      <c r="N86" s="278"/>
      <c r="O86" s="279"/>
      <c r="P86" s="277"/>
      <c r="Q86" s="278"/>
      <c r="R86" s="279"/>
      <c r="S86" s="277"/>
      <c r="T86" s="278"/>
      <c r="U86" s="287"/>
      <c r="V86" s="277"/>
      <c r="W86" s="278"/>
      <c r="X86" s="287"/>
      <c r="Y86" s="277"/>
      <c r="Z86" s="278"/>
      <c r="AA86" s="287"/>
      <c r="AB86" s="277"/>
      <c r="AC86" s="278"/>
      <c r="AD86" s="287"/>
      <c r="AE86" s="277"/>
      <c r="AF86" s="278"/>
      <c r="AG86" s="287"/>
      <c r="AH86" s="277"/>
      <c r="AI86" s="278"/>
      <c r="AJ86" s="287"/>
      <c r="AK86" s="277"/>
      <c r="AL86" s="278"/>
      <c r="AM86" s="287"/>
    </row>
    <row r="87" spans="1:39" s="247" customFormat="1" ht="13.5" customHeight="1" x14ac:dyDescent="0.2">
      <c r="A87" s="1373" t="s">
        <v>1172</v>
      </c>
      <c r="B87" s="317" t="s">
        <v>2948</v>
      </c>
      <c r="C87" s="270"/>
      <c r="D87" s="270"/>
      <c r="E87" s="270"/>
      <c r="F87" s="270"/>
      <c r="G87" s="270"/>
      <c r="H87" s="270"/>
      <c r="I87" s="319"/>
      <c r="J87" s="270"/>
      <c r="K87" s="269"/>
      <c r="L87" s="294"/>
      <c r="M87" s="271"/>
      <c r="N87" s="269"/>
      <c r="O87" s="294"/>
      <c r="P87" s="268"/>
      <c r="Q87" s="269"/>
      <c r="R87" s="304"/>
      <c r="S87" s="271"/>
      <c r="T87" s="269"/>
      <c r="U87" s="294"/>
      <c r="V87" s="271"/>
      <c r="W87" s="269"/>
      <c r="X87" s="294"/>
      <c r="Y87" s="271"/>
      <c r="Z87" s="269"/>
      <c r="AA87" s="294"/>
      <c r="AB87" s="271"/>
      <c r="AC87" s="269"/>
      <c r="AD87" s="294"/>
      <c r="AE87" s="271"/>
      <c r="AF87" s="269"/>
      <c r="AG87" s="294"/>
      <c r="AH87" s="271"/>
      <c r="AI87" s="269"/>
      <c r="AJ87" s="294"/>
      <c r="AK87" s="271"/>
      <c r="AL87" s="269"/>
      <c r="AM87" s="294"/>
    </row>
    <row r="88" spans="1:39" s="247" customFormat="1" ht="13.5" customHeight="1" x14ac:dyDescent="0.2">
      <c r="A88" s="297"/>
      <c r="B88" s="2117">
        <f>COUNTIF(Scénarios!AH230:AH243,1)</f>
        <v>0</v>
      </c>
      <c r="C88" s="2117">
        <f>COUNTIF(Scénarios!AH230:AH243,2)</f>
        <v>0</v>
      </c>
      <c r="D88" s="2122">
        <f>COUNTIF(Scénarios!AH230:AH243,3)</f>
        <v>0</v>
      </c>
      <c r="E88" s="2123">
        <f>COUNTIF(Scénarios!AH230:AH243,4)</f>
        <v>0</v>
      </c>
      <c r="F88" s="2148">
        <f>SUM(B88:E88)</f>
        <v>0</v>
      </c>
      <c r="G88" s="274" t="s">
        <v>5616</v>
      </c>
      <c r="H88" s="275" t="s">
        <v>998</v>
      </c>
      <c r="I88" s="276"/>
      <c r="J88" s="277" t="s">
        <v>3667</v>
      </c>
      <c r="K88" s="278">
        <f>ES09B03</f>
        <v>1</v>
      </c>
      <c r="L88" s="279">
        <v>4</v>
      </c>
      <c r="M88" s="280"/>
      <c r="N88" s="278"/>
      <c r="O88" s="279"/>
      <c r="P88" s="280"/>
      <c r="Q88" s="278"/>
      <c r="R88" s="279"/>
      <c r="S88" s="280"/>
      <c r="T88" s="278"/>
      <c r="U88" s="279"/>
      <c r="V88" s="280"/>
      <c r="W88" s="278"/>
      <c r="X88" s="279"/>
      <c r="Y88" s="280"/>
      <c r="Z88" s="278"/>
      <c r="AA88" s="279"/>
      <c r="AB88" s="280"/>
      <c r="AC88" s="278"/>
      <c r="AD88" s="279"/>
      <c r="AE88" s="280"/>
      <c r="AF88" s="278"/>
      <c r="AG88" s="279"/>
      <c r="AH88" s="280"/>
      <c r="AI88" s="278"/>
      <c r="AJ88" s="279"/>
      <c r="AK88" s="280"/>
      <c r="AL88" s="278"/>
      <c r="AM88" s="279"/>
    </row>
    <row r="89" spans="1:39" s="247" customFormat="1" ht="13.5" customHeight="1" x14ac:dyDescent="0.2">
      <c r="A89" s="273"/>
      <c r="B89" s="2118"/>
      <c r="C89" s="2120"/>
      <c r="D89" s="2120"/>
      <c r="E89" s="2120"/>
      <c r="F89" s="2115"/>
      <c r="G89" s="274" t="s">
        <v>5615</v>
      </c>
      <c r="H89" s="275" t="s">
        <v>998</v>
      </c>
      <c r="I89" s="276"/>
      <c r="J89" s="277" t="s">
        <v>3667</v>
      </c>
      <c r="K89" s="278">
        <f>ES09B03</f>
        <v>1</v>
      </c>
      <c r="L89" s="279">
        <v>4</v>
      </c>
      <c r="M89" s="277"/>
      <c r="N89" s="278"/>
      <c r="O89" s="279"/>
      <c r="P89" s="277"/>
      <c r="Q89" s="278"/>
      <c r="R89" s="279"/>
      <c r="S89" s="277"/>
      <c r="T89" s="278"/>
      <c r="U89" s="279"/>
      <c r="V89" s="277"/>
      <c r="W89" s="278"/>
      <c r="X89" s="279"/>
      <c r="Y89" s="277"/>
      <c r="Z89" s="278"/>
      <c r="AA89" s="279"/>
      <c r="AB89" s="277"/>
      <c r="AC89" s="278"/>
      <c r="AD89" s="279"/>
      <c r="AE89" s="277"/>
      <c r="AF89" s="278"/>
      <c r="AG89" s="279"/>
      <c r="AH89" s="277"/>
      <c r="AI89" s="278"/>
      <c r="AJ89" s="279"/>
      <c r="AK89" s="277"/>
      <c r="AL89" s="278"/>
      <c r="AM89" s="279"/>
    </row>
    <row r="90" spans="1:39" s="247" customFormat="1" ht="12" customHeight="1" x14ac:dyDescent="0.2">
      <c r="A90" s="273"/>
      <c r="B90" s="2119"/>
      <c r="C90" s="2121"/>
      <c r="D90" s="2121"/>
      <c r="E90" s="2121"/>
      <c r="F90" s="2116"/>
      <c r="G90" s="274" t="s">
        <v>5615</v>
      </c>
      <c r="H90" s="275" t="s">
        <v>1935</v>
      </c>
      <c r="I90" s="276"/>
      <c r="J90" s="277" t="s">
        <v>3663</v>
      </c>
      <c r="K90" s="278">
        <f>ES09B01</f>
        <v>1</v>
      </c>
      <c r="L90" s="279">
        <v>4</v>
      </c>
      <c r="M90" s="277" t="s">
        <v>3665</v>
      </c>
      <c r="N90" s="278">
        <f>ES09B02</f>
        <v>1</v>
      </c>
      <c r="O90" s="279">
        <v>4</v>
      </c>
      <c r="P90" s="277" t="s">
        <v>3215</v>
      </c>
      <c r="Q90" s="278">
        <f>ES09F01</f>
        <v>1</v>
      </c>
      <c r="R90" s="279">
        <v>4</v>
      </c>
      <c r="S90" s="277" t="s">
        <v>3216</v>
      </c>
      <c r="T90" s="278">
        <f>ES09F02</f>
        <v>1</v>
      </c>
      <c r="U90" s="279">
        <v>4</v>
      </c>
      <c r="V90" s="277"/>
      <c r="W90" s="278"/>
      <c r="X90" s="279"/>
      <c r="Y90" s="277"/>
      <c r="Z90" s="278"/>
      <c r="AA90" s="279"/>
      <c r="AB90" s="277"/>
      <c r="AC90" s="278"/>
      <c r="AD90" s="279"/>
      <c r="AE90" s="277"/>
      <c r="AF90" s="278"/>
      <c r="AG90" s="279"/>
      <c r="AH90" s="277"/>
      <c r="AI90" s="278"/>
      <c r="AJ90" s="279"/>
      <c r="AK90" s="277"/>
      <c r="AL90" s="278"/>
      <c r="AM90" s="279"/>
    </row>
    <row r="91" spans="1:39" ht="14.25" customHeight="1" x14ac:dyDescent="0.2">
      <c r="A91" s="273"/>
      <c r="B91" s="281"/>
      <c r="C91" s="281"/>
      <c r="D91" s="281"/>
      <c r="E91" s="281"/>
      <c r="F91" s="281"/>
      <c r="G91" s="274" t="s">
        <v>5615</v>
      </c>
      <c r="H91" s="275" t="s">
        <v>1934</v>
      </c>
      <c r="I91" s="276"/>
      <c r="J91" s="277" t="s">
        <v>3670</v>
      </c>
      <c r="K91" s="278">
        <f>ES09C01</f>
        <v>1</v>
      </c>
      <c r="L91" s="279">
        <v>4</v>
      </c>
      <c r="M91" s="277" t="s">
        <v>2553</v>
      </c>
      <c r="N91" s="278">
        <f>ES09C02</f>
        <v>1</v>
      </c>
      <c r="O91" s="279">
        <v>4</v>
      </c>
      <c r="P91" s="277"/>
      <c r="Q91" s="278"/>
      <c r="R91" s="279"/>
      <c r="S91" s="277"/>
      <c r="T91" s="278"/>
      <c r="U91" s="279"/>
      <c r="V91" s="277"/>
      <c r="W91" s="278"/>
      <c r="X91" s="279"/>
      <c r="Y91" s="277"/>
      <c r="Z91" s="278"/>
      <c r="AA91" s="279"/>
      <c r="AB91" s="277"/>
      <c r="AC91" s="278"/>
      <c r="AD91" s="279"/>
      <c r="AE91" s="277"/>
      <c r="AF91" s="278"/>
      <c r="AG91" s="279"/>
      <c r="AH91" s="277"/>
      <c r="AI91" s="278"/>
      <c r="AJ91" s="279"/>
      <c r="AK91" s="277"/>
      <c r="AL91" s="278"/>
      <c r="AM91" s="279"/>
    </row>
    <row r="92" spans="1:39" s="247" customFormat="1" ht="13.5" customHeight="1" x14ac:dyDescent="0.2">
      <c r="A92" s="273"/>
      <c r="B92" s="1110"/>
      <c r="C92" s="1110"/>
      <c r="D92" s="1110"/>
      <c r="E92" s="1110"/>
      <c r="F92" s="1110"/>
      <c r="G92" s="274" t="s">
        <v>5615</v>
      </c>
      <c r="H92" s="275" t="s">
        <v>1934</v>
      </c>
      <c r="I92" s="276"/>
      <c r="J92" s="277" t="s">
        <v>5639</v>
      </c>
      <c r="K92" s="278">
        <f>ES04C01</f>
        <v>1</v>
      </c>
      <c r="L92" s="279">
        <v>4</v>
      </c>
      <c r="M92" s="277" t="s">
        <v>5641</v>
      </c>
      <c r="N92" s="278">
        <f>ES04C02</f>
        <v>1</v>
      </c>
      <c r="O92" s="279">
        <v>4</v>
      </c>
      <c r="P92" s="277" t="s">
        <v>6766</v>
      </c>
      <c r="Q92" s="278">
        <f>ES05C01</f>
        <v>1</v>
      </c>
      <c r="R92" s="279">
        <v>4</v>
      </c>
      <c r="S92" s="277" t="s">
        <v>6768</v>
      </c>
      <c r="T92" s="278">
        <f>ES05C02</f>
        <v>1</v>
      </c>
      <c r="U92" s="279">
        <v>4</v>
      </c>
      <c r="V92" s="277" t="s">
        <v>6770</v>
      </c>
      <c r="W92" s="278">
        <f>ES05C03</f>
        <v>1</v>
      </c>
      <c r="X92" s="279">
        <v>4</v>
      </c>
      <c r="Y92" s="277" t="s">
        <v>6772</v>
      </c>
      <c r="Z92" s="278">
        <f>ES05C04</f>
        <v>1</v>
      </c>
      <c r="AA92" s="279">
        <v>4</v>
      </c>
      <c r="AB92" s="277"/>
      <c r="AC92" s="278"/>
      <c r="AD92" s="279"/>
      <c r="AE92" s="277"/>
      <c r="AF92" s="278"/>
      <c r="AG92" s="279"/>
      <c r="AH92" s="277"/>
      <c r="AI92" s="278"/>
      <c r="AJ92" s="279"/>
      <c r="AK92" s="277"/>
      <c r="AL92" s="278"/>
      <c r="AM92" s="279"/>
    </row>
    <row r="93" spans="1:39" s="247" customFormat="1" ht="14.25" customHeight="1" x14ac:dyDescent="0.2">
      <c r="A93" s="273"/>
      <c r="B93" s="1110"/>
      <c r="C93" s="1110"/>
      <c r="D93" s="1110"/>
      <c r="E93" s="1110"/>
      <c r="F93" s="1110"/>
      <c r="G93" s="274" t="s">
        <v>5615</v>
      </c>
      <c r="H93" s="275" t="s">
        <v>998</v>
      </c>
      <c r="I93" s="276"/>
      <c r="J93" s="277" t="s">
        <v>5426</v>
      </c>
      <c r="K93" s="278">
        <f>ES07A01</f>
        <v>1</v>
      </c>
      <c r="L93" s="279">
        <v>4</v>
      </c>
      <c r="M93" s="277" t="s">
        <v>5428</v>
      </c>
      <c r="N93" s="278">
        <f>ES07A02</f>
        <v>1</v>
      </c>
      <c r="O93" s="279">
        <v>4</v>
      </c>
      <c r="P93" s="277" t="s">
        <v>5429</v>
      </c>
      <c r="Q93" s="278">
        <f>ES07A03</f>
        <v>1</v>
      </c>
      <c r="R93" s="279">
        <v>4</v>
      </c>
      <c r="S93" s="277" t="s">
        <v>5137</v>
      </c>
      <c r="T93" s="278">
        <f>ES07A04</f>
        <v>1</v>
      </c>
      <c r="U93" s="279">
        <v>4</v>
      </c>
      <c r="V93" s="277" t="s">
        <v>3657</v>
      </c>
      <c r="W93" s="278">
        <f>ES09A01</f>
        <v>1</v>
      </c>
      <c r="X93" s="279">
        <v>4</v>
      </c>
      <c r="Y93" s="277" t="s">
        <v>3659</v>
      </c>
      <c r="Z93" s="278">
        <f>ES09A02</f>
        <v>1</v>
      </c>
      <c r="AA93" s="279">
        <v>4</v>
      </c>
      <c r="AB93" s="277" t="s">
        <v>3661</v>
      </c>
      <c r="AC93" s="278">
        <f>ES09A03</f>
        <v>1</v>
      </c>
      <c r="AD93" s="279">
        <v>4</v>
      </c>
      <c r="AE93" s="277" t="s">
        <v>3662</v>
      </c>
      <c r="AF93" s="278">
        <f>ES09A04</f>
        <v>1</v>
      </c>
      <c r="AG93" s="279">
        <v>4</v>
      </c>
      <c r="AH93" s="277"/>
      <c r="AI93" s="278"/>
      <c r="AJ93" s="279"/>
      <c r="AK93" s="277"/>
      <c r="AL93" s="278"/>
      <c r="AM93" s="279"/>
    </row>
    <row r="94" spans="1:39" s="247" customFormat="1" ht="13.5" customHeight="1" x14ac:dyDescent="0.2">
      <c r="A94" s="273"/>
      <c r="B94" s="1110"/>
      <c r="C94" s="1110"/>
      <c r="D94" s="1110"/>
      <c r="E94" s="1110"/>
      <c r="F94" s="1110"/>
      <c r="G94" s="274" t="s">
        <v>5617</v>
      </c>
      <c r="H94" s="285" t="s">
        <v>6369</v>
      </c>
      <c r="I94" s="276"/>
      <c r="J94" s="277" t="s">
        <v>3669</v>
      </c>
      <c r="K94" s="278">
        <f>ES09B04</f>
        <v>1</v>
      </c>
      <c r="L94" s="279">
        <v>3</v>
      </c>
      <c r="M94" s="280"/>
      <c r="N94" s="278"/>
      <c r="O94" s="279"/>
      <c r="P94" s="280"/>
      <c r="Q94" s="278"/>
      <c r="R94" s="287"/>
      <c r="S94" s="277"/>
      <c r="T94" s="278"/>
      <c r="U94" s="279"/>
      <c r="V94" s="277"/>
      <c r="W94" s="278"/>
      <c r="X94" s="279"/>
      <c r="Y94" s="277"/>
      <c r="Z94" s="278"/>
      <c r="AA94" s="279"/>
      <c r="AB94" s="277"/>
      <c r="AC94" s="278"/>
      <c r="AD94" s="279"/>
      <c r="AE94" s="277"/>
      <c r="AF94" s="278"/>
      <c r="AG94" s="279"/>
      <c r="AH94" s="277"/>
      <c r="AI94" s="278"/>
      <c r="AJ94" s="279"/>
      <c r="AK94" s="277"/>
      <c r="AL94" s="278"/>
      <c r="AM94" s="279"/>
    </row>
    <row r="95" spans="1:39" ht="12.75" customHeight="1" x14ac:dyDescent="0.2">
      <c r="A95" s="273"/>
      <c r="B95" s="1110"/>
      <c r="C95" s="1110"/>
      <c r="D95" s="1110"/>
      <c r="E95" s="1110"/>
      <c r="F95" s="1110"/>
      <c r="G95" s="274" t="s">
        <v>5617</v>
      </c>
      <c r="H95" s="275" t="s">
        <v>998</v>
      </c>
      <c r="I95" s="276"/>
      <c r="J95" s="277" t="s">
        <v>4211</v>
      </c>
      <c r="K95" s="278">
        <f>ES09F03</f>
        <v>1</v>
      </c>
      <c r="L95" s="279">
        <v>3</v>
      </c>
      <c r="M95" s="277"/>
      <c r="N95" s="278"/>
      <c r="O95" s="279"/>
      <c r="P95" s="277"/>
      <c r="Q95" s="278"/>
      <c r="R95" s="279"/>
      <c r="S95" s="277"/>
      <c r="T95" s="278"/>
      <c r="U95" s="287"/>
      <c r="V95" s="277"/>
      <c r="W95" s="278"/>
      <c r="X95" s="287"/>
      <c r="Y95" s="277"/>
      <c r="Z95" s="278"/>
      <c r="AA95" s="287"/>
      <c r="AB95" s="277"/>
      <c r="AC95" s="278"/>
      <c r="AD95" s="287"/>
      <c r="AE95" s="277"/>
      <c r="AF95" s="278"/>
      <c r="AG95" s="287"/>
      <c r="AH95" s="277"/>
      <c r="AI95" s="278"/>
      <c r="AJ95" s="287"/>
      <c r="AK95" s="277"/>
      <c r="AL95" s="278"/>
      <c r="AM95" s="287"/>
    </row>
    <row r="96" spans="1:39" s="247" customFormat="1" ht="12" customHeight="1" x14ac:dyDescent="0.2">
      <c r="A96" s="273"/>
      <c r="B96" s="1112"/>
      <c r="C96" s="1112"/>
      <c r="D96" s="1112"/>
      <c r="E96" s="1112"/>
      <c r="F96" s="1112"/>
      <c r="G96" s="284" t="s">
        <v>5618</v>
      </c>
      <c r="H96" s="275"/>
      <c r="I96" s="276"/>
      <c r="J96" s="277"/>
      <c r="K96" s="278"/>
      <c r="L96" s="279"/>
      <c r="M96" s="277"/>
      <c r="N96" s="278"/>
      <c r="O96" s="279"/>
      <c r="P96" s="277"/>
      <c r="Q96" s="278"/>
      <c r="R96" s="279"/>
      <c r="S96" s="277"/>
      <c r="T96" s="278"/>
      <c r="U96" s="287"/>
      <c r="V96" s="277"/>
      <c r="W96" s="278"/>
      <c r="X96" s="287"/>
      <c r="Y96" s="277"/>
      <c r="Z96" s="278"/>
      <c r="AA96" s="287"/>
      <c r="AB96" s="277"/>
      <c r="AC96" s="278"/>
      <c r="AD96" s="287"/>
      <c r="AE96" s="277"/>
      <c r="AF96" s="278"/>
      <c r="AG96" s="287"/>
      <c r="AH96" s="277"/>
      <c r="AI96" s="278"/>
      <c r="AJ96" s="287"/>
      <c r="AK96" s="277"/>
      <c r="AL96" s="278"/>
      <c r="AM96" s="287"/>
    </row>
    <row r="97" spans="1:39" s="247" customFormat="1" ht="13.5" customHeight="1" x14ac:dyDescent="0.2">
      <c r="A97" s="1373" t="s">
        <v>3954</v>
      </c>
      <c r="B97" s="317" t="s">
        <v>3955</v>
      </c>
      <c r="C97" s="262"/>
      <c r="D97" s="262"/>
      <c r="E97" s="262"/>
      <c r="F97" s="262"/>
      <c r="G97" s="262"/>
      <c r="H97" s="262"/>
      <c r="I97" s="308"/>
      <c r="J97" s="270"/>
      <c r="K97" s="269"/>
      <c r="L97" s="294"/>
      <c r="M97" s="271"/>
      <c r="N97" s="269"/>
      <c r="O97" s="294"/>
      <c r="P97" s="268"/>
      <c r="Q97" s="269"/>
      <c r="R97" s="304"/>
      <c r="S97" s="271"/>
      <c r="T97" s="269"/>
      <c r="U97" s="294"/>
      <c r="V97" s="271"/>
      <c r="W97" s="269"/>
      <c r="X97" s="294"/>
      <c r="Y97" s="271"/>
      <c r="Z97" s="269"/>
      <c r="AA97" s="294"/>
      <c r="AB97" s="271"/>
      <c r="AC97" s="269"/>
      <c r="AD97" s="294"/>
      <c r="AE97" s="271"/>
      <c r="AF97" s="269"/>
      <c r="AG97" s="294"/>
      <c r="AH97" s="271"/>
      <c r="AI97" s="269"/>
      <c r="AJ97" s="294"/>
      <c r="AK97" s="271"/>
      <c r="AL97" s="269"/>
      <c r="AM97" s="294"/>
    </row>
    <row r="98" spans="1:39" s="247" customFormat="1" ht="12" customHeight="1" x14ac:dyDescent="0.2">
      <c r="A98" s="297"/>
      <c r="B98" s="2117">
        <f>COUNTIF(Scénarios!AH245:AH247,1)</f>
        <v>0</v>
      </c>
      <c r="C98" s="2117">
        <f>COUNTIF(Scénarios!AH245:AH247,2)</f>
        <v>0</v>
      </c>
      <c r="D98" s="2122">
        <f>COUNTIF(Scénarios!AH245:AH247,3)</f>
        <v>0</v>
      </c>
      <c r="E98" s="2123">
        <f>COUNTIF(Scénarios!AH245:AH247,4)</f>
        <v>0</v>
      </c>
      <c r="F98" s="2114">
        <f>SUM(B98:E98)</f>
        <v>0</v>
      </c>
      <c r="G98" s="274" t="s">
        <v>5616</v>
      </c>
      <c r="H98" s="275"/>
      <c r="I98" s="276"/>
      <c r="J98" s="277"/>
      <c r="K98" s="278"/>
      <c r="L98" s="279"/>
      <c r="M98" s="280"/>
      <c r="N98" s="278"/>
      <c r="O98" s="279"/>
      <c r="P98" s="280"/>
      <c r="Q98" s="278"/>
      <c r="R98" s="279"/>
      <c r="S98" s="280"/>
      <c r="T98" s="278"/>
      <c r="U98" s="279"/>
      <c r="V98" s="280"/>
      <c r="W98" s="278"/>
      <c r="X98" s="279"/>
      <c r="Y98" s="280"/>
      <c r="Z98" s="278"/>
      <c r="AA98" s="279"/>
      <c r="AB98" s="280"/>
      <c r="AC98" s="278"/>
      <c r="AD98" s="279"/>
      <c r="AE98" s="280"/>
      <c r="AF98" s="278"/>
      <c r="AG98" s="279"/>
      <c r="AH98" s="280"/>
      <c r="AI98" s="278"/>
      <c r="AJ98" s="279"/>
      <c r="AK98" s="280"/>
      <c r="AL98" s="278"/>
      <c r="AM98" s="279"/>
    </row>
    <row r="99" spans="1:39" s="247" customFormat="1" ht="12" customHeight="1" x14ac:dyDescent="0.2">
      <c r="A99" s="273"/>
      <c r="B99" s="2118"/>
      <c r="C99" s="2120"/>
      <c r="D99" s="2120"/>
      <c r="E99" s="2120"/>
      <c r="F99" s="2115"/>
      <c r="G99" s="274" t="s">
        <v>5615</v>
      </c>
      <c r="H99" s="285" t="s">
        <v>6369</v>
      </c>
      <c r="I99" s="276"/>
      <c r="J99" s="277" t="s">
        <v>1597</v>
      </c>
      <c r="K99" s="278">
        <f>ES11C05</f>
        <v>1</v>
      </c>
      <c r="L99" s="279">
        <v>4</v>
      </c>
      <c r="M99" s="277"/>
      <c r="N99" s="278"/>
      <c r="O99" s="279"/>
      <c r="P99" s="277"/>
      <c r="Q99" s="278"/>
      <c r="R99" s="279"/>
      <c r="S99" s="277"/>
      <c r="T99" s="278"/>
      <c r="U99" s="279"/>
      <c r="V99" s="277"/>
      <c r="W99" s="278"/>
      <c r="X99" s="279"/>
      <c r="Y99" s="277"/>
      <c r="Z99" s="278"/>
      <c r="AA99" s="279"/>
      <c r="AB99" s="277"/>
      <c r="AC99" s="278"/>
      <c r="AD99" s="279"/>
      <c r="AE99" s="277"/>
      <c r="AF99" s="278"/>
      <c r="AG99" s="279"/>
      <c r="AH99" s="277"/>
      <c r="AI99" s="278"/>
      <c r="AJ99" s="279"/>
      <c r="AK99" s="277"/>
      <c r="AL99" s="278"/>
      <c r="AM99" s="279"/>
    </row>
    <row r="100" spans="1:39" x14ac:dyDescent="0.2">
      <c r="A100" s="273"/>
      <c r="B100" s="2119"/>
      <c r="C100" s="2121"/>
      <c r="D100" s="2121"/>
      <c r="E100" s="2121"/>
      <c r="F100" s="2116"/>
      <c r="G100" s="274" t="s">
        <v>5617</v>
      </c>
      <c r="H100" s="275"/>
      <c r="I100" s="276"/>
      <c r="J100" s="277"/>
      <c r="K100" s="278"/>
      <c r="L100" s="279"/>
      <c r="M100" s="280"/>
      <c r="N100" s="278"/>
      <c r="O100" s="279"/>
      <c r="P100" s="280"/>
      <c r="Q100" s="278"/>
      <c r="R100" s="287"/>
      <c r="S100" s="277"/>
      <c r="T100" s="278"/>
      <c r="U100" s="279"/>
      <c r="V100" s="277"/>
      <c r="W100" s="278"/>
      <c r="X100" s="279"/>
      <c r="Y100" s="277"/>
      <c r="Z100" s="278"/>
      <c r="AA100" s="279"/>
      <c r="AB100" s="277"/>
      <c r="AC100" s="278"/>
      <c r="AD100" s="279"/>
      <c r="AE100" s="277"/>
      <c r="AF100" s="278"/>
      <c r="AG100" s="279"/>
      <c r="AH100" s="277"/>
      <c r="AI100" s="278"/>
      <c r="AJ100" s="279"/>
      <c r="AK100" s="277"/>
      <c r="AL100" s="278"/>
      <c r="AM100" s="279"/>
    </row>
    <row r="101" spans="1:39" s="247" customFormat="1" ht="12" customHeight="1" x14ac:dyDescent="0.2">
      <c r="A101" s="273"/>
      <c r="B101" s="306"/>
      <c r="C101" s="306"/>
      <c r="D101" s="306"/>
      <c r="E101" s="306"/>
      <c r="F101" s="306"/>
      <c r="G101" s="284" t="s">
        <v>5618</v>
      </c>
      <c r="H101" s="275"/>
      <c r="I101" s="276"/>
      <c r="J101" s="277"/>
      <c r="K101" s="278"/>
      <c r="L101" s="279"/>
      <c r="M101" s="277"/>
      <c r="N101" s="278"/>
      <c r="O101" s="279"/>
      <c r="P101" s="277"/>
      <c r="Q101" s="278"/>
      <c r="R101" s="279"/>
      <c r="S101" s="277"/>
      <c r="T101" s="278"/>
      <c r="U101" s="287"/>
      <c r="V101" s="277"/>
      <c r="W101" s="278"/>
      <c r="X101" s="287"/>
      <c r="Y101" s="277"/>
      <c r="Z101" s="278"/>
      <c r="AA101" s="287"/>
      <c r="AB101" s="277"/>
      <c r="AC101" s="278"/>
      <c r="AD101" s="287"/>
      <c r="AE101" s="277"/>
      <c r="AF101" s="278"/>
      <c r="AG101" s="287"/>
      <c r="AH101" s="277"/>
      <c r="AI101" s="278"/>
      <c r="AJ101" s="287"/>
      <c r="AK101" s="277"/>
      <c r="AL101" s="278"/>
      <c r="AM101" s="287"/>
    </row>
    <row r="102" spans="1:39" s="247" customFormat="1" ht="16.5" customHeight="1" x14ac:dyDescent="0.2">
      <c r="A102" s="1373" t="s">
        <v>3956</v>
      </c>
      <c r="B102" s="317" t="s">
        <v>3957</v>
      </c>
      <c r="C102" s="270"/>
      <c r="D102" s="270"/>
      <c r="E102" s="270"/>
      <c r="F102" s="270"/>
      <c r="G102" s="270"/>
      <c r="H102" s="270"/>
      <c r="I102" s="319"/>
      <c r="J102" s="270"/>
      <c r="K102" s="269"/>
      <c r="L102" s="294"/>
      <c r="M102" s="271"/>
      <c r="N102" s="269"/>
      <c r="O102" s="294"/>
      <c r="P102" s="268"/>
      <c r="Q102" s="269"/>
      <c r="R102" s="304"/>
      <c r="S102" s="271"/>
      <c r="T102" s="269"/>
      <c r="U102" s="294"/>
      <c r="V102" s="271"/>
      <c r="W102" s="269"/>
      <c r="X102" s="294"/>
      <c r="Y102" s="271"/>
      <c r="Z102" s="269"/>
      <c r="AA102" s="294"/>
      <c r="AB102" s="271"/>
      <c r="AC102" s="269"/>
      <c r="AD102" s="294"/>
      <c r="AE102" s="271"/>
      <c r="AF102" s="269"/>
      <c r="AG102" s="294"/>
      <c r="AH102" s="271"/>
      <c r="AI102" s="269"/>
      <c r="AJ102" s="294"/>
      <c r="AK102" s="271"/>
      <c r="AL102" s="269"/>
      <c r="AM102" s="294"/>
    </row>
    <row r="103" spans="1:39" s="247" customFormat="1" ht="12" customHeight="1" x14ac:dyDescent="0.2">
      <c r="A103" s="297"/>
      <c r="B103" s="2117">
        <f>COUNTIF(Scénarios!AH249:AH249,1)</f>
        <v>0</v>
      </c>
      <c r="C103" s="2117">
        <f>COUNTIF(Scénarios!AH249:AH249,2)</f>
        <v>0</v>
      </c>
      <c r="D103" s="2122">
        <f>COUNTIF(Scénarios!AH249:AH249,3)</f>
        <v>0</v>
      </c>
      <c r="E103" s="2123">
        <f>COUNTIF(Scénarios!AH249:AH249,4)</f>
        <v>0</v>
      </c>
      <c r="F103" s="2148">
        <f>SUM(B103:E103)</f>
        <v>0</v>
      </c>
      <c r="G103" s="274" t="s">
        <v>5616</v>
      </c>
      <c r="H103" s="275"/>
      <c r="I103" s="276"/>
      <c r="J103" s="277"/>
      <c r="K103" s="278"/>
      <c r="L103" s="279"/>
      <c r="M103" s="280"/>
      <c r="N103" s="278"/>
      <c r="O103" s="279"/>
      <c r="P103" s="280"/>
      <c r="Q103" s="278"/>
      <c r="R103" s="279"/>
      <c r="S103" s="280"/>
      <c r="T103" s="278"/>
      <c r="U103" s="279"/>
      <c r="V103" s="280"/>
      <c r="W103" s="278"/>
      <c r="X103" s="279"/>
      <c r="Y103" s="280"/>
      <c r="Z103" s="278"/>
      <c r="AA103" s="279"/>
      <c r="AB103" s="280"/>
      <c r="AC103" s="278"/>
      <c r="AD103" s="279"/>
      <c r="AE103" s="280"/>
      <c r="AF103" s="278"/>
      <c r="AG103" s="279"/>
      <c r="AH103" s="280"/>
      <c r="AI103" s="278"/>
      <c r="AJ103" s="279"/>
      <c r="AK103" s="280"/>
      <c r="AL103" s="278"/>
      <c r="AM103" s="279"/>
    </row>
    <row r="104" spans="1:39" s="247" customFormat="1" ht="12" customHeight="1" x14ac:dyDescent="0.2">
      <c r="A104" s="273"/>
      <c r="B104" s="2118"/>
      <c r="C104" s="2120"/>
      <c r="D104" s="2120"/>
      <c r="E104" s="2120"/>
      <c r="F104" s="2115"/>
      <c r="G104" s="274" t="s">
        <v>5615</v>
      </c>
      <c r="H104" s="285" t="s">
        <v>6369</v>
      </c>
      <c r="I104" s="276"/>
      <c r="J104" s="277" t="s">
        <v>3125</v>
      </c>
      <c r="K104" s="278">
        <f>ES02D05</f>
        <v>1</v>
      </c>
      <c r="L104" s="279">
        <v>4</v>
      </c>
      <c r="M104" s="277"/>
      <c r="N104" s="278"/>
      <c r="O104" s="279"/>
      <c r="P104" s="277"/>
      <c r="Q104" s="278"/>
      <c r="R104" s="279"/>
      <c r="S104" s="277"/>
      <c r="T104" s="278"/>
      <c r="U104" s="279"/>
      <c r="V104" s="277"/>
      <c r="W104" s="278"/>
      <c r="X104" s="279"/>
      <c r="Y104" s="277"/>
      <c r="Z104" s="278"/>
      <c r="AA104" s="279"/>
      <c r="AB104" s="277"/>
      <c r="AC104" s="278"/>
      <c r="AD104" s="279"/>
      <c r="AE104" s="277"/>
      <c r="AF104" s="278"/>
      <c r="AG104" s="279"/>
      <c r="AH104" s="277"/>
      <c r="AI104" s="278"/>
      <c r="AJ104" s="279"/>
      <c r="AK104" s="277"/>
      <c r="AL104" s="278"/>
      <c r="AM104" s="279"/>
    </row>
    <row r="105" spans="1:39" x14ac:dyDescent="0.2">
      <c r="A105" s="273"/>
      <c r="B105" s="2119"/>
      <c r="C105" s="2121"/>
      <c r="D105" s="2121"/>
      <c r="E105" s="2121"/>
      <c r="F105" s="2116"/>
      <c r="G105" s="274" t="s">
        <v>5617</v>
      </c>
      <c r="H105" s="275"/>
      <c r="I105" s="276"/>
      <c r="J105" s="277"/>
      <c r="K105" s="278"/>
      <c r="L105" s="279"/>
      <c r="M105" s="280"/>
      <c r="N105" s="278"/>
      <c r="O105" s="279"/>
      <c r="P105" s="280"/>
      <c r="Q105" s="278"/>
      <c r="R105" s="287"/>
      <c r="S105" s="277"/>
      <c r="T105" s="278"/>
      <c r="U105" s="279"/>
      <c r="V105" s="277"/>
      <c r="W105" s="278"/>
      <c r="X105" s="279"/>
      <c r="Y105" s="277"/>
      <c r="Z105" s="278"/>
      <c r="AA105" s="279"/>
      <c r="AB105" s="277"/>
      <c r="AC105" s="278"/>
      <c r="AD105" s="279"/>
      <c r="AE105" s="277"/>
      <c r="AF105" s="278"/>
      <c r="AG105" s="279"/>
      <c r="AH105" s="277"/>
      <c r="AI105" s="278"/>
      <c r="AJ105" s="279"/>
      <c r="AK105" s="277"/>
      <c r="AL105" s="278"/>
      <c r="AM105" s="279"/>
    </row>
    <row r="106" spans="1:39" s="247" customFormat="1" ht="12" customHeight="1" x14ac:dyDescent="0.2">
      <c r="A106" s="273"/>
      <c r="B106" s="306"/>
      <c r="C106" s="306"/>
      <c r="D106" s="306"/>
      <c r="E106" s="306"/>
      <c r="F106" s="306"/>
      <c r="G106" s="284" t="s">
        <v>5618</v>
      </c>
      <c r="H106" s="275"/>
      <c r="I106" s="276"/>
      <c r="J106" s="277"/>
      <c r="K106" s="278"/>
      <c r="L106" s="279"/>
      <c r="M106" s="277"/>
      <c r="N106" s="278"/>
      <c r="O106" s="279"/>
      <c r="P106" s="277"/>
      <c r="Q106" s="278"/>
      <c r="R106" s="279"/>
      <c r="S106" s="277"/>
      <c r="T106" s="278"/>
      <c r="U106" s="287"/>
      <c r="V106" s="277"/>
      <c r="W106" s="278"/>
      <c r="X106" s="287"/>
      <c r="Y106" s="277"/>
      <c r="Z106" s="278"/>
      <c r="AA106" s="287"/>
      <c r="AB106" s="277"/>
      <c r="AC106" s="278"/>
      <c r="AD106" s="287"/>
      <c r="AE106" s="277"/>
      <c r="AF106" s="278"/>
      <c r="AG106" s="287"/>
      <c r="AH106" s="277"/>
      <c r="AI106" s="278"/>
      <c r="AJ106" s="287"/>
      <c r="AK106" s="277"/>
      <c r="AL106" s="278"/>
      <c r="AM106" s="287"/>
    </row>
    <row r="107" spans="1:39" s="247" customFormat="1" ht="16.5" customHeight="1" x14ac:dyDescent="0.2">
      <c r="A107" s="1373" t="s">
        <v>3958</v>
      </c>
      <c r="B107" s="317" t="s">
        <v>3959</v>
      </c>
      <c r="C107" s="262"/>
      <c r="D107" s="262"/>
      <c r="E107" s="262"/>
      <c r="F107" s="262"/>
      <c r="G107" s="262"/>
      <c r="H107" s="262"/>
      <c r="I107" s="308"/>
      <c r="J107" s="270"/>
      <c r="K107" s="269"/>
      <c r="L107" s="294"/>
      <c r="M107" s="271"/>
      <c r="N107" s="269"/>
      <c r="O107" s="294"/>
      <c r="P107" s="268"/>
      <c r="Q107" s="269"/>
      <c r="R107" s="304"/>
      <c r="S107" s="271"/>
      <c r="T107" s="269"/>
      <c r="U107" s="294"/>
      <c r="V107" s="271"/>
      <c r="W107" s="269"/>
      <c r="X107" s="294"/>
      <c r="Y107" s="271"/>
      <c r="Z107" s="269"/>
      <c r="AA107" s="294"/>
      <c r="AB107" s="271"/>
      <c r="AC107" s="269"/>
      <c r="AD107" s="294"/>
      <c r="AE107" s="271"/>
      <c r="AF107" s="269"/>
      <c r="AG107" s="294"/>
      <c r="AH107" s="271"/>
      <c r="AI107" s="269"/>
      <c r="AJ107" s="294"/>
      <c r="AK107" s="271"/>
      <c r="AL107" s="269"/>
      <c r="AM107" s="294"/>
    </row>
    <row r="108" spans="1:39" s="247" customFormat="1" ht="14.25" customHeight="1" x14ac:dyDescent="0.2">
      <c r="A108" s="297"/>
      <c r="B108" s="2117">
        <f>COUNTIF(Scénarios!AH251:AH255,1)</f>
        <v>0</v>
      </c>
      <c r="C108" s="2117">
        <f>COUNTIF(Scénarios!AH251:AH255,2)</f>
        <v>0</v>
      </c>
      <c r="D108" s="2122">
        <f>COUNTIF(Scénarios!AH251:AH255,3)</f>
        <v>0</v>
      </c>
      <c r="E108" s="2123">
        <f>COUNTIF(Scénarios!AH251:AH255,4)</f>
        <v>0</v>
      </c>
      <c r="F108" s="2114">
        <f>SUM(B108:E108)</f>
        <v>0</v>
      </c>
      <c r="G108" s="274" t="s">
        <v>5616</v>
      </c>
      <c r="H108" s="275" t="s">
        <v>6370</v>
      </c>
      <c r="I108" s="276"/>
      <c r="J108" s="277" t="s">
        <v>5417</v>
      </c>
      <c r="K108" s="278">
        <f>ES08H03</f>
        <v>1</v>
      </c>
      <c r="L108" s="279">
        <v>4</v>
      </c>
      <c r="M108" s="277"/>
      <c r="N108" s="278"/>
      <c r="O108" s="279"/>
      <c r="P108" s="280"/>
      <c r="Q108" s="278"/>
      <c r="R108" s="279"/>
      <c r="S108" s="280"/>
      <c r="T108" s="278"/>
      <c r="U108" s="279"/>
      <c r="V108" s="280"/>
      <c r="W108" s="278"/>
      <c r="X108" s="279"/>
      <c r="Y108" s="280"/>
      <c r="Z108" s="278"/>
      <c r="AA108" s="279"/>
      <c r="AB108" s="280"/>
      <c r="AC108" s="278"/>
      <c r="AD108" s="279"/>
      <c r="AE108" s="280"/>
      <c r="AF108" s="278"/>
      <c r="AG108" s="279"/>
      <c r="AH108" s="280"/>
      <c r="AI108" s="278"/>
      <c r="AJ108" s="279"/>
      <c r="AK108" s="280"/>
      <c r="AL108" s="278"/>
      <c r="AM108" s="279"/>
    </row>
    <row r="109" spans="1:39" s="247" customFormat="1" ht="12" customHeight="1" x14ac:dyDescent="0.2">
      <c r="A109" s="273"/>
      <c r="B109" s="2118"/>
      <c r="C109" s="2120"/>
      <c r="D109" s="2120"/>
      <c r="E109" s="2120"/>
      <c r="F109" s="2115"/>
      <c r="G109" s="274" t="s">
        <v>5615</v>
      </c>
      <c r="H109" s="275" t="s">
        <v>1935</v>
      </c>
      <c r="I109" s="276"/>
      <c r="J109" s="277" t="s">
        <v>4252</v>
      </c>
      <c r="K109" s="278">
        <f>ES08H02</f>
        <v>1</v>
      </c>
      <c r="L109" s="279">
        <v>4</v>
      </c>
      <c r="M109" s="277"/>
      <c r="N109" s="278"/>
      <c r="O109" s="279"/>
      <c r="P109" s="277"/>
      <c r="Q109" s="278"/>
      <c r="R109" s="279"/>
      <c r="S109" s="277"/>
      <c r="T109" s="278"/>
      <c r="U109" s="279"/>
      <c r="V109" s="277"/>
      <c r="W109" s="278"/>
      <c r="X109" s="279"/>
      <c r="Y109" s="277"/>
      <c r="Z109" s="278"/>
      <c r="AA109" s="279"/>
      <c r="AB109" s="277"/>
      <c r="AC109" s="278"/>
      <c r="AD109" s="279"/>
      <c r="AE109" s="277"/>
      <c r="AF109" s="278"/>
      <c r="AG109" s="279"/>
      <c r="AH109" s="277"/>
      <c r="AI109" s="278"/>
      <c r="AJ109" s="279"/>
      <c r="AK109" s="277"/>
      <c r="AL109" s="278"/>
      <c r="AM109" s="279"/>
    </row>
    <row r="110" spans="1:39" ht="12.75" customHeight="1" x14ac:dyDescent="0.2">
      <c r="A110" s="273"/>
      <c r="B110" s="2119"/>
      <c r="C110" s="2121"/>
      <c r="D110" s="2121"/>
      <c r="E110" s="2121"/>
      <c r="F110" s="2116"/>
      <c r="G110" s="274" t="s">
        <v>5617</v>
      </c>
      <c r="H110" s="275"/>
      <c r="I110" s="276"/>
      <c r="J110" s="277"/>
      <c r="K110" s="278"/>
      <c r="L110" s="279"/>
      <c r="M110" s="280"/>
      <c r="N110" s="278"/>
      <c r="O110" s="279"/>
      <c r="P110" s="280"/>
      <c r="Q110" s="278"/>
      <c r="R110" s="287"/>
      <c r="S110" s="277"/>
      <c r="T110" s="278"/>
      <c r="U110" s="279"/>
      <c r="V110" s="277"/>
      <c r="W110" s="278"/>
      <c r="X110" s="279"/>
      <c r="Y110" s="277"/>
      <c r="Z110" s="278"/>
      <c r="AA110" s="279"/>
      <c r="AB110" s="277"/>
      <c r="AC110" s="278"/>
      <c r="AD110" s="279"/>
      <c r="AE110" s="277"/>
      <c r="AF110" s="278"/>
      <c r="AG110" s="279"/>
      <c r="AH110" s="277"/>
      <c r="AI110" s="278"/>
      <c r="AJ110" s="279"/>
      <c r="AK110" s="277"/>
      <c r="AL110" s="278"/>
      <c r="AM110" s="279"/>
    </row>
    <row r="111" spans="1:39" s="247" customFormat="1" ht="12" customHeight="1" x14ac:dyDescent="0.2">
      <c r="A111" s="273"/>
      <c r="B111" s="306"/>
      <c r="C111" s="306"/>
      <c r="D111" s="306"/>
      <c r="E111" s="306"/>
      <c r="F111" s="306"/>
      <c r="G111" s="284" t="s">
        <v>5618</v>
      </c>
      <c r="H111" s="275"/>
      <c r="I111" s="276"/>
      <c r="J111" s="277"/>
      <c r="K111" s="278"/>
      <c r="L111" s="279"/>
      <c r="M111" s="277"/>
      <c r="N111" s="278"/>
      <c r="O111" s="279"/>
      <c r="P111" s="277"/>
      <c r="Q111" s="278"/>
      <c r="R111" s="279"/>
      <c r="S111" s="277"/>
      <c r="T111" s="278"/>
      <c r="U111" s="287"/>
      <c r="V111" s="277"/>
      <c r="W111" s="278"/>
      <c r="X111" s="287"/>
      <c r="Y111" s="277"/>
      <c r="Z111" s="278"/>
      <c r="AA111" s="287"/>
      <c r="AB111" s="277"/>
      <c r="AC111" s="278"/>
      <c r="AD111" s="287"/>
      <c r="AE111" s="277"/>
      <c r="AF111" s="278"/>
      <c r="AG111" s="287"/>
      <c r="AH111" s="277"/>
      <c r="AI111" s="278"/>
      <c r="AJ111" s="287"/>
      <c r="AK111" s="277"/>
      <c r="AL111" s="278"/>
      <c r="AM111" s="287"/>
    </row>
    <row r="112" spans="1:39" s="247" customFormat="1" ht="16.5" customHeight="1" x14ac:dyDescent="0.2">
      <c r="A112" s="1373" t="s">
        <v>6679</v>
      </c>
      <c r="B112" s="317" t="s">
        <v>3960</v>
      </c>
      <c r="C112" s="272"/>
      <c r="D112" s="271"/>
      <c r="E112" s="272"/>
      <c r="F112" s="268"/>
      <c r="G112" s="270"/>
      <c r="H112" s="270"/>
      <c r="I112" s="319"/>
      <c r="J112" s="270"/>
      <c r="K112" s="269"/>
      <c r="L112" s="294"/>
      <c r="M112" s="271"/>
      <c r="N112" s="269"/>
      <c r="O112" s="294"/>
      <c r="P112" s="268"/>
      <c r="Q112" s="269"/>
      <c r="R112" s="304"/>
      <c r="S112" s="271"/>
      <c r="T112" s="269"/>
      <c r="U112" s="294"/>
      <c r="V112" s="271"/>
      <c r="W112" s="269"/>
      <c r="X112" s="294"/>
      <c r="Y112" s="271"/>
      <c r="Z112" s="269"/>
      <c r="AA112" s="294"/>
      <c r="AB112" s="271"/>
      <c r="AC112" s="269"/>
      <c r="AD112" s="294"/>
      <c r="AE112" s="271"/>
      <c r="AF112" s="269"/>
      <c r="AG112" s="294"/>
      <c r="AH112" s="271"/>
      <c r="AI112" s="269"/>
      <c r="AJ112" s="294"/>
      <c r="AK112" s="271"/>
      <c r="AL112" s="269"/>
      <c r="AM112" s="294"/>
    </row>
    <row r="113" spans="1:53" s="247" customFormat="1" ht="12" customHeight="1" x14ac:dyDescent="0.2">
      <c r="A113" s="297"/>
      <c r="B113" s="2117">
        <f>COUNTIF(Scénarios!AH257:AH265,1)</f>
        <v>0</v>
      </c>
      <c r="C113" s="2117">
        <f>COUNTIF(Scénarios!AH257:AH265,2)</f>
        <v>0</v>
      </c>
      <c r="D113" s="2122">
        <f>COUNTIF(Scénarios!AH257:AH265,3)</f>
        <v>0</v>
      </c>
      <c r="E113" s="2123">
        <f>COUNTIF(Scénarios!AH257:AH265,4)</f>
        <v>0</v>
      </c>
      <c r="F113" s="2148">
        <f>SUM(B113:E113)</f>
        <v>0</v>
      </c>
      <c r="G113" s="274" t="s">
        <v>5616</v>
      </c>
      <c r="H113" s="275"/>
      <c r="I113" s="276"/>
      <c r="J113" s="277"/>
      <c r="K113" s="278"/>
      <c r="L113" s="279"/>
      <c r="M113" s="280"/>
      <c r="N113" s="278"/>
      <c r="O113" s="279"/>
      <c r="P113" s="280"/>
      <c r="Q113" s="278"/>
      <c r="R113" s="279"/>
      <c r="S113" s="280"/>
      <c r="T113" s="278"/>
      <c r="U113" s="279"/>
      <c r="V113" s="280"/>
      <c r="W113" s="278"/>
      <c r="X113" s="279"/>
      <c r="Y113" s="280"/>
      <c r="Z113" s="278"/>
      <c r="AA113" s="279"/>
      <c r="AB113" s="280"/>
      <c r="AC113" s="278"/>
      <c r="AD113" s="279"/>
      <c r="AE113" s="280"/>
      <c r="AF113" s="278"/>
      <c r="AG113" s="279"/>
      <c r="AH113" s="280"/>
      <c r="AI113" s="278"/>
      <c r="AJ113" s="279"/>
      <c r="AK113" s="280"/>
      <c r="AL113" s="278"/>
      <c r="AM113" s="279"/>
    </row>
    <row r="114" spans="1:53" s="247" customFormat="1" ht="12" customHeight="1" x14ac:dyDescent="0.2">
      <c r="A114" s="273"/>
      <c r="B114" s="2118"/>
      <c r="C114" s="2120"/>
      <c r="D114" s="2120"/>
      <c r="E114" s="2120"/>
      <c r="F114" s="2115"/>
      <c r="G114" s="274" t="s">
        <v>5615</v>
      </c>
      <c r="H114" s="275" t="s">
        <v>1935</v>
      </c>
      <c r="I114" s="276"/>
      <c r="J114" s="277" t="s">
        <v>1957</v>
      </c>
      <c r="K114" s="278">
        <f>ES09B05</f>
        <v>1</v>
      </c>
      <c r="L114" s="279">
        <v>4</v>
      </c>
      <c r="M114" s="277"/>
      <c r="N114" s="278"/>
      <c r="O114" s="279"/>
      <c r="P114" s="277"/>
      <c r="Q114" s="278"/>
      <c r="R114" s="279"/>
      <c r="S114" s="277"/>
      <c r="T114" s="278"/>
      <c r="U114" s="279"/>
      <c r="V114" s="277"/>
      <c r="W114" s="278"/>
      <c r="X114" s="279"/>
      <c r="Y114" s="277"/>
      <c r="Z114" s="278"/>
      <c r="AA114" s="279"/>
      <c r="AB114" s="277"/>
      <c r="AC114" s="278"/>
      <c r="AD114" s="279"/>
      <c r="AE114" s="277"/>
      <c r="AF114" s="278"/>
      <c r="AG114" s="279"/>
      <c r="AH114" s="277"/>
      <c r="AI114" s="278"/>
      <c r="AJ114" s="279"/>
      <c r="AK114" s="277"/>
      <c r="AL114" s="278"/>
      <c r="AM114" s="279"/>
    </row>
    <row r="115" spans="1:53" s="247" customFormat="1" ht="12" customHeight="1" x14ac:dyDescent="0.2">
      <c r="A115" s="273"/>
      <c r="B115" s="2119"/>
      <c r="C115" s="2121"/>
      <c r="D115" s="2121"/>
      <c r="E115" s="2121"/>
      <c r="F115" s="2116"/>
      <c r="G115" s="274" t="s">
        <v>5615</v>
      </c>
      <c r="H115" s="275" t="s">
        <v>6370</v>
      </c>
      <c r="I115" s="276"/>
      <c r="J115" s="277" t="s">
        <v>3663</v>
      </c>
      <c r="K115" s="278">
        <f>ES09B01</f>
        <v>1</v>
      </c>
      <c r="L115" s="279">
        <v>4</v>
      </c>
      <c r="M115" s="277"/>
      <c r="N115" s="278"/>
      <c r="O115" s="279"/>
      <c r="P115" s="277"/>
      <c r="Q115" s="278"/>
      <c r="R115" s="279"/>
      <c r="S115" s="277"/>
      <c r="T115" s="278"/>
      <c r="U115" s="279"/>
      <c r="V115" s="277"/>
      <c r="W115" s="278"/>
      <c r="X115" s="279"/>
      <c r="Y115" s="277"/>
      <c r="Z115" s="278"/>
      <c r="AA115" s="279"/>
      <c r="AB115" s="277"/>
      <c r="AC115" s="278"/>
      <c r="AD115" s="279"/>
      <c r="AE115" s="277"/>
      <c r="AF115" s="278"/>
      <c r="AG115" s="279"/>
      <c r="AH115" s="277"/>
      <c r="AI115" s="278"/>
      <c r="AJ115" s="279"/>
      <c r="AK115" s="277"/>
      <c r="AL115" s="278"/>
      <c r="AM115" s="279"/>
    </row>
    <row r="116" spans="1:53" ht="12.75" customHeight="1" x14ac:dyDescent="0.2">
      <c r="A116" s="273"/>
      <c r="B116" s="281"/>
      <c r="C116" s="281"/>
      <c r="D116" s="281"/>
      <c r="E116" s="281"/>
      <c r="F116" s="281"/>
      <c r="G116" s="274" t="s">
        <v>5615</v>
      </c>
      <c r="H116" s="275" t="s">
        <v>6370</v>
      </c>
      <c r="I116" s="276"/>
      <c r="J116" s="277" t="s">
        <v>2553</v>
      </c>
      <c r="K116" s="278">
        <f>ES09C02</f>
        <v>1</v>
      </c>
      <c r="L116" s="279">
        <v>4</v>
      </c>
      <c r="M116" s="277"/>
      <c r="N116" s="278"/>
      <c r="O116" s="279"/>
      <c r="P116" s="277"/>
      <c r="Q116" s="278"/>
      <c r="R116" s="279"/>
      <c r="S116" s="277"/>
      <c r="T116" s="278"/>
      <c r="U116" s="279"/>
      <c r="V116" s="277"/>
      <c r="W116" s="278"/>
      <c r="X116" s="279"/>
      <c r="Y116" s="277"/>
      <c r="Z116" s="278"/>
      <c r="AA116" s="279"/>
      <c r="AB116" s="277"/>
      <c r="AC116" s="278"/>
      <c r="AD116" s="279"/>
      <c r="AE116" s="277"/>
      <c r="AF116" s="278"/>
      <c r="AG116" s="279"/>
      <c r="AH116" s="277"/>
      <c r="AI116" s="278"/>
      <c r="AJ116" s="279"/>
      <c r="AK116" s="277"/>
      <c r="AL116" s="278"/>
      <c r="AM116" s="279"/>
    </row>
    <row r="117" spans="1:53" s="247" customFormat="1" ht="15.75" customHeight="1" x14ac:dyDescent="0.2">
      <c r="A117" s="273"/>
      <c r="B117" s="1110"/>
      <c r="C117" s="1110"/>
      <c r="D117" s="1110"/>
      <c r="E117" s="1110"/>
      <c r="F117" s="1110"/>
      <c r="G117" s="274" t="s">
        <v>5615</v>
      </c>
      <c r="H117" s="275" t="s">
        <v>1934</v>
      </c>
      <c r="I117" s="276"/>
      <c r="J117" s="277" t="s">
        <v>5426</v>
      </c>
      <c r="K117" s="278">
        <f>ES07A01</f>
        <v>1</v>
      </c>
      <c r="L117" s="279">
        <v>4</v>
      </c>
      <c r="M117" s="277" t="s">
        <v>5428</v>
      </c>
      <c r="N117" s="278">
        <f>ES07A02</f>
        <v>1</v>
      </c>
      <c r="O117" s="279">
        <v>4</v>
      </c>
      <c r="P117" s="277" t="s">
        <v>5429</v>
      </c>
      <c r="Q117" s="278">
        <f>ES07A03</f>
        <v>1</v>
      </c>
      <c r="R117" s="279">
        <v>4</v>
      </c>
      <c r="S117" s="277" t="s">
        <v>5137</v>
      </c>
      <c r="T117" s="278">
        <f>ES07A04</f>
        <v>1</v>
      </c>
      <c r="U117" s="279">
        <v>4</v>
      </c>
      <c r="V117" s="277" t="s">
        <v>3657</v>
      </c>
      <c r="W117" s="278">
        <f>ES09A01</f>
        <v>1</v>
      </c>
      <c r="X117" s="279">
        <v>4</v>
      </c>
      <c r="Y117" s="277" t="s">
        <v>3659</v>
      </c>
      <c r="Z117" s="278">
        <f>ES09A02</f>
        <v>1</v>
      </c>
      <c r="AA117" s="279">
        <v>4</v>
      </c>
      <c r="AB117" s="277" t="s">
        <v>3661</v>
      </c>
      <c r="AC117" s="278">
        <f>ES09A03</f>
        <v>1</v>
      </c>
      <c r="AD117" s="279">
        <v>4</v>
      </c>
      <c r="AE117" s="277" t="s">
        <v>3662</v>
      </c>
      <c r="AF117" s="278">
        <f>ES09A04</f>
        <v>1</v>
      </c>
      <c r="AG117" s="279">
        <v>4</v>
      </c>
      <c r="AH117" s="277" t="s">
        <v>5147</v>
      </c>
      <c r="AI117" s="278">
        <f>ES08F01</f>
        <v>1</v>
      </c>
      <c r="AJ117" s="279">
        <v>4</v>
      </c>
      <c r="AK117" s="277" t="s">
        <v>4299</v>
      </c>
      <c r="AL117" s="278">
        <f>ES08F02</f>
        <v>1</v>
      </c>
      <c r="AM117" s="279">
        <v>4</v>
      </c>
    </row>
    <row r="118" spans="1:53" s="247" customFormat="1" ht="13.5" customHeight="1" x14ac:dyDescent="0.2">
      <c r="A118" s="273"/>
      <c r="B118" s="1110"/>
      <c r="C118" s="1110"/>
      <c r="D118" s="1110"/>
      <c r="E118" s="1110"/>
      <c r="F118" s="1110"/>
      <c r="G118" s="274" t="s">
        <v>5615</v>
      </c>
      <c r="H118" s="275" t="s">
        <v>6370</v>
      </c>
      <c r="I118" s="276"/>
      <c r="J118" s="277" t="s">
        <v>1663</v>
      </c>
      <c r="K118" s="278">
        <f>ES08D03</f>
        <v>1</v>
      </c>
      <c r="L118" s="279">
        <v>4</v>
      </c>
      <c r="M118" s="277" t="s">
        <v>3226</v>
      </c>
      <c r="N118" s="278">
        <f>ES10B06</f>
        <v>1</v>
      </c>
      <c r="O118" s="279">
        <v>3</v>
      </c>
      <c r="P118" s="277"/>
      <c r="Q118" s="278"/>
      <c r="R118" s="279"/>
      <c r="S118" s="277"/>
      <c r="T118" s="278"/>
      <c r="U118" s="279"/>
      <c r="V118" s="277"/>
      <c r="W118" s="278"/>
      <c r="X118" s="279"/>
      <c r="Y118" s="277"/>
      <c r="Z118" s="278"/>
      <c r="AA118" s="279"/>
      <c r="AB118" s="277"/>
      <c r="AC118" s="278"/>
      <c r="AD118" s="279"/>
      <c r="AE118" s="277"/>
      <c r="AF118" s="278"/>
      <c r="AG118" s="279"/>
      <c r="AH118" s="277"/>
      <c r="AI118" s="278"/>
      <c r="AJ118" s="279"/>
      <c r="AK118" s="277"/>
      <c r="AL118" s="278"/>
      <c r="AM118" s="279"/>
    </row>
    <row r="119" spans="1:53" s="247" customFormat="1" ht="12" customHeight="1" x14ac:dyDescent="0.2">
      <c r="A119" s="273"/>
      <c r="B119" s="1110"/>
      <c r="C119" s="1110"/>
      <c r="D119" s="1110"/>
      <c r="E119" s="1110"/>
      <c r="F119" s="1110"/>
      <c r="G119" s="274" t="s">
        <v>5617</v>
      </c>
      <c r="H119" s="285" t="s">
        <v>6369</v>
      </c>
      <c r="I119" s="276"/>
      <c r="J119" s="277" t="s">
        <v>3669</v>
      </c>
      <c r="K119" s="278">
        <f>ES09B04</f>
        <v>1</v>
      </c>
      <c r="L119" s="279">
        <v>3</v>
      </c>
      <c r="M119" s="280"/>
      <c r="N119" s="278"/>
      <c r="O119" s="279"/>
      <c r="P119" s="280"/>
      <c r="Q119" s="278"/>
      <c r="R119" s="287"/>
      <c r="S119" s="277"/>
      <c r="T119" s="278"/>
      <c r="U119" s="279"/>
      <c r="V119" s="277"/>
      <c r="W119" s="278"/>
      <c r="X119" s="279"/>
      <c r="Y119" s="277"/>
      <c r="Z119" s="278"/>
      <c r="AA119" s="279"/>
      <c r="AB119" s="277"/>
      <c r="AC119" s="278"/>
      <c r="AD119" s="279"/>
      <c r="AE119" s="277"/>
      <c r="AF119" s="278"/>
      <c r="AG119" s="279"/>
      <c r="AH119" s="277"/>
      <c r="AI119" s="278"/>
      <c r="AJ119" s="279"/>
      <c r="AK119" s="277"/>
      <c r="AL119" s="278"/>
      <c r="AM119" s="279"/>
    </row>
    <row r="120" spans="1:53" s="247" customFormat="1" ht="12" customHeight="1" x14ac:dyDescent="0.2">
      <c r="A120" s="273"/>
      <c r="B120" s="1112"/>
      <c r="C120" s="1112"/>
      <c r="D120" s="1112"/>
      <c r="E120" s="1112"/>
      <c r="F120" s="1112"/>
      <c r="G120" s="284" t="s">
        <v>5618</v>
      </c>
      <c r="H120" s="275"/>
      <c r="I120" s="276"/>
      <c r="J120" s="277"/>
      <c r="K120" s="278"/>
      <c r="L120" s="279"/>
      <c r="M120" s="277"/>
      <c r="N120" s="278"/>
      <c r="O120" s="279"/>
      <c r="P120" s="277"/>
      <c r="Q120" s="278"/>
      <c r="R120" s="279"/>
      <c r="S120" s="277"/>
      <c r="T120" s="278"/>
      <c r="U120" s="287"/>
      <c r="V120" s="277"/>
      <c r="W120" s="278"/>
      <c r="X120" s="287"/>
      <c r="Y120" s="277"/>
      <c r="Z120" s="278"/>
      <c r="AA120" s="287"/>
      <c r="AB120" s="277"/>
      <c r="AC120" s="278"/>
      <c r="AD120" s="287"/>
      <c r="AE120" s="277"/>
      <c r="AF120" s="278"/>
      <c r="AG120" s="287"/>
      <c r="AH120" s="277"/>
      <c r="AI120" s="278"/>
      <c r="AJ120" s="287"/>
      <c r="AK120" s="277"/>
      <c r="AL120" s="278"/>
      <c r="AM120" s="287"/>
    </row>
    <row r="121" spans="1:53" ht="15.75" customHeight="1" x14ac:dyDescent="0.2">
      <c r="A121" s="1373" t="s">
        <v>3962</v>
      </c>
      <c r="B121" s="260" t="s">
        <v>3961</v>
      </c>
      <c r="C121" s="262"/>
      <c r="D121" s="262"/>
      <c r="E121" s="262"/>
      <c r="F121" s="262"/>
      <c r="G121" s="262"/>
      <c r="H121" s="262"/>
      <c r="I121" s="308"/>
      <c r="J121" s="270"/>
      <c r="K121" s="269"/>
      <c r="L121" s="294"/>
      <c r="M121" s="271"/>
      <c r="N121" s="269"/>
      <c r="O121" s="294"/>
      <c r="P121" s="268"/>
      <c r="Q121" s="269"/>
      <c r="R121" s="304"/>
      <c r="S121" s="271"/>
      <c r="T121" s="269"/>
      <c r="U121" s="294"/>
      <c r="V121" s="271"/>
      <c r="W121" s="269"/>
      <c r="X121" s="294"/>
      <c r="Y121" s="271"/>
      <c r="Z121" s="269"/>
      <c r="AA121" s="294"/>
      <c r="AB121" s="271"/>
      <c r="AC121" s="269"/>
      <c r="AD121" s="294"/>
      <c r="AE121" s="271"/>
      <c r="AF121" s="269"/>
      <c r="AG121" s="294"/>
      <c r="AH121" s="271"/>
      <c r="AI121" s="269"/>
      <c r="AJ121" s="294"/>
      <c r="AK121" s="271"/>
      <c r="AL121" s="269"/>
      <c r="AM121" s="294"/>
    </row>
    <row r="122" spans="1:53" s="247" customFormat="1" ht="12" customHeight="1" x14ac:dyDescent="0.2">
      <c r="A122" s="297"/>
      <c r="B122" s="2117">
        <f>COUNTIF(Scénarios!AH267:AH286,1)</f>
        <v>0</v>
      </c>
      <c r="C122" s="2117">
        <f>COUNTIF(Scénarios!AH267:AH286,2)</f>
        <v>0</v>
      </c>
      <c r="D122" s="2122">
        <f>COUNTIF(Scénarios!AH267:AH286,3)</f>
        <v>0</v>
      </c>
      <c r="E122" s="2123">
        <f>COUNTIF(Scénarios!AH267:AH286,4)</f>
        <v>0</v>
      </c>
      <c r="F122" s="2114">
        <f>SUM(B122:E122)</f>
        <v>0</v>
      </c>
      <c r="G122" s="274" t="s">
        <v>5616</v>
      </c>
      <c r="H122" s="275" t="s">
        <v>6370</v>
      </c>
      <c r="I122" s="276"/>
      <c r="J122" s="277" t="s">
        <v>1665</v>
      </c>
      <c r="K122" s="278">
        <f>ES03B06</f>
        <v>1</v>
      </c>
      <c r="L122" s="279">
        <v>3</v>
      </c>
      <c r="M122" s="280" t="s">
        <v>63</v>
      </c>
      <c r="N122" s="278">
        <f>ES08C03</f>
        <v>1</v>
      </c>
      <c r="O122" s="279">
        <v>3</v>
      </c>
      <c r="P122" s="280" t="s">
        <v>2057</v>
      </c>
      <c r="Q122" s="278">
        <f>ES08C04</f>
        <v>1</v>
      </c>
      <c r="R122" s="279">
        <v>3</v>
      </c>
      <c r="S122" s="280"/>
      <c r="T122" s="278"/>
      <c r="U122" s="279"/>
      <c r="V122" s="280"/>
      <c r="W122" s="278"/>
      <c r="X122" s="279"/>
      <c r="Y122" s="280"/>
      <c r="Z122" s="278"/>
      <c r="AA122" s="279"/>
      <c r="AB122" s="280"/>
      <c r="AC122" s="278"/>
      <c r="AD122" s="279"/>
      <c r="AE122" s="280"/>
      <c r="AF122" s="278"/>
      <c r="AG122" s="279"/>
      <c r="AH122" s="280"/>
      <c r="AI122" s="278"/>
      <c r="AJ122" s="279"/>
      <c r="AK122" s="280"/>
      <c r="AL122" s="278"/>
      <c r="AM122" s="279"/>
    </row>
    <row r="123" spans="1:53" s="247" customFormat="1" ht="12" customHeight="1" x14ac:dyDescent="0.2">
      <c r="A123" s="273"/>
      <c r="B123" s="2149"/>
      <c r="C123" s="2149"/>
      <c r="D123" s="2150"/>
      <c r="E123" s="2124"/>
      <c r="F123" s="2115"/>
      <c r="G123" s="274" t="s">
        <v>5616</v>
      </c>
      <c r="H123" s="300" t="s">
        <v>998</v>
      </c>
      <c r="I123" s="301"/>
      <c r="J123" s="277" t="s">
        <v>5019</v>
      </c>
      <c r="K123" s="278">
        <f>ES07C01</f>
        <v>1</v>
      </c>
      <c r="L123" s="279">
        <v>4</v>
      </c>
      <c r="M123" s="277"/>
      <c r="N123" s="278"/>
      <c r="O123" s="279"/>
      <c r="P123" s="277"/>
      <c r="Q123" s="278"/>
      <c r="R123" s="279"/>
      <c r="S123" s="277"/>
      <c r="T123" s="278"/>
      <c r="U123" s="279"/>
      <c r="V123" s="277"/>
      <c r="W123" s="278"/>
      <c r="X123" s="279"/>
      <c r="Y123" s="277"/>
      <c r="Z123" s="278"/>
      <c r="AA123" s="279"/>
      <c r="AB123" s="277"/>
      <c r="AC123" s="278"/>
      <c r="AD123" s="279"/>
      <c r="AE123" s="277"/>
      <c r="AF123" s="278"/>
      <c r="AG123" s="279"/>
      <c r="AH123" s="277"/>
      <c r="AI123" s="278"/>
      <c r="AJ123" s="279"/>
      <c r="AK123" s="277"/>
      <c r="AL123" s="278"/>
      <c r="AM123" s="279"/>
      <c r="BA123" s="302"/>
    </row>
    <row r="124" spans="1:53" s="247" customFormat="1" ht="12.75" customHeight="1" x14ac:dyDescent="0.2">
      <c r="A124" s="273"/>
      <c r="B124" s="2118"/>
      <c r="C124" s="2120"/>
      <c r="D124" s="2120"/>
      <c r="E124" s="2120"/>
      <c r="F124" s="2115"/>
      <c r="G124" s="274" t="s">
        <v>5615</v>
      </c>
      <c r="H124" s="285" t="s">
        <v>1935</v>
      </c>
      <c r="I124" s="276"/>
      <c r="J124" s="277" t="s">
        <v>2553</v>
      </c>
      <c r="K124" s="278">
        <f>ES09C02</f>
        <v>1</v>
      </c>
      <c r="L124" s="279">
        <v>4</v>
      </c>
      <c r="M124" s="277"/>
      <c r="N124" s="278"/>
      <c r="O124" s="279"/>
      <c r="P124" s="277"/>
      <c r="Q124" s="278"/>
      <c r="R124" s="279"/>
      <c r="S124" s="277"/>
      <c r="T124" s="278"/>
      <c r="U124" s="279"/>
      <c r="V124" s="277"/>
      <c r="W124" s="278"/>
      <c r="X124" s="279"/>
      <c r="Y124" s="277"/>
      <c r="Z124" s="278"/>
      <c r="AA124" s="279"/>
      <c r="AB124" s="277"/>
      <c r="AC124" s="278"/>
      <c r="AD124" s="279"/>
      <c r="AE124" s="277"/>
      <c r="AF124" s="278"/>
      <c r="AG124" s="279"/>
      <c r="AH124" s="277"/>
      <c r="AI124" s="278"/>
      <c r="AJ124" s="279"/>
      <c r="AK124" s="277"/>
      <c r="AL124" s="278"/>
      <c r="AM124" s="279"/>
    </row>
    <row r="125" spans="1:53" ht="12.75" customHeight="1" x14ac:dyDescent="0.2">
      <c r="A125" s="273"/>
      <c r="B125" s="2119"/>
      <c r="C125" s="2121"/>
      <c r="D125" s="2121"/>
      <c r="E125" s="2121"/>
      <c r="F125" s="2116"/>
      <c r="G125" s="274" t="s">
        <v>5615</v>
      </c>
      <c r="H125" s="275" t="s">
        <v>6370</v>
      </c>
      <c r="I125" s="276"/>
      <c r="J125" s="277" t="s">
        <v>5139</v>
      </c>
      <c r="K125" s="278">
        <f>ES07B01</f>
        <v>1</v>
      </c>
      <c r="L125" s="279">
        <v>4</v>
      </c>
      <c r="M125" s="277" t="s">
        <v>2557</v>
      </c>
      <c r="N125" s="278">
        <f>ES08A05</f>
        <v>1</v>
      </c>
      <c r="O125" s="279">
        <v>4</v>
      </c>
      <c r="P125" s="277" t="s">
        <v>2558</v>
      </c>
      <c r="Q125" s="278">
        <f>ES08A06</f>
        <v>1</v>
      </c>
      <c r="R125" s="279">
        <v>4</v>
      </c>
      <c r="S125" s="277" t="s">
        <v>3222</v>
      </c>
      <c r="T125" s="278">
        <f>ES10B04</f>
        <v>1</v>
      </c>
      <c r="U125" s="279">
        <v>4</v>
      </c>
      <c r="V125" s="277"/>
      <c r="W125" s="278"/>
      <c r="X125" s="279"/>
      <c r="Y125" s="277"/>
      <c r="Z125" s="278"/>
      <c r="AA125" s="279"/>
      <c r="AB125" s="277"/>
      <c r="AC125" s="278"/>
      <c r="AD125" s="279"/>
      <c r="AE125" s="277"/>
      <c r="AF125" s="278"/>
      <c r="AG125" s="279"/>
      <c r="AH125" s="277"/>
      <c r="AI125" s="278"/>
      <c r="AJ125" s="279"/>
      <c r="AK125" s="277"/>
      <c r="AL125" s="278"/>
      <c r="AM125" s="279"/>
    </row>
    <row r="126" spans="1:53" s="247" customFormat="1" ht="14.25" customHeight="1" x14ac:dyDescent="0.2">
      <c r="A126" s="273"/>
      <c r="B126" s="281"/>
      <c r="C126" s="281"/>
      <c r="D126" s="281"/>
      <c r="E126" s="281"/>
      <c r="F126" s="281"/>
      <c r="G126" s="274" t="s">
        <v>5615</v>
      </c>
      <c r="H126" s="275" t="s">
        <v>6370</v>
      </c>
      <c r="I126" s="276"/>
      <c r="J126" s="277" t="s">
        <v>5426</v>
      </c>
      <c r="K126" s="278">
        <f>ES07A01</f>
        <v>1</v>
      </c>
      <c r="L126" s="279">
        <v>4</v>
      </c>
      <c r="M126" s="277" t="s">
        <v>5428</v>
      </c>
      <c r="N126" s="278">
        <f>ES07A02</f>
        <v>1</v>
      </c>
      <c r="O126" s="279">
        <v>4</v>
      </c>
      <c r="P126" s="277" t="s">
        <v>5429</v>
      </c>
      <c r="Q126" s="278">
        <f>ES07A03</f>
        <v>1</v>
      </c>
      <c r="R126" s="279">
        <v>4</v>
      </c>
      <c r="S126" s="277" t="s">
        <v>5137</v>
      </c>
      <c r="T126" s="278">
        <f>ES07A04</f>
        <v>1</v>
      </c>
      <c r="U126" s="279">
        <v>4</v>
      </c>
      <c r="V126" s="277" t="s">
        <v>3657</v>
      </c>
      <c r="W126" s="278">
        <f>ES09A01</f>
        <v>1</v>
      </c>
      <c r="X126" s="279">
        <v>4</v>
      </c>
      <c r="Y126" s="277" t="s">
        <v>3659</v>
      </c>
      <c r="Z126" s="278">
        <f>ES09A02</f>
        <v>1</v>
      </c>
      <c r="AA126" s="279">
        <v>4</v>
      </c>
      <c r="AB126" s="277" t="s">
        <v>3661</v>
      </c>
      <c r="AC126" s="278">
        <f>ES09A03</f>
        <v>1</v>
      </c>
      <c r="AD126" s="279">
        <v>4</v>
      </c>
      <c r="AE126" s="277" t="s">
        <v>3662</v>
      </c>
      <c r="AF126" s="278">
        <f>ES09A04</f>
        <v>1</v>
      </c>
      <c r="AG126" s="279">
        <v>4</v>
      </c>
      <c r="AH126" s="277" t="s">
        <v>4299</v>
      </c>
      <c r="AI126" s="278">
        <f>ES08F02</f>
        <v>1</v>
      </c>
      <c r="AJ126" s="279">
        <v>4</v>
      </c>
      <c r="AK126" s="277"/>
      <c r="AL126" s="278"/>
      <c r="AM126" s="279"/>
    </row>
    <row r="127" spans="1:53" s="247" customFormat="1" ht="13.5" customHeight="1" x14ac:dyDescent="0.2">
      <c r="A127" s="273"/>
      <c r="B127" s="1110"/>
      <c r="C127" s="1110"/>
      <c r="D127" s="1110"/>
      <c r="E127" s="1110"/>
      <c r="F127" s="1110"/>
      <c r="G127" s="274" t="s">
        <v>5615</v>
      </c>
      <c r="H127" s="275" t="s">
        <v>998</v>
      </c>
      <c r="I127" s="276"/>
      <c r="J127" s="277" t="s">
        <v>1458</v>
      </c>
      <c r="K127" s="278">
        <f>ES05B03</f>
        <v>1</v>
      </c>
      <c r="L127" s="279">
        <v>4</v>
      </c>
      <c r="M127" s="277" t="s">
        <v>5674</v>
      </c>
      <c r="N127" s="278">
        <f>ES05B04</f>
        <v>1</v>
      </c>
      <c r="O127" s="279">
        <v>4</v>
      </c>
      <c r="P127" s="277" t="s">
        <v>42</v>
      </c>
      <c r="Q127" s="278">
        <f>ES05B05</f>
        <v>1</v>
      </c>
      <c r="R127" s="279">
        <v>4</v>
      </c>
      <c r="S127" s="277" t="s">
        <v>5010</v>
      </c>
      <c r="T127" s="278">
        <f>ES05B06</f>
        <v>1</v>
      </c>
      <c r="U127" s="279">
        <v>4</v>
      </c>
      <c r="V127" s="277" t="s">
        <v>5011</v>
      </c>
      <c r="W127" s="278">
        <f>ES05B07</f>
        <v>1</v>
      </c>
      <c r="X127" s="279">
        <v>4</v>
      </c>
      <c r="Y127" s="277" t="s">
        <v>5013</v>
      </c>
      <c r="Z127" s="278">
        <f>ES05B08</f>
        <v>1</v>
      </c>
      <c r="AA127" s="279">
        <v>4</v>
      </c>
      <c r="AB127" s="277" t="s">
        <v>5015</v>
      </c>
      <c r="AC127" s="278">
        <f>ES05B09</f>
        <v>1</v>
      </c>
      <c r="AD127" s="279">
        <v>4</v>
      </c>
      <c r="AE127" s="277" t="s">
        <v>3744</v>
      </c>
      <c r="AF127" s="278">
        <f>ES06B02</f>
        <v>1</v>
      </c>
      <c r="AG127" s="279">
        <v>4</v>
      </c>
      <c r="AH127" s="277"/>
      <c r="AI127" s="278"/>
      <c r="AJ127" s="279"/>
      <c r="AK127" s="277"/>
      <c r="AL127" s="278"/>
      <c r="AM127" s="279"/>
    </row>
    <row r="128" spans="1:53" s="247" customFormat="1" ht="13.5" customHeight="1" x14ac:dyDescent="0.2">
      <c r="A128" s="273"/>
      <c r="B128" s="1110"/>
      <c r="C128" s="1110"/>
      <c r="D128" s="1110"/>
      <c r="E128" s="1110"/>
      <c r="F128" s="1110"/>
      <c r="G128" s="274" t="s">
        <v>5615</v>
      </c>
      <c r="H128" s="275" t="s">
        <v>6370</v>
      </c>
      <c r="I128" s="276"/>
      <c r="J128" s="277" t="s">
        <v>3252</v>
      </c>
      <c r="K128" s="278">
        <f>ES03B03</f>
        <v>1</v>
      </c>
      <c r="L128" s="279">
        <v>4</v>
      </c>
      <c r="M128" s="277" t="s">
        <v>3254</v>
      </c>
      <c r="N128" s="278">
        <f>ES03B04</f>
        <v>1</v>
      </c>
      <c r="O128" s="279">
        <v>4</v>
      </c>
      <c r="P128" s="277" t="s">
        <v>63</v>
      </c>
      <c r="Q128" s="278">
        <f>ES08C03</f>
        <v>1</v>
      </c>
      <c r="R128" s="279">
        <v>4</v>
      </c>
      <c r="S128" s="277" t="s">
        <v>2057</v>
      </c>
      <c r="T128" s="278">
        <f>ES08C04</f>
        <v>1</v>
      </c>
      <c r="U128" s="279">
        <v>4</v>
      </c>
      <c r="V128" s="277" t="s">
        <v>2061</v>
      </c>
      <c r="W128" s="278">
        <f>ES08C07</f>
        <v>1</v>
      </c>
      <c r="X128" s="279">
        <v>4</v>
      </c>
      <c r="Y128" s="277"/>
      <c r="Z128" s="278"/>
      <c r="AA128" s="279"/>
      <c r="AB128" s="277"/>
      <c r="AC128" s="278"/>
      <c r="AD128" s="279"/>
      <c r="AE128" s="277"/>
      <c r="AF128" s="278"/>
      <c r="AG128" s="279"/>
      <c r="AH128" s="277"/>
      <c r="AI128" s="278"/>
      <c r="AJ128" s="279"/>
      <c r="AK128" s="277"/>
      <c r="AL128" s="278"/>
      <c r="AM128" s="279"/>
    </row>
    <row r="129" spans="1:39" s="247" customFormat="1" ht="12" customHeight="1" x14ac:dyDescent="0.2">
      <c r="A129" s="273"/>
      <c r="B129" s="1110"/>
      <c r="C129" s="1110"/>
      <c r="D129" s="1110"/>
      <c r="E129" s="1110"/>
      <c r="F129" s="1110"/>
      <c r="G129" s="274" t="s">
        <v>5617</v>
      </c>
      <c r="H129" s="275"/>
      <c r="I129" s="276"/>
      <c r="J129" s="277"/>
      <c r="K129" s="278"/>
      <c r="L129" s="279"/>
      <c r="M129" s="280"/>
      <c r="N129" s="278"/>
      <c r="O129" s="279"/>
      <c r="P129" s="280"/>
      <c r="Q129" s="278"/>
      <c r="R129" s="287"/>
      <c r="S129" s="277"/>
      <c r="T129" s="278"/>
      <c r="U129" s="279"/>
      <c r="V129" s="277"/>
      <c r="W129" s="278"/>
      <c r="X129" s="279"/>
      <c r="Y129" s="277"/>
      <c r="Z129" s="278"/>
      <c r="AA129" s="279"/>
      <c r="AB129" s="277"/>
      <c r="AC129" s="278"/>
      <c r="AD129" s="279"/>
      <c r="AE129" s="277"/>
      <c r="AF129" s="278"/>
      <c r="AG129" s="279"/>
      <c r="AH129" s="277"/>
      <c r="AI129" s="278"/>
      <c r="AJ129" s="279"/>
      <c r="AK129" s="277"/>
      <c r="AL129" s="278"/>
      <c r="AM129" s="279"/>
    </row>
    <row r="130" spans="1:39" s="247" customFormat="1" ht="12" customHeight="1" x14ac:dyDescent="0.2">
      <c r="A130" s="273"/>
      <c r="B130" s="1112"/>
      <c r="C130" s="1112"/>
      <c r="D130" s="1112"/>
      <c r="E130" s="1112"/>
      <c r="F130" s="1112"/>
      <c r="G130" s="284" t="s">
        <v>5618</v>
      </c>
      <c r="H130" s="275"/>
      <c r="I130" s="276"/>
      <c r="J130" s="277"/>
      <c r="K130" s="278"/>
      <c r="L130" s="279"/>
      <c r="M130" s="277"/>
      <c r="N130" s="278"/>
      <c r="O130" s="279"/>
      <c r="P130" s="277"/>
      <c r="Q130" s="278"/>
      <c r="R130" s="279"/>
      <c r="S130" s="277"/>
      <c r="T130" s="278"/>
      <c r="U130" s="287"/>
      <c r="V130" s="277"/>
      <c r="W130" s="278"/>
      <c r="X130" s="287"/>
      <c r="Y130" s="277"/>
      <c r="Z130" s="278"/>
      <c r="AA130" s="287"/>
      <c r="AB130" s="277"/>
      <c r="AC130" s="278"/>
      <c r="AD130" s="287"/>
      <c r="AE130" s="277"/>
      <c r="AF130" s="278"/>
      <c r="AG130" s="287"/>
      <c r="AH130" s="277"/>
      <c r="AI130" s="278"/>
      <c r="AJ130" s="287"/>
      <c r="AK130" s="277"/>
      <c r="AL130" s="278"/>
      <c r="AM130" s="287"/>
    </row>
    <row r="131" spans="1:39" ht="15" x14ac:dyDescent="0.2">
      <c r="A131" s="1373" t="s">
        <v>3963</v>
      </c>
      <c r="B131" s="260" t="s">
        <v>3602</v>
      </c>
      <c r="C131" s="262"/>
      <c r="D131" s="262"/>
      <c r="E131" s="262"/>
      <c r="F131" s="262"/>
      <c r="G131" s="262"/>
      <c r="H131" s="262"/>
      <c r="I131" s="308"/>
      <c r="J131" s="270"/>
      <c r="K131" s="269"/>
      <c r="L131" s="294"/>
      <c r="M131" s="271"/>
      <c r="N131" s="269"/>
      <c r="O131" s="294"/>
      <c r="P131" s="268"/>
      <c r="Q131" s="269"/>
      <c r="R131" s="304"/>
      <c r="S131" s="271"/>
      <c r="T131" s="269"/>
      <c r="U131" s="294"/>
      <c r="V131" s="271"/>
      <c r="W131" s="269"/>
      <c r="X131" s="294"/>
      <c r="Y131" s="271"/>
      <c r="Z131" s="269"/>
      <c r="AA131" s="294"/>
      <c r="AB131" s="271"/>
      <c r="AC131" s="269"/>
      <c r="AD131" s="294"/>
      <c r="AE131" s="271"/>
      <c r="AF131" s="269"/>
      <c r="AG131" s="294"/>
      <c r="AH131" s="271"/>
      <c r="AI131" s="269"/>
      <c r="AJ131" s="294"/>
      <c r="AK131" s="271"/>
      <c r="AL131" s="269"/>
      <c r="AM131" s="294"/>
    </row>
    <row r="132" spans="1:39" s="247" customFormat="1" ht="12" customHeight="1" x14ac:dyDescent="0.2">
      <c r="A132" s="297"/>
      <c r="B132" s="2117">
        <f>COUNTIF(Scénarios!AH288:AH305,1)</f>
        <v>0</v>
      </c>
      <c r="C132" s="2117">
        <f>COUNTIF(Scénarios!AH288:AH305,2)</f>
        <v>0</v>
      </c>
      <c r="D132" s="2122">
        <f>COUNTIF(Scénarios!AH288:AH305,3)</f>
        <v>0</v>
      </c>
      <c r="E132" s="2123">
        <f>COUNTIF(Scénarios!AH288:AH305,4)</f>
        <v>0</v>
      </c>
      <c r="F132" s="2114">
        <f>SUM(B132:E132)</f>
        <v>0</v>
      </c>
      <c r="G132" s="274" t="s">
        <v>5616</v>
      </c>
      <c r="H132" s="275" t="s">
        <v>6370</v>
      </c>
      <c r="I132" s="276"/>
      <c r="J132" s="280" t="s">
        <v>63</v>
      </c>
      <c r="K132" s="278">
        <f>ES08C03</f>
        <v>1</v>
      </c>
      <c r="L132" s="279">
        <v>3</v>
      </c>
      <c r="M132" s="280" t="s">
        <v>2057</v>
      </c>
      <c r="N132" s="278">
        <f>ES08C04</f>
        <v>1</v>
      </c>
      <c r="O132" s="279">
        <v>3</v>
      </c>
      <c r="P132" s="280" t="s">
        <v>3120</v>
      </c>
      <c r="Q132" s="278">
        <f>ES02C05</f>
        <v>1</v>
      </c>
      <c r="R132" s="279">
        <v>3</v>
      </c>
      <c r="S132" s="280"/>
      <c r="T132" s="278"/>
      <c r="U132" s="279"/>
      <c r="V132" s="280"/>
      <c r="W132" s="278"/>
      <c r="X132" s="279"/>
      <c r="Y132" s="280"/>
      <c r="Z132" s="278"/>
      <c r="AA132" s="279"/>
      <c r="AB132" s="280"/>
      <c r="AC132" s="278"/>
      <c r="AD132" s="279"/>
      <c r="AE132" s="280"/>
      <c r="AF132" s="278"/>
      <c r="AG132" s="279"/>
      <c r="AH132" s="280"/>
      <c r="AI132" s="278"/>
      <c r="AJ132" s="279"/>
      <c r="AK132" s="280"/>
      <c r="AL132" s="278"/>
      <c r="AM132" s="279"/>
    </row>
    <row r="133" spans="1:39" x14ac:dyDescent="0.2">
      <c r="A133" s="273"/>
      <c r="B133" s="2118"/>
      <c r="C133" s="2120"/>
      <c r="D133" s="2120"/>
      <c r="E133" s="2120"/>
      <c r="F133" s="2115"/>
      <c r="G133" s="274" t="s">
        <v>5615</v>
      </c>
      <c r="H133" s="285" t="s">
        <v>6369</v>
      </c>
      <c r="I133" s="276"/>
      <c r="J133" s="277" t="s">
        <v>12</v>
      </c>
      <c r="K133" s="278">
        <f>ES11C01</f>
        <v>1</v>
      </c>
      <c r="L133" s="279">
        <v>4</v>
      </c>
      <c r="M133" s="277"/>
      <c r="N133" s="278"/>
      <c r="O133" s="279"/>
      <c r="P133" s="277"/>
      <c r="Q133" s="278"/>
      <c r="R133" s="279"/>
      <c r="S133" s="277"/>
      <c r="T133" s="278"/>
      <c r="U133" s="279"/>
      <c r="V133" s="277"/>
      <c r="W133" s="278"/>
      <c r="X133" s="279"/>
      <c r="Y133" s="277"/>
      <c r="Z133" s="278"/>
      <c r="AA133" s="279"/>
      <c r="AB133" s="277"/>
      <c r="AC133" s="278"/>
      <c r="AD133" s="279"/>
      <c r="AE133" s="277"/>
      <c r="AF133" s="278"/>
      <c r="AG133" s="279"/>
      <c r="AH133" s="277"/>
      <c r="AI133" s="278"/>
      <c r="AJ133" s="279"/>
      <c r="AK133" s="277"/>
      <c r="AL133" s="278"/>
      <c r="AM133" s="279"/>
    </row>
    <row r="134" spans="1:39" s="247" customFormat="1" ht="13.5" customHeight="1" x14ac:dyDescent="0.2">
      <c r="A134" s="273"/>
      <c r="B134" s="2119"/>
      <c r="C134" s="2121"/>
      <c r="D134" s="2121"/>
      <c r="E134" s="2121"/>
      <c r="F134" s="2116"/>
      <c r="G134" s="274" t="s">
        <v>5615</v>
      </c>
      <c r="H134" s="275" t="s">
        <v>6370</v>
      </c>
      <c r="I134" s="276"/>
      <c r="J134" s="277" t="s">
        <v>5426</v>
      </c>
      <c r="K134" s="278">
        <f>ES07A01</f>
        <v>1</v>
      </c>
      <c r="L134" s="279">
        <v>4</v>
      </c>
      <c r="M134" s="277" t="s">
        <v>5428</v>
      </c>
      <c r="N134" s="278">
        <f>ES07A02</f>
        <v>1</v>
      </c>
      <c r="O134" s="279">
        <v>4</v>
      </c>
      <c r="P134" s="277" t="s">
        <v>5429</v>
      </c>
      <c r="Q134" s="278">
        <f>ES07A03</f>
        <v>1</v>
      </c>
      <c r="R134" s="279">
        <v>4</v>
      </c>
      <c r="S134" s="277" t="s">
        <v>5137</v>
      </c>
      <c r="T134" s="278">
        <f>ES07A04</f>
        <v>1</v>
      </c>
      <c r="U134" s="279">
        <v>4</v>
      </c>
      <c r="V134" s="277" t="s">
        <v>2060</v>
      </c>
      <c r="W134" s="278">
        <f>ES08C06</f>
        <v>1</v>
      </c>
      <c r="X134" s="279">
        <v>4</v>
      </c>
      <c r="Y134" s="277" t="s">
        <v>4299</v>
      </c>
      <c r="Z134" s="278">
        <f>ES08F02</f>
        <v>1</v>
      </c>
      <c r="AA134" s="279">
        <v>4</v>
      </c>
      <c r="AB134" s="277"/>
      <c r="AC134" s="278"/>
      <c r="AD134" s="279"/>
      <c r="AE134" s="277"/>
      <c r="AF134" s="278"/>
      <c r="AG134" s="279"/>
      <c r="AH134" s="277"/>
      <c r="AI134" s="278"/>
      <c r="AJ134" s="279"/>
      <c r="AK134" s="277"/>
      <c r="AL134" s="278"/>
      <c r="AM134" s="279"/>
    </row>
    <row r="135" spans="1:39" s="247" customFormat="1" ht="13.5" customHeight="1" x14ac:dyDescent="0.2">
      <c r="A135" s="273"/>
      <c r="B135" s="281"/>
      <c r="C135" s="281"/>
      <c r="D135" s="281"/>
      <c r="E135" s="281"/>
      <c r="F135" s="281"/>
      <c r="G135" s="274" t="s">
        <v>5615</v>
      </c>
      <c r="H135" s="275" t="s">
        <v>6370</v>
      </c>
      <c r="I135" s="276"/>
      <c r="J135" s="277" t="s">
        <v>3252</v>
      </c>
      <c r="K135" s="278">
        <f>ES03B03</f>
        <v>1</v>
      </c>
      <c r="L135" s="279">
        <v>4</v>
      </c>
      <c r="M135" s="277" t="s">
        <v>3254</v>
      </c>
      <c r="N135" s="278">
        <f>ES03B04</f>
        <v>1</v>
      </c>
      <c r="O135" s="279">
        <v>4</v>
      </c>
      <c r="P135" s="277" t="s">
        <v>63</v>
      </c>
      <c r="Q135" s="278">
        <f>ES08C03</f>
        <v>1</v>
      </c>
      <c r="R135" s="279">
        <v>4</v>
      </c>
      <c r="S135" s="277" t="s">
        <v>2057</v>
      </c>
      <c r="T135" s="278">
        <f>ES08C04</f>
        <v>1</v>
      </c>
      <c r="U135" s="279">
        <v>4</v>
      </c>
      <c r="V135" s="277" t="s">
        <v>2061</v>
      </c>
      <c r="W135" s="278">
        <f>ES08C07</f>
        <v>1</v>
      </c>
      <c r="X135" s="279">
        <v>4</v>
      </c>
      <c r="Y135" s="277"/>
      <c r="Z135" s="278"/>
      <c r="AA135" s="279"/>
      <c r="AB135" s="277"/>
      <c r="AC135" s="278"/>
      <c r="AD135" s="279"/>
      <c r="AE135" s="277"/>
      <c r="AF135" s="278"/>
      <c r="AG135" s="279"/>
      <c r="AH135" s="277"/>
      <c r="AI135" s="278"/>
      <c r="AJ135" s="279"/>
      <c r="AK135" s="277"/>
      <c r="AL135" s="278"/>
      <c r="AM135" s="279"/>
    </row>
    <row r="136" spans="1:39" s="247" customFormat="1" ht="13.5" customHeight="1" x14ac:dyDescent="0.2">
      <c r="A136" s="273"/>
      <c r="B136" s="1110"/>
      <c r="C136" s="1110"/>
      <c r="D136" s="1110"/>
      <c r="E136" s="1110"/>
      <c r="F136" s="1110"/>
      <c r="G136" s="274" t="s">
        <v>5615</v>
      </c>
      <c r="H136" s="275" t="s">
        <v>998</v>
      </c>
      <c r="I136" s="276"/>
      <c r="J136" s="277" t="s">
        <v>1458</v>
      </c>
      <c r="K136" s="278">
        <f>ES05B03</f>
        <v>1</v>
      </c>
      <c r="L136" s="279">
        <v>4</v>
      </c>
      <c r="M136" s="277" t="s">
        <v>5674</v>
      </c>
      <c r="N136" s="278">
        <f>ES05B04</f>
        <v>1</v>
      </c>
      <c r="O136" s="279">
        <v>4</v>
      </c>
      <c r="P136" s="277" t="s">
        <v>42</v>
      </c>
      <c r="Q136" s="278">
        <f>ES05B05</f>
        <v>1</v>
      </c>
      <c r="R136" s="279">
        <v>4</v>
      </c>
      <c r="S136" s="277" t="s">
        <v>5010</v>
      </c>
      <c r="T136" s="278">
        <f>ES05B06</f>
        <v>1</v>
      </c>
      <c r="U136" s="279">
        <v>4</v>
      </c>
      <c r="V136" s="277" t="s">
        <v>5011</v>
      </c>
      <c r="W136" s="278">
        <f>ES05B07</f>
        <v>1</v>
      </c>
      <c r="X136" s="279">
        <v>4</v>
      </c>
      <c r="Y136" s="277" t="s">
        <v>5013</v>
      </c>
      <c r="Z136" s="278">
        <f>ES05B08</f>
        <v>1</v>
      </c>
      <c r="AA136" s="279">
        <v>4</v>
      </c>
      <c r="AB136" s="277" t="s">
        <v>5015</v>
      </c>
      <c r="AC136" s="278">
        <f>ES05B09</f>
        <v>1</v>
      </c>
      <c r="AD136" s="279">
        <v>4</v>
      </c>
      <c r="AE136" s="277" t="s">
        <v>3744</v>
      </c>
      <c r="AF136" s="278">
        <f>ES06B02</f>
        <v>1</v>
      </c>
      <c r="AG136" s="279">
        <v>4</v>
      </c>
      <c r="AH136" s="277"/>
      <c r="AI136" s="278"/>
      <c r="AJ136" s="279"/>
      <c r="AK136" s="277"/>
      <c r="AL136" s="278"/>
      <c r="AM136" s="279"/>
    </row>
    <row r="137" spans="1:39" s="247" customFormat="1" ht="12" customHeight="1" x14ac:dyDescent="0.2">
      <c r="A137" s="273"/>
      <c r="B137" s="1110"/>
      <c r="C137" s="1110"/>
      <c r="D137" s="1110"/>
      <c r="E137" s="1110"/>
      <c r="F137" s="1110"/>
      <c r="G137" s="274" t="s">
        <v>5617</v>
      </c>
      <c r="H137" s="275"/>
      <c r="I137" s="276"/>
      <c r="J137" s="277"/>
      <c r="K137" s="278"/>
      <c r="L137" s="279"/>
      <c r="M137" s="280"/>
      <c r="N137" s="278"/>
      <c r="O137" s="279"/>
      <c r="P137" s="280"/>
      <c r="Q137" s="278"/>
      <c r="R137" s="287"/>
      <c r="S137" s="277"/>
      <c r="T137" s="278"/>
      <c r="U137" s="279"/>
      <c r="V137" s="277"/>
      <c r="W137" s="278"/>
      <c r="X137" s="279"/>
      <c r="Y137" s="277"/>
      <c r="Z137" s="278"/>
      <c r="AA137" s="279"/>
      <c r="AB137" s="277"/>
      <c r="AC137" s="278"/>
      <c r="AD137" s="279"/>
      <c r="AE137" s="277"/>
      <c r="AF137" s="278"/>
      <c r="AG137" s="279"/>
      <c r="AH137" s="277"/>
      <c r="AI137" s="278"/>
      <c r="AJ137" s="279"/>
      <c r="AK137" s="277"/>
      <c r="AL137" s="278"/>
      <c r="AM137" s="279"/>
    </row>
    <row r="138" spans="1:39" s="247" customFormat="1" ht="12" customHeight="1" x14ac:dyDescent="0.2">
      <c r="A138" s="273"/>
      <c r="B138" s="1112"/>
      <c r="C138" s="1112"/>
      <c r="D138" s="1112"/>
      <c r="E138" s="1112"/>
      <c r="F138" s="1112"/>
      <c r="G138" s="284" t="s">
        <v>5618</v>
      </c>
      <c r="H138" s="275"/>
      <c r="I138" s="276"/>
      <c r="J138" s="277"/>
      <c r="K138" s="278"/>
      <c r="L138" s="279"/>
      <c r="M138" s="277"/>
      <c r="N138" s="278"/>
      <c r="O138" s="279"/>
      <c r="P138" s="277"/>
      <c r="Q138" s="278"/>
      <c r="R138" s="279"/>
      <c r="S138" s="277"/>
      <c r="T138" s="278"/>
      <c r="U138" s="287"/>
      <c r="V138" s="277"/>
      <c r="W138" s="278"/>
      <c r="X138" s="287"/>
      <c r="Y138" s="277"/>
      <c r="Z138" s="278"/>
      <c r="AA138" s="287"/>
      <c r="AB138" s="277"/>
      <c r="AC138" s="278"/>
      <c r="AD138" s="287"/>
      <c r="AE138" s="277"/>
      <c r="AF138" s="278"/>
      <c r="AG138" s="287"/>
      <c r="AH138" s="277"/>
      <c r="AI138" s="278"/>
      <c r="AJ138" s="287"/>
      <c r="AK138" s="277"/>
      <c r="AL138" s="278"/>
      <c r="AM138" s="287"/>
    </row>
    <row r="139" spans="1:39" ht="15" x14ac:dyDescent="0.2">
      <c r="A139" s="1373" t="s">
        <v>3337</v>
      </c>
      <c r="B139" s="260" t="s">
        <v>4037</v>
      </c>
      <c r="C139" s="262"/>
      <c r="D139" s="262"/>
      <c r="E139" s="262"/>
      <c r="F139" s="262"/>
      <c r="G139" s="262"/>
      <c r="H139" s="262"/>
      <c r="I139" s="308"/>
      <c r="J139" s="270"/>
      <c r="K139" s="269"/>
      <c r="L139" s="294"/>
      <c r="M139" s="271"/>
      <c r="N139" s="269"/>
      <c r="O139" s="294"/>
      <c r="P139" s="268"/>
      <c r="Q139" s="269"/>
      <c r="R139" s="304"/>
      <c r="S139" s="271"/>
      <c r="T139" s="269"/>
      <c r="U139" s="294"/>
      <c r="V139" s="271"/>
      <c r="W139" s="269"/>
      <c r="X139" s="294"/>
      <c r="Y139" s="271"/>
      <c r="Z139" s="269"/>
      <c r="AA139" s="294"/>
      <c r="AB139" s="271"/>
      <c r="AC139" s="269"/>
      <c r="AD139" s="294"/>
      <c r="AE139" s="271"/>
      <c r="AF139" s="269"/>
      <c r="AG139" s="294"/>
      <c r="AH139" s="271"/>
      <c r="AI139" s="269"/>
      <c r="AJ139" s="294"/>
      <c r="AK139" s="271"/>
      <c r="AL139" s="269"/>
      <c r="AM139" s="294"/>
    </row>
    <row r="140" spans="1:39" s="247" customFormat="1" ht="12" customHeight="1" x14ac:dyDescent="0.2">
      <c r="A140" s="297"/>
      <c r="B140" s="2117">
        <f>COUNTIF(Scénarios!AH307:AH323,1)</f>
        <v>0</v>
      </c>
      <c r="C140" s="2117">
        <f>COUNTIF(Scénarios!AH307:AH323,2)</f>
        <v>0</v>
      </c>
      <c r="D140" s="2122">
        <f>COUNTIF(Scénarios!AH307:AH323,3)</f>
        <v>0</v>
      </c>
      <c r="E140" s="2123">
        <f>COUNTIF(Scénarios!AH307:AH323,4)</f>
        <v>0</v>
      </c>
      <c r="F140" s="2114">
        <f>SUM(B140:E140)</f>
        <v>0</v>
      </c>
      <c r="G140" s="274" t="s">
        <v>5616</v>
      </c>
      <c r="H140" s="275" t="s">
        <v>1934</v>
      </c>
      <c r="I140" s="276"/>
      <c r="J140" s="280" t="s">
        <v>3119</v>
      </c>
      <c r="K140" s="278">
        <f>ES02C04</f>
        <v>1</v>
      </c>
      <c r="L140" s="279">
        <v>3</v>
      </c>
      <c r="M140" s="280" t="s">
        <v>3120</v>
      </c>
      <c r="N140" s="278">
        <f>ES02C05</f>
        <v>1</v>
      </c>
      <c r="O140" s="279">
        <v>3</v>
      </c>
      <c r="P140" s="277" t="s">
        <v>948</v>
      </c>
      <c r="Q140" s="278">
        <f>ES11E02</f>
        <v>1</v>
      </c>
      <c r="R140" s="279">
        <v>3</v>
      </c>
      <c r="S140" s="277" t="s">
        <v>949</v>
      </c>
      <c r="T140" s="278">
        <f>ES11E03</f>
        <v>1</v>
      </c>
      <c r="U140" s="279">
        <v>3</v>
      </c>
      <c r="V140" s="280"/>
      <c r="W140" s="278"/>
      <c r="X140" s="279"/>
      <c r="Y140" s="280"/>
      <c r="Z140" s="278"/>
      <c r="AA140" s="279"/>
      <c r="AB140" s="280"/>
      <c r="AC140" s="278"/>
      <c r="AD140" s="279"/>
      <c r="AE140" s="280"/>
      <c r="AF140" s="278"/>
      <c r="AG140" s="279"/>
      <c r="AH140" s="280"/>
      <c r="AI140" s="278"/>
      <c r="AJ140" s="279"/>
      <c r="AK140" s="280"/>
      <c r="AL140" s="278"/>
      <c r="AM140" s="279"/>
    </row>
    <row r="141" spans="1:39" s="247" customFormat="1" ht="12" customHeight="1" x14ac:dyDescent="0.2">
      <c r="A141" s="273"/>
      <c r="B141" s="2118"/>
      <c r="C141" s="2120"/>
      <c r="D141" s="2120"/>
      <c r="E141" s="2120"/>
      <c r="F141" s="2115"/>
      <c r="G141" s="274" t="s">
        <v>5615</v>
      </c>
      <c r="H141" s="285" t="s">
        <v>6369</v>
      </c>
      <c r="I141" s="276"/>
      <c r="J141" s="277" t="s">
        <v>12</v>
      </c>
      <c r="K141" s="278">
        <f>ES11C01</f>
        <v>1</v>
      </c>
      <c r="L141" s="279">
        <v>4</v>
      </c>
      <c r="M141" s="277" t="s">
        <v>1320</v>
      </c>
      <c r="N141" s="278">
        <f>ES11C02</f>
        <v>1</v>
      </c>
      <c r="O141" s="279">
        <v>4</v>
      </c>
      <c r="P141" s="277"/>
      <c r="Q141" s="278"/>
      <c r="R141" s="279"/>
      <c r="S141" s="277"/>
      <c r="T141" s="278"/>
      <c r="U141" s="279"/>
      <c r="V141" s="277"/>
      <c r="W141" s="278"/>
      <c r="X141" s="279"/>
      <c r="Y141" s="277"/>
      <c r="Z141" s="278"/>
      <c r="AA141" s="279"/>
      <c r="AB141" s="277"/>
      <c r="AC141" s="278"/>
      <c r="AD141" s="279"/>
      <c r="AE141" s="277"/>
      <c r="AF141" s="278"/>
      <c r="AG141" s="279"/>
      <c r="AH141" s="277"/>
      <c r="AI141" s="278"/>
      <c r="AJ141" s="279"/>
      <c r="AK141" s="277"/>
      <c r="AL141" s="278"/>
      <c r="AM141" s="279"/>
    </row>
    <row r="142" spans="1:39" s="247" customFormat="1" ht="13.5" customHeight="1" x14ac:dyDescent="0.2">
      <c r="A142" s="273"/>
      <c r="B142" s="2119"/>
      <c r="C142" s="2121"/>
      <c r="D142" s="2121"/>
      <c r="E142" s="2121"/>
      <c r="F142" s="2116"/>
      <c r="G142" s="274" t="s">
        <v>5615</v>
      </c>
      <c r="H142" s="275" t="s">
        <v>1934</v>
      </c>
      <c r="I142" s="276"/>
      <c r="J142" s="277" t="s">
        <v>4148</v>
      </c>
      <c r="K142" s="278">
        <f>ES11B01</f>
        <v>1</v>
      </c>
      <c r="L142" s="279">
        <v>4</v>
      </c>
      <c r="M142" s="277" t="s">
        <v>947</v>
      </c>
      <c r="N142" s="278">
        <f>ES11E01</f>
        <v>1</v>
      </c>
      <c r="O142" s="279">
        <v>4</v>
      </c>
      <c r="P142" s="277"/>
      <c r="Q142" s="278"/>
      <c r="R142" s="279"/>
      <c r="S142" s="277"/>
      <c r="T142" s="278"/>
      <c r="U142" s="279"/>
      <c r="V142" s="277"/>
      <c r="W142" s="278"/>
      <c r="X142" s="279"/>
      <c r="Y142" s="277"/>
      <c r="Z142" s="278"/>
      <c r="AA142" s="279"/>
      <c r="AB142" s="277"/>
      <c r="AC142" s="278"/>
      <c r="AD142" s="279"/>
      <c r="AE142" s="277"/>
      <c r="AF142" s="278"/>
      <c r="AG142" s="279"/>
      <c r="AH142" s="277"/>
      <c r="AI142" s="278"/>
      <c r="AJ142" s="279"/>
      <c r="AK142" s="277"/>
      <c r="AL142" s="278"/>
      <c r="AM142" s="279"/>
    </row>
    <row r="143" spans="1:39" s="247" customFormat="1" ht="12" customHeight="1" x14ac:dyDescent="0.2">
      <c r="A143" s="273"/>
      <c r="B143" s="281"/>
      <c r="C143" s="281"/>
      <c r="D143" s="281"/>
      <c r="E143" s="281"/>
      <c r="F143" s="281"/>
      <c r="G143" s="274" t="s">
        <v>5615</v>
      </c>
      <c r="H143" s="275" t="s">
        <v>6370</v>
      </c>
      <c r="I143" s="276"/>
      <c r="J143" s="277" t="s">
        <v>6411</v>
      </c>
      <c r="K143" s="278">
        <f>ES02C01</f>
        <v>1</v>
      </c>
      <c r="L143" s="279">
        <v>4</v>
      </c>
      <c r="M143" s="277" t="s">
        <v>6412</v>
      </c>
      <c r="N143" s="278">
        <f>ES02C02</f>
        <v>1</v>
      </c>
      <c r="O143" s="279">
        <v>4</v>
      </c>
      <c r="P143" s="277" t="s">
        <v>6413</v>
      </c>
      <c r="Q143" s="278">
        <f>ES02C03</f>
        <v>1</v>
      </c>
      <c r="R143" s="279">
        <v>4</v>
      </c>
      <c r="S143" s="277" t="s">
        <v>3119</v>
      </c>
      <c r="T143" s="278">
        <f>ES02C04</f>
        <v>1</v>
      </c>
      <c r="U143" s="279">
        <v>4</v>
      </c>
      <c r="V143" s="277" t="s">
        <v>5531</v>
      </c>
      <c r="W143" s="278">
        <f>ES02C06</f>
        <v>1</v>
      </c>
      <c r="X143" s="279">
        <v>4</v>
      </c>
      <c r="Y143" s="277"/>
      <c r="Z143" s="278"/>
      <c r="AA143" s="279"/>
      <c r="AB143" s="277"/>
      <c r="AC143" s="278"/>
      <c r="AD143" s="279"/>
      <c r="AE143" s="277"/>
      <c r="AF143" s="278"/>
      <c r="AG143" s="279"/>
      <c r="AH143" s="277"/>
      <c r="AI143" s="278"/>
      <c r="AJ143" s="279"/>
      <c r="AK143" s="277"/>
      <c r="AL143" s="278"/>
      <c r="AM143" s="279"/>
    </row>
    <row r="144" spans="1:39" ht="13.5" customHeight="1" x14ac:dyDescent="0.2">
      <c r="A144" s="273"/>
      <c r="B144" s="1110"/>
      <c r="C144" s="1110"/>
      <c r="D144" s="1110"/>
      <c r="E144" s="1110"/>
      <c r="F144" s="1110"/>
      <c r="G144" s="274" t="s">
        <v>5617</v>
      </c>
      <c r="H144" s="275"/>
      <c r="I144" s="276"/>
      <c r="J144" s="277"/>
      <c r="K144" s="278"/>
      <c r="L144" s="279"/>
      <c r="M144" s="280"/>
      <c r="N144" s="278"/>
      <c r="O144" s="279"/>
      <c r="P144" s="280"/>
      <c r="Q144" s="278"/>
      <c r="R144" s="287"/>
      <c r="S144" s="277"/>
      <c r="T144" s="278"/>
      <c r="U144" s="279"/>
      <c r="V144" s="277"/>
      <c r="W144" s="278"/>
      <c r="X144" s="279"/>
      <c r="Y144" s="277"/>
      <c r="Z144" s="278"/>
      <c r="AA144" s="279"/>
      <c r="AB144" s="277"/>
      <c r="AC144" s="278"/>
      <c r="AD144" s="279"/>
      <c r="AE144" s="277"/>
      <c r="AF144" s="278"/>
      <c r="AG144" s="279"/>
      <c r="AH144" s="277"/>
      <c r="AI144" s="278"/>
      <c r="AJ144" s="279"/>
      <c r="AK144" s="277"/>
      <c r="AL144" s="278"/>
      <c r="AM144" s="279"/>
    </row>
    <row r="145" spans="1:39" s="247" customFormat="1" ht="12" customHeight="1" x14ac:dyDescent="0.2">
      <c r="A145" s="273"/>
      <c r="B145" s="1112"/>
      <c r="C145" s="1112"/>
      <c r="D145" s="1112"/>
      <c r="E145" s="1112"/>
      <c r="F145" s="1112"/>
      <c r="G145" s="284" t="s">
        <v>5618</v>
      </c>
      <c r="H145" s="275"/>
      <c r="I145" s="276"/>
      <c r="J145" s="277"/>
      <c r="K145" s="278"/>
      <c r="L145" s="279"/>
      <c r="M145" s="277"/>
      <c r="N145" s="278"/>
      <c r="O145" s="279"/>
      <c r="P145" s="277"/>
      <c r="Q145" s="278"/>
      <c r="R145" s="279"/>
      <c r="S145" s="277"/>
      <c r="T145" s="278"/>
      <c r="U145" s="287"/>
      <c r="V145" s="277"/>
      <c r="W145" s="278"/>
      <c r="X145" s="287"/>
      <c r="Y145" s="277"/>
      <c r="Z145" s="278"/>
      <c r="AA145" s="287"/>
      <c r="AB145" s="277"/>
      <c r="AC145" s="278"/>
      <c r="AD145" s="287"/>
      <c r="AE145" s="277"/>
      <c r="AF145" s="278"/>
      <c r="AG145" s="287"/>
      <c r="AH145" s="277"/>
      <c r="AI145" s="278"/>
      <c r="AJ145" s="287"/>
      <c r="AK145" s="277"/>
      <c r="AL145" s="278"/>
      <c r="AM145" s="287"/>
    </row>
    <row r="146" spans="1:39" s="247" customFormat="1" ht="12.75" customHeight="1" x14ac:dyDescent="0.2">
      <c r="A146" s="1373" t="s">
        <v>4038</v>
      </c>
      <c r="B146" s="260" t="s">
        <v>5451</v>
      </c>
      <c r="C146" s="262"/>
      <c r="D146" s="262"/>
      <c r="E146" s="262"/>
      <c r="F146" s="262"/>
      <c r="G146" s="262"/>
      <c r="H146" s="262"/>
      <c r="I146" s="308"/>
      <c r="J146" s="270"/>
      <c r="K146" s="269"/>
      <c r="L146" s="294"/>
      <c r="M146" s="271"/>
      <c r="N146" s="269"/>
      <c r="O146" s="294"/>
      <c r="P146" s="268"/>
      <c r="Q146" s="269"/>
      <c r="R146" s="304"/>
      <c r="S146" s="271"/>
      <c r="T146" s="269"/>
      <c r="U146" s="294"/>
      <c r="V146" s="271"/>
      <c r="W146" s="269"/>
      <c r="X146" s="294"/>
      <c r="Y146" s="271"/>
      <c r="Z146" s="269"/>
      <c r="AA146" s="294"/>
      <c r="AB146" s="271"/>
      <c r="AC146" s="269"/>
      <c r="AD146" s="294"/>
      <c r="AE146" s="271"/>
      <c r="AF146" s="269"/>
      <c r="AG146" s="294"/>
      <c r="AH146" s="271"/>
      <c r="AI146" s="269"/>
      <c r="AJ146" s="294"/>
      <c r="AK146" s="271"/>
      <c r="AL146" s="269"/>
      <c r="AM146" s="294"/>
    </row>
    <row r="147" spans="1:39" s="247" customFormat="1" ht="15" customHeight="1" x14ac:dyDescent="0.2">
      <c r="A147" s="297"/>
      <c r="B147" s="2117">
        <f>COUNTIF(Scénarios!AH325:AH336,1)</f>
        <v>0</v>
      </c>
      <c r="C147" s="2117">
        <f>COUNTIF(Scénarios!AH325:AH336,2)</f>
        <v>0</v>
      </c>
      <c r="D147" s="2122">
        <f>COUNTIF(Scénarios!AH325:AH336,3)</f>
        <v>0</v>
      </c>
      <c r="E147" s="2123">
        <f>COUNTIF(Scénarios!AH325:AH336,4)</f>
        <v>0</v>
      </c>
      <c r="F147" s="2114">
        <f>SUM(B147:E147)</f>
        <v>0</v>
      </c>
      <c r="G147" s="274" t="s">
        <v>5616</v>
      </c>
      <c r="H147" s="275" t="s">
        <v>6370</v>
      </c>
      <c r="I147" s="276"/>
      <c r="J147" s="280" t="s">
        <v>3120</v>
      </c>
      <c r="K147" s="278">
        <f>ES02C05</f>
        <v>1</v>
      </c>
      <c r="L147" s="279">
        <v>3</v>
      </c>
      <c r="M147" s="280"/>
      <c r="N147" s="278"/>
      <c r="O147" s="279"/>
      <c r="P147" s="280"/>
      <c r="Q147" s="278"/>
      <c r="R147" s="279"/>
      <c r="S147" s="280"/>
      <c r="T147" s="278"/>
      <c r="U147" s="279"/>
      <c r="V147" s="280"/>
      <c r="W147" s="278"/>
      <c r="X147" s="279"/>
      <c r="Y147" s="280"/>
      <c r="Z147" s="278"/>
      <c r="AA147" s="279"/>
      <c r="AB147" s="280"/>
      <c r="AC147" s="278"/>
      <c r="AD147" s="279"/>
      <c r="AE147" s="280"/>
      <c r="AF147" s="278"/>
      <c r="AG147" s="279"/>
      <c r="AH147" s="280"/>
      <c r="AI147" s="278"/>
      <c r="AJ147" s="279"/>
      <c r="AK147" s="280"/>
      <c r="AL147" s="278"/>
      <c r="AM147" s="279"/>
    </row>
    <row r="148" spans="1:39" s="247" customFormat="1" ht="14.25" customHeight="1" x14ac:dyDescent="0.2">
      <c r="A148" s="273"/>
      <c r="B148" s="2118"/>
      <c r="C148" s="2120"/>
      <c r="D148" s="2120"/>
      <c r="E148" s="2120"/>
      <c r="F148" s="2115"/>
      <c r="G148" s="274" t="s">
        <v>5615</v>
      </c>
      <c r="H148" s="285" t="s">
        <v>6369</v>
      </c>
      <c r="I148" s="276"/>
      <c r="J148" s="277" t="s">
        <v>3122</v>
      </c>
      <c r="K148" s="278">
        <f>ES02D02</f>
        <v>1</v>
      </c>
      <c r="L148" s="279">
        <v>4</v>
      </c>
      <c r="M148" s="277" t="s">
        <v>3123</v>
      </c>
      <c r="N148" s="278">
        <f>ES02D03</f>
        <v>1</v>
      </c>
      <c r="O148" s="279">
        <v>4</v>
      </c>
      <c r="P148" s="277"/>
      <c r="Q148" s="278"/>
      <c r="R148" s="279"/>
      <c r="S148" s="277"/>
      <c r="T148" s="278"/>
      <c r="U148" s="279"/>
      <c r="V148" s="277"/>
      <c r="W148" s="278"/>
      <c r="X148" s="279"/>
      <c r="Y148" s="277"/>
      <c r="Z148" s="278"/>
      <c r="AA148" s="279"/>
      <c r="AB148" s="277"/>
      <c r="AC148" s="278"/>
      <c r="AD148" s="279"/>
      <c r="AE148" s="277"/>
      <c r="AF148" s="278"/>
      <c r="AG148" s="279"/>
      <c r="AH148" s="277"/>
      <c r="AI148" s="278"/>
      <c r="AJ148" s="279"/>
      <c r="AK148" s="277"/>
      <c r="AL148" s="278"/>
      <c r="AM148" s="279"/>
    </row>
    <row r="149" spans="1:39" ht="12.75" customHeight="1" x14ac:dyDescent="0.2">
      <c r="A149" s="273"/>
      <c r="B149" s="2119"/>
      <c r="C149" s="2121"/>
      <c r="D149" s="2121"/>
      <c r="E149" s="2121"/>
      <c r="F149" s="2116"/>
      <c r="G149" s="274" t="s">
        <v>5615</v>
      </c>
      <c r="H149" s="275" t="s">
        <v>6370</v>
      </c>
      <c r="I149" s="276"/>
      <c r="J149" s="277" t="s">
        <v>6411</v>
      </c>
      <c r="K149" s="278">
        <f>ES02C01</f>
        <v>1</v>
      </c>
      <c r="L149" s="279">
        <v>4</v>
      </c>
      <c r="M149" s="277" t="s">
        <v>6412</v>
      </c>
      <c r="N149" s="278">
        <f>ES02C02</f>
        <v>1</v>
      </c>
      <c r="O149" s="279">
        <v>4</v>
      </c>
      <c r="P149" s="277" t="s">
        <v>6413</v>
      </c>
      <c r="Q149" s="278">
        <f>ES02C03</f>
        <v>1</v>
      </c>
      <c r="R149" s="279">
        <v>4</v>
      </c>
      <c r="S149" s="277" t="s">
        <v>5531</v>
      </c>
      <c r="T149" s="278">
        <f>ES02C06</f>
        <v>1</v>
      </c>
      <c r="U149" s="279">
        <v>4</v>
      </c>
      <c r="V149" s="277"/>
      <c r="W149" s="278"/>
      <c r="X149" s="279"/>
      <c r="Y149" s="277"/>
      <c r="Z149" s="278"/>
      <c r="AA149" s="279"/>
      <c r="AB149" s="277"/>
      <c r="AC149" s="278"/>
      <c r="AD149" s="279"/>
      <c r="AE149" s="277"/>
      <c r="AF149" s="278"/>
      <c r="AG149" s="279"/>
      <c r="AH149" s="277"/>
      <c r="AI149" s="278"/>
      <c r="AJ149" s="279"/>
      <c r="AK149" s="277"/>
      <c r="AL149" s="278"/>
      <c r="AM149" s="279"/>
    </row>
    <row r="150" spans="1:39" s="247" customFormat="1" ht="12" customHeight="1" x14ac:dyDescent="0.2">
      <c r="A150" s="273"/>
      <c r="B150" s="281"/>
      <c r="C150" s="281"/>
      <c r="D150" s="281"/>
      <c r="E150" s="281"/>
      <c r="F150" s="320"/>
      <c r="G150" s="274" t="s">
        <v>5617</v>
      </c>
      <c r="H150" s="275"/>
      <c r="I150" s="276"/>
      <c r="J150" s="277"/>
      <c r="K150" s="278"/>
      <c r="L150" s="279"/>
      <c r="M150" s="280"/>
      <c r="N150" s="278"/>
      <c r="O150" s="279"/>
      <c r="P150" s="280"/>
      <c r="Q150" s="278"/>
      <c r="R150" s="287"/>
      <c r="S150" s="277"/>
      <c r="T150" s="278"/>
      <c r="U150" s="279"/>
      <c r="V150" s="277"/>
      <c r="W150" s="278"/>
      <c r="X150" s="279"/>
      <c r="Y150" s="277"/>
      <c r="Z150" s="278"/>
      <c r="AA150" s="279"/>
      <c r="AB150" s="277"/>
      <c r="AC150" s="278"/>
      <c r="AD150" s="279"/>
      <c r="AE150" s="277"/>
      <c r="AF150" s="278"/>
      <c r="AG150" s="279"/>
      <c r="AH150" s="277"/>
      <c r="AI150" s="278"/>
      <c r="AJ150" s="279"/>
      <c r="AK150" s="277"/>
      <c r="AL150" s="278"/>
      <c r="AM150" s="279"/>
    </row>
    <row r="151" spans="1:39" s="247" customFormat="1" ht="12.75" customHeight="1" x14ac:dyDescent="0.2">
      <c r="A151" s="273"/>
      <c r="B151" s="1112"/>
      <c r="C151" s="1112"/>
      <c r="D151" s="1112"/>
      <c r="E151" s="1112"/>
      <c r="F151" s="1112"/>
      <c r="G151" s="284" t="s">
        <v>5618</v>
      </c>
      <c r="H151" s="275"/>
      <c r="I151" s="276"/>
      <c r="J151" s="277"/>
      <c r="K151" s="278"/>
      <c r="L151" s="279"/>
      <c r="M151" s="277"/>
      <c r="N151" s="278"/>
      <c r="O151" s="279"/>
      <c r="P151" s="277"/>
      <c r="Q151" s="278"/>
      <c r="R151" s="279"/>
      <c r="S151" s="277"/>
      <c r="T151" s="278"/>
      <c r="U151" s="287"/>
      <c r="V151" s="277"/>
      <c r="W151" s="278"/>
      <c r="X151" s="287"/>
      <c r="Y151" s="277"/>
      <c r="Z151" s="278"/>
      <c r="AA151" s="287"/>
      <c r="AB151" s="277"/>
      <c r="AC151" s="278"/>
      <c r="AD151" s="287"/>
      <c r="AE151" s="277"/>
      <c r="AF151" s="278"/>
      <c r="AG151" s="287"/>
      <c r="AH151" s="277"/>
      <c r="AI151" s="278"/>
      <c r="AJ151" s="287"/>
      <c r="AK151" s="277"/>
      <c r="AL151" s="278"/>
      <c r="AM151" s="287"/>
    </row>
    <row r="152" spans="1:39" s="247" customFormat="1" ht="15.75" customHeight="1" x14ac:dyDescent="0.2">
      <c r="A152" s="1373" t="s">
        <v>4040</v>
      </c>
      <c r="B152" s="260" t="s">
        <v>3167</v>
      </c>
      <c r="C152" s="270"/>
      <c r="D152" s="270"/>
      <c r="E152" s="270"/>
      <c r="F152" s="270"/>
      <c r="G152" s="270"/>
      <c r="H152" s="270"/>
      <c r="I152" s="319"/>
      <c r="J152" s="270"/>
      <c r="K152" s="269"/>
      <c r="L152" s="294"/>
      <c r="M152" s="271"/>
      <c r="N152" s="269"/>
      <c r="O152" s="294"/>
      <c r="P152" s="268"/>
      <c r="Q152" s="269"/>
      <c r="R152" s="304"/>
      <c r="S152" s="271"/>
      <c r="T152" s="269"/>
      <c r="U152" s="294"/>
      <c r="V152" s="271"/>
      <c r="W152" s="269"/>
      <c r="X152" s="294"/>
      <c r="Y152" s="271"/>
      <c r="Z152" s="269"/>
      <c r="AA152" s="294"/>
      <c r="AB152" s="271"/>
      <c r="AC152" s="269"/>
      <c r="AD152" s="294"/>
      <c r="AE152" s="271"/>
      <c r="AF152" s="269"/>
      <c r="AG152" s="294"/>
      <c r="AH152" s="271"/>
      <c r="AI152" s="269"/>
      <c r="AJ152" s="294"/>
      <c r="AK152" s="271"/>
      <c r="AL152" s="269"/>
      <c r="AM152" s="294"/>
    </row>
    <row r="153" spans="1:39" s="247" customFormat="1" ht="13.5" customHeight="1" x14ac:dyDescent="0.2">
      <c r="A153" s="297"/>
      <c r="B153" s="2117">
        <f>COUNTIF(Scénarios!AH338:AH344,1)</f>
        <v>0</v>
      </c>
      <c r="C153" s="2117">
        <f>COUNTIF(Scénarios!AH338:AH344,2)</f>
        <v>0</v>
      </c>
      <c r="D153" s="2122">
        <f>COUNTIF(Scénarios!AH338:AH344,3)</f>
        <v>0</v>
      </c>
      <c r="E153" s="2123">
        <f>COUNTIF(Scénarios!AH338:AH344,4)</f>
        <v>0</v>
      </c>
      <c r="F153" s="2148">
        <f>SUM(B153:E153)</f>
        <v>0</v>
      </c>
      <c r="G153" s="274" t="s">
        <v>5616</v>
      </c>
      <c r="H153" s="275" t="s">
        <v>1934</v>
      </c>
      <c r="I153" s="276"/>
      <c r="J153" s="277" t="s">
        <v>1665</v>
      </c>
      <c r="K153" s="278">
        <f>ES03B06</f>
        <v>1</v>
      </c>
      <c r="L153" s="279">
        <v>3</v>
      </c>
      <c r="M153" s="280"/>
      <c r="N153" s="278"/>
      <c r="O153" s="279"/>
      <c r="P153" s="280"/>
      <c r="Q153" s="278"/>
      <c r="R153" s="279"/>
      <c r="S153" s="280"/>
      <c r="T153" s="278"/>
      <c r="U153" s="279"/>
      <c r="V153" s="280"/>
      <c r="W153" s="278"/>
      <c r="X153" s="279"/>
      <c r="Y153" s="280"/>
      <c r="Z153" s="278"/>
      <c r="AA153" s="279"/>
      <c r="AB153" s="280"/>
      <c r="AC153" s="278"/>
      <c r="AD153" s="279"/>
      <c r="AE153" s="280"/>
      <c r="AF153" s="278"/>
      <c r="AG153" s="279"/>
      <c r="AH153" s="280"/>
      <c r="AI153" s="278"/>
      <c r="AJ153" s="279"/>
      <c r="AK153" s="280"/>
      <c r="AL153" s="278"/>
      <c r="AM153" s="279"/>
    </row>
    <row r="154" spans="1:39" ht="12.75" customHeight="1" x14ac:dyDescent="0.2">
      <c r="A154" s="273"/>
      <c r="B154" s="2118"/>
      <c r="C154" s="2120"/>
      <c r="D154" s="2120"/>
      <c r="E154" s="2120"/>
      <c r="F154" s="2115"/>
      <c r="G154" s="274" t="s">
        <v>5615</v>
      </c>
      <c r="H154" s="285" t="s">
        <v>6369</v>
      </c>
      <c r="I154" s="276"/>
      <c r="J154" s="277" t="s">
        <v>3603</v>
      </c>
      <c r="K154" s="278">
        <f>ES08A07</f>
        <v>1</v>
      </c>
      <c r="L154" s="279">
        <v>4</v>
      </c>
      <c r="M154" s="277"/>
      <c r="N154" s="278"/>
      <c r="O154" s="279"/>
      <c r="P154" s="277"/>
      <c r="Q154" s="278"/>
      <c r="R154" s="279"/>
      <c r="S154" s="277"/>
      <c r="T154" s="278"/>
      <c r="U154" s="279"/>
      <c r="V154" s="277"/>
      <c r="W154" s="278"/>
      <c r="X154" s="279"/>
      <c r="Y154" s="277"/>
      <c r="Z154" s="278"/>
      <c r="AA154" s="279"/>
      <c r="AB154" s="277"/>
      <c r="AC154" s="278"/>
      <c r="AD154" s="279"/>
      <c r="AE154" s="277"/>
      <c r="AF154" s="278"/>
      <c r="AG154" s="279"/>
      <c r="AH154" s="277"/>
      <c r="AI154" s="278"/>
      <c r="AJ154" s="279"/>
      <c r="AK154" s="277"/>
      <c r="AL154" s="278"/>
      <c r="AM154" s="279"/>
    </row>
    <row r="155" spans="1:39" s="247" customFormat="1" ht="12" customHeight="1" x14ac:dyDescent="0.2">
      <c r="A155" s="273"/>
      <c r="B155" s="2119"/>
      <c r="C155" s="2121"/>
      <c r="D155" s="2121"/>
      <c r="E155" s="2121"/>
      <c r="F155" s="2116"/>
      <c r="G155" s="274" t="s">
        <v>5617</v>
      </c>
      <c r="H155" s="275"/>
      <c r="I155" s="276"/>
      <c r="J155" s="277"/>
      <c r="K155" s="278"/>
      <c r="L155" s="279"/>
      <c r="M155" s="280"/>
      <c r="N155" s="278"/>
      <c r="O155" s="279"/>
      <c r="P155" s="280"/>
      <c r="Q155" s="278"/>
      <c r="R155" s="287"/>
      <c r="S155" s="277"/>
      <c r="T155" s="278"/>
      <c r="U155" s="279"/>
      <c r="V155" s="277"/>
      <c r="W155" s="278"/>
      <c r="X155" s="279"/>
      <c r="Y155" s="277"/>
      <c r="Z155" s="278"/>
      <c r="AA155" s="279"/>
      <c r="AB155" s="277"/>
      <c r="AC155" s="278"/>
      <c r="AD155" s="279"/>
      <c r="AE155" s="277"/>
      <c r="AF155" s="278"/>
      <c r="AG155" s="279"/>
      <c r="AH155" s="277"/>
      <c r="AI155" s="278"/>
      <c r="AJ155" s="279"/>
      <c r="AK155" s="277"/>
      <c r="AL155" s="278"/>
      <c r="AM155" s="279"/>
    </row>
    <row r="156" spans="1:39" s="247" customFormat="1" ht="12.75" customHeight="1" x14ac:dyDescent="0.2">
      <c r="A156" s="273"/>
      <c r="B156" s="306"/>
      <c r="C156" s="306"/>
      <c r="D156" s="306"/>
      <c r="E156" s="306"/>
      <c r="F156" s="306"/>
      <c r="G156" s="284" t="s">
        <v>5618</v>
      </c>
      <c r="H156" s="275"/>
      <c r="I156" s="276"/>
      <c r="J156" s="277"/>
      <c r="K156" s="278"/>
      <c r="L156" s="279"/>
      <c r="M156" s="277"/>
      <c r="N156" s="278"/>
      <c r="O156" s="279"/>
      <c r="P156" s="277"/>
      <c r="Q156" s="278"/>
      <c r="R156" s="279"/>
      <c r="S156" s="277"/>
      <c r="T156" s="278"/>
      <c r="U156" s="287"/>
      <c r="V156" s="277"/>
      <c r="W156" s="278"/>
      <c r="X156" s="287"/>
      <c r="Y156" s="277"/>
      <c r="Z156" s="278"/>
      <c r="AA156" s="287"/>
      <c r="AB156" s="277"/>
      <c r="AC156" s="278"/>
      <c r="AD156" s="287"/>
      <c r="AE156" s="277"/>
      <c r="AF156" s="278"/>
      <c r="AG156" s="287"/>
      <c r="AH156" s="277"/>
      <c r="AI156" s="278"/>
      <c r="AJ156" s="287"/>
      <c r="AK156" s="277"/>
      <c r="AL156" s="278"/>
      <c r="AM156" s="287"/>
    </row>
    <row r="157" spans="1:39" s="247" customFormat="1" ht="15.75" customHeight="1" x14ac:dyDescent="0.2">
      <c r="A157" s="1373" t="s">
        <v>3168</v>
      </c>
      <c r="B157" s="260" t="s">
        <v>3169</v>
      </c>
      <c r="C157" s="262"/>
      <c r="D157" s="262"/>
      <c r="E157" s="262"/>
      <c r="F157" s="262"/>
      <c r="G157" s="262"/>
      <c r="H157" s="262"/>
      <c r="I157" s="308"/>
      <c r="J157" s="270"/>
      <c r="K157" s="269"/>
      <c r="L157" s="294"/>
      <c r="M157" s="271"/>
      <c r="N157" s="269"/>
      <c r="O157" s="294"/>
      <c r="P157" s="268"/>
      <c r="Q157" s="269"/>
      <c r="R157" s="304"/>
      <c r="S157" s="271"/>
      <c r="T157" s="269"/>
      <c r="U157" s="294"/>
      <c r="V157" s="271"/>
      <c r="W157" s="269"/>
      <c r="X157" s="294"/>
      <c r="Y157" s="271"/>
      <c r="Z157" s="269"/>
      <c r="AA157" s="294"/>
      <c r="AB157" s="271"/>
      <c r="AC157" s="269"/>
      <c r="AD157" s="294"/>
      <c r="AE157" s="271"/>
      <c r="AF157" s="269"/>
      <c r="AG157" s="294"/>
      <c r="AH157" s="271"/>
      <c r="AI157" s="269"/>
      <c r="AJ157" s="294"/>
      <c r="AK157" s="271"/>
      <c r="AL157" s="269"/>
      <c r="AM157" s="294"/>
    </row>
    <row r="158" spans="1:39" s="247" customFormat="1" ht="12" customHeight="1" x14ac:dyDescent="0.2">
      <c r="A158" s="297"/>
      <c r="B158" s="2117">
        <f>COUNTIF(Scénarios!AH346:AH359,1)</f>
        <v>0</v>
      </c>
      <c r="C158" s="2117">
        <f>COUNTIF(Scénarios!AH346:AH359,2)</f>
        <v>0</v>
      </c>
      <c r="D158" s="2122">
        <f>COUNTIF(Scénarios!AH346:AH359,3)</f>
        <v>0</v>
      </c>
      <c r="E158" s="2123">
        <f>COUNTIF(Scénarios!AH346:AH359,4)</f>
        <v>0</v>
      </c>
      <c r="F158" s="2114">
        <f>SUM(B158:E158)</f>
        <v>0</v>
      </c>
      <c r="G158" s="274" t="s">
        <v>5616</v>
      </c>
      <c r="H158" s="275" t="s">
        <v>6370</v>
      </c>
      <c r="I158" s="276"/>
      <c r="J158" s="277" t="s">
        <v>41</v>
      </c>
      <c r="K158" s="278">
        <f>ES06A01</f>
        <v>1</v>
      </c>
      <c r="L158" s="279">
        <v>3</v>
      </c>
      <c r="M158" s="280" t="s">
        <v>4575</v>
      </c>
      <c r="N158" s="278">
        <f>ES06C03</f>
        <v>1</v>
      </c>
      <c r="O158" s="279">
        <v>3</v>
      </c>
      <c r="P158" s="280" t="s">
        <v>4299</v>
      </c>
      <c r="Q158" s="278">
        <f>ES08F02</f>
        <v>1</v>
      </c>
      <c r="R158" s="279">
        <v>3</v>
      </c>
      <c r="S158" s="280" t="s">
        <v>4300</v>
      </c>
      <c r="T158" s="278">
        <f>ES08F03</f>
        <v>1</v>
      </c>
      <c r="U158" s="279">
        <v>3</v>
      </c>
      <c r="V158" s="280"/>
      <c r="W158" s="278"/>
      <c r="X158" s="279"/>
      <c r="Y158" s="280"/>
      <c r="Z158" s="278"/>
      <c r="AA158" s="279"/>
      <c r="AB158" s="280"/>
      <c r="AC158" s="278"/>
      <c r="AD158" s="279"/>
      <c r="AE158" s="280"/>
      <c r="AF158" s="278"/>
      <c r="AG158" s="279"/>
      <c r="AH158" s="280"/>
      <c r="AI158" s="278"/>
      <c r="AJ158" s="279"/>
      <c r="AK158" s="280"/>
      <c r="AL158" s="278"/>
      <c r="AM158" s="279"/>
    </row>
    <row r="159" spans="1:39" s="247" customFormat="1" ht="12" customHeight="1" x14ac:dyDescent="0.2">
      <c r="A159" s="273"/>
      <c r="B159" s="2118"/>
      <c r="C159" s="2120"/>
      <c r="D159" s="2120"/>
      <c r="E159" s="2120"/>
      <c r="F159" s="2115"/>
      <c r="G159" s="274" t="s">
        <v>5615</v>
      </c>
      <c r="H159" s="275" t="s">
        <v>6370</v>
      </c>
      <c r="I159" s="276"/>
      <c r="J159" s="277" t="s">
        <v>3657</v>
      </c>
      <c r="K159" s="278">
        <f>ES09A01</f>
        <v>1</v>
      </c>
      <c r="L159" s="279">
        <v>4</v>
      </c>
      <c r="M159" s="277" t="s">
        <v>3659</v>
      </c>
      <c r="N159" s="278">
        <f>ES09A02</f>
        <v>1</v>
      </c>
      <c r="O159" s="279">
        <v>4</v>
      </c>
      <c r="P159" s="277" t="s">
        <v>3661</v>
      </c>
      <c r="Q159" s="278">
        <f>ES09A03</f>
        <v>1</v>
      </c>
      <c r="R159" s="279">
        <v>4</v>
      </c>
      <c r="S159" s="277" t="s">
        <v>3662</v>
      </c>
      <c r="T159" s="278">
        <f>ES09A04</f>
        <v>1</v>
      </c>
      <c r="U159" s="279">
        <v>4</v>
      </c>
      <c r="V159" s="277"/>
      <c r="W159" s="278"/>
      <c r="X159" s="279"/>
      <c r="Y159" s="277"/>
      <c r="Z159" s="278"/>
      <c r="AA159" s="279"/>
      <c r="AB159" s="277"/>
      <c r="AC159" s="278"/>
      <c r="AD159" s="279"/>
      <c r="AE159" s="277"/>
      <c r="AF159" s="278"/>
      <c r="AG159" s="279"/>
      <c r="AH159" s="277"/>
      <c r="AI159" s="278"/>
      <c r="AJ159" s="279"/>
      <c r="AK159" s="277"/>
      <c r="AL159" s="278"/>
      <c r="AM159" s="279"/>
    </row>
    <row r="160" spans="1:39" x14ac:dyDescent="0.2">
      <c r="A160" s="273"/>
      <c r="B160" s="2119"/>
      <c r="C160" s="2121"/>
      <c r="D160" s="2121"/>
      <c r="E160" s="2121"/>
      <c r="F160" s="2116"/>
      <c r="G160" s="274" t="s">
        <v>5615</v>
      </c>
      <c r="H160" s="275" t="s">
        <v>1934</v>
      </c>
      <c r="I160" s="276"/>
      <c r="J160" s="277" t="s">
        <v>6766</v>
      </c>
      <c r="K160" s="278">
        <f>ES05C01</f>
        <v>1</v>
      </c>
      <c r="L160" s="279">
        <v>4</v>
      </c>
      <c r="M160" s="277" t="s">
        <v>6770</v>
      </c>
      <c r="N160" s="278">
        <f>ES05C03</f>
        <v>1</v>
      </c>
      <c r="O160" s="279">
        <v>4</v>
      </c>
      <c r="P160" s="277" t="s">
        <v>3670</v>
      </c>
      <c r="Q160" s="278">
        <f>ES09C01</f>
        <v>1</v>
      </c>
      <c r="R160" s="279">
        <v>4</v>
      </c>
      <c r="S160" s="277"/>
      <c r="T160" s="278"/>
      <c r="U160" s="279"/>
      <c r="V160" s="277"/>
      <c r="W160" s="278"/>
      <c r="X160" s="279"/>
      <c r="Y160" s="277"/>
      <c r="Z160" s="278"/>
      <c r="AA160" s="279"/>
      <c r="AB160" s="277"/>
      <c r="AC160" s="278"/>
      <c r="AD160" s="279"/>
      <c r="AE160" s="277"/>
      <c r="AF160" s="278"/>
      <c r="AG160" s="279"/>
      <c r="AH160" s="277"/>
      <c r="AI160" s="278"/>
      <c r="AJ160" s="279"/>
      <c r="AK160" s="277"/>
      <c r="AL160" s="278"/>
      <c r="AM160" s="279"/>
    </row>
    <row r="161" spans="1:39" s="247" customFormat="1" ht="14.25" customHeight="1" x14ac:dyDescent="0.2">
      <c r="A161" s="273"/>
      <c r="B161" s="281"/>
      <c r="C161" s="281"/>
      <c r="D161" s="281"/>
      <c r="E161" s="281"/>
      <c r="F161" s="281"/>
      <c r="G161" s="274" t="s">
        <v>5615</v>
      </c>
      <c r="H161" s="275" t="s">
        <v>6370</v>
      </c>
      <c r="I161" s="276"/>
      <c r="J161" s="277" t="s">
        <v>5426</v>
      </c>
      <c r="K161" s="278">
        <f>ES07A01</f>
        <v>1</v>
      </c>
      <c r="L161" s="279">
        <v>4</v>
      </c>
      <c r="M161" s="277" t="s">
        <v>5428</v>
      </c>
      <c r="N161" s="278">
        <f>ES07A02</f>
        <v>1</v>
      </c>
      <c r="O161" s="279">
        <v>4</v>
      </c>
      <c r="P161" s="277" t="s">
        <v>5429</v>
      </c>
      <c r="Q161" s="278">
        <f>ES07A03</f>
        <v>1</v>
      </c>
      <c r="R161" s="279">
        <v>4</v>
      </c>
      <c r="S161" s="277" t="s">
        <v>5137</v>
      </c>
      <c r="T161" s="278">
        <f>ES07A04</f>
        <v>1</v>
      </c>
      <c r="U161" s="279">
        <v>4</v>
      </c>
      <c r="V161" s="277" t="s">
        <v>5147</v>
      </c>
      <c r="W161" s="278">
        <f>ES08F01</f>
        <v>1</v>
      </c>
      <c r="X161" s="279">
        <v>4</v>
      </c>
      <c r="Y161" s="277" t="s">
        <v>4299</v>
      </c>
      <c r="Z161" s="278">
        <f>ES08F02</f>
        <v>1</v>
      </c>
      <c r="AA161" s="279">
        <v>4</v>
      </c>
      <c r="AB161" s="277"/>
      <c r="AC161" s="278"/>
      <c r="AD161" s="279"/>
      <c r="AE161" s="277"/>
      <c r="AF161" s="278"/>
      <c r="AG161" s="279"/>
      <c r="AH161" s="277"/>
      <c r="AI161" s="278"/>
      <c r="AJ161" s="279"/>
      <c r="AK161" s="277"/>
      <c r="AL161" s="278"/>
      <c r="AM161" s="279"/>
    </row>
    <row r="162" spans="1:39" ht="12.75" customHeight="1" x14ac:dyDescent="0.2">
      <c r="A162" s="273"/>
      <c r="B162" s="1110"/>
      <c r="C162" s="1110"/>
      <c r="D162" s="1110"/>
      <c r="E162" s="1110"/>
      <c r="F162" s="1110"/>
      <c r="G162" s="274" t="s">
        <v>5615</v>
      </c>
      <c r="H162" s="275" t="s">
        <v>6370</v>
      </c>
      <c r="I162" s="276"/>
      <c r="J162" s="277" t="s">
        <v>1667</v>
      </c>
      <c r="K162" s="278">
        <f>ES03B07</f>
        <v>1</v>
      </c>
      <c r="L162" s="279">
        <v>3</v>
      </c>
      <c r="M162" s="277" t="s">
        <v>5031</v>
      </c>
      <c r="N162" s="278">
        <f>ES04B02</f>
        <v>1</v>
      </c>
      <c r="O162" s="279">
        <v>3</v>
      </c>
      <c r="P162" s="277" t="s">
        <v>1473</v>
      </c>
      <c r="Q162" s="278">
        <f>ES04B03</f>
        <v>1</v>
      </c>
      <c r="R162" s="279">
        <v>3</v>
      </c>
      <c r="S162" s="277" t="s">
        <v>1454</v>
      </c>
      <c r="T162" s="278">
        <f>ES05B01</f>
        <v>1</v>
      </c>
      <c r="U162" s="279">
        <v>3</v>
      </c>
      <c r="V162" s="277" t="s">
        <v>1456</v>
      </c>
      <c r="W162" s="278">
        <f>ES05B02</f>
        <v>1</v>
      </c>
      <c r="X162" s="279">
        <v>3</v>
      </c>
      <c r="Y162" s="277" t="s">
        <v>1458</v>
      </c>
      <c r="Z162" s="278">
        <f>ES05B03</f>
        <v>1</v>
      </c>
      <c r="AA162" s="279">
        <v>3</v>
      </c>
      <c r="AB162" s="277" t="s">
        <v>5674</v>
      </c>
      <c r="AC162" s="278">
        <f>ES05B04</f>
        <v>1</v>
      </c>
      <c r="AD162" s="279">
        <v>3</v>
      </c>
      <c r="AE162" s="277" t="s">
        <v>42</v>
      </c>
      <c r="AF162" s="278">
        <f>ES05B05</f>
        <v>1</v>
      </c>
      <c r="AG162" s="279">
        <v>3</v>
      </c>
      <c r="AH162" s="277" t="s">
        <v>5010</v>
      </c>
      <c r="AI162" s="278">
        <f>ES05B06</f>
        <v>1</v>
      </c>
      <c r="AJ162" s="279">
        <v>3</v>
      </c>
      <c r="AK162" s="277" t="s">
        <v>5011</v>
      </c>
      <c r="AL162" s="278">
        <f>ES05B07</f>
        <v>1</v>
      </c>
      <c r="AM162" s="279">
        <v>3</v>
      </c>
    </row>
    <row r="163" spans="1:39" ht="12.75" customHeight="1" x14ac:dyDescent="0.2">
      <c r="A163" s="273"/>
      <c r="B163" s="1110"/>
      <c r="C163" s="1110"/>
      <c r="D163" s="1110"/>
      <c r="E163" s="1110"/>
      <c r="F163" s="1110"/>
      <c r="G163" s="274" t="s">
        <v>5615</v>
      </c>
      <c r="H163" s="275" t="s">
        <v>6370</v>
      </c>
      <c r="I163" s="276"/>
      <c r="J163" s="277" t="s">
        <v>4530</v>
      </c>
      <c r="K163" s="278">
        <f>ES06A02</f>
        <v>1</v>
      </c>
      <c r="L163" s="279">
        <v>3</v>
      </c>
      <c r="M163" s="277" t="s">
        <v>4513</v>
      </c>
      <c r="N163" s="278">
        <f>ES06A04</f>
        <v>1</v>
      </c>
      <c r="O163" s="279">
        <v>3</v>
      </c>
      <c r="P163" s="277" t="s">
        <v>4572</v>
      </c>
      <c r="Q163" s="278">
        <f>ES06C01</f>
        <v>1</v>
      </c>
      <c r="R163" s="279">
        <v>3</v>
      </c>
      <c r="S163" s="277" t="s">
        <v>4574</v>
      </c>
      <c r="T163" s="278">
        <f>ES06C02</f>
        <v>1</v>
      </c>
      <c r="U163" s="279">
        <v>3</v>
      </c>
      <c r="V163" s="277"/>
      <c r="W163" s="278"/>
      <c r="X163" s="279"/>
      <c r="Y163" s="277"/>
      <c r="Z163" s="278"/>
      <c r="AA163" s="279"/>
      <c r="AB163" s="277"/>
      <c r="AC163" s="278"/>
      <c r="AD163" s="279"/>
      <c r="AE163" s="277"/>
      <c r="AF163" s="278"/>
      <c r="AG163" s="279"/>
      <c r="AH163" s="277"/>
      <c r="AI163" s="278"/>
      <c r="AJ163" s="279"/>
      <c r="AK163" s="277"/>
      <c r="AL163" s="278"/>
      <c r="AM163" s="279"/>
    </row>
    <row r="164" spans="1:39" ht="12.75" customHeight="1" x14ac:dyDescent="0.2">
      <c r="A164" s="273"/>
      <c r="B164" s="1110"/>
      <c r="C164" s="1110"/>
      <c r="D164" s="1110"/>
      <c r="E164" s="1110"/>
      <c r="F164" s="1110"/>
      <c r="G164" s="274" t="s">
        <v>5615</v>
      </c>
      <c r="H164" s="275" t="s">
        <v>998</v>
      </c>
      <c r="I164" s="276"/>
      <c r="J164" s="277" t="s">
        <v>2555</v>
      </c>
      <c r="K164" s="278">
        <f>ES09C03</f>
        <v>1</v>
      </c>
      <c r="L164" s="279">
        <v>4</v>
      </c>
      <c r="M164" s="277"/>
      <c r="N164" s="278"/>
      <c r="O164" s="279"/>
      <c r="P164" s="277"/>
      <c r="Q164" s="278"/>
      <c r="R164" s="279"/>
      <c r="S164" s="277"/>
      <c r="T164" s="278"/>
      <c r="U164" s="279"/>
      <c r="V164" s="277"/>
      <c r="W164" s="278"/>
      <c r="X164" s="279"/>
      <c r="Y164" s="277"/>
      <c r="Z164" s="278"/>
      <c r="AA164" s="279"/>
      <c r="AB164" s="277"/>
      <c r="AC164" s="278"/>
      <c r="AD164" s="279"/>
      <c r="AE164" s="277"/>
      <c r="AF164" s="278"/>
      <c r="AG164" s="279"/>
      <c r="AH164" s="277"/>
      <c r="AI164" s="278"/>
      <c r="AJ164" s="279"/>
      <c r="AK164" s="277"/>
      <c r="AL164" s="278"/>
      <c r="AM164" s="279"/>
    </row>
    <row r="165" spans="1:39" x14ac:dyDescent="0.2">
      <c r="A165" s="273"/>
      <c r="B165" s="1110"/>
      <c r="C165" s="1110"/>
      <c r="D165" s="1110"/>
      <c r="E165" s="1110"/>
      <c r="F165" s="1110"/>
      <c r="G165" s="274" t="s">
        <v>5617</v>
      </c>
      <c r="H165" s="275"/>
      <c r="I165" s="276"/>
      <c r="J165" s="277"/>
      <c r="K165" s="278"/>
      <c r="L165" s="279"/>
      <c r="M165" s="280"/>
      <c r="N165" s="278"/>
      <c r="O165" s="279"/>
      <c r="P165" s="280"/>
      <c r="Q165" s="278"/>
      <c r="R165" s="287"/>
      <c r="S165" s="277"/>
      <c r="T165" s="278"/>
      <c r="U165" s="279"/>
      <c r="V165" s="277"/>
      <c r="W165" s="278"/>
      <c r="X165" s="279"/>
      <c r="Y165" s="277"/>
      <c r="Z165" s="278"/>
      <c r="AA165" s="279"/>
      <c r="AB165" s="277"/>
      <c r="AC165" s="278"/>
      <c r="AD165" s="279"/>
      <c r="AE165" s="277"/>
      <c r="AF165" s="278"/>
      <c r="AG165" s="279"/>
      <c r="AH165" s="277"/>
      <c r="AI165" s="278"/>
      <c r="AJ165" s="279"/>
      <c r="AK165" s="277"/>
      <c r="AL165" s="278"/>
      <c r="AM165" s="279"/>
    </row>
    <row r="166" spans="1:39" x14ac:dyDescent="0.2">
      <c r="A166" s="273"/>
      <c r="B166" s="1112"/>
      <c r="C166" s="1112"/>
      <c r="D166" s="1112"/>
      <c r="E166" s="1112"/>
      <c r="F166" s="1112"/>
      <c r="G166" s="284" t="s">
        <v>5618</v>
      </c>
      <c r="H166" s="275"/>
      <c r="I166" s="276"/>
      <c r="J166" s="277"/>
      <c r="K166" s="278"/>
      <c r="L166" s="279"/>
      <c r="M166" s="277"/>
      <c r="N166" s="278"/>
      <c r="O166" s="279"/>
      <c r="P166" s="277"/>
      <c r="Q166" s="278"/>
      <c r="R166" s="279"/>
      <c r="S166" s="277"/>
      <c r="T166" s="278"/>
      <c r="U166" s="287"/>
      <c r="V166" s="277"/>
      <c r="W166" s="278"/>
      <c r="X166" s="287"/>
      <c r="Y166" s="277"/>
      <c r="Z166" s="278"/>
      <c r="AA166" s="287"/>
      <c r="AB166" s="277"/>
      <c r="AC166" s="278"/>
      <c r="AD166" s="287"/>
      <c r="AE166" s="277"/>
      <c r="AF166" s="278"/>
      <c r="AG166" s="287"/>
      <c r="AH166" s="277"/>
      <c r="AI166" s="278"/>
      <c r="AJ166" s="287"/>
      <c r="AK166" s="277"/>
      <c r="AL166" s="278"/>
      <c r="AM166" s="287"/>
    </row>
    <row r="167" spans="1:39" ht="15" x14ac:dyDescent="0.2">
      <c r="A167" s="1373" t="s">
        <v>3170</v>
      </c>
      <c r="B167" s="260" t="s">
        <v>3171</v>
      </c>
      <c r="C167" s="262"/>
      <c r="D167" s="262"/>
      <c r="E167" s="262"/>
      <c r="F167" s="262"/>
      <c r="G167" s="262"/>
      <c r="H167" s="262"/>
      <c r="I167" s="308"/>
      <c r="J167" s="270"/>
      <c r="K167" s="269"/>
      <c r="L167" s="294"/>
      <c r="M167" s="271"/>
      <c r="N167" s="269"/>
      <c r="O167" s="294"/>
      <c r="P167" s="268"/>
      <c r="Q167" s="269"/>
      <c r="R167" s="304"/>
      <c r="S167" s="271"/>
      <c r="T167" s="269"/>
      <c r="U167" s="294"/>
      <c r="V167" s="271"/>
      <c r="W167" s="269"/>
      <c r="X167" s="294"/>
      <c r="Y167" s="271"/>
      <c r="Z167" s="269"/>
      <c r="AA167" s="294"/>
      <c r="AB167" s="271"/>
      <c r="AC167" s="269"/>
      <c r="AD167" s="294"/>
      <c r="AE167" s="271"/>
      <c r="AF167" s="269"/>
      <c r="AG167" s="294"/>
      <c r="AH167" s="271"/>
      <c r="AI167" s="269"/>
      <c r="AJ167" s="294"/>
      <c r="AK167" s="271"/>
      <c r="AL167" s="269"/>
      <c r="AM167" s="294"/>
    </row>
    <row r="168" spans="1:39" ht="14.25" customHeight="1" x14ac:dyDescent="0.2">
      <c r="A168" s="297"/>
      <c r="B168" s="2117">
        <f>COUNTIF(Scénarios!AH361:AH364,1)</f>
        <v>0</v>
      </c>
      <c r="C168" s="2117">
        <f>COUNTIF(Scénarios!AH361:AH364,2)</f>
        <v>0</v>
      </c>
      <c r="D168" s="2122">
        <f>COUNTIF(Scénarios!AH361:AH364,3)</f>
        <v>0</v>
      </c>
      <c r="E168" s="2123">
        <f>COUNTIF(Scénarios!AH361:AH364,4)</f>
        <v>0</v>
      </c>
      <c r="F168" s="2114">
        <f>SUM(B168:E168)</f>
        <v>0</v>
      </c>
      <c r="G168" s="274" t="s">
        <v>5616</v>
      </c>
      <c r="H168" s="275"/>
      <c r="I168" s="276"/>
      <c r="J168" s="277"/>
      <c r="K168" s="278"/>
      <c r="L168" s="279"/>
      <c r="M168" s="280"/>
      <c r="N168" s="278"/>
      <c r="O168" s="279"/>
      <c r="P168" s="280"/>
      <c r="Q168" s="278"/>
      <c r="R168" s="279"/>
      <c r="S168" s="280"/>
      <c r="T168" s="278"/>
      <c r="U168" s="279"/>
      <c r="V168" s="280"/>
      <c r="W168" s="278"/>
      <c r="X168" s="279"/>
      <c r="Y168" s="280"/>
      <c r="Z168" s="278"/>
      <c r="AA168" s="279"/>
      <c r="AB168" s="280"/>
      <c r="AC168" s="278"/>
      <c r="AD168" s="279"/>
      <c r="AE168" s="280"/>
      <c r="AF168" s="278"/>
      <c r="AG168" s="279"/>
      <c r="AH168" s="280"/>
      <c r="AI168" s="278"/>
      <c r="AJ168" s="279"/>
      <c r="AK168" s="280"/>
      <c r="AL168" s="278"/>
      <c r="AM168" s="279"/>
    </row>
    <row r="169" spans="1:39" ht="14.25" customHeight="1" x14ac:dyDescent="0.2">
      <c r="A169" s="273"/>
      <c r="B169" s="2118"/>
      <c r="C169" s="2120"/>
      <c r="D169" s="2120"/>
      <c r="E169" s="2120"/>
      <c r="F169" s="2115"/>
      <c r="G169" s="274" t="s">
        <v>5615</v>
      </c>
      <c r="H169" s="285" t="s">
        <v>6369</v>
      </c>
      <c r="I169" s="276"/>
      <c r="J169" s="277" t="s">
        <v>1597</v>
      </c>
      <c r="K169" s="278">
        <f>ES11C05</f>
        <v>1</v>
      </c>
      <c r="L169" s="279">
        <v>4</v>
      </c>
      <c r="M169" s="277"/>
      <c r="N169" s="278"/>
      <c r="O169" s="279"/>
      <c r="P169" s="277"/>
      <c r="Q169" s="278"/>
      <c r="R169" s="279"/>
      <c r="S169" s="277"/>
      <c r="T169" s="278"/>
      <c r="U169" s="279"/>
      <c r="V169" s="277"/>
      <c r="W169" s="278"/>
      <c r="X169" s="279"/>
      <c r="Y169" s="277"/>
      <c r="Z169" s="278"/>
      <c r="AA169" s="279"/>
      <c r="AB169" s="277"/>
      <c r="AC169" s="278"/>
      <c r="AD169" s="279"/>
      <c r="AE169" s="277"/>
      <c r="AF169" s="278"/>
      <c r="AG169" s="279"/>
      <c r="AH169" s="277"/>
      <c r="AI169" s="278"/>
      <c r="AJ169" s="279"/>
      <c r="AK169" s="277"/>
      <c r="AL169" s="278"/>
      <c r="AM169" s="279"/>
    </row>
    <row r="170" spans="1:39" ht="12.75" customHeight="1" x14ac:dyDescent="0.2">
      <c r="A170" s="273"/>
      <c r="B170" s="2119"/>
      <c r="C170" s="2121"/>
      <c r="D170" s="2121"/>
      <c r="E170" s="2121"/>
      <c r="F170" s="2116"/>
      <c r="G170" s="274" t="s">
        <v>5617</v>
      </c>
      <c r="H170" s="275"/>
      <c r="I170" s="276"/>
      <c r="J170" s="277"/>
      <c r="K170" s="278"/>
      <c r="L170" s="279"/>
      <c r="M170" s="280"/>
      <c r="N170" s="278"/>
      <c r="O170" s="279"/>
      <c r="P170" s="280"/>
      <c r="Q170" s="278"/>
      <c r="R170" s="287"/>
      <c r="S170" s="277"/>
      <c r="T170" s="278"/>
      <c r="U170" s="279"/>
      <c r="V170" s="277"/>
      <c r="W170" s="278"/>
      <c r="X170" s="279"/>
      <c r="Y170" s="277"/>
      <c r="Z170" s="278"/>
      <c r="AA170" s="279"/>
      <c r="AB170" s="277"/>
      <c r="AC170" s="278"/>
      <c r="AD170" s="279"/>
      <c r="AE170" s="277"/>
      <c r="AF170" s="278"/>
      <c r="AG170" s="279"/>
      <c r="AH170" s="277"/>
      <c r="AI170" s="278"/>
      <c r="AJ170" s="279"/>
      <c r="AK170" s="277"/>
      <c r="AL170" s="278"/>
      <c r="AM170" s="279"/>
    </row>
    <row r="171" spans="1:39" x14ac:dyDescent="0.2">
      <c r="A171" s="273"/>
      <c r="B171" s="306"/>
      <c r="C171" s="306"/>
      <c r="D171" s="306"/>
      <c r="E171" s="306"/>
      <c r="F171" s="306"/>
      <c r="G171" s="284" t="s">
        <v>5618</v>
      </c>
      <c r="H171" s="275"/>
      <c r="I171" s="276"/>
      <c r="J171" s="277"/>
      <c r="K171" s="278"/>
      <c r="L171" s="279"/>
      <c r="M171" s="277"/>
      <c r="N171" s="278"/>
      <c r="O171" s="279"/>
      <c r="P171" s="277"/>
      <c r="Q171" s="278"/>
      <c r="R171" s="279"/>
      <c r="S171" s="277"/>
      <c r="T171" s="278"/>
      <c r="U171" s="287"/>
      <c r="V171" s="277"/>
      <c r="W171" s="278"/>
      <c r="X171" s="287"/>
      <c r="Y171" s="277"/>
      <c r="Z171" s="278"/>
      <c r="AA171" s="287"/>
      <c r="AB171" s="277"/>
      <c r="AC171" s="278"/>
      <c r="AD171" s="287"/>
      <c r="AE171" s="277"/>
      <c r="AF171" s="278"/>
      <c r="AG171" s="287"/>
      <c r="AH171" s="277"/>
      <c r="AI171" s="278"/>
      <c r="AJ171" s="287"/>
      <c r="AK171" s="277"/>
      <c r="AL171" s="278"/>
      <c r="AM171" s="287"/>
    </row>
    <row r="172" spans="1:39" ht="15" x14ac:dyDescent="0.2">
      <c r="A172" s="1373" t="s">
        <v>3172</v>
      </c>
      <c r="B172" s="260" t="s">
        <v>3173</v>
      </c>
      <c r="C172" s="262"/>
      <c r="D172" s="262"/>
      <c r="E172" s="262"/>
      <c r="F172" s="262"/>
      <c r="G172" s="262"/>
      <c r="H172" s="262"/>
      <c r="I172" s="308"/>
      <c r="J172" s="270"/>
      <c r="K172" s="269"/>
      <c r="L172" s="294"/>
      <c r="M172" s="271"/>
      <c r="N172" s="269"/>
      <c r="O172" s="294"/>
      <c r="P172" s="268"/>
      <c r="Q172" s="269"/>
      <c r="R172" s="304"/>
      <c r="S172" s="271"/>
      <c r="T172" s="269"/>
      <c r="U172" s="294"/>
      <c r="V172" s="271"/>
      <c r="W172" s="269"/>
      <c r="X172" s="294"/>
      <c r="Y172" s="271"/>
      <c r="Z172" s="269"/>
      <c r="AA172" s="294"/>
      <c r="AB172" s="271"/>
      <c r="AC172" s="269"/>
      <c r="AD172" s="294"/>
      <c r="AE172" s="271"/>
      <c r="AF172" s="269"/>
      <c r="AG172" s="294"/>
      <c r="AH172" s="271"/>
      <c r="AI172" s="269"/>
      <c r="AJ172" s="294"/>
      <c r="AK172" s="271"/>
      <c r="AL172" s="269"/>
      <c r="AM172" s="294"/>
    </row>
    <row r="173" spans="1:39" ht="13.5" customHeight="1" x14ac:dyDescent="0.2">
      <c r="A173" s="297"/>
      <c r="B173" s="2117">
        <f>COUNTIF(Scénarios!AH366:AH372,1)</f>
        <v>0</v>
      </c>
      <c r="C173" s="2117">
        <f>COUNTIF(Scénarios!AH366:AH372,2)</f>
        <v>0</v>
      </c>
      <c r="D173" s="2122">
        <f>COUNTIF(Scénarios!AH366:AH372,3)</f>
        <v>0</v>
      </c>
      <c r="E173" s="2123">
        <f>COUNTIF(Scénarios!AH366:AH372,4)</f>
        <v>0</v>
      </c>
      <c r="F173" s="2114">
        <f>SUM(B173:E173)</f>
        <v>0</v>
      </c>
      <c r="G173" s="274" t="s">
        <v>5616</v>
      </c>
      <c r="H173" s="275"/>
      <c r="I173" s="276"/>
      <c r="J173" s="277"/>
      <c r="K173" s="278"/>
      <c r="L173" s="279"/>
      <c r="M173" s="280"/>
      <c r="N173" s="278"/>
      <c r="O173" s="279"/>
      <c r="P173" s="280"/>
      <c r="Q173" s="278"/>
      <c r="R173" s="279"/>
      <c r="S173" s="280"/>
      <c r="T173" s="278"/>
      <c r="U173" s="279"/>
      <c r="V173" s="280"/>
      <c r="W173" s="278"/>
      <c r="X173" s="279"/>
      <c r="Y173" s="280"/>
      <c r="Z173" s="278"/>
      <c r="AA173" s="279"/>
      <c r="AB173" s="280"/>
      <c r="AC173" s="278"/>
      <c r="AD173" s="279"/>
      <c r="AE173" s="280"/>
      <c r="AF173" s="278"/>
      <c r="AG173" s="279"/>
      <c r="AH173" s="280"/>
      <c r="AI173" s="278"/>
      <c r="AJ173" s="279"/>
      <c r="AK173" s="280"/>
      <c r="AL173" s="278"/>
      <c r="AM173" s="279"/>
    </row>
    <row r="174" spans="1:39" ht="11.25" customHeight="1" x14ac:dyDescent="0.2">
      <c r="A174" s="273"/>
      <c r="B174" s="2118"/>
      <c r="C174" s="2120"/>
      <c r="D174" s="2120"/>
      <c r="E174" s="2120"/>
      <c r="F174" s="2115"/>
      <c r="G174" s="274" t="s">
        <v>5615</v>
      </c>
      <c r="H174" s="285" t="s">
        <v>6369</v>
      </c>
      <c r="I174" s="276"/>
      <c r="J174" s="277" t="s">
        <v>3124</v>
      </c>
      <c r="K174" s="278">
        <f>ES02D04</f>
        <v>1</v>
      </c>
      <c r="L174" s="279">
        <v>4</v>
      </c>
      <c r="M174" s="277" t="s">
        <v>3125</v>
      </c>
      <c r="N174" s="278">
        <f>ES02D05</f>
        <v>1</v>
      </c>
      <c r="O174" s="279">
        <v>4</v>
      </c>
      <c r="P174" s="277"/>
      <c r="Q174" s="278"/>
      <c r="R174" s="279"/>
      <c r="S174" s="277"/>
      <c r="T174" s="278"/>
      <c r="U174" s="279"/>
      <c r="V174" s="277"/>
      <c r="W174" s="278"/>
      <c r="X174" s="279"/>
      <c r="Y174" s="277"/>
      <c r="Z174" s="278"/>
      <c r="AA174" s="279"/>
      <c r="AB174" s="277"/>
      <c r="AC174" s="278"/>
      <c r="AD174" s="279"/>
      <c r="AE174" s="277"/>
      <c r="AF174" s="278"/>
      <c r="AG174" s="279"/>
      <c r="AH174" s="277"/>
      <c r="AI174" s="278"/>
      <c r="AJ174" s="279"/>
      <c r="AK174" s="277"/>
      <c r="AL174" s="278"/>
      <c r="AM174" s="279"/>
    </row>
    <row r="175" spans="1:39" ht="11.25" customHeight="1" x14ac:dyDescent="0.2">
      <c r="A175" s="273"/>
      <c r="B175" s="2119"/>
      <c r="C175" s="2121"/>
      <c r="D175" s="2121"/>
      <c r="E175" s="2121"/>
      <c r="F175" s="2116"/>
      <c r="G175" s="274" t="s">
        <v>5617</v>
      </c>
      <c r="H175" s="275"/>
      <c r="I175" s="276"/>
      <c r="J175" s="277"/>
      <c r="K175" s="278"/>
      <c r="L175" s="279"/>
      <c r="M175" s="280"/>
      <c r="N175" s="278"/>
      <c r="O175" s="279"/>
      <c r="P175" s="280"/>
      <c r="Q175" s="278"/>
      <c r="R175" s="287"/>
      <c r="S175" s="277"/>
      <c r="T175" s="278"/>
      <c r="U175" s="279"/>
      <c r="V175" s="277"/>
      <c r="W175" s="278"/>
      <c r="X175" s="279"/>
      <c r="Y175" s="277"/>
      <c r="Z175" s="278"/>
      <c r="AA175" s="279"/>
      <c r="AB175" s="277"/>
      <c r="AC175" s="278"/>
      <c r="AD175" s="279"/>
      <c r="AE175" s="277"/>
      <c r="AF175" s="278"/>
      <c r="AG175" s="279"/>
      <c r="AH175" s="277"/>
      <c r="AI175" s="278"/>
      <c r="AJ175" s="279"/>
      <c r="AK175" s="277"/>
      <c r="AL175" s="278"/>
      <c r="AM175" s="279"/>
    </row>
    <row r="176" spans="1:39" ht="12.75" customHeight="1" x14ac:dyDescent="0.2">
      <c r="A176" s="273"/>
      <c r="B176" s="306"/>
      <c r="C176" s="306"/>
      <c r="D176" s="306"/>
      <c r="E176" s="306"/>
      <c r="F176" s="306"/>
      <c r="G176" s="284" t="s">
        <v>5618</v>
      </c>
      <c r="H176" s="275"/>
      <c r="I176" s="276"/>
      <c r="J176" s="277"/>
      <c r="K176" s="278"/>
      <c r="L176" s="279"/>
      <c r="M176" s="277"/>
      <c r="N176" s="278"/>
      <c r="O176" s="279"/>
      <c r="P176" s="277"/>
      <c r="Q176" s="278"/>
      <c r="R176" s="279"/>
      <c r="S176" s="277"/>
      <c r="T176" s="278"/>
      <c r="U176" s="287"/>
      <c r="V176" s="277"/>
      <c r="W176" s="278"/>
      <c r="X176" s="287"/>
      <c r="Y176" s="277"/>
      <c r="Z176" s="278"/>
      <c r="AA176" s="287"/>
      <c r="AB176" s="277"/>
      <c r="AC176" s="278"/>
      <c r="AD176" s="287"/>
      <c r="AE176" s="277"/>
      <c r="AF176" s="278"/>
      <c r="AG176" s="287"/>
      <c r="AH176" s="277"/>
      <c r="AI176" s="278"/>
      <c r="AJ176" s="287"/>
      <c r="AK176" s="277"/>
      <c r="AL176" s="278"/>
      <c r="AM176" s="287"/>
    </row>
    <row r="177" spans="1:39" ht="15" x14ac:dyDescent="0.2">
      <c r="A177" s="1373" t="s">
        <v>2093</v>
      </c>
      <c r="B177" s="260" t="s">
        <v>3174</v>
      </c>
      <c r="C177" s="270"/>
      <c r="D177" s="270"/>
      <c r="E177" s="270"/>
      <c r="F177" s="270"/>
      <c r="G177" s="270"/>
      <c r="H177" s="270"/>
      <c r="I177" s="319"/>
      <c r="J177" s="270"/>
      <c r="K177" s="269"/>
      <c r="L177" s="294"/>
      <c r="M177" s="271"/>
      <c r="N177" s="269"/>
      <c r="O177" s="294"/>
      <c r="P177" s="268"/>
      <c r="Q177" s="269"/>
      <c r="R177" s="304"/>
      <c r="S177" s="271"/>
      <c r="T177" s="269"/>
      <c r="U177" s="294"/>
      <c r="V177" s="271"/>
      <c r="W177" s="269"/>
      <c r="X177" s="294"/>
      <c r="Y177" s="271"/>
      <c r="Z177" s="269"/>
      <c r="AA177" s="294"/>
      <c r="AB177" s="271"/>
      <c r="AC177" s="269"/>
      <c r="AD177" s="294"/>
      <c r="AE177" s="271"/>
      <c r="AF177" s="269"/>
      <c r="AG177" s="294"/>
      <c r="AH177" s="271"/>
      <c r="AI177" s="269"/>
      <c r="AJ177" s="294"/>
      <c r="AK177" s="271"/>
      <c r="AL177" s="269"/>
      <c r="AM177" s="294"/>
    </row>
    <row r="178" spans="1:39" ht="14.25" customHeight="1" x14ac:dyDescent="0.2">
      <c r="A178" s="297"/>
      <c r="B178" s="2117">
        <f>COUNTIF(Scénarios!AH374:AH377,1)</f>
        <v>0</v>
      </c>
      <c r="C178" s="2117">
        <f>COUNTIF(Scénarios!AH374:AH377,2)</f>
        <v>0</v>
      </c>
      <c r="D178" s="2122">
        <f>COUNTIF(Scénarios!AH374:AH377,3)</f>
        <v>0</v>
      </c>
      <c r="E178" s="2123">
        <f>COUNTIF(Scénarios!AH374:AH377,4)</f>
        <v>0</v>
      </c>
      <c r="F178" s="2148">
        <f>SUM(B178:E178)</f>
        <v>0</v>
      </c>
      <c r="G178" s="274" t="s">
        <v>5616</v>
      </c>
      <c r="H178" s="275" t="s">
        <v>1934</v>
      </c>
      <c r="I178" s="276"/>
      <c r="J178" s="277" t="s">
        <v>3127</v>
      </c>
      <c r="K178" s="278">
        <f>ES02D07</f>
        <v>1</v>
      </c>
      <c r="L178" s="279">
        <v>3</v>
      </c>
      <c r="M178" s="280"/>
      <c r="N178" s="278"/>
      <c r="O178" s="279"/>
      <c r="P178" s="280"/>
      <c r="Q178" s="278"/>
      <c r="R178" s="279"/>
      <c r="S178" s="280"/>
      <c r="T178" s="278"/>
      <c r="U178" s="279"/>
      <c r="V178" s="280"/>
      <c r="W178" s="278"/>
      <c r="X178" s="279"/>
      <c r="Y178" s="280"/>
      <c r="Z178" s="278"/>
      <c r="AA178" s="279"/>
      <c r="AB178" s="280"/>
      <c r="AC178" s="278"/>
      <c r="AD178" s="279"/>
      <c r="AE178" s="280"/>
      <c r="AF178" s="278"/>
      <c r="AG178" s="279"/>
      <c r="AH178" s="280"/>
      <c r="AI178" s="278"/>
      <c r="AJ178" s="279"/>
      <c r="AK178" s="280"/>
      <c r="AL178" s="278"/>
      <c r="AM178" s="279"/>
    </row>
    <row r="179" spans="1:39" ht="11.25" customHeight="1" x14ac:dyDescent="0.2">
      <c r="A179" s="273"/>
      <c r="B179" s="2118"/>
      <c r="C179" s="2120"/>
      <c r="D179" s="2120"/>
      <c r="E179" s="2120"/>
      <c r="F179" s="2115"/>
      <c r="G179" s="274" t="s">
        <v>5615</v>
      </c>
      <c r="H179" s="275" t="s">
        <v>1935</v>
      </c>
      <c r="I179" s="276"/>
      <c r="J179" s="277" t="s">
        <v>3127</v>
      </c>
      <c r="K179" s="278">
        <f>ES02D07</f>
        <v>1</v>
      </c>
      <c r="L179" s="279">
        <v>4</v>
      </c>
      <c r="M179" s="277"/>
      <c r="N179" s="278"/>
      <c r="O179" s="279"/>
      <c r="P179" s="277"/>
      <c r="Q179" s="278"/>
      <c r="R179" s="279"/>
      <c r="S179" s="277"/>
      <c r="T179" s="278"/>
      <c r="U179" s="279"/>
      <c r="V179" s="277"/>
      <c r="W179" s="278"/>
      <c r="X179" s="279"/>
      <c r="Y179" s="277"/>
      <c r="Z179" s="278"/>
      <c r="AA179" s="279"/>
      <c r="AB179" s="277"/>
      <c r="AC179" s="278"/>
      <c r="AD179" s="279"/>
      <c r="AE179" s="277"/>
      <c r="AF179" s="278"/>
      <c r="AG179" s="279"/>
      <c r="AH179" s="277"/>
      <c r="AI179" s="278"/>
      <c r="AJ179" s="279"/>
      <c r="AK179" s="277"/>
      <c r="AL179" s="278"/>
      <c r="AM179" s="279"/>
    </row>
    <row r="180" spans="1:39" ht="11.25" customHeight="1" x14ac:dyDescent="0.2">
      <c r="A180" s="273"/>
      <c r="B180" s="2119"/>
      <c r="C180" s="2121"/>
      <c r="D180" s="2121"/>
      <c r="E180" s="2121"/>
      <c r="F180" s="2116"/>
      <c r="G180" s="274" t="s">
        <v>5617</v>
      </c>
      <c r="H180" s="275"/>
      <c r="I180" s="276"/>
      <c r="J180" s="277"/>
      <c r="K180" s="278"/>
      <c r="L180" s="279"/>
      <c r="M180" s="280"/>
      <c r="N180" s="278"/>
      <c r="O180" s="279"/>
      <c r="P180" s="280"/>
      <c r="Q180" s="278"/>
      <c r="R180" s="287"/>
      <c r="S180" s="277"/>
      <c r="T180" s="278"/>
      <c r="U180" s="279"/>
      <c r="V180" s="277"/>
      <c r="W180" s="278"/>
      <c r="X180" s="279"/>
      <c r="Y180" s="277"/>
      <c r="Z180" s="278"/>
      <c r="AA180" s="279"/>
      <c r="AB180" s="277"/>
      <c r="AC180" s="278"/>
      <c r="AD180" s="279"/>
      <c r="AE180" s="277"/>
      <c r="AF180" s="278"/>
      <c r="AG180" s="279"/>
      <c r="AH180" s="277"/>
      <c r="AI180" s="278"/>
      <c r="AJ180" s="279"/>
      <c r="AK180" s="277"/>
      <c r="AL180" s="278"/>
      <c r="AM180" s="279"/>
    </row>
    <row r="181" spans="1:39" x14ac:dyDescent="0.2">
      <c r="A181" s="273"/>
      <c r="B181" s="306"/>
      <c r="C181" s="306"/>
      <c r="D181" s="306"/>
      <c r="E181" s="306"/>
      <c r="F181" s="306"/>
      <c r="G181" s="284" t="s">
        <v>5618</v>
      </c>
      <c r="H181" s="275"/>
      <c r="I181" s="276"/>
      <c r="J181" s="277"/>
      <c r="K181" s="278"/>
      <c r="L181" s="279"/>
      <c r="M181" s="277"/>
      <c r="N181" s="278"/>
      <c r="O181" s="279"/>
      <c r="P181" s="277"/>
      <c r="Q181" s="278"/>
      <c r="R181" s="279"/>
      <c r="S181" s="277"/>
      <c r="T181" s="278"/>
      <c r="U181" s="287"/>
      <c r="V181" s="277"/>
      <c r="W181" s="278"/>
      <c r="X181" s="287"/>
      <c r="Y181" s="277"/>
      <c r="Z181" s="278"/>
      <c r="AA181" s="287"/>
      <c r="AB181" s="277"/>
      <c r="AC181" s="278"/>
      <c r="AD181" s="287"/>
      <c r="AE181" s="277"/>
      <c r="AF181" s="278"/>
      <c r="AG181" s="287"/>
      <c r="AH181" s="277"/>
      <c r="AI181" s="278"/>
      <c r="AJ181" s="287"/>
      <c r="AK181" s="277"/>
      <c r="AL181" s="278"/>
      <c r="AM181" s="287"/>
    </row>
    <row r="182" spans="1:39" ht="15" x14ac:dyDescent="0.2">
      <c r="A182" s="1373" t="s">
        <v>3175</v>
      </c>
      <c r="B182" s="260" t="s">
        <v>3176</v>
      </c>
      <c r="C182" s="262"/>
      <c r="D182" s="262"/>
      <c r="E182" s="262"/>
      <c r="F182" s="262"/>
      <c r="G182" s="262"/>
      <c r="H182" s="262"/>
      <c r="I182" s="308"/>
      <c r="J182" s="270"/>
      <c r="K182" s="269"/>
      <c r="L182" s="294"/>
      <c r="M182" s="271"/>
      <c r="N182" s="269"/>
      <c r="O182" s="294"/>
      <c r="P182" s="268"/>
      <c r="Q182" s="269"/>
      <c r="R182" s="304"/>
      <c r="S182" s="271"/>
      <c r="T182" s="269"/>
      <c r="U182" s="294"/>
      <c r="V182" s="271"/>
      <c r="W182" s="269"/>
      <c r="X182" s="294"/>
      <c r="Y182" s="271"/>
      <c r="Z182" s="269"/>
      <c r="AA182" s="294"/>
      <c r="AB182" s="271"/>
      <c r="AC182" s="269"/>
      <c r="AD182" s="294"/>
      <c r="AE182" s="271"/>
      <c r="AF182" s="269"/>
      <c r="AG182" s="294"/>
      <c r="AH182" s="271"/>
      <c r="AI182" s="269"/>
      <c r="AJ182" s="294"/>
      <c r="AK182" s="271"/>
      <c r="AL182" s="269"/>
      <c r="AM182" s="294"/>
    </row>
    <row r="183" spans="1:39" ht="14.25" customHeight="1" x14ac:dyDescent="0.2">
      <c r="A183" s="297"/>
      <c r="B183" s="2117">
        <f>COUNTIF(Scénarios!AH379:AH381,1)</f>
        <v>0</v>
      </c>
      <c r="C183" s="2117">
        <f>COUNTIF(Scénarios!AH379:AH381,2)</f>
        <v>0</v>
      </c>
      <c r="D183" s="2122">
        <f>COUNTIF(Scénarios!AH379:AH381,3)</f>
        <v>0</v>
      </c>
      <c r="E183" s="2123">
        <f>COUNTIF(Scénarios!AH379:AH381,4)</f>
        <v>0</v>
      </c>
      <c r="F183" s="2114">
        <f>SUM(B183:E183)</f>
        <v>0</v>
      </c>
      <c r="G183" s="274" t="s">
        <v>5616</v>
      </c>
      <c r="H183" s="285" t="s">
        <v>6369</v>
      </c>
      <c r="I183" s="276"/>
      <c r="J183" s="277" t="s">
        <v>5417</v>
      </c>
      <c r="K183" s="278">
        <f>ES08H03</f>
        <v>1</v>
      </c>
      <c r="L183" s="279">
        <v>3</v>
      </c>
      <c r="M183" s="280"/>
      <c r="N183" s="278"/>
      <c r="O183" s="279"/>
      <c r="P183" s="280"/>
      <c r="Q183" s="278"/>
      <c r="R183" s="279"/>
      <c r="S183" s="280"/>
      <c r="T183" s="278"/>
      <c r="U183" s="279"/>
      <c r="V183" s="280"/>
      <c r="W183" s="278"/>
      <c r="X183" s="279"/>
      <c r="Y183" s="280"/>
      <c r="Z183" s="278"/>
      <c r="AA183" s="279"/>
      <c r="AB183" s="280"/>
      <c r="AC183" s="278"/>
      <c r="AD183" s="279"/>
      <c r="AE183" s="280"/>
      <c r="AF183" s="278"/>
      <c r="AG183" s="279"/>
      <c r="AH183" s="280"/>
      <c r="AI183" s="278"/>
      <c r="AJ183" s="279"/>
      <c r="AK183" s="280"/>
      <c r="AL183" s="278"/>
      <c r="AM183" s="279"/>
    </row>
    <row r="184" spans="1:39" ht="12" customHeight="1" x14ac:dyDescent="0.2">
      <c r="A184" s="273"/>
      <c r="B184" s="2118"/>
      <c r="C184" s="2120"/>
      <c r="D184" s="2120"/>
      <c r="E184" s="2120"/>
      <c r="F184" s="2115"/>
      <c r="G184" s="274" t="s">
        <v>5615</v>
      </c>
      <c r="H184" s="285" t="s">
        <v>6369</v>
      </c>
      <c r="I184" s="276"/>
      <c r="J184" s="277" t="s">
        <v>2553</v>
      </c>
      <c r="K184" s="278">
        <f>ES09C02</f>
        <v>1</v>
      </c>
      <c r="L184" s="279">
        <v>4</v>
      </c>
      <c r="M184" s="277"/>
      <c r="N184" s="278"/>
      <c r="O184" s="279"/>
      <c r="P184" s="277"/>
      <c r="Q184" s="278"/>
      <c r="R184" s="279"/>
      <c r="S184" s="277"/>
      <c r="T184" s="278"/>
      <c r="U184" s="279"/>
      <c r="V184" s="277"/>
      <c r="W184" s="278"/>
      <c r="X184" s="279"/>
      <c r="Y184" s="277"/>
      <c r="Z184" s="278"/>
      <c r="AA184" s="279"/>
      <c r="AB184" s="277"/>
      <c r="AC184" s="278"/>
      <c r="AD184" s="279"/>
      <c r="AE184" s="277"/>
      <c r="AF184" s="278"/>
      <c r="AG184" s="279"/>
      <c r="AH184" s="277"/>
      <c r="AI184" s="278"/>
      <c r="AJ184" s="279"/>
      <c r="AK184" s="277"/>
      <c r="AL184" s="278"/>
      <c r="AM184" s="279"/>
    </row>
    <row r="185" spans="1:39" ht="12" customHeight="1" x14ac:dyDescent="0.2">
      <c r="A185" s="273"/>
      <c r="B185" s="2119"/>
      <c r="C185" s="2121"/>
      <c r="D185" s="2121"/>
      <c r="E185" s="2121"/>
      <c r="F185" s="2116"/>
      <c r="G185" s="274" t="s">
        <v>5617</v>
      </c>
      <c r="H185" s="275"/>
      <c r="I185" s="276"/>
      <c r="J185" s="277"/>
      <c r="K185" s="278"/>
      <c r="L185" s="279"/>
      <c r="M185" s="280"/>
      <c r="N185" s="278"/>
      <c r="O185" s="279"/>
      <c r="P185" s="280"/>
      <c r="Q185" s="278"/>
      <c r="R185" s="287"/>
      <c r="S185" s="277"/>
      <c r="T185" s="278"/>
      <c r="U185" s="279"/>
      <c r="V185" s="277"/>
      <c r="W185" s="278"/>
      <c r="X185" s="279"/>
      <c r="Y185" s="277"/>
      <c r="Z185" s="278"/>
      <c r="AA185" s="279"/>
      <c r="AB185" s="277"/>
      <c r="AC185" s="278"/>
      <c r="AD185" s="279"/>
      <c r="AE185" s="277"/>
      <c r="AF185" s="278"/>
      <c r="AG185" s="279"/>
      <c r="AH185" s="277"/>
      <c r="AI185" s="278"/>
      <c r="AJ185" s="279"/>
      <c r="AK185" s="277"/>
      <c r="AL185" s="278"/>
      <c r="AM185" s="279"/>
    </row>
    <row r="186" spans="1:39" x14ac:dyDescent="0.2">
      <c r="A186" s="273"/>
      <c r="B186" s="306"/>
      <c r="C186" s="306"/>
      <c r="D186" s="306"/>
      <c r="E186" s="306"/>
      <c r="F186" s="306"/>
      <c r="G186" s="284" t="s">
        <v>5618</v>
      </c>
      <c r="H186" s="275"/>
      <c r="I186" s="276"/>
      <c r="J186" s="277"/>
      <c r="K186" s="278"/>
      <c r="L186" s="279"/>
      <c r="M186" s="277"/>
      <c r="N186" s="278"/>
      <c r="O186" s="279"/>
      <c r="P186" s="277"/>
      <c r="Q186" s="278"/>
      <c r="R186" s="279"/>
      <c r="S186" s="277"/>
      <c r="T186" s="278"/>
      <c r="U186" s="287"/>
      <c r="V186" s="277"/>
      <c r="W186" s="278"/>
      <c r="X186" s="287"/>
      <c r="Y186" s="277"/>
      <c r="Z186" s="278"/>
      <c r="AA186" s="287"/>
      <c r="AB186" s="277"/>
      <c r="AC186" s="278"/>
      <c r="AD186" s="287"/>
      <c r="AE186" s="277"/>
      <c r="AF186" s="278"/>
      <c r="AG186" s="287"/>
      <c r="AH186" s="277"/>
      <c r="AI186" s="278"/>
      <c r="AJ186" s="287"/>
      <c r="AK186" s="277"/>
      <c r="AL186" s="278"/>
      <c r="AM186" s="287"/>
    </row>
    <row r="187" spans="1:39" ht="15" x14ac:dyDescent="0.2">
      <c r="A187" s="1374" t="s">
        <v>1761</v>
      </c>
      <c r="B187" s="260" t="s">
        <v>1762</v>
      </c>
      <c r="C187" s="262"/>
      <c r="D187" s="262"/>
      <c r="E187" s="262"/>
      <c r="F187" s="262"/>
      <c r="G187" s="262"/>
      <c r="H187" s="262"/>
      <c r="I187" s="308"/>
      <c r="J187" s="270"/>
      <c r="K187" s="269"/>
      <c r="L187" s="294"/>
      <c r="M187" s="271"/>
      <c r="N187" s="269"/>
      <c r="O187" s="294"/>
      <c r="P187" s="268"/>
      <c r="Q187" s="269"/>
      <c r="R187" s="304"/>
      <c r="S187" s="271"/>
      <c r="T187" s="269"/>
      <c r="U187" s="294"/>
      <c r="V187" s="271"/>
      <c r="W187" s="269"/>
      <c r="X187" s="294"/>
      <c r="Y187" s="271"/>
      <c r="Z187" s="269"/>
      <c r="AA187" s="294"/>
      <c r="AB187" s="271"/>
      <c r="AC187" s="269"/>
      <c r="AD187" s="294"/>
      <c r="AE187" s="271"/>
      <c r="AF187" s="269"/>
      <c r="AG187" s="294"/>
      <c r="AH187" s="271"/>
      <c r="AI187" s="269"/>
      <c r="AJ187" s="294"/>
      <c r="AK187" s="271"/>
      <c r="AL187" s="269"/>
      <c r="AM187" s="294"/>
    </row>
    <row r="188" spans="1:39" ht="14.25" customHeight="1" x14ac:dyDescent="0.2">
      <c r="A188" s="297"/>
      <c r="B188" s="2117">
        <f>COUNTIF(Scénarios!AH383:AH386,1)</f>
        <v>0</v>
      </c>
      <c r="C188" s="2117">
        <f>COUNTIF(Scénarios!AH383:AH386,2)</f>
        <v>0</v>
      </c>
      <c r="D188" s="2122">
        <f>COUNTIF(Scénarios!AH383:AH386,3)</f>
        <v>0</v>
      </c>
      <c r="E188" s="2123">
        <f>COUNTIF(Scénarios!AH383:AH386,4)</f>
        <v>0</v>
      </c>
      <c r="F188" s="2114">
        <f>SUM(B188:E188)</f>
        <v>0</v>
      </c>
      <c r="G188" s="274" t="s">
        <v>5616</v>
      </c>
      <c r="H188" s="275"/>
      <c r="I188" s="276"/>
      <c r="J188" s="277"/>
      <c r="K188" s="278"/>
      <c r="L188" s="279"/>
      <c r="M188" s="280"/>
      <c r="N188" s="278"/>
      <c r="O188" s="279"/>
      <c r="P188" s="280"/>
      <c r="Q188" s="278"/>
      <c r="R188" s="279"/>
      <c r="S188" s="280"/>
      <c r="T188" s="278"/>
      <c r="U188" s="279"/>
      <c r="V188" s="280"/>
      <c r="W188" s="278"/>
      <c r="X188" s="279"/>
      <c r="Y188" s="280"/>
      <c r="Z188" s="278"/>
      <c r="AA188" s="279"/>
      <c r="AB188" s="280"/>
      <c r="AC188" s="278"/>
      <c r="AD188" s="279"/>
      <c r="AE188" s="280"/>
      <c r="AF188" s="278"/>
      <c r="AG188" s="279"/>
      <c r="AH188" s="280"/>
      <c r="AI188" s="278"/>
      <c r="AJ188" s="279"/>
      <c r="AK188" s="280"/>
      <c r="AL188" s="278"/>
      <c r="AM188" s="279"/>
    </row>
    <row r="189" spans="1:39" ht="11.25" customHeight="1" x14ac:dyDescent="0.2">
      <c r="A189" s="273"/>
      <c r="B189" s="2118"/>
      <c r="C189" s="2120"/>
      <c r="D189" s="2120"/>
      <c r="E189" s="2120"/>
      <c r="F189" s="2115"/>
      <c r="G189" s="274" t="s">
        <v>5615</v>
      </c>
      <c r="H189" s="275" t="s">
        <v>1935</v>
      </c>
      <c r="I189" s="276"/>
      <c r="J189" s="277" t="s">
        <v>6388</v>
      </c>
      <c r="K189" s="278">
        <f>ES03A02</f>
        <v>1</v>
      </c>
      <c r="L189" s="279">
        <v>4</v>
      </c>
      <c r="M189" s="277" t="s">
        <v>5220</v>
      </c>
      <c r="N189" s="278">
        <f>ES03C01</f>
        <v>1</v>
      </c>
      <c r="O189" s="279">
        <v>4</v>
      </c>
      <c r="P189" s="277" t="s">
        <v>5225</v>
      </c>
      <c r="Q189" s="278">
        <f>ES03D01</f>
        <v>1</v>
      </c>
      <c r="R189" s="279">
        <v>4</v>
      </c>
      <c r="S189" s="277"/>
      <c r="T189" s="278"/>
      <c r="U189" s="279"/>
      <c r="V189" s="277"/>
      <c r="W189" s="278"/>
      <c r="X189" s="279"/>
      <c r="Y189" s="277"/>
      <c r="Z189" s="278"/>
      <c r="AA189" s="279"/>
      <c r="AB189" s="277"/>
      <c r="AC189" s="278"/>
      <c r="AD189" s="279"/>
      <c r="AE189" s="277"/>
      <c r="AF189" s="278"/>
      <c r="AG189" s="279"/>
      <c r="AH189" s="277"/>
      <c r="AI189" s="278"/>
      <c r="AJ189" s="279"/>
      <c r="AK189" s="277"/>
      <c r="AL189" s="278"/>
      <c r="AM189" s="279"/>
    </row>
    <row r="190" spans="1:39" ht="11.25" customHeight="1" x14ac:dyDescent="0.2">
      <c r="A190" s="273"/>
      <c r="B190" s="2119"/>
      <c r="C190" s="2121"/>
      <c r="D190" s="2121"/>
      <c r="E190" s="2121"/>
      <c r="F190" s="2116"/>
      <c r="G190" s="274" t="s">
        <v>5617</v>
      </c>
      <c r="H190" s="275" t="s">
        <v>1934</v>
      </c>
      <c r="I190" s="276"/>
      <c r="J190" s="277" t="s">
        <v>5222</v>
      </c>
      <c r="K190" s="278">
        <f>ES03C02</f>
        <v>1</v>
      </c>
      <c r="L190" s="279">
        <v>4</v>
      </c>
      <c r="M190" s="280" t="s">
        <v>5224</v>
      </c>
      <c r="N190" s="278">
        <f>ES03C03</f>
        <v>1</v>
      </c>
      <c r="O190" s="279">
        <v>4</v>
      </c>
      <c r="P190" s="280" t="s">
        <v>5227</v>
      </c>
      <c r="Q190" s="278">
        <f>ES03D02</f>
        <v>1</v>
      </c>
      <c r="R190" s="279">
        <v>4</v>
      </c>
      <c r="S190" s="277" t="s">
        <v>3017</v>
      </c>
      <c r="T190" s="278">
        <f>ES03D03</f>
        <v>1</v>
      </c>
      <c r="U190" s="279">
        <v>4</v>
      </c>
      <c r="V190" s="277"/>
      <c r="W190" s="278"/>
      <c r="X190" s="279"/>
      <c r="Y190" s="277"/>
      <c r="Z190" s="278"/>
      <c r="AA190" s="279"/>
      <c r="AB190" s="277"/>
      <c r="AC190" s="278"/>
      <c r="AD190" s="279"/>
      <c r="AE190" s="277"/>
      <c r="AF190" s="278"/>
      <c r="AG190" s="279"/>
      <c r="AH190" s="277"/>
      <c r="AI190" s="278"/>
      <c r="AJ190" s="279"/>
      <c r="AK190" s="277"/>
      <c r="AL190" s="278"/>
      <c r="AM190" s="279"/>
    </row>
    <row r="191" spans="1:39" ht="12.75" customHeight="1" x14ac:dyDescent="0.2">
      <c r="A191" s="273"/>
      <c r="B191" s="306"/>
      <c r="C191" s="306"/>
      <c r="D191" s="306"/>
      <c r="E191" s="306"/>
      <c r="F191" s="306"/>
      <c r="G191" s="284" t="s">
        <v>5618</v>
      </c>
      <c r="H191" s="285" t="s">
        <v>6369</v>
      </c>
      <c r="I191" s="276"/>
      <c r="J191" s="277" t="s">
        <v>3128</v>
      </c>
      <c r="K191" s="278">
        <f>ES01E03</f>
        <v>1</v>
      </c>
      <c r="L191" s="279">
        <v>3</v>
      </c>
      <c r="M191" s="277"/>
      <c r="N191" s="278"/>
      <c r="O191" s="279"/>
      <c r="P191" s="277"/>
      <c r="Q191" s="278"/>
      <c r="R191" s="279"/>
      <c r="S191" s="277"/>
      <c r="T191" s="278"/>
      <c r="U191" s="287"/>
      <c r="V191" s="277"/>
      <c r="W191" s="278"/>
      <c r="X191" s="287"/>
      <c r="Y191" s="277"/>
      <c r="Z191" s="278"/>
      <c r="AA191" s="287"/>
      <c r="AB191" s="277"/>
      <c r="AC191" s="278"/>
      <c r="AD191" s="287"/>
      <c r="AE191" s="277"/>
      <c r="AF191" s="278"/>
      <c r="AG191" s="287"/>
      <c r="AH191" s="277"/>
      <c r="AI191" s="278"/>
      <c r="AJ191" s="287"/>
      <c r="AK191" s="277"/>
      <c r="AL191" s="278"/>
      <c r="AM191" s="287"/>
    </row>
    <row r="192" spans="1:39" ht="15" x14ac:dyDescent="0.2">
      <c r="A192" s="1374" t="s">
        <v>1763</v>
      </c>
      <c r="B192" s="260" t="s">
        <v>1049</v>
      </c>
      <c r="C192" s="262"/>
      <c r="D192" s="262"/>
      <c r="E192" s="262"/>
      <c r="F192" s="262"/>
      <c r="G192" s="262"/>
      <c r="H192" s="262"/>
      <c r="I192" s="308"/>
      <c r="J192" s="270"/>
      <c r="K192" s="269"/>
      <c r="L192" s="294"/>
      <c r="M192" s="271"/>
      <c r="N192" s="269"/>
      <c r="O192" s="294"/>
      <c r="P192" s="268"/>
      <c r="Q192" s="269"/>
      <c r="R192" s="304"/>
      <c r="S192" s="271"/>
      <c r="T192" s="269"/>
      <c r="U192" s="294"/>
      <c r="V192" s="271"/>
      <c r="W192" s="269"/>
      <c r="X192" s="294"/>
      <c r="Y192" s="271"/>
      <c r="Z192" s="269"/>
      <c r="AA192" s="294"/>
      <c r="AB192" s="271"/>
      <c r="AC192" s="269"/>
      <c r="AD192" s="294"/>
      <c r="AE192" s="271"/>
      <c r="AF192" s="269"/>
      <c r="AG192" s="294"/>
      <c r="AH192" s="271"/>
      <c r="AI192" s="269"/>
      <c r="AJ192" s="294"/>
      <c r="AK192" s="271"/>
      <c r="AL192" s="269"/>
      <c r="AM192" s="294"/>
    </row>
    <row r="193" spans="1:39" ht="12.75" customHeight="1" x14ac:dyDescent="0.2">
      <c r="A193" s="297"/>
      <c r="B193" s="2117">
        <f>COUNTIF(Scénarios!AH387:AH388,1)</f>
        <v>0</v>
      </c>
      <c r="C193" s="2117">
        <f>COUNTIF(Scénarios!AH387:AH388,2)</f>
        <v>0</v>
      </c>
      <c r="D193" s="2122">
        <f>COUNTIF(Scénarios!AH387:AH388,3)</f>
        <v>0</v>
      </c>
      <c r="E193" s="2123">
        <f>COUNTIF(Scénarios!AH387:AH388,4)</f>
        <v>0</v>
      </c>
      <c r="F193" s="2114">
        <f>SUM(B193:E193)</f>
        <v>0</v>
      </c>
      <c r="G193" s="274" t="s">
        <v>5616</v>
      </c>
      <c r="H193" s="275" t="s">
        <v>998</v>
      </c>
      <c r="I193" s="276"/>
      <c r="J193" s="277" t="s">
        <v>1665</v>
      </c>
      <c r="K193" s="278">
        <f>ES03B06</f>
        <v>1</v>
      </c>
      <c r="L193" s="279">
        <v>3</v>
      </c>
      <c r="M193" s="280" t="s">
        <v>2050</v>
      </c>
      <c r="N193" s="278">
        <f>ES12E02</f>
        <v>1</v>
      </c>
      <c r="O193" s="279">
        <v>3</v>
      </c>
      <c r="P193" s="280" t="s">
        <v>3945</v>
      </c>
      <c r="Q193" s="278">
        <f>ES12E03</f>
        <v>1</v>
      </c>
      <c r="R193" s="279">
        <v>3</v>
      </c>
      <c r="S193" s="280"/>
      <c r="T193" s="278"/>
      <c r="U193" s="279"/>
      <c r="V193" s="280"/>
      <c r="W193" s="278"/>
      <c r="X193" s="279"/>
      <c r="Y193" s="280"/>
      <c r="Z193" s="278"/>
      <c r="AA193" s="279"/>
      <c r="AB193" s="280"/>
      <c r="AC193" s="278"/>
      <c r="AD193" s="279"/>
      <c r="AE193" s="280"/>
      <c r="AF193" s="278"/>
      <c r="AG193" s="279"/>
      <c r="AH193" s="280"/>
      <c r="AI193" s="278"/>
      <c r="AJ193" s="279"/>
      <c r="AK193" s="280"/>
      <c r="AL193" s="278"/>
      <c r="AM193" s="279"/>
    </row>
    <row r="194" spans="1:39" ht="13.5" customHeight="1" x14ac:dyDescent="0.2">
      <c r="A194" s="273"/>
      <c r="B194" s="2118"/>
      <c r="C194" s="2120"/>
      <c r="D194" s="2120"/>
      <c r="E194" s="2120"/>
      <c r="F194" s="2115"/>
      <c r="G194" s="274" t="s">
        <v>5615</v>
      </c>
      <c r="H194" s="275" t="s">
        <v>998</v>
      </c>
      <c r="I194" s="276"/>
      <c r="J194" s="277" t="s">
        <v>5126</v>
      </c>
      <c r="K194" s="278">
        <f>ES02A01</f>
        <v>1</v>
      </c>
      <c r="L194" s="279">
        <v>4</v>
      </c>
      <c r="M194" s="277" t="s">
        <v>5884</v>
      </c>
      <c r="N194" s="278">
        <f>ES02A02</f>
        <v>1</v>
      </c>
      <c r="O194" s="279">
        <v>4</v>
      </c>
      <c r="P194" s="277" t="s">
        <v>5886</v>
      </c>
      <c r="Q194" s="278">
        <f>ES02A03</f>
        <v>1</v>
      </c>
      <c r="R194" s="279">
        <v>4</v>
      </c>
      <c r="S194" s="277" t="s">
        <v>6402</v>
      </c>
      <c r="T194" s="278">
        <f>ES02A05</f>
        <v>1</v>
      </c>
      <c r="U194" s="279">
        <v>4</v>
      </c>
      <c r="V194" s="277" t="s">
        <v>3354</v>
      </c>
      <c r="W194" s="278">
        <f>ES03B01</f>
        <v>1</v>
      </c>
      <c r="X194" s="279">
        <v>4</v>
      </c>
      <c r="Y194" s="277" t="s">
        <v>3356</v>
      </c>
      <c r="Z194" s="278">
        <f>ES03B02</f>
        <v>1</v>
      </c>
      <c r="AA194" s="279">
        <v>4</v>
      </c>
      <c r="AB194" s="277" t="s">
        <v>3252</v>
      </c>
      <c r="AC194" s="278">
        <f>ES03B03</f>
        <v>1</v>
      </c>
      <c r="AD194" s="279">
        <v>4</v>
      </c>
      <c r="AE194" s="277" t="s">
        <v>3254</v>
      </c>
      <c r="AF194" s="278">
        <f>ES03B04</f>
        <v>1</v>
      </c>
      <c r="AG194" s="279">
        <v>4</v>
      </c>
      <c r="AH194" s="277" t="s">
        <v>1665</v>
      </c>
      <c r="AI194" s="278">
        <f>ES03B06</f>
        <v>1</v>
      </c>
      <c r="AJ194" s="279">
        <v>4</v>
      </c>
      <c r="AK194" s="277"/>
      <c r="AL194" s="278"/>
      <c r="AM194" s="279"/>
    </row>
    <row r="195" spans="1:39" ht="11.25" customHeight="1" x14ac:dyDescent="0.2">
      <c r="A195" s="273"/>
      <c r="B195" s="2119"/>
      <c r="C195" s="2121"/>
      <c r="D195" s="2121"/>
      <c r="E195" s="2121"/>
      <c r="F195" s="2116"/>
      <c r="G195" s="274" t="s">
        <v>5615</v>
      </c>
      <c r="H195" s="275" t="s">
        <v>6370</v>
      </c>
      <c r="I195" s="276"/>
      <c r="J195" s="277" t="s">
        <v>6386</v>
      </c>
      <c r="K195" s="278">
        <f>ES03A01</f>
        <v>1</v>
      </c>
      <c r="L195" s="279">
        <v>4</v>
      </c>
      <c r="M195" s="277" t="s">
        <v>6388</v>
      </c>
      <c r="N195" s="278">
        <f>ES03A02</f>
        <v>1</v>
      </c>
      <c r="O195" s="279">
        <v>4</v>
      </c>
      <c r="P195" s="277" t="s">
        <v>2341</v>
      </c>
      <c r="Q195" s="278">
        <f>ES03A04</f>
        <v>1</v>
      </c>
      <c r="R195" s="279">
        <v>4</v>
      </c>
      <c r="S195" s="277" t="s">
        <v>2343</v>
      </c>
      <c r="T195" s="278">
        <f>ES03A05</f>
        <v>1</v>
      </c>
      <c r="U195" s="279">
        <v>4</v>
      </c>
      <c r="V195" s="277" t="s">
        <v>5220</v>
      </c>
      <c r="W195" s="278">
        <f>ES03C01</f>
        <v>1</v>
      </c>
      <c r="X195" s="279">
        <v>4</v>
      </c>
      <c r="Y195" s="277" t="s">
        <v>5225</v>
      </c>
      <c r="Z195" s="278">
        <f>ES03D01</f>
        <v>1</v>
      </c>
      <c r="AA195" s="279">
        <v>4</v>
      </c>
      <c r="AB195" s="280"/>
      <c r="AC195" s="278"/>
      <c r="AD195" s="279"/>
      <c r="AE195" s="280"/>
      <c r="AF195" s="278"/>
      <c r="AG195" s="279"/>
      <c r="AH195" s="280"/>
      <c r="AI195" s="278"/>
      <c r="AJ195" s="279"/>
      <c r="AK195" s="277"/>
      <c r="AL195" s="278"/>
      <c r="AM195" s="279"/>
    </row>
    <row r="196" spans="1:39" ht="11.25" customHeight="1" x14ac:dyDescent="0.2">
      <c r="A196" s="273"/>
      <c r="B196" s="281"/>
      <c r="C196" s="281"/>
      <c r="D196" s="281"/>
      <c r="E196" s="281"/>
      <c r="F196" s="320"/>
      <c r="G196" s="274" t="s">
        <v>5615</v>
      </c>
      <c r="H196" s="275" t="s">
        <v>998</v>
      </c>
      <c r="I196" s="276"/>
      <c r="J196" s="277" t="s">
        <v>3267</v>
      </c>
      <c r="K196" s="278">
        <f>ES12A02</f>
        <v>1</v>
      </c>
      <c r="L196" s="279">
        <v>4</v>
      </c>
      <c r="M196" s="280"/>
      <c r="N196" s="278"/>
      <c r="O196" s="279"/>
      <c r="P196" s="280"/>
      <c r="Q196" s="278"/>
      <c r="R196" s="279"/>
      <c r="S196" s="277"/>
      <c r="T196" s="278"/>
      <c r="U196" s="279"/>
      <c r="V196" s="277"/>
      <c r="W196" s="278"/>
      <c r="X196" s="279"/>
      <c r="Y196" s="277"/>
      <c r="Z196" s="278"/>
      <c r="AA196" s="279"/>
      <c r="AB196" s="277"/>
      <c r="AC196" s="278"/>
      <c r="AD196" s="279"/>
      <c r="AE196" s="277"/>
      <c r="AF196" s="278"/>
      <c r="AG196" s="279"/>
      <c r="AH196" s="277"/>
      <c r="AI196" s="278"/>
      <c r="AJ196" s="279"/>
      <c r="AK196" s="277"/>
      <c r="AL196" s="278"/>
      <c r="AM196" s="279"/>
    </row>
    <row r="197" spans="1:39" ht="15" customHeight="1" x14ac:dyDescent="0.2">
      <c r="A197" s="273"/>
      <c r="B197" s="1110"/>
      <c r="C197" s="1110"/>
      <c r="D197" s="1110"/>
      <c r="E197" s="1110"/>
      <c r="F197" s="282"/>
      <c r="G197" s="274" t="s">
        <v>5617</v>
      </c>
      <c r="H197" s="275" t="s">
        <v>6370</v>
      </c>
      <c r="I197" s="276"/>
      <c r="J197" s="277" t="s">
        <v>6400</v>
      </c>
      <c r="K197" s="278">
        <f>ES02A04</f>
        <v>1</v>
      </c>
      <c r="L197" s="279">
        <v>4</v>
      </c>
      <c r="M197" s="277" t="s">
        <v>3254</v>
      </c>
      <c r="N197" s="278">
        <f>ES03B04</f>
        <v>1</v>
      </c>
      <c r="O197" s="279">
        <v>4</v>
      </c>
      <c r="P197" s="277" t="s">
        <v>5222</v>
      </c>
      <c r="Q197" s="278">
        <f>ES03C02</f>
        <v>1</v>
      </c>
      <c r="R197" s="279">
        <v>4</v>
      </c>
      <c r="S197" s="280" t="s">
        <v>5224</v>
      </c>
      <c r="T197" s="278">
        <f>ES03C03</f>
        <v>1</v>
      </c>
      <c r="U197" s="279">
        <v>4</v>
      </c>
      <c r="V197" s="280" t="s">
        <v>5227</v>
      </c>
      <c r="W197" s="278">
        <f>ES03D02</f>
        <v>1</v>
      </c>
      <c r="X197" s="287">
        <v>4</v>
      </c>
      <c r="Y197" s="277" t="s">
        <v>3017</v>
      </c>
      <c r="Z197" s="278">
        <f>ES03D03</f>
        <v>1</v>
      </c>
      <c r="AA197" s="279">
        <v>4</v>
      </c>
      <c r="AB197" s="277"/>
      <c r="AC197" s="278"/>
      <c r="AD197" s="279"/>
      <c r="AE197" s="277"/>
      <c r="AF197" s="278"/>
      <c r="AG197" s="279"/>
      <c r="AH197" s="277"/>
      <c r="AI197" s="278"/>
      <c r="AJ197" s="279"/>
      <c r="AK197" s="277"/>
      <c r="AL197" s="278"/>
      <c r="AM197" s="279"/>
    </row>
    <row r="198" spans="1:39" ht="13.5" customHeight="1" x14ac:dyDescent="0.2">
      <c r="A198" s="273"/>
      <c r="B198" s="1112"/>
      <c r="C198" s="1112"/>
      <c r="D198" s="1112"/>
      <c r="E198" s="1112"/>
      <c r="F198" s="1112"/>
      <c r="G198" s="284" t="s">
        <v>5618</v>
      </c>
      <c r="H198" s="285" t="s">
        <v>6369</v>
      </c>
      <c r="I198" s="276"/>
      <c r="J198" s="277" t="s">
        <v>6388</v>
      </c>
      <c r="K198" s="278">
        <f>ES03A02</f>
        <v>1</v>
      </c>
      <c r="L198" s="279">
        <v>3</v>
      </c>
      <c r="M198" s="277" t="s">
        <v>1055</v>
      </c>
      <c r="N198" s="278">
        <f>ES03A06</f>
        <v>1</v>
      </c>
      <c r="O198" s="279">
        <v>3</v>
      </c>
      <c r="P198" s="277" t="s">
        <v>3269</v>
      </c>
      <c r="Q198" s="278">
        <f>ES12C01</f>
        <v>1</v>
      </c>
      <c r="R198" s="279">
        <v>3</v>
      </c>
      <c r="S198" s="277" t="s">
        <v>4882</v>
      </c>
      <c r="T198" s="278">
        <f>ES12C03</f>
        <v>1</v>
      </c>
      <c r="U198" s="279">
        <v>3</v>
      </c>
      <c r="V198" s="277" t="s">
        <v>4890</v>
      </c>
      <c r="W198" s="278">
        <f>ES12C04</f>
        <v>1</v>
      </c>
      <c r="X198" s="287">
        <v>3</v>
      </c>
      <c r="Y198" s="277" t="s">
        <v>6248</v>
      </c>
      <c r="Z198" s="278">
        <f>ES12C05</f>
        <v>1</v>
      </c>
      <c r="AA198" s="279">
        <v>3</v>
      </c>
      <c r="AB198" s="277"/>
      <c r="AC198" s="278"/>
      <c r="AD198" s="287"/>
      <c r="AE198" s="277"/>
      <c r="AF198" s="278"/>
      <c r="AG198" s="287"/>
      <c r="AH198" s="277"/>
      <c r="AI198" s="278"/>
      <c r="AJ198" s="287"/>
      <c r="AK198" s="277"/>
      <c r="AL198" s="278"/>
      <c r="AM198" s="287"/>
    </row>
    <row r="199" spans="1:39" ht="15" x14ac:dyDescent="0.2">
      <c r="A199" s="1374" t="s">
        <v>1050</v>
      </c>
      <c r="B199" s="260" t="s">
        <v>1051</v>
      </c>
      <c r="C199" s="262"/>
      <c r="D199" s="262"/>
      <c r="E199" s="262"/>
      <c r="F199" s="262"/>
      <c r="G199" s="262"/>
      <c r="H199" s="262"/>
      <c r="I199" s="308"/>
      <c r="J199" s="270"/>
      <c r="K199" s="269"/>
      <c r="L199" s="294"/>
      <c r="M199" s="271"/>
      <c r="N199" s="269"/>
      <c r="O199" s="294"/>
      <c r="P199" s="268"/>
      <c r="Q199" s="269"/>
      <c r="R199" s="304"/>
      <c r="S199" s="271"/>
      <c r="T199" s="269"/>
      <c r="U199" s="294"/>
      <c r="V199" s="271"/>
      <c r="W199" s="269"/>
      <c r="X199" s="294"/>
      <c r="Y199" s="271"/>
      <c r="Z199" s="269"/>
      <c r="AA199" s="294"/>
      <c r="AB199" s="271"/>
      <c r="AC199" s="269"/>
      <c r="AD199" s="294"/>
      <c r="AE199" s="271"/>
      <c r="AF199" s="269"/>
      <c r="AG199" s="294"/>
      <c r="AH199" s="271"/>
      <c r="AI199" s="269"/>
      <c r="AJ199" s="294"/>
      <c r="AK199" s="271"/>
      <c r="AL199" s="269"/>
      <c r="AM199" s="294"/>
    </row>
    <row r="200" spans="1:39" ht="11.25" customHeight="1" x14ac:dyDescent="0.2">
      <c r="A200" s="297"/>
      <c r="B200" s="2117">
        <f>COUNTIF(Scénarios!AH407:AH433,1)</f>
        <v>0</v>
      </c>
      <c r="C200" s="2117">
        <f>COUNTIF(Scénarios!AH407:AH433,2)</f>
        <v>0</v>
      </c>
      <c r="D200" s="2122">
        <f>COUNTIF(Scénarios!AH407:AH433,3)</f>
        <v>0</v>
      </c>
      <c r="E200" s="2123">
        <f>COUNTIF(Scénarios!AH407:AH433,4)</f>
        <v>0</v>
      </c>
      <c r="F200" s="2114">
        <f>SUM(B200:E200)</f>
        <v>0</v>
      </c>
      <c r="G200" s="274" t="s">
        <v>5616</v>
      </c>
      <c r="H200" s="275" t="s">
        <v>998</v>
      </c>
      <c r="I200" s="276"/>
      <c r="J200" s="277" t="s">
        <v>1665</v>
      </c>
      <c r="K200" s="278">
        <f>ES03B06</f>
        <v>1</v>
      </c>
      <c r="L200" s="279">
        <v>3</v>
      </c>
      <c r="M200" s="280" t="s">
        <v>4574</v>
      </c>
      <c r="N200" s="278">
        <f>ES06C02</f>
        <v>1</v>
      </c>
      <c r="O200" s="279">
        <v>3</v>
      </c>
      <c r="P200" s="280" t="s">
        <v>4575</v>
      </c>
      <c r="Q200" s="278">
        <f>ES06C03</f>
        <v>1</v>
      </c>
      <c r="R200" s="279">
        <v>3</v>
      </c>
      <c r="S200" s="280"/>
      <c r="T200" s="278"/>
      <c r="U200" s="279"/>
      <c r="V200" s="280"/>
      <c r="W200" s="278"/>
      <c r="X200" s="279"/>
      <c r="Y200" s="280"/>
      <c r="Z200" s="278"/>
      <c r="AA200" s="279"/>
      <c r="AB200" s="280"/>
      <c r="AC200" s="278"/>
      <c r="AD200" s="279"/>
      <c r="AE200" s="280"/>
      <c r="AF200" s="278"/>
      <c r="AG200" s="279"/>
      <c r="AH200" s="280"/>
      <c r="AI200" s="278"/>
      <c r="AJ200" s="279"/>
      <c r="AK200" s="280"/>
      <c r="AL200" s="278"/>
      <c r="AM200" s="279"/>
    </row>
    <row r="201" spans="1:39" ht="11.25" customHeight="1" x14ac:dyDescent="0.2">
      <c r="A201" s="273"/>
      <c r="B201" s="2118"/>
      <c r="C201" s="2120"/>
      <c r="D201" s="2120"/>
      <c r="E201" s="2136"/>
      <c r="F201" s="2115"/>
      <c r="G201" s="274" t="s">
        <v>5615</v>
      </c>
      <c r="H201" s="275" t="s">
        <v>998</v>
      </c>
      <c r="I201" s="276"/>
      <c r="J201" s="277" t="s">
        <v>5126</v>
      </c>
      <c r="K201" s="278">
        <f>ES02A01</f>
        <v>1</v>
      </c>
      <c r="L201" s="279">
        <v>4</v>
      </c>
      <c r="M201" s="277" t="s">
        <v>5884</v>
      </c>
      <c r="N201" s="278">
        <f>ES02A02</f>
        <v>1</v>
      </c>
      <c r="O201" s="279">
        <v>4</v>
      </c>
      <c r="P201" s="277" t="s">
        <v>5886</v>
      </c>
      <c r="Q201" s="278">
        <f>ES02A03</f>
        <v>1</v>
      </c>
      <c r="R201" s="279">
        <v>4</v>
      </c>
      <c r="S201" s="277" t="s">
        <v>6402</v>
      </c>
      <c r="T201" s="278">
        <f>ES02A05</f>
        <v>1</v>
      </c>
      <c r="U201" s="279">
        <v>4</v>
      </c>
      <c r="V201" s="277" t="s">
        <v>3354</v>
      </c>
      <c r="W201" s="278">
        <f>ES03B01</f>
        <v>1</v>
      </c>
      <c r="X201" s="279">
        <v>4</v>
      </c>
      <c r="Y201" s="277" t="s">
        <v>3356</v>
      </c>
      <c r="Z201" s="278">
        <f>ES03B02</f>
        <v>1</v>
      </c>
      <c r="AA201" s="279">
        <v>4</v>
      </c>
      <c r="AB201" s="277" t="s">
        <v>3252</v>
      </c>
      <c r="AC201" s="278">
        <f>ES03B03</f>
        <v>1</v>
      </c>
      <c r="AD201" s="279">
        <v>4</v>
      </c>
      <c r="AE201" s="277" t="s">
        <v>3254</v>
      </c>
      <c r="AF201" s="278">
        <f>ES03B04</f>
        <v>1</v>
      </c>
      <c r="AG201" s="279">
        <v>4</v>
      </c>
      <c r="AH201" s="277" t="s">
        <v>1665</v>
      </c>
      <c r="AI201" s="278">
        <f>ES03B06</f>
        <v>1</v>
      </c>
      <c r="AJ201" s="279">
        <v>4</v>
      </c>
      <c r="AK201" s="277"/>
      <c r="AL201" s="278"/>
      <c r="AM201" s="279"/>
    </row>
    <row r="202" spans="1:39" ht="11.25" customHeight="1" x14ac:dyDescent="0.2">
      <c r="A202" s="273"/>
      <c r="B202" s="2119"/>
      <c r="C202" s="2121"/>
      <c r="D202" s="2121"/>
      <c r="E202" s="2137"/>
      <c r="F202" s="2116"/>
      <c r="G202" s="274" t="s">
        <v>5615</v>
      </c>
      <c r="H202" s="275" t="s">
        <v>998</v>
      </c>
      <c r="I202" s="276"/>
      <c r="J202" s="277" t="s">
        <v>6386</v>
      </c>
      <c r="K202" s="278">
        <f>ES03A01</f>
        <v>1</v>
      </c>
      <c r="L202" s="279">
        <v>4</v>
      </c>
      <c r="M202" s="277" t="s">
        <v>6388</v>
      </c>
      <c r="N202" s="278">
        <f>ES03A02</f>
        <v>1</v>
      </c>
      <c r="O202" s="279">
        <v>4</v>
      </c>
      <c r="P202" s="277" t="s">
        <v>2341</v>
      </c>
      <c r="Q202" s="278">
        <f>ES03A04</f>
        <v>1</v>
      </c>
      <c r="R202" s="279">
        <v>4</v>
      </c>
      <c r="S202" s="277" t="s">
        <v>2343</v>
      </c>
      <c r="T202" s="278">
        <f>ES03A05</f>
        <v>1</v>
      </c>
      <c r="U202" s="279">
        <v>4</v>
      </c>
      <c r="V202" s="277" t="s">
        <v>5220</v>
      </c>
      <c r="W202" s="278">
        <f>ES03C01</f>
        <v>1</v>
      </c>
      <c r="X202" s="279">
        <v>4</v>
      </c>
      <c r="Y202" s="277" t="s">
        <v>5225</v>
      </c>
      <c r="Z202" s="278">
        <f>ES03D01</f>
        <v>1</v>
      </c>
      <c r="AA202" s="279">
        <v>4</v>
      </c>
      <c r="AB202" s="277"/>
      <c r="AC202" s="278"/>
      <c r="AD202" s="279"/>
      <c r="AE202" s="277"/>
      <c r="AF202" s="278"/>
      <c r="AG202" s="279"/>
      <c r="AH202" s="277"/>
      <c r="AI202" s="278"/>
      <c r="AJ202" s="279"/>
      <c r="AK202" s="277"/>
      <c r="AL202" s="278"/>
      <c r="AM202" s="279"/>
    </row>
    <row r="203" spans="1:39" ht="11.25" customHeight="1" x14ac:dyDescent="0.2">
      <c r="A203" s="273"/>
      <c r="B203" s="281"/>
      <c r="C203" s="281"/>
      <c r="D203" s="281"/>
      <c r="E203" s="281"/>
      <c r="F203" s="320"/>
      <c r="G203" s="274" t="s">
        <v>5615</v>
      </c>
      <c r="H203" s="275" t="s">
        <v>998</v>
      </c>
      <c r="I203" s="276"/>
      <c r="J203" s="277" t="s">
        <v>6463</v>
      </c>
      <c r="K203" s="278">
        <f>ES04D01</f>
        <v>1</v>
      </c>
      <c r="L203" s="279">
        <v>4</v>
      </c>
      <c r="M203" s="277" t="s">
        <v>4530</v>
      </c>
      <c r="N203" s="278">
        <f>ES06A02</f>
        <v>1</v>
      </c>
      <c r="O203" s="279">
        <v>4</v>
      </c>
      <c r="P203" s="277" t="s">
        <v>4574</v>
      </c>
      <c r="Q203" s="278">
        <f>ES06C02</f>
        <v>1</v>
      </c>
      <c r="R203" s="279">
        <v>4</v>
      </c>
      <c r="S203" s="277"/>
      <c r="T203" s="278"/>
      <c r="U203" s="279"/>
      <c r="V203" s="277"/>
      <c r="W203" s="278"/>
      <c r="X203" s="279"/>
      <c r="Y203" s="277"/>
      <c r="Z203" s="278"/>
      <c r="AA203" s="279"/>
      <c r="AB203" s="277"/>
      <c r="AC203" s="278"/>
      <c r="AD203" s="279"/>
      <c r="AE203" s="277"/>
      <c r="AF203" s="278"/>
      <c r="AG203" s="279"/>
      <c r="AH203" s="277"/>
      <c r="AI203" s="278"/>
      <c r="AJ203" s="279"/>
      <c r="AK203" s="277"/>
      <c r="AL203" s="278"/>
      <c r="AM203" s="279"/>
    </row>
    <row r="204" spans="1:39" ht="12.75" customHeight="1" x14ac:dyDescent="0.2">
      <c r="A204" s="273"/>
      <c r="B204" s="1110"/>
      <c r="C204" s="1110"/>
      <c r="D204" s="1110"/>
      <c r="E204" s="1110"/>
      <c r="F204" s="282"/>
      <c r="G204" s="274" t="s">
        <v>5617</v>
      </c>
      <c r="H204" s="275" t="s">
        <v>6370</v>
      </c>
      <c r="I204" s="276"/>
      <c r="J204" s="277" t="s">
        <v>6400</v>
      </c>
      <c r="K204" s="278">
        <f>ES02A04</f>
        <v>1</v>
      </c>
      <c r="L204" s="279">
        <v>4</v>
      </c>
      <c r="M204" s="277" t="s">
        <v>3254</v>
      </c>
      <c r="N204" s="278">
        <f>ES03B04</f>
        <v>1</v>
      </c>
      <c r="O204" s="279">
        <v>4</v>
      </c>
      <c r="P204" s="277" t="s">
        <v>5222</v>
      </c>
      <c r="Q204" s="278">
        <f>ES03C02</f>
        <v>1</v>
      </c>
      <c r="R204" s="279">
        <v>4</v>
      </c>
      <c r="S204" s="280" t="s">
        <v>5224</v>
      </c>
      <c r="T204" s="278">
        <f>ES03C03</f>
        <v>1</v>
      </c>
      <c r="U204" s="279">
        <v>4</v>
      </c>
      <c r="V204" s="280" t="s">
        <v>5227</v>
      </c>
      <c r="W204" s="278">
        <f>ES03D02</f>
        <v>1</v>
      </c>
      <c r="X204" s="279">
        <v>4</v>
      </c>
      <c r="Y204" s="277" t="s">
        <v>3017</v>
      </c>
      <c r="Z204" s="278">
        <f>ES03D03</f>
        <v>1</v>
      </c>
      <c r="AA204" s="279">
        <v>4</v>
      </c>
      <c r="AB204" s="277" t="s">
        <v>5858</v>
      </c>
      <c r="AC204" s="278">
        <f>ES04D02</f>
        <v>1</v>
      </c>
      <c r="AD204" s="279">
        <v>4</v>
      </c>
      <c r="AE204" s="277" t="s">
        <v>5860</v>
      </c>
      <c r="AF204" s="278">
        <f>ES04D03</f>
        <v>1</v>
      </c>
      <c r="AG204" s="279">
        <v>4</v>
      </c>
      <c r="AH204" s="277"/>
      <c r="AI204" s="278"/>
      <c r="AJ204" s="279"/>
      <c r="AK204" s="277"/>
      <c r="AL204" s="278"/>
      <c r="AM204" s="279"/>
    </row>
    <row r="205" spans="1:39" ht="12.75" customHeight="1" x14ac:dyDescent="0.2">
      <c r="A205" s="273"/>
      <c r="B205" s="1112"/>
      <c r="C205" s="1112"/>
      <c r="D205" s="1112"/>
      <c r="E205" s="1112"/>
      <c r="F205" s="1112"/>
      <c r="G205" s="284" t="s">
        <v>5618</v>
      </c>
      <c r="H205" s="285" t="s">
        <v>6369</v>
      </c>
      <c r="I205" s="276"/>
      <c r="J205" s="277" t="s">
        <v>2536</v>
      </c>
      <c r="K205" s="278">
        <f>ES01C02</f>
        <v>1</v>
      </c>
      <c r="L205" s="279">
        <v>3</v>
      </c>
      <c r="M205" s="277" t="s">
        <v>5124</v>
      </c>
      <c r="N205" s="278">
        <f>ES01E02</f>
        <v>1</v>
      </c>
      <c r="O205" s="279">
        <v>3</v>
      </c>
      <c r="P205" s="277" t="s">
        <v>6388</v>
      </c>
      <c r="Q205" s="278">
        <f>ES03A02</f>
        <v>1</v>
      </c>
      <c r="R205" s="279">
        <v>3</v>
      </c>
      <c r="S205" s="277" t="s">
        <v>1055</v>
      </c>
      <c r="T205" s="278">
        <f>ES03A06</f>
        <v>1</v>
      </c>
      <c r="U205" s="279">
        <v>3</v>
      </c>
      <c r="V205" s="277" t="s">
        <v>4326</v>
      </c>
      <c r="W205" s="278">
        <f>ES04A01</f>
        <v>1</v>
      </c>
      <c r="X205" s="279">
        <v>3</v>
      </c>
      <c r="Y205" s="277" t="s">
        <v>4602</v>
      </c>
      <c r="Z205" s="278">
        <f>ES04A02</f>
        <v>1</v>
      </c>
      <c r="AA205" s="279">
        <v>3</v>
      </c>
      <c r="AB205" s="277" t="s">
        <v>4603</v>
      </c>
      <c r="AC205" s="278">
        <f>ES04A03</f>
        <v>1</v>
      </c>
      <c r="AD205" s="279">
        <v>3</v>
      </c>
      <c r="AE205" s="277" t="s">
        <v>93</v>
      </c>
      <c r="AF205" s="278">
        <f>ES04A04</f>
        <v>1</v>
      </c>
      <c r="AG205" s="279">
        <v>3</v>
      </c>
      <c r="AH205" s="277" t="s">
        <v>95</v>
      </c>
      <c r="AI205" s="278">
        <f>ES04A05</f>
        <v>1</v>
      </c>
      <c r="AJ205" s="279">
        <v>3</v>
      </c>
      <c r="AK205" s="277" t="s">
        <v>97</v>
      </c>
      <c r="AL205" s="278">
        <f>ES04A06</f>
        <v>1</v>
      </c>
      <c r="AM205" s="279">
        <v>3</v>
      </c>
    </row>
    <row r="206" spans="1:39" s="321" customFormat="1" ht="12.75" customHeight="1" x14ac:dyDescent="0.2">
      <c r="A206" s="1374" t="s">
        <v>2368</v>
      </c>
      <c r="B206" s="260" t="s">
        <v>3719</v>
      </c>
      <c r="C206" s="262"/>
      <c r="D206" s="262"/>
      <c r="E206" s="262"/>
      <c r="F206" s="262"/>
      <c r="G206" s="262"/>
      <c r="H206" s="262"/>
      <c r="I206" s="308"/>
      <c r="J206" s="270"/>
      <c r="K206" s="269"/>
      <c r="L206" s="294"/>
      <c r="M206" s="271"/>
      <c r="N206" s="269"/>
      <c r="O206" s="294"/>
      <c r="P206" s="268"/>
      <c r="Q206" s="269"/>
      <c r="R206" s="304"/>
      <c r="S206" s="271"/>
      <c r="T206" s="269"/>
      <c r="U206" s="294"/>
      <c r="V206" s="271"/>
      <c r="W206" s="269"/>
      <c r="X206" s="294"/>
      <c r="Y206" s="271"/>
      <c r="Z206" s="269"/>
      <c r="AA206" s="294"/>
      <c r="AB206" s="271"/>
      <c r="AC206" s="269"/>
      <c r="AD206" s="294"/>
      <c r="AE206" s="271"/>
      <c r="AF206" s="269"/>
      <c r="AG206" s="294"/>
      <c r="AH206" s="271"/>
      <c r="AI206" s="269"/>
      <c r="AJ206" s="294"/>
      <c r="AK206" s="271"/>
      <c r="AL206" s="269"/>
      <c r="AM206" s="294"/>
    </row>
    <row r="207" spans="1:39" s="321" customFormat="1" ht="12.75" customHeight="1" x14ac:dyDescent="0.2">
      <c r="A207" s="297"/>
      <c r="B207" s="2117">
        <f>COUNTIF(Scénarios!AH435:AH461,1)</f>
        <v>0</v>
      </c>
      <c r="C207" s="2117">
        <f>COUNTIF(Scénarios!AH435:AH461,2)</f>
        <v>0</v>
      </c>
      <c r="D207" s="2122">
        <f>COUNTIF(Scénarios!AH435:AH461,3)</f>
        <v>0</v>
      </c>
      <c r="E207" s="2123">
        <f>COUNTIF(Scénarios!AH435:AH461,4)</f>
        <v>0</v>
      </c>
      <c r="F207" s="2114">
        <f>SUM(B207:E207)</f>
        <v>0</v>
      </c>
      <c r="G207" s="274" t="s">
        <v>5616</v>
      </c>
      <c r="H207" s="275" t="s">
        <v>998</v>
      </c>
      <c r="I207" s="276"/>
      <c r="J207" s="277" t="s">
        <v>1665</v>
      </c>
      <c r="K207" s="278">
        <f>ES03B06</f>
        <v>1</v>
      </c>
      <c r="L207" s="279">
        <v>3</v>
      </c>
      <c r="M207" s="280" t="s">
        <v>4574</v>
      </c>
      <c r="N207" s="278">
        <f>ES06C02</f>
        <v>1</v>
      </c>
      <c r="O207" s="279">
        <v>3</v>
      </c>
      <c r="P207" s="280" t="s">
        <v>4575</v>
      </c>
      <c r="Q207" s="278">
        <f>ES06C03</f>
        <v>1</v>
      </c>
      <c r="R207" s="279">
        <v>3</v>
      </c>
      <c r="S207" s="280"/>
      <c r="T207" s="278"/>
      <c r="U207" s="279"/>
      <c r="V207" s="280"/>
      <c r="W207" s="278"/>
      <c r="X207" s="279"/>
      <c r="Y207" s="280"/>
      <c r="Z207" s="278"/>
      <c r="AA207" s="279"/>
      <c r="AB207" s="280"/>
      <c r="AC207" s="278"/>
      <c r="AD207" s="279"/>
      <c r="AE207" s="280"/>
      <c r="AF207" s="278"/>
      <c r="AG207" s="279"/>
      <c r="AH207" s="280"/>
      <c r="AI207" s="278"/>
      <c r="AJ207" s="279"/>
      <c r="AK207" s="280"/>
      <c r="AL207" s="278"/>
      <c r="AM207" s="279"/>
    </row>
    <row r="208" spans="1:39" s="321" customFormat="1" ht="11.25" customHeight="1" x14ac:dyDescent="0.2">
      <c r="A208" s="273"/>
      <c r="B208" s="2118"/>
      <c r="C208" s="2120"/>
      <c r="D208" s="2120"/>
      <c r="E208" s="2120"/>
      <c r="F208" s="2115"/>
      <c r="G208" s="274" t="s">
        <v>5615</v>
      </c>
      <c r="H208" s="275" t="s">
        <v>998</v>
      </c>
      <c r="I208" s="276"/>
      <c r="J208" s="277" t="s">
        <v>5126</v>
      </c>
      <c r="K208" s="278">
        <f>ES02A01</f>
        <v>1</v>
      </c>
      <c r="L208" s="279">
        <v>4</v>
      </c>
      <c r="M208" s="277" t="s">
        <v>5884</v>
      </c>
      <c r="N208" s="278">
        <f>ES02A02</f>
        <v>1</v>
      </c>
      <c r="O208" s="279">
        <v>4</v>
      </c>
      <c r="P208" s="277" t="s">
        <v>5886</v>
      </c>
      <c r="Q208" s="278">
        <f>ES02A03</f>
        <v>1</v>
      </c>
      <c r="R208" s="279">
        <v>4</v>
      </c>
      <c r="S208" s="277" t="s">
        <v>6402</v>
      </c>
      <c r="T208" s="278">
        <f>ES02A05</f>
        <v>1</v>
      </c>
      <c r="U208" s="279">
        <v>4</v>
      </c>
      <c r="V208" s="277" t="s">
        <v>3354</v>
      </c>
      <c r="W208" s="278">
        <f>ES03B01</f>
        <v>1</v>
      </c>
      <c r="X208" s="279">
        <v>4</v>
      </c>
      <c r="Y208" s="277" t="s">
        <v>3356</v>
      </c>
      <c r="Z208" s="278">
        <f>ES03B02</f>
        <v>1</v>
      </c>
      <c r="AA208" s="279">
        <v>4</v>
      </c>
      <c r="AB208" s="277" t="s">
        <v>3252</v>
      </c>
      <c r="AC208" s="278">
        <f>ES03B03</f>
        <v>1</v>
      </c>
      <c r="AD208" s="279">
        <v>4</v>
      </c>
      <c r="AE208" s="277" t="s">
        <v>3254</v>
      </c>
      <c r="AF208" s="278">
        <f>ES03B04</f>
        <v>1</v>
      </c>
      <c r="AG208" s="279">
        <v>4</v>
      </c>
      <c r="AH208" s="277" t="s">
        <v>1665</v>
      </c>
      <c r="AI208" s="278">
        <f>ES03B06</f>
        <v>1</v>
      </c>
      <c r="AJ208" s="279">
        <v>4</v>
      </c>
      <c r="AK208" s="280"/>
      <c r="AL208" s="278"/>
      <c r="AM208" s="279"/>
    </row>
    <row r="209" spans="1:39" s="321" customFormat="1" ht="11.25" customHeight="1" x14ac:dyDescent="0.2">
      <c r="A209" s="273"/>
      <c r="B209" s="2119"/>
      <c r="C209" s="2121"/>
      <c r="D209" s="2121"/>
      <c r="E209" s="2121"/>
      <c r="F209" s="2116"/>
      <c r="G209" s="274" t="s">
        <v>5615</v>
      </c>
      <c r="H209" s="275" t="s">
        <v>998</v>
      </c>
      <c r="I209" s="276"/>
      <c r="J209" s="277" t="s">
        <v>6386</v>
      </c>
      <c r="K209" s="278">
        <f>ES03A01</f>
        <v>1</v>
      </c>
      <c r="L209" s="279">
        <v>4</v>
      </c>
      <c r="M209" s="277" t="s">
        <v>6388</v>
      </c>
      <c r="N209" s="278">
        <f>ES03A02</f>
        <v>1</v>
      </c>
      <c r="O209" s="279">
        <v>4</v>
      </c>
      <c r="P209" s="277" t="s">
        <v>2341</v>
      </c>
      <c r="Q209" s="278">
        <f>ES03A04</f>
        <v>1</v>
      </c>
      <c r="R209" s="279">
        <v>4</v>
      </c>
      <c r="S209" s="277" t="s">
        <v>2343</v>
      </c>
      <c r="T209" s="278">
        <f>ES03A05</f>
        <v>1</v>
      </c>
      <c r="U209" s="279">
        <v>4</v>
      </c>
      <c r="V209" s="277" t="s">
        <v>5220</v>
      </c>
      <c r="W209" s="278">
        <f>ES03C01</f>
        <v>1</v>
      </c>
      <c r="X209" s="279">
        <v>4</v>
      </c>
      <c r="Y209" s="277" t="s">
        <v>5225</v>
      </c>
      <c r="Z209" s="278">
        <f>ES03D01</f>
        <v>1</v>
      </c>
      <c r="AA209" s="279">
        <v>4</v>
      </c>
      <c r="AB209" s="277"/>
      <c r="AC209" s="278"/>
      <c r="AD209" s="279"/>
      <c r="AE209" s="277"/>
      <c r="AF209" s="278"/>
      <c r="AG209" s="279"/>
      <c r="AH209" s="277"/>
      <c r="AI209" s="278"/>
      <c r="AJ209" s="279"/>
      <c r="AK209" s="277"/>
      <c r="AL209" s="278"/>
      <c r="AM209" s="279"/>
    </row>
    <row r="210" spans="1:39" s="321" customFormat="1" ht="12.75" customHeight="1" x14ac:dyDescent="0.2">
      <c r="A210" s="273"/>
      <c r="B210" s="281"/>
      <c r="C210" s="281"/>
      <c r="D210" s="281"/>
      <c r="E210" s="281"/>
      <c r="F210" s="320"/>
      <c r="G210" s="274" t="s">
        <v>5615</v>
      </c>
      <c r="H210" s="275" t="s">
        <v>998</v>
      </c>
      <c r="I210" s="276"/>
      <c r="J210" s="277" t="s">
        <v>6438</v>
      </c>
      <c r="K210" s="278">
        <f>ES05D01</f>
        <v>1</v>
      </c>
      <c r="L210" s="279">
        <v>4</v>
      </c>
      <c r="M210" s="277" t="s">
        <v>4530</v>
      </c>
      <c r="N210" s="278">
        <f>ES06A02</f>
        <v>1</v>
      </c>
      <c r="O210" s="279">
        <v>4</v>
      </c>
      <c r="P210" s="277" t="s">
        <v>4574</v>
      </c>
      <c r="Q210" s="278">
        <f>ES06C02</f>
        <v>1</v>
      </c>
      <c r="R210" s="279">
        <v>4</v>
      </c>
      <c r="S210" s="277"/>
      <c r="T210" s="278"/>
      <c r="U210" s="279"/>
      <c r="V210" s="277"/>
      <c r="W210" s="278"/>
      <c r="X210" s="279"/>
      <c r="Y210" s="277"/>
      <c r="Z210" s="278"/>
      <c r="AA210" s="279"/>
      <c r="AB210" s="277"/>
      <c r="AC210" s="278"/>
      <c r="AD210" s="279"/>
      <c r="AE210" s="277"/>
      <c r="AF210" s="278"/>
      <c r="AG210" s="279"/>
      <c r="AH210" s="277"/>
      <c r="AI210" s="278"/>
      <c r="AJ210" s="279"/>
      <c r="AK210" s="277"/>
      <c r="AL210" s="278"/>
      <c r="AM210" s="279"/>
    </row>
    <row r="211" spans="1:39" s="321" customFormat="1" ht="12" customHeight="1" x14ac:dyDescent="0.2">
      <c r="A211" s="273"/>
      <c r="B211" s="1110"/>
      <c r="C211" s="1110"/>
      <c r="D211" s="1110"/>
      <c r="E211" s="1110"/>
      <c r="F211" s="282"/>
      <c r="G211" s="274" t="s">
        <v>5617</v>
      </c>
      <c r="H211" s="275" t="s">
        <v>6370</v>
      </c>
      <c r="I211" s="276"/>
      <c r="J211" s="277" t="s">
        <v>6400</v>
      </c>
      <c r="K211" s="278">
        <f>ES02A04</f>
        <v>1</v>
      </c>
      <c r="L211" s="279">
        <v>4</v>
      </c>
      <c r="M211" s="277" t="s">
        <v>3254</v>
      </c>
      <c r="N211" s="278">
        <f>ES03B04</f>
        <v>1</v>
      </c>
      <c r="O211" s="279">
        <v>4</v>
      </c>
      <c r="P211" s="277" t="s">
        <v>5222</v>
      </c>
      <c r="Q211" s="278">
        <f>ES03C02</f>
        <v>1</v>
      </c>
      <c r="R211" s="279">
        <v>4</v>
      </c>
      <c r="S211" s="280" t="s">
        <v>5224</v>
      </c>
      <c r="T211" s="278">
        <f>ES03C03</f>
        <v>1</v>
      </c>
      <c r="U211" s="279">
        <v>4</v>
      </c>
      <c r="V211" s="280" t="s">
        <v>5227</v>
      </c>
      <c r="W211" s="278">
        <f>ES03D02</f>
        <v>1</v>
      </c>
      <c r="X211" s="279">
        <v>4</v>
      </c>
      <c r="Y211" s="277" t="s">
        <v>3017</v>
      </c>
      <c r="Z211" s="278">
        <f>ES03D03</f>
        <v>1</v>
      </c>
      <c r="AA211" s="279">
        <v>4</v>
      </c>
      <c r="AB211" s="277" t="s">
        <v>1140</v>
      </c>
      <c r="AC211" s="278">
        <f>ES05D02</f>
        <v>1</v>
      </c>
      <c r="AD211" s="279">
        <v>4</v>
      </c>
      <c r="AE211" s="277" t="s">
        <v>1142</v>
      </c>
      <c r="AF211" s="278">
        <f>ES05D03</f>
        <v>1</v>
      </c>
      <c r="AG211" s="279">
        <v>4</v>
      </c>
      <c r="AH211" s="277"/>
      <c r="AI211" s="278"/>
      <c r="AJ211" s="279"/>
      <c r="AK211" s="277"/>
      <c r="AL211" s="278"/>
      <c r="AM211" s="279"/>
    </row>
    <row r="212" spans="1:39" s="321" customFormat="1" ht="12.75" customHeight="1" x14ac:dyDescent="0.2">
      <c r="A212" s="273"/>
      <c r="B212" s="1110"/>
      <c r="C212" s="1110"/>
      <c r="D212" s="1110"/>
      <c r="E212" s="1110"/>
      <c r="F212" s="1110"/>
      <c r="G212" s="284" t="s">
        <v>5618</v>
      </c>
      <c r="H212" s="285" t="s">
        <v>6369</v>
      </c>
      <c r="I212" s="276"/>
      <c r="J212" s="277" t="s">
        <v>2536</v>
      </c>
      <c r="K212" s="278">
        <f>ES01C02</f>
        <v>1</v>
      </c>
      <c r="L212" s="279">
        <v>3</v>
      </c>
      <c r="M212" s="277" t="s">
        <v>5122</v>
      </c>
      <c r="N212" s="278">
        <f>ES01E01</f>
        <v>1</v>
      </c>
      <c r="O212" s="279">
        <v>3</v>
      </c>
      <c r="P212" s="277" t="s">
        <v>5124</v>
      </c>
      <c r="Q212" s="278">
        <f>ES01E02</f>
        <v>1</v>
      </c>
      <c r="R212" s="279">
        <v>3</v>
      </c>
      <c r="S212" s="277" t="s">
        <v>6470</v>
      </c>
      <c r="T212" s="278">
        <f>ES05A03</f>
        <v>1</v>
      </c>
      <c r="U212" s="279">
        <v>3</v>
      </c>
      <c r="V212" s="277" t="s">
        <v>2962</v>
      </c>
      <c r="W212" s="278">
        <f>ES05A04</f>
        <v>1</v>
      </c>
      <c r="X212" s="279">
        <v>3</v>
      </c>
      <c r="Y212" s="277" t="s">
        <v>6472</v>
      </c>
      <c r="Z212" s="278">
        <f>ES05A05</f>
        <v>1</v>
      </c>
      <c r="AA212" s="279">
        <v>3</v>
      </c>
      <c r="AB212" s="277" t="s">
        <v>6481</v>
      </c>
      <c r="AC212" s="278">
        <f>ES05A06</f>
        <v>1</v>
      </c>
      <c r="AD212" s="279">
        <v>3</v>
      </c>
      <c r="AE212" s="277" t="s">
        <v>6483</v>
      </c>
      <c r="AF212" s="278">
        <f>ES05A07</f>
        <v>1</v>
      </c>
      <c r="AG212" s="279">
        <v>3</v>
      </c>
      <c r="AH212" s="277"/>
      <c r="AI212" s="278"/>
      <c r="AJ212" s="279"/>
      <c r="AK212" s="277"/>
      <c r="AL212" s="278"/>
      <c r="AM212" s="279"/>
    </row>
    <row r="213" spans="1:39" s="321" customFormat="1" ht="12.75" customHeight="1" x14ac:dyDescent="0.2">
      <c r="A213" s="273"/>
      <c r="B213" s="1112"/>
      <c r="C213" s="1112"/>
      <c r="D213" s="1112"/>
      <c r="E213" s="1112"/>
      <c r="F213" s="1113"/>
      <c r="G213" s="284" t="s">
        <v>5618</v>
      </c>
      <c r="H213" s="275" t="s">
        <v>998</v>
      </c>
      <c r="I213" s="276"/>
      <c r="J213" s="277" t="s">
        <v>6388</v>
      </c>
      <c r="K213" s="278">
        <f>ES03A02</f>
        <v>1</v>
      </c>
      <c r="L213" s="279">
        <v>3</v>
      </c>
      <c r="M213" s="277" t="s">
        <v>1055</v>
      </c>
      <c r="N213" s="278">
        <f>ES03A06</f>
        <v>1</v>
      </c>
      <c r="O213" s="279">
        <v>3</v>
      </c>
      <c r="P213" s="277" t="s">
        <v>6468</v>
      </c>
      <c r="Q213" s="278">
        <f>ES05A02</f>
        <v>1</v>
      </c>
      <c r="R213" s="279">
        <v>3</v>
      </c>
      <c r="S213" s="277"/>
      <c r="T213" s="278"/>
      <c r="U213" s="279"/>
      <c r="V213" s="277"/>
      <c r="W213" s="278"/>
      <c r="X213" s="279"/>
      <c r="Y213" s="277"/>
      <c r="Z213" s="278"/>
      <c r="AA213" s="279"/>
      <c r="AB213" s="277"/>
      <c r="AC213" s="278"/>
      <c r="AD213" s="279"/>
      <c r="AE213" s="277"/>
      <c r="AF213" s="278"/>
      <c r="AG213" s="279"/>
      <c r="AH213" s="277"/>
      <c r="AI213" s="278"/>
      <c r="AJ213" s="279"/>
      <c r="AK213" s="277"/>
      <c r="AL213" s="278"/>
      <c r="AM213" s="279"/>
    </row>
    <row r="214" spans="1:39" s="321" customFormat="1" ht="12" customHeight="1" x14ac:dyDescent="0.2">
      <c r="A214" s="1374" t="s">
        <v>1330</v>
      </c>
      <c r="B214" s="322" t="s">
        <v>1331</v>
      </c>
      <c r="C214" s="323"/>
      <c r="D214" s="323"/>
      <c r="E214" s="323"/>
      <c r="F214" s="323"/>
      <c r="G214" s="323"/>
      <c r="H214" s="323"/>
      <c r="I214" s="324"/>
      <c r="J214" s="325"/>
      <c r="K214" s="326"/>
      <c r="L214" s="327"/>
      <c r="M214" s="328"/>
      <c r="N214" s="326"/>
      <c r="O214" s="327"/>
      <c r="P214" s="329"/>
      <c r="Q214" s="326"/>
      <c r="R214" s="330"/>
      <c r="S214" s="328"/>
      <c r="T214" s="326"/>
      <c r="U214" s="327"/>
      <c r="V214" s="328"/>
      <c r="W214" s="326"/>
      <c r="X214" s="327"/>
      <c r="Y214" s="328"/>
      <c r="Z214" s="326"/>
      <c r="AA214" s="327"/>
      <c r="AB214" s="328"/>
      <c r="AC214" s="326"/>
      <c r="AD214" s="327"/>
      <c r="AE214" s="328"/>
      <c r="AF214" s="326"/>
      <c r="AG214" s="327"/>
      <c r="AH214" s="328"/>
      <c r="AI214" s="326"/>
      <c r="AJ214" s="327"/>
      <c r="AK214" s="328"/>
      <c r="AL214" s="326"/>
      <c r="AM214" s="327"/>
    </row>
    <row r="215" spans="1:39" s="321" customFormat="1" ht="11.25" customHeight="1" x14ac:dyDescent="0.2">
      <c r="A215" s="331"/>
      <c r="B215" s="2126">
        <f>COUNTIF(Scénarios!AH463:AH526,1)</f>
        <v>0</v>
      </c>
      <c r="C215" s="2126">
        <f>COUNTIF(Scénarios!AH463:AH526,2)</f>
        <v>0</v>
      </c>
      <c r="D215" s="2131">
        <f>COUNTIF(Scénarios!AH463:AH526,3)</f>
        <v>0</v>
      </c>
      <c r="E215" s="2132">
        <f>COUNTIF(Scénarios!AH463:AH526,4)</f>
        <v>0</v>
      </c>
      <c r="F215" s="2133">
        <f>SUM(B215:E215)</f>
        <v>0</v>
      </c>
      <c r="G215" s="332" t="s">
        <v>5616</v>
      </c>
      <c r="H215" s="275" t="s">
        <v>6370</v>
      </c>
      <c r="I215" s="333"/>
      <c r="J215" s="334" t="s">
        <v>1665</v>
      </c>
      <c r="K215" s="335">
        <f>ES03B06</f>
        <v>1</v>
      </c>
      <c r="L215" s="336">
        <v>3</v>
      </c>
      <c r="M215" s="334" t="s">
        <v>5019</v>
      </c>
      <c r="N215" s="335">
        <f>ES07C01</f>
        <v>1</v>
      </c>
      <c r="O215" s="336">
        <v>3</v>
      </c>
      <c r="P215" s="337" t="s">
        <v>5021</v>
      </c>
      <c r="Q215" s="335">
        <f>ES07C02</f>
        <v>1</v>
      </c>
      <c r="R215" s="336">
        <v>3</v>
      </c>
      <c r="S215" s="337" t="s">
        <v>1498</v>
      </c>
      <c r="T215" s="335">
        <f>ES08E02</f>
        <v>1</v>
      </c>
      <c r="U215" s="336">
        <v>3</v>
      </c>
      <c r="V215" s="337" t="s">
        <v>4299</v>
      </c>
      <c r="W215" s="335">
        <f>ES08F02</f>
        <v>1</v>
      </c>
      <c r="X215" s="336">
        <v>3</v>
      </c>
      <c r="Y215" s="337" t="s">
        <v>4300</v>
      </c>
      <c r="Z215" s="335">
        <f>ES08F03</f>
        <v>1</v>
      </c>
      <c r="AA215" s="336">
        <v>3</v>
      </c>
      <c r="AB215" s="337"/>
      <c r="AC215" s="335"/>
      <c r="AD215" s="336"/>
      <c r="AE215" s="337"/>
      <c r="AF215" s="335"/>
      <c r="AG215" s="336"/>
      <c r="AH215" s="337"/>
      <c r="AI215" s="335"/>
      <c r="AJ215" s="336"/>
      <c r="AK215" s="337"/>
      <c r="AL215" s="335"/>
      <c r="AM215" s="336"/>
    </row>
    <row r="216" spans="1:39" s="321" customFormat="1" ht="13.5" customHeight="1" x14ac:dyDescent="0.2">
      <c r="A216" s="338"/>
      <c r="B216" s="2127"/>
      <c r="C216" s="2129"/>
      <c r="D216" s="2129"/>
      <c r="E216" s="2129"/>
      <c r="F216" s="2134"/>
      <c r="G216" s="332" t="s">
        <v>5615</v>
      </c>
      <c r="H216" s="275" t="s">
        <v>998</v>
      </c>
      <c r="I216" s="333"/>
      <c r="J216" s="334" t="s">
        <v>5426</v>
      </c>
      <c r="K216" s="335">
        <f>ES07A01</f>
        <v>1</v>
      </c>
      <c r="L216" s="336">
        <v>4</v>
      </c>
      <c r="M216" s="334" t="s">
        <v>5428</v>
      </c>
      <c r="N216" s="335">
        <f>ES07A02</f>
        <v>1</v>
      </c>
      <c r="O216" s="336">
        <v>4</v>
      </c>
      <c r="P216" s="334" t="s">
        <v>5429</v>
      </c>
      <c r="Q216" s="335">
        <f>ES07A03</f>
        <v>1</v>
      </c>
      <c r="R216" s="336">
        <v>4</v>
      </c>
      <c r="S216" s="334" t="s">
        <v>5137</v>
      </c>
      <c r="T216" s="335">
        <f>ES07A04</f>
        <v>1</v>
      </c>
      <c r="U216" s="336">
        <v>4</v>
      </c>
      <c r="V216" s="334" t="s">
        <v>5147</v>
      </c>
      <c r="W216" s="335">
        <f>ES08F01</f>
        <v>1</v>
      </c>
      <c r="X216" s="336">
        <v>4</v>
      </c>
      <c r="Y216" s="334" t="s">
        <v>4299</v>
      </c>
      <c r="Z216" s="335">
        <f>ES08F02</f>
        <v>1</v>
      </c>
      <c r="AA216" s="336">
        <v>4</v>
      </c>
      <c r="AB216" s="334" t="s">
        <v>3657</v>
      </c>
      <c r="AC216" s="335">
        <f>ES09A01</f>
        <v>1</v>
      </c>
      <c r="AD216" s="336">
        <v>4</v>
      </c>
      <c r="AE216" s="334" t="s">
        <v>3659</v>
      </c>
      <c r="AF216" s="335">
        <f>ES09A02</f>
        <v>1</v>
      </c>
      <c r="AG216" s="336">
        <v>4</v>
      </c>
      <c r="AH216" s="334" t="s">
        <v>3661</v>
      </c>
      <c r="AI216" s="335">
        <f>ES09A03</f>
        <v>1</v>
      </c>
      <c r="AJ216" s="336">
        <v>4</v>
      </c>
      <c r="AK216" s="334" t="s">
        <v>3662</v>
      </c>
      <c r="AL216" s="335">
        <f>ES09A04</f>
        <v>1</v>
      </c>
      <c r="AM216" s="336">
        <v>4</v>
      </c>
    </row>
    <row r="217" spans="1:39" s="321" customFormat="1" ht="12.75" customHeight="1" x14ac:dyDescent="0.2">
      <c r="A217" s="338"/>
      <c r="B217" s="2128"/>
      <c r="C217" s="2130"/>
      <c r="D217" s="2130"/>
      <c r="E217" s="2130"/>
      <c r="F217" s="2135"/>
      <c r="G217" s="332" t="s">
        <v>5615</v>
      </c>
      <c r="H217" s="275" t="s">
        <v>998</v>
      </c>
      <c r="I217" s="333"/>
      <c r="J217" s="277" t="s">
        <v>5126</v>
      </c>
      <c r="K217" s="278">
        <f>ES02A01</f>
        <v>1</v>
      </c>
      <c r="L217" s="279">
        <v>4</v>
      </c>
      <c r="M217" s="277" t="s">
        <v>5884</v>
      </c>
      <c r="N217" s="278">
        <f>ES02A02</f>
        <v>1</v>
      </c>
      <c r="O217" s="279">
        <v>4</v>
      </c>
      <c r="P217" s="277" t="s">
        <v>5886</v>
      </c>
      <c r="Q217" s="278">
        <f>ES02A03</f>
        <v>1</v>
      </c>
      <c r="R217" s="279">
        <v>4</v>
      </c>
      <c r="S217" s="277" t="s">
        <v>6402</v>
      </c>
      <c r="T217" s="278">
        <f>ES02A05</f>
        <v>1</v>
      </c>
      <c r="U217" s="279">
        <v>4</v>
      </c>
      <c r="V217" s="277" t="s">
        <v>3354</v>
      </c>
      <c r="W217" s="278">
        <f>ES03B01</f>
        <v>1</v>
      </c>
      <c r="X217" s="279">
        <v>4</v>
      </c>
      <c r="Y217" s="277" t="s">
        <v>3356</v>
      </c>
      <c r="Z217" s="278">
        <f>ES03B02</f>
        <v>1</v>
      </c>
      <c r="AA217" s="279">
        <v>4</v>
      </c>
      <c r="AB217" s="277" t="s">
        <v>3252</v>
      </c>
      <c r="AC217" s="278">
        <f>ES03B03</f>
        <v>1</v>
      </c>
      <c r="AD217" s="279">
        <v>4</v>
      </c>
      <c r="AE217" s="277" t="s">
        <v>3254</v>
      </c>
      <c r="AF217" s="278">
        <f>ES03B04</f>
        <v>1</v>
      </c>
      <c r="AG217" s="279">
        <v>4</v>
      </c>
      <c r="AH217" s="277" t="s">
        <v>1665</v>
      </c>
      <c r="AI217" s="278">
        <f>ES03B06</f>
        <v>1</v>
      </c>
      <c r="AJ217" s="279">
        <v>4</v>
      </c>
      <c r="AK217" s="334" t="s">
        <v>63</v>
      </c>
      <c r="AL217" s="335">
        <f>ES08C03</f>
        <v>1</v>
      </c>
      <c r="AM217" s="336">
        <v>4</v>
      </c>
    </row>
    <row r="218" spans="1:39" s="321" customFormat="1" ht="12" customHeight="1" x14ac:dyDescent="0.2">
      <c r="A218" s="338"/>
      <c r="B218" s="339"/>
      <c r="C218" s="339"/>
      <c r="D218" s="339"/>
      <c r="E218" s="339"/>
      <c r="F218" s="340"/>
      <c r="G218" s="332" t="s">
        <v>5615</v>
      </c>
      <c r="H218" s="275" t="s">
        <v>998</v>
      </c>
      <c r="I218" s="333"/>
      <c r="J218" s="334" t="s">
        <v>6386</v>
      </c>
      <c r="K218" s="335">
        <f>ES03A01</f>
        <v>1</v>
      </c>
      <c r="L218" s="336">
        <v>4</v>
      </c>
      <c r="M218" s="334" t="s">
        <v>2341</v>
      </c>
      <c r="N218" s="335">
        <f>ES03A04</f>
        <v>1</v>
      </c>
      <c r="O218" s="336">
        <v>4</v>
      </c>
      <c r="P218" s="334" t="s">
        <v>2343</v>
      </c>
      <c r="Q218" s="335">
        <f>ES03A05</f>
        <v>1</v>
      </c>
      <c r="R218" s="336">
        <v>4</v>
      </c>
      <c r="S218" s="334" t="s">
        <v>5220</v>
      </c>
      <c r="T218" s="335">
        <f>ES03C01</f>
        <v>1</v>
      </c>
      <c r="U218" s="336">
        <v>4</v>
      </c>
      <c r="V218" s="334" t="s">
        <v>5225</v>
      </c>
      <c r="W218" s="335">
        <f>ES03D01</f>
        <v>1</v>
      </c>
      <c r="X218" s="336">
        <v>4</v>
      </c>
      <c r="Y218" s="334"/>
      <c r="Z218" s="335"/>
      <c r="AA218" s="336"/>
      <c r="AB218" s="334"/>
      <c r="AC218" s="335"/>
      <c r="AD218" s="336"/>
      <c r="AE218" s="334"/>
      <c r="AF218" s="335"/>
      <c r="AG218" s="336"/>
      <c r="AH218" s="334"/>
      <c r="AI218" s="335"/>
      <c r="AJ218" s="336"/>
      <c r="AK218" s="334"/>
      <c r="AL218" s="335"/>
      <c r="AM218" s="336"/>
    </row>
    <row r="219" spans="1:39" s="321" customFormat="1" ht="11.25" customHeight="1" x14ac:dyDescent="0.2">
      <c r="A219" s="338"/>
      <c r="B219" s="341"/>
      <c r="C219" s="341"/>
      <c r="D219" s="341"/>
      <c r="E219" s="341"/>
      <c r="F219" s="341"/>
      <c r="G219" s="332" t="s">
        <v>5615</v>
      </c>
      <c r="H219" s="275" t="s">
        <v>998</v>
      </c>
      <c r="I219" s="333"/>
      <c r="J219" s="334" t="s">
        <v>4980</v>
      </c>
      <c r="K219" s="335">
        <f>ES07D01</f>
        <v>1</v>
      </c>
      <c r="L219" s="336">
        <v>4</v>
      </c>
      <c r="M219" s="334" t="s">
        <v>4324</v>
      </c>
      <c r="N219" s="335">
        <f>ES08A03</f>
        <v>1</v>
      </c>
      <c r="O219" s="336">
        <v>4</v>
      </c>
      <c r="P219" s="334" t="s">
        <v>2800</v>
      </c>
      <c r="Q219" s="335">
        <f>ES08E01</f>
        <v>1</v>
      </c>
      <c r="R219" s="336">
        <v>4</v>
      </c>
      <c r="S219" s="334" t="s">
        <v>5928</v>
      </c>
      <c r="T219" s="335">
        <f>ES09E01</f>
        <v>1</v>
      </c>
      <c r="U219" s="336">
        <v>4</v>
      </c>
      <c r="V219" s="334" t="s">
        <v>3224</v>
      </c>
      <c r="W219" s="335">
        <f>ES10B05</f>
        <v>1</v>
      </c>
      <c r="X219" s="336">
        <v>4</v>
      </c>
      <c r="Y219" s="334" t="s">
        <v>3226</v>
      </c>
      <c r="Z219" s="335">
        <f>ES10B06</f>
        <v>1</v>
      </c>
      <c r="AA219" s="336">
        <v>4</v>
      </c>
      <c r="AB219" s="334"/>
      <c r="AC219" s="335"/>
      <c r="AD219" s="336"/>
      <c r="AE219" s="334"/>
      <c r="AF219" s="335"/>
      <c r="AG219" s="336"/>
      <c r="AH219" s="334"/>
      <c r="AI219" s="335"/>
      <c r="AJ219" s="336"/>
      <c r="AK219" s="334"/>
      <c r="AL219" s="335"/>
      <c r="AM219" s="336"/>
    </row>
    <row r="220" spans="1:39" s="321" customFormat="1" ht="11.25" customHeight="1" x14ac:dyDescent="0.2">
      <c r="A220" s="338"/>
      <c r="B220" s="341"/>
      <c r="C220" s="341"/>
      <c r="D220" s="341"/>
      <c r="E220" s="341"/>
      <c r="F220" s="341"/>
      <c r="G220" s="332" t="s">
        <v>5617</v>
      </c>
      <c r="H220" s="275" t="s">
        <v>998</v>
      </c>
      <c r="I220" s="333"/>
      <c r="J220" s="334" t="s">
        <v>6400</v>
      </c>
      <c r="K220" s="335">
        <f>ES02A04</f>
        <v>1</v>
      </c>
      <c r="L220" s="336">
        <v>3</v>
      </c>
      <c r="M220" s="334" t="s">
        <v>3254</v>
      </c>
      <c r="N220" s="335">
        <f>ES03B04</f>
        <v>1</v>
      </c>
      <c r="O220" s="336">
        <v>3</v>
      </c>
      <c r="P220" s="334" t="s">
        <v>5222</v>
      </c>
      <c r="Q220" s="335">
        <f>ES03C02</f>
        <v>1</v>
      </c>
      <c r="R220" s="336">
        <v>3</v>
      </c>
      <c r="S220" s="337" t="s">
        <v>5224</v>
      </c>
      <c r="T220" s="335">
        <f>ES03C03</f>
        <v>1</v>
      </c>
      <c r="U220" s="336">
        <v>3</v>
      </c>
      <c r="V220" s="337" t="s">
        <v>5227</v>
      </c>
      <c r="W220" s="335">
        <f>ES03D02</f>
        <v>1</v>
      </c>
      <c r="X220" s="336">
        <v>3</v>
      </c>
      <c r="Y220" s="334" t="s">
        <v>3017</v>
      </c>
      <c r="Z220" s="335">
        <f>ES03D03</f>
        <v>1</v>
      </c>
      <c r="AA220" s="336">
        <v>3</v>
      </c>
      <c r="AB220" s="334" t="s">
        <v>2058</v>
      </c>
      <c r="AC220" s="335">
        <f>ES08C05</f>
        <v>1</v>
      </c>
      <c r="AD220" s="336">
        <v>3</v>
      </c>
      <c r="AE220" s="334" t="s">
        <v>2800</v>
      </c>
      <c r="AF220" s="335">
        <f>ES08E01</f>
        <v>1</v>
      </c>
      <c r="AG220" s="336">
        <v>3</v>
      </c>
      <c r="AH220" s="334" t="s">
        <v>1498</v>
      </c>
      <c r="AI220" s="335">
        <f>ES08E02</f>
        <v>1</v>
      </c>
      <c r="AJ220" s="336">
        <v>3</v>
      </c>
      <c r="AK220" s="334" t="s">
        <v>2532</v>
      </c>
      <c r="AL220" s="335">
        <f>ES08E03</f>
        <v>1</v>
      </c>
      <c r="AM220" s="336">
        <v>3</v>
      </c>
    </row>
    <row r="221" spans="1:39" s="321" customFormat="1" ht="12" customHeight="1" x14ac:dyDescent="0.2">
      <c r="A221" s="338"/>
      <c r="B221" s="341"/>
      <c r="C221" s="341"/>
      <c r="D221" s="341"/>
      <c r="E221" s="341"/>
      <c r="F221" s="341"/>
      <c r="G221" s="342" t="s">
        <v>5618</v>
      </c>
      <c r="H221" s="275" t="s">
        <v>6370</v>
      </c>
      <c r="I221" s="333"/>
      <c r="J221" s="277" t="s">
        <v>2536</v>
      </c>
      <c r="K221" s="335">
        <f>ES01C02</f>
        <v>1</v>
      </c>
      <c r="L221" s="336">
        <v>3</v>
      </c>
      <c r="M221" s="334" t="s">
        <v>1137</v>
      </c>
      <c r="N221" s="335">
        <f>ES08D01</f>
        <v>1</v>
      </c>
      <c r="O221" s="336">
        <v>3</v>
      </c>
      <c r="P221" s="334" t="s">
        <v>1662</v>
      </c>
      <c r="Q221" s="335">
        <f>ES08D02</f>
        <v>1</v>
      </c>
      <c r="R221" s="336">
        <v>3</v>
      </c>
      <c r="S221" s="334" t="s">
        <v>1663</v>
      </c>
      <c r="T221" s="335">
        <f>ES08D03</f>
        <v>1</v>
      </c>
      <c r="U221" s="336">
        <v>3</v>
      </c>
      <c r="V221" s="334" t="s">
        <v>1994</v>
      </c>
      <c r="W221" s="335">
        <f>ES08D08</f>
        <v>1</v>
      </c>
      <c r="X221" s="336">
        <v>3</v>
      </c>
      <c r="Y221" s="334" t="s">
        <v>1324</v>
      </c>
      <c r="Z221" s="335">
        <f>ES08D10</f>
        <v>1</v>
      </c>
      <c r="AA221" s="336">
        <v>3</v>
      </c>
      <c r="AB221" s="334" t="s">
        <v>3213</v>
      </c>
      <c r="AC221" s="335">
        <f>ES09E03</f>
        <v>1</v>
      </c>
      <c r="AD221" s="336">
        <v>3</v>
      </c>
      <c r="AE221" s="334" t="s">
        <v>1202</v>
      </c>
      <c r="AF221" s="335">
        <f>ES10A04</f>
        <v>1</v>
      </c>
      <c r="AG221" s="336">
        <v>3</v>
      </c>
      <c r="AH221" s="334"/>
      <c r="AI221" s="335"/>
      <c r="AJ221" s="343"/>
      <c r="AK221" s="334"/>
      <c r="AL221" s="335"/>
      <c r="AM221" s="343"/>
    </row>
    <row r="222" spans="1:39" s="321" customFormat="1" ht="11.25" customHeight="1" x14ac:dyDescent="0.2">
      <c r="A222" s="338"/>
      <c r="B222" s="344"/>
      <c r="C222" s="344"/>
      <c r="D222" s="344"/>
      <c r="E222" s="344"/>
      <c r="F222" s="345"/>
      <c r="G222" s="342" t="s">
        <v>5618</v>
      </c>
      <c r="H222" s="275" t="s">
        <v>1935</v>
      </c>
      <c r="I222" s="333"/>
      <c r="J222" s="277" t="s">
        <v>5122</v>
      </c>
      <c r="K222" s="335">
        <f>ES01E01</f>
        <v>1</v>
      </c>
      <c r="L222" s="336">
        <v>3</v>
      </c>
      <c r="M222" s="277" t="s">
        <v>5124</v>
      </c>
      <c r="N222" s="335">
        <f>ES01E02</f>
        <v>1</v>
      </c>
      <c r="O222" s="336">
        <v>3</v>
      </c>
      <c r="P222" s="334" t="s">
        <v>6388</v>
      </c>
      <c r="Q222" s="335">
        <f>ES03A02</f>
        <v>1</v>
      </c>
      <c r="R222" s="336">
        <v>3</v>
      </c>
      <c r="S222" s="334" t="s">
        <v>2339</v>
      </c>
      <c r="T222" s="335">
        <f>ES03A03</f>
        <v>1</v>
      </c>
      <c r="U222" s="336">
        <v>3</v>
      </c>
      <c r="V222" s="334" t="s">
        <v>1055</v>
      </c>
      <c r="W222" s="335">
        <f>ES03A06</f>
        <v>1</v>
      </c>
      <c r="X222" s="336">
        <v>3</v>
      </c>
      <c r="Y222" s="334" t="s">
        <v>4980</v>
      </c>
      <c r="Z222" s="335">
        <f>ES07D01</f>
        <v>1</v>
      </c>
      <c r="AA222" s="336">
        <v>3</v>
      </c>
      <c r="AB222" s="334" t="s">
        <v>4954</v>
      </c>
      <c r="AC222" s="335">
        <f>ES08D04</f>
        <v>1</v>
      </c>
      <c r="AD222" s="336">
        <v>3</v>
      </c>
      <c r="AE222" s="334" t="s">
        <v>5965</v>
      </c>
      <c r="AF222" s="335">
        <f>ES08D06</f>
        <v>1</v>
      </c>
      <c r="AG222" s="336">
        <v>3</v>
      </c>
      <c r="AH222" s="334" t="s">
        <v>5928</v>
      </c>
      <c r="AI222" s="335">
        <f>ES09E01</f>
        <v>1</v>
      </c>
      <c r="AJ222" s="336">
        <v>3</v>
      </c>
      <c r="AK222" s="334" t="s">
        <v>3210</v>
      </c>
      <c r="AL222" s="335">
        <f>ES09E02</f>
        <v>1</v>
      </c>
      <c r="AM222" s="336">
        <v>3</v>
      </c>
    </row>
    <row r="223" spans="1:39" s="321" customFormat="1" ht="11.25" customHeight="1" x14ac:dyDescent="0.2">
      <c r="A223" s="1374" t="s">
        <v>4201</v>
      </c>
      <c r="B223" s="322" t="s">
        <v>1660</v>
      </c>
      <c r="C223" s="323"/>
      <c r="D223" s="323"/>
      <c r="E223" s="323"/>
      <c r="F223" s="323"/>
      <c r="G223" s="323"/>
      <c r="H223" s="323"/>
      <c r="I223" s="324"/>
      <c r="J223" s="325"/>
      <c r="K223" s="326"/>
      <c r="L223" s="327"/>
      <c r="M223" s="328"/>
      <c r="N223" s="326"/>
      <c r="O223" s="327"/>
      <c r="P223" s="329"/>
      <c r="Q223" s="326"/>
      <c r="R223" s="330"/>
      <c r="S223" s="328"/>
      <c r="T223" s="326"/>
      <c r="U223" s="327"/>
      <c r="V223" s="328"/>
      <c r="W223" s="326"/>
      <c r="X223" s="327"/>
      <c r="Y223" s="328"/>
      <c r="Z223" s="326"/>
      <c r="AA223" s="327"/>
      <c r="AB223" s="328"/>
      <c r="AC223" s="326"/>
      <c r="AD223" s="327"/>
      <c r="AE223" s="328"/>
      <c r="AF223" s="326"/>
      <c r="AG223" s="327"/>
      <c r="AH223" s="328"/>
      <c r="AI223" s="326"/>
      <c r="AJ223" s="327"/>
      <c r="AK223" s="328"/>
      <c r="AL223" s="326"/>
      <c r="AM223" s="327"/>
    </row>
    <row r="224" spans="1:39" s="321" customFormat="1" ht="11.25" customHeight="1" x14ac:dyDescent="0.2">
      <c r="A224" s="331"/>
      <c r="B224" s="2126">
        <f>COUNTIF(Scénarios!AH528:AH588,1)</f>
        <v>0</v>
      </c>
      <c r="C224" s="2126">
        <f>COUNTIF(Scénarios!AH528:AH588,2)</f>
        <v>0</v>
      </c>
      <c r="D224" s="2131">
        <f>COUNTIF(Scénarios!AH528:AH588,3)</f>
        <v>0</v>
      </c>
      <c r="E224" s="2132">
        <f>COUNTIF(Scénarios!AH528:AH588,4)</f>
        <v>0</v>
      </c>
      <c r="F224" s="2133">
        <f>SUM(B224:E224)</f>
        <v>0</v>
      </c>
      <c r="G224" s="332" t="s">
        <v>5616</v>
      </c>
      <c r="H224" s="275" t="s">
        <v>6370</v>
      </c>
      <c r="I224" s="333"/>
      <c r="J224" s="334" t="s">
        <v>1665</v>
      </c>
      <c r="K224" s="335">
        <f>ES03B06</f>
        <v>1</v>
      </c>
      <c r="L224" s="336">
        <v>3</v>
      </c>
      <c r="M224" s="334" t="s">
        <v>5019</v>
      </c>
      <c r="N224" s="335">
        <f>ES07C01</f>
        <v>1</v>
      </c>
      <c r="O224" s="336">
        <v>3</v>
      </c>
      <c r="P224" s="337" t="s">
        <v>5021</v>
      </c>
      <c r="Q224" s="335">
        <f>ES07C02</f>
        <v>1</v>
      </c>
      <c r="R224" s="336">
        <v>3</v>
      </c>
      <c r="S224" s="337" t="s">
        <v>1498</v>
      </c>
      <c r="T224" s="335">
        <f>ES08E02</f>
        <v>1</v>
      </c>
      <c r="U224" s="336">
        <v>3</v>
      </c>
      <c r="V224" s="337" t="s">
        <v>4299</v>
      </c>
      <c r="W224" s="335">
        <f>ES08F02</f>
        <v>1</v>
      </c>
      <c r="X224" s="336">
        <v>3</v>
      </c>
      <c r="Y224" s="337" t="s">
        <v>4300</v>
      </c>
      <c r="Z224" s="335">
        <f>ES08F03</f>
        <v>1</v>
      </c>
      <c r="AA224" s="336">
        <v>3</v>
      </c>
      <c r="AB224" s="337"/>
      <c r="AC224" s="335"/>
      <c r="AD224" s="336"/>
      <c r="AE224" s="337"/>
      <c r="AF224" s="335"/>
      <c r="AG224" s="336"/>
      <c r="AH224" s="337"/>
      <c r="AI224" s="335"/>
      <c r="AJ224" s="336"/>
      <c r="AK224" s="337"/>
      <c r="AL224" s="335"/>
      <c r="AM224" s="336"/>
    </row>
    <row r="225" spans="1:39" s="321" customFormat="1" ht="11.25" customHeight="1" x14ac:dyDescent="0.2">
      <c r="A225" s="338"/>
      <c r="B225" s="2127"/>
      <c r="C225" s="2129"/>
      <c r="D225" s="2129"/>
      <c r="E225" s="2129"/>
      <c r="F225" s="2134"/>
      <c r="G225" s="332" t="s">
        <v>5615</v>
      </c>
      <c r="H225" s="275" t="s">
        <v>998</v>
      </c>
      <c r="I225" s="333"/>
      <c r="J225" s="334" t="s">
        <v>5426</v>
      </c>
      <c r="K225" s="335">
        <f>ES07A01</f>
        <v>1</v>
      </c>
      <c r="L225" s="336">
        <v>4</v>
      </c>
      <c r="M225" s="334" t="s">
        <v>5428</v>
      </c>
      <c r="N225" s="335">
        <f>ES07A02</f>
        <v>1</v>
      </c>
      <c r="O225" s="336">
        <v>4</v>
      </c>
      <c r="P225" s="334" t="s">
        <v>5429</v>
      </c>
      <c r="Q225" s="335">
        <f>ES07A03</f>
        <v>1</v>
      </c>
      <c r="R225" s="336">
        <v>4</v>
      </c>
      <c r="S225" s="334" t="s">
        <v>5137</v>
      </c>
      <c r="T225" s="335">
        <f>ES07A04</f>
        <v>1</v>
      </c>
      <c r="U225" s="336">
        <v>4</v>
      </c>
      <c r="V225" s="334" t="s">
        <v>5147</v>
      </c>
      <c r="W225" s="335">
        <f>ES08F01</f>
        <v>1</v>
      </c>
      <c r="X225" s="336">
        <v>4</v>
      </c>
      <c r="Y225" s="334" t="s">
        <v>4299</v>
      </c>
      <c r="Z225" s="335">
        <f>ES08F02</f>
        <v>1</v>
      </c>
      <c r="AA225" s="336">
        <v>4</v>
      </c>
      <c r="AB225" s="334" t="s">
        <v>3657</v>
      </c>
      <c r="AC225" s="335">
        <f>ES09A01</f>
        <v>1</v>
      </c>
      <c r="AD225" s="336">
        <v>4</v>
      </c>
      <c r="AE225" s="334" t="s">
        <v>3659</v>
      </c>
      <c r="AF225" s="335">
        <f>ES09A02</f>
        <v>1</v>
      </c>
      <c r="AG225" s="336">
        <v>4</v>
      </c>
      <c r="AH225" s="334" t="s">
        <v>3661</v>
      </c>
      <c r="AI225" s="335">
        <f>ES09A03</f>
        <v>1</v>
      </c>
      <c r="AJ225" s="336">
        <v>4</v>
      </c>
      <c r="AK225" s="334" t="s">
        <v>3662</v>
      </c>
      <c r="AL225" s="335">
        <f>ES09A04</f>
        <v>1</v>
      </c>
      <c r="AM225" s="336">
        <v>4</v>
      </c>
    </row>
    <row r="226" spans="1:39" s="321" customFormat="1" ht="12.75" customHeight="1" x14ac:dyDescent="0.2">
      <c r="A226" s="338"/>
      <c r="B226" s="2128"/>
      <c r="C226" s="2130"/>
      <c r="D226" s="2130"/>
      <c r="E226" s="2130"/>
      <c r="F226" s="2135"/>
      <c r="G226" s="332" t="s">
        <v>5615</v>
      </c>
      <c r="H226" s="275" t="s">
        <v>998</v>
      </c>
      <c r="I226" s="333"/>
      <c r="J226" s="277" t="s">
        <v>5126</v>
      </c>
      <c r="K226" s="278">
        <f>ES02A01</f>
        <v>1</v>
      </c>
      <c r="L226" s="279">
        <v>4</v>
      </c>
      <c r="M226" s="277" t="s">
        <v>5884</v>
      </c>
      <c r="N226" s="278">
        <f>ES02A02</f>
        <v>1</v>
      </c>
      <c r="O226" s="279">
        <v>4</v>
      </c>
      <c r="P226" s="277" t="s">
        <v>5886</v>
      </c>
      <c r="Q226" s="278">
        <f>ES02A03</f>
        <v>1</v>
      </c>
      <c r="R226" s="279">
        <v>4</v>
      </c>
      <c r="S226" s="277" t="s">
        <v>6402</v>
      </c>
      <c r="T226" s="278">
        <f>ES02A05</f>
        <v>1</v>
      </c>
      <c r="U226" s="279">
        <v>4</v>
      </c>
      <c r="V226" s="277" t="s">
        <v>3354</v>
      </c>
      <c r="W226" s="278">
        <f>ES03B01</f>
        <v>1</v>
      </c>
      <c r="X226" s="279">
        <v>4</v>
      </c>
      <c r="Y226" s="277" t="s">
        <v>3356</v>
      </c>
      <c r="Z226" s="278">
        <f>ES03B02</f>
        <v>1</v>
      </c>
      <c r="AA226" s="279">
        <v>4</v>
      </c>
      <c r="AB226" s="277" t="s">
        <v>3252</v>
      </c>
      <c r="AC226" s="278">
        <f>ES03B03</f>
        <v>1</v>
      </c>
      <c r="AD226" s="279">
        <v>4</v>
      </c>
      <c r="AE226" s="277" t="s">
        <v>3254</v>
      </c>
      <c r="AF226" s="278">
        <f>ES03B04</f>
        <v>1</v>
      </c>
      <c r="AG226" s="279">
        <v>4</v>
      </c>
      <c r="AH226" s="277" t="s">
        <v>1665</v>
      </c>
      <c r="AI226" s="278">
        <f>ES03B06</f>
        <v>1</v>
      </c>
      <c r="AJ226" s="279">
        <v>4</v>
      </c>
      <c r="AK226" s="334" t="s">
        <v>63</v>
      </c>
      <c r="AL226" s="335">
        <f>ES08C03</f>
        <v>1</v>
      </c>
      <c r="AM226" s="336">
        <v>4</v>
      </c>
    </row>
    <row r="227" spans="1:39" s="321" customFormat="1" ht="11.25" customHeight="1" x14ac:dyDescent="0.2">
      <c r="A227" s="338"/>
      <c r="B227" s="339"/>
      <c r="C227" s="339"/>
      <c r="D227" s="339"/>
      <c r="E227" s="339"/>
      <c r="F227" s="340"/>
      <c r="G227" s="332" t="s">
        <v>5615</v>
      </c>
      <c r="H227" s="275" t="s">
        <v>998</v>
      </c>
      <c r="I227" s="333"/>
      <c r="J227" s="334" t="s">
        <v>6386</v>
      </c>
      <c r="K227" s="335">
        <f>ES03A01</f>
        <v>1</v>
      </c>
      <c r="L227" s="336">
        <v>4</v>
      </c>
      <c r="M227" s="334" t="s">
        <v>2341</v>
      </c>
      <c r="N227" s="335">
        <f>ES03A04</f>
        <v>1</v>
      </c>
      <c r="O227" s="336">
        <v>4</v>
      </c>
      <c r="P227" s="334" t="s">
        <v>2343</v>
      </c>
      <c r="Q227" s="335">
        <f>ES03A05</f>
        <v>1</v>
      </c>
      <c r="R227" s="336">
        <v>4</v>
      </c>
      <c r="S227" s="334" t="s">
        <v>5220</v>
      </c>
      <c r="T227" s="335">
        <f>ES03C01</f>
        <v>1</v>
      </c>
      <c r="U227" s="336">
        <v>4</v>
      </c>
      <c r="V227" s="334" t="s">
        <v>5225</v>
      </c>
      <c r="W227" s="335">
        <f>ES03D01</f>
        <v>1</v>
      </c>
      <c r="X227" s="336">
        <v>4</v>
      </c>
      <c r="Y227" s="334"/>
      <c r="Z227" s="335"/>
      <c r="AA227" s="336"/>
      <c r="AB227" s="334"/>
      <c r="AC227" s="335"/>
      <c r="AD227" s="336"/>
      <c r="AE227" s="334"/>
      <c r="AF227" s="335"/>
      <c r="AG227" s="336"/>
      <c r="AH227" s="334"/>
      <c r="AI227" s="335"/>
      <c r="AJ227" s="336"/>
      <c r="AK227" s="334"/>
      <c r="AL227" s="335"/>
      <c r="AM227" s="336"/>
    </row>
    <row r="228" spans="1:39" s="321" customFormat="1" ht="11.25" customHeight="1" x14ac:dyDescent="0.2">
      <c r="A228" s="338"/>
      <c r="B228" s="341"/>
      <c r="C228" s="341"/>
      <c r="D228" s="341"/>
      <c r="E228" s="341"/>
      <c r="F228" s="341"/>
      <c r="G228" s="332" t="s">
        <v>5615</v>
      </c>
      <c r="H228" s="275" t="s">
        <v>998</v>
      </c>
      <c r="I228" s="333"/>
      <c r="J228" s="334" t="s">
        <v>4980</v>
      </c>
      <c r="K228" s="335">
        <f>ES07D01</f>
        <v>1</v>
      </c>
      <c r="L228" s="336">
        <v>4</v>
      </c>
      <c r="M228" s="334" t="s">
        <v>4324</v>
      </c>
      <c r="N228" s="335">
        <f>ES08A03</f>
        <v>1</v>
      </c>
      <c r="O228" s="336">
        <v>4</v>
      </c>
      <c r="P228" s="334" t="s">
        <v>2800</v>
      </c>
      <c r="Q228" s="335">
        <f>ES08E01</f>
        <v>1</v>
      </c>
      <c r="R228" s="336">
        <v>4</v>
      </c>
      <c r="S228" s="334" t="s">
        <v>5928</v>
      </c>
      <c r="T228" s="335">
        <f>ES09E01</f>
        <v>1</v>
      </c>
      <c r="U228" s="336">
        <v>4</v>
      </c>
      <c r="V228" s="334" t="s">
        <v>3224</v>
      </c>
      <c r="W228" s="335">
        <f>ES10B05</f>
        <v>1</v>
      </c>
      <c r="X228" s="336">
        <v>4</v>
      </c>
      <c r="Y228" s="334" t="s">
        <v>3226</v>
      </c>
      <c r="Z228" s="335">
        <f>ES10B06</f>
        <v>1</v>
      </c>
      <c r="AA228" s="336">
        <v>4</v>
      </c>
      <c r="AB228" s="334"/>
      <c r="AC228" s="335"/>
      <c r="AD228" s="336"/>
      <c r="AE228" s="334"/>
      <c r="AF228" s="335"/>
      <c r="AG228" s="336"/>
      <c r="AH228" s="334"/>
      <c r="AI228" s="335"/>
      <c r="AJ228" s="336"/>
      <c r="AK228" s="334"/>
      <c r="AL228" s="335"/>
      <c r="AM228" s="336"/>
    </row>
    <row r="229" spans="1:39" s="321" customFormat="1" ht="11.25" customHeight="1" x14ac:dyDescent="0.2">
      <c r="A229" s="338"/>
      <c r="B229" s="341"/>
      <c r="C229" s="341"/>
      <c r="D229" s="341"/>
      <c r="E229" s="341"/>
      <c r="F229" s="341"/>
      <c r="G229" s="332" t="s">
        <v>5617</v>
      </c>
      <c r="H229" s="275" t="s">
        <v>998</v>
      </c>
      <c r="I229" s="333"/>
      <c r="J229" s="334" t="s">
        <v>6400</v>
      </c>
      <c r="K229" s="335">
        <f>ES02A04</f>
        <v>1</v>
      </c>
      <c r="L229" s="336">
        <v>3</v>
      </c>
      <c r="M229" s="334" t="s">
        <v>3254</v>
      </c>
      <c r="N229" s="335">
        <f>ES03B04</f>
        <v>1</v>
      </c>
      <c r="O229" s="336">
        <v>3</v>
      </c>
      <c r="P229" s="334" t="s">
        <v>5222</v>
      </c>
      <c r="Q229" s="335">
        <f>ES03C02</f>
        <v>1</v>
      </c>
      <c r="R229" s="336">
        <v>3</v>
      </c>
      <c r="S229" s="337" t="s">
        <v>5224</v>
      </c>
      <c r="T229" s="335">
        <f>ES03C03</f>
        <v>1</v>
      </c>
      <c r="U229" s="336">
        <v>3</v>
      </c>
      <c r="V229" s="337" t="s">
        <v>5227</v>
      </c>
      <c r="W229" s="335">
        <f>ES03D02</f>
        <v>1</v>
      </c>
      <c r="X229" s="336">
        <v>3</v>
      </c>
      <c r="Y229" s="334" t="s">
        <v>3017</v>
      </c>
      <c r="Z229" s="335">
        <f>ES03D03</f>
        <v>1</v>
      </c>
      <c r="AA229" s="336">
        <v>3</v>
      </c>
      <c r="AB229" s="334" t="s">
        <v>2058</v>
      </c>
      <c r="AC229" s="335">
        <f>ES08C05</f>
        <v>1</v>
      </c>
      <c r="AD229" s="336">
        <v>3</v>
      </c>
      <c r="AE229" s="334" t="s">
        <v>2800</v>
      </c>
      <c r="AF229" s="335">
        <f>ES08E01</f>
        <v>1</v>
      </c>
      <c r="AG229" s="336">
        <v>3</v>
      </c>
      <c r="AH229" s="334" t="s">
        <v>1498</v>
      </c>
      <c r="AI229" s="335">
        <f>ES08E02</f>
        <v>1</v>
      </c>
      <c r="AJ229" s="336">
        <v>3</v>
      </c>
      <c r="AK229" s="334" t="s">
        <v>2532</v>
      </c>
      <c r="AL229" s="335">
        <f>ES08E03</f>
        <v>1</v>
      </c>
      <c r="AM229" s="336">
        <v>3</v>
      </c>
    </row>
    <row r="230" spans="1:39" s="321" customFormat="1" ht="14.25" customHeight="1" x14ac:dyDescent="0.2">
      <c r="A230" s="338"/>
      <c r="B230" s="341"/>
      <c r="C230" s="341"/>
      <c r="D230" s="341"/>
      <c r="E230" s="341"/>
      <c r="F230" s="341"/>
      <c r="G230" s="342" t="s">
        <v>5618</v>
      </c>
      <c r="H230" s="275" t="s">
        <v>998</v>
      </c>
      <c r="I230" s="333"/>
      <c r="J230" s="277" t="s">
        <v>2536</v>
      </c>
      <c r="K230" s="335">
        <f>ES01C02</f>
        <v>1</v>
      </c>
      <c r="L230" s="336">
        <v>3</v>
      </c>
      <c r="M230" s="334" t="s">
        <v>1137</v>
      </c>
      <c r="N230" s="335">
        <f>ES08D01</f>
        <v>1</v>
      </c>
      <c r="O230" s="336">
        <v>3</v>
      </c>
      <c r="P230" s="334" t="s">
        <v>1662</v>
      </c>
      <c r="Q230" s="335">
        <f>ES08D02</f>
        <v>1</v>
      </c>
      <c r="R230" s="336">
        <v>3</v>
      </c>
      <c r="S230" s="334" t="s">
        <v>1663</v>
      </c>
      <c r="T230" s="335">
        <f>ES08D03</f>
        <v>1</v>
      </c>
      <c r="U230" s="336">
        <v>3</v>
      </c>
      <c r="V230" s="334" t="s">
        <v>1994</v>
      </c>
      <c r="W230" s="335">
        <f>ES08D08</f>
        <v>1</v>
      </c>
      <c r="X230" s="336">
        <v>3</v>
      </c>
      <c r="Y230" s="334" t="s">
        <v>1324</v>
      </c>
      <c r="Z230" s="335">
        <f>ES08D10</f>
        <v>1</v>
      </c>
      <c r="AA230" s="336">
        <v>3</v>
      </c>
      <c r="AB230" s="334" t="s">
        <v>3213</v>
      </c>
      <c r="AC230" s="335">
        <f>ES09E03</f>
        <v>1</v>
      </c>
      <c r="AD230" s="336">
        <v>3</v>
      </c>
      <c r="AE230" s="334" t="s">
        <v>1202</v>
      </c>
      <c r="AF230" s="335">
        <f>ES10A04</f>
        <v>1</v>
      </c>
      <c r="AG230" s="336">
        <v>3</v>
      </c>
      <c r="AH230" s="334"/>
      <c r="AI230" s="335"/>
      <c r="AJ230" s="343"/>
      <c r="AK230" s="334"/>
      <c r="AL230" s="335"/>
      <c r="AM230" s="343"/>
    </row>
    <row r="231" spans="1:39" s="321" customFormat="1" ht="12.75" customHeight="1" x14ac:dyDescent="0.2">
      <c r="A231" s="338"/>
      <c r="B231" s="344"/>
      <c r="C231" s="344"/>
      <c r="D231" s="344"/>
      <c r="E231" s="344"/>
      <c r="F231" s="345"/>
      <c r="G231" s="342" t="s">
        <v>5618</v>
      </c>
      <c r="H231" s="275" t="s">
        <v>6369</v>
      </c>
      <c r="I231" s="333"/>
      <c r="J231" s="334" t="s">
        <v>5122</v>
      </c>
      <c r="K231" s="335">
        <f>ES01E01</f>
        <v>1</v>
      </c>
      <c r="L231" s="336">
        <v>3</v>
      </c>
      <c r="M231" s="334" t="s">
        <v>5124</v>
      </c>
      <c r="N231" s="335">
        <f>ES01E02</f>
        <v>1</v>
      </c>
      <c r="O231" s="336">
        <v>3</v>
      </c>
      <c r="P231" s="334" t="s">
        <v>6388</v>
      </c>
      <c r="Q231" s="335">
        <f>ES03A02</f>
        <v>1</v>
      </c>
      <c r="R231" s="336">
        <v>3</v>
      </c>
      <c r="S231" s="334" t="s">
        <v>1055</v>
      </c>
      <c r="T231" s="335">
        <f>ES03A06</f>
        <v>1</v>
      </c>
      <c r="U231" s="336">
        <v>3</v>
      </c>
      <c r="V231" s="334" t="s">
        <v>4980</v>
      </c>
      <c r="W231" s="335">
        <f>ES07D01</f>
        <v>1</v>
      </c>
      <c r="X231" s="336">
        <v>3</v>
      </c>
      <c r="Y231" s="334" t="s">
        <v>4954</v>
      </c>
      <c r="Z231" s="335">
        <f>ES08D04</f>
        <v>1</v>
      </c>
      <c r="AA231" s="336">
        <v>3</v>
      </c>
      <c r="AB231" s="334" t="s">
        <v>5965</v>
      </c>
      <c r="AC231" s="335">
        <f>ES08D06</f>
        <v>1</v>
      </c>
      <c r="AD231" s="336">
        <v>3</v>
      </c>
      <c r="AE231" s="334" t="s">
        <v>5928</v>
      </c>
      <c r="AF231" s="335">
        <f>ES09E01</f>
        <v>1</v>
      </c>
      <c r="AG231" s="336">
        <v>3</v>
      </c>
      <c r="AH231" s="334" t="s">
        <v>3210</v>
      </c>
      <c r="AI231" s="335">
        <f>ES09E02</f>
        <v>1</v>
      </c>
      <c r="AJ231" s="336">
        <v>3</v>
      </c>
      <c r="AK231" s="334"/>
      <c r="AL231" s="335"/>
      <c r="AM231" s="343"/>
    </row>
    <row r="232" spans="1:39" s="321" customFormat="1" ht="14.25" customHeight="1" x14ac:dyDescent="0.2">
      <c r="A232" s="1374" t="s">
        <v>2823</v>
      </c>
      <c r="B232" s="322" t="s">
        <v>5339</v>
      </c>
      <c r="C232" s="323"/>
      <c r="D232" s="323"/>
      <c r="E232" s="323"/>
      <c r="F232" s="323"/>
      <c r="G232" s="323"/>
      <c r="H232" s="323"/>
      <c r="I232" s="324"/>
      <c r="J232" s="325"/>
      <c r="K232" s="326"/>
      <c r="L232" s="327"/>
      <c r="M232" s="328"/>
      <c r="N232" s="326"/>
      <c r="O232" s="327"/>
      <c r="P232" s="329"/>
      <c r="Q232" s="326"/>
      <c r="R232" s="330"/>
      <c r="S232" s="328"/>
      <c r="T232" s="326"/>
      <c r="U232" s="327"/>
      <c r="V232" s="328"/>
      <c r="W232" s="326"/>
      <c r="X232" s="327"/>
      <c r="Y232" s="328"/>
      <c r="Z232" s="326"/>
      <c r="AA232" s="327"/>
      <c r="AB232" s="328"/>
      <c r="AC232" s="326"/>
      <c r="AD232" s="327"/>
      <c r="AE232" s="328"/>
      <c r="AF232" s="326"/>
      <c r="AG232" s="327"/>
      <c r="AH232" s="328"/>
      <c r="AI232" s="326"/>
      <c r="AJ232" s="327"/>
      <c r="AK232" s="328"/>
      <c r="AL232" s="326"/>
      <c r="AM232" s="327"/>
    </row>
    <row r="233" spans="1:39" s="321" customFormat="1" ht="12.75" customHeight="1" x14ac:dyDescent="0.2">
      <c r="A233" s="331"/>
      <c r="B233" s="2126">
        <f>COUNTIF(Scénarios!AH590:AH601,1)</f>
        <v>0</v>
      </c>
      <c r="C233" s="2126">
        <f>COUNTIF(Scénarios!AH590:AH601,2)</f>
        <v>0</v>
      </c>
      <c r="D233" s="2131">
        <f>COUNTIF(Scénarios!AH590:AH601,3)</f>
        <v>0</v>
      </c>
      <c r="E233" s="2132">
        <f>COUNTIF(Scénarios!AH590:AH601,4)</f>
        <v>0</v>
      </c>
      <c r="F233" s="2133">
        <f>SUM(B233:E233)</f>
        <v>0</v>
      </c>
      <c r="G233" s="332" t="s">
        <v>5616</v>
      </c>
      <c r="H233" s="275" t="s">
        <v>998</v>
      </c>
      <c r="I233" s="333"/>
      <c r="J233" s="334" t="s">
        <v>1665</v>
      </c>
      <c r="K233" s="335">
        <f>ES03B06</f>
        <v>1</v>
      </c>
      <c r="L233" s="336">
        <v>3</v>
      </c>
      <c r="M233" s="334" t="s">
        <v>948</v>
      </c>
      <c r="N233" s="335">
        <f>ES11E02</f>
        <v>1</v>
      </c>
      <c r="O233" s="336">
        <v>3</v>
      </c>
      <c r="P233" s="337" t="s">
        <v>949</v>
      </c>
      <c r="Q233" s="335">
        <f>ES11E03</f>
        <v>1</v>
      </c>
      <c r="R233" s="336">
        <v>3</v>
      </c>
      <c r="S233" s="337"/>
      <c r="T233" s="335"/>
      <c r="U233" s="336"/>
      <c r="V233" s="337"/>
      <c r="W233" s="335"/>
      <c r="X233" s="336"/>
      <c r="Y233" s="337"/>
      <c r="Z233" s="335"/>
      <c r="AA233" s="336"/>
      <c r="AB233" s="337"/>
      <c r="AC233" s="335"/>
      <c r="AD233" s="336"/>
      <c r="AE233" s="337"/>
      <c r="AF233" s="335"/>
      <c r="AG233" s="336"/>
      <c r="AH233" s="337"/>
      <c r="AI233" s="335"/>
      <c r="AJ233" s="336"/>
      <c r="AK233" s="337"/>
      <c r="AL233" s="335"/>
      <c r="AM233" s="336"/>
    </row>
    <row r="234" spans="1:39" s="321" customFormat="1" ht="11.25" customHeight="1" x14ac:dyDescent="0.2">
      <c r="A234" s="338"/>
      <c r="B234" s="2127"/>
      <c r="C234" s="2129"/>
      <c r="D234" s="2129"/>
      <c r="E234" s="2129"/>
      <c r="F234" s="2134"/>
      <c r="G234" s="332" t="s">
        <v>5615</v>
      </c>
      <c r="H234" s="275" t="s">
        <v>998</v>
      </c>
      <c r="I234" s="333"/>
      <c r="J234" s="334" t="s">
        <v>3228</v>
      </c>
      <c r="K234" s="335">
        <f>ES11A01</f>
        <v>1</v>
      </c>
      <c r="L234" s="336">
        <v>4</v>
      </c>
      <c r="M234" s="334" t="s">
        <v>3236</v>
      </c>
      <c r="N234" s="335">
        <f>ES11D06</f>
        <v>1</v>
      </c>
      <c r="O234" s="336">
        <v>4</v>
      </c>
      <c r="P234" s="334"/>
      <c r="Q234" s="335"/>
      <c r="R234" s="336"/>
      <c r="S234" s="334"/>
      <c r="T234" s="335"/>
      <c r="U234" s="336"/>
      <c r="V234" s="334"/>
      <c r="W234" s="335"/>
      <c r="X234" s="336"/>
      <c r="Y234" s="334"/>
      <c r="Z234" s="335"/>
      <c r="AA234" s="336"/>
      <c r="AB234" s="334"/>
      <c r="AC234" s="335"/>
      <c r="AD234" s="336"/>
      <c r="AE234" s="334"/>
      <c r="AF234" s="335"/>
      <c r="AG234" s="336"/>
      <c r="AH234" s="334"/>
      <c r="AI234" s="335"/>
      <c r="AJ234" s="336"/>
      <c r="AK234" s="334"/>
      <c r="AL234" s="335"/>
      <c r="AM234" s="336"/>
    </row>
    <row r="235" spans="1:39" s="321" customFormat="1" ht="11.25" customHeight="1" x14ac:dyDescent="0.2">
      <c r="A235" s="338"/>
      <c r="B235" s="2128"/>
      <c r="C235" s="2130"/>
      <c r="D235" s="2130"/>
      <c r="E235" s="2130"/>
      <c r="F235" s="2135"/>
      <c r="G235" s="332" t="s">
        <v>5615</v>
      </c>
      <c r="H235" s="275" t="s">
        <v>998</v>
      </c>
      <c r="I235" s="333"/>
      <c r="J235" s="277" t="s">
        <v>3354</v>
      </c>
      <c r="K235" s="278">
        <f>ES03B01</f>
        <v>1</v>
      </c>
      <c r="L235" s="279">
        <v>4</v>
      </c>
      <c r="M235" s="277" t="s">
        <v>3356</v>
      </c>
      <c r="N235" s="278">
        <f>ES03B02</f>
        <v>1</v>
      </c>
      <c r="O235" s="279">
        <v>4</v>
      </c>
      <c r="P235" s="277" t="s">
        <v>3252</v>
      </c>
      <c r="Q235" s="278">
        <f>ES03B03</f>
        <v>1</v>
      </c>
      <c r="R235" s="279">
        <v>4</v>
      </c>
      <c r="S235" s="277" t="s">
        <v>3254</v>
      </c>
      <c r="T235" s="278">
        <f>ES03B04</f>
        <v>1</v>
      </c>
      <c r="U235" s="279">
        <v>4</v>
      </c>
      <c r="V235" s="277" t="s">
        <v>1665</v>
      </c>
      <c r="W235" s="278">
        <f>ES03B06</f>
        <v>1</v>
      </c>
      <c r="X235" s="279">
        <v>4</v>
      </c>
      <c r="Y235" s="334"/>
      <c r="Z235" s="335"/>
      <c r="AA235" s="336"/>
      <c r="AB235" s="334"/>
      <c r="AC235" s="335"/>
      <c r="AD235" s="336"/>
      <c r="AE235" s="334"/>
      <c r="AF235" s="335"/>
      <c r="AG235" s="336"/>
      <c r="AH235" s="334"/>
      <c r="AI235" s="335"/>
      <c r="AJ235" s="336"/>
      <c r="AK235" s="334"/>
      <c r="AL235" s="335"/>
      <c r="AM235" s="336"/>
    </row>
    <row r="236" spans="1:39" s="321" customFormat="1" ht="11.25" customHeight="1" x14ac:dyDescent="0.2">
      <c r="A236" s="338"/>
      <c r="B236" s="339"/>
      <c r="C236" s="339"/>
      <c r="D236" s="339"/>
      <c r="E236" s="339"/>
      <c r="F236" s="340"/>
      <c r="G236" s="332" t="s">
        <v>5615</v>
      </c>
      <c r="H236" s="275" t="s">
        <v>6370</v>
      </c>
      <c r="I236" s="333"/>
      <c r="J236" s="334" t="s">
        <v>6388</v>
      </c>
      <c r="K236" s="335">
        <f>ES03A02</f>
        <v>1</v>
      </c>
      <c r="L236" s="336">
        <v>4</v>
      </c>
      <c r="M236" s="334" t="s">
        <v>2343</v>
      </c>
      <c r="N236" s="335">
        <f>ES03A05</f>
        <v>1</v>
      </c>
      <c r="O236" s="336">
        <v>4</v>
      </c>
      <c r="P236" s="334" t="s">
        <v>5220</v>
      </c>
      <c r="Q236" s="335">
        <f>ES03C01</f>
        <v>1</v>
      </c>
      <c r="R236" s="336">
        <v>4</v>
      </c>
      <c r="S236" s="334" t="s">
        <v>5225</v>
      </c>
      <c r="T236" s="335">
        <f>ES03D01</f>
        <v>1</v>
      </c>
      <c r="U236" s="336">
        <v>4</v>
      </c>
      <c r="V236" s="334"/>
      <c r="W236" s="335"/>
      <c r="X236" s="336"/>
      <c r="Y236" s="334"/>
      <c r="Z236" s="335"/>
      <c r="AA236" s="336"/>
      <c r="AB236" s="334"/>
      <c r="AC236" s="335"/>
      <c r="AD236" s="336"/>
      <c r="AE236" s="334"/>
      <c r="AF236" s="335"/>
      <c r="AG236" s="336"/>
      <c r="AH236" s="334"/>
      <c r="AI236" s="335"/>
      <c r="AJ236" s="336"/>
      <c r="AK236" s="334"/>
      <c r="AL236" s="335"/>
      <c r="AM236" s="336"/>
    </row>
    <row r="237" spans="1:39" s="321" customFormat="1" ht="13.5" customHeight="1" x14ac:dyDescent="0.2">
      <c r="A237" s="338"/>
      <c r="B237" s="341"/>
      <c r="C237" s="341"/>
      <c r="D237" s="341"/>
      <c r="E237" s="341"/>
      <c r="F237" s="341"/>
      <c r="G237" s="332" t="s">
        <v>5617</v>
      </c>
      <c r="H237" s="275" t="s">
        <v>6370</v>
      </c>
      <c r="I237" s="333"/>
      <c r="J237" s="334" t="s">
        <v>3254</v>
      </c>
      <c r="K237" s="335">
        <f>ES03B04</f>
        <v>1</v>
      </c>
      <c r="L237" s="336">
        <v>3</v>
      </c>
      <c r="M237" s="334" t="s">
        <v>5222</v>
      </c>
      <c r="N237" s="335">
        <f>ES03C02</f>
        <v>1</v>
      </c>
      <c r="O237" s="336">
        <v>3</v>
      </c>
      <c r="P237" s="337" t="s">
        <v>5224</v>
      </c>
      <c r="Q237" s="335">
        <f>ES03C03</f>
        <v>1</v>
      </c>
      <c r="R237" s="336">
        <v>3</v>
      </c>
      <c r="S237" s="337" t="s">
        <v>5227</v>
      </c>
      <c r="T237" s="335">
        <f>ES03D02</f>
        <v>1</v>
      </c>
      <c r="U237" s="336">
        <v>3</v>
      </c>
      <c r="V237" s="334" t="s">
        <v>3017</v>
      </c>
      <c r="W237" s="335">
        <f>ES03D03</f>
        <v>1</v>
      </c>
      <c r="X237" s="336">
        <v>3</v>
      </c>
      <c r="Y237" s="334"/>
      <c r="Z237" s="335"/>
      <c r="AA237" s="336"/>
      <c r="AB237" s="334"/>
      <c r="AC237" s="335"/>
      <c r="AD237" s="336"/>
      <c r="AE237" s="334"/>
      <c r="AF237" s="335"/>
      <c r="AG237" s="336"/>
      <c r="AH237" s="334"/>
      <c r="AI237" s="335"/>
      <c r="AJ237" s="336"/>
      <c r="AK237" s="334"/>
      <c r="AL237" s="335"/>
      <c r="AM237" s="336"/>
    </row>
    <row r="238" spans="1:39" s="321" customFormat="1" ht="12" customHeight="1" x14ac:dyDescent="0.2">
      <c r="A238" s="338"/>
      <c r="B238" s="344"/>
      <c r="C238" s="344"/>
      <c r="D238" s="344"/>
      <c r="E238" s="344"/>
      <c r="F238" s="345"/>
      <c r="G238" s="342" t="s">
        <v>5618</v>
      </c>
      <c r="H238" s="285" t="s">
        <v>6369</v>
      </c>
      <c r="I238" s="333"/>
      <c r="J238" s="334" t="s">
        <v>3128</v>
      </c>
      <c r="K238" s="335">
        <f>ES01E03</f>
        <v>1</v>
      </c>
      <c r="L238" s="336">
        <v>3</v>
      </c>
      <c r="M238" s="334" t="s">
        <v>5946</v>
      </c>
      <c r="N238" s="335">
        <f>ES11D03</f>
        <v>1</v>
      </c>
      <c r="O238" s="336">
        <v>3</v>
      </c>
      <c r="P238" s="334" t="s">
        <v>3237</v>
      </c>
      <c r="Q238" s="335">
        <f>ES11D07</f>
        <v>1</v>
      </c>
      <c r="R238" s="336">
        <v>3</v>
      </c>
      <c r="S238" s="334"/>
      <c r="T238" s="335"/>
      <c r="U238" s="336"/>
      <c r="V238" s="334"/>
      <c r="W238" s="335"/>
      <c r="X238" s="336"/>
      <c r="Y238" s="334"/>
      <c r="Z238" s="335"/>
      <c r="AA238" s="336"/>
      <c r="AB238" s="334"/>
      <c r="AC238" s="335"/>
      <c r="AD238" s="336"/>
      <c r="AE238" s="334"/>
      <c r="AF238" s="335"/>
      <c r="AG238" s="336"/>
      <c r="AH238" s="334"/>
      <c r="AI238" s="335"/>
      <c r="AJ238" s="343"/>
      <c r="AK238" s="334"/>
      <c r="AL238" s="335"/>
      <c r="AM238" s="343"/>
    </row>
    <row r="239" spans="1:39" s="321" customFormat="1" ht="12" customHeight="1" x14ac:dyDescent="0.2">
      <c r="A239" s="1374" t="s">
        <v>5210</v>
      </c>
      <c r="B239" s="322" t="s">
        <v>5211</v>
      </c>
      <c r="C239" s="323"/>
      <c r="D239" s="323"/>
      <c r="E239" s="323"/>
      <c r="F239" s="323"/>
      <c r="G239" s="323"/>
      <c r="H239" s="323"/>
      <c r="I239" s="324"/>
      <c r="J239" s="325"/>
      <c r="K239" s="326"/>
      <c r="L239" s="327"/>
      <c r="M239" s="328"/>
      <c r="N239" s="326"/>
      <c r="O239" s="327"/>
      <c r="P239" s="329"/>
      <c r="Q239" s="326"/>
      <c r="R239" s="330"/>
      <c r="S239" s="328"/>
      <c r="T239" s="326"/>
      <c r="U239" s="327"/>
      <c r="V239" s="328"/>
      <c r="W239" s="326"/>
      <c r="X239" s="327"/>
      <c r="Y239" s="328"/>
      <c r="Z239" s="326"/>
      <c r="AA239" s="327"/>
      <c r="AB239" s="328"/>
      <c r="AC239" s="326"/>
      <c r="AD239" s="327"/>
      <c r="AE239" s="328"/>
      <c r="AF239" s="326"/>
      <c r="AG239" s="327"/>
      <c r="AH239" s="328"/>
      <c r="AI239" s="326"/>
      <c r="AJ239" s="327"/>
      <c r="AK239" s="328"/>
      <c r="AL239" s="326"/>
      <c r="AM239" s="327"/>
    </row>
    <row r="240" spans="1:39" s="321" customFormat="1" ht="12" customHeight="1" x14ac:dyDescent="0.2">
      <c r="A240" s="331"/>
      <c r="B240" s="2126">
        <f>COUNTIF(Scénarios!AH603:AH664,1)</f>
        <v>0</v>
      </c>
      <c r="C240" s="2126">
        <f>COUNTIF(Scénarios!AH603:AH664,2)</f>
        <v>0</v>
      </c>
      <c r="D240" s="2131">
        <f>COUNTIF(Scénarios!AH603:AH664,3)</f>
        <v>0</v>
      </c>
      <c r="E240" s="2132">
        <f>COUNTIF(Scénarios!AH603:AH664,4)</f>
        <v>0</v>
      </c>
      <c r="F240" s="2133">
        <f>SUM(B240:E240)</f>
        <v>0</v>
      </c>
      <c r="G240" s="332" t="s">
        <v>5616</v>
      </c>
      <c r="H240" s="275" t="s">
        <v>6370</v>
      </c>
      <c r="I240" s="333"/>
      <c r="J240" s="334" t="s">
        <v>1665</v>
      </c>
      <c r="K240" s="335">
        <f>ES03B06</f>
        <v>1</v>
      </c>
      <c r="L240" s="336">
        <v>3</v>
      </c>
      <c r="M240" s="334" t="s">
        <v>5019</v>
      </c>
      <c r="N240" s="335">
        <f>ES07C01</f>
        <v>1</v>
      </c>
      <c r="O240" s="336">
        <v>3</v>
      </c>
      <c r="P240" s="337" t="s">
        <v>5021</v>
      </c>
      <c r="Q240" s="335">
        <f>ES07C02</f>
        <v>1</v>
      </c>
      <c r="R240" s="336">
        <v>3</v>
      </c>
      <c r="S240" s="337" t="s">
        <v>1498</v>
      </c>
      <c r="T240" s="335">
        <f>ES08E02</f>
        <v>1</v>
      </c>
      <c r="U240" s="336">
        <v>3</v>
      </c>
      <c r="V240" s="337" t="s">
        <v>4299</v>
      </c>
      <c r="W240" s="335">
        <f>ES08F02</f>
        <v>1</v>
      </c>
      <c r="X240" s="336">
        <v>3</v>
      </c>
      <c r="Y240" s="337" t="s">
        <v>4300</v>
      </c>
      <c r="Z240" s="335">
        <f>ES08F03</f>
        <v>1</v>
      </c>
      <c r="AA240" s="336">
        <v>3</v>
      </c>
      <c r="AB240" s="337"/>
      <c r="AC240" s="335"/>
      <c r="AD240" s="336"/>
      <c r="AE240" s="337"/>
      <c r="AF240" s="335"/>
      <c r="AG240" s="336"/>
      <c r="AH240" s="337"/>
      <c r="AI240" s="335"/>
      <c r="AJ240" s="336"/>
      <c r="AK240" s="337"/>
      <c r="AL240" s="335"/>
      <c r="AM240" s="336"/>
    </row>
    <row r="241" spans="1:39" s="321" customFormat="1" ht="12" customHeight="1" x14ac:dyDescent="0.2">
      <c r="A241" s="338"/>
      <c r="B241" s="2127"/>
      <c r="C241" s="2129"/>
      <c r="D241" s="2129"/>
      <c r="E241" s="2129"/>
      <c r="F241" s="2134"/>
      <c r="G241" s="332" t="s">
        <v>5615</v>
      </c>
      <c r="H241" s="275" t="s">
        <v>998</v>
      </c>
      <c r="I241" s="333"/>
      <c r="J241" s="334" t="s">
        <v>5426</v>
      </c>
      <c r="K241" s="335">
        <f>ES07A01</f>
        <v>1</v>
      </c>
      <c r="L241" s="336">
        <v>4</v>
      </c>
      <c r="M241" s="334" t="s">
        <v>5428</v>
      </c>
      <c r="N241" s="335">
        <f>ES07A02</f>
        <v>1</v>
      </c>
      <c r="O241" s="336">
        <v>4</v>
      </c>
      <c r="P241" s="334" t="s">
        <v>5429</v>
      </c>
      <c r="Q241" s="335">
        <f>ES07A03</f>
        <v>1</v>
      </c>
      <c r="R241" s="336">
        <v>4</v>
      </c>
      <c r="S241" s="334" t="s">
        <v>5137</v>
      </c>
      <c r="T241" s="335">
        <f>ES07A04</f>
        <v>1</v>
      </c>
      <c r="U241" s="336">
        <v>4</v>
      </c>
      <c r="V241" s="334" t="s">
        <v>5147</v>
      </c>
      <c r="W241" s="335">
        <f>ES08F01</f>
        <v>1</v>
      </c>
      <c r="X241" s="336">
        <v>4</v>
      </c>
      <c r="Y241" s="334" t="s">
        <v>4299</v>
      </c>
      <c r="Z241" s="335">
        <f>ES08F02</f>
        <v>1</v>
      </c>
      <c r="AA241" s="336">
        <v>4</v>
      </c>
      <c r="AB241" s="334" t="s">
        <v>3657</v>
      </c>
      <c r="AC241" s="335">
        <f>ES09A01</f>
        <v>1</v>
      </c>
      <c r="AD241" s="336">
        <v>4</v>
      </c>
      <c r="AE241" s="334" t="s">
        <v>3659</v>
      </c>
      <c r="AF241" s="335">
        <f>ES09A02</f>
        <v>1</v>
      </c>
      <c r="AG241" s="336">
        <v>4</v>
      </c>
      <c r="AH241" s="334" t="s">
        <v>3661</v>
      </c>
      <c r="AI241" s="335">
        <f>ES09A03</f>
        <v>1</v>
      </c>
      <c r="AJ241" s="336">
        <v>4</v>
      </c>
      <c r="AK241" s="334" t="s">
        <v>3662</v>
      </c>
      <c r="AL241" s="335">
        <f>ES09A04</f>
        <v>1</v>
      </c>
      <c r="AM241" s="336">
        <v>4</v>
      </c>
    </row>
    <row r="242" spans="1:39" s="321" customFormat="1" ht="13.5" customHeight="1" x14ac:dyDescent="0.2">
      <c r="A242" s="338"/>
      <c r="B242" s="2128"/>
      <c r="C242" s="2130"/>
      <c r="D242" s="2130"/>
      <c r="E242" s="2130"/>
      <c r="F242" s="2135"/>
      <c r="G242" s="332" t="s">
        <v>5615</v>
      </c>
      <c r="H242" s="275" t="s">
        <v>998</v>
      </c>
      <c r="I242" s="333"/>
      <c r="J242" s="277" t="s">
        <v>5126</v>
      </c>
      <c r="K242" s="278">
        <f>ES02A01</f>
        <v>1</v>
      </c>
      <c r="L242" s="279">
        <v>4</v>
      </c>
      <c r="M242" s="277" t="s">
        <v>5884</v>
      </c>
      <c r="N242" s="278">
        <f>ES02A02</f>
        <v>1</v>
      </c>
      <c r="O242" s="279">
        <v>4</v>
      </c>
      <c r="P242" s="277" t="s">
        <v>5886</v>
      </c>
      <c r="Q242" s="278">
        <f>ES02A03</f>
        <v>1</v>
      </c>
      <c r="R242" s="279">
        <v>4</v>
      </c>
      <c r="S242" s="277" t="s">
        <v>6402</v>
      </c>
      <c r="T242" s="278">
        <f>ES02A05</f>
        <v>1</v>
      </c>
      <c r="U242" s="279">
        <v>4</v>
      </c>
      <c r="V242" s="277" t="s">
        <v>3354</v>
      </c>
      <c r="W242" s="278">
        <f>ES03B01</f>
        <v>1</v>
      </c>
      <c r="X242" s="279">
        <v>4</v>
      </c>
      <c r="Y242" s="277" t="s">
        <v>3356</v>
      </c>
      <c r="Z242" s="278">
        <f>ES03B02</f>
        <v>1</v>
      </c>
      <c r="AA242" s="279">
        <v>4</v>
      </c>
      <c r="AB242" s="277" t="s">
        <v>3252</v>
      </c>
      <c r="AC242" s="278">
        <f>ES03B03</f>
        <v>1</v>
      </c>
      <c r="AD242" s="279">
        <v>4</v>
      </c>
      <c r="AE242" s="277" t="s">
        <v>3254</v>
      </c>
      <c r="AF242" s="278">
        <f>ES03B04</f>
        <v>1</v>
      </c>
      <c r="AG242" s="279">
        <v>4</v>
      </c>
      <c r="AH242" s="277" t="s">
        <v>1665</v>
      </c>
      <c r="AI242" s="278">
        <f>ES03B06</f>
        <v>1</v>
      </c>
      <c r="AJ242" s="279">
        <v>4</v>
      </c>
      <c r="AK242" s="334" t="s">
        <v>63</v>
      </c>
      <c r="AL242" s="335">
        <f>ES08C03</f>
        <v>1</v>
      </c>
      <c r="AM242" s="336">
        <v>4</v>
      </c>
    </row>
    <row r="243" spans="1:39" s="321" customFormat="1" ht="11.25" customHeight="1" x14ac:dyDescent="0.2">
      <c r="A243" s="338"/>
      <c r="B243" s="339"/>
      <c r="C243" s="339"/>
      <c r="D243" s="339"/>
      <c r="E243" s="339"/>
      <c r="F243" s="340"/>
      <c r="G243" s="332" t="s">
        <v>5615</v>
      </c>
      <c r="H243" s="275" t="s">
        <v>998</v>
      </c>
      <c r="I243" s="333"/>
      <c r="J243" s="334" t="s">
        <v>6386</v>
      </c>
      <c r="K243" s="335">
        <f>ES03A01</f>
        <v>1</v>
      </c>
      <c r="L243" s="336">
        <v>4</v>
      </c>
      <c r="M243" s="334" t="s">
        <v>2341</v>
      </c>
      <c r="N243" s="335">
        <f>ES03A04</f>
        <v>1</v>
      </c>
      <c r="O243" s="336">
        <v>4</v>
      </c>
      <c r="P243" s="334" t="s">
        <v>2343</v>
      </c>
      <c r="Q243" s="335">
        <f>ES03A05</f>
        <v>1</v>
      </c>
      <c r="R243" s="336">
        <v>4</v>
      </c>
      <c r="S243" s="334" t="s">
        <v>5220</v>
      </c>
      <c r="T243" s="335">
        <f>ES03C01</f>
        <v>1</v>
      </c>
      <c r="U243" s="336">
        <v>4</v>
      </c>
      <c r="V243" s="334" t="s">
        <v>5225</v>
      </c>
      <c r="W243" s="335">
        <f>ES03D01</f>
        <v>1</v>
      </c>
      <c r="X243" s="336">
        <v>4</v>
      </c>
      <c r="Y243" s="334"/>
      <c r="Z243" s="335"/>
      <c r="AA243" s="336"/>
      <c r="AB243" s="334"/>
      <c r="AC243" s="335"/>
      <c r="AD243" s="336"/>
      <c r="AE243" s="334"/>
      <c r="AF243" s="335"/>
      <c r="AG243" s="336"/>
      <c r="AH243" s="334"/>
      <c r="AI243" s="335"/>
      <c r="AJ243" s="336"/>
      <c r="AK243" s="334"/>
      <c r="AL243" s="335"/>
      <c r="AM243" s="336"/>
    </row>
    <row r="244" spans="1:39" s="321" customFormat="1" ht="11.25" customHeight="1" x14ac:dyDescent="0.2">
      <c r="A244" s="338"/>
      <c r="B244" s="341"/>
      <c r="C244" s="341"/>
      <c r="D244" s="341"/>
      <c r="E244" s="341"/>
      <c r="F244" s="341"/>
      <c r="G244" s="332" t="s">
        <v>5615</v>
      </c>
      <c r="H244" s="275" t="s">
        <v>998</v>
      </c>
      <c r="I244" s="333"/>
      <c r="J244" s="334" t="s">
        <v>4980</v>
      </c>
      <c r="K244" s="335">
        <f>ES07D01</f>
        <v>1</v>
      </c>
      <c r="L244" s="336">
        <v>4</v>
      </c>
      <c r="M244" s="334" t="s">
        <v>4324</v>
      </c>
      <c r="N244" s="335">
        <f>ES08A03</f>
        <v>1</v>
      </c>
      <c r="O244" s="336">
        <v>4</v>
      </c>
      <c r="P244" s="334" t="s">
        <v>2800</v>
      </c>
      <c r="Q244" s="335">
        <f>ES08E01</f>
        <v>1</v>
      </c>
      <c r="R244" s="336">
        <v>4</v>
      </c>
      <c r="S244" s="334" t="s">
        <v>5928</v>
      </c>
      <c r="T244" s="335">
        <f>ES09E01</f>
        <v>1</v>
      </c>
      <c r="U244" s="336">
        <v>4</v>
      </c>
      <c r="V244" s="334" t="s">
        <v>3224</v>
      </c>
      <c r="W244" s="335">
        <f>ES10B05</f>
        <v>1</v>
      </c>
      <c r="X244" s="336">
        <v>4</v>
      </c>
      <c r="Y244" s="334" t="s">
        <v>3226</v>
      </c>
      <c r="Z244" s="335">
        <f>ES10B06</f>
        <v>1</v>
      </c>
      <c r="AA244" s="336">
        <v>4</v>
      </c>
      <c r="AB244" s="334"/>
      <c r="AC244" s="335"/>
      <c r="AD244" s="336"/>
      <c r="AE244" s="334"/>
      <c r="AF244" s="335"/>
      <c r="AG244" s="336"/>
      <c r="AH244" s="334"/>
      <c r="AI244" s="335"/>
      <c r="AJ244" s="336"/>
      <c r="AK244" s="334"/>
      <c r="AL244" s="335"/>
      <c r="AM244" s="336"/>
    </row>
    <row r="245" spans="1:39" s="321" customFormat="1" ht="11.25" customHeight="1" x14ac:dyDescent="0.2">
      <c r="A245" s="338"/>
      <c r="B245" s="341"/>
      <c r="C245" s="341"/>
      <c r="D245" s="341"/>
      <c r="E245" s="341"/>
      <c r="F245" s="341"/>
      <c r="G245" s="332" t="s">
        <v>5617</v>
      </c>
      <c r="H245" s="275" t="s">
        <v>998</v>
      </c>
      <c r="I245" s="333"/>
      <c r="J245" s="334" t="s">
        <v>6400</v>
      </c>
      <c r="K245" s="335">
        <f>ES02A04</f>
        <v>1</v>
      </c>
      <c r="L245" s="336">
        <v>3</v>
      </c>
      <c r="M245" s="334" t="s">
        <v>3254</v>
      </c>
      <c r="N245" s="335">
        <f>ES03B04</f>
        <v>1</v>
      </c>
      <c r="O245" s="336">
        <v>3</v>
      </c>
      <c r="P245" s="334" t="s">
        <v>5222</v>
      </c>
      <c r="Q245" s="335">
        <f>ES03C02</f>
        <v>1</v>
      </c>
      <c r="R245" s="336">
        <v>3</v>
      </c>
      <c r="S245" s="337" t="s">
        <v>5224</v>
      </c>
      <c r="T245" s="335">
        <f>ES03C03</f>
        <v>1</v>
      </c>
      <c r="U245" s="336">
        <v>3</v>
      </c>
      <c r="V245" s="337" t="s">
        <v>5227</v>
      </c>
      <c r="W245" s="335">
        <f>ES03D02</f>
        <v>1</v>
      </c>
      <c r="X245" s="336">
        <v>3</v>
      </c>
      <c r="Y245" s="334" t="s">
        <v>3017</v>
      </c>
      <c r="Z245" s="335">
        <f>ES03D03</f>
        <v>1</v>
      </c>
      <c r="AA245" s="336">
        <v>3</v>
      </c>
      <c r="AB245" s="334" t="s">
        <v>2058</v>
      </c>
      <c r="AC245" s="335">
        <f>ES08C05</f>
        <v>1</v>
      </c>
      <c r="AD245" s="336">
        <v>3</v>
      </c>
      <c r="AE245" s="334" t="s">
        <v>2800</v>
      </c>
      <c r="AF245" s="335">
        <f>ES08E01</f>
        <v>1</v>
      </c>
      <c r="AG245" s="336">
        <v>3</v>
      </c>
      <c r="AH245" s="334" t="s">
        <v>1498</v>
      </c>
      <c r="AI245" s="335">
        <f>ES08E02</f>
        <v>1</v>
      </c>
      <c r="AJ245" s="336">
        <v>3</v>
      </c>
      <c r="AK245" s="334" t="s">
        <v>2532</v>
      </c>
      <c r="AL245" s="335">
        <f>ES08E03</f>
        <v>1</v>
      </c>
      <c r="AM245" s="336">
        <v>3</v>
      </c>
    </row>
    <row r="246" spans="1:39" s="321" customFormat="1" ht="12" customHeight="1" x14ac:dyDescent="0.2">
      <c r="A246" s="338"/>
      <c r="B246" s="341"/>
      <c r="C246" s="341"/>
      <c r="D246" s="341"/>
      <c r="E246" s="341"/>
      <c r="F246" s="341"/>
      <c r="G246" s="342" t="s">
        <v>5618</v>
      </c>
      <c r="H246" s="275" t="s">
        <v>6370</v>
      </c>
      <c r="I246" s="333"/>
      <c r="J246" s="277" t="s">
        <v>2536</v>
      </c>
      <c r="K246" s="335">
        <f>ES01C02</f>
        <v>1</v>
      </c>
      <c r="L246" s="336">
        <v>3</v>
      </c>
      <c r="M246" s="334" t="s">
        <v>1137</v>
      </c>
      <c r="N246" s="335">
        <f>ES08D01</f>
        <v>1</v>
      </c>
      <c r="O246" s="336">
        <v>3</v>
      </c>
      <c r="P246" s="334" t="s">
        <v>1662</v>
      </c>
      <c r="Q246" s="335">
        <f>ES08D02</f>
        <v>1</v>
      </c>
      <c r="R246" s="336">
        <v>3</v>
      </c>
      <c r="S246" s="334" t="s">
        <v>1663</v>
      </c>
      <c r="T246" s="335">
        <f>ES08D03</f>
        <v>1</v>
      </c>
      <c r="U246" s="336">
        <v>3</v>
      </c>
      <c r="V246" s="334" t="s">
        <v>1994</v>
      </c>
      <c r="W246" s="335">
        <f>ES08D08</f>
        <v>1</v>
      </c>
      <c r="X246" s="336">
        <v>3</v>
      </c>
      <c r="Y246" s="334" t="s">
        <v>1324</v>
      </c>
      <c r="Z246" s="335">
        <f>ES08D10</f>
        <v>1</v>
      </c>
      <c r="AA246" s="336">
        <v>3</v>
      </c>
      <c r="AB246" s="334" t="s">
        <v>3213</v>
      </c>
      <c r="AC246" s="335">
        <f>ES09E03</f>
        <v>1</v>
      </c>
      <c r="AD246" s="336">
        <v>3</v>
      </c>
      <c r="AE246" s="334" t="s">
        <v>1202</v>
      </c>
      <c r="AF246" s="335">
        <f>ES10A04</f>
        <v>1</v>
      </c>
      <c r="AG246" s="336">
        <v>3</v>
      </c>
      <c r="AH246" s="334"/>
      <c r="AI246" s="335"/>
      <c r="AJ246" s="343"/>
      <c r="AK246" s="334"/>
      <c r="AL246" s="335"/>
      <c r="AM246" s="343"/>
    </row>
    <row r="247" spans="1:39" s="321" customFormat="1" ht="13.5" customHeight="1" x14ac:dyDescent="0.2">
      <c r="A247" s="338"/>
      <c r="B247" s="344"/>
      <c r="C247" s="344"/>
      <c r="D247" s="344"/>
      <c r="E247" s="344"/>
      <c r="F247" s="345"/>
      <c r="G247" s="342" t="s">
        <v>5618</v>
      </c>
      <c r="H247" s="275" t="s">
        <v>1935</v>
      </c>
      <c r="I247" s="333"/>
      <c r="J247" s="334" t="s">
        <v>5122</v>
      </c>
      <c r="K247" s="335">
        <f>ES01E01</f>
        <v>1</v>
      </c>
      <c r="L247" s="336">
        <v>3</v>
      </c>
      <c r="M247" s="334" t="s">
        <v>5124</v>
      </c>
      <c r="N247" s="335">
        <f>ES01E02</f>
        <v>1</v>
      </c>
      <c r="O247" s="336">
        <v>3</v>
      </c>
      <c r="P247" s="334" t="s">
        <v>6388</v>
      </c>
      <c r="Q247" s="335">
        <f>ES03A02</f>
        <v>1</v>
      </c>
      <c r="R247" s="336">
        <v>3</v>
      </c>
      <c r="S247" s="334" t="s">
        <v>2339</v>
      </c>
      <c r="T247" s="335">
        <f>ES03A03</f>
        <v>1</v>
      </c>
      <c r="U247" s="336">
        <v>3</v>
      </c>
      <c r="V247" s="334" t="s">
        <v>1055</v>
      </c>
      <c r="W247" s="335">
        <f>ES03A06</f>
        <v>1</v>
      </c>
      <c r="X247" s="336">
        <v>3</v>
      </c>
      <c r="Y247" s="334" t="s">
        <v>4980</v>
      </c>
      <c r="Z247" s="335">
        <f>ES07D01</f>
        <v>1</v>
      </c>
      <c r="AA247" s="336">
        <v>3</v>
      </c>
      <c r="AB247" s="334" t="s">
        <v>4954</v>
      </c>
      <c r="AC247" s="335">
        <f>ES08D04</f>
        <v>1</v>
      </c>
      <c r="AD247" s="336">
        <v>3</v>
      </c>
      <c r="AE247" s="334" t="s">
        <v>5965</v>
      </c>
      <c r="AF247" s="335">
        <f>ES08D06</f>
        <v>1</v>
      </c>
      <c r="AG247" s="336">
        <v>3</v>
      </c>
      <c r="AH247" s="334" t="s">
        <v>5928</v>
      </c>
      <c r="AI247" s="335">
        <f>ES09E01</f>
        <v>1</v>
      </c>
      <c r="AJ247" s="336">
        <v>3</v>
      </c>
      <c r="AK247" s="334" t="s">
        <v>3210</v>
      </c>
      <c r="AL247" s="335">
        <f>ES09E02</f>
        <v>1</v>
      </c>
      <c r="AM247" s="336">
        <v>3</v>
      </c>
    </row>
    <row r="248" spans="1:39" s="321" customFormat="1" ht="13.5" customHeight="1" x14ac:dyDescent="0.2">
      <c r="A248" s="1374" t="s">
        <v>5214</v>
      </c>
      <c r="B248" s="322" t="s">
        <v>2601</v>
      </c>
      <c r="C248" s="323"/>
      <c r="D248" s="323"/>
      <c r="E248" s="323"/>
      <c r="F248" s="323"/>
      <c r="G248" s="323"/>
      <c r="H248" s="323"/>
      <c r="I248" s="324"/>
      <c r="J248" s="325"/>
      <c r="K248" s="326"/>
      <c r="L248" s="327"/>
      <c r="M248" s="328"/>
      <c r="N248" s="326"/>
      <c r="O248" s="327"/>
      <c r="P248" s="329"/>
      <c r="Q248" s="326"/>
      <c r="R248" s="330"/>
      <c r="S248" s="328"/>
      <c r="T248" s="326"/>
      <c r="U248" s="327"/>
      <c r="V248" s="328"/>
      <c r="W248" s="326"/>
      <c r="X248" s="327"/>
      <c r="Y248" s="328"/>
      <c r="Z248" s="326"/>
      <c r="AA248" s="327"/>
      <c r="AB248" s="328"/>
      <c r="AC248" s="326"/>
      <c r="AD248" s="327"/>
      <c r="AE248" s="328"/>
      <c r="AF248" s="326"/>
      <c r="AG248" s="327"/>
      <c r="AH248" s="328"/>
      <c r="AI248" s="326"/>
      <c r="AJ248" s="327"/>
      <c r="AK248" s="328"/>
      <c r="AL248" s="326"/>
      <c r="AM248" s="327"/>
    </row>
    <row r="249" spans="1:39" s="321" customFormat="1" ht="13.5" customHeight="1" x14ac:dyDescent="0.2">
      <c r="A249" s="331"/>
      <c r="B249" s="2126">
        <f>COUNTIF(Scénarios!AH666:AH727,1)</f>
        <v>0</v>
      </c>
      <c r="C249" s="2126">
        <f>COUNTIF(Scénarios!AH666:AH727,2)</f>
        <v>0</v>
      </c>
      <c r="D249" s="2131">
        <f>COUNTIF(Scénarios!AH666:AH727,3)</f>
        <v>0</v>
      </c>
      <c r="E249" s="2132">
        <f>COUNTIF(Scénarios!AH666:AH727,4)</f>
        <v>0</v>
      </c>
      <c r="F249" s="2133">
        <f>SUM(B249:E249)</f>
        <v>0</v>
      </c>
      <c r="G249" s="332" t="s">
        <v>5616</v>
      </c>
      <c r="H249" s="275" t="s">
        <v>6370</v>
      </c>
      <c r="I249" s="333"/>
      <c r="J249" s="334" t="s">
        <v>1665</v>
      </c>
      <c r="K249" s="335">
        <f>ES03B06</f>
        <v>1</v>
      </c>
      <c r="L249" s="336">
        <v>3</v>
      </c>
      <c r="M249" s="334" t="s">
        <v>5019</v>
      </c>
      <c r="N249" s="335">
        <f>ES07C01</f>
        <v>1</v>
      </c>
      <c r="O249" s="336">
        <v>3</v>
      </c>
      <c r="P249" s="337" t="s">
        <v>5021</v>
      </c>
      <c r="Q249" s="335">
        <f>ES07C02</f>
        <v>1</v>
      </c>
      <c r="R249" s="336">
        <v>3</v>
      </c>
      <c r="S249" s="337" t="s">
        <v>1498</v>
      </c>
      <c r="T249" s="335">
        <f>ES08E02</f>
        <v>1</v>
      </c>
      <c r="U249" s="336">
        <v>3</v>
      </c>
      <c r="V249" s="337" t="s">
        <v>4299</v>
      </c>
      <c r="W249" s="335">
        <f>ES08F02</f>
        <v>1</v>
      </c>
      <c r="X249" s="336">
        <v>3</v>
      </c>
      <c r="Y249" s="337" t="s">
        <v>4300</v>
      </c>
      <c r="Z249" s="335">
        <f>ES08F03</f>
        <v>1</v>
      </c>
      <c r="AA249" s="336">
        <v>3</v>
      </c>
      <c r="AB249" s="337"/>
      <c r="AC249" s="335"/>
      <c r="AD249" s="336"/>
      <c r="AE249" s="337"/>
      <c r="AF249" s="335"/>
      <c r="AG249" s="336"/>
      <c r="AH249" s="337"/>
      <c r="AI249" s="335"/>
      <c r="AJ249" s="336"/>
      <c r="AK249" s="337"/>
      <c r="AL249" s="335"/>
      <c r="AM249" s="336"/>
    </row>
    <row r="250" spans="1:39" s="321" customFormat="1" ht="13.5" customHeight="1" x14ac:dyDescent="0.2">
      <c r="A250" s="338"/>
      <c r="B250" s="2127"/>
      <c r="C250" s="2129"/>
      <c r="D250" s="2129"/>
      <c r="E250" s="2129"/>
      <c r="F250" s="2134"/>
      <c r="G250" s="332" t="s">
        <v>5615</v>
      </c>
      <c r="H250" s="275" t="s">
        <v>998</v>
      </c>
      <c r="I250" s="333"/>
      <c r="J250" s="334" t="s">
        <v>5426</v>
      </c>
      <c r="K250" s="335">
        <f>ES07A01</f>
        <v>1</v>
      </c>
      <c r="L250" s="336">
        <v>4</v>
      </c>
      <c r="M250" s="334" t="s">
        <v>5428</v>
      </c>
      <c r="N250" s="335">
        <f>ES07A02</f>
        <v>1</v>
      </c>
      <c r="O250" s="336">
        <v>4</v>
      </c>
      <c r="P250" s="334" t="s">
        <v>5429</v>
      </c>
      <c r="Q250" s="335">
        <f>ES07A03</f>
        <v>1</v>
      </c>
      <c r="R250" s="336">
        <v>4</v>
      </c>
      <c r="S250" s="334" t="s">
        <v>5137</v>
      </c>
      <c r="T250" s="335">
        <f>ES07A04</f>
        <v>1</v>
      </c>
      <c r="U250" s="336">
        <v>4</v>
      </c>
      <c r="V250" s="334" t="s">
        <v>5147</v>
      </c>
      <c r="W250" s="335">
        <f>ES08F01</f>
        <v>1</v>
      </c>
      <c r="X250" s="336">
        <v>4</v>
      </c>
      <c r="Y250" s="334" t="s">
        <v>4299</v>
      </c>
      <c r="Z250" s="335">
        <f>ES08F02</f>
        <v>1</v>
      </c>
      <c r="AA250" s="336">
        <v>4</v>
      </c>
      <c r="AB250" s="334" t="s">
        <v>3657</v>
      </c>
      <c r="AC250" s="335">
        <f>ES09A01</f>
        <v>1</v>
      </c>
      <c r="AD250" s="336">
        <v>4</v>
      </c>
      <c r="AE250" s="334" t="s">
        <v>3659</v>
      </c>
      <c r="AF250" s="335">
        <f>ES09A02</f>
        <v>1</v>
      </c>
      <c r="AG250" s="336">
        <v>4</v>
      </c>
      <c r="AH250" s="334" t="s">
        <v>3661</v>
      </c>
      <c r="AI250" s="335">
        <f>ES09A03</f>
        <v>1</v>
      </c>
      <c r="AJ250" s="336">
        <v>4</v>
      </c>
      <c r="AK250" s="334" t="s">
        <v>3662</v>
      </c>
      <c r="AL250" s="335">
        <f>ES09A04</f>
        <v>1</v>
      </c>
      <c r="AM250" s="336">
        <v>4</v>
      </c>
    </row>
    <row r="251" spans="1:39" ht="12.75" customHeight="1" x14ac:dyDescent="0.2">
      <c r="A251" s="338"/>
      <c r="B251" s="2128"/>
      <c r="C251" s="2130"/>
      <c r="D251" s="2130"/>
      <c r="E251" s="2130"/>
      <c r="F251" s="2135"/>
      <c r="G251" s="332" t="s">
        <v>5615</v>
      </c>
      <c r="H251" s="275" t="s">
        <v>998</v>
      </c>
      <c r="I251" s="333"/>
      <c r="J251" s="277" t="s">
        <v>5126</v>
      </c>
      <c r="K251" s="278">
        <f>ES02A01</f>
        <v>1</v>
      </c>
      <c r="L251" s="279">
        <v>4</v>
      </c>
      <c r="M251" s="277" t="s">
        <v>5884</v>
      </c>
      <c r="N251" s="278">
        <f>ES02A02</f>
        <v>1</v>
      </c>
      <c r="O251" s="279">
        <v>4</v>
      </c>
      <c r="P251" s="277" t="s">
        <v>5886</v>
      </c>
      <c r="Q251" s="278">
        <f>ES02A03</f>
        <v>1</v>
      </c>
      <c r="R251" s="279">
        <v>4</v>
      </c>
      <c r="S251" s="277" t="s">
        <v>6402</v>
      </c>
      <c r="T251" s="278">
        <f>ES02A05</f>
        <v>1</v>
      </c>
      <c r="U251" s="279">
        <v>4</v>
      </c>
      <c r="V251" s="277" t="s">
        <v>3354</v>
      </c>
      <c r="W251" s="278">
        <f>ES03B01</f>
        <v>1</v>
      </c>
      <c r="X251" s="279">
        <v>4</v>
      </c>
      <c r="Y251" s="277" t="s">
        <v>3356</v>
      </c>
      <c r="Z251" s="278">
        <f>ES03B02</f>
        <v>1</v>
      </c>
      <c r="AA251" s="279">
        <v>4</v>
      </c>
      <c r="AB251" s="277" t="s">
        <v>3252</v>
      </c>
      <c r="AC251" s="278">
        <f>ES03B03</f>
        <v>1</v>
      </c>
      <c r="AD251" s="279">
        <v>4</v>
      </c>
      <c r="AE251" s="277" t="s">
        <v>3254</v>
      </c>
      <c r="AF251" s="278">
        <f>ES03B04</f>
        <v>1</v>
      </c>
      <c r="AG251" s="279">
        <v>4</v>
      </c>
      <c r="AH251" s="277" t="s">
        <v>1665</v>
      </c>
      <c r="AI251" s="278">
        <f>ES03B06</f>
        <v>1</v>
      </c>
      <c r="AJ251" s="279">
        <v>4</v>
      </c>
      <c r="AK251" s="334" t="s">
        <v>63</v>
      </c>
      <c r="AL251" s="335">
        <f>ES08C03</f>
        <v>1</v>
      </c>
      <c r="AM251" s="336">
        <v>4</v>
      </c>
    </row>
    <row r="252" spans="1:39" ht="12" customHeight="1" x14ac:dyDescent="0.2">
      <c r="A252" s="338"/>
      <c r="B252" s="339"/>
      <c r="C252" s="339"/>
      <c r="D252" s="339"/>
      <c r="E252" s="339"/>
      <c r="F252" s="340"/>
      <c r="G252" s="332" t="s">
        <v>5615</v>
      </c>
      <c r="H252" s="275" t="s">
        <v>998</v>
      </c>
      <c r="I252" s="333"/>
      <c r="J252" s="334" t="s">
        <v>6386</v>
      </c>
      <c r="K252" s="335">
        <f>ES03A01</f>
        <v>1</v>
      </c>
      <c r="L252" s="336">
        <v>4</v>
      </c>
      <c r="M252" s="334" t="s">
        <v>2341</v>
      </c>
      <c r="N252" s="335">
        <f>ES03A04</f>
        <v>1</v>
      </c>
      <c r="O252" s="336">
        <v>4</v>
      </c>
      <c r="P252" s="334" t="s">
        <v>2343</v>
      </c>
      <c r="Q252" s="335">
        <f>ES03A05</f>
        <v>1</v>
      </c>
      <c r="R252" s="336">
        <v>4</v>
      </c>
      <c r="S252" s="334" t="s">
        <v>5220</v>
      </c>
      <c r="T252" s="335">
        <f>ES03C01</f>
        <v>1</v>
      </c>
      <c r="U252" s="336">
        <v>4</v>
      </c>
      <c r="V252" s="334" t="s">
        <v>5225</v>
      </c>
      <c r="W252" s="335">
        <f>ES03D01</f>
        <v>1</v>
      </c>
      <c r="X252" s="336">
        <v>4</v>
      </c>
      <c r="Y252" s="334"/>
      <c r="Z252" s="335"/>
      <c r="AA252" s="336"/>
      <c r="AB252" s="334"/>
      <c r="AC252" s="335"/>
      <c r="AD252" s="336"/>
      <c r="AE252" s="334"/>
      <c r="AF252" s="335"/>
      <c r="AG252" s="336"/>
      <c r="AH252" s="334"/>
      <c r="AI252" s="335"/>
      <c r="AJ252" s="336"/>
      <c r="AK252" s="334"/>
      <c r="AL252" s="335"/>
      <c r="AM252" s="336"/>
    </row>
    <row r="253" spans="1:39" ht="12" customHeight="1" x14ac:dyDescent="0.2">
      <c r="A253" s="338"/>
      <c r="B253" s="341"/>
      <c r="C253" s="341"/>
      <c r="D253" s="341"/>
      <c r="E253" s="341"/>
      <c r="F253" s="341"/>
      <c r="G253" s="332" t="s">
        <v>5615</v>
      </c>
      <c r="H253" s="275" t="s">
        <v>998</v>
      </c>
      <c r="I253" s="333"/>
      <c r="J253" s="334" t="s">
        <v>4980</v>
      </c>
      <c r="K253" s="335">
        <f>ES07D01</f>
        <v>1</v>
      </c>
      <c r="L253" s="336">
        <v>4</v>
      </c>
      <c r="M253" s="334" t="s">
        <v>4324</v>
      </c>
      <c r="N253" s="335">
        <f>ES08A03</f>
        <v>1</v>
      </c>
      <c r="O253" s="336">
        <v>4</v>
      </c>
      <c r="P253" s="334" t="s">
        <v>2800</v>
      </c>
      <c r="Q253" s="335">
        <f>ES08E01</f>
        <v>1</v>
      </c>
      <c r="R253" s="336">
        <v>4</v>
      </c>
      <c r="S253" s="334" t="s">
        <v>5928</v>
      </c>
      <c r="T253" s="335">
        <f>ES09E01</f>
        <v>1</v>
      </c>
      <c r="U253" s="336">
        <v>4</v>
      </c>
      <c r="V253" s="334" t="s">
        <v>3224</v>
      </c>
      <c r="W253" s="335">
        <f>ES10B05</f>
        <v>1</v>
      </c>
      <c r="X253" s="336">
        <v>4</v>
      </c>
      <c r="Y253" s="334" t="s">
        <v>3226</v>
      </c>
      <c r="Z253" s="335">
        <f>ES10B06</f>
        <v>1</v>
      </c>
      <c r="AA253" s="336">
        <v>4</v>
      </c>
      <c r="AB253" s="334"/>
      <c r="AC253" s="335"/>
      <c r="AD253" s="336"/>
      <c r="AE253" s="334"/>
      <c r="AF253" s="335"/>
      <c r="AG253" s="336"/>
      <c r="AH253" s="334"/>
      <c r="AI253" s="335"/>
      <c r="AJ253" s="336"/>
      <c r="AK253" s="334"/>
      <c r="AL253" s="335"/>
      <c r="AM253" s="336"/>
    </row>
    <row r="254" spans="1:39" ht="12" customHeight="1" x14ac:dyDescent="0.2">
      <c r="A254" s="338"/>
      <c r="B254" s="341"/>
      <c r="C254" s="341"/>
      <c r="D254" s="341"/>
      <c r="E254" s="341"/>
      <c r="F254" s="341"/>
      <c r="G254" s="332" t="s">
        <v>5617</v>
      </c>
      <c r="H254" s="275" t="s">
        <v>998</v>
      </c>
      <c r="I254" s="333"/>
      <c r="J254" s="334" t="s">
        <v>6400</v>
      </c>
      <c r="K254" s="335">
        <f>ES02A04</f>
        <v>1</v>
      </c>
      <c r="L254" s="336">
        <v>3</v>
      </c>
      <c r="M254" s="334" t="s">
        <v>3254</v>
      </c>
      <c r="N254" s="335">
        <f>ES03B04</f>
        <v>1</v>
      </c>
      <c r="O254" s="336">
        <v>3</v>
      </c>
      <c r="P254" s="334" t="s">
        <v>5222</v>
      </c>
      <c r="Q254" s="335">
        <f>ES03C02</f>
        <v>1</v>
      </c>
      <c r="R254" s="336">
        <v>3</v>
      </c>
      <c r="S254" s="337" t="s">
        <v>5224</v>
      </c>
      <c r="T254" s="335">
        <f>ES03C03</f>
        <v>1</v>
      </c>
      <c r="U254" s="336">
        <v>3</v>
      </c>
      <c r="V254" s="337" t="s">
        <v>5227</v>
      </c>
      <c r="W254" s="335">
        <f>ES03D02</f>
        <v>1</v>
      </c>
      <c r="X254" s="336">
        <v>3</v>
      </c>
      <c r="Y254" s="334" t="s">
        <v>3017</v>
      </c>
      <c r="Z254" s="335">
        <f>ES03D03</f>
        <v>1</v>
      </c>
      <c r="AA254" s="336">
        <v>3</v>
      </c>
      <c r="AB254" s="334" t="s">
        <v>2058</v>
      </c>
      <c r="AC254" s="335">
        <f>ES08C05</f>
        <v>1</v>
      </c>
      <c r="AD254" s="336">
        <v>3</v>
      </c>
      <c r="AE254" s="334" t="s">
        <v>2800</v>
      </c>
      <c r="AF254" s="335">
        <f>ES08E01</f>
        <v>1</v>
      </c>
      <c r="AG254" s="336">
        <v>3</v>
      </c>
      <c r="AH254" s="334" t="s">
        <v>1498</v>
      </c>
      <c r="AI254" s="335">
        <f>ES08E02</f>
        <v>1</v>
      </c>
      <c r="AJ254" s="336">
        <v>3</v>
      </c>
      <c r="AK254" s="334" t="s">
        <v>2532</v>
      </c>
      <c r="AL254" s="335">
        <f>ES08E03</f>
        <v>1</v>
      </c>
      <c r="AM254" s="336">
        <v>3</v>
      </c>
    </row>
    <row r="255" spans="1:39" ht="14.25" customHeight="1" x14ac:dyDescent="0.2">
      <c r="A255" s="338"/>
      <c r="B255" s="341"/>
      <c r="C255" s="341"/>
      <c r="D255" s="341"/>
      <c r="E255" s="341"/>
      <c r="F255" s="341"/>
      <c r="G255" s="342" t="s">
        <v>5618</v>
      </c>
      <c r="H255" s="275" t="s">
        <v>998</v>
      </c>
      <c r="I255" s="333"/>
      <c r="J255" s="277" t="s">
        <v>2536</v>
      </c>
      <c r="K255" s="335">
        <f>ES01C02</f>
        <v>1</v>
      </c>
      <c r="L255" s="336">
        <v>3</v>
      </c>
      <c r="M255" s="334" t="s">
        <v>1137</v>
      </c>
      <c r="N255" s="335">
        <f>ES08D01</f>
        <v>1</v>
      </c>
      <c r="O255" s="336">
        <v>3</v>
      </c>
      <c r="P255" s="334" t="s">
        <v>1662</v>
      </c>
      <c r="Q255" s="335">
        <f>ES08D02</f>
        <v>1</v>
      </c>
      <c r="R255" s="336">
        <v>3</v>
      </c>
      <c r="S255" s="334" t="s">
        <v>1663</v>
      </c>
      <c r="T255" s="335">
        <f>ES08D03</f>
        <v>1</v>
      </c>
      <c r="U255" s="336">
        <v>3</v>
      </c>
      <c r="V255" s="334" t="s">
        <v>1994</v>
      </c>
      <c r="W255" s="335">
        <f>ES08D08</f>
        <v>1</v>
      </c>
      <c r="X255" s="336">
        <v>3</v>
      </c>
      <c r="Y255" s="334" t="s">
        <v>1324</v>
      </c>
      <c r="Z255" s="335">
        <f>ES08D10</f>
        <v>1</v>
      </c>
      <c r="AA255" s="336">
        <v>3</v>
      </c>
      <c r="AB255" s="334" t="s">
        <v>3213</v>
      </c>
      <c r="AC255" s="335">
        <f>ES09E03</f>
        <v>1</v>
      </c>
      <c r="AD255" s="336">
        <v>3</v>
      </c>
      <c r="AE255" s="334" t="s">
        <v>1202</v>
      </c>
      <c r="AF255" s="335">
        <f>ES10A04</f>
        <v>1</v>
      </c>
      <c r="AG255" s="336">
        <v>3</v>
      </c>
      <c r="AH255" s="334"/>
      <c r="AI255" s="335"/>
      <c r="AJ255" s="343"/>
      <c r="AK255" s="334"/>
      <c r="AL255" s="335"/>
      <c r="AM255" s="343"/>
    </row>
    <row r="256" spans="1:39" ht="12.75" customHeight="1" x14ac:dyDescent="0.2">
      <c r="A256" s="338"/>
      <c r="B256" s="344"/>
      <c r="C256" s="344"/>
      <c r="D256" s="344"/>
      <c r="E256" s="344"/>
      <c r="F256" s="345"/>
      <c r="G256" s="342" t="s">
        <v>5618</v>
      </c>
      <c r="H256" s="285" t="s">
        <v>1935</v>
      </c>
      <c r="I256" s="333"/>
      <c r="J256" s="334" t="s">
        <v>5122</v>
      </c>
      <c r="K256" s="335">
        <f>ES01E01</f>
        <v>1</v>
      </c>
      <c r="L256" s="336">
        <v>3</v>
      </c>
      <c r="M256" s="334" t="s">
        <v>5124</v>
      </c>
      <c r="N256" s="335">
        <f>ES01E02</f>
        <v>1</v>
      </c>
      <c r="O256" s="336">
        <v>3</v>
      </c>
      <c r="P256" s="334" t="s">
        <v>6388</v>
      </c>
      <c r="Q256" s="335">
        <f>ES03A02</f>
        <v>1</v>
      </c>
      <c r="R256" s="336">
        <v>3</v>
      </c>
      <c r="S256" s="334" t="s">
        <v>1055</v>
      </c>
      <c r="T256" s="335">
        <f>ES03A06</f>
        <v>1</v>
      </c>
      <c r="U256" s="336">
        <v>3</v>
      </c>
      <c r="V256" s="334" t="s">
        <v>4980</v>
      </c>
      <c r="W256" s="335">
        <f>ES07D01</f>
        <v>1</v>
      </c>
      <c r="X256" s="336">
        <v>3</v>
      </c>
      <c r="Y256" s="334" t="s">
        <v>4954</v>
      </c>
      <c r="Z256" s="335">
        <f>ES08D04</f>
        <v>1</v>
      </c>
      <c r="AA256" s="336">
        <v>3</v>
      </c>
      <c r="AB256" s="334" t="s">
        <v>5965</v>
      </c>
      <c r="AC256" s="335">
        <f>ES08D06</f>
        <v>1</v>
      </c>
      <c r="AD256" s="336">
        <v>3</v>
      </c>
      <c r="AE256" s="334" t="s">
        <v>5928</v>
      </c>
      <c r="AF256" s="335">
        <f>ES09E01</f>
        <v>1</v>
      </c>
      <c r="AG256" s="336">
        <v>3</v>
      </c>
      <c r="AH256" s="334" t="s">
        <v>3210</v>
      </c>
      <c r="AI256" s="335">
        <f>ES09E02</f>
        <v>1</v>
      </c>
      <c r="AJ256" s="336">
        <v>3</v>
      </c>
      <c r="AK256" s="334"/>
      <c r="AL256" s="335"/>
      <c r="AM256" s="343"/>
    </row>
    <row r="257" spans="1:39" ht="12" customHeight="1" x14ac:dyDescent="0.2">
      <c r="A257" s="1374" t="s">
        <v>2663</v>
      </c>
      <c r="B257" s="346" t="s">
        <v>1603</v>
      </c>
      <c r="C257" s="262"/>
      <c r="D257" s="262"/>
      <c r="E257" s="262"/>
      <c r="F257" s="262"/>
      <c r="G257" s="262"/>
      <c r="H257" s="262"/>
      <c r="I257" s="308"/>
      <c r="J257" s="270"/>
      <c r="K257" s="269"/>
      <c r="L257" s="294"/>
      <c r="M257" s="271"/>
      <c r="N257" s="269"/>
      <c r="O257" s="294"/>
      <c r="P257" s="268"/>
      <c r="Q257" s="269"/>
      <c r="R257" s="304"/>
      <c r="S257" s="271"/>
      <c r="T257" s="269"/>
      <c r="U257" s="294"/>
      <c r="V257" s="271"/>
      <c r="W257" s="269"/>
      <c r="X257" s="294"/>
      <c r="Y257" s="271"/>
      <c r="Z257" s="269"/>
      <c r="AA257" s="294"/>
      <c r="AB257" s="271"/>
      <c r="AC257" s="269"/>
      <c r="AD257" s="294"/>
      <c r="AE257" s="271"/>
      <c r="AF257" s="269"/>
      <c r="AG257" s="294"/>
      <c r="AH257" s="271"/>
      <c r="AI257" s="269"/>
      <c r="AJ257" s="294"/>
      <c r="AK257" s="271"/>
      <c r="AL257" s="269"/>
      <c r="AM257" s="294"/>
    </row>
    <row r="258" spans="1:39" ht="12" customHeight="1" x14ac:dyDescent="0.2">
      <c r="A258" s="297"/>
      <c r="B258" s="2117">
        <f>COUNTIF(Scénarios!AH729:AH734,1)</f>
        <v>0</v>
      </c>
      <c r="C258" s="2117">
        <f>COUNTIF(Scénarios!AH729:AH734,2)</f>
        <v>0</v>
      </c>
      <c r="D258" s="2122">
        <f>COUNTIF(Scénarios!AH729:AH734,3)</f>
        <v>0</v>
      </c>
      <c r="E258" s="2123">
        <f>COUNTIF(Scénarios!AH729:AH734,4)</f>
        <v>0</v>
      </c>
      <c r="F258" s="2114">
        <f>SUM(B258:E258)</f>
        <v>0</v>
      </c>
      <c r="G258" s="274" t="s">
        <v>5616</v>
      </c>
      <c r="H258" s="275" t="s">
        <v>6370</v>
      </c>
      <c r="I258" s="276"/>
      <c r="J258" s="277" t="s">
        <v>4024</v>
      </c>
      <c r="K258" s="278">
        <f>ES12A03</f>
        <v>1</v>
      </c>
      <c r="L258" s="279">
        <v>3</v>
      </c>
      <c r="M258" s="280" t="s">
        <v>2050</v>
      </c>
      <c r="N258" s="278">
        <f>ES12E02</f>
        <v>1</v>
      </c>
      <c r="O258" s="279">
        <v>3</v>
      </c>
      <c r="P258" s="280" t="s">
        <v>3945</v>
      </c>
      <c r="Q258" s="278">
        <f>ES12E03</f>
        <v>1</v>
      </c>
      <c r="R258" s="279">
        <v>3</v>
      </c>
      <c r="S258" s="280"/>
      <c r="T258" s="278"/>
      <c r="U258" s="279"/>
      <c r="V258" s="280"/>
      <c r="W258" s="278"/>
      <c r="X258" s="279"/>
      <c r="Y258" s="280"/>
      <c r="Z258" s="278"/>
      <c r="AA258" s="279"/>
      <c r="AB258" s="280"/>
      <c r="AC258" s="278"/>
      <c r="AD258" s="279"/>
      <c r="AE258" s="280"/>
      <c r="AF258" s="278"/>
      <c r="AG258" s="279"/>
      <c r="AH258" s="280"/>
      <c r="AI258" s="278"/>
      <c r="AJ258" s="279"/>
      <c r="AK258" s="280"/>
      <c r="AL258" s="278"/>
      <c r="AM258" s="279"/>
    </row>
    <row r="259" spans="1:39" ht="12" customHeight="1" x14ac:dyDescent="0.2">
      <c r="A259" s="273"/>
      <c r="B259" s="2118"/>
      <c r="C259" s="2120"/>
      <c r="D259" s="2120"/>
      <c r="E259" s="2120"/>
      <c r="F259" s="2115"/>
      <c r="G259" s="274" t="s">
        <v>5615</v>
      </c>
      <c r="H259" s="285" t="s">
        <v>1935</v>
      </c>
      <c r="I259" s="276"/>
      <c r="J259" s="277" t="s">
        <v>3267</v>
      </c>
      <c r="K259" s="278">
        <f>ES12A02</f>
        <v>1</v>
      </c>
      <c r="L259" s="279">
        <v>4</v>
      </c>
      <c r="M259" s="277" t="s">
        <v>3268</v>
      </c>
      <c r="N259" s="278">
        <f>ES12B01</f>
        <v>1</v>
      </c>
      <c r="O259" s="279">
        <v>4</v>
      </c>
      <c r="P259" s="277" t="s">
        <v>2987</v>
      </c>
      <c r="Q259" s="278">
        <f>ES12B02</f>
        <v>1</v>
      </c>
      <c r="R259" s="279">
        <v>4</v>
      </c>
      <c r="S259" s="280" t="s">
        <v>2048</v>
      </c>
      <c r="T259" s="278">
        <f>ES12E01</f>
        <v>1</v>
      </c>
      <c r="U259" s="279">
        <v>4</v>
      </c>
      <c r="V259" s="280" t="s">
        <v>2050</v>
      </c>
      <c r="W259" s="278">
        <f>ES12E02</f>
        <v>1</v>
      </c>
      <c r="X259" s="279">
        <v>4</v>
      </c>
      <c r="Y259" s="277"/>
      <c r="Z259" s="278"/>
      <c r="AA259" s="279"/>
      <c r="AB259" s="277"/>
      <c r="AC259" s="278"/>
      <c r="AD259" s="279"/>
      <c r="AE259" s="277"/>
      <c r="AF259" s="278"/>
      <c r="AG259" s="279"/>
      <c r="AH259" s="277"/>
      <c r="AI259" s="278"/>
      <c r="AJ259" s="279"/>
      <c r="AK259" s="277"/>
      <c r="AL259" s="278"/>
      <c r="AM259" s="279"/>
    </row>
    <row r="260" spans="1:39" ht="12.75" customHeight="1" x14ac:dyDescent="0.2">
      <c r="A260" s="273"/>
      <c r="B260" s="2119"/>
      <c r="C260" s="2121"/>
      <c r="D260" s="2121"/>
      <c r="E260" s="2121"/>
      <c r="F260" s="2116"/>
      <c r="G260" s="274" t="s">
        <v>5617</v>
      </c>
      <c r="H260" s="275"/>
      <c r="I260" s="276"/>
      <c r="J260" s="277"/>
      <c r="K260" s="278"/>
      <c r="L260" s="279"/>
      <c r="M260" s="280"/>
      <c r="N260" s="278"/>
      <c r="O260" s="279"/>
      <c r="P260" s="280"/>
      <c r="Q260" s="278"/>
      <c r="R260" s="279"/>
      <c r="S260" s="277"/>
      <c r="T260" s="278"/>
      <c r="U260" s="279"/>
      <c r="V260" s="277"/>
      <c r="W260" s="278"/>
      <c r="X260" s="279"/>
      <c r="Y260" s="277"/>
      <c r="Z260" s="278"/>
      <c r="AA260" s="279"/>
      <c r="AB260" s="277"/>
      <c r="AC260" s="278"/>
      <c r="AD260" s="279"/>
      <c r="AE260" s="277"/>
      <c r="AF260" s="278"/>
      <c r="AG260" s="279"/>
      <c r="AH260" s="277"/>
      <c r="AI260" s="278"/>
      <c r="AJ260" s="279"/>
      <c r="AK260" s="277"/>
      <c r="AL260" s="278"/>
      <c r="AM260" s="279"/>
    </row>
    <row r="261" spans="1:39" x14ac:dyDescent="0.2">
      <c r="A261" s="273"/>
      <c r="B261" s="306"/>
      <c r="C261" s="306"/>
      <c r="D261" s="306"/>
      <c r="E261" s="306"/>
      <c r="F261" s="306"/>
      <c r="G261" s="284" t="s">
        <v>5618</v>
      </c>
      <c r="H261" s="307"/>
      <c r="I261" s="276"/>
      <c r="J261" s="277"/>
      <c r="K261" s="278"/>
      <c r="L261" s="279"/>
      <c r="M261" s="277"/>
      <c r="N261" s="278"/>
      <c r="O261" s="279"/>
      <c r="P261" s="277"/>
      <c r="Q261" s="278"/>
      <c r="R261" s="279"/>
      <c r="S261" s="277"/>
      <c r="T261" s="278"/>
      <c r="U261" s="287"/>
      <c r="V261" s="277"/>
      <c r="W261" s="278"/>
      <c r="X261" s="287"/>
      <c r="Y261" s="277"/>
      <c r="Z261" s="278"/>
      <c r="AA261" s="287"/>
      <c r="AB261" s="277"/>
      <c r="AC261" s="278"/>
      <c r="AD261" s="287"/>
      <c r="AE261" s="277"/>
      <c r="AF261" s="278"/>
      <c r="AG261" s="287"/>
      <c r="AH261" s="277"/>
      <c r="AI261" s="278"/>
      <c r="AJ261" s="287"/>
      <c r="AK261" s="277"/>
      <c r="AL261" s="278"/>
      <c r="AM261" s="287"/>
    </row>
    <row r="262" spans="1:39" ht="12" customHeight="1" x14ac:dyDescent="0.2">
      <c r="A262" s="1374" t="s">
        <v>3721</v>
      </c>
      <c r="B262" s="346" t="s">
        <v>3720</v>
      </c>
      <c r="C262" s="262"/>
      <c r="D262" s="262"/>
      <c r="E262" s="262"/>
      <c r="F262" s="262"/>
      <c r="G262" s="262"/>
      <c r="H262" s="262"/>
      <c r="I262" s="308"/>
      <c r="J262" s="270"/>
      <c r="K262" s="269"/>
      <c r="L262" s="294"/>
      <c r="M262" s="271"/>
      <c r="N262" s="269"/>
      <c r="O262" s="294"/>
      <c r="P262" s="268"/>
      <c r="Q262" s="269"/>
      <c r="R262" s="304"/>
      <c r="S262" s="271"/>
      <c r="T262" s="269"/>
      <c r="U262" s="294"/>
      <c r="V262" s="271"/>
      <c r="W262" s="269"/>
      <c r="X262" s="294"/>
      <c r="Y262" s="271"/>
      <c r="Z262" s="269"/>
      <c r="AA262" s="294"/>
      <c r="AB262" s="271"/>
      <c r="AC262" s="269"/>
      <c r="AD262" s="294"/>
      <c r="AE262" s="271"/>
      <c r="AF262" s="269"/>
      <c r="AG262" s="294"/>
      <c r="AH262" s="271"/>
      <c r="AI262" s="269"/>
      <c r="AJ262" s="294"/>
      <c r="AK262" s="271"/>
      <c r="AL262" s="269"/>
      <c r="AM262" s="294"/>
    </row>
    <row r="263" spans="1:39" ht="12" customHeight="1" x14ac:dyDescent="0.2">
      <c r="A263" s="297"/>
      <c r="B263" s="2117">
        <f>COUNTIF(Scénarios!AH736:AH740,1)</f>
        <v>0</v>
      </c>
      <c r="C263" s="2117">
        <f>COUNTIF(Scénarios!AH736:AH740,2)</f>
        <v>0</v>
      </c>
      <c r="D263" s="2122">
        <f>COUNTIF(Scénarios!AH736:AH740,3)</f>
        <v>0</v>
      </c>
      <c r="E263" s="2123">
        <f>COUNTIF(Scénarios!AH736:AH740,4)</f>
        <v>0</v>
      </c>
      <c r="F263" s="2114">
        <f>SUM(B263:E263)</f>
        <v>0</v>
      </c>
      <c r="G263" s="274" t="s">
        <v>5616</v>
      </c>
      <c r="H263" s="275" t="s">
        <v>1934</v>
      </c>
      <c r="I263" s="276"/>
      <c r="J263" s="277" t="s">
        <v>4511</v>
      </c>
      <c r="K263" s="278">
        <f>ES06A03</f>
        <v>1</v>
      </c>
      <c r="L263" s="279">
        <v>3</v>
      </c>
      <c r="M263" s="280" t="s">
        <v>4574</v>
      </c>
      <c r="N263" s="278">
        <f>ES06C02</f>
        <v>1</v>
      </c>
      <c r="O263" s="279">
        <v>3</v>
      </c>
      <c r="P263" s="280" t="s">
        <v>4575</v>
      </c>
      <c r="Q263" s="278">
        <f>ES06C03</f>
        <v>1</v>
      </c>
      <c r="R263" s="279">
        <v>3</v>
      </c>
      <c r="S263" s="280"/>
      <c r="T263" s="278"/>
      <c r="U263" s="279"/>
      <c r="V263" s="280"/>
      <c r="W263" s="278"/>
      <c r="X263" s="279"/>
      <c r="Y263" s="280"/>
      <c r="Z263" s="278"/>
      <c r="AA263" s="279"/>
      <c r="AB263" s="280"/>
      <c r="AC263" s="278"/>
      <c r="AD263" s="279"/>
      <c r="AE263" s="280"/>
      <c r="AF263" s="278"/>
      <c r="AG263" s="279"/>
      <c r="AH263" s="280"/>
      <c r="AI263" s="278"/>
      <c r="AJ263" s="279"/>
      <c r="AK263" s="280"/>
      <c r="AL263" s="278"/>
      <c r="AM263" s="279"/>
    </row>
    <row r="264" spans="1:39" ht="12" customHeight="1" x14ac:dyDescent="0.2">
      <c r="A264" s="273"/>
      <c r="B264" s="2118"/>
      <c r="C264" s="2120"/>
      <c r="D264" s="2120"/>
      <c r="E264" s="2120"/>
      <c r="F264" s="2115"/>
      <c r="G264" s="274" t="s">
        <v>5615</v>
      </c>
      <c r="H264" s="285" t="s">
        <v>6369</v>
      </c>
      <c r="I264" s="276"/>
      <c r="J264" s="277" t="s">
        <v>4530</v>
      </c>
      <c r="K264" s="278">
        <f>ES06A02</f>
        <v>1</v>
      </c>
      <c r="L264" s="279">
        <v>4</v>
      </c>
      <c r="M264" s="277" t="s">
        <v>3643</v>
      </c>
      <c r="N264" s="278">
        <f>ES06B01</f>
        <v>1</v>
      </c>
      <c r="O264" s="279">
        <v>4</v>
      </c>
      <c r="P264" s="280" t="s">
        <v>4572</v>
      </c>
      <c r="Q264" s="278">
        <f>ES06C01</f>
        <v>1</v>
      </c>
      <c r="R264" s="279">
        <v>4</v>
      </c>
      <c r="S264" s="280" t="s">
        <v>4574</v>
      </c>
      <c r="T264" s="278">
        <f>ES06C02</f>
        <v>1</v>
      </c>
      <c r="U264" s="279">
        <v>4</v>
      </c>
      <c r="V264" s="277"/>
      <c r="W264" s="278"/>
      <c r="X264" s="279"/>
      <c r="Y264" s="277"/>
      <c r="Z264" s="278"/>
      <c r="AA264" s="279"/>
      <c r="AB264" s="277"/>
      <c r="AC264" s="278"/>
      <c r="AD264" s="279"/>
      <c r="AE264" s="277"/>
      <c r="AF264" s="278"/>
      <c r="AG264" s="279"/>
      <c r="AH264" s="277"/>
      <c r="AI264" s="278"/>
      <c r="AJ264" s="279"/>
      <c r="AK264" s="277"/>
      <c r="AL264" s="278"/>
      <c r="AM264" s="279"/>
    </row>
    <row r="265" spans="1:39" x14ac:dyDescent="0.2">
      <c r="A265" s="273"/>
      <c r="B265" s="2119"/>
      <c r="C265" s="2121"/>
      <c r="D265" s="2121"/>
      <c r="E265" s="2121"/>
      <c r="F265" s="2116"/>
      <c r="G265" s="274" t="s">
        <v>5617</v>
      </c>
      <c r="H265" s="275"/>
      <c r="I265" s="276"/>
      <c r="J265" s="277"/>
      <c r="K265" s="278"/>
      <c r="L265" s="279"/>
      <c r="M265" s="280"/>
      <c r="N265" s="278"/>
      <c r="O265" s="279"/>
      <c r="P265" s="280"/>
      <c r="Q265" s="278"/>
      <c r="R265" s="279"/>
      <c r="S265" s="277"/>
      <c r="T265" s="278"/>
      <c r="U265" s="279"/>
      <c r="V265" s="277"/>
      <c r="W265" s="278"/>
      <c r="X265" s="279"/>
      <c r="Y265" s="277"/>
      <c r="Z265" s="278"/>
      <c r="AA265" s="279"/>
      <c r="AB265" s="277"/>
      <c r="AC265" s="278"/>
      <c r="AD265" s="279"/>
      <c r="AE265" s="277"/>
      <c r="AF265" s="278"/>
      <c r="AG265" s="279"/>
      <c r="AH265" s="277"/>
      <c r="AI265" s="278"/>
      <c r="AJ265" s="279"/>
      <c r="AK265" s="277"/>
      <c r="AL265" s="278"/>
      <c r="AM265" s="279"/>
    </row>
    <row r="266" spans="1:39" ht="12.75" customHeight="1" x14ac:dyDescent="0.2">
      <c r="A266" s="273"/>
      <c r="B266" s="306"/>
      <c r="C266" s="306"/>
      <c r="D266" s="306"/>
      <c r="E266" s="306"/>
      <c r="F266" s="306"/>
      <c r="G266" s="284" t="s">
        <v>5618</v>
      </c>
      <c r="H266" s="307"/>
      <c r="I266" s="276"/>
      <c r="J266" s="277"/>
      <c r="K266" s="278"/>
      <c r="L266" s="279"/>
      <c r="M266" s="277"/>
      <c r="N266" s="278"/>
      <c r="O266" s="279"/>
      <c r="P266" s="277"/>
      <c r="Q266" s="278"/>
      <c r="R266" s="279"/>
      <c r="S266" s="277"/>
      <c r="T266" s="278"/>
      <c r="U266" s="287"/>
      <c r="V266" s="277"/>
      <c r="W266" s="278"/>
      <c r="X266" s="287"/>
      <c r="Y266" s="277"/>
      <c r="Z266" s="278"/>
      <c r="AA266" s="287"/>
      <c r="AB266" s="277"/>
      <c r="AC266" s="278"/>
      <c r="AD266" s="287"/>
      <c r="AE266" s="277"/>
      <c r="AF266" s="278"/>
      <c r="AG266" s="287"/>
      <c r="AH266" s="277"/>
      <c r="AI266" s="278"/>
      <c r="AJ266" s="287"/>
      <c r="AK266" s="277"/>
      <c r="AL266" s="278"/>
      <c r="AM266" s="287"/>
    </row>
    <row r="267" spans="1:39" ht="12" customHeight="1" x14ac:dyDescent="0.2">
      <c r="A267" s="1374" t="s">
        <v>3730</v>
      </c>
      <c r="B267" s="346" t="s">
        <v>3731</v>
      </c>
      <c r="C267" s="262"/>
      <c r="D267" s="262"/>
      <c r="E267" s="262"/>
      <c r="F267" s="262"/>
      <c r="G267" s="262"/>
      <c r="H267" s="262"/>
      <c r="I267" s="308"/>
      <c r="J267" s="270"/>
      <c r="K267" s="269"/>
      <c r="L267" s="294"/>
      <c r="M267" s="271"/>
      <c r="N267" s="269"/>
      <c r="O267" s="294"/>
      <c r="P267" s="268"/>
      <c r="Q267" s="269"/>
      <c r="R267" s="304"/>
      <c r="S267" s="271"/>
      <c r="T267" s="269"/>
      <c r="U267" s="294"/>
      <c r="V267" s="271"/>
      <c r="W267" s="269"/>
      <c r="X267" s="294"/>
      <c r="Y267" s="271"/>
      <c r="Z267" s="269"/>
      <c r="AA267" s="294"/>
      <c r="AB267" s="271"/>
      <c r="AC267" s="269"/>
      <c r="AD267" s="294"/>
      <c r="AE267" s="271"/>
      <c r="AF267" s="269"/>
      <c r="AG267" s="294"/>
      <c r="AH267" s="271"/>
      <c r="AI267" s="269"/>
      <c r="AJ267" s="294"/>
      <c r="AK267" s="271"/>
      <c r="AL267" s="269"/>
      <c r="AM267" s="294"/>
    </row>
    <row r="268" spans="1:39" ht="12" customHeight="1" x14ac:dyDescent="0.2">
      <c r="A268" s="297"/>
      <c r="B268" s="2117">
        <f>COUNTIF(Scénarios!AH742:AH746,1)</f>
        <v>0</v>
      </c>
      <c r="C268" s="2117">
        <f>COUNTIF(Scénarios!AH742:AH746,2)</f>
        <v>0</v>
      </c>
      <c r="D268" s="2122">
        <f>COUNTIF(Scénarios!AH742:AH746,3)</f>
        <v>0</v>
      </c>
      <c r="E268" s="2123">
        <f>COUNTIF(Scénarios!AH742:AH746,4)</f>
        <v>0</v>
      </c>
      <c r="F268" s="2114">
        <f>SUM(B268:E268)</f>
        <v>0</v>
      </c>
      <c r="G268" s="274" t="s">
        <v>5616</v>
      </c>
      <c r="H268" s="275" t="s">
        <v>1934</v>
      </c>
      <c r="I268" s="276"/>
      <c r="J268" s="277" t="s">
        <v>4511</v>
      </c>
      <c r="K268" s="278">
        <f>ES06A03</f>
        <v>1</v>
      </c>
      <c r="L268" s="279">
        <v>3</v>
      </c>
      <c r="M268" s="280" t="s">
        <v>4574</v>
      </c>
      <c r="N268" s="278">
        <f>ES06C02</f>
        <v>1</v>
      </c>
      <c r="O268" s="279">
        <v>3</v>
      </c>
      <c r="P268" s="280" t="s">
        <v>4575</v>
      </c>
      <c r="Q268" s="278">
        <f>ES06C03</f>
        <v>1</v>
      </c>
      <c r="R268" s="279">
        <v>3</v>
      </c>
      <c r="S268" s="280"/>
      <c r="T268" s="278"/>
      <c r="U268" s="279"/>
      <c r="V268" s="280"/>
      <c r="W268" s="278"/>
      <c r="X268" s="279"/>
      <c r="Y268" s="280"/>
      <c r="Z268" s="278"/>
      <c r="AA268" s="279"/>
      <c r="AB268" s="280"/>
      <c r="AC268" s="278"/>
      <c r="AD268" s="279"/>
      <c r="AE268" s="280"/>
      <c r="AF268" s="278"/>
      <c r="AG268" s="279"/>
      <c r="AH268" s="280"/>
      <c r="AI268" s="278"/>
      <c r="AJ268" s="279"/>
      <c r="AK268" s="280"/>
      <c r="AL268" s="278"/>
      <c r="AM268" s="279"/>
    </row>
    <row r="269" spans="1:39" ht="12" customHeight="1" x14ac:dyDescent="0.2">
      <c r="A269" s="273"/>
      <c r="B269" s="2118"/>
      <c r="C269" s="2120"/>
      <c r="D269" s="2120"/>
      <c r="E269" s="2120"/>
      <c r="F269" s="2115"/>
      <c r="G269" s="274" t="s">
        <v>5615</v>
      </c>
      <c r="H269" s="285" t="s">
        <v>6369</v>
      </c>
      <c r="I269" s="276"/>
      <c r="J269" s="277" t="s">
        <v>4530</v>
      </c>
      <c r="K269" s="278">
        <f>ES06A02</f>
        <v>1</v>
      </c>
      <c r="L269" s="279">
        <v>4</v>
      </c>
      <c r="M269" s="277" t="s">
        <v>3643</v>
      </c>
      <c r="N269" s="278">
        <f>ES06B01</f>
        <v>1</v>
      </c>
      <c r="O269" s="279">
        <v>4</v>
      </c>
      <c r="P269" s="280" t="s">
        <v>4572</v>
      </c>
      <c r="Q269" s="278">
        <f>ES06C01</f>
        <v>1</v>
      </c>
      <c r="R269" s="279">
        <v>4</v>
      </c>
      <c r="S269" s="280" t="s">
        <v>4574</v>
      </c>
      <c r="T269" s="278">
        <f>ES06C02</f>
        <v>1</v>
      </c>
      <c r="U269" s="279">
        <v>4</v>
      </c>
      <c r="V269" s="277"/>
      <c r="W269" s="278"/>
      <c r="X269" s="279"/>
      <c r="Y269" s="277"/>
      <c r="Z269" s="278"/>
      <c r="AA269" s="279"/>
      <c r="AB269" s="277"/>
      <c r="AC269" s="278"/>
      <c r="AD269" s="279"/>
      <c r="AE269" s="277"/>
      <c r="AF269" s="278"/>
      <c r="AG269" s="279"/>
      <c r="AH269" s="277"/>
      <c r="AI269" s="278"/>
      <c r="AJ269" s="279"/>
      <c r="AK269" s="277"/>
      <c r="AL269" s="278"/>
      <c r="AM269" s="279"/>
    </row>
    <row r="270" spans="1:39" x14ac:dyDescent="0.2">
      <c r="A270" s="273"/>
      <c r="B270" s="2119"/>
      <c r="C270" s="2121"/>
      <c r="D270" s="2121"/>
      <c r="E270" s="2121"/>
      <c r="F270" s="2116"/>
      <c r="G270" s="274" t="s">
        <v>5617</v>
      </c>
      <c r="H270" s="275"/>
      <c r="I270" s="276"/>
      <c r="J270" s="277"/>
      <c r="K270" s="278"/>
      <c r="L270" s="279"/>
      <c r="M270" s="280"/>
      <c r="N270" s="278"/>
      <c r="O270" s="279"/>
      <c r="P270" s="280"/>
      <c r="Q270" s="278"/>
      <c r="R270" s="279"/>
      <c r="S270" s="277"/>
      <c r="T270" s="278"/>
      <c r="U270" s="279"/>
      <c r="V270" s="277"/>
      <c r="W270" s="278"/>
      <c r="X270" s="279"/>
      <c r="Y270" s="277"/>
      <c r="Z270" s="278"/>
      <c r="AA270" s="279"/>
      <c r="AB270" s="277"/>
      <c r="AC270" s="278"/>
      <c r="AD270" s="279"/>
      <c r="AE270" s="277"/>
      <c r="AF270" s="278"/>
      <c r="AG270" s="279"/>
      <c r="AH270" s="277"/>
      <c r="AI270" s="278"/>
      <c r="AJ270" s="279"/>
      <c r="AK270" s="277"/>
      <c r="AL270" s="278"/>
      <c r="AM270" s="279"/>
    </row>
    <row r="271" spans="1:39" x14ac:dyDescent="0.2">
      <c r="A271" s="273"/>
      <c r="B271" s="306"/>
      <c r="C271" s="306"/>
      <c r="D271" s="306"/>
      <c r="E271" s="306"/>
      <c r="F271" s="306"/>
      <c r="G271" s="284" t="s">
        <v>5618</v>
      </c>
      <c r="H271" s="307"/>
      <c r="I271" s="276"/>
      <c r="J271" s="277"/>
      <c r="K271" s="278"/>
      <c r="L271" s="279"/>
      <c r="M271" s="277"/>
      <c r="N271" s="278"/>
      <c r="O271" s="279"/>
      <c r="P271" s="277"/>
      <c r="Q271" s="278"/>
      <c r="R271" s="279"/>
      <c r="S271" s="277"/>
      <c r="T271" s="278"/>
      <c r="U271" s="287"/>
      <c r="V271" s="277"/>
      <c r="W271" s="278"/>
      <c r="X271" s="287"/>
      <c r="Y271" s="277"/>
      <c r="Z271" s="278"/>
      <c r="AA271" s="287"/>
      <c r="AB271" s="277"/>
      <c r="AC271" s="278"/>
      <c r="AD271" s="287"/>
      <c r="AE271" s="277"/>
      <c r="AF271" s="278"/>
      <c r="AG271" s="287"/>
      <c r="AH271" s="277"/>
      <c r="AI271" s="278"/>
      <c r="AJ271" s="287"/>
      <c r="AK271" s="277"/>
      <c r="AL271" s="278"/>
      <c r="AM271" s="287"/>
    </row>
    <row r="272" spans="1:39" ht="12" customHeight="1" x14ac:dyDescent="0.2">
      <c r="A272" s="1374" t="s">
        <v>4532</v>
      </c>
      <c r="B272" s="346" t="s">
        <v>3732</v>
      </c>
      <c r="C272" s="262"/>
      <c r="D272" s="262"/>
      <c r="E272" s="262"/>
      <c r="F272" s="262"/>
      <c r="G272" s="262"/>
      <c r="H272" s="262"/>
      <c r="I272" s="308"/>
      <c r="J272" s="270"/>
      <c r="K272" s="269"/>
      <c r="L272" s="294"/>
      <c r="M272" s="271"/>
      <c r="N272" s="269"/>
      <c r="O272" s="294"/>
      <c r="P272" s="268"/>
      <c r="Q272" s="269"/>
      <c r="R272" s="304"/>
      <c r="S272" s="271"/>
      <c r="T272" s="269"/>
      <c r="U272" s="294"/>
      <c r="V272" s="271"/>
      <c r="W272" s="269"/>
      <c r="X272" s="294"/>
      <c r="Y272" s="271"/>
      <c r="Z272" s="269"/>
      <c r="AA272" s="294"/>
      <c r="AB272" s="271"/>
      <c r="AC272" s="269"/>
      <c r="AD272" s="294"/>
      <c r="AE272" s="271"/>
      <c r="AF272" s="269"/>
      <c r="AG272" s="294"/>
      <c r="AH272" s="271"/>
      <c r="AI272" s="269"/>
      <c r="AJ272" s="294"/>
      <c r="AK272" s="271"/>
      <c r="AL272" s="269"/>
      <c r="AM272" s="294"/>
    </row>
    <row r="273" spans="1:39" ht="12" customHeight="1" x14ac:dyDescent="0.2">
      <c r="A273" s="297"/>
      <c r="B273" s="2117">
        <f>COUNTIF(Scénarios!AH748:AH765,1)</f>
        <v>0</v>
      </c>
      <c r="C273" s="2117">
        <f>COUNTIF(Scénarios!AH748:AH765,2)</f>
        <v>0</v>
      </c>
      <c r="D273" s="2122">
        <f>COUNTIF(Scénarios!AH748:AH765,3)</f>
        <v>0</v>
      </c>
      <c r="E273" s="2123">
        <f>COUNTIF(Scénarios!AH748:AH765,4)</f>
        <v>0</v>
      </c>
      <c r="F273" s="2114">
        <f>SUM(B273:E273)</f>
        <v>0</v>
      </c>
      <c r="G273" s="274" t="s">
        <v>5616</v>
      </c>
      <c r="H273" s="275" t="s">
        <v>1934</v>
      </c>
      <c r="I273" s="276"/>
      <c r="J273" s="277" t="s">
        <v>3254</v>
      </c>
      <c r="K273" s="278">
        <f>ES03B04</f>
        <v>1</v>
      </c>
      <c r="L273" s="279">
        <v>3</v>
      </c>
      <c r="M273" s="277" t="s">
        <v>3360</v>
      </c>
      <c r="N273" s="278">
        <f>ES03B05</f>
        <v>1</v>
      </c>
      <c r="O273" s="279">
        <v>3</v>
      </c>
      <c r="P273" s="277" t="s">
        <v>1665</v>
      </c>
      <c r="Q273" s="278">
        <f>ES03B06</f>
        <v>1</v>
      </c>
      <c r="R273" s="279">
        <v>3</v>
      </c>
      <c r="S273" s="280" t="s">
        <v>5021</v>
      </c>
      <c r="T273" s="278">
        <f>ES07C02</f>
        <v>1</v>
      </c>
      <c r="U273" s="279">
        <v>3</v>
      </c>
      <c r="V273" s="280" t="s">
        <v>4300</v>
      </c>
      <c r="W273" s="278">
        <f>ES08F03</f>
        <v>1</v>
      </c>
      <c r="X273" s="279">
        <v>3</v>
      </c>
      <c r="Y273" s="280" t="s">
        <v>3217</v>
      </c>
      <c r="Z273" s="278">
        <f>ES10B01</f>
        <v>1</v>
      </c>
      <c r="AA273" s="279">
        <v>3</v>
      </c>
      <c r="AB273" s="280" t="s">
        <v>3224</v>
      </c>
      <c r="AC273" s="278">
        <f>ES10B05</f>
        <v>1</v>
      </c>
      <c r="AD273" s="279">
        <v>3</v>
      </c>
      <c r="AE273" s="280"/>
      <c r="AF273" s="278"/>
      <c r="AG273" s="279"/>
      <c r="AH273" s="280"/>
      <c r="AI273" s="278"/>
      <c r="AJ273" s="279"/>
      <c r="AK273" s="280"/>
      <c r="AL273" s="278"/>
      <c r="AM273" s="279"/>
    </row>
    <row r="274" spans="1:39" ht="12" customHeight="1" x14ac:dyDescent="0.2">
      <c r="A274" s="273"/>
      <c r="B274" s="2118"/>
      <c r="C274" s="2120"/>
      <c r="D274" s="2120"/>
      <c r="E274" s="2120"/>
      <c r="F274" s="2115"/>
      <c r="G274" s="274" t="s">
        <v>5615</v>
      </c>
      <c r="H274" s="285" t="s">
        <v>6369</v>
      </c>
      <c r="I274" s="276"/>
      <c r="J274" s="277" t="s">
        <v>4324</v>
      </c>
      <c r="K274" s="278">
        <f>ES08A03</f>
        <v>1</v>
      </c>
      <c r="L274" s="279">
        <v>4</v>
      </c>
      <c r="M274" s="277" t="s">
        <v>4325</v>
      </c>
      <c r="N274" s="278">
        <f>ES08A04</f>
        <v>1</v>
      </c>
      <c r="O274" s="279">
        <v>4</v>
      </c>
      <c r="P274" s="277" t="s">
        <v>4807</v>
      </c>
      <c r="Q274" s="278">
        <f>ES08B01</f>
        <v>1</v>
      </c>
      <c r="R274" s="279">
        <v>4</v>
      </c>
      <c r="S274" s="277" t="s">
        <v>1767</v>
      </c>
      <c r="T274" s="278">
        <f>ES08B02</f>
        <v>1</v>
      </c>
      <c r="U274" s="279">
        <v>4</v>
      </c>
      <c r="V274" s="277" t="s">
        <v>1769</v>
      </c>
      <c r="W274" s="278">
        <f>ES08B03</f>
        <v>1</v>
      </c>
      <c r="X274" s="279">
        <v>4</v>
      </c>
      <c r="Y274" s="277" t="s">
        <v>3656</v>
      </c>
      <c r="Z274" s="278">
        <f>ES08C02</f>
        <v>1</v>
      </c>
      <c r="AA274" s="279">
        <v>4</v>
      </c>
      <c r="AB274" s="277" t="s">
        <v>1182</v>
      </c>
      <c r="AC274" s="278">
        <f>ES09A05</f>
        <v>1</v>
      </c>
      <c r="AD274" s="279">
        <v>4</v>
      </c>
      <c r="AE274" s="277" t="s">
        <v>1957</v>
      </c>
      <c r="AF274" s="278">
        <f>ES09B05</f>
        <v>1</v>
      </c>
      <c r="AG274" s="279">
        <v>4</v>
      </c>
      <c r="AH274" s="277" t="s">
        <v>3217</v>
      </c>
      <c r="AI274" s="278">
        <f>ES10B01</f>
        <v>1</v>
      </c>
      <c r="AJ274" s="279">
        <v>4</v>
      </c>
      <c r="AK274" s="277" t="s">
        <v>3224</v>
      </c>
      <c r="AL274" s="278">
        <f>ES10B05</f>
        <v>1</v>
      </c>
      <c r="AM274" s="279">
        <v>4</v>
      </c>
    </row>
    <row r="275" spans="1:39" ht="13.5" customHeight="1" x14ac:dyDescent="0.2">
      <c r="A275" s="273"/>
      <c r="B275" s="2119"/>
      <c r="C275" s="2121"/>
      <c r="D275" s="2121"/>
      <c r="E275" s="2121"/>
      <c r="F275" s="2116"/>
      <c r="G275" s="274" t="s">
        <v>5615</v>
      </c>
      <c r="H275" s="275" t="s">
        <v>6370</v>
      </c>
      <c r="I275" s="276"/>
      <c r="J275" s="277" t="s">
        <v>3354</v>
      </c>
      <c r="K275" s="278">
        <f>ES03B01</f>
        <v>1</v>
      </c>
      <c r="L275" s="279">
        <v>4</v>
      </c>
      <c r="M275" s="277" t="s">
        <v>3356</v>
      </c>
      <c r="N275" s="278">
        <f>ES03B02</f>
        <v>1</v>
      </c>
      <c r="O275" s="279">
        <v>4</v>
      </c>
      <c r="P275" s="277" t="s">
        <v>3252</v>
      </c>
      <c r="Q275" s="278">
        <f>ES03B03</f>
        <v>1</v>
      </c>
      <c r="R275" s="279">
        <v>4</v>
      </c>
      <c r="S275" s="277" t="s">
        <v>5426</v>
      </c>
      <c r="T275" s="278">
        <f>ES07A01</f>
        <v>1</v>
      </c>
      <c r="U275" s="279">
        <v>4</v>
      </c>
      <c r="V275" s="277" t="s">
        <v>5428</v>
      </c>
      <c r="W275" s="278">
        <f>ES07A02</f>
        <v>1</v>
      </c>
      <c r="X275" s="279">
        <v>4</v>
      </c>
      <c r="Y275" s="277" t="s">
        <v>5429</v>
      </c>
      <c r="Z275" s="278">
        <f>ES07A03</f>
        <v>1</v>
      </c>
      <c r="AA275" s="279">
        <v>4</v>
      </c>
      <c r="AB275" s="277" t="s">
        <v>5137</v>
      </c>
      <c r="AC275" s="278">
        <f>ES07A04</f>
        <v>1</v>
      </c>
      <c r="AD275" s="279">
        <v>4</v>
      </c>
      <c r="AE275" s="277" t="s">
        <v>1173</v>
      </c>
      <c r="AF275" s="278">
        <f>ES07A05</f>
        <v>1</v>
      </c>
      <c r="AG275" s="279">
        <v>4</v>
      </c>
      <c r="AH275" s="277" t="s">
        <v>5147</v>
      </c>
      <c r="AI275" s="278">
        <f>ES08F01</f>
        <v>1</v>
      </c>
      <c r="AJ275" s="279">
        <v>4</v>
      </c>
      <c r="AK275" s="277" t="s">
        <v>4299</v>
      </c>
      <c r="AL275" s="278">
        <f>ES08F02</f>
        <v>1</v>
      </c>
      <c r="AM275" s="279">
        <v>4</v>
      </c>
    </row>
    <row r="276" spans="1:39" x14ac:dyDescent="0.2">
      <c r="A276" s="273"/>
      <c r="B276" s="281"/>
      <c r="C276" s="281"/>
      <c r="D276" s="281"/>
      <c r="E276" s="281"/>
      <c r="F276" s="281"/>
      <c r="G276" s="274" t="s">
        <v>5617</v>
      </c>
      <c r="H276" s="275" t="s">
        <v>1934</v>
      </c>
      <c r="I276" s="276"/>
      <c r="J276" s="277" t="s">
        <v>3669</v>
      </c>
      <c r="K276" s="278">
        <f>ES09B04</f>
        <v>1</v>
      </c>
      <c r="L276" s="279">
        <v>3</v>
      </c>
      <c r="M276" s="280" t="s">
        <v>1957</v>
      </c>
      <c r="N276" s="278">
        <f>ES09B05</f>
        <v>1</v>
      </c>
      <c r="O276" s="279">
        <v>3</v>
      </c>
      <c r="P276" s="280"/>
      <c r="Q276" s="278"/>
      <c r="R276" s="279"/>
      <c r="S276" s="277"/>
      <c r="T276" s="278"/>
      <c r="U276" s="279"/>
      <c r="V276" s="277"/>
      <c r="W276" s="278"/>
      <c r="X276" s="279"/>
      <c r="Y276" s="277"/>
      <c r="Z276" s="278"/>
      <c r="AA276" s="279"/>
      <c r="AB276" s="277"/>
      <c r="AC276" s="278"/>
      <c r="AD276" s="279"/>
      <c r="AE276" s="277"/>
      <c r="AF276" s="278"/>
      <c r="AG276" s="279"/>
      <c r="AH276" s="277"/>
      <c r="AI276" s="278"/>
      <c r="AJ276" s="279"/>
      <c r="AK276" s="277"/>
      <c r="AL276" s="278"/>
      <c r="AM276" s="279"/>
    </row>
    <row r="277" spans="1:39" ht="12" customHeight="1" x14ac:dyDescent="0.2">
      <c r="A277" s="273"/>
      <c r="B277" s="1112"/>
      <c r="C277" s="1112"/>
      <c r="D277" s="1112"/>
      <c r="E277" s="1112"/>
      <c r="F277" s="1113"/>
      <c r="G277" s="284" t="s">
        <v>5618</v>
      </c>
      <c r="H277" s="307"/>
      <c r="I277" s="276"/>
      <c r="J277" s="277"/>
      <c r="K277" s="278"/>
      <c r="L277" s="279"/>
      <c r="M277" s="277"/>
      <c r="N277" s="278"/>
      <c r="O277" s="279"/>
      <c r="P277" s="277"/>
      <c r="Q277" s="278"/>
      <c r="R277" s="279"/>
      <c r="S277" s="277"/>
      <c r="T277" s="278"/>
      <c r="U277" s="287"/>
      <c r="V277" s="277"/>
      <c r="W277" s="278"/>
      <c r="X277" s="287"/>
      <c r="Y277" s="277"/>
      <c r="Z277" s="278"/>
      <c r="AA277" s="287"/>
      <c r="AB277" s="277"/>
      <c r="AC277" s="278"/>
      <c r="AD277" s="287"/>
      <c r="AE277" s="277"/>
      <c r="AF277" s="278"/>
      <c r="AG277" s="287"/>
      <c r="AH277" s="277"/>
      <c r="AI277" s="278"/>
      <c r="AJ277" s="287"/>
      <c r="AK277" s="277"/>
      <c r="AL277" s="278"/>
      <c r="AM277" s="287"/>
    </row>
    <row r="278" spans="1:39" ht="12" customHeight="1" x14ac:dyDescent="0.2">
      <c r="A278" s="1374" t="s">
        <v>3733</v>
      </c>
      <c r="B278" s="346" t="s">
        <v>3734</v>
      </c>
      <c r="C278" s="262"/>
      <c r="D278" s="262"/>
      <c r="E278" s="262"/>
      <c r="F278" s="262"/>
      <c r="G278" s="262"/>
      <c r="H278" s="262"/>
      <c r="I278" s="308"/>
      <c r="J278" s="270"/>
      <c r="K278" s="269"/>
      <c r="L278" s="294"/>
      <c r="M278" s="271"/>
      <c r="N278" s="269"/>
      <c r="O278" s="294"/>
      <c r="P278" s="268"/>
      <c r="Q278" s="269"/>
      <c r="R278" s="304"/>
      <c r="S278" s="271"/>
      <c r="T278" s="269"/>
      <c r="U278" s="294"/>
      <c r="V278" s="271"/>
      <c r="W278" s="269"/>
      <c r="X278" s="294"/>
      <c r="Y278" s="271"/>
      <c r="Z278" s="269"/>
      <c r="AA278" s="294"/>
      <c r="AB278" s="271"/>
      <c r="AC278" s="269"/>
      <c r="AD278" s="294"/>
      <c r="AE278" s="271"/>
      <c r="AF278" s="269"/>
      <c r="AG278" s="294"/>
      <c r="AH278" s="271"/>
      <c r="AI278" s="269"/>
      <c r="AJ278" s="294"/>
      <c r="AK278" s="271"/>
      <c r="AL278" s="269"/>
      <c r="AM278" s="294"/>
    </row>
    <row r="279" spans="1:39" ht="12" customHeight="1" x14ac:dyDescent="0.2">
      <c r="A279" s="297"/>
      <c r="B279" s="2117">
        <f>COUNTIF(Scénarios!AH767:AH775,1)</f>
        <v>0</v>
      </c>
      <c r="C279" s="2117">
        <f>COUNTIF(Scénarios!AH767:AH775,2)</f>
        <v>0</v>
      </c>
      <c r="D279" s="2122">
        <f>COUNTIF(Scénarios!AH767:AH775,3)</f>
        <v>0</v>
      </c>
      <c r="E279" s="2123">
        <f>COUNTIF(Scénarios!AH767:AH775,4)</f>
        <v>0</v>
      </c>
      <c r="F279" s="2114">
        <f>SUM(B279:E279)</f>
        <v>0</v>
      </c>
      <c r="G279" s="274" t="s">
        <v>5616</v>
      </c>
      <c r="H279" s="275" t="s">
        <v>6370</v>
      </c>
      <c r="I279" s="276"/>
      <c r="J279" s="277" t="s">
        <v>5021</v>
      </c>
      <c r="K279" s="278">
        <f>ES07C02</f>
        <v>1</v>
      </c>
      <c r="L279" s="279">
        <v>3</v>
      </c>
      <c r="M279" s="277" t="s">
        <v>4325</v>
      </c>
      <c r="N279" s="278">
        <f>ES08A04</f>
        <v>1</v>
      </c>
      <c r="O279" s="279">
        <v>3</v>
      </c>
      <c r="P279" s="277" t="s">
        <v>4299</v>
      </c>
      <c r="Q279" s="278">
        <f>ES08F02</f>
        <v>1</v>
      </c>
      <c r="R279" s="279">
        <v>3</v>
      </c>
      <c r="S279" s="280" t="s">
        <v>4300</v>
      </c>
      <c r="T279" s="278">
        <f>ES08F03</f>
        <v>1</v>
      </c>
      <c r="U279" s="279">
        <v>3</v>
      </c>
      <c r="V279" s="280"/>
      <c r="W279" s="278"/>
      <c r="X279" s="279"/>
      <c r="Y279" s="280"/>
      <c r="Z279" s="278"/>
      <c r="AA279" s="279"/>
      <c r="AB279" s="280"/>
      <c r="AC279" s="278"/>
      <c r="AD279" s="279"/>
      <c r="AE279" s="280"/>
      <c r="AF279" s="278"/>
      <c r="AG279" s="279"/>
      <c r="AH279" s="280"/>
      <c r="AI279" s="278"/>
      <c r="AJ279" s="279"/>
      <c r="AK279" s="280"/>
      <c r="AL279" s="278"/>
      <c r="AM279" s="279"/>
    </row>
    <row r="280" spans="1:39" ht="12.75" customHeight="1" x14ac:dyDescent="0.2">
      <c r="A280" s="273"/>
      <c r="B280" s="2118"/>
      <c r="C280" s="2120"/>
      <c r="D280" s="2120"/>
      <c r="E280" s="2120"/>
      <c r="F280" s="2115"/>
      <c r="G280" s="274" t="s">
        <v>5615</v>
      </c>
      <c r="H280" s="275" t="s">
        <v>1935</v>
      </c>
      <c r="I280" s="276"/>
      <c r="J280" s="277" t="s">
        <v>5426</v>
      </c>
      <c r="K280" s="278">
        <f>ES07A01</f>
        <v>1</v>
      </c>
      <c r="L280" s="279">
        <v>4</v>
      </c>
      <c r="M280" s="277" t="s">
        <v>5428</v>
      </c>
      <c r="N280" s="278">
        <f>ES07A02</f>
        <v>1</v>
      </c>
      <c r="O280" s="279">
        <v>4</v>
      </c>
      <c r="P280" s="277" t="s">
        <v>5429</v>
      </c>
      <c r="Q280" s="278">
        <f>ES07A03</f>
        <v>1</v>
      </c>
      <c r="R280" s="279">
        <v>4</v>
      </c>
      <c r="S280" s="277" t="s">
        <v>5137</v>
      </c>
      <c r="T280" s="278">
        <f>ES07A04</f>
        <v>1</v>
      </c>
      <c r="U280" s="279">
        <v>4</v>
      </c>
      <c r="V280" s="277" t="s">
        <v>4807</v>
      </c>
      <c r="W280" s="278">
        <f>ES08B01</f>
        <v>1</v>
      </c>
      <c r="X280" s="279">
        <v>4</v>
      </c>
      <c r="Y280" s="277" t="s">
        <v>5147</v>
      </c>
      <c r="Z280" s="278">
        <f>ES08F01</f>
        <v>1</v>
      </c>
      <c r="AA280" s="279">
        <v>4</v>
      </c>
      <c r="AB280" s="277" t="s">
        <v>4299</v>
      </c>
      <c r="AC280" s="278">
        <f>ES08F02</f>
        <v>1</v>
      </c>
      <c r="AD280" s="279">
        <v>4</v>
      </c>
      <c r="AE280" s="277"/>
      <c r="AF280" s="278"/>
      <c r="AG280" s="279"/>
      <c r="AH280" s="277"/>
      <c r="AI280" s="278"/>
      <c r="AJ280" s="279"/>
      <c r="AK280" s="277"/>
      <c r="AL280" s="278"/>
      <c r="AM280" s="279"/>
    </row>
    <row r="281" spans="1:39" ht="12.75" customHeight="1" x14ac:dyDescent="0.2">
      <c r="A281" s="273"/>
      <c r="B281" s="2119"/>
      <c r="C281" s="2121"/>
      <c r="D281" s="2121"/>
      <c r="E281" s="2121"/>
      <c r="F281" s="2116"/>
      <c r="G281" s="274" t="s">
        <v>5615</v>
      </c>
      <c r="H281" s="275"/>
      <c r="I281" s="276"/>
      <c r="J281" s="277"/>
      <c r="K281" s="278"/>
      <c r="L281" s="279"/>
      <c r="M281" s="277"/>
      <c r="N281" s="278"/>
      <c r="O281" s="279"/>
      <c r="P281" s="277"/>
      <c r="Q281" s="278"/>
      <c r="R281" s="279"/>
      <c r="S281" s="277"/>
      <c r="T281" s="278"/>
      <c r="U281" s="279"/>
      <c r="V281" s="277"/>
      <c r="W281" s="278"/>
      <c r="X281" s="279"/>
      <c r="Y281" s="277"/>
      <c r="Z281" s="278"/>
      <c r="AA281" s="279"/>
      <c r="AB281" s="277"/>
      <c r="AC281" s="278"/>
      <c r="AD281" s="279"/>
      <c r="AE281" s="277"/>
      <c r="AF281" s="278"/>
      <c r="AG281" s="279"/>
      <c r="AH281" s="277"/>
      <c r="AI281" s="278"/>
      <c r="AJ281" s="279"/>
      <c r="AK281" s="277"/>
      <c r="AL281" s="278"/>
      <c r="AM281" s="279"/>
    </row>
    <row r="282" spans="1:39" ht="12" customHeight="1" x14ac:dyDescent="0.2">
      <c r="A282" s="273"/>
      <c r="B282" s="281"/>
      <c r="C282" s="281"/>
      <c r="D282" s="281"/>
      <c r="E282" s="281"/>
      <c r="F282" s="281"/>
      <c r="G282" s="274" t="s">
        <v>5617</v>
      </c>
      <c r="H282" s="275"/>
      <c r="I282" s="276"/>
      <c r="J282" s="277"/>
      <c r="K282" s="278"/>
      <c r="L282" s="279"/>
      <c r="M282" s="280"/>
      <c r="N282" s="278"/>
      <c r="O282" s="279"/>
      <c r="P282" s="280"/>
      <c r="Q282" s="278"/>
      <c r="R282" s="279"/>
      <c r="S282" s="277"/>
      <c r="T282" s="278"/>
      <c r="U282" s="279"/>
      <c r="V282" s="277"/>
      <c r="W282" s="278"/>
      <c r="X282" s="279"/>
      <c r="Y282" s="277"/>
      <c r="Z282" s="278"/>
      <c r="AA282" s="279"/>
      <c r="AB282" s="277"/>
      <c r="AC282" s="278"/>
      <c r="AD282" s="279"/>
      <c r="AE282" s="277"/>
      <c r="AF282" s="278"/>
      <c r="AG282" s="279"/>
      <c r="AH282" s="277"/>
      <c r="AI282" s="278"/>
      <c r="AJ282" s="279"/>
      <c r="AK282" s="277"/>
      <c r="AL282" s="278"/>
      <c r="AM282" s="279"/>
    </row>
    <row r="283" spans="1:39" ht="12" customHeight="1" x14ac:dyDescent="0.2">
      <c r="A283" s="273"/>
      <c r="B283" s="1112"/>
      <c r="C283" s="1112"/>
      <c r="D283" s="1112"/>
      <c r="E283" s="1112"/>
      <c r="F283" s="1113"/>
      <c r="G283" s="284" t="s">
        <v>5618</v>
      </c>
      <c r="H283" s="307"/>
      <c r="I283" s="276"/>
      <c r="J283" s="277"/>
      <c r="K283" s="278"/>
      <c r="L283" s="279"/>
      <c r="M283" s="277"/>
      <c r="N283" s="278"/>
      <c r="O283" s="279"/>
      <c r="P283" s="277"/>
      <c r="Q283" s="278"/>
      <c r="R283" s="279"/>
      <c r="S283" s="277"/>
      <c r="T283" s="278"/>
      <c r="U283" s="287"/>
      <c r="V283" s="277"/>
      <c r="W283" s="278"/>
      <c r="X283" s="287"/>
      <c r="Y283" s="277"/>
      <c r="Z283" s="278"/>
      <c r="AA283" s="287"/>
      <c r="AB283" s="277"/>
      <c r="AC283" s="278"/>
      <c r="AD283" s="287"/>
      <c r="AE283" s="277"/>
      <c r="AF283" s="278"/>
      <c r="AG283" s="287"/>
      <c r="AH283" s="277"/>
      <c r="AI283" s="278"/>
      <c r="AJ283" s="287"/>
      <c r="AK283" s="277"/>
      <c r="AL283" s="278"/>
      <c r="AM283" s="287"/>
    </row>
    <row r="284" spans="1:39" ht="12" customHeight="1" x14ac:dyDescent="0.2">
      <c r="A284" s="1374" t="s">
        <v>3735</v>
      </c>
      <c r="B284" s="346" t="s">
        <v>3736</v>
      </c>
      <c r="C284" s="262"/>
      <c r="D284" s="262"/>
      <c r="E284" s="262"/>
      <c r="F284" s="262"/>
      <c r="G284" s="262"/>
      <c r="H284" s="262"/>
      <c r="I284" s="308"/>
      <c r="J284" s="270"/>
      <c r="K284" s="269"/>
      <c r="L284" s="294"/>
      <c r="M284" s="271"/>
      <c r="N284" s="269"/>
      <c r="O284" s="294"/>
      <c r="P284" s="268"/>
      <c r="Q284" s="269"/>
      <c r="R284" s="304"/>
      <c r="S284" s="271"/>
      <c r="T284" s="269"/>
      <c r="U284" s="294"/>
      <c r="V284" s="271"/>
      <c r="W284" s="269"/>
      <c r="X284" s="294"/>
      <c r="Y284" s="271"/>
      <c r="Z284" s="269"/>
      <c r="AA284" s="294"/>
      <c r="AB284" s="271"/>
      <c r="AC284" s="269"/>
      <c r="AD284" s="294"/>
      <c r="AE284" s="271"/>
      <c r="AF284" s="269"/>
      <c r="AG284" s="294"/>
      <c r="AH284" s="271"/>
      <c r="AI284" s="269"/>
      <c r="AJ284" s="294"/>
      <c r="AK284" s="271"/>
      <c r="AL284" s="269"/>
      <c r="AM284" s="294"/>
    </row>
    <row r="285" spans="1:39" ht="12" customHeight="1" x14ac:dyDescent="0.2">
      <c r="A285" s="297"/>
      <c r="B285" s="2117">
        <f>COUNTIF(Scénarios!AH777:AH785,1)</f>
        <v>0</v>
      </c>
      <c r="C285" s="2117">
        <f>COUNTIF(Scénarios!AH777:AH785,2)</f>
        <v>0</v>
      </c>
      <c r="D285" s="2122">
        <f>COUNTIF(Scénarios!AH777:AH785,3)</f>
        <v>0</v>
      </c>
      <c r="E285" s="2123">
        <f>COUNTIF(Scénarios!AH777:AH785,4)</f>
        <v>0</v>
      </c>
      <c r="F285" s="2114">
        <f>SUM(B285:E285)</f>
        <v>0</v>
      </c>
      <c r="G285" s="274" t="s">
        <v>5616</v>
      </c>
      <c r="H285" s="275" t="s">
        <v>6370</v>
      </c>
      <c r="I285" s="276"/>
      <c r="J285" s="277" t="s">
        <v>5021</v>
      </c>
      <c r="K285" s="278">
        <f>ES07C02</f>
        <v>1</v>
      </c>
      <c r="L285" s="279">
        <v>3</v>
      </c>
      <c r="M285" s="277" t="s">
        <v>4325</v>
      </c>
      <c r="N285" s="278">
        <f>ES08A04</f>
        <v>1</v>
      </c>
      <c r="O285" s="279">
        <v>3</v>
      </c>
      <c r="P285" s="277" t="s">
        <v>4299</v>
      </c>
      <c r="Q285" s="278">
        <f>ES08F02</f>
        <v>1</v>
      </c>
      <c r="R285" s="279">
        <v>3</v>
      </c>
      <c r="S285" s="280" t="s">
        <v>4300</v>
      </c>
      <c r="T285" s="278">
        <f>ES08F03</f>
        <v>1</v>
      </c>
      <c r="U285" s="279">
        <v>3</v>
      </c>
      <c r="V285" s="280"/>
      <c r="W285" s="278"/>
      <c r="X285" s="279"/>
      <c r="Y285" s="280"/>
      <c r="Z285" s="278"/>
      <c r="AA285" s="279"/>
      <c r="AB285" s="280"/>
      <c r="AC285" s="278"/>
      <c r="AD285" s="279"/>
      <c r="AE285" s="280"/>
      <c r="AF285" s="278"/>
      <c r="AG285" s="279"/>
      <c r="AH285" s="280"/>
      <c r="AI285" s="278"/>
      <c r="AJ285" s="279"/>
      <c r="AK285" s="280"/>
      <c r="AL285" s="278"/>
      <c r="AM285" s="279"/>
    </row>
    <row r="286" spans="1:39" ht="12" customHeight="1" x14ac:dyDescent="0.2">
      <c r="A286" s="273"/>
      <c r="B286" s="2118"/>
      <c r="C286" s="2120"/>
      <c r="D286" s="2120"/>
      <c r="E286" s="2120"/>
      <c r="F286" s="2115"/>
      <c r="G286" s="274" t="s">
        <v>5615</v>
      </c>
      <c r="H286" s="275" t="s">
        <v>1935</v>
      </c>
      <c r="I286" s="276"/>
      <c r="J286" s="277" t="s">
        <v>5426</v>
      </c>
      <c r="K286" s="278">
        <f>ES07A01</f>
        <v>1</v>
      </c>
      <c r="L286" s="279">
        <v>4</v>
      </c>
      <c r="M286" s="277" t="s">
        <v>5428</v>
      </c>
      <c r="N286" s="278">
        <f>ES07A02</f>
        <v>1</v>
      </c>
      <c r="O286" s="279">
        <v>4</v>
      </c>
      <c r="P286" s="277" t="s">
        <v>5429</v>
      </c>
      <c r="Q286" s="278">
        <f>ES07A03</f>
        <v>1</v>
      </c>
      <c r="R286" s="279">
        <v>4</v>
      </c>
      <c r="S286" s="277" t="s">
        <v>5137</v>
      </c>
      <c r="T286" s="278">
        <f>ES07A04</f>
        <v>1</v>
      </c>
      <c r="U286" s="279">
        <v>4</v>
      </c>
      <c r="V286" s="277" t="s">
        <v>4807</v>
      </c>
      <c r="W286" s="278">
        <f>ES08B01</f>
        <v>1</v>
      </c>
      <c r="X286" s="279">
        <v>4</v>
      </c>
      <c r="Y286" s="277" t="s">
        <v>5147</v>
      </c>
      <c r="Z286" s="278">
        <f>ES08F01</f>
        <v>1</v>
      </c>
      <c r="AA286" s="279">
        <v>4</v>
      </c>
      <c r="AB286" s="277" t="s">
        <v>4299</v>
      </c>
      <c r="AC286" s="278">
        <f>ES08F02</f>
        <v>1</v>
      </c>
      <c r="AD286" s="279">
        <v>4</v>
      </c>
      <c r="AE286" s="277"/>
      <c r="AF286" s="278"/>
      <c r="AG286" s="279"/>
      <c r="AH286" s="277"/>
      <c r="AI286" s="278"/>
      <c r="AJ286" s="279"/>
      <c r="AK286" s="277"/>
      <c r="AL286" s="278"/>
      <c r="AM286" s="279"/>
    </row>
    <row r="287" spans="1:39" ht="12.75" customHeight="1" x14ac:dyDescent="0.2">
      <c r="A287" s="273"/>
      <c r="B287" s="2119"/>
      <c r="C287" s="2121"/>
      <c r="D287" s="2121"/>
      <c r="E287" s="2121"/>
      <c r="F287" s="2116"/>
      <c r="G287" s="274" t="s">
        <v>5617</v>
      </c>
      <c r="H287" s="275"/>
      <c r="I287" s="276"/>
      <c r="J287" s="277"/>
      <c r="K287" s="278"/>
      <c r="L287" s="279"/>
      <c r="M287" s="280"/>
      <c r="N287" s="278"/>
      <c r="O287" s="279"/>
      <c r="P287" s="280"/>
      <c r="Q287" s="278"/>
      <c r="R287" s="279"/>
      <c r="S287" s="277"/>
      <c r="T287" s="278"/>
      <c r="U287" s="279"/>
      <c r="V287" s="277"/>
      <c r="W287" s="278"/>
      <c r="X287" s="279"/>
      <c r="Y287" s="277"/>
      <c r="Z287" s="278"/>
      <c r="AA287" s="279"/>
      <c r="AB287" s="277"/>
      <c r="AC287" s="278"/>
      <c r="AD287" s="279"/>
      <c r="AE287" s="277"/>
      <c r="AF287" s="278"/>
      <c r="AG287" s="279"/>
      <c r="AH287" s="277"/>
      <c r="AI287" s="278"/>
      <c r="AJ287" s="279"/>
      <c r="AK287" s="277"/>
      <c r="AL287" s="278"/>
      <c r="AM287" s="279"/>
    </row>
    <row r="288" spans="1:39" x14ac:dyDescent="0.2">
      <c r="A288" s="273"/>
      <c r="B288" s="306"/>
      <c r="C288" s="306"/>
      <c r="D288" s="306"/>
      <c r="E288" s="306"/>
      <c r="F288" s="306"/>
      <c r="G288" s="284" t="s">
        <v>5618</v>
      </c>
      <c r="H288" s="307"/>
      <c r="I288" s="276"/>
      <c r="J288" s="277"/>
      <c r="K288" s="278"/>
      <c r="L288" s="279"/>
      <c r="M288" s="277"/>
      <c r="N288" s="278"/>
      <c r="O288" s="279"/>
      <c r="P288" s="277"/>
      <c r="Q288" s="278"/>
      <c r="R288" s="279"/>
      <c r="S288" s="277"/>
      <c r="T288" s="278"/>
      <c r="U288" s="287"/>
      <c r="V288" s="277"/>
      <c r="W288" s="278"/>
      <c r="X288" s="287"/>
      <c r="Y288" s="277"/>
      <c r="Z288" s="278"/>
      <c r="AA288" s="287"/>
      <c r="AB288" s="277"/>
      <c r="AC288" s="278"/>
      <c r="AD288" s="287"/>
      <c r="AE288" s="277"/>
      <c r="AF288" s="278"/>
      <c r="AG288" s="287"/>
      <c r="AH288" s="277"/>
      <c r="AI288" s="278"/>
      <c r="AJ288" s="287"/>
      <c r="AK288" s="277"/>
      <c r="AL288" s="278"/>
      <c r="AM288" s="287"/>
    </row>
    <row r="289" spans="1:39" ht="12" customHeight="1" x14ac:dyDescent="0.2">
      <c r="A289" s="1374" t="s">
        <v>3737</v>
      </c>
      <c r="B289" s="346" t="s">
        <v>3641</v>
      </c>
      <c r="C289" s="262"/>
      <c r="D289" s="262"/>
      <c r="E289" s="262"/>
      <c r="F289" s="262"/>
      <c r="G289" s="262"/>
      <c r="H289" s="262"/>
      <c r="I289" s="308"/>
      <c r="J289" s="270"/>
      <c r="K289" s="269"/>
      <c r="L289" s="294"/>
      <c r="M289" s="271"/>
      <c r="N289" s="269"/>
      <c r="O289" s="294"/>
      <c r="P289" s="268"/>
      <c r="Q289" s="269"/>
      <c r="R289" s="304"/>
      <c r="S289" s="271"/>
      <c r="T289" s="269"/>
      <c r="U289" s="294"/>
      <c r="V289" s="271"/>
      <c r="W289" s="269"/>
      <c r="X289" s="294"/>
      <c r="Y289" s="271"/>
      <c r="Z289" s="269"/>
      <c r="AA289" s="294"/>
      <c r="AB289" s="271"/>
      <c r="AC289" s="269"/>
      <c r="AD289" s="294"/>
      <c r="AE289" s="271"/>
      <c r="AF289" s="269"/>
      <c r="AG289" s="294"/>
      <c r="AH289" s="271"/>
      <c r="AI289" s="269"/>
      <c r="AJ289" s="294"/>
      <c r="AK289" s="271"/>
      <c r="AL289" s="269"/>
      <c r="AM289" s="294"/>
    </row>
    <row r="290" spans="1:39" ht="12" customHeight="1" x14ac:dyDescent="0.2">
      <c r="A290" s="297"/>
      <c r="B290" s="2117">
        <f>COUNTIF(Scénarios!AH787:AH804,1)</f>
        <v>0</v>
      </c>
      <c r="C290" s="2117">
        <f>COUNTIF(Scénarios!AH787:AH804,2)</f>
        <v>0</v>
      </c>
      <c r="D290" s="2122">
        <f>COUNTIF(Scénarios!AH787:AH804,3)</f>
        <v>0</v>
      </c>
      <c r="E290" s="2123">
        <f>COUNTIF(Scénarios!AH787:AH804,4)</f>
        <v>0</v>
      </c>
      <c r="F290" s="2114">
        <f>SUM(B290:E290)</f>
        <v>0</v>
      </c>
      <c r="G290" s="274" t="s">
        <v>5616</v>
      </c>
      <c r="H290" s="275" t="s">
        <v>1934</v>
      </c>
      <c r="I290" s="276"/>
      <c r="J290" s="277" t="s">
        <v>3254</v>
      </c>
      <c r="K290" s="278">
        <f>ES03B04</f>
        <v>1</v>
      </c>
      <c r="L290" s="279">
        <v>3</v>
      </c>
      <c r="M290" s="277" t="s">
        <v>3360</v>
      </c>
      <c r="N290" s="278">
        <f>ES03B05</f>
        <v>1</v>
      </c>
      <c r="O290" s="279">
        <v>3</v>
      </c>
      <c r="P290" s="277" t="s">
        <v>1665</v>
      </c>
      <c r="Q290" s="278">
        <f>ES03B06</f>
        <v>1</v>
      </c>
      <c r="R290" s="279">
        <v>3</v>
      </c>
      <c r="S290" s="280" t="s">
        <v>5021</v>
      </c>
      <c r="T290" s="278">
        <f>ES07C02</f>
        <v>1</v>
      </c>
      <c r="U290" s="279">
        <v>3</v>
      </c>
      <c r="V290" s="280" t="s">
        <v>4300</v>
      </c>
      <c r="W290" s="278">
        <f>ES08F03</f>
        <v>1</v>
      </c>
      <c r="X290" s="279">
        <v>3</v>
      </c>
      <c r="Y290" s="280" t="s">
        <v>3217</v>
      </c>
      <c r="Z290" s="278">
        <f>ES10B01</f>
        <v>1</v>
      </c>
      <c r="AA290" s="279">
        <v>3</v>
      </c>
      <c r="AB290" s="280" t="s">
        <v>3224</v>
      </c>
      <c r="AC290" s="278">
        <f>ES10B05</f>
        <v>1</v>
      </c>
      <c r="AD290" s="279">
        <v>3</v>
      </c>
      <c r="AE290" s="280"/>
      <c r="AF290" s="278"/>
      <c r="AG290" s="279"/>
      <c r="AH290" s="280"/>
      <c r="AI290" s="278"/>
      <c r="AJ290" s="279"/>
      <c r="AK290" s="280"/>
      <c r="AL290" s="278"/>
      <c r="AM290" s="279"/>
    </row>
    <row r="291" spans="1:39" ht="13.5" customHeight="1" x14ac:dyDescent="0.2">
      <c r="A291" s="273"/>
      <c r="B291" s="2118"/>
      <c r="C291" s="2120"/>
      <c r="D291" s="2120"/>
      <c r="E291" s="2120"/>
      <c r="F291" s="2115"/>
      <c r="G291" s="274" t="s">
        <v>5615</v>
      </c>
      <c r="H291" s="285" t="s">
        <v>6369</v>
      </c>
      <c r="I291" s="276"/>
      <c r="J291" s="277" t="s">
        <v>4324</v>
      </c>
      <c r="K291" s="278">
        <f>ES08A03</f>
        <v>1</v>
      </c>
      <c r="L291" s="279">
        <v>4</v>
      </c>
      <c r="M291" s="277" t="s">
        <v>4325</v>
      </c>
      <c r="N291" s="278">
        <f>ES08A04</f>
        <v>1</v>
      </c>
      <c r="O291" s="279">
        <v>4</v>
      </c>
      <c r="P291" s="277" t="s">
        <v>4807</v>
      </c>
      <c r="Q291" s="278">
        <f>ES08B01</f>
        <v>1</v>
      </c>
      <c r="R291" s="279">
        <v>4</v>
      </c>
      <c r="S291" s="277" t="s">
        <v>1767</v>
      </c>
      <c r="T291" s="278">
        <f>ES08B02</f>
        <v>1</v>
      </c>
      <c r="U291" s="279">
        <v>4</v>
      </c>
      <c r="V291" s="277" t="s">
        <v>1769</v>
      </c>
      <c r="W291" s="278">
        <f>ES08B03</f>
        <v>1</v>
      </c>
      <c r="X291" s="279">
        <v>4</v>
      </c>
      <c r="Y291" s="277" t="s">
        <v>3656</v>
      </c>
      <c r="Z291" s="278">
        <f>ES08C02</f>
        <v>1</v>
      </c>
      <c r="AA291" s="279">
        <v>4</v>
      </c>
      <c r="AB291" s="277" t="s">
        <v>1182</v>
      </c>
      <c r="AC291" s="278">
        <f>ES09A05</f>
        <v>1</v>
      </c>
      <c r="AD291" s="279">
        <v>4</v>
      </c>
      <c r="AE291" s="277" t="s">
        <v>1957</v>
      </c>
      <c r="AF291" s="278">
        <f>ES09B05</f>
        <v>1</v>
      </c>
      <c r="AG291" s="279">
        <v>4</v>
      </c>
      <c r="AH291" s="277" t="s">
        <v>3217</v>
      </c>
      <c r="AI291" s="278">
        <f>ES10B01</f>
        <v>1</v>
      </c>
      <c r="AJ291" s="279">
        <v>4</v>
      </c>
      <c r="AK291" s="277" t="s">
        <v>3224</v>
      </c>
      <c r="AL291" s="278">
        <f>ES10B05</f>
        <v>1</v>
      </c>
      <c r="AM291" s="279">
        <v>4</v>
      </c>
    </row>
    <row r="292" spans="1:39" ht="12" customHeight="1" x14ac:dyDescent="0.2">
      <c r="A292" s="273"/>
      <c r="B292" s="2119"/>
      <c r="C292" s="2121"/>
      <c r="D292" s="2121"/>
      <c r="E292" s="2121"/>
      <c r="F292" s="2116"/>
      <c r="G292" s="274" t="s">
        <v>5615</v>
      </c>
      <c r="H292" s="275" t="s">
        <v>6370</v>
      </c>
      <c r="I292" s="276"/>
      <c r="J292" s="277" t="s">
        <v>3354</v>
      </c>
      <c r="K292" s="278">
        <f>ES03B01</f>
        <v>1</v>
      </c>
      <c r="L292" s="279">
        <v>4</v>
      </c>
      <c r="M292" s="277" t="s">
        <v>3356</v>
      </c>
      <c r="N292" s="278">
        <f>ES03B02</f>
        <v>1</v>
      </c>
      <c r="O292" s="279">
        <v>4</v>
      </c>
      <c r="P292" s="277" t="s">
        <v>3252</v>
      </c>
      <c r="Q292" s="278">
        <f>ES03B03</f>
        <v>1</v>
      </c>
      <c r="R292" s="279">
        <v>4</v>
      </c>
      <c r="S292" s="277" t="s">
        <v>5426</v>
      </c>
      <c r="T292" s="278">
        <f>ES07A01</f>
        <v>1</v>
      </c>
      <c r="U292" s="279">
        <v>4</v>
      </c>
      <c r="V292" s="277" t="s">
        <v>5428</v>
      </c>
      <c r="W292" s="278">
        <f>ES07A02</f>
        <v>1</v>
      </c>
      <c r="X292" s="279">
        <v>4</v>
      </c>
      <c r="Y292" s="277" t="s">
        <v>5429</v>
      </c>
      <c r="Z292" s="278">
        <f>ES07A03</f>
        <v>1</v>
      </c>
      <c r="AA292" s="279">
        <v>4</v>
      </c>
      <c r="AB292" s="277" t="s">
        <v>5137</v>
      </c>
      <c r="AC292" s="278">
        <f>ES07A04</f>
        <v>1</v>
      </c>
      <c r="AD292" s="279">
        <v>4</v>
      </c>
      <c r="AE292" s="277" t="s">
        <v>1173</v>
      </c>
      <c r="AF292" s="278">
        <f>ES07A05</f>
        <v>1</v>
      </c>
      <c r="AG292" s="279">
        <v>4</v>
      </c>
      <c r="AH292" s="277" t="s">
        <v>5147</v>
      </c>
      <c r="AI292" s="278">
        <f>ES08F01</f>
        <v>1</v>
      </c>
      <c r="AJ292" s="279">
        <v>4</v>
      </c>
      <c r="AK292" s="277" t="s">
        <v>4299</v>
      </c>
      <c r="AL292" s="278">
        <f>ES08F02</f>
        <v>1</v>
      </c>
      <c r="AM292" s="279">
        <v>4</v>
      </c>
    </row>
    <row r="293" spans="1:39" ht="12.75" customHeight="1" x14ac:dyDescent="0.2">
      <c r="A293" s="273"/>
      <c r="B293" s="281"/>
      <c r="C293" s="281"/>
      <c r="D293" s="281"/>
      <c r="E293" s="281"/>
      <c r="F293" s="281"/>
      <c r="G293" s="274" t="s">
        <v>5617</v>
      </c>
      <c r="H293" s="275" t="s">
        <v>1934</v>
      </c>
      <c r="I293" s="276"/>
      <c r="J293" s="277" t="s">
        <v>3669</v>
      </c>
      <c r="K293" s="278">
        <f>ES09B04</f>
        <v>1</v>
      </c>
      <c r="L293" s="279">
        <v>3</v>
      </c>
      <c r="M293" s="280" t="s">
        <v>1957</v>
      </c>
      <c r="N293" s="278">
        <f>ES09B05</f>
        <v>1</v>
      </c>
      <c r="O293" s="279">
        <v>3</v>
      </c>
      <c r="P293" s="280"/>
      <c r="Q293" s="278"/>
      <c r="R293" s="279"/>
      <c r="S293" s="277"/>
      <c r="T293" s="278"/>
      <c r="U293" s="279"/>
      <c r="V293" s="277"/>
      <c r="W293" s="278"/>
      <c r="X293" s="279"/>
      <c r="Y293" s="277"/>
      <c r="Z293" s="278"/>
      <c r="AA293" s="279"/>
      <c r="AB293" s="277"/>
      <c r="AC293" s="278"/>
      <c r="AD293" s="279"/>
      <c r="AE293" s="277"/>
      <c r="AF293" s="278"/>
      <c r="AG293" s="279"/>
      <c r="AH293" s="277"/>
      <c r="AI293" s="278"/>
      <c r="AJ293" s="279"/>
      <c r="AK293" s="277"/>
      <c r="AL293" s="278"/>
      <c r="AM293" s="279"/>
    </row>
    <row r="294" spans="1:39" ht="12" customHeight="1" x14ac:dyDescent="0.2">
      <c r="A294" s="273"/>
      <c r="B294" s="1112"/>
      <c r="C294" s="1112"/>
      <c r="D294" s="1112"/>
      <c r="E294" s="1112"/>
      <c r="F294" s="1113"/>
      <c r="G294" s="284" t="s">
        <v>5618</v>
      </c>
      <c r="H294" s="307"/>
      <c r="I294" s="276"/>
      <c r="J294" s="277"/>
      <c r="K294" s="278"/>
      <c r="L294" s="279"/>
      <c r="M294" s="277"/>
      <c r="N294" s="278"/>
      <c r="O294" s="279"/>
      <c r="P294" s="277"/>
      <c r="Q294" s="278"/>
      <c r="R294" s="279"/>
      <c r="S294" s="277"/>
      <c r="T294" s="278"/>
      <c r="U294" s="287"/>
      <c r="V294" s="277"/>
      <c r="W294" s="278"/>
      <c r="X294" s="287"/>
      <c r="Y294" s="277"/>
      <c r="Z294" s="278"/>
      <c r="AA294" s="287"/>
      <c r="AB294" s="277"/>
      <c r="AC294" s="278"/>
      <c r="AD294" s="287"/>
      <c r="AE294" s="277"/>
      <c r="AF294" s="278"/>
      <c r="AG294" s="287"/>
      <c r="AH294" s="277"/>
      <c r="AI294" s="278"/>
      <c r="AJ294" s="287"/>
      <c r="AK294" s="277"/>
      <c r="AL294" s="278"/>
      <c r="AM294" s="287"/>
    </row>
    <row r="295" spans="1:39" ht="12" customHeight="1" x14ac:dyDescent="0.2">
      <c r="A295" s="1374" t="s">
        <v>3642</v>
      </c>
      <c r="B295" s="346" t="s">
        <v>3690</v>
      </c>
      <c r="C295" s="262"/>
      <c r="D295" s="262"/>
      <c r="E295" s="262"/>
      <c r="F295" s="262"/>
      <c r="G295" s="262"/>
      <c r="H295" s="262"/>
      <c r="I295" s="308"/>
      <c r="J295" s="270"/>
      <c r="K295" s="269"/>
      <c r="L295" s="294"/>
      <c r="M295" s="271"/>
      <c r="N295" s="269"/>
      <c r="O295" s="294"/>
      <c r="P295" s="268"/>
      <c r="Q295" s="269"/>
      <c r="R295" s="304"/>
      <c r="S295" s="271"/>
      <c r="T295" s="269"/>
      <c r="U295" s="294"/>
      <c r="V295" s="271"/>
      <c r="W295" s="269"/>
      <c r="X295" s="294"/>
      <c r="Y295" s="271"/>
      <c r="Z295" s="269"/>
      <c r="AA295" s="294"/>
      <c r="AB295" s="271"/>
      <c r="AC295" s="269"/>
      <c r="AD295" s="294"/>
      <c r="AE295" s="271"/>
      <c r="AF295" s="269"/>
      <c r="AG295" s="294"/>
      <c r="AH295" s="271"/>
      <c r="AI295" s="269"/>
      <c r="AJ295" s="294"/>
      <c r="AK295" s="271"/>
      <c r="AL295" s="269"/>
      <c r="AM295" s="294"/>
    </row>
    <row r="296" spans="1:39" ht="12" customHeight="1" x14ac:dyDescent="0.2">
      <c r="A296" s="297"/>
      <c r="B296" s="2117">
        <f>COUNTIF(Scénarios!AH806:AH821,1)</f>
        <v>0</v>
      </c>
      <c r="C296" s="2117">
        <f>COUNTIF(Scénarios!AH806:AH821,2)</f>
        <v>0</v>
      </c>
      <c r="D296" s="2122">
        <f>COUNTIF(Scénarios!AH806:AH821,3)</f>
        <v>0</v>
      </c>
      <c r="E296" s="2123">
        <f>COUNTIF(Scénarios!AH806:AH821,4)</f>
        <v>0</v>
      </c>
      <c r="F296" s="2114">
        <f>SUM(B296:E296)</f>
        <v>0</v>
      </c>
      <c r="G296" s="274" t="s">
        <v>5616</v>
      </c>
      <c r="H296" s="275" t="s">
        <v>6370</v>
      </c>
      <c r="I296" s="276"/>
      <c r="J296" s="277" t="s">
        <v>1665</v>
      </c>
      <c r="K296" s="278">
        <f>ES03B06</f>
        <v>1</v>
      </c>
      <c r="L296" s="279">
        <v>3</v>
      </c>
      <c r="M296" s="280" t="s">
        <v>63</v>
      </c>
      <c r="N296" s="278">
        <f>ES08C03</f>
        <v>1</v>
      </c>
      <c r="O296" s="279">
        <v>3</v>
      </c>
      <c r="P296" s="280" t="s">
        <v>2057</v>
      </c>
      <c r="Q296" s="278">
        <f>ES08C04</f>
        <v>1</v>
      </c>
      <c r="R296" s="279">
        <v>3</v>
      </c>
      <c r="S296" s="280"/>
      <c r="T296" s="278"/>
      <c r="U296" s="279"/>
      <c r="V296" s="280"/>
      <c r="W296" s="278"/>
      <c r="X296" s="279"/>
      <c r="Y296" s="280"/>
      <c r="Z296" s="278"/>
      <c r="AA296" s="279"/>
      <c r="AB296" s="280"/>
      <c r="AC296" s="278"/>
      <c r="AD296" s="279"/>
      <c r="AE296" s="280"/>
      <c r="AF296" s="278"/>
      <c r="AG296" s="279"/>
      <c r="AH296" s="280"/>
      <c r="AI296" s="278"/>
      <c r="AJ296" s="279"/>
      <c r="AK296" s="280"/>
      <c r="AL296" s="278"/>
      <c r="AM296" s="279"/>
    </row>
    <row r="297" spans="1:39" ht="12" customHeight="1" x14ac:dyDescent="0.2">
      <c r="A297" s="273"/>
      <c r="B297" s="2118"/>
      <c r="C297" s="2120"/>
      <c r="D297" s="2120"/>
      <c r="E297" s="2120"/>
      <c r="F297" s="2115"/>
      <c r="G297" s="274" t="s">
        <v>5615</v>
      </c>
      <c r="H297" s="285" t="s">
        <v>6369</v>
      </c>
      <c r="I297" s="276"/>
      <c r="J297" s="277" t="s">
        <v>3219</v>
      </c>
      <c r="K297" s="278">
        <f>ES10B02</f>
        <v>1</v>
      </c>
      <c r="L297" s="279">
        <v>4</v>
      </c>
      <c r="M297" s="277"/>
      <c r="N297" s="278"/>
      <c r="O297" s="279"/>
      <c r="P297" s="277"/>
      <c r="Q297" s="278"/>
      <c r="R297" s="279"/>
      <c r="S297" s="277"/>
      <c r="T297" s="278"/>
      <c r="U297" s="279"/>
      <c r="V297" s="277"/>
      <c r="W297" s="278"/>
      <c r="X297" s="279"/>
      <c r="Y297" s="277"/>
      <c r="Z297" s="278"/>
      <c r="AA297" s="279"/>
      <c r="AB297" s="277"/>
      <c r="AC297" s="278"/>
      <c r="AD297" s="279"/>
      <c r="AE297" s="277"/>
      <c r="AF297" s="278"/>
      <c r="AG297" s="279"/>
      <c r="AH297" s="277"/>
      <c r="AI297" s="278"/>
      <c r="AJ297" s="279"/>
      <c r="AK297" s="277"/>
      <c r="AL297" s="278"/>
      <c r="AM297" s="279"/>
    </row>
    <row r="298" spans="1:39" x14ac:dyDescent="0.2">
      <c r="A298" s="273"/>
      <c r="B298" s="2119"/>
      <c r="C298" s="2121"/>
      <c r="D298" s="2121"/>
      <c r="E298" s="2121"/>
      <c r="F298" s="2116"/>
      <c r="G298" s="274" t="s">
        <v>5615</v>
      </c>
      <c r="H298" s="275" t="s">
        <v>998</v>
      </c>
      <c r="I298" s="276"/>
      <c r="J298" s="277" t="s">
        <v>5426</v>
      </c>
      <c r="K298" s="278">
        <f>ES07A01</f>
        <v>1</v>
      </c>
      <c r="L298" s="279">
        <v>4</v>
      </c>
      <c r="M298" s="277" t="s">
        <v>5428</v>
      </c>
      <c r="N298" s="278">
        <f>ES07A02</f>
        <v>1</v>
      </c>
      <c r="O298" s="279">
        <v>4</v>
      </c>
      <c r="P298" s="277" t="s">
        <v>5429</v>
      </c>
      <c r="Q298" s="278">
        <f>ES07A03</f>
        <v>1</v>
      </c>
      <c r="R298" s="279">
        <v>4</v>
      </c>
      <c r="S298" s="277" t="s">
        <v>5137</v>
      </c>
      <c r="T298" s="278">
        <f>ES07A04</f>
        <v>1</v>
      </c>
      <c r="U298" s="279">
        <v>4</v>
      </c>
      <c r="V298" s="277" t="s">
        <v>3657</v>
      </c>
      <c r="W298" s="278">
        <f>ES09A01</f>
        <v>1</v>
      </c>
      <c r="X298" s="279">
        <v>4</v>
      </c>
      <c r="Y298" s="277" t="s">
        <v>3659</v>
      </c>
      <c r="Z298" s="278">
        <f>ES09A02</f>
        <v>1</v>
      </c>
      <c r="AA298" s="279">
        <v>4</v>
      </c>
      <c r="AB298" s="277"/>
      <c r="AC298" s="278"/>
      <c r="AD298" s="279"/>
      <c r="AE298" s="277"/>
      <c r="AF298" s="278"/>
      <c r="AG298" s="279"/>
      <c r="AH298" s="277"/>
      <c r="AI298" s="278"/>
      <c r="AJ298" s="279"/>
      <c r="AK298" s="277"/>
      <c r="AL298" s="278"/>
      <c r="AM298" s="279"/>
    </row>
    <row r="299" spans="1:39" ht="10.5" customHeight="1" x14ac:dyDescent="0.2">
      <c r="A299" s="273"/>
      <c r="B299" s="306"/>
      <c r="C299" s="306"/>
      <c r="D299" s="306"/>
      <c r="E299" s="306"/>
      <c r="F299" s="306"/>
      <c r="G299" s="284" t="s">
        <v>5618</v>
      </c>
      <c r="H299" s="307"/>
      <c r="I299" s="276"/>
      <c r="J299" s="277"/>
      <c r="K299" s="278"/>
      <c r="L299" s="279"/>
      <c r="M299" s="277"/>
      <c r="N299" s="278"/>
      <c r="O299" s="279"/>
      <c r="P299" s="277"/>
      <c r="Q299" s="278"/>
      <c r="R299" s="279"/>
      <c r="S299" s="277"/>
      <c r="T299" s="278"/>
      <c r="U299" s="287"/>
      <c r="V299" s="277"/>
      <c r="W299" s="278"/>
      <c r="X299" s="287"/>
      <c r="Y299" s="277"/>
      <c r="Z299" s="278"/>
      <c r="AA299" s="287"/>
      <c r="AB299" s="277"/>
      <c r="AC299" s="278"/>
      <c r="AD299" s="287"/>
      <c r="AE299" s="277"/>
      <c r="AF299" s="278"/>
      <c r="AG299" s="287"/>
      <c r="AH299" s="277"/>
      <c r="AI299" s="278"/>
      <c r="AJ299" s="287"/>
      <c r="AK299" s="277"/>
      <c r="AL299" s="278"/>
      <c r="AM299" s="287"/>
    </row>
    <row r="300" spans="1:39" ht="12" customHeight="1" x14ac:dyDescent="0.2">
      <c r="A300" s="1374" t="s">
        <v>4335</v>
      </c>
      <c r="B300" s="346" t="s">
        <v>3061</v>
      </c>
      <c r="C300" s="262"/>
      <c r="D300" s="262"/>
      <c r="E300" s="262"/>
      <c r="F300" s="262"/>
      <c r="G300" s="262"/>
      <c r="H300" s="262"/>
      <c r="I300" s="308"/>
      <c r="J300" s="270"/>
      <c r="K300" s="269"/>
      <c r="L300" s="294"/>
      <c r="M300" s="271"/>
      <c r="N300" s="269"/>
      <c r="O300" s="294"/>
      <c r="P300" s="268"/>
      <c r="Q300" s="269"/>
      <c r="R300" s="304"/>
      <c r="S300" s="271"/>
      <c r="T300" s="269"/>
      <c r="U300" s="294"/>
      <c r="V300" s="271"/>
      <c r="W300" s="269"/>
      <c r="X300" s="294"/>
      <c r="Y300" s="271"/>
      <c r="Z300" s="269"/>
      <c r="AA300" s="294"/>
      <c r="AB300" s="271"/>
      <c r="AC300" s="269"/>
      <c r="AD300" s="294"/>
      <c r="AE300" s="271"/>
      <c r="AF300" s="269"/>
      <c r="AG300" s="294"/>
      <c r="AH300" s="271"/>
      <c r="AI300" s="269"/>
      <c r="AJ300" s="294"/>
      <c r="AK300" s="271"/>
      <c r="AL300" s="269"/>
      <c r="AM300" s="294"/>
    </row>
    <row r="301" spans="1:39" ht="12.75" customHeight="1" x14ac:dyDescent="0.2">
      <c r="A301" s="297"/>
      <c r="B301" s="2117">
        <f>COUNTIF(Scénarios!AH823:AH826,1)</f>
        <v>0</v>
      </c>
      <c r="C301" s="2117">
        <f>COUNTIF(Scénarios!AH823:AH826,2)</f>
        <v>0</v>
      </c>
      <c r="D301" s="2122">
        <f>COUNTIF(Scénarios!AH823:AH826,3)</f>
        <v>0</v>
      </c>
      <c r="E301" s="2123">
        <f>COUNTIF(Scénarios!AH823:AH826,4)</f>
        <v>0</v>
      </c>
      <c r="F301" s="2114">
        <f>SUM(B301:E301)</f>
        <v>0</v>
      </c>
      <c r="G301" s="274" t="s">
        <v>5616</v>
      </c>
      <c r="H301" s="275" t="s">
        <v>6370</v>
      </c>
      <c r="I301" s="276"/>
      <c r="J301" s="277" t="s">
        <v>5408</v>
      </c>
      <c r="K301" s="278">
        <f>ES13A04</f>
        <v>1</v>
      </c>
      <c r="L301" s="279">
        <v>4</v>
      </c>
      <c r="M301" s="280"/>
      <c r="N301" s="278"/>
      <c r="O301" s="279"/>
      <c r="P301" s="280"/>
      <c r="Q301" s="278"/>
      <c r="R301" s="279"/>
      <c r="S301" s="280"/>
      <c r="T301" s="278"/>
      <c r="U301" s="279"/>
      <c r="V301" s="280"/>
      <c r="W301" s="278"/>
      <c r="X301" s="279"/>
      <c r="Y301" s="280"/>
      <c r="Z301" s="278"/>
      <c r="AA301" s="279"/>
      <c r="AB301" s="280"/>
      <c r="AC301" s="278"/>
      <c r="AD301" s="279"/>
      <c r="AE301" s="280"/>
      <c r="AF301" s="278"/>
      <c r="AG301" s="279"/>
      <c r="AH301" s="280"/>
      <c r="AI301" s="278"/>
      <c r="AJ301" s="279"/>
      <c r="AK301" s="280"/>
      <c r="AL301" s="278"/>
      <c r="AM301" s="279"/>
    </row>
    <row r="302" spans="1:39" ht="12.75" customHeight="1" x14ac:dyDescent="0.2">
      <c r="A302" s="273"/>
      <c r="B302" s="2118"/>
      <c r="C302" s="2120"/>
      <c r="D302" s="2120"/>
      <c r="E302" s="2120"/>
      <c r="F302" s="2115"/>
      <c r="G302" s="274" t="s">
        <v>5615</v>
      </c>
      <c r="H302" s="275" t="s">
        <v>1935</v>
      </c>
      <c r="I302" s="276"/>
      <c r="J302" s="277" t="s">
        <v>3806</v>
      </c>
      <c r="K302" s="278">
        <f>ES13A01</f>
        <v>1</v>
      </c>
      <c r="L302" s="279">
        <v>4</v>
      </c>
      <c r="M302" s="277" t="s">
        <v>3807</v>
      </c>
      <c r="N302" s="278">
        <f>ES13A02</f>
        <v>1</v>
      </c>
      <c r="O302" s="279">
        <v>4</v>
      </c>
      <c r="P302" s="277" t="s">
        <v>2612</v>
      </c>
      <c r="Q302" s="278">
        <f>ES13A03</f>
        <v>1</v>
      </c>
      <c r="R302" s="279">
        <v>4</v>
      </c>
      <c r="S302" s="277"/>
      <c r="T302" s="278"/>
      <c r="U302" s="279"/>
      <c r="V302" s="277"/>
      <c r="W302" s="278"/>
      <c r="X302" s="279"/>
      <c r="Y302" s="277"/>
      <c r="Z302" s="278"/>
      <c r="AA302" s="279"/>
      <c r="AB302" s="277"/>
      <c r="AC302" s="278"/>
      <c r="AD302" s="279"/>
      <c r="AE302" s="277"/>
      <c r="AF302" s="278"/>
      <c r="AG302" s="279"/>
      <c r="AH302" s="277"/>
      <c r="AI302" s="278"/>
      <c r="AJ302" s="279"/>
      <c r="AK302" s="277"/>
      <c r="AL302" s="278"/>
      <c r="AM302" s="279"/>
    </row>
    <row r="303" spans="1:39" x14ac:dyDescent="0.2">
      <c r="A303" s="273"/>
      <c r="B303" s="2119"/>
      <c r="C303" s="2121"/>
      <c r="D303" s="2121"/>
      <c r="E303" s="2121"/>
      <c r="F303" s="2116"/>
      <c r="G303" s="274" t="s">
        <v>5615</v>
      </c>
      <c r="H303" s="275"/>
      <c r="I303" s="276"/>
      <c r="J303" s="277"/>
      <c r="K303" s="278"/>
      <c r="L303" s="279"/>
      <c r="M303" s="277"/>
      <c r="N303" s="278"/>
      <c r="O303" s="279"/>
      <c r="P303" s="277"/>
      <c r="Q303" s="278"/>
      <c r="R303" s="279"/>
      <c r="S303" s="277"/>
      <c r="T303" s="278"/>
      <c r="U303" s="279"/>
      <c r="V303" s="277"/>
      <c r="W303" s="278"/>
      <c r="X303" s="279"/>
      <c r="Y303" s="277"/>
      <c r="Z303" s="278"/>
      <c r="AA303" s="279"/>
      <c r="AB303" s="277"/>
      <c r="AC303" s="278"/>
      <c r="AD303" s="279"/>
      <c r="AE303" s="277"/>
      <c r="AF303" s="278"/>
      <c r="AG303" s="279"/>
      <c r="AH303" s="277"/>
      <c r="AI303" s="278"/>
      <c r="AJ303" s="279"/>
      <c r="AK303" s="277"/>
      <c r="AL303" s="278"/>
      <c r="AM303" s="279"/>
    </row>
    <row r="304" spans="1:39" ht="12" customHeight="1" x14ac:dyDescent="0.2">
      <c r="A304" s="273"/>
      <c r="B304" s="306"/>
      <c r="C304" s="306"/>
      <c r="D304" s="306"/>
      <c r="E304" s="306"/>
      <c r="F304" s="306"/>
      <c r="G304" s="284" t="s">
        <v>5618</v>
      </c>
      <c r="H304" s="307"/>
      <c r="I304" s="276"/>
      <c r="J304" s="277"/>
      <c r="K304" s="278"/>
      <c r="L304" s="279"/>
      <c r="M304" s="277"/>
      <c r="N304" s="278"/>
      <c r="O304" s="279"/>
      <c r="P304" s="277"/>
      <c r="Q304" s="278"/>
      <c r="R304" s="279"/>
      <c r="S304" s="277"/>
      <c r="T304" s="278"/>
      <c r="U304" s="287"/>
      <c r="V304" s="277"/>
      <c r="W304" s="278"/>
      <c r="X304" s="287"/>
      <c r="Y304" s="277"/>
      <c r="Z304" s="278"/>
      <c r="AA304" s="287"/>
      <c r="AB304" s="277"/>
      <c r="AC304" s="278"/>
      <c r="AD304" s="287"/>
      <c r="AE304" s="277"/>
      <c r="AF304" s="278"/>
      <c r="AG304" s="287"/>
      <c r="AH304" s="277"/>
      <c r="AI304" s="278"/>
      <c r="AJ304" s="287"/>
      <c r="AK304" s="277"/>
      <c r="AL304" s="278"/>
      <c r="AM304" s="287"/>
    </row>
    <row r="305" spans="1:39" ht="12" customHeight="1" x14ac:dyDescent="0.2">
      <c r="A305" s="1374" t="s">
        <v>4336</v>
      </c>
      <c r="B305" s="346" t="s">
        <v>4900</v>
      </c>
      <c r="C305" s="262"/>
      <c r="D305" s="262"/>
      <c r="E305" s="262"/>
      <c r="F305" s="262"/>
      <c r="G305" s="262"/>
      <c r="H305" s="262"/>
      <c r="I305" s="308"/>
      <c r="J305" s="270"/>
      <c r="K305" s="269"/>
      <c r="L305" s="294"/>
      <c r="M305" s="271"/>
      <c r="N305" s="269"/>
      <c r="O305" s="294"/>
      <c r="P305" s="268"/>
      <c r="Q305" s="269"/>
      <c r="R305" s="304"/>
      <c r="S305" s="271"/>
      <c r="T305" s="269"/>
      <c r="U305" s="294"/>
      <c r="V305" s="271"/>
      <c r="W305" s="269"/>
      <c r="X305" s="294"/>
      <c r="Y305" s="271"/>
      <c r="Z305" s="269"/>
      <c r="AA305" s="294"/>
      <c r="AB305" s="271"/>
      <c r="AC305" s="269"/>
      <c r="AD305" s="294"/>
      <c r="AE305" s="271"/>
      <c r="AF305" s="269"/>
      <c r="AG305" s="294"/>
      <c r="AH305" s="271"/>
      <c r="AI305" s="269"/>
      <c r="AJ305" s="294"/>
      <c r="AK305" s="271"/>
      <c r="AL305" s="269"/>
      <c r="AM305" s="294"/>
    </row>
    <row r="306" spans="1:39" ht="12.75" customHeight="1" x14ac:dyDescent="0.2">
      <c r="A306" s="297"/>
      <c r="B306" s="2117">
        <f>COUNTIF(Scénarios!AH828:AH831,1)</f>
        <v>0</v>
      </c>
      <c r="C306" s="2117">
        <f>COUNTIF(Scénarios!AH828:AH831,2)</f>
        <v>0</v>
      </c>
      <c r="D306" s="2122">
        <f>COUNTIF(Scénarios!AH828:AH831,3)</f>
        <v>0</v>
      </c>
      <c r="E306" s="2123">
        <f>COUNTIF(Scénarios!AH828:AH831,4)</f>
        <v>0</v>
      </c>
      <c r="F306" s="2114">
        <f>SUM(B306:E306)</f>
        <v>0</v>
      </c>
      <c r="G306" s="274" t="s">
        <v>5616</v>
      </c>
      <c r="H306" s="275" t="s">
        <v>6370</v>
      </c>
      <c r="I306" s="276"/>
      <c r="J306" s="277" t="s">
        <v>4390</v>
      </c>
      <c r="K306" s="278">
        <f>ES13B04</f>
        <v>1</v>
      </c>
      <c r="L306" s="279">
        <v>4</v>
      </c>
      <c r="M306" s="280"/>
      <c r="N306" s="278"/>
      <c r="O306" s="279"/>
      <c r="P306" s="280"/>
      <c r="Q306" s="278"/>
      <c r="R306" s="279"/>
      <c r="S306" s="280"/>
      <c r="T306" s="278"/>
      <c r="U306" s="279"/>
      <c r="V306" s="280"/>
      <c r="W306" s="278"/>
      <c r="X306" s="279"/>
      <c r="Y306" s="280"/>
      <c r="Z306" s="278"/>
      <c r="AA306" s="279"/>
      <c r="AB306" s="280"/>
      <c r="AC306" s="278"/>
      <c r="AD306" s="279"/>
      <c r="AE306" s="280"/>
      <c r="AF306" s="278"/>
      <c r="AG306" s="279"/>
      <c r="AH306" s="280"/>
      <c r="AI306" s="278"/>
      <c r="AJ306" s="279"/>
      <c r="AK306" s="280"/>
      <c r="AL306" s="278"/>
      <c r="AM306" s="279"/>
    </row>
    <row r="307" spans="1:39" x14ac:dyDescent="0.2">
      <c r="A307" s="273"/>
      <c r="B307" s="2118"/>
      <c r="C307" s="2120"/>
      <c r="D307" s="2120"/>
      <c r="E307" s="2120"/>
      <c r="F307" s="2115"/>
      <c r="G307" s="274" t="s">
        <v>5615</v>
      </c>
      <c r="H307" s="275" t="s">
        <v>1935</v>
      </c>
      <c r="I307" s="276"/>
      <c r="J307" s="277" t="s">
        <v>3671</v>
      </c>
      <c r="K307" s="278">
        <f>ES13B01</f>
        <v>1</v>
      </c>
      <c r="L307" s="279">
        <v>4</v>
      </c>
      <c r="M307" s="277" t="s">
        <v>4380</v>
      </c>
      <c r="N307" s="278">
        <f>ES13B02</f>
        <v>1</v>
      </c>
      <c r="O307" s="279">
        <v>4</v>
      </c>
      <c r="P307" s="277" t="s">
        <v>4389</v>
      </c>
      <c r="Q307" s="278">
        <f>ES13B03</f>
        <v>1</v>
      </c>
      <c r="R307" s="279">
        <v>4</v>
      </c>
      <c r="S307" s="277"/>
      <c r="T307" s="278"/>
      <c r="U307" s="279"/>
      <c r="V307" s="277"/>
      <c r="W307" s="278"/>
      <c r="X307" s="279"/>
      <c r="Y307" s="277"/>
      <c r="Z307" s="278"/>
      <c r="AA307" s="279"/>
      <c r="AB307" s="277"/>
      <c r="AC307" s="278"/>
      <c r="AD307" s="279"/>
      <c r="AE307" s="277"/>
      <c r="AF307" s="278"/>
      <c r="AG307" s="279"/>
      <c r="AH307" s="277"/>
      <c r="AI307" s="278"/>
      <c r="AJ307" s="279"/>
      <c r="AK307" s="277"/>
      <c r="AL307" s="278"/>
      <c r="AM307" s="279"/>
    </row>
    <row r="308" spans="1:39" ht="12.75" customHeight="1" x14ac:dyDescent="0.2">
      <c r="A308" s="273"/>
      <c r="B308" s="2119"/>
      <c r="C308" s="2121"/>
      <c r="D308" s="2121"/>
      <c r="E308" s="2121"/>
      <c r="F308" s="2116"/>
      <c r="G308" s="274" t="s">
        <v>5615</v>
      </c>
      <c r="H308" s="275"/>
      <c r="I308" s="276"/>
      <c r="J308" s="277"/>
      <c r="K308" s="278"/>
      <c r="L308" s="279"/>
      <c r="M308" s="277"/>
      <c r="N308" s="278"/>
      <c r="O308" s="279"/>
      <c r="P308" s="277"/>
      <c r="Q308" s="278"/>
      <c r="R308" s="279"/>
      <c r="S308" s="277"/>
      <c r="T308" s="278"/>
      <c r="U308" s="279"/>
      <c r="V308" s="277"/>
      <c r="W308" s="278"/>
      <c r="X308" s="279"/>
      <c r="Y308" s="277"/>
      <c r="Z308" s="278"/>
      <c r="AA308" s="279"/>
      <c r="AB308" s="277"/>
      <c r="AC308" s="278"/>
      <c r="AD308" s="279"/>
      <c r="AE308" s="277"/>
      <c r="AF308" s="278"/>
      <c r="AG308" s="279"/>
      <c r="AH308" s="277"/>
      <c r="AI308" s="278"/>
      <c r="AJ308" s="279"/>
      <c r="AK308" s="277"/>
      <c r="AL308" s="278"/>
      <c r="AM308" s="279"/>
    </row>
    <row r="309" spans="1:39" ht="10.5" customHeight="1" x14ac:dyDescent="0.2">
      <c r="A309" s="273"/>
      <c r="B309" s="306"/>
      <c r="C309" s="306"/>
      <c r="D309" s="306"/>
      <c r="E309" s="306"/>
      <c r="F309" s="306"/>
      <c r="G309" s="284" t="s">
        <v>5618</v>
      </c>
      <c r="H309" s="307"/>
      <c r="I309" s="276"/>
      <c r="J309" s="277"/>
      <c r="K309" s="278"/>
      <c r="L309" s="279"/>
      <c r="M309" s="277"/>
      <c r="N309" s="278"/>
      <c r="O309" s="279"/>
      <c r="P309" s="277"/>
      <c r="Q309" s="278"/>
      <c r="R309" s="279"/>
      <c r="S309" s="277"/>
      <c r="T309" s="278"/>
      <c r="U309" s="287"/>
      <c r="V309" s="277"/>
      <c r="W309" s="278"/>
      <c r="X309" s="287"/>
      <c r="Y309" s="277"/>
      <c r="Z309" s="278"/>
      <c r="AA309" s="287"/>
      <c r="AB309" s="277"/>
      <c r="AC309" s="278"/>
      <c r="AD309" s="287"/>
      <c r="AE309" s="277"/>
      <c r="AF309" s="278"/>
      <c r="AG309" s="287"/>
      <c r="AH309" s="277"/>
      <c r="AI309" s="278"/>
      <c r="AJ309" s="287"/>
      <c r="AK309" s="277"/>
      <c r="AL309" s="278"/>
      <c r="AM309" s="287"/>
    </row>
    <row r="310" spans="1:39" ht="12" customHeight="1" x14ac:dyDescent="0.2">
      <c r="A310" s="1374" t="s">
        <v>4337</v>
      </c>
      <c r="B310" s="346" t="s">
        <v>4901</v>
      </c>
      <c r="C310" s="262"/>
      <c r="D310" s="262"/>
      <c r="E310" s="262"/>
      <c r="F310" s="262"/>
      <c r="G310" s="262"/>
      <c r="H310" s="262"/>
      <c r="I310" s="308"/>
      <c r="J310" s="270"/>
      <c r="K310" s="269"/>
      <c r="L310" s="294"/>
      <c r="M310" s="271"/>
      <c r="N310" s="269"/>
      <c r="O310" s="294"/>
      <c r="P310" s="268"/>
      <c r="Q310" s="269"/>
      <c r="R310" s="304"/>
      <c r="S310" s="271"/>
      <c r="T310" s="269"/>
      <c r="U310" s="294"/>
      <c r="V310" s="271"/>
      <c r="W310" s="269"/>
      <c r="X310" s="294"/>
      <c r="Y310" s="271"/>
      <c r="Z310" s="269"/>
      <c r="AA310" s="294"/>
      <c r="AB310" s="271"/>
      <c r="AC310" s="269"/>
      <c r="AD310" s="294"/>
      <c r="AE310" s="271"/>
      <c r="AF310" s="269"/>
      <c r="AG310" s="294"/>
      <c r="AH310" s="271"/>
      <c r="AI310" s="269"/>
      <c r="AJ310" s="294"/>
      <c r="AK310" s="271"/>
      <c r="AL310" s="269"/>
      <c r="AM310" s="294"/>
    </row>
    <row r="311" spans="1:39" ht="12.75" customHeight="1" x14ac:dyDescent="0.2">
      <c r="A311" s="297"/>
      <c r="B311" s="2117">
        <f>COUNTIF(Scénarios!AH833:AH836,1)</f>
        <v>0</v>
      </c>
      <c r="C311" s="2117">
        <f>COUNTIF(Scénarios!AH833:AH836,2)</f>
        <v>0</v>
      </c>
      <c r="D311" s="2122">
        <f>COUNTIF(Scénarios!AH833:AH836,3)</f>
        <v>0</v>
      </c>
      <c r="E311" s="2123">
        <f>COUNTIF(Scénarios!AH833:AH836,4)</f>
        <v>0</v>
      </c>
      <c r="F311" s="2114">
        <f>SUM(B311:E311)</f>
        <v>0</v>
      </c>
      <c r="G311" s="274" t="s">
        <v>5616</v>
      </c>
      <c r="H311" s="275" t="s">
        <v>6370</v>
      </c>
      <c r="I311" s="276"/>
      <c r="J311" s="277" t="s">
        <v>3433</v>
      </c>
      <c r="K311" s="278">
        <f>ES13C05</f>
        <v>1</v>
      </c>
      <c r="L311" s="279">
        <v>4</v>
      </c>
      <c r="M311" s="280"/>
      <c r="N311" s="278"/>
      <c r="O311" s="279"/>
      <c r="P311" s="280"/>
      <c r="Q311" s="278"/>
      <c r="R311" s="279"/>
      <c r="S311" s="280"/>
      <c r="T311" s="278"/>
      <c r="U311" s="279"/>
      <c r="V311" s="280"/>
      <c r="W311" s="278"/>
      <c r="X311" s="279"/>
      <c r="Y311" s="280"/>
      <c r="Z311" s="278"/>
      <c r="AA311" s="279"/>
      <c r="AB311" s="280"/>
      <c r="AC311" s="278"/>
      <c r="AD311" s="279"/>
      <c r="AE311" s="280"/>
      <c r="AF311" s="278"/>
      <c r="AG311" s="279"/>
      <c r="AH311" s="280"/>
      <c r="AI311" s="278"/>
      <c r="AJ311" s="279"/>
      <c r="AK311" s="280"/>
      <c r="AL311" s="278"/>
      <c r="AM311" s="279"/>
    </row>
    <row r="312" spans="1:39" x14ac:dyDescent="0.2">
      <c r="A312" s="273"/>
      <c r="B312" s="2118"/>
      <c r="C312" s="2120"/>
      <c r="D312" s="2120"/>
      <c r="E312" s="2120"/>
      <c r="F312" s="2115"/>
      <c r="G312" s="274" t="s">
        <v>5615</v>
      </c>
      <c r="H312" s="275" t="s">
        <v>1935</v>
      </c>
      <c r="I312" s="276"/>
      <c r="J312" s="277" t="s">
        <v>3672</v>
      </c>
      <c r="K312" s="278">
        <f>ES13C01</f>
        <v>1</v>
      </c>
      <c r="L312" s="279">
        <v>4</v>
      </c>
      <c r="M312" s="277" t="s">
        <v>3361</v>
      </c>
      <c r="N312" s="278">
        <f>ES13C02</f>
        <v>1</v>
      </c>
      <c r="O312" s="279">
        <v>4</v>
      </c>
      <c r="P312" s="277" t="s">
        <v>3373</v>
      </c>
      <c r="Q312" s="278">
        <f>ES13C03</f>
        <v>1</v>
      </c>
      <c r="R312" s="279">
        <v>4</v>
      </c>
      <c r="S312" s="277" t="s">
        <v>3432</v>
      </c>
      <c r="T312" s="278">
        <f>ES13C04</f>
        <v>1</v>
      </c>
      <c r="U312" s="279">
        <v>4</v>
      </c>
      <c r="V312" s="277"/>
      <c r="W312" s="278"/>
      <c r="X312" s="279"/>
      <c r="Y312" s="277"/>
      <c r="Z312" s="278"/>
      <c r="AA312" s="279"/>
      <c r="AB312" s="277"/>
      <c r="AC312" s="278"/>
      <c r="AD312" s="279"/>
      <c r="AE312" s="277"/>
      <c r="AF312" s="278"/>
      <c r="AG312" s="279"/>
      <c r="AH312" s="277"/>
      <c r="AI312" s="278"/>
      <c r="AJ312" s="279"/>
      <c r="AK312" s="277"/>
      <c r="AL312" s="278"/>
      <c r="AM312" s="279"/>
    </row>
    <row r="313" spans="1:39" x14ac:dyDescent="0.2">
      <c r="A313" s="273"/>
      <c r="B313" s="2119"/>
      <c r="C313" s="2121"/>
      <c r="D313" s="2121"/>
      <c r="E313" s="2121"/>
      <c r="F313" s="2116"/>
      <c r="G313" s="274" t="s">
        <v>5615</v>
      </c>
      <c r="H313" s="275"/>
      <c r="I313" s="276"/>
      <c r="J313" s="277"/>
      <c r="K313" s="278"/>
      <c r="L313" s="279"/>
      <c r="M313" s="277"/>
      <c r="N313" s="278"/>
      <c r="O313" s="279"/>
      <c r="P313" s="277"/>
      <c r="Q313" s="278"/>
      <c r="R313" s="279"/>
      <c r="S313" s="277"/>
      <c r="T313" s="278"/>
      <c r="U313" s="279"/>
      <c r="V313" s="277"/>
      <c r="W313" s="278"/>
      <c r="X313" s="279"/>
      <c r="Y313" s="277"/>
      <c r="Z313" s="278"/>
      <c r="AA313" s="279"/>
      <c r="AB313" s="277"/>
      <c r="AC313" s="278"/>
      <c r="AD313" s="279"/>
      <c r="AE313" s="277"/>
      <c r="AF313" s="278"/>
      <c r="AG313" s="279"/>
      <c r="AH313" s="277"/>
      <c r="AI313" s="278"/>
      <c r="AJ313" s="279"/>
      <c r="AK313" s="277"/>
      <c r="AL313" s="278"/>
      <c r="AM313" s="279"/>
    </row>
    <row r="314" spans="1:39" ht="12" customHeight="1" x14ac:dyDescent="0.2">
      <c r="A314" s="273"/>
      <c r="B314" s="306"/>
      <c r="C314" s="306"/>
      <c r="D314" s="306"/>
      <c r="E314" s="306"/>
      <c r="F314" s="306"/>
      <c r="G314" s="284" t="s">
        <v>5618</v>
      </c>
      <c r="H314" s="307"/>
      <c r="I314" s="276"/>
      <c r="J314" s="277"/>
      <c r="K314" s="278"/>
      <c r="L314" s="279"/>
      <c r="M314" s="277"/>
      <c r="N314" s="278"/>
      <c r="O314" s="279"/>
      <c r="P314" s="277"/>
      <c r="Q314" s="278"/>
      <c r="R314" s="279"/>
      <c r="S314" s="277"/>
      <c r="T314" s="278"/>
      <c r="U314" s="287"/>
      <c r="V314" s="277"/>
      <c r="W314" s="278"/>
      <c r="X314" s="287"/>
      <c r="Y314" s="277"/>
      <c r="Z314" s="278"/>
      <c r="AA314" s="287"/>
      <c r="AB314" s="277"/>
      <c r="AC314" s="278"/>
      <c r="AD314" s="287"/>
      <c r="AE314" s="277"/>
      <c r="AF314" s="278"/>
      <c r="AG314" s="287"/>
      <c r="AH314" s="277"/>
      <c r="AI314" s="278"/>
      <c r="AJ314" s="287"/>
      <c r="AK314" s="277"/>
      <c r="AL314" s="278"/>
      <c r="AM314" s="287"/>
    </row>
    <row r="315" spans="1:39" ht="12" customHeight="1" x14ac:dyDescent="0.2">
      <c r="A315" s="1374" t="s">
        <v>4338</v>
      </c>
      <c r="B315" s="346" t="s">
        <v>4902</v>
      </c>
      <c r="C315" s="262"/>
      <c r="D315" s="262"/>
      <c r="E315" s="262"/>
      <c r="F315" s="262"/>
      <c r="G315" s="262"/>
      <c r="H315" s="262"/>
      <c r="I315" s="308"/>
      <c r="J315" s="270"/>
      <c r="K315" s="269"/>
      <c r="L315" s="294"/>
      <c r="M315" s="271"/>
      <c r="N315" s="269"/>
      <c r="O315" s="294"/>
      <c r="P315" s="268"/>
      <c r="Q315" s="269"/>
      <c r="R315" s="304"/>
      <c r="S315" s="271"/>
      <c r="T315" s="269"/>
      <c r="U315" s="294"/>
      <c r="V315" s="271"/>
      <c r="W315" s="269"/>
      <c r="X315" s="294"/>
      <c r="Y315" s="271"/>
      <c r="Z315" s="269"/>
      <c r="AA315" s="294"/>
      <c r="AB315" s="271"/>
      <c r="AC315" s="269"/>
      <c r="AD315" s="294"/>
      <c r="AE315" s="271"/>
      <c r="AF315" s="269"/>
      <c r="AG315" s="294"/>
      <c r="AH315" s="271"/>
      <c r="AI315" s="269"/>
      <c r="AJ315" s="294"/>
      <c r="AK315" s="271"/>
      <c r="AL315" s="269"/>
      <c r="AM315" s="294"/>
    </row>
    <row r="316" spans="1:39" ht="12.75" customHeight="1" x14ac:dyDescent="0.2">
      <c r="A316" s="297"/>
      <c r="B316" s="2117">
        <f>COUNTIF(Scénarios!AH838:AH841,1)</f>
        <v>0</v>
      </c>
      <c r="C316" s="2117">
        <f>COUNTIF(Scénarios!AH838:AH841,2)</f>
        <v>0</v>
      </c>
      <c r="D316" s="2122">
        <f>COUNTIF(Scénarios!AH838:AH841,3)</f>
        <v>0</v>
      </c>
      <c r="E316" s="2123">
        <f>COUNTIF(Scénarios!AH838:AH841,4)</f>
        <v>0</v>
      </c>
      <c r="F316" s="2114">
        <f>SUM(B316:E316)</f>
        <v>0</v>
      </c>
      <c r="G316" s="274" t="s">
        <v>5616</v>
      </c>
      <c r="H316" s="275" t="s">
        <v>6370</v>
      </c>
      <c r="I316" s="276"/>
      <c r="J316" s="277" t="s">
        <v>3231</v>
      </c>
      <c r="K316" s="278">
        <f>ES11A03</f>
        <v>1</v>
      </c>
      <c r="L316" s="279">
        <v>4</v>
      </c>
      <c r="M316" s="280" t="s">
        <v>2362</v>
      </c>
      <c r="N316" s="278">
        <f>ES13D04</f>
        <v>1</v>
      </c>
      <c r="O316" s="279">
        <v>4</v>
      </c>
      <c r="P316" s="280"/>
      <c r="Q316" s="278"/>
      <c r="R316" s="279"/>
      <c r="S316" s="280"/>
      <c r="T316" s="278"/>
      <c r="U316" s="279"/>
      <c r="V316" s="280"/>
      <c r="W316" s="278"/>
      <c r="X316" s="279"/>
      <c r="Y316" s="280"/>
      <c r="Z316" s="278"/>
      <c r="AA316" s="279"/>
      <c r="AB316" s="280"/>
      <c r="AC316" s="278"/>
      <c r="AD316" s="279"/>
      <c r="AE316" s="280"/>
      <c r="AF316" s="278"/>
      <c r="AG316" s="279"/>
      <c r="AH316" s="280"/>
      <c r="AI316" s="278"/>
      <c r="AJ316" s="279"/>
      <c r="AK316" s="280"/>
      <c r="AL316" s="278"/>
      <c r="AM316" s="279"/>
    </row>
    <row r="317" spans="1:39" ht="12.75" customHeight="1" x14ac:dyDescent="0.2">
      <c r="A317" s="273"/>
      <c r="B317" s="2118"/>
      <c r="C317" s="2120"/>
      <c r="D317" s="2120"/>
      <c r="E317" s="2120"/>
      <c r="F317" s="2115"/>
      <c r="G317" s="274" t="s">
        <v>5615</v>
      </c>
      <c r="H317" s="275" t="s">
        <v>1935</v>
      </c>
      <c r="I317" s="276"/>
      <c r="J317" s="277" t="s">
        <v>3231</v>
      </c>
      <c r="K317" s="278">
        <f>ES11A03</f>
        <v>1</v>
      </c>
      <c r="L317" s="279">
        <v>4</v>
      </c>
      <c r="M317" s="277" t="s">
        <v>3673</v>
      </c>
      <c r="N317" s="278">
        <f>ES13D01</f>
        <v>1</v>
      </c>
      <c r="O317" s="279">
        <v>4</v>
      </c>
      <c r="P317" s="277" t="s">
        <v>3010</v>
      </c>
      <c r="Q317" s="278">
        <f>ES13D02</f>
        <v>1</v>
      </c>
      <c r="R317" s="279">
        <v>4</v>
      </c>
      <c r="S317" s="277" t="s">
        <v>2358</v>
      </c>
      <c r="T317" s="278">
        <f>ES13D03</f>
        <v>1</v>
      </c>
      <c r="U317" s="279">
        <v>4</v>
      </c>
      <c r="V317" s="277"/>
      <c r="W317" s="278"/>
      <c r="X317" s="279"/>
      <c r="Y317" s="277"/>
      <c r="Z317" s="278"/>
      <c r="AA317" s="279"/>
      <c r="AB317" s="277"/>
      <c r="AC317" s="278"/>
      <c r="AD317" s="279"/>
      <c r="AE317" s="277"/>
      <c r="AF317" s="278"/>
      <c r="AG317" s="279"/>
      <c r="AH317" s="277"/>
      <c r="AI317" s="278"/>
      <c r="AJ317" s="279"/>
      <c r="AK317" s="277"/>
      <c r="AL317" s="278"/>
      <c r="AM317" s="279"/>
    </row>
    <row r="318" spans="1:39" x14ac:dyDescent="0.2">
      <c r="A318" s="273"/>
      <c r="B318" s="2119"/>
      <c r="C318" s="2121"/>
      <c r="D318" s="2121"/>
      <c r="E318" s="2121"/>
      <c r="F318" s="2116"/>
      <c r="G318" s="274" t="s">
        <v>5615</v>
      </c>
      <c r="H318" s="275"/>
      <c r="I318" s="276"/>
      <c r="J318" s="277"/>
      <c r="K318" s="278"/>
      <c r="L318" s="279"/>
      <c r="M318" s="277"/>
      <c r="N318" s="278"/>
      <c r="O318" s="279"/>
      <c r="P318" s="277"/>
      <c r="Q318" s="278"/>
      <c r="R318" s="279"/>
      <c r="S318" s="277"/>
      <c r="T318" s="278"/>
      <c r="U318" s="279"/>
      <c r="V318" s="277"/>
      <c r="W318" s="278"/>
      <c r="X318" s="279"/>
      <c r="Y318" s="277"/>
      <c r="Z318" s="278"/>
      <c r="AA318" s="279"/>
      <c r="AB318" s="277"/>
      <c r="AC318" s="278"/>
      <c r="AD318" s="279"/>
      <c r="AE318" s="277"/>
      <c r="AF318" s="278"/>
      <c r="AG318" s="279"/>
      <c r="AH318" s="277"/>
      <c r="AI318" s="278"/>
      <c r="AJ318" s="279"/>
      <c r="AK318" s="277"/>
      <c r="AL318" s="278"/>
      <c r="AM318" s="279"/>
    </row>
    <row r="319" spans="1:39" ht="12" customHeight="1" x14ac:dyDescent="0.2">
      <c r="A319" s="273"/>
      <c r="B319" s="306"/>
      <c r="C319" s="306"/>
      <c r="D319" s="306"/>
      <c r="E319" s="306"/>
      <c r="F319" s="306"/>
      <c r="G319" s="284" t="s">
        <v>5618</v>
      </c>
      <c r="H319" s="307"/>
      <c r="I319" s="276"/>
      <c r="J319" s="277"/>
      <c r="K319" s="278"/>
      <c r="L319" s="279"/>
      <c r="M319" s="277"/>
      <c r="N319" s="278"/>
      <c r="O319" s="279"/>
      <c r="P319" s="277"/>
      <c r="Q319" s="278"/>
      <c r="R319" s="279"/>
      <c r="S319" s="277"/>
      <c r="T319" s="278"/>
      <c r="U319" s="287"/>
      <c r="V319" s="277"/>
      <c r="W319" s="278"/>
      <c r="X319" s="287"/>
      <c r="Y319" s="277"/>
      <c r="Z319" s="278"/>
      <c r="AA319" s="287"/>
      <c r="AB319" s="277"/>
      <c r="AC319" s="278"/>
      <c r="AD319" s="287"/>
      <c r="AE319" s="277"/>
      <c r="AF319" s="278"/>
      <c r="AG319" s="287"/>
      <c r="AH319" s="277"/>
      <c r="AI319" s="278"/>
      <c r="AJ319" s="287"/>
      <c r="AK319" s="277"/>
      <c r="AL319" s="278"/>
      <c r="AM319" s="287"/>
    </row>
    <row r="320" spans="1:39" ht="12" customHeight="1" x14ac:dyDescent="0.2">
      <c r="A320" s="1374" t="s">
        <v>4339</v>
      </c>
      <c r="B320" s="346" t="s">
        <v>3794</v>
      </c>
      <c r="C320" s="262"/>
      <c r="D320" s="262"/>
      <c r="E320" s="262"/>
      <c r="F320" s="262"/>
      <c r="G320" s="262"/>
      <c r="H320" s="262"/>
      <c r="I320" s="308"/>
      <c r="J320" s="270"/>
      <c r="K320" s="269"/>
      <c r="L320" s="294"/>
      <c r="M320" s="271"/>
      <c r="N320" s="269"/>
      <c r="O320" s="294"/>
      <c r="P320" s="268"/>
      <c r="Q320" s="269"/>
      <c r="R320" s="304"/>
      <c r="S320" s="271"/>
      <c r="T320" s="269"/>
      <c r="U320" s="294"/>
      <c r="V320" s="271"/>
      <c r="W320" s="269"/>
      <c r="X320" s="294"/>
      <c r="Y320" s="271"/>
      <c r="Z320" s="269"/>
      <c r="AA320" s="294"/>
      <c r="AB320" s="271"/>
      <c r="AC320" s="269"/>
      <c r="AD320" s="294"/>
      <c r="AE320" s="271"/>
      <c r="AF320" s="269"/>
      <c r="AG320" s="294"/>
      <c r="AH320" s="271"/>
      <c r="AI320" s="269"/>
      <c r="AJ320" s="294"/>
      <c r="AK320" s="271"/>
      <c r="AL320" s="269"/>
      <c r="AM320" s="294"/>
    </row>
    <row r="321" spans="1:39" ht="12.75" customHeight="1" x14ac:dyDescent="0.2">
      <c r="A321" s="297"/>
      <c r="B321" s="2117">
        <f>COUNTIF(Scénarios!AH843:AH846,1)</f>
        <v>0</v>
      </c>
      <c r="C321" s="2117">
        <f>COUNTIF(Scénarios!AH843:AH846,2)</f>
        <v>0</v>
      </c>
      <c r="D321" s="2122">
        <f>COUNTIF(Scénarios!AH843:AH846,3)</f>
        <v>0</v>
      </c>
      <c r="E321" s="2123">
        <f>COUNTIF(Scénarios!AH843:AH846,4)</f>
        <v>0</v>
      </c>
      <c r="F321" s="2123">
        <f>SUM(B321:E321)</f>
        <v>0</v>
      </c>
      <c r="G321" s="274" t="s">
        <v>5616</v>
      </c>
      <c r="H321" s="275" t="s">
        <v>6370</v>
      </c>
      <c r="I321" s="276"/>
      <c r="J321" s="277" t="s">
        <v>1569</v>
      </c>
      <c r="K321" s="278">
        <f>ES13E04</f>
        <v>1</v>
      </c>
      <c r="L321" s="279">
        <v>4</v>
      </c>
      <c r="M321" s="280"/>
      <c r="N321" s="278"/>
      <c r="O321" s="279"/>
      <c r="P321" s="280"/>
      <c r="Q321" s="278"/>
      <c r="R321" s="279"/>
      <c r="S321" s="280"/>
      <c r="T321" s="278"/>
      <c r="U321" s="279"/>
      <c r="V321" s="280"/>
      <c r="W321" s="278"/>
      <c r="X321" s="279"/>
      <c r="Y321" s="280"/>
      <c r="Z321" s="278"/>
      <c r="AA321" s="279"/>
      <c r="AB321" s="280"/>
      <c r="AC321" s="278"/>
      <c r="AD321" s="279"/>
      <c r="AE321" s="280"/>
      <c r="AF321" s="278"/>
      <c r="AG321" s="279"/>
      <c r="AH321" s="280"/>
      <c r="AI321" s="278"/>
      <c r="AJ321" s="279"/>
      <c r="AK321" s="280"/>
      <c r="AL321" s="278"/>
      <c r="AM321" s="279"/>
    </row>
    <row r="322" spans="1:39" ht="12.75" customHeight="1" x14ac:dyDescent="0.2">
      <c r="A322" s="273"/>
      <c r="B322" s="2118"/>
      <c r="C322" s="2120"/>
      <c r="D322" s="2120"/>
      <c r="E322" s="2124"/>
      <c r="F322" s="2124"/>
      <c r="G322" s="274" t="s">
        <v>5615</v>
      </c>
      <c r="H322" s="275" t="s">
        <v>1935</v>
      </c>
      <c r="I322" s="276"/>
      <c r="J322" s="277" t="s">
        <v>3674</v>
      </c>
      <c r="K322" s="278">
        <f>ES13E01</f>
        <v>1</v>
      </c>
      <c r="L322" s="279">
        <v>4</v>
      </c>
      <c r="M322" s="277" t="s">
        <v>5438</v>
      </c>
      <c r="N322" s="278">
        <f>ES13E02</f>
        <v>1</v>
      </c>
      <c r="O322" s="279">
        <v>4</v>
      </c>
      <c r="P322" s="277" t="s">
        <v>1570</v>
      </c>
      <c r="Q322" s="278">
        <f>ES13E03</f>
        <v>1</v>
      </c>
      <c r="R322" s="279">
        <v>4</v>
      </c>
      <c r="S322" s="277"/>
      <c r="T322" s="278"/>
      <c r="U322" s="279"/>
      <c r="V322" s="277"/>
      <c r="W322" s="278"/>
      <c r="X322" s="279"/>
      <c r="Y322" s="277"/>
      <c r="Z322" s="278"/>
      <c r="AA322" s="279"/>
      <c r="AB322" s="277"/>
      <c r="AC322" s="278"/>
      <c r="AD322" s="279"/>
      <c r="AE322" s="277"/>
      <c r="AF322" s="278"/>
      <c r="AG322" s="279"/>
      <c r="AH322" s="277"/>
      <c r="AI322" s="278"/>
      <c r="AJ322" s="279"/>
      <c r="AK322" s="277"/>
      <c r="AL322" s="278"/>
      <c r="AM322" s="279"/>
    </row>
    <row r="323" spans="1:39" ht="12.75" customHeight="1" x14ac:dyDescent="0.2">
      <c r="A323" s="273"/>
      <c r="B323" s="2119"/>
      <c r="C323" s="2121"/>
      <c r="D323" s="2121"/>
      <c r="E323" s="2125"/>
      <c r="F323" s="2125"/>
      <c r="G323" s="274" t="s">
        <v>5615</v>
      </c>
      <c r="H323" s="275"/>
      <c r="I323" s="276"/>
      <c r="J323" s="277"/>
      <c r="K323" s="278"/>
      <c r="L323" s="279"/>
      <c r="M323" s="277"/>
      <c r="N323" s="278"/>
      <c r="O323" s="279"/>
      <c r="P323" s="277"/>
      <c r="Q323" s="278"/>
      <c r="R323" s="279"/>
      <c r="S323" s="277"/>
      <c r="T323" s="278"/>
      <c r="U323" s="279"/>
      <c r="V323" s="277"/>
      <c r="W323" s="278"/>
      <c r="X323" s="279"/>
      <c r="Y323" s="277"/>
      <c r="Z323" s="278"/>
      <c r="AA323" s="279"/>
      <c r="AB323" s="277"/>
      <c r="AC323" s="278"/>
      <c r="AD323" s="279"/>
      <c r="AE323" s="277"/>
      <c r="AF323" s="278"/>
      <c r="AG323" s="279"/>
      <c r="AH323" s="277"/>
      <c r="AI323" s="278"/>
      <c r="AJ323" s="279"/>
      <c r="AK323" s="277"/>
      <c r="AL323" s="278"/>
      <c r="AM323" s="279"/>
    </row>
    <row r="324" spans="1:39" x14ac:dyDescent="0.2">
      <c r="A324" s="273"/>
      <c r="B324" s="306"/>
      <c r="C324" s="306"/>
      <c r="D324" s="306"/>
      <c r="E324" s="306"/>
      <c r="F324" s="306"/>
      <c r="G324" s="284" t="s">
        <v>5618</v>
      </c>
      <c r="H324" s="307"/>
      <c r="I324" s="276"/>
      <c r="J324" s="277"/>
      <c r="K324" s="278"/>
      <c r="L324" s="279"/>
      <c r="M324" s="277"/>
      <c r="N324" s="278"/>
      <c r="O324" s="279"/>
      <c r="P324" s="277"/>
      <c r="Q324" s="278"/>
      <c r="R324" s="279"/>
      <c r="S324" s="277"/>
      <c r="T324" s="278"/>
      <c r="U324" s="287"/>
      <c r="V324" s="277"/>
      <c r="W324" s="278"/>
      <c r="X324" s="287"/>
      <c r="Y324" s="277"/>
      <c r="Z324" s="278"/>
      <c r="AA324" s="287"/>
      <c r="AB324" s="277"/>
      <c r="AC324" s="278"/>
      <c r="AD324" s="287"/>
      <c r="AE324" s="277"/>
      <c r="AF324" s="278"/>
      <c r="AG324" s="287"/>
      <c r="AH324" s="277"/>
      <c r="AI324" s="278"/>
      <c r="AJ324" s="287"/>
      <c r="AK324" s="277"/>
      <c r="AL324" s="278"/>
      <c r="AM324" s="287"/>
    </row>
    <row r="325" spans="1:39" ht="15" x14ac:dyDescent="0.2">
      <c r="A325" s="1374" t="s">
        <v>4340</v>
      </c>
      <c r="B325" s="346" t="s">
        <v>2711</v>
      </c>
      <c r="C325" s="262"/>
      <c r="D325" s="262"/>
      <c r="E325" s="262"/>
      <c r="F325" s="262"/>
      <c r="G325" s="262"/>
      <c r="H325" s="262"/>
      <c r="I325" s="308"/>
      <c r="J325" s="270"/>
      <c r="K325" s="269"/>
      <c r="L325" s="294"/>
      <c r="M325" s="271"/>
      <c r="N325" s="269"/>
      <c r="O325" s="294"/>
      <c r="P325" s="268"/>
      <c r="Q325" s="269"/>
      <c r="R325" s="304"/>
      <c r="S325" s="271"/>
      <c r="T325" s="269"/>
      <c r="U325" s="294"/>
      <c r="V325" s="271"/>
      <c r="W325" s="269"/>
      <c r="X325" s="294"/>
      <c r="Y325" s="271"/>
      <c r="Z325" s="269"/>
      <c r="AA325" s="294"/>
      <c r="AB325" s="271"/>
      <c r="AC325" s="269"/>
      <c r="AD325" s="294"/>
      <c r="AE325" s="271"/>
      <c r="AF325" s="269"/>
      <c r="AG325" s="294"/>
      <c r="AH325" s="271"/>
      <c r="AI325" s="269"/>
      <c r="AJ325" s="294"/>
      <c r="AK325" s="271"/>
      <c r="AL325" s="269"/>
      <c r="AM325" s="294"/>
    </row>
    <row r="326" spans="1:39" ht="12.75" customHeight="1" x14ac:dyDescent="0.2">
      <c r="A326" s="297"/>
      <c r="B326" s="2117">
        <f>COUNTIF(Scénarios!AH848:AH851,1)</f>
        <v>0</v>
      </c>
      <c r="C326" s="2117">
        <f>COUNTIF(Scénarios!AH848:AH851,2)</f>
        <v>0</v>
      </c>
      <c r="D326" s="2122">
        <f>COUNTIF(Scénarios!AH848:AH851,3)</f>
        <v>0</v>
      </c>
      <c r="E326" s="2123">
        <f>COUNTIF(Scénarios!AH848:AH851,4)</f>
        <v>0</v>
      </c>
      <c r="F326" s="2123">
        <f>SUM(B326:E326)</f>
        <v>0</v>
      </c>
      <c r="G326" s="274" t="s">
        <v>5616</v>
      </c>
      <c r="H326" s="275" t="s">
        <v>6370</v>
      </c>
      <c r="I326" s="276"/>
      <c r="J326" s="347" t="s">
        <v>1108</v>
      </c>
      <c r="K326" s="348">
        <f>ES13F04</f>
        <v>1</v>
      </c>
      <c r="L326" s="349">
        <v>4</v>
      </c>
      <c r="M326" s="347"/>
      <c r="N326" s="348"/>
      <c r="O326" s="349"/>
      <c r="P326" s="347"/>
      <c r="Q326" s="348"/>
      <c r="R326" s="349"/>
      <c r="S326" s="347"/>
      <c r="T326" s="348"/>
      <c r="U326" s="349"/>
      <c r="V326" s="347"/>
      <c r="W326" s="348"/>
      <c r="X326" s="349"/>
      <c r="Y326" s="347"/>
      <c r="Z326" s="348"/>
      <c r="AA326" s="349"/>
      <c r="AB326" s="347"/>
      <c r="AC326" s="348"/>
      <c r="AD326" s="349"/>
      <c r="AE326" s="347"/>
      <c r="AF326" s="348"/>
      <c r="AG326" s="349"/>
      <c r="AH326" s="347"/>
      <c r="AI326" s="348"/>
      <c r="AJ326" s="349"/>
      <c r="AK326" s="347"/>
      <c r="AL326" s="348"/>
      <c r="AM326" s="349"/>
    </row>
    <row r="327" spans="1:39" ht="12.75" customHeight="1" x14ac:dyDescent="0.2">
      <c r="A327" s="273"/>
      <c r="B327" s="2118"/>
      <c r="C327" s="2120"/>
      <c r="D327" s="2120"/>
      <c r="E327" s="2120"/>
      <c r="F327" s="2124"/>
      <c r="G327" s="274" t="s">
        <v>5615</v>
      </c>
      <c r="H327" s="275" t="s">
        <v>1935</v>
      </c>
      <c r="I327" s="276"/>
      <c r="J327" s="280" t="s">
        <v>1084</v>
      </c>
      <c r="K327" s="278">
        <f>ES13F01</f>
        <v>1</v>
      </c>
      <c r="L327" s="279">
        <v>4</v>
      </c>
      <c r="M327" s="277" t="s">
        <v>1096</v>
      </c>
      <c r="N327" s="278">
        <f>ES13F02</f>
        <v>1</v>
      </c>
      <c r="O327" s="279">
        <v>4</v>
      </c>
      <c r="P327" s="277" t="s">
        <v>1104</v>
      </c>
      <c r="Q327" s="278">
        <f>ES13F03</f>
        <v>1</v>
      </c>
      <c r="R327" s="279">
        <v>4</v>
      </c>
      <c r="S327" s="277"/>
      <c r="T327" s="278"/>
      <c r="U327" s="279"/>
      <c r="V327" s="277"/>
      <c r="W327" s="278"/>
      <c r="X327" s="279"/>
      <c r="Y327" s="277"/>
      <c r="Z327" s="278"/>
      <c r="AA327" s="279"/>
      <c r="AB327" s="277"/>
      <c r="AC327" s="278"/>
      <c r="AD327" s="279"/>
      <c r="AE327" s="277"/>
      <c r="AF327" s="278"/>
      <c r="AG327" s="279"/>
      <c r="AH327" s="277"/>
      <c r="AI327" s="278"/>
      <c r="AJ327" s="279"/>
      <c r="AK327" s="277"/>
      <c r="AL327" s="278"/>
      <c r="AM327" s="279"/>
    </row>
    <row r="328" spans="1:39" ht="12.75" customHeight="1" x14ac:dyDescent="0.2">
      <c r="A328" s="273"/>
      <c r="B328" s="2119"/>
      <c r="C328" s="2121"/>
      <c r="D328" s="2121"/>
      <c r="E328" s="2121"/>
      <c r="F328" s="2125"/>
      <c r="G328" s="274" t="s">
        <v>5615</v>
      </c>
      <c r="H328" s="275"/>
      <c r="I328" s="276"/>
      <c r="J328" s="280"/>
      <c r="K328" s="278"/>
      <c r="L328" s="279"/>
      <c r="M328" s="277"/>
      <c r="N328" s="278"/>
      <c r="O328" s="279"/>
      <c r="P328" s="277"/>
      <c r="Q328" s="278"/>
      <c r="R328" s="279"/>
      <c r="S328" s="277"/>
      <c r="T328" s="278"/>
      <c r="U328" s="279"/>
      <c r="V328" s="277"/>
      <c r="W328" s="278"/>
      <c r="X328" s="279"/>
      <c r="Y328" s="277"/>
      <c r="Z328" s="278"/>
      <c r="AA328" s="279"/>
      <c r="AB328" s="277"/>
      <c r="AC328" s="278"/>
      <c r="AD328" s="279"/>
      <c r="AE328" s="277"/>
      <c r="AF328" s="278"/>
      <c r="AG328" s="279"/>
      <c r="AH328" s="277"/>
      <c r="AI328" s="278"/>
      <c r="AJ328" s="279"/>
      <c r="AK328" s="277"/>
      <c r="AL328" s="278"/>
      <c r="AM328" s="279"/>
    </row>
    <row r="329" spans="1:39" x14ac:dyDescent="0.2">
      <c r="A329" s="283"/>
      <c r="B329" s="306"/>
      <c r="C329" s="306"/>
      <c r="D329" s="306"/>
      <c r="E329" s="306"/>
      <c r="F329" s="306"/>
      <c r="G329" s="284" t="s">
        <v>5618</v>
      </c>
      <c r="H329" s="307"/>
      <c r="I329" s="276"/>
      <c r="J329" s="350"/>
      <c r="K329" s="314"/>
      <c r="L329" s="315"/>
      <c r="M329" s="313"/>
      <c r="N329" s="314"/>
      <c r="O329" s="315"/>
      <c r="P329" s="313"/>
      <c r="Q329" s="314"/>
      <c r="R329" s="315"/>
      <c r="S329" s="313"/>
      <c r="T329" s="314"/>
      <c r="U329" s="316"/>
      <c r="V329" s="313"/>
      <c r="W329" s="314"/>
      <c r="X329" s="316"/>
      <c r="Y329" s="313"/>
      <c r="Z329" s="314"/>
      <c r="AA329" s="316"/>
      <c r="AB329" s="313"/>
      <c r="AC329" s="314"/>
      <c r="AD329" s="316"/>
      <c r="AE329" s="313"/>
      <c r="AF329" s="314"/>
      <c r="AG329" s="316"/>
      <c r="AH329" s="313"/>
      <c r="AI329" s="314"/>
      <c r="AJ329" s="316"/>
      <c r="AK329" s="313"/>
      <c r="AL329" s="314"/>
      <c r="AM329" s="316"/>
    </row>
    <row r="332" spans="1:39" ht="15" x14ac:dyDescent="0.2">
      <c r="A332" s="351" t="s">
        <v>7266</v>
      </c>
      <c r="B332" s="352">
        <f>SUM(B5:B328)</f>
        <v>0</v>
      </c>
      <c r="C332" s="352">
        <f>SUM(C5:C328)</f>
        <v>0</v>
      </c>
      <c r="D332" s="353">
        <f>SUM(D5:D328)</f>
        <v>0</v>
      </c>
      <c r="E332" s="352">
        <f>SUM(E5:E328)</f>
        <v>0</v>
      </c>
      <c r="F332" s="352">
        <f>SUM(F5:F328)</f>
        <v>0</v>
      </c>
      <c r="G332" s="354"/>
      <c r="H332" s="354"/>
      <c r="I332" s="352">
        <f>SUM(I4:I330)</f>
        <v>0</v>
      </c>
    </row>
    <row r="1334" spans="9:9" x14ac:dyDescent="0.2">
      <c r="I1334" s="356">
        <v>0</v>
      </c>
    </row>
    <row r="1777" spans="9:9" x14ac:dyDescent="0.2">
      <c r="I1777" s="356">
        <v>0</v>
      </c>
    </row>
  </sheetData>
  <sheetProtection sheet="1" objects="1" scenarios="1"/>
  <autoFilter ref="I5:I11"/>
  <mergeCells count="259">
    <mergeCell ref="C178:C180"/>
    <mergeCell ref="B140:B142"/>
    <mergeCell ref="C140:C142"/>
    <mergeCell ref="B158:B160"/>
    <mergeCell ref="F321:F323"/>
    <mergeCell ref="B311:B313"/>
    <mergeCell ref="C311:C313"/>
    <mergeCell ref="D311:D313"/>
    <mergeCell ref="E311:E313"/>
    <mergeCell ref="B321:B323"/>
    <mergeCell ref="C321:C323"/>
    <mergeCell ref="D321:D323"/>
    <mergeCell ref="E321:E323"/>
    <mergeCell ref="B316:B318"/>
    <mergeCell ref="F224:F226"/>
    <mergeCell ref="C316:C318"/>
    <mergeCell ref="D316:D318"/>
    <mergeCell ref="E316:E318"/>
    <mergeCell ref="B296:B298"/>
    <mergeCell ref="C296:C298"/>
    <mergeCell ref="D296:D298"/>
    <mergeCell ref="E296:E298"/>
    <mergeCell ref="B306:B308"/>
    <mergeCell ref="C306:C308"/>
    <mergeCell ref="F168:F170"/>
    <mergeCell ref="E153:E155"/>
    <mergeCell ref="B147:B149"/>
    <mergeCell ref="E98:E100"/>
    <mergeCell ref="D158:D160"/>
    <mergeCell ref="B153:B155"/>
    <mergeCell ref="C153:C155"/>
    <mergeCell ref="F153:F155"/>
    <mergeCell ref="F140:F142"/>
    <mergeCell ref="F103:F105"/>
    <mergeCell ref="F108:F110"/>
    <mergeCell ref="F113:F115"/>
    <mergeCell ref="F98:F100"/>
    <mergeCell ref="F122:F125"/>
    <mergeCell ref="F132:F134"/>
    <mergeCell ref="F147:F149"/>
    <mergeCell ref="F158:F160"/>
    <mergeCell ref="B98:B100"/>
    <mergeCell ref="E168:E170"/>
    <mergeCell ref="C147:C149"/>
    <mergeCell ref="B122:B125"/>
    <mergeCell ref="C122:C125"/>
    <mergeCell ref="D122:D125"/>
    <mergeCell ref="E122:E125"/>
    <mergeCell ref="B173:B175"/>
    <mergeCell ref="C173:C175"/>
    <mergeCell ref="D173:D175"/>
    <mergeCell ref="E173:E175"/>
    <mergeCell ref="B103:B105"/>
    <mergeCell ref="E158:E160"/>
    <mergeCell ref="D153:D155"/>
    <mergeCell ref="E147:E149"/>
    <mergeCell ref="D168:D170"/>
    <mergeCell ref="C158:C160"/>
    <mergeCell ref="E140:E142"/>
    <mergeCell ref="B132:B134"/>
    <mergeCell ref="C132:C134"/>
    <mergeCell ref="D132:D134"/>
    <mergeCell ref="E132:E134"/>
    <mergeCell ref="D140:D142"/>
    <mergeCell ref="D147:D149"/>
    <mergeCell ref="B168:B170"/>
    <mergeCell ref="C168:C170"/>
    <mergeCell ref="D113:D115"/>
    <mergeCell ref="B80:B82"/>
    <mergeCell ref="B33:B35"/>
    <mergeCell ref="C33:C35"/>
    <mergeCell ref="D33:D35"/>
    <mergeCell ref="C38:C40"/>
    <mergeCell ref="D38:D40"/>
    <mergeCell ref="B63:B65"/>
    <mergeCell ref="C63:C65"/>
    <mergeCell ref="D63:D65"/>
    <mergeCell ref="C43:C45"/>
    <mergeCell ref="D43:D45"/>
    <mergeCell ref="B53:B55"/>
    <mergeCell ref="E33:E35"/>
    <mergeCell ref="B28:B30"/>
    <mergeCell ref="C28:C30"/>
    <mergeCell ref="D28:D30"/>
    <mergeCell ref="E28:E30"/>
    <mergeCell ref="C113:C115"/>
    <mergeCell ref="B108:B110"/>
    <mergeCell ref="C108:C110"/>
    <mergeCell ref="D103:D105"/>
    <mergeCell ref="C103:C105"/>
    <mergeCell ref="E63:E65"/>
    <mergeCell ref="E88:E90"/>
    <mergeCell ref="E72:E74"/>
    <mergeCell ref="C80:C82"/>
    <mergeCell ref="D80:D82"/>
    <mergeCell ref="E80:E82"/>
    <mergeCell ref="C98:C100"/>
    <mergeCell ref="D98:D100"/>
    <mergeCell ref="B88:B90"/>
    <mergeCell ref="C88:C90"/>
    <mergeCell ref="D88:D90"/>
    <mergeCell ref="B72:B74"/>
    <mergeCell ref="C72:C74"/>
    <mergeCell ref="D72:D74"/>
    <mergeCell ref="F183:F185"/>
    <mergeCell ref="F28:F30"/>
    <mergeCell ref="F33:F35"/>
    <mergeCell ref="E113:E115"/>
    <mergeCell ref="E103:E105"/>
    <mergeCell ref="E43:E45"/>
    <mergeCell ref="E178:E180"/>
    <mergeCell ref="F178:F180"/>
    <mergeCell ref="F38:F40"/>
    <mergeCell ref="E58:E60"/>
    <mergeCell ref="F43:F45"/>
    <mergeCell ref="F58:F60"/>
    <mergeCell ref="E108:E110"/>
    <mergeCell ref="F63:F65"/>
    <mergeCell ref="F80:F82"/>
    <mergeCell ref="E48:E50"/>
    <mergeCell ref="F48:F50"/>
    <mergeCell ref="F53:F55"/>
    <mergeCell ref="E53:E55"/>
    <mergeCell ref="E38:E40"/>
    <mergeCell ref="F72:F74"/>
    <mergeCell ref="F173:F175"/>
    <mergeCell ref="E183:E185"/>
    <mergeCell ref="F88:F90"/>
    <mergeCell ref="A2:A3"/>
    <mergeCell ref="B2:F2"/>
    <mergeCell ref="B5:B7"/>
    <mergeCell ref="C5:C7"/>
    <mergeCell ref="D5:D7"/>
    <mergeCell ref="E5:E7"/>
    <mergeCell ref="F5:F7"/>
    <mergeCell ref="E13:E15"/>
    <mergeCell ref="E21:E23"/>
    <mergeCell ref="F13:F15"/>
    <mergeCell ref="F21:F23"/>
    <mergeCell ref="B21:B23"/>
    <mergeCell ref="C21:C23"/>
    <mergeCell ref="B13:B15"/>
    <mergeCell ref="C13:C15"/>
    <mergeCell ref="D13:D15"/>
    <mergeCell ref="B193:B195"/>
    <mergeCell ref="C193:C195"/>
    <mergeCell ref="D193:D195"/>
    <mergeCell ref="B48:B50"/>
    <mergeCell ref="C48:C50"/>
    <mergeCell ref="E193:E195"/>
    <mergeCell ref="B188:B190"/>
    <mergeCell ref="D21:D23"/>
    <mergeCell ref="E188:E190"/>
    <mergeCell ref="D58:D60"/>
    <mergeCell ref="D108:D110"/>
    <mergeCell ref="B113:B115"/>
    <mergeCell ref="D48:D50"/>
    <mergeCell ref="C53:C55"/>
    <mergeCell ref="D53:D55"/>
    <mergeCell ref="B43:B45"/>
    <mergeCell ref="B183:B185"/>
    <mergeCell ref="C183:C185"/>
    <mergeCell ref="D183:D185"/>
    <mergeCell ref="B178:B180"/>
    <mergeCell ref="B58:B60"/>
    <mergeCell ref="C58:C60"/>
    <mergeCell ref="B38:B40"/>
    <mergeCell ref="D178:D180"/>
    <mergeCell ref="B215:B217"/>
    <mergeCell ref="C215:C217"/>
    <mergeCell ref="D215:D217"/>
    <mergeCell ref="E215:E217"/>
    <mergeCell ref="F273:F275"/>
    <mergeCell ref="F207:F209"/>
    <mergeCell ref="F200:F202"/>
    <mergeCell ref="F188:F190"/>
    <mergeCell ref="F193:F195"/>
    <mergeCell ref="F233:F235"/>
    <mergeCell ref="F240:F242"/>
    <mergeCell ref="F249:F251"/>
    <mergeCell ref="F258:F260"/>
    <mergeCell ref="B200:B202"/>
    <mergeCell ref="C200:C202"/>
    <mergeCell ref="D200:D202"/>
    <mergeCell ref="E200:E202"/>
    <mergeCell ref="C207:C209"/>
    <mergeCell ref="D207:D209"/>
    <mergeCell ref="E207:E209"/>
    <mergeCell ref="C188:C190"/>
    <mergeCell ref="D188:D190"/>
    <mergeCell ref="B207:B209"/>
    <mergeCell ref="F215:F217"/>
    <mergeCell ref="B233:B235"/>
    <mergeCell ref="C233:C235"/>
    <mergeCell ref="D233:D235"/>
    <mergeCell ref="E233:E235"/>
    <mergeCell ref="B240:B242"/>
    <mergeCell ref="C240:C242"/>
    <mergeCell ref="D240:D242"/>
    <mergeCell ref="E240:E242"/>
    <mergeCell ref="B224:B226"/>
    <mergeCell ref="C224:C226"/>
    <mergeCell ref="D224:D226"/>
    <mergeCell ref="E224:E226"/>
    <mergeCell ref="B249:B251"/>
    <mergeCell ref="C249:C251"/>
    <mergeCell ref="D249:D251"/>
    <mergeCell ref="E249:E251"/>
    <mergeCell ref="E258:E260"/>
    <mergeCell ref="E273:E275"/>
    <mergeCell ref="D273:D275"/>
    <mergeCell ref="B263:B265"/>
    <mergeCell ref="C263:C265"/>
    <mergeCell ref="B326:B328"/>
    <mergeCell ref="C326:C328"/>
    <mergeCell ref="D326:D328"/>
    <mergeCell ref="E326:E328"/>
    <mergeCell ref="F326:F328"/>
    <mergeCell ref="B279:B281"/>
    <mergeCell ref="C279:C281"/>
    <mergeCell ref="D279:D281"/>
    <mergeCell ref="D285:D287"/>
    <mergeCell ref="E285:E287"/>
    <mergeCell ref="E279:E281"/>
    <mergeCell ref="F316:F318"/>
    <mergeCell ref="F296:F298"/>
    <mergeCell ref="F301:F303"/>
    <mergeCell ref="F306:F308"/>
    <mergeCell ref="F311:F313"/>
    <mergeCell ref="D306:D308"/>
    <mergeCell ref="E306:E308"/>
    <mergeCell ref="B301:B303"/>
    <mergeCell ref="C301:C303"/>
    <mergeCell ref="D301:D303"/>
    <mergeCell ref="E301:E303"/>
    <mergeCell ref="G1:M1"/>
    <mergeCell ref="G2:M2"/>
    <mergeCell ref="F285:F287"/>
    <mergeCell ref="B290:B292"/>
    <mergeCell ref="C290:C292"/>
    <mergeCell ref="D290:D292"/>
    <mergeCell ref="E290:E292"/>
    <mergeCell ref="F290:F292"/>
    <mergeCell ref="B285:B287"/>
    <mergeCell ref="C285:C287"/>
    <mergeCell ref="F279:F281"/>
    <mergeCell ref="B268:B270"/>
    <mergeCell ref="C268:C270"/>
    <mergeCell ref="D268:D270"/>
    <mergeCell ref="E268:E270"/>
    <mergeCell ref="F268:F270"/>
    <mergeCell ref="B273:B275"/>
    <mergeCell ref="C273:C275"/>
    <mergeCell ref="D263:D265"/>
    <mergeCell ref="E263:E265"/>
    <mergeCell ref="B258:B260"/>
    <mergeCell ref="C258:C260"/>
    <mergeCell ref="D258:D260"/>
    <mergeCell ref="F263:F265"/>
  </mergeCells>
  <phoneticPr fontId="5" type="noConversion"/>
  <conditionalFormatting sqref="E4:E16 E18:E122 E124:E329">
    <cfRule type="cellIs" dxfId="26" priority="14" stopIfTrue="1" operator="equal">
      <formula>0</formula>
    </cfRule>
    <cfRule type="cellIs" dxfId="25" priority="15" stopIfTrue="1" operator="greaterThan">
      <formula>0</formula>
    </cfRule>
  </conditionalFormatting>
  <conditionalFormatting sqref="D4:D16 D18:D122 D124:D329">
    <cfRule type="cellIs" dxfId="24" priority="16" stopIfTrue="1" operator="equal">
      <formula>0</formula>
    </cfRule>
    <cfRule type="cellIs" dxfId="23" priority="17" stopIfTrue="1" operator="greaterThan">
      <formula>0</formula>
    </cfRule>
  </conditionalFormatting>
  <conditionalFormatting sqref="C4:C16 C18:C122 C124:C329">
    <cfRule type="cellIs" dxfId="22" priority="18" stopIfTrue="1" operator="equal">
      <formula>0</formula>
    </cfRule>
    <cfRule type="cellIs" dxfId="21" priority="19" stopIfTrue="1" operator="greaterThan">
      <formula>0</formula>
    </cfRule>
  </conditionalFormatting>
  <conditionalFormatting sqref="D17">
    <cfRule type="cellIs" dxfId="20" priority="12" stopIfTrue="1" operator="between">
      <formula>1</formula>
      <formula>100</formula>
    </cfRule>
  </conditionalFormatting>
  <conditionalFormatting sqref="E17">
    <cfRule type="cellIs" dxfId="19" priority="13" stopIfTrue="1" operator="between">
      <formula>1</formula>
      <formula>100</formula>
    </cfRule>
  </conditionalFormatting>
  <conditionalFormatting sqref="D17">
    <cfRule type="cellIs" dxfId="18" priority="11" stopIfTrue="1" operator="between">
      <formula>1</formula>
      <formula>100</formula>
    </cfRule>
  </conditionalFormatting>
  <conditionalFormatting sqref="D123">
    <cfRule type="cellIs" dxfId="17" priority="9" stopIfTrue="1" operator="between">
      <formula>1</formula>
      <formula>100</formula>
    </cfRule>
  </conditionalFormatting>
  <conditionalFormatting sqref="E123">
    <cfRule type="cellIs" dxfId="16" priority="10" stopIfTrue="1" operator="between">
      <formula>1</formula>
      <formula>100</formula>
    </cfRule>
  </conditionalFormatting>
  <conditionalFormatting sqref="D123">
    <cfRule type="cellIs" dxfId="15" priority="8" stopIfTrue="1" operator="between">
      <formula>1</formula>
      <formula>100</formula>
    </cfRule>
  </conditionalFormatting>
  <conditionalFormatting sqref="E332">
    <cfRule type="cellIs" dxfId="14" priority="7" stopIfTrue="1" operator="between">
      <formula>1</formula>
      <formula>100</formula>
    </cfRule>
  </conditionalFormatting>
  <conditionalFormatting sqref="D332">
    <cfRule type="cellIs" dxfId="13" priority="6" stopIfTrue="1" operator="between">
      <formula>1</formula>
      <formula>100</formula>
    </cfRule>
  </conditionalFormatting>
  <conditionalFormatting sqref="D332">
    <cfRule type="cellIs" dxfId="12" priority="5" stopIfTrue="1" operator="between">
      <formula>1</formula>
      <formula>100</formula>
    </cfRule>
  </conditionalFormatting>
  <conditionalFormatting sqref="F321:F323">
    <cfRule type="cellIs" dxfId="11" priority="3" stopIfTrue="1" operator="equal">
      <formula>0</formula>
    </cfRule>
    <cfRule type="cellIs" dxfId="10" priority="4" stopIfTrue="1" operator="greaterThan">
      <formula>0</formula>
    </cfRule>
  </conditionalFormatting>
  <conditionalFormatting sqref="F326:F328">
    <cfRule type="cellIs" dxfId="9" priority="1" stopIfTrue="1" operator="equal">
      <formula>0</formula>
    </cfRule>
    <cfRule type="cellIs" dxfId="8" priority="2" stopIfTrue="1" operator="greaterThan">
      <formula>0</formula>
    </cfRule>
  </conditionalFormatting>
  <dataValidations count="1">
    <dataValidation type="whole" allowBlank="1" showInputMessage="1" showErrorMessage="1" sqref="I5:I329">
      <formula1>0</formula1>
      <formula2>1</formula2>
    </dataValidation>
  </dataValidations>
  <hyperlinks>
    <hyperlink ref="A20" location="'Scénarios'!A70" display="D03-D"/>
    <hyperlink ref="A27" location="'Scénarios'!A97" display="D04-D"/>
    <hyperlink ref="A32" location="'Scénarios'!A108" display="D06-D"/>
    <hyperlink ref="A37" location="'Scénarios'!A115" display="D07-D"/>
    <hyperlink ref="A42" location="'Scénarios'!A125" display="D08-D"/>
    <hyperlink ref="A47" location="'Scénarios'!A140" display="D09-D"/>
    <hyperlink ref="A52" location="'Scénarios'!A151" display="D10-D"/>
    <hyperlink ref="A57" location="'Scénarios'!A170" display="D11-D"/>
    <hyperlink ref="A62" location="'Scénarios'!A194" display="D01-I"/>
    <hyperlink ref="A71" location="'Scénarios'!A211" display="D02-I"/>
    <hyperlink ref="A79" location="'Scénarios'!A221" display="D03-I"/>
    <hyperlink ref="A87" location="'Scénarios'!A229" display="D06-I"/>
    <hyperlink ref="A97" location="'Scénarios'!A244" display="D07-I"/>
    <hyperlink ref="A102" location="'Scénarios'!A248" display="D08-I"/>
    <hyperlink ref="A107" location="'Scénarios'!A250" display="D10-I"/>
    <hyperlink ref="A112" location="'Scénarios'!A256" display="D11-I"/>
    <hyperlink ref="A121" location="'Scénarios'!A266" display="D01-C"/>
    <hyperlink ref="A131" location="'Scénarios'!A287" display="D02-C"/>
    <hyperlink ref="A139" location="'Scénarios'!A306" display="D03-C"/>
    <hyperlink ref="A146" location="'Scénarios'!A324" display="D04-C"/>
    <hyperlink ref="A152" location="'Scénarios'!A337" display="D05-C"/>
    <hyperlink ref="A157" location="'Scénarios'!A345" display="D06-C"/>
    <hyperlink ref="A167" location="'Scénarios'!A360" display="D07-C"/>
    <hyperlink ref="A172" location="'Scénarios'!A365" display="D08-C"/>
    <hyperlink ref="A177" location="'Scénarios'!A373" display="D09-C"/>
    <hyperlink ref="A182" location="'Scénarios'!A378" display="D10-C"/>
    <hyperlink ref="A187" location="'Scénarios'!A382" display="G01-D"/>
    <hyperlink ref="A192" location="'Scénarios'!A387" display="G02-D"/>
    <hyperlink ref="A199" location="'Scénarios'!A406" display="R01-D"/>
    <hyperlink ref="A206" location="'Scénarios'!A434" display="R02-D"/>
    <hyperlink ref="A214" location="'Scénarios'!A462" display="S01-D"/>
    <hyperlink ref="A223" location="'Scénarios'!A527" display="S02-D"/>
    <hyperlink ref="A232" location="'Scénarios'!A589" display="S03-D"/>
    <hyperlink ref="A239" location="'Scénarios'!A602" display="S04-D"/>
    <hyperlink ref="A248" location="'Scénarios'!A665" display="S05-D"/>
    <hyperlink ref="A257" location="'Scénarios'!A728" display="G02-I"/>
    <hyperlink ref="A262" location="'Scénarios'!A735" display="R01-I"/>
    <hyperlink ref="A267" location="'Scénarios'!A741" display="R02-I"/>
    <hyperlink ref="A272" location="'Scénarios'!A747" display="S01-I"/>
    <hyperlink ref="A278" location="'Scénarios'!A766" display="S02-I"/>
    <hyperlink ref="A284" location="'Scénarios'!A776" display="S04-I"/>
    <hyperlink ref="A289" location="'Scénarios'!A786" display="S05-I"/>
    <hyperlink ref="A295" location="'Scénarios'!A805" display="S01-C"/>
    <hyperlink ref="A300" location="'Scénarios'!A822" display="C01-E"/>
    <hyperlink ref="A305" location="'Scénarios'!A827" display="C02-E"/>
    <hyperlink ref="A310" location="'Scénarios'!A832" display="C03-E"/>
    <hyperlink ref="A315" location="'Scénarios'!A837" display="C04-E"/>
    <hyperlink ref="A320" location="'Scénarios'!A842" display="C05-E"/>
    <hyperlink ref="A325" location="'Scénarios'!A847" display="C06-E"/>
    <hyperlink ref="A4" location="'Scénarios'!A5" display="D01-D"/>
    <hyperlink ref="A12" location="'Scénarios'!A46" display="D02-D"/>
  </hyperlinks>
  <pageMargins left="0.31" right="0.36" top="0.27986111111111112" bottom="0.27" header="0.51180555555555562" footer="0.32"/>
  <pageSetup paperSize="9" scale="90" firstPageNumber="0" fitToHeight="4" orientation="landscape" horizontalDpi="300" verticalDpi="300" r:id="rId1"/>
  <headerFooter alignWithMargins="0"/>
  <ignoredErrors>
    <ignoredError sqref="P193 J18 U10:V10 J10 X10:Y10 AG10:AH10 AJ10:AK10 U258:V258 P5 AD10:AE10 J191 AA10:AB10 S258" numberStoredAsText="1"/>
  </ignoredErrors>
  <legacyDrawing r:id="rId2"/>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2">
    <tabColor indexed="42"/>
  </sheetPr>
  <dimension ref="A1:DT431"/>
  <sheetViews>
    <sheetView workbookViewId="0">
      <pane xSplit="3" ySplit="4" topLeftCell="D5" activePane="bottomRight" state="frozenSplit"/>
      <selection activeCell="I304" sqref="I304"/>
      <selection pane="topRight" activeCell="I304" sqref="I304"/>
      <selection pane="bottomLeft" activeCell="I304" sqref="I304"/>
      <selection pane="bottomRight"/>
    </sheetView>
  </sheetViews>
  <sheetFormatPr baseColWidth="10" defaultColWidth="11.42578125" defaultRowHeight="12" customHeight="1" outlineLevelRow="1" x14ac:dyDescent="0.25"/>
  <cols>
    <col min="1" max="1" width="4.140625" style="240" customWidth="1"/>
    <col min="2" max="2" width="6.42578125" style="241" customWidth="1"/>
    <col min="3" max="3" width="68.140625" style="241" customWidth="1"/>
    <col min="4" max="4" width="14" style="120" customWidth="1"/>
    <col min="5" max="35" width="2.85546875" style="1380" customWidth="1"/>
    <col min="36" max="36" width="2.7109375" style="1380" customWidth="1"/>
    <col min="37" max="55" width="2.85546875" style="1380" customWidth="1"/>
    <col min="56" max="56" width="11.42578125" style="198" customWidth="1"/>
    <col min="57" max="124" width="11.42578125" style="198"/>
    <col min="125" max="16384" width="11.42578125" style="211"/>
  </cols>
  <sheetData>
    <row r="1" spans="1:124" s="199" customFormat="1" ht="24.75" customHeight="1" x14ac:dyDescent="0.25">
      <c r="A1" s="195" t="s">
        <v>6454</v>
      </c>
      <c r="B1" s="196"/>
      <c r="C1" s="196"/>
      <c r="D1" s="197"/>
      <c r="E1" s="1375"/>
      <c r="F1" s="1375"/>
      <c r="G1" s="1375"/>
      <c r="H1" s="1375"/>
      <c r="I1" s="1375"/>
      <c r="J1" s="1375"/>
      <c r="K1" s="1375"/>
      <c r="L1" s="1375"/>
      <c r="M1" s="1375"/>
      <c r="N1" s="1375"/>
      <c r="O1" s="1375"/>
      <c r="P1" s="1375"/>
      <c r="Q1" s="1375"/>
      <c r="R1" s="1375"/>
      <c r="S1" s="1375"/>
      <c r="T1" s="1375"/>
      <c r="U1" s="1375"/>
      <c r="V1" s="1375"/>
      <c r="W1" s="1375"/>
      <c r="X1" s="1375"/>
      <c r="Y1" s="1375"/>
      <c r="Z1" s="1375"/>
      <c r="AA1" s="1375"/>
      <c r="AB1" s="1375"/>
      <c r="AC1" s="1375"/>
      <c r="AD1" s="1375"/>
      <c r="AE1" s="1375"/>
      <c r="AF1" s="1375"/>
      <c r="AG1" s="1375"/>
      <c r="AH1" s="1375"/>
      <c r="AI1" s="1375"/>
      <c r="AJ1" s="1375"/>
      <c r="AK1" s="1375"/>
      <c r="AL1" s="1375"/>
      <c r="AM1" s="1375"/>
      <c r="AN1" s="1375"/>
      <c r="AO1" s="1375"/>
      <c r="AP1" s="1375"/>
      <c r="AQ1" s="1375"/>
      <c r="AR1" s="1375"/>
      <c r="AS1" s="1375"/>
      <c r="AT1" s="1375"/>
      <c r="AU1" s="1375"/>
      <c r="AV1" s="1375"/>
      <c r="AW1" s="1375"/>
      <c r="AX1" s="1375"/>
      <c r="AY1" s="1375"/>
      <c r="AZ1" s="1375"/>
      <c r="BA1" s="1375"/>
      <c r="BB1" s="1375"/>
      <c r="BC1" s="1375"/>
      <c r="BD1" s="198"/>
      <c r="BE1" s="198"/>
      <c r="BF1" s="198"/>
      <c r="BG1" s="198"/>
      <c r="BH1" s="198"/>
      <c r="BI1" s="198"/>
      <c r="BJ1" s="198"/>
      <c r="BK1" s="198"/>
      <c r="BL1" s="198"/>
      <c r="BM1" s="198"/>
      <c r="BN1" s="198"/>
      <c r="BO1" s="198"/>
      <c r="BP1" s="198"/>
      <c r="BQ1" s="198"/>
      <c r="BR1" s="198"/>
      <c r="BS1" s="198"/>
      <c r="BT1" s="198"/>
      <c r="BU1" s="198"/>
      <c r="BV1" s="198"/>
      <c r="BW1" s="198"/>
      <c r="BX1" s="198"/>
      <c r="BY1" s="198"/>
      <c r="BZ1" s="198"/>
      <c r="CA1" s="198"/>
      <c r="CB1" s="198"/>
      <c r="CC1" s="198"/>
      <c r="CD1" s="198"/>
      <c r="CE1" s="198"/>
      <c r="CF1" s="198"/>
      <c r="CG1" s="198"/>
      <c r="CH1" s="198"/>
      <c r="CI1" s="198"/>
      <c r="CJ1" s="198"/>
      <c r="CK1" s="198"/>
      <c r="CL1" s="198"/>
      <c r="CM1" s="198"/>
      <c r="CN1" s="198"/>
      <c r="CO1" s="198"/>
      <c r="CP1" s="198"/>
      <c r="CQ1" s="198"/>
      <c r="CR1" s="198"/>
      <c r="CS1" s="198"/>
      <c r="CT1" s="198"/>
      <c r="CU1" s="198"/>
      <c r="CV1" s="198"/>
      <c r="CW1" s="198"/>
      <c r="CX1" s="198"/>
      <c r="CY1" s="198"/>
      <c r="CZ1" s="198"/>
      <c r="DA1" s="198"/>
      <c r="DB1" s="198"/>
      <c r="DC1" s="198"/>
      <c r="DD1" s="198"/>
      <c r="DE1" s="198"/>
      <c r="DF1" s="198"/>
      <c r="DG1" s="198"/>
      <c r="DH1" s="198"/>
      <c r="DI1" s="198"/>
      <c r="DJ1" s="198"/>
      <c r="DK1" s="198"/>
      <c r="DL1" s="198"/>
      <c r="DM1" s="198"/>
      <c r="DN1" s="198"/>
      <c r="DO1" s="198"/>
      <c r="DP1" s="198"/>
      <c r="DQ1" s="198"/>
      <c r="DR1" s="198"/>
      <c r="DS1" s="198"/>
      <c r="DT1" s="198"/>
    </row>
    <row r="2" spans="1:124" s="199" customFormat="1" ht="15.75" customHeight="1" x14ac:dyDescent="0.25">
      <c r="A2" s="200" t="s">
        <v>4441</v>
      </c>
      <c r="B2" s="201"/>
      <c r="C2" s="202"/>
      <c r="D2" s="197"/>
      <c r="E2" s="1381"/>
      <c r="F2" s="1381"/>
      <c r="G2" s="1376"/>
      <c r="H2" s="1376"/>
      <c r="I2" s="1376"/>
      <c r="J2" s="1376"/>
      <c r="K2" s="1376"/>
      <c r="L2" s="1376"/>
      <c r="M2" s="1376"/>
      <c r="N2" s="1376"/>
      <c r="O2" s="1376"/>
      <c r="P2" s="1376"/>
      <c r="Q2" s="1376"/>
      <c r="R2" s="1376"/>
      <c r="S2" s="1376"/>
      <c r="T2" s="1376"/>
      <c r="U2" s="1376"/>
      <c r="V2" s="1376"/>
      <c r="W2" s="1376"/>
      <c r="X2" s="1376"/>
      <c r="Y2" s="1376"/>
      <c r="Z2" s="1376"/>
      <c r="AA2" s="1376"/>
      <c r="AB2" s="1376"/>
      <c r="AC2" s="1376"/>
      <c r="AD2" s="1376"/>
      <c r="AE2" s="1376"/>
      <c r="AF2" s="1376"/>
      <c r="AG2" s="1376"/>
      <c r="AH2" s="1376"/>
      <c r="AI2" s="1376"/>
      <c r="AJ2" s="1376"/>
      <c r="AK2" s="1376"/>
      <c r="AL2" s="1376"/>
      <c r="AM2" s="1376"/>
      <c r="AN2" s="1376"/>
      <c r="AO2" s="1376"/>
      <c r="AP2" s="1376"/>
      <c r="AQ2" s="1376"/>
      <c r="AR2" s="1376"/>
      <c r="AS2" s="1376"/>
      <c r="AT2" s="1376"/>
      <c r="AU2" s="1376"/>
      <c r="AV2" s="1376"/>
      <c r="AW2" s="1376"/>
      <c r="AX2" s="1376"/>
      <c r="AY2" s="1376"/>
      <c r="AZ2" s="1376"/>
      <c r="BA2" s="1376"/>
      <c r="BB2" s="1376"/>
      <c r="BC2" s="1376"/>
      <c r="BD2" s="198"/>
      <c r="BE2" s="198"/>
      <c r="BF2" s="198"/>
      <c r="BG2" s="198"/>
      <c r="BH2" s="198"/>
      <c r="BI2" s="198"/>
      <c r="BJ2" s="198"/>
      <c r="BK2" s="198"/>
      <c r="BL2" s="198"/>
      <c r="BM2" s="198"/>
      <c r="BN2" s="198"/>
      <c r="BO2" s="198"/>
      <c r="BP2" s="198"/>
      <c r="BQ2" s="198"/>
      <c r="BR2" s="198"/>
      <c r="BS2" s="198"/>
      <c r="BT2" s="198"/>
      <c r="BU2" s="198"/>
      <c r="BV2" s="198"/>
      <c r="BW2" s="198"/>
      <c r="BX2" s="198"/>
      <c r="BY2" s="198"/>
      <c r="BZ2" s="198"/>
      <c r="CA2" s="198"/>
      <c r="CB2" s="198"/>
      <c r="CC2" s="198"/>
      <c r="CD2" s="198"/>
      <c r="CE2" s="198"/>
      <c r="CF2" s="198"/>
      <c r="CG2" s="198"/>
      <c r="CH2" s="198"/>
      <c r="CI2" s="198"/>
      <c r="CJ2" s="198"/>
      <c r="CK2" s="198"/>
      <c r="CL2" s="198"/>
      <c r="CM2" s="198"/>
      <c r="CN2" s="198"/>
      <c r="CO2" s="198"/>
      <c r="CP2" s="198"/>
      <c r="CQ2" s="198"/>
      <c r="CR2" s="198"/>
      <c r="CS2" s="198"/>
      <c r="CT2" s="198"/>
      <c r="CU2" s="198"/>
      <c r="CV2" s="198"/>
      <c r="CW2" s="198"/>
      <c r="CX2" s="198"/>
      <c r="CY2" s="198"/>
      <c r="CZ2" s="198"/>
      <c r="DA2" s="198"/>
      <c r="DB2" s="198"/>
      <c r="DC2" s="198"/>
      <c r="DD2" s="198"/>
      <c r="DE2" s="198"/>
      <c r="DF2" s="198"/>
      <c r="DG2" s="198"/>
      <c r="DH2" s="198"/>
      <c r="DI2" s="198"/>
      <c r="DJ2" s="198"/>
      <c r="DK2" s="198"/>
      <c r="DL2" s="198"/>
      <c r="DM2" s="198"/>
      <c r="DN2" s="198"/>
      <c r="DO2" s="198"/>
      <c r="DP2" s="198"/>
      <c r="DQ2" s="198"/>
      <c r="DR2" s="198"/>
      <c r="DS2" s="198"/>
      <c r="DT2" s="198"/>
    </row>
    <row r="3" spans="1:124" s="199" customFormat="1" ht="15.75" customHeight="1" x14ac:dyDescent="0.25">
      <c r="A3" s="203"/>
      <c r="B3" s="200" t="s">
        <v>4442</v>
      </c>
      <c r="C3" s="202"/>
      <c r="D3" s="2152" t="s">
        <v>7561</v>
      </c>
      <c r="E3" s="2151" t="s">
        <v>2562</v>
      </c>
      <c r="F3" s="2151"/>
      <c r="G3" s="2151"/>
      <c r="H3" s="2151"/>
      <c r="I3" s="2151"/>
      <c r="J3" s="2151"/>
      <c r="K3" s="2151"/>
      <c r="L3" s="2151"/>
      <c r="M3" s="2151"/>
      <c r="N3" s="2151"/>
      <c r="O3" s="2151"/>
      <c r="P3" s="2151"/>
      <c r="Q3" s="2151"/>
      <c r="R3" s="2151"/>
      <c r="S3" s="2151"/>
      <c r="T3" s="2151"/>
      <c r="U3" s="2151"/>
      <c r="V3" s="2151"/>
      <c r="W3" s="2151"/>
      <c r="X3" s="2151"/>
      <c r="Y3" s="2151"/>
      <c r="Z3" s="2151"/>
      <c r="AA3" s="2151"/>
      <c r="AB3" s="2151"/>
      <c r="AC3" s="2151"/>
      <c r="AD3" s="2151"/>
      <c r="AE3" s="2151"/>
      <c r="AF3" s="2151"/>
      <c r="AG3" s="2151"/>
      <c r="AH3" s="2151"/>
      <c r="AI3" s="2151"/>
      <c r="AJ3" s="2151"/>
      <c r="AK3" s="2151"/>
      <c r="AL3" s="2151"/>
      <c r="AM3" s="2151"/>
      <c r="AN3" s="2151"/>
      <c r="AO3" s="2151"/>
      <c r="AP3" s="2151"/>
      <c r="AQ3" s="2151"/>
      <c r="AR3" s="2151"/>
      <c r="AS3" s="2151"/>
      <c r="AT3" s="2151"/>
      <c r="AU3" s="2151"/>
      <c r="AV3" s="2151"/>
      <c r="AW3" s="2151"/>
      <c r="AX3" s="2151"/>
      <c r="AY3" s="2151"/>
      <c r="AZ3" s="2151"/>
      <c r="BA3" s="2151"/>
      <c r="BB3" s="2151"/>
      <c r="BC3" s="2151"/>
      <c r="BD3" s="198"/>
      <c r="BE3" s="198"/>
      <c r="BF3" s="198"/>
      <c r="BG3" s="198"/>
      <c r="BH3" s="198"/>
      <c r="BI3" s="198"/>
      <c r="BJ3" s="198"/>
      <c r="BK3" s="198"/>
      <c r="BL3" s="198"/>
      <c r="BM3" s="198"/>
      <c r="BN3" s="198"/>
      <c r="BO3" s="198"/>
      <c r="BP3" s="198"/>
      <c r="BQ3" s="198"/>
      <c r="BR3" s="198"/>
      <c r="BS3" s="198"/>
      <c r="BT3" s="198"/>
      <c r="BU3" s="198"/>
      <c r="BV3" s="198"/>
      <c r="BW3" s="198"/>
      <c r="BX3" s="198"/>
      <c r="BY3" s="198"/>
      <c r="BZ3" s="198"/>
      <c r="CA3" s="198"/>
      <c r="CB3" s="198"/>
      <c r="CC3" s="198"/>
      <c r="CD3" s="198"/>
      <c r="CE3" s="198"/>
      <c r="CF3" s="198"/>
      <c r="CG3" s="198"/>
      <c r="CH3" s="198"/>
      <c r="CI3" s="198"/>
      <c r="CJ3" s="198"/>
      <c r="CK3" s="198"/>
      <c r="CL3" s="198"/>
      <c r="CM3" s="198"/>
      <c r="CN3" s="198"/>
      <c r="CO3" s="198"/>
      <c r="CP3" s="198"/>
      <c r="CQ3" s="198"/>
      <c r="CR3" s="198"/>
      <c r="CS3" s="198"/>
      <c r="CT3" s="198"/>
      <c r="CU3" s="198"/>
      <c r="CV3" s="198"/>
      <c r="CW3" s="198"/>
      <c r="CX3" s="198"/>
      <c r="CY3" s="198"/>
      <c r="CZ3" s="198"/>
      <c r="DA3" s="198"/>
      <c r="DB3" s="198"/>
      <c r="DC3" s="198"/>
      <c r="DD3" s="198"/>
      <c r="DE3" s="198"/>
      <c r="DF3" s="198"/>
      <c r="DG3" s="198"/>
      <c r="DH3" s="198"/>
      <c r="DI3" s="198"/>
      <c r="DJ3" s="198"/>
      <c r="DK3" s="198"/>
      <c r="DL3" s="198"/>
      <c r="DM3" s="198"/>
      <c r="DN3" s="198"/>
      <c r="DO3" s="198"/>
      <c r="DP3" s="198"/>
      <c r="DQ3" s="198"/>
      <c r="DR3" s="198"/>
      <c r="DS3" s="198"/>
      <c r="DT3" s="198"/>
    </row>
    <row r="4" spans="1:124" s="199" customFormat="1" ht="32.25" customHeight="1" x14ac:dyDescent="0.2">
      <c r="A4" s="204"/>
      <c r="B4" s="205"/>
      <c r="C4" s="206" t="s">
        <v>4443</v>
      </c>
      <c r="D4" s="2152"/>
      <c r="E4" s="1377" t="s">
        <v>4833</v>
      </c>
      <c r="F4" s="1377" t="s">
        <v>4834</v>
      </c>
      <c r="G4" s="1377" t="s">
        <v>4835</v>
      </c>
      <c r="H4" s="1377" t="s">
        <v>4836</v>
      </c>
      <c r="I4" s="1377" t="s">
        <v>4837</v>
      </c>
      <c r="J4" s="1377" t="s">
        <v>4838</v>
      </c>
      <c r="K4" s="1377" t="s">
        <v>4839</v>
      </c>
      <c r="L4" s="1377" t="s">
        <v>4840</v>
      </c>
      <c r="M4" s="1377" t="s">
        <v>4841</v>
      </c>
      <c r="N4" s="1377" t="s">
        <v>4039</v>
      </c>
      <c r="O4" s="1377" t="s">
        <v>1168</v>
      </c>
      <c r="P4" s="1377" t="s">
        <v>1170</v>
      </c>
      <c r="Q4" s="1377" t="s">
        <v>1171</v>
      </c>
      <c r="R4" s="1377" t="s">
        <v>1172</v>
      </c>
      <c r="S4" s="1377" t="s">
        <v>3954</v>
      </c>
      <c r="T4" s="1377" t="s">
        <v>3956</v>
      </c>
      <c r="U4" s="1377" t="s">
        <v>3958</v>
      </c>
      <c r="V4" s="1377" t="s">
        <v>6679</v>
      </c>
      <c r="W4" s="1377" t="s">
        <v>3962</v>
      </c>
      <c r="X4" s="1377" t="s">
        <v>3963</v>
      </c>
      <c r="Y4" s="1377" t="s">
        <v>3337</v>
      </c>
      <c r="Z4" s="1377" t="s">
        <v>4038</v>
      </c>
      <c r="AA4" s="1377" t="s">
        <v>4040</v>
      </c>
      <c r="AB4" s="1377" t="s">
        <v>3168</v>
      </c>
      <c r="AC4" s="1377" t="s">
        <v>3170</v>
      </c>
      <c r="AD4" s="1377" t="s">
        <v>3172</v>
      </c>
      <c r="AE4" s="1377" t="s">
        <v>2093</v>
      </c>
      <c r="AF4" s="1377" t="s">
        <v>3175</v>
      </c>
      <c r="AG4" s="1377" t="s">
        <v>1761</v>
      </c>
      <c r="AH4" s="1377" t="s">
        <v>1763</v>
      </c>
      <c r="AI4" s="1377" t="s">
        <v>1050</v>
      </c>
      <c r="AJ4" s="1377" t="s">
        <v>2368</v>
      </c>
      <c r="AK4" s="1377" t="s">
        <v>1330</v>
      </c>
      <c r="AL4" s="1377" t="s">
        <v>4201</v>
      </c>
      <c r="AM4" s="1377" t="s">
        <v>2823</v>
      </c>
      <c r="AN4" s="1377" t="s">
        <v>5210</v>
      </c>
      <c r="AO4" s="1377" t="s">
        <v>5214</v>
      </c>
      <c r="AP4" s="1377" t="s">
        <v>2663</v>
      </c>
      <c r="AQ4" s="1377" t="s">
        <v>3721</v>
      </c>
      <c r="AR4" s="1377" t="s">
        <v>3730</v>
      </c>
      <c r="AS4" s="1377" t="s">
        <v>4532</v>
      </c>
      <c r="AT4" s="1377" t="s">
        <v>3733</v>
      </c>
      <c r="AU4" s="1377" t="s">
        <v>3735</v>
      </c>
      <c r="AV4" s="1377" t="s">
        <v>3737</v>
      </c>
      <c r="AW4" s="1377" t="s">
        <v>3642</v>
      </c>
      <c r="AX4" s="1377" t="s">
        <v>4335</v>
      </c>
      <c r="AY4" s="1377" t="s">
        <v>4336</v>
      </c>
      <c r="AZ4" s="1377" t="s">
        <v>4337</v>
      </c>
      <c r="BA4" s="1377" t="s">
        <v>4338</v>
      </c>
      <c r="BB4" s="1377" t="s">
        <v>4339</v>
      </c>
      <c r="BC4" s="1377" t="s">
        <v>4340</v>
      </c>
      <c r="BD4" s="198"/>
      <c r="BE4" s="198"/>
      <c r="BF4" s="198"/>
      <c r="BG4" s="198"/>
      <c r="BH4" s="198"/>
      <c r="BI4" s="198"/>
      <c r="BJ4" s="198"/>
      <c r="BK4" s="198"/>
      <c r="BL4" s="198"/>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c r="DR4" s="198"/>
      <c r="DS4" s="198"/>
      <c r="DT4" s="198"/>
    </row>
    <row r="5" spans="1:124" ht="15" x14ac:dyDescent="0.25">
      <c r="A5" s="207" t="str">
        <f>Services!A5</f>
        <v>01</v>
      </c>
      <c r="B5" s="208" t="str">
        <f>Services!B5</f>
        <v>Organisation de la sécurité (01 Org)</v>
      </c>
      <c r="C5" s="209"/>
      <c r="D5" s="1146" t="str">
        <f t="shared" ref="D5:D68" si="0">IF(MAX(E5:BE5)=0,"",MAX(E5:BE5))</f>
        <v/>
      </c>
      <c r="E5" s="1378"/>
      <c r="F5" s="1378"/>
      <c r="G5" s="1378"/>
      <c r="H5" s="1378"/>
      <c r="I5" s="1378"/>
      <c r="J5" s="1378"/>
      <c r="K5" s="1378"/>
      <c r="L5" s="1378"/>
      <c r="M5" s="1378"/>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1378"/>
      <c r="AX5" s="1378"/>
      <c r="AY5" s="1378"/>
      <c r="AZ5" s="1378"/>
      <c r="BA5" s="1378"/>
      <c r="BB5" s="1378"/>
      <c r="BC5" s="1378"/>
      <c r="BD5"/>
    </row>
    <row r="6" spans="1:124" s="172" customFormat="1" ht="15" outlineLevel="1" x14ac:dyDescent="0.25">
      <c r="A6" s="212"/>
      <c r="B6" s="213" t="str">
        <f>Services!B6</f>
        <v>01A</v>
      </c>
      <c r="C6" s="214" t="str">
        <f>Services!C6</f>
        <v>Rôles et structures de la sécurité</v>
      </c>
      <c r="D6" s="1146" t="str">
        <f t="shared" si="0"/>
        <v/>
      </c>
      <c r="E6" s="1378"/>
      <c r="F6" s="1378"/>
      <c r="G6" s="1378"/>
      <c r="H6" s="1378"/>
      <c r="I6" s="1378"/>
      <c r="J6" s="1378"/>
      <c r="K6" s="1378"/>
      <c r="L6" s="1378"/>
      <c r="M6" s="1378"/>
      <c r="N6" s="1378"/>
      <c r="O6" s="1378"/>
      <c r="P6" s="1378"/>
      <c r="Q6" s="1378"/>
      <c r="R6" s="1378"/>
      <c r="S6" s="1378"/>
      <c r="T6" s="1378"/>
      <c r="U6" s="1378"/>
      <c r="V6" s="1378"/>
      <c r="W6" s="1378"/>
      <c r="X6" s="1378"/>
      <c r="Y6" s="1378"/>
      <c r="Z6" s="1378"/>
      <c r="AA6" s="1378"/>
      <c r="AB6" s="1378"/>
      <c r="AC6" s="1378"/>
      <c r="AD6" s="1378"/>
      <c r="AE6" s="1378"/>
      <c r="AF6" s="1378"/>
      <c r="AG6" s="1378"/>
      <c r="AH6" s="1378"/>
      <c r="AI6" s="1378"/>
      <c r="AJ6" s="1378"/>
      <c r="AK6" s="1378"/>
      <c r="AL6" s="1378"/>
      <c r="AM6" s="1378"/>
      <c r="AN6" s="1378"/>
      <c r="AO6" s="1378"/>
      <c r="AP6" s="1378"/>
      <c r="AQ6" s="1378"/>
      <c r="AR6" s="1378"/>
      <c r="AS6" s="1378"/>
      <c r="AT6" s="1378"/>
      <c r="AU6" s="1378"/>
      <c r="AV6" s="1378"/>
      <c r="AW6" s="1378"/>
      <c r="AX6" s="1378"/>
      <c r="AY6" s="1378"/>
      <c r="AZ6" s="1378"/>
      <c r="BA6" s="1378"/>
      <c r="BB6" s="1378"/>
      <c r="BC6" s="1378"/>
      <c r="BD6"/>
      <c r="BE6" s="198"/>
      <c r="BF6" s="198"/>
      <c r="BG6" s="198"/>
      <c r="BH6" s="198"/>
      <c r="BI6" s="198"/>
      <c r="BJ6" s="198"/>
      <c r="BK6" s="198"/>
      <c r="BL6" s="198"/>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c r="DR6" s="198"/>
      <c r="DS6" s="198"/>
      <c r="DT6" s="198"/>
    </row>
    <row r="7" spans="1:124" s="172" customFormat="1" ht="15" outlineLevel="1" x14ac:dyDescent="0.25">
      <c r="A7" s="212"/>
      <c r="B7" s="215" t="str">
        <f>Services!B7</f>
        <v>01A01</v>
      </c>
      <c r="C7" s="216" t="str">
        <f>Services!C7</f>
        <v>Organisation et pilotage de la sécurité générale</v>
      </c>
      <c r="D7" s="1146" t="str">
        <f t="shared" si="0"/>
        <v/>
      </c>
      <c r="E7" s="1378"/>
      <c r="F7" s="1378"/>
      <c r="G7" s="1378"/>
      <c r="H7" s="1378"/>
      <c r="I7" s="1378"/>
      <c r="J7" s="1378"/>
      <c r="K7" s="1378"/>
      <c r="L7" s="1378"/>
      <c r="M7" s="1378"/>
      <c r="N7" s="1378"/>
      <c r="O7" s="1378"/>
      <c r="P7" s="1378"/>
      <c r="Q7" s="1378"/>
      <c r="R7" s="1378"/>
      <c r="S7" s="1378"/>
      <c r="T7" s="1378"/>
      <c r="U7" s="1378"/>
      <c r="V7" s="1378"/>
      <c r="W7" s="1378"/>
      <c r="X7" s="1378"/>
      <c r="Y7" s="1378"/>
      <c r="Z7" s="1378"/>
      <c r="AA7" s="1378"/>
      <c r="AB7" s="1378"/>
      <c r="AC7" s="1378"/>
      <c r="AD7" s="1378"/>
      <c r="AE7" s="1378"/>
      <c r="AF7" s="1378"/>
      <c r="AG7" s="1378"/>
      <c r="AH7" s="1378"/>
      <c r="AI7" s="1378"/>
      <c r="AJ7" s="1378"/>
      <c r="AK7" s="1378"/>
      <c r="AL7" s="1378"/>
      <c r="AM7" s="1378"/>
      <c r="AN7" s="1378"/>
      <c r="AO7" s="1378"/>
      <c r="AP7" s="1378"/>
      <c r="AQ7" s="1378"/>
      <c r="AR7" s="1378"/>
      <c r="AS7" s="1378"/>
      <c r="AT7" s="1378"/>
      <c r="AU7" s="1378"/>
      <c r="AV7" s="1378"/>
      <c r="AW7" s="1378"/>
      <c r="AX7" s="1378"/>
      <c r="AY7" s="1378"/>
      <c r="AZ7" s="1378"/>
      <c r="BA7" s="1378"/>
      <c r="BB7" s="1378"/>
      <c r="BC7" s="1378"/>
      <c r="BD7"/>
      <c r="BE7" s="198"/>
      <c r="BF7" s="198"/>
      <c r="BG7" s="198"/>
      <c r="BH7" s="198"/>
      <c r="BI7" s="198"/>
      <c r="BJ7" s="198"/>
      <c r="BK7" s="198"/>
      <c r="BL7" s="198"/>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c r="DR7" s="198"/>
      <c r="DS7" s="198"/>
      <c r="DT7" s="198"/>
    </row>
    <row r="8" spans="1:124" s="172" customFormat="1" ht="15" outlineLevel="1" x14ac:dyDescent="0.25">
      <c r="A8" s="212"/>
      <c r="B8" s="215" t="str">
        <f>Services!B8</f>
        <v>01A02</v>
      </c>
      <c r="C8" s="216" t="str">
        <f>Services!C8</f>
        <v>Organisation et pilotage de la sécurité des systèmes d'information</v>
      </c>
      <c r="D8" s="1146" t="str">
        <f t="shared" si="0"/>
        <v/>
      </c>
      <c r="E8" s="1378"/>
      <c r="F8" s="1378"/>
      <c r="G8" s="1378"/>
      <c r="H8" s="1378"/>
      <c r="I8" s="1378"/>
      <c r="J8" s="1378"/>
      <c r="K8" s="1378"/>
      <c r="L8" s="1378"/>
      <c r="M8" s="1378"/>
      <c r="N8" s="1378"/>
      <c r="O8" s="1378"/>
      <c r="P8" s="1378"/>
      <c r="Q8" s="1378"/>
      <c r="R8" s="1378"/>
      <c r="S8" s="1378"/>
      <c r="T8" s="1378"/>
      <c r="U8" s="1378"/>
      <c r="V8" s="1378"/>
      <c r="W8" s="1378"/>
      <c r="X8" s="1378"/>
      <c r="Y8" s="1378"/>
      <c r="Z8" s="1378"/>
      <c r="AA8" s="1378"/>
      <c r="AB8" s="1378"/>
      <c r="AC8" s="1378"/>
      <c r="AD8" s="1378"/>
      <c r="AE8" s="1378"/>
      <c r="AF8" s="1378"/>
      <c r="AG8" s="1378"/>
      <c r="AH8" s="1378"/>
      <c r="AI8" s="1378"/>
      <c r="AJ8" s="1378"/>
      <c r="AK8" s="1378"/>
      <c r="AL8" s="1378"/>
      <c r="AM8" s="1378"/>
      <c r="AN8" s="1378"/>
      <c r="AO8" s="1378"/>
      <c r="AP8" s="1378"/>
      <c r="AQ8" s="1378"/>
      <c r="AR8" s="1378"/>
      <c r="AS8" s="1378"/>
      <c r="AT8" s="1378"/>
      <c r="AU8" s="1378"/>
      <c r="AV8" s="1378"/>
      <c r="AW8" s="1378"/>
      <c r="AX8" s="1378"/>
      <c r="AY8" s="1378"/>
      <c r="AZ8" s="1378"/>
      <c r="BA8" s="1378"/>
      <c r="BB8" s="1378"/>
      <c r="BC8" s="1378"/>
      <c r="BD8"/>
      <c r="BE8" s="198"/>
      <c r="BF8" s="198"/>
      <c r="BG8" s="198"/>
      <c r="BH8" s="198"/>
      <c r="BI8" s="198"/>
      <c r="BJ8" s="198"/>
      <c r="BK8" s="198"/>
      <c r="BL8" s="198"/>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c r="DR8" s="198"/>
      <c r="DS8" s="198"/>
      <c r="DT8" s="198"/>
    </row>
    <row r="9" spans="1:124" s="172" customFormat="1" ht="15" outlineLevel="1" x14ac:dyDescent="0.25">
      <c r="A9" s="212"/>
      <c r="B9" s="215" t="str">
        <f>Services!B9</f>
        <v>01A03</v>
      </c>
      <c r="C9" s="216" t="str">
        <f>Services!C9</f>
        <v>Système général de déclaration et de gestion des incidents</v>
      </c>
      <c r="D9" s="1146" t="str">
        <f t="shared" si="0"/>
        <v/>
      </c>
      <c r="E9" s="1378"/>
      <c r="F9" s="1378"/>
      <c r="G9" s="1378"/>
      <c r="H9" s="1378"/>
      <c r="I9" s="1378"/>
      <c r="J9" s="1378"/>
      <c r="K9" s="1378"/>
      <c r="L9" s="1378"/>
      <c r="M9" s="1378"/>
      <c r="N9" s="1378"/>
      <c r="O9" s="1378"/>
      <c r="P9" s="1378"/>
      <c r="Q9" s="1378"/>
      <c r="R9" s="1378"/>
      <c r="S9" s="1378"/>
      <c r="T9" s="1378"/>
      <c r="U9" s="1378"/>
      <c r="V9" s="1378"/>
      <c r="W9" s="1378"/>
      <c r="X9" s="1378"/>
      <c r="Y9" s="1378"/>
      <c r="Z9" s="1378"/>
      <c r="AA9" s="1378"/>
      <c r="AB9" s="1378"/>
      <c r="AC9" s="1378"/>
      <c r="AD9" s="1378"/>
      <c r="AE9" s="1378"/>
      <c r="AF9" s="1378"/>
      <c r="AG9" s="1378"/>
      <c r="AH9" s="1378"/>
      <c r="AI9" s="1378"/>
      <c r="AJ9" s="1378"/>
      <c r="AK9" s="1378"/>
      <c r="AL9" s="1378"/>
      <c r="AM9" s="1378"/>
      <c r="AN9" s="1378"/>
      <c r="AO9" s="1378"/>
      <c r="AP9" s="1378"/>
      <c r="AQ9" s="1378"/>
      <c r="AR9" s="1378"/>
      <c r="AS9" s="1378"/>
      <c r="AT9" s="1378"/>
      <c r="AU9" s="1378"/>
      <c r="AV9" s="1378"/>
      <c r="AW9" s="1378"/>
      <c r="AX9" s="1378"/>
      <c r="AY9" s="1378"/>
      <c r="AZ9" s="1378"/>
      <c r="BA9" s="1378"/>
      <c r="BB9" s="1378"/>
      <c r="BC9" s="1378"/>
      <c r="BD9"/>
      <c r="BE9" s="198"/>
      <c r="BF9" s="198"/>
      <c r="BG9" s="198"/>
      <c r="BH9" s="198"/>
      <c r="BI9" s="198"/>
      <c r="BJ9" s="198"/>
      <c r="BK9" s="198"/>
      <c r="BL9" s="198"/>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c r="DR9" s="198"/>
      <c r="DS9" s="198"/>
      <c r="DT9" s="198"/>
    </row>
    <row r="10" spans="1:124" s="172" customFormat="1" ht="14.25" outlineLevel="1" x14ac:dyDescent="0.25">
      <c r="A10" s="217"/>
      <c r="B10" s="215" t="str">
        <f>Services!B10</f>
        <v>01A04</v>
      </c>
      <c r="C10" s="216" t="str">
        <f>Services!C10</f>
        <v>Organisation des audits et du programme d'audit</v>
      </c>
      <c r="D10" s="1146" t="str">
        <f t="shared" si="0"/>
        <v/>
      </c>
      <c r="E10" s="1378"/>
      <c r="F10" s="1378"/>
      <c r="G10" s="1378"/>
      <c r="H10" s="1378"/>
      <c r="I10" s="1378"/>
      <c r="J10" s="1378"/>
      <c r="K10" s="1378"/>
      <c r="L10" s="1378"/>
      <c r="M10" s="1378"/>
      <c r="N10" s="1378"/>
      <c r="O10" s="1378"/>
      <c r="P10" s="1378"/>
      <c r="Q10" s="1378"/>
      <c r="R10" s="1378"/>
      <c r="S10" s="1378"/>
      <c r="T10" s="1378"/>
      <c r="U10" s="1378"/>
      <c r="V10" s="1378"/>
      <c r="W10" s="1378"/>
      <c r="X10" s="1378"/>
      <c r="Y10" s="1378"/>
      <c r="Z10" s="1378"/>
      <c r="AA10" s="1378"/>
      <c r="AB10" s="1378"/>
      <c r="AC10" s="1378"/>
      <c r="AD10" s="1378"/>
      <c r="AE10" s="1378"/>
      <c r="AF10" s="1378"/>
      <c r="AG10" s="1378"/>
      <c r="AH10" s="1378"/>
      <c r="AI10" s="1378"/>
      <c r="AJ10" s="1378"/>
      <c r="AK10" s="1378"/>
      <c r="AL10" s="1378"/>
      <c r="AM10" s="1378"/>
      <c r="AN10" s="1378"/>
      <c r="AO10" s="1378"/>
      <c r="AP10" s="1378"/>
      <c r="AQ10" s="1378"/>
      <c r="AR10" s="1378"/>
      <c r="AS10" s="1378"/>
      <c r="AT10" s="1378"/>
      <c r="AU10" s="1378"/>
      <c r="AV10" s="1378"/>
      <c r="AW10" s="1378"/>
      <c r="AX10" s="1378"/>
      <c r="AY10" s="1378"/>
      <c r="AZ10" s="1378"/>
      <c r="BA10" s="1378"/>
      <c r="BB10" s="1378"/>
      <c r="BC10" s="1378"/>
      <c r="BD10"/>
      <c r="BE10" s="198"/>
      <c r="BF10" s="198"/>
      <c r="BG10" s="198"/>
      <c r="BH10" s="198"/>
      <c r="BI10" s="198"/>
      <c r="BJ10" s="198"/>
      <c r="BK10" s="198"/>
      <c r="BL10" s="198"/>
      <c r="BM10" s="198"/>
      <c r="BN10" s="198"/>
      <c r="BO10" s="198"/>
      <c r="BP10" s="198"/>
      <c r="BQ10" s="198"/>
      <c r="BR10" s="198"/>
      <c r="BS10" s="198"/>
      <c r="BT10" s="198"/>
      <c r="BU10" s="198"/>
      <c r="BV10" s="198"/>
      <c r="BW10" s="198"/>
      <c r="BX10" s="198"/>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row>
    <row r="11" spans="1:124" s="172" customFormat="1" ht="14.25" outlineLevel="1" x14ac:dyDescent="0.25">
      <c r="A11" s="217"/>
      <c r="B11" s="215" t="str">
        <f>Services!B11</f>
        <v>01A05</v>
      </c>
      <c r="C11" s="216" t="str">
        <f>Services!C11</f>
        <v>Gestion de crise liée à la sécurité de l'information</v>
      </c>
      <c r="D11" s="1146" t="str">
        <f t="shared" si="0"/>
        <v/>
      </c>
      <c r="E11" s="1378"/>
      <c r="F11" s="1378"/>
      <c r="G11" s="1378"/>
      <c r="H11" s="1378"/>
      <c r="I11" s="1378"/>
      <c r="J11" s="1378"/>
      <c r="K11" s="1378"/>
      <c r="L11" s="1378"/>
      <c r="M11" s="1378"/>
      <c r="N11" s="1378"/>
      <c r="O11" s="1378"/>
      <c r="P11" s="1378"/>
      <c r="Q11" s="1378"/>
      <c r="R11" s="1378"/>
      <c r="S11" s="1378"/>
      <c r="T11" s="1378"/>
      <c r="U11" s="1378"/>
      <c r="V11" s="1378"/>
      <c r="W11" s="1378"/>
      <c r="X11" s="1378"/>
      <c r="Y11" s="1378"/>
      <c r="Z11" s="1378"/>
      <c r="AA11" s="1378"/>
      <c r="AB11" s="1378"/>
      <c r="AC11" s="1378"/>
      <c r="AD11" s="1378"/>
      <c r="AE11" s="1378"/>
      <c r="AF11" s="1378"/>
      <c r="AG11" s="1378"/>
      <c r="AH11" s="1378"/>
      <c r="AI11" s="1378"/>
      <c r="AJ11" s="1378"/>
      <c r="AK11" s="1378"/>
      <c r="AL11" s="1378"/>
      <c r="AM11" s="1378"/>
      <c r="AN11" s="1378"/>
      <c r="AO11" s="1378"/>
      <c r="AP11" s="1378"/>
      <c r="AQ11" s="1378"/>
      <c r="AR11" s="1378"/>
      <c r="AS11" s="1378"/>
      <c r="AT11" s="1378"/>
      <c r="AU11" s="1378"/>
      <c r="AV11" s="1378"/>
      <c r="AW11" s="1378"/>
      <c r="AX11" s="1378"/>
      <c r="AY11" s="1378"/>
      <c r="AZ11" s="1378"/>
      <c r="BA11" s="1378"/>
      <c r="BB11" s="1378"/>
      <c r="BC11" s="1378"/>
      <c r="BD11"/>
      <c r="BE11" s="198"/>
      <c r="BF11" s="198"/>
      <c r="BG11" s="198"/>
      <c r="BH11" s="198"/>
      <c r="BI11" s="198"/>
      <c r="BJ11" s="198"/>
      <c r="BK11" s="198"/>
      <c r="BL11" s="198"/>
      <c r="BM11" s="198"/>
      <c r="BN11" s="198"/>
      <c r="BO11" s="198"/>
      <c r="BP11" s="198"/>
      <c r="BQ11" s="198"/>
      <c r="BR11" s="198"/>
      <c r="BS11" s="198"/>
      <c r="BT11" s="198"/>
      <c r="BU11" s="198"/>
      <c r="BV11" s="198"/>
      <c r="BW11" s="198"/>
      <c r="BX11" s="198"/>
      <c r="BY11" s="198"/>
      <c r="BZ11" s="198"/>
      <c r="CA11" s="198"/>
      <c r="CB11" s="198"/>
      <c r="CC11" s="198"/>
      <c r="CD11" s="198"/>
      <c r="CE11" s="198"/>
      <c r="CF11" s="198"/>
      <c r="CG11" s="198"/>
      <c r="CH11" s="198"/>
      <c r="CI11" s="198"/>
      <c r="CJ11" s="198"/>
      <c r="CK11" s="198"/>
      <c r="CL11" s="198"/>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row>
    <row r="12" spans="1:124" s="172" customFormat="1" ht="15" outlineLevel="1" x14ac:dyDescent="0.25">
      <c r="A12" s="212"/>
      <c r="B12" s="213" t="str">
        <f>Services!B12</f>
        <v>01B</v>
      </c>
      <c r="C12" s="214" t="str">
        <f>Services!C12</f>
        <v>Référentiel de sécurité</v>
      </c>
      <c r="D12" s="1146" t="str">
        <f t="shared" si="0"/>
        <v/>
      </c>
      <c r="E12" s="1378"/>
      <c r="F12" s="1378"/>
      <c r="G12" s="1378"/>
      <c r="H12" s="1378"/>
      <c r="I12" s="1378"/>
      <c r="J12" s="1378"/>
      <c r="K12" s="1378"/>
      <c r="L12" s="1378"/>
      <c r="M12" s="1378"/>
      <c r="N12" s="1378"/>
      <c r="O12" s="1378"/>
      <c r="P12" s="1378"/>
      <c r="Q12" s="1378"/>
      <c r="R12" s="1378"/>
      <c r="S12" s="1378"/>
      <c r="T12" s="1378"/>
      <c r="U12" s="1378"/>
      <c r="V12" s="1378"/>
      <c r="W12" s="1378"/>
      <c r="X12" s="1378"/>
      <c r="Y12" s="1378"/>
      <c r="Z12" s="1378"/>
      <c r="AA12" s="1378"/>
      <c r="AB12" s="1378"/>
      <c r="AC12" s="1378"/>
      <c r="AD12" s="1378"/>
      <c r="AE12" s="1378"/>
      <c r="AF12" s="1378"/>
      <c r="AG12" s="1378"/>
      <c r="AH12" s="1378"/>
      <c r="AI12" s="1378"/>
      <c r="AJ12" s="1378"/>
      <c r="AK12" s="1378"/>
      <c r="AL12" s="1378"/>
      <c r="AM12" s="1378"/>
      <c r="AN12" s="1378"/>
      <c r="AO12" s="1378"/>
      <c r="AP12" s="1378"/>
      <c r="AQ12" s="1378"/>
      <c r="AR12" s="1378"/>
      <c r="AS12" s="1378"/>
      <c r="AT12" s="1378"/>
      <c r="AU12" s="1378"/>
      <c r="AV12" s="1378"/>
      <c r="AW12" s="1378"/>
      <c r="AX12" s="1378"/>
      <c r="AY12" s="1378"/>
      <c r="AZ12" s="1378"/>
      <c r="BA12" s="1378"/>
      <c r="BB12" s="1378"/>
      <c r="BC12" s="1378"/>
      <c r="BD12"/>
      <c r="BE12" s="198"/>
      <c r="BF12" s="198"/>
      <c r="BG12" s="198"/>
      <c r="BH12" s="198"/>
      <c r="BI12" s="198"/>
      <c r="BJ12" s="198"/>
      <c r="BK12" s="198"/>
      <c r="BL12" s="198"/>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c r="DS12" s="198"/>
      <c r="DT12" s="198"/>
    </row>
    <row r="13" spans="1:124" s="172" customFormat="1" ht="15" outlineLevel="1" x14ac:dyDescent="0.25">
      <c r="A13" s="212"/>
      <c r="B13" s="218" t="str">
        <f>Services!B13</f>
        <v>01B01</v>
      </c>
      <c r="C13" s="216" t="str">
        <f>Services!C13</f>
        <v>Devoirs et responsabilités du personnel et du management</v>
      </c>
      <c r="D13" s="1146" t="str">
        <f t="shared" si="0"/>
        <v/>
      </c>
      <c r="E13" s="1378"/>
      <c r="F13" s="1378"/>
      <c r="G13" s="1378"/>
      <c r="H13" s="1378"/>
      <c r="I13" s="1378"/>
      <c r="J13" s="1378"/>
      <c r="K13" s="1378"/>
      <c r="L13" s="1378"/>
      <c r="M13" s="1378"/>
      <c r="N13" s="1378"/>
      <c r="O13" s="1378"/>
      <c r="P13" s="1378"/>
      <c r="Q13" s="1378"/>
      <c r="R13" s="1378"/>
      <c r="S13" s="1378"/>
      <c r="T13" s="1378"/>
      <c r="U13" s="1378"/>
      <c r="V13" s="1378"/>
      <c r="W13" s="1378"/>
      <c r="X13" s="1378"/>
      <c r="Y13" s="1378"/>
      <c r="Z13" s="1378"/>
      <c r="AA13" s="1378"/>
      <c r="AB13" s="1378"/>
      <c r="AC13" s="1378"/>
      <c r="AD13" s="1378"/>
      <c r="AE13" s="1378"/>
      <c r="AF13" s="1378"/>
      <c r="AG13" s="1378"/>
      <c r="AH13" s="1378"/>
      <c r="AI13" s="1378"/>
      <c r="AJ13" s="1378"/>
      <c r="AK13" s="1378"/>
      <c r="AL13" s="1378"/>
      <c r="AM13" s="1378"/>
      <c r="AN13" s="1378"/>
      <c r="AO13" s="1378"/>
      <c r="AP13" s="1378"/>
      <c r="AQ13" s="1378"/>
      <c r="AR13" s="1378"/>
      <c r="AS13" s="1378"/>
      <c r="AT13" s="1378"/>
      <c r="AU13" s="1378"/>
      <c r="AV13" s="1378"/>
      <c r="AW13" s="1378"/>
      <c r="AX13" s="1378"/>
      <c r="AY13" s="1378"/>
      <c r="AZ13" s="1378"/>
      <c r="BA13" s="1378"/>
      <c r="BB13" s="1378"/>
      <c r="BC13" s="1378"/>
      <c r="BD13"/>
      <c r="BE13" s="198"/>
      <c r="BF13" s="198"/>
      <c r="BG13" s="198"/>
      <c r="BH13" s="198"/>
      <c r="BI13" s="198"/>
      <c r="BJ13" s="198"/>
      <c r="BK13" s="198"/>
      <c r="BL13" s="198"/>
      <c r="BM13" s="198"/>
      <c r="BN13" s="198"/>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row>
    <row r="14" spans="1:124" s="172" customFormat="1" ht="15" outlineLevel="1" x14ac:dyDescent="0.25">
      <c r="A14" s="212"/>
      <c r="B14" s="218" t="str">
        <f>Services!B14</f>
        <v>01B02</v>
      </c>
      <c r="C14" s="216" t="str">
        <f>Services!C14</f>
        <v>Directives générales relatives à la protection de l'information</v>
      </c>
      <c r="D14" s="1146" t="str">
        <f t="shared" si="0"/>
        <v/>
      </c>
      <c r="E14" s="1378"/>
      <c r="F14" s="1378"/>
      <c r="G14" s="1378"/>
      <c r="H14" s="1378"/>
      <c r="I14" s="1378"/>
      <c r="J14" s="1378"/>
      <c r="K14" s="1378"/>
      <c r="L14" s="1378"/>
      <c r="M14" s="1378"/>
      <c r="N14" s="1378"/>
      <c r="O14" s="1378"/>
      <c r="P14" s="1378"/>
      <c r="Q14" s="1378"/>
      <c r="R14" s="1378"/>
      <c r="S14" s="1378"/>
      <c r="T14" s="1378"/>
      <c r="U14" s="1378"/>
      <c r="V14" s="1378"/>
      <c r="W14" s="1378"/>
      <c r="X14" s="1378"/>
      <c r="Y14" s="1378"/>
      <c r="Z14" s="1378"/>
      <c r="AA14" s="1378"/>
      <c r="AB14" s="1378"/>
      <c r="AC14" s="1378"/>
      <c r="AD14" s="1378"/>
      <c r="AE14" s="1378"/>
      <c r="AF14" s="1378"/>
      <c r="AG14" s="1378"/>
      <c r="AH14" s="1378"/>
      <c r="AI14" s="1378"/>
      <c r="AJ14" s="1378"/>
      <c r="AK14" s="1378"/>
      <c r="AL14" s="1378"/>
      <c r="AM14" s="1378"/>
      <c r="AN14" s="1378"/>
      <c r="AO14" s="1378"/>
      <c r="AP14" s="1378"/>
      <c r="AQ14" s="1378"/>
      <c r="AR14" s="1378"/>
      <c r="AS14" s="1378"/>
      <c r="AT14" s="1378"/>
      <c r="AU14" s="1378"/>
      <c r="AV14" s="1378"/>
      <c r="AW14" s="1378"/>
      <c r="AX14" s="1378"/>
      <c r="AY14" s="1378"/>
      <c r="AZ14" s="1378"/>
      <c r="BA14" s="1378"/>
      <c r="BB14" s="1378"/>
      <c r="BC14" s="1378"/>
      <c r="BD14"/>
      <c r="BE14" s="198"/>
      <c r="BF14" s="198"/>
      <c r="BG14" s="198"/>
      <c r="BH14" s="198"/>
      <c r="BI14" s="198"/>
      <c r="BJ14" s="198"/>
      <c r="BK14" s="198"/>
      <c r="BL14" s="198"/>
      <c r="BM14" s="198"/>
      <c r="BN14" s="198"/>
      <c r="BO14" s="198"/>
      <c r="BP14" s="198"/>
      <c r="BQ14" s="198"/>
      <c r="BR14" s="198"/>
      <c r="BS14" s="198"/>
      <c r="BT14" s="198"/>
      <c r="BU14" s="198"/>
      <c r="BV14" s="198"/>
      <c r="BW14" s="198"/>
      <c r="BX14" s="198"/>
      <c r="BY14" s="198"/>
      <c r="BZ14" s="198"/>
      <c r="CA14" s="198"/>
      <c r="CB14" s="198"/>
      <c r="CC14" s="198"/>
      <c r="CD14" s="198"/>
      <c r="CE14" s="198"/>
      <c r="CF14" s="198"/>
      <c r="CG14" s="198"/>
      <c r="CH14" s="198"/>
      <c r="CI14" s="198"/>
      <c r="CJ14" s="198"/>
      <c r="CK14" s="198"/>
      <c r="CL14" s="198"/>
      <c r="CM14" s="198"/>
      <c r="CN14" s="198"/>
      <c r="CO14" s="198"/>
      <c r="CP14" s="198"/>
      <c r="CQ14" s="198"/>
      <c r="CR14" s="198"/>
      <c r="CS14" s="198"/>
      <c r="CT14" s="198"/>
      <c r="CU14" s="198"/>
      <c r="CV14" s="198"/>
      <c r="CW14" s="198"/>
      <c r="CX14" s="198"/>
      <c r="CY14" s="198"/>
      <c r="CZ14" s="198"/>
      <c r="DA14" s="198"/>
      <c r="DB14" s="198"/>
      <c r="DC14" s="198"/>
      <c r="DD14" s="198"/>
      <c r="DE14" s="198"/>
      <c r="DF14" s="198"/>
      <c r="DG14" s="198"/>
      <c r="DH14" s="198"/>
      <c r="DI14" s="198"/>
      <c r="DJ14" s="198"/>
      <c r="DK14" s="198"/>
      <c r="DL14" s="198"/>
      <c r="DM14" s="198"/>
      <c r="DN14" s="198"/>
      <c r="DO14" s="198"/>
      <c r="DP14" s="198"/>
      <c r="DQ14" s="198"/>
      <c r="DR14" s="198"/>
      <c r="DS14" s="198"/>
      <c r="DT14" s="198"/>
    </row>
    <row r="15" spans="1:124" s="172" customFormat="1" ht="15" outlineLevel="1" x14ac:dyDescent="0.25">
      <c r="A15" s="212"/>
      <c r="B15" s="218" t="str">
        <f>Services!B15</f>
        <v>01B03</v>
      </c>
      <c r="C15" s="216" t="str">
        <f>Services!C15</f>
        <v>Classification les ressources</v>
      </c>
      <c r="D15" s="1146" t="str">
        <f t="shared" si="0"/>
        <v/>
      </c>
      <c r="E15" s="1378"/>
      <c r="F15" s="1378"/>
      <c r="G15" s="1378"/>
      <c r="H15" s="1378"/>
      <c r="I15" s="1378"/>
      <c r="J15" s="1378"/>
      <c r="K15" s="1378"/>
      <c r="L15" s="1378"/>
      <c r="M15" s="1378"/>
      <c r="N15" s="1378"/>
      <c r="O15" s="1378"/>
      <c r="P15" s="1378"/>
      <c r="Q15" s="1378"/>
      <c r="R15" s="1378"/>
      <c r="S15" s="1378"/>
      <c r="T15" s="1378"/>
      <c r="U15" s="1378"/>
      <c r="V15" s="1378"/>
      <c r="W15" s="1378"/>
      <c r="X15" s="1378"/>
      <c r="Y15" s="1378"/>
      <c r="Z15" s="1378"/>
      <c r="AA15" s="1378"/>
      <c r="AB15" s="1378"/>
      <c r="AC15" s="1378"/>
      <c r="AD15" s="1378"/>
      <c r="AE15" s="1378"/>
      <c r="AF15" s="1378"/>
      <c r="AG15" s="1378"/>
      <c r="AH15" s="1378"/>
      <c r="AI15" s="1378"/>
      <c r="AJ15" s="1378"/>
      <c r="AK15" s="1378"/>
      <c r="AL15" s="1378"/>
      <c r="AM15" s="1378"/>
      <c r="AN15" s="1378"/>
      <c r="AO15" s="1378"/>
      <c r="AP15" s="1378"/>
      <c r="AQ15" s="1378"/>
      <c r="AR15" s="1378"/>
      <c r="AS15" s="1378"/>
      <c r="AT15" s="1378"/>
      <c r="AU15" s="1378"/>
      <c r="AV15" s="1378"/>
      <c r="AW15" s="1378"/>
      <c r="AX15" s="1378"/>
      <c r="AY15" s="1378"/>
      <c r="AZ15" s="1378"/>
      <c r="BA15" s="1378"/>
      <c r="BB15" s="1378"/>
      <c r="BC15" s="1378"/>
      <c r="BD15"/>
      <c r="BE15" s="198"/>
      <c r="BF15" s="198"/>
      <c r="BG15" s="198"/>
      <c r="BH15" s="198"/>
      <c r="BI15" s="198"/>
      <c r="BJ15" s="198"/>
      <c r="BK15" s="198"/>
      <c r="BL15" s="198"/>
      <c r="BM15" s="198"/>
      <c r="BN15" s="198"/>
      <c r="BO15" s="198"/>
      <c r="BP15" s="198"/>
      <c r="BQ15" s="198"/>
      <c r="BR15" s="198"/>
      <c r="BS15" s="198"/>
      <c r="BT15" s="198"/>
      <c r="BU15" s="198"/>
      <c r="BV15" s="198"/>
      <c r="BW15" s="198"/>
      <c r="BX15" s="198"/>
      <c r="BY15" s="198"/>
      <c r="BZ15" s="198"/>
      <c r="CA15" s="198"/>
      <c r="CB15" s="198"/>
      <c r="CC15" s="198"/>
      <c r="CD15" s="198"/>
      <c r="CE15" s="198"/>
      <c r="CF15" s="198"/>
      <c r="CG15" s="198"/>
      <c r="CH15" s="198"/>
      <c r="CI15" s="198"/>
      <c r="CJ15" s="198"/>
      <c r="CK15" s="198"/>
      <c r="CL15" s="198"/>
      <c r="CM15" s="198"/>
      <c r="CN15" s="198"/>
      <c r="CO15" s="198"/>
      <c r="CP15" s="198"/>
      <c r="CQ15" s="198"/>
      <c r="CR15" s="198"/>
      <c r="CS15" s="198"/>
      <c r="CT15" s="198"/>
      <c r="CU15" s="198"/>
      <c r="CV15" s="198"/>
      <c r="CW15" s="198"/>
      <c r="CX15" s="198"/>
      <c r="CY15" s="198"/>
      <c r="CZ15" s="198"/>
      <c r="DA15" s="198"/>
      <c r="DB15" s="198"/>
      <c r="DC15" s="198"/>
      <c r="DD15" s="198"/>
      <c r="DE15" s="198"/>
      <c r="DF15" s="198"/>
      <c r="DG15" s="198"/>
      <c r="DH15" s="198"/>
      <c r="DI15" s="198"/>
      <c r="DJ15" s="198"/>
      <c r="DK15" s="198"/>
      <c r="DL15" s="198"/>
      <c r="DM15" s="198"/>
      <c r="DN15" s="198"/>
      <c r="DO15" s="198"/>
      <c r="DP15" s="198"/>
      <c r="DQ15" s="198"/>
      <c r="DR15" s="198"/>
      <c r="DS15" s="198"/>
      <c r="DT15" s="198"/>
    </row>
    <row r="16" spans="1:124" s="172" customFormat="1" ht="15" outlineLevel="1" x14ac:dyDescent="0.25">
      <c r="A16" s="212"/>
      <c r="B16" s="218" t="str">
        <f>Services!B16</f>
        <v>01B04</v>
      </c>
      <c r="C16" s="216" t="str">
        <f>Services!C16</f>
        <v>Gestion des actifs</v>
      </c>
      <c r="D16" s="1146" t="str">
        <f t="shared" si="0"/>
        <v/>
      </c>
      <c r="E16" s="1378"/>
      <c r="F16" s="1378"/>
      <c r="G16" s="1378"/>
      <c r="H16" s="1378"/>
      <c r="I16" s="1378"/>
      <c r="J16" s="1378"/>
      <c r="K16" s="1378"/>
      <c r="L16" s="1378"/>
      <c r="M16" s="1378"/>
      <c r="N16" s="1378"/>
      <c r="O16" s="1378"/>
      <c r="P16" s="1378"/>
      <c r="Q16" s="1378"/>
      <c r="R16" s="1378"/>
      <c r="S16" s="1378"/>
      <c r="T16" s="1378"/>
      <c r="U16" s="1378"/>
      <c r="V16" s="1378"/>
      <c r="W16" s="1378"/>
      <c r="X16" s="1378"/>
      <c r="Y16" s="1378"/>
      <c r="Z16" s="1378"/>
      <c r="AA16" s="1378"/>
      <c r="AB16" s="1378"/>
      <c r="AC16" s="1378"/>
      <c r="AD16" s="1378"/>
      <c r="AE16" s="1378"/>
      <c r="AF16" s="1378"/>
      <c r="AG16" s="1378"/>
      <c r="AH16" s="1378"/>
      <c r="AI16" s="1378"/>
      <c r="AJ16" s="1378"/>
      <c r="AK16" s="1378"/>
      <c r="AL16" s="1378"/>
      <c r="AM16" s="1378"/>
      <c r="AN16" s="1378"/>
      <c r="AO16" s="1378"/>
      <c r="AP16" s="1378"/>
      <c r="AQ16" s="1378"/>
      <c r="AR16" s="1378"/>
      <c r="AS16" s="1378"/>
      <c r="AT16" s="1378"/>
      <c r="AU16" s="1378"/>
      <c r="AV16" s="1378"/>
      <c r="AW16" s="1378"/>
      <c r="AX16" s="1378"/>
      <c r="AY16" s="1378"/>
      <c r="AZ16" s="1378"/>
      <c r="BA16" s="1378"/>
      <c r="BB16" s="1378"/>
      <c r="BC16" s="1378"/>
      <c r="BD16"/>
      <c r="BE16" s="198"/>
      <c r="BF16" s="198"/>
      <c r="BG16" s="198"/>
      <c r="BH16" s="198"/>
      <c r="BI16" s="198"/>
      <c r="BJ16" s="198"/>
      <c r="BK16" s="198"/>
      <c r="BL16" s="198"/>
      <c r="BM16" s="198"/>
      <c r="BN16" s="198"/>
      <c r="BO16" s="198"/>
      <c r="BP16" s="198"/>
      <c r="BQ16" s="198"/>
      <c r="BR16" s="198"/>
      <c r="BS16" s="198"/>
      <c r="BT16" s="198"/>
      <c r="BU16" s="198"/>
      <c r="BV16" s="198"/>
      <c r="BW16" s="198"/>
      <c r="BX16" s="198"/>
      <c r="BY16" s="198"/>
      <c r="BZ16" s="198"/>
      <c r="CA16" s="198"/>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98"/>
      <c r="CY16" s="198"/>
      <c r="CZ16" s="198"/>
      <c r="DA16" s="198"/>
      <c r="DB16" s="198"/>
      <c r="DC16" s="198"/>
      <c r="DD16" s="198"/>
      <c r="DE16" s="198"/>
      <c r="DF16" s="198"/>
      <c r="DG16" s="198"/>
      <c r="DH16" s="198"/>
      <c r="DI16" s="198"/>
      <c r="DJ16" s="198"/>
      <c r="DK16" s="198"/>
      <c r="DL16" s="198"/>
      <c r="DM16" s="198"/>
      <c r="DN16" s="198"/>
      <c r="DO16" s="198"/>
      <c r="DP16" s="198"/>
      <c r="DQ16" s="198"/>
      <c r="DR16" s="198"/>
      <c r="DS16" s="198"/>
      <c r="DT16" s="198"/>
    </row>
    <row r="17" spans="1:124" s="172" customFormat="1" ht="15" outlineLevel="1" x14ac:dyDescent="0.25">
      <c r="A17" s="212"/>
      <c r="B17" s="218" t="str">
        <f>Services!B17</f>
        <v>01B05</v>
      </c>
      <c r="C17" s="216" t="str">
        <f>Services!C17</f>
        <v>Protection des actifs ayant valeur de preuve</v>
      </c>
      <c r="D17" s="1146" t="str">
        <f t="shared" si="0"/>
        <v/>
      </c>
      <c r="E17" s="1378"/>
      <c r="F17" s="1378"/>
      <c r="G17" s="1378"/>
      <c r="H17" s="1378"/>
      <c r="I17" s="1378"/>
      <c r="J17" s="1378"/>
      <c r="K17" s="1378"/>
      <c r="L17" s="1378"/>
      <c r="M17" s="1378"/>
      <c r="N17" s="1378"/>
      <c r="O17" s="1378"/>
      <c r="P17" s="1378"/>
      <c r="Q17" s="1378"/>
      <c r="R17" s="1378"/>
      <c r="S17" s="1378"/>
      <c r="T17" s="1378"/>
      <c r="U17" s="1378"/>
      <c r="V17" s="1378"/>
      <c r="W17" s="1378"/>
      <c r="X17" s="1378"/>
      <c r="Y17" s="1378"/>
      <c r="Z17" s="1378"/>
      <c r="AA17" s="1378"/>
      <c r="AB17" s="1378"/>
      <c r="AC17" s="1378"/>
      <c r="AD17" s="1378"/>
      <c r="AE17" s="1378"/>
      <c r="AF17" s="1378"/>
      <c r="AG17" s="1378"/>
      <c r="AH17" s="1378"/>
      <c r="AI17" s="1378"/>
      <c r="AJ17" s="1378"/>
      <c r="AK17" s="1378"/>
      <c r="AL17" s="1378"/>
      <c r="AM17" s="1378"/>
      <c r="AN17" s="1378"/>
      <c r="AO17" s="1378"/>
      <c r="AP17" s="1378"/>
      <c r="AQ17" s="1378"/>
      <c r="AR17" s="1378"/>
      <c r="AS17" s="1378"/>
      <c r="AT17" s="1378"/>
      <c r="AU17" s="1378"/>
      <c r="AV17" s="1378"/>
      <c r="AW17" s="1378"/>
      <c r="AX17" s="1378"/>
      <c r="AY17" s="1378"/>
      <c r="AZ17" s="1378"/>
      <c r="BA17" s="1378"/>
      <c r="BB17" s="1378"/>
      <c r="BC17" s="1378"/>
      <c r="BD17"/>
      <c r="BE17" s="198"/>
      <c r="BF17" s="198"/>
      <c r="BG17" s="198"/>
      <c r="BH17" s="198"/>
      <c r="BI17" s="198"/>
      <c r="BJ17" s="198"/>
      <c r="BK17" s="198"/>
      <c r="BL17" s="198"/>
      <c r="BM17" s="198"/>
      <c r="BN17" s="198"/>
      <c r="BO17" s="198"/>
      <c r="BP17" s="198"/>
      <c r="BQ17" s="198"/>
      <c r="BR17" s="198"/>
      <c r="BS17" s="198"/>
      <c r="BT17" s="198"/>
      <c r="BU17" s="198"/>
      <c r="BV17" s="198"/>
      <c r="BW17" s="198"/>
      <c r="BX17" s="198"/>
      <c r="BY17" s="198"/>
      <c r="BZ17" s="198"/>
      <c r="CA17" s="198"/>
      <c r="CB17" s="198"/>
      <c r="CC17" s="198"/>
      <c r="CD17" s="198"/>
      <c r="CE17" s="198"/>
      <c r="CF17" s="198"/>
      <c r="CG17" s="198"/>
      <c r="CH17" s="198"/>
      <c r="CI17" s="198"/>
      <c r="CJ17" s="198"/>
      <c r="CK17" s="198"/>
      <c r="CL17" s="198"/>
      <c r="CM17" s="198"/>
      <c r="CN17" s="198"/>
      <c r="CO17" s="198"/>
      <c r="CP17" s="198"/>
      <c r="CQ17" s="198"/>
      <c r="CR17" s="198"/>
      <c r="CS17" s="198"/>
      <c r="CT17" s="198"/>
      <c r="CU17" s="198"/>
      <c r="CV17" s="198"/>
      <c r="CW17" s="198"/>
      <c r="CX17" s="198"/>
      <c r="CY17" s="198"/>
      <c r="CZ17" s="198"/>
      <c r="DA17" s="198"/>
      <c r="DB17" s="198"/>
      <c r="DC17" s="198"/>
      <c r="DD17" s="198"/>
      <c r="DE17" s="198"/>
      <c r="DF17" s="198"/>
      <c r="DG17" s="198"/>
      <c r="DH17" s="198"/>
      <c r="DI17" s="198"/>
      <c r="DJ17" s="198"/>
      <c r="DK17" s="198"/>
      <c r="DL17" s="198"/>
      <c r="DM17" s="198"/>
      <c r="DN17" s="198"/>
      <c r="DO17" s="198"/>
      <c r="DP17" s="198"/>
      <c r="DQ17" s="198"/>
      <c r="DR17" s="198"/>
      <c r="DS17" s="198"/>
      <c r="DT17" s="198"/>
    </row>
    <row r="18" spans="1:124" s="172" customFormat="1" ht="15" outlineLevel="1" x14ac:dyDescent="0.25">
      <c r="A18" s="212"/>
      <c r="B18" s="213" t="str">
        <f>Services!B18</f>
        <v>01C</v>
      </c>
      <c r="C18" s="214" t="str">
        <f>Services!C18</f>
        <v xml:space="preserve">Gestion des ressources humaines </v>
      </c>
      <c r="D18" s="1146" t="str">
        <f t="shared" si="0"/>
        <v/>
      </c>
      <c r="E18" s="1378"/>
      <c r="F18" s="1378"/>
      <c r="G18" s="1378"/>
      <c r="H18" s="1378"/>
      <c r="I18" s="1378"/>
      <c r="J18" s="1378"/>
      <c r="K18" s="1378"/>
      <c r="L18" s="1378"/>
      <c r="M18" s="1378"/>
      <c r="N18" s="1378"/>
      <c r="O18" s="1378"/>
      <c r="P18" s="1378"/>
      <c r="Q18" s="1378"/>
      <c r="R18" s="1378"/>
      <c r="S18" s="1378"/>
      <c r="T18" s="1378"/>
      <c r="U18" s="1378"/>
      <c r="V18" s="1378"/>
      <c r="W18" s="1378"/>
      <c r="X18" s="1378"/>
      <c r="Y18" s="1378"/>
      <c r="Z18" s="1378"/>
      <c r="AA18" s="1378"/>
      <c r="AB18" s="1378"/>
      <c r="AC18" s="1378"/>
      <c r="AD18" s="1378"/>
      <c r="AE18" s="1378"/>
      <c r="AF18" s="1378"/>
      <c r="AG18" s="1378"/>
      <c r="AH18" s="1378"/>
      <c r="AI18" s="1378"/>
      <c r="AJ18" s="1378"/>
      <c r="AK18" s="1378"/>
      <c r="AL18" s="1378"/>
      <c r="AM18" s="1378"/>
      <c r="AN18" s="1378"/>
      <c r="AO18" s="1378"/>
      <c r="AP18" s="1378"/>
      <c r="AQ18" s="1378"/>
      <c r="AR18" s="1378"/>
      <c r="AS18" s="1378"/>
      <c r="AT18" s="1378"/>
      <c r="AU18" s="1378"/>
      <c r="AV18" s="1378"/>
      <c r="AW18" s="1378"/>
      <c r="AX18" s="1378"/>
      <c r="AY18" s="1378"/>
      <c r="AZ18" s="1378"/>
      <c r="BA18" s="1378"/>
      <c r="BB18" s="1378"/>
      <c r="BC18" s="1378"/>
      <c r="BD18"/>
      <c r="BE18" s="198"/>
      <c r="BF18" s="198"/>
      <c r="BG18" s="198"/>
      <c r="BH18" s="198"/>
      <c r="BI18" s="198"/>
      <c r="BJ18" s="198"/>
      <c r="BK18" s="198"/>
      <c r="BL18" s="198"/>
      <c r="BM18" s="198"/>
      <c r="BN18" s="198"/>
      <c r="BO18" s="198"/>
      <c r="BP18" s="198"/>
      <c r="BQ18" s="198"/>
      <c r="BR18" s="198"/>
      <c r="BS18" s="198"/>
      <c r="BT18" s="198"/>
      <c r="BU18" s="198"/>
      <c r="BV18" s="198"/>
      <c r="BW18" s="198"/>
      <c r="BX18" s="198"/>
      <c r="BY18" s="198"/>
      <c r="BZ18" s="198"/>
      <c r="CA18" s="198"/>
      <c r="CB18" s="198"/>
      <c r="CC18" s="198"/>
      <c r="CD18" s="198"/>
      <c r="CE18" s="198"/>
      <c r="CF18" s="198"/>
      <c r="CG18" s="198"/>
      <c r="CH18" s="198"/>
      <c r="CI18" s="198"/>
      <c r="CJ18" s="198"/>
      <c r="CK18" s="198"/>
      <c r="CL18" s="198"/>
      <c r="CM18" s="198"/>
      <c r="CN18" s="198"/>
      <c r="CO18" s="198"/>
      <c r="CP18" s="198"/>
      <c r="CQ18" s="198"/>
      <c r="CR18" s="198"/>
      <c r="CS18" s="198"/>
      <c r="CT18" s="198"/>
      <c r="CU18" s="198"/>
      <c r="CV18" s="198"/>
      <c r="CW18" s="198"/>
      <c r="CX18" s="198"/>
      <c r="CY18" s="198"/>
      <c r="CZ18" s="198"/>
      <c r="DA18" s="198"/>
      <c r="DB18" s="198"/>
      <c r="DC18" s="198"/>
      <c r="DD18" s="198"/>
      <c r="DE18" s="198"/>
      <c r="DF18" s="198"/>
      <c r="DG18" s="198"/>
      <c r="DH18" s="198"/>
      <c r="DI18" s="198"/>
      <c r="DJ18" s="198"/>
      <c r="DK18" s="198"/>
      <c r="DL18" s="198"/>
      <c r="DM18" s="198"/>
      <c r="DN18" s="198"/>
      <c r="DO18" s="198"/>
      <c r="DP18" s="198"/>
      <c r="DQ18" s="198"/>
      <c r="DR18" s="198"/>
      <c r="DS18" s="198"/>
      <c r="DT18" s="198"/>
    </row>
    <row r="19" spans="1:124" s="172" customFormat="1" ht="15" outlineLevel="1" x14ac:dyDescent="0.25">
      <c r="A19" s="212"/>
      <c r="B19" s="218" t="str">
        <f>Services!B19</f>
        <v>01C01</v>
      </c>
      <c r="C19" s="216" t="str">
        <f>Services!C19</f>
        <v>Engagement du personnel - clauses contractuelles</v>
      </c>
      <c r="D19" s="1146" t="str">
        <f t="shared" si="0"/>
        <v/>
      </c>
      <c r="E19" s="1378"/>
      <c r="F19" s="1378"/>
      <c r="G19" s="1378"/>
      <c r="H19" s="1378"/>
      <c r="I19" s="1378"/>
      <c r="J19" s="1378"/>
      <c r="K19" s="1378"/>
      <c r="L19" s="1378"/>
      <c r="M19" s="1378"/>
      <c r="N19" s="1378"/>
      <c r="O19" s="1378"/>
      <c r="P19" s="1378"/>
      <c r="Q19" s="1378"/>
      <c r="R19" s="1378"/>
      <c r="S19" s="1378"/>
      <c r="T19" s="1378"/>
      <c r="U19" s="1378"/>
      <c r="V19" s="1378"/>
      <c r="W19" s="1378"/>
      <c r="X19" s="1378"/>
      <c r="Y19" s="1378"/>
      <c r="Z19" s="1378"/>
      <c r="AA19" s="1378"/>
      <c r="AB19" s="1378"/>
      <c r="AC19" s="1378"/>
      <c r="AD19" s="1378"/>
      <c r="AE19" s="1378"/>
      <c r="AF19" s="1378"/>
      <c r="AG19" s="1378"/>
      <c r="AH19" s="1378"/>
      <c r="AI19" s="1378"/>
      <c r="AJ19" s="1378"/>
      <c r="AK19" s="1378"/>
      <c r="AL19" s="1378"/>
      <c r="AM19" s="1378"/>
      <c r="AN19" s="1378"/>
      <c r="AO19" s="1378"/>
      <c r="AP19" s="1378"/>
      <c r="AQ19" s="1378"/>
      <c r="AR19" s="1378"/>
      <c r="AS19" s="1378"/>
      <c r="AT19" s="1378"/>
      <c r="AU19" s="1378"/>
      <c r="AV19" s="1378"/>
      <c r="AW19" s="1378"/>
      <c r="AX19" s="1378"/>
      <c r="AY19" s="1378"/>
      <c r="AZ19" s="1378"/>
      <c r="BA19" s="1378"/>
      <c r="BB19" s="1378"/>
      <c r="BC19" s="1378"/>
      <c r="BD19"/>
      <c r="BE19" s="198"/>
      <c r="BF19" s="198"/>
      <c r="BG19" s="198"/>
      <c r="BH19" s="198"/>
      <c r="BI19" s="198"/>
      <c r="BJ19" s="198"/>
      <c r="BK19" s="198"/>
      <c r="BL19" s="198"/>
      <c r="BM19" s="198"/>
      <c r="BN19" s="198"/>
      <c r="BO19" s="198"/>
      <c r="BP19" s="198"/>
      <c r="BQ19" s="198"/>
      <c r="BR19" s="198"/>
      <c r="BS19" s="198"/>
      <c r="BT19" s="198"/>
      <c r="BU19" s="198"/>
      <c r="BV19" s="198"/>
      <c r="BW19" s="198"/>
      <c r="BX19" s="198"/>
      <c r="BY19" s="198"/>
      <c r="BZ19" s="198"/>
      <c r="CA19" s="198"/>
      <c r="CB19" s="198"/>
      <c r="CC19" s="198"/>
      <c r="CD19" s="198"/>
      <c r="CE19" s="198"/>
      <c r="CF19" s="198"/>
      <c r="CG19" s="198"/>
      <c r="CH19" s="198"/>
      <c r="CI19" s="198"/>
      <c r="CJ19" s="198"/>
      <c r="CK19" s="198"/>
      <c r="CL19" s="198"/>
      <c r="CM19" s="198"/>
      <c r="CN19" s="198"/>
      <c r="CO19" s="198"/>
      <c r="CP19" s="198"/>
      <c r="CQ19" s="198"/>
      <c r="CR19" s="198"/>
      <c r="CS19" s="198"/>
      <c r="CT19" s="198"/>
      <c r="CU19" s="198"/>
      <c r="CV19" s="198"/>
      <c r="CW19" s="198"/>
      <c r="CX19" s="198"/>
      <c r="CY19" s="198"/>
      <c r="CZ19" s="198"/>
      <c r="DA19" s="198"/>
      <c r="DB19" s="198"/>
      <c r="DC19" s="198"/>
      <c r="DD19" s="198"/>
      <c r="DE19" s="198"/>
      <c r="DF19" s="198"/>
      <c r="DG19" s="198"/>
      <c r="DH19" s="198"/>
      <c r="DI19" s="198"/>
      <c r="DJ19" s="198"/>
      <c r="DK19" s="198"/>
      <c r="DL19" s="198"/>
      <c r="DM19" s="198"/>
      <c r="DN19" s="198"/>
      <c r="DO19" s="198"/>
      <c r="DP19" s="198"/>
      <c r="DQ19" s="198"/>
      <c r="DR19" s="198"/>
      <c r="DS19" s="198"/>
      <c r="DT19" s="198"/>
    </row>
    <row r="20" spans="1:124" s="172" customFormat="1" ht="15" outlineLevel="1" x14ac:dyDescent="0.25">
      <c r="A20" s="212"/>
      <c r="B20" s="218" t="str">
        <f>Services!B20</f>
        <v>01C02</v>
      </c>
      <c r="C20" s="216" t="str">
        <f>Services!C20</f>
        <v>Gestion du personnel et des partenaires ou prestataires stratégiques</v>
      </c>
      <c r="D20" s="1146" t="str">
        <f t="shared" si="0"/>
        <v/>
      </c>
      <c r="E20" s="1378"/>
      <c r="F20" s="1378"/>
      <c r="G20" s="1378"/>
      <c r="H20" s="1378"/>
      <c r="I20" s="1378"/>
      <c r="J20" s="1378"/>
      <c r="K20" s="1378"/>
      <c r="L20" s="1378"/>
      <c r="M20" s="1378"/>
      <c r="N20" s="1378"/>
      <c r="O20" s="1378"/>
      <c r="P20" s="1378"/>
      <c r="Q20" s="1378"/>
      <c r="R20" s="1378"/>
      <c r="S20" s="1378"/>
      <c r="T20" s="1378"/>
      <c r="U20" s="1378"/>
      <c r="V20" s="1378"/>
      <c r="W20" s="1378"/>
      <c r="X20" s="1378"/>
      <c r="Y20" s="1378"/>
      <c r="Z20" s="1378"/>
      <c r="AA20" s="1378"/>
      <c r="AB20" s="1378"/>
      <c r="AC20" s="1378"/>
      <c r="AD20" s="1378"/>
      <c r="AE20" s="1378"/>
      <c r="AF20" s="1378"/>
      <c r="AG20" s="1378"/>
      <c r="AH20" s="1378"/>
      <c r="AI20" s="1378">
        <f>IF(INDEX(Tab_actions,205,1)=1,INDEX(Tab_actions,205,4),0)</f>
        <v>0</v>
      </c>
      <c r="AJ20" s="1378">
        <f>IF(INDEX(Tab_actions,212,1)=1,INDEX(Tab_actions,212,4),0)</f>
        <v>0</v>
      </c>
      <c r="AK20" s="1378">
        <f>IF(INDEX(Tab_actions,221,1)=1,INDEX(Tab_actions,221,4),0)</f>
        <v>0</v>
      </c>
      <c r="AL20" s="1378">
        <f>IF(INDEX(Tab_actions,230,1)=1,INDEX(Tab_actions,230,4),0)</f>
        <v>0</v>
      </c>
      <c r="AM20" s="1378"/>
      <c r="AN20" s="1378">
        <f>IF(INDEX(Tab_actions,246,1)=1,INDEX(Tab_actions,246,4),0)</f>
        <v>0</v>
      </c>
      <c r="AO20" s="1378">
        <f>IF(INDEX(Tab_actions,255,1)=1,INDEX(Tab_actions,255,4),0)</f>
        <v>0</v>
      </c>
      <c r="AP20" s="1378"/>
      <c r="AQ20" s="1378"/>
      <c r="AR20" s="1378"/>
      <c r="AS20" s="1378"/>
      <c r="AT20" s="1378"/>
      <c r="AU20" s="1378"/>
      <c r="AV20" s="1378"/>
      <c r="AW20" s="1378"/>
      <c r="AX20" s="1378"/>
      <c r="AY20" s="1378"/>
      <c r="AZ20" s="1378"/>
      <c r="BA20" s="1378"/>
      <c r="BB20" s="1378"/>
      <c r="BC20" s="1378"/>
      <c r="BD20"/>
      <c r="BE20" s="198"/>
      <c r="BF20" s="198"/>
      <c r="BG20" s="198"/>
      <c r="BH20" s="198"/>
      <c r="BI20" s="198"/>
      <c r="BJ20" s="198"/>
      <c r="BK20" s="198"/>
      <c r="BL20" s="198"/>
      <c r="BM20" s="198"/>
      <c r="BN20" s="198"/>
      <c r="BO20" s="198"/>
      <c r="BP20" s="198"/>
      <c r="BQ20" s="198"/>
      <c r="BR20" s="198"/>
      <c r="BS20" s="198"/>
      <c r="BT20" s="198"/>
      <c r="BU20" s="198"/>
      <c r="BV20" s="198"/>
      <c r="BW20" s="198"/>
      <c r="BX20" s="198"/>
      <c r="BY20" s="198"/>
      <c r="BZ20" s="198"/>
      <c r="CA20" s="198"/>
      <c r="CB20" s="198"/>
      <c r="CC20" s="198"/>
      <c r="CD20" s="198"/>
      <c r="CE20" s="198"/>
      <c r="CF20" s="198"/>
      <c r="CG20" s="198"/>
      <c r="CH20" s="198"/>
      <c r="CI20" s="198"/>
      <c r="CJ20" s="198"/>
      <c r="CK20" s="198"/>
      <c r="CL20" s="198"/>
      <c r="CM20" s="198"/>
      <c r="CN20" s="198"/>
      <c r="CO20" s="198"/>
      <c r="CP20" s="198"/>
      <c r="CQ20" s="198"/>
      <c r="CR20" s="198"/>
      <c r="CS20" s="198"/>
      <c r="CT20" s="198"/>
      <c r="CU20" s="198"/>
      <c r="CV20" s="198"/>
      <c r="CW20" s="198"/>
      <c r="CX20" s="198"/>
      <c r="CY20" s="198"/>
      <c r="CZ20" s="198"/>
      <c r="DA20" s="198"/>
      <c r="DB20" s="198"/>
      <c r="DC20" s="198"/>
      <c r="DD20" s="198"/>
      <c r="DE20" s="198"/>
      <c r="DF20" s="198"/>
      <c r="DG20" s="198"/>
      <c r="DH20" s="198"/>
      <c r="DI20" s="198"/>
      <c r="DJ20" s="198"/>
      <c r="DK20" s="198"/>
      <c r="DL20" s="198"/>
      <c r="DM20" s="198"/>
      <c r="DN20" s="198"/>
      <c r="DO20" s="198"/>
      <c r="DP20" s="198"/>
      <c r="DQ20" s="198"/>
      <c r="DR20" s="198"/>
      <c r="DS20" s="198"/>
      <c r="DT20" s="198"/>
    </row>
    <row r="21" spans="1:124" s="172" customFormat="1" ht="15" outlineLevel="1" x14ac:dyDescent="0.25">
      <c r="A21" s="212"/>
      <c r="B21" s="218" t="str">
        <f>Services!B21</f>
        <v>01C03</v>
      </c>
      <c r="C21" s="216" t="str">
        <f>Services!C21</f>
        <v>Procédure d'habilitation du personnel</v>
      </c>
      <c r="D21" s="1146" t="str">
        <f t="shared" si="0"/>
        <v/>
      </c>
      <c r="E21" s="1378"/>
      <c r="F21" s="1378"/>
      <c r="G21" s="1378"/>
      <c r="H21" s="1378"/>
      <c r="I21" s="1378"/>
      <c r="J21" s="1378"/>
      <c r="K21" s="1378"/>
      <c r="L21" s="1378"/>
      <c r="M21" s="1378"/>
      <c r="N21" s="1378"/>
      <c r="O21" s="1378"/>
      <c r="P21" s="1378"/>
      <c r="Q21" s="1378"/>
      <c r="R21" s="1378"/>
      <c r="S21" s="1378"/>
      <c r="T21" s="1378"/>
      <c r="U21" s="1378"/>
      <c r="V21" s="1378"/>
      <c r="W21" s="1378"/>
      <c r="X21" s="1378"/>
      <c r="Y21" s="1378"/>
      <c r="Z21" s="1378"/>
      <c r="AA21" s="1378"/>
      <c r="AB21" s="1378"/>
      <c r="AC21" s="1378"/>
      <c r="AD21" s="1378"/>
      <c r="AE21" s="1378"/>
      <c r="AF21" s="1378"/>
      <c r="AG21" s="1378"/>
      <c r="AH21" s="1378"/>
      <c r="AI21" s="1378"/>
      <c r="AJ21" s="1378"/>
      <c r="AK21" s="1378"/>
      <c r="AL21" s="1378"/>
      <c r="AM21" s="1378"/>
      <c r="AN21" s="1378"/>
      <c r="AO21" s="1378"/>
      <c r="AP21" s="1378"/>
      <c r="AQ21" s="1378"/>
      <c r="AR21" s="1378"/>
      <c r="AS21" s="1378"/>
      <c r="AT21" s="1378"/>
      <c r="AU21" s="1378"/>
      <c r="AV21" s="1378"/>
      <c r="AW21" s="1378"/>
      <c r="AX21" s="1378"/>
      <c r="AY21" s="1378"/>
      <c r="AZ21" s="1378"/>
      <c r="BA21" s="1378"/>
      <c r="BB21" s="1378"/>
      <c r="BC21" s="1378"/>
      <c r="BD21"/>
      <c r="BE21" s="198"/>
      <c r="BF21" s="198"/>
      <c r="BG21" s="198"/>
      <c r="BH21" s="198"/>
      <c r="BI21" s="198"/>
      <c r="BJ21" s="198"/>
      <c r="BK21" s="198"/>
      <c r="BL21" s="198"/>
      <c r="BM21" s="198"/>
      <c r="BN21" s="198"/>
      <c r="BO21" s="198"/>
      <c r="BP21" s="198"/>
      <c r="BQ21" s="198"/>
      <c r="BR21" s="198"/>
      <c r="BS21" s="198"/>
      <c r="BT21" s="198"/>
      <c r="BU21" s="198"/>
      <c r="BV21" s="198"/>
      <c r="BW21" s="198"/>
      <c r="BX21" s="198"/>
      <c r="BY21" s="198"/>
      <c r="BZ21" s="198"/>
      <c r="CA21" s="198"/>
      <c r="CB21" s="198"/>
      <c r="CC21" s="198"/>
      <c r="CD21" s="198"/>
      <c r="CE21" s="198"/>
      <c r="CF21" s="198"/>
      <c r="CG21" s="198"/>
      <c r="CH21" s="198"/>
      <c r="CI21" s="198"/>
      <c r="CJ21" s="198"/>
      <c r="CK21" s="198"/>
      <c r="CL21" s="198"/>
      <c r="CM21" s="198"/>
      <c r="CN21" s="198"/>
      <c r="CO21" s="198"/>
      <c r="CP21" s="198"/>
      <c r="CQ21" s="198"/>
      <c r="CR21" s="198"/>
      <c r="CS21" s="198"/>
      <c r="CT21" s="198"/>
      <c r="CU21" s="198"/>
      <c r="CV21" s="198"/>
      <c r="CW21" s="198"/>
      <c r="CX21" s="198"/>
      <c r="CY21" s="198"/>
      <c r="CZ21" s="198"/>
      <c r="DA21" s="198"/>
      <c r="DB21" s="198"/>
      <c r="DC21" s="198"/>
      <c r="DD21" s="198"/>
      <c r="DE21" s="198"/>
      <c r="DF21" s="198"/>
      <c r="DG21" s="198"/>
      <c r="DH21" s="198"/>
      <c r="DI21" s="198"/>
      <c r="DJ21" s="198"/>
      <c r="DK21" s="198"/>
      <c r="DL21" s="198"/>
      <c r="DM21" s="198"/>
      <c r="DN21" s="198"/>
      <c r="DO21" s="198"/>
      <c r="DP21" s="198"/>
      <c r="DQ21" s="198"/>
      <c r="DR21" s="198"/>
      <c r="DS21" s="198"/>
      <c r="DT21" s="198"/>
    </row>
    <row r="22" spans="1:124" s="172" customFormat="1" ht="15" outlineLevel="1" x14ac:dyDescent="0.25">
      <c r="A22" s="212"/>
      <c r="B22" s="218" t="str">
        <f>Services!B22</f>
        <v>01C04</v>
      </c>
      <c r="C22" s="216" t="str">
        <f>Services!C22</f>
        <v>Sensibilisation et formation à la sécurité</v>
      </c>
      <c r="D22" s="210" t="str">
        <f t="shared" si="0"/>
        <v/>
      </c>
      <c r="E22" s="1378"/>
      <c r="F22" s="1378"/>
      <c r="G22" s="1378"/>
      <c r="H22" s="1378"/>
      <c r="I22" s="1378"/>
      <c r="J22" s="1378"/>
      <c r="K22" s="1378"/>
      <c r="L22" s="1378"/>
      <c r="M22" s="1378"/>
      <c r="N22" s="1378"/>
      <c r="O22" s="1378"/>
      <c r="P22" s="1378"/>
      <c r="Q22" s="1378"/>
      <c r="R22" s="1378"/>
      <c r="S22" s="1378"/>
      <c r="T22" s="1378"/>
      <c r="U22" s="1378"/>
      <c r="V22" s="1378"/>
      <c r="W22" s="1378"/>
      <c r="X22" s="1378"/>
      <c r="Y22" s="1378"/>
      <c r="Z22" s="1378"/>
      <c r="AA22" s="1378"/>
      <c r="AB22" s="1378"/>
      <c r="AC22" s="1378"/>
      <c r="AD22" s="1378"/>
      <c r="AE22" s="1378"/>
      <c r="AF22" s="1378"/>
      <c r="AG22" s="1378"/>
      <c r="AH22" s="1378"/>
      <c r="AI22" s="1378"/>
      <c r="AJ22" s="1378"/>
      <c r="AK22" s="1378"/>
      <c r="AL22" s="1378"/>
      <c r="AM22" s="1378"/>
      <c r="AN22" s="1378"/>
      <c r="AO22" s="1378"/>
      <c r="AP22" s="1378"/>
      <c r="AQ22" s="1378"/>
      <c r="AR22" s="1378"/>
      <c r="AS22" s="1378"/>
      <c r="AT22" s="1378"/>
      <c r="AU22" s="1378"/>
      <c r="AV22" s="1378"/>
      <c r="AW22" s="1378"/>
      <c r="AX22" s="1378"/>
      <c r="AY22" s="1378"/>
      <c r="AZ22" s="1378"/>
      <c r="BA22" s="1378"/>
      <c r="BB22" s="1378"/>
      <c r="BC22" s="1378"/>
      <c r="BD22"/>
      <c r="BE22" s="198"/>
      <c r="BF22" s="198"/>
      <c r="BG22" s="198"/>
      <c r="BH22" s="198"/>
      <c r="BI22" s="198"/>
      <c r="BJ22" s="198"/>
      <c r="BK22" s="198"/>
      <c r="BL22" s="198"/>
      <c r="BM22" s="198"/>
      <c r="BN22" s="198"/>
      <c r="BO22" s="198"/>
      <c r="BP22" s="198"/>
      <c r="BQ22" s="198"/>
      <c r="BR22" s="198"/>
      <c r="BS22" s="198"/>
      <c r="BT22" s="198"/>
      <c r="BU22" s="198"/>
      <c r="BV22" s="198"/>
      <c r="BW22" s="198"/>
      <c r="BX22" s="198"/>
      <c r="BY22" s="198"/>
      <c r="BZ22" s="198"/>
      <c r="CA22" s="198"/>
      <c r="CB22" s="198"/>
      <c r="CC22" s="198"/>
      <c r="CD22" s="198"/>
      <c r="CE22" s="198"/>
      <c r="CF22" s="198"/>
      <c r="CG22" s="198"/>
      <c r="CH22" s="198"/>
      <c r="CI22" s="198"/>
      <c r="CJ22" s="198"/>
      <c r="CK22" s="198"/>
      <c r="CL22" s="198"/>
      <c r="CM22" s="198"/>
      <c r="CN22" s="198"/>
      <c r="CO22" s="198"/>
      <c r="CP22" s="198"/>
      <c r="CQ22" s="198"/>
      <c r="CR22" s="198"/>
      <c r="CS22" s="198"/>
      <c r="CT22" s="198"/>
      <c r="CU22" s="198"/>
      <c r="CV22" s="198"/>
      <c r="CW22" s="198"/>
      <c r="CX22" s="198"/>
      <c r="CY22" s="198"/>
      <c r="CZ22" s="198"/>
      <c r="DA22" s="198"/>
      <c r="DB22" s="198"/>
      <c r="DC22" s="198"/>
      <c r="DD22" s="198"/>
      <c r="DE22" s="198"/>
      <c r="DF22" s="198"/>
      <c r="DG22" s="198"/>
      <c r="DH22" s="198"/>
      <c r="DI22" s="198"/>
      <c r="DJ22" s="198"/>
      <c r="DK22" s="198"/>
      <c r="DL22" s="198"/>
      <c r="DM22" s="198"/>
      <c r="DN22" s="198"/>
      <c r="DO22" s="198"/>
      <c r="DP22" s="198"/>
      <c r="DQ22" s="198"/>
      <c r="DR22" s="198"/>
      <c r="DS22" s="198"/>
      <c r="DT22" s="198"/>
    </row>
    <row r="23" spans="1:124" s="172" customFormat="1" ht="15" outlineLevel="1" x14ac:dyDescent="0.25">
      <c r="A23" s="212"/>
      <c r="B23" s="218" t="str">
        <f>Services!B23</f>
        <v>01C05</v>
      </c>
      <c r="C23" s="216" t="str">
        <f>Services!C23</f>
        <v>Gestion des tierces parties</v>
      </c>
      <c r="D23" s="210" t="str">
        <f t="shared" si="0"/>
        <v/>
      </c>
      <c r="E23" s="1378"/>
      <c r="F23" s="1378"/>
      <c r="G23" s="1378"/>
      <c r="H23" s="1378"/>
      <c r="I23" s="1378"/>
      <c r="J23" s="1378"/>
      <c r="K23" s="1378"/>
      <c r="L23" s="1378"/>
      <c r="M23" s="1378"/>
      <c r="N23" s="1378"/>
      <c r="O23" s="1378"/>
      <c r="P23" s="1378"/>
      <c r="Q23" s="1378"/>
      <c r="R23" s="1378"/>
      <c r="S23" s="1378"/>
      <c r="T23" s="1378"/>
      <c r="U23" s="1378"/>
      <c r="V23" s="1378"/>
      <c r="W23" s="1378"/>
      <c r="X23" s="1378"/>
      <c r="Y23" s="1378"/>
      <c r="Z23" s="1378"/>
      <c r="AA23" s="1378"/>
      <c r="AB23" s="1378"/>
      <c r="AC23" s="1378"/>
      <c r="AD23" s="1378"/>
      <c r="AE23" s="1378"/>
      <c r="AF23" s="1378"/>
      <c r="AG23" s="1378"/>
      <c r="AH23" s="1378"/>
      <c r="AI23" s="1378"/>
      <c r="AJ23" s="1378"/>
      <c r="AK23" s="1378"/>
      <c r="AL23" s="1378"/>
      <c r="AM23" s="1378"/>
      <c r="AN23" s="1378"/>
      <c r="AO23" s="1378"/>
      <c r="AP23" s="1378"/>
      <c r="AQ23" s="1378"/>
      <c r="AR23" s="1378"/>
      <c r="AS23" s="1378"/>
      <c r="AT23" s="1378"/>
      <c r="AU23" s="1378"/>
      <c r="AV23" s="1378"/>
      <c r="AW23" s="1378"/>
      <c r="AX23" s="1378"/>
      <c r="AY23" s="1378"/>
      <c r="AZ23" s="1378"/>
      <c r="BA23" s="1378"/>
      <c r="BB23" s="1378"/>
      <c r="BC23" s="1378"/>
      <c r="BD23"/>
      <c r="BE23" s="198"/>
      <c r="BF23" s="198"/>
      <c r="BG23" s="198"/>
      <c r="BH23" s="198"/>
      <c r="BI23" s="198"/>
      <c r="BJ23" s="198"/>
      <c r="BK23" s="198"/>
      <c r="BL23" s="198"/>
      <c r="BM23" s="198"/>
      <c r="BN23" s="198"/>
      <c r="BO23" s="198"/>
      <c r="BP23" s="198"/>
      <c r="BQ23" s="198"/>
      <c r="BR23" s="198"/>
      <c r="BS23" s="198"/>
      <c r="BT23" s="198"/>
      <c r="BU23" s="198"/>
      <c r="BV23" s="198"/>
      <c r="BW23" s="198"/>
      <c r="BX23" s="198"/>
      <c r="BY23" s="198"/>
      <c r="BZ23" s="198"/>
      <c r="CA23" s="198"/>
      <c r="CB23" s="198"/>
      <c r="CC23" s="198"/>
      <c r="CD23" s="198"/>
      <c r="CE23" s="198"/>
      <c r="CF23" s="198"/>
      <c r="CG23" s="198"/>
      <c r="CH23" s="198"/>
      <c r="CI23" s="198"/>
      <c r="CJ23" s="198"/>
      <c r="CK23" s="198"/>
      <c r="CL23" s="198"/>
      <c r="CM23" s="198"/>
      <c r="CN23" s="198"/>
      <c r="CO23" s="198"/>
      <c r="CP23" s="198"/>
      <c r="CQ23" s="198"/>
      <c r="CR23" s="198"/>
      <c r="CS23" s="198"/>
      <c r="CT23" s="198"/>
      <c r="CU23" s="198"/>
      <c r="CV23" s="198"/>
      <c r="CW23" s="198"/>
      <c r="CX23" s="198"/>
      <c r="CY23" s="198"/>
      <c r="CZ23" s="198"/>
      <c r="DA23" s="198"/>
      <c r="DB23" s="198"/>
      <c r="DC23" s="198"/>
      <c r="DD23" s="198"/>
      <c r="DE23" s="198"/>
      <c r="DF23" s="198"/>
      <c r="DG23" s="198"/>
      <c r="DH23" s="198"/>
      <c r="DI23" s="198"/>
      <c r="DJ23" s="198"/>
      <c r="DK23" s="198"/>
      <c r="DL23" s="198"/>
      <c r="DM23" s="198"/>
      <c r="DN23" s="198"/>
      <c r="DO23" s="198"/>
      <c r="DP23" s="198"/>
      <c r="DQ23" s="198"/>
      <c r="DR23" s="198"/>
      <c r="DS23" s="198"/>
      <c r="DT23" s="198"/>
    </row>
    <row r="24" spans="1:124" s="172" customFormat="1" ht="15" outlineLevel="1" x14ac:dyDescent="0.25">
      <c r="A24" s="212"/>
      <c r="B24" s="218" t="str">
        <f>Services!B24</f>
        <v>01C06</v>
      </c>
      <c r="C24" s="216" t="str">
        <f>Services!C24</f>
        <v>Enregistrement des personnes</v>
      </c>
      <c r="D24" s="210" t="str">
        <f t="shared" si="0"/>
        <v/>
      </c>
      <c r="E24" s="1378"/>
      <c r="F24" s="1378"/>
      <c r="G24" s="1378"/>
      <c r="H24" s="1378"/>
      <c r="I24" s="1378"/>
      <c r="J24" s="1378"/>
      <c r="K24" s="1378"/>
      <c r="L24" s="1378"/>
      <c r="M24" s="1378"/>
      <c r="N24" s="1378"/>
      <c r="O24" s="1378"/>
      <c r="P24" s="1378"/>
      <c r="Q24" s="1378"/>
      <c r="R24" s="1378"/>
      <c r="S24" s="1378"/>
      <c r="T24" s="1378"/>
      <c r="U24" s="1378"/>
      <c r="V24" s="1378"/>
      <c r="W24" s="1378"/>
      <c r="X24" s="1378"/>
      <c r="Y24" s="1378"/>
      <c r="Z24" s="1378"/>
      <c r="AA24" s="1378"/>
      <c r="AB24" s="1378"/>
      <c r="AC24" s="1378"/>
      <c r="AD24" s="1378"/>
      <c r="AE24" s="1378"/>
      <c r="AF24" s="1378"/>
      <c r="AG24" s="1378"/>
      <c r="AH24" s="1378"/>
      <c r="AI24" s="1378"/>
      <c r="AJ24" s="1378"/>
      <c r="AK24" s="1378"/>
      <c r="AL24" s="1378"/>
      <c r="AM24" s="1378"/>
      <c r="AN24" s="1378"/>
      <c r="AO24" s="1378"/>
      <c r="AP24" s="1378"/>
      <c r="AQ24" s="1378"/>
      <c r="AR24" s="1378"/>
      <c r="AS24" s="1378"/>
      <c r="AT24" s="1378"/>
      <c r="AU24" s="1378"/>
      <c r="AV24" s="1378"/>
      <c r="AW24" s="1378"/>
      <c r="AX24" s="1378"/>
      <c r="AY24" s="1378"/>
      <c r="AZ24" s="1378"/>
      <c r="BA24" s="1378"/>
      <c r="BB24" s="1378"/>
      <c r="BC24" s="1378"/>
      <c r="BD24"/>
      <c r="BE24" s="198"/>
      <c r="BF24" s="198"/>
      <c r="BG24" s="198"/>
      <c r="BH24" s="198"/>
      <c r="BI24" s="198"/>
      <c r="BJ24" s="198"/>
      <c r="BK24" s="198"/>
      <c r="BL24" s="198"/>
      <c r="BM24" s="198"/>
      <c r="BN24" s="198"/>
      <c r="BO24" s="198"/>
      <c r="BP24" s="198"/>
      <c r="BQ24" s="198"/>
      <c r="BR24" s="198"/>
      <c r="BS24" s="198"/>
      <c r="BT24" s="198"/>
      <c r="BU24" s="198"/>
      <c r="BV24" s="198"/>
      <c r="BW24" s="198"/>
      <c r="BX24" s="198"/>
      <c r="BY24" s="198"/>
      <c r="BZ24" s="198"/>
      <c r="CA24" s="198"/>
      <c r="CB24" s="198"/>
      <c r="CC24" s="198"/>
      <c r="CD24" s="198"/>
      <c r="CE24" s="198"/>
      <c r="CF24" s="198"/>
      <c r="CG24" s="198"/>
      <c r="CH24" s="198"/>
      <c r="CI24" s="198"/>
      <c r="CJ24" s="198"/>
      <c r="CK24" s="198"/>
      <c r="CL24" s="198"/>
      <c r="CM24" s="198"/>
      <c r="CN24" s="198"/>
      <c r="CO24" s="198"/>
      <c r="CP24" s="198"/>
      <c r="CQ24" s="198"/>
      <c r="CR24" s="198"/>
      <c r="CS24" s="198"/>
      <c r="CT24" s="198"/>
      <c r="CU24" s="198"/>
      <c r="CV24" s="198"/>
      <c r="CW24" s="198"/>
      <c r="CX24" s="198"/>
      <c r="CY24" s="198"/>
      <c r="CZ24" s="198"/>
      <c r="DA24" s="198"/>
      <c r="DB24" s="198"/>
      <c r="DC24" s="198"/>
      <c r="DD24" s="198"/>
      <c r="DE24" s="198"/>
      <c r="DF24" s="198"/>
      <c r="DG24" s="198"/>
      <c r="DH24" s="198"/>
      <c r="DI24" s="198"/>
      <c r="DJ24" s="198"/>
      <c r="DK24" s="198"/>
      <c r="DL24" s="198"/>
      <c r="DM24" s="198"/>
      <c r="DN24" s="198"/>
      <c r="DO24" s="198"/>
      <c r="DP24" s="198"/>
      <c r="DQ24" s="198"/>
      <c r="DR24" s="198"/>
      <c r="DS24" s="198"/>
      <c r="DT24" s="198"/>
    </row>
    <row r="25" spans="1:124" s="172" customFormat="1" ht="15" outlineLevel="1" x14ac:dyDescent="0.25">
      <c r="A25" s="212"/>
      <c r="B25" s="213" t="str">
        <f>Services!B25</f>
        <v>01D</v>
      </c>
      <c r="C25" s="214" t="str">
        <f>Services!C25</f>
        <v xml:space="preserve">Assurances </v>
      </c>
      <c r="D25" s="210" t="str">
        <f t="shared" si="0"/>
        <v/>
      </c>
      <c r="E25" s="1378"/>
      <c r="F25" s="1378"/>
      <c r="G25" s="1378"/>
      <c r="H25" s="1378"/>
      <c r="I25" s="1378"/>
      <c r="J25" s="1378"/>
      <c r="K25" s="1378"/>
      <c r="L25" s="1378"/>
      <c r="M25" s="1378"/>
      <c r="N25" s="1378"/>
      <c r="O25" s="1378"/>
      <c r="P25" s="1378"/>
      <c r="Q25" s="1378"/>
      <c r="R25" s="1378"/>
      <c r="S25" s="1378"/>
      <c r="T25" s="1378"/>
      <c r="U25" s="1378"/>
      <c r="V25" s="1378"/>
      <c r="W25" s="1378"/>
      <c r="X25" s="1378"/>
      <c r="Y25" s="1378"/>
      <c r="Z25" s="1378"/>
      <c r="AA25" s="1378"/>
      <c r="AB25" s="1378"/>
      <c r="AC25" s="1378"/>
      <c r="AD25" s="1378"/>
      <c r="AE25" s="1378"/>
      <c r="AF25" s="1378"/>
      <c r="AG25" s="1378"/>
      <c r="AH25" s="1378"/>
      <c r="AI25" s="1378"/>
      <c r="AJ25" s="1378"/>
      <c r="AK25" s="1378"/>
      <c r="AL25" s="1378"/>
      <c r="AM25" s="1378"/>
      <c r="AN25" s="1378"/>
      <c r="AO25" s="1378"/>
      <c r="AP25" s="1378"/>
      <c r="AQ25" s="1378"/>
      <c r="AR25" s="1378"/>
      <c r="AS25" s="1378"/>
      <c r="AT25" s="1378"/>
      <c r="AU25" s="1378"/>
      <c r="AV25" s="1378"/>
      <c r="AW25" s="1378"/>
      <c r="AX25" s="1378"/>
      <c r="AY25" s="1378"/>
      <c r="AZ25" s="1378"/>
      <c r="BA25" s="1378"/>
      <c r="BB25" s="1378"/>
      <c r="BC25" s="1378"/>
      <c r="BD25"/>
      <c r="BE25" s="198"/>
      <c r="BF25" s="198"/>
      <c r="BG25" s="198"/>
      <c r="BH25" s="198"/>
      <c r="BI25" s="198"/>
      <c r="BJ25" s="198"/>
      <c r="BK25" s="198"/>
      <c r="BL25" s="198"/>
      <c r="BM25" s="198"/>
      <c r="BN25" s="198"/>
      <c r="BO25" s="198"/>
      <c r="BP25" s="198"/>
      <c r="BQ25" s="198"/>
      <c r="BR25" s="198"/>
      <c r="BS25" s="198"/>
      <c r="BT25" s="198"/>
      <c r="BU25" s="198"/>
      <c r="BV25" s="198"/>
      <c r="BW25" s="198"/>
      <c r="BX25" s="198"/>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8"/>
      <c r="DA25" s="198"/>
      <c r="DB25" s="198"/>
      <c r="DC25" s="198"/>
      <c r="DD25" s="198"/>
      <c r="DE25" s="198"/>
      <c r="DF25" s="198"/>
      <c r="DG25" s="198"/>
      <c r="DH25" s="198"/>
      <c r="DI25" s="198"/>
      <c r="DJ25" s="198"/>
      <c r="DK25" s="198"/>
      <c r="DL25" s="198"/>
      <c r="DM25" s="198"/>
      <c r="DN25" s="198"/>
      <c r="DO25" s="198"/>
      <c r="DP25" s="198"/>
      <c r="DQ25" s="198"/>
      <c r="DR25" s="198"/>
      <c r="DS25" s="198"/>
      <c r="DT25" s="198"/>
    </row>
    <row r="26" spans="1:124" s="172" customFormat="1" ht="15" outlineLevel="1" x14ac:dyDescent="0.25">
      <c r="A26" s="212"/>
      <c r="B26" s="218" t="str">
        <f>Services!B26</f>
        <v>01D01</v>
      </c>
      <c r="C26" s="216" t="str">
        <f>Services!C26</f>
        <v>Assurance des dommages matériels</v>
      </c>
      <c r="D26" s="210" t="str">
        <f t="shared" si="0"/>
        <v/>
      </c>
      <c r="E26" s="1378"/>
      <c r="F26" s="1378"/>
      <c r="G26" s="1378"/>
      <c r="H26" s="1378"/>
      <c r="I26" s="1378"/>
      <c r="J26" s="1378"/>
      <c r="K26" s="1378"/>
      <c r="L26" s="1378"/>
      <c r="M26" s="1378"/>
      <c r="N26" s="1378"/>
      <c r="O26" s="1378"/>
      <c r="P26" s="1378"/>
      <c r="Q26" s="1378"/>
      <c r="R26" s="1378"/>
      <c r="S26" s="1378"/>
      <c r="T26" s="1378"/>
      <c r="U26" s="1378"/>
      <c r="V26" s="1378"/>
      <c r="W26" s="1378"/>
      <c r="X26" s="1378"/>
      <c r="Y26" s="1378"/>
      <c r="Z26" s="1378"/>
      <c r="AA26" s="1378"/>
      <c r="AB26" s="1378"/>
      <c r="AC26" s="1378"/>
      <c r="AD26" s="1378"/>
      <c r="AE26" s="1378"/>
      <c r="AF26" s="1378"/>
      <c r="AG26" s="1378"/>
      <c r="AH26" s="1378"/>
      <c r="AI26" s="1378"/>
      <c r="AJ26" s="1378"/>
      <c r="AK26" s="1378"/>
      <c r="AL26" s="1378"/>
      <c r="AM26" s="1378"/>
      <c r="AN26" s="1378"/>
      <c r="AO26" s="1378"/>
      <c r="AP26" s="1378"/>
      <c r="AQ26" s="1378"/>
      <c r="AR26" s="1378"/>
      <c r="AS26" s="1378"/>
      <c r="AT26" s="1378"/>
      <c r="AU26" s="1378"/>
      <c r="AV26" s="1378"/>
      <c r="AW26" s="1378"/>
      <c r="AX26" s="1378"/>
      <c r="AY26" s="1378"/>
      <c r="AZ26" s="1378"/>
      <c r="BA26" s="1378"/>
      <c r="BB26" s="1378"/>
      <c r="BC26" s="1378"/>
      <c r="BD26"/>
      <c r="BE26" s="198"/>
      <c r="BF26" s="198"/>
      <c r="BG26" s="198"/>
      <c r="BH26" s="198"/>
      <c r="BI26" s="198"/>
      <c r="BJ26" s="198"/>
      <c r="BK26" s="198"/>
      <c r="BL26" s="198"/>
      <c r="BM26" s="198"/>
      <c r="BN26" s="198"/>
      <c r="BO26" s="198"/>
      <c r="BP26" s="198"/>
      <c r="BQ26" s="198"/>
      <c r="BR26" s="198"/>
      <c r="BS26" s="198"/>
      <c r="BT26" s="198"/>
      <c r="BU26" s="198"/>
      <c r="BV26" s="198"/>
      <c r="BW26" s="198"/>
      <c r="BX26" s="198"/>
      <c r="BY26" s="198"/>
      <c r="BZ26" s="198"/>
      <c r="CA26" s="198"/>
      <c r="CB26" s="198"/>
      <c r="CC26" s="198"/>
      <c r="CD26" s="198"/>
      <c r="CE26" s="198"/>
      <c r="CF26" s="198"/>
      <c r="CG26" s="198"/>
      <c r="CH26" s="198"/>
      <c r="CI26" s="198"/>
      <c r="CJ26" s="198"/>
      <c r="CK26" s="198"/>
      <c r="CL26" s="198"/>
      <c r="CM26" s="198"/>
      <c r="CN26" s="198"/>
      <c r="CO26" s="198"/>
      <c r="CP26" s="198"/>
      <c r="CQ26" s="198"/>
      <c r="CR26" s="198"/>
      <c r="CS26" s="198"/>
      <c r="CT26" s="198"/>
      <c r="CU26" s="198"/>
      <c r="CV26" s="198"/>
      <c r="CW26" s="198"/>
      <c r="CX26" s="198"/>
      <c r="CY26" s="198"/>
      <c r="CZ26" s="198"/>
      <c r="DA26" s="198"/>
      <c r="DB26" s="198"/>
      <c r="DC26" s="198"/>
      <c r="DD26" s="198"/>
      <c r="DE26" s="198"/>
      <c r="DF26" s="198"/>
      <c r="DG26" s="198"/>
      <c r="DH26" s="198"/>
      <c r="DI26" s="198"/>
      <c r="DJ26" s="198"/>
      <c r="DK26" s="198"/>
      <c r="DL26" s="198"/>
      <c r="DM26" s="198"/>
      <c r="DN26" s="198"/>
      <c r="DO26" s="198"/>
      <c r="DP26" s="198"/>
      <c r="DQ26" s="198"/>
      <c r="DR26" s="198"/>
      <c r="DS26" s="198"/>
      <c r="DT26" s="198"/>
    </row>
    <row r="27" spans="1:124" s="172" customFormat="1" ht="15" outlineLevel="1" x14ac:dyDescent="0.25">
      <c r="A27" s="212"/>
      <c r="B27" s="218" t="str">
        <f>Services!B27</f>
        <v>01D02</v>
      </c>
      <c r="C27" s="216" t="str">
        <f>Services!C27</f>
        <v>Assurance des dommages immatériels</v>
      </c>
      <c r="D27" s="210" t="str">
        <f t="shared" si="0"/>
        <v/>
      </c>
      <c r="E27" s="1378"/>
      <c r="F27" s="1378"/>
      <c r="G27" s="1378"/>
      <c r="H27" s="1378"/>
      <c r="I27" s="1378"/>
      <c r="J27" s="1378"/>
      <c r="K27" s="1378"/>
      <c r="L27" s="1378"/>
      <c r="M27" s="1378"/>
      <c r="N27" s="1378"/>
      <c r="O27" s="1378"/>
      <c r="P27" s="1378"/>
      <c r="Q27" s="1378"/>
      <c r="R27" s="1378"/>
      <c r="S27" s="1378"/>
      <c r="T27" s="1378"/>
      <c r="U27" s="1378"/>
      <c r="V27" s="1378"/>
      <c r="W27" s="1378"/>
      <c r="X27" s="1378"/>
      <c r="Y27" s="1378"/>
      <c r="Z27" s="1378"/>
      <c r="AA27" s="1378"/>
      <c r="AB27" s="1378"/>
      <c r="AC27" s="1378"/>
      <c r="AD27" s="1378"/>
      <c r="AE27" s="1378"/>
      <c r="AF27" s="1378"/>
      <c r="AG27" s="1378"/>
      <c r="AH27" s="1378"/>
      <c r="AI27" s="1378"/>
      <c r="AJ27" s="1378"/>
      <c r="AK27" s="1378"/>
      <c r="AL27" s="1378"/>
      <c r="AM27" s="1378"/>
      <c r="AN27" s="1378"/>
      <c r="AO27" s="1378"/>
      <c r="AP27" s="1378"/>
      <c r="AQ27" s="1378"/>
      <c r="AR27" s="1378"/>
      <c r="AS27" s="1378"/>
      <c r="AT27" s="1378"/>
      <c r="AU27" s="1378"/>
      <c r="AV27" s="1378"/>
      <c r="AW27" s="1378"/>
      <c r="AX27" s="1378"/>
      <c r="AY27" s="1378"/>
      <c r="AZ27" s="1378"/>
      <c r="BA27" s="1378"/>
      <c r="BB27" s="1378"/>
      <c r="BC27" s="1378"/>
      <c r="BD27"/>
      <c r="BE27" s="198"/>
      <c r="BF27" s="198"/>
      <c r="BG27" s="198"/>
      <c r="BH27" s="198"/>
      <c r="BI27" s="198"/>
      <c r="BJ27" s="198"/>
      <c r="BK27" s="198"/>
      <c r="BL27" s="198"/>
      <c r="BM27" s="198"/>
      <c r="BN27" s="198"/>
      <c r="BO27" s="198"/>
      <c r="BP27" s="198"/>
      <c r="BQ27" s="198"/>
      <c r="BR27" s="198"/>
      <c r="BS27" s="198"/>
      <c r="BT27" s="198"/>
      <c r="BU27" s="198"/>
      <c r="BV27" s="198"/>
      <c r="BW27" s="198"/>
      <c r="BX27" s="198"/>
      <c r="BY27" s="198"/>
      <c r="BZ27" s="198"/>
      <c r="CA27" s="198"/>
      <c r="CB27" s="198"/>
      <c r="CC27" s="198"/>
      <c r="CD27" s="198"/>
      <c r="CE27" s="198"/>
      <c r="CF27" s="198"/>
      <c r="CG27" s="198"/>
      <c r="CH27" s="198"/>
      <c r="CI27" s="198"/>
      <c r="CJ27" s="198"/>
      <c r="CK27" s="198"/>
      <c r="CL27" s="198"/>
      <c r="CM27" s="198"/>
      <c r="CN27" s="198"/>
      <c r="CO27" s="198"/>
      <c r="CP27" s="198"/>
      <c r="CQ27" s="198"/>
      <c r="CR27" s="198"/>
      <c r="CS27" s="198"/>
      <c r="CT27" s="198"/>
      <c r="CU27" s="198"/>
      <c r="CV27" s="198"/>
      <c r="CW27" s="198"/>
      <c r="CX27" s="198"/>
      <c r="CY27" s="198"/>
      <c r="CZ27" s="198"/>
      <c r="DA27" s="198"/>
      <c r="DB27" s="198"/>
      <c r="DC27" s="198"/>
      <c r="DD27" s="198"/>
      <c r="DE27" s="198"/>
      <c r="DF27" s="198"/>
      <c r="DG27" s="198"/>
      <c r="DH27" s="198"/>
      <c r="DI27" s="198"/>
      <c r="DJ27" s="198"/>
      <c r="DK27" s="198"/>
      <c r="DL27" s="198"/>
      <c r="DM27" s="198"/>
      <c r="DN27" s="198"/>
      <c r="DO27" s="198"/>
      <c r="DP27" s="198"/>
      <c r="DQ27" s="198"/>
      <c r="DR27" s="198"/>
      <c r="DS27" s="198"/>
      <c r="DT27" s="198"/>
    </row>
    <row r="28" spans="1:124" s="172" customFormat="1" ht="15" outlineLevel="1" x14ac:dyDescent="0.25">
      <c r="A28" s="212"/>
      <c r="B28" s="218" t="str">
        <f>Services!B28</f>
        <v>01D03</v>
      </c>
      <c r="C28" s="216" t="str">
        <f>Services!C28</f>
        <v>Assurance Responsabilité Civile (RC)</v>
      </c>
      <c r="D28" s="210" t="str">
        <f t="shared" si="0"/>
        <v/>
      </c>
      <c r="E28" s="1378"/>
      <c r="F28" s="1378"/>
      <c r="G28" s="1378"/>
      <c r="H28" s="1378"/>
      <c r="I28" s="1378"/>
      <c r="J28" s="1378"/>
      <c r="K28" s="1378"/>
      <c r="L28" s="1378"/>
      <c r="M28" s="1378"/>
      <c r="N28" s="1378"/>
      <c r="O28" s="1378"/>
      <c r="P28" s="1378"/>
      <c r="Q28" s="1378"/>
      <c r="R28" s="1378"/>
      <c r="S28" s="1378"/>
      <c r="T28" s="1378"/>
      <c r="U28" s="1378"/>
      <c r="V28" s="1378"/>
      <c r="W28" s="1378"/>
      <c r="X28" s="1378"/>
      <c r="Y28" s="1378"/>
      <c r="Z28" s="1378"/>
      <c r="AA28" s="1378"/>
      <c r="AB28" s="1378"/>
      <c r="AC28" s="1378"/>
      <c r="AD28" s="1378"/>
      <c r="AE28" s="1378"/>
      <c r="AF28" s="1378"/>
      <c r="AG28" s="1378"/>
      <c r="AH28" s="1378"/>
      <c r="AI28" s="1378"/>
      <c r="AJ28" s="1378"/>
      <c r="AK28" s="1378"/>
      <c r="AL28" s="1378"/>
      <c r="AM28" s="1378"/>
      <c r="AN28" s="1378"/>
      <c r="AO28" s="1378"/>
      <c r="AP28" s="1378"/>
      <c r="AQ28" s="1378"/>
      <c r="AR28" s="1378"/>
      <c r="AS28" s="1378"/>
      <c r="AT28" s="1378"/>
      <c r="AU28" s="1378"/>
      <c r="AV28" s="1378"/>
      <c r="AW28" s="1378"/>
      <c r="AX28" s="1378"/>
      <c r="AY28" s="1378"/>
      <c r="AZ28" s="1378"/>
      <c r="BA28" s="1378"/>
      <c r="BB28" s="1378"/>
      <c r="BC28" s="1378"/>
      <c r="BD28"/>
      <c r="BE28" s="198"/>
      <c r="BF28" s="198"/>
      <c r="BG28" s="198"/>
      <c r="BH28" s="198"/>
      <c r="BI28" s="198"/>
      <c r="BJ28" s="198"/>
      <c r="BK28" s="198"/>
      <c r="BL28" s="198"/>
      <c r="BM28" s="198"/>
      <c r="BN28" s="198"/>
      <c r="BO28" s="198"/>
      <c r="BP28" s="198"/>
      <c r="BQ28" s="198"/>
      <c r="BR28" s="198"/>
      <c r="BS28" s="198"/>
      <c r="BT28" s="198"/>
      <c r="BU28" s="198"/>
      <c r="BV28" s="198"/>
      <c r="BW28" s="198"/>
      <c r="BX28" s="198"/>
      <c r="BY28" s="198"/>
      <c r="BZ28" s="198"/>
      <c r="CA28" s="198"/>
      <c r="CB28" s="198"/>
      <c r="CC28" s="198"/>
      <c r="CD28" s="198"/>
      <c r="CE28" s="198"/>
      <c r="CF28" s="198"/>
      <c r="CG28" s="198"/>
      <c r="CH28" s="198"/>
      <c r="CI28" s="198"/>
      <c r="CJ28" s="198"/>
      <c r="CK28" s="198"/>
      <c r="CL28" s="198"/>
      <c r="CM28" s="198"/>
      <c r="CN28" s="198"/>
      <c r="CO28" s="198"/>
      <c r="CP28" s="198"/>
      <c r="CQ28" s="198"/>
      <c r="CR28" s="198"/>
      <c r="CS28" s="198"/>
      <c r="CT28" s="198"/>
      <c r="CU28" s="198"/>
      <c r="CV28" s="198"/>
      <c r="CW28" s="198"/>
      <c r="CX28" s="198"/>
      <c r="CY28" s="198"/>
      <c r="CZ28" s="198"/>
      <c r="DA28" s="198"/>
      <c r="DB28" s="198"/>
      <c r="DC28" s="198"/>
      <c r="DD28" s="198"/>
      <c r="DE28" s="198"/>
      <c r="DF28" s="198"/>
      <c r="DG28" s="198"/>
      <c r="DH28" s="198"/>
      <c r="DI28" s="198"/>
      <c r="DJ28" s="198"/>
      <c r="DK28" s="198"/>
      <c r="DL28" s="198"/>
      <c r="DM28" s="198"/>
      <c r="DN28" s="198"/>
      <c r="DO28" s="198"/>
      <c r="DP28" s="198"/>
      <c r="DQ28" s="198"/>
      <c r="DR28" s="198"/>
      <c r="DS28" s="198"/>
      <c r="DT28" s="198"/>
    </row>
    <row r="29" spans="1:124" s="172" customFormat="1" ht="15" outlineLevel="1" x14ac:dyDescent="0.25">
      <c r="A29" s="212"/>
      <c r="B29" s="218" t="str">
        <f>Services!B29</f>
        <v>01D04</v>
      </c>
      <c r="C29" s="216" t="str">
        <f>Services!C29</f>
        <v>Assurance Perte de Personnages clés</v>
      </c>
      <c r="D29" s="210" t="str">
        <f t="shared" si="0"/>
        <v/>
      </c>
      <c r="E29" s="1378"/>
      <c r="F29" s="1378"/>
      <c r="G29" s="1378"/>
      <c r="H29" s="1378"/>
      <c r="I29" s="1378"/>
      <c r="J29" s="1378"/>
      <c r="K29" s="1378"/>
      <c r="L29" s="1378"/>
      <c r="M29" s="1378"/>
      <c r="N29" s="1378"/>
      <c r="O29" s="1378"/>
      <c r="P29" s="1378"/>
      <c r="Q29" s="1378"/>
      <c r="R29" s="1378"/>
      <c r="S29" s="1378"/>
      <c r="T29" s="1378"/>
      <c r="U29" s="1378"/>
      <c r="V29" s="1378"/>
      <c r="W29" s="1378"/>
      <c r="X29" s="1378"/>
      <c r="Y29" s="1378"/>
      <c r="Z29" s="1378"/>
      <c r="AA29" s="1378"/>
      <c r="AB29" s="1378"/>
      <c r="AC29" s="1378"/>
      <c r="AD29" s="1378"/>
      <c r="AE29" s="1378"/>
      <c r="AF29" s="1378"/>
      <c r="AG29" s="1378"/>
      <c r="AH29" s="1378"/>
      <c r="AI29" s="1378"/>
      <c r="AJ29" s="1378"/>
      <c r="AK29" s="1378"/>
      <c r="AL29" s="1378"/>
      <c r="AM29" s="1378"/>
      <c r="AN29" s="1378"/>
      <c r="AO29" s="1378"/>
      <c r="AP29" s="1378"/>
      <c r="AQ29" s="1378"/>
      <c r="AR29" s="1378"/>
      <c r="AS29" s="1378"/>
      <c r="AT29" s="1378"/>
      <c r="AU29" s="1378"/>
      <c r="AV29" s="1378"/>
      <c r="AW29" s="1378"/>
      <c r="AX29" s="1378"/>
      <c r="AY29" s="1378"/>
      <c r="AZ29" s="1378"/>
      <c r="BA29" s="1378"/>
      <c r="BB29" s="1378"/>
      <c r="BC29" s="1378"/>
      <c r="BD29"/>
      <c r="BE29" s="198"/>
      <c r="BF29" s="198"/>
      <c r="BG29" s="198"/>
      <c r="BH29" s="198"/>
      <c r="BI29" s="198"/>
      <c r="BJ29" s="198"/>
      <c r="BK29" s="198"/>
      <c r="BL29" s="198"/>
      <c r="BM29" s="198"/>
      <c r="BN29" s="198"/>
      <c r="BO29" s="198"/>
      <c r="BP29" s="198"/>
      <c r="BQ29" s="198"/>
      <c r="BR29" s="198"/>
      <c r="BS29" s="198"/>
      <c r="BT29" s="198"/>
      <c r="BU29" s="198"/>
      <c r="BV29" s="198"/>
      <c r="BW29" s="198"/>
      <c r="BX29" s="198"/>
      <c r="BY29" s="198"/>
      <c r="BZ29" s="198"/>
      <c r="CA29" s="198"/>
      <c r="CB29" s="198"/>
      <c r="CC29" s="198"/>
      <c r="CD29" s="198"/>
      <c r="CE29" s="198"/>
      <c r="CF29" s="198"/>
      <c r="CG29" s="198"/>
      <c r="CH29" s="198"/>
      <c r="CI29" s="198"/>
      <c r="CJ29" s="198"/>
      <c r="CK29" s="198"/>
      <c r="CL29" s="198"/>
      <c r="CM29" s="198"/>
      <c r="CN29" s="198"/>
      <c r="CO29" s="198"/>
      <c r="CP29" s="198"/>
      <c r="CQ29" s="198"/>
      <c r="CR29" s="198"/>
      <c r="CS29" s="198"/>
      <c r="CT29" s="198"/>
      <c r="CU29" s="198"/>
      <c r="CV29" s="198"/>
      <c r="CW29" s="198"/>
      <c r="CX29" s="198"/>
      <c r="CY29" s="198"/>
      <c r="CZ29" s="198"/>
      <c r="DA29" s="198"/>
      <c r="DB29" s="198"/>
      <c r="DC29" s="198"/>
      <c r="DD29" s="198"/>
      <c r="DE29" s="198"/>
      <c r="DF29" s="198"/>
      <c r="DG29" s="198"/>
      <c r="DH29" s="198"/>
      <c r="DI29" s="198"/>
      <c r="DJ29" s="198"/>
      <c r="DK29" s="198"/>
      <c r="DL29" s="198"/>
      <c r="DM29" s="198"/>
      <c r="DN29" s="198"/>
      <c r="DO29" s="198"/>
      <c r="DP29" s="198"/>
      <c r="DQ29" s="198"/>
      <c r="DR29" s="198"/>
      <c r="DS29" s="198"/>
      <c r="DT29" s="198"/>
    </row>
    <row r="30" spans="1:124" s="172" customFormat="1" ht="15" outlineLevel="1" x14ac:dyDescent="0.25">
      <c r="A30" s="212"/>
      <c r="B30" s="218" t="str">
        <f>Services!B30</f>
        <v>01D05</v>
      </c>
      <c r="C30" s="216" t="str">
        <f>Services!C30</f>
        <v>Gestion des contrats d'assurance</v>
      </c>
      <c r="D30" s="210" t="str">
        <f t="shared" si="0"/>
        <v/>
      </c>
      <c r="E30" s="1378"/>
      <c r="F30" s="1378"/>
      <c r="G30" s="1378"/>
      <c r="H30" s="1378"/>
      <c r="I30" s="1378"/>
      <c r="J30" s="1378"/>
      <c r="K30" s="1378"/>
      <c r="L30" s="1378"/>
      <c r="M30" s="1378"/>
      <c r="N30" s="1378"/>
      <c r="O30" s="1378"/>
      <c r="P30" s="1378"/>
      <c r="Q30" s="1378"/>
      <c r="R30" s="1378"/>
      <c r="S30" s="1378"/>
      <c r="T30" s="1378"/>
      <c r="U30" s="1378"/>
      <c r="V30" s="1378"/>
      <c r="W30" s="1378"/>
      <c r="X30" s="1378"/>
      <c r="Y30" s="1378"/>
      <c r="Z30" s="1378"/>
      <c r="AA30" s="1378"/>
      <c r="AB30" s="1378"/>
      <c r="AC30" s="1378"/>
      <c r="AD30" s="1378"/>
      <c r="AE30" s="1378"/>
      <c r="AF30" s="1378"/>
      <c r="AG30" s="1378"/>
      <c r="AH30" s="1378"/>
      <c r="AI30" s="1378"/>
      <c r="AJ30" s="1378"/>
      <c r="AK30" s="1378"/>
      <c r="AL30" s="1378"/>
      <c r="AM30" s="1378"/>
      <c r="AN30" s="1378"/>
      <c r="AO30" s="1378"/>
      <c r="AP30" s="1378"/>
      <c r="AQ30" s="1378"/>
      <c r="AR30" s="1378"/>
      <c r="AS30" s="1378"/>
      <c r="AT30" s="1378"/>
      <c r="AU30" s="1378"/>
      <c r="AV30" s="1378"/>
      <c r="AW30" s="1378"/>
      <c r="AX30" s="1378"/>
      <c r="AY30" s="1378"/>
      <c r="AZ30" s="1378"/>
      <c r="BA30" s="1378"/>
      <c r="BB30" s="1378"/>
      <c r="BC30" s="1378"/>
      <c r="BD30"/>
      <c r="BE30" s="198"/>
      <c r="BF30" s="198"/>
      <c r="BG30" s="198"/>
      <c r="BH30" s="198"/>
      <c r="BI30" s="198"/>
      <c r="BJ30" s="198"/>
      <c r="BK30" s="198"/>
      <c r="BL30" s="198"/>
      <c r="BM30" s="198"/>
      <c r="BN30" s="198"/>
      <c r="BO30" s="198"/>
      <c r="BP30" s="198"/>
      <c r="BQ30" s="198"/>
      <c r="BR30" s="198"/>
      <c r="BS30" s="198"/>
      <c r="BT30" s="198"/>
      <c r="BU30" s="198"/>
      <c r="BV30" s="198"/>
      <c r="BW30" s="198"/>
      <c r="BX30" s="198"/>
      <c r="BY30" s="198"/>
      <c r="BZ30" s="198"/>
      <c r="CA30" s="198"/>
      <c r="CB30" s="198"/>
      <c r="CC30" s="198"/>
      <c r="CD30" s="198"/>
      <c r="CE30" s="198"/>
      <c r="CF30" s="198"/>
      <c r="CG30" s="198"/>
      <c r="CH30" s="198"/>
      <c r="CI30" s="198"/>
      <c r="CJ30" s="198"/>
      <c r="CK30" s="198"/>
      <c r="CL30" s="198"/>
      <c r="CM30" s="198"/>
      <c r="CN30" s="198"/>
      <c r="CO30" s="198"/>
      <c r="CP30" s="198"/>
      <c r="CQ30" s="198"/>
      <c r="CR30" s="198"/>
      <c r="CS30" s="198"/>
      <c r="CT30" s="198"/>
      <c r="CU30" s="198"/>
      <c r="CV30" s="198"/>
      <c r="CW30" s="198"/>
      <c r="CX30" s="198"/>
      <c r="CY30" s="198"/>
      <c r="CZ30" s="198"/>
      <c r="DA30" s="198"/>
      <c r="DB30" s="198"/>
      <c r="DC30" s="198"/>
      <c r="DD30" s="198"/>
      <c r="DE30" s="198"/>
      <c r="DF30" s="198"/>
      <c r="DG30" s="198"/>
      <c r="DH30" s="198"/>
      <c r="DI30" s="198"/>
      <c r="DJ30" s="198"/>
      <c r="DK30" s="198"/>
      <c r="DL30" s="198"/>
      <c r="DM30" s="198"/>
      <c r="DN30" s="198"/>
      <c r="DO30" s="198"/>
      <c r="DP30" s="198"/>
      <c r="DQ30" s="198"/>
      <c r="DR30" s="198"/>
      <c r="DS30" s="198"/>
      <c r="DT30" s="198"/>
    </row>
    <row r="31" spans="1:124" s="172" customFormat="1" ht="15" outlineLevel="1" x14ac:dyDescent="0.25">
      <c r="A31" s="212"/>
      <c r="B31" s="213" t="str">
        <f>Services!B31</f>
        <v>01E</v>
      </c>
      <c r="C31" s="214" t="str">
        <f>Services!C31</f>
        <v>Continuité de l'activité</v>
      </c>
      <c r="D31" s="210" t="str">
        <f t="shared" si="0"/>
        <v/>
      </c>
      <c r="E31" s="1378"/>
      <c r="F31" s="1378"/>
      <c r="G31" s="1378"/>
      <c r="H31" s="1378"/>
      <c r="I31" s="1378"/>
      <c r="J31" s="1378"/>
      <c r="K31" s="1378"/>
      <c r="L31" s="1378"/>
      <c r="M31" s="1378"/>
      <c r="N31" s="1378"/>
      <c r="O31" s="1378"/>
      <c r="P31" s="1378"/>
      <c r="Q31" s="1378"/>
      <c r="R31" s="1378"/>
      <c r="S31" s="1378"/>
      <c r="T31" s="1378"/>
      <c r="U31" s="1378"/>
      <c r="V31" s="1378"/>
      <c r="W31" s="1378"/>
      <c r="X31" s="1378"/>
      <c r="Y31" s="1378"/>
      <c r="Z31" s="1378"/>
      <c r="AA31" s="1378"/>
      <c r="AB31" s="1378"/>
      <c r="AC31" s="1378"/>
      <c r="AD31" s="1378"/>
      <c r="AE31" s="1378"/>
      <c r="AF31" s="1378"/>
      <c r="AG31" s="1378"/>
      <c r="AH31" s="1378"/>
      <c r="AI31" s="1378"/>
      <c r="AJ31" s="1378"/>
      <c r="AK31" s="1378"/>
      <c r="AL31" s="1378"/>
      <c r="AM31" s="1378"/>
      <c r="AN31" s="1378"/>
      <c r="AO31" s="1378"/>
      <c r="AP31" s="1378"/>
      <c r="AQ31" s="1378"/>
      <c r="AR31" s="1378"/>
      <c r="AS31" s="1378"/>
      <c r="AT31" s="1378"/>
      <c r="AU31" s="1378"/>
      <c r="AV31" s="1378"/>
      <c r="AW31" s="1378"/>
      <c r="AX31" s="1378"/>
      <c r="AY31" s="1378"/>
      <c r="AZ31" s="1378"/>
      <c r="BA31" s="1378"/>
      <c r="BB31" s="1378"/>
      <c r="BC31" s="1378"/>
      <c r="BD31"/>
      <c r="BE31" s="198"/>
      <c r="BF31" s="198"/>
      <c r="BG31" s="198"/>
      <c r="BH31" s="198"/>
      <c r="BI31" s="198"/>
      <c r="BJ31" s="198"/>
      <c r="BK31" s="198"/>
      <c r="BL31" s="198"/>
      <c r="BM31" s="198"/>
      <c r="BN31" s="198"/>
      <c r="BO31" s="198"/>
      <c r="BP31" s="198"/>
      <c r="BQ31" s="198"/>
      <c r="BR31" s="198"/>
      <c r="BS31" s="198"/>
      <c r="BT31" s="198"/>
      <c r="BU31" s="198"/>
      <c r="BV31" s="198"/>
      <c r="BW31" s="198"/>
      <c r="BX31" s="198"/>
      <c r="BY31" s="198"/>
      <c r="BZ31" s="198"/>
      <c r="CA31" s="198"/>
      <c r="CB31" s="198"/>
      <c r="CC31" s="198"/>
      <c r="CD31" s="198"/>
      <c r="CE31" s="198"/>
      <c r="CF31" s="198"/>
      <c r="CG31" s="198"/>
      <c r="CH31" s="198"/>
      <c r="CI31" s="198"/>
      <c r="CJ31" s="198"/>
      <c r="CK31" s="198"/>
      <c r="CL31" s="198"/>
      <c r="CM31" s="198"/>
      <c r="CN31" s="198"/>
      <c r="CO31" s="198"/>
      <c r="CP31" s="198"/>
      <c r="CQ31" s="198"/>
      <c r="CR31" s="198"/>
      <c r="CS31" s="198"/>
      <c r="CT31" s="198"/>
      <c r="CU31" s="198"/>
      <c r="CV31" s="198"/>
      <c r="CW31" s="198"/>
      <c r="CX31" s="198"/>
      <c r="CY31" s="198"/>
      <c r="CZ31" s="198"/>
      <c r="DA31" s="198"/>
      <c r="DB31" s="198"/>
      <c r="DC31" s="198"/>
      <c r="DD31" s="198"/>
      <c r="DE31" s="198"/>
      <c r="DF31" s="198"/>
      <c r="DG31" s="198"/>
      <c r="DH31" s="198"/>
      <c r="DI31" s="198"/>
      <c r="DJ31" s="198"/>
      <c r="DK31" s="198"/>
      <c r="DL31" s="198"/>
      <c r="DM31" s="198"/>
      <c r="DN31" s="198"/>
      <c r="DO31" s="198"/>
      <c r="DP31" s="198"/>
      <c r="DQ31" s="198"/>
      <c r="DR31" s="198"/>
      <c r="DS31" s="198"/>
      <c r="DT31" s="198"/>
    </row>
    <row r="32" spans="1:124" s="172" customFormat="1" ht="15" outlineLevel="1" x14ac:dyDescent="0.25">
      <c r="A32" s="212"/>
      <c r="B32" s="218" t="str">
        <f>Services!B32</f>
        <v>01E01</v>
      </c>
      <c r="C32" s="216" t="str">
        <f>Services!C32</f>
        <v>Prise en compte des besoins de continuité de l'activité</v>
      </c>
      <c r="D32" s="210" t="str">
        <f t="shared" si="0"/>
        <v/>
      </c>
      <c r="E32" s="1378"/>
      <c r="F32" s="1378"/>
      <c r="G32" s="1378"/>
      <c r="H32" s="1378"/>
      <c r="I32" s="1378"/>
      <c r="J32" s="1378"/>
      <c r="K32" s="1378"/>
      <c r="L32" s="1378"/>
      <c r="M32" s="1378"/>
      <c r="N32" s="1378"/>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1378">
        <f>IF(INDEX(Tab_actions,212,1)=1,INDEX(Tab_actions,212,7),0)</f>
        <v>0</v>
      </c>
      <c r="AK32" s="1378">
        <f>IF(INDEX(Tab_actions,222,1)=1,INDEX(Tab_actions,222,4),0)</f>
        <v>0</v>
      </c>
      <c r="AL32" s="1378">
        <f>IF(INDEX(Tab_actions,231,1)=1,INDEX(Tab_actions,231,4),0)</f>
        <v>0</v>
      </c>
      <c r="AM32" s="1378"/>
      <c r="AN32" s="1378">
        <f>IF(INDEX(Tab_actions,247,1)=1,INDEX(Tab_actions,247,4),0)</f>
        <v>0</v>
      </c>
      <c r="AO32" s="1378">
        <f>IF(INDEX(Tab_actions,256,1)=1,INDEX(Tab_actions,256,4),0)</f>
        <v>0</v>
      </c>
      <c r="AP32" s="1378"/>
      <c r="AQ32" s="1378"/>
      <c r="AR32" s="1378"/>
      <c r="AS32" s="1378"/>
      <c r="AT32" s="1378"/>
      <c r="AU32" s="1378"/>
      <c r="AV32" s="1378"/>
      <c r="AW32" s="1378"/>
      <c r="AX32" s="1378"/>
      <c r="AY32" s="1378"/>
      <c r="AZ32" s="1378"/>
      <c r="BA32" s="1378"/>
      <c r="BB32" s="1378"/>
      <c r="BC32" s="1378"/>
      <c r="BD32"/>
      <c r="BE32" s="198"/>
      <c r="BF32" s="198"/>
      <c r="BG32" s="198"/>
      <c r="BH32" s="198"/>
      <c r="BI32" s="198"/>
      <c r="BJ32" s="198"/>
      <c r="BK32" s="198"/>
      <c r="BL32" s="198"/>
      <c r="BM32" s="198"/>
      <c r="BN32" s="198"/>
      <c r="BO32" s="198"/>
      <c r="BP32" s="198"/>
      <c r="BQ32" s="198"/>
      <c r="BR32" s="198"/>
      <c r="BS32" s="198"/>
      <c r="BT32" s="198"/>
      <c r="BU32" s="198"/>
      <c r="BV32" s="198"/>
      <c r="BW32" s="198"/>
      <c r="BX32" s="198"/>
      <c r="BY32" s="198"/>
      <c r="BZ32" s="198"/>
      <c r="CA32" s="198"/>
      <c r="CB32" s="198"/>
      <c r="CC32" s="198"/>
      <c r="CD32" s="198"/>
      <c r="CE32" s="198"/>
      <c r="CF32" s="198"/>
      <c r="CG32" s="198"/>
      <c r="CH32" s="198"/>
      <c r="CI32" s="198"/>
      <c r="CJ32" s="198"/>
      <c r="CK32" s="198"/>
      <c r="CL32" s="198"/>
      <c r="CM32" s="198"/>
      <c r="CN32" s="198"/>
      <c r="CO32" s="198"/>
      <c r="CP32" s="198"/>
      <c r="CQ32" s="198"/>
      <c r="CR32" s="198"/>
      <c r="CS32" s="198"/>
      <c r="CT32" s="198"/>
      <c r="CU32" s="198"/>
      <c r="CV32" s="198"/>
      <c r="CW32" s="198"/>
      <c r="CX32" s="198"/>
      <c r="CY32" s="198"/>
      <c r="CZ32" s="198"/>
      <c r="DA32" s="198"/>
      <c r="DB32" s="198"/>
      <c r="DC32" s="198"/>
      <c r="DD32" s="198"/>
      <c r="DE32" s="198"/>
      <c r="DF32" s="198"/>
      <c r="DG32" s="198"/>
      <c r="DH32" s="198"/>
      <c r="DI32" s="198"/>
      <c r="DJ32" s="198"/>
      <c r="DK32" s="198"/>
      <c r="DL32" s="198"/>
      <c r="DM32" s="198"/>
      <c r="DN32" s="198"/>
      <c r="DO32" s="198"/>
      <c r="DP32" s="198"/>
      <c r="DQ32" s="198"/>
      <c r="DR32" s="198"/>
      <c r="DS32" s="198"/>
      <c r="DT32" s="198"/>
    </row>
    <row r="33" spans="1:124" s="172" customFormat="1" ht="15" outlineLevel="1" x14ac:dyDescent="0.25">
      <c r="A33" s="212"/>
      <c r="B33" s="218" t="str">
        <f>Services!B33</f>
        <v>01E02</v>
      </c>
      <c r="C33" s="216" t="str">
        <f>Services!C33</f>
        <v>Plans de continuité de l'activité</v>
      </c>
      <c r="D33" s="210" t="str">
        <f t="shared" si="0"/>
        <v/>
      </c>
      <c r="E33" s="1378"/>
      <c r="F33" s="1378"/>
      <c r="G33" s="1378"/>
      <c r="H33" s="1378"/>
      <c r="I33" s="1378"/>
      <c r="J33" s="1378"/>
      <c r="K33" s="1378"/>
      <c r="L33" s="1378"/>
      <c r="M33" s="1378"/>
      <c r="N33" s="1378"/>
      <c r="O33" s="1378"/>
      <c r="P33" s="1378"/>
      <c r="Q33" s="1378"/>
      <c r="R33" s="1378"/>
      <c r="S33" s="1378"/>
      <c r="T33" s="1378"/>
      <c r="U33" s="1378"/>
      <c r="V33" s="1378"/>
      <c r="W33" s="1378"/>
      <c r="X33" s="1378"/>
      <c r="Y33" s="1378"/>
      <c r="Z33" s="1378"/>
      <c r="AA33" s="1378"/>
      <c r="AB33" s="1378"/>
      <c r="AC33" s="1378"/>
      <c r="AD33" s="1378"/>
      <c r="AE33" s="1378"/>
      <c r="AF33" s="1378"/>
      <c r="AG33" s="1378"/>
      <c r="AH33" s="1378"/>
      <c r="AI33" s="1378">
        <f>IF(INDEX(Tab_actions,205,1)=1,INDEX(Tab_actions,205,7),0)</f>
        <v>0</v>
      </c>
      <c r="AJ33" s="1378">
        <f>IF(INDEX(Tab_actions,212,1)=1,INDEX(Tab_actions,212,10),0)</f>
        <v>0</v>
      </c>
      <c r="AK33" s="1378">
        <f>IF(INDEX(Tab_actions,222,1)=1,INDEX(Tab_actions,222,7),0)</f>
        <v>0</v>
      </c>
      <c r="AL33" s="1378">
        <f>IF(INDEX(Tab_actions,231,1)=1,INDEX(Tab_actions,231,7),0)</f>
        <v>0</v>
      </c>
      <c r="AM33" s="1378"/>
      <c r="AN33" s="1378">
        <f>IF(INDEX(Tab_actions,247,1)=1,INDEX(Tab_actions,247,7),0)</f>
        <v>0</v>
      </c>
      <c r="AO33" s="1378">
        <f>IF(INDEX(Tab_actions,256,1)=1,INDEX(Tab_actions,256,7),0)</f>
        <v>0</v>
      </c>
      <c r="AP33" s="1378"/>
      <c r="AQ33" s="1378"/>
      <c r="AR33" s="1378"/>
      <c r="AS33" s="1378"/>
      <c r="AT33" s="1378"/>
      <c r="AU33" s="1378"/>
      <c r="AV33" s="1378"/>
      <c r="AW33" s="1378"/>
      <c r="AX33" s="1378"/>
      <c r="AY33" s="1378"/>
      <c r="AZ33" s="1378"/>
      <c r="BA33" s="1378"/>
      <c r="BB33" s="1378"/>
      <c r="BC33" s="1378"/>
      <c r="BD33"/>
      <c r="BE33" s="198"/>
      <c r="BF33" s="198"/>
      <c r="BG33" s="198"/>
      <c r="BH33" s="198"/>
      <c r="BI33" s="198"/>
      <c r="BJ33" s="198"/>
      <c r="BK33" s="198"/>
      <c r="BL33" s="198"/>
      <c r="BM33" s="198"/>
      <c r="BN33" s="198"/>
      <c r="BO33" s="198"/>
      <c r="BP33" s="198"/>
      <c r="BQ33" s="198"/>
      <c r="BR33" s="198"/>
      <c r="BS33" s="198"/>
      <c r="BT33" s="198"/>
      <c r="BU33" s="198"/>
      <c r="BV33" s="198"/>
      <c r="BW33" s="198"/>
      <c r="BX33" s="198"/>
      <c r="BY33" s="198"/>
      <c r="BZ33" s="198"/>
      <c r="CA33" s="198"/>
      <c r="CB33" s="198"/>
      <c r="CC33" s="198"/>
      <c r="CD33" s="198"/>
      <c r="CE33" s="198"/>
      <c r="CF33" s="198"/>
      <c r="CG33" s="198"/>
      <c r="CH33" s="198"/>
      <c r="CI33" s="198"/>
      <c r="CJ33" s="198"/>
      <c r="CK33" s="198"/>
      <c r="CL33" s="198"/>
      <c r="CM33" s="198"/>
      <c r="CN33" s="198"/>
      <c r="CO33" s="198"/>
      <c r="CP33" s="198"/>
      <c r="CQ33" s="198"/>
      <c r="CR33" s="198"/>
      <c r="CS33" s="198"/>
      <c r="CT33" s="198"/>
      <c r="CU33" s="198"/>
      <c r="CV33" s="198"/>
      <c r="CW33" s="198"/>
      <c r="CX33" s="198"/>
      <c r="CY33" s="198"/>
      <c r="CZ33" s="198"/>
      <c r="DA33" s="198"/>
      <c r="DB33" s="198"/>
      <c r="DC33" s="198"/>
      <c r="DD33" s="198"/>
      <c r="DE33" s="198"/>
      <c r="DF33" s="198"/>
      <c r="DG33" s="198"/>
      <c r="DH33" s="198"/>
      <c r="DI33" s="198"/>
      <c r="DJ33" s="198"/>
      <c r="DK33" s="198"/>
      <c r="DL33" s="198"/>
      <c r="DM33" s="198"/>
      <c r="DN33" s="198"/>
      <c r="DO33" s="198"/>
      <c r="DP33" s="198"/>
      <c r="DQ33" s="198"/>
      <c r="DR33" s="198"/>
      <c r="DS33" s="198"/>
      <c r="DT33" s="198"/>
    </row>
    <row r="34" spans="1:124" s="172" customFormat="1" ht="15" outlineLevel="1" x14ac:dyDescent="0.25">
      <c r="A34" s="173"/>
      <c r="B34" s="218" t="str">
        <f>Services!B34</f>
        <v>01E03</v>
      </c>
      <c r="C34" s="216" t="str">
        <f>Services!C34</f>
        <v>Plans de Reprise de l'Environnement de Travail (PRET)</v>
      </c>
      <c r="D34" s="210" t="str">
        <f t="shared" si="0"/>
        <v/>
      </c>
      <c r="E34" s="1378"/>
      <c r="F34" s="1378"/>
      <c r="G34" s="1378"/>
      <c r="H34" s="1378"/>
      <c r="I34" s="1378"/>
      <c r="J34" s="1378"/>
      <c r="K34" s="1378"/>
      <c r="L34" s="1378"/>
      <c r="M34" s="1378"/>
      <c r="N34" s="1378"/>
      <c r="O34" s="1378"/>
      <c r="P34" s="1378"/>
      <c r="Q34" s="1378"/>
      <c r="R34" s="1378"/>
      <c r="S34" s="1378"/>
      <c r="T34" s="1378"/>
      <c r="U34" s="1378"/>
      <c r="V34" s="1378"/>
      <c r="W34" s="1378"/>
      <c r="X34" s="1378"/>
      <c r="Y34" s="1378"/>
      <c r="Z34" s="1378"/>
      <c r="AA34" s="1378"/>
      <c r="AB34" s="1378"/>
      <c r="AC34" s="1378"/>
      <c r="AD34" s="1378"/>
      <c r="AE34" s="1378"/>
      <c r="AF34" s="1378"/>
      <c r="AG34" s="1378">
        <f>IF(INDEX(Tab_actions,191,1)=1,INDEX(Tab_actions,191,4),0)</f>
        <v>0</v>
      </c>
      <c r="AH34" s="1378"/>
      <c r="AI34" s="1378"/>
      <c r="AJ34" s="1378"/>
      <c r="AK34" s="1378"/>
      <c r="AL34" s="1378"/>
      <c r="AM34" s="1378">
        <f>IF(INDEX(Tab_actions,238,1)=1,INDEX(Tab_actions,238,4),0)</f>
        <v>0</v>
      </c>
      <c r="AN34" s="1378"/>
      <c r="AO34" s="1378"/>
      <c r="AP34" s="1378"/>
      <c r="AQ34" s="1378"/>
      <c r="AR34" s="1378"/>
      <c r="AS34" s="1378"/>
      <c r="AT34" s="1378"/>
      <c r="AU34" s="1378"/>
      <c r="AV34" s="1378"/>
      <c r="AW34" s="1378"/>
      <c r="AX34" s="1378"/>
      <c r="AY34" s="1378"/>
      <c r="AZ34" s="1378"/>
      <c r="BA34" s="1378"/>
      <c r="BB34" s="1378"/>
      <c r="BC34" s="1378"/>
      <c r="BD34"/>
      <c r="BE34" s="198"/>
      <c r="BF34" s="198"/>
      <c r="BG34" s="198"/>
      <c r="BH34" s="198"/>
      <c r="BI34" s="198"/>
      <c r="BJ34" s="198"/>
      <c r="BK34" s="198"/>
      <c r="BL34" s="198"/>
      <c r="BM34" s="198"/>
      <c r="BN34" s="198"/>
      <c r="BO34" s="198"/>
      <c r="BP34" s="198"/>
      <c r="BQ34" s="198"/>
      <c r="BR34" s="198"/>
      <c r="BS34" s="198"/>
      <c r="BT34" s="198"/>
      <c r="BU34" s="198"/>
      <c r="BV34" s="198"/>
      <c r="BW34" s="198"/>
      <c r="BX34" s="198"/>
      <c r="BY34" s="198"/>
      <c r="BZ34" s="198"/>
      <c r="CA34" s="198"/>
      <c r="CB34" s="198"/>
      <c r="CC34" s="198"/>
      <c r="CD34" s="198"/>
      <c r="CE34" s="198"/>
      <c r="CF34" s="198"/>
      <c r="CG34" s="198"/>
      <c r="CH34" s="198"/>
      <c r="CI34" s="198"/>
      <c r="CJ34" s="198"/>
      <c r="CK34" s="198"/>
      <c r="CL34" s="198"/>
      <c r="CM34" s="198"/>
      <c r="CN34" s="198"/>
      <c r="CO34" s="198"/>
      <c r="CP34" s="198"/>
      <c r="CQ34" s="198"/>
      <c r="CR34" s="198"/>
      <c r="CS34" s="198"/>
      <c r="CT34" s="198"/>
      <c r="CU34" s="198"/>
      <c r="CV34" s="198"/>
      <c r="CW34" s="198"/>
      <c r="CX34" s="198"/>
      <c r="CY34" s="198"/>
      <c r="CZ34" s="198"/>
      <c r="DA34" s="198"/>
      <c r="DB34" s="198"/>
      <c r="DC34" s="198"/>
      <c r="DD34" s="198"/>
      <c r="DE34" s="198"/>
      <c r="DF34" s="198"/>
      <c r="DG34" s="198"/>
      <c r="DH34" s="198"/>
      <c r="DI34" s="198"/>
      <c r="DJ34" s="198"/>
      <c r="DK34" s="198"/>
      <c r="DL34" s="198"/>
      <c r="DM34" s="198"/>
      <c r="DN34" s="198"/>
      <c r="DO34" s="198"/>
      <c r="DP34" s="198"/>
      <c r="DQ34" s="198"/>
      <c r="DR34" s="198"/>
      <c r="DS34" s="198"/>
      <c r="DT34" s="198"/>
    </row>
    <row r="35" spans="1:124" ht="15" x14ac:dyDescent="0.25">
      <c r="A35" s="207" t="s">
        <v>3024</v>
      </c>
      <c r="B35" s="219" t="str">
        <f>Services!B35</f>
        <v>Sécurité des sites (02 Sit)</v>
      </c>
      <c r="C35" s="220"/>
      <c r="D35" s="210" t="str">
        <f t="shared" si="0"/>
        <v/>
      </c>
      <c r="E35" s="1378"/>
      <c r="F35" s="1378"/>
      <c r="G35" s="1378"/>
      <c r="H35" s="1378"/>
      <c r="I35" s="1378"/>
      <c r="J35" s="1378"/>
      <c r="K35" s="1378"/>
      <c r="L35" s="1378"/>
      <c r="M35" s="1378"/>
      <c r="N35" s="1378"/>
      <c r="O35" s="1378"/>
      <c r="P35" s="1378"/>
      <c r="Q35" s="1378"/>
      <c r="R35" s="1378"/>
      <c r="S35" s="1378"/>
      <c r="T35" s="1378"/>
      <c r="U35" s="1378"/>
      <c r="V35" s="1378"/>
      <c r="W35" s="1378"/>
      <c r="X35" s="1378"/>
      <c r="Y35" s="1378"/>
      <c r="Z35" s="1378"/>
      <c r="AA35" s="1378"/>
      <c r="AB35" s="1378"/>
      <c r="AC35" s="1378"/>
      <c r="AD35" s="1378"/>
      <c r="AE35" s="1378"/>
      <c r="AF35" s="1378"/>
      <c r="AG35" s="1378"/>
      <c r="AH35" s="1378"/>
      <c r="AI35" s="1378"/>
      <c r="AJ35" s="1378"/>
      <c r="AK35" s="1378"/>
      <c r="AL35" s="1378"/>
      <c r="AM35" s="1378"/>
      <c r="AN35" s="1378"/>
      <c r="AO35" s="1378"/>
      <c r="AP35" s="1378"/>
      <c r="AQ35" s="1378"/>
      <c r="AR35" s="1378"/>
      <c r="AS35" s="1378"/>
      <c r="AT35" s="1378"/>
      <c r="AU35" s="1378"/>
      <c r="AV35" s="1378"/>
      <c r="AW35" s="1378"/>
      <c r="AX35" s="1378"/>
      <c r="AY35" s="1378"/>
      <c r="AZ35" s="1378"/>
      <c r="BA35" s="1378"/>
      <c r="BB35" s="1378"/>
      <c r="BC35" s="1378"/>
      <c r="BD35"/>
    </row>
    <row r="36" spans="1:124" ht="14.25" outlineLevel="1" x14ac:dyDescent="0.25">
      <c r="A36" s="221"/>
      <c r="B36" s="213" t="str">
        <f>Services!B36</f>
        <v>02A</v>
      </c>
      <c r="C36" s="214" t="str">
        <f>Services!C36</f>
        <v>Contrôle d'accès physique au site et aux bâtiments</v>
      </c>
      <c r="D36" s="210" t="str">
        <f t="shared" si="0"/>
        <v/>
      </c>
      <c r="E36" s="1378"/>
      <c r="F36" s="1378"/>
      <c r="G36" s="1378"/>
      <c r="H36" s="1378"/>
      <c r="I36" s="1378"/>
      <c r="J36" s="1378"/>
      <c r="K36" s="1378"/>
      <c r="L36" s="1378"/>
      <c r="M36" s="1378"/>
      <c r="N36" s="1378"/>
      <c r="O36" s="1378"/>
      <c r="P36" s="1378"/>
      <c r="Q36" s="1378"/>
      <c r="R36" s="1378"/>
      <c r="S36" s="1378"/>
      <c r="T36" s="1378"/>
      <c r="U36" s="1378"/>
      <c r="V36" s="1378"/>
      <c r="W36" s="1378"/>
      <c r="X36" s="1378"/>
      <c r="Y36" s="1378"/>
      <c r="Z36" s="1378"/>
      <c r="AA36" s="1378"/>
      <c r="AB36" s="1378"/>
      <c r="AC36" s="1378"/>
      <c r="AD36" s="1378"/>
      <c r="AE36" s="1378"/>
      <c r="AF36" s="1378"/>
      <c r="AG36" s="1378"/>
      <c r="AH36" s="1378"/>
      <c r="AI36" s="1378"/>
      <c r="AJ36" s="1378"/>
      <c r="AK36" s="1378"/>
      <c r="AL36" s="1378"/>
      <c r="AM36" s="1378"/>
      <c r="AN36" s="1378"/>
      <c r="AO36" s="1378"/>
      <c r="AP36" s="1378"/>
      <c r="AQ36" s="1378"/>
      <c r="AR36" s="1378"/>
      <c r="AS36" s="1378"/>
      <c r="AT36" s="1378"/>
      <c r="AU36" s="1378"/>
      <c r="AV36" s="1378"/>
      <c r="AW36" s="1378"/>
      <c r="AX36" s="1378"/>
      <c r="AY36" s="1378"/>
      <c r="AZ36" s="1378"/>
      <c r="BA36" s="1378"/>
      <c r="BB36" s="1378"/>
      <c r="BC36" s="1378"/>
      <c r="BD36"/>
    </row>
    <row r="37" spans="1:124" ht="15" outlineLevel="1" x14ac:dyDescent="0.25">
      <c r="A37" s="222"/>
      <c r="B37" s="218" t="str">
        <f>Services!B37</f>
        <v>02A01</v>
      </c>
      <c r="C37" s="216" t="str">
        <f>Services!C37</f>
        <v>Gestion des droits d'accès au site ou à l'immeuble</v>
      </c>
      <c r="D37" s="210" t="str">
        <f t="shared" si="0"/>
        <v/>
      </c>
      <c r="E37" s="1378"/>
      <c r="F37" s="1378"/>
      <c r="G37" s="1378"/>
      <c r="H37" s="1378"/>
      <c r="I37" s="1378"/>
      <c r="J37" s="1378"/>
      <c r="K37" s="1378"/>
      <c r="L37" s="1378"/>
      <c r="M37" s="1378"/>
      <c r="N37" s="1378"/>
      <c r="O37" s="1378"/>
      <c r="P37" s="1378"/>
      <c r="Q37" s="1378"/>
      <c r="R37" s="1378"/>
      <c r="S37" s="1378"/>
      <c r="T37" s="1378"/>
      <c r="U37" s="1378"/>
      <c r="V37" s="1378"/>
      <c r="W37" s="1378"/>
      <c r="X37" s="1378"/>
      <c r="Y37" s="1378"/>
      <c r="Z37" s="1378"/>
      <c r="AA37" s="1378"/>
      <c r="AB37" s="1378"/>
      <c r="AC37" s="1378"/>
      <c r="AD37" s="1378"/>
      <c r="AE37" s="1378"/>
      <c r="AF37" s="1378"/>
      <c r="AG37" s="1378"/>
      <c r="AH37" s="1378">
        <f>IF(INDEX(Tab_actions,194,1)=1,INDEX(Tab_actions,194,4),0)</f>
        <v>0</v>
      </c>
      <c r="AI37" s="1378">
        <f>IF(INDEX(Tab_actions,201,1)=1,INDEX(Tab_actions,201,4),0)</f>
        <v>0</v>
      </c>
      <c r="AJ37" s="1378">
        <f>IF(INDEX(Tab_actions,208,1)=1,INDEX(Tab_actions,208,4),0)</f>
        <v>0</v>
      </c>
      <c r="AK37" s="1378">
        <f>IF(INDEX(Tab_actions,217,1)=1,INDEX(Tab_actions,217,4),0)</f>
        <v>0</v>
      </c>
      <c r="AL37" s="1378">
        <f>IF(INDEX(Tab_actions,226,1)=1,INDEX(Tab_actions,226,4),0)</f>
        <v>0</v>
      </c>
      <c r="AM37" s="1378"/>
      <c r="AN37" s="1378">
        <f>IF(INDEX(Tab_actions,242,1)=1,INDEX(Tab_actions,242,4),0)</f>
        <v>0</v>
      </c>
      <c r="AO37" s="1378">
        <f>IF(INDEX(Tab_actions,251,1)=1,INDEX(Tab_actions,251,4),0)</f>
        <v>0</v>
      </c>
      <c r="AP37" s="1378"/>
      <c r="AQ37" s="1378"/>
      <c r="AR37" s="1378"/>
      <c r="AS37" s="1378"/>
      <c r="AT37" s="1378"/>
      <c r="AU37" s="1378"/>
      <c r="AV37" s="1378"/>
      <c r="AW37" s="1378"/>
      <c r="AX37" s="1378"/>
      <c r="AY37" s="1378"/>
      <c r="AZ37" s="1378"/>
      <c r="BA37" s="1378"/>
      <c r="BB37" s="1378"/>
      <c r="BC37" s="1378"/>
      <c r="BD37"/>
    </row>
    <row r="38" spans="1:124" ht="15" outlineLevel="1" x14ac:dyDescent="0.25">
      <c r="A38" s="222"/>
      <c r="B38" s="218" t="str">
        <f>Services!B38</f>
        <v>02A02</v>
      </c>
      <c r="C38" s="216" t="str">
        <f>Services!C38</f>
        <v>Gestion des autorisations d'accès au site ou à l'immeuble</v>
      </c>
      <c r="D38" s="210" t="str">
        <f t="shared" si="0"/>
        <v/>
      </c>
      <c r="E38" s="1378"/>
      <c r="F38" s="1378"/>
      <c r="G38" s="1378"/>
      <c r="H38" s="1378"/>
      <c r="I38" s="1378"/>
      <c r="J38" s="1378"/>
      <c r="K38" s="1378"/>
      <c r="L38" s="1378"/>
      <c r="M38" s="1378"/>
      <c r="N38" s="1378"/>
      <c r="O38" s="1378"/>
      <c r="P38" s="1378"/>
      <c r="Q38" s="1378"/>
      <c r="R38" s="1378"/>
      <c r="S38" s="1378"/>
      <c r="T38" s="1378"/>
      <c r="U38" s="1378"/>
      <c r="V38" s="1378"/>
      <c r="W38" s="1378"/>
      <c r="X38" s="1378"/>
      <c r="Y38" s="1378"/>
      <c r="Z38" s="1378"/>
      <c r="AA38" s="1378"/>
      <c r="AB38" s="1378"/>
      <c r="AC38" s="1378"/>
      <c r="AD38" s="1378"/>
      <c r="AE38" s="1378"/>
      <c r="AF38" s="1378"/>
      <c r="AG38" s="1378"/>
      <c r="AH38" s="1378">
        <f>IF(INDEX(Tab_actions,194,1)=1,INDEX(Tab_actions,194,7),0)</f>
        <v>0</v>
      </c>
      <c r="AI38" s="1378">
        <f>IF(INDEX(Tab_actions,201,1)=1,INDEX(Tab_actions,201,7),0)</f>
        <v>0</v>
      </c>
      <c r="AJ38" s="1378">
        <f>IF(INDEX(Tab_actions,208,1)=1,INDEX(Tab_actions,208,7),0)</f>
        <v>0</v>
      </c>
      <c r="AK38" s="1378">
        <f>IF(INDEX(Tab_actions,217,1)=1,INDEX(Tab_actions,217,7),0)</f>
        <v>0</v>
      </c>
      <c r="AL38" s="1378">
        <f>IF(INDEX(Tab_actions,226,1)=1,INDEX(Tab_actions,226,7),0)</f>
        <v>0</v>
      </c>
      <c r="AM38" s="1378"/>
      <c r="AN38" s="1378">
        <f>IF(INDEX(Tab_actions,242,1)=1,INDEX(Tab_actions,242,7),0)</f>
        <v>0</v>
      </c>
      <c r="AO38" s="1378">
        <f>IF(INDEX(Tab_actions,251,1)=1,INDEX(Tab_actions,251,7),0)</f>
        <v>0</v>
      </c>
      <c r="AP38" s="1378"/>
      <c r="AQ38" s="1378"/>
      <c r="AR38" s="1378"/>
      <c r="AS38" s="1378"/>
      <c r="AT38" s="1378"/>
      <c r="AU38" s="1378"/>
      <c r="AV38" s="1378"/>
      <c r="AW38" s="1378"/>
      <c r="AX38" s="1378"/>
      <c r="AY38" s="1378"/>
      <c r="AZ38" s="1378"/>
      <c r="BA38" s="1378"/>
      <c r="BB38" s="1378"/>
      <c r="BC38" s="1378"/>
      <c r="BD38"/>
    </row>
    <row r="39" spans="1:124" ht="15" outlineLevel="1" x14ac:dyDescent="0.25">
      <c r="A39" s="222"/>
      <c r="B39" s="218" t="str">
        <f>Services!B39</f>
        <v>02A03</v>
      </c>
      <c r="C39" s="216" t="str">
        <f>Services!C39</f>
        <v>Contrôle d'accès au site ou à l'immeuble</v>
      </c>
      <c r="D39" s="210" t="str">
        <f t="shared" si="0"/>
        <v/>
      </c>
      <c r="E39" s="1378"/>
      <c r="F39" s="1378"/>
      <c r="G39" s="1378"/>
      <c r="H39" s="1378"/>
      <c r="I39" s="1378"/>
      <c r="J39" s="1378"/>
      <c r="K39" s="1378"/>
      <c r="L39" s="1378"/>
      <c r="M39" s="1378"/>
      <c r="N39" s="1378"/>
      <c r="O39" s="1378"/>
      <c r="P39" s="1378"/>
      <c r="Q39" s="1378"/>
      <c r="R39" s="1378"/>
      <c r="S39" s="1378"/>
      <c r="T39" s="1378"/>
      <c r="U39" s="1378"/>
      <c r="V39" s="1378"/>
      <c r="W39" s="1378"/>
      <c r="X39" s="1378"/>
      <c r="Y39" s="1378"/>
      <c r="Z39" s="1378"/>
      <c r="AA39" s="1378"/>
      <c r="AB39" s="1378"/>
      <c r="AC39" s="1378"/>
      <c r="AD39" s="1378"/>
      <c r="AE39" s="1378"/>
      <c r="AF39" s="1378"/>
      <c r="AG39" s="1378"/>
      <c r="AH39" s="1378">
        <f>IF(INDEX(Tab_actions,194,1)=1,INDEX(Tab_actions,194,10),0)</f>
        <v>0</v>
      </c>
      <c r="AI39" s="1378">
        <f>IF(INDEX(Tab_actions,201,1)=1,INDEX(Tab_actions,201,10),0)</f>
        <v>0</v>
      </c>
      <c r="AJ39" s="1378">
        <f>IF(INDEX(Tab_actions,208,1)=1,INDEX(Tab_actions,208,10),0)</f>
        <v>0</v>
      </c>
      <c r="AK39" s="1378">
        <f>IF(INDEX(Tab_actions,217,1)=1,INDEX(Tab_actions,217,10),0)</f>
        <v>0</v>
      </c>
      <c r="AL39" s="1378">
        <f>IF(INDEX(Tab_actions,226,1)=1,INDEX(Tab_actions,226,10),0)</f>
        <v>0</v>
      </c>
      <c r="AM39" s="1378"/>
      <c r="AN39" s="1378">
        <f>IF(INDEX(Tab_actions,242,1)=1,INDEX(Tab_actions,242,10),0)</f>
        <v>0</v>
      </c>
      <c r="AO39" s="1378">
        <f>IF(INDEX(Tab_actions,251,1)=1,INDEX(Tab_actions,251,10),0)</f>
        <v>0</v>
      </c>
      <c r="AP39" s="1378"/>
      <c r="AQ39" s="1378"/>
      <c r="AR39" s="1378"/>
      <c r="AS39" s="1378"/>
      <c r="AT39" s="1378"/>
      <c r="AU39" s="1378"/>
      <c r="AV39" s="1378"/>
      <c r="AW39" s="1378"/>
      <c r="AX39" s="1378"/>
      <c r="AY39" s="1378"/>
      <c r="AZ39" s="1378"/>
      <c r="BA39" s="1378"/>
      <c r="BB39" s="1378"/>
      <c r="BC39" s="1378"/>
      <c r="BD39"/>
    </row>
    <row r="40" spans="1:124" ht="15" outlineLevel="1" x14ac:dyDescent="0.25">
      <c r="A40" s="222"/>
      <c r="B40" s="218" t="str">
        <f>Services!B40</f>
        <v>02A04</v>
      </c>
      <c r="C40" s="216" t="str">
        <f>Services!C40</f>
        <v>Détection des intrusions sur le site ou dans l'immeuble</v>
      </c>
      <c r="D40" s="210" t="str">
        <f t="shared" si="0"/>
        <v/>
      </c>
      <c r="E40" s="1378"/>
      <c r="F40" s="1378"/>
      <c r="G40" s="1378"/>
      <c r="H40" s="1378"/>
      <c r="I40" s="1378"/>
      <c r="J40" s="1378"/>
      <c r="K40" s="1378"/>
      <c r="L40" s="1378"/>
      <c r="M40" s="1378"/>
      <c r="N40" s="1378"/>
      <c r="O40" s="1378"/>
      <c r="P40" s="1378"/>
      <c r="Q40" s="1378"/>
      <c r="R40" s="1378"/>
      <c r="S40" s="1378"/>
      <c r="T40" s="1378"/>
      <c r="U40" s="1378"/>
      <c r="V40" s="1378"/>
      <c r="W40" s="1378"/>
      <c r="X40" s="1378"/>
      <c r="Y40" s="1378"/>
      <c r="Z40" s="1378"/>
      <c r="AA40" s="1378"/>
      <c r="AB40" s="1378"/>
      <c r="AC40" s="1378"/>
      <c r="AD40" s="1378"/>
      <c r="AE40" s="1378"/>
      <c r="AF40" s="1378"/>
      <c r="AG40" s="1378"/>
      <c r="AH40" s="1378">
        <f>IF(INDEX(Tab_actions,197,1)=1,INDEX(Tab_actions,197,4),0)</f>
        <v>0</v>
      </c>
      <c r="AI40" s="1378">
        <f>IF(INDEX(Tab_actions,204,1)=1,INDEX(Tab_actions,204,4),0)</f>
        <v>0</v>
      </c>
      <c r="AJ40" s="1378">
        <f>IF(INDEX(Tab_actions,211,1)=1,INDEX(Tab_actions,211,4),0)</f>
        <v>0</v>
      </c>
      <c r="AK40" s="1378">
        <f>IF(INDEX(Tab_actions,220,1)=1,INDEX(Tab_actions,220,4),0)</f>
        <v>0</v>
      </c>
      <c r="AL40" s="1378">
        <f>IF(INDEX(Tab_actions,229,1)=1,INDEX(Tab_actions,229,4),0)</f>
        <v>0</v>
      </c>
      <c r="AM40" s="1378"/>
      <c r="AN40" s="1378">
        <f>IF(INDEX(Tab_actions,245,1)=1,INDEX(Tab_actions,245,4),0)</f>
        <v>0</v>
      </c>
      <c r="AO40" s="1378">
        <f>IF(INDEX(Tab_actions,254,1)=1,INDEX(Tab_actions,254,4),0)</f>
        <v>0</v>
      </c>
      <c r="AP40" s="1378"/>
      <c r="AQ40" s="1378"/>
      <c r="AR40" s="1378"/>
      <c r="AS40" s="1378"/>
      <c r="AT40" s="1378"/>
      <c r="AU40" s="1378"/>
      <c r="AV40" s="1378"/>
      <c r="AW40" s="1378"/>
      <c r="AX40" s="1378"/>
      <c r="AY40" s="1378"/>
      <c r="AZ40" s="1378"/>
      <c r="BA40" s="1378"/>
      <c r="BB40" s="1378"/>
      <c r="BC40" s="1378"/>
      <c r="BD40"/>
    </row>
    <row r="41" spans="1:124" s="172" customFormat="1" ht="25.5" outlineLevel="1" x14ac:dyDescent="0.25">
      <c r="A41" s="212"/>
      <c r="B41" s="218" t="str">
        <f>Services!B41</f>
        <v>02A05</v>
      </c>
      <c r="C41" s="216" t="str">
        <f>Services!C41</f>
        <v>Accès aux zones de transfert (livraison ou chargement)  ou aux zones accessibles au public</v>
      </c>
      <c r="D41" s="210" t="str">
        <f t="shared" si="0"/>
        <v/>
      </c>
      <c r="E41" s="1378"/>
      <c r="F41" s="1378"/>
      <c r="G41" s="1378"/>
      <c r="H41" s="1378"/>
      <c r="I41" s="1378"/>
      <c r="J41" s="1378"/>
      <c r="K41" s="1378"/>
      <c r="L41" s="1378"/>
      <c r="M41" s="1378"/>
      <c r="N41" s="1378"/>
      <c r="O41" s="1378"/>
      <c r="P41" s="1378"/>
      <c r="Q41" s="1378"/>
      <c r="R41" s="1378"/>
      <c r="S41" s="1378"/>
      <c r="T41" s="1378"/>
      <c r="U41" s="1378"/>
      <c r="V41" s="1378"/>
      <c r="W41" s="1378"/>
      <c r="X41" s="1378"/>
      <c r="Y41" s="1378"/>
      <c r="Z41" s="1378"/>
      <c r="AA41" s="1378"/>
      <c r="AB41" s="1378"/>
      <c r="AC41" s="1378"/>
      <c r="AD41" s="1378"/>
      <c r="AE41" s="1378"/>
      <c r="AF41" s="1378"/>
      <c r="AG41" s="1378"/>
      <c r="AH41" s="1378">
        <f>IF(INDEX(Tab_actions,194,1)=1,INDEX(Tab_actions,194,13),0)</f>
        <v>0</v>
      </c>
      <c r="AI41" s="1378">
        <f>IF(INDEX(Tab_actions,201,1)=1,INDEX(Tab_actions,201,13),0)</f>
        <v>0</v>
      </c>
      <c r="AJ41" s="1378">
        <f>IF(INDEX(Tab_actions,208,1)=1,INDEX(Tab_actions,208,13),0)</f>
        <v>0</v>
      </c>
      <c r="AK41" s="1378">
        <f>IF(INDEX(Tab_actions,217,1)=1,INDEX(Tab_actions,217,13),0)</f>
        <v>0</v>
      </c>
      <c r="AL41" s="1378">
        <f>IF(INDEX(Tab_actions,226,1)=1,INDEX(Tab_actions,226,13),0)</f>
        <v>0</v>
      </c>
      <c r="AM41" s="1378"/>
      <c r="AN41" s="1378">
        <f>IF(INDEX(Tab_actions,242,1)=1,INDEX(Tab_actions,242,13),0)</f>
        <v>0</v>
      </c>
      <c r="AO41" s="1378">
        <f>IF(INDEX(Tab_actions,251,1)=1,INDEX(Tab_actions,251,13),0)</f>
        <v>0</v>
      </c>
      <c r="AP41" s="1378"/>
      <c r="AQ41" s="1378"/>
      <c r="AR41" s="1378"/>
      <c r="AS41" s="1378"/>
      <c r="AT41" s="1378"/>
      <c r="AU41" s="1378"/>
      <c r="AV41" s="1378"/>
      <c r="AW41" s="1378"/>
      <c r="AX41" s="1378"/>
      <c r="AY41" s="1378"/>
      <c r="AZ41" s="1378"/>
      <c r="BA41" s="1378"/>
      <c r="BB41" s="1378"/>
      <c r="BC41" s="1378"/>
      <c r="BD41"/>
      <c r="BE41" s="198"/>
      <c r="BF41" s="198"/>
      <c r="BG41" s="198"/>
      <c r="BH41" s="198"/>
      <c r="BI41" s="198"/>
      <c r="BJ41" s="198"/>
      <c r="BK41" s="198"/>
      <c r="BL41" s="198"/>
      <c r="BM41" s="198"/>
      <c r="BN41" s="198"/>
      <c r="BO41" s="198"/>
      <c r="BP41" s="198"/>
      <c r="BQ41" s="198"/>
      <c r="BR41" s="198"/>
      <c r="BS41" s="198"/>
      <c r="BT41" s="198"/>
      <c r="BU41" s="198"/>
      <c r="BV41" s="198"/>
      <c r="BW41" s="198"/>
      <c r="BX41" s="198"/>
      <c r="BY41" s="198"/>
      <c r="BZ41" s="198"/>
      <c r="CA41" s="198"/>
      <c r="CB41" s="198"/>
      <c r="CC41" s="198"/>
      <c r="CD41" s="198"/>
      <c r="CE41" s="198"/>
      <c r="CF41" s="198"/>
      <c r="CG41" s="198"/>
      <c r="CH41" s="198"/>
      <c r="CI41" s="198"/>
      <c r="CJ41" s="198"/>
      <c r="CK41" s="198"/>
      <c r="CL41" s="198"/>
      <c r="CM41" s="198"/>
      <c r="CN41" s="198"/>
      <c r="CO41" s="198"/>
      <c r="CP41" s="198"/>
      <c r="CQ41" s="198"/>
      <c r="CR41" s="198"/>
      <c r="CS41" s="198"/>
      <c r="CT41" s="198"/>
      <c r="CU41" s="198"/>
      <c r="CV41" s="198"/>
      <c r="CW41" s="198"/>
      <c r="CX41" s="198"/>
      <c r="CY41" s="198"/>
      <c r="CZ41" s="198"/>
      <c r="DA41" s="198"/>
      <c r="DB41" s="198"/>
      <c r="DC41" s="198"/>
      <c r="DD41" s="198"/>
      <c r="DE41" s="198"/>
      <c r="DF41" s="198"/>
      <c r="DG41" s="198"/>
      <c r="DH41" s="198"/>
      <c r="DI41" s="198"/>
      <c r="DJ41" s="198"/>
      <c r="DK41" s="198"/>
      <c r="DL41" s="198"/>
      <c r="DM41" s="198"/>
      <c r="DN41" s="198"/>
      <c r="DO41" s="198"/>
      <c r="DP41" s="198"/>
      <c r="DQ41" s="198"/>
      <c r="DR41" s="198"/>
      <c r="DS41" s="198"/>
      <c r="DT41" s="198"/>
    </row>
    <row r="42" spans="1:124" s="172" customFormat="1" ht="14.25" outlineLevel="1" x14ac:dyDescent="0.25">
      <c r="A42" s="217"/>
      <c r="B42" s="213" t="str">
        <f>Services!B42</f>
        <v>02B</v>
      </c>
      <c r="C42" s="214" t="str">
        <f>Services!C42</f>
        <v>Protection contre les risques environnementaux divers</v>
      </c>
      <c r="D42" s="210" t="str">
        <f t="shared" si="0"/>
        <v/>
      </c>
      <c r="E42" s="1378"/>
      <c r="F42" s="1378"/>
      <c r="G42" s="1378"/>
      <c r="H42" s="1378"/>
      <c r="I42" s="1378"/>
      <c r="J42" s="1378"/>
      <c r="K42" s="1378"/>
      <c r="L42" s="1378"/>
      <c r="M42" s="1378"/>
      <c r="N42" s="1378"/>
      <c r="O42" s="1378"/>
      <c r="P42" s="1378"/>
      <c r="Q42" s="1378"/>
      <c r="R42" s="1378"/>
      <c r="S42" s="1378"/>
      <c r="T42" s="1378"/>
      <c r="U42" s="1378"/>
      <c r="V42" s="1378"/>
      <c r="W42" s="1378"/>
      <c r="X42" s="1378"/>
      <c r="Y42" s="1378"/>
      <c r="Z42" s="1378"/>
      <c r="AA42" s="1378"/>
      <c r="AB42" s="1378"/>
      <c r="AC42" s="1378"/>
      <c r="AD42" s="1378"/>
      <c r="AE42" s="1378"/>
      <c r="AF42" s="1378"/>
      <c r="AG42" s="1378"/>
      <c r="AH42" s="1378"/>
      <c r="AI42" s="1378"/>
      <c r="AJ42" s="1378"/>
      <c r="AK42" s="1378"/>
      <c r="AL42" s="1378"/>
      <c r="AM42" s="1378"/>
      <c r="AN42" s="1378"/>
      <c r="AO42" s="1378"/>
      <c r="AP42" s="1378"/>
      <c r="AQ42" s="1378"/>
      <c r="AR42" s="1378"/>
      <c r="AS42" s="1378"/>
      <c r="AT42" s="1378"/>
      <c r="AU42" s="1378"/>
      <c r="AV42" s="1378"/>
      <c r="AW42" s="1378"/>
      <c r="AX42" s="1378"/>
      <c r="AY42" s="1378"/>
      <c r="AZ42" s="1378"/>
      <c r="BA42" s="1378"/>
      <c r="BB42" s="1378"/>
      <c r="BC42" s="1378"/>
      <c r="BD42"/>
      <c r="BE42" s="198"/>
      <c r="BF42" s="198"/>
      <c r="BG42" s="198"/>
      <c r="BH42" s="198"/>
      <c r="BI42" s="198"/>
      <c r="BJ42" s="198"/>
      <c r="BK42" s="198"/>
      <c r="BL42" s="198"/>
      <c r="BM42" s="198"/>
      <c r="BN42" s="198"/>
      <c r="BO42" s="198"/>
      <c r="BP42" s="198"/>
      <c r="BQ42" s="198"/>
      <c r="BR42" s="198"/>
      <c r="BS42" s="198"/>
      <c r="BT42" s="198"/>
      <c r="BU42" s="198"/>
      <c r="BV42" s="198"/>
      <c r="BW42" s="198"/>
      <c r="BX42" s="198"/>
      <c r="BY42" s="198"/>
      <c r="BZ42" s="198"/>
      <c r="CA42" s="198"/>
      <c r="CB42" s="198"/>
      <c r="CC42" s="198"/>
      <c r="CD42" s="198"/>
      <c r="CE42" s="198"/>
      <c r="CF42" s="198"/>
      <c r="CG42" s="198"/>
      <c r="CH42" s="198"/>
      <c r="CI42" s="198"/>
      <c r="CJ42" s="198"/>
      <c r="CK42" s="198"/>
      <c r="CL42" s="198"/>
      <c r="CM42" s="198"/>
      <c r="CN42" s="198"/>
      <c r="CO42" s="198"/>
      <c r="CP42" s="198"/>
      <c r="CQ42" s="198"/>
      <c r="CR42" s="198"/>
      <c r="CS42" s="198"/>
      <c r="CT42" s="198"/>
      <c r="CU42" s="198"/>
      <c r="CV42" s="198"/>
      <c r="CW42" s="198"/>
      <c r="CX42" s="198"/>
      <c r="CY42" s="198"/>
      <c r="CZ42" s="198"/>
      <c r="DA42" s="198"/>
      <c r="DB42" s="198"/>
      <c r="DC42" s="198"/>
      <c r="DD42" s="198"/>
      <c r="DE42" s="198"/>
      <c r="DF42" s="198"/>
      <c r="DG42" s="198"/>
      <c r="DH42" s="198"/>
      <c r="DI42" s="198"/>
      <c r="DJ42" s="198"/>
      <c r="DK42" s="198"/>
      <c r="DL42" s="198"/>
      <c r="DM42" s="198"/>
      <c r="DN42" s="198"/>
      <c r="DO42" s="198"/>
      <c r="DP42" s="198"/>
      <c r="DQ42" s="198"/>
      <c r="DR42" s="198"/>
      <c r="DS42" s="198"/>
      <c r="DT42" s="198"/>
    </row>
    <row r="43" spans="1:124" s="172" customFormat="1" ht="15" outlineLevel="1" x14ac:dyDescent="0.25">
      <c r="A43" s="212"/>
      <c r="B43" s="218" t="str">
        <f>Services!B43</f>
        <v>02B01</v>
      </c>
      <c r="C43" s="216" t="str">
        <f>Services!C43</f>
        <v>Analyse des risques environnementaux divers</v>
      </c>
      <c r="D43" s="210" t="str">
        <f t="shared" si="0"/>
        <v/>
      </c>
      <c r="E43" s="1378"/>
      <c r="F43" s="1378"/>
      <c r="G43" s="1378"/>
      <c r="H43" s="1378"/>
      <c r="I43" s="1378"/>
      <c r="J43" s="1378"/>
      <c r="K43" s="1378"/>
      <c r="L43" s="1378"/>
      <c r="M43" s="1378"/>
      <c r="N43" s="1378"/>
      <c r="O43" s="1378"/>
      <c r="P43" s="1378"/>
      <c r="Q43" s="1378"/>
      <c r="R43" s="1378"/>
      <c r="S43" s="1378"/>
      <c r="T43" s="1378"/>
      <c r="U43" s="1378"/>
      <c r="V43" s="1378"/>
      <c r="W43" s="1378"/>
      <c r="X43" s="1378"/>
      <c r="Y43" s="1378"/>
      <c r="Z43" s="1378"/>
      <c r="AA43" s="1378"/>
      <c r="AB43" s="1378"/>
      <c r="AC43" s="1378"/>
      <c r="AD43" s="1378"/>
      <c r="AE43" s="1378"/>
      <c r="AF43" s="1378"/>
      <c r="AG43" s="1378"/>
      <c r="AH43" s="1378"/>
      <c r="AI43" s="1378"/>
      <c r="AJ43" s="1378"/>
      <c r="AK43" s="1378"/>
      <c r="AL43" s="1378"/>
      <c r="AM43" s="1378"/>
      <c r="AN43" s="1378"/>
      <c r="AO43" s="1378"/>
      <c r="AP43" s="1378"/>
      <c r="AQ43" s="1378"/>
      <c r="AR43" s="1378"/>
      <c r="AS43" s="1378"/>
      <c r="AT43" s="1378"/>
      <c r="AU43" s="1378"/>
      <c r="AV43" s="1378"/>
      <c r="AW43" s="1378"/>
      <c r="AX43" s="1378"/>
      <c r="AY43" s="1378"/>
      <c r="AZ43" s="1378"/>
      <c r="BA43" s="1378"/>
      <c r="BB43" s="1378"/>
      <c r="BC43" s="1378"/>
      <c r="BD43"/>
      <c r="BE43" s="198"/>
      <c r="BF43" s="198"/>
      <c r="BG43" s="198"/>
      <c r="BH43" s="198"/>
      <c r="BI43" s="198"/>
      <c r="BJ43" s="198"/>
      <c r="BK43" s="198"/>
      <c r="BL43" s="198"/>
      <c r="BM43" s="198"/>
      <c r="BN43" s="198"/>
      <c r="BO43" s="198"/>
      <c r="BP43" s="198"/>
      <c r="BQ43" s="198"/>
      <c r="BR43" s="198"/>
      <c r="BS43" s="198"/>
      <c r="BT43" s="198"/>
      <c r="BU43" s="198"/>
      <c r="BV43" s="198"/>
      <c r="BW43" s="198"/>
      <c r="BX43" s="198"/>
      <c r="BY43" s="198"/>
      <c r="BZ43" s="198"/>
      <c r="CA43" s="198"/>
      <c r="CB43" s="198"/>
      <c r="CC43" s="198"/>
      <c r="CD43" s="198"/>
      <c r="CE43" s="198"/>
      <c r="CF43" s="198"/>
      <c r="CG43" s="198"/>
      <c r="CH43" s="198"/>
      <c r="CI43" s="198"/>
      <c r="CJ43" s="198"/>
      <c r="CK43" s="198"/>
      <c r="CL43" s="198"/>
      <c r="CM43" s="198"/>
      <c r="CN43" s="198"/>
      <c r="CO43" s="198"/>
      <c r="CP43" s="198"/>
      <c r="CQ43" s="198"/>
      <c r="CR43" s="198"/>
      <c r="CS43" s="198"/>
      <c r="CT43" s="198"/>
      <c r="CU43" s="198"/>
      <c r="CV43" s="198"/>
      <c r="CW43" s="198"/>
      <c r="CX43" s="198"/>
      <c r="CY43" s="198"/>
      <c r="CZ43" s="198"/>
      <c r="DA43" s="198"/>
      <c r="DB43" s="198"/>
      <c r="DC43" s="198"/>
      <c r="DD43" s="198"/>
      <c r="DE43" s="198"/>
      <c r="DF43" s="198"/>
      <c r="DG43" s="198"/>
      <c r="DH43" s="198"/>
      <c r="DI43" s="198"/>
      <c r="DJ43" s="198"/>
      <c r="DK43" s="198"/>
      <c r="DL43" s="198"/>
      <c r="DM43" s="198"/>
      <c r="DN43" s="198"/>
      <c r="DO43" s="198"/>
      <c r="DP43" s="198"/>
      <c r="DQ43" s="198"/>
      <c r="DR43" s="198"/>
      <c r="DS43" s="198"/>
      <c r="DT43" s="198"/>
    </row>
    <row r="44" spans="1:124" s="172" customFormat="1" ht="15" outlineLevel="1" x14ac:dyDescent="0.25">
      <c r="A44" s="173"/>
      <c r="B44" s="213" t="str">
        <f>Services!B44</f>
        <v>02C</v>
      </c>
      <c r="C44" s="214" t="str">
        <f>Services!C44</f>
        <v>Contrôle  des accès aux zones de bureaux</v>
      </c>
      <c r="D44" s="210" t="str">
        <f t="shared" si="0"/>
        <v/>
      </c>
      <c r="E44" s="1378"/>
      <c r="F44" s="1378"/>
      <c r="G44" s="1378"/>
      <c r="H44" s="1378"/>
      <c r="I44" s="1378"/>
      <c r="J44" s="1378"/>
      <c r="K44" s="1378"/>
      <c r="L44" s="1378"/>
      <c r="M44" s="1378"/>
      <c r="N44" s="1378"/>
      <c r="O44" s="1378"/>
      <c r="P44" s="1378"/>
      <c r="Q44" s="1378"/>
      <c r="R44" s="1378"/>
      <c r="S44" s="1378"/>
      <c r="T44" s="1378"/>
      <c r="U44" s="1378"/>
      <c r="V44" s="1378"/>
      <c r="W44" s="1378"/>
      <c r="X44" s="1378"/>
      <c r="Y44" s="1378"/>
      <c r="Z44" s="1378"/>
      <c r="AA44" s="1378"/>
      <c r="AB44" s="1378"/>
      <c r="AC44" s="1378"/>
      <c r="AD44" s="1378"/>
      <c r="AE44" s="1378"/>
      <c r="AF44" s="1378"/>
      <c r="AG44" s="1378"/>
      <c r="AH44" s="1378"/>
      <c r="AI44" s="1378"/>
      <c r="AJ44" s="1378"/>
      <c r="AK44" s="1378"/>
      <c r="AL44" s="1378"/>
      <c r="AM44" s="1378"/>
      <c r="AN44" s="1378"/>
      <c r="AO44" s="1378"/>
      <c r="AP44" s="1378"/>
      <c r="AQ44" s="1378"/>
      <c r="AR44" s="1378"/>
      <c r="AS44" s="1378"/>
      <c r="AT44" s="1378"/>
      <c r="AU44" s="1378"/>
      <c r="AV44" s="1378"/>
      <c r="AW44" s="1378"/>
      <c r="AX44" s="1378"/>
      <c r="AY44" s="1378"/>
      <c r="AZ44" s="1378"/>
      <c r="BA44" s="1378"/>
      <c r="BB44" s="1378"/>
      <c r="BC44" s="1378"/>
      <c r="BD44"/>
      <c r="BE44" s="198"/>
      <c r="BF44" s="198"/>
      <c r="BG44" s="198"/>
      <c r="BH44" s="198"/>
      <c r="BI44" s="198"/>
      <c r="BJ44" s="198"/>
      <c r="BK44" s="198"/>
      <c r="BL44" s="198"/>
      <c r="BM44" s="198"/>
      <c r="BN44" s="198"/>
      <c r="BO44" s="198"/>
      <c r="BP44" s="198"/>
      <c r="BQ44" s="198"/>
      <c r="BR44" s="198"/>
      <c r="BS44" s="198"/>
      <c r="BT44" s="198"/>
      <c r="BU44" s="198"/>
      <c r="BV44" s="198"/>
      <c r="BW44" s="198"/>
      <c r="BX44" s="198"/>
      <c r="BY44" s="198"/>
      <c r="BZ44" s="198"/>
      <c r="CA44" s="198"/>
      <c r="CB44" s="198"/>
      <c r="CC44" s="198"/>
      <c r="CD44" s="198"/>
      <c r="CE44" s="198"/>
      <c r="CF44" s="198"/>
      <c r="CG44" s="198"/>
      <c r="CH44" s="198"/>
      <c r="CI44" s="198"/>
      <c r="CJ44" s="198"/>
      <c r="CK44" s="198"/>
      <c r="CL44" s="198"/>
      <c r="CM44" s="198"/>
      <c r="CN44" s="198"/>
      <c r="CO44" s="198"/>
      <c r="CP44" s="198"/>
      <c r="CQ44" s="198"/>
      <c r="CR44" s="198"/>
      <c r="CS44" s="198"/>
      <c r="CT44" s="198"/>
      <c r="CU44" s="198"/>
      <c r="CV44" s="198"/>
      <c r="CW44" s="198"/>
      <c r="CX44" s="198"/>
      <c r="CY44" s="198"/>
      <c r="CZ44" s="198"/>
      <c r="DA44" s="198"/>
      <c r="DB44" s="198"/>
      <c r="DC44" s="198"/>
      <c r="DD44" s="198"/>
      <c r="DE44" s="198"/>
      <c r="DF44" s="198"/>
      <c r="DG44" s="198"/>
      <c r="DH44" s="198"/>
      <c r="DI44" s="198"/>
      <c r="DJ44" s="198"/>
      <c r="DK44" s="198"/>
      <c r="DL44" s="198"/>
      <c r="DM44" s="198"/>
      <c r="DN44" s="198"/>
      <c r="DO44" s="198"/>
      <c r="DP44" s="198"/>
      <c r="DQ44" s="198"/>
      <c r="DR44" s="198"/>
      <c r="DS44" s="198"/>
      <c r="DT44" s="198"/>
    </row>
    <row r="45" spans="1:124" s="172" customFormat="1" ht="15" outlineLevel="1" x14ac:dyDescent="0.25">
      <c r="A45" s="173"/>
      <c r="B45" s="218" t="str">
        <f>Services!B45</f>
        <v>02C01</v>
      </c>
      <c r="C45" s="216" t="str">
        <f>Services!C45</f>
        <v>Partitionnement des zones de bureaux en zones protégées</v>
      </c>
      <c r="D45" s="210" t="str">
        <f t="shared" si="0"/>
        <v/>
      </c>
      <c r="E45" s="1378"/>
      <c r="F45" s="1378"/>
      <c r="G45" s="1378"/>
      <c r="H45" s="1378"/>
      <c r="I45" s="1378"/>
      <c r="J45" s="1378"/>
      <c r="K45" s="1378"/>
      <c r="L45" s="1378"/>
      <c r="M45" s="1378"/>
      <c r="N45" s="1378"/>
      <c r="O45" s="1378"/>
      <c r="P45" s="1378"/>
      <c r="Q45" s="1378"/>
      <c r="R45" s="1378"/>
      <c r="S45" s="1378"/>
      <c r="T45" s="1378"/>
      <c r="U45" s="1378"/>
      <c r="V45" s="1378"/>
      <c r="W45" s="1378"/>
      <c r="X45" s="1378"/>
      <c r="Y45" s="1378">
        <f>IF(INDEX(Tab_actions,143,1)=1,INDEX(Tab_actions,143,4),0)</f>
        <v>0</v>
      </c>
      <c r="Z45" s="1378">
        <f>IF(INDEX(Tab_actions,149,1)=1,INDEX(Tab_actions,149,4),0)</f>
        <v>0</v>
      </c>
      <c r="AA45" s="1378"/>
      <c r="AB45" s="1378"/>
      <c r="AC45" s="1378"/>
      <c r="AD45" s="1378"/>
      <c r="AE45" s="1378"/>
      <c r="AF45" s="1378"/>
      <c r="AG45" s="1378"/>
      <c r="AH45" s="1378"/>
      <c r="AI45" s="1378"/>
      <c r="AJ45" s="1378"/>
      <c r="AK45" s="1378"/>
      <c r="AL45" s="1378"/>
      <c r="AM45" s="1378"/>
      <c r="AN45" s="1378"/>
      <c r="AO45" s="1378"/>
      <c r="AP45" s="1378"/>
      <c r="AQ45" s="1378"/>
      <c r="AR45" s="1378"/>
      <c r="AS45" s="1378"/>
      <c r="AT45" s="1378"/>
      <c r="AU45" s="1378"/>
      <c r="AV45" s="1378"/>
      <c r="AW45" s="1378"/>
      <c r="AX45" s="1378"/>
      <c r="AY45" s="1378"/>
      <c r="AZ45" s="1378"/>
      <c r="BA45" s="1378"/>
      <c r="BB45" s="1378"/>
      <c r="BC45" s="1378"/>
      <c r="BD45"/>
      <c r="BE45" s="198"/>
      <c r="BF45" s="198"/>
      <c r="BG45" s="198"/>
      <c r="BH45" s="198"/>
      <c r="BI45" s="198"/>
      <c r="BJ45" s="198"/>
      <c r="BK45" s="198"/>
      <c r="BL45" s="198"/>
      <c r="BM45" s="198"/>
      <c r="BN45" s="198"/>
      <c r="BO45" s="198"/>
      <c r="BP45" s="198"/>
      <c r="BQ45" s="198"/>
      <c r="BR45" s="198"/>
      <c r="BS45" s="198"/>
      <c r="BT45" s="198"/>
      <c r="BU45" s="198"/>
      <c r="BV45" s="198"/>
      <c r="BW45" s="198"/>
      <c r="BX45" s="198"/>
      <c r="BY45" s="198"/>
      <c r="BZ45" s="198"/>
      <c r="CA45" s="198"/>
      <c r="CB45" s="198"/>
      <c r="CC45" s="198"/>
      <c r="CD45" s="198"/>
      <c r="CE45" s="198"/>
      <c r="CF45" s="198"/>
      <c r="CG45" s="198"/>
      <c r="CH45" s="198"/>
      <c r="CI45" s="198"/>
      <c r="CJ45" s="198"/>
      <c r="CK45" s="198"/>
      <c r="CL45" s="198"/>
      <c r="CM45" s="198"/>
      <c r="CN45" s="198"/>
      <c r="CO45" s="198"/>
      <c r="CP45" s="198"/>
      <c r="CQ45" s="198"/>
      <c r="CR45" s="198"/>
      <c r="CS45" s="198"/>
      <c r="CT45" s="198"/>
      <c r="CU45" s="198"/>
      <c r="CV45" s="198"/>
      <c r="CW45" s="198"/>
      <c r="CX45" s="198"/>
      <c r="CY45" s="198"/>
      <c r="CZ45" s="198"/>
      <c r="DA45" s="198"/>
      <c r="DB45" s="198"/>
      <c r="DC45" s="198"/>
      <c r="DD45" s="198"/>
      <c r="DE45" s="198"/>
      <c r="DF45" s="198"/>
      <c r="DG45" s="198"/>
      <c r="DH45" s="198"/>
      <c r="DI45" s="198"/>
      <c r="DJ45" s="198"/>
      <c r="DK45" s="198"/>
      <c r="DL45" s="198"/>
      <c r="DM45" s="198"/>
      <c r="DN45" s="198"/>
      <c r="DO45" s="198"/>
      <c r="DP45" s="198"/>
      <c r="DQ45" s="198"/>
      <c r="DR45" s="198"/>
      <c r="DS45" s="198"/>
      <c r="DT45" s="198"/>
    </row>
    <row r="46" spans="1:124" s="172" customFormat="1" ht="15" outlineLevel="1" x14ac:dyDescent="0.25">
      <c r="A46" s="173"/>
      <c r="B46" s="218" t="str">
        <f>Services!B46</f>
        <v>02C02</v>
      </c>
      <c r="C46" s="216" t="str">
        <f>Services!C46</f>
        <v>Contrôle d'accès physique aux zones de bureaux protégées</v>
      </c>
      <c r="D46" s="210" t="str">
        <f t="shared" si="0"/>
        <v/>
      </c>
      <c r="E46" s="1378"/>
      <c r="F46" s="1378"/>
      <c r="G46" s="1378"/>
      <c r="H46" s="1378"/>
      <c r="I46" s="1378"/>
      <c r="J46" s="1378"/>
      <c r="K46" s="1378"/>
      <c r="L46" s="1378"/>
      <c r="M46" s="1378"/>
      <c r="N46" s="1378"/>
      <c r="O46" s="1378"/>
      <c r="P46" s="1378"/>
      <c r="Q46" s="1378"/>
      <c r="R46" s="1378"/>
      <c r="S46" s="1378"/>
      <c r="T46" s="1378"/>
      <c r="U46" s="1378"/>
      <c r="V46" s="1378"/>
      <c r="W46" s="1378"/>
      <c r="X46" s="1378"/>
      <c r="Y46" s="1378">
        <f>IF(INDEX(Tab_actions,143,1)=1,INDEX(Tab_actions,143,7),0)</f>
        <v>0</v>
      </c>
      <c r="Z46" s="1378">
        <f>IF(INDEX(Tab_actions,149,1)=1,INDEX(Tab_actions,149,7),0)</f>
        <v>0</v>
      </c>
      <c r="AA46" s="1378"/>
      <c r="AB46" s="1378"/>
      <c r="AC46" s="1378"/>
      <c r="AD46" s="1378"/>
      <c r="AE46" s="1378"/>
      <c r="AF46" s="1378"/>
      <c r="AG46" s="1378"/>
      <c r="AH46" s="1378"/>
      <c r="AI46" s="1378"/>
      <c r="AJ46" s="1378"/>
      <c r="AK46" s="1378"/>
      <c r="AL46" s="1378"/>
      <c r="AM46" s="1378"/>
      <c r="AN46" s="1378"/>
      <c r="AO46" s="1378"/>
      <c r="AP46" s="1378"/>
      <c r="AQ46" s="1378"/>
      <c r="AR46" s="1378"/>
      <c r="AS46" s="1378"/>
      <c r="AT46" s="1378"/>
      <c r="AU46" s="1378"/>
      <c r="AV46" s="1378"/>
      <c r="AW46" s="1378"/>
      <c r="AX46" s="1378"/>
      <c r="AY46" s="1378"/>
      <c r="AZ46" s="1378"/>
      <c r="BA46" s="1378"/>
      <c r="BB46" s="1378"/>
      <c r="BC46" s="1378"/>
      <c r="BD46"/>
      <c r="BE46" s="198"/>
      <c r="BF46" s="198"/>
      <c r="BG46" s="198"/>
      <c r="BH46" s="198"/>
      <c r="BI46" s="198"/>
      <c r="BJ46" s="198"/>
      <c r="BK46" s="198"/>
      <c r="BL46" s="198"/>
      <c r="BM46" s="198"/>
      <c r="BN46" s="198"/>
      <c r="BO46" s="198"/>
      <c r="BP46" s="198"/>
      <c r="BQ46" s="198"/>
      <c r="BR46" s="198"/>
      <c r="BS46" s="198"/>
      <c r="BT46" s="198"/>
      <c r="BU46" s="198"/>
      <c r="BV46" s="198"/>
      <c r="BW46" s="198"/>
      <c r="BX46" s="198"/>
      <c r="BY46" s="198"/>
      <c r="BZ46" s="198"/>
      <c r="CA46" s="198"/>
      <c r="CB46" s="198"/>
      <c r="CC46" s="198"/>
      <c r="CD46" s="198"/>
      <c r="CE46" s="198"/>
      <c r="CF46" s="198"/>
      <c r="CG46" s="198"/>
      <c r="CH46" s="198"/>
      <c r="CI46" s="198"/>
      <c r="CJ46" s="198"/>
      <c r="CK46" s="198"/>
      <c r="CL46" s="198"/>
      <c r="CM46" s="198"/>
      <c r="CN46" s="198"/>
      <c r="CO46" s="198"/>
      <c r="CP46" s="198"/>
      <c r="CQ46" s="198"/>
      <c r="CR46" s="198"/>
      <c r="CS46" s="198"/>
      <c r="CT46" s="198"/>
      <c r="CU46" s="198"/>
      <c r="CV46" s="198"/>
      <c r="CW46" s="198"/>
      <c r="CX46" s="198"/>
      <c r="CY46" s="198"/>
      <c r="CZ46" s="198"/>
      <c r="DA46" s="198"/>
      <c r="DB46" s="198"/>
      <c r="DC46" s="198"/>
      <c r="DD46" s="198"/>
      <c r="DE46" s="198"/>
      <c r="DF46" s="198"/>
      <c r="DG46" s="198"/>
      <c r="DH46" s="198"/>
      <c r="DI46" s="198"/>
      <c r="DJ46" s="198"/>
      <c r="DK46" s="198"/>
      <c r="DL46" s="198"/>
      <c r="DM46" s="198"/>
      <c r="DN46" s="198"/>
      <c r="DO46" s="198"/>
      <c r="DP46" s="198"/>
      <c r="DQ46" s="198"/>
      <c r="DR46" s="198"/>
      <c r="DS46" s="198"/>
      <c r="DT46" s="198"/>
    </row>
    <row r="47" spans="1:124" s="172" customFormat="1" ht="15" outlineLevel="1" x14ac:dyDescent="0.25">
      <c r="A47" s="173"/>
      <c r="B47" s="218" t="str">
        <f>Services!B47</f>
        <v>02C03</v>
      </c>
      <c r="C47" s="216" t="str">
        <f>Services!C47</f>
        <v>Gestion des autorisations d'accès aux zones de bureaux protégées</v>
      </c>
      <c r="D47" s="210" t="str">
        <f t="shared" si="0"/>
        <v/>
      </c>
      <c r="E47" s="1378"/>
      <c r="F47" s="1378"/>
      <c r="G47" s="1378">
        <f>IF(INDEX(Tab_actions,24,1)=1,INDEX(Tab_actions,24,4),0)</f>
        <v>0</v>
      </c>
      <c r="H47" s="1378"/>
      <c r="I47" s="1378"/>
      <c r="J47" s="1378"/>
      <c r="K47" s="1378"/>
      <c r="L47" s="1378"/>
      <c r="M47" s="1378"/>
      <c r="N47" s="1378"/>
      <c r="O47" s="1378"/>
      <c r="P47" s="1378"/>
      <c r="Q47" s="1378"/>
      <c r="R47" s="1378"/>
      <c r="S47" s="1378"/>
      <c r="T47" s="1378"/>
      <c r="U47" s="1378"/>
      <c r="V47" s="1378"/>
      <c r="W47" s="1378"/>
      <c r="X47" s="1378"/>
      <c r="Y47" s="1378">
        <f>IF(INDEX(Tab_actions,143,1)=1,INDEX(Tab_actions,143,10),0)</f>
        <v>0</v>
      </c>
      <c r="Z47" s="1378">
        <f>IF(INDEX(Tab_actions,149,1)=1,INDEX(Tab_actions,149,10),0)</f>
        <v>0</v>
      </c>
      <c r="AA47" s="1378"/>
      <c r="AB47" s="1378"/>
      <c r="AC47" s="1378"/>
      <c r="AD47" s="1378"/>
      <c r="AE47" s="1378"/>
      <c r="AF47" s="1378"/>
      <c r="AG47" s="1378"/>
      <c r="AH47" s="1378"/>
      <c r="AI47" s="1378"/>
      <c r="AJ47" s="1378"/>
      <c r="AK47" s="1378"/>
      <c r="AL47" s="1378"/>
      <c r="AM47" s="1378"/>
      <c r="AN47" s="1378"/>
      <c r="AO47" s="1378"/>
      <c r="AP47" s="1378"/>
      <c r="AQ47" s="1378"/>
      <c r="AR47" s="1378"/>
      <c r="AS47" s="1378"/>
      <c r="AT47" s="1378"/>
      <c r="AU47" s="1378"/>
      <c r="AV47" s="1378"/>
      <c r="AW47" s="1378"/>
      <c r="AX47" s="1378"/>
      <c r="AY47" s="1378"/>
      <c r="AZ47" s="1378"/>
      <c r="BA47" s="1378"/>
      <c r="BB47" s="1378"/>
      <c r="BC47" s="1378"/>
      <c r="BD47"/>
      <c r="BE47" s="198"/>
      <c r="BF47" s="198"/>
      <c r="BG47" s="198"/>
      <c r="BH47" s="198"/>
      <c r="BI47" s="198"/>
      <c r="BJ47" s="198"/>
      <c r="BK47" s="198"/>
      <c r="BL47" s="198"/>
      <c r="BM47" s="198"/>
      <c r="BN47" s="198"/>
      <c r="BO47" s="198"/>
      <c r="BP47" s="198"/>
      <c r="BQ47" s="198"/>
      <c r="BR47" s="198"/>
      <c r="BS47" s="198"/>
      <c r="BT47" s="198"/>
      <c r="BU47" s="198"/>
      <c r="BV47" s="198"/>
      <c r="BW47" s="198"/>
      <c r="BX47" s="198"/>
      <c r="BY47" s="198"/>
      <c r="BZ47" s="198"/>
      <c r="CA47" s="198"/>
      <c r="CB47" s="198"/>
      <c r="CC47" s="198"/>
      <c r="CD47" s="198"/>
      <c r="CE47" s="198"/>
      <c r="CF47" s="198"/>
      <c r="CG47" s="198"/>
      <c r="CH47" s="198"/>
      <c r="CI47" s="198"/>
      <c r="CJ47" s="198"/>
      <c r="CK47" s="198"/>
      <c r="CL47" s="198"/>
      <c r="CM47" s="198"/>
      <c r="CN47" s="198"/>
      <c r="CO47" s="198"/>
      <c r="CP47" s="198"/>
      <c r="CQ47" s="198"/>
      <c r="CR47" s="198"/>
      <c r="CS47" s="198"/>
      <c r="CT47" s="198"/>
      <c r="CU47" s="198"/>
      <c r="CV47" s="198"/>
      <c r="CW47" s="198"/>
      <c r="CX47" s="198"/>
      <c r="CY47" s="198"/>
      <c r="CZ47" s="198"/>
      <c r="DA47" s="198"/>
      <c r="DB47" s="198"/>
      <c r="DC47" s="198"/>
      <c r="DD47" s="198"/>
      <c r="DE47" s="198"/>
      <c r="DF47" s="198"/>
      <c r="DG47" s="198"/>
      <c r="DH47" s="198"/>
      <c r="DI47" s="198"/>
      <c r="DJ47" s="198"/>
      <c r="DK47" s="198"/>
      <c r="DL47" s="198"/>
      <c r="DM47" s="198"/>
      <c r="DN47" s="198"/>
      <c r="DO47" s="198"/>
      <c r="DP47" s="198"/>
      <c r="DQ47" s="198"/>
      <c r="DR47" s="198"/>
      <c r="DS47" s="198"/>
      <c r="DT47" s="198"/>
    </row>
    <row r="48" spans="1:124" s="172" customFormat="1" ht="15" outlineLevel="1" x14ac:dyDescent="0.25">
      <c r="A48" s="173"/>
      <c r="B48" s="218" t="str">
        <f>Services!B48</f>
        <v>02C04</v>
      </c>
      <c r="C48" s="216" t="str">
        <f>Services!C48</f>
        <v>Détection des intrusions dans les zones de bureaux protégées</v>
      </c>
      <c r="D48" s="210" t="str">
        <f t="shared" si="0"/>
        <v/>
      </c>
      <c r="E48" s="1378"/>
      <c r="F48" s="1378"/>
      <c r="G48" s="1378"/>
      <c r="H48" s="1378"/>
      <c r="I48" s="1378"/>
      <c r="J48" s="1378"/>
      <c r="K48" s="1378"/>
      <c r="L48" s="1378"/>
      <c r="M48" s="1378"/>
      <c r="N48" s="1378"/>
      <c r="O48" s="1378"/>
      <c r="P48" s="1378"/>
      <c r="Q48" s="1378"/>
      <c r="R48" s="1378"/>
      <c r="S48" s="1378"/>
      <c r="T48" s="1378"/>
      <c r="U48" s="1378"/>
      <c r="V48" s="1378"/>
      <c r="W48" s="1378"/>
      <c r="X48" s="1378"/>
      <c r="Y48" s="1378">
        <f>IF(AND(INDEX(Tab_actions,143,1)=1,INDEX(Tab_actions,140,1)=1),MAX(INDEX(Tab_actions,143,13),INDEX(Tab_actions,140,4)),IF(INDEX(Tab_actions,143,1)=1,INDEX(Tab_actions,143,13),IF(INDEX(Tab_actions,140,1)=1,INDEX(Tab_actions,140,4),0)))</f>
        <v>0</v>
      </c>
      <c r="Z48" s="1378"/>
      <c r="AA48" s="1378"/>
      <c r="AB48" s="1378"/>
      <c r="AC48" s="1378"/>
      <c r="AD48" s="1378"/>
      <c r="AE48" s="1378"/>
      <c r="AF48" s="1378"/>
      <c r="AG48" s="1378"/>
      <c r="AH48" s="1378"/>
      <c r="AI48" s="1378"/>
      <c r="AJ48" s="1378"/>
      <c r="AK48" s="1378"/>
      <c r="AL48" s="1378"/>
      <c r="AM48" s="1378"/>
      <c r="AN48" s="1378"/>
      <c r="AO48" s="1378"/>
      <c r="AP48" s="1378"/>
      <c r="AQ48" s="1378"/>
      <c r="AR48" s="1378"/>
      <c r="AS48" s="1378"/>
      <c r="AT48" s="1378"/>
      <c r="AU48" s="1378"/>
      <c r="AV48" s="1378"/>
      <c r="AW48" s="1378"/>
      <c r="AX48" s="1378"/>
      <c r="AY48" s="1378"/>
      <c r="AZ48" s="1378"/>
      <c r="BA48" s="1378"/>
      <c r="BB48" s="1378"/>
      <c r="BC48" s="1378"/>
      <c r="BD48"/>
      <c r="BE48" s="198"/>
      <c r="BF48" s="198"/>
      <c r="BG48" s="198"/>
      <c r="BH48" s="198"/>
      <c r="BI48" s="198"/>
      <c r="BJ48" s="198"/>
      <c r="BK48" s="198"/>
      <c r="BL48" s="198"/>
      <c r="BM48" s="198"/>
      <c r="BN48" s="198"/>
      <c r="BO48" s="198"/>
      <c r="BP48" s="198"/>
      <c r="BQ48" s="198"/>
      <c r="BR48" s="198"/>
      <c r="BS48" s="198"/>
      <c r="BT48" s="198"/>
      <c r="BU48" s="198"/>
      <c r="BV48" s="198"/>
      <c r="BW48" s="198"/>
      <c r="BX48" s="198"/>
      <c r="BY48" s="198"/>
      <c r="BZ48" s="198"/>
      <c r="CA48" s="198"/>
      <c r="CB48" s="198"/>
      <c r="CC48" s="198"/>
      <c r="CD48" s="198"/>
      <c r="CE48" s="198"/>
      <c r="CF48" s="198"/>
      <c r="CG48" s="198"/>
      <c r="CH48" s="198"/>
      <c r="CI48" s="198"/>
      <c r="CJ48" s="198"/>
      <c r="CK48" s="198"/>
      <c r="CL48" s="198"/>
      <c r="CM48" s="198"/>
      <c r="CN48" s="198"/>
      <c r="CO48" s="198"/>
      <c r="CP48" s="198"/>
      <c r="CQ48" s="198"/>
      <c r="CR48" s="198"/>
      <c r="CS48" s="198"/>
      <c r="CT48" s="198"/>
      <c r="CU48" s="198"/>
      <c r="CV48" s="198"/>
      <c r="CW48" s="198"/>
      <c r="CX48" s="198"/>
      <c r="CY48" s="198"/>
      <c r="CZ48" s="198"/>
      <c r="DA48" s="198"/>
      <c r="DB48" s="198"/>
      <c r="DC48" s="198"/>
      <c r="DD48" s="198"/>
      <c r="DE48" s="198"/>
      <c r="DF48" s="198"/>
      <c r="DG48" s="198"/>
      <c r="DH48" s="198"/>
      <c r="DI48" s="198"/>
      <c r="DJ48" s="198"/>
      <c r="DK48" s="198"/>
      <c r="DL48" s="198"/>
      <c r="DM48" s="198"/>
      <c r="DN48" s="198"/>
      <c r="DO48" s="198"/>
      <c r="DP48" s="198"/>
      <c r="DQ48" s="198"/>
      <c r="DR48" s="198"/>
      <c r="DS48" s="198"/>
      <c r="DT48" s="198"/>
    </row>
    <row r="49" spans="1:124" s="172" customFormat="1" ht="15" outlineLevel="1" x14ac:dyDescent="0.25">
      <c r="A49" s="173"/>
      <c r="B49" s="218" t="str">
        <f>Services!B49</f>
        <v>02C05</v>
      </c>
      <c r="C49" s="216" t="str">
        <f>Services!C49</f>
        <v>Surveillance des zones de bureaux protégées</v>
      </c>
      <c r="D49" s="210" t="str">
        <f t="shared" si="0"/>
        <v/>
      </c>
      <c r="E49" s="1378"/>
      <c r="F49" s="1378"/>
      <c r="G49" s="1378">
        <f>IF(INDEX(Tab_actions,22,1)=1,INDEX(Tab_actions,22,4),0)</f>
        <v>0</v>
      </c>
      <c r="H49" s="1378">
        <f>IF(INDEX(Tab_actions,28,1)=1,INDEX(Tab_actions,28,4),0)</f>
        <v>0</v>
      </c>
      <c r="I49" s="1378"/>
      <c r="J49" s="1378"/>
      <c r="K49" s="1378"/>
      <c r="L49" s="1378"/>
      <c r="M49" s="1378"/>
      <c r="N49" s="1378"/>
      <c r="O49" s="1378"/>
      <c r="P49" s="1378"/>
      <c r="Q49" s="1378"/>
      <c r="R49" s="1378"/>
      <c r="S49" s="1378"/>
      <c r="T49" s="1378"/>
      <c r="U49" s="1378"/>
      <c r="V49" s="1378"/>
      <c r="W49" s="1378"/>
      <c r="X49" s="1378">
        <f>IF(INDEX(Tab_actions,132,1)=1,INDEX(Tab_actions,132,10),0)</f>
        <v>0</v>
      </c>
      <c r="Y49" s="1378">
        <f>IF(INDEX(Tab_actions,140,1)=1,INDEX(Tab_actions,140,7),0)</f>
        <v>0</v>
      </c>
      <c r="Z49" s="1378">
        <f>IF(INDEX(Tab_actions,147,1)=1,INDEX(Tab_actions,147,4),0)</f>
        <v>0</v>
      </c>
      <c r="AA49" s="1378"/>
      <c r="AB49" s="1378"/>
      <c r="AC49" s="1378"/>
      <c r="AD49" s="1378"/>
      <c r="AE49" s="1378"/>
      <c r="AF49" s="1378"/>
      <c r="AG49" s="1378"/>
      <c r="AH49" s="1378"/>
      <c r="AI49" s="1378"/>
      <c r="AJ49" s="1378"/>
      <c r="AK49" s="1378"/>
      <c r="AL49" s="1378"/>
      <c r="AM49" s="1378"/>
      <c r="AN49" s="1378"/>
      <c r="AO49" s="1378"/>
      <c r="AP49" s="1378"/>
      <c r="AQ49" s="1378"/>
      <c r="AR49" s="1378"/>
      <c r="AS49" s="1378"/>
      <c r="AT49" s="1378"/>
      <c r="AU49" s="1378"/>
      <c r="AV49" s="1378"/>
      <c r="AW49" s="1378"/>
      <c r="AX49" s="1378"/>
      <c r="AY49" s="1378"/>
      <c r="AZ49" s="1378"/>
      <c r="BA49" s="1378"/>
      <c r="BB49" s="1378"/>
      <c r="BC49" s="1378"/>
      <c r="BD49"/>
      <c r="BE49" s="198"/>
      <c r="BF49" s="198"/>
      <c r="BG49" s="198"/>
      <c r="BH49" s="198"/>
      <c r="BI49" s="198"/>
      <c r="BJ49" s="198"/>
      <c r="BK49" s="198"/>
      <c r="BL49" s="198"/>
      <c r="BM49" s="198"/>
      <c r="BN49" s="198"/>
      <c r="BO49" s="198"/>
      <c r="BP49" s="198"/>
      <c r="BQ49" s="198"/>
      <c r="BR49" s="198"/>
      <c r="BS49" s="198"/>
      <c r="BT49" s="198"/>
      <c r="BU49" s="198"/>
      <c r="BV49" s="198"/>
      <c r="BW49" s="198"/>
      <c r="BX49" s="198"/>
      <c r="BY49" s="198"/>
      <c r="BZ49" s="198"/>
      <c r="CA49" s="198"/>
      <c r="CB49" s="198"/>
      <c r="CC49" s="198"/>
      <c r="CD49" s="198"/>
      <c r="CE49" s="198"/>
      <c r="CF49" s="198"/>
      <c r="CG49" s="198"/>
      <c r="CH49" s="198"/>
      <c r="CI49" s="198"/>
      <c r="CJ49" s="198"/>
      <c r="CK49" s="198"/>
      <c r="CL49" s="198"/>
      <c r="CM49" s="198"/>
      <c r="CN49" s="198"/>
      <c r="CO49" s="198"/>
      <c r="CP49" s="198"/>
      <c r="CQ49" s="198"/>
      <c r="CR49" s="198"/>
      <c r="CS49" s="198"/>
      <c r="CT49" s="198"/>
      <c r="CU49" s="198"/>
      <c r="CV49" s="198"/>
      <c r="CW49" s="198"/>
      <c r="CX49" s="198"/>
      <c r="CY49" s="198"/>
      <c r="CZ49" s="198"/>
      <c r="DA49" s="198"/>
      <c r="DB49" s="198"/>
      <c r="DC49" s="198"/>
      <c r="DD49" s="198"/>
      <c r="DE49" s="198"/>
      <c r="DF49" s="198"/>
      <c r="DG49" s="198"/>
      <c r="DH49" s="198"/>
      <c r="DI49" s="198"/>
      <c r="DJ49" s="198"/>
      <c r="DK49" s="198"/>
      <c r="DL49" s="198"/>
      <c r="DM49" s="198"/>
      <c r="DN49" s="198"/>
      <c r="DO49" s="198"/>
      <c r="DP49" s="198"/>
      <c r="DQ49" s="198"/>
      <c r="DR49" s="198"/>
      <c r="DS49" s="198"/>
      <c r="DT49" s="198"/>
    </row>
    <row r="50" spans="1:124" s="172" customFormat="1" ht="25.5" outlineLevel="1" x14ac:dyDescent="0.25">
      <c r="A50" s="173"/>
      <c r="B50" s="218" t="str">
        <f>Services!B50</f>
        <v>02C06</v>
      </c>
      <c r="C50" s="216" t="str">
        <f>Services!C50</f>
        <v>Contrôle de la circulation des visiteurs et des prestataires occasionnels amenés à intervenir dans les bureaux</v>
      </c>
      <c r="D50" s="210" t="str">
        <f t="shared" si="0"/>
        <v/>
      </c>
      <c r="E50" s="1378"/>
      <c r="F50" s="1378"/>
      <c r="G50" s="1378"/>
      <c r="H50" s="1378"/>
      <c r="I50" s="1378"/>
      <c r="J50" s="1378"/>
      <c r="K50" s="1378"/>
      <c r="L50" s="1378"/>
      <c r="M50" s="1378"/>
      <c r="N50" s="1378"/>
      <c r="O50" s="1378"/>
      <c r="P50" s="1378"/>
      <c r="Q50" s="1378"/>
      <c r="R50" s="1378"/>
      <c r="S50" s="1378"/>
      <c r="T50" s="1378"/>
      <c r="U50" s="1378"/>
      <c r="V50" s="1378"/>
      <c r="W50" s="1378"/>
      <c r="X50" s="1378"/>
      <c r="Y50" s="1378">
        <f>IF(INDEX(Tab_actions,143,1)=1,INDEX(Tab_actions,143,16),0)</f>
        <v>0</v>
      </c>
      <c r="Z50" s="1378">
        <f>IF(INDEX(Tab_actions,149,1)=1,INDEX(Tab_actions,149,13),0)</f>
        <v>0</v>
      </c>
      <c r="AA50" s="1378"/>
      <c r="AB50" s="1378"/>
      <c r="AC50" s="1378"/>
      <c r="AD50" s="1378"/>
      <c r="AE50" s="1378"/>
      <c r="AF50" s="1378"/>
      <c r="AG50" s="1378"/>
      <c r="AH50" s="1378"/>
      <c r="AI50" s="1378"/>
      <c r="AJ50" s="1378"/>
      <c r="AK50" s="1378"/>
      <c r="AL50" s="1378"/>
      <c r="AM50" s="1378"/>
      <c r="AN50" s="1378"/>
      <c r="AO50" s="1378"/>
      <c r="AP50" s="1378"/>
      <c r="AQ50" s="1378"/>
      <c r="AR50" s="1378"/>
      <c r="AS50" s="1378"/>
      <c r="AT50" s="1378"/>
      <c r="AU50" s="1378"/>
      <c r="AV50" s="1378"/>
      <c r="AW50" s="1378"/>
      <c r="AX50" s="1378"/>
      <c r="AY50" s="1378"/>
      <c r="AZ50" s="1378"/>
      <c r="BA50" s="1378"/>
      <c r="BB50" s="1378"/>
      <c r="BC50" s="1378"/>
      <c r="BD50"/>
      <c r="BE50" s="198"/>
      <c r="BF50" s="198"/>
      <c r="BG50" s="198"/>
      <c r="BH50" s="198"/>
      <c r="BI50" s="198"/>
      <c r="BJ50" s="198"/>
      <c r="BK50" s="198"/>
      <c r="BL50" s="198"/>
      <c r="BM50" s="198"/>
      <c r="BN50" s="198"/>
      <c r="BO50" s="198"/>
      <c r="BP50" s="198"/>
      <c r="BQ50" s="198"/>
      <c r="BR50" s="198"/>
      <c r="BS50" s="198"/>
      <c r="BT50" s="198"/>
      <c r="BU50" s="198"/>
      <c r="BV50" s="198"/>
      <c r="BW50" s="198"/>
      <c r="BX50" s="198"/>
      <c r="BY50" s="198"/>
      <c r="BZ50" s="198"/>
      <c r="CA50" s="198"/>
      <c r="CB50" s="198"/>
      <c r="CC50" s="198"/>
      <c r="CD50" s="198"/>
      <c r="CE50" s="198"/>
      <c r="CF50" s="198"/>
      <c r="CG50" s="198"/>
      <c r="CH50" s="198"/>
      <c r="CI50" s="198"/>
      <c r="CJ50" s="198"/>
      <c r="CK50" s="198"/>
      <c r="CL50" s="198"/>
      <c r="CM50" s="198"/>
      <c r="CN50" s="198"/>
      <c r="CO50" s="198"/>
      <c r="CP50" s="198"/>
      <c r="CQ50" s="198"/>
      <c r="CR50" s="198"/>
      <c r="CS50" s="198"/>
      <c r="CT50" s="198"/>
      <c r="CU50" s="198"/>
      <c r="CV50" s="198"/>
      <c r="CW50" s="198"/>
      <c r="CX50" s="198"/>
      <c r="CY50" s="198"/>
      <c r="CZ50" s="198"/>
      <c r="DA50" s="198"/>
      <c r="DB50" s="198"/>
      <c r="DC50" s="198"/>
      <c r="DD50" s="198"/>
      <c r="DE50" s="198"/>
      <c r="DF50" s="198"/>
      <c r="DG50" s="198"/>
      <c r="DH50" s="198"/>
      <c r="DI50" s="198"/>
      <c r="DJ50" s="198"/>
      <c r="DK50" s="198"/>
      <c r="DL50" s="198"/>
      <c r="DM50" s="198"/>
      <c r="DN50" s="198"/>
      <c r="DO50" s="198"/>
      <c r="DP50" s="198"/>
      <c r="DQ50" s="198"/>
      <c r="DR50" s="198"/>
      <c r="DS50" s="198"/>
      <c r="DT50" s="198"/>
    </row>
    <row r="51" spans="1:124" s="172" customFormat="1" ht="15" outlineLevel="1" x14ac:dyDescent="0.25">
      <c r="A51" s="173"/>
      <c r="B51" s="213" t="str">
        <f>Services!B51</f>
        <v>02D</v>
      </c>
      <c r="C51" s="214" t="str">
        <f>Services!C51</f>
        <v>Protection de l'information écrite</v>
      </c>
      <c r="D51" s="210" t="str">
        <f t="shared" si="0"/>
        <v/>
      </c>
      <c r="E51" s="1378"/>
      <c r="F51" s="1378"/>
      <c r="G51" s="1378"/>
      <c r="H51" s="1378"/>
      <c r="I51" s="1378"/>
      <c r="J51" s="1378"/>
      <c r="K51" s="1378"/>
      <c r="L51" s="1378"/>
      <c r="M51" s="1378"/>
      <c r="N51" s="1378"/>
      <c r="O51" s="1378"/>
      <c r="P51" s="1378"/>
      <c r="Q51" s="1378"/>
      <c r="R51" s="1378"/>
      <c r="S51" s="1378"/>
      <c r="T51" s="1378"/>
      <c r="U51" s="1378"/>
      <c r="V51" s="1378"/>
      <c r="W51" s="1378"/>
      <c r="X51" s="1378"/>
      <c r="Y51" s="1378"/>
      <c r="Z51" s="1378"/>
      <c r="AA51" s="1378"/>
      <c r="AB51" s="1378"/>
      <c r="AC51" s="1378"/>
      <c r="AD51" s="1378"/>
      <c r="AE51" s="1378"/>
      <c r="AF51" s="1378"/>
      <c r="AG51" s="1378"/>
      <c r="AH51" s="1378"/>
      <c r="AI51" s="1378"/>
      <c r="AJ51" s="1378"/>
      <c r="AK51" s="1378"/>
      <c r="AL51" s="1378"/>
      <c r="AM51" s="1378"/>
      <c r="AN51" s="1378"/>
      <c r="AO51" s="1378"/>
      <c r="AP51" s="1378"/>
      <c r="AQ51" s="1378"/>
      <c r="AR51" s="1378"/>
      <c r="AS51" s="1378"/>
      <c r="AT51" s="1378"/>
      <c r="AU51" s="1378"/>
      <c r="AV51" s="1378"/>
      <c r="AW51" s="1378"/>
      <c r="AX51" s="1378"/>
      <c r="AY51" s="1378"/>
      <c r="AZ51" s="1378"/>
      <c r="BA51" s="1378"/>
      <c r="BB51" s="1378"/>
      <c r="BC51" s="1378"/>
      <c r="BD51"/>
      <c r="BE51" s="198"/>
      <c r="BF51" s="198"/>
      <c r="BG51" s="198"/>
      <c r="BH51" s="198"/>
      <c r="BI51" s="198"/>
      <c r="BJ51" s="198"/>
      <c r="BK51" s="198"/>
      <c r="BL51" s="198"/>
      <c r="BM51" s="198"/>
      <c r="BN51" s="198"/>
      <c r="BO51" s="198"/>
      <c r="BP51" s="198"/>
      <c r="BQ51" s="198"/>
      <c r="BR51" s="198"/>
      <c r="BS51" s="198"/>
      <c r="BT51" s="198"/>
      <c r="BU51" s="198"/>
      <c r="BV51" s="198"/>
      <c r="BW51" s="198"/>
      <c r="BX51" s="198"/>
      <c r="BY51" s="198"/>
      <c r="BZ51" s="198"/>
      <c r="CA51" s="198"/>
      <c r="CB51" s="198"/>
      <c r="CC51" s="198"/>
      <c r="CD51" s="198"/>
      <c r="CE51" s="198"/>
      <c r="CF51" s="198"/>
      <c r="CG51" s="198"/>
      <c r="CH51" s="198"/>
      <c r="CI51" s="198"/>
      <c r="CJ51" s="198"/>
      <c r="CK51" s="198"/>
      <c r="CL51" s="198"/>
      <c r="CM51" s="198"/>
      <c r="CN51" s="198"/>
      <c r="CO51" s="198"/>
      <c r="CP51" s="198"/>
      <c r="CQ51" s="198"/>
      <c r="CR51" s="198"/>
      <c r="CS51" s="198"/>
      <c r="CT51" s="198"/>
      <c r="CU51" s="198"/>
      <c r="CV51" s="198"/>
      <c r="CW51" s="198"/>
      <c r="CX51" s="198"/>
      <c r="CY51" s="198"/>
      <c r="CZ51" s="198"/>
      <c r="DA51" s="198"/>
      <c r="DB51" s="198"/>
      <c r="DC51" s="198"/>
      <c r="DD51" s="198"/>
      <c r="DE51" s="198"/>
      <c r="DF51" s="198"/>
      <c r="DG51" s="198"/>
      <c r="DH51" s="198"/>
      <c r="DI51" s="198"/>
      <c r="DJ51" s="198"/>
      <c r="DK51" s="198"/>
      <c r="DL51" s="198"/>
      <c r="DM51" s="198"/>
      <c r="DN51" s="198"/>
      <c r="DO51" s="198"/>
      <c r="DP51" s="198"/>
      <c r="DQ51" s="198"/>
      <c r="DR51" s="198"/>
      <c r="DS51" s="198"/>
      <c r="DT51" s="198"/>
    </row>
    <row r="52" spans="1:124" s="172" customFormat="1" ht="15" outlineLevel="1" x14ac:dyDescent="0.25">
      <c r="A52" s="173"/>
      <c r="B52" s="218" t="str">
        <f>Services!B52</f>
        <v>02D01</v>
      </c>
      <c r="C52" s="216" t="str">
        <f>Services!C52</f>
        <v>Conservation et protection des documents courants importants</v>
      </c>
      <c r="D52" s="210" t="str">
        <f t="shared" si="0"/>
        <v/>
      </c>
      <c r="E52" s="1378"/>
      <c r="F52" s="1378"/>
      <c r="G52" s="1378"/>
      <c r="H52" s="1378">
        <f>IF(INDEX(Tab_actions,29,1)=1,INDEX(Tab_actions,29,4),0)</f>
        <v>0</v>
      </c>
      <c r="I52" s="1378"/>
      <c r="J52" s="1378"/>
      <c r="K52" s="1378"/>
      <c r="L52" s="1378"/>
      <c r="M52" s="1378"/>
      <c r="N52" s="1378"/>
      <c r="O52" s="1378"/>
      <c r="P52" s="1378"/>
      <c r="Q52" s="1378"/>
      <c r="R52" s="1378"/>
      <c r="S52" s="1378"/>
      <c r="T52" s="1378"/>
      <c r="U52" s="1378"/>
      <c r="V52" s="1378"/>
      <c r="W52" s="1378"/>
      <c r="X52" s="1378"/>
      <c r="Y52" s="1378"/>
      <c r="Z52" s="1378"/>
      <c r="AA52" s="1378"/>
      <c r="AB52" s="1378"/>
      <c r="AC52" s="1378"/>
      <c r="AD52" s="1378"/>
      <c r="AE52" s="1378"/>
      <c r="AF52" s="1378"/>
      <c r="AG52" s="1378"/>
      <c r="AH52" s="1378"/>
      <c r="AI52" s="1378"/>
      <c r="AJ52" s="1378"/>
      <c r="AK52" s="1378"/>
      <c r="AL52" s="1378"/>
      <c r="AM52" s="1378"/>
      <c r="AN52" s="1378"/>
      <c r="AO52" s="1378"/>
      <c r="AP52" s="1378"/>
      <c r="AQ52" s="1378"/>
      <c r="AR52" s="1378"/>
      <c r="AS52" s="1378"/>
      <c r="AT52" s="1378"/>
      <c r="AU52" s="1378"/>
      <c r="AV52" s="1378"/>
      <c r="AW52" s="1378"/>
      <c r="AX52" s="1378"/>
      <c r="AY52" s="1378"/>
      <c r="AZ52" s="1378"/>
      <c r="BA52" s="1378"/>
      <c r="BB52" s="1378"/>
      <c r="BC52" s="1378"/>
      <c r="BD52"/>
      <c r="BE52" s="198"/>
      <c r="BF52" s="198"/>
      <c r="BG52" s="198"/>
      <c r="BH52" s="198"/>
      <c r="BI52" s="198"/>
      <c r="BJ52" s="198"/>
      <c r="BK52" s="198"/>
      <c r="BL52" s="198"/>
      <c r="BM52" s="198"/>
      <c r="BN52" s="198"/>
      <c r="BO52" s="198"/>
      <c r="BP52" s="198"/>
      <c r="BQ52" s="198"/>
      <c r="BR52" s="198"/>
      <c r="BS52" s="198"/>
      <c r="BT52" s="198"/>
      <c r="BU52" s="198"/>
      <c r="BV52" s="198"/>
      <c r="BW52" s="198"/>
      <c r="BX52" s="198"/>
      <c r="BY52" s="198"/>
      <c r="BZ52" s="198"/>
      <c r="CA52" s="198"/>
      <c r="CB52" s="198"/>
      <c r="CC52" s="198"/>
      <c r="CD52" s="198"/>
      <c r="CE52" s="198"/>
      <c r="CF52" s="198"/>
      <c r="CG52" s="198"/>
      <c r="CH52" s="198"/>
      <c r="CI52" s="198"/>
      <c r="CJ52" s="198"/>
      <c r="CK52" s="198"/>
      <c r="CL52" s="198"/>
      <c r="CM52" s="198"/>
      <c r="CN52" s="198"/>
      <c r="CO52" s="198"/>
      <c r="CP52" s="198"/>
      <c r="CQ52" s="198"/>
      <c r="CR52" s="198"/>
      <c r="CS52" s="198"/>
      <c r="CT52" s="198"/>
      <c r="CU52" s="198"/>
      <c r="CV52" s="198"/>
      <c r="CW52" s="198"/>
      <c r="CX52" s="198"/>
      <c r="CY52" s="198"/>
      <c r="CZ52" s="198"/>
      <c r="DA52" s="198"/>
      <c r="DB52" s="198"/>
      <c r="DC52" s="198"/>
      <c r="DD52" s="198"/>
      <c r="DE52" s="198"/>
      <c r="DF52" s="198"/>
      <c r="DG52" s="198"/>
      <c r="DH52" s="198"/>
      <c r="DI52" s="198"/>
      <c r="DJ52" s="198"/>
      <c r="DK52" s="198"/>
      <c r="DL52" s="198"/>
      <c r="DM52" s="198"/>
      <c r="DN52" s="198"/>
      <c r="DO52" s="198"/>
      <c r="DP52" s="198"/>
      <c r="DQ52" s="198"/>
      <c r="DR52" s="198"/>
      <c r="DS52" s="198"/>
      <c r="DT52" s="198"/>
    </row>
    <row r="53" spans="1:124" s="172" customFormat="1" ht="15" outlineLevel="1" x14ac:dyDescent="0.25">
      <c r="A53" s="173"/>
      <c r="B53" s="218" t="str">
        <f>Services!B53</f>
        <v>02D02</v>
      </c>
      <c r="C53" s="216" t="str">
        <f>Services!C53</f>
        <v>Protection des documents et supports amovibles</v>
      </c>
      <c r="D53" s="210" t="str">
        <f t="shared" si="0"/>
        <v/>
      </c>
      <c r="E53" s="1378"/>
      <c r="F53" s="1378"/>
      <c r="G53" s="1378">
        <f>IF(INDEX(Tab_actions,24,1)=1,INDEX(Tab_actions,24,7),0)</f>
        <v>0</v>
      </c>
      <c r="H53" s="1378"/>
      <c r="I53" s="1378"/>
      <c r="J53" s="1378"/>
      <c r="K53" s="1378"/>
      <c r="L53" s="1378"/>
      <c r="M53" s="1378"/>
      <c r="N53" s="1378"/>
      <c r="O53" s="1378"/>
      <c r="P53" s="1378"/>
      <c r="Q53" s="1378"/>
      <c r="R53" s="1378"/>
      <c r="S53" s="1378"/>
      <c r="T53" s="1378"/>
      <c r="U53" s="1378"/>
      <c r="V53" s="1378"/>
      <c r="W53" s="1378"/>
      <c r="X53" s="1378"/>
      <c r="Y53" s="1378"/>
      <c r="Z53" s="1378">
        <f>IF(INDEX(Tab_actions,148,1)=1,INDEX(Tab_actions,148,4),0)</f>
        <v>0</v>
      </c>
      <c r="AA53" s="1378"/>
      <c r="AB53" s="1378"/>
      <c r="AC53" s="1378"/>
      <c r="AD53" s="1378"/>
      <c r="AE53" s="1378"/>
      <c r="AF53" s="1378"/>
      <c r="AG53" s="1378"/>
      <c r="AH53" s="1378"/>
      <c r="AI53" s="1378"/>
      <c r="AJ53" s="1378"/>
      <c r="AK53" s="1378"/>
      <c r="AL53" s="1378"/>
      <c r="AM53" s="1378"/>
      <c r="AN53" s="1378"/>
      <c r="AO53" s="1378"/>
      <c r="AP53" s="1378"/>
      <c r="AQ53" s="1378"/>
      <c r="AR53" s="1378"/>
      <c r="AS53" s="1378"/>
      <c r="AT53" s="1378"/>
      <c r="AU53" s="1378"/>
      <c r="AV53" s="1378"/>
      <c r="AW53" s="1378"/>
      <c r="AX53" s="1378"/>
      <c r="AY53" s="1378"/>
      <c r="AZ53" s="1378"/>
      <c r="BA53" s="1378"/>
      <c r="BB53" s="1378"/>
      <c r="BC53" s="1378"/>
      <c r="BD53"/>
      <c r="BE53" s="198"/>
      <c r="BF53" s="198"/>
      <c r="BG53" s="198"/>
      <c r="BH53" s="198"/>
      <c r="BI53" s="198"/>
      <c r="BJ53" s="198"/>
      <c r="BK53" s="198"/>
      <c r="BL53" s="198"/>
      <c r="BM53" s="198"/>
      <c r="BN53" s="198"/>
      <c r="BO53" s="198"/>
      <c r="BP53" s="198"/>
      <c r="BQ53" s="198"/>
      <c r="BR53" s="198"/>
      <c r="BS53" s="198"/>
      <c r="BT53" s="198"/>
      <c r="BU53" s="198"/>
      <c r="BV53" s="198"/>
      <c r="BW53" s="198"/>
      <c r="BX53" s="198"/>
      <c r="BY53" s="198"/>
      <c r="BZ53" s="198"/>
      <c r="CA53" s="198"/>
      <c r="CB53" s="198"/>
      <c r="CC53" s="198"/>
      <c r="CD53" s="198"/>
      <c r="CE53" s="198"/>
      <c r="CF53" s="198"/>
      <c r="CG53" s="198"/>
      <c r="CH53" s="198"/>
      <c r="CI53" s="198"/>
      <c r="CJ53" s="198"/>
      <c r="CK53" s="198"/>
      <c r="CL53" s="198"/>
      <c r="CM53" s="198"/>
      <c r="CN53" s="198"/>
      <c r="CO53" s="198"/>
      <c r="CP53" s="198"/>
      <c r="CQ53" s="198"/>
      <c r="CR53" s="198"/>
      <c r="CS53" s="198"/>
      <c r="CT53" s="198"/>
      <c r="CU53" s="198"/>
      <c r="CV53" s="198"/>
      <c r="CW53" s="198"/>
      <c r="CX53" s="198"/>
      <c r="CY53" s="198"/>
      <c r="CZ53" s="198"/>
      <c r="DA53" s="198"/>
      <c r="DB53" s="198"/>
      <c r="DC53" s="198"/>
      <c r="DD53" s="198"/>
      <c r="DE53" s="198"/>
      <c r="DF53" s="198"/>
      <c r="DG53" s="198"/>
      <c r="DH53" s="198"/>
      <c r="DI53" s="198"/>
      <c r="DJ53" s="198"/>
      <c r="DK53" s="198"/>
      <c r="DL53" s="198"/>
      <c r="DM53" s="198"/>
      <c r="DN53" s="198"/>
      <c r="DO53" s="198"/>
      <c r="DP53" s="198"/>
      <c r="DQ53" s="198"/>
      <c r="DR53" s="198"/>
      <c r="DS53" s="198"/>
      <c r="DT53" s="198"/>
    </row>
    <row r="54" spans="1:124" s="172" customFormat="1" ht="15" outlineLevel="1" x14ac:dyDescent="0.25">
      <c r="A54" s="173"/>
      <c r="B54" s="218" t="str">
        <f>Services!B54</f>
        <v>02D03</v>
      </c>
      <c r="C54" s="216" t="str">
        <f>Services!C54</f>
        <v>Ramassage des corbeilles à papier et destruction des documents</v>
      </c>
      <c r="D54" s="210" t="str">
        <f t="shared" si="0"/>
        <v/>
      </c>
      <c r="E54" s="1378"/>
      <c r="F54" s="1378"/>
      <c r="G54" s="1378"/>
      <c r="H54" s="1378"/>
      <c r="I54" s="1378"/>
      <c r="J54" s="1378"/>
      <c r="K54" s="1378"/>
      <c r="L54" s="1378"/>
      <c r="M54" s="1378"/>
      <c r="N54" s="1378"/>
      <c r="O54" s="1378"/>
      <c r="P54" s="1378"/>
      <c r="Q54" s="1378"/>
      <c r="R54" s="1378"/>
      <c r="S54" s="1378"/>
      <c r="T54" s="1378"/>
      <c r="U54" s="1378"/>
      <c r="V54" s="1378"/>
      <c r="W54" s="1378"/>
      <c r="X54" s="1378"/>
      <c r="Y54" s="1378"/>
      <c r="Z54" s="1378">
        <f>IF(INDEX(Tab_actions,148,1)=1,INDEX(Tab_actions,148,7),0)</f>
        <v>0</v>
      </c>
      <c r="AA54" s="1378"/>
      <c r="AB54" s="1378"/>
      <c r="AC54" s="1378"/>
      <c r="AD54" s="1378"/>
      <c r="AE54" s="1378"/>
      <c r="AF54" s="1378"/>
      <c r="AG54" s="1378"/>
      <c r="AH54" s="1378"/>
      <c r="AI54" s="1378"/>
      <c r="AJ54" s="1378"/>
      <c r="AK54" s="1378"/>
      <c r="AL54" s="1378"/>
      <c r="AM54" s="1378"/>
      <c r="AN54" s="1378"/>
      <c r="AO54" s="1378"/>
      <c r="AP54" s="1378"/>
      <c r="AQ54" s="1378"/>
      <c r="AR54" s="1378"/>
      <c r="AS54" s="1378"/>
      <c r="AT54" s="1378"/>
      <c r="AU54" s="1378"/>
      <c r="AV54" s="1378"/>
      <c r="AW54" s="1378"/>
      <c r="AX54" s="1378"/>
      <c r="AY54" s="1378"/>
      <c r="AZ54" s="1378"/>
      <c r="BA54" s="1378"/>
      <c r="BB54" s="1378"/>
      <c r="BC54" s="1378"/>
      <c r="BD54"/>
      <c r="BE54" s="198"/>
      <c r="BF54" s="198"/>
      <c r="BG54" s="198"/>
      <c r="BH54" s="198"/>
      <c r="BI54" s="198"/>
      <c r="BJ54" s="198"/>
      <c r="BK54" s="198"/>
      <c r="BL54" s="198"/>
      <c r="BM54" s="198"/>
      <c r="BN54" s="198"/>
      <c r="BO54" s="198"/>
      <c r="BP54" s="198"/>
      <c r="BQ54" s="198"/>
      <c r="BR54" s="198"/>
      <c r="BS54" s="198"/>
      <c r="BT54" s="198"/>
      <c r="BU54" s="198"/>
      <c r="BV54" s="198"/>
      <c r="BW54" s="198"/>
      <c r="BX54" s="198"/>
      <c r="BY54" s="198"/>
      <c r="BZ54" s="198"/>
      <c r="CA54" s="198"/>
      <c r="CB54" s="198"/>
      <c r="CC54" s="198"/>
      <c r="CD54" s="198"/>
      <c r="CE54" s="198"/>
      <c r="CF54" s="198"/>
      <c r="CG54" s="198"/>
      <c r="CH54" s="198"/>
      <c r="CI54" s="198"/>
      <c r="CJ54" s="198"/>
      <c r="CK54" s="198"/>
      <c r="CL54" s="198"/>
      <c r="CM54" s="198"/>
      <c r="CN54" s="198"/>
      <c r="CO54" s="198"/>
      <c r="CP54" s="198"/>
      <c r="CQ54" s="198"/>
      <c r="CR54" s="198"/>
      <c r="CS54" s="198"/>
      <c r="CT54" s="198"/>
      <c r="CU54" s="198"/>
      <c r="CV54" s="198"/>
      <c r="CW54" s="198"/>
      <c r="CX54" s="198"/>
      <c r="CY54" s="198"/>
      <c r="CZ54" s="198"/>
      <c r="DA54" s="198"/>
      <c r="DB54" s="198"/>
      <c r="DC54" s="198"/>
      <c r="DD54" s="198"/>
      <c r="DE54" s="198"/>
      <c r="DF54" s="198"/>
      <c r="DG54" s="198"/>
      <c r="DH54" s="198"/>
      <c r="DI54" s="198"/>
      <c r="DJ54" s="198"/>
      <c r="DK54" s="198"/>
      <c r="DL54" s="198"/>
      <c r="DM54" s="198"/>
      <c r="DN54" s="198"/>
      <c r="DO54" s="198"/>
      <c r="DP54" s="198"/>
      <c r="DQ54" s="198"/>
      <c r="DR54" s="198"/>
      <c r="DS54" s="198"/>
      <c r="DT54" s="198"/>
    </row>
    <row r="55" spans="1:124" s="172" customFormat="1" ht="15" outlineLevel="1" x14ac:dyDescent="0.25">
      <c r="A55" s="173"/>
      <c r="B55" s="218" t="str">
        <f>Services!B55</f>
        <v>02D04</v>
      </c>
      <c r="C55" s="216" t="str">
        <f>Services!C55</f>
        <v>Sécurité du courrier</v>
      </c>
      <c r="D55" s="210" t="str">
        <f t="shared" si="0"/>
        <v/>
      </c>
      <c r="E55" s="1378"/>
      <c r="F55" s="1378"/>
      <c r="G55" s="1378"/>
      <c r="H55" s="1378"/>
      <c r="I55" s="1378"/>
      <c r="J55" s="1378"/>
      <c r="K55" s="1378">
        <f>IF(INDEX(Tab_actions,46,1)=1,INDEX(Tab_actions,46,4),0)</f>
        <v>0</v>
      </c>
      <c r="L55" s="1378"/>
      <c r="M55" s="1378"/>
      <c r="N55" s="1378"/>
      <c r="O55" s="1378"/>
      <c r="P55" s="1378"/>
      <c r="Q55" s="1378"/>
      <c r="R55" s="1378"/>
      <c r="S55" s="1378"/>
      <c r="T55" s="1378"/>
      <c r="U55" s="1378"/>
      <c r="V55" s="1378"/>
      <c r="W55" s="1378"/>
      <c r="X55" s="1378"/>
      <c r="Y55" s="1378"/>
      <c r="Z55" s="1378"/>
      <c r="AA55" s="1378"/>
      <c r="AB55" s="1378"/>
      <c r="AC55" s="1378"/>
      <c r="AD55" s="1378">
        <f>IF(INDEX(Tab_actions,174,1)=1,INDEX(Tab_actions,174,4),0)</f>
        <v>0</v>
      </c>
      <c r="AE55" s="1378"/>
      <c r="AF55" s="1378"/>
      <c r="AG55" s="1378"/>
      <c r="AH55" s="1378"/>
      <c r="AI55" s="1378"/>
      <c r="AJ55" s="1378"/>
      <c r="AK55" s="1378"/>
      <c r="AL55" s="1378"/>
      <c r="AM55" s="1378"/>
      <c r="AN55" s="1378"/>
      <c r="AO55" s="1378"/>
      <c r="AP55" s="1378"/>
      <c r="AQ55" s="1378"/>
      <c r="AR55" s="1378"/>
      <c r="AS55" s="1378"/>
      <c r="AT55" s="1378"/>
      <c r="AU55" s="1378"/>
      <c r="AV55" s="1378"/>
      <c r="AW55" s="1378"/>
      <c r="AX55" s="1378"/>
      <c r="AY55" s="1378"/>
      <c r="AZ55" s="1378"/>
      <c r="BA55" s="1378"/>
      <c r="BB55" s="1378"/>
      <c r="BC55" s="1378"/>
      <c r="BD55"/>
      <c r="BE55" s="198"/>
      <c r="BF55" s="198"/>
      <c r="BG55" s="198"/>
      <c r="BH55" s="198"/>
      <c r="BI55" s="198"/>
      <c r="BJ55" s="198"/>
      <c r="BK55" s="198"/>
      <c r="BL55" s="198"/>
      <c r="BM55" s="198"/>
      <c r="BN55" s="198"/>
      <c r="BO55" s="198"/>
      <c r="BP55" s="198"/>
      <c r="BQ55" s="198"/>
      <c r="BR55" s="198"/>
      <c r="BS55" s="198"/>
      <c r="BT55" s="198"/>
      <c r="BU55" s="198"/>
      <c r="BV55" s="198"/>
      <c r="BW55" s="198"/>
      <c r="BX55" s="198"/>
      <c r="BY55" s="198"/>
      <c r="BZ55" s="198"/>
      <c r="CA55" s="198"/>
      <c r="CB55" s="198"/>
      <c r="CC55" s="198"/>
      <c r="CD55" s="198"/>
      <c r="CE55" s="198"/>
      <c r="CF55" s="198"/>
      <c r="CG55" s="198"/>
      <c r="CH55" s="198"/>
      <c r="CI55" s="198"/>
      <c r="CJ55" s="198"/>
      <c r="CK55" s="198"/>
      <c r="CL55" s="198"/>
      <c r="CM55" s="198"/>
      <c r="CN55" s="198"/>
      <c r="CO55" s="198"/>
      <c r="CP55" s="198"/>
      <c r="CQ55" s="198"/>
      <c r="CR55" s="198"/>
      <c r="CS55" s="198"/>
      <c r="CT55" s="198"/>
      <c r="CU55" s="198"/>
      <c r="CV55" s="198"/>
      <c r="CW55" s="198"/>
      <c r="CX55" s="198"/>
      <c r="CY55" s="198"/>
      <c r="CZ55" s="198"/>
      <c r="DA55" s="198"/>
      <c r="DB55" s="198"/>
      <c r="DC55" s="198"/>
      <c r="DD55" s="198"/>
      <c r="DE55" s="198"/>
      <c r="DF55" s="198"/>
      <c r="DG55" s="198"/>
      <c r="DH55" s="198"/>
      <c r="DI55" s="198"/>
      <c r="DJ55" s="198"/>
      <c r="DK55" s="198"/>
      <c r="DL55" s="198"/>
      <c r="DM55" s="198"/>
      <c r="DN55" s="198"/>
      <c r="DO55" s="198"/>
      <c r="DP55" s="198"/>
      <c r="DQ55" s="198"/>
      <c r="DR55" s="198"/>
      <c r="DS55" s="198"/>
      <c r="DT55" s="198"/>
    </row>
    <row r="56" spans="1:124" s="172" customFormat="1" ht="15" outlineLevel="1" x14ac:dyDescent="0.25">
      <c r="A56" s="173"/>
      <c r="B56" s="218" t="str">
        <f>Services!B56</f>
        <v>02D05</v>
      </c>
      <c r="C56" s="216" t="str">
        <f>Services!C56</f>
        <v xml:space="preserve">Sécurité des télécopies </v>
      </c>
      <c r="D56" s="210" t="str">
        <f t="shared" si="0"/>
        <v/>
      </c>
      <c r="E56" s="1378"/>
      <c r="F56" s="1378"/>
      <c r="G56" s="1378"/>
      <c r="H56" s="1378"/>
      <c r="I56" s="1378"/>
      <c r="J56" s="1378"/>
      <c r="K56" s="1378">
        <f>IF(INDEX(Tab_actions,46,1)=1,INDEX(Tab_actions,46,7),0)</f>
        <v>0</v>
      </c>
      <c r="L56" s="1378"/>
      <c r="M56" s="1378"/>
      <c r="N56" s="1378"/>
      <c r="O56" s="1378"/>
      <c r="P56" s="1378"/>
      <c r="Q56" s="1378"/>
      <c r="R56" s="1378"/>
      <c r="S56" s="1378"/>
      <c r="T56" s="1378">
        <f>IF(INDEX(Tab_actions,104,1)=1,INDEX(Tab_actions,104,4),0)</f>
        <v>0</v>
      </c>
      <c r="U56" s="1378"/>
      <c r="V56" s="1378"/>
      <c r="W56" s="1378"/>
      <c r="X56" s="1378"/>
      <c r="Y56" s="1378"/>
      <c r="Z56" s="1378"/>
      <c r="AA56" s="1378"/>
      <c r="AB56" s="1378"/>
      <c r="AC56" s="1378"/>
      <c r="AD56" s="1378">
        <f>IF(INDEX(Tab_actions,174,1)=1,INDEX(Tab_actions,174,7),0)</f>
        <v>0</v>
      </c>
      <c r="AE56" s="1378"/>
      <c r="AF56" s="1378"/>
      <c r="AG56" s="1378"/>
      <c r="AH56" s="1378"/>
      <c r="AI56" s="1378"/>
      <c r="AJ56" s="1378"/>
      <c r="AK56" s="1378"/>
      <c r="AL56" s="1378"/>
      <c r="AM56" s="1378"/>
      <c r="AN56" s="1378"/>
      <c r="AO56" s="1378"/>
      <c r="AP56" s="1378"/>
      <c r="AQ56" s="1378"/>
      <c r="AR56" s="1378"/>
      <c r="AS56" s="1378"/>
      <c r="AT56" s="1378"/>
      <c r="AU56" s="1378"/>
      <c r="AV56" s="1378"/>
      <c r="AW56" s="1378"/>
      <c r="AX56" s="1378"/>
      <c r="AY56" s="1378"/>
      <c r="AZ56" s="1378"/>
      <c r="BA56" s="1378"/>
      <c r="BB56" s="1378"/>
      <c r="BC56" s="1378"/>
      <c r="BD56"/>
      <c r="BE56" s="198"/>
      <c r="BF56" s="198"/>
      <c r="BG56" s="198"/>
      <c r="BH56" s="198"/>
      <c r="BI56" s="198"/>
      <c r="BJ56" s="198"/>
      <c r="BK56" s="198"/>
      <c r="BL56" s="198"/>
      <c r="BM56" s="198"/>
      <c r="BN56" s="198"/>
      <c r="BO56" s="198"/>
      <c r="BP56" s="198"/>
      <c r="BQ56" s="198"/>
      <c r="BR56" s="198"/>
      <c r="BS56" s="198"/>
      <c r="BT56" s="198"/>
      <c r="BU56" s="198"/>
      <c r="BV56" s="198"/>
      <c r="BW56" s="198"/>
      <c r="BX56" s="198"/>
      <c r="BY56" s="198"/>
      <c r="BZ56" s="198"/>
      <c r="CA56" s="198"/>
      <c r="CB56" s="198"/>
      <c r="CC56" s="198"/>
      <c r="CD56" s="198"/>
      <c r="CE56" s="198"/>
      <c r="CF56" s="198"/>
      <c r="CG56" s="198"/>
      <c r="CH56" s="198"/>
      <c r="CI56" s="198"/>
      <c r="CJ56" s="198"/>
      <c r="CK56" s="198"/>
      <c r="CL56" s="198"/>
      <c r="CM56" s="198"/>
      <c r="CN56" s="198"/>
      <c r="CO56" s="198"/>
      <c r="CP56" s="198"/>
      <c r="CQ56" s="198"/>
      <c r="CR56" s="198"/>
      <c r="CS56" s="198"/>
      <c r="CT56" s="198"/>
      <c r="CU56" s="198"/>
      <c r="CV56" s="198"/>
      <c r="CW56" s="198"/>
      <c r="CX56" s="198"/>
      <c r="CY56" s="198"/>
      <c r="CZ56" s="198"/>
      <c r="DA56" s="198"/>
      <c r="DB56" s="198"/>
      <c r="DC56" s="198"/>
      <c r="DD56" s="198"/>
      <c r="DE56" s="198"/>
      <c r="DF56" s="198"/>
      <c r="DG56" s="198"/>
      <c r="DH56" s="198"/>
      <c r="DI56" s="198"/>
      <c r="DJ56" s="198"/>
      <c r="DK56" s="198"/>
      <c r="DL56" s="198"/>
      <c r="DM56" s="198"/>
      <c r="DN56" s="198"/>
      <c r="DO56" s="198"/>
      <c r="DP56" s="198"/>
      <c r="DQ56" s="198"/>
      <c r="DR56" s="198"/>
      <c r="DS56" s="198"/>
      <c r="DT56" s="198"/>
    </row>
    <row r="57" spans="1:124" s="172" customFormat="1" ht="25.5" outlineLevel="1" x14ac:dyDescent="0.25">
      <c r="A57" s="173"/>
      <c r="B57" s="218" t="str">
        <f>Services!B57</f>
        <v>02D06</v>
      </c>
      <c r="C57" s="216" t="str">
        <f>Services!C57</f>
        <v>Conservation et protection des documents importants à conserver sur une longue période</v>
      </c>
      <c r="D57" s="210" t="str">
        <f t="shared" si="0"/>
        <v/>
      </c>
      <c r="E57" s="1378"/>
      <c r="F57" s="1378"/>
      <c r="G57" s="1378"/>
      <c r="H57" s="1378">
        <f>IF(INDEX(Tab_actions,29,1)=1,INDEX(Tab_actions,29,7),0)</f>
        <v>0</v>
      </c>
      <c r="I57" s="1378"/>
      <c r="J57" s="1378"/>
      <c r="K57" s="1378"/>
      <c r="L57" s="1378">
        <f>IF(AND(INDEX(Tab_actions,49,1)=1,INDEX(Tab_actions,48,1)=1),MAX(INDEX(Tab_actions,49,4),INDEX(Tab_actions,48,4)),IF(INDEX(Tab_actions,49,1)=1,INDEX(Tab_actions,49,4),IF(INDEX(Tab_actions,48,1)=1,INDEX(Tab_actions,48,4),0)))</f>
        <v>0</v>
      </c>
      <c r="M57" s="1378"/>
      <c r="N57" s="1378"/>
      <c r="O57" s="1378"/>
      <c r="P57" s="1378"/>
      <c r="Q57" s="1378"/>
      <c r="R57" s="1378"/>
      <c r="S57" s="1378"/>
      <c r="T57" s="1378"/>
      <c r="U57" s="1378"/>
      <c r="V57" s="1378"/>
      <c r="W57" s="1378"/>
      <c r="X57" s="1378"/>
      <c r="Y57" s="1378"/>
      <c r="Z57" s="1378"/>
      <c r="AA57" s="1378"/>
      <c r="AB57" s="1378"/>
      <c r="AC57" s="1378"/>
      <c r="AD57" s="1378"/>
      <c r="AE57" s="1378"/>
      <c r="AF57" s="1378"/>
      <c r="AG57" s="1378"/>
      <c r="AH57" s="1378"/>
      <c r="AI57" s="1378"/>
      <c r="AJ57" s="1378"/>
      <c r="AK57" s="1378"/>
      <c r="AL57" s="1378"/>
      <c r="AM57" s="1378"/>
      <c r="AN57" s="1378"/>
      <c r="AO57" s="1378"/>
      <c r="AP57" s="1378"/>
      <c r="AQ57" s="1378"/>
      <c r="AR57" s="1378"/>
      <c r="AS57" s="1378"/>
      <c r="AT57" s="1378"/>
      <c r="AU57" s="1378"/>
      <c r="AV57" s="1378"/>
      <c r="AW57" s="1378"/>
      <c r="AX57" s="1378"/>
      <c r="AY57" s="1378"/>
      <c r="AZ57" s="1378"/>
      <c r="BA57" s="1378"/>
      <c r="BB57" s="1378"/>
      <c r="BC57" s="1378"/>
      <c r="BD57"/>
      <c r="BE57" s="198"/>
      <c r="BF57" s="198"/>
      <c r="BG57" s="198"/>
      <c r="BH57" s="198"/>
      <c r="BI57" s="198"/>
      <c r="BJ57" s="198"/>
      <c r="BK57" s="198"/>
      <c r="BL57" s="198"/>
      <c r="BM57" s="198"/>
      <c r="BN57" s="198"/>
      <c r="BO57" s="198"/>
      <c r="BP57" s="198"/>
      <c r="BQ57" s="198"/>
      <c r="BR57" s="198"/>
      <c r="BS57" s="198"/>
      <c r="BT57" s="198"/>
      <c r="BU57" s="198"/>
      <c r="BV57" s="198"/>
      <c r="BW57" s="198"/>
      <c r="BX57" s="198"/>
      <c r="BY57" s="198"/>
      <c r="BZ57" s="198"/>
      <c r="CA57" s="198"/>
      <c r="CB57" s="198"/>
      <c r="CC57" s="198"/>
      <c r="CD57" s="198"/>
      <c r="CE57" s="198"/>
      <c r="CF57" s="198"/>
      <c r="CG57" s="198"/>
      <c r="CH57" s="198"/>
      <c r="CI57" s="198"/>
      <c r="CJ57" s="198"/>
      <c r="CK57" s="198"/>
      <c r="CL57" s="198"/>
      <c r="CM57" s="198"/>
      <c r="CN57" s="198"/>
      <c r="CO57" s="198"/>
      <c r="CP57" s="198"/>
      <c r="CQ57" s="198"/>
      <c r="CR57" s="198"/>
      <c r="CS57" s="198"/>
      <c r="CT57" s="198"/>
      <c r="CU57" s="198"/>
      <c r="CV57" s="198"/>
      <c r="CW57" s="198"/>
      <c r="CX57" s="198"/>
      <c r="CY57" s="198"/>
      <c r="CZ57" s="198"/>
      <c r="DA57" s="198"/>
      <c r="DB57" s="198"/>
      <c r="DC57" s="198"/>
      <c r="DD57" s="198"/>
      <c r="DE57" s="198"/>
      <c r="DF57" s="198"/>
      <c r="DG57" s="198"/>
      <c r="DH57" s="198"/>
      <c r="DI57" s="198"/>
      <c r="DJ57" s="198"/>
      <c r="DK57" s="198"/>
      <c r="DL57" s="198"/>
      <c r="DM57" s="198"/>
      <c r="DN57" s="198"/>
      <c r="DO57" s="198"/>
      <c r="DP57" s="198"/>
      <c r="DQ57" s="198"/>
      <c r="DR57" s="198"/>
      <c r="DS57" s="198"/>
      <c r="DT57" s="198"/>
    </row>
    <row r="58" spans="1:124" s="172" customFormat="1" ht="15" outlineLevel="1" x14ac:dyDescent="0.25">
      <c r="A58" s="173"/>
      <c r="B58" s="218" t="str">
        <f>Services!B58</f>
        <v>02D07</v>
      </c>
      <c r="C58" s="216" t="str">
        <f>Services!C58</f>
        <v>Gestion des archives documentaires</v>
      </c>
      <c r="D58" s="210" t="str">
        <f t="shared" si="0"/>
        <v/>
      </c>
      <c r="E58" s="1378"/>
      <c r="F58" s="1378"/>
      <c r="G58" s="1378"/>
      <c r="H58" s="1378"/>
      <c r="I58" s="1378"/>
      <c r="J58" s="1378"/>
      <c r="K58" s="1378"/>
      <c r="L58" s="1378">
        <f>IF(AND(INDEX(Tab_actions,49,1)=1,INDEX(Tab_actions,48,1)=1),MAX(INDEX(Tab_actions,49,7),INDEX(Tab_actions,48,7)),IF(INDEX(Tab_actions,49,1)=1,INDEX(Tab_actions,49,7),IF(INDEX(Tab_actions,48,1)=1,INDEX(Tab_actions,48,7),0)))</f>
        <v>0</v>
      </c>
      <c r="M58" s="1378"/>
      <c r="N58" s="1378"/>
      <c r="O58" s="1378"/>
      <c r="P58" s="1378"/>
      <c r="Q58" s="1378"/>
      <c r="R58" s="1378"/>
      <c r="S58" s="1378"/>
      <c r="T58" s="1378"/>
      <c r="U58" s="1378"/>
      <c r="V58" s="1378"/>
      <c r="W58" s="1378"/>
      <c r="X58" s="1378"/>
      <c r="Y58" s="1378"/>
      <c r="Z58" s="1378"/>
      <c r="AA58" s="1378"/>
      <c r="AB58" s="1378"/>
      <c r="AC58" s="1378"/>
      <c r="AD58" s="1378"/>
      <c r="AE58" s="1378">
        <f>IF(AND(INDEX(Tab_actions,179,1)=1,INDEX(Tab_actions,178,1)=1),MAX(INDEX(Tab_actions,179,4),INDEX(Tab_actions,178,4)),IF(INDEX(Tab_actions,179,1)=1,INDEX(Tab_actions,179,4),IF(INDEX(Tab_actions,178,1)=1,INDEX(Tab_actions,178,4),0)))</f>
        <v>0</v>
      </c>
      <c r="AF58" s="1378"/>
      <c r="AG58" s="1378"/>
      <c r="AH58" s="1378"/>
      <c r="AI58" s="1378"/>
      <c r="AJ58" s="1378"/>
      <c r="AK58" s="1378"/>
      <c r="AL58" s="1378"/>
      <c r="AM58" s="1378"/>
      <c r="AN58" s="1378"/>
      <c r="AO58" s="1378"/>
      <c r="AP58" s="1378"/>
      <c r="AQ58" s="1378"/>
      <c r="AR58" s="1378"/>
      <c r="AS58" s="1378"/>
      <c r="AT58" s="1378"/>
      <c r="AU58" s="1378"/>
      <c r="AV58" s="1378"/>
      <c r="AW58" s="1378"/>
      <c r="AX58" s="1378"/>
      <c r="AY58" s="1378"/>
      <c r="AZ58" s="1378"/>
      <c r="BA58" s="1378"/>
      <c r="BB58" s="1378"/>
      <c r="BC58" s="1378"/>
      <c r="BD58"/>
      <c r="BE58" s="198"/>
      <c r="BF58" s="198"/>
      <c r="BG58" s="198"/>
      <c r="BH58" s="198"/>
      <c r="BI58" s="198"/>
      <c r="BJ58" s="198"/>
      <c r="BK58" s="198"/>
      <c r="BL58" s="198"/>
      <c r="BM58" s="198"/>
      <c r="BN58" s="198"/>
      <c r="BO58" s="198"/>
      <c r="BP58" s="198"/>
      <c r="BQ58" s="198"/>
      <c r="BR58" s="198"/>
      <c r="BS58" s="198"/>
      <c r="BT58" s="198"/>
      <c r="BU58" s="198"/>
      <c r="BV58" s="198"/>
      <c r="BW58" s="198"/>
      <c r="BX58" s="198"/>
      <c r="BY58" s="198"/>
      <c r="BZ58" s="198"/>
      <c r="CA58" s="198"/>
      <c r="CB58" s="198"/>
      <c r="CC58" s="198"/>
      <c r="CD58" s="198"/>
      <c r="CE58" s="198"/>
      <c r="CF58" s="198"/>
      <c r="CG58" s="198"/>
      <c r="CH58" s="198"/>
      <c r="CI58" s="198"/>
      <c r="CJ58" s="198"/>
      <c r="CK58" s="198"/>
      <c r="CL58" s="198"/>
      <c r="CM58" s="198"/>
      <c r="CN58" s="198"/>
      <c r="CO58" s="198"/>
      <c r="CP58" s="198"/>
      <c r="CQ58" s="198"/>
      <c r="CR58" s="198"/>
      <c r="CS58" s="198"/>
      <c r="CT58" s="198"/>
      <c r="CU58" s="198"/>
      <c r="CV58" s="198"/>
      <c r="CW58" s="198"/>
      <c r="CX58" s="198"/>
      <c r="CY58" s="198"/>
      <c r="CZ58" s="198"/>
      <c r="DA58" s="198"/>
      <c r="DB58" s="198"/>
      <c r="DC58" s="198"/>
      <c r="DD58" s="198"/>
      <c r="DE58" s="198"/>
      <c r="DF58" s="198"/>
      <c r="DG58" s="198"/>
      <c r="DH58" s="198"/>
      <c r="DI58" s="198"/>
      <c r="DJ58" s="198"/>
      <c r="DK58" s="198"/>
      <c r="DL58" s="198"/>
      <c r="DM58" s="198"/>
      <c r="DN58" s="198"/>
      <c r="DO58" s="198"/>
      <c r="DP58" s="198"/>
      <c r="DQ58" s="198"/>
      <c r="DR58" s="198"/>
      <c r="DS58" s="198"/>
      <c r="DT58" s="198"/>
    </row>
    <row r="59" spans="1:124" ht="15" x14ac:dyDescent="0.25">
      <c r="A59" s="207" t="s">
        <v>3025</v>
      </c>
      <c r="B59" s="219" t="str">
        <f>Services!B59</f>
        <v>Sécurité des locaux (03 Loc)</v>
      </c>
      <c r="C59" s="220"/>
      <c r="D59" s="210" t="str">
        <f t="shared" si="0"/>
        <v/>
      </c>
      <c r="E59" s="1378"/>
      <c r="F59" s="1378"/>
      <c r="G59" s="1378"/>
      <c r="H59" s="1378"/>
      <c r="I59" s="1378"/>
      <c r="J59" s="1378"/>
      <c r="K59" s="1378"/>
      <c r="L59" s="1378"/>
      <c r="M59" s="1378"/>
      <c r="N59" s="1378"/>
      <c r="O59" s="1378"/>
      <c r="P59" s="1378"/>
      <c r="Q59" s="1378"/>
      <c r="R59" s="1378"/>
      <c r="S59" s="1378"/>
      <c r="T59" s="1378"/>
      <c r="U59" s="1378"/>
      <c r="V59" s="1378"/>
      <c r="W59" s="1378"/>
      <c r="X59" s="1378"/>
      <c r="Y59" s="1378"/>
      <c r="Z59" s="1378"/>
      <c r="AA59" s="1378"/>
      <c r="AB59" s="1378"/>
      <c r="AC59" s="1378"/>
      <c r="AD59" s="1378"/>
      <c r="AE59" s="1378"/>
      <c r="AF59" s="1378"/>
      <c r="AG59" s="1378"/>
      <c r="AH59" s="1378"/>
      <c r="AI59" s="1378"/>
      <c r="AJ59" s="1378"/>
      <c r="AK59" s="1378"/>
      <c r="AL59" s="1378"/>
      <c r="AM59" s="1378"/>
      <c r="AN59" s="1378"/>
      <c r="AO59" s="1378"/>
      <c r="AP59" s="1378"/>
      <c r="AQ59" s="1378"/>
      <c r="AR59" s="1378"/>
      <c r="AS59" s="1378"/>
      <c r="AT59" s="1378"/>
      <c r="AU59" s="1378"/>
      <c r="AV59" s="1378"/>
      <c r="AW59" s="1378"/>
      <c r="AX59" s="1378"/>
      <c r="AY59" s="1378"/>
      <c r="AZ59" s="1378"/>
      <c r="BA59" s="1378"/>
      <c r="BB59" s="1378"/>
      <c r="BC59" s="1378"/>
      <c r="BD59"/>
    </row>
    <row r="60" spans="1:124" s="172" customFormat="1" ht="15" outlineLevel="1" x14ac:dyDescent="0.25">
      <c r="A60" s="212"/>
      <c r="B60" s="213" t="str">
        <f>Services!B60</f>
        <v>03A</v>
      </c>
      <c r="C60" s="214" t="str">
        <f>Services!C60</f>
        <v>Services techniques</v>
      </c>
      <c r="D60" s="210" t="str">
        <f t="shared" si="0"/>
        <v/>
      </c>
      <c r="E60" s="1378"/>
      <c r="F60" s="1378"/>
      <c r="G60" s="1378"/>
      <c r="H60" s="1378"/>
      <c r="I60" s="1378"/>
      <c r="J60" s="1378"/>
      <c r="K60" s="1378"/>
      <c r="L60" s="1378"/>
      <c r="M60" s="1378"/>
      <c r="N60" s="1378"/>
      <c r="O60" s="1378"/>
      <c r="P60" s="1378"/>
      <c r="Q60" s="1378"/>
      <c r="R60" s="1378"/>
      <c r="S60" s="1378"/>
      <c r="T60" s="1378"/>
      <c r="U60" s="1378"/>
      <c r="V60" s="1378"/>
      <c r="W60" s="1378"/>
      <c r="X60" s="1378"/>
      <c r="Y60" s="1378"/>
      <c r="Z60" s="1378"/>
      <c r="AA60" s="1378"/>
      <c r="AB60" s="1378"/>
      <c r="AC60" s="1378"/>
      <c r="AD60" s="1378"/>
      <c r="AE60" s="1378"/>
      <c r="AF60" s="1378"/>
      <c r="AG60" s="1378"/>
      <c r="AH60" s="1378"/>
      <c r="AI60" s="1378"/>
      <c r="AJ60" s="1378"/>
      <c r="AK60" s="1378"/>
      <c r="AL60" s="1378"/>
      <c r="AM60" s="1378"/>
      <c r="AN60" s="1378"/>
      <c r="AO60" s="1378"/>
      <c r="AP60" s="1378"/>
      <c r="AQ60" s="1378"/>
      <c r="AR60" s="1378"/>
      <c r="AS60" s="1378"/>
      <c r="AT60" s="1378"/>
      <c r="AU60" s="1378"/>
      <c r="AV60" s="1378"/>
      <c r="AW60" s="1378"/>
      <c r="AX60" s="1378"/>
      <c r="AY60" s="1378"/>
      <c r="AZ60" s="1378"/>
      <c r="BA60" s="1378"/>
      <c r="BB60" s="1378"/>
      <c r="BC60" s="1378"/>
      <c r="BD60"/>
      <c r="BE60" s="198"/>
      <c r="BF60" s="198"/>
      <c r="BG60" s="198"/>
      <c r="BH60" s="198"/>
      <c r="BI60" s="198"/>
      <c r="BJ60" s="198"/>
      <c r="BK60" s="198"/>
      <c r="BL60" s="198"/>
      <c r="BM60" s="198"/>
      <c r="BN60" s="198"/>
      <c r="BO60" s="198"/>
      <c r="BP60" s="198"/>
      <c r="BQ60" s="198"/>
      <c r="BR60" s="198"/>
      <c r="BS60" s="198"/>
      <c r="BT60" s="198"/>
      <c r="BU60" s="198"/>
      <c r="BV60" s="198"/>
      <c r="BW60" s="198"/>
      <c r="BX60" s="198"/>
      <c r="BY60" s="198"/>
      <c r="BZ60" s="198"/>
      <c r="CA60" s="198"/>
      <c r="CB60" s="198"/>
      <c r="CC60" s="198"/>
      <c r="CD60" s="198"/>
      <c r="CE60" s="198"/>
      <c r="CF60" s="198"/>
      <c r="CG60" s="198"/>
      <c r="CH60" s="198"/>
      <c r="CI60" s="198"/>
      <c r="CJ60" s="198"/>
      <c r="CK60" s="198"/>
      <c r="CL60" s="198"/>
      <c r="CM60" s="198"/>
      <c r="CN60" s="198"/>
      <c r="CO60" s="198"/>
      <c r="CP60" s="198"/>
      <c r="CQ60" s="198"/>
      <c r="CR60" s="198"/>
      <c r="CS60" s="198"/>
      <c r="CT60" s="198"/>
      <c r="CU60" s="198"/>
      <c r="CV60" s="198"/>
      <c r="CW60" s="198"/>
      <c r="CX60" s="198"/>
      <c r="CY60" s="198"/>
      <c r="CZ60" s="198"/>
      <c r="DA60" s="198"/>
      <c r="DB60" s="198"/>
      <c r="DC60" s="198"/>
      <c r="DD60" s="198"/>
      <c r="DE60" s="198"/>
      <c r="DF60" s="198"/>
      <c r="DG60" s="198"/>
      <c r="DH60" s="198"/>
      <c r="DI60" s="198"/>
      <c r="DJ60" s="198"/>
      <c r="DK60" s="198"/>
      <c r="DL60" s="198"/>
      <c r="DM60" s="198"/>
      <c r="DN60" s="198"/>
      <c r="DO60" s="198"/>
      <c r="DP60" s="198"/>
      <c r="DQ60" s="198"/>
      <c r="DR60" s="198"/>
      <c r="DS60" s="198"/>
      <c r="DT60" s="198"/>
    </row>
    <row r="61" spans="1:124" s="172" customFormat="1" ht="15" outlineLevel="1" x14ac:dyDescent="0.25">
      <c r="A61" s="212"/>
      <c r="B61" s="218" t="str">
        <f>Services!B61</f>
        <v>03A01</v>
      </c>
      <c r="C61" s="216" t="str">
        <f>Services!C61</f>
        <v xml:space="preserve">Qualité de la fourniture de l'énergie </v>
      </c>
      <c r="D61" s="210" t="str">
        <f t="shared" si="0"/>
        <v/>
      </c>
      <c r="E61" s="1378">
        <f>IF(INDEX(Tab_actions,9,1)=1,INDEX(Tab_actions,9,4),0)</f>
        <v>0</v>
      </c>
      <c r="F61" s="1378">
        <f>IF(INDEX(Tab_actions,16,1)=1,INDEX(Tab_actions,16,4),0)</f>
        <v>0</v>
      </c>
      <c r="G61" s="1378">
        <f>IF(INDEX(Tab_actions,24,1)=1,INDEX(Tab_actions,24,10),0)</f>
        <v>0</v>
      </c>
      <c r="H61" s="1378"/>
      <c r="I61" s="1378"/>
      <c r="J61" s="1378"/>
      <c r="K61" s="1378"/>
      <c r="L61" s="1378"/>
      <c r="M61" s="1378"/>
      <c r="N61" s="1378"/>
      <c r="O61" s="1378"/>
      <c r="P61" s="1378"/>
      <c r="Q61" s="1378"/>
      <c r="R61" s="1378"/>
      <c r="S61" s="1378"/>
      <c r="T61" s="1378"/>
      <c r="U61" s="1378"/>
      <c r="V61" s="1378"/>
      <c r="W61" s="1378"/>
      <c r="X61" s="1378"/>
      <c r="Y61" s="1378"/>
      <c r="Z61" s="1378"/>
      <c r="AA61" s="1378"/>
      <c r="AB61" s="1378"/>
      <c r="AC61" s="1378"/>
      <c r="AD61" s="1378"/>
      <c r="AE61" s="1378"/>
      <c r="AF61" s="1378"/>
      <c r="AG61" s="1378"/>
      <c r="AH61" s="1378">
        <f>IF(INDEX(Tab_actions,195,1)=1,INDEX(Tab_actions,195,4),0)</f>
        <v>0</v>
      </c>
      <c r="AI61" s="1378">
        <f>IF(INDEX(Tab_actions,202,1)=1,INDEX(Tab_actions,202,4),0)</f>
        <v>0</v>
      </c>
      <c r="AJ61" s="1378">
        <f>IF(INDEX(Tab_actions,209,1)=1,INDEX(Tab_actions,209,4),0)</f>
        <v>0</v>
      </c>
      <c r="AK61" s="1378">
        <f>IF(INDEX(Tab_actions,218,1)=1,INDEX(Tab_actions,218,4),0)</f>
        <v>0</v>
      </c>
      <c r="AL61" s="1378">
        <f>IF(INDEX(Tab_actions,227,1)=1,INDEX(Tab_actions,227,4),0)</f>
        <v>0</v>
      </c>
      <c r="AM61" s="1378"/>
      <c r="AN61" s="1378">
        <f>IF(INDEX(Tab_actions,243,1)=1,INDEX(Tab_actions,243,4),0)</f>
        <v>0</v>
      </c>
      <c r="AO61" s="1378">
        <f>IF(INDEX(Tab_actions,252,1)=1,INDEX(Tab_actions,252,4),0)</f>
        <v>0</v>
      </c>
      <c r="AP61" s="1378"/>
      <c r="AQ61" s="1378"/>
      <c r="AR61" s="1378"/>
      <c r="AS61" s="1378"/>
      <c r="AT61" s="1378"/>
      <c r="AU61" s="1378"/>
      <c r="AV61" s="1378"/>
      <c r="AW61" s="1378"/>
      <c r="AX61" s="1378"/>
      <c r="AY61" s="1378"/>
      <c r="AZ61" s="1378"/>
      <c r="BA61" s="1378"/>
      <c r="BB61" s="1378"/>
      <c r="BC61" s="1378"/>
      <c r="BD61"/>
      <c r="BE61" s="198"/>
      <c r="BF61" s="198"/>
      <c r="BG61" s="198"/>
      <c r="BH61" s="198"/>
      <c r="BI61" s="198"/>
      <c r="BJ61" s="198"/>
      <c r="BK61" s="198"/>
      <c r="BL61" s="198"/>
      <c r="BM61" s="198"/>
      <c r="BN61" s="198"/>
      <c r="BO61" s="198"/>
      <c r="BP61" s="198"/>
      <c r="BQ61" s="198"/>
      <c r="BR61" s="198"/>
      <c r="BS61" s="198"/>
      <c r="BT61" s="198"/>
      <c r="BU61" s="198"/>
      <c r="BV61" s="198"/>
      <c r="BW61" s="198"/>
      <c r="BX61" s="198"/>
      <c r="BY61" s="198"/>
      <c r="BZ61" s="198"/>
      <c r="CA61" s="198"/>
      <c r="CB61" s="198"/>
      <c r="CC61" s="198"/>
      <c r="CD61" s="198"/>
      <c r="CE61" s="198"/>
      <c r="CF61" s="198"/>
      <c r="CG61" s="198"/>
      <c r="CH61" s="198"/>
      <c r="CI61" s="198"/>
      <c r="CJ61" s="198"/>
      <c r="CK61" s="198"/>
      <c r="CL61" s="198"/>
      <c r="CM61" s="198"/>
      <c r="CN61" s="198"/>
      <c r="CO61" s="198"/>
      <c r="CP61" s="198"/>
      <c r="CQ61" s="198"/>
      <c r="CR61" s="198"/>
      <c r="CS61" s="198"/>
      <c r="CT61" s="198"/>
      <c r="CU61" s="198"/>
      <c r="CV61" s="198"/>
      <c r="CW61" s="198"/>
      <c r="CX61" s="198"/>
      <c r="CY61" s="198"/>
      <c r="CZ61" s="198"/>
      <c r="DA61" s="198"/>
      <c r="DB61" s="198"/>
      <c r="DC61" s="198"/>
      <c r="DD61" s="198"/>
      <c r="DE61" s="198"/>
      <c r="DF61" s="198"/>
      <c r="DG61" s="198"/>
      <c r="DH61" s="198"/>
      <c r="DI61" s="198"/>
      <c r="DJ61" s="198"/>
      <c r="DK61" s="198"/>
      <c r="DL61" s="198"/>
      <c r="DM61" s="198"/>
      <c r="DN61" s="198"/>
      <c r="DO61" s="198"/>
      <c r="DP61" s="198"/>
      <c r="DQ61" s="198"/>
      <c r="DR61" s="198"/>
      <c r="DS61" s="198"/>
      <c r="DT61" s="198"/>
    </row>
    <row r="62" spans="1:124" s="172" customFormat="1" ht="15" outlineLevel="1" x14ac:dyDescent="0.25">
      <c r="A62" s="212"/>
      <c r="B62" s="218" t="str">
        <f>Services!B62</f>
        <v>03A02</v>
      </c>
      <c r="C62" s="216" t="str">
        <f>Services!C62</f>
        <v xml:space="preserve">Continuité de la fourniture de l'énergie </v>
      </c>
      <c r="D62" s="210" t="str">
        <f t="shared" si="0"/>
        <v/>
      </c>
      <c r="E62" s="1378"/>
      <c r="F62" s="1378"/>
      <c r="G62" s="1378"/>
      <c r="H62" s="1378"/>
      <c r="I62" s="1378"/>
      <c r="J62" s="1378"/>
      <c r="K62" s="1378"/>
      <c r="L62" s="1378"/>
      <c r="M62" s="1378"/>
      <c r="N62" s="1378"/>
      <c r="O62" s="1378"/>
      <c r="P62" s="1378"/>
      <c r="Q62" s="1378"/>
      <c r="R62" s="1378"/>
      <c r="S62" s="1378"/>
      <c r="T62" s="1378"/>
      <c r="U62" s="1378"/>
      <c r="V62" s="1378"/>
      <c r="W62" s="1378"/>
      <c r="X62" s="1378"/>
      <c r="Y62" s="1378"/>
      <c r="Z62" s="1378"/>
      <c r="AA62" s="1378"/>
      <c r="AB62" s="1378"/>
      <c r="AC62" s="1378"/>
      <c r="AD62" s="1378"/>
      <c r="AE62" s="1378"/>
      <c r="AF62" s="1378"/>
      <c r="AG62" s="1378">
        <f>IF(INDEX(Tab_actions,189,1)=1,INDEX(Tab_actions,189,4),0)</f>
        <v>0</v>
      </c>
      <c r="AH62" s="1378">
        <f>IF(AND(INDEX(Tab_actions,198,1)=1,INDEX(Tab_actions,195,1)=1),MAX(INDEX(Tab_actions,198,4),INDEX(Tab_actions,195,7)),IF(INDEX(Tab_actions,198,1)=1,INDEX(Tab_actions,198,4),IF(INDEX(Tab_actions,195,1)=1,INDEX(Tab_actions,195,7),0)))</f>
        <v>0</v>
      </c>
      <c r="AI62" s="1378">
        <f>IF(AND(INDEX(Tab_actions,205,1)=1,INDEX(Tab_actions,202,1)=1),MAX(INDEX(Tab_actions,205,10),INDEX(Tab_actions,202,7)),IF(INDEX(Tab_actions,205,1)=1,INDEX(Tab_actions,205,10),IF(INDEX(Tab_actions,202,1)=1,INDEX(Tab_actions,202,7),0)))</f>
        <v>0</v>
      </c>
      <c r="AJ62" s="1378">
        <f>IF(AND(INDEX(Tab_actions,213,1)=1,INDEX(Tab_actions,209,1)=1),MAX(INDEX(Tab_actions,213,4),INDEX(Tab_actions,209,7)),IF(INDEX(Tab_actions,213,1)=1,INDEX(Tab_actions,213,4),IF(INDEX(Tab_actions,209,1)=1,INDEX(Tab_actions,209,7),0)))</f>
        <v>0</v>
      </c>
      <c r="AK62" s="1378">
        <f>IF(INDEX(Tab_actions,222,1)=1,INDEX(Tab_actions,222,10),0)</f>
        <v>0</v>
      </c>
      <c r="AL62" s="1378">
        <f>IF(INDEX(Tab_actions,231,1)=1,INDEX(Tab_actions,231,10),0)</f>
        <v>0</v>
      </c>
      <c r="AM62" s="1378">
        <f>IF(INDEX(Tab_actions,236,1)=1,INDEX(Tab_actions,236,4),0)</f>
        <v>0</v>
      </c>
      <c r="AN62" s="1378">
        <f>IF(INDEX(Tab_actions,247,1)=1,INDEX(Tab_actions,247,10),0)</f>
        <v>0</v>
      </c>
      <c r="AO62" s="1378">
        <f>IF(INDEX(Tab_actions,256,1)=1,INDEX(Tab_actions,256,10),0)</f>
        <v>0</v>
      </c>
      <c r="AP62" s="1378"/>
      <c r="AQ62" s="1378"/>
      <c r="AR62" s="1378"/>
      <c r="AS62" s="1378"/>
      <c r="AT62" s="1378"/>
      <c r="AU62" s="1378"/>
      <c r="AV62" s="1378"/>
      <c r="AW62" s="1378"/>
      <c r="AX62" s="1378"/>
      <c r="AY62" s="1378"/>
      <c r="AZ62" s="1378"/>
      <c r="BA62" s="1378"/>
      <c r="BB62" s="1378"/>
      <c r="BC62" s="1378"/>
      <c r="BD62"/>
      <c r="BE62" s="198"/>
      <c r="BF62" s="198"/>
      <c r="BG62" s="198"/>
      <c r="BH62" s="198"/>
      <c r="BI62" s="198"/>
      <c r="BJ62" s="198"/>
      <c r="BK62" s="198"/>
      <c r="BL62" s="198"/>
      <c r="BM62" s="198"/>
      <c r="BN62" s="198"/>
      <c r="BO62" s="198"/>
      <c r="BP62" s="198"/>
      <c r="BQ62" s="198"/>
      <c r="BR62" s="198"/>
      <c r="BS62" s="198"/>
      <c r="BT62" s="198"/>
      <c r="BU62" s="198"/>
      <c r="BV62" s="198"/>
      <c r="BW62" s="198"/>
      <c r="BX62" s="198"/>
      <c r="BY62" s="198"/>
      <c r="BZ62" s="198"/>
      <c r="CA62" s="198"/>
      <c r="CB62" s="198"/>
      <c r="CC62" s="198"/>
      <c r="CD62" s="198"/>
      <c r="CE62" s="198"/>
      <c r="CF62" s="198"/>
      <c r="CG62" s="198"/>
      <c r="CH62" s="198"/>
      <c r="CI62" s="198"/>
      <c r="CJ62" s="198"/>
      <c r="CK62" s="198"/>
      <c r="CL62" s="198"/>
      <c r="CM62" s="198"/>
      <c r="CN62" s="198"/>
      <c r="CO62" s="198"/>
      <c r="CP62" s="198"/>
      <c r="CQ62" s="198"/>
      <c r="CR62" s="198"/>
      <c r="CS62" s="198"/>
      <c r="CT62" s="198"/>
      <c r="CU62" s="198"/>
      <c r="CV62" s="198"/>
      <c r="CW62" s="198"/>
      <c r="CX62" s="198"/>
      <c r="CY62" s="198"/>
      <c r="CZ62" s="198"/>
      <c r="DA62" s="198"/>
      <c r="DB62" s="198"/>
      <c r="DC62" s="198"/>
      <c r="DD62" s="198"/>
      <c r="DE62" s="198"/>
      <c r="DF62" s="198"/>
      <c r="DG62" s="198"/>
      <c r="DH62" s="198"/>
      <c r="DI62" s="198"/>
      <c r="DJ62" s="198"/>
      <c r="DK62" s="198"/>
      <c r="DL62" s="198"/>
      <c r="DM62" s="198"/>
      <c r="DN62" s="198"/>
      <c r="DO62" s="198"/>
      <c r="DP62" s="198"/>
      <c r="DQ62" s="198"/>
      <c r="DR62" s="198"/>
      <c r="DS62" s="198"/>
      <c r="DT62" s="198"/>
    </row>
    <row r="63" spans="1:124" s="172" customFormat="1" ht="15" outlineLevel="1" x14ac:dyDescent="0.25">
      <c r="A63" s="212"/>
      <c r="B63" s="218" t="str">
        <f>Services!B63</f>
        <v>03A03</v>
      </c>
      <c r="C63" s="216" t="str">
        <f>Services!C63</f>
        <v>Sécurité de la climatisation</v>
      </c>
      <c r="D63" s="210" t="str">
        <f t="shared" si="0"/>
        <v/>
      </c>
      <c r="E63" s="1378"/>
      <c r="F63" s="1378"/>
      <c r="G63" s="1378"/>
      <c r="H63" s="1378"/>
      <c r="I63" s="1378"/>
      <c r="J63" s="1378"/>
      <c r="K63" s="1378"/>
      <c r="L63" s="1378"/>
      <c r="M63" s="1378"/>
      <c r="N63" s="1378"/>
      <c r="O63" s="1378"/>
      <c r="P63" s="1378"/>
      <c r="Q63" s="1378"/>
      <c r="R63" s="1378"/>
      <c r="S63" s="1378"/>
      <c r="T63" s="1378"/>
      <c r="U63" s="1378"/>
      <c r="V63" s="1378"/>
      <c r="W63" s="1378"/>
      <c r="X63" s="1378"/>
      <c r="Y63" s="1378"/>
      <c r="Z63" s="1378"/>
      <c r="AA63" s="1378"/>
      <c r="AB63" s="1378"/>
      <c r="AC63" s="1378"/>
      <c r="AD63" s="1378"/>
      <c r="AE63" s="1378"/>
      <c r="AF63" s="1378"/>
      <c r="AG63" s="1378"/>
      <c r="AH63" s="1378"/>
      <c r="AI63" s="1378"/>
      <c r="AJ63" s="1378"/>
      <c r="AK63" s="1378">
        <f>IF(INDEX(Tab_actions,222,1)=1,INDEX(Tab_actions,222,13),0)</f>
        <v>0</v>
      </c>
      <c r="AL63" s="1378"/>
      <c r="AM63" s="1378"/>
      <c r="AN63" s="1378">
        <f>IF(INDEX(Tab_actions,247,1)=1,INDEX(Tab_actions,247,13),0)</f>
        <v>0</v>
      </c>
      <c r="AO63" s="1378"/>
      <c r="AP63" s="1378"/>
      <c r="AQ63" s="1378"/>
      <c r="AR63" s="1378"/>
      <c r="AS63" s="1378"/>
      <c r="AT63" s="1378"/>
      <c r="AU63" s="1378"/>
      <c r="AV63" s="1378"/>
      <c r="AW63" s="1378"/>
      <c r="AX63" s="1378"/>
      <c r="AY63" s="1378"/>
      <c r="AZ63" s="1378"/>
      <c r="BA63" s="1378"/>
      <c r="BB63" s="1378"/>
      <c r="BC63" s="1378"/>
      <c r="BD63"/>
      <c r="BE63" s="198"/>
      <c r="BF63" s="198"/>
      <c r="BG63" s="198"/>
      <c r="BH63" s="198"/>
      <c r="BI63" s="198"/>
      <c r="BJ63" s="198"/>
      <c r="BK63" s="198"/>
      <c r="BL63" s="198"/>
      <c r="BM63" s="198"/>
      <c r="BN63" s="198"/>
      <c r="BO63" s="198"/>
      <c r="BP63" s="198"/>
      <c r="BQ63" s="198"/>
      <c r="BR63" s="198"/>
      <c r="BS63" s="198"/>
      <c r="BT63" s="198"/>
      <c r="BU63" s="198"/>
      <c r="BV63" s="198"/>
      <c r="BW63" s="198"/>
      <c r="BX63" s="198"/>
      <c r="BY63" s="198"/>
      <c r="BZ63" s="198"/>
      <c r="CA63" s="198"/>
      <c r="CB63" s="198"/>
      <c r="CC63" s="198"/>
      <c r="CD63" s="198"/>
      <c r="CE63" s="198"/>
      <c r="CF63" s="198"/>
      <c r="CG63" s="198"/>
      <c r="CH63" s="198"/>
      <c r="CI63" s="198"/>
      <c r="CJ63" s="198"/>
      <c r="CK63" s="198"/>
      <c r="CL63" s="198"/>
      <c r="CM63" s="198"/>
      <c r="CN63" s="198"/>
      <c r="CO63" s="198"/>
      <c r="CP63" s="198"/>
      <c r="CQ63" s="198"/>
      <c r="CR63" s="198"/>
      <c r="CS63" s="198"/>
      <c r="CT63" s="198"/>
      <c r="CU63" s="198"/>
      <c r="CV63" s="198"/>
      <c r="CW63" s="198"/>
      <c r="CX63" s="198"/>
      <c r="CY63" s="198"/>
      <c r="CZ63" s="198"/>
      <c r="DA63" s="198"/>
      <c r="DB63" s="198"/>
      <c r="DC63" s="198"/>
      <c r="DD63" s="198"/>
      <c r="DE63" s="198"/>
      <c r="DF63" s="198"/>
      <c r="DG63" s="198"/>
      <c r="DH63" s="198"/>
      <c r="DI63" s="198"/>
      <c r="DJ63" s="198"/>
      <c r="DK63" s="198"/>
      <c r="DL63" s="198"/>
      <c r="DM63" s="198"/>
      <c r="DN63" s="198"/>
      <c r="DO63" s="198"/>
      <c r="DP63" s="198"/>
      <c r="DQ63" s="198"/>
      <c r="DR63" s="198"/>
      <c r="DS63" s="198"/>
      <c r="DT63" s="198"/>
    </row>
    <row r="64" spans="1:124" s="172" customFormat="1" ht="15" outlineLevel="1" x14ac:dyDescent="0.25">
      <c r="A64" s="212"/>
      <c r="B64" s="218" t="str">
        <f>Services!B64</f>
        <v>03A04</v>
      </c>
      <c r="C64" s="216" t="str">
        <f>Services!C64</f>
        <v>Qualité du câblage</v>
      </c>
      <c r="D64" s="210" t="str">
        <f t="shared" si="0"/>
        <v/>
      </c>
      <c r="E64" s="1378">
        <f>IF(INDEX(Tab_actions,9,1)=1,INDEX(Tab_actions,9,7),0)</f>
        <v>0</v>
      </c>
      <c r="F64" s="1378">
        <f>IF(INDEX(Tab_actions,16,1)=1,INDEX(Tab_actions,16,7),0)</f>
        <v>0</v>
      </c>
      <c r="G64" s="1378">
        <f>IF(INDEX(Tab_actions,24,1)=1,INDEX(Tab_actions,24,13),0)</f>
        <v>0</v>
      </c>
      <c r="H64" s="1378"/>
      <c r="I64" s="1378"/>
      <c r="J64" s="1378"/>
      <c r="K64" s="1378"/>
      <c r="L64" s="1378"/>
      <c r="M64" s="1378"/>
      <c r="N64" s="1378"/>
      <c r="O64" s="1378"/>
      <c r="P64" s="1378"/>
      <c r="Q64" s="1378"/>
      <c r="R64" s="1378"/>
      <c r="S64" s="1378"/>
      <c r="T64" s="1378"/>
      <c r="U64" s="1378"/>
      <c r="V64" s="1378"/>
      <c r="W64" s="1378"/>
      <c r="X64" s="1378"/>
      <c r="Y64" s="1378"/>
      <c r="Z64" s="1378"/>
      <c r="AA64" s="1378"/>
      <c r="AB64" s="1378"/>
      <c r="AC64" s="1378"/>
      <c r="AD64" s="1378"/>
      <c r="AE64" s="1378"/>
      <c r="AF64" s="1378"/>
      <c r="AG64" s="1378"/>
      <c r="AH64" s="1378">
        <f>IF(INDEX(Tab_actions,195,1)=1,INDEX(Tab_actions,195,10),0)</f>
        <v>0</v>
      </c>
      <c r="AI64" s="1378">
        <f>IF(INDEX(Tab_actions,202,1)=1,INDEX(Tab_actions,202,10),0)</f>
        <v>0</v>
      </c>
      <c r="AJ64" s="1378">
        <f>IF(INDEX(Tab_actions,209,1)=1,INDEX(Tab_actions,209,10),0)</f>
        <v>0</v>
      </c>
      <c r="AK64" s="1378">
        <f>IF(INDEX(Tab_actions,218,1)=1,INDEX(Tab_actions,218,7),0)</f>
        <v>0</v>
      </c>
      <c r="AL64" s="1378">
        <f>IF(INDEX(Tab_actions,227,1)=1,INDEX(Tab_actions,227,7),0)</f>
        <v>0</v>
      </c>
      <c r="AM64" s="1378"/>
      <c r="AN64" s="1378">
        <f>IF(INDEX(Tab_actions,243,1)=1,INDEX(Tab_actions,243,7),0)</f>
        <v>0</v>
      </c>
      <c r="AO64" s="1378">
        <f>IF(INDEX(Tab_actions,252,1)=1,INDEX(Tab_actions,252,7),0)</f>
        <v>0</v>
      </c>
      <c r="AP64" s="1378"/>
      <c r="AQ64" s="1378"/>
      <c r="AR64" s="1378"/>
      <c r="AS64" s="1378"/>
      <c r="AT64" s="1378"/>
      <c r="AU64" s="1378"/>
      <c r="AV64" s="1378"/>
      <c r="AW64" s="1378"/>
      <c r="AX64" s="1378"/>
      <c r="AY64" s="1378"/>
      <c r="AZ64" s="1378"/>
      <c r="BA64" s="1378"/>
      <c r="BB64" s="1378"/>
      <c r="BC64" s="1378"/>
      <c r="BD64"/>
      <c r="BE64" s="198"/>
      <c r="BF64" s="198"/>
      <c r="BG64" s="198"/>
      <c r="BH64" s="198"/>
      <c r="BI64" s="198"/>
      <c r="BJ64" s="198"/>
      <c r="BK64" s="198"/>
      <c r="BL64" s="198"/>
      <c r="BM64" s="198"/>
      <c r="BN64" s="198"/>
      <c r="BO64" s="198"/>
      <c r="BP64" s="198"/>
      <c r="BQ64" s="198"/>
      <c r="BR64" s="198"/>
      <c r="BS64" s="198"/>
      <c r="BT64" s="198"/>
      <c r="BU64" s="198"/>
      <c r="BV64" s="198"/>
      <c r="BW64" s="198"/>
      <c r="BX64" s="198"/>
      <c r="BY64" s="198"/>
      <c r="BZ64" s="198"/>
      <c r="CA64" s="198"/>
      <c r="CB64" s="198"/>
      <c r="CC64" s="198"/>
      <c r="CD64" s="198"/>
      <c r="CE64" s="198"/>
      <c r="CF64" s="198"/>
      <c r="CG64" s="198"/>
      <c r="CH64" s="198"/>
      <c r="CI64" s="198"/>
      <c r="CJ64" s="198"/>
      <c r="CK64" s="198"/>
      <c r="CL64" s="198"/>
      <c r="CM64" s="198"/>
      <c r="CN64" s="198"/>
      <c r="CO64" s="198"/>
      <c r="CP64" s="198"/>
      <c r="CQ64" s="198"/>
      <c r="CR64" s="198"/>
      <c r="CS64" s="198"/>
      <c r="CT64" s="198"/>
      <c r="CU64" s="198"/>
      <c r="CV64" s="198"/>
      <c r="CW64" s="198"/>
      <c r="CX64" s="198"/>
      <c r="CY64" s="198"/>
      <c r="CZ64" s="198"/>
      <c r="DA64" s="198"/>
      <c r="DB64" s="198"/>
      <c r="DC64" s="198"/>
      <c r="DD64" s="198"/>
      <c r="DE64" s="198"/>
      <c r="DF64" s="198"/>
      <c r="DG64" s="198"/>
      <c r="DH64" s="198"/>
      <c r="DI64" s="198"/>
      <c r="DJ64" s="198"/>
      <c r="DK64" s="198"/>
      <c r="DL64" s="198"/>
      <c r="DM64" s="198"/>
      <c r="DN64" s="198"/>
      <c r="DO64" s="198"/>
      <c r="DP64" s="198"/>
      <c r="DQ64" s="198"/>
      <c r="DR64" s="198"/>
      <c r="DS64" s="198"/>
      <c r="DT64" s="198"/>
    </row>
    <row r="65" spans="1:124" s="172" customFormat="1" ht="15" outlineLevel="1" x14ac:dyDescent="0.25">
      <c r="A65" s="212"/>
      <c r="B65" s="218" t="str">
        <f>Services!B65</f>
        <v>03A05</v>
      </c>
      <c r="C65" s="216" t="str">
        <f>Services!C65</f>
        <v>Protection contre la foudre</v>
      </c>
      <c r="D65" s="210" t="str">
        <f t="shared" si="0"/>
        <v/>
      </c>
      <c r="E65" s="1378"/>
      <c r="F65" s="1378"/>
      <c r="G65" s="1378"/>
      <c r="H65" s="1378"/>
      <c r="I65" s="1378"/>
      <c r="J65" s="1378"/>
      <c r="K65" s="1378"/>
      <c r="L65" s="1378"/>
      <c r="M65" s="1378"/>
      <c r="N65" s="1378"/>
      <c r="O65" s="1378"/>
      <c r="P65" s="1378"/>
      <c r="Q65" s="1378"/>
      <c r="R65" s="1378"/>
      <c r="S65" s="1378"/>
      <c r="T65" s="1378"/>
      <c r="U65" s="1378"/>
      <c r="V65" s="1378"/>
      <c r="W65" s="1378"/>
      <c r="X65" s="1378"/>
      <c r="Y65" s="1378"/>
      <c r="Z65" s="1378"/>
      <c r="AA65" s="1378"/>
      <c r="AB65" s="1378"/>
      <c r="AC65" s="1378"/>
      <c r="AD65" s="1378"/>
      <c r="AE65" s="1378"/>
      <c r="AF65" s="1378"/>
      <c r="AG65" s="1378"/>
      <c r="AH65" s="1378">
        <f>IF(INDEX(Tab_actions,195,1)=1,INDEX(Tab_actions,195,13),0)</f>
        <v>0</v>
      </c>
      <c r="AI65" s="1378">
        <f>IF(INDEX(Tab_actions,202,1)=1,INDEX(Tab_actions,202,13),0)</f>
        <v>0</v>
      </c>
      <c r="AJ65" s="1378">
        <f>IF(INDEX(Tab_actions,209,1)=1,INDEX(Tab_actions,209,13),0)</f>
        <v>0</v>
      </c>
      <c r="AK65" s="1378">
        <f>IF(INDEX(Tab_actions,218,1)=1,INDEX(Tab_actions,218,10),0)</f>
        <v>0</v>
      </c>
      <c r="AL65" s="1378">
        <f>IF(INDEX(Tab_actions,227,1)=1,INDEX(Tab_actions,227,10),0)</f>
        <v>0</v>
      </c>
      <c r="AM65" s="1378">
        <f>IF(INDEX(Tab_actions,236,1)=1,INDEX(Tab_actions,236,7),0)</f>
        <v>0</v>
      </c>
      <c r="AN65" s="1378">
        <f>IF(INDEX(Tab_actions,243,1)=1,INDEX(Tab_actions,243,10),0)</f>
        <v>0</v>
      </c>
      <c r="AO65" s="1378">
        <f>IF(INDEX(Tab_actions,252,1)=1,INDEX(Tab_actions,252,10),0)</f>
        <v>0</v>
      </c>
      <c r="AP65" s="1378"/>
      <c r="AQ65" s="1378"/>
      <c r="AR65" s="1378"/>
      <c r="AS65" s="1378"/>
      <c r="AT65" s="1378"/>
      <c r="AU65" s="1378"/>
      <c r="AV65" s="1378"/>
      <c r="AW65" s="1378"/>
      <c r="AX65" s="1378"/>
      <c r="AY65" s="1378"/>
      <c r="AZ65" s="1378"/>
      <c r="BA65" s="1378"/>
      <c r="BB65" s="1378"/>
      <c r="BC65" s="1378"/>
      <c r="BD65"/>
      <c r="BE65" s="198"/>
      <c r="BF65" s="198"/>
      <c r="BG65" s="198"/>
      <c r="BH65" s="198"/>
      <c r="BI65" s="198"/>
      <c r="BJ65" s="198"/>
      <c r="BK65" s="198"/>
      <c r="BL65" s="198"/>
      <c r="BM65" s="198"/>
      <c r="BN65" s="198"/>
      <c r="BO65" s="198"/>
      <c r="BP65" s="198"/>
      <c r="BQ65" s="198"/>
      <c r="BR65" s="198"/>
      <c r="BS65" s="198"/>
      <c r="BT65" s="198"/>
      <c r="BU65" s="198"/>
      <c r="BV65" s="198"/>
      <c r="BW65" s="198"/>
      <c r="BX65" s="198"/>
      <c r="BY65" s="198"/>
      <c r="BZ65" s="198"/>
      <c r="CA65" s="198"/>
      <c r="CB65" s="198"/>
      <c r="CC65" s="198"/>
      <c r="CD65" s="198"/>
      <c r="CE65" s="198"/>
      <c r="CF65" s="198"/>
      <c r="CG65" s="198"/>
      <c r="CH65" s="198"/>
      <c r="CI65" s="198"/>
      <c r="CJ65" s="198"/>
      <c r="CK65" s="198"/>
      <c r="CL65" s="198"/>
      <c r="CM65" s="198"/>
      <c r="CN65" s="198"/>
      <c r="CO65" s="198"/>
      <c r="CP65" s="198"/>
      <c r="CQ65" s="198"/>
      <c r="CR65" s="198"/>
      <c r="CS65" s="198"/>
      <c r="CT65" s="198"/>
      <c r="CU65" s="198"/>
      <c r="CV65" s="198"/>
      <c r="CW65" s="198"/>
      <c r="CX65" s="198"/>
      <c r="CY65" s="198"/>
      <c r="CZ65" s="198"/>
      <c r="DA65" s="198"/>
      <c r="DB65" s="198"/>
      <c r="DC65" s="198"/>
      <c r="DD65" s="198"/>
      <c r="DE65" s="198"/>
      <c r="DF65" s="198"/>
      <c r="DG65" s="198"/>
      <c r="DH65" s="198"/>
      <c r="DI65" s="198"/>
      <c r="DJ65" s="198"/>
      <c r="DK65" s="198"/>
      <c r="DL65" s="198"/>
      <c r="DM65" s="198"/>
      <c r="DN65" s="198"/>
      <c r="DO65" s="198"/>
      <c r="DP65" s="198"/>
      <c r="DQ65" s="198"/>
      <c r="DR65" s="198"/>
      <c r="DS65" s="198"/>
      <c r="DT65" s="198"/>
    </row>
    <row r="66" spans="1:124" s="172" customFormat="1" ht="15" outlineLevel="1" x14ac:dyDescent="0.25">
      <c r="A66" s="212"/>
      <c r="B66" s="218" t="str">
        <f>Services!B66</f>
        <v>03A06</v>
      </c>
      <c r="C66" s="216" t="str">
        <f>Services!C66</f>
        <v>Sécurité des équipements de servitude</v>
      </c>
      <c r="D66" s="210" t="str">
        <f t="shared" si="0"/>
        <v/>
      </c>
      <c r="E66" s="1378"/>
      <c r="F66" s="1378"/>
      <c r="G66" s="1378"/>
      <c r="H66" s="1378"/>
      <c r="I66" s="1378"/>
      <c r="J66" s="1378"/>
      <c r="K66" s="1378"/>
      <c r="L66" s="1378"/>
      <c r="M66" s="1378"/>
      <c r="N66" s="1378"/>
      <c r="O66" s="1378"/>
      <c r="P66" s="1378"/>
      <c r="Q66" s="1378"/>
      <c r="R66" s="1378"/>
      <c r="S66" s="1378"/>
      <c r="T66" s="1378"/>
      <c r="U66" s="1378"/>
      <c r="V66" s="1378"/>
      <c r="W66" s="1378"/>
      <c r="X66" s="1378"/>
      <c r="Y66" s="1378"/>
      <c r="Z66" s="1378"/>
      <c r="AA66" s="1378"/>
      <c r="AB66" s="1378"/>
      <c r="AC66" s="1378"/>
      <c r="AD66" s="1378"/>
      <c r="AE66" s="1378"/>
      <c r="AF66" s="1378"/>
      <c r="AG66" s="1378"/>
      <c r="AH66" s="1378">
        <f>IF(INDEX(Tab_actions,198,1)=1,INDEX(Tab_actions,198,7),0)</f>
        <v>0</v>
      </c>
      <c r="AI66" s="1378">
        <f>IF(INDEX(Tab_actions,205,1)=1,INDEX(Tab_actions,205,13),0)</f>
        <v>0</v>
      </c>
      <c r="AJ66" s="1378">
        <f>IF(INDEX(Tab_actions,213,1)=1,INDEX(Tab_actions,213,7),0)</f>
        <v>0</v>
      </c>
      <c r="AK66" s="1378">
        <f>IF(INDEX(Tab_actions,222,1)=1,INDEX(Tab_actions,222,16),0)</f>
        <v>0</v>
      </c>
      <c r="AL66" s="1378">
        <f>IF(INDEX(Tab_actions,231,1)=1,INDEX(Tab_actions,231,13),0)</f>
        <v>0</v>
      </c>
      <c r="AM66" s="1378"/>
      <c r="AN66" s="1378">
        <f>IF(INDEX(Tab_actions,247,1)=1,INDEX(Tab_actions,247,16),0)</f>
        <v>0</v>
      </c>
      <c r="AO66" s="1378">
        <f>IF(INDEX(Tab_actions,256,1)=1,INDEX(Tab_actions,256,13),0)</f>
        <v>0</v>
      </c>
      <c r="AP66" s="1378"/>
      <c r="AQ66" s="1378"/>
      <c r="AR66" s="1378"/>
      <c r="AS66" s="1378"/>
      <c r="AT66" s="1378"/>
      <c r="AU66" s="1378"/>
      <c r="AV66" s="1378"/>
      <c r="AW66" s="1378"/>
      <c r="AX66" s="1378"/>
      <c r="AY66" s="1378"/>
      <c r="AZ66" s="1378"/>
      <c r="BA66" s="1378"/>
      <c r="BB66" s="1378"/>
      <c r="BC66" s="1378"/>
      <c r="BD66"/>
      <c r="BE66" s="198"/>
      <c r="BF66" s="198"/>
      <c r="BG66" s="198"/>
      <c r="BH66" s="198"/>
      <c r="BI66" s="198"/>
      <c r="BJ66" s="198"/>
      <c r="BK66" s="198"/>
      <c r="BL66" s="198"/>
      <c r="BM66" s="198"/>
      <c r="BN66" s="198"/>
      <c r="BO66" s="198"/>
      <c r="BP66" s="198"/>
      <c r="BQ66" s="198"/>
      <c r="BR66" s="198"/>
      <c r="BS66" s="198"/>
      <c r="BT66" s="198"/>
      <c r="BU66" s="198"/>
      <c r="BV66" s="198"/>
      <c r="BW66" s="198"/>
      <c r="BX66" s="198"/>
      <c r="BY66" s="198"/>
      <c r="BZ66" s="198"/>
      <c r="CA66" s="198"/>
      <c r="CB66" s="198"/>
      <c r="CC66" s="198"/>
      <c r="CD66" s="198"/>
      <c r="CE66" s="198"/>
      <c r="CF66" s="198"/>
      <c r="CG66" s="198"/>
      <c r="CH66" s="198"/>
      <c r="CI66" s="198"/>
      <c r="CJ66" s="198"/>
      <c r="CK66" s="198"/>
      <c r="CL66" s="198"/>
      <c r="CM66" s="198"/>
      <c r="CN66" s="198"/>
      <c r="CO66" s="198"/>
      <c r="CP66" s="198"/>
      <c r="CQ66" s="198"/>
      <c r="CR66" s="198"/>
      <c r="CS66" s="198"/>
      <c r="CT66" s="198"/>
      <c r="CU66" s="198"/>
      <c r="CV66" s="198"/>
      <c r="CW66" s="198"/>
      <c r="CX66" s="198"/>
      <c r="CY66" s="198"/>
      <c r="CZ66" s="198"/>
      <c r="DA66" s="198"/>
      <c r="DB66" s="198"/>
      <c r="DC66" s="198"/>
      <c r="DD66" s="198"/>
      <c r="DE66" s="198"/>
      <c r="DF66" s="198"/>
      <c r="DG66" s="198"/>
      <c r="DH66" s="198"/>
      <c r="DI66" s="198"/>
      <c r="DJ66" s="198"/>
      <c r="DK66" s="198"/>
      <c r="DL66" s="198"/>
      <c r="DM66" s="198"/>
      <c r="DN66" s="198"/>
      <c r="DO66" s="198"/>
      <c r="DP66" s="198"/>
      <c r="DQ66" s="198"/>
      <c r="DR66" s="198"/>
      <c r="DS66" s="198"/>
      <c r="DT66" s="198"/>
    </row>
    <row r="67" spans="1:124" s="172" customFormat="1" ht="15" outlineLevel="1" x14ac:dyDescent="0.25">
      <c r="A67" s="212"/>
      <c r="B67" s="213" t="str">
        <f>Services!B67</f>
        <v>03B</v>
      </c>
      <c r="C67" s="214" t="str">
        <f>Services!C67</f>
        <v>Contrôle d'accès aux locaux sensibles (hors zones de bureaux)</v>
      </c>
      <c r="D67" s="210" t="str">
        <f t="shared" si="0"/>
        <v/>
      </c>
      <c r="E67" s="1378"/>
      <c r="F67" s="1378"/>
      <c r="G67" s="1378"/>
      <c r="H67" s="1378"/>
      <c r="I67" s="1378"/>
      <c r="J67" s="1378"/>
      <c r="K67" s="1378"/>
      <c r="L67" s="1378"/>
      <c r="M67" s="1378"/>
      <c r="N67" s="1378"/>
      <c r="O67" s="1378"/>
      <c r="P67" s="1378"/>
      <c r="Q67" s="1378"/>
      <c r="R67" s="1378"/>
      <c r="S67" s="1378"/>
      <c r="T67" s="1378"/>
      <c r="U67" s="1378"/>
      <c r="V67" s="1378"/>
      <c r="W67" s="1378"/>
      <c r="X67" s="1378"/>
      <c r="Y67" s="1378"/>
      <c r="Z67" s="1378"/>
      <c r="AA67" s="1378"/>
      <c r="AB67" s="1378"/>
      <c r="AC67" s="1378"/>
      <c r="AD67" s="1378"/>
      <c r="AE67" s="1378"/>
      <c r="AF67" s="1378"/>
      <c r="AG67" s="1378"/>
      <c r="AH67" s="1378"/>
      <c r="AI67" s="1378"/>
      <c r="AJ67" s="1378"/>
      <c r="AK67" s="1378"/>
      <c r="AL67" s="1378"/>
      <c r="AM67" s="1378"/>
      <c r="AN67" s="1378"/>
      <c r="AO67" s="1378"/>
      <c r="AP67" s="1378"/>
      <c r="AQ67" s="1378"/>
      <c r="AR67" s="1378"/>
      <c r="AS67" s="1378"/>
      <c r="AT67" s="1378"/>
      <c r="AU67" s="1378"/>
      <c r="AV67" s="1378"/>
      <c r="AW67" s="1378"/>
      <c r="AX67" s="1378"/>
      <c r="AY67" s="1378"/>
      <c r="AZ67" s="1378"/>
      <c r="BA67" s="1378"/>
      <c r="BB67" s="1378"/>
      <c r="BC67" s="1378"/>
      <c r="BD67"/>
      <c r="BE67" s="198"/>
      <c r="BF67" s="198"/>
      <c r="BG67" s="198"/>
      <c r="BH67" s="198"/>
      <c r="BI67" s="198"/>
      <c r="BJ67" s="198"/>
      <c r="BK67" s="198"/>
      <c r="BL67" s="198"/>
      <c r="BM67" s="198"/>
      <c r="BN67" s="198"/>
      <c r="BO67" s="198"/>
      <c r="BP67" s="198"/>
      <c r="BQ67" s="198"/>
      <c r="BR67" s="198"/>
      <c r="BS67" s="198"/>
      <c r="BT67" s="198"/>
      <c r="BU67" s="198"/>
      <c r="BV67" s="198"/>
      <c r="BW67" s="198"/>
      <c r="BX67" s="198"/>
      <c r="BY67" s="198"/>
      <c r="BZ67" s="198"/>
      <c r="CA67" s="198"/>
      <c r="CB67" s="198"/>
      <c r="CC67" s="198"/>
      <c r="CD67" s="198"/>
      <c r="CE67" s="198"/>
      <c r="CF67" s="198"/>
      <c r="CG67" s="198"/>
      <c r="CH67" s="198"/>
      <c r="CI67" s="198"/>
      <c r="CJ67" s="198"/>
      <c r="CK67" s="198"/>
      <c r="CL67" s="198"/>
      <c r="CM67" s="198"/>
      <c r="CN67" s="198"/>
      <c r="CO67" s="198"/>
      <c r="CP67" s="198"/>
      <c r="CQ67" s="198"/>
      <c r="CR67" s="198"/>
      <c r="CS67" s="198"/>
      <c r="CT67" s="198"/>
      <c r="CU67" s="198"/>
      <c r="CV67" s="198"/>
      <c r="CW67" s="198"/>
      <c r="CX67" s="198"/>
      <c r="CY67" s="198"/>
      <c r="CZ67" s="198"/>
      <c r="DA67" s="198"/>
      <c r="DB67" s="198"/>
      <c r="DC67" s="198"/>
      <c r="DD67" s="198"/>
      <c r="DE67" s="198"/>
      <c r="DF67" s="198"/>
      <c r="DG67" s="198"/>
      <c r="DH67" s="198"/>
      <c r="DI67" s="198"/>
      <c r="DJ67" s="198"/>
      <c r="DK67" s="198"/>
      <c r="DL67" s="198"/>
      <c r="DM67" s="198"/>
      <c r="DN67" s="198"/>
      <c r="DO67" s="198"/>
      <c r="DP67" s="198"/>
      <c r="DQ67" s="198"/>
      <c r="DR67" s="198"/>
      <c r="DS67" s="198"/>
      <c r="DT67" s="198"/>
    </row>
    <row r="68" spans="1:124" s="172" customFormat="1" ht="15" outlineLevel="1" x14ac:dyDescent="0.25">
      <c r="A68" s="212"/>
      <c r="B68" s="218" t="str">
        <f>Services!B68</f>
        <v>03B01</v>
      </c>
      <c r="C68" s="216" t="str">
        <f>Services!C68</f>
        <v>Gestion des droits d'accès aux locaux sensibles</v>
      </c>
      <c r="D68" s="210" t="str">
        <f t="shared" si="0"/>
        <v/>
      </c>
      <c r="E68" s="1378"/>
      <c r="F68" s="1378"/>
      <c r="G68" s="1378"/>
      <c r="H68" s="1378"/>
      <c r="I68" s="1378"/>
      <c r="J68" s="1378"/>
      <c r="K68" s="1378"/>
      <c r="L68" s="1378"/>
      <c r="M68" s="1378"/>
      <c r="N68" s="1378"/>
      <c r="O68" s="1378"/>
      <c r="P68" s="1378"/>
      <c r="Q68" s="1378"/>
      <c r="R68" s="1378"/>
      <c r="S68" s="1378"/>
      <c r="T68" s="1378"/>
      <c r="U68" s="1378"/>
      <c r="V68" s="1378"/>
      <c r="W68" s="1378"/>
      <c r="X68" s="1378"/>
      <c r="Y68" s="1378"/>
      <c r="Z68" s="1378"/>
      <c r="AA68" s="1378"/>
      <c r="AB68" s="1378"/>
      <c r="AC68" s="1378"/>
      <c r="AD68" s="1378"/>
      <c r="AE68" s="1378"/>
      <c r="AF68" s="1378"/>
      <c r="AG68" s="1378"/>
      <c r="AH68" s="1378">
        <f>IF(INDEX(Tab_actions,194,1)=1,INDEX(Tab_actions,194,16),0)</f>
        <v>0</v>
      </c>
      <c r="AI68" s="1378">
        <f>IF(INDEX(Tab_actions,201,1)=1,INDEX(Tab_actions,201,16),0)</f>
        <v>0</v>
      </c>
      <c r="AJ68" s="1378">
        <f>IF(INDEX(Tab_actions,208,1)=1,INDEX(Tab_actions,208,16),0)</f>
        <v>0</v>
      </c>
      <c r="AK68" s="1378">
        <f>IF(INDEX(Tab_actions,217,1)=1,INDEX(Tab_actions,217,16),0)</f>
        <v>0</v>
      </c>
      <c r="AL68" s="1378">
        <f>IF(INDEX(Tab_actions,226,1)=1,INDEX(Tab_actions,226,16),0)</f>
        <v>0</v>
      </c>
      <c r="AM68" s="1378">
        <f>IF(INDEX(Tab_actions,235,1)=1,INDEX(Tab_actions,235,4),0)</f>
        <v>0</v>
      </c>
      <c r="AN68" s="1378">
        <f>IF(INDEX(Tab_actions,242,1)=1,INDEX(Tab_actions,242,16),0)</f>
        <v>0</v>
      </c>
      <c r="AO68" s="1378">
        <f>IF(INDEX(Tab_actions,251,1)=1,INDEX(Tab_actions,251,16),0)</f>
        <v>0</v>
      </c>
      <c r="AP68" s="1378"/>
      <c r="AQ68" s="1378"/>
      <c r="AR68" s="1378"/>
      <c r="AS68" s="1378">
        <f>IF(INDEX(Tab_actions,275,1)=1,INDEX(Tab_actions,275,4),0)</f>
        <v>0</v>
      </c>
      <c r="AT68" s="1378"/>
      <c r="AU68" s="1378"/>
      <c r="AV68" s="1378">
        <f>IF(INDEX(Tab_actions,292,1)=1,INDEX(Tab_actions,292,4),0)</f>
        <v>0</v>
      </c>
      <c r="AW68" s="1378"/>
      <c r="AX68" s="1378"/>
      <c r="AY68" s="1378"/>
      <c r="AZ68" s="1378"/>
      <c r="BA68" s="1378"/>
      <c r="BB68" s="1378"/>
      <c r="BC68" s="1378"/>
      <c r="BD68"/>
      <c r="BE68" s="198"/>
      <c r="BF68" s="198"/>
      <c r="BG68" s="198"/>
      <c r="BH68" s="198"/>
      <c r="BI68" s="198"/>
      <c r="BJ68" s="198"/>
      <c r="BK68" s="198"/>
      <c r="BL68" s="198"/>
      <c r="BM68" s="198"/>
      <c r="BN68" s="198"/>
      <c r="BO68" s="198"/>
      <c r="BP68" s="198"/>
      <c r="BQ68" s="198"/>
      <c r="BR68" s="198"/>
      <c r="BS68" s="198"/>
      <c r="BT68" s="198"/>
      <c r="BU68" s="198"/>
      <c r="BV68" s="198"/>
      <c r="BW68" s="198"/>
      <c r="BX68" s="198"/>
      <c r="BY68" s="198"/>
      <c r="BZ68" s="198"/>
      <c r="CA68" s="198"/>
      <c r="CB68" s="198"/>
      <c r="CC68" s="198"/>
      <c r="CD68" s="198"/>
      <c r="CE68" s="198"/>
      <c r="CF68" s="198"/>
      <c r="CG68" s="198"/>
      <c r="CH68" s="198"/>
      <c r="CI68" s="198"/>
      <c r="CJ68" s="198"/>
      <c r="CK68" s="198"/>
      <c r="CL68" s="198"/>
      <c r="CM68" s="198"/>
      <c r="CN68" s="198"/>
      <c r="CO68" s="198"/>
      <c r="CP68" s="198"/>
      <c r="CQ68" s="198"/>
      <c r="CR68" s="198"/>
      <c r="CS68" s="198"/>
      <c r="CT68" s="198"/>
      <c r="CU68" s="198"/>
      <c r="CV68" s="198"/>
      <c r="CW68" s="198"/>
      <c r="CX68" s="198"/>
      <c r="CY68" s="198"/>
      <c r="CZ68" s="198"/>
      <c r="DA68" s="198"/>
      <c r="DB68" s="198"/>
      <c r="DC68" s="198"/>
      <c r="DD68" s="198"/>
      <c r="DE68" s="198"/>
      <c r="DF68" s="198"/>
      <c r="DG68" s="198"/>
      <c r="DH68" s="198"/>
      <c r="DI68" s="198"/>
      <c r="DJ68" s="198"/>
      <c r="DK68" s="198"/>
      <c r="DL68" s="198"/>
      <c r="DM68" s="198"/>
      <c r="DN68" s="198"/>
      <c r="DO68" s="198"/>
      <c r="DP68" s="198"/>
      <c r="DQ68" s="198"/>
      <c r="DR68" s="198"/>
      <c r="DS68" s="198"/>
      <c r="DT68" s="198"/>
    </row>
    <row r="69" spans="1:124" s="172" customFormat="1" ht="15" outlineLevel="1" x14ac:dyDescent="0.25">
      <c r="A69" s="212"/>
      <c r="B69" s="218" t="str">
        <f>Services!B69</f>
        <v>03B02</v>
      </c>
      <c r="C69" s="216" t="str">
        <f>Services!C69</f>
        <v>Gestion des autorisations d'accès aux locaux sensibles</v>
      </c>
      <c r="D69" s="210" t="str">
        <f t="shared" ref="D69:D132" si="1">IF(MAX(E69:BE69)=0,"",MAX(E69:BE69))</f>
        <v/>
      </c>
      <c r="E69" s="1378"/>
      <c r="F69" s="1378"/>
      <c r="G69" s="1378"/>
      <c r="H69" s="1378"/>
      <c r="I69" s="1378"/>
      <c r="J69" s="1378"/>
      <c r="K69" s="1378"/>
      <c r="L69" s="1378"/>
      <c r="M69" s="1378"/>
      <c r="N69" s="1378"/>
      <c r="O69" s="1378"/>
      <c r="P69" s="1378"/>
      <c r="Q69" s="1378"/>
      <c r="R69" s="1378"/>
      <c r="S69" s="1378"/>
      <c r="T69" s="1378"/>
      <c r="U69" s="1378"/>
      <c r="V69" s="1378"/>
      <c r="W69" s="1378"/>
      <c r="X69" s="1378"/>
      <c r="Y69" s="1378"/>
      <c r="Z69" s="1378"/>
      <c r="AA69" s="1378"/>
      <c r="AB69" s="1378"/>
      <c r="AC69" s="1378"/>
      <c r="AD69" s="1378"/>
      <c r="AE69" s="1378"/>
      <c r="AF69" s="1378"/>
      <c r="AG69" s="1378"/>
      <c r="AH69" s="1378">
        <f>IF(INDEX(Tab_actions,194,1)=1,INDEX(Tab_actions,194,19),0)</f>
        <v>0</v>
      </c>
      <c r="AI69" s="1378">
        <f>IF(INDEX(Tab_actions,201,1)=1,INDEX(Tab_actions,201,19),0)</f>
        <v>0</v>
      </c>
      <c r="AJ69" s="1378">
        <f>IF(INDEX(Tab_actions,208,1)=1,INDEX(Tab_actions,208,19),0)</f>
        <v>0</v>
      </c>
      <c r="AK69" s="1378">
        <f>IF(INDEX(Tab_actions,217,1)=1,INDEX(Tab_actions,217,19),0)</f>
        <v>0</v>
      </c>
      <c r="AL69" s="1378">
        <f>IF(INDEX(Tab_actions,226,1)=1,INDEX(Tab_actions,226,19),0)</f>
        <v>0</v>
      </c>
      <c r="AM69" s="1378">
        <f>IF(INDEX(Tab_actions,235,1)=1,INDEX(Tab_actions,235,7),0)</f>
        <v>0</v>
      </c>
      <c r="AN69" s="1378">
        <f>IF(INDEX(Tab_actions,242,1)=1,INDEX(Tab_actions,242,19),0)</f>
        <v>0</v>
      </c>
      <c r="AO69" s="1378">
        <f>IF(INDEX(Tab_actions,251,1)=1,INDEX(Tab_actions,251,19),0)</f>
        <v>0</v>
      </c>
      <c r="AP69" s="1378"/>
      <c r="AQ69" s="1378"/>
      <c r="AR69" s="1378"/>
      <c r="AS69" s="1378">
        <f>IF(INDEX(Tab_actions,275,1)=1,INDEX(Tab_actions,275,7),0)</f>
        <v>0</v>
      </c>
      <c r="AT69" s="1378"/>
      <c r="AU69" s="1378"/>
      <c r="AV69" s="1378">
        <f>IF(INDEX(Tab_actions,292,1)=1,INDEX(Tab_actions,292,7),0)</f>
        <v>0</v>
      </c>
      <c r="AW69" s="1378"/>
      <c r="AX69" s="1378"/>
      <c r="AY69" s="1378"/>
      <c r="AZ69" s="1378"/>
      <c r="BA69" s="1378"/>
      <c r="BB69" s="1378"/>
      <c r="BC69" s="1378"/>
      <c r="BD69"/>
      <c r="BE69" s="198"/>
      <c r="BF69" s="198"/>
      <c r="BG69" s="198"/>
      <c r="BH69" s="198"/>
      <c r="BI69" s="198"/>
      <c r="BJ69" s="198"/>
      <c r="BK69" s="198"/>
      <c r="BL69" s="198"/>
      <c r="BM69" s="198"/>
      <c r="BN69" s="198"/>
      <c r="BO69" s="198"/>
      <c r="BP69" s="198"/>
      <c r="BQ69" s="198"/>
      <c r="BR69" s="198"/>
      <c r="BS69" s="198"/>
      <c r="BT69" s="198"/>
      <c r="BU69" s="198"/>
      <c r="BV69" s="198"/>
      <c r="BW69" s="198"/>
      <c r="BX69" s="198"/>
      <c r="BY69" s="198"/>
      <c r="BZ69" s="198"/>
      <c r="CA69" s="198"/>
      <c r="CB69" s="198"/>
      <c r="CC69" s="198"/>
      <c r="CD69" s="198"/>
      <c r="CE69" s="198"/>
      <c r="CF69" s="198"/>
      <c r="CG69" s="198"/>
      <c r="CH69" s="198"/>
      <c r="CI69" s="198"/>
      <c r="CJ69" s="198"/>
      <c r="CK69" s="198"/>
      <c r="CL69" s="198"/>
      <c r="CM69" s="198"/>
      <c r="CN69" s="198"/>
      <c r="CO69" s="198"/>
      <c r="CP69" s="198"/>
      <c r="CQ69" s="198"/>
      <c r="CR69" s="198"/>
      <c r="CS69" s="198"/>
      <c r="CT69" s="198"/>
      <c r="CU69" s="198"/>
      <c r="CV69" s="198"/>
      <c r="CW69" s="198"/>
      <c r="CX69" s="198"/>
      <c r="CY69" s="198"/>
      <c r="CZ69" s="198"/>
      <c r="DA69" s="198"/>
      <c r="DB69" s="198"/>
      <c r="DC69" s="198"/>
      <c r="DD69" s="198"/>
      <c r="DE69" s="198"/>
      <c r="DF69" s="198"/>
      <c r="DG69" s="198"/>
      <c r="DH69" s="198"/>
      <c r="DI69" s="198"/>
      <c r="DJ69" s="198"/>
      <c r="DK69" s="198"/>
      <c r="DL69" s="198"/>
      <c r="DM69" s="198"/>
      <c r="DN69" s="198"/>
      <c r="DO69" s="198"/>
      <c r="DP69" s="198"/>
      <c r="DQ69" s="198"/>
      <c r="DR69" s="198"/>
      <c r="DS69" s="198"/>
      <c r="DT69" s="198"/>
    </row>
    <row r="70" spans="1:124" s="172" customFormat="1" ht="15" outlineLevel="1" x14ac:dyDescent="0.25">
      <c r="A70" s="212"/>
      <c r="B70" s="218" t="str">
        <f>Services!B70</f>
        <v>03B03</v>
      </c>
      <c r="C70" s="216" t="str">
        <f>Services!C70</f>
        <v>Contrôle des accès aux locaux sensibles</v>
      </c>
      <c r="D70" s="210" t="str">
        <f t="shared" si="1"/>
        <v/>
      </c>
      <c r="E70" s="1378">
        <f>IF(INDEX(Tab_actions,9,1)=1,INDEX(Tab_actions,9,10),0)</f>
        <v>0</v>
      </c>
      <c r="F70" s="1378">
        <f>IF(INDEX(Tab_actions,16,1)=1,INDEX(Tab_actions,16,10),0)</f>
        <v>0</v>
      </c>
      <c r="G70" s="1378"/>
      <c r="H70" s="1378"/>
      <c r="I70" s="1378"/>
      <c r="J70" s="1378"/>
      <c r="K70" s="1378"/>
      <c r="L70" s="1378"/>
      <c r="M70" s="1378"/>
      <c r="N70" s="1378"/>
      <c r="O70" s="1378"/>
      <c r="P70" s="1378"/>
      <c r="Q70" s="1378"/>
      <c r="R70" s="1378"/>
      <c r="S70" s="1378"/>
      <c r="T70" s="1378"/>
      <c r="U70" s="1378"/>
      <c r="V70" s="1378"/>
      <c r="W70" s="1378">
        <f>IF(INDEX(Tab_actions,128,1)=1,INDEX(Tab_actions,128,4),0)</f>
        <v>0</v>
      </c>
      <c r="X70" s="1378">
        <f>IF(INDEX(Tab_actions,135,1)=1,INDEX(Tab_actions,135,4),0)</f>
        <v>0</v>
      </c>
      <c r="Y70" s="1378"/>
      <c r="Z70" s="1378"/>
      <c r="AA70" s="1378"/>
      <c r="AB70" s="1378"/>
      <c r="AC70" s="1378"/>
      <c r="AD70" s="1378"/>
      <c r="AE70" s="1378"/>
      <c r="AF70" s="1378"/>
      <c r="AG70" s="1378"/>
      <c r="AH70" s="1378">
        <f>IF(INDEX(Tab_actions,194,1)=1,INDEX(Tab_actions,194,22),0)</f>
        <v>0</v>
      </c>
      <c r="AI70" s="1378">
        <f>IF(INDEX(Tab_actions,201,1)=1,INDEX(Tab_actions,201,22),0)</f>
        <v>0</v>
      </c>
      <c r="AJ70" s="1378">
        <f>IF(INDEX(Tab_actions,208,1)=1,INDEX(Tab_actions,208,22),0)</f>
        <v>0</v>
      </c>
      <c r="AK70" s="1378">
        <f>IF(INDEX(Tab_actions,217,1)=1,INDEX(Tab_actions,217,22),0)</f>
        <v>0</v>
      </c>
      <c r="AL70" s="1378">
        <f>IF(INDEX(Tab_actions,226,1)=1,INDEX(Tab_actions,226,22),0)</f>
        <v>0</v>
      </c>
      <c r="AM70" s="1378">
        <f>IF(INDEX(Tab_actions,235,1)=1,INDEX(Tab_actions,235,10),0)</f>
        <v>0</v>
      </c>
      <c r="AN70" s="1378">
        <f>IF(INDEX(Tab_actions,242,1)=1,INDEX(Tab_actions,242,22),0)</f>
        <v>0</v>
      </c>
      <c r="AO70" s="1378">
        <f>IF(INDEX(Tab_actions,251,1)=1,INDEX(Tab_actions,251,22),0)</f>
        <v>0</v>
      </c>
      <c r="AP70" s="1378"/>
      <c r="AQ70" s="1378"/>
      <c r="AR70" s="1378"/>
      <c r="AS70" s="1378">
        <f>IF(INDEX(Tab_actions,275,1)=1,INDEX(Tab_actions,275,10),0)</f>
        <v>0</v>
      </c>
      <c r="AT70" s="1378"/>
      <c r="AU70" s="1378"/>
      <c r="AV70" s="1378">
        <f>IF(INDEX(Tab_actions,292,1)=1,INDEX(Tab_actions,292,10),0)</f>
        <v>0</v>
      </c>
      <c r="AW70" s="1378"/>
      <c r="AX70" s="1378"/>
      <c r="AY70" s="1378"/>
      <c r="AZ70" s="1378"/>
      <c r="BA70" s="1378"/>
      <c r="BB70" s="1378"/>
      <c r="BC70" s="1378"/>
      <c r="BD70"/>
      <c r="BE70" s="198"/>
      <c r="BF70" s="198"/>
      <c r="BG70" s="198"/>
      <c r="BH70" s="198"/>
      <c r="BI70" s="198"/>
      <c r="BJ70" s="198"/>
      <c r="BK70" s="198"/>
      <c r="BL70" s="198"/>
      <c r="BM70" s="198"/>
      <c r="BN70" s="198"/>
      <c r="BO70" s="198"/>
      <c r="BP70" s="198"/>
      <c r="BQ70" s="198"/>
      <c r="BR70" s="198"/>
      <c r="BS70" s="198"/>
      <c r="BT70" s="198"/>
      <c r="BU70" s="198"/>
      <c r="BV70" s="198"/>
      <c r="BW70" s="198"/>
      <c r="BX70" s="198"/>
      <c r="BY70" s="198"/>
      <c r="BZ70" s="198"/>
      <c r="CA70" s="198"/>
      <c r="CB70" s="198"/>
      <c r="CC70" s="198"/>
      <c r="CD70" s="198"/>
      <c r="CE70" s="198"/>
      <c r="CF70" s="198"/>
      <c r="CG70" s="198"/>
      <c r="CH70" s="198"/>
      <c r="CI70" s="198"/>
      <c r="CJ70" s="198"/>
      <c r="CK70" s="198"/>
      <c r="CL70" s="198"/>
      <c r="CM70" s="198"/>
      <c r="CN70" s="198"/>
      <c r="CO70" s="198"/>
      <c r="CP70" s="198"/>
      <c r="CQ70" s="198"/>
      <c r="CR70" s="198"/>
      <c r="CS70" s="198"/>
      <c r="CT70" s="198"/>
      <c r="CU70" s="198"/>
      <c r="CV70" s="198"/>
      <c r="CW70" s="198"/>
      <c r="CX70" s="198"/>
      <c r="CY70" s="198"/>
      <c r="CZ70" s="198"/>
      <c r="DA70" s="198"/>
      <c r="DB70" s="198"/>
      <c r="DC70" s="198"/>
      <c r="DD70" s="198"/>
      <c r="DE70" s="198"/>
      <c r="DF70" s="198"/>
      <c r="DG70" s="198"/>
      <c r="DH70" s="198"/>
      <c r="DI70" s="198"/>
      <c r="DJ70" s="198"/>
      <c r="DK70" s="198"/>
      <c r="DL70" s="198"/>
      <c r="DM70" s="198"/>
      <c r="DN70" s="198"/>
      <c r="DO70" s="198"/>
      <c r="DP70" s="198"/>
      <c r="DQ70" s="198"/>
      <c r="DR70" s="198"/>
      <c r="DS70" s="198"/>
      <c r="DT70" s="198"/>
    </row>
    <row r="71" spans="1:124" s="172" customFormat="1" ht="15" outlineLevel="1" x14ac:dyDescent="0.25">
      <c r="A71" s="212"/>
      <c r="B71" s="218" t="str">
        <f>Services!B71</f>
        <v>03B04</v>
      </c>
      <c r="C71" s="216" t="str">
        <f>Services!C71</f>
        <v xml:space="preserve">Détection des intrusions dans les locaux sensibles </v>
      </c>
      <c r="D71" s="210" t="str">
        <f t="shared" si="1"/>
        <v/>
      </c>
      <c r="E71" s="1378">
        <f>IF(INDEX(Tab_actions,9,1)=1,INDEX(Tab_actions,9,13),0)</f>
        <v>0</v>
      </c>
      <c r="F71" s="1378">
        <f>IF(INDEX(Tab_actions,16,1)=1,INDEX(Tab_actions,16,13),0)</f>
        <v>0</v>
      </c>
      <c r="G71" s="1378"/>
      <c r="H71" s="1378"/>
      <c r="I71" s="1378"/>
      <c r="J71" s="1378"/>
      <c r="K71" s="1378"/>
      <c r="L71" s="1378"/>
      <c r="M71" s="1378"/>
      <c r="N71" s="1378"/>
      <c r="O71" s="1378"/>
      <c r="P71" s="1378"/>
      <c r="Q71" s="1378"/>
      <c r="R71" s="1378"/>
      <c r="S71" s="1378"/>
      <c r="T71" s="1378"/>
      <c r="U71" s="1378"/>
      <c r="V71" s="1378"/>
      <c r="W71" s="1378">
        <f>IF(INDEX(Tab_actions,128,1)=1,INDEX(Tab_actions,128,7),0)</f>
        <v>0</v>
      </c>
      <c r="X71" s="1378">
        <f>IF(INDEX(Tab_actions,135,1)=1,INDEX(Tab_actions,135,7),0)</f>
        <v>0</v>
      </c>
      <c r="Y71" s="1378"/>
      <c r="Z71" s="1378"/>
      <c r="AA71" s="1378"/>
      <c r="AB71" s="1378"/>
      <c r="AC71" s="1378"/>
      <c r="AD71" s="1378"/>
      <c r="AE71" s="1378"/>
      <c r="AF71" s="1378"/>
      <c r="AG71" s="1378"/>
      <c r="AH71" s="1378">
        <f>IF(AND(INDEX(Tab_actions,197,1)=1,INDEX(Tab_actions,194,1)=1),MAX(INDEX(Tab_actions,197,7),INDEX(Tab_actions,194,25)),IF(INDEX(Tab_actions,197,1)=1,INDEX(Tab_actions,197,7),IF(INDEX(Tab_actions,194,1)=1,INDEX(Tab_actions,194,25),0)))</f>
        <v>0</v>
      </c>
      <c r="AI71" s="1378">
        <f>IF(AND(INDEX(Tab_actions,204,1)=1,INDEX(Tab_actions,201,1)=1),MAX(INDEX(Tab_actions,204,7),INDEX(Tab_actions,201,25)),IF(INDEX(Tab_actions,204,1)=1,INDEX(Tab_actions,204,7),IF(INDEX(Tab_actions,201,1)=1,INDEX(Tab_actions,201,25),0)))</f>
        <v>0</v>
      </c>
      <c r="AJ71" s="1378">
        <f>IF(AND(INDEX(Tab_actions,211,1)=1,INDEX(Tab_actions,208,1)=1),MAX(INDEX(Tab_actions,211,7),INDEX(Tab_actions,208,25)),IF(INDEX(Tab_actions,211,1)=1,INDEX(Tab_actions,211,7),IF(INDEX(Tab_actions,208,1)=1,INDEX(Tab_actions,208,25),0)))</f>
        <v>0</v>
      </c>
      <c r="AK71" s="1378">
        <f>IF(AND(INDEX(Tab_actions,220,1)=1,INDEX(Tab_actions,217,1)=1),MAX(INDEX(Tab_actions,220,7),INDEX(Tab_actions,217,25)),IF(INDEX(Tab_actions,220,1)=1,INDEX(Tab_actions,220,7),IF(INDEX(Tab_actions,217,1)=1,INDEX(Tab_actions,217,25),0)))</f>
        <v>0</v>
      </c>
      <c r="AL71" s="1378">
        <f>IF(AND(INDEX(Tab_actions,229,1)=1,INDEX(Tab_actions,226,1)=1),MAX(INDEX(Tab_actions,229,7),INDEX(Tab_actions,226,25)),IF(INDEX(Tab_actions,229,1)=1,INDEX(Tab_actions,229,7),IF(INDEX(Tab_actions,226,1)=1,INDEX(Tab_actions,226,25),0)))</f>
        <v>0</v>
      </c>
      <c r="AM71" s="1378">
        <f>IF(AND(INDEX(Tab_actions,237,1)=1,INDEX(Tab_actions,235,1)=1),MAX(INDEX(Tab_actions,237,4),INDEX(Tab_actions,235,13)),IF(INDEX(Tab_actions,237,1)=1,INDEX(Tab_actions,237,4),IF(INDEX(Tab_actions,235,1)=1,INDEX(Tab_actions,235,13),0)))</f>
        <v>0</v>
      </c>
      <c r="AN71" s="1378">
        <f>IF(AND(INDEX(Tab_actions,245,1)=1,INDEX(Tab_actions,242,1)=1),MAX(INDEX(Tab_actions,245,7),INDEX(Tab_actions,242,25)),IF(INDEX(Tab_actions,245,1)=1,INDEX(Tab_actions,245,7),IF(INDEX(Tab_actions,242,1)=1,INDEX(Tab_actions,242,25),0)))</f>
        <v>0</v>
      </c>
      <c r="AO71" s="1378">
        <f>IF(AND(INDEX(Tab_actions,254,1)=1,INDEX(Tab_actions,251,1)=1),MAX(INDEX(Tab_actions,254,7),INDEX(Tab_actions,251,25)),IF(INDEX(Tab_actions,254,1)=1,INDEX(Tab_actions,254,7),IF(INDEX(Tab_actions,251,1)=1,INDEX(Tab_actions,251,25),0)))</f>
        <v>0</v>
      </c>
      <c r="AP71" s="1378"/>
      <c r="AQ71" s="1378"/>
      <c r="AR71" s="1378"/>
      <c r="AS71" s="1378">
        <f>IF(INDEX(Tab_actions,273,1)=1,INDEX(Tab_actions,273,4),0)</f>
        <v>0</v>
      </c>
      <c r="AT71" s="1378"/>
      <c r="AU71" s="1378"/>
      <c r="AV71" s="1378">
        <f>IF(INDEX(Tab_actions,290,1)=1,INDEX(Tab_actions,290,4),0)</f>
        <v>0</v>
      </c>
      <c r="AW71" s="1378"/>
      <c r="AX71" s="1378"/>
      <c r="AY71" s="1378"/>
      <c r="AZ71" s="1378"/>
      <c r="BA71" s="1378"/>
      <c r="BB71" s="1378"/>
      <c r="BC71" s="1378"/>
      <c r="BD71"/>
      <c r="BE71" s="198"/>
      <c r="BF71" s="198"/>
      <c r="BG71" s="198"/>
      <c r="BH71" s="198"/>
      <c r="BI71" s="198"/>
      <c r="BJ71" s="198"/>
      <c r="BK71" s="198"/>
      <c r="BL71" s="198"/>
      <c r="BM71" s="198"/>
      <c r="BN71" s="198"/>
      <c r="BO71" s="198"/>
      <c r="BP71" s="198"/>
      <c r="BQ71" s="198"/>
      <c r="BR71" s="198"/>
      <c r="BS71" s="198"/>
      <c r="BT71" s="198"/>
      <c r="BU71" s="198"/>
      <c r="BV71" s="198"/>
      <c r="BW71" s="198"/>
      <c r="BX71" s="198"/>
      <c r="BY71" s="198"/>
      <c r="BZ71" s="198"/>
      <c r="CA71" s="198"/>
      <c r="CB71" s="198"/>
      <c r="CC71" s="198"/>
      <c r="CD71" s="198"/>
      <c r="CE71" s="198"/>
      <c r="CF71" s="198"/>
      <c r="CG71" s="198"/>
      <c r="CH71" s="198"/>
      <c r="CI71" s="198"/>
      <c r="CJ71" s="198"/>
      <c r="CK71" s="198"/>
      <c r="CL71" s="198"/>
      <c r="CM71" s="198"/>
      <c r="CN71" s="198"/>
      <c r="CO71" s="198"/>
      <c r="CP71" s="198"/>
      <c r="CQ71" s="198"/>
      <c r="CR71" s="198"/>
      <c r="CS71" s="198"/>
      <c r="CT71" s="198"/>
      <c r="CU71" s="198"/>
      <c r="CV71" s="198"/>
      <c r="CW71" s="198"/>
      <c r="CX71" s="198"/>
      <c r="CY71" s="198"/>
      <c r="CZ71" s="198"/>
      <c r="DA71" s="198"/>
      <c r="DB71" s="198"/>
      <c r="DC71" s="198"/>
      <c r="DD71" s="198"/>
      <c r="DE71" s="198"/>
      <c r="DF71" s="198"/>
      <c r="DG71" s="198"/>
      <c r="DH71" s="198"/>
      <c r="DI71" s="198"/>
      <c r="DJ71" s="198"/>
      <c r="DK71" s="198"/>
      <c r="DL71" s="198"/>
      <c r="DM71" s="198"/>
      <c r="DN71" s="198"/>
      <c r="DO71" s="198"/>
      <c r="DP71" s="198"/>
      <c r="DQ71" s="198"/>
      <c r="DR71" s="198"/>
      <c r="DS71" s="198"/>
      <c r="DT71" s="198"/>
    </row>
    <row r="72" spans="1:124" s="172" customFormat="1" ht="25.5" outlineLevel="1" x14ac:dyDescent="0.25">
      <c r="A72" s="212"/>
      <c r="B72" s="218" t="str">
        <f>Services!B72</f>
        <v>03B05</v>
      </c>
      <c r="C72" s="216" t="str">
        <f>Services!C72</f>
        <v>Surveillance périmétrique (surveillance des issues et des abords immédiats des locaux sensibles)</v>
      </c>
      <c r="D72" s="210" t="str">
        <f t="shared" si="1"/>
        <v/>
      </c>
      <c r="E72" s="1378"/>
      <c r="F72" s="1378"/>
      <c r="G72" s="1378"/>
      <c r="H72" s="1378"/>
      <c r="I72" s="1378"/>
      <c r="J72" s="1378"/>
      <c r="K72" s="1378"/>
      <c r="L72" s="1378"/>
      <c r="M72" s="1378"/>
      <c r="N72" s="1378"/>
      <c r="O72" s="1378"/>
      <c r="P72" s="1378"/>
      <c r="Q72" s="1378"/>
      <c r="R72" s="1378"/>
      <c r="S72" s="1378"/>
      <c r="T72" s="1378"/>
      <c r="U72" s="1378"/>
      <c r="V72" s="1378"/>
      <c r="W72" s="1378"/>
      <c r="X72" s="1378"/>
      <c r="Y72" s="1378"/>
      <c r="Z72" s="1378"/>
      <c r="AA72" s="1378"/>
      <c r="AB72" s="1378"/>
      <c r="AC72" s="1378"/>
      <c r="AD72" s="1378"/>
      <c r="AE72" s="1378"/>
      <c r="AF72" s="1378"/>
      <c r="AG72" s="1378"/>
      <c r="AH72" s="1378"/>
      <c r="AI72" s="1378"/>
      <c r="AJ72" s="1378"/>
      <c r="AK72" s="1378"/>
      <c r="AL72" s="1378"/>
      <c r="AM72" s="1378"/>
      <c r="AN72" s="1378"/>
      <c r="AO72" s="1378"/>
      <c r="AP72" s="1378"/>
      <c r="AQ72" s="1378"/>
      <c r="AR72" s="1378"/>
      <c r="AS72" s="1378">
        <f>IF(INDEX(Tab_actions,273,1)=1,INDEX(Tab_actions,273,7),0)</f>
        <v>0</v>
      </c>
      <c r="AT72" s="1378"/>
      <c r="AU72" s="1378"/>
      <c r="AV72" s="1378">
        <f>IF(INDEX(Tab_actions,290,1)=1,INDEX(Tab_actions,290,7),0)</f>
        <v>0</v>
      </c>
      <c r="AW72" s="1378"/>
      <c r="AX72" s="1378"/>
      <c r="AY72" s="1378"/>
      <c r="AZ72" s="1378"/>
      <c r="BA72" s="1378"/>
      <c r="BB72" s="1378"/>
      <c r="BC72" s="1378"/>
      <c r="BD72"/>
      <c r="BE72" s="198"/>
      <c r="BF72" s="198"/>
      <c r="BG72" s="198"/>
      <c r="BH72" s="198"/>
      <c r="BI72" s="198"/>
      <c r="BJ72" s="198"/>
      <c r="BK72" s="198"/>
      <c r="BL72" s="198"/>
      <c r="BM72" s="198"/>
      <c r="BN72" s="198"/>
      <c r="BO72" s="198"/>
      <c r="BP72" s="198"/>
      <c r="BQ72" s="198"/>
      <c r="BR72" s="198"/>
      <c r="BS72" s="198"/>
      <c r="BT72" s="198"/>
      <c r="BU72" s="198"/>
      <c r="BV72" s="198"/>
      <c r="BW72" s="198"/>
      <c r="BX72" s="198"/>
      <c r="BY72" s="198"/>
      <c r="BZ72" s="198"/>
      <c r="CA72" s="198"/>
      <c r="CB72" s="198"/>
      <c r="CC72" s="198"/>
      <c r="CD72" s="198"/>
      <c r="CE72" s="198"/>
      <c r="CF72" s="198"/>
      <c r="CG72" s="198"/>
      <c r="CH72" s="198"/>
      <c r="CI72" s="198"/>
      <c r="CJ72" s="198"/>
      <c r="CK72" s="198"/>
      <c r="CL72" s="198"/>
      <c r="CM72" s="198"/>
      <c r="CN72" s="198"/>
      <c r="CO72" s="198"/>
      <c r="CP72" s="198"/>
      <c r="CQ72" s="198"/>
      <c r="CR72" s="198"/>
      <c r="CS72" s="198"/>
      <c r="CT72" s="198"/>
      <c r="CU72" s="198"/>
      <c r="CV72" s="198"/>
      <c r="CW72" s="198"/>
      <c r="CX72" s="198"/>
      <c r="CY72" s="198"/>
      <c r="CZ72" s="198"/>
      <c r="DA72" s="198"/>
      <c r="DB72" s="198"/>
      <c r="DC72" s="198"/>
      <c r="DD72" s="198"/>
      <c r="DE72" s="198"/>
      <c r="DF72" s="198"/>
      <c r="DG72" s="198"/>
      <c r="DH72" s="198"/>
      <c r="DI72" s="198"/>
      <c r="DJ72" s="198"/>
      <c r="DK72" s="198"/>
      <c r="DL72" s="198"/>
      <c r="DM72" s="198"/>
      <c r="DN72" s="198"/>
      <c r="DO72" s="198"/>
      <c r="DP72" s="198"/>
      <c r="DQ72" s="198"/>
      <c r="DR72" s="198"/>
      <c r="DS72" s="198"/>
      <c r="DT72" s="198"/>
    </row>
    <row r="73" spans="1:124" s="172" customFormat="1" ht="14.25" outlineLevel="1" x14ac:dyDescent="0.25">
      <c r="A73" s="217"/>
      <c r="B73" s="218" t="str">
        <f>Services!B73</f>
        <v>03B06</v>
      </c>
      <c r="C73" s="216" t="str">
        <f>Services!C73</f>
        <v>Surveillance des locaux sensibles</v>
      </c>
      <c r="D73" s="210" t="str">
        <f t="shared" si="1"/>
        <v/>
      </c>
      <c r="E73" s="1378">
        <f>IF(INDEX(Tab_actions,6,1)=1,INDEX(Tab_actions,6,4),0)</f>
        <v>0</v>
      </c>
      <c r="F73" s="1378">
        <f>IF(INDEX(Tab_actions,14,1)=1,INDEX(Tab_actions,14,4),0)</f>
        <v>0</v>
      </c>
      <c r="G73" s="1378"/>
      <c r="H73" s="1378"/>
      <c r="I73" s="1378"/>
      <c r="J73" s="1378"/>
      <c r="K73" s="1378"/>
      <c r="L73" s="1378"/>
      <c r="M73" s="1378"/>
      <c r="N73" s="1378"/>
      <c r="O73" s="1378"/>
      <c r="P73" s="1378"/>
      <c r="Q73" s="1378"/>
      <c r="R73" s="1378"/>
      <c r="S73" s="1378"/>
      <c r="T73" s="1378"/>
      <c r="U73" s="1378"/>
      <c r="V73" s="1378"/>
      <c r="W73" s="1378">
        <f>IF(INDEX(Tab_actions,122,1)=1,INDEX(Tab_actions,122,4),0)</f>
        <v>0</v>
      </c>
      <c r="X73" s="1378"/>
      <c r="Y73" s="1378"/>
      <c r="Z73" s="1378"/>
      <c r="AA73" s="1378">
        <f>IF(INDEX(Tab_actions,153,1)=1,INDEX(Tab_actions,153,4),0)</f>
        <v>0</v>
      </c>
      <c r="AB73" s="1378"/>
      <c r="AC73" s="1378"/>
      <c r="AD73" s="1378"/>
      <c r="AE73" s="1378"/>
      <c r="AF73" s="1378"/>
      <c r="AG73" s="1378"/>
      <c r="AH73" s="1378">
        <f>IF(AND(INDEX(Tab_actions,194,1)=1,INDEX(Tab_actions,193,1)=1),MAX(INDEX(Tab_actions,194,28),INDEX(Tab_actions,193,4)),IF(INDEX(Tab_actions,194,1)=1,INDEX(Tab_actions,194,28),IF(INDEX(Tab_actions,193,1)=1,INDEX(Tab_actions,193,4),0)))</f>
        <v>0</v>
      </c>
      <c r="AI73" s="1378">
        <f>IF(AND(INDEX(Tab_actions,201,1)=1,INDEX(Tab_actions,200,1)=1),MAX(INDEX(Tab_actions,201,28),INDEX(Tab_actions,200,4)),IF(INDEX(Tab_actions,201,1)=1,INDEX(Tab_actions,201,28),IF(INDEX(Tab_actions,200,1)=1,INDEX(Tab_actions,200,4),0)))</f>
        <v>0</v>
      </c>
      <c r="AJ73" s="1378">
        <f>IF(AND(INDEX(Tab_actions,208,1)=1,INDEX(Tab_actions,207,1)=1),MAX(INDEX(Tab_actions,208,28),INDEX(Tab_actions,207,4)),IF(INDEX(Tab_actions,208,1)=1,INDEX(Tab_actions,208,28),IF(INDEX(Tab_actions,207,1)=1,INDEX(Tab_actions,207,4),0)))</f>
        <v>0</v>
      </c>
      <c r="AK73" s="1378">
        <f>IF(AND(INDEX(Tab_actions,217,1)=1,INDEX(Tab_actions,215,1)=1),MAX(INDEX(Tab_actions,217,28),INDEX(Tab_actions,215,4)),IF(INDEX(Tab_actions,217,1)=1,INDEX(Tab_actions,217,28),IF(INDEX(Tab_actions,215,1)=1,INDEX(Tab_actions,215,4),0)))</f>
        <v>0</v>
      </c>
      <c r="AL73" s="1378">
        <f>IF(AND(INDEX(Tab_actions,226,1)=1,INDEX(Tab_actions,224,1)=1),MAX(INDEX(Tab_actions,226,28),INDEX(Tab_actions,224,4)),IF(INDEX(Tab_actions,226,1)=1,INDEX(Tab_actions,226,28),IF(INDEX(Tab_actions,224,1)=1,INDEX(Tab_actions,224,4),0)))</f>
        <v>0</v>
      </c>
      <c r="AM73" s="1378">
        <f>IF(AND(INDEX(Tab_actions,235,1)=1,INDEX(Tab_actions,233,1)=1),MAX(INDEX(Tab_actions,235,16),INDEX(Tab_actions,233,4)),IF(INDEX(Tab_actions,235,1)=1,INDEX(Tab_actions,235,16),IF(INDEX(Tab_actions,233,1)=1,INDEX(Tab_actions,233,4),0)))</f>
        <v>0</v>
      </c>
      <c r="AN73" s="1378">
        <f>IF(AND(INDEX(Tab_actions,242,1)=1,INDEX(Tab_actions,240,1)=1),MAX(INDEX(Tab_actions,242,28),INDEX(Tab_actions,240,4)),IF(INDEX(Tab_actions,242,1)=1,INDEX(Tab_actions,242,28),IF(INDEX(Tab_actions,240,1)=1,INDEX(Tab_actions,240,4),0)))</f>
        <v>0</v>
      </c>
      <c r="AO73" s="1378">
        <f>IF(AND(INDEX(Tab_actions,251,1)=1,INDEX(Tab_actions,249,1)=1),MAX(INDEX(Tab_actions,251,28),INDEX(Tab_actions,249,4)),IF(INDEX(Tab_actions,251,1)=1,INDEX(Tab_actions,251,28),IF(INDEX(Tab_actions,249,1)=1,INDEX(Tab_actions,249,4),0)))</f>
        <v>0</v>
      </c>
      <c r="AP73" s="1378"/>
      <c r="AQ73" s="1378"/>
      <c r="AR73" s="1378"/>
      <c r="AS73" s="1378">
        <f>IF(INDEX(Tab_actions,273,1)=1,INDEX(Tab_actions,273,10),0)</f>
        <v>0</v>
      </c>
      <c r="AT73" s="1378"/>
      <c r="AU73" s="1378"/>
      <c r="AV73" s="1378">
        <f>IF(INDEX(Tab_actions,290,1)=1,INDEX(Tab_actions,290,10),0)</f>
        <v>0</v>
      </c>
      <c r="AW73" s="1378">
        <f>IF(INDEX(Tab_actions,296,1)=1,INDEX(Tab_actions,296,4),0)</f>
        <v>0</v>
      </c>
      <c r="AX73" s="1378"/>
      <c r="AY73" s="1378"/>
      <c r="AZ73" s="1378"/>
      <c r="BA73" s="1378"/>
      <c r="BB73" s="1378"/>
      <c r="BC73" s="1378"/>
      <c r="BD73"/>
      <c r="BE73" s="198"/>
      <c r="BF73" s="198"/>
      <c r="BG73" s="198"/>
      <c r="BH73" s="198"/>
      <c r="BI73" s="198"/>
      <c r="BJ73" s="198"/>
      <c r="BK73" s="198"/>
      <c r="BL73" s="198"/>
      <c r="BM73" s="198"/>
      <c r="BN73" s="198"/>
      <c r="BO73" s="198"/>
      <c r="BP73" s="198"/>
      <c r="BQ73" s="198"/>
      <c r="BR73" s="198"/>
      <c r="BS73" s="198"/>
      <c r="BT73" s="198"/>
      <c r="BU73" s="198"/>
      <c r="BV73" s="198"/>
      <c r="BW73" s="198"/>
      <c r="BX73" s="198"/>
      <c r="BY73" s="198"/>
      <c r="BZ73" s="198"/>
      <c r="CA73" s="198"/>
      <c r="CB73" s="198"/>
      <c r="CC73" s="198"/>
      <c r="CD73" s="198"/>
      <c r="CE73" s="198"/>
      <c r="CF73" s="198"/>
      <c r="CG73" s="198"/>
      <c r="CH73" s="198"/>
      <c r="CI73" s="198"/>
      <c r="CJ73" s="198"/>
      <c r="CK73" s="198"/>
      <c r="CL73" s="198"/>
      <c r="CM73" s="198"/>
      <c r="CN73" s="198"/>
      <c r="CO73" s="198"/>
      <c r="CP73" s="198"/>
      <c r="CQ73" s="198"/>
      <c r="CR73" s="198"/>
      <c r="CS73" s="198"/>
      <c r="CT73" s="198"/>
      <c r="CU73" s="198"/>
      <c r="CV73" s="198"/>
      <c r="CW73" s="198"/>
      <c r="CX73" s="198"/>
      <c r="CY73" s="198"/>
      <c r="CZ73" s="198"/>
      <c r="DA73" s="198"/>
      <c r="DB73" s="198"/>
      <c r="DC73" s="198"/>
      <c r="DD73" s="198"/>
      <c r="DE73" s="198"/>
      <c r="DF73" s="198"/>
      <c r="DG73" s="198"/>
      <c r="DH73" s="198"/>
      <c r="DI73" s="198"/>
      <c r="DJ73" s="198"/>
      <c r="DK73" s="198"/>
      <c r="DL73" s="198"/>
      <c r="DM73" s="198"/>
      <c r="DN73" s="198"/>
      <c r="DO73" s="198"/>
      <c r="DP73" s="198"/>
      <c r="DQ73" s="198"/>
      <c r="DR73" s="198"/>
      <c r="DS73" s="198"/>
      <c r="DT73" s="198"/>
    </row>
    <row r="74" spans="1:124" s="172" customFormat="1" ht="14.25" outlineLevel="1" x14ac:dyDescent="0.25">
      <c r="A74" s="217"/>
      <c r="B74" s="218" t="str">
        <f>Services!B74</f>
        <v>03B07</v>
      </c>
      <c r="C74" s="216" t="str">
        <f>Services!C74</f>
        <v>Contrôle d'accès au câblage</v>
      </c>
      <c r="D74" s="210" t="str">
        <f t="shared" si="1"/>
        <v/>
      </c>
      <c r="E74" s="1378"/>
      <c r="F74" s="1378"/>
      <c r="G74" s="1378"/>
      <c r="H74" s="1378"/>
      <c r="I74" s="1378"/>
      <c r="J74" s="1378"/>
      <c r="K74" s="1378"/>
      <c r="L74" s="1378"/>
      <c r="M74" s="1378"/>
      <c r="N74" s="1378"/>
      <c r="O74" s="1378"/>
      <c r="P74" s="1378"/>
      <c r="Q74" s="1378"/>
      <c r="R74" s="1378"/>
      <c r="S74" s="1378"/>
      <c r="T74" s="1378"/>
      <c r="U74" s="1378"/>
      <c r="V74" s="1378"/>
      <c r="W74" s="1378"/>
      <c r="X74" s="1378"/>
      <c r="Y74" s="1378"/>
      <c r="Z74" s="1378"/>
      <c r="AA74" s="1378"/>
      <c r="AB74" s="1378">
        <f>IF(INDEX(Tab_actions,162,1)=1,INDEX(Tab_actions,162,4),0)</f>
        <v>0</v>
      </c>
      <c r="AC74" s="1378"/>
      <c r="AD74" s="1378"/>
      <c r="AE74" s="1378"/>
      <c r="AF74" s="1378"/>
      <c r="AG74" s="1378"/>
      <c r="AH74" s="1378"/>
      <c r="AI74" s="1378"/>
      <c r="AJ74" s="1378"/>
      <c r="AK74" s="1378"/>
      <c r="AL74" s="1378"/>
      <c r="AM74" s="1378"/>
      <c r="AN74" s="1378"/>
      <c r="AO74" s="1378"/>
      <c r="AP74" s="1378"/>
      <c r="AQ74" s="1378"/>
      <c r="AR74" s="1378"/>
      <c r="AS74" s="1378"/>
      <c r="AT74" s="1378"/>
      <c r="AU74" s="1378"/>
      <c r="AV74" s="1378"/>
      <c r="AW74" s="1378"/>
      <c r="AX74" s="1378"/>
      <c r="AY74" s="1378"/>
      <c r="AZ74" s="1378"/>
      <c r="BA74" s="1378"/>
      <c r="BB74" s="1378"/>
      <c r="BC74" s="1378"/>
      <c r="BD74"/>
      <c r="BE74" s="198"/>
      <c r="BF74" s="198"/>
      <c r="BG74" s="198"/>
      <c r="BH74" s="198"/>
      <c r="BI74" s="198"/>
      <c r="BJ74" s="198"/>
      <c r="BK74" s="198"/>
      <c r="BL74" s="198"/>
      <c r="BM74" s="198"/>
      <c r="BN74" s="198"/>
      <c r="BO74" s="198"/>
      <c r="BP74" s="198"/>
      <c r="BQ74" s="198"/>
      <c r="BR74" s="198"/>
      <c r="BS74" s="198"/>
      <c r="BT74" s="198"/>
      <c r="BU74" s="198"/>
      <c r="BV74" s="198"/>
      <c r="BW74" s="198"/>
      <c r="BX74" s="198"/>
      <c r="BY74" s="198"/>
      <c r="BZ74" s="198"/>
      <c r="CA74" s="198"/>
      <c r="CB74" s="198"/>
      <c r="CC74" s="198"/>
      <c r="CD74" s="198"/>
      <c r="CE74" s="198"/>
      <c r="CF74" s="198"/>
      <c r="CG74" s="198"/>
      <c r="CH74" s="198"/>
      <c r="CI74" s="198"/>
      <c r="CJ74" s="198"/>
      <c r="CK74" s="198"/>
      <c r="CL74" s="198"/>
      <c r="CM74" s="198"/>
      <c r="CN74" s="198"/>
      <c r="CO74" s="198"/>
      <c r="CP74" s="198"/>
      <c r="CQ74" s="198"/>
      <c r="CR74" s="198"/>
      <c r="CS74" s="198"/>
      <c r="CT74" s="198"/>
      <c r="CU74" s="198"/>
      <c r="CV74" s="198"/>
      <c r="CW74" s="198"/>
      <c r="CX74" s="198"/>
      <c r="CY74" s="198"/>
      <c r="CZ74" s="198"/>
      <c r="DA74" s="198"/>
      <c r="DB74" s="198"/>
      <c r="DC74" s="198"/>
      <c r="DD74" s="198"/>
      <c r="DE74" s="198"/>
      <c r="DF74" s="198"/>
      <c r="DG74" s="198"/>
      <c r="DH74" s="198"/>
      <c r="DI74" s="198"/>
      <c r="DJ74" s="198"/>
      <c r="DK74" s="198"/>
      <c r="DL74" s="198"/>
      <c r="DM74" s="198"/>
      <c r="DN74" s="198"/>
      <c r="DO74" s="198"/>
      <c r="DP74" s="198"/>
      <c r="DQ74" s="198"/>
      <c r="DR74" s="198"/>
      <c r="DS74" s="198"/>
      <c r="DT74" s="198"/>
    </row>
    <row r="75" spans="1:124" s="172" customFormat="1" ht="14.25" outlineLevel="1" x14ac:dyDescent="0.25">
      <c r="A75" s="217"/>
      <c r="B75" s="218" t="str">
        <f>Services!B75</f>
        <v>03B08</v>
      </c>
      <c r="C75" s="216" t="str">
        <f>Services!C75</f>
        <v>Localisation des locaux sensibles</v>
      </c>
      <c r="D75" s="210" t="str">
        <f t="shared" si="1"/>
        <v/>
      </c>
      <c r="E75" s="1378"/>
      <c r="F75" s="1378"/>
      <c r="G75" s="1378"/>
      <c r="H75" s="1378"/>
      <c r="I75" s="1378"/>
      <c r="J75" s="1378"/>
      <c r="K75" s="1378"/>
      <c r="L75" s="1378"/>
      <c r="M75" s="1378"/>
      <c r="N75" s="1378"/>
      <c r="O75" s="1378"/>
      <c r="P75" s="1378"/>
      <c r="Q75" s="1378"/>
      <c r="R75" s="1378"/>
      <c r="S75" s="1378"/>
      <c r="T75" s="1378"/>
      <c r="U75" s="1378"/>
      <c r="V75" s="1378"/>
      <c r="W75" s="1378"/>
      <c r="X75" s="1378"/>
      <c r="Y75" s="1378"/>
      <c r="Z75" s="1378"/>
      <c r="AA75" s="1378"/>
      <c r="AB75" s="1378"/>
      <c r="AC75" s="1378"/>
      <c r="AD75" s="1378"/>
      <c r="AE75" s="1378"/>
      <c r="AF75" s="1378"/>
      <c r="AG75" s="1378"/>
      <c r="AH75" s="1378"/>
      <c r="AI75" s="1378"/>
      <c r="AJ75" s="1378"/>
      <c r="AK75" s="1378"/>
      <c r="AL75" s="1378"/>
      <c r="AM75" s="1378"/>
      <c r="AN75" s="1378"/>
      <c r="AO75" s="1378"/>
      <c r="AP75" s="1378"/>
      <c r="AQ75" s="1378"/>
      <c r="AR75" s="1378"/>
      <c r="AS75" s="1378"/>
      <c r="AT75" s="1378"/>
      <c r="AU75" s="1378"/>
      <c r="AV75" s="1378"/>
      <c r="AW75" s="1378"/>
      <c r="AX75" s="1378"/>
      <c r="AY75" s="1378"/>
      <c r="AZ75" s="1378"/>
      <c r="BA75" s="1378"/>
      <c r="BB75" s="1378"/>
      <c r="BC75" s="1378"/>
      <c r="BD75"/>
      <c r="BE75" s="198"/>
      <c r="BF75" s="198"/>
      <c r="BG75" s="198"/>
      <c r="BH75" s="198"/>
      <c r="BI75" s="198"/>
      <c r="BJ75" s="198"/>
      <c r="BK75" s="198"/>
      <c r="BL75" s="198"/>
      <c r="BM75" s="198"/>
      <c r="BN75" s="198"/>
      <c r="BO75" s="198"/>
      <c r="BP75" s="198"/>
      <c r="BQ75" s="198"/>
      <c r="BR75" s="198"/>
      <c r="BS75" s="198"/>
      <c r="BT75" s="198"/>
      <c r="BU75" s="198"/>
      <c r="BV75" s="198"/>
      <c r="BW75" s="198"/>
      <c r="BX75" s="198"/>
      <c r="BY75" s="198"/>
      <c r="BZ75" s="198"/>
      <c r="CA75" s="198"/>
      <c r="CB75" s="198"/>
      <c r="CC75" s="198"/>
      <c r="CD75" s="198"/>
      <c r="CE75" s="198"/>
      <c r="CF75" s="198"/>
      <c r="CG75" s="198"/>
      <c r="CH75" s="198"/>
      <c r="CI75" s="198"/>
      <c r="CJ75" s="198"/>
      <c r="CK75" s="198"/>
      <c r="CL75" s="198"/>
      <c r="CM75" s="198"/>
      <c r="CN75" s="198"/>
      <c r="CO75" s="198"/>
      <c r="CP75" s="198"/>
      <c r="CQ75" s="198"/>
      <c r="CR75" s="198"/>
      <c r="CS75" s="198"/>
      <c r="CT75" s="198"/>
      <c r="CU75" s="198"/>
      <c r="CV75" s="198"/>
      <c r="CW75" s="198"/>
      <c r="CX75" s="198"/>
      <c r="CY75" s="198"/>
      <c r="CZ75" s="198"/>
      <c r="DA75" s="198"/>
      <c r="DB75" s="198"/>
      <c r="DC75" s="198"/>
      <c r="DD75" s="198"/>
      <c r="DE75" s="198"/>
      <c r="DF75" s="198"/>
      <c r="DG75" s="198"/>
      <c r="DH75" s="198"/>
      <c r="DI75" s="198"/>
      <c r="DJ75" s="198"/>
      <c r="DK75" s="198"/>
      <c r="DL75" s="198"/>
      <c r="DM75" s="198"/>
      <c r="DN75" s="198"/>
      <c r="DO75" s="198"/>
      <c r="DP75" s="198"/>
      <c r="DQ75" s="198"/>
      <c r="DR75" s="198"/>
      <c r="DS75" s="198"/>
      <c r="DT75" s="198"/>
    </row>
    <row r="76" spans="1:124" s="172" customFormat="1" ht="15" outlineLevel="1" x14ac:dyDescent="0.25">
      <c r="A76" s="212"/>
      <c r="B76" s="213" t="str">
        <f>Services!B76</f>
        <v>03C</v>
      </c>
      <c r="C76" s="214" t="str">
        <f>Services!C76</f>
        <v>Sécurité contre les dégâts des eaux</v>
      </c>
      <c r="D76" s="210" t="str">
        <f t="shared" si="1"/>
        <v/>
      </c>
      <c r="E76" s="1378"/>
      <c r="F76" s="1378"/>
      <c r="G76" s="1378"/>
      <c r="H76" s="1378"/>
      <c r="I76" s="1378"/>
      <c r="J76" s="1378"/>
      <c r="K76" s="1378"/>
      <c r="L76" s="1378"/>
      <c r="M76" s="1378"/>
      <c r="N76" s="1378"/>
      <c r="O76" s="1378"/>
      <c r="P76" s="1378"/>
      <c r="Q76" s="1378"/>
      <c r="R76" s="1378"/>
      <c r="S76" s="1378"/>
      <c r="T76" s="1378"/>
      <c r="U76" s="1378"/>
      <c r="V76" s="1378"/>
      <c r="W76" s="1378"/>
      <c r="X76" s="1378"/>
      <c r="Y76" s="1378"/>
      <c r="Z76" s="1378"/>
      <c r="AA76" s="1378"/>
      <c r="AB76" s="1378"/>
      <c r="AC76" s="1378"/>
      <c r="AD76" s="1378"/>
      <c r="AE76" s="1378"/>
      <c r="AF76" s="1378"/>
      <c r="AG76" s="1378"/>
      <c r="AH76" s="1378"/>
      <c r="AI76" s="1378"/>
      <c r="AJ76" s="1378"/>
      <c r="AK76" s="1378"/>
      <c r="AL76" s="1378"/>
      <c r="AM76" s="1378"/>
      <c r="AN76" s="1378"/>
      <c r="AO76" s="1378"/>
      <c r="AP76" s="1378"/>
      <c r="AQ76" s="1378"/>
      <c r="AR76" s="1378"/>
      <c r="AS76" s="1378"/>
      <c r="AT76" s="1378"/>
      <c r="AU76" s="1378"/>
      <c r="AV76" s="1378"/>
      <c r="AW76" s="1378"/>
      <c r="AX76" s="1378"/>
      <c r="AY76" s="1378"/>
      <c r="AZ76" s="1378"/>
      <c r="BA76" s="1378"/>
      <c r="BB76" s="1378"/>
      <c r="BC76" s="1378"/>
      <c r="BD76"/>
      <c r="BE76" s="198"/>
      <c r="BF76" s="198"/>
      <c r="BG76" s="198"/>
      <c r="BH76" s="198"/>
      <c r="BI76" s="198"/>
      <c r="BJ76" s="198"/>
      <c r="BK76" s="198"/>
      <c r="BL76" s="198"/>
      <c r="BM76" s="198"/>
      <c r="BN76" s="198"/>
      <c r="BO76" s="198"/>
      <c r="BP76" s="198"/>
      <c r="BQ76" s="198"/>
      <c r="BR76" s="198"/>
      <c r="BS76" s="198"/>
      <c r="BT76" s="198"/>
      <c r="BU76" s="198"/>
      <c r="BV76" s="198"/>
      <c r="BW76" s="198"/>
      <c r="BX76" s="198"/>
      <c r="BY76" s="198"/>
      <c r="BZ76" s="198"/>
      <c r="CA76" s="198"/>
      <c r="CB76" s="198"/>
      <c r="CC76" s="198"/>
      <c r="CD76" s="198"/>
      <c r="CE76" s="198"/>
      <c r="CF76" s="198"/>
      <c r="CG76" s="198"/>
      <c r="CH76" s="198"/>
      <c r="CI76" s="198"/>
      <c r="CJ76" s="198"/>
      <c r="CK76" s="198"/>
      <c r="CL76" s="198"/>
      <c r="CM76" s="198"/>
      <c r="CN76" s="198"/>
      <c r="CO76" s="198"/>
      <c r="CP76" s="198"/>
      <c r="CQ76" s="198"/>
      <c r="CR76" s="198"/>
      <c r="CS76" s="198"/>
      <c r="CT76" s="198"/>
      <c r="CU76" s="198"/>
      <c r="CV76" s="198"/>
      <c r="CW76" s="198"/>
      <c r="CX76" s="198"/>
      <c r="CY76" s="198"/>
      <c r="CZ76" s="198"/>
      <c r="DA76" s="198"/>
      <c r="DB76" s="198"/>
      <c r="DC76" s="198"/>
      <c r="DD76" s="198"/>
      <c r="DE76" s="198"/>
      <c r="DF76" s="198"/>
      <c r="DG76" s="198"/>
      <c r="DH76" s="198"/>
      <c r="DI76" s="198"/>
      <c r="DJ76" s="198"/>
      <c r="DK76" s="198"/>
      <c r="DL76" s="198"/>
      <c r="DM76" s="198"/>
      <c r="DN76" s="198"/>
      <c r="DO76" s="198"/>
      <c r="DP76" s="198"/>
      <c r="DQ76" s="198"/>
      <c r="DR76" s="198"/>
      <c r="DS76" s="198"/>
      <c r="DT76" s="198"/>
    </row>
    <row r="77" spans="1:124" s="172" customFormat="1" ht="15" outlineLevel="1" x14ac:dyDescent="0.25">
      <c r="A77" s="212"/>
      <c r="B77" s="218" t="str">
        <f>Services!B77</f>
        <v>03C01</v>
      </c>
      <c r="C77" s="216" t="str">
        <f>Services!C77</f>
        <v>Prévention des risques de dégâts des eaux</v>
      </c>
      <c r="D77" s="210" t="str">
        <f t="shared" si="1"/>
        <v/>
      </c>
      <c r="E77" s="1378">
        <f>IF(INDEX(Tab_actions,9,1)=1,INDEX(Tab_actions,9,16),0)</f>
        <v>0</v>
      </c>
      <c r="F77" s="1378">
        <f>IF(INDEX(Tab_actions,16,1)=1,INDEX(Tab_actions,16,16),0)</f>
        <v>0</v>
      </c>
      <c r="G77" s="1378">
        <f>IF(INDEX(Tab_actions,24,1)=1,INDEX(Tab_actions,24,16),0)</f>
        <v>0</v>
      </c>
      <c r="H77" s="1378"/>
      <c r="I77" s="1378">
        <f>IF(INDEX(Tab_actions,34,1)=1,INDEX(Tab_actions,34,4),0)</f>
        <v>0</v>
      </c>
      <c r="J77" s="1378">
        <f>IF(INDEX(Tab_actions,39,1)=1,INDEX(Tab_actions,39,4),0)</f>
        <v>0</v>
      </c>
      <c r="K77" s="1378"/>
      <c r="L77" s="1378"/>
      <c r="M77" s="1378"/>
      <c r="N77" s="1378"/>
      <c r="O77" s="1378"/>
      <c r="P77" s="1378"/>
      <c r="Q77" s="1378"/>
      <c r="R77" s="1378"/>
      <c r="S77" s="1378"/>
      <c r="T77" s="1378"/>
      <c r="U77" s="1378"/>
      <c r="V77" s="1378"/>
      <c r="W77" s="1378"/>
      <c r="X77" s="1378"/>
      <c r="Y77" s="1378"/>
      <c r="Z77" s="1378"/>
      <c r="AA77" s="1378"/>
      <c r="AB77" s="1378"/>
      <c r="AC77" s="1378"/>
      <c r="AD77" s="1378"/>
      <c r="AE77" s="1378"/>
      <c r="AF77" s="1378"/>
      <c r="AG77" s="1378">
        <f>IF(INDEX(Tab_actions,189,1)=1,INDEX(Tab_actions,189,7),0)</f>
        <v>0</v>
      </c>
      <c r="AH77" s="1378">
        <f>IF(INDEX(Tab_actions,195,1)=1,INDEX(Tab_actions,195,16),0)</f>
        <v>0</v>
      </c>
      <c r="AI77" s="1378">
        <f>IF(INDEX(Tab_actions,202,1)=1,INDEX(Tab_actions,202,16),0)</f>
        <v>0</v>
      </c>
      <c r="AJ77" s="1378">
        <f>IF(INDEX(Tab_actions,209,1)=1,INDEX(Tab_actions,209,16),0)</f>
        <v>0</v>
      </c>
      <c r="AK77" s="1378">
        <f>IF(INDEX(Tab_actions,218,1)=1,INDEX(Tab_actions,218,13),0)</f>
        <v>0</v>
      </c>
      <c r="AL77" s="1378">
        <f>IF(INDEX(Tab_actions,227,1)=1,INDEX(Tab_actions,227,13),0)</f>
        <v>0</v>
      </c>
      <c r="AM77" s="1378">
        <f>IF(INDEX(Tab_actions,236,1)=1,INDEX(Tab_actions,236,10),0)</f>
        <v>0</v>
      </c>
      <c r="AN77" s="1378">
        <f>IF(INDEX(Tab_actions,243,1)=1,INDEX(Tab_actions,243,13),0)</f>
        <v>0</v>
      </c>
      <c r="AO77" s="1378">
        <f>IF(INDEX(Tab_actions,252,1)=1,INDEX(Tab_actions,252,13),0)</f>
        <v>0</v>
      </c>
      <c r="AP77" s="1378"/>
      <c r="AQ77" s="1378"/>
      <c r="AR77" s="1378"/>
      <c r="AS77" s="1378"/>
      <c r="AT77" s="1378"/>
      <c r="AU77" s="1378"/>
      <c r="AV77" s="1378"/>
      <c r="AW77" s="1378"/>
      <c r="AX77" s="1378"/>
      <c r="AY77" s="1378"/>
      <c r="AZ77" s="1378"/>
      <c r="BA77" s="1378"/>
      <c r="BB77" s="1378"/>
      <c r="BC77" s="1378"/>
      <c r="BD77"/>
      <c r="BE77" s="198"/>
      <c r="BF77" s="198"/>
      <c r="BG77" s="198"/>
      <c r="BH77" s="198"/>
      <c r="BI77" s="198"/>
      <c r="BJ77" s="198"/>
      <c r="BK77" s="198"/>
      <c r="BL77" s="198"/>
      <c r="BM77" s="198"/>
      <c r="BN77" s="198"/>
      <c r="BO77" s="198"/>
      <c r="BP77" s="198"/>
      <c r="BQ77" s="198"/>
      <c r="BR77" s="198"/>
      <c r="BS77" s="198"/>
      <c r="BT77" s="198"/>
      <c r="BU77" s="198"/>
      <c r="BV77" s="198"/>
      <c r="BW77" s="198"/>
      <c r="BX77" s="198"/>
      <c r="BY77" s="198"/>
      <c r="BZ77" s="198"/>
      <c r="CA77" s="198"/>
      <c r="CB77" s="198"/>
      <c r="CC77" s="198"/>
      <c r="CD77" s="198"/>
      <c r="CE77" s="198"/>
      <c r="CF77" s="198"/>
      <c r="CG77" s="198"/>
      <c r="CH77" s="198"/>
      <c r="CI77" s="198"/>
      <c r="CJ77" s="198"/>
      <c r="CK77" s="198"/>
      <c r="CL77" s="198"/>
      <c r="CM77" s="198"/>
      <c r="CN77" s="198"/>
      <c r="CO77" s="198"/>
      <c r="CP77" s="198"/>
      <c r="CQ77" s="198"/>
      <c r="CR77" s="198"/>
      <c r="CS77" s="198"/>
      <c r="CT77" s="198"/>
      <c r="CU77" s="198"/>
      <c r="CV77" s="198"/>
      <c r="CW77" s="198"/>
      <c r="CX77" s="198"/>
      <c r="CY77" s="198"/>
      <c r="CZ77" s="198"/>
      <c r="DA77" s="198"/>
      <c r="DB77" s="198"/>
      <c r="DC77" s="198"/>
      <c r="DD77" s="198"/>
      <c r="DE77" s="198"/>
      <c r="DF77" s="198"/>
      <c r="DG77" s="198"/>
      <c r="DH77" s="198"/>
      <c r="DI77" s="198"/>
      <c r="DJ77" s="198"/>
      <c r="DK77" s="198"/>
      <c r="DL77" s="198"/>
      <c r="DM77" s="198"/>
      <c r="DN77" s="198"/>
      <c r="DO77" s="198"/>
      <c r="DP77" s="198"/>
      <c r="DQ77" s="198"/>
      <c r="DR77" s="198"/>
      <c r="DS77" s="198"/>
      <c r="DT77" s="198"/>
    </row>
    <row r="78" spans="1:124" s="172" customFormat="1" ht="15" outlineLevel="1" x14ac:dyDescent="0.25">
      <c r="A78" s="212"/>
      <c r="B78" s="218" t="str">
        <f>Services!B78</f>
        <v>03C02</v>
      </c>
      <c r="C78" s="216" t="str">
        <f>Services!C78</f>
        <v>Détection des dégâts des eaux</v>
      </c>
      <c r="D78" s="210" t="str">
        <f t="shared" si="1"/>
        <v/>
      </c>
      <c r="E78" s="1378"/>
      <c r="F78" s="1378"/>
      <c r="G78" s="1378"/>
      <c r="H78" s="1378"/>
      <c r="I78" s="1378"/>
      <c r="J78" s="1378"/>
      <c r="K78" s="1378"/>
      <c r="L78" s="1378"/>
      <c r="M78" s="1378"/>
      <c r="N78" s="1378"/>
      <c r="O78" s="1378"/>
      <c r="P78" s="1378"/>
      <c r="Q78" s="1378"/>
      <c r="R78" s="1378"/>
      <c r="S78" s="1378"/>
      <c r="T78" s="1378"/>
      <c r="U78" s="1378"/>
      <c r="V78" s="1378"/>
      <c r="W78" s="1378"/>
      <c r="X78" s="1378"/>
      <c r="Y78" s="1378"/>
      <c r="Z78" s="1378"/>
      <c r="AA78" s="1378"/>
      <c r="AB78" s="1378"/>
      <c r="AC78" s="1378"/>
      <c r="AD78" s="1378"/>
      <c r="AE78" s="1378"/>
      <c r="AF78" s="1378"/>
      <c r="AG78" s="1378">
        <f>IF(INDEX(Tab_actions,190,1)=1,INDEX(Tab_actions,190,4),0)</f>
        <v>0</v>
      </c>
      <c r="AH78" s="1378">
        <f>IF(INDEX(Tab_actions,197,1)=1,INDEX(Tab_actions,197,10),0)</f>
        <v>0</v>
      </c>
      <c r="AI78" s="1378">
        <f>IF(INDEX(Tab_actions,204,1)=1,INDEX(Tab_actions,204,10),0)</f>
        <v>0</v>
      </c>
      <c r="AJ78" s="1378">
        <f>IF(INDEX(Tab_actions,211,1)=1,INDEX(Tab_actions,211,10),0)</f>
        <v>0</v>
      </c>
      <c r="AK78" s="1378">
        <f>IF(INDEX(Tab_actions,220,1)=1,INDEX(Tab_actions,220,10),0)</f>
        <v>0</v>
      </c>
      <c r="AL78" s="1378">
        <f>IF(INDEX(Tab_actions,229,1)=1,INDEX(Tab_actions,229,10),0)</f>
        <v>0</v>
      </c>
      <c r="AM78" s="1378">
        <f>IF(INDEX(Tab_actions,237,1)=1,INDEX(Tab_actions,237,7),0)</f>
        <v>0</v>
      </c>
      <c r="AN78" s="1378">
        <f>IF(INDEX(Tab_actions,245,1)=1,INDEX(Tab_actions,245,10),0)</f>
        <v>0</v>
      </c>
      <c r="AO78" s="1378">
        <f>IF(INDEX(Tab_actions,254,1)=1,INDEX(Tab_actions,254,10),0)</f>
        <v>0</v>
      </c>
      <c r="AP78" s="1378"/>
      <c r="AQ78" s="1378"/>
      <c r="AR78" s="1378"/>
      <c r="AS78" s="1378"/>
      <c r="AT78" s="1378"/>
      <c r="AU78" s="1378"/>
      <c r="AV78" s="1378"/>
      <c r="AW78" s="1378"/>
      <c r="AX78" s="1378"/>
      <c r="AY78" s="1378"/>
      <c r="AZ78" s="1378"/>
      <c r="BA78" s="1378"/>
      <c r="BB78" s="1378"/>
      <c r="BC78" s="1378"/>
      <c r="BD78"/>
      <c r="BE78" s="198"/>
      <c r="BF78" s="198"/>
      <c r="BG78" s="198"/>
      <c r="BH78" s="198"/>
      <c r="BI78" s="198"/>
      <c r="BJ78" s="198"/>
      <c r="BK78" s="198"/>
      <c r="BL78" s="198"/>
      <c r="BM78" s="198"/>
      <c r="BN78" s="198"/>
      <c r="BO78" s="198"/>
      <c r="BP78" s="198"/>
      <c r="BQ78" s="198"/>
      <c r="BR78" s="198"/>
      <c r="BS78" s="198"/>
      <c r="BT78" s="198"/>
      <c r="BU78" s="198"/>
      <c r="BV78" s="198"/>
      <c r="BW78" s="198"/>
      <c r="BX78" s="198"/>
      <c r="BY78" s="198"/>
      <c r="BZ78" s="198"/>
      <c r="CA78" s="198"/>
      <c r="CB78" s="198"/>
      <c r="CC78" s="198"/>
      <c r="CD78" s="198"/>
      <c r="CE78" s="198"/>
      <c r="CF78" s="198"/>
      <c r="CG78" s="198"/>
      <c r="CH78" s="198"/>
      <c r="CI78" s="198"/>
      <c r="CJ78" s="198"/>
      <c r="CK78" s="198"/>
      <c r="CL78" s="198"/>
      <c r="CM78" s="198"/>
      <c r="CN78" s="198"/>
      <c r="CO78" s="198"/>
      <c r="CP78" s="198"/>
      <c r="CQ78" s="198"/>
      <c r="CR78" s="198"/>
      <c r="CS78" s="198"/>
      <c r="CT78" s="198"/>
      <c r="CU78" s="198"/>
      <c r="CV78" s="198"/>
      <c r="CW78" s="198"/>
      <c r="CX78" s="198"/>
      <c r="CY78" s="198"/>
      <c r="CZ78" s="198"/>
      <c r="DA78" s="198"/>
      <c r="DB78" s="198"/>
      <c r="DC78" s="198"/>
      <c r="DD78" s="198"/>
      <c r="DE78" s="198"/>
      <c r="DF78" s="198"/>
      <c r="DG78" s="198"/>
      <c r="DH78" s="198"/>
      <c r="DI78" s="198"/>
      <c r="DJ78" s="198"/>
      <c r="DK78" s="198"/>
      <c r="DL78" s="198"/>
      <c r="DM78" s="198"/>
      <c r="DN78" s="198"/>
      <c r="DO78" s="198"/>
      <c r="DP78" s="198"/>
      <c r="DQ78" s="198"/>
      <c r="DR78" s="198"/>
      <c r="DS78" s="198"/>
      <c r="DT78" s="198"/>
    </row>
    <row r="79" spans="1:124" s="172" customFormat="1" ht="15" outlineLevel="1" x14ac:dyDescent="0.25">
      <c r="A79" s="212"/>
      <c r="B79" s="218" t="str">
        <f>Services!B79</f>
        <v>03C03</v>
      </c>
      <c r="C79" s="216" t="str">
        <f>Services!C79</f>
        <v>Évacuation de l'eau</v>
      </c>
      <c r="D79" s="210" t="str">
        <f t="shared" si="1"/>
        <v/>
      </c>
      <c r="E79" s="1378"/>
      <c r="F79" s="1378"/>
      <c r="G79" s="1378"/>
      <c r="H79" s="1378"/>
      <c r="I79" s="1378"/>
      <c r="J79" s="1378"/>
      <c r="K79" s="1378"/>
      <c r="L79" s="1378"/>
      <c r="M79" s="1378"/>
      <c r="N79" s="1378"/>
      <c r="O79" s="1378"/>
      <c r="P79" s="1378"/>
      <c r="Q79" s="1378"/>
      <c r="R79" s="1378"/>
      <c r="S79" s="1378"/>
      <c r="T79" s="1378"/>
      <c r="U79" s="1378"/>
      <c r="V79" s="1378"/>
      <c r="W79" s="1378"/>
      <c r="X79" s="1378"/>
      <c r="Y79" s="1378"/>
      <c r="Z79" s="1378"/>
      <c r="AA79" s="1378"/>
      <c r="AB79" s="1378"/>
      <c r="AC79" s="1378"/>
      <c r="AD79" s="1378"/>
      <c r="AE79" s="1378"/>
      <c r="AF79" s="1378"/>
      <c r="AG79" s="1378">
        <f>IF(INDEX(Tab_actions,190,1)=1,INDEX(Tab_actions,190,7),0)</f>
        <v>0</v>
      </c>
      <c r="AH79" s="1378">
        <f>IF(INDEX(Tab_actions,197,1)=1,INDEX(Tab_actions,197,13),0)</f>
        <v>0</v>
      </c>
      <c r="AI79" s="1378">
        <f>IF(INDEX(Tab_actions,204,1)=1,INDEX(Tab_actions,204,13),0)</f>
        <v>0</v>
      </c>
      <c r="AJ79" s="1378">
        <f>IF(INDEX(Tab_actions,211,1)=1,INDEX(Tab_actions,211,13),0)</f>
        <v>0</v>
      </c>
      <c r="AK79" s="1378">
        <f>IF(INDEX(Tab_actions,220,1)=1,INDEX(Tab_actions,220,13),0)</f>
        <v>0</v>
      </c>
      <c r="AL79" s="1378">
        <f>IF(INDEX(Tab_actions,229,1)=1,INDEX(Tab_actions,229,13),0)</f>
        <v>0</v>
      </c>
      <c r="AM79" s="1378">
        <f>IF(INDEX(Tab_actions,237,1)=1,INDEX(Tab_actions,237,10),0)</f>
        <v>0</v>
      </c>
      <c r="AN79" s="1378">
        <f>IF(INDEX(Tab_actions,245,1)=1,INDEX(Tab_actions,245,13),0)</f>
        <v>0</v>
      </c>
      <c r="AO79" s="1378">
        <f>IF(INDEX(Tab_actions,254,1)=1,INDEX(Tab_actions,254,13),0)</f>
        <v>0</v>
      </c>
      <c r="AP79" s="1378"/>
      <c r="AQ79" s="1378"/>
      <c r="AR79" s="1378"/>
      <c r="AS79" s="1378"/>
      <c r="AT79" s="1378"/>
      <c r="AU79" s="1378"/>
      <c r="AV79" s="1378"/>
      <c r="AW79" s="1378"/>
      <c r="AX79" s="1378"/>
      <c r="AY79" s="1378"/>
      <c r="AZ79" s="1378"/>
      <c r="BA79" s="1378"/>
      <c r="BB79" s="1378"/>
      <c r="BC79" s="1378"/>
      <c r="BD79"/>
      <c r="BE79" s="198"/>
      <c r="BF79" s="198"/>
      <c r="BG79" s="198"/>
      <c r="BH79" s="198"/>
      <c r="BI79" s="198"/>
      <c r="BJ79" s="198"/>
      <c r="BK79" s="198"/>
      <c r="BL79" s="198"/>
      <c r="BM79" s="198"/>
      <c r="BN79" s="198"/>
      <c r="BO79" s="198"/>
      <c r="BP79" s="198"/>
      <c r="BQ79" s="198"/>
      <c r="BR79" s="198"/>
      <c r="BS79" s="198"/>
      <c r="BT79" s="198"/>
      <c r="BU79" s="198"/>
      <c r="BV79" s="198"/>
      <c r="BW79" s="198"/>
      <c r="BX79" s="198"/>
      <c r="BY79" s="198"/>
      <c r="BZ79" s="198"/>
      <c r="CA79" s="198"/>
      <c r="CB79" s="198"/>
      <c r="CC79" s="198"/>
      <c r="CD79" s="198"/>
      <c r="CE79" s="198"/>
      <c r="CF79" s="198"/>
      <c r="CG79" s="198"/>
      <c r="CH79" s="198"/>
      <c r="CI79" s="198"/>
      <c r="CJ79" s="198"/>
      <c r="CK79" s="198"/>
      <c r="CL79" s="198"/>
      <c r="CM79" s="198"/>
      <c r="CN79" s="198"/>
      <c r="CO79" s="198"/>
      <c r="CP79" s="198"/>
      <c r="CQ79" s="198"/>
      <c r="CR79" s="198"/>
      <c r="CS79" s="198"/>
      <c r="CT79" s="198"/>
      <c r="CU79" s="198"/>
      <c r="CV79" s="198"/>
      <c r="CW79" s="198"/>
      <c r="CX79" s="198"/>
      <c r="CY79" s="198"/>
      <c r="CZ79" s="198"/>
      <c r="DA79" s="198"/>
      <c r="DB79" s="198"/>
      <c r="DC79" s="198"/>
      <c r="DD79" s="198"/>
      <c r="DE79" s="198"/>
      <c r="DF79" s="198"/>
      <c r="DG79" s="198"/>
      <c r="DH79" s="198"/>
      <c r="DI79" s="198"/>
      <c r="DJ79" s="198"/>
      <c r="DK79" s="198"/>
      <c r="DL79" s="198"/>
      <c r="DM79" s="198"/>
      <c r="DN79" s="198"/>
      <c r="DO79" s="198"/>
      <c r="DP79" s="198"/>
      <c r="DQ79" s="198"/>
      <c r="DR79" s="198"/>
      <c r="DS79" s="198"/>
      <c r="DT79" s="198"/>
    </row>
    <row r="80" spans="1:124" s="172" customFormat="1" ht="14.25" outlineLevel="1" x14ac:dyDescent="0.25">
      <c r="A80" s="217"/>
      <c r="B80" s="213" t="str">
        <f>Services!B80</f>
        <v>03D</v>
      </c>
      <c r="C80" s="214" t="str">
        <f>Services!C80</f>
        <v>Sécurité incendie</v>
      </c>
      <c r="D80" s="210" t="str">
        <f t="shared" si="1"/>
        <v/>
      </c>
      <c r="E80" s="1378"/>
      <c r="F80" s="1378"/>
      <c r="G80" s="1378"/>
      <c r="H80" s="1378"/>
      <c r="I80" s="1378"/>
      <c r="J80" s="1378"/>
      <c r="K80" s="1378"/>
      <c r="L80" s="1378"/>
      <c r="M80" s="1378"/>
      <c r="N80" s="1378"/>
      <c r="O80" s="1378"/>
      <c r="P80" s="1378"/>
      <c r="Q80" s="1378"/>
      <c r="R80" s="1378"/>
      <c r="S80" s="1378"/>
      <c r="T80" s="1378"/>
      <c r="U80" s="1378"/>
      <c r="V80" s="1378"/>
      <c r="W80" s="1378"/>
      <c r="X80" s="1378"/>
      <c r="Y80" s="1378"/>
      <c r="Z80" s="1378"/>
      <c r="AA80" s="1378"/>
      <c r="AB80" s="1378"/>
      <c r="AC80" s="1378"/>
      <c r="AD80" s="1378"/>
      <c r="AE80" s="1378"/>
      <c r="AF80" s="1378"/>
      <c r="AG80" s="1378"/>
      <c r="AH80" s="1378"/>
      <c r="AI80" s="1378"/>
      <c r="AJ80" s="1378"/>
      <c r="AK80" s="1378"/>
      <c r="AL80" s="1378"/>
      <c r="AM80" s="1378"/>
      <c r="AN80" s="1378"/>
      <c r="AO80" s="1378"/>
      <c r="AP80" s="1378"/>
      <c r="AQ80" s="1378"/>
      <c r="AR80" s="1378"/>
      <c r="AS80" s="1378"/>
      <c r="AT80" s="1378"/>
      <c r="AU80" s="1378"/>
      <c r="AV80" s="1378"/>
      <c r="AW80" s="1378"/>
      <c r="AX80" s="1378"/>
      <c r="AY80" s="1378"/>
      <c r="AZ80" s="1378"/>
      <c r="BA80" s="1378"/>
      <c r="BB80" s="1378"/>
      <c r="BC80" s="1378"/>
      <c r="BD80"/>
      <c r="BE80" s="198"/>
      <c r="BF80" s="198"/>
      <c r="BG80" s="198"/>
      <c r="BH80" s="198"/>
      <c r="BI80" s="198"/>
      <c r="BJ80" s="198"/>
      <c r="BK80" s="198"/>
      <c r="BL80" s="198"/>
      <c r="BM80" s="198"/>
      <c r="BN80" s="198"/>
      <c r="BO80" s="198"/>
      <c r="BP80" s="198"/>
      <c r="BQ80" s="198"/>
      <c r="BR80" s="198"/>
      <c r="BS80" s="198"/>
      <c r="BT80" s="198"/>
      <c r="BU80" s="198"/>
      <c r="BV80" s="198"/>
      <c r="BW80" s="198"/>
      <c r="BX80" s="198"/>
      <c r="BY80" s="198"/>
      <c r="BZ80" s="198"/>
      <c r="CA80" s="198"/>
      <c r="CB80" s="198"/>
      <c r="CC80" s="198"/>
      <c r="CD80" s="198"/>
      <c r="CE80" s="198"/>
      <c r="CF80" s="198"/>
      <c r="CG80" s="198"/>
      <c r="CH80" s="198"/>
      <c r="CI80" s="198"/>
      <c r="CJ80" s="198"/>
      <c r="CK80" s="198"/>
      <c r="CL80" s="198"/>
      <c r="CM80" s="198"/>
      <c r="CN80" s="198"/>
      <c r="CO80" s="198"/>
      <c r="CP80" s="198"/>
      <c r="CQ80" s="198"/>
      <c r="CR80" s="198"/>
      <c r="CS80" s="198"/>
      <c r="CT80" s="198"/>
      <c r="CU80" s="198"/>
      <c r="CV80" s="198"/>
      <c r="CW80" s="198"/>
      <c r="CX80" s="198"/>
      <c r="CY80" s="198"/>
      <c r="CZ80" s="198"/>
      <c r="DA80" s="198"/>
      <c r="DB80" s="198"/>
      <c r="DC80" s="198"/>
      <c r="DD80" s="198"/>
      <c r="DE80" s="198"/>
      <c r="DF80" s="198"/>
      <c r="DG80" s="198"/>
      <c r="DH80" s="198"/>
      <c r="DI80" s="198"/>
      <c r="DJ80" s="198"/>
      <c r="DK80" s="198"/>
      <c r="DL80" s="198"/>
      <c r="DM80" s="198"/>
      <c r="DN80" s="198"/>
      <c r="DO80" s="198"/>
      <c r="DP80" s="198"/>
      <c r="DQ80" s="198"/>
      <c r="DR80" s="198"/>
      <c r="DS80" s="198"/>
      <c r="DT80" s="198"/>
    </row>
    <row r="81" spans="1:124" s="172" customFormat="1" ht="14.25" outlineLevel="1" x14ac:dyDescent="0.25">
      <c r="A81" s="217"/>
      <c r="B81" s="218" t="str">
        <f>Services!B81</f>
        <v>03D01</v>
      </c>
      <c r="C81" s="216" t="str">
        <f>Services!C81</f>
        <v>Prévention des risques d'incendie</v>
      </c>
      <c r="D81" s="210" t="str">
        <f t="shared" si="1"/>
        <v/>
      </c>
      <c r="E81" s="1378">
        <f>IF(INDEX(Tab_actions,9,1)=1,INDEX(Tab_actions,9,19),0)</f>
        <v>0</v>
      </c>
      <c r="F81" s="1378">
        <f>IF(INDEX(Tab_actions,16,1)=1,INDEX(Tab_actions,16,19),0)</f>
        <v>0</v>
      </c>
      <c r="G81" s="1378">
        <f>IF(INDEX(Tab_actions,24,1)=1,INDEX(Tab_actions,24,19),0)</f>
        <v>0</v>
      </c>
      <c r="H81" s="1378"/>
      <c r="I81" s="1378">
        <f>IF(INDEX(Tab_actions,34,1)=1,INDEX(Tab_actions,34,7),0)</f>
        <v>0</v>
      </c>
      <c r="J81" s="1378">
        <f>IF(INDEX(Tab_actions,39,1)=1,INDEX(Tab_actions,39,7),0)</f>
        <v>0</v>
      </c>
      <c r="K81" s="1378"/>
      <c r="L81" s="1378"/>
      <c r="M81" s="1378"/>
      <c r="N81" s="1378"/>
      <c r="O81" s="1378"/>
      <c r="P81" s="1378"/>
      <c r="Q81" s="1378"/>
      <c r="R81" s="1378"/>
      <c r="S81" s="1378"/>
      <c r="T81" s="1378"/>
      <c r="U81" s="1378"/>
      <c r="V81" s="1378"/>
      <c r="W81" s="1378"/>
      <c r="X81" s="1378"/>
      <c r="Y81" s="1378"/>
      <c r="Z81" s="1378"/>
      <c r="AA81" s="1378"/>
      <c r="AB81" s="1378"/>
      <c r="AC81" s="1378"/>
      <c r="AD81" s="1378"/>
      <c r="AE81" s="1378"/>
      <c r="AF81" s="1378"/>
      <c r="AG81" s="1378">
        <f>IF(INDEX(Tab_actions,189,1)=1,INDEX(Tab_actions,189,10),0)</f>
        <v>0</v>
      </c>
      <c r="AH81" s="1378">
        <f>IF(INDEX(Tab_actions,195,1)=1,INDEX(Tab_actions,195,19),0)</f>
        <v>0</v>
      </c>
      <c r="AI81" s="1378">
        <f>IF(INDEX(Tab_actions,202,1)=1,INDEX(Tab_actions,202,19),0)</f>
        <v>0</v>
      </c>
      <c r="AJ81" s="1378">
        <f>IF(INDEX(Tab_actions,209,1)=1,INDEX(Tab_actions,209,19),0)</f>
        <v>0</v>
      </c>
      <c r="AK81" s="1378">
        <f>IF(INDEX(Tab_actions,218,1)=1,INDEX(Tab_actions,218,16),0)</f>
        <v>0</v>
      </c>
      <c r="AL81" s="1378">
        <f>IF(INDEX(Tab_actions,227,1)=1,INDEX(Tab_actions,227,16),0)</f>
        <v>0</v>
      </c>
      <c r="AM81" s="1378">
        <f>IF(INDEX(Tab_actions,236,1)=1,INDEX(Tab_actions,236,13),0)</f>
        <v>0</v>
      </c>
      <c r="AN81" s="1378">
        <f>IF(INDEX(Tab_actions,243,1)=1,INDEX(Tab_actions,243,16),0)</f>
        <v>0</v>
      </c>
      <c r="AO81" s="1378">
        <f>IF(INDEX(Tab_actions,252,1)=1,INDEX(Tab_actions,252,16),0)</f>
        <v>0</v>
      </c>
      <c r="AP81" s="1378"/>
      <c r="AQ81" s="1378"/>
      <c r="AR81" s="1378"/>
      <c r="AS81" s="1378"/>
      <c r="AT81" s="1378"/>
      <c r="AU81" s="1378"/>
      <c r="AV81" s="1378"/>
      <c r="AW81" s="1378"/>
      <c r="AX81" s="1378"/>
      <c r="AY81" s="1378"/>
      <c r="AZ81" s="1378"/>
      <c r="BA81" s="1378"/>
      <c r="BB81" s="1378"/>
      <c r="BC81" s="1378"/>
      <c r="BD81"/>
      <c r="BE81" s="198"/>
      <c r="BF81" s="198"/>
      <c r="BG81" s="198"/>
      <c r="BH81" s="198"/>
      <c r="BI81" s="198"/>
      <c r="BJ81" s="198"/>
      <c r="BK81" s="198"/>
      <c r="BL81" s="198"/>
      <c r="BM81" s="198"/>
      <c r="BN81" s="198"/>
      <c r="BO81" s="198"/>
      <c r="BP81" s="198"/>
      <c r="BQ81" s="198"/>
      <c r="BR81" s="198"/>
      <c r="BS81" s="198"/>
      <c r="BT81" s="198"/>
      <c r="BU81" s="198"/>
      <c r="BV81" s="198"/>
      <c r="BW81" s="198"/>
      <c r="BX81" s="198"/>
      <c r="BY81" s="198"/>
      <c r="BZ81" s="198"/>
      <c r="CA81" s="198"/>
      <c r="CB81" s="198"/>
      <c r="CC81" s="198"/>
      <c r="CD81" s="198"/>
      <c r="CE81" s="198"/>
      <c r="CF81" s="198"/>
      <c r="CG81" s="198"/>
      <c r="CH81" s="198"/>
      <c r="CI81" s="198"/>
      <c r="CJ81" s="198"/>
      <c r="CK81" s="198"/>
      <c r="CL81" s="198"/>
      <c r="CM81" s="198"/>
      <c r="CN81" s="198"/>
      <c r="CO81" s="198"/>
      <c r="CP81" s="198"/>
      <c r="CQ81" s="198"/>
      <c r="CR81" s="198"/>
      <c r="CS81" s="198"/>
      <c r="CT81" s="198"/>
      <c r="CU81" s="198"/>
      <c r="CV81" s="198"/>
      <c r="CW81" s="198"/>
      <c r="CX81" s="198"/>
      <c r="CY81" s="198"/>
      <c r="CZ81" s="198"/>
      <c r="DA81" s="198"/>
      <c r="DB81" s="198"/>
      <c r="DC81" s="198"/>
      <c r="DD81" s="198"/>
      <c r="DE81" s="198"/>
      <c r="DF81" s="198"/>
      <c r="DG81" s="198"/>
      <c r="DH81" s="198"/>
      <c r="DI81" s="198"/>
      <c r="DJ81" s="198"/>
      <c r="DK81" s="198"/>
      <c r="DL81" s="198"/>
      <c r="DM81" s="198"/>
      <c r="DN81" s="198"/>
      <c r="DO81" s="198"/>
      <c r="DP81" s="198"/>
      <c r="DQ81" s="198"/>
      <c r="DR81" s="198"/>
      <c r="DS81" s="198"/>
      <c r="DT81" s="198"/>
    </row>
    <row r="82" spans="1:124" s="172" customFormat="1" ht="15" outlineLevel="1" x14ac:dyDescent="0.25">
      <c r="A82" s="212"/>
      <c r="B82" s="218" t="str">
        <f>Services!B82</f>
        <v>03D02</v>
      </c>
      <c r="C82" s="216" t="str">
        <f>Services!C82</f>
        <v>Détection d'incendie</v>
      </c>
      <c r="D82" s="210" t="str">
        <f t="shared" si="1"/>
        <v/>
      </c>
      <c r="E82" s="1378"/>
      <c r="F82" s="1378"/>
      <c r="G82" s="1378"/>
      <c r="H82" s="1378"/>
      <c r="I82" s="1378"/>
      <c r="J82" s="1378"/>
      <c r="K82" s="1378"/>
      <c r="L82" s="1378"/>
      <c r="M82" s="1378"/>
      <c r="N82" s="1378"/>
      <c r="O82" s="1378"/>
      <c r="P82" s="1378"/>
      <c r="Q82" s="1378"/>
      <c r="R82" s="1378"/>
      <c r="S82" s="1378"/>
      <c r="T82" s="1378"/>
      <c r="U82" s="1378"/>
      <c r="V82" s="1378"/>
      <c r="W82" s="1378"/>
      <c r="X82" s="1378"/>
      <c r="Y82" s="1378"/>
      <c r="Z82" s="1378"/>
      <c r="AA82" s="1378"/>
      <c r="AB82" s="1378"/>
      <c r="AC82" s="1378"/>
      <c r="AD82" s="1378"/>
      <c r="AE82" s="1378"/>
      <c r="AF82" s="1378"/>
      <c r="AG82" s="1378">
        <f>IF(INDEX(Tab_actions,190,1)=1,INDEX(Tab_actions,190,10),0)</f>
        <v>0</v>
      </c>
      <c r="AH82" s="1378">
        <f>IF(INDEX(Tab_actions,197,1)=1,INDEX(Tab_actions,197,16),0)</f>
        <v>0</v>
      </c>
      <c r="AI82" s="1378">
        <f>IF(INDEX(Tab_actions,204,1)=1,INDEX(Tab_actions,204,16),0)</f>
        <v>0</v>
      </c>
      <c r="AJ82" s="1378">
        <f>IF(INDEX(Tab_actions,211,1)=1,INDEX(Tab_actions,211,16),0)</f>
        <v>0</v>
      </c>
      <c r="AK82" s="1378">
        <f>IF(INDEX(Tab_actions,220,1)=1,INDEX(Tab_actions,220,16),0)</f>
        <v>0</v>
      </c>
      <c r="AL82" s="1378">
        <f>IF(INDEX(Tab_actions,229,1)=1,INDEX(Tab_actions,229,16),0)</f>
        <v>0</v>
      </c>
      <c r="AM82" s="1378">
        <f>IF(INDEX(Tab_actions,237,1)=1,INDEX(Tab_actions,237,13),0)</f>
        <v>0</v>
      </c>
      <c r="AN82" s="1378">
        <f>IF(INDEX(Tab_actions,245,1)=1,INDEX(Tab_actions,245,16),0)</f>
        <v>0</v>
      </c>
      <c r="AO82" s="1378">
        <f>IF(INDEX(Tab_actions,254,1)=1,INDEX(Tab_actions,254,16),0)</f>
        <v>0</v>
      </c>
      <c r="AP82" s="1378"/>
      <c r="AQ82" s="1378"/>
      <c r="AR82" s="1378"/>
      <c r="AS82" s="1378"/>
      <c r="AT82" s="1378"/>
      <c r="AU82" s="1378"/>
      <c r="AV82" s="1378"/>
      <c r="AW82" s="1378"/>
      <c r="AX82" s="1378"/>
      <c r="AY82" s="1378"/>
      <c r="AZ82" s="1378"/>
      <c r="BA82" s="1378"/>
      <c r="BB82" s="1378"/>
      <c r="BC82" s="1378"/>
      <c r="BD82"/>
      <c r="BE82" s="198"/>
      <c r="BF82" s="198"/>
      <c r="BG82" s="198"/>
      <c r="BH82" s="198"/>
      <c r="BI82" s="198"/>
      <c r="BJ82" s="198"/>
      <c r="BK82" s="198"/>
      <c r="BL82" s="198"/>
      <c r="BM82" s="198"/>
      <c r="BN82" s="198"/>
      <c r="BO82" s="198"/>
      <c r="BP82" s="198"/>
      <c r="BQ82" s="198"/>
      <c r="BR82" s="198"/>
      <c r="BS82" s="198"/>
      <c r="BT82" s="198"/>
      <c r="BU82" s="198"/>
      <c r="BV82" s="198"/>
      <c r="BW82" s="198"/>
      <c r="BX82" s="198"/>
      <c r="BY82" s="198"/>
      <c r="BZ82" s="198"/>
      <c r="CA82" s="198"/>
      <c r="CB82" s="198"/>
      <c r="CC82" s="198"/>
      <c r="CD82" s="198"/>
      <c r="CE82" s="198"/>
      <c r="CF82" s="198"/>
      <c r="CG82" s="198"/>
      <c r="CH82" s="198"/>
      <c r="CI82" s="198"/>
      <c r="CJ82" s="198"/>
      <c r="CK82" s="198"/>
      <c r="CL82" s="198"/>
      <c r="CM82" s="198"/>
      <c r="CN82" s="198"/>
      <c r="CO82" s="198"/>
      <c r="CP82" s="198"/>
      <c r="CQ82" s="198"/>
      <c r="CR82" s="198"/>
      <c r="CS82" s="198"/>
      <c r="CT82" s="198"/>
      <c r="CU82" s="198"/>
      <c r="CV82" s="198"/>
      <c r="CW82" s="198"/>
      <c r="CX82" s="198"/>
      <c r="CY82" s="198"/>
      <c r="CZ82" s="198"/>
      <c r="DA82" s="198"/>
      <c r="DB82" s="198"/>
      <c r="DC82" s="198"/>
      <c r="DD82" s="198"/>
      <c r="DE82" s="198"/>
      <c r="DF82" s="198"/>
      <c r="DG82" s="198"/>
      <c r="DH82" s="198"/>
      <c r="DI82" s="198"/>
      <c r="DJ82" s="198"/>
      <c r="DK82" s="198"/>
      <c r="DL82" s="198"/>
      <c r="DM82" s="198"/>
      <c r="DN82" s="198"/>
      <c r="DO82" s="198"/>
      <c r="DP82" s="198"/>
      <c r="DQ82" s="198"/>
      <c r="DR82" s="198"/>
      <c r="DS82" s="198"/>
      <c r="DT82" s="198"/>
    </row>
    <row r="83" spans="1:124" s="172" customFormat="1" ht="15" outlineLevel="1" x14ac:dyDescent="0.25">
      <c r="A83" s="212"/>
      <c r="B83" s="218" t="str">
        <f>Services!B83</f>
        <v>03D03</v>
      </c>
      <c r="C83" s="216" t="str">
        <f>Services!C83</f>
        <v>Extinction d'incendie</v>
      </c>
      <c r="D83" s="210" t="str">
        <f t="shared" si="1"/>
        <v/>
      </c>
      <c r="E83" s="1378"/>
      <c r="F83" s="1378"/>
      <c r="G83" s="1378"/>
      <c r="H83" s="1378"/>
      <c r="I83" s="1378"/>
      <c r="J83" s="1378"/>
      <c r="K83" s="1378"/>
      <c r="L83" s="1378"/>
      <c r="M83" s="1378"/>
      <c r="N83" s="1378"/>
      <c r="O83" s="1378"/>
      <c r="P83" s="1378"/>
      <c r="Q83" s="1378"/>
      <c r="R83" s="1378"/>
      <c r="S83" s="1378"/>
      <c r="T83" s="1378"/>
      <c r="U83" s="1378"/>
      <c r="V83" s="1378"/>
      <c r="W83" s="1378"/>
      <c r="X83" s="1378"/>
      <c r="Y83" s="1378"/>
      <c r="Z83" s="1378"/>
      <c r="AA83" s="1378"/>
      <c r="AB83" s="1378"/>
      <c r="AC83" s="1378"/>
      <c r="AD83" s="1378"/>
      <c r="AE83" s="1378"/>
      <c r="AF83" s="1378"/>
      <c r="AG83" s="1378">
        <f>IF(INDEX(Tab_actions,190,1)=1,INDEX(Tab_actions,190,13),0)</f>
        <v>0</v>
      </c>
      <c r="AH83" s="1378">
        <f>IF(INDEX(Tab_actions,197,1)=1,INDEX(Tab_actions,197,19),0)</f>
        <v>0</v>
      </c>
      <c r="AI83" s="1378">
        <f>IF(INDEX(Tab_actions,204,1)=1,INDEX(Tab_actions,204,19),0)</f>
        <v>0</v>
      </c>
      <c r="AJ83" s="1378">
        <f>IF(INDEX(Tab_actions,211,1)=1,INDEX(Tab_actions,211,19),0)</f>
        <v>0</v>
      </c>
      <c r="AK83" s="1378">
        <f>IF(INDEX(Tab_actions,220,1)=1,INDEX(Tab_actions,220,19),0)</f>
        <v>0</v>
      </c>
      <c r="AL83" s="1378">
        <f>IF(INDEX(Tab_actions,229,1)=1,INDEX(Tab_actions,229,19),0)</f>
        <v>0</v>
      </c>
      <c r="AM83" s="1378">
        <f>IF(INDEX(Tab_actions,237,1)=1,INDEX(Tab_actions,237,16),0)</f>
        <v>0</v>
      </c>
      <c r="AN83" s="1378">
        <f>IF(INDEX(Tab_actions,245,1)=1,INDEX(Tab_actions,245,19),0)</f>
        <v>0</v>
      </c>
      <c r="AO83" s="1378">
        <f>IF(INDEX(Tab_actions,254,1)=1,INDEX(Tab_actions,254,19),0)</f>
        <v>0</v>
      </c>
      <c r="AP83" s="1378"/>
      <c r="AQ83" s="1378"/>
      <c r="AR83" s="1378"/>
      <c r="AS83" s="1378"/>
      <c r="AT83" s="1378"/>
      <c r="AU83" s="1378"/>
      <c r="AV83" s="1378"/>
      <c r="AW83" s="1378"/>
      <c r="AX83" s="1378"/>
      <c r="AY83" s="1378"/>
      <c r="AZ83" s="1378"/>
      <c r="BA83" s="1378"/>
      <c r="BB83" s="1378"/>
      <c r="BC83" s="1378"/>
      <c r="BD83"/>
      <c r="BE83" s="198"/>
      <c r="BF83" s="198"/>
      <c r="BG83" s="198"/>
      <c r="BH83" s="198"/>
      <c r="BI83" s="198"/>
      <c r="BJ83" s="198"/>
      <c r="BK83" s="198"/>
      <c r="BL83" s="198"/>
      <c r="BM83" s="198"/>
      <c r="BN83" s="198"/>
      <c r="BO83" s="198"/>
      <c r="BP83" s="198"/>
      <c r="BQ83" s="198"/>
      <c r="BR83" s="198"/>
      <c r="BS83" s="198"/>
      <c r="BT83" s="198"/>
      <c r="BU83" s="198"/>
      <c r="BV83" s="198"/>
      <c r="BW83" s="198"/>
      <c r="BX83" s="198"/>
      <c r="BY83" s="198"/>
      <c r="BZ83" s="198"/>
      <c r="CA83" s="198"/>
      <c r="CB83" s="198"/>
      <c r="CC83" s="198"/>
      <c r="CD83" s="198"/>
      <c r="CE83" s="198"/>
      <c r="CF83" s="198"/>
      <c r="CG83" s="198"/>
      <c r="CH83" s="198"/>
      <c r="CI83" s="198"/>
      <c r="CJ83" s="198"/>
      <c r="CK83" s="198"/>
      <c r="CL83" s="198"/>
      <c r="CM83" s="198"/>
      <c r="CN83" s="198"/>
      <c r="CO83" s="198"/>
      <c r="CP83" s="198"/>
      <c r="CQ83" s="198"/>
      <c r="CR83" s="198"/>
      <c r="CS83" s="198"/>
      <c r="CT83" s="198"/>
      <c r="CU83" s="198"/>
      <c r="CV83" s="198"/>
      <c r="CW83" s="198"/>
      <c r="CX83" s="198"/>
      <c r="CY83" s="198"/>
      <c r="CZ83" s="198"/>
      <c r="DA83" s="198"/>
      <c r="DB83" s="198"/>
      <c r="DC83" s="198"/>
      <c r="DD83" s="198"/>
      <c r="DE83" s="198"/>
      <c r="DF83" s="198"/>
      <c r="DG83" s="198"/>
      <c r="DH83" s="198"/>
      <c r="DI83" s="198"/>
      <c r="DJ83" s="198"/>
      <c r="DK83" s="198"/>
      <c r="DL83" s="198"/>
      <c r="DM83" s="198"/>
      <c r="DN83" s="198"/>
      <c r="DO83" s="198"/>
      <c r="DP83" s="198"/>
      <c r="DQ83" s="198"/>
      <c r="DR83" s="198"/>
      <c r="DS83" s="198"/>
      <c r="DT83" s="198"/>
    </row>
    <row r="84" spans="1:124" ht="15" x14ac:dyDescent="0.25">
      <c r="A84" s="207" t="s">
        <v>2246</v>
      </c>
      <c r="B84" s="219" t="str">
        <f>Services!B84</f>
        <v>Réseau étendu intersites (04 Wan)</v>
      </c>
      <c r="C84" s="220"/>
      <c r="D84" s="210" t="str">
        <f t="shared" si="1"/>
        <v/>
      </c>
      <c r="E84" s="1378"/>
      <c r="F84" s="1378"/>
      <c r="G84" s="1378"/>
      <c r="H84" s="1378"/>
      <c r="I84" s="1378"/>
      <c r="J84" s="1378"/>
      <c r="K84" s="1378"/>
      <c r="L84" s="1378"/>
      <c r="M84" s="1378"/>
      <c r="N84" s="1378"/>
      <c r="O84" s="1378"/>
      <c r="P84" s="1378"/>
      <c r="Q84" s="1378"/>
      <c r="R84" s="1378"/>
      <c r="S84" s="1378"/>
      <c r="T84" s="1378"/>
      <c r="U84" s="1378"/>
      <c r="V84" s="1378"/>
      <c r="W84" s="1378"/>
      <c r="X84" s="1378"/>
      <c r="Y84" s="1378"/>
      <c r="Z84" s="1378"/>
      <c r="AA84" s="1378"/>
      <c r="AB84" s="1378"/>
      <c r="AC84" s="1378"/>
      <c r="AD84" s="1378"/>
      <c r="AE84" s="1378"/>
      <c r="AF84" s="1378"/>
      <c r="AG84" s="1378"/>
      <c r="AH84" s="1378"/>
      <c r="AI84" s="1378"/>
      <c r="AJ84" s="1378"/>
      <c r="AK84" s="1378"/>
      <c r="AL84" s="1378"/>
      <c r="AM84" s="1378"/>
      <c r="AN84" s="1378"/>
      <c r="AO84" s="1378"/>
      <c r="AP84" s="1378"/>
      <c r="AQ84" s="1378"/>
      <c r="AR84" s="1378"/>
      <c r="AS84" s="1378"/>
      <c r="AT84" s="1378"/>
      <c r="AU84" s="1378"/>
      <c r="AV84" s="1378"/>
      <c r="AW84" s="1378"/>
      <c r="AX84" s="1378"/>
      <c r="AY84" s="1378"/>
      <c r="AZ84" s="1378"/>
      <c r="BA84" s="1378"/>
      <c r="BB84" s="1378"/>
      <c r="BC84" s="1378"/>
      <c r="BD84"/>
    </row>
    <row r="85" spans="1:124" s="172" customFormat="1" ht="15.75" customHeight="1" outlineLevel="1" x14ac:dyDescent="0.25">
      <c r="A85" s="212"/>
      <c r="B85" s="213" t="str">
        <f>Services!B85</f>
        <v>04A</v>
      </c>
      <c r="C85" s="214" t="str">
        <f>Services!C85</f>
        <v>Sécurité de l'architecture du réseau étendu et continuité du service</v>
      </c>
      <c r="D85" s="210" t="str">
        <f t="shared" si="1"/>
        <v/>
      </c>
      <c r="E85" s="1378"/>
      <c r="F85" s="1378"/>
      <c r="G85" s="1378"/>
      <c r="H85" s="1378"/>
      <c r="I85" s="1378"/>
      <c r="J85" s="1378"/>
      <c r="K85" s="1378"/>
      <c r="L85" s="1378"/>
      <c r="M85" s="1378"/>
      <c r="N85" s="1378"/>
      <c r="O85" s="1378"/>
      <c r="P85" s="1378"/>
      <c r="Q85" s="1378"/>
      <c r="R85" s="1378"/>
      <c r="S85" s="1378"/>
      <c r="T85" s="1378"/>
      <c r="U85" s="1378"/>
      <c r="V85" s="1378"/>
      <c r="W85" s="1378"/>
      <c r="X85" s="1378"/>
      <c r="Y85" s="1378"/>
      <c r="Z85" s="1378"/>
      <c r="AA85" s="1378"/>
      <c r="AB85" s="1378"/>
      <c r="AC85" s="1378"/>
      <c r="AD85" s="1378"/>
      <c r="AE85" s="1378"/>
      <c r="AF85" s="1378"/>
      <c r="AG85" s="1378"/>
      <c r="AH85" s="1378"/>
      <c r="AI85" s="1378"/>
      <c r="AJ85" s="1378"/>
      <c r="AK85" s="1378"/>
      <c r="AL85" s="1378"/>
      <c r="AM85" s="1378"/>
      <c r="AN85" s="1378"/>
      <c r="AO85" s="1378"/>
      <c r="AP85" s="1378"/>
      <c r="AQ85" s="1378"/>
      <c r="AR85" s="1378"/>
      <c r="AS85" s="1378"/>
      <c r="AT85" s="1378"/>
      <c r="AU85" s="1378"/>
      <c r="AV85" s="1378"/>
      <c r="AW85" s="1378"/>
      <c r="AX85" s="1378"/>
      <c r="AY85" s="1378"/>
      <c r="AZ85" s="1378"/>
      <c r="BA85" s="1378"/>
      <c r="BB85" s="1378"/>
      <c r="BC85" s="1378"/>
      <c r="BD85"/>
      <c r="BE85" s="198"/>
      <c r="BF85" s="198"/>
      <c r="BG85" s="198"/>
      <c r="BH85" s="198"/>
      <c r="BI85" s="198"/>
      <c r="BJ85" s="198"/>
      <c r="BK85" s="198"/>
      <c r="BL85" s="198"/>
      <c r="BM85" s="198"/>
      <c r="BN85" s="198"/>
      <c r="BO85" s="198"/>
      <c r="BP85" s="198"/>
      <c r="BQ85" s="198"/>
      <c r="BR85" s="198"/>
      <c r="BS85" s="198"/>
      <c r="BT85" s="198"/>
      <c r="BU85" s="198"/>
      <c r="BV85" s="198"/>
      <c r="BW85" s="198"/>
      <c r="BX85" s="198"/>
      <c r="BY85" s="198"/>
      <c r="BZ85" s="198"/>
      <c r="CA85" s="198"/>
      <c r="CB85" s="198"/>
      <c r="CC85" s="198"/>
      <c r="CD85" s="198"/>
      <c r="CE85" s="198"/>
      <c r="CF85" s="198"/>
      <c r="CG85" s="198"/>
      <c r="CH85" s="198"/>
      <c r="CI85" s="198"/>
      <c r="CJ85" s="198"/>
      <c r="CK85" s="198"/>
      <c r="CL85" s="198"/>
      <c r="CM85" s="198"/>
      <c r="CN85" s="198"/>
      <c r="CO85" s="198"/>
      <c r="CP85" s="198"/>
      <c r="CQ85" s="198"/>
      <c r="CR85" s="198"/>
      <c r="CS85" s="198"/>
      <c r="CT85" s="198"/>
      <c r="CU85" s="198"/>
      <c r="CV85" s="198"/>
      <c r="CW85" s="198"/>
      <c r="CX85" s="198"/>
      <c r="CY85" s="198"/>
      <c r="CZ85" s="198"/>
      <c r="DA85" s="198"/>
      <c r="DB85" s="198"/>
      <c r="DC85" s="198"/>
      <c r="DD85" s="198"/>
      <c r="DE85" s="198"/>
      <c r="DF85" s="198"/>
      <c r="DG85" s="198"/>
      <c r="DH85" s="198"/>
      <c r="DI85" s="198"/>
      <c r="DJ85" s="198"/>
      <c r="DK85" s="198"/>
      <c r="DL85" s="198"/>
      <c r="DM85" s="198"/>
      <c r="DN85" s="198"/>
      <c r="DO85" s="198"/>
      <c r="DP85" s="198"/>
      <c r="DQ85" s="198"/>
      <c r="DR85" s="198"/>
      <c r="DS85" s="198"/>
      <c r="DT85" s="198"/>
    </row>
    <row r="86" spans="1:124" s="172" customFormat="1" ht="14.25" outlineLevel="1" x14ac:dyDescent="0.25">
      <c r="A86" s="217"/>
      <c r="B86" s="218" t="str">
        <f>Services!B86</f>
        <v>04A01</v>
      </c>
      <c r="C86" s="216" t="str">
        <f>Services!C86</f>
        <v xml:space="preserve">Sûreté de fonctionnement des éléments d'architecture du réseau étendu </v>
      </c>
      <c r="D86" s="210" t="str">
        <f t="shared" si="1"/>
        <v/>
      </c>
      <c r="E86" s="1378"/>
      <c r="F86" s="1378"/>
      <c r="G86" s="1378"/>
      <c r="H86" s="1378"/>
      <c r="I86" s="1378"/>
      <c r="J86" s="1378"/>
      <c r="K86" s="1378"/>
      <c r="L86" s="1378"/>
      <c r="M86" s="1378"/>
      <c r="N86" s="1378"/>
      <c r="O86" s="1378"/>
      <c r="P86" s="1378"/>
      <c r="Q86" s="1378"/>
      <c r="R86" s="1378"/>
      <c r="S86" s="1378"/>
      <c r="T86" s="1378"/>
      <c r="U86" s="1378"/>
      <c r="V86" s="1378"/>
      <c r="W86" s="1378"/>
      <c r="X86" s="1378"/>
      <c r="Y86" s="1378"/>
      <c r="Z86" s="1378"/>
      <c r="AA86" s="1378"/>
      <c r="AB86" s="1378"/>
      <c r="AC86" s="1378"/>
      <c r="AD86" s="1378"/>
      <c r="AE86" s="1378"/>
      <c r="AF86" s="1378"/>
      <c r="AG86" s="1378"/>
      <c r="AH86" s="1378"/>
      <c r="AI86" s="1378">
        <f>IF(INDEX(Tab_actions,205,1)=1,INDEX(Tab_actions,205,16),0)</f>
        <v>0</v>
      </c>
      <c r="AJ86" s="1378"/>
      <c r="AK86" s="1378"/>
      <c r="AL86" s="1378"/>
      <c r="AM86" s="1378"/>
      <c r="AN86" s="1378"/>
      <c r="AO86" s="1378"/>
      <c r="AP86" s="1378"/>
      <c r="AQ86" s="1378"/>
      <c r="AR86" s="1378"/>
      <c r="AS86" s="1378"/>
      <c r="AT86" s="1378"/>
      <c r="AU86" s="1378"/>
      <c r="AV86" s="1378"/>
      <c r="AW86" s="1378"/>
      <c r="AX86" s="1378"/>
      <c r="AY86" s="1378"/>
      <c r="AZ86" s="1378"/>
      <c r="BA86" s="1378"/>
      <c r="BB86" s="1378"/>
      <c r="BC86" s="1378"/>
      <c r="BD86"/>
      <c r="BE86" s="198"/>
      <c r="BF86" s="198"/>
      <c r="BG86" s="198"/>
      <c r="BH86" s="198"/>
      <c r="BI86" s="198"/>
      <c r="BJ86" s="198"/>
      <c r="BK86" s="198"/>
      <c r="BL86" s="198"/>
      <c r="BM86" s="198"/>
      <c r="BN86" s="198"/>
      <c r="BO86" s="198"/>
      <c r="BP86" s="198"/>
      <c r="BQ86" s="198"/>
      <c r="BR86" s="198"/>
      <c r="BS86" s="198"/>
      <c r="BT86" s="198"/>
      <c r="BU86" s="198"/>
      <c r="BV86" s="198"/>
      <c r="BW86" s="198"/>
      <c r="BX86" s="198"/>
      <c r="BY86" s="198"/>
      <c r="BZ86" s="198"/>
      <c r="CA86" s="198"/>
      <c r="CB86" s="198"/>
      <c r="CC86" s="198"/>
      <c r="CD86" s="198"/>
      <c r="CE86" s="198"/>
      <c r="CF86" s="198"/>
      <c r="CG86" s="198"/>
      <c r="CH86" s="198"/>
      <c r="CI86" s="198"/>
      <c r="CJ86" s="198"/>
      <c r="CK86" s="198"/>
      <c r="CL86" s="198"/>
      <c r="CM86" s="198"/>
      <c r="CN86" s="198"/>
      <c r="CO86" s="198"/>
      <c r="CP86" s="198"/>
      <c r="CQ86" s="198"/>
      <c r="CR86" s="198"/>
      <c r="CS86" s="198"/>
      <c r="CT86" s="198"/>
      <c r="CU86" s="198"/>
      <c r="CV86" s="198"/>
      <c r="CW86" s="198"/>
      <c r="CX86" s="198"/>
      <c r="CY86" s="198"/>
      <c r="CZ86" s="198"/>
      <c r="DA86" s="198"/>
      <c r="DB86" s="198"/>
      <c r="DC86" s="198"/>
      <c r="DD86" s="198"/>
      <c r="DE86" s="198"/>
      <c r="DF86" s="198"/>
      <c r="DG86" s="198"/>
      <c r="DH86" s="198"/>
      <c r="DI86" s="198"/>
      <c r="DJ86" s="198"/>
      <c r="DK86" s="198"/>
      <c r="DL86" s="198"/>
      <c r="DM86" s="198"/>
      <c r="DN86" s="198"/>
      <c r="DO86" s="198"/>
      <c r="DP86" s="198"/>
      <c r="DQ86" s="198"/>
      <c r="DR86" s="198"/>
      <c r="DS86" s="198"/>
      <c r="DT86" s="198"/>
    </row>
    <row r="87" spans="1:124" s="172" customFormat="1" ht="14.25" outlineLevel="1" x14ac:dyDescent="0.25">
      <c r="A87" s="217"/>
      <c r="B87" s="218" t="str">
        <f>Services!B87</f>
        <v>04A02</v>
      </c>
      <c r="C87" s="216" t="str">
        <f>Services!C87</f>
        <v>Organisation de la maintenance des équipements du réseau étendu</v>
      </c>
      <c r="D87" s="210" t="str">
        <f t="shared" si="1"/>
        <v/>
      </c>
      <c r="E87" s="1378"/>
      <c r="F87" s="1378"/>
      <c r="G87" s="1378"/>
      <c r="H87" s="1378"/>
      <c r="I87" s="1378"/>
      <c r="J87" s="1378"/>
      <c r="K87" s="1378"/>
      <c r="L87" s="1378"/>
      <c r="M87" s="1378"/>
      <c r="N87" s="1378"/>
      <c r="O87" s="1378"/>
      <c r="P87" s="1378"/>
      <c r="Q87" s="1378"/>
      <c r="R87" s="1378"/>
      <c r="S87" s="1378"/>
      <c r="T87" s="1378"/>
      <c r="U87" s="1378"/>
      <c r="V87" s="1378"/>
      <c r="W87" s="1378"/>
      <c r="X87" s="1378"/>
      <c r="Y87" s="1378"/>
      <c r="Z87" s="1378"/>
      <c r="AA87" s="1378"/>
      <c r="AB87" s="1378"/>
      <c r="AC87" s="1378"/>
      <c r="AD87" s="1378"/>
      <c r="AE87" s="1378"/>
      <c r="AF87" s="1378"/>
      <c r="AG87" s="1378"/>
      <c r="AH87" s="1378"/>
      <c r="AI87" s="1378">
        <f>IF(INDEX(Tab_actions,205,1)=1,INDEX(Tab_actions,205,19),0)</f>
        <v>0</v>
      </c>
      <c r="AJ87" s="1378"/>
      <c r="AK87" s="1378"/>
      <c r="AL87" s="1378"/>
      <c r="AM87" s="1378"/>
      <c r="AN87" s="1378"/>
      <c r="AO87" s="1378"/>
      <c r="AP87" s="1378"/>
      <c r="AQ87" s="1378"/>
      <c r="AR87" s="1378"/>
      <c r="AS87" s="1378"/>
      <c r="AT87" s="1378"/>
      <c r="AU87" s="1378"/>
      <c r="AV87" s="1378"/>
      <c r="AW87" s="1378"/>
      <c r="AX87" s="1378"/>
      <c r="AY87" s="1378"/>
      <c r="AZ87" s="1378"/>
      <c r="BA87" s="1378"/>
      <c r="BB87" s="1378"/>
      <c r="BC87" s="1378"/>
      <c r="BD87"/>
      <c r="BE87" s="198"/>
      <c r="BF87" s="198"/>
      <c r="BG87" s="198"/>
      <c r="BH87" s="198"/>
      <c r="BI87" s="198"/>
      <c r="BJ87" s="198"/>
      <c r="BK87" s="198"/>
      <c r="BL87" s="198"/>
      <c r="BM87" s="198"/>
      <c r="BN87" s="198"/>
      <c r="BO87" s="198"/>
      <c r="BP87" s="198"/>
      <c r="BQ87" s="198"/>
      <c r="BR87" s="198"/>
      <c r="BS87" s="198"/>
      <c r="BT87" s="198"/>
      <c r="BU87" s="198"/>
      <c r="BV87" s="198"/>
      <c r="BW87" s="198"/>
      <c r="BX87" s="198"/>
      <c r="BY87" s="198"/>
      <c r="BZ87" s="198"/>
      <c r="CA87" s="198"/>
      <c r="CB87" s="198"/>
      <c r="CC87" s="198"/>
      <c r="CD87" s="198"/>
      <c r="CE87" s="198"/>
      <c r="CF87" s="198"/>
      <c r="CG87" s="198"/>
      <c r="CH87" s="198"/>
      <c r="CI87" s="198"/>
      <c r="CJ87" s="198"/>
      <c r="CK87" s="198"/>
      <c r="CL87" s="198"/>
      <c r="CM87" s="198"/>
      <c r="CN87" s="198"/>
      <c r="CO87" s="198"/>
      <c r="CP87" s="198"/>
      <c r="CQ87" s="198"/>
      <c r="CR87" s="198"/>
      <c r="CS87" s="198"/>
      <c r="CT87" s="198"/>
      <c r="CU87" s="198"/>
      <c r="CV87" s="198"/>
      <c r="CW87" s="198"/>
      <c r="CX87" s="198"/>
      <c r="CY87" s="198"/>
      <c r="CZ87" s="198"/>
      <c r="DA87" s="198"/>
      <c r="DB87" s="198"/>
      <c r="DC87" s="198"/>
      <c r="DD87" s="198"/>
      <c r="DE87" s="198"/>
      <c r="DF87" s="198"/>
      <c r="DG87" s="198"/>
      <c r="DH87" s="198"/>
      <c r="DI87" s="198"/>
      <c r="DJ87" s="198"/>
      <c r="DK87" s="198"/>
      <c r="DL87" s="198"/>
      <c r="DM87" s="198"/>
      <c r="DN87" s="198"/>
      <c r="DO87" s="198"/>
      <c r="DP87" s="198"/>
      <c r="DQ87" s="198"/>
      <c r="DR87" s="198"/>
      <c r="DS87" s="198"/>
      <c r="DT87" s="198"/>
    </row>
    <row r="88" spans="1:124" s="172" customFormat="1" ht="14.25" outlineLevel="1" x14ac:dyDescent="0.25">
      <c r="A88" s="217"/>
      <c r="B88" s="218" t="str">
        <f>Services!B88</f>
        <v>04A03</v>
      </c>
      <c r="C88" s="216" t="str">
        <f>Services!C88</f>
        <v>Procédures et plans de reprise du réseau étendu sur incidents</v>
      </c>
      <c r="D88" s="210" t="str">
        <f t="shared" si="1"/>
        <v/>
      </c>
      <c r="E88" s="1378"/>
      <c r="F88" s="1378"/>
      <c r="G88" s="1378"/>
      <c r="H88" s="1378"/>
      <c r="I88" s="1378"/>
      <c r="J88" s="1378"/>
      <c r="K88" s="1378"/>
      <c r="L88" s="1378"/>
      <c r="M88" s="1378"/>
      <c r="N88" s="1378"/>
      <c r="O88" s="1378"/>
      <c r="P88" s="1378"/>
      <c r="Q88" s="1378"/>
      <c r="R88" s="1378"/>
      <c r="S88" s="1378"/>
      <c r="T88" s="1378"/>
      <c r="U88" s="1378"/>
      <c r="V88" s="1378"/>
      <c r="W88" s="1378"/>
      <c r="X88" s="1378"/>
      <c r="Y88" s="1378"/>
      <c r="Z88" s="1378"/>
      <c r="AA88" s="1378"/>
      <c r="AB88" s="1378"/>
      <c r="AC88" s="1378"/>
      <c r="AD88" s="1378"/>
      <c r="AE88" s="1378"/>
      <c r="AF88" s="1378"/>
      <c r="AG88" s="1378"/>
      <c r="AH88" s="1378"/>
      <c r="AI88" s="1378">
        <f>IF(INDEX(Tab_actions,205,1)=1,INDEX(Tab_actions,205,22),0)</f>
        <v>0</v>
      </c>
      <c r="AJ88" s="1378"/>
      <c r="AK88" s="1378"/>
      <c r="AL88" s="1378"/>
      <c r="AM88" s="1378"/>
      <c r="AN88" s="1378"/>
      <c r="AO88" s="1378"/>
      <c r="AP88" s="1378"/>
      <c r="AQ88" s="1378"/>
      <c r="AR88" s="1378"/>
      <c r="AS88" s="1378"/>
      <c r="AT88" s="1378"/>
      <c r="AU88" s="1378"/>
      <c r="AV88" s="1378"/>
      <c r="AW88" s="1378"/>
      <c r="AX88" s="1378"/>
      <c r="AY88" s="1378"/>
      <c r="AZ88" s="1378"/>
      <c r="BA88" s="1378"/>
      <c r="BB88" s="1378"/>
      <c r="BC88" s="1378"/>
      <c r="BD88"/>
      <c r="BE88" s="198"/>
      <c r="BF88" s="198"/>
      <c r="BG88" s="198"/>
      <c r="BH88" s="198"/>
      <c r="BI88" s="198"/>
      <c r="BJ88" s="198"/>
      <c r="BK88" s="198"/>
      <c r="BL88" s="198"/>
      <c r="BM88" s="198"/>
      <c r="BN88" s="198"/>
      <c r="BO88" s="198"/>
      <c r="BP88" s="198"/>
      <c r="BQ88" s="198"/>
      <c r="BR88" s="198"/>
      <c r="BS88" s="198"/>
      <c r="BT88" s="198"/>
      <c r="BU88" s="198"/>
      <c r="BV88" s="198"/>
      <c r="BW88" s="198"/>
      <c r="BX88" s="198"/>
      <c r="BY88" s="198"/>
      <c r="BZ88" s="198"/>
      <c r="CA88" s="198"/>
      <c r="CB88" s="198"/>
      <c r="CC88" s="198"/>
      <c r="CD88" s="198"/>
      <c r="CE88" s="198"/>
      <c r="CF88" s="198"/>
      <c r="CG88" s="198"/>
      <c r="CH88" s="198"/>
      <c r="CI88" s="198"/>
      <c r="CJ88" s="198"/>
      <c r="CK88" s="198"/>
      <c r="CL88" s="198"/>
      <c r="CM88" s="198"/>
      <c r="CN88" s="198"/>
      <c r="CO88" s="198"/>
      <c r="CP88" s="198"/>
      <c r="CQ88" s="198"/>
      <c r="CR88" s="198"/>
      <c r="CS88" s="198"/>
      <c r="CT88" s="198"/>
      <c r="CU88" s="198"/>
      <c r="CV88" s="198"/>
      <c r="CW88" s="198"/>
      <c r="CX88" s="198"/>
      <c r="CY88" s="198"/>
      <c r="CZ88" s="198"/>
      <c r="DA88" s="198"/>
      <c r="DB88" s="198"/>
      <c r="DC88" s="198"/>
      <c r="DD88" s="198"/>
      <c r="DE88" s="198"/>
      <c r="DF88" s="198"/>
      <c r="DG88" s="198"/>
      <c r="DH88" s="198"/>
      <c r="DI88" s="198"/>
      <c r="DJ88" s="198"/>
      <c r="DK88" s="198"/>
      <c r="DL88" s="198"/>
      <c r="DM88" s="198"/>
      <c r="DN88" s="198"/>
      <c r="DO88" s="198"/>
      <c r="DP88" s="198"/>
      <c r="DQ88" s="198"/>
      <c r="DR88" s="198"/>
      <c r="DS88" s="198"/>
      <c r="DT88" s="198"/>
    </row>
    <row r="89" spans="1:124" s="172" customFormat="1" ht="14.25" outlineLevel="1" x14ac:dyDescent="0.25">
      <c r="A89" s="217"/>
      <c r="B89" s="218" t="str">
        <f>Services!B89</f>
        <v>04A04</v>
      </c>
      <c r="C89" s="216" t="str">
        <f>Services!C89</f>
        <v xml:space="preserve">Plan de sauvegarde des configurations du réseau étendu </v>
      </c>
      <c r="D89" s="210" t="str">
        <f t="shared" si="1"/>
        <v/>
      </c>
      <c r="E89" s="1378"/>
      <c r="F89" s="1378"/>
      <c r="G89" s="1378"/>
      <c r="H89" s="1378"/>
      <c r="I89" s="1378"/>
      <c r="J89" s="1378"/>
      <c r="K89" s="1378"/>
      <c r="L89" s="1378"/>
      <c r="M89" s="1378"/>
      <c r="N89" s="1378"/>
      <c r="O89" s="1378"/>
      <c r="P89" s="1378"/>
      <c r="Q89" s="1378"/>
      <c r="R89" s="1378"/>
      <c r="S89" s="1378"/>
      <c r="T89" s="1378"/>
      <c r="U89" s="1378"/>
      <c r="V89" s="1378"/>
      <c r="W89" s="1378"/>
      <c r="X89" s="1378"/>
      <c r="Y89" s="1378"/>
      <c r="Z89" s="1378"/>
      <c r="AA89" s="1378"/>
      <c r="AB89" s="1378"/>
      <c r="AC89" s="1378"/>
      <c r="AD89" s="1378"/>
      <c r="AE89" s="1378"/>
      <c r="AF89" s="1378"/>
      <c r="AG89" s="1378"/>
      <c r="AH89" s="1378"/>
      <c r="AI89" s="1378">
        <f>IF(INDEX(Tab_actions,205,1)=1,INDEX(Tab_actions,205,25),0)</f>
        <v>0</v>
      </c>
      <c r="AJ89" s="1378"/>
      <c r="AK89" s="1378"/>
      <c r="AL89" s="1378"/>
      <c r="AM89" s="1378"/>
      <c r="AN89" s="1378"/>
      <c r="AO89" s="1378"/>
      <c r="AP89" s="1378"/>
      <c r="AQ89" s="1378"/>
      <c r="AR89" s="1378"/>
      <c r="AS89" s="1378"/>
      <c r="AT89" s="1378"/>
      <c r="AU89" s="1378"/>
      <c r="AV89" s="1378"/>
      <c r="AW89" s="1378"/>
      <c r="AX89" s="1378"/>
      <c r="AY89" s="1378"/>
      <c r="AZ89" s="1378"/>
      <c r="BA89" s="1378"/>
      <c r="BB89" s="1378"/>
      <c r="BC89" s="1378"/>
      <c r="BD89"/>
      <c r="BE89" s="198"/>
      <c r="BF89" s="198"/>
      <c r="BG89" s="198"/>
      <c r="BH89" s="198"/>
      <c r="BI89" s="198"/>
      <c r="BJ89" s="198"/>
      <c r="BK89" s="198"/>
      <c r="BL89" s="198"/>
      <c r="BM89" s="198"/>
      <c r="BN89" s="198"/>
      <c r="BO89" s="198"/>
      <c r="BP89" s="198"/>
      <c r="BQ89" s="198"/>
      <c r="BR89" s="198"/>
      <c r="BS89" s="198"/>
      <c r="BT89" s="198"/>
      <c r="BU89" s="198"/>
      <c r="BV89" s="198"/>
      <c r="BW89" s="198"/>
      <c r="BX89" s="198"/>
      <c r="BY89" s="198"/>
      <c r="BZ89" s="198"/>
      <c r="CA89" s="198"/>
      <c r="CB89" s="198"/>
      <c r="CC89" s="198"/>
      <c r="CD89" s="198"/>
      <c r="CE89" s="198"/>
      <c r="CF89" s="198"/>
      <c r="CG89" s="198"/>
      <c r="CH89" s="198"/>
      <c r="CI89" s="198"/>
      <c r="CJ89" s="198"/>
      <c r="CK89" s="198"/>
      <c r="CL89" s="198"/>
      <c r="CM89" s="198"/>
      <c r="CN89" s="198"/>
      <c r="CO89" s="198"/>
      <c r="CP89" s="198"/>
      <c r="CQ89" s="198"/>
      <c r="CR89" s="198"/>
      <c r="CS89" s="198"/>
      <c r="CT89" s="198"/>
      <c r="CU89" s="198"/>
      <c r="CV89" s="198"/>
      <c r="CW89" s="198"/>
      <c r="CX89" s="198"/>
      <c r="CY89" s="198"/>
      <c r="CZ89" s="198"/>
      <c r="DA89" s="198"/>
      <c r="DB89" s="198"/>
      <c r="DC89" s="198"/>
      <c r="DD89" s="198"/>
      <c r="DE89" s="198"/>
      <c r="DF89" s="198"/>
      <c r="DG89" s="198"/>
      <c r="DH89" s="198"/>
      <c r="DI89" s="198"/>
      <c r="DJ89" s="198"/>
      <c r="DK89" s="198"/>
      <c r="DL89" s="198"/>
      <c r="DM89" s="198"/>
      <c r="DN89" s="198"/>
      <c r="DO89" s="198"/>
      <c r="DP89" s="198"/>
      <c r="DQ89" s="198"/>
      <c r="DR89" s="198"/>
      <c r="DS89" s="198"/>
      <c r="DT89" s="198"/>
    </row>
    <row r="90" spans="1:124" s="172" customFormat="1" ht="14.25" outlineLevel="1" x14ac:dyDescent="0.25">
      <c r="A90" s="217"/>
      <c r="B90" s="218" t="str">
        <f>Services!B90</f>
        <v>04A05</v>
      </c>
      <c r="C90" s="216" t="str">
        <f>Services!C90</f>
        <v>Plan de Reprise d'Activité (PRA) du réseau étendu</v>
      </c>
      <c r="D90" s="210" t="str">
        <f t="shared" si="1"/>
        <v/>
      </c>
      <c r="E90" s="1378"/>
      <c r="F90" s="1378"/>
      <c r="G90" s="1378"/>
      <c r="H90" s="1378"/>
      <c r="I90" s="1378"/>
      <c r="J90" s="1378"/>
      <c r="K90" s="1378"/>
      <c r="L90" s="1378"/>
      <c r="M90" s="1378"/>
      <c r="N90" s="1378"/>
      <c r="O90" s="1378"/>
      <c r="P90" s="1378"/>
      <c r="Q90" s="1378"/>
      <c r="R90" s="1378"/>
      <c r="S90" s="1378"/>
      <c r="T90" s="1378"/>
      <c r="U90" s="1378"/>
      <c r="V90" s="1378"/>
      <c r="W90" s="1378"/>
      <c r="X90" s="1378"/>
      <c r="Y90" s="1378"/>
      <c r="Z90" s="1378"/>
      <c r="AA90" s="1378"/>
      <c r="AB90" s="1378"/>
      <c r="AC90" s="1378"/>
      <c r="AD90" s="1378"/>
      <c r="AE90" s="1378"/>
      <c r="AF90" s="1378"/>
      <c r="AG90" s="1378"/>
      <c r="AH90" s="1378"/>
      <c r="AI90" s="1378">
        <f>IF(INDEX(Tab_actions,205,1)=1,INDEX(Tab_actions,205,28),0)</f>
        <v>0</v>
      </c>
      <c r="AJ90" s="1378"/>
      <c r="AK90" s="1378"/>
      <c r="AL90" s="1378"/>
      <c r="AM90" s="1378"/>
      <c r="AN90" s="1378"/>
      <c r="AO90" s="1378"/>
      <c r="AP90" s="1378"/>
      <c r="AQ90" s="1378"/>
      <c r="AR90" s="1378"/>
      <c r="AS90" s="1378"/>
      <c r="AT90" s="1378"/>
      <c r="AU90" s="1378"/>
      <c r="AV90" s="1378"/>
      <c r="AW90" s="1378"/>
      <c r="AX90" s="1378"/>
      <c r="AY90" s="1378"/>
      <c r="AZ90" s="1378"/>
      <c r="BA90" s="1378"/>
      <c r="BB90" s="1378"/>
      <c r="BC90" s="1378"/>
      <c r="BD90"/>
      <c r="BE90" s="198"/>
      <c r="BF90" s="198"/>
      <c r="BG90" s="198"/>
      <c r="BH90" s="198"/>
      <c r="BI90" s="198"/>
      <c r="BJ90" s="198"/>
      <c r="BK90" s="198"/>
      <c r="BL90" s="198"/>
      <c r="BM90" s="198"/>
      <c r="BN90" s="198"/>
      <c r="BO90" s="198"/>
      <c r="BP90" s="198"/>
      <c r="BQ90" s="198"/>
      <c r="BR90" s="198"/>
      <c r="BS90" s="198"/>
      <c r="BT90" s="198"/>
      <c r="BU90" s="198"/>
      <c r="BV90" s="198"/>
      <c r="BW90" s="198"/>
      <c r="BX90" s="198"/>
      <c r="BY90" s="198"/>
      <c r="BZ90" s="198"/>
      <c r="CA90" s="198"/>
      <c r="CB90" s="198"/>
      <c r="CC90" s="198"/>
      <c r="CD90" s="198"/>
      <c r="CE90" s="198"/>
      <c r="CF90" s="198"/>
      <c r="CG90" s="198"/>
      <c r="CH90" s="198"/>
      <c r="CI90" s="198"/>
      <c r="CJ90" s="198"/>
      <c r="CK90" s="198"/>
      <c r="CL90" s="198"/>
      <c r="CM90" s="198"/>
      <c r="CN90" s="198"/>
      <c r="CO90" s="198"/>
      <c r="CP90" s="198"/>
      <c r="CQ90" s="198"/>
      <c r="CR90" s="198"/>
      <c r="CS90" s="198"/>
      <c r="CT90" s="198"/>
      <c r="CU90" s="198"/>
      <c r="CV90" s="198"/>
      <c r="CW90" s="198"/>
      <c r="CX90" s="198"/>
      <c r="CY90" s="198"/>
      <c r="CZ90" s="198"/>
      <c r="DA90" s="198"/>
      <c r="DB90" s="198"/>
      <c r="DC90" s="198"/>
      <c r="DD90" s="198"/>
      <c r="DE90" s="198"/>
      <c r="DF90" s="198"/>
      <c r="DG90" s="198"/>
      <c r="DH90" s="198"/>
      <c r="DI90" s="198"/>
      <c r="DJ90" s="198"/>
      <c r="DK90" s="198"/>
      <c r="DL90" s="198"/>
      <c r="DM90" s="198"/>
      <c r="DN90" s="198"/>
      <c r="DO90" s="198"/>
      <c r="DP90" s="198"/>
      <c r="DQ90" s="198"/>
      <c r="DR90" s="198"/>
      <c r="DS90" s="198"/>
      <c r="DT90" s="198"/>
    </row>
    <row r="91" spans="1:124" s="172" customFormat="1" ht="15.75" customHeight="1" outlineLevel="1" x14ac:dyDescent="0.25">
      <c r="A91" s="217"/>
      <c r="B91" s="218" t="str">
        <f>Services!B91</f>
        <v>04A06</v>
      </c>
      <c r="C91" s="216" t="str">
        <f>Services!C91</f>
        <v>Gestion des fournisseurs critiques vis-à-vis de la permanence de la maintenance</v>
      </c>
      <c r="D91" s="210" t="str">
        <f t="shared" si="1"/>
        <v/>
      </c>
      <c r="E91" s="1378"/>
      <c r="F91" s="1378"/>
      <c r="G91" s="1378"/>
      <c r="H91" s="1378"/>
      <c r="I91" s="1378"/>
      <c r="J91" s="1378"/>
      <c r="K91" s="1378"/>
      <c r="L91" s="1378"/>
      <c r="M91" s="1378"/>
      <c r="N91" s="1378"/>
      <c r="O91" s="1378"/>
      <c r="P91" s="1378"/>
      <c r="Q91" s="1378"/>
      <c r="R91" s="1378"/>
      <c r="S91" s="1378"/>
      <c r="T91" s="1378"/>
      <c r="U91" s="1378"/>
      <c r="V91" s="1378"/>
      <c r="W91" s="1378"/>
      <c r="X91" s="1378"/>
      <c r="Y91" s="1378"/>
      <c r="Z91" s="1378"/>
      <c r="AA91" s="1378"/>
      <c r="AB91" s="1378"/>
      <c r="AC91" s="1378"/>
      <c r="AD91" s="1378"/>
      <c r="AE91" s="1378"/>
      <c r="AF91" s="1378"/>
      <c r="AG91" s="1378"/>
      <c r="AH91" s="1378"/>
      <c r="AI91" s="1378">
        <f>IF(INDEX(Tab_actions,205,1)=1,INDEX(Tab_actions,205,31),0)</f>
        <v>0</v>
      </c>
      <c r="AJ91" s="1378"/>
      <c r="AK91" s="1378"/>
      <c r="AL91" s="1378"/>
      <c r="AM91" s="1378"/>
      <c r="AN91" s="1378"/>
      <c r="AO91" s="1378"/>
      <c r="AP91" s="1378"/>
      <c r="AQ91" s="1378"/>
      <c r="AR91" s="1378"/>
      <c r="AS91" s="1378"/>
      <c r="AT91" s="1378"/>
      <c r="AU91" s="1378"/>
      <c r="AV91" s="1378"/>
      <c r="AW91" s="1378"/>
      <c r="AX91" s="1378"/>
      <c r="AY91" s="1378"/>
      <c r="AZ91" s="1378"/>
      <c r="BA91" s="1378"/>
      <c r="BB91" s="1378"/>
      <c r="BC91" s="1378"/>
      <c r="BD91"/>
      <c r="BE91" s="198"/>
      <c r="BF91" s="198"/>
      <c r="BG91" s="198"/>
      <c r="BH91" s="198"/>
      <c r="BI91" s="198"/>
      <c r="BJ91" s="198"/>
      <c r="BK91" s="198"/>
      <c r="BL91" s="198"/>
      <c r="BM91" s="198"/>
      <c r="BN91" s="198"/>
      <c r="BO91" s="198"/>
      <c r="BP91" s="198"/>
      <c r="BQ91" s="198"/>
      <c r="BR91" s="198"/>
      <c r="BS91" s="198"/>
      <c r="BT91" s="198"/>
      <c r="BU91" s="198"/>
      <c r="BV91" s="198"/>
      <c r="BW91" s="198"/>
      <c r="BX91" s="198"/>
      <c r="BY91" s="198"/>
      <c r="BZ91" s="198"/>
      <c r="CA91" s="198"/>
      <c r="CB91" s="198"/>
      <c r="CC91" s="198"/>
      <c r="CD91" s="198"/>
      <c r="CE91" s="198"/>
      <c r="CF91" s="198"/>
      <c r="CG91" s="198"/>
      <c r="CH91" s="198"/>
      <c r="CI91" s="198"/>
      <c r="CJ91" s="198"/>
      <c r="CK91" s="198"/>
      <c r="CL91" s="198"/>
      <c r="CM91" s="198"/>
      <c r="CN91" s="198"/>
      <c r="CO91" s="198"/>
      <c r="CP91" s="198"/>
      <c r="CQ91" s="198"/>
      <c r="CR91" s="198"/>
      <c r="CS91" s="198"/>
      <c r="CT91" s="198"/>
      <c r="CU91" s="198"/>
      <c r="CV91" s="198"/>
      <c r="CW91" s="198"/>
      <c r="CX91" s="198"/>
      <c r="CY91" s="198"/>
      <c r="CZ91" s="198"/>
      <c r="DA91" s="198"/>
      <c r="DB91" s="198"/>
      <c r="DC91" s="198"/>
      <c r="DD91" s="198"/>
      <c r="DE91" s="198"/>
      <c r="DF91" s="198"/>
      <c r="DG91" s="198"/>
      <c r="DH91" s="198"/>
      <c r="DI91" s="198"/>
      <c r="DJ91" s="198"/>
      <c r="DK91" s="198"/>
      <c r="DL91" s="198"/>
      <c r="DM91" s="198"/>
      <c r="DN91" s="198"/>
      <c r="DO91" s="198"/>
      <c r="DP91" s="198"/>
      <c r="DQ91" s="198"/>
      <c r="DR91" s="198"/>
      <c r="DS91" s="198"/>
      <c r="DT91" s="198"/>
    </row>
    <row r="92" spans="1:124" s="172" customFormat="1" ht="14.25" outlineLevel="1" x14ac:dyDescent="0.25">
      <c r="A92" s="217"/>
      <c r="B92" s="213" t="str">
        <f>Services!B92</f>
        <v>04B</v>
      </c>
      <c r="C92" s="214" t="str">
        <f>Services!C92</f>
        <v>Contrôle des connexions sur le réseau étendu</v>
      </c>
      <c r="D92" s="210" t="str">
        <f t="shared" si="1"/>
        <v/>
      </c>
      <c r="E92" s="1378"/>
      <c r="F92" s="1378"/>
      <c r="G92" s="1378"/>
      <c r="H92" s="1378"/>
      <c r="I92" s="1378"/>
      <c r="J92" s="1378"/>
      <c r="K92" s="1378"/>
      <c r="L92" s="1378"/>
      <c r="M92" s="1378"/>
      <c r="N92" s="1378"/>
      <c r="O92" s="1378"/>
      <c r="P92" s="1378"/>
      <c r="Q92" s="1378"/>
      <c r="R92" s="1378"/>
      <c r="S92" s="1378"/>
      <c r="T92" s="1378"/>
      <c r="U92" s="1378"/>
      <c r="V92" s="1378"/>
      <c r="W92" s="1378"/>
      <c r="X92" s="1378"/>
      <c r="Y92" s="1378"/>
      <c r="Z92" s="1378"/>
      <c r="AA92" s="1378"/>
      <c r="AB92" s="1378"/>
      <c r="AC92" s="1378"/>
      <c r="AD92" s="1378"/>
      <c r="AE92" s="1378"/>
      <c r="AF92" s="1378"/>
      <c r="AG92" s="1378"/>
      <c r="AH92" s="1378"/>
      <c r="AI92" s="1378"/>
      <c r="AJ92" s="1378"/>
      <c r="AK92" s="1378"/>
      <c r="AL92" s="1378"/>
      <c r="AM92" s="1378"/>
      <c r="AN92" s="1378"/>
      <c r="AO92" s="1378"/>
      <c r="AP92" s="1378"/>
      <c r="AQ92" s="1378"/>
      <c r="AR92" s="1378"/>
      <c r="AS92" s="1378"/>
      <c r="AT92" s="1378"/>
      <c r="AU92" s="1378"/>
      <c r="AV92" s="1378"/>
      <c r="AW92" s="1378"/>
      <c r="AX92" s="1378"/>
      <c r="AY92" s="1378"/>
      <c r="AZ92" s="1378"/>
      <c r="BA92" s="1378"/>
      <c r="BB92" s="1378"/>
      <c r="BC92" s="1378"/>
      <c r="BD92"/>
      <c r="BE92" s="198"/>
      <c r="BF92" s="198"/>
      <c r="BG92" s="198"/>
      <c r="BH92" s="198"/>
      <c r="BI92" s="198"/>
      <c r="BJ92" s="198"/>
      <c r="BK92" s="198"/>
      <c r="BL92" s="198"/>
      <c r="BM92" s="198"/>
      <c r="BN92" s="198"/>
      <c r="BO92" s="198"/>
      <c r="BP92" s="198"/>
      <c r="BQ92" s="198"/>
      <c r="BR92" s="198"/>
      <c r="BS92" s="198"/>
      <c r="BT92" s="198"/>
      <c r="BU92" s="198"/>
      <c r="BV92" s="198"/>
      <c r="BW92" s="198"/>
      <c r="BX92" s="198"/>
      <c r="BY92" s="198"/>
      <c r="BZ92" s="198"/>
      <c r="CA92" s="198"/>
      <c r="CB92" s="198"/>
      <c r="CC92" s="198"/>
      <c r="CD92" s="198"/>
      <c r="CE92" s="198"/>
      <c r="CF92" s="198"/>
      <c r="CG92" s="198"/>
      <c r="CH92" s="198"/>
      <c r="CI92" s="198"/>
      <c r="CJ92" s="198"/>
      <c r="CK92" s="198"/>
      <c r="CL92" s="198"/>
      <c r="CM92" s="198"/>
      <c r="CN92" s="198"/>
      <c r="CO92" s="198"/>
      <c r="CP92" s="198"/>
      <c r="CQ92" s="198"/>
      <c r="CR92" s="198"/>
      <c r="CS92" s="198"/>
      <c r="CT92" s="198"/>
      <c r="CU92" s="198"/>
      <c r="CV92" s="198"/>
      <c r="CW92" s="198"/>
      <c r="CX92" s="198"/>
      <c r="CY92" s="198"/>
      <c r="CZ92" s="198"/>
      <c r="DA92" s="198"/>
      <c r="DB92" s="198"/>
      <c r="DC92" s="198"/>
      <c r="DD92" s="198"/>
      <c r="DE92" s="198"/>
      <c r="DF92" s="198"/>
      <c r="DG92" s="198"/>
      <c r="DH92" s="198"/>
      <c r="DI92" s="198"/>
      <c r="DJ92" s="198"/>
      <c r="DK92" s="198"/>
      <c r="DL92" s="198"/>
      <c r="DM92" s="198"/>
      <c r="DN92" s="198"/>
      <c r="DO92" s="198"/>
      <c r="DP92" s="198"/>
      <c r="DQ92" s="198"/>
      <c r="DR92" s="198"/>
      <c r="DS92" s="198"/>
      <c r="DT92" s="198"/>
    </row>
    <row r="93" spans="1:124" s="172" customFormat="1" ht="14.25" outlineLevel="1" x14ac:dyDescent="0.25">
      <c r="A93" s="217"/>
      <c r="B93" s="218" t="str">
        <f>Services!B93</f>
        <v>04B01</v>
      </c>
      <c r="C93" s="216" t="str">
        <f>Services!C93</f>
        <v>Profils de sécurité des entités connectées au réseau étendu</v>
      </c>
      <c r="D93" s="210" t="str">
        <f t="shared" si="1"/>
        <v/>
      </c>
      <c r="E93" s="1378"/>
      <c r="F93" s="1378"/>
      <c r="G93" s="1378"/>
      <c r="H93" s="1378"/>
      <c r="I93" s="1378"/>
      <c r="J93" s="1378"/>
      <c r="K93" s="1378"/>
      <c r="L93" s="1378"/>
      <c r="M93" s="1378"/>
      <c r="N93" s="1378"/>
      <c r="O93" s="1378"/>
      <c r="P93" s="1378"/>
      <c r="Q93" s="1378"/>
      <c r="R93" s="1378"/>
      <c r="S93" s="1378"/>
      <c r="T93" s="1378"/>
      <c r="U93" s="1378"/>
      <c r="V93" s="1378"/>
      <c r="W93" s="1378"/>
      <c r="X93" s="1378"/>
      <c r="Y93" s="1378"/>
      <c r="Z93" s="1378"/>
      <c r="AA93" s="1378"/>
      <c r="AB93" s="1378"/>
      <c r="AC93" s="1378"/>
      <c r="AD93" s="1378"/>
      <c r="AE93" s="1378"/>
      <c r="AF93" s="1378"/>
      <c r="AG93" s="1378"/>
      <c r="AH93" s="1378"/>
      <c r="AI93" s="1378"/>
      <c r="AJ93" s="1378"/>
      <c r="AK93" s="1378"/>
      <c r="AL93" s="1378"/>
      <c r="AM93" s="1378"/>
      <c r="AN93" s="1378"/>
      <c r="AO93" s="1378"/>
      <c r="AP93" s="1378"/>
      <c r="AQ93" s="1378"/>
      <c r="AR93" s="1378"/>
      <c r="AS93" s="1378"/>
      <c r="AT93" s="1378"/>
      <c r="AU93" s="1378"/>
      <c r="AV93" s="1378"/>
      <c r="AW93" s="1378"/>
      <c r="AX93" s="1378"/>
      <c r="AY93" s="1378"/>
      <c r="AZ93" s="1378"/>
      <c r="BA93" s="1378"/>
      <c r="BB93" s="1378"/>
      <c r="BC93" s="1378"/>
      <c r="BD93"/>
      <c r="BE93" s="198"/>
      <c r="BF93" s="198"/>
      <c r="BG93" s="198"/>
      <c r="BH93" s="198"/>
      <c r="BI93" s="198"/>
      <c r="BJ93" s="198"/>
      <c r="BK93" s="198"/>
      <c r="BL93" s="198"/>
      <c r="BM93" s="198"/>
      <c r="BN93" s="198"/>
      <c r="BO93" s="198"/>
      <c r="BP93" s="198"/>
      <c r="BQ93" s="198"/>
      <c r="BR93" s="198"/>
      <c r="BS93" s="198"/>
      <c r="BT93" s="198"/>
      <c r="BU93" s="198"/>
      <c r="BV93" s="198"/>
      <c r="BW93" s="198"/>
      <c r="BX93" s="198"/>
      <c r="BY93" s="198"/>
      <c r="BZ93" s="198"/>
      <c r="CA93" s="198"/>
      <c r="CB93" s="198"/>
      <c r="CC93" s="198"/>
      <c r="CD93" s="198"/>
      <c r="CE93" s="198"/>
      <c r="CF93" s="198"/>
      <c r="CG93" s="198"/>
      <c r="CH93" s="198"/>
      <c r="CI93" s="198"/>
      <c r="CJ93" s="198"/>
      <c r="CK93" s="198"/>
      <c r="CL93" s="198"/>
      <c r="CM93" s="198"/>
      <c r="CN93" s="198"/>
      <c r="CO93" s="198"/>
      <c r="CP93" s="198"/>
      <c r="CQ93" s="198"/>
      <c r="CR93" s="198"/>
      <c r="CS93" s="198"/>
      <c r="CT93" s="198"/>
      <c r="CU93" s="198"/>
      <c r="CV93" s="198"/>
      <c r="CW93" s="198"/>
      <c r="CX93" s="198"/>
      <c r="CY93" s="198"/>
      <c r="CZ93" s="198"/>
      <c r="DA93" s="198"/>
      <c r="DB93" s="198"/>
      <c r="DC93" s="198"/>
      <c r="DD93" s="198"/>
      <c r="DE93" s="198"/>
      <c r="DF93" s="198"/>
      <c r="DG93" s="198"/>
      <c r="DH93" s="198"/>
      <c r="DI93" s="198"/>
      <c r="DJ93" s="198"/>
      <c r="DK93" s="198"/>
      <c r="DL93" s="198"/>
      <c r="DM93" s="198"/>
      <c r="DN93" s="198"/>
      <c r="DO93" s="198"/>
      <c r="DP93" s="198"/>
      <c r="DQ93" s="198"/>
      <c r="DR93" s="198"/>
      <c r="DS93" s="198"/>
      <c r="DT93" s="198"/>
    </row>
    <row r="94" spans="1:124" s="172" customFormat="1" ht="25.5" outlineLevel="1" x14ac:dyDescent="0.25">
      <c r="A94" s="217"/>
      <c r="B94" s="218" t="str">
        <f>Services!B94</f>
        <v>04B02</v>
      </c>
      <c r="C94" s="216" t="str">
        <f>Services!C94</f>
        <v>Authentification de l'entité accédante lors des accès entrants depuis le réseau étendu</v>
      </c>
      <c r="D94" s="210" t="str">
        <f t="shared" si="1"/>
        <v/>
      </c>
      <c r="E94" s="1378"/>
      <c r="F94" s="1378"/>
      <c r="G94" s="1378"/>
      <c r="H94" s="1378"/>
      <c r="I94" s="1378"/>
      <c r="J94" s="1378"/>
      <c r="K94" s="1378"/>
      <c r="L94" s="1378"/>
      <c r="M94" s="1378"/>
      <c r="N94" s="1378"/>
      <c r="O94" s="1378"/>
      <c r="P94" s="1378"/>
      <c r="Q94" s="1378"/>
      <c r="R94" s="1378"/>
      <c r="S94" s="1378"/>
      <c r="T94" s="1378"/>
      <c r="U94" s="1378"/>
      <c r="V94" s="1378"/>
      <c r="W94" s="1378"/>
      <c r="X94" s="1378"/>
      <c r="Y94" s="1378"/>
      <c r="Z94" s="1378"/>
      <c r="AA94" s="1378"/>
      <c r="AB94" s="1378">
        <f>IF(INDEX(Tab_actions,162,1)=1,INDEX(Tab_actions,162,7),0)</f>
        <v>0</v>
      </c>
      <c r="AC94" s="1378"/>
      <c r="AD94" s="1378"/>
      <c r="AE94" s="1378"/>
      <c r="AF94" s="1378"/>
      <c r="AG94" s="1378"/>
      <c r="AH94" s="1378"/>
      <c r="AI94" s="1378"/>
      <c r="AJ94" s="1378"/>
      <c r="AK94" s="1378"/>
      <c r="AL94" s="1378"/>
      <c r="AM94" s="1378"/>
      <c r="AN94" s="1378"/>
      <c r="AO94" s="1378"/>
      <c r="AP94" s="1378"/>
      <c r="AQ94" s="1378"/>
      <c r="AR94" s="1378"/>
      <c r="AS94" s="1378"/>
      <c r="AT94" s="1378"/>
      <c r="AU94" s="1378"/>
      <c r="AV94" s="1378"/>
      <c r="AW94" s="1378"/>
      <c r="AX94" s="1378"/>
      <c r="AY94" s="1378"/>
      <c r="AZ94" s="1378"/>
      <c r="BA94" s="1378"/>
      <c r="BB94" s="1378"/>
      <c r="BC94" s="1378"/>
      <c r="BD94"/>
      <c r="BE94" s="198"/>
      <c r="BF94" s="198"/>
      <c r="BG94" s="198"/>
      <c r="BH94" s="198"/>
      <c r="BI94" s="198"/>
      <c r="BJ94" s="198"/>
      <c r="BK94" s="198"/>
      <c r="BL94" s="198"/>
      <c r="BM94" s="198"/>
      <c r="BN94" s="198"/>
      <c r="BO94" s="198"/>
      <c r="BP94" s="198"/>
      <c r="BQ94" s="198"/>
      <c r="BR94" s="198"/>
      <c r="BS94" s="198"/>
      <c r="BT94" s="198"/>
      <c r="BU94" s="198"/>
      <c r="BV94" s="198"/>
      <c r="BW94" s="198"/>
      <c r="BX94" s="198"/>
      <c r="BY94" s="198"/>
      <c r="BZ94" s="198"/>
      <c r="CA94" s="198"/>
      <c r="CB94" s="198"/>
      <c r="CC94" s="198"/>
      <c r="CD94" s="198"/>
      <c r="CE94" s="198"/>
      <c r="CF94" s="198"/>
      <c r="CG94" s="198"/>
      <c r="CH94" s="198"/>
      <c r="CI94" s="198"/>
      <c r="CJ94" s="198"/>
      <c r="CK94" s="198"/>
      <c r="CL94" s="198"/>
      <c r="CM94" s="198"/>
      <c r="CN94" s="198"/>
      <c r="CO94" s="198"/>
      <c r="CP94" s="198"/>
      <c r="CQ94" s="198"/>
      <c r="CR94" s="198"/>
      <c r="CS94" s="198"/>
      <c r="CT94" s="198"/>
      <c r="CU94" s="198"/>
      <c r="CV94" s="198"/>
      <c r="CW94" s="198"/>
      <c r="CX94" s="198"/>
      <c r="CY94" s="198"/>
      <c r="CZ94" s="198"/>
      <c r="DA94" s="198"/>
      <c r="DB94" s="198"/>
      <c r="DC94" s="198"/>
      <c r="DD94" s="198"/>
      <c r="DE94" s="198"/>
      <c r="DF94" s="198"/>
      <c r="DG94" s="198"/>
      <c r="DH94" s="198"/>
      <c r="DI94" s="198"/>
      <c r="DJ94" s="198"/>
      <c r="DK94" s="198"/>
      <c r="DL94" s="198"/>
      <c r="DM94" s="198"/>
      <c r="DN94" s="198"/>
      <c r="DO94" s="198"/>
      <c r="DP94" s="198"/>
      <c r="DQ94" s="198"/>
      <c r="DR94" s="198"/>
      <c r="DS94" s="198"/>
      <c r="DT94" s="198"/>
    </row>
    <row r="95" spans="1:124" s="172" customFormat="1" ht="25.5" outlineLevel="1" x14ac:dyDescent="0.25">
      <c r="A95" s="217"/>
      <c r="B95" s="218" t="str">
        <f>Services!B95</f>
        <v>04B03</v>
      </c>
      <c r="C95" s="216" t="str">
        <f>Services!C95</f>
        <v>Authentification de l'entité accédée lors des accès sortants vers d'autres entités par le réseau étendu</v>
      </c>
      <c r="D95" s="210" t="str">
        <f t="shared" si="1"/>
        <v/>
      </c>
      <c r="E95" s="1378"/>
      <c r="F95" s="1378"/>
      <c r="G95" s="1378"/>
      <c r="H95" s="1378"/>
      <c r="I95" s="1378"/>
      <c r="J95" s="1378"/>
      <c r="K95" s="1378"/>
      <c r="L95" s="1378"/>
      <c r="M95" s="1378"/>
      <c r="N95" s="1378"/>
      <c r="O95" s="1378"/>
      <c r="P95" s="1378"/>
      <c r="Q95" s="1378"/>
      <c r="R95" s="1378"/>
      <c r="S95" s="1378"/>
      <c r="T95" s="1378"/>
      <c r="U95" s="1378"/>
      <c r="V95" s="1378"/>
      <c r="W95" s="1378"/>
      <c r="X95" s="1378"/>
      <c r="Y95" s="1378"/>
      <c r="Z95" s="1378"/>
      <c r="AA95" s="1378"/>
      <c r="AB95" s="1378">
        <f>IF(INDEX(Tab_actions,162,1)=1,INDEX(Tab_actions,162,10),0)</f>
        <v>0</v>
      </c>
      <c r="AC95" s="1378"/>
      <c r="AD95" s="1378"/>
      <c r="AE95" s="1378"/>
      <c r="AF95" s="1378"/>
      <c r="AG95" s="1378"/>
      <c r="AH95" s="1378"/>
      <c r="AI95" s="1378"/>
      <c r="AJ95" s="1378"/>
      <c r="AK95" s="1378"/>
      <c r="AL95" s="1378"/>
      <c r="AM95" s="1378"/>
      <c r="AN95" s="1378"/>
      <c r="AO95" s="1378"/>
      <c r="AP95" s="1378"/>
      <c r="AQ95" s="1378"/>
      <c r="AR95" s="1378"/>
      <c r="AS95" s="1378"/>
      <c r="AT95" s="1378"/>
      <c r="AU95" s="1378"/>
      <c r="AV95" s="1378"/>
      <c r="AW95" s="1378"/>
      <c r="AX95" s="1378"/>
      <c r="AY95" s="1378"/>
      <c r="AZ95" s="1378"/>
      <c r="BA95" s="1378"/>
      <c r="BB95" s="1378"/>
      <c r="BC95" s="1378"/>
      <c r="BD95"/>
      <c r="BE95" s="198"/>
      <c r="BF95" s="198"/>
      <c r="BG95" s="198"/>
      <c r="BH95" s="198"/>
      <c r="BI95" s="198"/>
      <c r="BJ95" s="198"/>
      <c r="BK95" s="198"/>
      <c r="BL95" s="198"/>
      <c r="BM95" s="198"/>
      <c r="BN95" s="198"/>
      <c r="BO95" s="198"/>
      <c r="BP95" s="198"/>
      <c r="BQ95" s="198"/>
      <c r="BR95" s="198"/>
      <c r="BS95" s="198"/>
      <c r="BT95" s="198"/>
      <c r="BU95" s="198"/>
      <c r="BV95" s="198"/>
      <c r="BW95" s="198"/>
      <c r="BX95" s="198"/>
      <c r="BY95" s="198"/>
      <c r="BZ95" s="198"/>
      <c r="CA95" s="198"/>
      <c r="CB95" s="198"/>
      <c r="CC95" s="198"/>
      <c r="CD95" s="198"/>
      <c r="CE95" s="198"/>
      <c r="CF95" s="198"/>
      <c r="CG95" s="198"/>
      <c r="CH95" s="198"/>
      <c r="CI95" s="198"/>
      <c r="CJ95" s="198"/>
      <c r="CK95" s="198"/>
      <c r="CL95" s="198"/>
      <c r="CM95" s="198"/>
      <c r="CN95" s="198"/>
      <c r="CO95" s="198"/>
      <c r="CP95" s="198"/>
      <c r="CQ95" s="198"/>
      <c r="CR95" s="198"/>
      <c r="CS95" s="198"/>
      <c r="CT95" s="198"/>
      <c r="CU95" s="198"/>
      <c r="CV95" s="198"/>
      <c r="CW95" s="198"/>
      <c r="CX95" s="198"/>
      <c r="CY95" s="198"/>
      <c r="CZ95" s="198"/>
      <c r="DA95" s="198"/>
      <c r="DB95" s="198"/>
      <c r="DC95" s="198"/>
      <c r="DD95" s="198"/>
      <c r="DE95" s="198"/>
      <c r="DF95" s="198"/>
      <c r="DG95" s="198"/>
      <c r="DH95" s="198"/>
      <c r="DI95" s="198"/>
      <c r="DJ95" s="198"/>
      <c r="DK95" s="198"/>
      <c r="DL95" s="198"/>
      <c r="DM95" s="198"/>
      <c r="DN95" s="198"/>
      <c r="DO95" s="198"/>
      <c r="DP95" s="198"/>
      <c r="DQ95" s="198"/>
      <c r="DR95" s="198"/>
      <c r="DS95" s="198"/>
      <c r="DT95" s="198"/>
    </row>
    <row r="96" spans="1:124" s="172" customFormat="1" ht="14.25" outlineLevel="1" x14ac:dyDescent="0.25">
      <c r="A96" s="217"/>
      <c r="B96" s="213" t="str">
        <f>Services!B96</f>
        <v>04C</v>
      </c>
      <c r="C96" s="214" t="str">
        <f>Services!C96</f>
        <v>Sécurité des données lors des échanges et des communications</v>
      </c>
      <c r="D96" s="210" t="str">
        <f t="shared" si="1"/>
        <v/>
      </c>
      <c r="E96" s="1378"/>
      <c r="F96" s="1378"/>
      <c r="G96" s="1378"/>
      <c r="H96" s="1378"/>
      <c r="I96" s="1378"/>
      <c r="J96" s="1378"/>
      <c r="K96" s="1378"/>
      <c r="L96" s="1378"/>
      <c r="M96" s="1378"/>
      <c r="N96" s="1378"/>
      <c r="O96" s="1378"/>
      <c r="P96" s="1378"/>
      <c r="Q96" s="1378"/>
      <c r="R96" s="1378"/>
      <c r="S96" s="1378"/>
      <c r="T96" s="1378"/>
      <c r="U96" s="1378"/>
      <c r="V96" s="1378"/>
      <c r="W96" s="1378"/>
      <c r="X96" s="1378"/>
      <c r="Y96" s="1378"/>
      <c r="Z96" s="1378"/>
      <c r="AA96" s="1378"/>
      <c r="AB96" s="1378"/>
      <c r="AC96" s="1378"/>
      <c r="AD96" s="1378"/>
      <c r="AE96" s="1378"/>
      <c r="AF96" s="1378"/>
      <c r="AG96" s="1378"/>
      <c r="AH96" s="1378"/>
      <c r="AI96" s="1378"/>
      <c r="AJ96" s="1378"/>
      <c r="AK96" s="1378"/>
      <c r="AL96" s="1378"/>
      <c r="AM96" s="1378"/>
      <c r="AN96" s="1378"/>
      <c r="AO96" s="1378"/>
      <c r="AP96" s="1378"/>
      <c r="AQ96" s="1378"/>
      <c r="AR96" s="1378"/>
      <c r="AS96" s="1378"/>
      <c r="AT96" s="1378"/>
      <c r="AU96" s="1378"/>
      <c r="AV96" s="1378"/>
      <c r="AW96" s="1378"/>
      <c r="AX96" s="1378"/>
      <c r="AY96" s="1378"/>
      <c r="AZ96" s="1378"/>
      <c r="BA96" s="1378"/>
      <c r="BB96" s="1378"/>
      <c r="BC96" s="1378"/>
      <c r="BD96"/>
      <c r="BE96" s="198"/>
      <c r="BF96" s="198"/>
      <c r="BG96" s="198"/>
      <c r="BH96" s="198"/>
      <c r="BI96" s="198"/>
      <c r="BJ96" s="198"/>
      <c r="BK96" s="198"/>
      <c r="BL96" s="198"/>
      <c r="BM96" s="198"/>
      <c r="BN96" s="198"/>
      <c r="BO96" s="198"/>
      <c r="BP96" s="198"/>
      <c r="BQ96" s="198"/>
      <c r="BR96" s="198"/>
      <c r="BS96" s="198"/>
      <c r="BT96" s="198"/>
      <c r="BU96" s="198"/>
      <c r="BV96" s="198"/>
      <c r="BW96" s="198"/>
      <c r="BX96" s="198"/>
      <c r="BY96" s="198"/>
      <c r="BZ96" s="198"/>
      <c r="CA96" s="198"/>
      <c r="CB96" s="198"/>
      <c r="CC96" s="198"/>
      <c r="CD96" s="198"/>
      <c r="CE96" s="198"/>
      <c r="CF96" s="198"/>
      <c r="CG96" s="198"/>
      <c r="CH96" s="198"/>
      <c r="CI96" s="198"/>
      <c r="CJ96" s="198"/>
      <c r="CK96" s="198"/>
      <c r="CL96" s="198"/>
      <c r="CM96" s="198"/>
      <c r="CN96" s="198"/>
      <c r="CO96" s="198"/>
      <c r="CP96" s="198"/>
      <c r="CQ96" s="198"/>
      <c r="CR96" s="198"/>
      <c r="CS96" s="198"/>
      <c r="CT96" s="198"/>
      <c r="CU96" s="198"/>
      <c r="CV96" s="198"/>
      <c r="CW96" s="198"/>
      <c r="CX96" s="198"/>
      <c r="CY96" s="198"/>
      <c r="CZ96" s="198"/>
      <c r="DA96" s="198"/>
      <c r="DB96" s="198"/>
      <c r="DC96" s="198"/>
      <c r="DD96" s="198"/>
      <c r="DE96" s="198"/>
      <c r="DF96" s="198"/>
      <c r="DG96" s="198"/>
      <c r="DH96" s="198"/>
      <c r="DI96" s="198"/>
      <c r="DJ96" s="198"/>
      <c r="DK96" s="198"/>
      <c r="DL96" s="198"/>
      <c r="DM96" s="198"/>
      <c r="DN96" s="198"/>
      <c r="DO96" s="198"/>
      <c r="DP96" s="198"/>
      <c r="DQ96" s="198"/>
      <c r="DR96" s="198"/>
      <c r="DS96" s="198"/>
      <c r="DT96" s="198"/>
    </row>
    <row r="97" spans="1:124" s="172" customFormat="1" ht="15" outlineLevel="1" x14ac:dyDescent="0.25">
      <c r="A97" s="212"/>
      <c r="B97" s="218" t="str">
        <f>Services!B97</f>
        <v>04C01</v>
      </c>
      <c r="C97" s="216" t="str">
        <f>Services!C97</f>
        <v>Chiffrement des échanges sur le réseau étendu</v>
      </c>
      <c r="D97" s="210" t="str">
        <f t="shared" si="1"/>
        <v/>
      </c>
      <c r="E97" s="1378"/>
      <c r="F97" s="1378"/>
      <c r="G97" s="1378"/>
      <c r="H97" s="1378"/>
      <c r="I97" s="1378"/>
      <c r="J97" s="1378"/>
      <c r="K97" s="1378"/>
      <c r="L97" s="1378"/>
      <c r="M97" s="1378"/>
      <c r="N97" s="1378"/>
      <c r="O97" s="1378"/>
      <c r="P97" s="1378"/>
      <c r="Q97" s="1378"/>
      <c r="R97" s="1378">
        <f>IF(INDEX(Tab_actions,92,1)=1,INDEX(Tab_actions,92,4),0)</f>
        <v>0</v>
      </c>
      <c r="S97" s="1378"/>
      <c r="T97" s="1378"/>
      <c r="U97" s="1378"/>
      <c r="V97" s="1378"/>
      <c r="W97" s="1378"/>
      <c r="X97" s="1378"/>
      <c r="Y97" s="1378"/>
      <c r="Z97" s="1378"/>
      <c r="AA97" s="1378"/>
      <c r="AB97" s="1378"/>
      <c r="AC97" s="1378"/>
      <c r="AD97" s="1378"/>
      <c r="AE97" s="1378"/>
      <c r="AF97" s="1378"/>
      <c r="AG97" s="1378"/>
      <c r="AH97" s="1378"/>
      <c r="AI97" s="1378"/>
      <c r="AJ97" s="1378"/>
      <c r="AK97" s="1378"/>
      <c r="AL97" s="1378"/>
      <c r="AM97" s="1378"/>
      <c r="AN97" s="1378"/>
      <c r="AO97" s="1378"/>
      <c r="AP97" s="1378"/>
      <c r="AQ97" s="1378"/>
      <c r="AR97" s="1378"/>
      <c r="AS97" s="1378"/>
      <c r="AT97" s="1378"/>
      <c r="AU97" s="1378"/>
      <c r="AV97" s="1378"/>
      <c r="AW97" s="1378"/>
      <c r="AX97" s="1378"/>
      <c r="AY97" s="1378"/>
      <c r="AZ97" s="1378"/>
      <c r="BA97" s="1378"/>
      <c r="BB97" s="1378"/>
      <c r="BC97" s="1378"/>
      <c r="BD97"/>
      <c r="BE97" s="198"/>
      <c r="BF97" s="198"/>
      <c r="BG97" s="198"/>
      <c r="BH97" s="198"/>
      <c r="BI97" s="198"/>
      <c r="BJ97" s="198"/>
      <c r="BK97" s="198"/>
      <c r="BL97" s="198"/>
      <c r="BM97" s="198"/>
      <c r="BN97" s="198"/>
      <c r="BO97" s="198"/>
      <c r="BP97" s="198"/>
      <c r="BQ97" s="198"/>
      <c r="BR97" s="198"/>
      <c r="BS97" s="198"/>
      <c r="BT97" s="198"/>
      <c r="BU97" s="198"/>
      <c r="BV97" s="198"/>
      <c r="BW97" s="198"/>
      <c r="BX97" s="198"/>
      <c r="BY97" s="198"/>
      <c r="BZ97" s="198"/>
      <c r="CA97" s="198"/>
      <c r="CB97" s="198"/>
      <c r="CC97" s="198"/>
      <c r="CD97" s="198"/>
      <c r="CE97" s="198"/>
      <c r="CF97" s="198"/>
      <c r="CG97" s="198"/>
      <c r="CH97" s="198"/>
      <c r="CI97" s="198"/>
      <c r="CJ97" s="198"/>
      <c r="CK97" s="198"/>
      <c r="CL97" s="198"/>
      <c r="CM97" s="198"/>
      <c r="CN97" s="198"/>
      <c r="CO97" s="198"/>
      <c r="CP97" s="198"/>
      <c r="CQ97" s="198"/>
      <c r="CR97" s="198"/>
      <c r="CS97" s="198"/>
      <c r="CT97" s="198"/>
      <c r="CU97" s="198"/>
      <c r="CV97" s="198"/>
      <c r="CW97" s="198"/>
      <c r="CX97" s="198"/>
      <c r="CY97" s="198"/>
      <c r="CZ97" s="198"/>
      <c r="DA97" s="198"/>
      <c r="DB97" s="198"/>
      <c r="DC97" s="198"/>
      <c r="DD97" s="198"/>
      <c r="DE97" s="198"/>
      <c r="DF97" s="198"/>
      <c r="DG97" s="198"/>
      <c r="DH97" s="198"/>
      <c r="DI97" s="198"/>
      <c r="DJ97" s="198"/>
      <c r="DK97" s="198"/>
      <c r="DL97" s="198"/>
      <c r="DM97" s="198"/>
      <c r="DN97" s="198"/>
      <c r="DO97" s="198"/>
      <c r="DP97" s="198"/>
      <c r="DQ97" s="198"/>
      <c r="DR97" s="198"/>
      <c r="DS97" s="198"/>
      <c r="DT97" s="198"/>
    </row>
    <row r="98" spans="1:124" s="172" customFormat="1" ht="15" outlineLevel="1" x14ac:dyDescent="0.25">
      <c r="A98" s="212"/>
      <c r="B98" s="218" t="str">
        <f>Services!B98</f>
        <v>04C02</v>
      </c>
      <c r="C98" s="216" t="str">
        <f>Services!C98</f>
        <v>Contrôle de l'intégrité des échanges sur le réseau étendu</v>
      </c>
      <c r="D98" s="210" t="str">
        <f t="shared" si="1"/>
        <v/>
      </c>
      <c r="E98" s="1378"/>
      <c r="F98" s="1378"/>
      <c r="G98" s="1378"/>
      <c r="H98" s="1378"/>
      <c r="I98" s="1378"/>
      <c r="J98" s="1378"/>
      <c r="K98" s="1378"/>
      <c r="L98" s="1378"/>
      <c r="M98" s="1378"/>
      <c r="N98" s="1378"/>
      <c r="O98" s="1378"/>
      <c r="P98" s="1378"/>
      <c r="Q98" s="1378"/>
      <c r="R98" s="1378">
        <f>IF(INDEX(Tab_actions,92,1)=1,INDEX(Tab_actions,92,7),0)</f>
        <v>0</v>
      </c>
      <c r="S98" s="1378"/>
      <c r="T98" s="1378"/>
      <c r="U98" s="1378"/>
      <c r="V98" s="1378"/>
      <c r="W98" s="1378"/>
      <c r="X98" s="1378"/>
      <c r="Y98" s="1378"/>
      <c r="Z98" s="1378"/>
      <c r="AA98" s="1378"/>
      <c r="AB98" s="1378"/>
      <c r="AC98" s="1378"/>
      <c r="AD98" s="1378"/>
      <c r="AE98" s="1378"/>
      <c r="AF98" s="1378"/>
      <c r="AG98" s="1378"/>
      <c r="AH98" s="1378"/>
      <c r="AI98" s="1378"/>
      <c r="AJ98" s="1378"/>
      <c r="AK98" s="1378"/>
      <c r="AL98" s="1378"/>
      <c r="AM98" s="1378"/>
      <c r="AN98" s="1378"/>
      <c r="AO98" s="1378"/>
      <c r="AP98" s="1378"/>
      <c r="AQ98" s="1378"/>
      <c r="AR98" s="1378"/>
      <c r="AS98" s="1378"/>
      <c r="AT98" s="1378"/>
      <c r="AU98" s="1378"/>
      <c r="AV98" s="1378"/>
      <c r="AW98" s="1378"/>
      <c r="AX98" s="1378"/>
      <c r="AY98" s="1378"/>
      <c r="AZ98" s="1378"/>
      <c r="BA98" s="1378"/>
      <c r="BB98" s="1378"/>
      <c r="BC98" s="1378"/>
      <c r="BD98"/>
      <c r="BE98" s="198"/>
      <c r="BF98" s="198"/>
      <c r="BG98" s="198"/>
      <c r="BH98" s="198"/>
      <c r="BI98" s="198"/>
      <c r="BJ98" s="198"/>
      <c r="BK98" s="198"/>
      <c r="BL98" s="198"/>
      <c r="BM98" s="198"/>
      <c r="BN98" s="198"/>
      <c r="BO98" s="198"/>
      <c r="BP98" s="198"/>
      <c r="BQ98" s="198"/>
      <c r="BR98" s="198"/>
      <c r="BS98" s="198"/>
      <c r="BT98" s="198"/>
      <c r="BU98" s="198"/>
      <c r="BV98" s="198"/>
      <c r="BW98" s="198"/>
      <c r="BX98" s="198"/>
      <c r="BY98" s="198"/>
      <c r="BZ98" s="198"/>
      <c r="CA98" s="198"/>
      <c r="CB98" s="198"/>
      <c r="CC98" s="198"/>
      <c r="CD98" s="198"/>
      <c r="CE98" s="198"/>
      <c r="CF98" s="198"/>
      <c r="CG98" s="198"/>
      <c r="CH98" s="198"/>
      <c r="CI98" s="198"/>
      <c r="CJ98" s="198"/>
      <c r="CK98" s="198"/>
      <c r="CL98" s="198"/>
      <c r="CM98" s="198"/>
      <c r="CN98" s="198"/>
      <c r="CO98" s="198"/>
      <c r="CP98" s="198"/>
      <c r="CQ98" s="198"/>
      <c r="CR98" s="198"/>
      <c r="CS98" s="198"/>
      <c r="CT98" s="198"/>
      <c r="CU98" s="198"/>
      <c r="CV98" s="198"/>
      <c r="CW98" s="198"/>
      <c r="CX98" s="198"/>
      <c r="CY98" s="198"/>
      <c r="CZ98" s="198"/>
      <c r="DA98" s="198"/>
      <c r="DB98" s="198"/>
      <c r="DC98" s="198"/>
      <c r="DD98" s="198"/>
      <c r="DE98" s="198"/>
      <c r="DF98" s="198"/>
      <c r="DG98" s="198"/>
      <c r="DH98" s="198"/>
      <c r="DI98" s="198"/>
      <c r="DJ98" s="198"/>
      <c r="DK98" s="198"/>
      <c r="DL98" s="198"/>
      <c r="DM98" s="198"/>
      <c r="DN98" s="198"/>
      <c r="DO98" s="198"/>
      <c r="DP98" s="198"/>
      <c r="DQ98" s="198"/>
      <c r="DR98" s="198"/>
      <c r="DS98" s="198"/>
      <c r="DT98" s="198"/>
    </row>
    <row r="99" spans="1:124" s="172" customFormat="1" ht="15" outlineLevel="1" x14ac:dyDescent="0.25">
      <c r="A99" s="212"/>
      <c r="B99" s="218" t="str">
        <f>Services!B99</f>
        <v>04D</v>
      </c>
      <c r="C99" s="216" t="str">
        <f>Services!C99</f>
        <v>Contrôle, détection et traitement des incidents sur le réseau étendu</v>
      </c>
      <c r="D99" s="210" t="str">
        <f t="shared" si="1"/>
        <v/>
      </c>
      <c r="E99" s="1378"/>
      <c r="F99" s="1378"/>
      <c r="G99" s="1378"/>
      <c r="H99" s="1378"/>
      <c r="I99" s="1378"/>
      <c r="J99" s="1378"/>
      <c r="K99" s="1378"/>
      <c r="L99" s="1378"/>
      <c r="M99" s="1378"/>
      <c r="N99" s="1378"/>
      <c r="O99" s="1378"/>
      <c r="P99" s="1378"/>
      <c r="Q99" s="1378"/>
      <c r="R99" s="1378"/>
      <c r="S99" s="1378"/>
      <c r="T99" s="1378"/>
      <c r="U99" s="1378"/>
      <c r="V99" s="1378"/>
      <c r="W99" s="1378"/>
      <c r="X99" s="1378"/>
      <c r="Y99" s="1378"/>
      <c r="Z99" s="1378"/>
      <c r="AA99" s="1378"/>
      <c r="AB99" s="1378"/>
      <c r="AC99" s="1378"/>
      <c r="AD99" s="1378"/>
      <c r="AE99" s="1378"/>
      <c r="AF99" s="1378"/>
      <c r="AG99" s="1378"/>
      <c r="AH99" s="1378"/>
      <c r="AI99" s="1378"/>
      <c r="AJ99" s="1378"/>
      <c r="AK99" s="1378"/>
      <c r="AL99" s="1378"/>
      <c r="AM99" s="1378"/>
      <c r="AN99" s="1378"/>
      <c r="AO99" s="1378"/>
      <c r="AP99" s="1378"/>
      <c r="AQ99" s="1378"/>
      <c r="AR99" s="1378"/>
      <c r="AS99" s="1378"/>
      <c r="AT99" s="1378"/>
      <c r="AU99" s="1378"/>
      <c r="AV99" s="1378"/>
      <c r="AW99" s="1378"/>
      <c r="AX99" s="1378"/>
      <c r="AY99" s="1378"/>
      <c r="AZ99" s="1378"/>
      <c r="BA99" s="1378"/>
      <c r="BB99" s="1378"/>
      <c r="BC99" s="1378"/>
      <c r="BD99"/>
      <c r="BE99" s="198"/>
      <c r="BF99" s="198"/>
      <c r="BG99" s="198"/>
      <c r="BH99" s="198"/>
      <c r="BI99" s="198"/>
      <c r="BJ99" s="198"/>
      <c r="BK99" s="198"/>
      <c r="BL99" s="198"/>
      <c r="BM99" s="198"/>
      <c r="BN99" s="198"/>
      <c r="BO99" s="198"/>
      <c r="BP99" s="198"/>
      <c r="BQ99" s="198"/>
      <c r="BR99" s="198"/>
      <c r="BS99" s="198"/>
      <c r="BT99" s="198"/>
      <c r="BU99" s="198"/>
      <c r="BV99" s="198"/>
      <c r="BW99" s="198"/>
      <c r="BX99" s="198"/>
      <c r="BY99" s="198"/>
      <c r="BZ99" s="198"/>
      <c r="CA99" s="198"/>
      <c r="CB99" s="198"/>
      <c r="CC99" s="198"/>
      <c r="CD99" s="198"/>
      <c r="CE99" s="198"/>
      <c r="CF99" s="198"/>
      <c r="CG99" s="198"/>
      <c r="CH99" s="198"/>
      <c r="CI99" s="198"/>
      <c r="CJ99" s="198"/>
      <c r="CK99" s="198"/>
      <c r="CL99" s="198"/>
      <c r="CM99" s="198"/>
      <c r="CN99" s="198"/>
      <c r="CO99" s="198"/>
      <c r="CP99" s="198"/>
      <c r="CQ99" s="198"/>
      <c r="CR99" s="198"/>
      <c r="CS99" s="198"/>
      <c r="CT99" s="198"/>
      <c r="CU99" s="198"/>
      <c r="CV99" s="198"/>
      <c r="CW99" s="198"/>
      <c r="CX99" s="198"/>
      <c r="CY99" s="198"/>
      <c r="CZ99" s="198"/>
      <c r="DA99" s="198"/>
      <c r="DB99" s="198"/>
      <c r="DC99" s="198"/>
      <c r="DD99" s="198"/>
      <c r="DE99" s="198"/>
      <c r="DF99" s="198"/>
      <c r="DG99" s="198"/>
      <c r="DH99" s="198"/>
      <c r="DI99" s="198"/>
      <c r="DJ99" s="198"/>
      <c r="DK99" s="198"/>
      <c r="DL99" s="198"/>
      <c r="DM99" s="198"/>
      <c r="DN99" s="198"/>
      <c r="DO99" s="198"/>
      <c r="DP99" s="198"/>
      <c r="DQ99" s="198"/>
      <c r="DR99" s="198"/>
      <c r="DS99" s="198"/>
      <c r="DT99" s="198"/>
    </row>
    <row r="100" spans="1:124" s="172" customFormat="1" ht="14.25" outlineLevel="1" x14ac:dyDescent="0.25">
      <c r="A100" s="217"/>
      <c r="B100" s="218" t="str">
        <f>Services!B100</f>
        <v>04D01</v>
      </c>
      <c r="C100" s="216" t="str">
        <f>Services!C100</f>
        <v>Surveillance (en temps réel) du réseau étendu</v>
      </c>
      <c r="D100" s="210" t="str">
        <f t="shared" si="1"/>
        <v/>
      </c>
      <c r="E100" s="1378"/>
      <c r="F100" s="1378"/>
      <c r="G100" s="1378"/>
      <c r="H100" s="1378"/>
      <c r="I100" s="1378"/>
      <c r="J100" s="1378"/>
      <c r="K100" s="1378"/>
      <c r="L100" s="1378"/>
      <c r="M100" s="1378"/>
      <c r="N100" s="1378"/>
      <c r="O100" s="1378"/>
      <c r="P100" s="1378"/>
      <c r="Q100" s="1378"/>
      <c r="R100" s="1378"/>
      <c r="S100" s="1378"/>
      <c r="T100" s="1378"/>
      <c r="U100" s="1378"/>
      <c r="V100" s="1378"/>
      <c r="W100" s="1378"/>
      <c r="X100" s="1378"/>
      <c r="Y100" s="1378"/>
      <c r="Z100" s="1378"/>
      <c r="AA100" s="1378"/>
      <c r="AB100" s="1378"/>
      <c r="AC100" s="1378"/>
      <c r="AD100" s="1378"/>
      <c r="AE100" s="1378"/>
      <c r="AF100" s="1378"/>
      <c r="AG100" s="1378"/>
      <c r="AH100" s="1378"/>
      <c r="AI100" s="1378">
        <f>IF(INDEX(Tab_actions,203,1)=1,INDEX(Tab_actions,203,4),0)</f>
        <v>0</v>
      </c>
      <c r="AJ100" s="1378"/>
      <c r="AK100" s="1378"/>
      <c r="AL100" s="1378"/>
      <c r="AM100" s="1378"/>
      <c r="AN100" s="1378"/>
      <c r="AO100" s="1378"/>
      <c r="AP100" s="1378"/>
      <c r="AQ100" s="1378"/>
      <c r="AR100" s="1378"/>
      <c r="AS100" s="1378"/>
      <c r="AT100" s="1378"/>
      <c r="AU100" s="1378"/>
      <c r="AV100" s="1378"/>
      <c r="AW100" s="1378"/>
      <c r="AX100" s="1378"/>
      <c r="AY100" s="1378"/>
      <c r="AZ100" s="1378"/>
      <c r="BA100" s="1378"/>
      <c r="BB100" s="1378"/>
      <c r="BC100" s="1378"/>
      <c r="BD100"/>
      <c r="BE100" s="198"/>
      <c r="BF100" s="198"/>
      <c r="BG100" s="198"/>
      <c r="BH100" s="198"/>
      <c r="BI100" s="198"/>
      <c r="BJ100" s="198"/>
      <c r="BK100" s="198"/>
      <c r="BL100" s="198"/>
      <c r="BM100" s="198"/>
      <c r="BN100" s="198"/>
      <c r="BO100" s="198"/>
      <c r="BP100" s="198"/>
      <c r="BQ100" s="198"/>
      <c r="BR100" s="198"/>
      <c r="BS100" s="198"/>
      <c r="BT100" s="198"/>
      <c r="BU100" s="198"/>
      <c r="BV100" s="198"/>
      <c r="BW100" s="198"/>
      <c r="BX100" s="198"/>
      <c r="BY100" s="198"/>
      <c r="BZ100" s="198"/>
      <c r="CA100" s="198"/>
      <c r="CB100" s="198"/>
      <c r="CC100" s="198"/>
      <c r="CD100" s="198"/>
      <c r="CE100" s="198"/>
      <c r="CF100" s="198"/>
      <c r="CG100" s="198"/>
      <c r="CH100" s="198"/>
      <c r="CI100" s="198"/>
      <c r="CJ100" s="198"/>
      <c r="CK100" s="198"/>
      <c r="CL100" s="198"/>
      <c r="CM100" s="198"/>
      <c r="CN100" s="198"/>
      <c r="CO100" s="198"/>
      <c r="CP100" s="198"/>
      <c r="CQ100" s="198"/>
      <c r="CR100" s="198"/>
      <c r="CS100" s="198"/>
      <c r="CT100" s="198"/>
      <c r="CU100" s="198"/>
      <c r="CV100" s="198"/>
      <c r="CW100" s="198"/>
      <c r="CX100" s="198"/>
      <c r="CY100" s="198"/>
      <c r="CZ100" s="198"/>
      <c r="DA100" s="198"/>
      <c r="DB100" s="198"/>
      <c r="DC100" s="198"/>
      <c r="DD100" s="198"/>
      <c r="DE100" s="198"/>
      <c r="DF100" s="198"/>
      <c r="DG100" s="198"/>
      <c r="DH100" s="198"/>
      <c r="DI100" s="198"/>
      <c r="DJ100" s="198"/>
      <c r="DK100" s="198"/>
      <c r="DL100" s="198"/>
      <c r="DM100" s="198"/>
      <c r="DN100" s="198"/>
      <c r="DO100" s="198"/>
      <c r="DP100" s="198"/>
      <c r="DQ100" s="198"/>
      <c r="DR100" s="198"/>
      <c r="DS100" s="198"/>
      <c r="DT100" s="198"/>
    </row>
    <row r="101" spans="1:124" s="172" customFormat="1" ht="25.5" outlineLevel="1" x14ac:dyDescent="0.25">
      <c r="A101" s="212"/>
      <c r="B101" s="218" t="str">
        <f>Services!B101</f>
        <v>04D02</v>
      </c>
      <c r="C101" s="216" t="str">
        <f>Services!C101</f>
        <v>Analyse (en temps différé) des traces, logs et journaux d'événements sur le réseau étendu</v>
      </c>
      <c r="D101" s="210" t="str">
        <f t="shared" si="1"/>
        <v/>
      </c>
      <c r="E101" s="1378"/>
      <c r="F101" s="1378"/>
      <c r="G101" s="1378"/>
      <c r="H101" s="1378"/>
      <c r="I101" s="1378"/>
      <c r="J101" s="1378"/>
      <c r="K101" s="1378"/>
      <c r="L101" s="1378"/>
      <c r="M101" s="1378"/>
      <c r="N101" s="1378"/>
      <c r="O101" s="1378"/>
      <c r="P101" s="1378"/>
      <c r="Q101" s="1378"/>
      <c r="R101" s="1378"/>
      <c r="S101" s="1378"/>
      <c r="T101" s="1378"/>
      <c r="U101" s="1378"/>
      <c r="V101" s="1378"/>
      <c r="W101" s="1378"/>
      <c r="X101" s="1378"/>
      <c r="Y101" s="1378"/>
      <c r="Z101" s="1378"/>
      <c r="AA101" s="1378"/>
      <c r="AB101" s="1378"/>
      <c r="AC101" s="1378"/>
      <c r="AD101" s="1378"/>
      <c r="AE101" s="1378"/>
      <c r="AF101" s="1378"/>
      <c r="AG101" s="1378"/>
      <c r="AH101" s="1378"/>
      <c r="AI101" s="1378">
        <f>IF(INDEX(Tab_actions,204,1)=1,INDEX(Tab_actions,204,22),0)</f>
        <v>0</v>
      </c>
      <c r="AJ101" s="1378"/>
      <c r="AK101" s="1378"/>
      <c r="AL101" s="1378"/>
      <c r="AM101" s="1378"/>
      <c r="AN101" s="1378"/>
      <c r="AO101" s="1378"/>
      <c r="AP101" s="1378"/>
      <c r="AQ101" s="1378"/>
      <c r="AR101" s="1378"/>
      <c r="AS101" s="1378"/>
      <c r="AT101" s="1378"/>
      <c r="AU101" s="1378"/>
      <c r="AV101" s="1378"/>
      <c r="AW101" s="1378"/>
      <c r="AX101" s="1378"/>
      <c r="AY101" s="1378"/>
      <c r="AZ101" s="1378"/>
      <c r="BA101" s="1378"/>
      <c r="BB101" s="1378"/>
      <c r="BC101" s="1378"/>
      <c r="BD101"/>
      <c r="BE101" s="198"/>
      <c r="BF101" s="198"/>
      <c r="BG101" s="198"/>
      <c r="BH101" s="198"/>
      <c r="BI101" s="198"/>
      <c r="BJ101" s="198"/>
      <c r="BK101" s="198"/>
      <c r="BL101" s="198"/>
      <c r="BM101" s="198"/>
      <c r="BN101" s="198"/>
      <c r="BO101" s="198"/>
      <c r="BP101" s="198"/>
      <c r="BQ101" s="198"/>
      <c r="BR101" s="198"/>
      <c r="BS101" s="198"/>
      <c r="BT101" s="198"/>
      <c r="BU101" s="198"/>
      <c r="BV101" s="198"/>
      <c r="BW101" s="198"/>
      <c r="BX101" s="198"/>
      <c r="BY101" s="198"/>
      <c r="BZ101" s="198"/>
      <c r="CA101" s="198"/>
      <c r="CB101" s="198"/>
      <c r="CC101" s="198"/>
      <c r="CD101" s="198"/>
      <c r="CE101" s="198"/>
      <c r="CF101" s="198"/>
      <c r="CG101" s="198"/>
      <c r="CH101" s="198"/>
      <c r="CI101" s="198"/>
      <c r="CJ101" s="198"/>
      <c r="CK101" s="198"/>
      <c r="CL101" s="198"/>
      <c r="CM101" s="198"/>
      <c r="CN101" s="198"/>
      <c r="CO101" s="198"/>
      <c r="CP101" s="198"/>
      <c r="CQ101" s="198"/>
      <c r="CR101" s="198"/>
      <c r="CS101" s="198"/>
      <c r="CT101" s="198"/>
      <c r="CU101" s="198"/>
      <c r="CV101" s="198"/>
      <c r="CW101" s="198"/>
      <c r="CX101" s="198"/>
      <c r="CY101" s="198"/>
      <c r="CZ101" s="198"/>
      <c r="DA101" s="198"/>
      <c r="DB101" s="198"/>
      <c r="DC101" s="198"/>
      <c r="DD101" s="198"/>
      <c r="DE101" s="198"/>
      <c r="DF101" s="198"/>
      <c r="DG101" s="198"/>
      <c r="DH101" s="198"/>
      <c r="DI101" s="198"/>
      <c r="DJ101" s="198"/>
      <c r="DK101" s="198"/>
      <c r="DL101" s="198"/>
      <c r="DM101" s="198"/>
      <c r="DN101" s="198"/>
      <c r="DO101" s="198"/>
      <c r="DP101" s="198"/>
      <c r="DQ101" s="198"/>
      <c r="DR101" s="198"/>
      <c r="DS101" s="198"/>
      <c r="DT101" s="198"/>
    </row>
    <row r="102" spans="1:124" s="172" customFormat="1" ht="15" outlineLevel="1" x14ac:dyDescent="0.25">
      <c r="A102" s="212"/>
      <c r="B102" s="218" t="str">
        <f>Services!B102</f>
        <v>04D03</v>
      </c>
      <c r="C102" s="216" t="str">
        <f>Services!C102</f>
        <v>Traitement des incidents du réseau étendu</v>
      </c>
      <c r="D102" s="210" t="str">
        <f t="shared" si="1"/>
        <v/>
      </c>
      <c r="E102" s="1378"/>
      <c r="F102" s="1378"/>
      <c r="G102" s="1378"/>
      <c r="H102" s="1378"/>
      <c r="I102" s="1378"/>
      <c r="J102" s="1378"/>
      <c r="K102" s="1378"/>
      <c r="L102" s="1378"/>
      <c r="M102" s="1378"/>
      <c r="N102" s="1378"/>
      <c r="O102" s="1378"/>
      <c r="P102" s="1378"/>
      <c r="Q102" s="1378"/>
      <c r="R102" s="1378"/>
      <c r="S102" s="1378"/>
      <c r="T102" s="1378"/>
      <c r="U102" s="1378"/>
      <c r="V102" s="1378"/>
      <c r="W102" s="1378"/>
      <c r="X102" s="1378"/>
      <c r="Y102" s="1378"/>
      <c r="Z102" s="1378"/>
      <c r="AA102" s="1378"/>
      <c r="AB102" s="1378"/>
      <c r="AC102" s="1378"/>
      <c r="AD102" s="1378"/>
      <c r="AE102" s="1378"/>
      <c r="AF102" s="1378"/>
      <c r="AG102" s="1378"/>
      <c r="AH102" s="1378"/>
      <c r="AI102" s="1378">
        <f>IF(INDEX(Tab_actions,204,1)=1,INDEX(Tab_actions,204,25),0)</f>
        <v>0</v>
      </c>
      <c r="AJ102" s="1378"/>
      <c r="AK102" s="1378"/>
      <c r="AL102" s="1378"/>
      <c r="AM102" s="1378"/>
      <c r="AN102" s="1378"/>
      <c r="AO102" s="1378"/>
      <c r="AP102" s="1378"/>
      <c r="AQ102" s="1378"/>
      <c r="AR102" s="1378"/>
      <c r="AS102" s="1378"/>
      <c r="AT102" s="1378"/>
      <c r="AU102" s="1378"/>
      <c r="AV102" s="1378"/>
      <c r="AW102" s="1378"/>
      <c r="AX102" s="1378"/>
      <c r="AY102" s="1378"/>
      <c r="AZ102" s="1378"/>
      <c r="BA102" s="1378"/>
      <c r="BB102" s="1378"/>
      <c r="BC102" s="1378"/>
      <c r="BD102"/>
      <c r="BE102" s="198"/>
      <c r="BF102" s="198"/>
      <c r="BG102" s="198"/>
      <c r="BH102" s="198"/>
      <c r="BI102" s="198"/>
      <c r="BJ102" s="198"/>
      <c r="BK102" s="198"/>
      <c r="BL102" s="198"/>
      <c r="BM102" s="198"/>
      <c r="BN102" s="198"/>
      <c r="BO102" s="198"/>
      <c r="BP102" s="198"/>
      <c r="BQ102" s="198"/>
      <c r="BR102" s="198"/>
      <c r="BS102" s="198"/>
      <c r="BT102" s="198"/>
      <c r="BU102" s="198"/>
      <c r="BV102" s="198"/>
      <c r="BW102" s="198"/>
      <c r="BX102" s="198"/>
      <c r="BY102" s="198"/>
      <c r="BZ102" s="198"/>
      <c r="CA102" s="198"/>
      <c r="CB102" s="198"/>
      <c r="CC102" s="198"/>
      <c r="CD102" s="198"/>
      <c r="CE102" s="198"/>
      <c r="CF102" s="198"/>
      <c r="CG102" s="198"/>
      <c r="CH102" s="198"/>
      <c r="CI102" s="198"/>
      <c r="CJ102" s="198"/>
      <c r="CK102" s="198"/>
      <c r="CL102" s="198"/>
      <c r="CM102" s="198"/>
      <c r="CN102" s="198"/>
      <c r="CO102" s="198"/>
      <c r="CP102" s="198"/>
      <c r="CQ102" s="198"/>
      <c r="CR102" s="198"/>
      <c r="CS102" s="198"/>
      <c r="CT102" s="198"/>
      <c r="CU102" s="198"/>
      <c r="CV102" s="198"/>
      <c r="CW102" s="198"/>
      <c r="CX102" s="198"/>
      <c r="CY102" s="198"/>
      <c r="CZ102" s="198"/>
      <c r="DA102" s="198"/>
      <c r="DB102" s="198"/>
      <c r="DC102" s="198"/>
      <c r="DD102" s="198"/>
      <c r="DE102" s="198"/>
      <c r="DF102" s="198"/>
      <c r="DG102" s="198"/>
      <c r="DH102" s="198"/>
      <c r="DI102" s="198"/>
      <c r="DJ102" s="198"/>
      <c r="DK102" s="198"/>
      <c r="DL102" s="198"/>
      <c r="DM102" s="198"/>
      <c r="DN102" s="198"/>
      <c r="DO102" s="198"/>
      <c r="DP102" s="198"/>
      <c r="DQ102" s="198"/>
      <c r="DR102" s="198"/>
      <c r="DS102" s="198"/>
      <c r="DT102" s="198"/>
    </row>
    <row r="103" spans="1:124" ht="15" x14ac:dyDescent="0.25">
      <c r="A103" s="207" t="s">
        <v>2247</v>
      </c>
      <c r="B103" s="207" t="str">
        <f>Services!B103</f>
        <v>Réseau local (05 Lan)</v>
      </c>
      <c r="C103" s="223"/>
      <c r="D103" s="210" t="str">
        <f t="shared" si="1"/>
        <v/>
      </c>
      <c r="E103" s="1378"/>
      <c r="F103" s="1378"/>
      <c r="G103" s="1378"/>
      <c r="H103" s="1378"/>
      <c r="I103" s="1378"/>
      <c r="J103" s="1378"/>
      <c r="K103" s="1378"/>
      <c r="L103" s="1378"/>
      <c r="M103" s="1378"/>
      <c r="N103" s="1378"/>
      <c r="O103" s="1378"/>
      <c r="P103" s="1378"/>
      <c r="Q103" s="1378"/>
      <c r="R103" s="1378"/>
      <c r="S103" s="1378"/>
      <c r="T103" s="1378"/>
      <c r="U103" s="1378"/>
      <c r="V103" s="1378"/>
      <c r="W103" s="1378"/>
      <c r="X103" s="1378"/>
      <c r="Y103" s="1378"/>
      <c r="Z103" s="1378"/>
      <c r="AA103" s="1378"/>
      <c r="AB103" s="1378"/>
      <c r="AC103" s="1378"/>
      <c r="AD103" s="1378"/>
      <c r="AE103" s="1378"/>
      <c r="AF103" s="1378"/>
      <c r="AG103" s="1378"/>
      <c r="AH103" s="1378"/>
      <c r="AI103" s="1378"/>
      <c r="AJ103" s="1378"/>
      <c r="AK103" s="1378"/>
      <c r="AL103" s="1378"/>
      <c r="AM103" s="1378"/>
      <c r="AN103" s="1378"/>
      <c r="AO103" s="1378"/>
      <c r="AP103" s="1378"/>
      <c r="AQ103" s="1378"/>
      <c r="AR103" s="1378"/>
      <c r="AS103" s="1378"/>
      <c r="AT103" s="1378"/>
      <c r="AU103" s="1378"/>
      <c r="AV103" s="1378"/>
      <c r="AW103" s="1378"/>
      <c r="AX103" s="1378"/>
      <c r="AY103" s="1378"/>
      <c r="AZ103" s="1378"/>
      <c r="BA103" s="1378"/>
      <c r="BB103" s="1378"/>
      <c r="BC103" s="1378"/>
      <c r="BD103"/>
    </row>
    <row r="104" spans="1:124" s="172" customFormat="1" ht="15" outlineLevel="1" x14ac:dyDescent="0.25">
      <c r="A104" s="224"/>
      <c r="B104" s="213" t="str">
        <f>Services!B104</f>
        <v>05A</v>
      </c>
      <c r="C104" s="214" t="str">
        <f>Services!C104</f>
        <v>Sécurité de l'architecture du réseau local</v>
      </c>
      <c r="D104" s="210" t="str">
        <f t="shared" si="1"/>
        <v/>
      </c>
      <c r="E104" s="1378"/>
      <c r="F104" s="1378"/>
      <c r="G104" s="1378"/>
      <c r="H104" s="1378"/>
      <c r="I104" s="1378"/>
      <c r="J104" s="1378"/>
      <c r="K104" s="1378"/>
      <c r="L104" s="1378"/>
      <c r="M104" s="1378"/>
      <c r="N104" s="1378"/>
      <c r="O104" s="1378"/>
      <c r="P104" s="1378"/>
      <c r="Q104" s="1378"/>
      <c r="R104" s="1378"/>
      <c r="S104" s="1378"/>
      <c r="T104" s="1378"/>
      <c r="U104" s="1378"/>
      <c r="V104" s="1378"/>
      <c r="W104" s="1378"/>
      <c r="X104" s="1378"/>
      <c r="Y104" s="1378"/>
      <c r="Z104" s="1378"/>
      <c r="AA104" s="1378"/>
      <c r="AB104" s="1378"/>
      <c r="AC104" s="1378"/>
      <c r="AD104" s="1378"/>
      <c r="AE104" s="1378"/>
      <c r="AF104" s="1378"/>
      <c r="AG104" s="1378"/>
      <c r="AH104" s="1378"/>
      <c r="AI104" s="1378"/>
      <c r="AJ104" s="1378"/>
      <c r="AK104" s="1378"/>
      <c r="AL104" s="1378"/>
      <c r="AM104" s="1378"/>
      <c r="AN104" s="1378"/>
      <c r="AO104" s="1378"/>
      <c r="AP104" s="1378"/>
      <c r="AQ104" s="1378"/>
      <c r="AR104" s="1378"/>
      <c r="AS104" s="1378"/>
      <c r="AT104" s="1378"/>
      <c r="AU104" s="1378"/>
      <c r="AV104" s="1378"/>
      <c r="AW104" s="1378"/>
      <c r="AX104" s="1378"/>
      <c r="AY104" s="1378"/>
      <c r="AZ104" s="1378"/>
      <c r="BA104" s="1378"/>
      <c r="BB104" s="1378"/>
      <c r="BC104" s="1378"/>
      <c r="BD104"/>
      <c r="BE104" s="198"/>
      <c r="BF104" s="198"/>
      <c r="BG104" s="198"/>
      <c r="BH104" s="198"/>
      <c r="BI104" s="198"/>
      <c r="BJ104" s="198"/>
      <c r="BK104" s="198"/>
      <c r="BL104" s="198"/>
      <c r="BM104" s="198"/>
      <c r="BN104" s="198"/>
      <c r="BO104" s="198"/>
      <c r="BP104" s="198"/>
      <c r="BQ104" s="198"/>
      <c r="BR104" s="198"/>
      <c r="BS104" s="198"/>
      <c r="BT104" s="198"/>
      <c r="BU104" s="198"/>
      <c r="BV104" s="198"/>
      <c r="BW104" s="198"/>
      <c r="BX104" s="198"/>
      <c r="BY104" s="198"/>
      <c r="BZ104" s="198"/>
      <c r="CA104" s="198"/>
      <c r="CB104" s="198"/>
      <c r="CC104" s="198"/>
      <c r="CD104" s="198"/>
      <c r="CE104" s="198"/>
      <c r="CF104" s="198"/>
      <c r="CG104" s="198"/>
      <c r="CH104" s="198"/>
      <c r="CI104" s="198"/>
      <c r="CJ104" s="198"/>
      <c r="CK104" s="198"/>
      <c r="CL104" s="198"/>
      <c r="CM104" s="198"/>
      <c r="CN104" s="198"/>
      <c r="CO104" s="198"/>
      <c r="CP104" s="198"/>
      <c r="CQ104" s="198"/>
      <c r="CR104" s="198"/>
      <c r="CS104" s="198"/>
      <c r="CT104" s="198"/>
      <c r="CU104" s="198"/>
      <c r="CV104" s="198"/>
      <c r="CW104" s="198"/>
      <c r="CX104" s="198"/>
      <c r="CY104" s="198"/>
      <c r="CZ104" s="198"/>
      <c r="DA104" s="198"/>
      <c r="DB104" s="198"/>
      <c r="DC104" s="198"/>
      <c r="DD104" s="198"/>
      <c r="DE104" s="198"/>
      <c r="DF104" s="198"/>
      <c r="DG104" s="198"/>
      <c r="DH104" s="198"/>
      <c r="DI104" s="198"/>
      <c r="DJ104" s="198"/>
      <c r="DK104" s="198"/>
      <c r="DL104" s="198"/>
      <c r="DM104" s="198"/>
      <c r="DN104" s="198"/>
      <c r="DO104" s="198"/>
      <c r="DP104" s="198"/>
      <c r="DQ104" s="198"/>
      <c r="DR104" s="198"/>
      <c r="DS104" s="198"/>
      <c r="DT104" s="198"/>
    </row>
    <row r="105" spans="1:124" s="172" customFormat="1" ht="15" outlineLevel="1" x14ac:dyDescent="0.25">
      <c r="A105" s="224"/>
      <c r="B105" s="218" t="str">
        <f>Services!B105</f>
        <v>05A01</v>
      </c>
      <c r="C105" s="216" t="str">
        <f>Services!C105</f>
        <v>Partitionnement du réseau local en domaines de sécurité</v>
      </c>
      <c r="D105" s="210" t="str">
        <f t="shared" si="1"/>
        <v/>
      </c>
      <c r="E105" s="1378"/>
      <c r="F105" s="1378"/>
      <c r="G105" s="1378"/>
      <c r="H105" s="1378"/>
      <c r="I105" s="1378"/>
      <c r="J105" s="1378"/>
      <c r="K105" s="1378"/>
      <c r="L105" s="1378"/>
      <c r="M105" s="1378"/>
      <c r="N105" s="1378"/>
      <c r="O105" s="1378"/>
      <c r="P105" s="1378"/>
      <c r="Q105" s="1378"/>
      <c r="R105" s="1378"/>
      <c r="S105" s="1378"/>
      <c r="T105" s="1378"/>
      <c r="U105" s="1378"/>
      <c r="V105" s="1378"/>
      <c r="W105" s="1378"/>
      <c r="X105" s="1378"/>
      <c r="Y105" s="1378"/>
      <c r="Z105" s="1378"/>
      <c r="AA105" s="1378"/>
      <c r="AB105" s="1378"/>
      <c r="AC105" s="1378"/>
      <c r="AD105" s="1378"/>
      <c r="AE105" s="1378"/>
      <c r="AF105" s="1378"/>
      <c r="AG105" s="1378"/>
      <c r="AH105" s="1378"/>
      <c r="AI105" s="1378"/>
      <c r="AJ105" s="1378"/>
      <c r="AK105" s="1378"/>
      <c r="AL105" s="1378"/>
      <c r="AM105" s="1378"/>
      <c r="AN105" s="1378"/>
      <c r="AO105" s="1378"/>
      <c r="AP105" s="1378"/>
      <c r="AQ105" s="1378"/>
      <c r="AR105" s="1378"/>
      <c r="AS105" s="1378"/>
      <c r="AT105" s="1378"/>
      <c r="AU105" s="1378"/>
      <c r="AV105" s="1378"/>
      <c r="AW105" s="1378"/>
      <c r="AX105" s="1378"/>
      <c r="AY105" s="1378"/>
      <c r="AZ105" s="1378"/>
      <c r="BA105" s="1378"/>
      <c r="BB105" s="1378"/>
      <c r="BC105" s="1378"/>
      <c r="BD105"/>
      <c r="BE105" s="198"/>
      <c r="BF105" s="198"/>
      <c r="BG105" s="198"/>
      <c r="BH105" s="198"/>
      <c r="BI105" s="198"/>
      <c r="BJ105" s="198"/>
      <c r="BK105" s="198"/>
      <c r="BL105" s="198"/>
      <c r="BM105" s="198"/>
      <c r="BN105" s="198"/>
      <c r="BO105" s="198"/>
      <c r="BP105" s="198"/>
      <c r="BQ105" s="198"/>
      <c r="BR105" s="198"/>
      <c r="BS105" s="198"/>
      <c r="BT105" s="198"/>
      <c r="BU105" s="198"/>
      <c r="BV105" s="198"/>
      <c r="BW105" s="198"/>
      <c r="BX105" s="198"/>
      <c r="BY105" s="198"/>
      <c r="BZ105" s="198"/>
      <c r="CA105" s="198"/>
      <c r="CB105" s="198"/>
      <c r="CC105" s="198"/>
      <c r="CD105" s="198"/>
      <c r="CE105" s="198"/>
      <c r="CF105" s="198"/>
      <c r="CG105" s="198"/>
      <c r="CH105" s="198"/>
      <c r="CI105" s="198"/>
      <c r="CJ105" s="198"/>
      <c r="CK105" s="198"/>
      <c r="CL105" s="198"/>
      <c r="CM105" s="198"/>
      <c r="CN105" s="198"/>
      <c r="CO105" s="198"/>
      <c r="CP105" s="198"/>
      <c r="CQ105" s="198"/>
      <c r="CR105" s="198"/>
      <c r="CS105" s="198"/>
      <c r="CT105" s="198"/>
      <c r="CU105" s="198"/>
      <c r="CV105" s="198"/>
      <c r="CW105" s="198"/>
      <c r="CX105" s="198"/>
      <c r="CY105" s="198"/>
      <c r="CZ105" s="198"/>
      <c r="DA105" s="198"/>
      <c r="DB105" s="198"/>
      <c r="DC105" s="198"/>
      <c r="DD105" s="198"/>
      <c r="DE105" s="198"/>
      <c r="DF105" s="198"/>
      <c r="DG105" s="198"/>
      <c r="DH105" s="198"/>
      <c r="DI105" s="198"/>
      <c r="DJ105" s="198"/>
      <c r="DK105" s="198"/>
      <c r="DL105" s="198"/>
      <c r="DM105" s="198"/>
      <c r="DN105" s="198"/>
      <c r="DO105" s="198"/>
      <c r="DP105" s="198"/>
      <c r="DQ105" s="198"/>
      <c r="DR105" s="198"/>
      <c r="DS105" s="198"/>
      <c r="DT105" s="198"/>
    </row>
    <row r="106" spans="1:124" s="172" customFormat="1" ht="15" outlineLevel="1" x14ac:dyDescent="0.25">
      <c r="A106" s="224"/>
      <c r="B106" s="218" t="str">
        <f>Services!B106</f>
        <v>05A02</v>
      </c>
      <c r="C106" s="216" t="str">
        <f>Services!C106</f>
        <v>Sûreté de fonctionnement des éléments d'architecture du réseau local</v>
      </c>
      <c r="D106" s="210" t="str">
        <f t="shared" si="1"/>
        <v/>
      </c>
      <c r="E106" s="1378"/>
      <c r="F106" s="1378"/>
      <c r="G106" s="1378"/>
      <c r="H106" s="1378"/>
      <c r="I106" s="1378"/>
      <c r="J106" s="1378"/>
      <c r="K106" s="1378"/>
      <c r="L106" s="1378"/>
      <c r="M106" s="1378"/>
      <c r="N106" s="1378"/>
      <c r="O106" s="1378"/>
      <c r="P106" s="1378"/>
      <c r="Q106" s="1378"/>
      <c r="R106" s="1378"/>
      <c r="S106" s="1378"/>
      <c r="T106" s="1378"/>
      <c r="U106" s="1378"/>
      <c r="V106" s="1378"/>
      <c r="W106" s="1378"/>
      <c r="X106" s="1378"/>
      <c r="Y106" s="1378"/>
      <c r="Z106" s="1378"/>
      <c r="AA106" s="1378"/>
      <c r="AB106" s="1378"/>
      <c r="AC106" s="1378"/>
      <c r="AD106" s="1378"/>
      <c r="AE106" s="1378"/>
      <c r="AF106" s="1378"/>
      <c r="AG106" s="1378"/>
      <c r="AH106" s="1378"/>
      <c r="AI106" s="1378"/>
      <c r="AJ106" s="1378">
        <f>IF(INDEX(Tab_actions,213,1)=1,INDEX(Tab_actions,213,10),0)</f>
        <v>0</v>
      </c>
      <c r="AK106" s="1378"/>
      <c r="AL106" s="1378"/>
      <c r="AM106" s="1378"/>
      <c r="AN106" s="1378"/>
      <c r="AO106" s="1378"/>
      <c r="AP106" s="1378"/>
      <c r="AQ106" s="1378"/>
      <c r="AR106" s="1378"/>
      <c r="AS106" s="1378"/>
      <c r="AT106" s="1378"/>
      <c r="AU106" s="1378"/>
      <c r="AV106" s="1378"/>
      <c r="AW106" s="1378"/>
      <c r="AX106" s="1378"/>
      <c r="AY106" s="1378"/>
      <c r="AZ106" s="1378"/>
      <c r="BA106" s="1378"/>
      <c r="BB106" s="1378"/>
      <c r="BC106" s="1378"/>
      <c r="BD106"/>
      <c r="BE106" s="198"/>
      <c r="BF106" s="198"/>
      <c r="BG106" s="198"/>
      <c r="BH106" s="198"/>
      <c r="BI106" s="198"/>
      <c r="BJ106" s="198"/>
      <c r="BK106" s="198"/>
      <c r="BL106" s="198"/>
      <c r="BM106" s="198"/>
      <c r="BN106" s="198"/>
      <c r="BO106" s="198"/>
      <c r="BP106" s="198"/>
      <c r="BQ106" s="198"/>
      <c r="BR106" s="198"/>
      <c r="BS106" s="198"/>
      <c r="BT106" s="198"/>
      <c r="BU106" s="198"/>
      <c r="BV106" s="198"/>
      <c r="BW106" s="198"/>
      <c r="BX106" s="198"/>
      <c r="BY106" s="198"/>
      <c r="BZ106" s="198"/>
      <c r="CA106" s="198"/>
      <c r="CB106" s="198"/>
      <c r="CC106" s="198"/>
      <c r="CD106" s="198"/>
      <c r="CE106" s="198"/>
      <c r="CF106" s="198"/>
      <c r="CG106" s="198"/>
      <c r="CH106" s="198"/>
      <c r="CI106" s="198"/>
      <c r="CJ106" s="198"/>
      <c r="CK106" s="198"/>
      <c r="CL106" s="198"/>
      <c r="CM106" s="198"/>
      <c r="CN106" s="198"/>
      <c r="CO106" s="198"/>
      <c r="CP106" s="198"/>
      <c r="CQ106" s="198"/>
      <c r="CR106" s="198"/>
      <c r="CS106" s="198"/>
      <c r="CT106" s="198"/>
      <c r="CU106" s="198"/>
      <c r="CV106" s="198"/>
      <c r="CW106" s="198"/>
      <c r="CX106" s="198"/>
      <c r="CY106" s="198"/>
      <c r="CZ106" s="198"/>
      <c r="DA106" s="198"/>
      <c r="DB106" s="198"/>
      <c r="DC106" s="198"/>
      <c r="DD106" s="198"/>
      <c r="DE106" s="198"/>
      <c r="DF106" s="198"/>
      <c r="DG106" s="198"/>
      <c r="DH106" s="198"/>
      <c r="DI106" s="198"/>
      <c r="DJ106" s="198"/>
      <c r="DK106" s="198"/>
      <c r="DL106" s="198"/>
      <c r="DM106" s="198"/>
      <c r="DN106" s="198"/>
      <c r="DO106" s="198"/>
      <c r="DP106" s="198"/>
      <c r="DQ106" s="198"/>
      <c r="DR106" s="198"/>
      <c r="DS106" s="198"/>
      <c r="DT106" s="198"/>
    </row>
    <row r="107" spans="1:124" s="172" customFormat="1" ht="15" outlineLevel="1" x14ac:dyDescent="0.25">
      <c r="A107" s="224"/>
      <c r="B107" s="218" t="str">
        <f>Services!B107</f>
        <v>05A03</v>
      </c>
      <c r="C107" s="216" t="str">
        <f>Services!C107</f>
        <v>Organisation de la maintenance des équipements du réseau local</v>
      </c>
      <c r="D107" s="210" t="str">
        <f t="shared" si="1"/>
        <v/>
      </c>
      <c r="E107" s="1378"/>
      <c r="F107" s="1378"/>
      <c r="G107" s="1378"/>
      <c r="H107" s="1378"/>
      <c r="I107" s="1378"/>
      <c r="J107" s="1378"/>
      <c r="K107" s="1378"/>
      <c r="L107" s="1378"/>
      <c r="M107" s="1378"/>
      <c r="N107" s="1378"/>
      <c r="O107" s="1378"/>
      <c r="P107" s="1378"/>
      <c r="Q107" s="1378"/>
      <c r="R107" s="1378"/>
      <c r="S107" s="1378"/>
      <c r="T107" s="1378"/>
      <c r="U107" s="1378"/>
      <c r="V107" s="1378"/>
      <c r="W107" s="1378"/>
      <c r="X107" s="1378"/>
      <c r="Y107" s="1378"/>
      <c r="Z107" s="1378"/>
      <c r="AA107" s="1378"/>
      <c r="AB107" s="1378"/>
      <c r="AC107" s="1378"/>
      <c r="AD107" s="1378"/>
      <c r="AE107" s="1378"/>
      <c r="AF107" s="1378"/>
      <c r="AG107" s="1378"/>
      <c r="AH107" s="1378"/>
      <c r="AI107" s="1378"/>
      <c r="AJ107" s="1378">
        <f>IF(INDEX(Tab_actions,212,1)=1,INDEX(Tab_actions,212,13),0)</f>
        <v>0</v>
      </c>
      <c r="AK107" s="1378"/>
      <c r="AL107" s="1378"/>
      <c r="AM107" s="1378"/>
      <c r="AN107" s="1378"/>
      <c r="AO107" s="1378"/>
      <c r="AP107" s="1378"/>
      <c r="AQ107" s="1378"/>
      <c r="AR107" s="1378"/>
      <c r="AS107" s="1378"/>
      <c r="AT107" s="1378"/>
      <c r="AU107" s="1378"/>
      <c r="AV107" s="1378"/>
      <c r="AW107" s="1378"/>
      <c r="AX107" s="1378"/>
      <c r="AY107" s="1378"/>
      <c r="AZ107" s="1378"/>
      <c r="BA107" s="1378"/>
      <c r="BB107" s="1378"/>
      <c r="BC107" s="1378"/>
      <c r="BD107"/>
      <c r="BE107" s="198"/>
      <c r="BF107" s="198"/>
      <c r="BG107" s="198"/>
      <c r="BH107" s="198"/>
      <c r="BI107" s="198"/>
      <c r="BJ107" s="198"/>
      <c r="BK107" s="198"/>
      <c r="BL107" s="198"/>
      <c r="BM107" s="198"/>
      <c r="BN107" s="198"/>
      <c r="BO107" s="198"/>
      <c r="BP107" s="198"/>
      <c r="BQ107" s="198"/>
      <c r="BR107" s="198"/>
      <c r="BS107" s="198"/>
      <c r="BT107" s="198"/>
      <c r="BU107" s="198"/>
      <c r="BV107" s="198"/>
      <c r="BW107" s="198"/>
      <c r="BX107" s="198"/>
      <c r="BY107" s="198"/>
      <c r="BZ107" s="198"/>
      <c r="CA107" s="198"/>
      <c r="CB107" s="198"/>
      <c r="CC107" s="198"/>
      <c r="CD107" s="198"/>
      <c r="CE107" s="198"/>
      <c r="CF107" s="198"/>
      <c r="CG107" s="198"/>
      <c r="CH107" s="198"/>
      <c r="CI107" s="198"/>
      <c r="CJ107" s="198"/>
      <c r="CK107" s="198"/>
      <c r="CL107" s="198"/>
      <c r="CM107" s="198"/>
      <c r="CN107" s="198"/>
      <c r="CO107" s="198"/>
      <c r="CP107" s="198"/>
      <c r="CQ107" s="198"/>
      <c r="CR107" s="198"/>
      <c r="CS107" s="198"/>
      <c r="CT107" s="198"/>
      <c r="CU107" s="198"/>
      <c r="CV107" s="198"/>
      <c r="CW107" s="198"/>
      <c r="CX107" s="198"/>
      <c r="CY107" s="198"/>
      <c r="CZ107" s="198"/>
      <c r="DA107" s="198"/>
      <c r="DB107" s="198"/>
      <c r="DC107" s="198"/>
      <c r="DD107" s="198"/>
      <c r="DE107" s="198"/>
      <c r="DF107" s="198"/>
      <c r="DG107" s="198"/>
      <c r="DH107" s="198"/>
      <c r="DI107" s="198"/>
      <c r="DJ107" s="198"/>
      <c r="DK107" s="198"/>
      <c r="DL107" s="198"/>
      <c r="DM107" s="198"/>
      <c r="DN107" s="198"/>
      <c r="DO107" s="198"/>
      <c r="DP107" s="198"/>
      <c r="DQ107" s="198"/>
      <c r="DR107" s="198"/>
      <c r="DS107" s="198"/>
      <c r="DT107" s="198"/>
    </row>
    <row r="108" spans="1:124" s="172" customFormat="1" ht="15" outlineLevel="1" x14ac:dyDescent="0.25">
      <c r="A108" s="224"/>
      <c r="B108" s="218" t="str">
        <f>Services!B108</f>
        <v>05A04</v>
      </c>
      <c r="C108" s="216" t="str">
        <f>Services!C108</f>
        <v>Procédures et plans de reprise du réseau local sur incidents</v>
      </c>
      <c r="D108" s="210" t="str">
        <f t="shared" si="1"/>
        <v/>
      </c>
      <c r="E108" s="1378"/>
      <c r="F108" s="1378"/>
      <c r="G108" s="1378"/>
      <c r="H108" s="1378"/>
      <c r="I108" s="1378"/>
      <c r="J108" s="1378"/>
      <c r="K108" s="1378"/>
      <c r="L108" s="1378"/>
      <c r="M108" s="1378"/>
      <c r="N108" s="1378"/>
      <c r="O108" s="1378"/>
      <c r="P108" s="1378"/>
      <c r="Q108" s="1378"/>
      <c r="R108" s="1378"/>
      <c r="S108" s="1378"/>
      <c r="T108" s="1378"/>
      <c r="U108" s="1378"/>
      <c r="V108" s="1378"/>
      <c r="W108" s="1378"/>
      <c r="X108" s="1378"/>
      <c r="Y108" s="1378"/>
      <c r="Z108" s="1378"/>
      <c r="AA108" s="1378"/>
      <c r="AB108" s="1378"/>
      <c r="AC108" s="1378"/>
      <c r="AD108" s="1378"/>
      <c r="AE108" s="1378"/>
      <c r="AF108" s="1378"/>
      <c r="AG108" s="1378"/>
      <c r="AH108" s="1378"/>
      <c r="AI108" s="1378"/>
      <c r="AJ108" s="1378">
        <f>IF(INDEX(Tab_actions,212,1)=1,INDEX(Tab_actions,212,16),0)</f>
        <v>0</v>
      </c>
      <c r="AK108" s="1378"/>
      <c r="AL108" s="1378"/>
      <c r="AM108" s="1378"/>
      <c r="AN108" s="1378"/>
      <c r="AO108" s="1378"/>
      <c r="AP108" s="1378"/>
      <c r="AQ108" s="1378"/>
      <c r="AR108" s="1378"/>
      <c r="AS108" s="1378"/>
      <c r="AT108" s="1378"/>
      <c r="AU108" s="1378"/>
      <c r="AV108" s="1378"/>
      <c r="AW108" s="1378"/>
      <c r="AX108" s="1378"/>
      <c r="AY108" s="1378"/>
      <c r="AZ108" s="1378"/>
      <c r="BA108" s="1378"/>
      <c r="BB108" s="1378"/>
      <c r="BC108" s="1378"/>
      <c r="BD108"/>
      <c r="BE108" s="198"/>
      <c r="BF108" s="198"/>
      <c r="BG108" s="198"/>
      <c r="BH108" s="198"/>
      <c r="BI108" s="198"/>
      <c r="BJ108" s="198"/>
      <c r="BK108" s="198"/>
      <c r="BL108" s="198"/>
      <c r="BM108" s="198"/>
      <c r="BN108" s="198"/>
      <c r="BO108" s="198"/>
      <c r="BP108" s="198"/>
      <c r="BQ108" s="198"/>
      <c r="BR108" s="198"/>
      <c r="BS108" s="198"/>
      <c r="BT108" s="198"/>
      <c r="BU108" s="198"/>
      <c r="BV108" s="198"/>
      <c r="BW108" s="198"/>
      <c r="BX108" s="198"/>
      <c r="BY108" s="198"/>
      <c r="BZ108" s="198"/>
      <c r="CA108" s="198"/>
      <c r="CB108" s="198"/>
      <c r="CC108" s="198"/>
      <c r="CD108" s="198"/>
      <c r="CE108" s="198"/>
      <c r="CF108" s="198"/>
      <c r="CG108" s="198"/>
      <c r="CH108" s="198"/>
      <c r="CI108" s="198"/>
      <c r="CJ108" s="198"/>
      <c r="CK108" s="198"/>
      <c r="CL108" s="198"/>
      <c r="CM108" s="198"/>
      <c r="CN108" s="198"/>
      <c r="CO108" s="198"/>
      <c r="CP108" s="198"/>
      <c r="CQ108" s="198"/>
      <c r="CR108" s="198"/>
      <c r="CS108" s="198"/>
      <c r="CT108" s="198"/>
      <c r="CU108" s="198"/>
      <c r="CV108" s="198"/>
      <c r="CW108" s="198"/>
      <c r="CX108" s="198"/>
      <c r="CY108" s="198"/>
      <c r="CZ108" s="198"/>
      <c r="DA108" s="198"/>
      <c r="DB108" s="198"/>
      <c r="DC108" s="198"/>
      <c r="DD108" s="198"/>
      <c r="DE108" s="198"/>
      <c r="DF108" s="198"/>
      <c r="DG108" s="198"/>
      <c r="DH108" s="198"/>
      <c r="DI108" s="198"/>
      <c r="DJ108" s="198"/>
      <c r="DK108" s="198"/>
      <c r="DL108" s="198"/>
      <c r="DM108" s="198"/>
      <c r="DN108" s="198"/>
      <c r="DO108" s="198"/>
      <c r="DP108" s="198"/>
      <c r="DQ108" s="198"/>
      <c r="DR108" s="198"/>
      <c r="DS108" s="198"/>
      <c r="DT108" s="198"/>
    </row>
    <row r="109" spans="1:124" s="172" customFormat="1" ht="15" outlineLevel="1" x14ac:dyDescent="0.25">
      <c r="A109" s="224"/>
      <c r="B109" s="218" t="str">
        <f>Services!B109</f>
        <v>05A05</v>
      </c>
      <c r="C109" s="216" t="str">
        <f>Services!C109</f>
        <v>Plan de sauvegarde des configurations du réseau local</v>
      </c>
      <c r="D109" s="210" t="str">
        <f t="shared" si="1"/>
        <v/>
      </c>
      <c r="E109" s="1378"/>
      <c r="F109" s="1378"/>
      <c r="G109" s="1378"/>
      <c r="H109" s="1378"/>
      <c r="I109" s="1378"/>
      <c r="J109" s="1378"/>
      <c r="K109" s="1378"/>
      <c r="L109" s="1378"/>
      <c r="M109" s="1378"/>
      <c r="N109" s="1378"/>
      <c r="O109" s="1378"/>
      <c r="P109" s="1378"/>
      <c r="Q109" s="1378"/>
      <c r="R109" s="1378"/>
      <c r="S109" s="1378"/>
      <c r="T109" s="1378"/>
      <c r="U109" s="1378"/>
      <c r="V109" s="1378"/>
      <c r="W109" s="1378"/>
      <c r="X109" s="1378"/>
      <c r="Y109" s="1378"/>
      <c r="Z109" s="1378"/>
      <c r="AA109" s="1378"/>
      <c r="AB109" s="1378"/>
      <c r="AC109" s="1378"/>
      <c r="AD109" s="1378"/>
      <c r="AE109" s="1378"/>
      <c r="AF109" s="1378"/>
      <c r="AG109" s="1378"/>
      <c r="AH109" s="1378"/>
      <c r="AI109" s="1378"/>
      <c r="AJ109" s="1378">
        <f>IF(INDEX(Tab_actions,212,1)=1,INDEX(Tab_actions,212,19),0)</f>
        <v>0</v>
      </c>
      <c r="AK109" s="1378"/>
      <c r="AL109" s="1378"/>
      <c r="AM109" s="1378"/>
      <c r="AN109" s="1378"/>
      <c r="AO109" s="1378"/>
      <c r="AP109" s="1378"/>
      <c r="AQ109" s="1378"/>
      <c r="AR109" s="1378"/>
      <c r="AS109" s="1378"/>
      <c r="AT109" s="1378"/>
      <c r="AU109" s="1378"/>
      <c r="AV109" s="1378"/>
      <c r="AW109" s="1378"/>
      <c r="AX109" s="1378"/>
      <c r="AY109" s="1378"/>
      <c r="AZ109" s="1378"/>
      <c r="BA109" s="1378"/>
      <c r="BB109" s="1378"/>
      <c r="BC109" s="1378"/>
      <c r="BD109"/>
      <c r="BE109" s="198"/>
      <c r="BF109" s="198"/>
      <c r="BG109" s="198"/>
      <c r="BH109" s="198"/>
      <c r="BI109" s="198"/>
      <c r="BJ109" s="198"/>
      <c r="BK109" s="198"/>
      <c r="BL109" s="198"/>
      <c r="BM109" s="198"/>
      <c r="BN109" s="198"/>
      <c r="BO109" s="198"/>
      <c r="BP109" s="198"/>
      <c r="BQ109" s="198"/>
      <c r="BR109" s="198"/>
      <c r="BS109" s="198"/>
      <c r="BT109" s="198"/>
      <c r="BU109" s="198"/>
      <c r="BV109" s="198"/>
      <c r="BW109" s="198"/>
      <c r="BX109" s="198"/>
      <c r="BY109" s="198"/>
      <c r="BZ109" s="198"/>
      <c r="CA109" s="198"/>
      <c r="CB109" s="198"/>
      <c r="CC109" s="198"/>
      <c r="CD109" s="198"/>
      <c r="CE109" s="198"/>
      <c r="CF109" s="198"/>
      <c r="CG109" s="198"/>
      <c r="CH109" s="198"/>
      <c r="CI109" s="198"/>
      <c r="CJ109" s="198"/>
      <c r="CK109" s="198"/>
      <c r="CL109" s="198"/>
      <c r="CM109" s="198"/>
      <c r="CN109" s="198"/>
      <c r="CO109" s="198"/>
      <c r="CP109" s="198"/>
      <c r="CQ109" s="198"/>
      <c r="CR109" s="198"/>
      <c r="CS109" s="198"/>
      <c r="CT109" s="198"/>
      <c r="CU109" s="198"/>
      <c r="CV109" s="198"/>
      <c r="CW109" s="198"/>
      <c r="CX109" s="198"/>
      <c r="CY109" s="198"/>
      <c r="CZ109" s="198"/>
      <c r="DA109" s="198"/>
      <c r="DB109" s="198"/>
      <c r="DC109" s="198"/>
      <c r="DD109" s="198"/>
      <c r="DE109" s="198"/>
      <c r="DF109" s="198"/>
      <c r="DG109" s="198"/>
      <c r="DH109" s="198"/>
      <c r="DI109" s="198"/>
      <c r="DJ109" s="198"/>
      <c r="DK109" s="198"/>
      <c r="DL109" s="198"/>
      <c r="DM109" s="198"/>
      <c r="DN109" s="198"/>
      <c r="DO109" s="198"/>
      <c r="DP109" s="198"/>
      <c r="DQ109" s="198"/>
      <c r="DR109" s="198"/>
      <c r="DS109" s="198"/>
      <c r="DT109" s="198"/>
    </row>
    <row r="110" spans="1:124" s="172" customFormat="1" ht="15" outlineLevel="1" x14ac:dyDescent="0.25">
      <c r="A110" s="224"/>
      <c r="B110" s="218" t="str">
        <f>Services!B110</f>
        <v>05A06</v>
      </c>
      <c r="C110" s="216" t="str">
        <f>Services!C110</f>
        <v>Plan de Reprise d'Activité (PRA) du réseau local</v>
      </c>
      <c r="D110" s="210" t="str">
        <f t="shared" si="1"/>
        <v/>
      </c>
      <c r="E110" s="1378"/>
      <c r="F110" s="1378"/>
      <c r="G110" s="1378"/>
      <c r="H110" s="1378"/>
      <c r="I110" s="1378"/>
      <c r="J110" s="1378"/>
      <c r="K110" s="1378"/>
      <c r="L110" s="1378"/>
      <c r="M110" s="1378"/>
      <c r="N110" s="1378"/>
      <c r="O110" s="1378"/>
      <c r="P110" s="1378"/>
      <c r="Q110" s="1378"/>
      <c r="R110" s="1378"/>
      <c r="S110" s="1378"/>
      <c r="T110" s="1378"/>
      <c r="U110" s="1378"/>
      <c r="V110" s="1378"/>
      <c r="W110" s="1378"/>
      <c r="X110" s="1378"/>
      <c r="Y110" s="1378"/>
      <c r="Z110" s="1378"/>
      <c r="AA110" s="1378"/>
      <c r="AB110" s="1378"/>
      <c r="AC110" s="1378"/>
      <c r="AD110" s="1378"/>
      <c r="AE110" s="1378"/>
      <c r="AF110" s="1378"/>
      <c r="AG110" s="1378"/>
      <c r="AH110" s="1378"/>
      <c r="AI110" s="1378"/>
      <c r="AJ110" s="1378">
        <f>IF(INDEX(Tab_actions,212,1)=1,INDEX(Tab_actions,212,22),0)</f>
        <v>0</v>
      </c>
      <c r="AK110" s="1378"/>
      <c r="AL110" s="1378"/>
      <c r="AM110" s="1378"/>
      <c r="AN110" s="1378"/>
      <c r="AO110" s="1378"/>
      <c r="AP110" s="1378"/>
      <c r="AQ110" s="1378"/>
      <c r="AR110" s="1378"/>
      <c r="AS110" s="1378"/>
      <c r="AT110" s="1378"/>
      <c r="AU110" s="1378"/>
      <c r="AV110" s="1378"/>
      <c r="AW110" s="1378"/>
      <c r="AX110" s="1378"/>
      <c r="AY110" s="1378"/>
      <c r="AZ110" s="1378"/>
      <c r="BA110" s="1378"/>
      <c r="BB110" s="1378"/>
      <c r="BC110" s="1378"/>
      <c r="BD110"/>
      <c r="BE110" s="198"/>
      <c r="BF110" s="198"/>
      <c r="BG110" s="198"/>
      <c r="BH110" s="198"/>
      <c r="BI110" s="198"/>
      <c r="BJ110" s="198"/>
      <c r="BK110" s="198"/>
      <c r="BL110" s="198"/>
      <c r="BM110" s="198"/>
      <c r="BN110" s="198"/>
      <c r="BO110" s="198"/>
      <c r="BP110" s="198"/>
      <c r="BQ110" s="198"/>
      <c r="BR110" s="198"/>
      <c r="BS110" s="198"/>
      <c r="BT110" s="198"/>
      <c r="BU110" s="198"/>
      <c r="BV110" s="198"/>
      <c r="BW110" s="198"/>
      <c r="BX110" s="198"/>
      <c r="BY110" s="198"/>
      <c r="BZ110" s="198"/>
      <c r="CA110" s="198"/>
      <c r="CB110" s="198"/>
      <c r="CC110" s="198"/>
      <c r="CD110" s="198"/>
      <c r="CE110" s="198"/>
      <c r="CF110" s="198"/>
      <c r="CG110" s="198"/>
      <c r="CH110" s="198"/>
      <c r="CI110" s="198"/>
      <c r="CJ110" s="198"/>
      <c r="CK110" s="198"/>
      <c r="CL110" s="198"/>
      <c r="CM110" s="198"/>
      <c r="CN110" s="198"/>
      <c r="CO110" s="198"/>
      <c r="CP110" s="198"/>
      <c r="CQ110" s="198"/>
      <c r="CR110" s="198"/>
      <c r="CS110" s="198"/>
      <c r="CT110" s="198"/>
      <c r="CU110" s="198"/>
      <c r="CV110" s="198"/>
      <c r="CW110" s="198"/>
      <c r="CX110" s="198"/>
      <c r="CY110" s="198"/>
      <c r="CZ110" s="198"/>
      <c r="DA110" s="198"/>
      <c r="DB110" s="198"/>
      <c r="DC110" s="198"/>
      <c r="DD110" s="198"/>
      <c r="DE110" s="198"/>
      <c r="DF110" s="198"/>
      <c r="DG110" s="198"/>
      <c r="DH110" s="198"/>
      <c r="DI110" s="198"/>
      <c r="DJ110" s="198"/>
      <c r="DK110" s="198"/>
      <c r="DL110" s="198"/>
      <c r="DM110" s="198"/>
      <c r="DN110" s="198"/>
      <c r="DO110" s="198"/>
      <c r="DP110" s="198"/>
      <c r="DQ110" s="198"/>
      <c r="DR110" s="198"/>
      <c r="DS110" s="198"/>
      <c r="DT110" s="198"/>
    </row>
    <row r="111" spans="1:124" s="172" customFormat="1" ht="17.25" customHeight="1" outlineLevel="1" x14ac:dyDescent="0.25">
      <c r="A111" s="224"/>
      <c r="B111" s="218" t="str">
        <f>Services!B111</f>
        <v>05A07</v>
      </c>
      <c r="C111" s="216" t="str">
        <f>Services!C111</f>
        <v>Gestion des fournisseurs critiques vis-à-vis de la permanence de la maintenance</v>
      </c>
      <c r="D111" s="210" t="str">
        <f t="shared" si="1"/>
        <v/>
      </c>
      <c r="E111" s="1378"/>
      <c r="F111" s="1378"/>
      <c r="G111" s="1378"/>
      <c r="H111" s="1378"/>
      <c r="I111" s="1378"/>
      <c r="J111" s="1378"/>
      <c r="K111" s="1378"/>
      <c r="L111" s="1378"/>
      <c r="M111" s="1378"/>
      <c r="N111" s="1378"/>
      <c r="O111" s="1378"/>
      <c r="P111" s="1378"/>
      <c r="Q111" s="1378"/>
      <c r="R111" s="1378"/>
      <c r="S111" s="1378"/>
      <c r="T111" s="1378"/>
      <c r="U111" s="1378"/>
      <c r="V111" s="1378"/>
      <c r="W111" s="1378"/>
      <c r="X111" s="1378"/>
      <c r="Y111" s="1378"/>
      <c r="Z111" s="1378"/>
      <c r="AA111" s="1378"/>
      <c r="AB111" s="1378"/>
      <c r="AC111" s="1378"/>
      <c r="AD111" s="1378"/>
      <c r="AE111" s="1378"/>
      <c r="AF111" s="1378"/>
      <c r="AG111" s="1378"/>
      <c r="AH111" s="1378"/>
      <c r="AI111" s="1378"/>
      <c r="AJ111" s="1378">
        <f>IF(INDEX(Tab_actions,212,1)=1,INDEX(Tab_actions,212,25),0)</f>
        <v>0</v>
      </c>
      <c r="AK111" s="1378"/>
      <c r="AL111" s="1378"/>
      <c r="AM111" s="1378"/>
      <c r="AN111" s="1378"/>
      <c r="AO111" s="1378"/>
      <c r="AP111" s="1378"/>
      <c r="AQ111" s="1378"/>
      <c r="AR111" s="1378"/>
      <c r="AS111" s="1378"/>
      <c r="AT111" s="1378"/>
      <c r="AU111" s="1378"/>
      <c r="AV111" s="1378"/>
      <c r="AW111" s="1378"/>
      <c r="AX111" s="1378"/>
      <c r="AY111" s="1378"/>
      <c r="AZ111" s="1378"/>
      <c r="BA111" s="1378"/>
      <c r="BB111" s="1378"/>
      <c r="BC111" s="1378"/>
      <c r="BD111"/>
      <c r="BE111" s="198"/>
      <c r="BF111" s="198"/>
      <c r="BG111" s="198"/>
      <c r="BH111" s="198"/>
      <c r="BI111" s="198"/>
      <c r="BJ111" s="198"/>
      <c r="BK111" s="198"/>
      <c r="BL111" s="198"/>
      <c r="BM111" s="198"/>
      <c r="BN111" s="198"/>
      <c r="BO111" s="198"/>
      <c r="BP111" s="198"/>
      <c r="BQ111" s="198"/>
      <c r="BR111" s="198"/>
      <c r="BS111" s="198"/>
      <c r="BT111" s="198"/>
      <c r="BU111" s="198"/>
      <c r="BV111" s="198"/>
      <c r="BW111" s="198"/>
      <c r="BX111" s="198"/>
      <c r="BY111" s="198"/>
      <c r="BZ111" s="198"/>
      <c r="CA111" s="198"/>
      <c r="CB111" s="198"/>
      <c r="CC111" s="198"/>
      <c r="CD111" s="198"/>
      <c r="CE111" s="198"/>
      <c r="CF111" s="198"/>
      <c r="CG111" s="198"/>
      <c r="CH111" s="198"/>
      <c r="CI111" s="198"/>
      <c r="CJ111" s="198"/>
      <c r="CK111" s="198"/>
      <c r="CL111" s="198"/>
      <c r="CM111" s="198"/>
      <c r="CN111" s="198"/>
      <c r="CO111" s="198"/>
      <c r="CP111" s="198"/>
      <c r="CQ111" s="198"/>
      <c r="CR111" s="198"/>
      <c r="CS111" s="198"/>
      <c r="CT111" s="198"/>
      <c r="CU111" s="198"/>
      <c r="CV111" s="198"/>
      <c r="CW111" s="198"/>
      <c r="CX111" s="198"/>
      <c r="CY111" s="198"/>
      <c r="CZ111" s="198"/>
      <c r="DA111" s="198"/>
      <c r="DB111" s="198"/>
      <c r="DC111" s="198"/>
      <c r="DD111" s="198"/>
      <c r="DE111" s="198"/>
      <c r="DF111" s="198"/>
      <c r="DG111" s="198"/>
      <c r="DH111" s="198"/>
      <c r="DI111" s="198"/>
      <c r="DJ111" s="198"/>
      <c r="DK111" s="198"/>
      <c r="DL111" s="198"/>
      <c r="DM111" s="198"/>
      <c r="DN111" s="198"/>
      <c r="DO111" s="198"/>
      <c r="DP111" s="198"/>
      <c r="DQ111" s="198"/>
      <c r="DR111" s="198"/>
      <c r="DS111" s="198"/>
      <c r="DT111" s="198"/>
    </row>
    <row r="112" spans="1:124" s="172" customFormat="1" ht="15" outlineLevel="1" x14ac:dyDescent="0.25">
      <c r="A112" s="224"/>
      <c r="B112" s="213" t="str">
        <f>Services!B112</f>
        <v>05B</v>
      </c>
      <c r="C112" s="214" t="str">
        <f>Services!C112</f>
        <v>Contrôles d'accès sur le réseau local de "données"</v>
      </c>
      <c r="D112" s="210" t="str">
        <f t="shared" si="1"/>
        <v/>
      </c>
      <c r="E112" s="1378"/>
      <c r="F112" s="1378"/>
      <c r="G112" s="1378"/>
      <c r="H112" s="1378"/>
      <c r="I112" s="1378"/>
      <c r="J112" s="1378"/>
      <c r="K112" s="1378"/>
      <c r="L112" s="1378"/>
      <c r="M112" s="1378"/>
      <c r="N112" s="1378"/>
      <c r="O112" s="1378"/>
      <c r="P112" s="1378"/>
      <c r="Q112" s="1378"/>
      <c r="R112" s="1378"/>
      <c r="S112" s="1378"/>
      <c r="T112" s="1378"/>
      <c r="U112" s="1378"/>
      <c r="V112" s="1378"/>
      <c r="W112" s="1378"/>
      <c r="X112" s="1378"/>
      <c r="Y112" s="1378"/>
      <c r="Z112" s="1378"/>
      <c r="AA112" s="1378"/>
      <c r="AB112" s="1378"/>
      <c r="AC112" s="1378"/>
      <c r="AD112" s="1378"/>
      <c r="AE112" s="1378"/>
      <c r="AF112" s="1378"/>
      <c r="AG112" s="1378"/>
      <c r="AH112" s="1378"/>
      <c r="AI112" s="1378"/>
      <c r="AJ112" s="1378"/>
      <c r="AK112" s="1378"/>
      <c r="AL112" s="1378"/>
      <c r="AM112" s="1378"/>
      <c r="AN112" s="1378"/>
      <c r="AO112" s="1378"/>
      <c r="AP112" s="1378"/>
      <c r="AQ112" s="1378"/>
      <c r="AR112" s="1378"/>
      <c r="AS112" s="1378"/>
      <c r="AT112" s="1378"/>
      <c r="AU112" s="1378"/>
      <c r="AV112" s="1378"/>
      <c r="AW112" s="1378"/>
      <c r="AX112" s="1378"/>
      <c r="AY112" s="1378"/>
      <c r="AZ112" s="1378"/>
      <c r="BA112" s="1378"/>
      <c r="BB112" s="1378"/>
      <c r="BC112" s="1378"/>
      <c r="BD112"/>
      <c r="BE112" s="198"/>
      <c r="BF112" s="198"/>
      <c r="BG112" s="198"/>
      <c r="BH112" s="198"/>
      <c r="BI112" s="198"/>
      <c r="BJ112" s="198"/>
      <c r="BK112" s="198"/>
      <c r="BL112" s="198"/>
      <c r="BM112" s="198"/>
      <c r="BN112" s="198"/>
      <c r="BO112" s="198"/>
      <c r="BP112" s="198"/>
      <c r="BQ112" s="198"/>
      <c r="BR112" s="198"/>
      <c r="BS112" s="198"/>
      <c r="BT112" s="198"/>
      <c r="BU112" s="198"/>
      <c r="BV112" s="198"/>
      <c r="BW112" s="198"/>
      <c r="BX112" s="198"/>
      <c r="BY112" s="198"/>
      <c r="BZ112" s="198"/>
      <c r="CA112" s="198"/>
      <c r="CB112" s="198"/>
      <c r="CC112" s="198"/>
      <c r="CD112" s="198"/>
      <c r="CE112" s="198"/>
      <c r="CF112" s="198"/>
      <c r="CG112" s="198"/>
      <c r="CH112" s="198"/>
      <c r="CI112" s="198"/>
      <c r="CJ112" s="198"/>
      <c r="CK112" s="198"/>
      <c r="CL112" s="198"/>
      <c r="CM112" s="198"/>
      <c r="CN112" s="198"/>
      <c r="CO112" s="198"/>
      <c r="CP112" s="198"/>
      <c r="CQ112" s="198"/>
      <c r="CR112" s="198"/>
      <c r="CS112" s="198"/>
      <c r="CT112" s="198"/>
      <c r="CU112" s="198"/>
      <c r="CV112" s="198"/>
      <c r="CW112" s="198"/>
      <c r="CX112" s="198"/>
      <c r="CY112" s="198"/>
      <c r="CZ112" s="198"/>
      <c r="DA112" s="198"/>
      <c r="DB112" s="198"/>
      <c r="DC112" s="198"/>
      <c r="DD112" s="198"/>
      <c r="DE112" s="198"/>
      <c r="DF112" s="198"/>
      <c r="DG112" s="198"/>
      <c r="DH112" s="198"/>
      <c r="DI112" s="198"/>
      <c r="DJ112" s="198"/>
      <c r="DK112" s="198"/>
      <c r="DL112" s="198"/>
      <c r="DM112" s="198"/>
      <c r="DN112" s="198"/>
      <c r="DO112" s="198"/>
      <c r="DP112" s="198"/>
      <c r="DQ112" s="198"/>
      <c r="DR112" s="198"/>
      <c r="DS112" s="198"/>
      <c r="DT112" s="198"/>
    </row>
    <row r="113" spans="1:124" s="172" customFormat="1" ht="15" outlineLevel="1" x14ac:dyDescent="0.25">
      <c r="A113" s="224"/>
      <c r="B113" s="218" t="str">
        <f>Services!B113</f>
        <v>05B01</v>
      </c>
      <c r="C113" s="216" t="str">
        <f>Services!C113</f>
        <v>Gestion des profils d'accès au réseau local de données</v>
      </c>
      <c r="D113" s="210" t="str">
        <f t="shared" si="1"/>
        <v/>
      </c>
      <c r="E113" s="1378"/>
      <c r="F113" s="1378"/>
      <c r="G113" s="1378"/>
      <c r="H113" s="1378"/>
      <c r="I113" s="1378"/>
      <c r="J113" s="1378"/>
      <c r="K113" s="1378"/>
      <c r="L113" s="1378"/>
      <c r="M113" s="1378"/>
      <c r="N113" s="1378"/>
      <c r="O113" s="1378"/>
      <c r="P113" s="1378"/>
      <c r="Q113" s="1378"/>
      <c r="R113" s="1378"/>
      <c r="S113" s="1378"/>
      <c r="T113" s="1378"/>
      <c r="U113" s="1378"/>
      <c r="V113" s="1378"/>
      <c r="W113" s="1378"/>
      <c r="X113" s="1378"/>
      <c r="Y113" s="1378"/>
      <c r="Z113" s="1378"/>
      <c r="AA113" s="1378"/>
      <c r="AB113" s="1378">
        <f>IF(INDEX(Tab_actions,162,1)=1,INDEX(Tab_actions,162,13),0)</f>
        <v>0</v>
      </c>
      <c r="AC113" s="1378"/>
      <c r="AD113" s="1378"/>
      <c r="AE113" s="1378"/>
      <c r="AF113" s="1378"/>
      <c r="AG113" s="1378"/>
      <c r="AH113" s="1378"/>
      <c r="AI113" s="1378"/>
      <c r="AJ113" s="1378"/>
      <c r="AK113" s="1378"/>
      <c r="AL113" s="1378"/>
      <c r="AM113" s="1378"/>
      <c r="AN113" s="1378"/>
      <c r="AO113" s="1378"/>
      <c r="AP113" s="1378"/>
      <c r="AQ113" s="1378"/>
      <c r="AR113" s="1378"/>
      <c r="AS113" s="1378"/>
      <c r="AT113" s="1378"/>
      <c r="AU113" s="1378"/>
      <c r="AV113" s="1378"/>
      <c r="AW113" s="1378"/>
      <c r="AX113" s="1378"/>
      <c r="AY113" s="1378"/>
      <c r="AZ113" s="1378"/>
      <c r="BA113" s="1378"/>
      <c r="BB113" s="1378"/>
      <c r="BC113" s="1378"/>
      <c r="BD113"/>
      <c r="BE113" s="198"/>
      <c r="BF113" s="198"/>
      <c r="BG113" s="198"/>
      <c r="BH113" s="198"/>
      <c r="BI113" s="198"/>
      <c r="BJ113" s="198"/>
      <c r="BK113" s="198"/>
      <c r="BL113" s="198"/>
      <c r="BM113" s="198"/>
      <c r="BN113" s="198"/>
      <c r="BO113" s="198"/>
      <c r="BP113" s="198"/>
      <c r="BQ113" s="198"/>
      <c r="BR113" s="198"/>
      <c r="BS113" s="198"/>
      <c r="BT113" s="198"/>
      <c r="BU113" s="198"/>
      <c r="BV113" s="198"/>
      <c r="BW113" s="198"/>
      <c r="BX113" s="198"/>
      <c r="BY113" s="198"/>
      <c r="BZ113" s="198"/>
      <c r="CA113" s="198"/>
      <c r="CB113" s="198"/>
      <c r="CC113" s="198"/>
      <c r="CD113" s="198"/>
      <c r="CE113" s="198"/>
      <c r="CF113" s="198"/>
      <c r="CG113" s="198"/>
      <c r="CH113" s="198"/>
      <c r="CI113" s="198"/>
      <c r="CJ113" s="198"/>
      <c r="CK113" s="198"/>
      <c r="CL113" s="198"/>
      <c r="CM113" s="198"/>
      <c r="CN113" s="198"/>
      <c r="CO113" s="198"/>
      <c r="CP113" s="198"/>
      <c r="CQ113" s="198"/>
      <c r="CR113" s="198"/>
      <c r="CS113" s="198"/>
      <c r="CT113" s="198"/>
      <c r="CU113" s="198"/>
      <c r="CV113" s="198"/>
      <c r="CW113" s="198"/>
      <c r="CX113" s="198"/>
      <c r="CY113" s="198"/>
      <c r="CZ113" s="198"/>
      <c r="DA113" s="198"/>
      <c r="DB113" s="198"/>
      <c r="DC113" s="198"/>
      <c r="DD113" s="198"/>
      <c r="DE113" s="198"/>
      <c r="DF113" s="198"/>
      <c r="DG113" s="198"/>
      <c r="DH113" s="198"/>
      <c r="DI113" s="198"/>
      <c r="DJ113" s="198"/>
      <c r="DK113" s="198"/>
      <c r="DL113" s="198"/>
      <c r="DM113" s="198"/>
      <c r="DN113" s="198"/>
      <c r="DO113" s="198"/>
      <c r="DP113" s="198"/>
      <c r="DQ113" s="198"/>
      <c r="DR113" s="198"/>
      <c r="DS113" s="198"/>
      <c r="DT113" s="198"/>
    </row>
    <row r="114" spans="1:124" s="172" customFormat="1" ht="15.75" customHeight="1" outlineLevel="1" x14ac:dyDescent="0.25">
      <c r="A114" s="224"/>
      <c r="B114" s="218" t="str">
        <f>Services!B114</f>
        <v>05B02</v>
      </c>
      <c r="C114" s="216" t="str">
        <f>Services!C114</f>
        <v>Gestion des autorisations d'accès et privilèges (attribution, délégation, retrait)</v>
      </c>
      <c r="D114" s="210" t="str">
        <f t="shared" si="1"/>
        <v/>
      </c>
      <c r="E114" s="1378"/>
      <c r="F114" s="1378"/>
      <c r="G114" s="1378"/>
      <c r="H114" s="1378"/>
      <c r="I114" s="1378"/>
      <c r="J114" s="1378"/>
      <c r="K114" s="1378"/>
      <c r="L114" s="1378"/>
      <c r="M114" s="1378"/>
      <c r="N114" s="1378"/>
      <c r="O114" s="1378"/>
      <c r="P114" s="1378"/>
      <c r="Q114" s="1378"/>
      <c r="R114" s="1378"/>
      <c r="S114" s="1378"/>
      <c r="T114" s="1378"/>
      <c r="U114" s="1378"/>
      <c r="V114" s="1378"/>
      <c r="W114" s="1378"/>
      <c r="X114" s="1378"/>
      <c r="Y114" s="1378"/>
      <c r="Z114" s="1378"/>
      <c r="AA114" s="1378"/>
      <c r="AB114" s="1378">
        <f>IF(INDEX(Tab_actions,162,1)=1,INDEX(Tab_actions,162,16),0)</f>
        <v>0</v>
      </c>
      <c r="AC114" s="1378"/>
      <c r="AD114" s="1378"/>
      <c r="AE114" s="1378"/>
      <c r="AF114" s="1378"/>
      <c r="AG114" s="1378"/>
      <c r="AH114" s="1378"/>
      <c r="AI114" s="1378"/>
      <c r="AJ114" s="1378"/>
      <c r="AK114" s="1378"/>
      <c r="AL114" s="1378"/>
      <c r="AM114" s="1378"/>
      <c r="AN114" s="1378"/>
      <c r="AO114" s="1378"/>
      <c r="AP114" s="1378"/>
      <c r="AQ114" s="1378"/>
      <c r="AR114" s="1378"/>
      <c r="AS114" s="1378"/>
      <c r="AT114" s="1378"/>
      <c r="AU114" s="1378"/>
      <c r="AV114" s="1378"/>
      <c r="AW114" s="1378"/>
      <c r="AX114" s="1378"/>
      <c r="AY114" s="1378"/>
      <c r="AZ114" s="1378"/>
      <c r="BA114" s="1378"/>
      <c r="BB114" s="1378"/>
      <c r="BC114" s="1378"/>
      <c r="BD114"/>
      <c r="BE114" s="198"/>
      <c r="BF114" s="198"/>
      <c r="BG114" s="198"/>
      <c r="BH114" s="198"/>
      <c r="BI114" s="198"/>
      <c r="BJ114" s="198"/>
      <c r="BK114" s="198"/>
      <c r="BL114" s="198"/>
      <c r="BM114" s="198"/>
      <c r="BN114" s="198"/>
      <c r="BO114" s="198"/>
      <c r="BP114" s="198"/>
      <c r="BQ114" s="198"/>
      <c r="BR114" s="198"/>
      <c r="BS114" s="198"/>
      <c r="BT114" s="198"/>
      <c r="BU114" s="198"/>
      <c r="BV114" s="198"/>
      <c r="BW114" s="198"/>
      <c r="BX114" s="198"/>
      <c r="BY114" s="198"/>
      <c r="BZ114" s="198"/>
      <c r="CA114" s="198"/>
      <c r="CB114" s="198"/>
      <c r="CC114" s="198"/>
      <c r="CD114" s="198"/>
      <c r="CE114" s="198"/>
      <c r="CF114" s="198"/>
      <c r="CG114" s="198"/>
      <c r="CH114" s="198"/>
      <c r="CI114" s="198"/>
      <c r="CJ114" s="198"/>
      <c r="CK114" s="198"/>
      <c r="CL114" s="198"/>
      <c r="CM114" s="198"/>
      <c r="CN114" s="198"/>
      <c r="CO114" s="198"/>
      <c r="CP114" s="198"/>
      <c r="CQ114" s="198"/>
      <c r="CR114" s="198"/>
      <c r="CS114" s="198"/>
      <c r="CT114" s="198"/>
      <c r="CU114" s="198"/>
      <c r="CV114" s="198"/>
      <c r="CW114" s="198"/>
      <c r="CX114" s="198"/>
      <c r="CY114" s="198"/>
      <c r="CZ114" s="198"/>
      <c r="DA114" s="198"/>
      <c r="DB114" s="198"/>
      <c r="DC114" s="198"/>
      <c r="DD114" s="198"/>
      <c r="DE114" s="198"/>
      <c r="DF114" s="198"/>
      <c r="DG114" s="198"/>
      <c r="DH114" s="198"/>
      <c r="DI114" s="198"/>
      <c r="DJ114" s="198"/>
      <c r="DK114" s="198"/>
      <c r="DL114" s="198"/>
      <c r="DM114" s="198"/>
      <c r="DN114" s="198"/>
      <c r="DO114" s="198"/>
      <c r="DP114" s="198"/>
      <c r="DQ114" s="198"/>
      <c r="DR114" s="198"/>
      <c r="DS114" s="198"/>
      <c r="DT114" s="198"/>
    </row>
    <row r="115" spans="1:124" s="172" customFormat="1" ht="51" outlineLevel="1" x14ac:dyDescent="0.25">
      <c r="A115" s="224"/>
      <c r="B115" s="218" t="str">
        <f>Services!B115</f>
        <v>05B03</v>
      </c>
      <c r="C115" s="216" t="str">
        <f>Services!C115</f>
        <v xml:space="preserve">Authentification de l'utilisateur ou de l'entité demandant un accès au réseau local depuis un point d'accès interne 
Ce mécanisme correspond à l'authentification réalisée sous Windows par un contrôleur de domaine </v>
      </c>
      <c r="D115" s="210" t="str">
        <f t="shared" si="1"/>
        <v/>
      </c>
      <c r="E115" s="1378"/>
      <c r="F115" s="1378"/>
      <c r="G115" s="1378"/>
      <c r="H115" s="1378"/>
      <c r="I115" s="1378"/>
      <c r="J115" s="1378"/>
      <c r="K115" s="1378"/>
      <c r="L115" s="1378"/>
      <c r="M115" s="1378"/>
      <c r="N115" s="1378"/>
      <c r="O115" s="1378"/>
      <c r="P115" s="1378"/>
      <c r="Q115" s="1378"/>
      <c r="R115" s="1378"/>
      <c r="S115" s="1378"/>
      <c r="T115" s="1378"/>
      <c r="U115" s="1378"/>
      <c r="V115" s="1378"/>
      <c r="W115" s="1378">
        <f>IF(INDEX(Tab_actions,127,1)=1,INDEX(Tab_actions,127,4),0)</f>
        <v>0</v>
      </c>
      <c r="X115" s="1378">
        <f>IF(INDEX(Tab_actions,136,1)=1,INDEX(Tab_actions,136,4),0)</f>
        <v>0</v>
      </c>
      <c r="Y115" s="1378"/>
      <c r="Z115" s="1378"/>
      <c r="AA115" s="1378"/>
      <c r="AB115" s="1378">
        <f>IF(INDEX(Tab_actions,162,1)=1,INDEX(Tab_actions,162,19),0)</f>
        <v>0</v>
      </c>
      <c r="AC115" s="1378"/>
      <c r="AD115" s="1378"/>
      <c r="AE115" s="1378"/>
      <c r="AF115" s="1378"/>
      <c r="AG115" s="1378"/>
      <c r="AH115" s="1378"/>
      <c r="AI115" s="1378"/>
      <c r="AJ115" s="1378"/>
      <c r="AK115" s="1378"/>
      <c r="AL115" s="1378"/>
      <c r="AM115" s="1378"/>
      <c r="AN115" s="1378"/>
      <c r="AO115" s="1378"/>
      <c r="AP115" s="1378"/>
      <c r="AQ115" s="1378"/>
      <c r="AR115" s="1378"/>
      <c r="AS115" s="1378"/>
      <c r="AT115" s="1378"/>
      <c r="AU115" s="1378"/>
      <c r="AV115" s="1378"/>
      <c r="AW115" s="1378"/>
      <c r="AX115" s="1378"/>
      <c r="AY115" s="1378"/>
      <c r="AZ115" s="1378"/>
      <c r="BA115" s="1378"/>
      <c r="BB115" s="1378"/>
      <c r="BC115" s="1378"/>
      <c r="BD115"/>
      <c r="BE115" s="198"/>
      <c r="BF115" s="198"/>
      <c r="BG115" s="198"/>
      <c r="BH115" s="198"/>
      <c r="BI115" s="198"/>
      <c r="BJ115" s="198"/>
      <c r="BK115" s="198"/>
      <c r="BL115" s="198"/>
      <c r="BM115" s="198"/>
      <c r="BN115" s="198"/>
      <c r="BO115" s="198"/>
      <c r="BP115" s="198"/>
      <c r="BQ115" s="198"/>
      <c r="BR115" s="198"/>
      <c r="BS115" s="198"/>
      <c r="BT115" s="198"/>
      <c r="BU115" s="198"/>
      <c r="BV115" s="198"/>
      <c r="BW115" s="198"/>
      <c r="BX115" s="198"/>
      <c r="BY115" s="198"/>
      <c r="BZ115" s="198"/>
      <c r="CA115" s="198"/>
      <c r="CB115" s="198"/>
      <c r="CC115" s="198"/>
      <c r="CD115" s="198"/>
      <c r="CE115" s="198"/>
      <c r="CF115" s="198"/>
      <c r="CG115" s="198"/>
      <c r="CH115" s="198"/>
      <c r="CI115" s="198"/>
      <c r="CJ115" s="198"/>
      <c r="CK115" s="198"/>
      <c r="CL115" s="198"/>
      <c r="CM115" s="198"/>
      <c r="CN115" s="198"/>
      <c r="CO115" s="198"/>
      <c r="CP115" s="198"/>
      <c r="CQ115" s="198"/>
      <c r="CR115" s="198"/>
      <c r="CS115" s="198"/>
      <c r="CT115" s="198"/>
      <c r="CU115" s="198"/>
      <c r="CV115" s="198"/>
      <c r="CW115" s="198"/>
      <c r="CX115" s="198"/>
      <c r="CY115" s="198"/>
      <c r="CZ115" s="198"/>
      <c r="DA115" s="198"/>
      <c r="DB115" s="198"/>
      <c r="DC115" s="198"/>
      <c r="DD115" s="198"/>
      <c r="DE115" s="198"/>
      <c r="DF115" s="198"/>
      <c r="DG115" s="198"/>
      <c r="DH115" s="198"/>
      <c r="DI115" s="198"/>
      <c r="DJ115" s="198"/>
      <c r="DK115" s="198"/>
      <c r="DL115" s="198"/>
      <c r="DM115" s="198"/>
      <c r="DN115" s="198"/>
      <c r="DO115" s="198"/>
      <c r="DP115" s="198"/>
      <c r="DQ115" s="198"/>
      <c r="DR115" s="198"/>
      <c r="DS115" s="198"/>
      <c r="DT115" s="198"/>
    </row>
    <row r="116" spans="1:124" s="172" customFormat="1" ht="25.5" outlineLevel="1" x14ac:dyDescent="0.25">
      <c r="A116" s="224"/>
      <c r="B116" s="218" t="str">
        <f>Services!B116</f>
        <v>05B04</v>
      </c>
      <c r="C116" s="216" t="str">
        <f>Services!C116</f>
        <v>Authentification de l'utilisateur ou de l'entité demandant un accès au réseau local depuis un site distant via le réseau étendu</v>
      </c>
      <c r="D116" s="210" t="str">
        <f t="shared" si="1"/>
        <v/>
      </c>
      <c r="E116" s="1378"/>
      <c r="F116" s="1378"/>
      <c r="G116" s="1378"/>
      <c r="H116" s="1378"/>
      <c r="I116" s="1378"/>
      <c r="J116" s="1378"/>
      <c r="K116" s="1378"/>
      <c r="L116" s="1378"/>
      <c r="M116" s="1378"/>
      <c r="N116" s="1378"/>
      <c r="O116" s="1378"/>
      <c r="P116" s="1378"/>
      <c r="Q116" s="1378"/>
      <c r="R116" s="1378"/>
      <c r="S116" s="1378"/>
      <c r="T116" s="1378"/>
      <c r="U116" s="1378"/>
      <c r="V116" s="1378"/>
      <c r="W116" s="1378">
        <f>IF(INDEX(Tab_actions,127,1)=1,INDEX(Tab_actions,127,7),0)</f>
        <v>0</v>
      </c>
      <c r="X116" s="1378">
        <f>IF(INDEX(Tab_actions,136,1)=1,INDEX(Tab_actions,136,7),0)</f>
        <v>0</v>
      </c>
      <c r="Y116" s="1378"/>
      <c r="Z116" s="1378"/>
      <c r="AA116" s="1378"/>
      <c r="AB116" s="1378">
        <f>IF(INDEX(Tab_actions,162,1)=1,INDEX(Tab_actions,162,22),0)</f>
        <v>0</v>
      </c>
      <c r="AC116" s="1378"/>
      <c r="AD116" s="1378"/>
      <c r="AE116" s="1378"/>
      <c r="AF116" s="1378"/>
      <c r="AG116" s="1378"/>
      <c r="AH116" s="1378"/>
      <c r="AI116" s="1378"/>
      <c r="AJ116" s="1378"/>
      <c r="AK116" s="1378"/>
      <c r="AL116" s="1378"/>
      <c r="AM116" s="1378"/>
      <c r="AN116" s="1378"/>
      <c r="AO116" s="1378"/>
      <c r="AP116" s="1378"/>
      <c r="AQ116" s="1378"/>
      <c r="AR116" s="1378"/>
      <c r="AS116" s="1378"/>
      <c r="AT116" s="1378"/>
      <c r="AU116" s="1378"/>
      <c r="AV116" s="1378"/>
      <c r="AW116" s="1378"/>
      <c r="AX116" s="1378"/>
      <c r="AY116" s="1378"/>
      <c r="AZ116" s="1378"/>
      <c r="BA116" s="1378"/>
      <c r="BB116" s="1378"/>
      <c r="BC116" s="1378"/>
      <c r="BD116"/>
      <c r="BE116" s="198"/>
      <c r="BF116" s="198"/>
      <c r="BG116" s="198"/>
      <c r="BH116" s="198"/>
      <c r="BI116" s="198"/>
      <c r="BJ116" s="198"/>
      <c r="BK116" s="198"/>
      <c r="BL116" s="198"/>
      <c r="BM116" s="198"/>
      <c r="BN116" s="198"/>
      <c r="BO116" s="198"/>
      <c r="BP116" s="198"/>
      <c r="BQ116" s="198"/>
      <c r="BR116" s="198"/>
      <c r="BS116" s="198"/>
      <c r="BT116" s="198"/>
      <c r="BU116" s="198"/>
      <c r="BV116" s="198"/>
      <c r="BW116" s="198"/>
      <c r="BX116" s="198"/>
      <c r="BY116" s="198"/>
      <c r="BZ116" s="198"/>
      <c r="CA116" s="198"/>
      <c r="CB116" s="198"/>
      <c r="CC116" s="198"/>
      <c r="CD116" s="198"/>
      <c r="CE116" s="198"/>
      <c r="CF116" s="198"/>
      <c r="CG116" s="198"/>
      <c r="CH116" s="198"/>
      <c r="CI116" s="198"/>
      <c r="CJ116" s="198"/>
      <c r="CK116" s="198"/>
      <c r="CL116" s="198"/>
      <c r="CM116" s="198"/>
      <c r="CN116" s="198"/>
      <c r="CO116" s="198"/>
      <c r="CP116" s="198"/>
      <c r="CQ116" s="198"/>
      <c r="CR116" s="198"/>
      <c r="CS116" s="198"/>
      <c r="CT116" s="198"/>
      <c r="CU116" s="198"/>
      <c r="CV116" s="198"/>
      <c r="CW116" s="198"/>
      <c r="CX116" s="198"/>
      <c r="CY116" s="198"/>
      <c r="CZ116" s="198"/>
      <c r="DA116" s="198"/>
      <c r="DB116" s="198"/>
      <c r="DC116" s="198"/>
      <c r="DD116" s="198"/>
      <c r="DE116" s="198"/>
      <c r="DF116" s="198"/>
      <c r="DG116" s="198"/>
      <c r="DH116" s="198"/>
      <c r="DI116" s="198"/>
      <c r="DJ116" s="198"/>
      <c r="DK116" s="198"/>
      <c r="DL116" s="198"/>
      <c r="DM116" s="198"/>
      <c r="DN116" s="198"/>
      <c r="DO116" s="198"/>
      <c r="DP116" s="198"/>
      <c r="DQ116" s="198"/>
      <c r="DR116" s="198"/>
      <c r="DS116" s="198"/>
      <c r="DT116" s="198"/>
    </row>
    <row r="117" spans="1:124" s="172" customFormat="1" ht="40.5" customHeight="1" outlineLevel="1" x14ac:dyDescent="0.25">
      <c r="A117" s="224"/>
      <c r="B117" s="218" t="str">
        <f>Services!B117</f>
        <v>05B05</v>
      </c>
      <c r="C117" s="216" t="str">
        <f>Services!C117</f>
        <v xml:space="preserve">Authentification de l'utilisateur ou de l'entité demandant un accès au réseau local depuis l'extérieur
(depuis le Réseau Téléphonique Commuté, X25, RNIS, ADSL, Internet, etc.) </v>
      </c>
      <c r="D117" s="210" t="str">
        <f t="shared" si="1"/>
        <v/>
      </c>
      <c r="E117" s="1378"/>
      <c r="F117" s="1378"/>
      <c r="G117" s="1378"/>
      <c r="H117" s="1378"/>
      <c r="I117" s="1378"/>
      <c r="J117" s="1378"/>
      <c r="K117" s="1378"/>
      <c r="L117" s="1378"/>
      <c r="M117" s="1378"/>
      <c r="N117" s="1378"/>
      <c r="O117" s="1378"/>
      <c r="P117" s="1378"/>
      <c r="Q117" s="1378"/>
      <c r="R117" s="1378"/>
      <c r="S117" s="1378"/>
      <c r="T117" s="1378"/>
      <c r="U117" s="1378"/>
      <c r="V117" s="1378"/>
      <c r="W117" s="1378">
        <f>IF(INDEX(Tab_actions,127,1)=1,INDEX(Tab_actions,127,10),0)</f>
        <v>0</v>
      </c>
      <c r="X117" s="1378">
        <f>IF(INDEX(Tab_actions,136,1)=1,INDEX(Tab_actions,136,10),0)</f>
        <v>0</v>
      </c>
      <c r="Y117" s="1378"/>
      <c r="Z117" s="1378"/>
      <c r="AA117" s="1378"/>
      <c r="AB117" s="1378">
        <f>IF(INDEX(Tab_actions,162,1)=1,INDEX(Tab_actions,162,25),0)</f>
        <v>0</v>
      </c>
      <c r="AC117" s="1378"/>
      <c r="AD117" s="1378"/>
      <c r="AE117" s="1378"/>
      <c r="AF117" s="1378"/>
      <c r="AG117" s="1378"/>
      <c r="AH117" s="1378"/>
      <c r="AI117" s="1378"/>
      <c r="AJ117" s="1378"/>
      <c r="AK117" s="1378"/>
      <c r="AL117" s="1378"/>
      <c r="AM117" s="1378"/>
      <c r="AN117" s="1378"/>
      <c r="AO117" s="1378"/>
      <c r="AP117" s="1378"/>
      <c r="AQ117" s="1378"/>
      <c r="AR117" s="1378"/>
      <c r="AS117" s="1378"/>
      <c r="AT117" s="1378"/>
      <c r="AU117" s="1378"/>
      <c r="AV117" s="1378"/>
      <c r="AW117" s="1378"/>
      <c r="AX117" s="1378"/>
      <c r="AY117" s="1378"/>
      <c r="AZ117" s="1378"/>
      <c r="BA117" s="1378"/>
      <c r="BB117" s="1378"/>
      <c r="BC117" s="1378"/>
      <c r="BD117"/>
      <c r="BE117" s="198"/>
      <c r="BF117" s="198"/>
      <c r="BG117" s="198"/>
      <c r="BH117" s="198"/>
      <c r="BI117" s="198"/>
      <c r="BJ117" s="198"/>
      <c r="BK117" s="198"/>
      <c r="BL117" s="198"/>
      <c r="BM117" s="198"/>
      <c r="BN117" s="198"/>
      <c r="BO117" s="198"/>
      <c r="BP117" s="198"/>
      <c r="BQ117" s="198"/>
      <c r="BR117" s="198"/>
      <c r="BS117" s="198"/>
      <c r="BT117" s="198"/>
      <c r="BU117" s="198"/>
      <c r="BV117" s="198"/>
      <c r="BW117" s="198"/>
      <c r="BX117" s="198"/>
      <c r="BY117" s="198"/>
      <c r="BZ117" s="198"/>
      <c r="CA117" s="198"/>
      <c r="CB117" s="198"/>
      <c r="CC117" s="198"/>
      <c r="CD117" s="198"/>
      <c r="CE117" s="198"/>
      <c r="CF117" s="198"/>
      <c r="CG117" s="198"/>
      <c r="CH117" s="198"/>
      <c r="CI117" s="198"/>
      <c r="CJ117" s="198"/>
      <c r="CK117" s="198"/>
      <c r="CL117" s="198"/>
      <c r="CM117" s="198"/>
      <c r="CN117" s="198"/>
      <c r="CO117" s="198"/>
      <c r="CP117" s="198"/>
      <c r="CQ117" s="198"/>
      <c r="CR117" s="198"/>
      <c r="CS117" s="198"/>
      <c r="CT117" s="198"/>
      <c r="CU117" s="198"/>
      <c r="CV117" s="198"/>
      <c r="CW117" s="198"/>
      <c r="CX117" s="198"/>
      <c r="CY117" s="198"/>
      <c r="CZ117" s="198"/>
      <c r="DA117" s="198"/>
      <c r="DB117" s="198"/>
      <c r="DC117" s="198"/>
      <c r="DD117" s="198"/>
      <c r="DE117" s="198"/>
      <c r="DF117" s="198"/>
      <c r="DG117" s="198"/>
      <c r="DH117" s="198"/>
      <c r="DI117" s="198"/>
      <c r="DJ117" s="198"/>
      <c r="DK117" s="198"/>
      <c r="DL117" s="198"/>
      <c r="DM117" s="198"/>
      <c r="DN117" s="198"/>
      <c r="DO117" s="198"/>
      <c r="DP117" s="198"/>
      <c r="DQ117" s="198"/>
      <c r="DR117" s="198"/>
      <c r="DS117" s="198"/>
      <c r="DT117" s="198"/>
    </row>
    <row r="118" spans="1:124" s="172" customFormat="1" ht="25.5" outlineLevel="1" x14ac:dyDescent="0.25">
      <c r="A118" s="224"/>
      <c r="B118" s="218" t="str">
        <f>Services!B118</f>
        <v>05B06</v>
      </c>
      <c r="C118" s="216" t="str">
        <f>Services!C118</f>
        <v>Authentification de l'utilisateur ou de l'entité demandant un accès au réseau local depuis un sous-réseau WiFi</v>
      </c>
      <c r="D118" s="210" t="str">
        <f t="shared" si="1"/>
        <v/>
      </c>
      <c r="E118" s="1378"/>
      <c r="F118" s="1378"/>
      <c r="G118" s="1378"/>
      <c r="H118" s="1378"/>
      <c r="I118" s="1378"/>
      <c r="J118" s="1378"/>
      <c r="K118" s="1378"/>
      <c r="L118" s="1378"/>
      <c r="M118" s="1378"/>
      <c r="N118" s="1378"/>
      <c r="O118" s="1378"/>
      <c r="P118" s="1378"/>
      <c r="Q118" s="1378"/>
      <c r="R118" s="1378"/>
      <c r="S118" s="1378"/>
      <c r="T118" s="1378"/>
      <c r="U118" s="1378"/>
      <c r="V118" s="1378"/>
      <c r="W118" s="1378">
        <f>IF(INDEX(Tab_actions,127,1)=1,INDEX(Tab_actions,127,13),0)</f>
        <v>0</v>
      </c>
      <c r="X118" s="1378">
        <f>IF(INDEX(Tab_actions,136,1)=1,INDEX(Tab_actions,136,13),0)</f>
        <v>0</v>
      </c>
      <c r="Y118" s="1378"/>
      <c r="Z118" s="1378"/>
      <c r="AA118" s="1378"/>
      <c r="AB118" s="1378">
        <f>IF(INDEX(Tab_actions,162,1)=1,INDEX(Tab_actions,162,28),0)</f>
        <v>0</v>
      </c>
      <c r="AC118" s="1378"/>
      <c r="AD118" s="1378"/>
      <c r="AE118" s="1378"/>
      <c r="AF118" s="1378"/>
      <c r="AG118" s="1378"/>
      <c r="AH118" s="1378"/>
      <c r="AI118" s="1378"/>
      <c r="AJ118" s="1378"/>
      <c r="AK118" s="1378"/>
      <c r="AL118" s="1378"/>
      <c r="AM118" s="1378"/>
      <c r="AN118" s="1378"/>
      <c r="AO118" s="1378"/>
      <c r="AP118" s="1378"/>
      <c r="AQ118" s="1378"/>
      <c r="AR118" s="1378"/>
      <c r="AS118" s="1378"/>
      <c r="AT118" s="1378"/>
      <c r="AU118" s="1378"/>
      <c r="AV118" s="1378"/>
      <c r="AW118" s="1378"/>
      <c r="AX118" s="1378"/>
      <c r="AY118" s="1378"/>
      <c r="AZ118" s="1378"/>
      <c r="BA118" s="1378"/>
      <c r="BB118" s="1378"/>
      <c r="BC118" s="1378"/>
      <c r="BD118"/>
      <c r="BE118" s="198"/>
      <c r="BF118" s="198"/>
      <c r="BG118" s="198"/>
      <c r="BH118" s="198"/>
      <c r="BI118" s="198"/>
      <c r="BJ118" s="198"/>
      <c r="BK118" s="198"/>
      <c r="BL118" s="198"/>
      <c r="BM118" s="198"/>
      <c r="BN118" s="198"/>
      <c r="BO118" s="198"/>
      <c r="BP118" s="198"/>
      <c r="BQ118" s="198"/>
      <c r="BR118" s="198"/>
      <c r="BS118" s="198"/>
      <c r="BT118" s="198"/>
      <c r="BU118" s="198"/>
      <c r="BV118" s="198"/>
      <c r="BW118" s="198"/>
      <c r="BX118" s="198"/>
      <c r="BY118" s="198"/>
      <c r="BZ118" s="198"/>
      <c r="CA118" s="198"/>
      <c r="CB118" s="198"/>
      <c r="CC118" s="198"/>
      <c r="CD118" s="198"/>
      <c r="CE118" s="198"/>
      <c r="CF118" s="198"/>
      <c r="CG118" s="198"/>
      <c r="CH118" s="198"/>
      <c r="CI118" s="198"/>
      <c r="CJ118" s="198"/>
      <c r="CK118" s="198"/>
      <c r="CL118" s="198"/>
      <c r="CM118" s="198"/>
      <c r="CN118" s="198"/>
      <c r="CO118" s="198"/>
      <c r="CP118" s="198"/>
      <c r="CQ118" s="198"/>
      <c r="CR118" s="198"/>
      <c r="CS118" s="198"/>
      <c r="CT118" s="198"/>
      <c r="CU118" s="198"/>
      <c r="CV118" s="198"/>
      <c r="CW118" s="198"/>
      <c r="CX118" s="198"/>
      <c r="CY118" s="198"/>
      <c r="CZ118" s="198"/>
      <c r="DA118" s="198"/>
      <c r="DB118" s="198"/>
      <c r="DC118" s="198"/>
      <c r="DD118" s="198"/>
      <c r="DE118" s="198"/>
      <c r="DF118" s="198"/>
      <c r="DG118" s="198"/>
      <c r="DH118" s="198"/>
      <c r="DI118" s="198"/>
      <c r="DJ118" s="198"/>
      <c r="DK118" s="198"/>
      <c r="DL118" s="198"/>
      <c r="DM118" s="198"/>
      <c r="DN118" s="198"/>
      <c r="DO118" s="198"/>
      <c r="DP118" s="198"/>
      <c r="DQ118" s="198"/>
      <c r="DR118" s="198"/>
      <c r="DS118" s="198"/>
      <c r="DT118" s="198"/>
    </row>
    <row r="119" spans="1:124" s="172" customFormat="1" ht="15" outlineLevel="1" x14ac:dyDescent="0.25">
      <c r="A119" s="224"/>
      <c r="B119" s="218" t="str">
        <f>Services!B119</f>
        <v>05B07</v>
      </c>
      <c r="C119" s="216" t="str">
        <f>Services!C119</f>
        <v>Filtrage général des accès au réseau local</v>
      </c>
      <c r="D119" s="210" t="str">
        <f t="shared" si="1"/>
        <v/>
      </c>
      <c r="E119" s="1378"/>
      <c r="F119" s="1378"/>
      <c r="G119" s="1378"/>
      <c r="H119" s="1378"/>
      <c r="I119" s="1378"/>
      <c r="J119" s="1378"/>
      <c r="K119" s="1378"/>
      <c r="L119" s="1378"/>
      <c r="M119" s="1378"/>
      <c r="N119" s="1378"/>
      <c r="O119" s="1378"/>
      <c r="P119" s="1378"/>
      <c r="Q119" s="1378"/>
      <c r="R119" s="1378"/>
      <c r="S119" s="1378"/>
      <c r="T119" s="1378"/>
      <c r="U119" s="1378"/>
      <c r="V119" s="1378"/>
      <c r="W119" s="1378">
        <f>IF(INDEX(Tab_actions,127,1)=1,INDEX(Tab_actions,127,16),0)</f>
        <v>0</v>
      </c>
      <c r="X119" s="1378">
        <f>IF(INDEX(Tab_actions,136,1)=1,INDEX(Tab_actions,136,16),0)</f>
        <v>0</v>
      </c>
      <c r="Y119" s="1378"/>
      <c r="Z119" s="1378"/>
      <c r="AA119" s="1378"/>
      <c r="AB119" s="1378">
        <f>IF(INDEX(Tab_actions,162,1)=1,INDEX(Tab_actions,162,31),0)</f>
        <v>0</v>
      </c>
      <c r="AC119" s="1378"/>
      <c r="AD119" s="1378"/>
      <c r="AE119" s="1378"/>
      <c r="AF119" s="1378"/>
      <c r="AG119" s="1378"/>
      <c r="AH119" s="1378"/>
      <c r="AI119" s="1378"/>
      <c r="AJ119" s="1378"/>
      <c r="AK119" s="1378"/>
      <c r="AL119" s="1378"/>
      <c r="AM119" s="1378"/>
      <c r="AN119" s="1378"/>
      <c r="AO119" s="1378"/>
      <c r="AP119" s="1378"/>
      <c r="AQ119" s="1378"/>
      <c r="AR119" s="1378"/>
      <c r="AS119" s="1378"/>
      <c r="AT119" s="1378"/>
      <c r="AU119" s="1378"/>
      <c r="AV119" s="1378"/>
      <c r="AW119" s="1378"/>
      <c r="AX119" s="1378"/>
      <c r="AY119" s="1378"/>
      <c r="AZ119" s="1378"/>
      <c r="BA119" s="1378"/>
      <c r="BB119" s="1378"/>
      <c r="BC119" s="1378"/>
      <c r="BD119"/>
      <c r="BE119" s="198"/>
      <c r="BF119" s="198"/>
      <c r="BG119" s="198"/>
      <c r="BH119" s="198"/>
      <c r="BI119" s="198"/>
      <c r="BJ119" s="198"/>
      <c r="BK119" s="198"/>
      <c r="BL119" s="198"/>
      <c r="BM119" s="198"/>
      <c r="BN119" s="198"/>
      <c r="BO119" s="198"/>
      <c r="BP119" s="198"/>
      <c r="BQ119" s="198"/>
      <c r="BR119" s="198"/>
      <c r="BS119" s="198"/>
      <c r="BT119" s="198"/>
      <c r="BU119" s="198"/>
      <c r="BV119" s="198"/>
      <c r="BW119" s="198"/>
      <c r="BX119" s="198"/>
      <c r="BY119" s="198"/>
      <c r="BZ119" s="198"/>
      <c r="CA119" s="198"/>
      <c r="CB119" s="198"/>
      <c r="CC119" s="198"/>
      <c r="CD119" s="198"/>
      <c r="CE119" s="198"/>
      <c r="CF119" s="198"/>
      <c r="CG119" s="198"/>
      <c r="CH119" s="198"/>
      <c r="CI119" s="198"/>
      <c r="CJ119" s="198"/>
      <c r="CK119" s="198"/>
      <c r="CL119" s="198"/>
      <c r="CM119" s="198"/>
      <c r="CN119" s="198"/>
      <c r="CO119" s="198"/>
      <c r="CP119" s="198"/>
      <c r="CQ119" s="198"/>
      <c r="CR119" s="198"/>
      <c r="CS119" s="198"/>
      <c r="CT119" s="198"/>
      <c r="CU119" s="198"/>
      <c r="CV119" s="198"/>
      <c r="CW119" s="198"/>
      <c r="CX119" s="198"/>
      <c r="CY119" s="198"/>
      <c r="CZ119" s="198"/>
      <c r="DA119" s="198"/>
      <c r="DB119" s="198"/>
      <c r="DC119" s="198"/>
      <c r="DD119" s="198"/>
      <c r="DE119" s="198"/>
      <c r="DF119" s="198"/>
      <c r="DG119" s="198"/>
      <c r="DH119" s="198"/>
      <c r="DI119" s="198"/>
      <c r="DJ119" s="198"/>
      <c r="DK119" s="198"/>
      <c r="DL119" s="198"/>
      <c r="DM119" s="198"/>
      <c r="DN119" s="198"/>
      <c r="DO119" s="198"/>
      <c r="DP119" s="198"/>
      <c r="DQ119" s="198"/>
      <c r="DR119" s="198"/>
      <c r="DS119" s="198"/>
      <c r="DT119" s="198"/>
    </row>
    <row r="120" spans="1:124" s="172" customFormat="1" ht="15" outlineLevel="1" x14ac:dyDescent="0.25">
      <c r="A120" s="224"/>
      <c r="B120" s="218" t="str">
        <f>Services!B120</f>
        <v>05B08</v>
      </c>
      <c r="C120" s="216" t="str">
        <f>Services!C120</f>
        <v>Contrôle du routage des accès sortants</v>
      </c>
      <c r="D120" s="210" t="str">
        <f t="shared" si="1"/>
        <v/>
      </c>
      <c r="E120" s="1378"/>
      <c r="F120" s="1378"/>
      <c r="G120" s="1378"/>
      <c r="H120" s="1378"/>
      <c r="I120" s="1378"/>
      <c r="J120" s="1378"/>
      <c r="K120" s="1378"/>
      <c r="L120" s="1378"/>
      <c r="M120" s="1378"/>
      <c r="N120" s="1378"/>
      <c r="O120" s="1378"/>
      <c r="P120" s="1378"/>
      <c r="Q120" s="1378"/>
      <c r="R120" s="1378"/>
      <c r="S120" s="1378"/>
      <c r="T120" s="1378"/>
      <c r="U120" s="1378"/>
      <c r="V120" s="1378"/>
      <c r="W120" s="1378">
        <f>IF(INDEX(Tab_actions,127,1)=1,INDEX(Tab_actions,127,19),0)</f>
        <v>0</v>
      </c>
      <c r="X120" s="1378">
        <f>IF(INDEX(Tab_actions,136,1)=1,INDEX(Tab_actions,136,19),0)</f>
        <v>0</v>
      </c>
      <c r="Y120" s="1378"/>
      <c r="Z120" s="1378"/>
      <c r="AA120" s="1378"/>
      <c r="AB120" s="1378"/>
      <c r="AC120" s="1378"/>
      <c r="AD120" s="1378"/>
      <c r="AE120" s="1378"/>
      <c r="AF120" s="1378"/>
      <c r="AG120" s="1378"/>
      <c r="AH120" s="1378"/>
      <c r="AI120" s="1378"/>
      <c r="AJ120" s="1378"/>
      <c r="AK120" s="1378"/>
      <c r="AL120" s="1378"/>
      <c r="AM120" s="1378"/>
      <c r="AN120" s="1378"/>
      <c r="AO120" s="1378"/>
      <c r="AP120" s="1378"/>
      <c r="AQ120" s="1378"/>
      <c r="AR120" s="1378"/>
      <c r="AS120" s="1378"/>
      <c r="AT120" s="1378"/>
      <c r="AU120" s="1378"/>
      <c r="AV120" s="1378"/>
      <c r="AW120" s="1378"/>
      <c r="AX120" s="1378"/>
      <c r="AY120" s="1378"/>
      <c r="AZ120" s="1378"/>
      <c r="BA120" s="1378"/>
      <c r="BB120" s="1378"/>
      <c r="BC120" s="1378"/>
      <c r="BD120"/>
      <c r="BE120" s="198"/>
      <c r="BF120" s="198"/>
      <c r="BG120" s="198"/>
      <c r="BH120" s="198"/>
      <c r="BI120" s="198"/>
      <c r="BJ120" s="198"/>
      <c r="BK120" s="198"/>
      <c r="BL120" s="198"/>
      <c r="BM120" s="198"/>
      <c r="BN120" s="198"/>
      <c r="BO120" s="198"/>
      <c r="BP120" s="198"/>
      <c r="BQ120" s="198"/>
      <c r="BR120" s="198"/>
      <c r="BS120" s="198"/>
      <c r="BT120" s="198"/>
      <c r="BU120" s="198"/>
      <c r="BV120" s="198"/>
      <c r="BW120" s="198"/>
      <c r="BX120" s="198"/>
      <c r="BY120" s="198"/>
      <c r="BZ120" s="198"/>
      <c r="CA120" s="198"/>
      <c r="CB120" s="198"/>
      <c r="CC120" s="198"/>
      <c r="CD120" s="198"/>
      <c r="CE120" s="198"/>
      <c r="CF120" s="198"/>
      <c r="CG120" s="198"/>
      <c r="CH120" s="198"/>
      <c r="CI120" s="198"/>
      <c r="CJ120" s="198"/>
      <c r="CK120" s="198"/>
      <c r="CL120" s="198"/>
      <c r="CM120" s="198"/>
      <c r="CN120" s="198"/>
      <c r="CO120" s="198"/>
      <c r="CP120" s="198"/>
      <c r="CQ120" s="198"/>
      <c r="CR120" s="198"/>
      <c r="CS120" s="198"/>
      <c r="CT120" s="198"/>
      <c r="CU120" s="198"/>
      <c r="CV120" s="198"/>
      <c r="CW120" s="198"/>
      <c r="CX120" s="198"/>
      <c r="CY120" s="198"/>
      <c r="CZ120" s="198"/>
      <c r="DA120" s="198"/>
      <c r="DB120" s="198"/>
      <c r="DC120" s="198"/>
      <c r="DD120" s="198"/>
      <c r="DE120" s="198"/>
      <c r="DF120" s="198"/>
      <c r="DG120" s="198"/>
      <c r="DH120" s="198"/>
      <c r="DI120" s="198"/>
      <c r="DJ120" s="198"/>
      <c r="DK120" s="198"/>
      <c r="DL120" s="198"/>
      <c r="DM120" s="198"/>
      <c r="DN120" s="198"/>
      <c r="DO120" s="198"/>
      <c r="DP120" s="198"/>
      <c r="DQ120" s="198"/>
      <c r="DR120" s="198"/>
      <c r="DS120" s="198"/>
      <c r="DT120" s="198"/>
    </row>
    <row r="121" spans="1:124" s="172" customFormat="1" ht="25.5" outlineLevel="1" x14ac:dyDescent="0.25">
      <c r="A121" s="224"/>
      <c r="B121" s="218" t="str">
        <f>Services!B121</f>
        <v>05B09</v>
      </c>
      <c r="C121" s="216" t="str">
        <f>Services!C121</f>
        <v>Authentification de l'entité accédée lors des accès sortants vers des sites sensibles</v>
      </c>
      <c r="D121" s="210" t="str">
        <f t="shared" si="1"/>
        <v/>
      </c>
      <c r="E121" s="1378"/>
      <c r="F121" s="1378"/>
      <c r="G121" s="1378"/>
      <c r="H121" s="1378"/>
      <c r="I121" s="1378"/>
      <c r="J121" s="1378"/>
      <c r="K121" s="1378"/>
      <c r="L121" s="1378"/>
      <c r="M121" s="1378"/>
      <c r="N121" s="1378"/>
      <c r="O121" s="1378"/>
      <c r="P121" s="1378"/>
      <c r="Q121" s="1378"/>
      <c r="R121" s="1378"/>
      <c r="S121" s="1378"/>
      <c r="T121" s="1378"/>
      <c r="U121" s="1378"/>
      <c r="V121" s="1378"/>
      <c r="W121" s="1378">
        <f>IF(INDEX(Tab_actions,127,1)=1,INDEX(Tab_actions,127,22),0)</f>
        <v>0</v>
      </c>
      <c r="X121" s="1378">
        <f>IF(INDEX(Tab_actions,136,1)=1,INDEX(Tab_actions,136,22),0)</f>
        <v>0</v>
      </c>
      <c r="Y121" s="1378"/>
      <c r="Z121" s="1378"/>
      <c r="AA121" s="1378"/>
      <c r="AB121" s="1378"/>
      <c r="AC121" s="1378"/>
      <c r="AD121" s="1378"/>
      <c r="AE121" s="1378"/>
      <c r="AF121" s="1378"/>
      <c r="AG121" s="1378"/>
      <c r="AH121" s="1378"/>
      <c r="AI121" s="1378"/>
      <c r="AJ121" s="1378"/>
      <c r="AK121" s="1378"/>
      <c r="AL121" s="1378"/>
      <c r="AM121" s="1378"/>
      <c r="AN121" s="1378"/>
      <c r="AO121" s="1378"/>
      <c r="AP121" s="1378"/>
      <c r="AQ121" s="1378"/>
      <c r="AR121" s="1378"/>
      <c r="AS121" s="1378"/>
      <c r="AT121" s="1378"/>
      <c r="AU121" s="1378"/>
      <c r="AV121" s="1378"/>
      <c r="AW121" s="1378"/>
      <c r="AX121" s="1378"/>
      <c r="AY121" s="1378"/>
      <c r="AZ121" s="1378"/>
      <c r="BA121" s="1378"/>
      <c r="BB121" s="1378"/>
      <c r="BC121" s="1378"/>
      <c r="BD121"/>
      <c r="BE121" s="198"/>
      <c r="BF121" s="198"/>
      <c r="BG121" s="198"/>
      <c r="BH121" s="198"/>
      <c r="BI121" s="198"/>
      <c r="BJ121" s="198"/>
      <c r="BK121" s="198"/>
      <c r="BL121" s="198"/>
      <c r="BM121" s="198"/>
      <c r="BN121" s="198"/>
      <c r="BO121" s="198"/>
      <c r="BP121" s="198"/>
      <c r="BQ121" s="198"/>
      <c r="BR121" s="198"/>
      <c r="BS121" s="198"/>
      <c r="BT121" s="198"/>
      <c r="BU121" s="198"/>
      <c r="BV121" s="198"/>
      <c r="BW121" s="198"/>
      <c r="BX121" s="198"/>
      <c r="BY121" s="198"/>
      <c r="BZ121" s="198"/>
      <c r="CA121" s="198"/>
      <c r="CB121" s="198"/>
      <c r="CC121" s="198"/>
      <c r="CD121" s="198"/>
      <c r="CE121" s="198"/>
      <c r="CF121" s="198"/>
      <c r="CG121" s="198"/>
      <c r="CH121" s="198"/>
      <c r="CI121" s="198"/>
      <c r="CJ121" s="198"/>
      <c r="CK121" s="198"/>
      <c r="CL121" s="198"/>
      <c r="CM121" s="198"/>
      <c r="CN121" s="198"/>
      <c r="CO121" s="198"/>
      <c r="CP121" s="198"/>
      <c r="CQ121" s="198"/>
      <c r="CR121" s="198"/>
      <c r="CS121" s="198"/>
      <c r="CT121" s="198"/>
      <c r="CU121" s="198"/>
      <c r="CV121" s="198"/>
      <c r="CW121" s="198"/>
      <c r="CX121" s="198"/>
      <c r="CY121" s="198"/>
      <c r="CZ121" s="198"/>
      <c r="DA121" s="198"/>
      <c r="DB121" s="198"/>
      <c r="DC121" s="198"/>
      <c r="DD121" s="198"/>
      <c r="DE121" s="198"/>
      <c r="DF121" s="198"/>
      <c r="DG121" s="198"/>
      <c r="DH121" s="198"/>
      <c r="DI121" s="198"/>
      <c r="DJ121" s="198"/>
      <c r="DK121" s="198"/>
      <c r="DL121" s="198"/>
      <c r="DM121" s="198"/>
      <c r="DN121" s="198"/>
      <c r="DO121" s="198"/>
      <c r="DP121" s="198"/>
      <c r="DQ121" s="198"/>
      <c r="DR121" s="198"/>
      <c r="DS121" s="198"/>
      <c r="DT121" s="198"/>
    </row>
    <row r="122" spans="1:124" s="172" customFormat="1" ht="25.5" outlineLevel="1" x14ac:dyDescent="0.25">
      <c r="A122" s="212"/>
      <c r="B122" s="213" t="str">
        <f>Services!B122</f>
        <v>05C</v>
      </c>
      <c r="C122" s="214" t="str">
        <f>Services!C122</f>
        <v>Sécurité des données lors des échanges et des communications sur le réseau local</v>
      </c>
      <c r="D122" s="210" t="str">
        <f t="shared" si="1"/>
        <v/>
      </c>
      <c r="E122" s="1378"/>
      <c r="F122" s="1378"/>
      <c r="G122" s="1378"/>
      <c r="H122" s="1378"/>
      <c r="I122" s="1378"/>
      <c r="J122" s="1378"/>
      <c r="K122" s="1378"/>
      <c r="L122" s="1378"/>
      <c r="M122" s="1378"/>
      <c r="N122" s="1378"/>
      <c r="O122" s="1378"/>
      <c r="P122" s="1378"/>
      <c r="Q122" s="1378"/>
      <c r="R122" s="1378"/>
      <c r="S122" s="1378"/>
      <c r="T122" s="1378"/>
      <c r="U122" s="1378"/>
      <c r="V122" s="1378"/>
      <c r="W122" s="1378"/>
      <c r="X122" s="1378"/>
      <c r="Y122" s="1378"/>
      <c r="Z122" s="1378"/>
      <c r="AA122" s="1378"/>
      <c r="AB122" s="1378"/>
      <c r="AC122" s="1378"/>
      <c r="AD122" s="1378"/>
      <c r="AE122" s="1378"/>
      <c r="AF122" s="1378"/>
      <c r="AG122" s="1378"/>
      <c r="AH122" s="1378"/>
      <c r="AI122" s="1378"/>
      <c r="AJ122" s="1378"/>
      <c r="AK122" s="1378"/>
      <c r="AL122" s="1378"/>
      <c r="AM122" s="1378"/>
      <c r="AN122" s="1378"/>
      <c r="AO122" s="1378"/>
      <c r="AP122" s="1378"/>
      <c r="AQ122" s="1378"/>
      <c r="AR122" s="1378"/>
      <c r="AS122" s="1378"/>
      <c r="AT122" s="1378"/>
      <c r="AU122" s="1378"/>
      <c r="AV122" s="1378"/>
      <c r="AW122" s="1378"/>
      <c r="AX122" s="1378"/>
      <c r="AY122" s="1378"/>
      <c r="AZ122" s="1378"/>
      <c r="BA122" s="1378"/>
      <c r="BB122" s="1378"/>
      <c r="BC122" s="1378"/>
      <c r="BD122"/>
      <c r="BE122" s="198"/>
      <c r="BF122" s="198"/>
      <c r="BG122" s="198"/>
      <c r="BH122" s="198"/>
      <c r="BI122" s="198"/>
      <c r="BJ122" s="198"/>
      <c r="BK122" s="198"/>
      <c r="BL122" s="198"/>
      <c r="BM122" s="198"/>
      <c r="BN122" s="198"/>
      <c r="BO122" s="198"/>
      <c r="BP122" s="198"/>
      <c r="BQ122" s="198"/>
      <c r="BR122" s="198"/>
      <c r="BS122" s="198"/>
      <c r="BT122" s="198"/>
      <c r="BU122" s="198"/>
      <c r="BV122" s="198"/>
      <c r="BW122" s="198"/>
      <c r="BX122" s="198"/>
      <c r="BY122" s="198"/>
      <c r="BZ122" s="198"/>
      <c r="CA122" s="198"/>
      <c r="CB122" s="198"/>
      <c r="CC122" s="198"/>
      <c r="CD122" s="198"/>
      <c r="CE122" s="198"/>
      <c r="CF122" s="198"/>
      <c r="CG122" s="198"/>
      <c r="CH122" s="198"/>
      <c r="CI122" s="198"/>
      <c r="CJ122" s="198"/>
      <c r="CK122" s="198"/>
      <c r="CL122" s="198"/>
      <c r="CM122" s="198"/>
      <c r="CN122" s="198"/>
      <c r="CO122" s="198"/>
      <c r="CP122" s="198"/>
      <c r="CQ122" s="198"/>
      <c r="CR122" s="198"/>
      <c r="CS122" s="198"/>
      <c r="CT122" s="198"/>
      <c r="CU122" s="198"/>
      <c r="CV122" s="198"/>
      <c r="CW122" s="198"/>
      <c r="CX122" s="198"/>
      <c r="CY122" s="198"/>
      <c r="CZ122" s="198"/>
      <c r="DA122" s="198"/>
      <c r="DB122" s="198"/>
      <c r="DC122" s="198"/>
      <c r="DD122" s="198"/>
      <c r="DE122" s="198"/>
      <c r="DF122" s="198"/>
      <c r="DG122" s="198"/>
      <c r="DH122" s="198"/>
      <c r="DI122" s="198"/>
      <c r="DJ122" s="198"/>
      <c r="DK122" s="198"/>
      <c r="DL122" s="198"/>
      <c r="DM122" s="198"/>
      <c r="DN122" s="198"/>
      <c r="DO122" s="198"/>
      <c r="DP122" s="198"/>
      <c r="DQ122" s="198"/>
      <c r="DR122" s="198"/>
      <c r="DS122" s="198"/>
      <c r="DT122" s="198"/>
    </row>
    <row r="123" spans="1:124" s="172" customFormat="1" ht="14.25" outlineLevel="1" x14ac:dyDescent="0.25">
      <c r="A123" s="217"/>
      <c r="B123" s="218" t="str">
        <f>Services!B123</f>
        <v>05C01</v>
      </c>
      <c r="C123" s="216" t="str">
        <f>Services!C123</f>
        <v>Chiffrement des échanges sur le réseau local</v>
      </c>
      <c r="D123" s="210" t="str">
        <f t="shared" si="1"/>
        <v/>
      </c>
      <c r="E123" s="1378"/>
      <c r="F123" s="1378"/>
      <c r="G123" s="1378"/>
      <c r="H123" s="1378"/>
      <c r="I123" s="1378"/>
      <c r="J123" s="1378"/>
      <c r="K123" s="1378"/>
      <c r="L123" s="1378"/>
      <c r="M123" s="1378"/>
      <c r="N123" s="1378"/>
      <c r="O123" s="1378"/>
      <c r="P123" s="1378"/>
      <c r="Q123" s="1378"/>
      <c r="R123" s="1378">
        <f>IF(INDEX(Tab_actions,92,1)=1,INDEX(Tab_actions,92,10),0)</f>
        <v>0</v>
      </c>
      <c r="S123" s="1378"/>
      <c r="T123" s="1378"/>
      <c r="U123" s="1378"/>
      <c r="V123" s="1378"/>
      <c r="W123" s="1378"/>
      <c r="X123" s="1378"/>
      <c r="Y123" s="1378"/>
      <c r="Z123" s="1378"/>
      <c r="AA123" s="1378"/>
      <c r="AB123" s="1378">
        <f>IF(INDEX(Tab_actions,160,1)=1,INDEX(Tab_actions,160,4),0)</f>
        <v>0</v>
      </c>
      <c r="AC123" s="1378"/>
      <c r="AD123" s="1378"/>
      <c r="AE123" s="1378"/>
      <c r="AF123" s="1378"/>
      <c r="AG123" s="1378"/>
      <c r="AH123" s="1378"/>
      <c r="AI123" s="1378"/>
      <c r="AJ123" s="1378"/>
      <c r="AK123" s="1378"/>
      <c r="AL123" s="1378"/>
      <c r="AM123" s="1378"/>
      <c r="AN123" s="1378"/>
      <c r="AO123" s="1378"/>
      <c r="AP123" s="1378"/>
      <c r="AQ123" s="1378"/>
      <c r="AR123" s="1378"/>
      <c r="AS123" s="1378"/>
      <c r="AT123" s="1378"/>
      <c r="AU123" s="1378"/>
      <c r="AV123" s="1378"/>
      <c r="AW123" s="1378"/>
      <c r="AX123" s="1378"/>
      <c r="AY123" s="1378"/>
      <c r="AZ123" s="1378"/>
      <c r="BA123" s="1378"/>
      <c r="BB123" s="1378"/>
      <c r="BC123" s="1378"/>
      <c r="BD123"/>
      <c r="BE123" s="198"/>
      <c r="BF123" s="198"/>
      <c r="BG123" s="198"/>
      <c r="BH123" s="198"/>
      <c r="BI123" s="198"/>
      <c r="BJ123" s="198"/>
      <c r="BK123" s="198"/>
      <c r="BL123" s="198"/>
      <c r="BM123" s="198"/>
      <c r="BN123" s="198"/>
      <c r="BO123" s="198"/>
      <c r="BP123" s="198"/>
      <c r="BQ123" s="198"/>
      <c r="BR123" s="198"/>
      <c r="BS123" s="198"/>
      <c r="BT123" s="198"/>
      <c r="BU123" s="198"/>
      <c r="BV123" s="198"/>
      <c r="BW123" s="198"/>
      <c r="BX123" s="198"/>
      <c r="BY123" s="198"/>
      <c r="BZ123" s="198"/>
      <c r="CA123" s="198"/>
      <c r="CB123" s="198"/>
      <c r="CC123" s="198"/>
      <c r="CD123" s="198"/>
      <c r="CE123" s="198"/>
      <c r="CF123" s="198"/>
      <c r="CG123" s="198"/>
      <c r="CH123" s="198"/>
      <c r="CI123" s="198"/>
      <c r="CJ123" s="198"/>
      <c r="CK123" s="198"/>
      <c r="CL123" s="198"/>
      <c r="CM123" s="198"/>
      <c r="CN123" s="198"/>
      <c r="CO123" s="198"/>
      <c r="CP123" s="198"/>
      <c r="CQ123" s="198"/>
      <c r="CR123" s="198"/>
      <c r="CS123" s="198"/>
      <c r="CT123" s="198"/>
      <c r="CU123" s="198"/>
      <c r="CV123" s="198"/>
      <c r="CW123" s="198"/>
      <c r="CX123" s="198"/>
      <c r="CY123" s="198"/>
      <c r="CZ123" s="198"/>
      <c r="DA123" s="198"/>
      <c r="DB123" s="198"/>
      <c r="DC123" s="198"/>
      <c r="DD123" s="198"/>
      <c r="DE123" s="198"/>
      <c r="DF123" s="198"/>
      <c r="DG123" s="198"/>
      <c r="DH123" s="198"/>
      <c r="DI123" s="198"/>
      <c r="DJ123" s="198"/>
      <c r="DK123" s="198"/>
      <c r="DL123" s="198"/>
      <c r="DM123" s="198"/>
      <c r="DN123" s="198"/>
      <c r="DO123" s="198"/>
      <c r="DP123" s="198"/>
      <c r="DQ123" s="198"/>
      <c r="DR123" s="198"/>
      <c r="DS123" s="198"/>
      <c r="DT123" s="198"/>
    </row>
    <row r="124" spans="1:124" s="172" customFormat="1" ht="14.25" outlineLevel="1" x14ac:dyDescent="0.25">
      <c r="A124" s="217"/>
      <c r="B124" s="218" t="str">
        <f>Services!B124</f>
        <v>05C02</v>
      </c>
      <c r="C124" s="216" t="str">
        <f>Services!C124</f>
        <v>Protection de l'intégrité des échanges sur le réseau local</v>
      </c>
      <c r="D124" s="210" t="str">
        <f t="shared" si="1"/>
        <v/>
      </c>
      <c r="E124" s="1378"/>
      <c r="F124" s="1378"/>
      <c r="G124" s="1378"/>
      <c r="H124" s="1378"/>
      <c r="I124" s="1378"/>
      <c r="J124" s="1378"/>
      <c r="K124" s="1378"/>
      <c r="L124" s="1378"/>
      <c r="M124" s="1378"/>
      <c r="N124" s="1378"/>
      <c r="O124" s="1378"/>
      <c r="P124" s="1378"/>
      <c r="Q124" s="1378"/>
      <c r="R124" s="1378">
        <f>IF(INDEX(Tab_actions,92,1)=1,INDEX(Tab_actions,92,13),0)</f>
        <v>0</v>
      </c>
      <c r="S124" s="1378"/>
      <c r="T124" s="1378"/>
      <c r="U124" s="1378"/>
      <c r="V124" s="1378"/>
      <c r="W124" s="1378"/>
      <c r="X124" s="1378"/>
      <c r="Y124" s="1378"/>
      <c r="Z124" s="1378"/>
      <c r="AA124" s="1378"/>
      <c r="AB124" s="1378"/>
      <c r="AC124" s="1378"/>
      <c r="AD124" s="1378"/>
      <c r="AE124" s="1378"/>
      <c r="AF124" s="1378"/>
      <c r="AG124" s="1378"/>
      <c r="AH124" s="1378"/>
      <c r="AI124" s="1378"/>
      <c r="AJ124" s="1378"/>
      <c r="AK124" s="1378"/>
      <c r="AL124" s="1378"/>
      <c r="AM124" s="1378"/>
      <c r="AN124" s="1378"/>
      <c r="AO124" s="1378"/>
      <c r="AP124" s="1378"/>
      <c r="AQ124" s="1378"/>
      <c r="AR124" s="1378"/>
      <c r="AS124" s="1378"/>
      <c r="AT124" s="1378"/>
      <c r="AU124" s="1378"/>
      <c r="AV124" s="1378"/>
      <c r="AW124" s="1378"/>
      <c r="AX124" s="1378"/>
      <c r="AY124" s="1378"/>
      <c r="AZ124" s="1378"/>
      <c r="BA124" s="1378"/>
      <c r="BB124" s="1378"/>
      <c r="BC124" s="1378"/>
      <c r="BD124"/>
      <c r="BE124" s="198"/>
      <c r="BF124" s="198"/>
      <c r="BG124" s="198"/>
      <c r="BH124" s="198"/>
      <c r="BI124" s="198"/>
      <c r="BJ124" s="198"/>
      <c r="BK124" s="198"/>
      <c r="BL124" s="198"/>
      <c r="BM124" s="198"/>
      <c r="BN124" s="198"/>
      <c r="BO124" s="198"/>
      <c r="BP124" s="198"/>
      <c r="BQ124" s="198"/>
      <c r="BR124" s="198"/>
      <c r="BS124" s="198"/>
      <c r="BT124" s="198"/>
      <c r="BU124" s="198"/>
      <c r="BV124" s="198"/>
      <c r="BW124" s="198"/>
      <c r="BX124" s="198"/>
      <c r="BY124" s="198"/>
      <c r="BZ124" s="198"/>
      <c r="CA124" s="198"/>
      <c r="CB124" s="198"/>
      <c r="CC124" s="198"/>
      <c r="CD124" s="198"/>
      <c r="CE124" s="198"/>
      <c r="CF124" s="198"/>
      <c r="CG124" s="198"/>
      <c r="CH124" s="198"/>
      <c r="CI124" s="198"/>
      <c r="CJ124" s="198"/>
      <c r="CK124" s="198"/>
      <c r="CL124" s="198"/>
      <c r="CM124" s="198"/>
      <c r="CN124" s="198"/>
      <c r="CO124" s="198"/>
      <c r="CP124" s="198"/>
      <c r="CQ124" s="198"/>
      <c r="CR124" s="198"/>
      <c r="CS124" s="198"/>
      <c r="CT124" s="198"/>
      <c r="CU124" s="198"/>
      <c r="CV124" s="198"/>
      <c r="CW124" s="198"/>
      <c r="CX124" s="198"/>
      <c r="CY124" s="198"/>
      <c r="CZ124" s="198"/>
      <c r="DA124" s="198"/>
      <c r="DB124" s="198"/>
      <c r="DC124" s="198"/>
      <c r="DD124" s="198"/>
      <c r="DE124" s="198"/>
      <c r="DF124" s="198"/>
      <c r="DG124" s="198"/>
      <c r="DH124" s="198"/>
      <c r="DI124" s="198"/>
      <c r="DJ124" s="198"/>
      <c r="DK124" s="198"/>
      <c r="DL124" s="198"/>
      <c r="DM124" s="198"/>
      <c r="DN124" s="198"/>
      <c r="DO124" s="198"/>
      <c r="DP124" s="198"/>
      <c r="DQ124" s="198"/>
      <c r="DR124" s="198"/>
      <c r="DS124" s="198"/>
      <c r="DT124" s="198"/>
    </row>
    <row r="125" spans="1:124" s="172" customFormat="1" ht="17.25" customHeight="1" outlineLevel="1" x14ac:dyDescent="0.25">
      <c r="A125" s="212"/>
      <c r="B125" s="218" t="str">
        <f>Services!B125</f>
        <v>05C03</v>
      </c>
      <c r="C125" s="216" t="str">
        <f>Services!C125</f>
        <v xml:space="preserve">Chiffrement des échanges lors des accès distants au réseau local
</v>
      </c>
      <c r="D125" s="210" t="str">
        <f t="shared" si="1"/>
        <v/>
      </c>
      <c r="E125" s="1378"/>
      <c r="F125" s="1378"/>
      <c r="G125" s="1378"/>
      <c r="H125" s="1378"/>
      <c r="I125" s="1378"/>
      <c r="J125" s="1378"/>
      <c r="K125" s="1378"/>
      <c r="L125" s="1378"/>
      <c r="M125" s="1378"/>
      <c r="N125" s="1378"/>
      <c r="O125" s="1378"/>
      <c r="P125" s="1378"/>
      <c r="Q125" s="1378"/>
      <c r="R125" s="1378">
        <f>IF(INDEX(Tab_actions,92,1)=1,INDEX(Tab_actions,92,16),0)</f>
        <v>0</v>
      </c>
      <c r="S125" s="1378"/>
      <c r="T125" s="1378"/>
      <c r="U125" s="1378"/>
      <c r="V125" s="1378"/>
      <c r="W125" s="1378"/>
      <c r="X125" s="1378"/>
      <c r="Y125" s="1378"/>
      <c r="Z125" s="1378"/>
      <c r="AA125" s="1378"/>
      <c r="AB125" s="1378">
        <f>IF(INDEX(Tab_actions,160,1)=1,INDEX(Tab_actions,160,7),0)</f>
        <v>0</v>
      </c>
      <c r="AC125" s="1378"/>
      <c r="AD125" s="1378"/>
      <c r="AE125" s="1378"/>
      <c r="AF125" s="1378"/>
      <c r="AG125" s="1378"/>
      <c r="AH125" s="1378"/>
      <c r="AI125" s="1378"/>
      <c r="AJ125" s="1378"/>
      <c r="AK125" s="1378"/>
      <c r="AL125" s="1378"/>
      <c r="AM125" s="1378"/>
      <c r="AN125" s="1378"/>
      <c r="AO125" s="1378"/>
      <c r="AP125" s="1378"/>
      <c r="AQ125" s="1378"/>
      <c r="AR125" s="1378"/>
      <c r="AS125" s="1378"/>
      <c r="AT125" s="1378"/>
      <c r="AU125" s="1378"/>
      <c r="AV125" s="1378"/>
      <c r="AW125" s="1378"/>
      <c r="AX125" s="1378"/>
      <c r="AY125" s="1378"/>
      <c r="AZ125" s="1378"/>
      <c r="BA125" s="1378"/>
      <c r="BB125" s="1378"/>
      <c r="BC125" s="1378"/>
      <c r="BD125"/>
      <c r="BE125" s="198"/>
      <c r="BF125" s="198"/>
      <c r="BG125" s="198"/>
      <c r="BH125" s="198"/>
      <c r="BI125" s="198"/>
      <c r="BJ125" s="198"/>
      <c r="BK125" s="198"/>
      <c r="BL125" s="198"/>
      <c r="BM125" s="198"/>
      <c r="BN125" s="198"/>
      <c r="BO125" s="198"/>
      <c r="BP125" s="198"/>
      <c r="BQ125" s="198"/>
      <c r="BR125" s="198"/>
      <c r="BS125" s="198"/>
      <c r="BT125" s="198"/>
      <c r="BU125" s="198"/>
      <c r="BV125" s="198"/>
      <c r="BW125" s="198"/>
      <c r="BX125" s="198"/>
      <c r="BY125" s="198"/>
      <c r="BZ125" s="198"/>
      <c r="CA125" s="198"/>
      <c r="CB125" s="198"/>
      <c r="CC125" s="198"/>
      <c r="CD125" s="198"/>
      <c r="CE125" s="198"/>
      <c r="CF125" s="198"/>
      <c r="CG125" s="198"/>
      <c r="CH125" s="198"/>
      <c r="CI125" s="198"/>
      <c r="CJ125" s="198"/>
      <c r="CK125" s="198"/>
      <c r="CL125" s="198"/>
      <c r="CM125" s="198"/>
      <c r="CN125" s="198"/>
      <c r="CO125" s="198"/>
      <c r="CP125" s="198"/>
      <c r="CQ125" s="198"/>
      <c r="CR125" s="198"/>
      <c r="CS125" s="198"/>
      <c r="CT125" s="198"/>
      <c r="CU125" s="198"/>
      <c r="CV125" s="198"/>
      <c r="CW125" s="198"/>
      <c r="CX125" s="198"/>
      <c r="CY125" s="198"/>
      <c r="CZ125" s="198"/>
      <c r="DA125" s="198"/>
      <c r="DB125" s="198"/>
      <c r="DC125" s="198"/>
      <c r="DD125" s="198"/>
      <c r="DE125" s="198"/>
      <c r="DF125" s="198"/>
      <c r="DG125" s="198"/>
      <c r="DH125" s="198"/>
      <c r="DI125" s="198"/>
      <c r="DJ125" s="198"/>
      <c r="DK125" s="198"/>
      <c r="DL125" s="198"/>
      <c r="DM125" s="198"/>
      <c r="DN125" s="198"/>
      <c r="DO125" s="198"/>
      <c r="DP125" s="198"/>
      <c r="DQ125" s="198"/>
      <c r="DR125" s="198"/>
      <c r="DS125" s="198"/>
      <c r="DT125" s="198"/>
    </row>
    <row r="126" spans="1:124" s="172" customFormat="1" ht="15" outlineLevel="1" x14ac:dyDescent="0.25">
      <c r="A126" s="212"/>
      <c r="B126" s="218" t="str">
        <f>Services!B126</f>
        <v>05C04</v>
      </c>
      <c r="C126" s="216" t="str">
        <f>Services!C126</f>
        <v>Protection de l'intégrité des échanges lors des accès distants au réseau local</v>
      </c>
      <c r="D126" s="210" t="str">
        <f t="shared" si="1"/>
        <v/>
      </c>
      <c r="E126" s="1378"/>
      <c r="F126" s="1378"/>
      <c r="G126" s="1378"/>
      <c r="H126" s="1378"/>
      <c r="I126" s="1378"/>
      <c r="J126" s="1378"/>
      <c r="K126" s="1378"/>
      <c r="L126" s="1378"/>
      <c r="M126" s="1378"/>
      <c r="N126" s="1378"/>
      <c r="O126" s="1378"/>
      <c r="P126" s="1378"/>
      <c r="Q126" s="1378"/>
      <c r="R126" s="1378">
        <f>IF(INDEX(Tab_actions,92,1)=1,INDEX(Tab_actions,92,19),0)</f>
        <v>0</v>
      </c>
      <c r="S126" s="1378"/>
      <c r="T126" s="1378"/>
      <c r="U126" s="1378"/>
      <c r="V126" s="1378"/>
      <c r="W126" s="1378"/>
      <c r="X126" s="1378"/>
      <c r="Y126" s="1378"/>
      <c r="Z126" s="1378"/>
      <c r="AA126" s="1378"/>
      <c r="AB126" s="1378"/>
      <c r="AC126" s="1378"/>
      <c r="AD126" s="1378"/>
      <c r="AE126" s="1378"/>
      <c r="AF126" s="1378"/>
      <c r="AG126" s="1378"/>
      <c r="AH126" s="1378"/>
      <c r="AI126" s="1378"/>
      <c r="AJ126" s="1378"/>
      <c r="AK126" s="1378"/>
      <c r="AL126" s="1378"/>
      <c r="AM126" s="1378"/>
      <c r="AN126" s="1378"/>
      <c r="AO126" s="1378"/>
      <c r="AP126" s="1378"/>
      <c r="AQ126" s="1378"/>
      <c r="AR126" s="1378"/>
      <c r="AS126" s="1378"/>
      <c r="AT126" s="1378"/>
      <c r="AU126" s="1378"/>
      <c r="AV126" s="1378"/>
      <c r="AW126" s="1378"/>
      <c r="AX126" s="1378"/>
      <c r="AY126" s="1378"/>
      <c r="AZ126" s="1378"/>
      <c r="BA126" s="1378"/>
      <c r="BB126" s="1378"/>
      <c r="BC126" s="1378"/>
      <c r="BD126"/>
      <c r="BE126" s="198"/>
      <c r="BF126" s="198"/>
      <c r="BG126" s="198"/>
      <c r="BH126" s="198"/>
      <c r="BI126" s="198"/>
      <c r="BJ126" s="198"/>
      <c r="BK126" s="198"/>
      <c r="BL126" s="198"/>
      <c r="BM126" s="198"/>
      <c r="BN126" s="198"/>
      <c r="BO126" s="198"/>
      <c r="BP126" s="198"/>
      <c r="BQ126" s="198"/>
      <c r="BR126" s="198"/>
      <c r="BS126" s="198"/>
      <c r="BT126" s="198"/>
      <c r="BU126" s="198"/>
      <c r="BV126" s="198"/>
      <c r="BW126" s="198"/>
      <c r="BX126" s="198"/>
      <c r="BY126" s="198"/>
      <c r="BZ126" s="198"/>
      <c r="CA126" s="198"/>
      <c r="CB126" s="198"/>
      <c r="CC126" s="198"/>
      <c r="CD126" s="198"/>
      <c r="CE126" s="198"/>
      <c r="CF126" s="198"/>
      <c r="CG126" s="198"/>
      <c r="CH126" s="198"/>
      <c r="CI126" s="198"/>
      <c r="CJ126" s="198"/>
      <c r="CK126" s="198"/>
      <c r="CL126" s="198"/>
      <c r="CM126" s="198"/>
      <c r="CN126" s="198"/>
      <c r="CO126" s="198"/>
      <c r="CP126" s="198"/>
      <c r="CQ126" s="198"/>
      <c r="CR126" s="198"/>
      <c r="CS126" s="198"/>
      <c r="CT126" s="198"/>
      <c r="CU126" s="198"/>
      <c r="CV126" s="198"/>
      <c r="CW126" s="198"/>
      <c r="CX126" s="198"/>
      <c r="CY126" s="198"/>
      <c r="CZ126" s="198"/>
      <c r="DA126" s="198"/>
      <c r="DB126" s="198"/>
      <c r="DC126" s="198"/>
      <c r="DD126" s="198"/>
      <c r="DE126" s="198"/>
      <c r="DF126" s="198"/>
      <c r="DG126" s="198"/>
      <c r="DH126" s="198"/>
      <c r="DI126" s="198"/>
      <c r="DJ126" s="198"/>
      <c r="DK126" s="198"/>
      <c r="DL126" s="198"/>
      <c r="DM126" s="198"/>
      <c r="DN126" s="198"/>
      <c r="DO126" s="198"/>
      <c r="DP126" s="198"/>
      <c r="DQ126" s="198"/>
      <c r="DR126" s="198"/>
      <c r="DS126" s="198"/>
      <c r="DT126" s="198"/>
    </row>
    <row r="127" spans="1:124" s="172" customFormat="1" ht="15" outlineLevel="1" x14ac:dyDescent="0.25">
      <c r="A127" s="212"/>
      <c r="B127" s="213" t="str">
        <f>Services!B127</f>
        <v>05D</v>
      </c>
      <c r="C127" s="214" t="str">
        <f>Services!C127</f>
        <v>Contrôle, détection et traitement des incidents du réseau local</v>
      </c>
      <c r="D127" s="210" t="str">
        <f t="shared" si="1"/>
        <v/>
      </c>
      <c r="E127" s="1378"/>
      <c r="F127" s="1378"/>
      <c r="G127" s="1378"/>
      <c r="H127" s="1378"/>
      <c r="I127" s="1378"/>
      <c r="J127" s="1378"/>
      <c r="K127" s="1378"/>
      <c r="L127" s="1378"/>
      <c r="M127" s="1378"/>
      <c r="N127" s="1378"/>
      <c r="O127" s="1378"/>
      <c r="P127" s="1378"/>
      <c r="Q127" s="1378"/>
      <c r="R127" s="1378"/>
      <c r="S127" s="1378"/>
      <c r="T127" s="1378"/>
      <c r="U127" s="1378"/>
      <c r="V127" s="1378"/>
      <c r="W127" s="1378"/>
      <c r="X127" s="1378"/>
      <c r="Y127" s="1378"/>
      <c r="Z127" s="1378"/>
      <c r="AA127" s="1378"/>
      <c r="AB127" s="1378"/>
      <c r="AC127" s="1378"/>
      <c r="AD127" s="1378"/>
      <c r="AE127" s="1378"/>
      <c r="AF127" s="1378"/>
      <c r="AG127" s="1378"/>
      <c r="AH127" s="1378"/>
      <c r="AI127" s="1378"/>
      <c r="AJ127" s="1378"/>
      <c r="AK127" s="1378"/>
      <c r="AL127" s="1378"/>
      <c r="AM127" s="1378"/>
      <c r="AN127" s="1378"/>
      <c r="AO127" s="1378"/>
      <c r="AP127" s="1378"/>
      <c r="AQ127" s="1378"/>
      <c r="AR127" s="1378"/>
      <c r="AS127" s="1378"/>
      <c r="AT127" s="1378"/>
      <c r="AU127" s="1378"/>
      <c r="AV127" s="1378"/>
      <c r="AW127" s="1378"/>
      <c r="AX127" s="1378"/>
      <c r="AY127" s="1378"/>
      <c r="AZ127" s="1378"/>
      <c r="BA127" s="1378"/>
      <c r="BB127" s="1378"/>
      <c r="BC127" s="1378"/>
      <c r="BD127"/>
      <c r="BE127" s="198"/>
      <c r="BF127" s="198"/>
      <c r="BG127" s="198"/>
      <c r="BH127" s="198"/>
      <c r="BI127" s="198"/>
      <c r="BJ127" s="198"/>
      <c r="BK127" s="198"/>
      <c r="BL127" s="198"/>
      <c r="BM127" s="198"/>
      <c r="BN127" s="198"/>
      <c r="BO127" s="198"/>
      <c r="BP127" s="198"/>
      <c r="BQ127" s="198"/>
      <c r="BR127" s="198"/>
      <c r="BS127" s="198"/>
      <c r="BT127" s="198"/>
      <c r="BU127" s="198"/>
      <c r="BV127" s="198"/>
      <c r="BW127" s="198"/>
      <c r="BX127" s="198"/>
      <c r="BY127" s="198"/>
      <c r="BZ127" s="198"/>
      <c r="CA127" s="198"/>
      <c r="CB127" s="198"/>
      <c r="CC127" s="198"/>
      <c r="CD127" s="198"/>
      <c r="CE127" s="198"/>
      <c r="CF127" s="198"/>
      <c r="CG127" s="198"/>
      <c r="CH127" s="198"/>
      <c r="CI127" s="198"/>
      <c r="CJ127" s="198"/>
      <c r="CK127" s="198"/>
      <c r="CL127" s="198"/>
      <c r="CM127" s="198"/>
      <c r="CN127" s="198"/>
      <c r="CO127" s="198"/>
      <c r="CP127" s="198"/>
      <c r="CQ127" s="198"/>
      <c r="CR127" s="198"/>
      <c r="CS127" s="198"/>
      <c r="CT127" s="198"/>
      <c r="CU127" s="198"/>
      <c r="CV127" s="198"/>
      <c r="CW127" s="198"/>
      <c r="CX127" s="198"/>
      <c r="CY127" s="198"/>
      <c r="CZ127" s="198"/>
      <c r="DA127" s="198"/>
      <c r="DB127" s="198"/>
      <c r="DC127" s="198"/>
      <c r="DD127" s="198"/>
      <c r="DE127" s="198"/>
      <c r="DF127" s="198"/>
      <c r="DG127" s="198"/>
      <c r="DH127" s="198"/>
      <c r="DI127" s="198"/>
      <c r="DJ127" s="198"/>
      <c r="DK127" s="198"/>
      <c r="DL127" s="198"/>
      <c r="DM127" s="198"/>
      <c r="DN127" s="198"/>
      <c r="DO127" s="198"/>
      <c r="DP127" s="198"/>
      <c r="DQ127" s="198"/>
      <c r="DR127" s="198"/>
      <c r="DS127" s="198"/>
      <c r="DT127" s="198"/>
    </row>
    <row r="128" spans="1:124" s="172" customFormat="1" ht="14.25" outlineLevel="1" x14ac:dyDescent="0.25">
      <c r="A128" s="217"/>
      <c r="B128" s="218" t="str">
        <f>Services!B128</f>
        <v>05D01</v>
      </c>
      <c r="C128" s="216" t="str">
        <f>Services!C128</f>
        <v>Surveillance (en temps réel) du réseau local</v>
      </c>
      <c r="D128" s="210" t="str">
        <f t="shared" si="1"/>
        <v/>
      </c>
      <c r="E128" s="1378"/>
      <c r="F128" s="1378"/>
      <c r="G128" s="1378"/>
      <c r="H128" s="1378"/>
      <c r="I128" s="1378"/>
      <c r="J128" s="1378"/>
      <c r="K128" s="1378"/>
      <c r="L128" s="1378"/>
      <c r="M128" s="1378"/>
      <c r="N128" s="1378"/>
      <c r="O128" s="1378"/>
      <c r="P128" s="1378"/>
      <c r="Q128" s="1378"/>
      <c r="R128" s="1378"/>
      <c r="S128" s="1378"/>
      <c r="T128" s="1378"/>
      <c r="U128" s="1378"/>
      <c r="V128" s="1378"/>
      <c r="W128" s="1378"/>
      <c r="X128" s="1378"/>
      <c r="Y128" s="1378"/>
      <c r="Z128" s="1378"/>
      <c r="AA128" s="1378"/>
      <c r="AB128" s="1378"/>
      <c r="AC128" s="1378"/>
      <c r="AD128" s="1378"/>
      <c r="AE128" s="1378"/>
      <c r="AF128" s="1378"/>
      <c r="AG128" s="1378"/>
      <c r="AH128" s="1378"/>
      <c r="AI128" s="1378"/>
      <c r="AJ128" s="1378">
        <f>IF(INDEX(Tab_actions,210,1)=1,INDEX(Tab_actions,210,4),0)</f>
        <v>0</v>
      </c>
      <c r="AK128" s="1378"/>
      <c r="AL128" s="1378"/>
      <c r="AM128" s="1378"/>
      <c r="AN128" s="1378"/>
      <c r="AO128" s="1378"/>
      <c r="AP128" s="1378"/>
      <c r="AQ128" s="1378"/>
      <c r="AR128" s="1378"/>
      <c r="AS128" s="1378"/>
      <c r="AT128" s="1378"/>
      <c r="AU128" s="1378"/>
      <c r="AV128" s="1378"/>
      <c r="AW128" s="1378"/>
      <c r="AX128" s="1378"/>
      <c r="AY128" s="1378"/>
      <c r="AZ128" s="1378"/>
      <c r="BA128" s="1378"/>
      <c r="BB128" s="1378"/>
      <c r="BC128" s="1378"/>
      <c r="BD128"/>
      <c r="BE128" s="198"/>
      <c r="BF128" s="198"/>
      <c r="BG128" s="198"/>
      <c r="BH128" s="198"/>
      <c r="BI128" s="198"/>
      <c r="BJ128" s="198"/>
      <c r="BK128" s="198"/>
      <c r="BL128" s="198"/>
      <c r="BM128" s="198"/>
      <c r="BN128" s="198"/>
      <c r="BO128" s="198"/>
      <c r="BP128" s="198"/>
      <c r="BQ128" s="198"/>
      <c r="BR128" s="198"/>
      <c r="BS128" s="198"/>
      <c r="BT128" s="198"/>
      <c r="BU128" s="198"/>
      <c r="BV128" s="198"/>
      <c r="BW128" s="198"/>
      <c r="BX128" s="198"/>
      <c r="BY128" s="198"/>
      <c r="BZ128" s="198"/>
      <c r="CA128" s="198"/>
      <c r="CB128" s="198"/>
      <c r="CC128" s="198"/>
      <c r="CD128" s="198"/>
      <c r="CE128" s="198"/>
      <c r="CF128" s="198"/>
      <c r="CG128" s="198"/>
      <c r="CH128" s="198"/>
      <c r="CI128" s="198"/>
      <c r="CJ128" s="198"/>
      <c r="CK128" s="198"/>
      <c r="CL128" s="198"/>
      <c r="CM128" s="198"/>
      <c r="CN128" s="198"/>
      <c r="CO128" s="198"/>
      <c r="CP128" s="198"/>
      <c r="CQ128" s="198"/>
      <c r="CR128" s="198"/>
      <c r="CS128" s="198"/>
      <c r="CT128" s="198"/>
      <c r="CU128" s="198"/>
      <c r="CV128" s="198"/>
      <c r="CW128" s="198"/>
      <c r="CX128" s="198"/>
      <c r="CY128" s="198"/>
      <c r="CZ128" s="198"/>
      <c r="DA128" s="198"/>
      <c r="DB128" s="198"/>
      <c r="DC128" s="198"/>
      <c r="DD128" s="198"/>
      <c r="DE128" s="198"/>
      <c r="DF128" s="198"/>
      <c r="DG128" s="198"/>
      <c r="DH128" s="198"/>
      <c r="DI128" s="198"/>
      <c r="DJ128" s="198"/>
      <c r="DK128" s="198"/>
      <c r="DL128" s="198"/>
      <c r="DM128" s="198"/>
      <c r="DN128" s="198"/>
      <c r="DO128" s="198"/>
      <c r="DP128" s="198"/>
      <c r="DQ128" s="198"/>
      <c r="DR128" s="198"/>
      <c r="DS128" s="198"/>
      <c r="DT128" s="198"/>
    </row>
    <row r="129" spans="1:124" s="172" customFormat="1" ht="25.5" outlineLevel="1" x14ac:dyDescent="0.25">
      <c r="A129" s="212"/>
      <c r="B129" s="218" t="str">
        <f>Services!B129</f>
        <v>05D02</v>
      </c>
      <c r="C129" s="216" t="str">
        <f>Services!C129</f>
        <v>Analyse (en temps différé) des traces, logs et journaux d'événements sur le réseau local</v>
      </c>
      <c r="D129" s="210" t="str">
        <f t="shared" si="1"/>
        <v/>
      </c>
      <c r="E129" s="1378"/>
      <c r="F129" s="1378"/>
      <c r="G129" s="1378"/>
      <c r="H129" s="1378"/>
      <c r="I129" s="1378"/>
      <c r="J129" s="1378"/>
      <c r="K129" s="1378"/>
      <c r="L129" s="1378"/>
      <c r="M129" s="1378"/>
      <c r="N129" s="1378"/>
      <c r="O129" s="1378"/>
      <c r="P129" s="1378"/>
      <c r="Q129" s="1378"/>
      <c r="R129" s="1378"/>
      <c r="S129" s="1378"/>
      <c r="T129" s="1378"/>
      <c r="U129" s="1378"/>
      <c r="V129" s="1378"/>
      <c r="W129" s="1378"/>
      <c r="X129" s="1378"/>
      <c r="Y129" s="1378"/>
      <c r="Z129" s="1378"/>
      <c r="AA129" s="1378"/>
      <c r="AB129" s="1378"/>
      <c r="AC129" s="1378"/>
      <c r="AD129" s="1378"/>
      <c r="AE129" s="1378"/>
      <c r="AF129" s="1378"/>
      <c r="AG129" s="1378"/>
      <c r="AH129" s="1378"/>
      <c r="AI129" s="1378"/>
      <c r="AJ129" s="1378">
        <f>IF(INDEX(Tab_actions,211,1)=1,INDEX(Tab_actions,211,22),0)</f>
        <v>0</v>
      </c>
      <c r="AK129" s="1378"/>
      <c r="AL129" s="1378"/>
      <c r="AM129" s="1378"/>
      <c r="AN129" s="1378"/>
      <c r="AO129" s="1378"/>
      <c r="AP129" s="1378"/>
      <c r="AQ129" s="1378"/>
      <c r="AR129" s="1378"/>
      <c r="AS129" s="1378"/>
      <c r="AT129" s="1378"/>
      <c r="AU129" s="1378"/>
      <c r="AV129" s="1378"/>
      <c r="AW129" s="1378"/>
      <c r="AX129" s="1378"/>
      <c r="AY129" s="1378"/>
      <c r="AZ129" s="1378"/>
      <c r="BA129" s="1378"/>
      <c r="BB129" s="1378"/>
      <c r="BC129" s="1378"/>
      <c r="BD129"/>
      <c r="BE129" s="198"/>
      <c r="BF129" s="198"/>
      <c r="BG129" s="198"/>
      <c r="BH129" s="198"/>
      <c r="BI129" s="198"/>
      <c r="BJ129" s="198"/>
      <c r="BK129" s="198"/>
      <c r="BL129" s="198"/>
      <c r="BM129" s="198"/>
      <c r="BN129" s="198"/>
      <c r="BO129" s="198"/>
      <c r="BP129" s="198"/>
      <c r="BQ129" s="198"/>
      <c r="BR129" s="198"/>
      <c r="BS129" s="198"/>
      <c r="BT129" s="198"/>
      <c r="BU129" s="198"/>
      <c r="BV129" s="198"/>
      <c r="BW129" s="198"/>
      <c r="BX129" s="198"/>
      <c r="BY129" s="198"/>
      <c r="BZ129" s="198"/>
      <c r="CA129" s="198"/>
      <c r="CB129" s="198"/>
      <c r="CC129" s="198"/>
      <c r="CD129" s="198"/>
      <c r="CE129" s="198"/>
      <c r="CF129" s="198"/>
      <c r="CG129" s="198"/>
      <c r="CH129" s="198"/>
      <c r="CI129" s="198"/>
      <c r="CJ129" s="198"/>
      <c r="CK129" s="198"/>
      <c r="CL129" s="198"/>
      <c r="CM129" s="198"/>
      <c r="CN129" s="198"/>
      <c r="CO129" s="198"/>
      <c r="CP129" s="198"/>
      <c r="CQ129" s="198"/>
      <c r="CR129" s="198"/>
      <c r="CS129" s="198"/>
      <c r="CT129" s="198"/>
      <c r="CU129" s="198"/>
      <c r="CV129" s="198"/>
      <c r="CW129" s="198"/>
      <c r="CX129" s="198"/>
      <c r="CY129" s="198"/>
      <c r="CZ129" s="198"/>
      <c r="DA129" s="198"/>
      <c r="DB129" s="198"/>
      <c r="DC129" s="198"/>
      <c r="DD129" s="198"/>
      <c r="DE129" s="198"/>
      <c r="DF129" s="198"/>
      <c r="DG129" s="198"/>
      <c r="DH129" s="198"/>
      <c r="DI129" s="198"/>
      <c r="DJ129" s="198"/>
      <c r="DK129" s="198"/>
      <c r="DL129" s="198"/>
      <c r="DM129" s="198"/>
      <c r="DN129" s="198"/>
      <c r="DO129" s="198"/>
      <c r="DP129" s="198"/>
      <c r="DQ129" s="198"/>
      <c r="DR129" s="198"/>
      <c r="DS129" s="198"/>
      <c r="DT129" s="198"/>
    </row>
    <row r="130" spans="1:124" s="172" customFormat="1" ht="15" outlineLevel="1" x14ac:dyDescent="0.25">
      <c r="A130" s="212"/>
      <c r="B130" s="218" t="str">
        <f>Services!B130</f>
        <v>05D03</v>
      </c>
      <c r="C130" s="216" t="str">
        <f>Services!C130</f>
        <v>Traitement des incidents du réseau local</v>
      </c>
      <c r="D130" s="210" t="str">
        <f t="shared" si="1"/>
        <v/>
      </c>
      <c r="E130" s="1378"/>
      <c r="F130" s="1378"/>
      <c r="G130" s="1378"/>
      <c r="H130" s="1378"/>
      <c r="I130" s="1378"/>
      <c r="J130" s="1378"/>
      <c r="K130" s="1378"/>
      <c r="L130" s="1378"/>
      <c r="M130" s="1378"/>
      <c r="N130" s="1378"/>
      <c r="O130" s="1378"/>
      <c r="P130" s="1378"/>
      <c r="Q130" s="1378"/>
      <c r="R130" s="1378"/>
      <c r="S130" s="1378"/>
      <c r="T130" s="1378"/>
      <c r="U130" s="1378"/>
      <c r="V130" s="1378"/>
      <c r="W130" s="1378"/>
      <c r="X130" s="1378"/>
      <c r="Y130" s="1378"/>
      <c r="Z130" s="1378"/>
      <c r="AA130" s="1378"/>
      <c r="AB130" s="1378"/>
      <c r="AC130" s="1378"/>
      <c r="AD130" s="1378"/>
      <c r="AE130" s="1378"/>
      <c r="AF130" s="1378"/>
      <c r="AG130" s="1378"/>
      <c r="AH130" s="1378"/>
      <c r="AI130" s="1378"/>
      <c r="AJ130" s="1378">
        <f>IF(INDEX(Tab_actions,211,1)=1,INDEX(Tab_actions,211,25),0)</f>
        <v>0</v>
      </c>
      <c r="AK130" s="1378"/>
      <c r="AL130" s="1378"/>
      <c r="AM130" s="1378"/>
      <c r="AN130" s="1378"/>
      <c r="AO130" s="1378"/>
      <c r="AP130" s="1378"/>
      <c r="AQ130" s="1378"/>
      <c r="AR130" s="1378"/>
      <c r="AS130" s="1378"/>
      <c r="AT130" s="1378"/>
      <c r="AU130" s="1378"/>
      <c r="AV130" s="1378"/>
      <c r="AW130" s="1378"/>
      <c r="AX130" s="1378"/>
      <c r="AY130" s="1378"/>
      <c r="AZ130" s="1378"/>
      <c r="BA130" s="1378"/>
      <c r="BB130" s="1378"/>
      <c r="BC130" s="1378"/>
      <c r="BD130"/>
      <c r="BE130" s="198"/>
      <c r="BF130" s="198"/>
      <c r="BG130" s="198"/>
      <c r="BH130" s="198"/>
      <c r="BI130" s="198"/>
      <c r="BJ130" s="198"/>
      <c r="BK130" s="198"/>
      <c r="BL130" s="198"/>
      <c r="BM130" s="198"/>
      <c r="BN130" s="198"/>
      <c r="BO130" s="198"/>
      <c r="BP130" s="198"/>
      <c r="BQ130" s="198"/>
      <c r="BR130" s="198"/>
      <c r="BS130" s="198"/>
      <c r="BT130" s="198"/>
      <c r="BU130" s="198"/>
      <c r="BV130" s="198"/>
      <c r="BW130" s="198"/>
      <c r="BX130" s="198"/>
      <c r="BY130" s="198"/>
      <c r="BZ130" s="198"/>
      <c r="CA130" s="198"/>
      <c r="CB130" s="198"/>
      <c r="CC130" s="198"/>
      <c r="CD130" s="198"/>
      <c r="CE130" s="198"/>
      <c r="CF130" s="198"/>
      <c r="CG130" s="198"/>
      <c r="CH130" s="198"/>
      <c r="CI130" s="198"/>
      <c r="CJ130" s="198"/>
      <c r="CK130" s="198"/>
      <c r="CL130" s="198"/>
      <c r="CM130" s="198"/>
      <c r="CN130" s="198"/>
      <c r="CO130" s="198"/>
      <c r="CP130" s="198"/>
      <c r="CQ130" s="198"/>
      <c r="CR130" s="198"/>
      <c r="CS130" s="198"/>
      <c r="CT130" s="198"/>
      <c r="CU130" s="198"/>
      <c r="CV130" s="198"/>
      <c r="CW130" s="198"/>
      <c r="CX130" s="198"/>
      <c r="CY130" s="198"/>
      <c r="CZ130" s="198"/>
      <c r="DA130" s="198"/>
      <c r="DB130" s="198"/>
      <c r="DC130" s="198"/>
      <c r="DD130" s="198"/>
      <c r="DE130" s="198"/>
      <c r="DF130" s="198"/>
      <c r="DG130" s="198"/>
      <c r="DH130" s="198"/>
      <c r="DI130" s="198"/>
      <c r="DJ130" s="198"/>
      <c r="DK130" s="198"/>
      <c r="DL130" s="198"/>
      <c r="DM130" s="198"/>
      <c r="DN130" s="198"/>
      <c r="DO130" s="198"/>
      <c r="DP130" s="198"/>
      <c r="DQ130" s="198"/>
      <c r="DR130" s="198"/>
      <c r="DS130" s="198"/>
      <c r="DT130" s="198"/>
    </row>
    <row r="131" spans="1:124" ht="15" x14ac:dyDescent="0.25">
      <c r="A131" s="207" t="s">
        <v>2248</v>
      </c>
      <c r="B131" s="207" t="str">
        <f>Services!B131</f>
        <v>Exploitation des réseaux (06 Exr)</v>
      </c>
      <c r="C131" s="223"/>
      <c r="D131" s="210" t="str">
        <f t="shared" si="1"/>
        <v/>
      </c>
      <c r="E131" s="1378"/>
      <c r="F131" s="1378"/>
      <c r="G131" s="1378"/>
      <c r="H131" s="1378"/>
      <c r="I131" s="1378"/>
      <c r="J131" s="1378"/>
      <c r="K131" s="1378"/>
      <c r="L131" s="1378"/>
      <c r="M131" s="1378"/>
      <c r="N131" s="1378"/>
      <c r="O131" s="1378"/>
      <c r="P131" s="1378"/>
      <c r="Q131" s="1378"/>
      <c r="R131" s="1378"/>
      <c r="S131" s="1378"/>
      <c r="T131" s="1378"/>
      <c r="U131" s="1378"/>
      <c r="V131" s="1378"/>
      <c r="W131" s="1378"/>
      <c r="X131" s="1378"/>
      <c r="Y131" s="1378"/>
      <c r="Z131" s="1378"/>
      <c r="AA131" s="1378"/>
      <c r="AB131" s="1378"/>
      <c r="AC131" s="1378"/>
      <c r="AD131" s="1378"/>
      <c r="AE131" s="1378"/>
      <c r="AF131" s="1378"/>
      <c r="AG131" s="1378"/>
      <c r="AH131" s="1378"/>
      <c r="AI131" s="1378"/>
      <c r="AJ131" s="1378"/>
      <c r="AK131" s="1378"/>
      <c r="AL131" s="1378"/>
      <c r="AM131" s="1378"/>
      <c r="AN131" s="1378"/>
      <c r="AO131" s="1378"/>
      <c r="AP131" s="1378"/>
      <c r="AQ131" s="1378"/>
      <c r="AR131" s="1378"/>
      <c r="AS131" s="1378"/>
      <c r="AT131" s="1378"/>
      <c r="AU131" s="1378"/>
      <c r="AV131" s="1378"/>
      <c r="AW131" s="1378"/>
      <c r="AX131" s="1378"/>
      <c r="AY131" s="1378"/>
      <c r="AZ131" s="1378"/>
      <c r="BA131" s="1378"/>
      <c r="BB131" s="1378"/>
      <c r="BC131" s="1378"/>
      <c r="BD131"/>
    </row>
    <row r="132" spans="1:124" s="172" customFormat="1" ht="15" outlineLevel="1" x14ac:dyDescent="0.25">
      <c r="A132" s="212"/>
      <c r="B132" s="213" t="str">
        <f>Services!B132</f>
        <v>06A</v>
      </c>
      <c r="C132" s="214" t="str">
        <f>Services!C132</f>
        <v>Sécurité des procédures d'exploitation</v>
      </c>
      <c r="D132" s="210" t="str">
        <f t="shared" si="1"/>
        <v/>
      </c>
      <c r="E132" s="1378"/>
      <c r="F132" s="1378"/>
      <c r="G132" s="1378"/>
      <c r="H132" s="1378"/>
      <c r="I132" s="1378"/>
      <c r="J132" s="1378"/>
      <c r="K132" s="1378"/>
      <c r="L132" s="1378"/>
      <c r="M132" s="1378"/>
      <c r="N132" s="1378"/>
      <c r="O132" s="1378"/>
      <c r="P132" s="1378"/>
      <c r="Q132" s="1378"/>
      <c r="R132" s="1378"/>
      <c r="S132" s="1378"/>
      <c r="T132" s="1378"/>
      <c r="U132" s="1378"/>
      <c r="V132" s="1378"/>
      <c r="W132" s="1378"/>
      <c r="X132" s="1378"/>
      <c r="Y132" s="1378"/>
      <c r="Z132" s="1378"/>
      <c r="AA132" s="1378"/>
      <c r="AB132" s="1378"/>
      <c r="AC132" s="1378"/>
      <c r="AD132" s="1378"/>
      <c r="AE132" s="1378"/>
      <c r="AF132" s="1378"/>
      <c r="AG132" s="1378"/>
      <c r="AH132" s="1378"/>
      <c r="AI132" s="1378"/>
      <c r="AJ132" s="1378"/>
      <c r="AK132" s="1378"/>
      <c r="AL132" s="1378"/>
      <c r="AM132" s="1378"/>
      <c r="AN132" s="1378"/>
      <c r="AO132" s="1378"/>
      <c r="AP132" s="1378"/>
      <c r="AQ132" s="1378"/>
      <c r="AR132" s="1378"/>
      <c r="AS132" s="1378"/>
      <c r="AT132" s="1378"/>
      <c r="AU132" s="1378"/>
      <c r="AV132" s="1378"/>
      <c r="AW132" s="1378"/>
      <c r="AX132" s="1378"/>
      <c r="AY132" s="1378"/>
      <c r="AZ132" s="1378"/>
      <c r="BA132" s="1378"/>
      <c r="BB132" s="1378"/>
      <c r="BC132" s="1378"/>
      <c r="BD132"/>
      <c r="BE132" s="198"/>
      <c r="BF132" s="198"/>
      <c r="BG132" s="198"/>
      <c r="BH132" s="198"/>
      <c r="BI132" s="198"/>
      <c r="BJ132" s="198"/>
      <c r="BK132" s="198"/>
      <c r="BL132" s="198"/>
      <c r="BM132" s="198"/>
      <c r="BN132" s="198"/>
      <c r="BO132" s="198"/>
      <c r="BP132" s="198"/>
      <c r="BQ132" s="198"/>
      <c r="BR132" s="198"/>
      <c r="BS132" s="198"/>
      <c r="BT132" s="198"/>
      <c r="BU132" s="198"/>
      <c r="BV132" s="198"/>
      <c r="BW132" s="198"/>
      <c r="BX132" s="198"/>
      <c r="BY132" s="198"/>
      <c r="BZ132" s="198"/>
      <c r="CA132" s="198"/>
      <c r="CB132" s="198"/>
      <c r="CC132" s="198"/>
      <c r="CD132" s="198"/>
      <c r="CE132" s="198"/>
      <c r="CF132" s="198"/>
      <c r="CG132" s="198"/>
      <c r="CH132" s="198"/>
      <c r="CI132" s="198"/>
      <c r="CJ132" s="198"/>
      <c r="CK132" s="198"/>
      <c r="CL132" s="198"/>
      <c r="CM132" s="198"/>
      <c r="CN132" s="198"/>
      <c r="CO132" s="198"/>
      <c r="CP132" s="198"/>
      <c r="CQ132" s="198"/>
      <c r="CR132" s="198"/>
      <c r="CS132" s="198"/>
      <c r="CT132" s="198"/>
      <c r="CU132" s="198"/>
      <c r="CV132" s="198"/>
      <c r="CW132" s="198"/>
      <c r="CX132" s="198"/>
      <c r="CY132" s="198"/>
      <c r="CZ132" s="198"/>
      <c r="DA132" s="198"/>
      <c r="DB132" s="198"/>
      <c r="DC132" s="198"/>
      <c r="DD132" s="198"/>
      <c r="DE132" s="198"/>
      <c r="DF132" s="198"/>
      <c r="DG132" s="198"/>
      <c r="DH132" s="198"/>
      <c r="DI132" s="198"/>
      <c r="DJ132" s="198"/>
      <c r="DK132" s="198"/>
      <c r="DL132" s="198"/>
      <c r="DM132" s="198"/>
      <c r="DN132" s="198"/>
      <c r="DO132" s="198"/>
      <c r="DP132" s="198"/>
      <c r="DQ132" s="198"/>
      <c r="DR132" s="198"/>
      <c r="DS132" s="198"/>
      <c r="DT132" s="198"/>
    </row>
    <row r="133" spans="1:124" s="172" customFormat="1" ht="25.5" outlineLevel="1" x14ac:dyDescent="0.25">
      <c r="A133" s="217"/>
      <c r="B133" s="218" t="str">
        <f>Services!B133</f>
        <v>06A01</v>
      </c>
      <c r="C133" s="216" t="str">
        <f>Services!C133</f>
        <v>Prise en compte de la sécurité dans les relations avec le personnel d'exploitation (salariés et prestataires)</v>
      </c>
      <c r="D133" s="210" t="str">
        <f t="shared" ref="D133:D196" si="2">IF(MAX(E133:BE133)=0,"",MAX(E133:BE133))</f>
        <v/>
      </c>
      <c r="E133" s="1378"/>
      <c r="F133" s="1378"/>
      <c r="G133" s="1378"/>
      <c r="H133" s="1378"/>
      <c r="I133" s="1378"/>
      <c r="J133" s="1378"/>
      <c r="K133" s="1378"/>
      <c r="L133" s="1378"/>
      <c r="M133" s="1378"/>
      <c r="N133" s="1378"/>
      <c r="O133" s="1378"/>
      <c r="P133" s="1378"/>
      <c r="Q133" s="1378"/>
      <c r="R133" s="1378"/>
      <c r="S133" s="1378"/>
      <c r="T133" s="1378"/>
      <c r="U133" s="1378"/>
      <c r="V133" s="1378"/>
      <c r="W133" s="1378"/>
      <c r="X133" s="1378"/>
      <c r="Y133" s="1378"/>
      <c r="Z133" s="1378"/>
      <c r="AA133" s="1378"/>
      <c r="AB133" s="1378">
        <f>IF(INDEX(Tab_actions,158,1)=1,INDEX(Tab_actions,158,4),0)</f>
        <v>0</v>
      </c>
      <c r="AC133" s="1378"/>
      <c r="AD133" s="1378"/>
      <c r="AE133" s="1378"/>
      <c r="AF133" s="1378"/>
      <c r="AG133" s="1378"/>
      <c r="AH133" s="1378"/>
      <c r="AI133" s="1378"/>
      <c r="AJ133" s="1378"/>
      <c r="AK133" s="1378"/>
      <c r="AL133" s="1378"/>
      <c r="AM133" s="1378"/>
      <c r="AN133" s="1378"/>
      <c r="AO133" s="1378"/>
      <c r="AP133" s="1378"/>
      <c r="AQ133" s="1378"/>
      <c r="AR133" s="1378"/>
      <c r="AS133" s="1378"/>
      <c r="AT133" s="1378"/>
      <c r="AU133" s="1378"/>
      <c r="AV133" s="1378"/>
      <c r="AW133" s="1378"/>
      <c r="AX133" s="1378"/>
      <c r="AY133" s="1378"/>
      <c r="AZ133" s="1378"/>
      <c r="BA133" s="1378"/>
      <c r="BB133" s="1378"/>
      <c r="BC133" s="1378"/>
      <c r="BD133"/>
      <c r="BE133" s="198"/>
      <c r="BF133" s="198"/>
      <c r="BG133" s="198"/>
      <c r="BH133" s="198"/>
      <c r="BI133" s="198"/>
      <c r="BJ133" s="198"/>
      <c r="BK133" s="198"/>
      <c r="BL133" s="198"/>
      <c r="BM133" s="198"/>
      <c r="BN133" s="198"/>
      <c r="BO133" s="198"/>
      <c r="BP133" s="198"/>
      <c r="BQ133" s="198"/>
      <c r="BR133" s="198"/>
      <c r="BS133" s="198"/>
      <c r="BT133" s="198"/>
      <c r="BU133" s="198"/>
      <c r="BV133" s="198"/>
      <c r="BW133" s="198"/>
      <c r="BX133" s="198"/>
      <c r="BY133" s="198"/>
      <c r="BZ133" s="198"/>
      <c r="CA133" s="198"/>
      <c r="CB133" s="198"/>
      <c r="CC133" s="198"/>
      <c r="CD133" s="198"/>
      <c r="CE133" s="198"/>
      <c r="CF133" s="198"/>
      <c r="CG133" s="198"/>
      <c r="CH133" s="198"/>
      <c r="CI133" s="198"/>
      <c r="CJ133" s="198"/>
      <c r="CK133" s="198"/>
      <c r="CL133" s="198"/>
      <c r="CM133" s="198"/>
      <c r="CN133" s="198"/>
      <c r="CO133" s="198"/>
      <c r="CP133" s="198"/>
      <c r="CQ133" s="198"/>
      <c r="CR133" s="198"/>
      <c r="CS133" s="198"/>
      <c r="CT133" s="198"/>
      <c r="CU133" s="198"/>
      <c r="CV133" s="198"/>
      <c r="CW133" s="198"/>
      <c r="CX133" s="198"/>
      <c r="CY133" s="198"/>
      <c r="CZ133" s="198"/>
      <c r="DA133" s="198"/>
      <c r="DB133" s="198"/>
      <c r="DC133" s="198"/>
      <c r="DD133" s="198"/>
      <c r="DE133" s="198"/>
      <c r="DF133" s="198"/>
      <c r="DG133" s="198"/>
      <c r="DH133" s="198"/>
      <c r="DI133" s="198"/>
      <c r="DJ133" s="198"/>
      <c r="DK133" s="198"/>
      <c r="DL133" s="198"/>
      <c r="DM133" s="198"/>
      <c r="DN133" s="198"/>
      <c r="DO133" s="198"/>
      <c r="DP133" s="198"/>
      <c r="DQ133" s="198"/>
      <c r="DR133" s="198"/>
      <c r="DS133" s="198"/>
      <c r="DT133" s="198"/>
    </row>
    <row r="134" spans="1:124" s="172" customFormat="1" ht="25.5" outlineLevel="1" x14ac:dyDescent="0.25">
      <c r="A134" s="217"/>
      <c r="B134" s="218" t="str">
        <f>Services!B134</f>
        <v>06A02</v>
      </c>
      <c r="C134" s="216" t="str">
        <f>Services!C134</f>
        <v>Contrôle de la mise en production de nouveaux logiciels ou matériels ou d'évolutions de logiciels ou matériels</v>
      </c>
      <c r="D134" s="210" t="str">
        <f t="shared" si="2"/>
        <v/>
      </c>
      <c r="E134" s="1378"/>
      <c r="F134" s="1378"/>
      <c r="G134" s="1378"/>
      <c r="H134" s="1378"/>
      <c r="I134" s="1378"/>
      <c r="J134" s="1378"/>
      <c r="K134" s="1378"/>
      <c r="L134" s="1378"/>
      <c r="M134" s="1378"/>
      <c r="N134" s="1378"/>
      <c r="O134" s="1378"/>
      <c r="P134" s="1378"/>
      <c r="Q134" s="1378"/>
      <c r="R134" s="1378"/>
      <c r="S134" s="1378"/>
      <c r="T134" s="1378"/>
      <c r="U134" s="1378"/>
      <c r="V134" s="1378"/>
      <c r="W134" s="1378"/>
      <c r="X134" s="1378"/>
      <c r="Y134" s="1378"/>
      <c r="Z134" s="1378"/>
      <c r="AA134" s="1378"/>
      <c r="AB134" s="1378">
        <f>IF(INDEX(Tab_actions,163,1)=1,INDEX(Tab_actions,163,4),0)</f>
        <v>0</v>
      </c>
      <c r="AC134" s="1378"/>
      <c r="AD134" s="1378"/>
      <c r="AE134" s="1378"/>
      <c r="AF134" s="1378"/>
      <c r="AG134" s="1378"/>
      <c r="AH134" s="1378"/>
      <c r="AI134" s="1378">
        <f>IF(INDEX(Tab_actions,203,1)=1,INDEX(Tab_actions,203,7),0)</f>
        <v>0</v>
      </c>
      <c r="AJ134" s="1378">
        <f>IF(INDEX(Tab_actions,210,1)=1,INDEX(Tab_actions,210,7),0)</f>
        <v>0</v>
      </c>
      <c r="AK134" s="1378"/>
      <c r="AL134" s="1378"/>
      <c r="AM134" s="1378"/>
      <c r="AN134" s="1378"/>
      <c r="AO134" s="1378"/>
      <c r="AP134" s="1378"/>
      <c r="AQ134" s="1378">
        <f>IF(INDEX(Tab_actions,264,1)=1,INDEX(Tab_actions,264,4),0)</f>
        <v>0</v>
      </c>
      <c r="AR134" s="1378">
        <f>IF(INDEX(Tab_actions,269,1)=1,INDEX(Tab_actions,269,4),0)</f>
        <v>0</v>
      </c>
      <c r="AS134" s="1378"/>
      <c r="AT134" s="1378"/>
      <c r="AU134" s="1378"/>
      <c r="AV134" s="1378"/>
      <c r="AW134" s="1378"/>
      <c r="AX134" s="1378"/>
      <c r="AY134" s="1378"/>
      <c r="AZ134" s="1378"/>
      <c r="BA134" s="1378"/>
      <c r="BB134" s="1378"/>
      <c r="BC134" s="1378"/>
      <c r="BD134"/>
      <c r="BE134" s="198"/>
      <c r="BF134" s="198"/>
      <c r="BG134" s="198"/>
      <c r="BH134" s="198"/>
      <c r="BI134" s="198"/>
      <c r="BJ134" s="198"/>
      <c r="BK134" s="198"/>
      <c r="BL134" s="198"/>
      <c r="BM134" s="198"/>
      <c r="BN134" s="198"/>
      <c r="BO134" s="198"/>
      <c r="BP134" s="198"/>
      <c r="BQ134" s="198"/>
      <c r="BR134" s="198"/>
      <c r="BS134" s="198"/>
      <c r="BT134" s="198"/>
      <c r="BU134" s="198"/>
      <c r="BV134" s="198"/>
      <c r="BW134" s="198"/>
      <c r="BX134" s="198"/>
      <c r="BY134" s="198"/>
      <c r="BZ134" s="198"/>
      <c r="CA134" s="198"/>
      <c r="CB134" s="198"/>
      <c r="CC134" s="198"/>
      <c r="CD134" s="198"/>
      <c r="CE134" s="198"/>
      <c r="CF134" s="198"/>
      <c r="CG134" s="198"/>
      <c r="CH134" s="198"/>
      <c r="CI134" s="198"/>
      <c r="CJ134" s="198"/>
      <c r="CK134" s="198"/>
      <c r="CL134" s="198"/>
      <c r="CM134" s="198"/>
      <c r="CN134" s="198"/>
      <c r="CO134" s="198"/>
      <c r="CP134" s="198"/>
      <c r="CQ134" s="198"/>
      <c r="CR134" s="198"/>
      <c r="CS134" s="198"/>
      <c r="CT134" s="198"/>
      <c r="CU134" s="198"/>
      <c r="CV134" s="198"/>
      <c r="CW134" s="198"/>
      <c r="CX134" s="198"/>
      <c r="CY134" s="198"/>
      <c r="CZ134" s="198"/>
      <c r="DA134" s="198"/>
      <c r="DB134" s="198"/>
      <c r="DC134" s="198"/>
      <c r="DD134" s="198"/>
      <c r="DE134" s="198"/>
      <c r="DF134" s="198"/>
      <c r="DG134" s="198"/>
      <c r="DH134" s="198"/>
      <c r="DI134" s="198"/>
      <c r="DJ134" s="198"/>
      <c r="DK134" s="198"/>
      <c r="DL134" s="198"/>
      <c r="DM134" s="198"/>
      <c r="DN134" s="198"/>
      <c r="DO134" s="198"/>
      <c r="DP134" s="198"/>
      <c r="DQ134" s="198"/>
      <c r="DR134" s="198"/>
      <c r="DS134" s="198"/>
      <c r="DT134" s="198"/>
    </row>
    <row r="135" spans="1:124" s="172" customFormat="1" ht="15" outlineLevel="1" x14ac:dyDescent="0.25">
      <c r="A135" s="212"/>
      <c r="B135" s="218" t="str">
        <f>Services!B135</f>
        <v>06A03</v>
      </c>
      <c r="C135" s="216" t="str">
        <f>Services!C135</f>
        <v xml:space="preserve">Contrôle des opérations de maintenance </v>
      </c>
      <c r="D135" s="210" t="str">
        <f t="shared" si="2"/>
        <v/>
      </c>
      <c r="E135" s="1378"/>
      <c r="F135" s="1378"/>
      <c r="G135" s="1378"/>
      <c r="H135" s="1378"/>
      <c r="I135" s="1378"/>
      <c r="J135" s="1378"/>
      <c r="K135" s="1378"/>
      <c r="L135" s="1378"/>
      <c r="M135" s="1378"/>
      <c r="N135" s="1378"/>
      <c r="O135" s="1378"/>
      <c r="P135" s="1378"/>
      <c r="Q135" s="1378"/>
      <c r="R135" s="1378"/>
      <c r="S135" s="1378"/>
      <c r="T135" s="1378"/>
      <c r="U135" s="1378"/>
      <c r="V135" s="1378"/>
      <c r="W135" s="1378"/>
      <c r="X135" s="1378"/>
      <c r="Y135" s="1378"/>
      <c r="Z135" s="1378"/>
      <c r="AA135" s="1378"/>
      <c r="AB135" s="1378"/>
      <c r="AC135" s="1378"/>
      <c r="AD135" s="1378"/>
      <c r="AE135" s="1378"/>
      <c r="AF135" s="1378"/>
      <c r="AG135" s="1378"/>
      <c r="AH135" s="1378"/>
      <c r="AI135" s="1378"/>
      <c r="AJ135" s="1378"/>
      <c r="AK135" s="1378"/>
      <c r="AL135" s="1378"/>
      <c r="AM135" s="1378"/>
      <c r="AN135" s="1378"/>
      <c r="AO135" s="1378"/>
      <c r="AP135" s="1378"/>
      <c r="AQ135" s="1378">
        <f>IF(INDEX(Tab_actions,263,1)=1,INDEX(Tab_actions,263,4),0)</f>
        <v>0</v>
      </c>
      <c r="AR135" s="1378">
        <f>IF(INDEX(Tab_actions,268,1)=1,INDEX(Tab_actions,268,4),0)</f>
        <v>0</v>
      </c>
      <c r="AS135" s="1378"/>
      <c r="AT135" s="1378"/>
      <c r="AU135" s="1378"/>
      <c r="AV135" s="1378"/>
      <c r="AW135" s="1378"/>
      <c r="AX135" s="1378"/>
      <c r="AY135" s="1378"/>
      <c r="AZ135" s="1378"/>
      <c r="BA135" s="1378"/>
      <c r="BB135" s="1378"/>
      <c r="BC135" s="1378"/>
      <c r="BD135"/>
      <c r="BE135" s="198"/>
      <c r="BF135" s="198"/>
      <c r="BG135" s="198"/>
      <c r="BH135" s="198"/>
      <c r="BI135" s="198"/>
      <c r="BJ135" s="198"/>
      <c r="BK135" s="198"/>
      <c r="BL135" s="198"/>
      <c r="BM135" s="198"/>
      <c r="BN135" s="198"/>
      <c r="BO135" s="198"/>
      <c r="BP135" s="198"/>
      <c r="BQ135" s="198"/>
      <c r="BR135" s="198"/>
      <c r="BS135" s="198"/>
      <c r="BT135" s="198"/>
      <c r="BU135" s="198"/>
      <c r="BV135" s="198"/>
      <c r="BW135" s="198"/>
      <c r="BX135" s="198"/>
      <c r="BY135" s="198"/>
      <c r="BZ135" s="198"/>
      <c r="CA135" s="198"/>
      <c r="CB135" s="198"/>
      <c r="CC135" s="198"/>
      <c r="CD135" s="198"/>
      <c r="CE135" s="198"/>
      <c r="CF135" s="198"/>
      <c r="CG135" s="198"/>
      <c r="CH135" s="198"/>
      <c r="CI135" s="198"/>
      <c r="CJ135" s="198"/>
      <c r="CK135" s="198"/>
      <c r="CL135" s="198"/>
      <c r="CM135" s="198"/>
      <c r="CN135" s="198"/>
      <c r="CO135" s="198"/>
      <c r="CP135" s="198"/>
      <c r="CQ135" s="198"/>
      <c r="CR135" s="198"/>
      <c r="CS135" s="198"/>
      <c r="CT135" s="198"/>
      <c r="CU135" s="198"/>
      <c r="CV135" s="198"/>
      <c r="CW135" s="198"/>
      <c r="CX135" s="198"/>
      <c r="CY135" s="198"/>
      <c r="CZ135" s="198"/>
      <c r="DA135" s="198"/>
      <c r="DB135" s="198"/>
      <c r="DC135" s="198"/>
      <c r="DD135" s="198"/>
      <c r="DE135" s="198"/>
      <c r="DF135" s="198"/>
      <c r="DG135" s="198"/>
      <c r="DH135" s="198"/>
      <c r="DI135" s="198"/>
      <c r="DJ135" s="198"/>
      <c r="DK135" s="198"/>
      <c r="DL135" s="198"/>
      <c r="DM135" s="198"/>
      <c r="DN135" s="198"/>
      <c r="DO135" s="198"/>
      <c r="DP135" s="198"/>
      <c r="DQ135" s="198"/>
      <c r="DR135" s="198"/>
      <c r="DS135" s="198"/>
      <c r="DT135" s="198"/>
    </row>
    <row r="136" spans="1:124" s="172" customFormat="1" ht="15" outlineLevel="1" x14ac:dyDescent="0.25">
      <c r="A136" s="212"/>
      <c r="B136" s="218" t="str">
        <f>Services!B136</f>
        <v>06A04</v>
      </c>
      <c r="C136" s="216" t="str">
        <f>Services!C136</f>
        <v xml:space="preserve">Contrôle de la télémaintenance </v>
      </c>
      <c r="D136" s="210" t="str">
        <f t="shared" si="2"/>
        <v/>
      </c>
      <c r="E136" s="1378"/>
      <c r="F136" s="1378"/>
      <c r="G136" s="1378"/>
      <c r="H136" s="1378"/>
      <c r="I136" s="1378"/>
      <c r="J136" s="1378"/>
      <c r="K136" s="1378"/>
      <c r="L136" s="1378"/>
      <c r="M136" s="1378"/>
      <c r="N136" s="1378"/>
      <c r="O136" s="1378"/>
      <c r="P136" s="1378"/>
      <c r="Q136" s="1378"/>
      <c r="R136" s="1378"/>
      <c r="S136" s="1378"/>
      <c r="T136" s="1378"/>
      <c r="U136" s="1378"/>
      <c r="V136" s="1378"/>
      <c r="W136" s="1378"/>
      <c r="X136" s="1378"/>
      <c r="Y136" s="1378"/>
      <c r="Z136" s="1378"/>
      <c r="AA136" s="1378"/>
      <c r="AB136" s="1378">
        <f>IF(INDEX(Tab_actions,163,1)=1,INDEX(Tab_actions,163,7),0)</f>
        <v>0</v>
      </c>
      <c r="AC136" s="1378"/>
      <c r="AD136" s="1378"/>
      <c r="AE136" s="1378"/>
      <c r="AF136" s="1378"/>
      <c r="AG136" s="1378"/>
      <c r="AH136" s="1378"/>
      <c r="AI136" s="1378"/>
      <c r="AJ136" s="1378"/>
      <c r="AK136" s="1378"/>
      <c r="AL136" s="1378"/>
      <c r="AM136" s="1378"/>
      <c r="AN136" s="1378"/>
      <c r="AO136" s="1378"/>
      <c r="AP136" s="1378"/>
      <c r="AQ136" s="1378"/>
      <c r="AR136" s="1378"/>
      <c r="AS136" s="1378"/>
      <c r="AT136" s="1378"/>
      <c r="AU136" s="1378"/>
      <c r="AV136" s="1378"/>
      <c r="AW136" s="1378"/>
      <c r="AX136" s="1378"/>
      <c r="AY136" s="1378"/>
      <c r="AZ136" s="1378"/>
      <c r="BA136" s="1378"/>
      <c r="BB136" s="1378"/>
      <c r="BC136" s="1378"/>
      <c r="BD136"/>
      <c r="BE136" s="198"/>
      <c r="BF136" s="198"/>
      <c r="BG136" s="198"/>
      <c r="BH136" s="198"/>
      <c r="BI136" s="198"/>
      <c r="BJ136" s="198"/>
      <c r="BK136" s="198"/>
      <c r="BL136" s="198"/>
      <c r="BM136" s="198"/>
      <c r="BN136" s="198"/>
      <c r="BO136" s="198"/>
      <c r="BP136" s="198"/>
      <c r="BQ136" s="198"/>
      <c r="BR136" s="198"/>
      <c r="BS136" s="198"/>
      <c r="BT136" s="198"/>
      <c r="BU136" s="198"/>
      <c r="BV136" s="198"/>
      <c r="BW136" s="198"/>
      <c r="BX136" s="198"/>
      <c r="BY136" s="198"/>
      <c r="BZ136" s="198"/>
      <c r="CA136" s="198"/>
      <c r="CB136" s="198"/>
      <c r="CC136" s="198"/>
      <c r="CD136" s="198"/>
      <c r="CE136" s="198"/>
      <c r="CF136" s="198"/>
      <c r="CG136" s="198"/>
      <c r="CH136" s="198"/>
      <c r="CI136" s="198"/>
      <c r="CJ136" s="198"/>
      <c r="CK136" s="198"/>
      <c r="CL136" s="198"/>
      <c r="CM136" s="198"/>
      <c r="CN136" s="198"/>
      <c r="CO136" s="198"/>
      <c r="CP136" s="198"/>
      <c r="CQ136" s="198"/>
      <c r="CR136" s="198"/>
      <c r="CS136" s="198"/>
      <c r="CT136" s="198"/>
      <c r="CU136" s="198"/>
      <c r="CV136" s="198"/>
      <c r="CW136" s="198"/>
      <c r="CX136" s="198"/>
      <c r="CY136" s="198"/>
      <c r="CZ136" s="198"/>
      <c r="DA136" s="198"/>
      <c r="DB136" s="198"/>
      <c r="DC136" s="198"/>
      <c r="DD136" s="198"/>
      <c r="DE136" s="198"/>
      <c r="DF136" s="198"/>
      <c r="DG136" s="198"/>
      <c r="DH136" s="198"/>
      <c r="DI136" s="198"/>
      <c r="DJ136" s="198"/>
      <c r="DK136" s="198"/>
      <c r="DL136" s="198"/>
      <c r="DM136" s="198"/>
      <c r="DN136" s="198"/>
      <c r="DO136" s="198"/>
      <c r="DP136" s="198"/>
      <c r="DQ136" s="198"/>
      <c r="DR136" s="198"/>
      <c r="DS136" s="198"/>
      <c r="DT136" s="198"/>
    </row>
    <row r="137" spans="1:124" s="172" customFormat="1" ht="15" outlineLevel="1" x14ac:dyDescent="0.25">
      <c r="A137" s="212"/>
      <c r="B137" s="218" t="str">
        <f>Services!B137</f>
        <v>06A05</v>
      </c>
      <c r="C137" s="216" t="str">
        <f>Services!C137</f>
        <v>Gestion des procédures opérationnelles d'exploitation des réseaux</v>
      </c>
      <c r="D137" s="210" t="str">
        <f t="shared" si="2"/>
        <v/>
      </c>
      <c r="E137" s="1378"/>
      <c r="F137" s="1378"/>
      <c r="G137" s="1378"/>
      <c r="H137" s="1378"/>
      <c r="I137" s="1378"/>
      <c r="J137" s="1378"/>
      <c r="K137" s="1378"/>
      <c r="L137" s="1378"/>
      <c r="M137" s="1378"/>
      <c r="N137" s="1378"/>
      <c r="O137" s="1378"/>
      <c r="P137" s="1378"/>
      <c r="Q137" s="1378"/>
      <c r="R137" s="1378"/>
      <c r="S137" s="1378"/>
      <c r="T137" s="1378"/>
      <c r="U137" s="1378"/>
      <c r="V137" s="1378"/>
      <c r="W137" s="1378"/>
      <c r="X137" s="1378"/>
      <c r="Y137" s="1378"/>
      <c r="Z137" s="1378"/>
      <c r="AA137" s="1378"/>
      <c r="AB137" s="1378"/>
      <c r="AC137" s="1378"/>
      <c r="AD137" s="1378"/>
      <c r="AE137" s="1378"/>
      <c r="AF137" s="1378"/>
      <c r="AG137" s="1378"/>
      <c r="AH137" s="1378"/>
      <c r="AI137" s="1378"/>
      <c r="AJ137" s="1378"/>
      <c r="AK137" s="1378"/>
      <c r="AL137" s="1378"/>
      <c r="AM137" s="1378"/>
      <c r="AN137" s="1378"/>
      <c r="AO137" s="1378"/>
      <c r="AP137" s="1378"/>
      <c r="AQ137" s="1378"/>
      <c r="AR137" s="1378"/>
      <c r="AS137" s="1378"/>
      <c r="AT137" s="1378"/>
      <c r="AU137" s="1378"/>
      <c r="AV137" s="1378"/>
      <c r="AW137" s="1378"/>
      <c r="AX137" s="1378"/>
      <c r="AY137" s="1378"/>
      <c r="AZ137" s="1378"/>
      <c r="BA137" s="1378"/>
      <c r="BB137" s="1378"/>
      <c r="BC137" s="1378"/>
      <c r="BD137"/>
      <c r="BE137" s="198"/>
      <c r="BF137" s="198"/>
      <c r="BG137" s="198"/>
      <c r="BH137" s="198"/>
      <c r="BI137" s="198"/>
      <c r="BJ137" s="198"/>
      <c r="BK137" s="198"/>
      <c r="BL137" s="198"/>
      <c r="BM137" s="198"/>
      <c r="BN137" s="198"/>
      <c r="BO137" s="198"/>
      <c r="BP137" s="198"/>
      <c r="BQ137" s="198"/>
      <c r="BR137" s="198"/>
      <c r="BS137" s="198"/>
      <c r="BT137" s="198"/>
      <c r="BU137" s="198"/>
      <c r="BV137" s="198"/>
      <c r="BW137" s="198"/>
      <c r="BX137" s="198"/>
      <c r="BY137" s="198"/>
      <c r="BZ137" s="198"/>
      <c r="CA137" s="198"/>
      <c r="CB137" s="198"/>
      <c r="CC137" s="198"/>
      <c r="CD137" s="198"/>
      <c r="CE137" s="198"/>
      <c r="CF137" s="198"/>
      <c r="CG137" s="198"/>
      <c r="CH137" s="198"/>
      <c r="CI137" s="198"/>
      <c r="CJ137" s="198"/>
      <c r="CK137" s="198"/>
      <c r="CL137" s="198"/>
      <c r="CM137" s="198"/>
      <c r="CN137" s="198"/>
      <c r="CO137" s="198"/>
      <c r="CP137" s="198"/>
      <c r="CQ137" s="198"/>
      <c r="CR137" s="198"/>
      <c r="CS137" s="198"/>
      <c r="CT137" s="198"/>
      <c r="CU137" s="198"/>
      <c r="CV137" s="198"/>
      <c r="CW137" s="198"/>
      <c r="CX137" s="198"/>
      <c r="CY137" s="198"/>
      <c r="CZ137" s="198"/>
      <c r="DA137" s="198"/>
      <c r="DB137" s="198"/>
      <c r="DC137" s="198"/>
      <c r="DD137" s="198"/>
      <c r="DE137" s="198"/>
      <c r="DF137" s="198"/>
      <c r="DG137" s="198"/>
      <c r="DH137" s="198"/>
      <c r="DI137" s="198"/>
      <c r="DJ137" s="198"/>
      <c r="DK137" s="198"/>
      <c r="DL137" s="198"/>
      <c r="DM137" s="198"/>
      <c r="DN137" s="198"/>
      <c r="DO137" s="198"/>
      <c r="DP137" s="198"/>
      <c r="DQ137" s="198"/>
      <c r="DR137" s="198"/>
      <c r="DS137" s="198"/>
      <c r="DT137" s="198"/>
    </row>
    <row r="138" spans="1:124" s="172" customFormat="1" ht="15" outlineLevel="1" x14ac:dyDescent="0.25">
      <c r="A138" s="212"/>
      <c r="B138" s="218" t="str">
        <f>Services!B138</f>
        <v>06A06</v>
      </c>
      <c r="C138" s="216" t="str">
        <f>Services!C138</f>
        <v>Gestion des prestataires ou fournisseurs de services liés aux réseaux</v>
      </c>
      <c r="D138" s="210" t="str">
        <f t="shared" si="2"/>
        <v/>
      </c>
      <c r="E138" s="1378"/>
      <c r="F138" s="1378"/>
      <c r="G138" s="1378"/>
      <c r="H138" s="1378"/>
      <c r="I138" s="1378"/>
      <c r="J138" s="1378"/>
      <c r="K138" s="1378"/>
      <c r="L138" s="1378"/>
      <c r="M138" s="1378"/>
      <c r="N138" s="1378"/>
      <c r="O138" s="1378"/>
      <c r="P138" s="1378"/>
      <c r="Q138" s="1378"/>
      <c r="R138" s="1378"/>
      <c r="S138" s="1378"/>
      <c r="T138" s="1378"/>
      <c r="U138" s="1378"/>
      <c r="V138" s="1378"/>
      <c r="W138" s="1378"/>
      <c r="X138" s="1378"/>
      <c r="Y138" s="1378"/>
      <c r="Z138" s="1378"/>
      <c r="AA138" s="1378"/>
      <c r="AB138" s="1378"/>
      <c r="AC138" s="1378"/>
      <c r="AD138" s="1378"/>
      <c r="AE138" s="1378"/>
      <c r="AF138" s="1378"/>
      <c r="AG138" s="1378"/>
      <c r="AH138" s="1378"/>
      <c r="AI138" s="1378"/>
      <c r="AJ138" s="1378"/>
      <c r="AK138" s="1378"/>
      <c r="AL138" s="1378"/>
      <c r="AM138" s="1378"/>
      <c r="AN138" s="1378"/>
      <c r="AO138" s="1378"/>
      <c r="AP138" s="1378"/>
      <c r="AQ138" s="1378"/>
      <c r="AR138" s="1378"/>
      <c r="AS138" s="1378"/>
      <c r="AT138" s="1378"/>
      <c r="AU138" s="1378"/>
      <c r="AV138" s="1378"/>
      <c r="AW138" s="1378"/>
      <c r="AX138" s="1378"/>
      <c r="AY138" s="1378"/>
      <c r="AZ138" s="1378"/>
      <c r="BA138" s="1378"/>
      <c r="BB138" s="1378"/>
      <c r="BC138" s="1378"/>
      <c r="BD138"/>
      <c r="BE138" s="198"/>
      <c r="BF138" s="198"/>
      <c r="BG138" s="198"/>
      <c r="BH138" s="198"/>
      <c r="BI138" s="198"/>
      <c r="BJ138" s="198"/>
      <c r="BK138" s="198"/>
      <c r="BL138" s="198"/>
      <c r="BM138" s="198"/>
      <c r="BN138" s="198"/>
      <c r="BO138" s="198"/>
      <c r="BP138" s="198"/>
      <c r="BQ138" s="198"/>
      <c r="BR138" s="198"/>
      <c r="BS138" s="198"/>
      <c r="BT138" s="198"/>
      <c r="BU138" s="198"/>
      <c r="BV138" s="198"/>
      <c r="BW138" s="198"/>
      <c r="BX138" s="198"/>
      <c r="BY138" s="198"/>
      <c r="BZ138" s="198"/>
      <c r="CA138" s="198"/>
      <c r="CB138" s="198"/>
      <c r="CC138" s="198"/>
      <c r="CD138" s="198"/>
      <c r="CE138" s="198"/>
      <c r="CF138" s="198"/>
      <c r="CG138" s="198"/>
      <c r="CH138" s="198"/>
      <c r="CI138" s="198"/>
      <c r="CJ138" s="198"/>
      <c r="CK138" s="198"/>
      <c r="CL138" s="198"/>
      <c r="CM138" s="198"/>
      <c r="CN138" s="198"/>
      <c r="CO138" s="198"/>
      <c r="CP138" s="198"/>
      <c r="CQ138" s="198"/>
      <c r="CR138" s="198"/>
      <c r="CS138" s="198"/>
      <c r="CT138" s="198"/>
      <c r="CU138" s="198"/>
      <c r="CV138" s="198"/>
      <c r="CW138" s="198"/>
      <c r="CX138" s="198"/>
      <c r="CY138" s="198"/>
      <c r="CZ138" s="198"/>
      <c r="DA138" s="198"/>
      <c r="DB138" s="198"/>
      <c r="DC138" s="198"/>
      <c r="DD138" s="198"/>
      <c r="DE138" s="198"/>
      <c r="DF138" s="198"/>
      <c r="DG138" s="198"/>
      <c r="DH138" s="198"/>
      <c r="DI138" s="198"/>
      <c r="DJ138" s="198"/>
      <c r="DK138" s="198"/>
      <c r="DL138" s="198"/>
      <c r="DM138" s="198"/>
      <c r="DN138" s="198"/>
      <c r="DO138" s="198"/>
      <c r="DP138" s="198"/>
      <c r="DQ138" s="198"/>
      <c r="DR138" s="198"/>
      <c r="DS138" s="198"/>
      <c r="DT138" s="198"/>
    </row>
    <row r="139" spans="1:124" s="172" customFormat="1" ht="25.5" outlineLevel="1" x14ac:dyDescent="0.25">
      <c r="A139" s="212"/>
      <c r="B139" s="218" t="str">
        <f>Services!B139</f>
        <v>06A07</v>
      </c>
      <c r="C139" s="216" t="str">
        <f>Services!C139</f>
        <v>Prise en compte de la confidentialité lors des opérations de maintenance sur les équipements de réseau</v>
      </c>
      <c r="D139" s="210" t="str">
        <f t="shared" si="2"/>
        <v/>
      </c>
      <c r="E139" s="1378"/>
      <c r="F139" s="1378"/>
      <c r="G139" s="1378"/>
      <c r="H139" s="1378"/>
      <c r="I139" s="1378"/>
      <c r="J139" s="1378"/>
      <c r="K139" s="1378"/>
      <c r="L139" s="1378"/>
      <c r="M139" s="1378"/>
      <c r="N139" s="1378"/>
      <c r="O139" s="1378"/>
      <c r="P139" s="1378"/>
      <c r="Q139" s="1378"/>
      <c r="R139" s="1378"/>
      <c r="S139" s="1378"/>
      <c r="T139" s="1378"/>
      <c r="U139" s="1378"/>
      <c r="V139" s="1378"/>
      <c r="W139" s="1378"/>
      <c r="X139" s="1378"/>
      <c r="Y139" s="1378"/>
      <c r="Z139" s="1378"/>
      <c r="AA139" s="1378"/>
      <c r="AB139" s="1378"/>
      <c r="AC139" s="1378"/>
      <c r="AD139" s="1378"/>
      <c r="AE139" s="1378"/>
      <c r="AF139" s="1378"/>
      <c r="AG139" s="1378"/>
      <c r="AH139" s="1378"/>
      <c r="AI139" s="1378"/>
      <c r="AJ139" s="1378"/>
      <c r="AK139" s="1378"/>
      <c r="AL139" s="1378"/>
      <c r="AM139" s="1378"/>
      <c r="AN139" s="1378"/>
      <c r="AO139" s="1378"/>
      <c r="AP139" s="1378"/>
      <c r="AQ139" s="1378"/>
      <c r="AR139" s="1378"/>
      <c r="AS139" s="1378"/>
      <c r="AT139" s="1378"/>
      <c r="AU139" s="1378"/>
      <c r="AV139" s="1378"/>
      <c r="AW139" s="1378"/>
      <c r="AX139" s="1378"/>
      <c r="AY139" s="1378"/>
      <c r="AZ139" s="1378"/>
      <c r="BA139" s="1378"/>
      <c r="BB139" s="1378"/>
      <c r="BC139" s="1378"/>
      <c r="BD139"/>
      <c r="BE139" s="198"/>
      <c r="BF139" s="198"/>
      <c r="BG139" s="198"/>
      <c r="BH139" s="198"/>
      <c r="BI139" s="198"/>
      <c r="BJ139" s="198"/>
      <c r="BK139" s="198"/>
      <c r="BL139" s="198"/>
      <c r="BM139" s="198"/>
      <c r="BN139" s="198"/>
      <c r="BO139" s="198"/>
      <c r="BP139" s="198"/>
      <c r="BQ139" s="198"/>
      <c r="BR139" s="198"/>
      <c r="BS139" s="198"/>
      <c r="BT139" s="198"/>
      <c r="BU139" s="198"/>
      <c r="BV139" s="198"/>
      <c r="BW139" s="198"/>
      <c r="BX139" s="198"/>
      <c r="BY139" s="198"/>
      <c r="BZ139" s="198"/>
      <c r="CA139" s="198"/>
      <c r="CB139" s="198"/>
      <c r="CC139" s="198"/>
      <c r="CD139" s="198"/>
      <c r="CE139" s="198"/>
      <c r="CF139" s="198"/>
      <c r="CG139" s="198"/>
      <c r="CH139" s="198"/>
      <c r="CI139" s="198"/>
      <c r="CJ139" s="198"/>
      <c r="CK139" s="198"/>
      <c r="CL139" s="198"/>
      <c r="CM139" s="198"/>
      <c r="CN139" s="198"/>
      <c r="CO139" s="198"/>
      <c r="CP139" s="198"/>
      <c r="CQ139" s="198"/>
      <c r="CR139" s="198"/>
      <c r="CS139" s="198"/>
      <c r="CT139" s="198"/>
      <c r="CU139" s="198"/>
      <c r="CV139" s="198"/>
      <c r="CW139" s="198"/>
      <c r="CX139" s="198"/>
      <c r="CY139" s="198"/>
      <c r="CZ139" s="198"/>
      <c r="DA139" s="198"/>
      <c r="DB139" s="198"/>
      <c r="DC139" s="198"/>
      <c r="DD139" s="198"/>
      <c r="DE139" s="198"/>
      <c r="DF139" s="198"/>
      <c r="DG139" s="198"/>
      <c r="DH139" s="198"/>
      <c r="DI139" s="198"/>
      <c r="DJ139" s="198"/>
      <c r="DK139" s="198"/>
      <c r="DL139" s="198"/>
      <c r="DM139" s="198"/>
      <c r="DN139" s="198"/>
      <c r="DO139" s="198"/>
      <c r="DP139" s="198"/>
      <c r="DQ139" s="198"/>
      <c r="DR139" s="198"/>
      <c r="DS139" s="198"/>
      <c r="DT139" s="198"/>
    </row>
    <row r="140" spans="1:124" s="172" customFormat="1" ht="15" outlineLevel="1" x14ac:dyDescent="0.25">
      <c r="A140" s="212"/>
      <c r="B140" s="218" t="str">
        <f>Services!B140</f>
        <v>06A08</v>
      </c>
      <c r="C140" s="216" t="str">
        <f>Services!C140</f>
        <v>Gestion des contrats de services réseaux</v>
      </c>
      <c r="D140" s="210" t="str">
        <f t="shared" si="2"/>
        <v/>
      </c>
      <c r="E140" s="1378"/>
      <c r="F140" s="1378"/>
      <c r="G140" s="1378"/>
      <c r="H140" s="1378"/>
      <c r="I140" s="1378"/>
      <c r="J140" s="1378"/>
      <c r="K140" s="1378"/>
      <c r="L140" s="1378"/>
      <c r="M140" s="1378"/>
      <c r="N140" s="1378"/>
      <c r="O140" s="1378"/>
      <c r="P140" s="1378"/>
      <c r="Q140" s="1378"/>
      <c r="R140" s="1378"/>
      <c r="S140" s="1378"/>
      <c r="T140" s="1378"/>
      <c r="U140" s="1378"/>
      <c r="V140" s="1378"/>
      <c r="W140" s="1378"/>
      <c r="X140" s="1378"/>
      <c r="Y140" s="1378"/>
      <c r="Z140" s="1378"/>
      <c r="AA140" s="1378"/>
      <c r="AB140" s="1378"/>
      <c r="AC140" s="1378"/>
      <c r="AD140" s="1378"/>
      <c r="AE140" s="1378"/>
      <c r="AF140" s="1378"/>
      <c r="AG140" s="1378"/>
      <c r="AH140" s="1378"/>
      <c r="AI140" s="1378"/>
      <c r="AJ140" s="1378"/>
      <c r="AK140" s="1378"/>
      <c r="AL140" s="1378"/>
      <c r="AM140" s="1378"/>
      <c r="AN140" s="1378"/>
      <c r="AO140" s="1378"/>
      <c r="AP140" s="1378"/>
      <c r="AQ140" s="1378"/>
      <c r="AR140" s="1378"/>
      <c r="AS140" s="1378"/>
      <c r="AT140" s="1378"/>
      <c r="AU140" s="1378"/>
      <c r="AV140" s="1378"/>
      <c r="AW140" s="1378"/>
      <c r="AX140" s="1378"/>
      <c r="AY140" s="1378"/>
      <c r="AZ140" s="1378"/>
      <c r="BA140" s="1378"/>
      <c r="BB140" s="1378"/>
      <c r="BC140" s="1378"/>
      <c r="BD140"/>
      <c r="BE140" s="198"/>
      <c r="BF140" s="198"/>
      <c r="BG140" s="198"/>
      <c r="BH140" s="198"/>
      <c r="BI140" s="198"/>
      <c r="BJ140" s="198"/>
      <c r="BK140" s="198"/>
      <c r="BL140" s="198"/>
      <c r="BM140" s="198"/>
      <c r="BN140" s="198"/>
      <c r="BO140" s="198"/>
      <c r="BP140" s="198"/>
      <c r="BQ140" s="198"/>
      <c r="BR140" s="198"/>
      <c r="BS140" s="198"/>
      <c r="BT140" s="198"/>
      <c r="BU140" s="198"/>
      <c r="BV140" s="198"/>
      <c r="BW140" s="198"/>
      <c r="BX140" s="198"/>
      <c r="BY140" s="198"/>
      <c r="BZ140" s="198"/>
      <c r="CA140" s="198"/>
      <c r="CB140" s="198"/>
      <c r="CC140" s="198"/>
      <c r="CD140" s="198"/>
      <c r="CE140" s="198"/>
      <c r="CF140" s="198"/>
      <c r="CG140" s="198"/>
      <c r="CH140" s="198"/>
      <c r="CI140" s="198"/>
      <c r="CJ140" s="198"/>
      <c r="CK140" s="198"/>
      <c r="CL140" s="198"/>
      <c r="CM140" s="198"/>
      <c r="CN140" s="198"/>
      <c r="CO140" s="198"/>
      <c r="CP140" s="198"/>
      <c r="CQ140" s="198"/>
      <c r="CR140" s="198"/>
      <c r="CS140" s="198"/>
      <c r="CT140" s="198"/>
      <c r="CU140" s="198"/>
      <c r="CV140" s="198"/>
      <c r="CW140" s="198"/>
      <c r="CX140" s="198"/>
      <c r="CY140" s="198"/>
      <c r="CZ140" s="198"/>
      <c r="DA140" s="198"/>
      <c r="DB140" s="198"/>
      <c r="DC140" s="198"/>
      <c r="DD140" s="198"/>
      <c r="DE140" s="198"/>
      <c r="DF140" s="198"/>
      <c r="DG140" s="198"/>
      <c r="DH140" s="198"/>
      <c r="DI140" s="198"/>
      <c r="DJ140" s="198"/>
      <c r="DK140" s="198"/>
      <c r="DL140" s="198"/>
      <c r="DM140" s="198"/>
      <c r="DN140" s="198"/>
      <c r="DO140" s="198"/>
      <c r="DP140" s="198"/>
      <c r="DQ140" s="198"/>
      <c r="DR140" s="198"/>
      <c r="DS140" s="198"/>
      <c r="DT140" s="198"/>
    </row>
    <row r="141" spans="1:124" s="172" customFormat="1" ht="15.75" customHeight="1" outlineLevel="1" x14ac:dyDescent="0.25">
      <c r="A141" s="212"/>
      <c r="B141" s="213" t="str">
        <f>Services!B141</f>
        <v>06B</v>
      </c>
      <c r="C141" s="214" t="str">
        <f>Services!C141</f>
        <v>Paramétrage et contrôle des configurations matérielles et logicielles</v>
      </c>
      <c r="D141" s="210" t="str">
        <f t="shared" si="2"/>
        <v/>
      </c>
      <c r="E141" s="1378"/>
      <c r="F141" s="1378"/>
      <c r="G141" s="1378"/>
      <c r="H141" s="1378"/>
      <c r="I141" s="1378"/>
      <c r="J141" s="1378"/>
      <c r="K141" s="1378"/>
      <c r="L141" s="1378"/>
      <c r="M141" s="1378"/>
      <c r="N141" s="1378"/>
      <c r="O141" s="1378"/>
      <c r="P141" s="1378"/>
      <c r="Q141" s="1378"/>
      <c r="R141" s="1378"/>
      <c r="S141" s="1378"/>
      <c r="T141" s="1378"/>
      <c r="U141" s="1378"/>
      <c r="V141" s="1378"/>
      <c r="W141" s="1378"/>
      <c r="X141" s="1378"/>
      <c r="Y141" s="1378"/>
      <c r="Z141" s="1378"/>
      <c r="AA141" s="1378"/>
      <c r="AB141" s="1378"/>
      <c r="AC141" s="1378"/>
      <c r="AD141" s="1378"/>
      <c r="AE141" s="1378"/>
      <c r="AF141" s="1378"/>
      <c r="AG141" s="1378"/>
      <c r="AH141" s="1378"/>
      <c r="AI141" s="1378"/>
      <c r="AJ141" s="1378"/>
      <c r="AK141" s="1378"/>
      <c r="AL141" s="1378"/>
      <c r="AM141" s="1378"/>
      <c r="AN141" s="1378"/>
      <c r="AO141" s="1378"/>
      <c r="AP141" s="1378"/>
      <c r="AQ141" s="1378"/>
      <c r="AR141" s="1378"/>
      <c r="AS141" s="1378"/>
      <c r="AT141" s="1378"/>
      <c r="AU141" s="1378"/>
      <c r="AV141" s="1378"/>
      <c r="AW141" s="1378"/>
      <c r="AX141" s="1378"/>
      <c r="AY141" s="1378"/>
      <c r="AZ141" s="1378"/>
      <c r="BA141" s="1378"/>
      <c r="BB141" s="1378"/>
      <c r="BC141" s="1378"/>
      <c r="BD141"/>
      <c r="BE141" s="198"/>
      <c r="BF141" s="198"/>
      <c r="BG141" s="198"/>
      <c r="BH141" s="198"/>
      <c r="BI141" s="198"/>
      <c r="BJ141" s="198"/>
      <c r="BK141" s="198"/>
      <c r="BL141" s="198"/>
      <c r="BM141" s="198"/>
      <c r="BN141" s="198"/>
      <c r="BO141" s="198"/>
      <c r="BP141" s="198"/>
      <c r="BQ141" s="198"/>
      <c r="BR141" s="198"/>
      <c r="BS141" s="198"/>
      <c r="BT141" s="198"/>
      <c r="BU141" s="198"/>
      <c r="BV141" s="198"/>
      <c r="BW141" s="198"/>
      <c r="BX141" s="198"/>
      <c r="BY141" s="198"/>
      <c r="BZ141" s="198"/>
      <c r="CA141" s="198"/>
      <c r="CB141" s="198"/>
      <c r="CC141" s="198"/>
      <c r="CD141" s="198"/>
      <c r="CE141" s="198"/>
      <c r="CF141" s="198"/>
      <c r="CG141" s="198"/>
      <c r="CH141" s="198"/>
      <c r="CI141" s="198"/>
      <c r="CJ141" s="198"/>
      <c r="CK141" s="198"/>
      <c r="CL141" s="198"/>
      <c r="CM141" s="198"/>
      <c r="CN141" s="198"/>
      <c r="CO141" s="198"/>
      <c r="CP141" s="198"/>
      <c r="CQ141" s="198"/>
      <c r="CR141" s="198"/>
      <c r="CS141" s="198"/>
      <c r="CT141" s="198"/>
      <c r="CU141" s="198"/>
      <c r="CV141" s="198"/>
      <c r="CW141" s="198"/>
      <c r="CX141" s="198"/>
      <c r="CY141" s="198"/>
      <c r="CZ141" s="198"/>
      <c r="DA141" s="198"/>
      <c r="DB141" s="198"/>
      <c r="DC141" s="198"/>
      <c r="DD141" s="198"/>
      <c r="DE141" s="198"/>
      <c r="DF141" s="198"/>
      <c r="DG141" s="198"/>
      <c r="DH141" s="198"/>
      <c r="DI141" s="198"/>
      <c r="DJ141" s="198"/>
      <c r="DK141" s="198"/>
      <c r="DL141" s="198"/>
      <c r="DM141" s="198"/>
      <c r="DN141" s="198"/>
      <c r="DO141" s="198"/>
      <c r="DP141" s="198"/>
      <c r="DQ141" s="198"/>
      <c r="DR141" s="198"/>
      <c r="DS141" s="198"/>
      <c r="DT141" s="198"/>
    </row>
    <row r="142" spans="1:124" s="172" customFormat="1" ht="25.5" outlineLevel="1" x14ac:dyDescent="0.25">
      <c r="A142" s="212"/>
      <c r="B142" s="218" t="str">
        <f>Services!B142</f>
        <v>06B01</v>
      </c>
      <c r="C142" s="216" t="str">
        <f>Services!C142</f>
        <v xml:space="preserve">Paramétrage des équipements de réseau et contrôle de la conformité des configurations </v>
      </c>
      <c r="D142" s="210" t="str">
        <f t="shared" si="2"/>
        <v/>
      </c>
      <c r="E142" s="1378"/>
      <c r="F142" s="1378"/>
      <c r="G142" s="1378"/>
      <c r="H142" s="1378"/>
      <c r="I142" s="1378"/>
      <c r="J142" s="1378"/>
      <c r="K142" s="1378"/>
      <c r="L142" s="1378"/>
      <c r="M142" s="1378"/>
      <c r="N142" s="1378"/>
      <c r="O142" s="1378"/>
      <c r="P142" s="1378"/>
      <c r="Q142" s="1378"/>
      <c r="R142" s="1378"/>
      <c r="S142" s="1378"/>
      <c r="T142" s="1378"/>
      <c r="U142" s="1378"/>
      <c r="V142" s="1378"/>
      <c r="W142" s="1378"/>
      <c r="X142" s="1378"/>
      <c r="Y142" s="1378"/>
      <c r="Z142" s="1378"/>
      <c r="AA142" s="1378"/>
      <c r="AB142" s="1378"/>
      <c r="AC142" s="1378"/>
      <c r="AD142" s="1378"/>
      <c r="AE142" s="1378"/>
      <c r="AF142" s="1378"/>
      <c r="AG142" s="1378"/>
      <c r="AH142" s="1378"/>
      <c r="AI142" s="1378"/>
      <c r="AJ142" s="1378"/>
      <c r="AK142" s="1378"/>
      <c r="AL142" s="1378"/>
      <c r="AM142" s="1378"/>
      <c r="AN142" s="1378"/>
      <c r="AO142" s="1378"/>
      <c r="AP142" s="1378"/>
      <c r="AQ142" s="1378">
        <f>IF(INDEX(Tab_actions,264,1)=1,INDEX(Tab_actions,264,7),0)</f>
        <v>0</v>
      </c>
      <c r="AR142" s="1378">
        <f>IF(INDEX(Tab_actions,269,1)=1,INDEX(Tab_actions,269,7),0)</f>
        <v>0</v>
      </c>
      <c r="AS142" s="1378"/>
      <c r="AT142" s="1378"/>
      <c r="AU142" s="1378"/>
      <c r="AV142" s="1378"/>
      <c r="AW142" s="1378"/>
      <c r="AX142" s="1378"/>
      <c r="AY142" s="1378"/>
      <c r="AZ142" s="1378"/>
      <c r="BA142" s="1378"/>
      <c r="BB142" s="1378"/>
      <c r="BC142" s="1378"/>
      <c r="BD142"/>
      <c r="BE142" s="198"/>
      <c r="BF142" s="198"/>
      <c r="BG142" s="198"/>
      <c r="BH142" s="198"/>
      <c r="BI142" s="198"/>
      <c r="BJ142" s="198"/>
      <c r="BK142" s="198"/>
      <c r="BL142" s="198"/>
      <c r="BM142" s="198"/>
      <c r="BN142" s="198"/>
      <c r="BO142" s="198"/>
      <c r="BP142" s="198"/>
      <c r="BQ142" s="198"/>
      <c r="BR142" s="198"/>
      <c r="BS142" s="198"/>
      <c r="BT142" s="198"/>
      <c r="BU142" s="198"/>
      <c r="BV142" s="198"/>
      <c r="BW142" s="198"/>
      <c r="BX142" s="198"/>
      <c r="BY142" s="198"/>
      <c r="BZ142" s="198"/>
      <c r="CA142" s="198"/>
      <c r="CB142" s="198"/>
      <c r="CC142" s="198"/>
      <c r="CD142" s="198"/>
      <c r="CE142" s="198"/>
      <c r="CF142" s="198"/>
      <c r="CG142" s="198"/>
      <c r="CH142" s="198"/>
      <c r="CI142" s="198"/>
      <c r="CJ142" s="198"/>
      <c r="CK142" s="198"/>
      <c r="CL142" s="198"/>
      <c r="CM142" s="198"/>
      <c r="CN142" s="198"/>
      <c r="CO142" s="198"/>
      <c r="CP142" s="198"/>
      <c r="CQ142" s="198"/>
      <c r="CR142" s="198"/>
      <c r="CS142" s="198"/>
      <c r="CT142" s="198"/>
      <c r="CU142" s="198"/>
      <c r="CV142" s="198"/>
      <c r="CW142" s="198"/>
      <c r="CX142" s="198"/>
      <c r="CY142" s="198"/>
      <c r="CZ142" s="198"/>
      <c r="DA142" s="198"/>
      <c r="DB142" s="198"/>
      <c r="DC142" s="198"/>
      <c r="DD142" s="198"/>
      <c r="DE142" s="198"/>
      <c r="DF142" s="198"/>
      <c r="DG142" s="198"/>
      <c r="DH142" s="198"/>
      <c r="DI142" s="198"/>
      <c r="DJ142" s="198"/>
      <c r="DK142" s="198"/>
      <c r="DL142" s="198"/>
      <c r="DM142" s="198"/>
      <c r="DN142" s="198"/>
      <c r="DO142" s="198"/>
      <c r="DP142" s="198"/>
      <c r="DQ142" s="198"/>
      <c r="DR142" s="198"/>
      <c r="DS142" s="198"/>
      <c r="DT142" s="198"/>
    </row>
    <row r="143" spans="1:124" s="172" customFormat="1" ht="14.25" outlineLevel="1" x14ac:dyDescent="0.25">
      <c r="A143" s="217"/>
      <c r="B143" s="218" t="str">
        <f>Services!B143</f>
        <v>06B02</v>
      </c>
      <c r="C143" s="216" t="str">
        <f>Services!C143</f>
        <v>Contrôle des configurations des accès réseaux des postes utilisateurs</v>
      </c>
      <c r="D143" s="210" t="str">
        <f t="shared" si="2"/>
        <v/>
      </c>
      <c r="E143" s="1378"/>
      <c r="F143" s="1378"/>
      <c r="G143" s="1378"/>
      <c r="H143" s="1378"/>
      <c r="I143" s="1378"/>
      <c r="J143" s="1378"/>
      <c r="K143" s="1378"/>
      <c r="L143" s="1378"/>
      <c r="M143" s="1378"/>
      <c r="N143" s="1378"/>
      <c r="O143" s="1378"/>
      <c r="P143" s="1378"/>
      <c r="Q143" s="1378"/>
      <c r="R143" s="1378"/>
      <c r="S143" s="1378"/>
      <c r="T143" s="1378"/>
      <c r="U143" s="1378"/>
      <c r="V143" s="1378"/>
      <c r="W143" s="1378">
        <f>IF(INDEX(Tab_actions,127,1)=1,INDEX(Tab_actions,127,25),0)</f>
        <v>0</v>
      </c>
      <c r="X143" s="1378">
        <f>IF(INDEX(Tab_actions,136,1)=1,INDEX(Tab_actions,136,25),0)</f>
        <v>0</v>
      </c>
      <c r="Y143" s="1378"/>
      <c r="Z143" s="1378"/>
      <c r="AA143" s="1378"/>
      <c r="AB143" s="1378"/>
      <c r="AC143" s="1378"/>
      <c r="AD143" s="1378"/>
      <c r="AE143" s="1378"/>
      <c r="AF143" s="1378"/>
      <c r="AG143" s="1378"/>
      <c r="AH143" s="1378"/>
      <c r="AI143" s="1378"/>
      <c r="AJ143" s="1378"/>
      <c r="AK143" s="1378"/>
      <c r="AL143" s="1378"/>
      <c r="AM143" s="1378"/>
      <c r="AN143" s="1378"/>
      <c r="AO143" s="1378"/>
      <c r="AP143" s="1378"/>
      <c r="AQ143" s="1378"/>
      <c r="AR143" s="1378"/>
      <c r="AS143" s="1378"/>
      <c r="AT143" s="1378"/>
      <c r="AU143" s="1378"/>
      <c r="AV143" s="1378"/>
      <c r="AW143" s="1378"/>
      <c r="AX143" s="1378"/>
      <c r="AY143" s="1378"/>
      <c r="AZ143" s="1378"/>
      <c r="BA143" s="1378"/>
      <c r="BB143" s="1378"/>
      <c r="BC143" s="1378"/>
      <c r="BD143"/>
      <c r="BE143" s="198"/>
      <c r="BF143" s="198"/>
      <c r="BG143" s="198"/>
      <c r="BH143" s="198"/>
      <c r="BI143" s="198"/>
      <c r="BJ143" s="198"/>
      <c r="BK143" s="198"/>
      <c r="BL143" s="198"/>
      <c r="BM143" s="198"/>
      <c r="BN143" s="198"/>
      <c r="BO143" s="198"/>
      <c r="BP143" s="198"/>
      <c r="BQ143" s="198"/>
      <c r="BR143" s="198"/>
      <c r="BS143" s="198"/>
      <c r="BT143" s="198"/>
      <c r="BU143" s="198"/>
      <c r="BV143" s="198"/>
      <c r="BW143" s="198"/>
      <c r="BX143" s="198"/>
      <c r="BY143" s="198"/>
      <c r="BZ143" s="198"/>
      <c r="CA143" s="198"/>
      <c r="CB143" s="198"/>
      <c r="CC143" s="198"/>
      <c r="CD143" s="198"/>
      <c r="CE143" s="198"/>
      <c r="CF143" s="198"/>
      <c r="CG143" s="198"/>
      <c r="CH143" s="198"/>
      <c r="CI143" s="198"/>
      <c r="CJ143" s="198"/>
      <c r="CK143" s="198"/>
      <c r="CL143" s="198"/>
      <c r="CM143" s="198"/>
      <c r="CN143" s="198"/>
      <c r="CO143" s="198"/>
      <c r="CP143" s="198"/>
      <c r="CQ143" s="198"/>
      <c r="CR143" s="198"/>
      <c r="CS143" s="198"/>
      <c r="CT143" s="198"/>
      <c r="CU143" s="198"/>
      <c r="CV143" s="198"/>
      <c r="CW143" s="198"/>
      <c r="CX143" s="198"/>
      <c r="CY143" s="198"/>
      <c r="CZ143" s="198"/>
      <c r="DA143" s="198"/>
      <c r="DB143" s="198"/>
      <c r="DC143" s="198"/>
      <c r="DD143" s="198"/>
      <c r="DE143" s="198"/>
      <c r="DF143" s="198"/>
      <c r="DG143" s="198"/>
      <c r="DH143" s="198"/>
      <c r="DI143" s="198"/>
      <c r="DJ143" s="198"/>
      <c r="DK143" s="198"/>
      <c r="DL143" s="198"/>
      <c r="DM143" s="198"/>
      <c r="DN143" s="198"/>
      <c r="DO143" s="198"/>
      <c r="DP143" s="198"/>
      <c r="DQ143" s="198"/>
      <c r="DR143" s="198"/>
      <c r="DS143" s="198"/>
      <c r="DT143" s="198"/>
    </row>
    <row r="144" spans="1:124" s="172" customFormat="1" ht="14.25" outlineLevel="1" x14ac:dyDescent="0.25">
      <c r="A144" s="217"/>
      <c r="B144" s="213" t="str">
        <f>Services!B144</f>
        <v>06C</v>
      </c>
      <c r="C144" s="214" t="str">
        <f>Services!C144</f>
        <v>Contrôle des droits d'administration</v>
      </c>
      <c r="D144" s="210" t="str">
        <f t="shared" si="2"/>
        <v/>
      </c>
      <c r="E144" s="1378"/>
      <c r="F144" s="1378"/>
      <c r="G144" s="1378"/>
      <c r="H144" s="1378"/>
      <c r="I144" s="1378"/>
      <c r="J144" s="1378"/>
      <c r="K144" s="1378"/>
      <c r="L144" s="1378"/>
      <c r="M144" s="1378"/>
      <c r="N144" s="1378"/>
      <c r="O144" s="1378"/>
      <c r="P144" s="1378"/>
      <c r="Q144" s="1378"/>
      <c r="R144" s="1378"/>
      <c r="S144" s="1378"/>
      <c r="T144" s="1378"/>
      <c r="U144" s="1378"/>
      <c r="V144" s="1378"/>
      <c r="W144" s="1378"/>
      <c r="X144" s="1378"/>
      <c r="Y144" s="1378"/>
      <c r="Z144" s="1378"/>
      <c r="AA144" s="1378"/>
      <c r="AB144" s="1378"/>
      <c r="AC144" s="1378"/>
      <c r="AD144" s="1378"/>
      <c r="AE144" s="1378"/>
      <c r="AF144" s="1378"/>
      <c r="AG144" s="1378"/>
      <c r="AH144" s="1378"/>
      <c r="AI144" s="1378"/>
      <c r="AJ144" s="1378"/>
      <c r="AK144" s="1378"/>
      <c r="AL144" s="1378"/>
      <c r="AM144" s="1378"/>
      <c r="AN144" s="1378"/>
      <c r="AO144" s="1378"/>
      <c r="AP144" s="1378"/>
      <c r="AQ144" s="1378"/>
      <c r="AR144" s="1378"/>
      <c r="AS144" s="1378"/>
      <c r="AT144" s="1378"/>
      <c r="AU144" s="1378"/>
      <c r="AV144" s="1378"/>
      <c r="AW144" s="1378"/>
      <c r="AX144" s="1378"/>
      <c r="AY144" s="1378"/>
      <c r="AZ144" s="1378"/>
      <c r="BA144" s="1378"/>
      <c r="BB144" s="1378"/>
      <c r="BC144" s="1378"/>
      <c r="BD144"/>
      <c r="BE144" s="198"/>
      <c r="BF144" s="198"/>
      <c r="BG144" s="198"/>
      <c r="BH144" s="198"/>
      <c r="BI144" s="198"/>
      <c r="BJ144" s="198"/>
      <c r="BK144" s="198"/>
      <c r="BL144" s="198"/>
      <c r="BM144" s="198"/>
      <c r="BN144" s="198"/>
      <c r="BO144" s="198"/>
      <c r="BP144" s="198"/>
      <c r="BQ144" s="198"/>
      <c r="BR144" s="198"/>
      <c r="BS144" s="198"/>
      <c r="BT144" s="198"/>
      <c r="BU144" s="198"/>
      <c r="BV144" s="198"/>
      <c r="BW144" s="198"/>
      <c r="BX144" s="198"/>
      <c r="BY144" s="198"/>
      <c r="BZ144" s="198"/>
      <c r="CA144" s="198"/>
      <c r="CB144" s="198"/>
      <c r="CC144" s="198"/>
      <c r="CD144" s="198"/>
      <c r="CE144" s="198"/>
      <c r="CF144" s="198"/>
      <c r="CG144" s="198"/>
      <c r="CH144" s="198"/>
      <c r="CI144" s="198"/>
      <c r="CJ144" s="198"/>
      <c r="CK144" s="198"/>
      <c r="CL144" s="198"/>
      <c r="CM144" s="198"/>
      <c r="CN144" s="198"/>
      <c r="CO144" s="198"/>
      <c r="CP144" s="198"/>
      <c r="CQ144" s="198"/>
      <c r="CR144" s="198"/>
      <c r="CS144" s="198"/>
      <c r="CT144" s="198"/>
      <c r="CU144" s="198"/>
      <c r="CV144" s="198"/>
      <c r="CW144" s="198"/>
      <c r="CX144" s="198"/>
      <c r="CY144" s="198"/>
      <c r="CZ144" s="198"/>
      <c r="DA144" s="198"/>
      <c r="DB144" s="198"/>
      <c r="DC144" s="198"/>
      <c r="DD144" s="198"/>
      <c r="DE144" s="198"/>
      <c r="DF144" s="198"/>
      <c r="DG144" s="198"/>
      <c r="DH144" s="198"/>
      <c r="DI144" s="198"/>
      <c r="DJ144" s="198"/>
      <c r="DK144" s="198"/>
      <c r="DL144" s="198"/>
      <c r="DM144" s="198"/>
      <c r="DN144" s="198"/>
      <c r="DO144" s="198"/>
      <c r="DP144" s="198"/>
      <c r="DQ144" s="198"/>
      <c r="DR144" s="198"/>
      <c r="DS144" s="198"/>
      <c r="DT144" s="198"/>
    </row>
    <row r="145" spans="1:124" s="172" customFormat="1" ht="15" outlineLevel="1" x14ac:dyDescent="0.25">
      <c r="A145" s="212"/>
      <c r="B145" s="218" t="str">
        <f>Services!B145</f>
        <v>06C01</v>
      </c>
      <c r="C145" s="216" t="str">
        <f>Services!C145</f>
        <v xml:space="preserve">Gestion des droits privilégiés sur les équipements de réseau </v>
      </c>
      <c r="D145" s="210" t="str">
        <f t="shared" si="2"/>
        <v/>
      </c>
      <c r="E145" s="1378"/>
      <c r="F145" s="1378"/>
      <c r="G145" s="1378"/>
      <c r="H145" s="1378"/>
      <c r="I145" s="1378"/>
      <c r="J145" s="1378"/>
      <c r="K145" s="1378"/>
      <c r="L145" s="1378"/>
      <c r="M145" s="1378"/>
      <c r="N145" s="1378"/>
      <c r="O145" s="1378"/>
      <c r="P145" s="1378"/>
      <c r="Q145" s="1378"/>
      <c r="R145" s="1378"/>
      <c r="S145" s="1378"/>
      <c r="T145" s="1378"/>
      <c r="U145" s="1378"/>
      <c r="V145" s="1378"/>
      <c r="W145" s="1378"/>
      <c r="X145" s="1378"/>
      <c r="Y145" s="1378"/>
      <c r="Z145" s="1378"/>
      <c r="AA145" s="1378"/>
      <c r="AB145" s="1378">
        <f>IF(INDEX(Tab_actions,163,1)=1,INDEX(Tab_actions,163,10),0)</f>
        <v>0</v>
      </c>
      <c r="AC145" s="1378"/>
      <c r="AD145" s="1378"/>
      <c r="AE145" s="1378"/>
      <c r="AF145" s="1378"/>
      <c r="AG145" s="1378"/>
      <c r="AH145" s="1378"/>
      <c r="AI145" s="1378"/>
      <c r="AJ145" s="1378"/>
      <c r="AK145" s="1378"/>
      <c r="AL145" s="1378"/>
      <c r="AM145" s="1378"/>
      <c r="AN145" s="1378"/>
      <c r="AO145" s="1378"/>
      <c r="AP145" s="1378"/>
      <c r="AQ145" s="1378">
        <f>IF(INDEX(Tab_actions,264,1)=1,INDEX(Tab_actions,264,10),0)</f>
        <v>0</v>
      </c>
      <c r="AR145" s="1378">
        <f>IF(INDEX(Tab_actions,269,1)=1,INDEX(Tab_actions,269,10),0)</f>
        <v>0</v>
      </c>
      <c r="AS145" s="1378"/>
      <c r="AT145" s="1378"/>
      <c r="AU145" s="1378"/>
      <c r="AV145" s="1378"/>
      <c r="AW145" s="1378"/>
      <c r="AX145" s="1378"/>
      <c r="AY145" s="1378"/>
      <c r="AZ145" s="1378"/>
      <c r="BA145" s="1378"/>
      <c r="BB145" s="1378"/>
      <c r="BC145" s="1378"/>
      <c r="BD145"/>
      <c r="BE145" s="198"/>
      <c r="BF145" s="198"/>
      <c r="BG145" s="198"/>
      <c r="BH145" s="198"/>
      <c r="BI145" s="198"/>
      <c r="BJ145" s="198"/>
      <c r="BK145" s="198"/>
      <c r="BL145" s="198"/>
      <c r="BM145" s="198"/>
      <c r="BN145" s="198"/>
      <c r="BO145" s="198"/>
      <c r="BP145" s="198"/>
      <c r="BQ145" s="198"/>
      <c r="BR145" s="198"/>
      <c r="BS145" s="198"/>
      <c r="BT145" s="198"/>
      <c r="BU145" s="198"/>
      <c r="BV145" s="198"/>
      <c r="BW145" s="198"/>
      <c r="BX145" s="198"/>
      <c r="BY145" s="198"/>
      <c r="BZ145" s="198"/>
      <c r="CA145" s="198"/>
      <c r="CB145" s="198"/>
      <c r="CC145" s="198"/>
      <c r="CD145" s="198"/>
      <c r="CE145" s="198"/>
      <c r="CF145" s="198"/>
      <c r="CG145" s="198"/>
      <c r="CH145" s="198"/>
      <c r="CI145" s="198"/>
      <c r="CJ145" s="198"/>
      <c r="CK145" s="198"/>
      <c r="CL145" s="198"/>
      <c r="CM145" s="198"/>
      <c r="CN145" s="198"/>
      <c r="CO145" s="198"/>
      <c r="CP145" s="198"/>
      <c r="CQ145" s="198"/>
      <c r="CR145" s="198"/>
      <c r="CS145" s="198"/>
      <c r="CT145" s="198"/>
      <c r="CU145" s="198"/>
      <c r="CV145" s="198"/>
      <c r="CW145" s="198"/>
      <c r="CX145" s="198"/>
      <c r="CY145" s="198"/>
      <c r="CZ145" s="198"/>
      <c r="DA145" s="198"/>
      <c r="DB145" s="198"/>
      <c r="DC145" s="198"/>
      <c r="DD145" s="198"/>
      <c r="DE145" s="198"/>
      <c r="DF145" s="198"/>
      <c r="DG145" s="198"/>
      <c r="DH145" s="198"/>
      <c r="DI145" s="198"/>
      <c r="DJ145" s="198"/>
      <c r="DK145" s="198"/>
      <c r="DL145" s="198"/>
      <c r="DM145" s="198"/>
      <c r="DN145" s="198"/>
      <c r="DO145" s="198"/>
      <c r="DP145" s="198"/>
      <c r="DQ145" s="198"/>
      <c r="DR145" s="198"/>
      <c r="DS145" s="198"/>
      <c r="DT145" s="198"/>
    </row>
    <row r="146" spans="1:124" s="172" customFormat="1" ht="25.5" outlineLevel="1" x14ac:dyDescent="0.25">
      <c r="A146" s="212"/>
      <c r="B146" s="218" t="str">
        <f>Services!B146</f>
        <v>06C02</v>
      </c>
      <c r="C146" s="216" t="str">
        <f>Services!C146</f>
        <v>Authentification et contrôle des droits d'accès des administrateurs et personnels d'exploitation des réseaux</v>
      </c>
      <c r="D146" s="210" t="str">
        <f t="shared" si="2"/>
        <v/>
      </c>
      <c r="E146" s="1378"/>
      <c r="F146" s="1378"/>
      <c r="G146" s="1378"/>
      <c r="H146" s="1378"/>
      <c r="I146" s="1378"/>
      <c r="J146" s="1378"/>
      <c r="K146" s="1378"/>
      <c r="L146" s="1378"/>
      <c r="M146" s="1378"/>
      <c r="N146" s="1378"/>
      <c r="O146" s="1378"/>
      <c r="P146" s="1378"/>
      <c r="Q146" s="1378"/>
      <c r="R146" s="1378"/>
      <c r="S146" s="1378"/>
      <c r="T146" s="1378"/>
      <c r="U146" s="1378"/>
      <c r="V146" s="1378"/>
      <c r="W146" s="1378"/>
      <c r="X146" s="1378"/>
      <c r="Y146" s="1378"/>
      <c r="Z146" s="1378"/>
      <c r="AA146" s="1378"/>
      <c r="AB146" s="1378">
        <f>IF(INDEX(Tab_actions,163,1)=1,INDEX(Tab_actions,163,13),0)</f>
        <v>0</v>
      </c>
      <c r="AC146" s="1378"/>
      <c r="AD146" s="1378"/>
      <c r="AE146" s="1378"/>
      <c r="AF146" s="1378"/>
      <c r="AG146" s="1378"/>
      <c r="AH146" s="1378"/>
      <c r="AI146" s="1378">
        <f>IF(AND(INDEX(Tab_actions,203,1)=1,INDEX(Tab_actions,200,1)=1),MAX(INDEX(Tab_actions,203,10),INDEX(Tab_actions,200,7)),IF(INDEX(Tab_actions,203,1)=1,INDEX(Tab_actions,203,10),IF(INDEX(Tab_actions,200,1)=1,INDEX(Tab_actions,200,7),0)))</f>
        <v>0</v>
      </c>
      <c r="AJ146" s="1378">
        <f>IF(AND(INDEX(Tab_actions,210,1)=1,INDEX(Tab_actions,207,1)=1),MAX(INDEX(Tab_actions,210,10),INDEX(Tab_actions,207,7)),IF(INDEX(Tab_actions,210,1)=1,INDEX(Tab_actions,210,10),IF(INDEX(Tab_actions,207,1)=1,INDEX(Tab_actions,207,7),0)))</f>
        <v>0</v>
      </c>
      <c r="AK146" s="1378"/>
      <c r="AL146" s="1378"/>
      <c r="AM146" s="1378"/>
      <c r="AN146" s="1378"/>
      <c r="AO146" s="1378"/>
      <c r="AP146" s="1378"/>
      <c r="AQ146" s="1378">
        <f>IF(AND(INDEX(Tab_actions,264,1)=1,INDEX(Tab_actions,263,1)=1),MAX(INDEX(Tab_actions,264,13),INDEX(Tab_actions,263,7)),IF(INDEX(Tab_actions,264,1)=1,INDEX(Tab_actions,264,13),IF(INDEX(Tab_actions,263,1)=1,INDEX(Tab_actions,263,7),0)))</f>
        <v>0</v>
      </c>
      <c r="AR146" s="1378">
        <f>IF(AND(INDEX(Tab_actions,269,1)=1,INDEX(Tab_actions,268,1)=1),MAX(INDEX(Tab_actions,269,13),INDEX(Tab_actions,268,7)),IF(INDEX(Tab_actions,269,1)=1,INDEX(Tab_actions,269,13),IF(INDEX(Tab_actions,268,1)=1,INDEX(Tab_actions,268,7),0)))</f>
        <v>0</v>
      </c>
      <c r="AS146" s="1378"/>
      <c r="AT146" s="1378"/>
      <c r="AU146" s="1378"/>
      <c r="AV146" s="1378"/>
      <c r="AW146" s="1378"/>
      <c r="AX146" s="1378"/>
      <c r="AY146" s="1378"/>
      <c r="AZ146" s="1378"/>
      <c r="BA146" s="1378"/>
      <c r="BB146" s="1378"/>
      <c r="BC146" s="1378"/>
      <c r="BD146"/>
      <c r="BE146" s="198"/>
      <c r="BF146" s="198"/>
      <c r="BG146" s="198"/>
      <c r="BH146" s="198"/>
      <c r="BI146" s="198"/>
      <c r="BJ146" s="198"/>
      <c r="BK146" s="198"/>
      <c r="BL146" s="198"/>
      <c r="BM146" s="198"/>
      <c r="BN146" s="198"/>
      <c r="BO146" s="198"/>
      <c r="BP146" s="198"/>
      <c r="BQ146" s="198"/>
      <c r="BR146" s="198"/>
      <c r="BS146" s="198"/>
      <c r="BT146" s="198"/>
      <c r="BU146" s="198"/>
      <c r="BV146" s="198"/>
      <c r="BW146" s="198"/>
      <c r="BX146" s="198"/>
      <c r="BY146" s="198"/>
      <c r="BZ146" s="198"/>
      <c r="CA146" s="198"/>
      <c r="CB146" s="198"/>
      <c r="CC146" s="198"/>
      <c r="CD146" s="198"/>
      <c r="CE146" s="198"/>
      <c r="CF146" s="198"/>
      <c r="CG146" s="198"/>
      <c r="CH146" s="198"/>
      <c r="CI146" s="198"/>
      <c r="CJ146" s="198"/>
      <c r="CK146" s="198"/>
      <c r="CL146" s="198"/>
      <c r="CM146" s="198"/>
      <c r="CN146" s="198"/>
      <c r="CO146" s="198"/>
      <c r="CP146" s="198"/>
      <c r="CQ146" s="198"/>
      <c r="CR146" s="198"/>
      <c r="CS146" s="198"/>
      <c r="CT146" s="198"/>
      <c r="CU146" s="198"/>
      <c r="CV146" s="198"/>
      <c r="CW146" s="198"/>
      <c r="CX146" s="198"/>
      <c r="CY146" s="198"/>
      <c r="CZ146" s="198"/>
      <c r="DA146" s="198"/>
      <c r="DB146" s="198"/>
      <c r="DC146" s="198"/>
      <c r="DD146" s="198"/>
      <c r="DE146" s="198"/>
      <c r="DF146" s="198"/>
      <c r="DG146" s="198"/>
      <c r="DH146" s="198"/>
      <c r="DI146" s="198"/>
      <c r="DJ146" s="198"/>
      <c r="DK146" s="198"/>
      <c r="DL146" s="198"/>
      <c r="DM146" s="198"/>
      <c r="DN146" s="198"/>
      <c r="DO146" s="198"/>
      <c r="DP146" s="198"/>
      <c r="DQ146" s="198"/>
      <c r="DR146" s="198"/>
      <c r="DS146" s="198"/>
      <c r="DT146" s="198"/>
    </row>
    <row r="147" spans="1:124" s="172" customFormat="1" ht="15" outlineLevel="1" x14ac:dyDescent="0.25">
      <c r="A147" s="212"/>
      <c r="B147" s="218" t="str">
        <f>Services!B147</f>
        <v>06C03</v>
      </c>
      <c r="C147" s="216" t="str">
        <f>Services!C147</f>
        <v>Surveillance des actions d'administration des réseaux</v>
      </c>
      <c r="D147" s="210" t="str">
        <f t="shared" si="2"/>
        <v/>
      </c>
      <c r="E147" s="1378"/>
      <c r="F147" s="1378"/>
      <c r="G147" s="1378"/>
      <c r="H147" s="1378"/>
      <c r="I147" s="1378"/>
      <c r="J147" s="1378"/>
      <c r="K147" s="1378"/>
      <c r="L147" s="1378"/>
      <c r="M147" s="1378"/>
      <c r="N147" s="1378"/>
      <c r="O147" s="1378"/>
      <c r="P147" s="1378"/>
      <c r="Q147" s="1378"/>
      <c r="R147" s="1378"/>
      <c r="S147" s="1378"/>
      <c r="T147" s="1378"/>
      <c r="U147" s="1378"/>
      <c r="V147" s="1378"/>
      <c r="W147" s="1378"/>
      <c r="X147" s="1378"/>
      <c r="Y147" s="1378"/>
      <c r="Z147" s="1378"/>
      <c r="AA147" s="1378"/>
      <c r="AB147" s="1378">
        <f>IF(INDEX(Tab_actions,158,1)=1,INDEX(Tab_actions,158,7),0)</f>
        <v>0</v>
      </c>
      <c r="AC147" s="1378"/>
      <c r="AD147" s="1378"/>
      <c r="AE147" s="1378"/>
      <c r="AF147" s="1378"/>
      <c r="AG147" s="1378"/>
      <c r="AH147" s="1378"/>
      <c r="AI147" s="1378">
        <f>IF(INDEX(Tab_actions,200,1)=1,INDEX(Tab_actions,200,10),0)</f>
        <v>0</v>
      </c>
      <c r="AJ147" s="1378">
        <f>IF(INDEX(Tab_actions,207,1)=1,INDEX(Tab_actions,207,10),0)</f>
        <v>0</v>
      </c>
      <c r="AK147" s="1378"/>
      <c r="AL147" s="1378"/>
      <c r="AM147" s="1378"/>
      <c r="AN147" s="1378"/>
      <c r="AO147" s="1378"/>
      <c r="AP147" s="1378"/>
      <c r="AQ147" s="1378">
        <f>IF(INDEX(Tab_actions,263,1)=1,INDEX(Tab_actions,263,10),0)</f>
        <v>0</v>
      </c>
      <c r="AR147" s="1378">
        <f>IF(INDEX(Tab_actions,268,1)=1,INDEX(Tab_actions,268,10),0)</f>
        <v>0</v>
      </c>
      <c r="AS147" s="1378"/>
      <c r="AT147" s="1378"/>
      <c r="AU147" s="1378"/>
      <c r="AV147" s="1378"/>
      <c r="AW147" s="1378"/>
      <c r="AX147" s="1378"/>
      <c r="AY147" s="1378"/>
      <c r="AZ147" s="1378"/>
      <c r="BA147" s="1378"/>
      <c r="BB147" s="1378"/>
      <c r="BC147" s="1378"/>
      <c r="BD147"/>
      <c r="BE147" s="198"/>
      <c r="BF147" s="198"/>
      <c r="BG147" s="198"/>
      <c r="BH147" s="198"/>
      <c r="BI147" s="198"/>
      <c r="BJ147" s="198"/>
      <c r="BK147" s="198"/>
      <c r="BL147" s="198"/>
      <c r="BM147" s="198"/>
      <c r="BN147" s="198"/>
      <c r="BO147" s="198"/>
      <c r="BP147" s="198"/>
      <c r="BQ147" s="198"/>
      <c r="BR147" s="198"/>
      <c r="BS147" s="198"/>
      <c r="BT147" s="198"/>
      <c r="BU147" s="198"/>
      <c r="BV147" s="198"/>
      <c r="BW147" s="198"/>
      <c r="BX147" s="198"/>
      <c r="BY147" s="198"/>
      <c r="BZ147" s="198"/>
      <c r="CA147" s="198"/>
      <c r="CB147" s="198"/>
      <c r="CC147" s="198"/>
      <c r="CD147" s="198"/>
      <c r="CE147" s="198"/>
      <c r="CF147" s="198"/>
      <c r="CG147" s="198"/>
      <c r="CH147" s="198"/>
      <c r="CI147" s="198"/>
      <c r="CJ147" s="198"/>
      <c r="CK147" s="198"/>
      <c r="CL147" s="198"/>
      <c r="CM147" s="198"/>
      <c r="CN147" s="198"/>
      <c r="CO147" s="198"/>
      <c r="CP147" s="198"/>
      <c r="CQ147" s="198"/>
      <c r="CR147" s="198"/>
      <c r="CS147" s="198"/>
      <c r="CT147" s="198"/>
      <c r="CU147" s="198"/>
      <c r="CV147" s="198"/>
      <c r="CW147" s="198"/>
      <c r="CX147" s="198"/>
      <c r="CY147" s="198"/>
      <c r="CZ147" s="198"/>
      <c r="DA147" s="198"/>
      <c r="DB147" s="198"/>
      <c r="DC147" s="198"/>
      <c r="DD147" s="198"/>
      <c r="DE147" s="198"/>
      <c r="DF147" s="198"/>
      <c r="DG147" s="198"/>
      <c r="DH147" s="198"/>
      <c r="DI147" s="198"/>
      <c r="DJ147" s="198"/>
      <c r="DK147" s="198"/>
      <c r="DL147" s="198"/>
      <c r="DM147" s="198"/>
      <c r="DN147" s="198"/>
      <c r="DO147" s="198"/>
      <c r="DP147" s="198"/>
      <c r="DQ147" s="198"/>
      <c r="DR147" s="198"/>
      <c r="DS147" s="198"/>
      <c r="DT147" s="198"/>
    </row>
    <row r="148" spans="1:124" s="172" customFormat="1" ht="15" outlineLevel="1" x14ac:dyDescent="0.25">
      <c r="A148" s="212"/>
      <c r="B148" s="218" t="str">
        <f>Services!B148</f>
        <v>06C04</v>
      </c>
      <c r="C148" s="216" t="str">
        <f>Services!C148</f>
        <v>Contrôle des outils et utilitaires de l'exploitation du réseau</v>
      </c>
      <c r="D148" s="210" t="str">
        <f t="shared" si="2"/>
        <v/>
      </c>
      <c r="E148" s="1378"/>
      <c r="F148" s="1378"/>
      <c r="G148" s="1378"/>
      <c r="H148" s="1378"/>
      <c r="I148" s="1378"/>
      <c r="J148" s="1378"/>
      <c r="K148" s="1378"/>
      <c r="L148" s="1378"/>
      <c r="M148" s="1378"/>
      <c r="N148" s="1378"/>
      <c r="O148" s="1378"/>
      <c r="P148" s="1378"/>
      <c r="Q148" s="1378"/>
      <c r="R148" s="1378"/>
      <c r="S148" s="1378"/>
      <c r="T148" s="1378"/>
      <c r="U148" s="1378"/>
      <c r="V148" s="1378"/>
      <c r="W148" s="1378"/>
      <c r="X148" s="1378"/>
      <c r="Y148" s="1378"/>
      <c r="Z148" s="1378"/>
      <c r="AA148" s="1378"/>
      <c r="AB148" s="1378"/>
      <c r="AC148" s="1378"/>
      <c r="AD148" s="1378"/>
      <c r="AE148" s="1378"/>
      <c r="AF148" s="1378"/>
      <c r="AG148" s="1378"/>
      <c r="AH148" s="1378"/>
      <c r="AI148" s="1378"/>
      <c r="AJ148" s="1378"/>
      <c r="AK148" s="1378"/>
      <c r="AL148" s="1378"/>
      <c r="AM148" s="1378"/>
      <c r="AN148" s="1378"/>
      <c r="AO148" s="1378"/>
      <c r="AP148" s="1378"/>
      <c r="AQ148" s="1378"/>
      <c r="AR148" s="1378"/>
      <c r="AS148" s="1378"/>
      <c r="AT148" s="1378"/>
      <c r="AU148" s="1378"/>
      <c r="AV148" s="1378"/>
      <c r="AW148" s="1378"/>
      <c r="AX148" s="1378"/>
      <c r="AY148" s="1378"/>
      <c r="AZ148" s="1378"/>
      <c r="BA148" s="1378"/>
      <c r="BB148" s="1378"/>
      <c r="BC148" s="1378"/>
      <c r="BD148"/>
      <c r="BE148" s="198"/>
      <c r="BF148" s="198"/>
      <c r="BG148" s="198"/>
      <c r="BH148" s="198"/>
      <c r="BI148" s="198"/>
      <c r="BJ148" s="198"/>
      <c r="BK148" s="198"/>
      <c r="BL148" s="198"/>
      <c r="BM148" s="198"/>
      <c r="BN148" s="198"/>
      <c r="BO148" s="198"/>
      <c r="BP148" s="198"/>
      <c r="BQ148" s="198"/>
      <c r="BR148" s="198"/>
      <c r="BS148" s="198"/>
      <c r="BT148" s="198"/>
      <c r="BU148" s="198"/>
      <c r="BV148" s="198"/>
      <c r="BW148" s="198"/>
      <c r="BX148" s="198"/>
      <c r="BY148" s="198"/>
      <c r="BZ148" s="198"/>
      <c r="CA148" s="198"/>
      <c r="CB148" s="198"/>
      <c r="CC148" s="198"/>
      <c r="CD148" s="198"/>
      <c r="CE148" s="198"/>
      <c r="CF148" s="198"/>
      <c r="CG148" s="198"/>
      <c r="CH148" s="198"/>
      <c r="CI148" s="198"/>
      <c r="CJ148" s="198"/>
      <c r="CK148" s="198"/>
      <c r="CL148" s="198"/>
      <c r="CM148" s="198"/>
      <c r="CN148" s="198"/>
      <c r="CO148" s="198"/>
      <c r="CP148" s="198"/>
      <c r="CQ148" s="198"/>
      <c r="CR148" s="198"/>
      <c r="CS148" s="198"/>
      <c r="CT148" s="198"/>
      <c r="CU148" s="198"/>
      <c r="CV148" s="198"/>
      <c r="CW148" s="198"/>
      <c r="CX148" s="198"/>
      <c r="CY148" s="198"/>
      <c r="CZ148" s="198"/>
      <c r="DA148" s="198"/>
      <c r="DB148" s="198"/>
      <c r="DC148" s="198"/>
      <c r="DD148" s="198"/>
      <c r="DE148" s="198"/>
      <c r="DF148" s="198"/>
      <c r="DG148" s="198"/>
      <c r="DH148" s="198"/>
      <c r="DI148" s="198"/>
      <c r="DJ148" s="198"/>
      <c r="DK148" s="198"/>
      <c r="DL148" s="198"/>
      <c r="DM148" s="198"/>
      <c r="DN148" s="198"/>
      <c r="DO148" s="198"/>
      <c r="DP148" s="198"/>
      <c r="DQ148" s="198"/>
      <c r="DR148" s="198"/>
      <c r="DS148" s="198"/>
      <c r="DT148" s="198"/>
    </row>
    <row r="149" spans="1:124" s="172" customFormat="1" ht="15" outlineLevel="1" x14ac:dyDescent="0.25">
      <c r="A149" s="212"/>
      <c r="B149" s="213" t="str">
        <f>Services!B149</f>
        <v>06D</v>
      </c>
      <c r="C149" s="214" t="str">
        <f>Services!C149</f>
        <v>Procédures d'audit et de contrôle des réseaux</v>
      </c>
      <c r="D149" s="210" t="str">
        <f t="shared" si="2"/>
        <v/>
      </c>
      <c r="E149" s="1378"/>
      <c r="F149" s="1378"/>
      <c r="G149" s="1378"/>
      <c r="H149" s="1378"/>
      <c r="I149" s="1378"/>
      <c r="J149" s="1378"/>
      <c r="K149" s="1378"/>
      <c r="L149" s="1378"/>
      <c r="M149" s="1378"/>
      <c r="N149" s="1378"/>
      <c r="O149" s="1378"/>
      <c r="P149" s="1378"/>
      <c r="Q149" s="1378"/>
      <c r="R149" s="1378"/>
      <c r="S149" s="1378"/>
      <c r="T149" s="1378"/>
      <c r="U149" s="1378"/>
      <c r="V149" s="1378"/>
      <c r="W149" s="1378"/>
      <c r="X149" s="1378"/>
      <c r="Y149" s="1378"/>
      <c r="Z149" s="1378"/>
      <c r="AA149" s="1378"/>
      <c r="AB149" s="1378"/>
      <c r="AC149" s="1378"/>
      <c r="AD149" s="1378"/>
      <c r="AE149" s="1378"/>
      <c r="AF149" s="1378"/>
      <c r="AG149" s="1378"/>
      <c r="AH149" s="1378"/>
      <c r="AI149" s="1378"/>
      <c r="AJ149" s="1378"/>
      <c r="AK149" s="1378"/>
      <c r="AL149" s="1378"/>
      <c r="AM149" s="1378"/>
      <c r="AN149" s="1378"/>
      <c r="AO149" s="1378"/>
      <c r="AP149" s="1378"/>
      <c r="AQ149" s="1378"/>
      <c r="AR149" s="1378"/>
      <c r="AS149" s="1378"/>
      <c r="AT149" s="1378"/>
      <c r="AU149" s="1378"/>
      <c r="AV149" s="1378"/>
      <c r="AW149" s="1378"/>
      <c r="AX149" s="1378"/>
      <c r="AY149" s="1378"/>
      <c r="AZ149" s="1378"/>
      <c r="BA149" s="1378"/>
      <c r="BB149" s="1378"/>
      <c r="BC149" s="1378"/>
      <c r="BD149"/>
      <c r="BE149" s="198"/>
      <c r="BF149" s="198"/>
      <c r="BG149" s="198"/>
      <c r="BH149" s="198"/>
      <c r="BI149" s="198"/>
      <c r="BJ149" s="198"/>
      <c r="BK149" s="198"/>
      <c r="BL149" s="198"/>
      <c r="BM149" s="198"/>
      <c r="BN149" s="198"/>
      <c r="BO149" s="198"/>
      <c r="BP149" s="198"/>
      <c r="BQ149" s="198"/>
      <c r="BR149" s="198"/>
      <c r="BS149" s="198"/>
      <c r="BT149" s="198"/>
      <c r="BU149" s="198"/>
      <c r="BV149" s="198"/>
      <c r="BW149" s="198"/>
      <c r="BX149" s="198"/>
      <c r="BY149" s="198"/>
      <c r="BZ149" s="198"/>
      <c r="CA149" s="198"/>
      <c r="CB149" s="198"/>
      <c r="CC149" s="198"/>
      <c r="CD149" s="198"/>
      <c r="CE149" s="198"/>
      <c r="CF149" s="198"/>
      <c r="CG149" s="198"/>
      <c r="CH149" s="198"/>
      <c r="CI149" s="198"/>
      <c r="CJ149" s="198"/>
      <c r="CK149" s="198"/>
      <c r="CL149" s="198"/>
      <c r="CM149" s="198"/>
      <c r="CN149" s="198"/>
      <c r="CO149" s="198"/>
      <c r="CP149" s="198"/>
      <c r="CQ149" s="198"/>
      <c r="CR149" s="198"/>
      <c r="CS149" s="198"/>
      <c r="CT149" s="198"/>
      <c r="CU149" s="198"/>
      <c r="CV149" s="198"/>
      <c r="CW149" s="198"/>
      <c r="CX149" s="198"/>
      <c r="CY149" s="198"/>
      <c r="CZ149" s="198"/>
      <c r="DA149" s="198"/>
      <c r="DB149" s="198"/>
      <c r="DC149" s="198"/>
      <c r="DD149" s="198"/>
      <c r="DE149" s="198"/>
      <c r="DF149" s="198"/>
      <c r="DG149" s="198"/>
      <c r="DH149" s="198"/>
      <c r="DI149" s="198"/>
      <c r="DJ149" s="198"/>
      <c r="DK149" s="198"/>
      <c r="DL149" s="198"/>
      <c r="DM149" s="198"/>
      <c r="DN149" s="198"/>
      <c r="DO149" s="198"/>
      <c r="DP149" s="198"/>
      <c r="DQ149" s="198"/>
      <c r="DR149" s="198"/>
      <c r="DS149" s="198"/>
      <c r="DT149" s="198"/>
    </row>
    <row r="150" spans="1:124" s="172" customFormat="1" ht="14.25" outlineLevel="1" x14ac:dyDescent="0.25">
      <c r="A150" s="217"/>
      <c r="B150" s="218" t="str">
        <f>Services!B150</f>
        <v>06D01</v>
      </c>
      <c r="C150" s="216" t="str">
        <f>Services!C150</f>
        <v>Fonctionnement des contrôles d'audit</v>
      </c>
      <c r="D150" s="210" t="str">
        <f t="shared" si="2"/>
        <v/>
      </c>
      <c r="E150" s="1378"/>
      <c r="F150" s="1378"/>
      <c r="G150" s="1378"/>
      <c r="H150" s="1378"/>
      <c r="I150" s="1378"/>
      <c r="J150" s="1378"/>
      <c r="K150" s="1378"/>
      <c r="L150" s="1378"/>
      <c r="M150" s="1378"/>
      <c r="N150" s="1378"/>
      <c r="O150" s="1378"/>
      <c r="P150" s="1378"/>
      <c r="Q150" s="1378"/>
      <c r="R150" s="1378"/>
      <c r="S150" s="1378"/>
      <c r="T150" s="1378"/>
      <c r="U150" s="1378"/>
      <c r="V150" s="1378"/>
      <c r="W150" s="1378"/>
      <c r="X150" s="1378"/>
      <c r="Y150" s="1378"/>
      <c r="Z150" s="1378"/>
      <c r="AA150" s="1378"/>
      <c r="AB150" s="1378"/>
      <c r="AC150" s="1378"/>
      <c r="AD150" s="1378"/>
      <c r="AE150" s="1378"/>
      <c r="AF150" s="1378"/>
      <c r="AG150" s="1378"/>
      <c r="AH150" s="1378"/>
      <c r="AI150" s="1378"/>
      <c r="AJ150" s="1378"/>
      <c r="AK150" s="1378"/>
      <c r="AL150" s="1378"/>
      <c r="AM150" s="1378"/>
      <c r="AN150" s="1378"/>
      <c r="AO150" s="1378"/>
      <c r="AP150" s="1378"/>
      <c r="AQ150" s="1378"/>
      <c r="AR150" s="1378"/>
      <c r="AS150" s="1378"/>
      <c r="AT150" s="1378"/>
      <c r="AU150" s="1378"/>
      <c r="AV150" s="1378"/>
      <c r="AW150" s="1378"/>
      <c r="AX150" s="1378"/>
      <c r="AY150" s="1378"/>
      <c r="AZ150" s="1378"/>
      <c r="BA150" s="1378"/>
      <c r="BB150" s="1378"/>
      <c r="BC150" s="1378"/>
      <c r="BD150"/>
      <c r="BE150" s="198"/>
      <c r="BF150" s="198"/>
      <c r="BG150" s="198"/>
      <c r="BH150" s="198"/>
      <c r="BI150" s="198"/>
      <c r="BJ150" s="198"/>
      <c r="BK150" s="198"/>
      <c r="BL150" s="198"/>
      <c r="BM150" s="198"/>
      <c r="BN150" s="198"/>
      <c r="BO150" s="198"/>
      <c r="BP150" s="198"/>
      <c r="BQ150" s="198"/>
      <c r="BR150" s="198"/>
      <c r="BS150" s="198"/>
      <c r="BT150" s="198"/>
      <c r="BU150" s="198"/>
      <c r="BV150" s="198"/>
      <c r="BW150" s="198"/>
      <c r="BX150" s="198"/>
      <c r="BY150" s="198"/>
      <c r="BZ150" s="198"/>
      <c r="CA150" s="198"/>
      <c r="CB150" s="198"/>
      <c r="CC150" s="198"/>
      <c r="CD150" s="198"/>
      <c r="CE150" s="198"/>
      <c r="CF150" s="198"/>
      <c r="CG150" s="198"/>
      <c r="CH150" s="198"/>
      <c r="CI150" s="198"/>
      <c r="CJ150" s="198"/>
      <c r="CK150" s="198"/>
      <c r="CL150" s="198"/>
      <c r="CM150" s="198"/>
      <c r="CN150" s="198"/>
      <c r="CO150" s="198"/>
      <c r="CP150" s="198"/>
      <c r="CQ150" s="198"/>
      <c r="CR150" s="198"/>
      <c r="CS150" s="198"/>
      <c r="CT150" s="198"/>
      <c r="CU150" s="198"/>
      <c r="CV150" s="198"/>
      <c r="CW150" s="198"/>
      <c r="CX150" s="198"/>
      <c r="CY150" s="198"/>
      <c r="CZ150" s="198"/>
      <c r="DA150" s="198"/>
      <c r="DB150" s="198"/>
      <c r="DC150" s="198"/>
      <c r="DD150" s="198"/>
      <c r="DE150" s="198"/>
      <c r="DF150" s="198"/>
      <c r="DG150" s="198"/>
      <c r="DH150" s="198"/>
      <c r="DI150" s="198"/>
      <c r="DJ150" s="198"/>
      <c r="DK150" s="198"/>
      <c r="DL150" s="198"/>
      <c r="DM150" s="198"/>
      <c r="DN150" s="198"/>
      <c r="DO150" s="198"/>
      <c r="DP150" s="198"/>
      <c r="DQ150" s="198"/>
      <c r="DR150" s="198"/>
      <c r="DS150" s="198"/>
      <c r="DT150" s="198"/>
    </row>
    <row r="151" spans="1:124" s="172" customFormat="1" ht="14.25" outlineLevel="1" x14ac:dyDescent="0.25">
      <c r="A151" s="217"/>
      <c r="B151" s="218" t="str">
        <f>Services!B151</f>
        <v>06D02</v>
      </c>
      <c r="C151" s="216" t="str">
        <f>Services!C151</f>
        <v>Protection des outils et résultats d'audit</v>
      </c>
      <c r="D151" s="210" t="str">
        <f t="shared" si="2"/>
        <v/>
      </c>
      <c r="E151" s="1378"/>
      <c r="F151" s="1378"/>
      <c r="G151" s="1378"/>
      <c r="H151" s="1378"/>
      <c r="I151" s="1378"/>
      <c r="J151" s="1378"/>
      <c r="K151" s="1378"/>
      <c r="L151" s="1378"/>
      <c r="M151" s="1378"/>
      <c r="N151" s="1378"/>
      <c r="O151" s="1378"/>
      <c r="P151" s="1378"/>
      <c r="Q151" s="1378"/>
      <c r="R151" s="1378"/>
      <c r="S151" s="1378"/>
      <c r="T151" s="1378"/>
      <c r="U151" s="1378"/>
      <c r="V151" s="1378"/>
      <c r="W151" s="1378"/>
      <c r="X151" s="1378"/>
      <c r="Y151" s="1378"/>
      <c r="Z151" s="1378"/>
      <c r="AA151" s="1378"/>
      <c r="AB151" s="1378"/>
      <c r="AC151" s="1378"/>
      <c r="AD151" s="1378"/>
      <c r="AE151" s="1378"/>
      <c r="AF151" s="1378"/>
      <c r="AG151" s="1378"/>
      <c r="AH151" s="1378"/>
      <c r="AI151" s="1378"/>
      <c r="AJ151" s="1378"/>
      <c r="AK151" s="1378"/>
      <c r="AL151" s="1378"/>
      <c r="AM151" s="1378"/>
      <c r="AN151" s="1378"/>
      <c r="AO151" s="1378"/>
      <c r="AP151" s="1378"/>
      <c r="AQ151" s="1378"/>
      <c r="AR151" s="1378"/>
      <c r="AS151" s="1378"/>
      <c r="AT151" s="1378"/>
      <c r="AU151" s="1378"/>
      <c r="AV151" s="1378"/>
      <c r="AW151" s="1378"/>
      <c r="AX151" s="1378"/>
      <c r="AY151" s="1378"/>
      <c r="AZ151" s="1378"/>
      <c r="BA151" s="1378"/>
      <c r="BB151" s="1378"/>
      <c r="BC151" s="1378"/>
      <c r="BD151"/>
      <c r="BE151" s="198"/>
      <c r="BF151" s="198"/>
      <c r="BG151" s="198"/>
      <c r="BH151" s="198"/>
      <c r="BI151" s="198"/>
      <c r="BJ151" s="198"/>
      <c r="BK151" s="198"/>
      <c r="BL151" s="198"/>
      <c r="BM151" s="198"/>
      <c r="BN151" s="198"/>
      <c r="BO151" s="198"/>
      <c r="BP151" s="198"/>
      <c r="BQ151" s="198"/>
      <c r="BR151" s="198"/>
      <c r="BS151" s="198"/>
      <c r="BT151" s="198"/>
      <c r="BU151" s="198"/>
      <c r="BV151" s="198"/>
      <c r="BW151" s="198"/>
      <c r="BX151" s="198"/>
      <c r="BY151" s="198"/>
      <c r="BZ151" s="198"/>
      <c r="CA151" s="198"/>
      <c r="CB151" s="198"/>
      <c r="CC151" s="198"/>
      <c r="CD151" s="198"/>
      <c r="CE151" s="198"/>
      <c r="CF151" s="198"/>
      <c r="CG151" s="198"/>
      <c r="CH151" s="198"/>
      <c r="CI151" s="198"/>
      <c r="CJ151" s="198"/>
      <c r="CK151" s="198"/>
      <c r="CL151" s="198"/>
      <c r="CM151" s="198"/>
      <c r="CN151" s="198"/>
      <c r="CO151" s="198"/>
      <c r="CP151" s="198"/>
      <c r="CQ151" s="198"/>
      <c r="CR151" s="198"/>
      <c r="CS151" s="198"/>
      <c r="CT151" s="198"/>
      <c r="CU151" s="198"/>
      <c r="CV151" s="198"/>
      <c r="CW151" s="198"/>
      <c r="CX151" s="198"/>
      <c r="CY151" s="198"/>
      <c r="CZ151" s="198"/>
      <c r="DA151" s="198"/>
      <c r="DB151" s="198"/>
      <c r="DC151" s="198"/>
      <c r="DD151" s="198"/>
      <c r="DE151" s="198"/>
      <c r="DF151" s="198"/>
      <c r="DG151" s="198"/>
      <c r="DH151" s="198"/>
      <c r="DI151" s="198"/>
      <c r="DJ151" s="198"/>
      <c r="DK151" s="198"/>
      <c r="DL151" s="198"/>
      <c r="DM151" s="198"/>
      <c r="DN151" s="198"/>
      <c r="DO151" s="198"/>
      <c r="DP151" s="198"/>
      <c r="DQ151" s="198"/>
      <c r="DR151" s="198"/>
      <c r="DS151" s="198"/>
      <c r="DT151" s="198"/>
    </row>
    <row r="152" spans="1:124" ht="15" x14ac:dyDescent="0.25">
      <c r="A152" s="207" t="s">
        <v>61</v>
      </c>
      <c r="B152" s="207" t="str">
        <f>Services!B152</f>
        <v>Sécurité des systèmes et de leur architecture (07 Sys)</v>
      </c>
      <c r="C152" s="223"/>
      <c r="D152" s="210" t="str">
        <f t="shared" si="2"/>
        <v/>
      </c>
      <c r="E152" s="1378"/>
      <c r="F152" s="1378"/>
      <c r="G152" s="1378"/>
      <c r="H152" s="1378"/>
      <c r="I152" s="1378"/>
      <c r="J152" s="1378"/>
      <c r="K152" s="1378"/>
      <c r="L152" s="1378"/>
      <c r="M152" s="1378"/>
      <c r="N152" s="1378"/>
      <c r="O152" s="1378"/>
      <c r="P152" s="1378"/>
      <c r="Q152" s="1378"/>
      <c r="R152" s="1378"/>
      <c r="S152" s="1378"/>
      <c r="T152" s="1378"/>
      <c r="U152" s="1378"/>
      <c r="V152" s="1378"/>
      <c r="W152" s="1378"/>
      <c r="X152" s="1378"/>
      <c r="Y152" s="1378"/>
      <c r="Z152" s="1378"/>
      <c r="AA152" s="1378"/>
      <c r="AB152" s="1378"/>
      <c r="AC152" s="1378"/>
      <c r="AD152" s="1378"/>
      <c r="AE152" s="1378"/>
      <c r="AF152" s="1378"/>
      <c r="AG152" s="1378"/>
      <c r="AH152" s="1378"/>
      <c r="AI152" s="1378"/>
      <c r="AJ152" s="1378"/>
      <c r="AK152" s="1378"/>
      <c r="AL152" s="1378"/>
      <c r="AM152" s="1378"/>
      <c r="AN152" s="1378"/>
      <c r="AO152" s="1378"/>
      <c r="AP152" s="1378"/>
      <c r="AQ152" s="1378"/>
      <c r="AR152" s="1378"/>
      <c r="AS152" s="1378"/>
      <c r="AT152" s="1378"/>
      <c r="AU152" s="1378"/>
      <c r="AV152" s="1378"/>
      <c r="AW152" s="1378"/>
      <c r="AX152" s="1378"/>
      <c r="AY152" s="1378"/>
      <c r="AZ152" s="1378"/>
      <c r="BA152" s="1378"/>
      <c r="BB152" s="1378"/>
      <c r="BC152" s="1378"/>
      <c r="BD152"/>
    </row>
    <row r="153" spans="1:124" ht="15" outlineLevel="1" x14ac:dyDescent="0.25">
      <c r="A153" s="222"/>
      <c r="B153" s="213" t="str">
        <f>Services!B153</f>
        <v>07A</v>
      </c>
      <c r="C153" s="214" t="str">
        <f>Services!C153</f>
        <v xml:space="preserve">Contrôle d'accès aux systèmes </v>
      </c>
      <c r="D153" s="210" t="str">
        <f t="shared" si="2"/>
        <v/>
      </c>
      <c r="E153" s="1378"/>
      <c r="F153" s="1378"/>
      <c r="G153" s="1378"/>
      <c r="H153" s="1378"/>
      <c r="I153" s="1378"/>
      <c r="J153" s="1378"/>
      <c r="K153" s="1378"/>
      <c r="L153" s="1378"/>
      <c r="M153" s="1378"/>
      <c r="N153" s="1378"/>
      <c r="O153" s="1378"/>
      <c r="P153" s="1378"/>
      <c r="Q153" s="1378"/>
      <c r="R153" s="1378"/>
      <c r="S153" s="1378"/>
      <c r="T153" s="1378"/>
      <c r="U153" s="1378"/>
      <c r="V153" s="1378"/>
      <c r="W153" s="1378"/>
      <c r="X153" s="1378"/>
      <c r="Y153" s="1378"/>
      <c r="Z153" s="1378"/>
      <c r="AA153" s="1378"/>
      <c r="AB153" s="1378"/>
      <c r="AC153" s="1378"/>
      <c r="AD153" s="1378"/>
      <c r="AE153" s="1378"/>
      <c r="AF153" s="1378"/>
      <c r="AG153" s="1378"/>
      <c r="AH153" s="1378"/>
      <c r="AI153" s="1378"/>
      <c r="AJ153" s="1378"/>
      <c r="AK153" s="1378"/>
      <c r="AL153" s="1378"/>
      <c r="AM153" s="1378"/>
      <c r="AN153" s="1378"/>
      <c r="AO153" s="1378"/>
      <c r="AP153" s="1378"/>
      <c r="AQ153" s="1378"/>
      <c r="AR153" s="1378"/>
      <c r="AS153" s="1378"/>
      <c r="AT153" s="1378"/>
      <c r="AU153" s="1378"/>
      <c r="AV153" s="1378"/>
      <c r="AW153" s="1378"/>
      <c r="AX153" s="1378"/>
      <c r="AY153" s="1378"/>
      <c r="AZ153" s="1378"/>
      <c r="BA153" s="1378"/>
      <c r="BB153" s="1378"/>
      <c r="BC153" s="1378"/>
      <c r="BD153"/>
    </row>
    <row r="154" spans="1:124" ht="25.5" outlineLevel="1" x14ac:dyDescent="0.25">
      <c r="A154" s="225"/>
      <c r="B154" s="218" t="str">
        <f>Services!B154</f>
        <v>07A01</v>
      </c>
      <c r="C154" s="216" t="str">
        <f>Services!C154</f>
        <v>Gestion des profils d'accès (droits et privilèges accordés en fonction des profils de fonction)</v>
      </c>
      <c r="D154" s="210" t="str">
        <f t="shared" si="2"/>
        <v/>
      </c>
      <c r="E154" s="1378">
        <f>IF(INDEX(Tab_actions,7,1)=1,INDEX(Tab_actions,7,4),0)</f>
        <v>0</v>
      </c>
      <c r="F154" s="1378"/>
      <c r="G154" s="1378"/>
      <c r="H154" s="1378"/>
      <c r="I154" s="1378"/>
      <c r="J154" s="1378"/>
      <c r="K154" s="1378"/>
      <c r="L154" s="1378"/>
      <c r="M154" s="1378"/>
      <c r="N154" s="1378"/>
      <c r="O154" s="1378">
        <f>IF(INDEX(Tab_actions,65,1)=1,INDEX(Tab_actions,65,4),0)</f>
        <v>0</v>
      </c>
      <c r="P154" s="1378">
        <f>IF(INDEX(Tab_actions,76,1)=1,INDEX(Tab_actions,76,4),0)</f>
        <v>0</v>
      </c>
      <c r="Q154" s="1378"/>
      <c r="R154" s="1378">
        <f>IF(INDEX(Tab_actions,93,1)=1,INDEX(Tab_actions,93,4),0)</f>
        <v>0</v>
      </c>
      <c r="S154" s="1378"/>
      <c r="T154" s="1378"/>
      <c r="U154" s="1378"/>
      <c r="V154" s="1378">
        <f>IF(INDEX(Tab_actions,117,1)=1,INDEX(Tab_actions,117,4),0)</f>
        <v>0</v>
      </c>
      <c r="W154" s="1378">
        <f>IF(INDEX(Tab_actions,126,1)=1,INDEX(Tab_actions,126,4),0)</f>
        <v>0</v>
      </c>
      <c r="X154" s="1378">
        <f>IF(INDEX(Tab_actions,134,1)=1,INDEX(Tab_actions,134,4),0)</f>
        <v>0</v>
      </c>
      <c r="Y154" s="1378"/>
      <c r="Z154" s="1378"/>
      <c r="AA154" s="1378"/>
      <c r="AB154" s="1378">
        <f>IF(INDEX(Tab_actions,161,1)=1,INDEX(Tab_actions,161,4),0)</f>
        <v>0</v>
      </c>
      <c r="AC154" s="1378"/>
      <c r="AD154" s="1378"/>
      <c r="AE154" s="1378"/>
      <c r="AF154" s="1378"/>
      <c r="AG154" s="1378"/>
      <c r="AH154" s="1378"/>
      <c r="AI154" s="1378"/>
      <c r="AJ154" s="1378"/>
      <c r="AK154" s="1378">
        <f>IF(INDEX(Tab_actions,216,1)=1,INDEX(Tab_actions,216,4),0)</f>
        <v>0</v>
      </c>
      <c r="AL154" s="1378">
        <f>IF(INDEX(Tab_actions,225,1)=1,INDEX(Tab_actions,225,4),0)</f>
        <v>0</v>
      </c>
      <c r="AM154" s="1378"/>
      <c r="AN154" s="1378">
        <f>IF(INDEX(Tab_actions,241,1)=1,INDEX(Tab_actions,241,4),0)</f>
        <v>0</v>
      </c>
      <c r="AO154" s="1378">
        <f>IF(INDEX(Tab_actions,250,1)=1,INDEX(Tab_actions,250,4),0)</f>
        <v>0</v>
      </c>
      <c r="AP154" s="1378"/>
      <c r="AQ154" s="1378"/>
      <c r="AR154" s="1378"/>
      <c r="AS154" s="1378">
        <f>IF(INDEX(Tab_actions,275,1)=1,INDEX(Tab_actions,275,13),0)</f>
        <v>0</v>
      </c>
      <c r="AT154" s="1378">
        <f>IF(INDEX(Tab_actions,280,1)=1,INDEX(Tab_actions,280,4),0)</f>
        <v>0</v>
      </c>
      <c r="AU154" s="1378">
        <f>IF(INDEX(Tab_actions,286,1)=1,INDEX(Tab_actions,286,4),0)</f>
        <v>0</v>
      </c>
      <c r="AV154" s="1378">
        <f>IF(INDEX(Tab_actions,292,1)=1,INDEX(Tab_actions,292,13),0)</f>
        <v>0</v>
      </c>
      <c r="AW154" s="1378">
        <f>IF(INDEX(Tab_actions,298,1)=1,INDEX(Tab_actions,298,4),0)</f>
        <v>0</v>
      </c>
      <c r="AX154" s="1378"/>
      <c r="AY154" s="1378"/>
      <c r="AZ154" s="1378"/>
      <c r="BA154" s="1378"/>
      <c r="BB154" s="1378"/>
      <c r="BC154" s="1378"/>
      <c r="BD154"/>
    </row>
    <row r="155" spans="1:124" ht="16.5" customHeight="1" outlineLevel="1" x14ac:dyDescent="0.25">
      <c r="A155" s="221"/>
      <c r="B155" s="218" t="str">
        <f>Services!B155</f>
        <v>07A02</v>
      </c>
      <c r="C155" s="216" t="str">
        <f>Services!C155</f>
        <v>Gestion des autorisations d'accès et privilèges (attribution, délégation, retrait)</v>
      </c>
      <c r="D155" s="210" t="str">
        <f t="shared" si="2"/>
        <v/>
      </c>
      <c r="E155" s="1378">
        <f>IF(INDEX(Tab_actions,7,1)=1,INDEX(Tab_actions,7,7),0)</f>
        <v>0</v>
      </c>
      <c r="F155" s="1378">
        <f>IF(INDEX(Tab_actions,15,1)=1,INDEX(Tab_actions,15,4),0)</f>
        <v>0</v>
      </c>
      <c r="G155" s="1378"/>
      <c r="H155" s="1378"/>
      <c r="I155" s="1378"/>
      <c r="J155" s="1378"/>
      <c r="K155" s="1378"/>
      <c r="L155" s="1378"/>
      <c r="M155" s="1378"/>
      <c r="N155" s="1378"/>
      <c r="O155" s="1378">
        <f>IF(INDEX(Tab_actions,65,1)=1,INDEX(Tab_actions,65,7),0)</f>
        <v>0</v>
      </c>
      <c r="P155" s="1378">
        <f>IF(INDEX(Tab_actions,76,1)=1,INDEX(Tab_actions,76,7),0)</f>
        <v>0</v>
      </c>
      <c r="Q155" s="1378"/>
      <c r="R155" s="1378">
        <f>IF(INDEX(Tab_actions,93,1)=1,INDEX(Tab_actions,93,7),0)</f>
        <v>0</v>
      </c>
      <c r="S155" s="1378"/>
      <c r="T155" s="1378"/>
      <c r="U155" s="1378"/>
      <c r="V155" s="1378">
        <f>IF(INDEX(Tab_actions,117,1)=1,INDEX(Tab_actions,117,7),0)</f>
        <v>0</v>
      </c>
      <c r="W155" s="1378">
        <f>IF(INDEX(Tab_actions,126,1)=1,INDEX(Tab_actions,126,7),0)</f>
        <v>0</v>
      </c>
      <c r="X155" s="1378">
        <f>IF(INDEX(Tab_actions,134,1)=1,INDEX(Tab_actions,134,7),0)</f>
        <v>0</v>
      </c>
      <c r="Y155" s="1378"/>
      <c r="Z155" s="1378"/>
      <c r="AA155" s="1378"/>
      <c r="AB155" s="1378">
        <f>IF(INDEX(Tab_actions,161,1)=1,INDEX(Tab_actions,161,7),0)</f>
        <v>0</v>
      </c>
      <c r="AC155" s="1378"/>
      <c r="AD155" s="1378"/>
      <c r="AE155" s="1378"/>
      <c r="AF155" s="1378"/>
      <c r="AG155" s="1378"/>
      <c r="AH155" s="1378"/>
      <c r="AI155" s="1378"/>
      <c r="AJ155" s="1378"/>
      <c r="AK155" s="1378">
        <f>IF(INDEX(Tab_actions,216,1)=1,INDEX(Tab_actions,216,7),0)</f>
        <v>0</v>
      </c>
      <c r="AL155" s="1378">
        <f>IF(INDEX(Tab_actions,225,1)=1,INDEX(Tab_actions,225,7),0)</f>
        <v>0</v>
      </c>
      <c r="AM155" s="1378"/>
      <c r="AN155" s="1378">
        <f>IF(INDEX(Tab_actions,241,1)=1,INDEX(Tab_actions,241,7),0)</f>
        <v>0</v>
      </c>
      <c r="AO155" s="1378">
        <f>IF(INDEX(Tab_actions,250,1)=1,INDEX(Tab_actions,250,7),0)</f>
        <v>0</v>
      </c>
      <c r="AP155" s="1378"/>
      <c r="AQ155" s="1378"/>
      <c r="AR155" s="1378"/>
      <c r="AS155" s="1378">
        <f>IF(INDEX(Tab_actions,275,1)=1,INDEX(Tab_actions,275,16),0)</f>
        <v>0</v>
      </c>
      <c r="AT155" s="1378">
        <f>IF(INDEX(Tab_actions,280,1)=1,INDEX(Tab_actions,280,7),0)</f>
        <v>0</v>
      </c>
      <c r="AU155" s="1378">
        <f>IF(INDEX(Tab_actions,286,1)=1,INDEX(Tab_actions,286,7),0)</f>
        <v>0</v>
      </c>
      <c r="AV155" s="1378">
        <f>IF(INDEX(Tab_actions,292,1)=1,INDEX(Tab_actions,292,16),0)</f>
        <v>0</v>
      </c>
      <c r="AW155" s="1378">
        <f>IF(INDEX(Tab_actions,298,1)=1,INDEX(Tab_actions,298,7),0)</f>
        <v>0</v>
      </c>
      <c r="AX155" s="1378"/>
      <c r="AY155" s="1378"/>
      <c r="AZ155" s="1378"/>
      <c r="BA155" s="1378"/>
      <c r="BB155" s="1378"/>
      <c r="BC155" s="1378"/>
      <c r="BD155"/>
    </row>
    <row r="156" spans="1:124" ht="15" outlineLevel="1" x14ac:dyDescent="0.25">
      <c r="A156" s="222"/>
      <c r="B156" s="218" t="str">
        <f>Services!B156</f>
        <v>07A03</v>
      </c>
      <c r="C156" s="216" t="str">
        <f>Services!C156</f>
        <v>Authentification de l'utilisateur ou de l'entité demandant un accès</v>
      </c>
      <c r="D156" s="210" t="str">
        <f t="shared" si="2"/>
        <v/>
      </c>
      <c r="E156" s="1378">
        <f>IF(INDEX(Tab_actions,7,1)=1,INDEX(Tab_actions,7,10),0)</f>
        <v>0</v>
      </c>
      <c r="F156" s="1378">
        <f>IF(INDEX(Tab_actions,15,1)=1,INDEX(Tab_actions,15,7),0)</f>
        <v>0</v>
      </c>
      <c r="G156" s="1378"/>
      <c r="H156" s="1378"/>
      <c r="I156" s="1378">
        <f>IF(INDEX(Tab_actions,34,1)=1,INDEX(Tab_actions,34,10),0)</f>
        <v>0</v>
      </c>
      <c r="J156" s="1378">
        <f>IF(INDEX(Tab_actions,39,1)=1,INDEX(Tab_actions,39,10),0)</f>
        <v>0</v>
      </c>
      <c r="K156" s="1378"/>
      <c r="L156" s="1378"/>
      <c r="M156" s="1378"/>
      <c r="N156" s="1378"/>
      <c r="O156" s="1378">
        <f>IF(INDEX(Tab_actions,65,1)=1,INDEX(Tab_actions,65,10),0)</f>
        <v>0</v>
      </c>
      <c r="P156" s="1378">
        <f>IF(INDEX(Tab_actions,76,1)=1,INDEX(Tab_actions,76,10),0)</f>
        <v>0</v>
      </c>
      <c r="Q156" s="1378"/>
      <c r="R156" s="1378">
        <f>IF(INDEX(Tab_actions,93,1)=1,INDEX(Tab_actions,93,10),0)</f>
        <v>0</v>
      </c>
      <c r="S156" s="1378"/>
      <c r="T156" s="1378"/>
      <c r="U156" s="1378"/>
      <c r="V156" s="1378">
        <f>IF(INDEX(Tab_actions,117,1)=1,INDEX(Tab_actions,117,10),0)</f>
        <v>0</v>
      </c>
      <c r="W156" s="1378">
        <f>IF(INDEX(Tab_actions,126,1)=1,INDEX(Tab_actions,126,10),0)</f>
        <v>0</v>
      </c>
      <c r="X156" s="1378">
        <f>IF(INDEX(Tab_actions,134,1)=1,INDEX(Tab_actions,134,10),0)</f>
        <v>0</v>
      </c>
      <c r="Y156" s="1378"/>
      <c r="Z156" s="1378"/>
      <c r="AA156" s="1378"/>
      <c r="AB156" s="1378">
        <f>IF(INDEX(Tab_actions,161,1)=1,INDEX(Tab_actions,161,10),0)</f>
        <v>0</v>
      </c>
      <c r="AC156" s="1378"/>
      <c r="AD156" s="1378"/>
      <c r="AE156" s="1378"/>
      <c r="AF156" s="1378"/>
      <c r="AG156" s="1378"/>
      <c r="AH156" s="1378"/>
      <c r="AI156" s="1378"/>
      <c r="AJ156" s="1378"/>
      <c r="AK156" s="1378">
        <f>IF(INDEX(Tab_actions,216,1)=1,INDEX(Tab_actions,216,10),0)</f>
        <v>0</v>
      </c>
      <c r="AL156" s="1378">
        <f>IF(INDEX(Tab_actions,225,1)=1,INDEX(Tab_actions,225,10),0)</f>
        <v>0</v>
      </c>
      <c r="AM156" s="1378"/>
      <c r="AN156" s="1378">
        <f>IF(INDEX(Tab_actions,241,1)=1,INDEX(Tab_actions,241,10),0)</f>
        <v>0</v>
      </c>
      <c r="AO156" s="1378">
        <f>IF(INDEX(Tab_actions,250,1)=1,INDEX(Tab_actions,250,10),0)</f>
        <v>0</v>
      </c>
      <c r="AP156" s="1378"/>
      <c r="AQ156" s="1378"/>
      <c r="AR156" s="1378"/>
      <c r="AS156" s="1378">
        <f>IF(INDEX(Tab_actions,275,1)=1,INDEX(Tab_actions,275,19),0)</f>
        <v>0</v>
      </c>
      <c r="AT156" s="1378">
        <f>IF(INDEX(Tab_actions,280,1)=1,INDEX(Tab_actions,280,10),0)</f>
        <v>0</v>
      </c>
      <c r="AU156" s="1378">
        <f>IF(INDEX(Tab_actions,286,1)=1,INDEX(Tab_actions,286,10),0)</f>
        <v>0</v>
      </c>
      <c r="AV156" s="1378">
        <f>IF(INDEX(Tab_actions,292,1)=1,INDEX(Tab_actions,292,19),0)</f>
        <v>0</v>
      </c>
      <c r="AW156" s="1378">
        <f>IF(INDEX(Tab_actions,298,1)=1,INDEX(Tab_actions,298,10),0)</f>
        <v>0</v>
      </c>
      <c r="AX156" s="1378"/>
      <c r="AY156" s="1378"/>
      <c r="AZ156" s="1378"/>
      <c r="BA156" s="1378"/>
      <c r="BB156" s="1378"/>
      <c r="BC156" s="1378"/>
      <c r="BD156"/>
    </row>
    <row r="157" spans="1:124" ht="15" outlineLevel="1" x14ac:dyDescent="0.25">
      <c r="A157" s="226"/>
      <c r="B157" s="218" t="str">
        <f>Services!B157</f>
        <v>07A04</v>
      </c>
      <c r="C157" s="216" t="str">
        <f>Services!C157</f>
        <v>Filtrage des accès et gestion des associations</v>
      </c>
      <c r="D157" s="210" t="str">
        <f t="shared" si="2"/>
        <v/>
      </c>
      <c r="E157" s="1378">
        <f>IF(INDEX(Tab_actions,7,1)=1,INDEX(Tab_actions,7,13),0)</f>
        <v>0</v>
      </c>
      <c r="F157" s="1378">
        <f>IF(INDEX(Tab_actions,15,1)=1,INDEX(Tab_actions,15,10),0)</f>
        <v>0</v>
      </c>
      <c r="G157" s="1378"/>
      <c r="H157" s="1378"/>
      <c r="I157" s="1378">
        <f>IF(INDEX(Tab_actions,34,1)=1,INDEX(Tab_actions,34,13),0)</f>
        <v>0</v>
      </c>
      <c r="J157" s="1378">
        <f>IF(INDEX(Tab_actions,39,1)=1,INDEX(Tab_actions,39,13),0)</f>
        <v>0</v>
      </c>
      <c r="K157" s="1378"/>
      <c r="L157" s="1378"/>
      <c r="M157" s="1378"/>
      <c r="N157" s="1378"/>
      <c r="O157" s="1378">
        <f>IF(INDEX(Tab_actions,65,1)=1,INDEX(Tab_actions,65,13),0)</f>
        <v>0</v>
      </c>
      <c r="P157" s="1378">
        <f>IF(INDEX(Tab_actions,76,1)=1,INDEX(Tab_actions,76,13),0)</f>
        <v>0</v>
      </c>
      <c r="Q157" s="1378"/>
      <c r="R157" s="1378">
        <f>IF(INDEX(Tab_actions,93,1)=1,INDEX(Tab_actions,93,13),0)</f>
        <v>0</v>
      </c>
      <c r="S157" s="1378"/>
      <c r="T157" s="1378"/>
      <c r="U157" s="1378"/>
      <c r="V157" s="1378">
        <f>IF(INDEX(Tab_actions,117,1)=1,INDEX(Tab_actions,117,13),0)</f>
        <v>0</v>
      </c>
      <c r="W157" s="1378">
        <f>IF(INDEX(Tab_actions,126,1)=1,INDEX(Tab_actions,126,13),0)</f>
        <v>0</v>
      </c>
      <c r="X157" s="1378">
        <f>IF(INDEX(Tab_actions,134,1)=1,INDEX(Tab_actions,134,13),0)</f>
        <v>0</v>
      </c>
      <c r="Y157" s="1378"/>
      <c r="Z157" s="1378"/>
      <c r="AA157" s="1378"/>
      <c r="AB157" s="1378">
        <f>IF(INDEX(Tab_actions,161,1)=1,INDEX(Tab_actions,161,13),0)</f>
        <v>0</v>
      </c>
      <c r="AC157" s="1378"/>
      <c r="AD157" s="1378"/>
      <c r="AE157" s="1378"/>
      <c r="AF157" s="1378"/>
      <c r="AG157" s="1378"/>
      <c r="AH157" s="1378"/>
      <c r="AI157" s="1378"/>
      <c r="AJ157" s="1378"/>
      <c r="AK157" s="1378">
        <f>IF(INDEX(Tab_actions,216,1)=1,INDEX(Tab_actions,216,13),0)</f>
        <v>0</v>
      </c>
      <c r="AL157" s="1378">
        <f>IF(INDEX(Tab_actions,225,1)=1,INDEX(Tab_actions,225,13),0)</f>
        <v>0</v>
      </c>
      <c r="AM157" s="1378"/>
      <c r="AN157" s="1378">
        <f>IF(INDEX(Tab_actions,241,1)=1,INDEX(Tab_actions,241,13),0)</f>
        <v>0</v>
      </c>
      <c r="AO157" s="1378">
        <f>IF(INDEX(Tab_actions,250,1)=1,INDEX(Tab_actions,250,13),0)</f>
        <v>0</v>
      </c>
      <c r="AP157" s="1378"/>
      <c r="AQ157" s="1378"/>
      <c r="AR157" s="1378"/>
      <c r="AS157" s="1378">
        <f>IF(INDEX(Tab_actions,275,1)=1,INDEX(Tab_actions,275,22),0)</f>
        <v>0</v>
      </c>
      <c r="AT157" s="1378">
        <f>IF(INDEX(Tab_actions,280,1)=1,INDEX(Tab_actions,280,13),0)</f>
        <v>0</v>
      </c>
      <c r="AU157" s="1378">
        <f>IF(INDEX(Tab_actions,286,1)=1,INDEX(Tab_actions,286,13),0)</f>
        <v>0</v>
      </c>
      <c r="AV157" s="1378">
        <f>IF(INDEX(Tab_actions,292,1)=1,INDEX(Tab_actions,292,22),0)</f>
        <v>0</v>
      </c>
      <c r="AW157" s="1378">
        <f>IF(INDEX(Tab_actions,298,1)=1,INDEX(Tab_actions,298,13),0)</f>
        <v>0</v>
      </c>
      <c r="AX157" s="1378"/>
      <c r="AY157" s="1378"/>
      <c r="AZ157" s="1378"/>
      <c r="BA157" s="1378"/>
      <c r="BB157" s="1378"/>
      <c r="BC157" s="1378"/>
      <c r="BD157"/>
    </row>
    <row r="158" spans="1:124" ht="15" outlineLevel="1" x14ac:dyDescent="0.25">
      <c r="A158" s="226"/>
      <c r="B158" s="218" t="str">
        <f>Services!B158</f>
        <v>07A05</v>
      </c>
      <c r="C158" s="216" t="str">
        <f>Services!C158</f>
        <v>Authentification du serveur lors des accès à des serveurs sensibles</v>
      </c>
      <c r="D158" s="210" t="str">
        <f t="shared" si="2"/>
        <v/>
      </c>
      <c r="E158" s="1378"/>
      <c r="F158" s="1378"/>
      <c r="G158" s="1378"/>
      <c r="H158" s="1378"/>
      <c r="I158" s="1378"/>
      <c r="J158" s="1378"/>
      <c r="K158" s="1378"/>
      <c r="L158" s="1378"/>
      <c r="M158" s="1378"/>
      <c r="N158" s="1378"/>
      <c r="O158" s="1378"/>
      <c r="P158" s="1378"/>
      <c r="Q158" s="1378"/>
      <c r="R158" s="1378"/>
      <c r="S158" s="1378"/>
      <c r="T158" s="1378"/>
      <c r="U158" s="1378"/>
      <c r="V158" s="1378"/>
      <c r="W158" s="1378"/>
      <c r="X158" s="1378"/>
      <c r="Y158" s="1378"/>
      <c r="Z158" s="1378"/>
      <c r="AA158" s="1378"/>
      <c r="AB158" s="1378"/>
      <c r="AC158" s="1378"/>
      <c r="AD158" s="1378"/>
      <c r="AE158" s="1378"/>
      <c r="AF158" s="1378"/>
      <c r="AG158" s="1378"/>
      <c r="AH158" s="1378"/>
      <c r="AI158" s="1378"/>
      <c r="AJ158" s="1378"/>
      <c r="AK158" s="1378"/>
      <c r="AL158" s="1378"/>
      <c r="AM158" s="1378"/>
      <c r="AN158" s="1378"/>
      <c r="AO158" s="1378"/>
      <c r="AP158" s="1378"/>
      <c r="AQ158" s="1378"/>
      <c r="AR158" s="1378"/>
      <c r="AS158" s="1378">
        <f>IF(INDEX(Tab_actions,275,1)=1,INDEX(Tab_actions,275,25),0)</f>
        <v>0</v>
      </c>
      <c r="AT158" s="1378"/>
      <c r="AU158" s="1378"/>
      <c r="AV158" s="1378">
        <f>IF(INDEX(Tab_actions,292,1)=1,INDEX(Tab_actions,292,25),0)</f>
        <v>0</v>
      </c>
      <c r="AW158" s="1378"/>
      <c r="AX158" s="1378"/>
      <c r="AY158" s="1378"/>
      <c r="AZ158" s="1378"/>
      <c r="BA158" s="1378"/>
      <c r="BB158" s="1378"/>
      <c r="BC158" s="1378"/>
      <c r="BD158"/>
    </row>
    <row r="159" spans="1:124" ht="15" outlineLevel="1" x14ac:dyDescent="0.25">
      <c r="A159" s="222"/>
      <c r="B159" s="213" t="str">
        <f>Services!B159</f>
        <v>07B</v>
      </c>
      <c r="C159" s="214" t="str">
        <f>Services!C159</f>
        <v>Confinement des environnements</v>
      </c>
      <c r="D159" s="210" t="str">
        <f t="shared" si="2"/>
        <v/>
      </c>
      <c r="E159" s="1378"/>
      <c r="F159" s="1378"/>
      <c r="G159" s="1378"/>
      <c r="H159" s="1378"/>
      <c r="I159" s="1378"/>
      <c r="J159" s="1378"/>
      <c r="K159" s="1378"/>
      <c r="L159" s="1378"/>
      <c r="M159" s="1378"/>
      <c r="N159" s="1378"/>
      <c r="O159" s="1378"/>
      <c r="P159" s="1378"/>
      <c r="Q159" s="1378"/>
      <c r="R159" s="1378"/>
      <c r="S159" s="1378"/>
      <c r="T159" s="1378"/>
      <c r="U159" s="1378"/>
      <c r="V159" s="1378"/>
      <c r="W159" s="1378"/>
      <c r="X159" s="1378"/>
      <c r="Y159" s="1378"/>
      <c r="Z159" s="1378"/>
      <c r="AA159" s="1378"/>
      <c r="AB159" s="1378"/>
      <c r="AC159" s="1378"/>
      <c r="AD159" s="1378"/>
      <c r="AE159" s="1378"/>
      <c r="AF159" s="1378"/>
      <c r="AG159" s="1378"/>
      <c r="AH159" s="1378"/>
      <c r="AI159" s="1378"/>
      <c r="AJ159" s="1378"/>
      <c r="AK159" s="1378"/>
      <c r="AL159" s="1378"/>
      <c r="AM159" s="1378"/>
      <c r="AN159" s="1378"/>
      <c r="AO159" s="1378"/>
      <c r="AP159" s="1378"/>
      <c r="AQ159" s="1378"/>
      <c r="AR159" s="1378"/>
      <c r="AS159" s="1378"/>
      <c r="AT159" s="1378"/>
      <c r="AU159" s="1378"/>
      <c r="AV159" s="1378"/>
      <c r="AW159" s="1378"/>
      <c r="AX159" s="1378"/>
      <c r="AY159" s="1378"/>
      <c r="AZ159" s="1378"/>
      <c r="BA159" s="1378"/>
      <c r="BB159" s="1378"/>
      <c r="BC159" s="1378"/>
      <c r="BD159"/>
    </row>
    <row r="160" spans="1:124" ht="15" outlineLevel="1" x14ac:dyDescent="0.25">
      <c r="A160" s="225"/>
      <c r="B160" s="218" t="str">
        <f>Services!B160</f>
        <v>07B01</v>
      </c>
      <c r="C160" s="216" t="str">
        <f>Services!C160</f>
        <v>Contrôle des accès aux résidus</v>
      </c>
      <c r="D160" s="210" t="str">
        <f t="shared" si="2"/>
        <v/>
      </c>
      <c r="E160" s="1378"/>
      <c r="F160" s="1378"/>
      <c r="G160" s="1378"/>
      <c r="H160" s="1378"/>
      <c r="I160" s="1378"/>
      <c r="J160" s="1378"/>
      <c r="K160" s="1378"/>
      <c r="L160" s="1378"/>
      <c r="M160" s="1378"/>
      <c r="N160" s="1378"/>
      <c r="O160" s="1378"/>
      <c r="P160" s="1378"/>
      <c r="Q160" s="1378"/>
      <c r="R160" s="1378"/>
      <c r="S160" s="1378"/>
      <c r="T160" s="1378"/>
      <c r="U160" s="1378"/>
      <c r="V160" s="1378"/>
      <c r="W160" s="1378">
        <f>IF(INDEX(Tab_actions,125,1)=1,INDEX(Tab_actions,125,4),0)</f>
        <v>0</v>
      </c>
      <c r="X160" s="1378"/>
      <c r="Y160" s="1378"/>
      <c r="Z160" s="1378"/>
      <c r="AA160" s="1378"/>
      <c r="AB160" s="1378"/>
      <c r="AC160" s="1378"/>
      <c r="AD160" s="1378"/>
      <c r="AE160" s="1378"/>
      <c r="AF160" s="1378"/>
      <c r="AG160" s="1378"/>
      <c r="AH160" s="1378"/>
      <c r="AI160" s="1378"/>
      <c r="AJ160" s="1378"/>
      <c r="AK160" s="1378"/>
      <c r="AL160" s="1378"/>
      <c r="AM160" s="1378"/>
      <c r="AN160" s="1378"/>
      <c r="AO160" s="1378"/>
      <c r="AP160" s="1378"/>
      <c r="AQ160" s="1378"/>
      <c r="AR160" s="1378"/>
      <c r="AS160" s="1378"/>
      <c r="AT160" s="1378"/>
      <c r="AU160" s="1378"/>
      <c r="AV160" s="1378"/>
      <c r="AW160" s="1378"/>
      <c r="AX160" s="1378"/>
      <c r="AY160" s="1378"/>
      <c r="AZ160" s="1378"/>
      <c r="BA160" s="1378"/>
      <c r="BB160" s="1378"/>
      <c r="BC160" s="1378"/>
      <c r="BD160"/>
    </row>
    <row r="161" spans="1:124" ht="15" outlineLevel="1" x14ac:dyDescent="0.25">
      <c r="A161" s="222"/>
      <c r="B161" s="213" t="str">
        <f>Services!B161</f>
        <v>07C</v>
      </c>
      <c r="C161" s="214" t="str">
        <f>Services!C161</f>
        <v>Gestion et enregistrement des traces</v>
      </c>
      <c r="D161" s="210" t="str">
        <f t="shared" si="2"/>
        <v/>
      </c>
      <c r="E161" s="1378"/>
      <c r="F161" s="1378"/>
      <c r="G161" s="1378"/>
      <c r="H161" s="1378"/>
      <c r="I161" s="1378"/>
      <c r="J161" s="1378"/>
      <c r="K161" s="1378"/>
      <c r="L161" s="1378"/>
      <c r="M161" s="1378"/>
      <c r="N161" s="1378"/>
      <c r="O161" s="1378"/>
      <c r="P161" s="1378"/>
      <c r="Q161" s="1378"/>
      <c r="R161" s="1378"/>
      <c r="S161" s="1378"/>
      <c r="T161" s="1378"/>
      <c r="U161" s="1378"/>
      <c r="V161" s="1378"/>
      <c r="W161" s="1378"/>
      <c r="X161" s="1378"/>
      <c r="Y161" s="1378"/>
      <c r="Z161" s="1378"/>
      <c r="AA161" s="1378"/>
      <c r="AB161" s="1378"/>
      <c r="AC161" s="1378"/>
      <c r="AD161" s="1378"/>
      <c r="AE161" s="1378"/>
      <c r="AF161" s="1378"/>
      <c r="AG161" s="1378"/>
      <c r="AH161" s="1378"/>
      <c r="AI161" s="1378"/>
      <c r="AJ161" s="1378"/>
      <c r="AK161" s="1378"/>
      <c r="AL161" s="1378"/>
      <c r="AM161" s="1378"/>
      <c r="AN161" s="1378"/>
      <c r="AO161" s="1378"/>
      <c r="AP161" s="1378"/>
      <c r="AQ161" s="1378"/>
      <c r="AR161" s="1378"/>
      <c r="AS161" s="1378"/>
      <c r="AT161" s="1378"/>
      <c r="AU161" s="1378"/>
      <c r="AV161" s="1378"/>
      <c r="AW161" s="1378"/>
      <c r="AX161" s="1378"/>
      <c r="AY161" s="1378"/>
      <c r="AZ161" s="1378"/>
      <c r="BA161" s="1378"/>
      <c r="BB161" s="1378"/>
      <c r="BC161" s="1378"/>
      <c r="BD161"/>
    </row>
    <row r="162" spans="1:124" ht="15" outlineLevel="1" x14ac:dyDescent="0.25">
      <c r="A162" s="225"/>
      <c r="B162" s="218" t="str">
        <f>Services!B162</f>
        <v>07C01</v>
      </c>
      <c r="C162" s="216" t="str">
        <f>Services!C162</f>
        <v>Enregistrement des accès aux ressources sensibles</v>
      </c>
      <c r="D162" s="210" t="str">
        <f t="shared" si="2"/>
        <v/>
      </c>
      <c r="E162" s="1378">
        <f>IF(INDEX(Tab_actions,5,1)=1,INDEX(Tab_actions,5,4),0)</f>
        <v>0</v>
      </c>
      <c r="F162" s="1378"/>
      <c r="G162" s="1378"/>
      <c r="H162" s="1378"/>
      <c r="I162" s="1378"/>
      <c r="J162" s="1378"/>
      <c r="K162" s="1378"/>
      <c r="L162" s="1378"/>
      <c r="M162" s="1378"/>
      <c r="N162" s="1378"/>
      <c r="O162" s="1378"/>
      <c r="P162" s="1378"/>
      <c r="Q162" s="1378"/>
      <c r="R162" s="1378"/>
      <c r="S162" s="1378"/>
      <c r="T162" s="1378"/>
      <c r="U162" s="1378"/>
      <c r="V162" s="1378"/>
      <c r="W162" s="1378">
        <f>IF(INDEX(Tab_actions,123,1)=1,INDEX(Tab_actions,123,4),0)</f>
        <v>0</v>
      </c>
      <c r="X162" s="1378"/>
      <c r="Y162" s="1378"/>
      <c r="Z162" s="1378"/>
      <c r="AA162" s="1378"/>
      <c r="AB162" s="1378"/>
      <c r="AC162" s="1378"/>
      <c r="AD162" s="1378"/>
      <c r="AE162" s="1378"/>
      <c r="AF162" s="1378"/>
      <c r="AG162" s="1378"/>
      <c r="AH162" s="1378"/>
      <c r="AI162" s="1378"/>
      <c r="AJ162" s="1378"/>
      <c r="AK162" s="1378">
        <f>IF(INDEX(Tab_actions,215,1)=1,INDEX(Tab_actions,215,7),0)</f>
        <v>0</v>
      </c>
      <c r="AL162" s="1378">
        <f>IF(INDEX(Tab_actions,224,1)=1,INDEX(Tab_actions,224,7),0)</f>
        <v>0</v>
      </c>
      <c r="AM162" s="1378"/>
      <c r="AN162" s="1378">
        <f>IF(INDEX(Tab_actions,240,1)=1,INDEX(Tab_actions,240,7),0)</f>
        <v>0</v>
      </c>
      <c r="AO162" s="1378">
        <f>IF(INDEX(Tab_actions,249,1)=1,INDEX(Tab_actions,249,7),0)</f>
        <v>0</v>
      </c>
      <c r="AP162" s="1378"/>
      <c r="AQ162" s="1378"/>
      <c r="AR162" s="1378"/>
      <c r="AS162" s="1378"/>
      <c r="AT162" s="1378"/>
      <c r="AU162" s="1378"/>
      <c r="AV162" s="1378"/>
      <c r="AW162" s="1378"/>
      <c r="AX162" s="1378"/>
      <c r="AY162" s="1378"/>
      <c r="AZ162" s="1378"/>
      <c r="BA162" s="1378"/>
      <c r="BB162" s="1378"/>
      <c r="BC162" s="1378"/>
      <c r="BD162"/>
    </row>
    <row r="163" spans="1:124" ht="14.25" outlineLevel="1" x14ac:dyDescent="0.25">
      <c r="A163" s="221"/>
      <c r="B163" s="218" t="str">
        <f>Services!B163</f>
        <v>07C02</v>
      </c>
      <c r="C163" s="216" t="str">
        <f>Services!C163</f>
        <v xml:space="preserve">Enregistrement des appels aux procédures privilégiées </v>
      </c>
      <c r="D163" s="210" t="str">
        <f t="shared" si="2"/>
        <v/>
      </c>
      <c r="E163" s="1378">
        <f>IF(INDEX(Tab_actions,5,1)=1,INDEX(Tab_actions,5,7),0)</f>
        <v>0</v>
      </c>
      <c r="F163" s="1378"/>
      <c r="G163" s="1378"/>
      <c r="H163" s="1378"/>
      <c r="I163" s="1378"/>
      <c r="J163" s="1378"/>
      <c r="K163" s="1378"/>
      <c r="L163" s="1378"/>
      <c r="M163" s="1378"/>
      <c r="N163" s="1378"/>
      <c r="O163" s="1378"/>
      <c r="P163" s="1378"/>
      <c r="Q163" s="1378"/>
      <c r="R163" s="1378"/>
      <c r="S163" s="1378"/>
      <c r="T163" s="1378"/>
      <c r="U163" s="1378"/>
      <c r="V163" s="1378"/>
      <c r="W163" s="1378"/>
      <c r="X163" s="1378"/>
      <c r="Y163" s="1378"/>
      <c r="Z163" s="1378"/>
      <c r="AA163" s="1378"/>
      <c r="AB163" s="1378"/>
      <c r="AC163" s="1378"/>
      <c r="AD163" s="1378"/>
      <c r="AE163" s="1378"/>
      <c r="AF163" s="1378"/>
      <c r="AG163" s="1378"/>
      <c r="AH163" s="1378"/>
      <c r="AI163" s="1378"/>
      <c r="AJ163" s="1378"/>
      <c r="AK163" s="1378">
        <f>IF(INDEX(Tab_actions,215,1)=1,INDEX(Tab_actions,215,10),0)</f>
        <v>0</v>
      </c>
      <c r="AL163" s="1378">
        <f>IF(INDEX(Tab_actions,224,1)=1,INDEX(Tab_actions,224,10),0)</f>
        <v>0</v>
      </c>
      <c r="AM163" s="1378"/>
      <c r="AN163" s="1378">
        <f>IF(INDEX(Tab_actions,240,1)=1,INDEX(Tab_actions,240,10),0)</f>
        <v>0</v>
      </c>
      <c r="AO163" s="1378">
        <f>IF(INDEX(Tab_actions,249,1)=1,INDEX(Tab_actions,249,10),0)</f>
        <v>0</v>
      </c>
      <c r="AP163" s="1378"/>
      <c r="AQ163" s="1378"/>
      <c r="AR163" s="1378"/>
      <c r="AS163" s="1378">
        <f>IF(INDEX(Tab_actions,273,1)=1,INDEX(Tab_actions,273,13),0)</f>
        <v>0</v>
      </c>
      <c r="AT163" s="1378">
        <f>IF(INDEX(Tab_actions,279,1)=1,INDEX(Tab_actions,279,4),0)</f>
        <v>0</v>
      </c>
      <c r="AU163" s="1378">
        <f>IF(INDEX(Tab_actions,285,1)=1,INDEX(Tab_actions,285,4),0)</f>
        <v>0</v>
      </c>
      <c r="AV163" s="1378">
        <f>IF(INDEX(Tab_actions,290,1)=1,INDEX(Tab_actions,290,13),0)</f>
        <v>0</v>
      </c>
      <c r="AW163" s="1378"/>
      <c r="AX163" s="1378"/>
      <c r="AY163" s="1378"/>
      <c r="AZ163" s="1378"/>
      <c r="BA163" s="1378"/>
      <c r="BB163" s="1378"/>
      <c r="BC163" s="1378"/>
      <c r="BD163"/>
    </row>
    <row r="164" spans="1:124" ht="15" outlineLevel="1" x14ac:dyDescent="0.25">
      <c r="A164" s="222"/>
      <c r="B164" s="213" t="str">
        <f>Services!B164</f>
        <v>07D</v>
      </c>
      <c r="C164" s="214" t="str">
        <f>Services!C164</f>
        <v xml:space="preserve">Sécurité de l'architecture </v>
      </c>
      <c r="D164" s="210" t="str">
        <f t="shared" si="2"/>
        <v/>
      </c>
      <c r="E164" s="1378"/>
      <c r="F164" s="1378"/>
      <c r="G164" s="1378"/>
      <c r="H164" s="1378"/>
      <c r="I164" s="1378"/>
      <c r="J164" s="1378"/>
      <c r="K164" s="1378"/>
      <c r="L164" s="1378"/>
      <c r="M164" s="1378"/>
      <c r="N164" s="1378"/>
      <c r="O164" s="1378"/>
      <c r="P164" s="1378"/>
      <c r="Q164" s="1378"/>
      <c r="R164" s="1378"/>
      <c r="S164" s="1378"/>
      <c r="T164" s="1378"/>
      <c r="U164" s="1378"/>
      <c r="V164" s="1378"/>
      <c r="W164" s="1378"/>
      <c r="X164" s="1378"/>
      <c r="Y164" s="1378"/>
      <c r="Z164" s="1378"/>
      <c r="AA164" s="1378"/>
      <c r="AB164" s="1378"/>
      <c r="AC164" s="1378"/>
      <c r="AD164" s="1378"/>
      <c r="AE164" s="1378"/>
      <c r="AF164" s="1378"/>
      <c r="AG164" s="1378"/>
      <c r="AH164" s="1378"/>
      <c r="AI164" s="1378"/>
      <c r="AJ164" s="1378"/>
      <c r="AK164" s="1378"/>
      <c r="AL164" s="1378"/>
      <c r="AM164" s="1378"/>
      <c r="AN164" s="1378"/>
      <c r="AO164" s="1378"/>
      <c r="AP164" s="1378"/>
      <c r="AQ164" s="1378"/>
      <c r="AR164" s="1378"/>
      <c r="AS164" s="1378"/>
      <c r="AT164" s="1378"/>
      <c r="AU164" s="1378"/>
      <c r="AV164" s="1378"/>
      <c r="AW164" s="1378"/>
      <c r="AX164" s="1378"/>
      <c r="AY164" s="1378"/>
      <c r="AZ164" s="1378"/>
      <c r="BA164" s="1378"/>
      <c r="BB164" s="1378"/>
      <c r="BC164" s="1378"/>
      <c r="BD164"/>
    </row>
    <row r="165" spans="1:124" ht="15" outlineLevel="1" x14ac:dyDescent="0.25">
      <c r="A165" s="225"/>
      <c r="B165" s="218" t="str">
        <f>Services!B165</f>
        <v>07D01</v>
      </c>
      <c r="C165" s="216" t="str">
        <f>Services!C165</f>
        <v>Sûreté de fonctionnement des éléments d'architecture</v>
      </c>
      <c r="D165" s="210" t="str">
        <f t="shared" si="2"/>
        <v/>
      </c>
      <c r="E165" s="1378"/>
      <c r="F165" s="1378"/>
      <c r="G165" s="1378"/>
      <c r="H165" s="1378"/>
      <c r="I165" s="1378"/>
      <c r="J165" s="1378"/>
      <c r="K165" s="1378"/>
      <c r="L165" s="1378"/>
      <c r="M165" s="1378"/>
      <c r="N165" s="1378"/>
      <c r="O165" s="1378"/>
      <c r="P165" s="1378"/>
      <c r="Q165" s="1378"/>
      <c r="R165" s="1378"/>
      <c r="S165" s="1378"/>
      <c r="T165" s="1378"/>
      <c r="U165" s="1378"/>
      <c r="V165" s="1378"/>
      <c r="W165" s="1378"/>
      <c r="X165" s="1378"/>
      <c r="Y165" s="1378"/>
      <c r="Z165" s="1378"/>
      <c r="AA165" s="1378"/>
      <c r="AB165" s="1378"/>
      <c r="AC165" s="1378"/>
      <c r="AD165" s="1378"/>
      <c r="AE165" s="1378"/>
      <c r="AF165" s="1378"/>
      <c r="AG165" s="1378"/>
      <c r="AH165" s="1378"/>
      <c r="AI165" s="1378"/>
      <c r="AJ165" s="1378"/>
      <c r="AK165" s="1378">
        <f>IF(AND(INDEX(Tab_actions,222,1)=1,INDEX(Tab_actions,219,1)=1),MAX(INDEX(Tab_actions,222,19),INDEX(Tab_actions,219,4)),IF(INDEX(Tab_actions,222,1)=1,INDEX(Tab_actions,222,19),IF(INDEX(Tab_actions,219,1)=1,INDEX(Tab_actions,219,4),0)))</f>
        <v>0</v>
      </c>
      <c r="AL165" s="1378">
        <f>IF(AND(INDEX(Tab_actions,231,1)=1,INDEX(Tab_actions,228,1)=1),MAX(INDEX(Tab_actions,231,16),INDEX(Tab_actions,228,4)),IF(INDEX(Tab_actions,231,1)=1,INDEX(Tab_actions,231,16),IF(INDEX(Tab_actions,228,1)=1,INDEX(Tab_actions,228,4),0)))</f>
        <v>0</v>
      </c>
      <c r="AM165" s="1378"/>
      <c r="AN165" s="1378">
        <f>IF(AND(INDEX(Tab_actions,247,1)=1,INDEX(Tab_actions,244,1)=1),MAX(INDEX(Tab_actions,247,19),INDEX(Tab_actions,244,4)),IF(INDEX(Tab_actions,247,1)=1,INDEX(Tab_actions,247,19),IF(INDEX(Tab_actions,244,1)=1,INDEX(Tab_actions,244,4),0)))</f>
        <v>0</v>
      </c>
      <c r="AO165" s="1378">
        <f>IF(AND(INDEX(Tab_actions,256,1)=1,INDEX(Tab_actions,253,1)=1),MAX(INDEX(Tab_actions,256,16),INDEX(Tab_actions,253,4)),IF(INDEX(Tab_actions,256,1)=1,INDEX(Tab_actions,256,16),IF(INDEX(Tab_actions,253,1)=1,INDEX(Tab_actions,253,4),0)))</f>
        <v>0</v>
      </c>
      <c r="AP165" s="1378"/>
      <c r="AQ165" s="1378"/>
      <c r="AR165" s="1378"/>
      <c r="AS165" s="1378"/>
      <c r="AT165" s="1378"/>
      <c r="AU165" s="1378"/>
      <c r="AV165" s="1378"/>
      <c r="AW165" s="1378"/>
      <c r="AX165" s="1378"/>
      <c r="AY165" s="1378"/>
      <c r="AZ165" s="1378"/>
      <c r="BA165" s="1378"/>
      <c r="BB165" s="1378"/>
      <c r="BC165" s="1378"/>
      <c r="BD165"/>
    </row>
    <row r="166" spans="1:124" s="172" customFormat="1" ht="15" outlineLevel="1" x14ac:dyDescent="0.25">
      <c r="A166" s="227"/>
      <c r="B166" s="218" t="str">
        <f>Services!B166</f>
        <v>07D02</v>
      </c>
      <c r="C166" s="216" t="str">
        <f>Services!C166</f>
        <v>Isolement des systèmes sensibles</v>
      </c>
      <c r="D166" s="210" t="str">
        <f t="shared" si="2"/>
        <v/>
      </c>
      <c r="E166" s="1378"/>
      <c r="F166" s="1378"/>
      <c r="G166" s="1378"/>
      <c r="H166" s="1378"/>
      <c r="I166" s="1378"/>
      <c r="J166" s="1378"/>
      <c r="K166" s="1378"/>
      <c r="L166" s="1378"/>
      <c r="M166" s="1378"/>
      <c r="N166" s="1378"/>
      <c r="O166" s="1378"/>
      <c r="P166" s="1378"/>
      <c r="Q166" s="1378"/>
      <c r="R166" s="1378"/>
      <c r="S166" s="1378"/>
      <c r="T166" s="1378"/>
      <c r="U166" s="1378"/>
      <c r="V166" s="1378"/>
      <c r="W166" s="1378"/>
      <c r="X166" s="1378"/>
      <c r="Y166" s="1378"/>
      <c r="Z166" s="1378"/>
      <c r="AA166" s="1378"/>
      <c r="AB166" s="1378"/>
      <c r="AC166" s="1378"/>
      <c r="AD166" s="1378"/>
      <c r="AE166" s="1378"/>
      <c r="AF166" s="1378"/>
      <c r="AG166" s="1378"/>
      <c r="AH166" s="1378"/>
      <c r="AI166" s="1378"/>
      <c r="AJ166" s="1378"/>
      <c r="AK166" s="1378"/>
      <c r="AL166" s="1378"/>
      <c r="AM166" s="1378"/>
      <c r="AN166" s="1378"/>
      <c r="AO166" s="1378"/>
      <c r="AP166" s="1378"/>
      <c r="AQ166" s="1378"/>
      <c r="AR166" s="1378"/>
      <c r="AS166" s="1378"/>
      <c r="AT166" s="1378"/>
      <c r="AU166" s="1378"/>
      <c r="AV166" s="1378"/>
      <c r="AW166" s="1378"/>
      <c r="AX166" s="1378"/>
      <c r="AY166" s="1378"/>
      <c r="AZ166" s="1378"/>
      <c r="BA166" s="1378"/>
      <c r="BB166" s="1378"/>
      <c r="BC166" s="1378"/>
      <c r="BD166"/>
      <c r="BE166" s="198"/>
      <c r="BF166" s="198"/>
      <c r="BG166" s="198"/>
      <c r="BH166" s="198"/>
      <c r="BI166" s="198"/>
      <c r="BJ166" s="198"/>
      <c r="BK166" s="198"/>
      <c r="BL166" s="198"/>
      <c r="BM166" s="198"/>
      <c r="BN166" s="198"/>
      <c r="BO166" s="198"/>
      <c r="BP166" s="198"/>
      <c r="BQ166" s="198"/>
      <c r="BR166" s="198"/>
      <c r="BS166" s="198"/>
      <c r="BT166" s="198"/>
      <c r="BU166" s="198"/>
      <c r="BV166" s="198"/>
      <c r="BW166" s="198"/>
      <c r="BX166" s="198"/>
      <c r="BY166" s="198"/>
      <c r="BZ166" s="198"/>
      <c r="CA166" s="198"/>
      <c r="CB166" s="198"/>
      <c r="CC166" s="198"/>
      <c r="CD166" s="198"/>
      <c r="CE166" s="198"/>
      <c r="CF166" s="198"/>
      <c r="CG166" s="198"/>
      <c r="CH166" s="198"/>
      <c r="CI166" s="198"/>
      <c r="CJ166" s="198"/>
      <c r="CK166" s="198"/>
      <c r="CL166" s="198"/>
      <c r="CM166" s="198"/>
      <c r="CN166" s="198"/>
      <c r="CO166" s="198"/>
      <c r="CP166" s="198"/>
      <c r="CQ166" s="198"/>
      <c r="CR166" s="198"/>
      <c r="CS166" s="198"/>
      <c r="CT166" s="198"/>
      <c r="CU166" s="198"/>
      <c r="CV166" s="198"/>
      <c r="CW166" s="198"/>
      <c r="CX166" s="198"/>
      <c r="CY166" s="198"/>
      <c r="CZ166" s="198"/>
      <c r="DA166" s="198"/>
      <c r="DB166" s="198"/>
      <c r="DC166" s="198"/>
      <c r="DD166" s="198"/>
      <c r="DE166" s="198"/>
      <c r="DF166" s="198"/>
      <c r="DG166" s="198"/>
      <c r="DH166" s="198"/>
      <c r="DI166" s="198"/>
      <c r="DJ166" s="198"/>
      <c r="DK166" s="198"/>
      <c r="DL166" s="198"/>
      <c r="DM166" s="198"/>
      <c r="DN166" s="198"/>
      <c r="DO166" s="198"/>
      <c r="DP166" s="198"/>
      <c r="DQ166" s="198"/>
      <c r="DR166" s="198"/>
      <c r="DS166" s="198"/>
      <c r="DT166" s="198"/>
    </row>
    <row r="167" spans="1:124" ht="15" x14ac:dyDescent="0.25">
      <c r="A167" s="207" t="s">
        <v>4268</v>
      </c>
      <c r="B167" s="207" t="str">
        <f>Services!B167</f>
        <v>Production informatique (08 Exs)</v>
      </c>
      <c r="C167" s="228"/>
      <c r="D167" s="210" t="str">
        <f t="shared" si="2"/>
        <v/>
      </c>
      <c r="E167" s="1378"/>
      <c r="F167" s="1378"/>
      <c r="G167" s="1378"/>
      <c r="H167" s="1378"/>
      <c r="I167" s="1378"/>
      <c r="J167" s="1378"/>
      <c r="K167" s="1378"/>
      <c r="L167" s="1378"/>
      <c r="M167" s="1378"/>
      <c r="N167" s="1378"/>
      <c r="O167" s="1378"/>
      <c r="P167" s="1378"/>
      <c r="Q167" s="1378"/>
      <c r="R167" s="1378"/>
      <c r="S167" s="1378"/>
      <c r="T167" s="1378"/>
      <c r="U167" s="1378"/>
      <c r="V167" s="1378"/>
      <c r="W167" s="1378"/>
      <c r="X167" s="1378"/>
      <c r="Y167" s="1378"/>
      <c r="Z167" s="1378"/>
      <c r="AA167" s="1378"/>
      <c r="AB167" s="1378"/>
      <c r="AC167" s="1378"/>
      <c r="AD167" s="1378"/>
      <c r="AE167" s="1378"/>
      <c r="AF167" s="1378"/>
      <c r="AG167" s="1378"/>
      <c r="AH167" s="1378"/>
      <c r="AI167" s="1378"/>
      <c r="AJ167" s="1378"/>
      <c r="AK167" s="1378"/>
      <c r="AL167" s="1378"/>
      <c r="AM167" s="1378"/>
      <c r="AN167" s="1378"/>
      <c r="AO167" s="1378"/>
      <c r="AP167" s="1378"/>
      <c r="AQ167" s="1378"/>
      <c r="AR167" s="1378"/>
      <c r="AS167" s="1378"/>
      <c r="AT167" s="1378"/>
      <c r="AU167" s="1378"/>
      <c r="AV167" s="1378"/>
      <c r="AW167" s="1378"/>
      <c r="AX167" s="1378"/>
      <c r="AY167" s="1378"/>
      <c r="AZ167" s="1378"/>
      <c r="BA167" s="1378"/>
      <c r="BB167" s="1378"/>
      <c r="BC167" s="1378"/>
      <c r="BD167"/>
    </row>
    <row r="168" spans="1:124" s="172" customFormat="1" ht="15" outlineLevel="1" x14ac:dyDescent="0.25">
      <c r="A168" s="212"/>
      <c r="B168" s="213" t="str">
        <f>Services!B168</f>
        <v>08A</v>
      </c>
      <c r="C168" s="214" t="str">
        <f>Services!C168</f>
        <v>Sécurité des procédures d'exploitation</v>
      </c>
      <c r="D168" s="210" t="str">
        <f t="shared" si="2"/>
        <v/>
      </c>
      <c r="E168" s="1378"/>
      <c r="F168" s="1378"/>
      <c r="G168" s="1378"/>
      <c r="H168" s="1378"/>
      <c r="I168" s="1378"/>
      <c r="J168" s="1378"/>
      <c r="K168" s="1378"/>
      <c r="L168" s="1378"/>
      <c r="M168" s="1378"/>
      <c r="N168" s="1378"/>
      <c r="O168" s="1378"/>
      <c r="P168" s="1378"/>
      <c r="Q168" s="1378"/>
      <c r="R168" s="1378"/>
      <c r="S168" s="1378"/>
      <c r="T168" s="1378"/>
      <c r="U168" s="1378"/>
      <c r="V168" s="1378"/>
      <c r="W168" s="1378"/>
      <c r="X168" s="1378"/>
      <c r="Y168" s="1378"/>
      <c r="Z168" s="1378"/>
      <c r="AA168" s="1378"/>
      <c r="AB168" s="1378"/>
      <c r="AC168" s="1378"/>
      <c r="AD168" s="1378"/>
      <c r="AE168" s="1378"/>
      <c r="AF168" s="1378"/>
      <c r="AG168" s="1378"/>
      <c r="AH168" s="1378"/>
      <c r="AI168" s="1378"/>
      <c r="AJ168" s="1378"/>
      <c r="AK168" s="1378"/>
      <c r="AL168" s="1378"/>
      <c r="AM168" s="1378"/>
      <c r="AN168" s="1378"/>
      <c r="AO168" s="1378"/>
      <c r="AP168" s="1378"/>
      <c r="AQ168" s="1378"/>
      <c r="AR168" s="1378"/>
      <c r="AS168" s="1378"/>
      <c r="AT168" s="1378"/>
      <c r="AU168" s="1378"/>
      <c r="AV168" s="1378"/>
      <c r="AW168" s="1378"/>
      <c r="AX168" s="1378"/>
      <c r="AY168" s="1378"/>
      <c r="AZ168" s="1378"/>
      <c r="BA168" s="1378"/>
      <c r="BB168" s="1378"/>
      <c r="BC168" s="1378"/>
      <c r="BD168"/>
      <c r="BE168" s="198"/>
      <c r="BF168" s="198"/>
      <c r="BG168" s="198"/>
      <c r="BH168" s="198"/>
      <c r="BI168" s="198"/>
      <c r="BJ168" s="198"/>
      <c r="BK168" s="198"/>
      <c r="BL168" s="198"/>
      <c r="BM168" s="198"/>
      <c r="BN168" s="198"/>
      <c r="BO168" s="198"/>
      <c r="BP168" s="198"/>
      <c r="BQ168" s="198"/>
      <c r="BR168" s="198"/>
      <c r="BS168" s="198"/>
      <c r="BT168" s="198"/>
      <c r="BU168" s="198"/>
      <c r="BV168" s="198"/>
      <c r="BW168" s="198"/>
      <c r="BX168" s="198"/>
      <c r="BY168" s="198"/>
      <c r="BZ168" s="198"/>
      <c r="CA168" s="198"/>
      <c r="CB168" s="198"/>
      <c r="CC168" s="198"/>
      <c r="CD168" s="198"/>
      <c r="CE168" s="198"/>
      <c r="CF168" s="198"/>
      <c r="CG168" s="198"/>
      <c r="CH168" s="198"/>
      <c r="CI168" s="198"/>
      <c r="CJ168" s="198"/>
      <c r="CK168" s="198"/>
      <c r="CL168" s="198"/>
      <c r="CM168" s="198"/>
      <c r="CN168" s="198"/>
      <c r="CO168" s="198"/>
      <c r="CP168" s="198"/>
      <c r="CQ168" s="198"/>
      <c r="CR168" s="198"/>
      <c r="CS168" s="198"/>
      <c r="CT168" s="198"/>
      <c r="CU168" s="198"/>
      <c r="CV168" s="198"/>
      <c r="CW168" s="198"/>
      <c r="CX168" s="198"/>
      <c r="CY168" s="198"/>
      <c r="CZ168" s="198"/>
      <c r="DA168" s="198"/>
      <c r="DB168" s="198"/>
      <c r="DC168" s="198"/>
      <c r="DD168" s="198"/>
      <c r="DE168" s="198"/>
      <c r="DF168" s="198"/>
      <c r="DG168" s="198"/>
      <c r="DH168" s="198"/>
      <c r="DI168" s="198"/>
      <c r="DJ168" s="198"/>
      <c r="DK168" s="198"/>
      <c r="DL168" s="198"/>
      <c r="DM168" s="198"/>
      <c r="DN168" s="198"/>
      <c r="DO168" s="198"/>
      <c r="DP168" s="198"/>
      <c r="DQ168" s="198"/>
      <c r="DR168" s="198"/>
      <c r="DS168" s="198"/>
      <c r="DT168" s="198"/>
    </row>
    <row r="169" spans="1:124" s="172" customFormat="1" ht="25.5" outlineLevel="1" x14ac:dyDescent="0.25">
      <c r="A169" s="217"/>
      <c r="B169" s="218" t="str">
        <f>Services!B169</f>
        <v>08A01</v>
      </c>
      <c r="C169" s="216" t="str">
        <f>Services!C169</f>
        <v>Prise en compte de la sécurité dans les relations avec le personnel d'exploitation (salariés et prestataires)</v>
      </c>
      <c r="D169" s="210" t="str">
        <f t="shared" si="2"/>
        <v/>
      </c>
      <c r="E169" s="1378"/>
      <c r="F169" s="1378"/>
      <c r="G169" s="1378"/>
      <c r="H169" s="1378"/>
      <c r="I169" s="1378"/>
      <c r="J169" s="1378"/>
      <c r="K169" s="1378"/>
      <c r="L169" s="1378"/>
      <c r="M169" s="1378"/>
      <c r="N169" s="1378"/>
      <c r="O169" s="1378"/>
      <c r="P169" s="1378"/>
      <c r="Q169" s="1378"/>
      <c r="R169" s="1378"/>
      <c r="S169" s="1378"/>
      <c r="T169" s="1378"/>
      <c r="U169" s="1378"/>
      <c r="V169" s="1378"/>
      <c r="W169" s="1378"/>
      <c r="X169" s="1378"/>
      <c r="Y169" s="1378"/>
      <c r="Z169" s="1378"/>
      <c r="AA169" s="1378"/>
      <c r="AB169" s="1378"/>
      <c r="AC169" s="1378"/>
      <c r="AD169" s="1378"/>
      <c r="AE169" s="1378"/>
      <c r="AF169" s="1378"/>
      <c r="AG169" s="1378"/>
      <c r="AH169" s="1378"/>
      <c r="AI169" s="1378"/>
      <c r="AJ169" s="1378"/>
      <c r="AK169" s="1378"/>
      <c r="AL169" s="1378"/>
      <c r="AM169" s="1378"/>
      <c r="AN169" s="1378"/>
      <c r="AO169" s="1378"/>
      <c r="AP169" s="1378"/>
      <c r="AQ169" s="1378"/>
      <c r="AR169" s="1378"/>
      <c r="AS169" s="1378"/>
      <c r="AT169" s="1378"/>
      <c r="AU169" s="1378"/>
      <c r="AV169" s="1378"/>
      <c r="AW169" s="1378"/>
      <c r="AX169" s="1378"/>
      <c r="AY169" s="1378"/>
      <c r="AZ169" s="1378"/>
      <c r="BA169" s="1378"/>
      <c r="BB169" s="1378"/>
      <c r="BC169" s="1378"/>
      <c r="BD169"/>
      <c r="BE169" s="198"/>
      <c r="BF169" s="198"/>
      <c r="BG169" s="198"/>
      <c r="BH169" s="198"/>
      <c r="BI169" s="198"/>
      <c r="BJ169" s="198"/>
      <c r="BK169" s="198"/>
      <c r="BL169" s="198"/>
      <c r="BM169" s="198"/>
      <c r="BN169" s="198"/>
      <c r="BO169" s="198"/>
      <c r="BP169" s="198"/>
      <c r="BQ169" s="198"/>
      <c r="BR169" s="198"/>
      <c r="BS169" s="198"/>
      <c r="BT169" s="198"/>
      <c r="BU169" s="198"/>
      <c r="BV169" s="198"/>
      <c r="BW169" s="198"/>
      <c r="BX169" s="198"/>
      <c r="BY169" s="198"/>
      <c r="BZ169" s="198"/>
      <c r="CA169" s="198"/>
      <c r="CB169" s="198"/>
      <c r="CC169" s="198"/>
      <c r="CD169" s="198"/>
      <c r="CE169" s="198"/>
      <c r="CF169" s="198"/>
      <c r="CG169" s="198"/>
      <c r="CH169" s="198"/>
      <c r="CI169" s="198"/>
      <c r="CJ169" s="198"/>
      <c r="CK169" s="198"/>
      <c r="CL169" s="198"/>
      <c r="CM169" s="198"/>
      <c r="CN169" s="198"/>
      <c r="CO169" s="198"/>
      <c r="CP169" s="198"/>
      <c r="CQ169" s="198"/>
      <c r="CR169" s="198"/>
      <c r="CS169" s="198"/>
      <c r="CT169" s="198"/>
      <c r="CU169" s="198"/>
      <c r="CV169" s="198"/>
      <c r="CW169" s="198"/>
      <c r="CX169" s="198"/>
      <c r="CY169" s="198"/>
      <c r="CZ169" s="198"/>
      <c r="DA169" s="198"/>
      <c r="DB169" s="198"/>
      <c r="DC169" s="198"/>
      <c r="DD169" s="198"/>
      <c r="DE169" s="198"/>
      <c r="DF169" s="198"/>
      <c r="DG169" s="198"/>
      <c r="DH169" s="198"/>
      <c r="DI169" s="198"/>
      <c r="DJ169" s="198"/>
      <c r="DK169" s="198"/>
      <c r="DL169" s="198"/>
      <c r="DM169" s="198"/>
      <c r="DN169" s="198"/>
      <c r="DO169" s="198"/>
      <c r="DP169" s="198"/>
      <c r="DQ169" s="198"/>
      <c r="DR169" s="198"/>
      <c r="DS169" s="198"/>
      <c r="DT169" s="198"/>
    </row>
    <row r="170" spans="1:124" s="172" customFormat="1" ht="14.25" outlineLevel="1" x14ac:dyDescent="0.25">
      <c r="A170" s="217"/>
      <c r="B170" s="218" t="str">
        <f>Services!B170</f>
        <v>08A02</v>
      </c>
      <c r="C170" s="216" t="str">
        <f>Services!C170</f>
        <v>Contrôle des outils et utilitaires de l'exploitation</v>
      </c>
      <c r="D170" s="210" t="str">
        <f t="shared" si="2"/>
        <v/>
      </c>
      <c r="E170" s="1378"/>
      <c r="F170" s="1378"/>
      <c r="G170" s="1378"/>
      <c r="H170" s="1378"/>
      <c r="I170" s="1378"/>
      <c r="J170" s="1378"/>
      <c r="K170" s="1378"/>
      <c r="L170" s="1378"/>
      <c r="M170" s="1378"/>
      <c r="N170" s="1378"/>
      <c r="O170" s="1378"/>
      <c r="P170" s="1378"/>
      <c r="Q170" s="1378"/>
      <c r="R170" s="1378"/>
      <c r="S170" s="1378"/>
      <c r="T170" s="1378"/>
      <c r="U170" s="1378"/>
      <c r="V170" s="1378"/>
      <c r="W170" s="1378"/>
      <c r="X170" s="1378"/>
      <c r="Y170" s="1378"/>
      <c r="Z170" s="1378"/>
      <c r="AA170" s="1378"/>
      <c r="AB170" s="1378"/>
      <c r="AC170" s="1378"/>
      <c r="AD170" s="1378"/>
      <c r="AE170" s="1378"/>
      <c r="AF170" s="1378"/>
      <c r="AG170" s="1378"/>
      <c r="AH170" s="1378"/>
      <c r="AI170" s="1378"/>
      <c r="AJ170" s="1378"/>
      <c r="AK170" s="1378"/>
      <c r="AL170" s="1378"/>
      <c r="AM170" s="1378"/>
      <c r="AN170" s="1378"/>
      <c r="AO170" s="1378"/>
      <c r="AP170" s="1378"/>
      <c r="AQ170" s="1378"/>
      <c r="AR170" s="1378"/>
      <c r="AS170" s="1378"/>
      <c r="AT170" s="1378"/>
      <c r="AU170" s="1378"/>
      <c r="AV170" s="1378"/>
      <c r="AW170" s="1378"/>
      <c r="AX170" s="1378"/>
      <c r="AY170" s="1378"/>
      <c r="AZ170" s="1378"/>
      <c r="BA170" s="1378"/>
      <c r="BB170" s="1378"/>
      <c r="BC170" s="1378"/>
      <c r="BD170"/>
      <c r="BE170" s="198"/>
      <c r="BF170" s="198"/>
      <c r="BG170" s="198"/>
      <c r="BH170" s="198"/>
      <c r="BI170" s="198"/>
      <c r="BJ170" s="198"/>
      <c r="BK170" s="198"/>
      <c r="BL170" s="198"/>
      <c r="BM170" s="198"/>
      <c r="BN170" s="198"/>
      <c r="BO170" s="198"/>
      <c r="BP170" s="198"/>
      <c r="BQ170" s="198"/>
      <c r="BR170" s="198"/>
      <c r="BS170" s="198"/>
      <c r="BT170" s="198"/>
      <c r="BU170" s="198"/>
      <c r="BV170" s="198"/>
      <c r="BW170" s="198"/>
      <c r="BX170" s="198"/>
      <c r="BY170" s="198"/>
      <c r="BZ170" s="198"/>
      <c r="CA170" s="198"/>
      <c r="CB170" s="198"/>
      <c r="CC170" s="198"/>
      <c r="CD170" s="198"/>
      <c r="CE170" s="198"/>
      <c r="CF170" s="198"/>
      <c r="CG170" s="198"/>
      <c r="CH170" s="198"/>
      <c r="CI170" s="198"/>
      <c r="CJ170" s="198"/>
      <c r="CK170" s="198"/>
      <c r="CL170" s="198"/>
      <c r="CM170" s="198"/>
      <c r="CN170" s="198"/>
      <c r="CO170" s="198"/>
      <c r="CP170" s="198"/>
      <c r="CQ170" s="198"/>
      <c r="CR170" s="198"/>
      <c r="CS170" s="198"/>
      <c r="CT170" s="198"/>
      <c r="CU170" s="198"/>
      <c r="CV170" s="198"/>
      <c r="CW170" s="198"/>
      <c r="CX170" s="198"/>
      <c r="CY170" s="198"/>
      <c r="CZ170" s="198"/>
      <c r="DA170" s="198"/>
      <c r="DB170" s="198"/>
      <c r="DC170" s="198"/>
      <c r="DD170" s="198"/>
      <c r="DE170" s="198"/>
      <c r="DF170" s="198"/>
      <c r="DG170" s="198"/>
      <c r="DH170" s="198"/>
      <c r="DI170" s="198"/>
      <c r="DJ170" s="198"/>
      <c r="DK170" s="198"/>
      <c r="DL170" s="198"/>
      <c r="DM170" s="198"/>
      <c r="DN170" s="198"/>
      <c r="DO170" s="198"/>
      <c r="DP170" s="198"/>
      <c r="DQ170" s="198"/>
      <c r="DR170" s="198"/>
      <c r="DS170" s="198"/>
      <c r="DT170" s="198"/>
    </row>
    <row r="171" spans="1:124" s="172" customFormat="1" ht="25.5" outlineLevel="1" x14ac:dyDescent="0.25">
      <c r="A171" s="212"/>
      <c r="B171" s="218" t="str">
        <f>Services!B171</f>
        <v>08A03</v>
      </c>
      <c r="C171" s="216" t="str">
        <f>Services!C171</f>
        <v>Contrôle de la mise en production de nouveaux systèmes ou d'évolutions de systèmes existants</v>
      </c>
      <c r="D171" s="210" t="str">
        <f t="shared" si="2"/>
        <v/>
      </c>
      <c r="E171" s="1378">
        <f>IF(INDEX(Tab_actions,8,1)=1,INDEX(Tab_actions,8,4),0)</f>
        <v>0</v>
      </c>
      <c r="F171" s="1378">
        <f>IF(INDEX(Tab_actions,15,1)=1,INDEX(Tab_actions,15,13),0)</f>
        <v>0</v>
      </c>
      <c r="G171" s="1378"/>
      <c r="H171" s="1378"/>
      <c r="I171" s="1378">
        <f>IF(INDEX(Tab_actions,34,1)=1,INDEX(Tab_actions,34,16),0)</f>
        <v>0</v>
      </c>
      <c r="J171" s="1378">
        <f>IF(INDEX(Tab_actions,39,1)=1,INDEX(Tab_actions,39,16),0)</f>
        <v>0</v>
      </c>
      <c r="K171" s="1378"/>
      <c r="L171" s="1378"/>
      <c r="M171" s="1378"/>
      <c r="N171" s="1378"/>
      <c r="O171" s="1378"/>
      <c r="P171" s="1378"/>
      <c r="Q171" s="1378"/>
      <c r="R171" s="1378"/>
      <c r="S171" s="1378"/>
      <c r="T171" s="1378"/>
      <c r="U171" s="1378"/>
      <c r="V171" s="1378"/>
      <c r="W171" s="1378"/>
      <c r="X171" s="1378"/>
      <c r="Y171" s="1378"/>
      <c r="Z171" s="1378"/>
      <c r="AA171" s="1378"/>
      <c r="AB171" s="1378"/>
      <c r="AC171" s="1378"/>
      <c r="AD171" s="1378"/>
      <c r="AE171" s="1378"/>
      <c r="AF171" s="1378"/>
      <c r="AG171" s="1378"/>
      <c r="AH171" s="1378"/>
      <c r="AI171" s="1378"/>
      <c r="AJ171" s="1378"/>
      <c r="AK171" s="1378">
        <f>IF(INDEX(Tab_actions,219,1)=1,INDEX(Tab_actions,219,7),0)</f>
        <v>0</v>
      </c>
      <c r="AL171" s="1378">
        <f>IF(INDEX(Tab_actions,228,1)=1,INDEX(Tab_actions,228,7),0)</f>
        <v>0</v>
      </c>
      <c r="AM171" s="1378"/>
      <c r="AN171" s="1378">
        <f>IF(INDEX(Tab_actions,244,1)=1,INDEX(Tab_actions,244,7),0)</f>
        <v>0</v>
      </c>
      <c r="AO171" s="1378">
        <f>IF(INDEX(Tab_actions,253,1)=1,INDEX(Tab_actions,253,7),0)</f>
        <v>0</v>
      </c>
      <c r="AP171" s="1378"/>
      <c r="AQ171" s="1378"/>
      <c r="AR171" s="1378"/>
      <c r="AS171" s="1378">
        <f>IF(INDEX(Tab_actions,274,1)=1,INDEX(Tab_actions,274,4),0)</f>
        <v>0</v>
      </c>
      <c r="AT171" s="1378"/>
      <c r="AU171" s="1378"/>
      <c r="AV171" s="1378">
        <f>IF(INDEX(Tab_actions,291,1)=1,INDEX(Tab_actions,291,4),0)</f>
        <v>0</v>
      </c>
      <c r="AW171" s="1378"/>
      <c r="AX171" s="1378"/>
      <c r="AY171" s="1378"/>
      <c r="AZ171" s="1378"/>
      <c r="BA171" s="1378"/>
      <c r="BB171" s="1378"/>
      <c r="BC171" s="1378"/>
      <c r="BD171"/>
      <c r="BE171" s="198"/>
      <c r="BF171" s="198"/>
      <c r="BG171" s="198"/>
      <c r="BH171" s="198"/>
      <c r="BI171" s="198"/>
      <c r="BJ171" s="198"/>
      <c r="BK171" s="198"/>
      <c r="BL171" s="198"/>
      <c r="BM171" s="198"/>
      <c r="BN171" s="198"/>
      <c r="BO171" s="198"/>
      <c r="BP171" s="198"/>
      <c r="BQ171" s="198"/>
      <c r="BR171" s="198"/>
      <c r="BS171" s="198"/>
      <c r="BT171" s="198"/>
      <c r="BU171" s="198"/>
      <c r="BV171" s="198"/>
      <c r="BW171" s="198"/>
      <c r="BX171" s="198"/>
      <c r="BY171" s="198"/>
      <c r="BZ171" s="198"/>
      <c r="CA171" s="198"/>
      <c r="CB171" s="198"/>
      <c r="CC171" s="198"/>
      <c r="CD171" s="198"/>
      <c r="CE171" s="198"/>
      <c r="CF171" s="198"/>
      <c r="CG171" s="198"/>
      <c r="CH171" s="198"/>
      <c r="CI171" s="198"/>
      <c r="CJ171" s="198"/>
      <c r="CK171" s="198"/>
      <c r="CL171" s="198"/>
      <c r="CM171" s="198"/>
      <c r="CN171" s="198"/>
      <c r="CO171" s="198"/>
      <c r="CP171" s="198"/>
      <c r="CQ171" s="198"/>
      <c r="CR171" s="198"/>
      <c r="CS171" s="198"/>
      <c r="CT171" s="198"/>
      <c r="CU171" s="198"/>
      <c r="CV171" s="198"/>
      <c r="CW171" s="198"/>
      <c r="CX171" s="198"/>
      <c r="CY171" s="198"/>
      <c r="CZ171" s="198"/>
      <c r="DA171" s="198"/>
      <c r="DB171" s="198"/>
      <c r="DC171" s="198"/>
      <c r="DD171" s="198"/>
      <c r="DE171" s="198"/>
      <c r="DF171" s="198"/>
      <c r="DG171" s="198"/>
      <c r="DH171" s="198"/>
      <c r="DI171" s="198"/>
      <c r="DJ171" s="198"/>
      <c r="DK171" s="198"/>
      <c r="DL171" s="198"/>
      <c r="DM171" s="198"/>
      <c r="DN171" s="198"/>
      <c r="DO171" s="198"/>
      <c r="DP171" s="198"/>
      <c r="DQ171" s="198"/>
      <c r="DR171" s="198"/>
      <c r="DS171" s="198"/>
      <c r="DT171" s="198"/>
    </row>
    <row r="172" spans="1:124" s="172" customFormat="1" ht="15" outlineLevel="1" x14ac:dyDescent="0.25">
      <c r="A172" s="212"/>
      <c r="B172" s="218" t="str">
        <f>Services!B172</f>
        <v>08A04</v>
      </c>
      <c r="C172" s="216" t="str">
        <f>Services!C172</f>
        <v xml:space="preserve">Contrôle des opérations de maintenance </v>
      </c>
      <c r="D172" s="210" t="str">
        <f t="shared" si="2"/>
        <v/>
      </c>
      <c r="E172" s="1378"/>
      <c r="F172" s="1378"/>
      <c r="G172" s="1378"/>
      <c r="H172" s="1378"/>
      <c r="I172" s="1378"/>
      <c r="J172" s="1378"/>
      <c r="K172" s="1378"/>
      <c r="L172" s="1378"/>
      <c r="M172" s="1378"/>
      <c r="N172" s="1378"/>
      <c r="O172" s="1378"/>
      <c r="P172" s="1378"/>
      <c r="Q172" s="1378"/>
      <c r="R172" s="1378"/>
      <c r="S172" s="1378"/>
      <c r="T172" s="1378"/>
      <c r="U172" s="1378"/>
      <c r="V172" s="1378"/>
      <c r="W172" s="1378"/>
      <c r="X172" s="1378"/>
      <c r="Y172" s="1378"/>
      <c r="Z172" s="1378"/>
      <c r="AA172" s="1378"/>
      <c r="AB172" s="1378"/>
      <c r="AC172" s="1378"/>
      <c r="AD172" s="1378"/>
      <c r="AE172" s="1378"/>
      <c r="AF172" s="1378"/>
      <c r="AG172" s="1378"/>
      <c r="AH172" s="1378"/>
      <c r="AI172" s="1378"/>
      <c r="AJ172" s="1378"/>
      <c r="AK172" s="1378"/>
      <c r="AL172" s="1378"/>
      <c r="AM172" s="1378"/>
      <c r="AN172" s="1378"/>
      <c r="AO172" s="1378"/>
      <c r="AP172" s="1378"/>
      <c r="AQ172" s="1378"/>
      <c r="AR172" s="1378"/>
      <c r="AS172" s="1378">
        <f>IF(INDEX(Tab_actions,274,1)=1,INDEX(Tab_actions,274,7),0)</f>
        <v>0</v>
      </c>
      <c r="AT172" s="1378">
        <f>IF(INDEX(Tab_actions,279,1)=1,INDEX(Tab_actions,279,7),0)</f>
        <v>0</v>
      </c>
      <c r="AU172" s="1378">
        <f>IF(INDEX(Tab_actions,285,1)=1,INDEX(Tab_actions,285,7),0)</f>
        <v>0</v>
      </c>
      <c r="AV172" s="1378">
        <f>IF(INDEX(Tab_actions,291,1)=1,INDEX(Tab_actions,291,7),0)</f>
        <v>0</v>
      </c>
      <c r="AW172" s="1378"/>
      <c r="AX172" s="1378"/>
      <c r="AY172" s="1378"/>
      <c r="AZ172" s="1378"/>
      <c r="BA172" s="1378"/>
      <c r="BB172" s="1378"/>
      <c r="BC172" s="1378"/>
      <c r="BD172"/>
      <c r="BE172" s="198"/>
      <c r="BF172" s="198"/>
      <c r="BG172" s="198"/>
      <c r="BH172" s="198"/>
      <c r="BI172" s="198"/>
      <c r="BJ172" s="198"/>
      <c r="BK172" s="198"/>
      <c r="BL172" s="198"/>
      <c r="BM172" s="198"/>
      <c r="BN172" s="198"/>
      <c r="BO172" s="198"/>
      <c r="BP172" s="198"/>
      <c r="BQ172" s="198"/>
      <c r="BR172" s="198"/>
      <c r="BS172" s="198"/>
      <c r="BT172" s="198"/>
      <c r="BU172" s="198"/>
      <c r="BV172" s="198"/>
      <c r="BW172" s="198"/>
      <c r="BX172" s="198"/>
      <c r="BY172" s="198"/>
      <c r="BZ172" s="198"/>
      <c r="CA172" s="198"/>
      <c r="CB172" s="198"/>
      <c r="CC172" s="198"/>
      <c r="CD172" s="198"/>
      <c r="CE172" s="198"/>
      <c r="CF172" s="198"/>
      <c r="CG172" s="198"/>
      <c r="CH172" s="198"/>
      <c r="CI172" s="198"/>
      <c r="CJ172" s="198"/>
      <c r="CK172" s="198"/>
      <c r="CL172" s="198"/>
      <c r="CM172" s="198"/>
      <c r="CN172" s="198"/>
      <c r="CO172" s="198"/>
      <c r="CP172" s="198"/>
      <c r="CQ172" s="198"/>
      <c r="CR172" s="198"/>
      <c r="CS172" s="198"/>
      <c r="CT172" s="198"/>
      <c r="CU172" s="198"/>
      <c r="CV172" s="198"/>
      <c r="CW172" s="198"/>
      <c r="CX172" s="198"/>
      <c r="CY172" s="198"/>
      <c r="CZ172" s="198"/>
      <c r="DA172" s="198"/>
      <c r="DB172" s="198"/>
      <c r="DC172" s="198"/>
      <c r="DD172" s="198"/>
      <c r="DE172" s="198"/>
      <c r="DF172" s="198"/>
      <c r="DG172" s="198"/>
      <c r="DH172" s="198"/>
      <c r="DI172" s="198"/>
      <c r="DJ172" s="198"/>
      <c r="DK172" s="198"/>
      <c r="DL172" s="198"/>
      <c r="DM172" s="198"/>
      <c r="DN172" s="198"/>
      <c r="DO172" s="198"/>
      <c r="DP172" s="198"/>
      <c r="DQ172" s="198"/>
      <c r="DR172" s="198"/>
      <c r="DS172" s="198"/>
      <c r="DT172" s="198"/>
    </row>
    <row r="173" spans="1:124" s="172" customFormat="1" ht="25.5" outlineLevel="1" x14ac:dyDescent="0.25">
      <c r="A173" s="212"/>
      <c r="B173" s="218" t="str">
        <f>Services!B173</f>
        <v>08A05</v>
      </c>
      <c r="C173" s="216" t="str">
        <f>Services!C173</f>
        <v>Prise en compte de la confidentialité lors des opérations de maintenance sur les systèmes en production</v>
      </c>
      <c r="D173" s="210" t="str">
        <f t="shared" si="2"/>
        <v/>
      </c>
      <c r="E173" s="1378"/>
      <c r="F173" s="1378"/>
      <c r="G173" s="1378"/>
      <c r="H173" s="1378"/>
      <c r="I173" s="1378"/>
      <c r="J173" s="1378"/>
      <c r="K173" s="1378"/>
      <c r="L173" s="1378"/>
      <c r="M173" s="1378"/>
      <c r="N173" s="1378"/>
      <c r="O173" s="1378"/>
      <c r="P173" s="1378"/>
      <c r="Q173" s="1378"/>
      <c r="R173" s="1378"/>
      <c r="S173" s="1378"/>
      <c r="T173" s="1378"/>
      <c r="U173" s="1378"/>
      <c r="V173" s="1378"/>
      <c r="W173" s="1378">
        <f>IF(INDEX(Tab_actions,125,1)=1,INDEX(Tab_actions,125,7),0)</f>
        <v>0</v>
      </c>
      <c r="X173" s="1378"/>
      <c r="Y173" s="1378"/>
      <c r="Z173" s="1378"/>
      <c r="AA173" s="1378"/>
      <c r="AB173" s="1378"/>
      <c r="AC173" s="1378"/>
      <c r="AD173" s="1378"/>
      <c r="AE173" s="1378"/>
      <c r="AF173" s="1378"/>
      <c r="AG173" s="1378"/>
      <c r="AH173" s="1378"/>
      <c r="AI173" s="1378"/>
      <c r="AJ173" s="1378"/>
      <c r="AK173" s="1378"/>
      <c r="AL173" s="1378"/>
      <c r="AM173" s="1378"/>
      <c r="AN173" s="1378"/>
      <c r="AO173" s="1378"/>
      <c r="AP173" s="1378"/>
      <c r="AQ173" s="1378"/>
      <c r="AR173" s="1378"/>
      <c r="AS173" s="1378"/>
      <c r="AT173" s="1378"/>
      <c r="AU173" s="1378"/>
      <c r="AV173" s="1378"/>
      <c r="AW173" s="1378"/>
      <c r="AX173" s="1378"/>
      <c r="AY173" s="1378"/>
      <c r="AZ173" s="1378"/>
      <c r="BA173" s="1378"/>
      <c r="BB173" s="1378"/>
      <c r="BC173" s="1378"/>
      <c r="BD173"/>
      <c r="BE173" s="198"/>
      <c r="BF173" s="198"/>
      <c r="BG173" s="198"/>
      <c r="BH173" s="198"/>
      <c r="BI173" s="198"/>
      <c r="BJ173" s="198"/>
      <c r="BK173" s="198"/>
      <c r="BL173" s="198"/>
      <c r="BM173" s="198"/>
      <c r="BN173" s="198"/>
      <c r="BO173" s="198"/>
      <c r="BP173" s="198"/>
      <c r="BQ173" s="198"/>
      <c r="BR173" s="198"/>
      <c r="BS173" s="198"/>
      <c r="BT173" s="198"/>
      <c r="BU173" s="198"/>
      <c r="BV173" s="198"/>
      <c r="BW173" s="198"/>
      <c r="BX173" s="198"/>
      <c r="BY173" s="198"/>
      <c r="BZ173" s="198"/>
      <c r="CA173" s="198"/>
      <c r="CB173" s="198"/>
      <c r="CC173" s="198"/>
      <c r="CD173" s="198"/>
      <c r="CE173" s="198"/>
      <c r="CF173" s="198"/>
      <c r="CG173" s="198"/>
      <c r="CH173" s="198"/>
      <c r="CI173" s="198"/>
      <c r="CJ173" s="198"/>
      <c r="CK173" s="198"/>
      <c r="CL173" s="198"/>
      <c r="CM173" s="198"/>
      <c r="CN173" s="198"/>
      <c r="CO173" s="198"/>
      <c r="CP173" s="198"/>
      <c r="CQ173" s="198"/>
      <c r="CR173" s="198"/>
      <c r="CS173" s="198"/>
      <c r="CT173" s="198"/>
      <c r="CU173" s="198"/>
      <c r="CV173" s="198"/>
      <c r="CW173" s="198"/>
      <c r="CX173" s="198"/>
      <c r="CY173" s="198"/>
      <c r="CZ173" s="198"/>
      <c r="DA173" s="198"/>
      <c r="DB173" s="198"/>
      <c r="DC173" s="198"/>
      <c r="DD173" s="198"/>
      <c r="DE173" s="198"/>
      <c r="DF173" s="198"/>
      <c r="DG173" s="198"/>
      <c r="DH173" s="198"/>
      <c r="DI173" s="198"/>
      <c r="DJ173" s="198"/>
      <c r="DK173" s="198"/>
      <c r="DL173" s="198"/>
      <c r="DM173" s="198"/>
      <c r="DN173" s="198"/>
      <c r="DO173" s="198"/>
      <c r="DP173" s="198"/>
      <c r="DQ173" s="198"/>
      <c r="DR173" s="198"/>
      <c r="DS173" s="198"/>
      <c r="DT173" s="198"/>
    </row>
    <row r="174" spans="1:124" s="172" customFormat="1" ht="15" outlineLevel="1" x14ac:dyDescent="0.25">
      <c r="A174" s="212"/>
      <c r="B174" s="218" t="str">
        <f>Services!B174</f>
        <v>08A06</v>
      </c>
      <c r="C174" s="216" t="str">
        <f>Services!C174</f>
        <v xml:space="preserve">Contrôle de la télémaintenance </v>
      </c>
      <c r="D174" s="210" t="str">
        <f t="shared" si="2"/>
        <v/>
      </c>
      <c r="E174" s="1378">
        <f>IF(INDEX(Tab_actions,8,1)=1,INDEX(Tab_actions,8,7),0)</f>
        <v>0</v>
      </c>
      <c r="F174" s="1378"/>
      <c r="G174" s="1378"/>
      <c r="H174" s="1378"/>
      <c r="I174" s="1378"/>
      <c r="J174" s="1378"/>
      <c r="K174" s="1378"/>
      <c r="L174" s="1378"/>
      <c r="M174" s="1378"/>
      <c r="N174" s="1378"/>
      <c r="O174" s="1378">
        <f>IF(INDEX(Tab_actions,65,1)=1,INDEX(Tab_actions,65,16),0)</f>
        <v>0</v>
      </c>
      <c r="P174" s="1378"/>
      <c r="Q174" s="1378"/>
      <c r="R174" s="1378"/>
      <c r="S174" s="1378"/>
      <c r="T174" s="1378"/>
      <c r="U174" s="1378"/>
      <c r="V174" s="1378"/>
      <c r="W174" s="1378">
        <f>IF(INDEX(Tab_actions,125,1)=1,INDEX(Tab_actions,125,10),0)</f>
        <v>0</v>
      </c>
      <c r="X174" s="1378"/>
      <c r="Y174" s="1378"/>
      <c r="Z174" s="1378"/>
      <c r="AA174" s="1378"/>
      <c r="AB174" s="1378"/>
      <c r="AC174" s="1378"/>
      <c r="AD174" s="1378"/>
      <c r="AE174" s="1378"/>
      <c r="AF174" s="1378"/>
      <c r="AG174" s="1378"/>
      <c r="AH174" s="1378"/>
      <c r="AI174" s="1378"/>
      <c r="AJ174" s="1378"/>
      <c r="AK174" s="1378"/>
      <c r="AL174" s="1378"/>
      <c r="AM174" s="1378"/>
      <c r="AN174" s="1378"/>
      <c r="AO174" s="1378"/>
      <c r="AP174" s="1378"/>
      <c r="AQ174" s="1378"/>
      <c r="AR174" s="1378"/>
      <c r="AS174" s="1378"/>
      <c r="AT174" s="1378"/>
      <c r="AU174" s="1378"/>
      <c r="AV174" s="1378"/>
      <c r="AW174" s="1378"/>
      <c r="AX174" s="1378"/>
      <c r="AY174" s="1378"/>
      <c r="AZ174" s="1378"/>
      <c r="BA174" s="1378"/>
      <c r="BB174" s="1378"/>
      <c r="BC174" s="1378"/>
      <c r="BD174"/>
      <c r="BE174" s="198"/>
      <c r="BF174" s="198"/>
      <c r="BG174" s="198"/>
      <c r="BH174" s="198"/>
      <c r="BI174" s="198"/>
      <c r="BJ174" s="198"/>
      <c r="BK174" s="198"/>
      <c r="BL174" s="198"/>
      <c r="BM174" s="198"/>
      <c r="BN174" s="198"/>
      <c r="BO174" s="198"/>
      <c r="BP174" s="198"/>
      <c r="BQ174" s="198"/>
      <c r="BR174" s="198"/>
      <c r="BS174" s="198"/>
      <c r="BT174" s="198"/>
      <c r="BU174" s="198"/>
      <c r="BV174" s="198"/>
      <c r="BW174" s="198"/>
      <c r="BX174" s="198"/>
      <c r="BY174" s="198"/>
      <c r="BZ174" s="198"/>
      <c r="CA174" s="198"/>
      <c r="CB174" s="198"/>
      <c r="CC174" s="198"/>
      <c r="CD174" s="198"/>
      <c r="CE174" s="198"/>
      <c r="CF174" s="198"/>
      <c r="CG174" s="198"/>
      <c r="CH174" s="198"/>
      <c r="CI174" s="198"/>
      <c r="CJ174" s="198"/>
      <c r="CK174" s="198"/>
      <c r="CL174" s="198"/>
      <c r="CM174" s="198"/>
      <c r="CN174" s="198"/>
      <c r="CO174" s="198"/>
      <c r="CP174" s="198"/>
      <c r="CQ174" s="198"/>
      <c r="CR174" s="198"/>
      <c r="CS174" s="198"/>
      <c r="CT174" s="198"/>
      <c r="CU174" s="198"/>
      <c r="CV174" s="198"/>
      <c r="CW174" s="198"/>
      <c r="CX174" s="198"/>
      <c r="CY174" s="198"/>
      <c r="CZ174" s="198"/>
      <c r="DA174" s="198"/>
      <c r="DB174" s="198"/>
      <c r="DC174" s="198"/>
      <c r="DD174" s="198"/>
      <c r="DE174" s="198"/>
      <c r="DF174" s="198"/>
      <c r="DG174" s="198"/>
      <c r="DH174" s="198"/>
      <c r="DI174" s="198"/>
      <c r="DJ174" s="198"/>
      <c r="DK174" s="198"/>
      <c r="DL174" s="198"/>
      <c r="DM174" s="198"/>
      <c r="DN174" s="198"/>
      <c r="DO174" s="198"/>
      <c r="DP174" s="198"/>
      <c r="DQ174" s="198"/>
      <c r="DR174" s="198"/>
      <c r="DS174" s="198"/>
      <c r="DT174" s="198"/>
    </row>
    <row r="175" spans="1:124" s="172" customFormat="1" ht="15" outlineLevel="1" x14ac:dyDescent="0.25">
      <c r="A175" s="212"/>
      <c r="B175" s="218" t="str">
        <f>Services!B175</f>
        <v>08A07</v>
      </c>
      <c r="C175" s="216" t="str">
        <f>Services!C175</f>
        <v>Protection des états et rapports imprimés sensibles</v>
      </c>
      <c r="D175" s="210" t="str">
        <f t="shared" si="2"/>
        <v/>
      </c>
      <c r="E175" s="1378"/>
      <c r="F175" s="1378"/>
      <c r="G175" s="1378"/>
      <c r="H175" s="1378"/>
      <c r="I175" s="1378"/>
      <c r="J175" s="1378"/>
      <c r="K175" s="1378"/>
      <c r="L175" s="1378"/>
      <c r="M175" s="1378"/>
      <c r="N175" s="1378"/>
      <c r="O175" s="1378"/>
      <c r="P175" s="1378"/>
      <c r="Q175" s="1378"/>
      <c r="R175" s="1378"/>
      <c r="S175" s="1378"/>
      <c r="T175" s="1378"/>
      <c r="U175" s="1378"/>
      <c r="V175" s="1378"/>
      <c r="W175" s="1378"/>
      <c r="X175" s="1378"/>
      <c r="Y175" s="1378"/>
      <c r="Z175" s="1378"/>
      <c r="AA175" s="1378">
        <f>IF(INDEX(Tab_actions,154,1)=1,INDEX(Tab_actions,154,4),0)</f>
        <v>0</v>
      </c>
      <c r="AB175" s="1378"/>
      <c r="AC175" s="1378"/>
      <c r="AD175" s="1378"/>
      <c r="AE175" s="1378"/>
      <c r="AF175" s="1378"/>
      <c r="AG175" s="1378"/>
      <c r="AH175" s="1378"/>
      <c r="AI175" s="1378"/>
      <c r="AJ175" s="1378"/>
      <c r="AK175" s="1378"/>
      <c r="AL175" s="1378"/>
      <c r="AM175" s="1378"/>
      <c r="AN175" s="1378"/>
      <c r="AO175" s="1378"/>
      <c r="AP175" s="1378"/>
      <c r="AQ175" s="1378"/>
      <c r="AR175" s="1378"/>
      <c r="AS175" s="1378"/>
      <c r="AT175" s="1378"/>
      <c r="AU175" s="1378"/>
      <c r="AV175" s="1378"/>
      <c r="AW175" s="1378"/>
      <c r="AX175" s="1378"/>
      <c r="AY175" s="1378"/>
      <c r="AZ175" s="1378"/>
      <c r="BA175" s="1378"/>
      <c r="BB175" s="1378"/>
      <c r="BC175" s="1378"/>
      <c r="BD175"/>
      <c r="BE175" s="198"/>
      <c r="BF175" s="198"/>
      <c r="BG175" s="198"/>
      <c r="BH175" s="198"/>
      <c r="BI175" s="198"/>
      <c r="BJ175" s="198"/>
      <c r="BK175" s="198"/>
      <c r="BL175" s="198"/>
      <c r="BM175" s="198"/>
      <c r="BN175" s="198"/>
      <c r="BO175" s="198"/>
      <c r="BP175" s="198"/>
      <c r="BQ175" s="198"/>
      <c r="BR175" s="198"/>
      <c r="BS175" s="198"/>
      <c r="BT175" s="198"/>
      <c r="BU175" s="198"/>
      <c r="BV175" s="198"/>
      <c r="BW175" s="198"/>
      <c r="BX175" s="198"/>
      <c r="BY175" s="198"/>
      <c r="BZ175" s="198"/>
      <c r="CA175" s="198"/>
      <c r="CB175" s="198"/>
      <c r="CC175" s="198"/>
      <c r="CD175" s="198"/>
      <c r="CE175" s="198"/>
      <c r="CF175" s="198"/>
      <c r="CG175" s="198"/>
      <c r="CH175" s="198"/>
      <c r="CI175" s="198"/>
      <c r="CJ175" s="198"/>
      <c r="CK175" s="198"/>
      <c r="CL175" s="198"/>
      <c r="CM175" s="198"/>
      <c r="CN175" s="198"/>
      <c r="CO175" s="198"/>
      <c r="CP175" s="198"/>
      <c r="CQ175" s="198"/>
      <c r="CR175" s="198"/>
      <c r="CS175" s="198"/>
      <c r="CT175" s="198"/>
      <c r="CU175" s="198"/>
      <c r="CV175" s="198"/>
      <c r="CW175" s="198"/>
      <c r="CX175" s="198"/>
      <c r="CY175" s="198"/>
      <c r="CZ175" s="198"/>
      <c r="DA175" s="198"/>
      <c r="DB175" s="198"/>
      <c r="DC175" s="198"/>
      <c r="DD175" s="198"/>
      <c r="DE175" s="198"/>
      <c r="DF175" s="198"/>
      <c r="DG175" s="198"/>
      <c r="DH175" s="198"/>
      <c r="DI175" s="198"/>
      <c r="DJ175" s="198"/>
      <c r="DK175" s="198"/>
      <c r="DL175" s="198"/>
      <c r="DM175" s="198"/>
      <c r="DN175" s="198"/>
      <c r="DO175" s="198"/>
      <c r="DP175" s="198"/>
      <c r="DQ175" s="198"/>
      <c r="DR175" s="198"/>
      <c r="DS175" s="198"/>
      <c r="DT175" s="198"/>
    </row>
    <row r="176" spans="1:124" s="172" customFormat="1" ht="15" outlineLevel="1" x14ac:dyDescent="0.25">
      <c r="A176" s="212"/>
      <c r="B176" s="218" t="str">
        <f>Services!B176</f>
        <v>08A08</v>
      </c>
      <c r="C176" s="216" t="str">
        <f>Services!C176</f>
        <v>Gestion des procédures opérationnelles d'exploitation informatique</v>
      </c>
      <c r="D176" s="210" t="str">
        <f t="shared" si="2"/>
        <v/>
      </c>
      <c r="E176" s="1378"/>
      <c r="F176" s="1378"/>
      <c r="G176" s="1378"/>
      <c r="H176" s="1378"/>
      <c r="I176" s="1378"/>
      <c r="J176" s="1378"/>
      <c r="K176" s="1378"/>
      <c r="L176" s="1378"/>
      <c r="M176" s="1378"/>
      <c r="N176" s="1378"/>
      <c r="O176" s="1378"/>
      <c r="P176" s="1378"/>
      <c r="Q176" s="1378"/>
      <c r="R176" s="1378"/>
      <c r="S176" s="1378"/>
      <c r="T176" s="1378"/>
      <c r="U176" s="1378"/>
      <c r="V176" s="1378"/>
      <c r="W176" s="1378"/>
      <c r="X176" s="1378"/>
      <c r="Y176" s="1378"/>
      <c r="Z176" s="1378"/>
      <c r="AA176" s="1378"/>
      <c r="AB176" s="1378"/>
      <c r="AC176" s="1378"/>
      <c r="AD176" s="1378"/>
      <c r="AE176" s="1378"/>
      <c r="AF176" s="1378"/>
      <c r="AG176" s="1378"/>
      <c r="AH176" s="1378"/>
      <c r="AI176" s="1378"/>
      <c r="AJ176" s="1378"/>
      <c r="AK176" s="1378"/>
      <c r="AL176" s="1378"/>
      <c r="AM176" s="1378"/>
      <c r="AN176" s="1378"/>
      <c r="AO176" s="1378"/>
      <c r="AP176" s="1378"/>
      <c r="AQ176" s="1378"/>
      <c r="AR176" s="1378"/>
      <c r="AS176" s="1378"/>
      <c r="AT176" s="1378"/>
      <c r="AU176" s="1378"/>
      <c r="AV176" s="1378"/>
      <c r="AW176" s="1378"/>
      <c r="AX176" s="1378"/>
      <c r="AY176" s="1378"/>
      <c r="AZ176" s="1378"/>
      <c r="BA176" s="1378"/>
      <c r="BB176" s="1378"/>
      <c r="BC176" s="1378"/>
      <c r="BD176"/>
      <c r="BE176" s="198"/>
      <c r="BF176" s="198"/>
      <c r="BG176" s="198"/>
      <c r="BH176" s="198"/>
      <c r="BI176" s="198"/>
      <c r="BJ176" s="198"/>
      <c r="BK176" s="198"/>
      <c r="BL176" s="198"/>
      <c r="BM176" s="198"/>
      <c r="BN176" s="198"/>
      <c r="BO176" s="198"/>
      <c r="BP176" s="198"/>
      <c r="BQ176" s="198"/>
      <c r="BR176" s="198"/>
      <c r="BS176" s="198"/>
      <c r="BT176" s="198"/>
      <c r="BU176" s="198"/>
      <c r="BV176" s="198"/>
      <c r="BW176" s="198"/>
      <c r="BX176" s="198"/>
      <c r="BY176" s="198"/>
      <c r="BZ176" s="198"/>
      <c r="CA176" s="198"/>
      <c r="CB176" s="198"/>
      <c r="CC176" s="198"/>
      <c r="CD176" s="198"/>
      <c r="CE176" s="198"/>
      <c r="CF176" s="198"/>
      <c r="CG176" s="198"/>
      <c r="CH176" s="198"/>
      <c r="CI176" s="198"/>
      <c r="CJ176" s="198"/>
      <c r="CK176" s="198"/>
      <c r="CL176" s="198"/>
      <c r="CM176" s="198"/>
      <c r="CN176" s="198"/>
      <c r="CO176" s="198"/>
      <c r="CP176" s="198"/>
      <c r="CQ176" s="198"/>
      <c r="CR176" s="198"/>
      <c r="CS176" s="198"/>
      <c r="CT176" s="198"/>
      <c r="CU176" s="198"/>
      <c r="CV176" s="198"/>
      <c r="CW176" s="198"/>
      <c r="CX176" s="198"/>
      <c r="CY176" s="198"/>
      <c r="CZ176" s="198"/>
      <c r="DA176" s="198"/>
      <c r="DB176" s="198"/>
      <c r="DC176" s="198"/>
      <c r="DD176" s="198"/>
      <c r="DE176" s="198"/>
      <c r="DF176" s="198"/>
      <c r="DG176" s="198"/>
      <c r="DH176" s="198"/>
      <c r="DI176" s="198"/>
      <c r="DJ176" s="198"/>
      <c r="DK176" s="198"/>
      <c r="DL176" s="198"/>
      <c r="DM176" s="198"/>
      <c r="DN176" s="198"/>
      <c r="DO176" s="198"/>
      <c r="DP176" s="198"/>
      <c r="DQ176" s="198"/>
      <c r="DR176" s="198"/>
      <c r="DS176" s="198"/>
      <c r="DT176" s="198"/>
    </row>
    <row r="177" spans="1:124" s="172" customFormat="1" ht="25.5" outlineLevel="1" x14ac:dyDescent="0.25">
      <c r="A177" s="212"/>
      <c r="B177" s="218" t="str">
        <f>Services!B177</f>
        <v>08A09</v>
      </c>
      <c r="C177" s="216" t="str">
        <f>Services!C177</f>
        <v>Gestion des prestataires ou fournisseurs de services liés à la production informatique</v>
      </c>
      <c r="D177" s="210" t="str">
        <f t="shared" si="2"/>
        <v/>
      </c>
      <c r="E177" s="1378"/>
      <c r="F177" s="1378"/>
      <c r="G177" s="1378"/>
      <c r="H177" s="1378"/>
      <c r="I177" s="1378"/>
      <c r="J177" s="1378"/>
      <c r="K177" s="1378"/>
      <c r="L177" s="1378"/>
      <c r="M177" s="1378"/>
      <c r="N177" s="1378"/>
      <c r="O177" s="1378"/>
      <c r="P177" s="1378"/>
      <c r="Q177" s="1378"/>
      <c r="R177" s="1378"/>
      <c r="S177" s="1378"/>
      <c r="T177" s="1378"/>
      <c r="U177" s="1378"/>
      <c r="V177" s="1378"/>
      <c r="W177" s="1378"/>
      <c r="X177" s="1378"/>
      <c r="Y177" s="1378"/>
      <c r="Z177" s="1378"/>
      <c r="AA177" s="1378"/>
      <c r="AB177" s="1378"/>
      <c r="AC177" s="1378"/>
      <c r="AD177" s="1378"/>
      <c r="AE177" s="1378"/>
      <c r="AF177" s="1378"/>
      <c r="AG177" s="1378"/>
      <c r="AH177" s="1378"/>
      <c r="AI177" s="1378"/>
      <c r="AJ177" s="1378"/>
      <c r="AK177" s="1378"/>
      <c r="AL177" s="1378"/>
      <c r="AM177" s="1378"/>
      <c r="AN177" s="1378"/>
      <c r="AO177" s="1378"/>
      <c r="AP177" s="1378"/>
      <c r="AQ177" s="1378"/>
      <c r="AR177" s="1378"/>
      <c r="AS177" s="1378"/>
      <c r="AT177" s="1378"/>
      <c r="AU177" s="1378"/>
      <c r="AV177" s="1378"/>
      <c r="AW177" s="1378"/>
      <c r="AX177" s="1378"/>
      <c r="AY177" s="1378"/>
      <c r="AZ177" s="1378"/>
      <c r="BA177" s="1378"/>
      <c r="BB177" s="1378"/>
      <c r="BC177" s="1378"/>
      <c r="BD177"/>
      <c r="BE177" s="198"/>
      <c r="BF177" s="198"/>
      <c r="BG177" s="198"/>
      <c r="BH177" s="198"/>
      <c r="BI177" s="198"/>
      <c r="BJ177" s="198"/>
      <c r="BK177" s="198"/>
      <c r="BL177" s="198"/>
      <c r="BM177" s="198"/>
      <c r="BN177" s="198"/>
      <c r="BO177" s="198"/>
      <c r="BP177" s="198"/>
      <c r="BQ177" s="198"/>
      <c r="BR177" s="198"/>
      <c r="BS177" s="198"/>
      <c r="BT177" s="198"/>
      <c r="BU177" s="198"/>
      <c r="BV177" s="198"/>
      <c r="BW177" s="198"/>
      <c r="BX177" s="198"/>
      <c r="BY177" s="198"/>
      <c r="BZ177" s="198"/>
      <c r="CA177" s="198"/>
      <c r="CB177" s="198"/>
      <c r="CC177" s="198"/>
      <c r="CD177" s="198"/>
      <c r="CE177" s="198"/>
      <c r="CF177" s="198"/>
      <c r="CG177" s="198"/>
      <c r="CH177" s="198"/>
      <c r="CI177" s="198"/>
      <c r="CJ177" s="198"/>
      <c r="CK177" s="198"/>
      <c r="CL177" s="198"/>
      <c r="CM177" s="198"/>
      <c r="CN177" s="198"/>
      <c r="CO177" s="198"/>
      <c r="CP177" s="198"/>
      <c r="CQ177" s="198"/>
      <c r="CR177" s="198"/>
      <c r="CS177" s="198"/>
      <c r="CT177" s="198"/>
      <c r="CU177" s="198"/>
      <c r="CV177" s="198"/>
      <c r="CW177" s="198"/>
      <c r="CX177" s="198"/>
      <c r="CY177" s="198"/>
      <c r="CZ177" s="198"/>
      <c r="DA177" s="198"/>
      <c r="DB177" s="198"/>
      <c r="DC177" s="198"/>
      <c r="DD177" s="198"/>
      <c r="DE177" s="198"/>
      <c r="DF177" s="198"/>
      <c r="DG177" s="198"/>
      <c r="DH177" s="198"/>
      <c r="DI177" s="198"/>
      <c r="DJ177" s="198"/>
      <c r="DK177" s="198"/>
      <c r="DL177" s="198"/>
      <c r="DM177" s="198"/>
      <c r="DN177" s="198"/>
      <c r="DO177" s="198"/>
      <c r="DP177" s="198"/>
      <c r="DQ177" s="198"/>
      <c r="DR177" s="198"/>
      <c r="DS177" s="198"/>
      <c r="DT177" s="198"/>
    </row>
    <row r="178" spans="1:124" s="172" customFormat="1" ht="14.25" outlineLevel="1" x14ac:dyDescent="0.25">
      <c r="A178" s="217"/>
      <c r="B178" s="213" t="str">
        <f>Services!B178</f>
        <v>08B</v>
      </c>
      <c r="C178" s="214" t="str">
        <f>Services!C178</f>
        <v>Contrôle des configurations matérielles et logicielles</v>
      </c>
      <c r="D178" s="210" t="str">
        <f t="shared" si="2"/>
        <v/>
      </c>
      <c r="E178" s="1378"/>
      <c r="F178" s="1378"/>
      <c r="G178" s="1378"/>
      <c r="H178" s="1378"/>
      <c r="I178" s="1378"/>
      <c r="J178" s="1378"/>
      <c r="K178" s="1378"/>
      <c r="L178" s="1378"/>
      <c r="M178" s="1378"/>
      <c r="N178" s="1378"/>
      <c r="O178" s="1378"/>
      <c r="P178" s="1378"/>
      <c r="Q178" s="1378"/>
      <c r="R178" s="1378"/>
      <c r="S178" s="1378"/>
      <c r="T178" s="1378"/>
      <c r="U178" s="1378"/>
      <c r="V178" s="1378"/>
      <c r="W178" s="1378"/>
      <c r="X178" s="1378"/>
      <c r="Y178" s="1378"/>
      <c r="Z178" s="1378"/>
      <c r="AA178" s="1378"/>
      <c r="AB178" s="1378"/>
      <c r="AC178" s="1378"/>
      <c r="AD178" s="1378"/>
      <c r="AE178" s="1378"/>
      <c r="AF178" s="1378"/>
      <c r="AG178" s="1378"/>
      <c r="AH178" s="1378"/>
      <c r="AI178" s="1378"/>
      <c r="AJ178" s="1378"/>
      <c r="AK178" s="1378"/>
      <c r="AL178" s="1378"/>
      <c r="AM178" s="1378"/>
      <c r="AN178" s="1378"/>
      <c r="AO178" s="1378"/>
      <c r="AP178" s="1378"/>
      <c r="AQ178" s="1378"/>
      <c r="AR178" s="1378"/>
      <c r="AS178" s="1378"/>
      <c r="AT178" s="1378"/>
      <c r="AU178" s="1378"/>
      <c r="AV178" s="1378"/>
      <c r="AW178" s="1378"/>
      <c r="AX178" s="1378"/>
      <c r="AY178" s="1378"/>
      <c r="AZ178" s="1378"/>
      <c r="BA178" s="1378"/>
      <c r="BB178" s="1378"/>
      <c r="BC178" s="1378"/>
      <c r="BD178"/>
      <c r="BE178" s="198"/>
      <c r="BF178" s="198"/>
      <c r="BG178" s="198"/>
      <c r="BH178" s="198"/>
      <c r="BI178" s="198"/>
      <c r="BJ178" s="198"/>
      <c r="BK178" s="198"/>
      <c r="BL178" s="198"/>
      <c r="BM178" s="198"/>
      <c r="BN178" s="198"/>
      <c r="BO178" s="198"/>
      <c r="BP178" s="198"/>
      <c r="BQ178" s="198"/>
      <c r="BR178" s="198"/>
      <c r="BS178" s="198"/>
      <c r="BT178" s="198"/>
      <c r="BU178" s="198"/>
      <c r="BV178" s="198"/>
      <c r="BW178" s="198"/>
      <c r="BX178" s="198"/>
      <c r="BY178" s="198"/>
      <c r="BZ178" s="198"/>
      <c r="CA178" s="198"/>
      <c r="CB178" s="198"/>
      <c r="CC178" s="198"/>
      <c r="CD178" s="198"/>
      <c r="CE178" s="198"/>
      <c r="CF178" s="198"/>
      <c r="CG178" s="198"/>
      <c r="CH178" s="198"/>
      <c r="CI178" s="198"/>
      <c r="CJ178" s="198"/>
      <c r="CK178" s="198"/>
      <c r="CL178" s="198"/>
      <c r="CM178" s="198"/>
      <c r="CN178" s="198"/>
      <c r="CO178" s="198"/>
      <c r="CP178" s="198"/>
      <c r="CQ178" s="198"/>
      <c r="CR178" s="198"/>
      <c r="CS178" s="198"/>
      <c r="CT178" s="198"/>
      <c r="CU178" s="198"/>
      <c r="CV178" s="198"/>
      <c r="CW178" s="198"/>
      <c r="CX178" s="198"/>
      <c r="CY178" s="198"/>
      <c r="CZ178" s="198"/>
      <c r="DA178" s="198"/>
      <c r="DB178" s="198"/>
      <c r="DC178" s="198"/>
      <c r="DD178" s="198"/>
      <c r="DE178" s="198"/>
      <c r="DF178" s="198"/>
      <c r="DG178" s="198"/>
      <c r="DH178" s="198"/>
      <c r="DI178" s="198"/>
      <c r="DJ178" s="198"/>
      <c r="DK178" s="198"/>
      <c r="DL178" s="198"/>
      <c r="DM178" s="198"/>
      <c r="DN178" s="198"/>
      <c r="DO178" s="198"/>
      <c r="DP178" s="198"/>
      <c r="DQ178" s="198"/>
      <c r="DR178" s="198"/>
      <c r="DS178" s="198"/>
      <c r="DT178" s="198"/>
    </row>
    <row r="179" spans="1:124" s="172" customFormat="1" ht="25.5" outlineLevel="1" x14ac:dyDescent="0.25">
      <c r="A179" s="212"/>
      <c r="B179" s="218" t="str">
        <f>Services!B179</f>
        <v>08B01</v>
      </c>
      <c r="C179" s="216" t="str">
        <f>Services!C179</f>
        <v>Paramétrage des systèmes et contrôle de la conformité des configurations systèmes</v>
      </c>
      <c r="D179" s="210" t="str">
        <f t="shared" si="2"/>
        <v/>
      </c>
      <c r="E179" s="1378"/>
      <c r="F179" s="1378"/>
      <c r="G179" s="1378"/>
      <c r="H179" s="1378"/>
      <c r="I179" s="1378"/>
      <c r="J179" s="1378"/>
      <c r="K179" s="1378"/>
      <c r="L179" s="1378"/>
      <c r="M179" s="1378"/>
      <c r="N179" s="1378"/>
      <c r="O179" s="1378"/>
      <c r="P179" s="1378"/>
      <c r="Q179" s="1378"/>
      <c r="R179" s="1378"/>
      <c r="S179" s="1378"/>
      <c r="T179" s="1378"/>
      <c r="U179" s="1378"/>
      <c r="V179" s="1378"/>
      <c r="W179" s="1378"/>
      <c r="X179" s="1378"/>
      <c r="Y179" s="1378"/>
      <c r="Z179" s="1378"/>
      <c r="AA179" s="1378"/>
      <c r="AB179" s="1378"/>
      <c r="AC179" s="1378"/>
      <c r="AD179" s="1378"/>
      <c r="AE179" s="1378"/>
      <c r="AF179" s="1378"/>
      <c r="AG179" s="1378"/>
      <c r="AH179" s="1378"/>
      <c r="AI179" s="1378"/>
      <c r="AJ179" s="1378"/>
      <c r="AK179" s="1378"/>
      <c r="AL179" s="1378"/>
      <c r="AM179" s="1378"/>
      <c r="AN179" s="1378"/>
      <c r="AO179" s="1378"/>
      <c r="AP179" s="1378"/>
      <c r="AQ179" s="1378"/>
      <c r="AR179" s="1378"/>
      <c r="AS179" s="1378">
        <f>IF(INDEX(Tab_actions,274,1)=1,INDEX(Tab_actions,274,10),0)</f>
        <v>0</v>
      </c>
      <c r="AT179" s="1378">
        <f>IF(INDEX(Tab_actions,280,1)=1,INDEX(Tab_actions,280,16),0)</f>
        <v>0</v>
      </c>
      <c r="AU179" s="1378">
        <f>IF(INDEX(Tab_actions,286,1)=1,INDEX(Tab_actions,286,16),0)</f>
        <v>0</v>
      </c>
      <c r="AV179" s="1378">
        <f>IF(INDEX(Tab_actions,291,1)=1,INDEX(Tab_actions,291,10),0)</f>
        <v>0</v>
      </c>
      <c r="AW179" s="1378"/>
      <c r="AX179" s="1378"/>
      <c r="AY179" s="1378"/>
      <c r="AZ179" s="1378"/>
      <c r="BA179" s="1378"/>
      <c r="BB179" s="1378"/>
      <c r="BC179" s="1378"/>
      <c r="BD179"/>
      <c r="BE179" s="198"/>
      <c r="BF179" s="198"/>
      <c r="BG179" s="198"/>
      <c r="BH179" s="198"/>
      <c r="BI179" s="198"/>
      <c r="BJ179" s="198"/>
      <c r="BK179" s="198"/>
      <c r="BL179" s="198"/>
      <c r="BM179" s="198"/>
      <c r="BN179" s="198"/>
      <c r="BO179" s="198"/>
      <c r="BP179" s="198"/>
      <c r="BQ179" s="198"/>
      <c r="BR179" s="198"/>
      <c r="BS179" s="198"/>
      <c r="BT179" s="198"/>
      <c r="BU179" s="198"/>
      <c r="BV179" s="198"/>
      <c r="BW179" s="198"/>
      <c r="BX179" s="198"/>
      <c r="BY179" s="198"/>
      <c r="BZ179" s="198"/>
      <c r="CA179" s="198"/>
      <c r="CB179" s="198"/>
      <c r="CC179" s="198"/>
      <c r="CD179" s="198"/>
      <c r="CE179" s="198"/>
      <c r="CF179" s="198"/>
      <c r="CG179" s="198"/>
      <c r="CH179" s="198"/>
      <c r="CI179" s="198"/>
      <c r="CJ179" s="198"/>
      <c r="CK179" s="198"/>
      <c r="CL179" s="198"/>
      <c r="CM179" s="198"/>
      <c r="CN179" s="198"/>
      <c r="CO179" s="198"/>
      <c r="CP179" s="198"/>
      <c r="CQ179" s="198"/>
      <c r="CR179" s="198"/>
      <c r="CS179" s="198"/>
      <c r="CT179" s="198"/>
      <c r="CU179" s="198"/>
      <c r="CV179" s="198"/>
      <c r="CW179" s="198"/>
      <c r="CX179" s="198"/>
      <c r="CY179" s="198"/>
      <c r="CZ179" s="198"/>
      <c r="DA179" s="198"/>
      <c r="DB179" s="198"/>
      <c r="DC179" s="198"/>
      <c r="DD179" s="198"/>
      <c r="DE179" s="198"/>
      <c r="DF179" s="198"/>
      <c r="DG179" s="198"/>
      <c r="DH179" s="198"/>
      <c r="DI179" s="198"/>
      <c r="DJ179" s="198"/>
      <c r="DK179" s="198"/>
      <c r="DL179" s="198"/>
      <c r="DM179" s="198"/>
      <c r="DN179" s="198"/>
      <c r="DO179" s="198"/>
      <c r="DP179" s="198"/>
      <c r="DQ179" s="198"/>
      <c r="DR179" s="198"/>
      <c r="DS179" s="198"/>
      <c r="DT179" s="198"/>
    </row>
    <row r="180" spans="1:124" s="172" customFormat="1" ht="15.75" customHeight="1" outlineLevel="1" x14ac:dyDescent="0.25">
      <c r="A180" s="212"/>
      <c r="B180" s="218" t="str">
        <f>Services!B180</f>
        <v>08B02</v>
      </c>
      <c r="C180" s="216" t="str">
        <f>Services!C180</f>
        <v>Contrôle de la conformité des configurations applicatives (logiciels et progiciels)</v>
      </c>
      <c r="D180" s="210" t="str">
        <f t="shared" si="2"/>
        <v/>
      </c>
      <c r="E180" s="1378"/>
      <c r="F180" s="1378"/>
      <c r="G180" s="1378"/>
      <c r="H180" s="1378"/>
      <c r="I180" s="1378"/>
      <c r="J180" s="1378"/>
      <c r="K180" s="1378"/>
      <c r="L180" s="1378"/>
      <c r="M180" s="1378"/>
      <c r="N180" s="1378"/>
      <c r="O180" s="1378"/>
      <c r="P180" s="1378"/>
      <c r="Q180" s="1378"/>
      <c r="R180" s="1378"/>
      <c r="S180" s="1378"/>
      <c r="T180" s="1378"/>
      <c r="U180" s="1378"/>
      <c r="V180" s="1378"/>
      <c r="W180" s="1378"/>
      <c r="X180" s="1378"/>
      <c r="Y180" s="1378"/>
      <c r="Z180" s="1378"/>
      <c r="AA180" s="1378"/>
      <c r="AB180" s="1378"/>
      <c r="AC180" s="1378"/>
      <c r="AD180" s="1378"/>
      <c r="AE180" s="1378"/>
      <c r="AF180" s="1378"/>
      <c r="AG180" s="1378"/>
      <c r="AH180" s="1378"/>
      <c r="AI180" s="1378"/>
      <c r="AJ180" s="1378"/>
      <c r="AK180" s="1378"/>
      <c r="AL180" s="1378"/>
      <c r="AM180" s="1378"/>
      <c r="AN180" s="1378"/>
      <c r="AO180" s="1378"/>
      <c r="AP180" s="1378"/>
      <c r="AQ180" s="1378"/>
      <c r="AR180" s="1378"/>
      <c r="AS180" s="1378">
        <f>IF(INDEX(Tab_actions,274,1)=1,INDEX(Tab_actions,274,13),0)</f>
        <v>0</v>
      </c>
      <c r="AT180" s="1378"/>
      <c r="AU180" s="1378"/>
      <c r="AV180" s="1378">
        <f>IF(INDEX(Tab_actions,291,1)=1,INDEX(Tab_actions,291,13),0)</f>
        <v>0</v>
      </c>
      <c r="AW180" s="1378"/>
      <c r="AX180" s="1378"/>
      <c r="AY180" s="1378"/>
      <c r="AZ180" s="1378"/>
      <c r="BA180" s="1378"/>
      <c r="BB180" s="1378"/>
      <c r="BC180" s="1378"/>
      <c r="BD180"/>
      <c r="BE180" s="198"/>
      <c r="BF180" s="198"/>
      <c r="BG180" s="198"/>
      <c r="BH180" s="198"/>
      <c r="BI180" s="198"/>
      <c r="BJ180" s="198"/>
      <c r="BK180" s="198"/>
      <c r="BL180" s="198"/>
      <c r="BM180" s="198"/>
      <c r="BN180" s="198"/>
      <c r="BO180" s="198"/>
      <c r="BP180" s="198"/>
      <c r="BQ180" s="198"/>
      <c r="BR180" s="198"/>
      <c r="BS180" s="198"/>
      <c r="BT180" s="198"/>
      <c r="BU180" s="198"/>
      <c r="BV180" s="198"/>
      <c r="BW180" s="198"/>
      <c r="BX180" s="198"/>
      <c r="BY180" s="198"/>
      <c r="BZ180" s="198"/>
      <c r="CA180" s="198"/>
      <c r="CB180" s="198"/>
      <c r="CC180" s="198"/>
      <c r="CD180" s="198"/>
      <c r="CE180" s="198"/>
      <c r="CF180" s="198"/>
      <c r="CG180" s="198"/>
      <c r="CH180" s="198"/>
      <c r="CI180" s="198"/>
      <c r="CJ180" s="198"/>
      <c r="CK180" s="198"/>
      <c r="CL180" s="198"/>
      <c r="CM180" s="198"/>
      <c r="CN180" s="198"/>
      <c r="CO180" s="198"/>
      <c r="CP180" s="198"/>
      <c r="CQ180" s="198"/>
      <c r="CR180" s="198"/>
      <c r="CS180" s="198"/>
      <c r="CT180" s="198"/>
      <c r="CU180" s="198"/>
      <c r="CV180" s="198"/>
      <c r="CW180" s="198"/>
      <c r="CX180" s="198"/>
      <c r="CY180" s="198"/>
      <c r="CZ180" s="198"/>
      <c r="DA180" s="198"/>
      <c r="DB180" s="198"/>
      <c r="DC180" s="198"/>
      <c r="DD180" s="198"/>
      <c r="DE180" s="198"/>
      <c r="DF180" s="198"/>
      <c r="DG180" s="198"/>
      <c r="DH180" s="198"/>
      <c r="DI180" s="198"/>
      <c r="DJ180" s="198"/>
      <c r="DK180" s="198"/>
      <c r="DL180" s="198"/>
      <c r="DM180" s="198"/>
      <c r="DN180" s="198"/>
      <c r="DO180" s="198"/>
      <c r="DP180" s="198"/>
      <c r="DQ180" s="198"/>
      <c r="DR180" s="198"/>
      <c r="DS180" s="198"/>
      <c r="DT180" s="198"/>
    </row>
    <row r="181" spans="1:124" s="172" customFormat="1" ht="15.75" customHeight="1" outlineLevel="1" x14ac:dyDescent="0.25">
      <c r="A181" s="217"/>
      <c r="B181" s="218" t="str">
        <f>Services!B181</f>
        <v>08B03</v>
      </c>
      <c r="C181" s="216" t="str">
        <f>Services!C181</f>
        <v>Contrôle de la conformité des programmes de référence (Sources et exécutables)</v>
      </c>
      <c r="D181" s="210" t="str">
        <f t="shared" si="2"/>
        <v/>
      </c>
      <c r="E181" s="1378"/>
      <c r="F181" s="1378"/>
      <c r="G181" s="1378"/>
      <c r="H181" s="1378"/>
      <c r="I181" s="1378"/>
      <c r="J181" s="1378"/>
      <c r="K181" s="1378"/>
      <c r="L181" s="1378"/>
      <c r="M181" s="1378"/>
      <c r="N181" s="1378"/>
      <c r="O181" s="1378"/>
      <c r="P181" s="1378"/>
      <c r="Q181" s="1378"/>
      <c r="R181" s="1378"/>
      <c r="S181" s="1378"/>
      <c r="T181" s="1378"/>
      <c r="U181" s="1378"/>
      <c r="V181" s="1378"/>
      <c r="W181" s="1378"/>
      <c r="X181" s="1378"/>
      <c r="Y181" s="1378"/>
      <c r="Z181" s="1378"/>
      <c r="AA181" s="1378"/>
      <c r="AB181" s="1378"/>
      <c r="AC181" s="1378"/>
      <c r="AD181" s="1378"/>
      <c r="AE181" s="1378"/>
      <c r="AF181" s="1378"/>
      <c r="AG181" s="1378"/>
      <c r="AH181" s="1378"/>
      <c r="AI181" s="1378"/>
      <c r="AJ181" s="1378"/>
      <c r="AK181" s="1378"/>
      <c r="AL181" s="1378"/>
      <c r="AM181" s="1378"/>
      <c r="AN181" s="1378"/>
      <c r="AO181" s="1378"/>
      <c r="AP181" s="1378"/>
      <c r="AQ181" s="1378"/>
      <c r="AR181" s="1378"/>
      <c r="AS181" s="1378">
        <f>IF(INDEX(Tab_actions,274,1)=1,INDEX(Tab_actions,274,16),0)</f>
        <v>0</v>
      </c>
      <c r="AT181" s="1378"/>
      <c r="AU181" s="1378"/>
      <c r="AV181" s="1378">
        <f>IF(INDEX(Tab_actions,291,1)=1,INDEX(Tab_actions,291,16),0)</f>
        <v>0</v>
      </c>
      <c r="AW181" s="1378"/>
      <c r="AX181" s="1378"/>
      <c r="AY181" s="1378"/>
      <c r="AZ181" s="1378"/>
      <c r="BA181" s="1378"/>
      <c r="BB181" s="1378"/>
      <c r="BC181" s="1378"/>
      <c r="BD181"/>
      <c r="BE181" s="198"/>
      <c r="BF181" s="198"/>
      <c r="BG181" s="198"/>
      <c r="BH181" s="198"/>
      <c r="BI181" s="198"/>
      <c r="BJ181" s="198"/>
      <c r="BK181" s="198"/>
      <c r="BL181" s="198"/>
      <c r="BM181" s="198"/>
      <c r="BN181" s="198"/>
      <c r="BO181" s="198"/>
      <c r="BP181" s="198"/>
      <c r="BQ181" s="198"/>
      <c r="BR181" s="198"/>
      <c r="BS181" s="198"/>
      <c r="BT181" s="198"/>
      <c r="BU181" s="198"/>
      <c r="BV181" s="198"/>
      <c r="BW181" s="198"/>
      <c r="BX181" s="198"/>
      <c r="BY181" s="198"/>
      <c r="BZ181" s="198"/>
      <c r="CA181" s="198"/>
      <c r="CB181" s="198"/>
      <c r="CC181" s="198"/>
      <c r="CD181" s="198"/>
      <c r="CE181" s="198"/>
      <c r="CF181" s="198"/>
      <c r="CG181" s="198"/>
      <c r="CH181" s="198"/>
      <c r="CI181" s="198"/>
      <c r="CJ181" s="198"/>
      <c r="CK181" s="198"/>
      <c r="CL181" s="198"/>
      <c r="CM181" s="198"/>
      <c r="CN181" s="198"/>
      <c r="CO181" s="198"/>
      <c r="CP181" s="198"/>
      <c r="CQ181" s="198"/>
      <c r="CR181" s="198"/>
      <c r="CS181" s="198"/>
      <c r="CT181" s="198"/>
      <c r="CU181" s="198"/>
      <c r="CV181" s="198"/>
      <c r="CW181" s="198"/>
      <c r="CX181" s="198"/>
      <c r="CY181" s="198"/>
      <c r="CZ181" s="198"/>
      <c r="DA181" s="198"/>
      <c r="DB181" s="198"/>
      <c r="DC181" s="198"/>
      <c r="DD181" s="198"/>
      <c r="DE181" s="198"/>
      <c r="DF181" s="198"/>
      <c r="DG181" s="198"/>
      <c r="DH181" s="198"/>
      <c r="DI181" s="198"/>
      <c r="DJ181" s="198"/>
      <c r="DK181" s="198"/>
      <c r="DL181" s="198"/>
      <c r="DM181" s="198"/>
      <c r="DN181" s="198"/>
      <c r="DO181" s="198"/>
      <c r="DP181" s="198"/>
      <c r="DQ181" s="198"/>
      <c r="DR181" s="198"/>
      <c r="DS181" s="198"/>
      <c r="DT181" s="198"/>
    </row>
    <row r="182" spans="1:124" s="172" customFormat="1" ht="15" outlineLevel="1" x14ac:dyDescent="0.25">
      <c r="A182" s="212"/>
      <c r="B182" s="213" t="str">
        <f>Services!B182</f>
        <v>08C</v>
      </c>
      <c r="C182" s="214" t="str">
        <f>Services!C182</f>
        <v>Gestion des supports informatiques de données et programmes</v>
      </c>
      <c r="D182" s="210" t="str">
        <f t="shared" si="2"/>
        <v/>
      </c>
      <c r="E182" s="1378"/>
      <c r="F182" s="1378"/>
      <c r="G182" s="1378"/>
      <c r="H182" s="1378"/>
      <c r="I182" s="1378"/>
      <c r="J182" s="1378"/>
      <c r="K182" s="1378"/>
      <c r="L182" s="1378"/>
      <c r="M182" s="1378"/>
      <c r="N182" s="1378"/>
      <c r="O182" s="1378"/>
      <c r="P182" s="1378"/>
      <c r="Q182" s="1378"/>
      <c r="R182" s="1378"/>
      <c r="S182" s="1378"/>
      <c r="T182" s="1378"/>
      <c r="U182" s="1378"/>
      <c r="V182" s="1378"/>
      <c r="W182" s="1378"/>
      <c r="X182" s="1378"/>
      <c r="Y182" s="1378"/>
      <c r="Z182" s="1378"/>
      <c r="AA182" s="1378"/>
      <c r="AB182" s="1378"/>
      <c r="AC182" s="1378"/>
      <c r="AD182" s="1378"/>
      <c r="AE182" s="1378"/>
      <c r="AF182" s="1378"/>
      <c r="AG182" s="1378"/>
      <c r="AH182" s="1378"/>
      <c r="AI182" s="1378"/>
      <c r="AJ182" s="1378"/>
      <c r="AK182" s="1378"/>
      <c r="AL182" s="1378"/>
      <c r="AM182" s="1378"/>
      <c r="AN182" s="1378"/>
      <c r="AO182" s="1378"/>
      <c r="AP182" s="1378"/>
      <c r="AQ182" s="1378"/>
      <c r="AR182" s="1378"/>
      <c r="AS182" s="1378"/>
      <c r="AT182" s="1378"/>
      <c r="AU182" s="1378"/>
      <c r="AV182" s="1378"/>
      <c r="AW182" s="1378"/>
      <c r="AX182" s="1378"/>
      <c r="AY182" s="1378"/>
      <c r="AZ182" s="1378"/>
      <c r="BA182" s="1378"/>
      <c r="BB182" s="1378"/>
      <c r="BC182" s="1378"/>
      <c r="BD182"/>
      <c r="BE182" s="198"/>
      <c r="BF182" s="198"/>
      <c r="BG182" s="198"/>
      <c r="BH182" s="198"/>
      <c r="BI182" s="198"/>
      <c r="BJ182" s="198"/>
      <c r="BK182" s="198"/>
      <c r="BL182" s="198"/>
      <c r="BM182" s="198"/>
      <c r="BN182" s="198"/>
      <c r="BO182" s="198"/>
      <c r="BP182" s="198"/>
      <c r="BQ182" s="198"/>
      <c r="BR182" s="198"/>
      <c r="BS182" s="198"/>
      <c r="BT182" s="198"/>
      <c r="BU182" s="198"/>
      <c r="BV182" s="198"/>
      <c r="BW182" s="198"/>
      <c r="BX182" s="198"/>
      <c r="BY182" s="198"/>
      <c r="BZ182" s="198"/>
      <c r="CA182" s="198"/>
      <c r="CB182" s="198"/>
      <c r="CC182" s="198"/>
      <c r="CD182" s="198"/>
      <c r="CE182" s="198"/>
      <c r="CF182" s="198"/>
      <c r="CG182" s="198"/>
      <c r="CH182" s="198"/>
      <c r="CI182" s="198"/>
      <c r="CJ182" s="198"/>
      <c r="CK182" s="198"/>
      <c r="CL182" s="198"/>
      <c r="CM182" s="198"/>
      <c r="CN182" s="198"/>
      <c r="CO182" s="198"/>
      <c r="CP182" s="198"/>
      <c r="CQ182" s="198"/>
      <c r="CR182" s="198"/>
      <c r="CS182" s="198"/>
      <c r="CT182" s="198"/>
      <c r="CU182" s="198"/>
      <c r="CV182" s="198"/>
      <c r="CW182" s="198"/>
      <c r="CX182" s="198"/>
      <c r="CY182" s="198"/>
      <c r="CZ182" s="198"/>
      <c r="DA182" s="198"/>
      <c r="DB182" s="198"/>
      <c r="DC182" s="198"/>
      <c r="DD182" s="198"/>
      <c r="DE182" s="198"/>
      <c r="DF182" s="198"/>
      <c r="DG182" s="198"/>
      <c r="DH182" s="198"/>
      <c r="DI182" s="198"/>
      <c r="DJ182" s="198"/>
      <c r="DK182" s="198"/>
      <c r="DL182" s="198"/>
      <c r="DM182" s="198"/>
      <c r="DN182" s="198"/>
      <c r="DO182" s="198"/>
      <c r="DP182" s="198"/>
      <c r="DQ182" s="198"/>
      <c r="DR182" s="198"/>
      <c r="DS182" s="198"/>
      <c r="DT182" s="198"/>
    </row>
    <row r="183" spans="1:124" s="172" customFormat="1" ht="14.25" outlineLevel="1" x14ac:dyDescent="0.25">
      <c r="A183" s="217"/>
      <c r="B183" s="218" t="str">
        <f>Services!B183</f>
        <v>08C01</v>
      </c>
      <c r="C183" s="216" t="str">
        <f>Services!C183</f>
        <v>Administration des supports</v>
      </c>
      <c r="D183" s="210" t="str">
        <f t="shared" si="2"/>
        <v/>
      </c>
      <c r="E183" s="1378"/>
      <c r="F183" s="1378"/>
      <c r="G183" s="1378"/>
      <c r="H183" s="1378"/>
      <c r="I183" s="1378"/>
      <c r="J183" s="1378"/>
      <c r="K183" s="1378"/>
      <c r="L183" s="1378"/>
      <c r="M183" s="1378"/>
      <c r="N183" s="1378"/>
      <c r="O183" s="1378"/>
      <c r="P183" s="1378"/>
      <c r="Q183" s="1378"/>
      <c r="R183" s="1378"/>
      <c r="S183" s="1378"/>
      <c r="T183" s="1378"/>
      <c r="U183" s="1378"/>
      <c r="V183" s="1378"/>
      <c r="W183" s="1378"/>
      <c r="X183" s="1378"/>
      <c r="Y183" s="1378"/>
      <c r="Z183" s="1378"/>
      <c r="AA183" s="1378"/>
      <c r="AB183" s="1378"/>
      <c r="AC183" s="1378"/>
      <c r="AD183" s="1378"/>
      <c r="AE183" s="1378"/>
      <c r="AF183" s="1378"/>
      <c r="AG183" s="1378"/>
      <c r="AH183" s="1378"/>
      <c r="AI183" s="1378"/>
      <c r="AJ183" s="1378"/>
      <c r="AK183" s="1378"/>
      <c r="AL183" s="1378"/>
      <c r="AM183" s="1378"/>
      <c r="AN183" s="1378"/>
      <c r="AO183" s="1378"/>
      <c r="AP183" s="1378"/>
      <c r="AQ183" s="1378"/>
      <c r="AR183" s="1378"/>
      <c r="AS183" s="1378"/>
      <c r="AT183" s="1378"/>
      <c r="AU183" s="1378"/>
      <c r="AV183" s="1378"/>
      <c r="AW183" s="1378"/>
      <c r="AX183" s="1378"/>
      <c r="AY183" s="1378"/>
      <c r="AZ183" s="1378"/>
      <c r="BA183" s="1378"/>
      <c r="BB183" s="1378"/>
      <c r="BC183" s="1378"/>
      <c r="BD183"/>
      <c r="BE183" s="198"/>
      <c r="BF183" s="198"/>
      <c r="BG183" s="198"/>
      <c r="BH183" s="198"/>
      <c r="BI183" s="198"/>
      <c r="BJ183" s="198"/>
      <c r="BK183" s="198"/>
      <c r="BL183" s="198"/>
      <c r="BM183" s="198"/>
      <c r="BN183" s="198"/>
      <c r="BO183" s="198"/>
      <c r="BP183" s="198"/>
      <c r="BQ183" s="198"/>
      <c r="BR183" s="198"/>
      <c r="BS183" s="198"/>
      <c r="BT183" s="198"/>
      <c r="BU183" s="198"/>
      <c r="BV183" s="198"/>
      <c r="BW183" s="198"/>
      <c r="BX183" s="198"/>
      <c r="BY183" s="198"/>
      <c r="BZ183" s="198"/>
      <c r="CA183" s="198"/>
      <c r="CB183" s="198"/>
      <c r="CC183" s="198"/>
      <c r="CD183" s="198"/>
      <c r="CE183" s="198"/>
      <c r="CF183" s="198"/>
      <c r="CG183" s="198"/>
      <c r="CH183" s="198"/>
      <c r="CI183" s="198"/>
      <c r="CJ183" s="198"/>
      <c r="CK183" s="198"/>
      <c r="CL183" s="198"/>
      <c r="CM183" s="198"/>
      <c r="CN183" s="198"/>
      <c r="CO183" s="198"/>
      <c r="CP183" s="198"/>
      <c r="CQ183" s="198"/>
      <c r="CR183" s="198"/>
      <c r="CS183" s="198"/>
      <c r="CT183" s="198"/>
      <c r="CU183" s="198"/>
      <c r="CV183" s="198"/>
      <c r="CW183" s="198"/>
      <c r="CX183" s="198"/>
      <c r="CY183" s="198"/>
      <c r="CZ183" s="198"/>
      <c r="DA183" s="198"/>
      <c r="DB183" s="198"/>
      <c r="DC183" s="198"/>
      <c r="DD183" s="198"/>
      <c r="DE183" s="198"/>
      <c r="DF183" s="198"/>
      <c r="DG183" s="198"/>
      <c r="DH183" s="198"/>
      <c r="DI183" s="198"/>
      <c r="DJ183" s="198"/>
      <c r="DK183" s="198"/>
      <c r="DL183" s="198"/>
      <c r="DM183" s="198"/>
      <c r="DN183" s="198"/>
      <c r="DO183" s="198"/>
      <c r="DP183" s="198"/>
      <c r="DQ183" s="198"/>
      <c r="DR183" s="198"/>
      <c r="DS183" s="198"/>
      <c r="DT183" s="198"/>
    </row>
    <row r="184" spans="1:124" s="172" customFormat="1" ht="15" outlineLevel="1" x14ac:dyDescent="0.25">
      <c r="A184" s="212"/>
      <c r="B184" s="218" t="str">
        <f>Services!B184</f>
        <v>08C02</v>
      </c>
      <c r="C184" s="216" t="str">
        <f>Services!C184</f>
        <v>Marquage des supports de production (vivants, sauvegardes et archives)</v>
      </c>
      <c r="D184" s="210" t="str">
        <f t="shared" si="2"/>
        <v/>
      </c>
      <c r="E184" s="1378"/>
      <c r="F184" s="1378"/>
      <c r="G184" s="1378"/>
      <c r="H184" s="1378"/>
      <c r="I184" s="1378"/>
      <c r="J184" s="1378"/>
      <c r="K184" s="1378"/>
      <c r="L184" s="1378"/>
      <c r="M184" s="1378"/>
      <c r="N184" s="1378"/>
      <c r="O184" s="1378"/>
      <c r="P184" s="1378"/>
      <c r="Q184" s="1378"/>
      <c r="R184" s="1378"/>
      <c r="S184" s="1378"/>
      <c r="T184" s="1378"/>
      <c r="U184" s="1378"/>
      <c r="V184" s="1378"/>
      <c r="W184" s="1378"/>
      <c r="X184" s="1378"/>
      <c r="Y184" s="1378"/>
      <c r="Z184" s="1378"/>
      <c r="AA184" s="1378"/>
      <c r="AB184" s="1378"/>
      <c r="AC184" s="1378"/>
      <c r="AD184" s="1378"/>
      <c r="AE184" s="1378"/>
      <c r="AF184" s="1378"/>
      <c r="AG184" s="1378"/>
      <c r="AH184" s="1378"/>
      <c r="AI184" s="1378"/>
      <c r="AJ184" s="1378"/>
      <c r="AK184" s="1378"/>
      <c r="AL184" s="1378"/>
      <c r="AM184" s="1378"/>
      <c r="AN184" s="1378"/>
      <c r="AO184" s="1378"/>
      <c r="AP184" s="1378"/>
      <c r="AQ184" s="1378"/>
      <c r="AR184" s="1378"/>
      <c r="AS184" s="1378">
        <f>IF(INDEX(Tab_actions,274,1)=1,INDEX(Tab_actions,274,19),0)</f>
        <v>0</v>
      </c>
      <c r="AT184" s="1378"/>
      <c r="AU184" s="1378"/>
      <c r="AV184" s="1378">
        <f>IF(INDEX(Tab_actions,291,1)=1,INDEX(Tab_actions,291,19),0)</f>
        <v>0</v>
      </c>
      <c r="AW184" s="1378"/>
      <c r="AX184" s="1378"/>
      <c r="AY184" s="1378"/>
      <c r="AZ184" s="1378"/>
      <c r="BA184" s="1378"/>
      <c r="BB184" s="1378"/>
      <c r="BC184" s="1378"/>
      <c r="BD184"/>
      <c r="BE184" s="198"/>
      <c r="BF184" s="198"/>
      <c r="BG184" s="198"/>
      <c r="BH184" s="198"/>
      <c r="BI184" s="198"/>
      <c r="BJ184" s="198"/>
      <c r="BK184" s="198"/>
      <c r="BL184" s="198"/>
      <c r="BM184" s="198"/>
      <c r="BN184" s="198"/>
      <c r="BO184" s="198"/>
      <c r="BP184" s="198"/>
      <c r="BQ184" s="198"/>
      <c r="BR184" s="198"/>
      <c r="BS184" s="198"/>
      <c r="BT184" s="198"/>
      <c r="BU184" s="198"/>
      <c r="BV184" s="198"/>
      <c r="BW184" s="198"/>
      <c r="BX184" s="198"/>
      <c r="BY184" s="198"/>
      <c r="BZ184" s="198"/>
      <c r="CA184" s="198"/>
      <c r="CB184" s="198"/>
      <c r="CC184" s="198"/>
      <c r="CD184" s="198"/>
      <c r="CE184" s="198"/>
      <c r="CF184" s="198"/>
      <c r="CG184" s="198"/>
      <c r="CH184" s="198"/>
      <c r="CI184" s="198"/>
      <c r="CJ184" s="198"/>
      <c r="CK184" s="198"/>
      <c r="CL184" s="198"/>
      <c r="CM184" s="198"/>
      <c r="CN184" s="198"/>
      <c r="CO184" s="198"/>
      <c r="CP184" s="198"/>
      <c r="CQ184" s="198"/>
      <c r="CR184" s="198"/>
      <c r="CS184" s="198"/>
      <c r="CT184" s="198"/>
      <c r="CU184" s="198"/>
      <c r="CV184" s="198"/>
      <c r="CW184" s="198"/>
      <c r="CX184" s="198"/>
      <c r="CY184" s="198"/>
      <c r="CZ184" s="198"/>
      <c r="DA184" s="198"/>
      <c r="DB184" s="198"/>
      <c r="DC184" s="198"/>
      <c r="DD184" s="198"/>
      <c r="DE184" s="198"/>
      <c r="DF184" s="198"/>
      <c r="DG184" s="198"/>
      <c r="DH184" s="198"/>
      <c r="DI184" s="198"/>
      <c r="DJ184" s="198"/>
      <c r="DK184" s="198"/>
      <c r="DL184" s="198"/>
      <c r="DM184" s="198"/>
      <c r="DN184" s="198"/>
      <c r="DO184" s="198"/>
      <c r="DP184" s="198"/>
      <c r="DQ184" s="198"/>
      <c r="DR184" s="198"/>
      <c r="DS184" s="198"/>
      <c r="DT184" s="198"/>
    </row>
    <row r="185" spans="1:124" s="172" customFormat="1" ht="14.25" outlineLevel="1" x14ac:dyDescent="0.25">
      <c r="A185" s="217"/>
      <c r="B185" s="218" t="str">
        <f>Services!B185</f>
        <v>08C03</v>
      </c>
      <c r="C185" s="216" t="str">
        <f>Services!C185</f>
        <v xml:space="preserve">Sécurité physique des supports stockés sur site </v>
      </c>
      <c r="D185" s="210" t="str">
        <f t="shared" si="2"/>
        <v/>
      </c>
      <c r="E185" s="1378">
        <f>IF(INDEX(Tab_actions,8,1)=1,INDEX(Tab_actions,8,10),0)</f>
        <v>0</v>
      </c>
      <c r="F185" s="1378"/>
      <c r="G185" s="1378"/>
      <c r="H185" s="1378"/>
      <c r="I185" s="1378"/>
      <c r="J185" s="1378"/>
      <c r="K185" s="1378"/>
      <c r="L185" s="1378"/>
      <c r="M185" s="1378"/>
      <c r="N185" s="1378"/>
      <c r="O185" s="1378"/>
      <c r="P185" s="1378"/>
      <c r="Q185" s="1378"/>
      <c r="R185" s="1378"/>
      <c r="S185" s="1378"/>
      <c r="T185" s="1378"/>
      <c r="U185" s="1378"/>
      <c r="V185" s="1378"/>
      <c r="W185" s="1378">
        <f>IF(AND(INDEX(Tab_actions,128,1)=1,INDEX(Tab_actions,122,1)=1),MAX(INDEX(Tab_actions,128,10),INDEX(Tab_actions,122,7)),IF(INDEX(Tab_actions,128,1)=1,INDEX(Tab_actions,128,10),IF(INDEX(Tab_actions,122,1)=1,INDEX(Tab_actions,122,7),0)))</f>
        <v>0</v>
      </c>
      <c r="X185" s="1378">
        <f>IF(AND(INDEX(Tab_actions,135,1)=1,INDEX(Tab_actions,132,1)=1),MAX(INDEX(Tab_actions,135,10),INDEX(Tab_actions,132,4)),IF(INDEX(Tab_actions,135,1)=1,INDEX(Tab_actions,135,10),IF(INDEX(Tab_actions,132,1)=1,INDEX(Tab_actions,132,4),0)))</f>
        <v>0</v>
      </c>
      <c r="Y185" s="1378"/>
      <c r="Z185" s="1378"/>
      <c r="AA185" s="1378"/>
      <c r="AB185" s="1378"/>
      <c r="AC185" s="1378"/>
      <c r="AD185" s="1378"/>
      <c r="AE185" s="1378"/>
      <c r="AF185" s="1378"/>
      <c r="AG185" s="1378"/>
      <c r="AH185" s="1378"/>
      <c r="AI185" s="1378"/>
      <c r="AJ185" s="1378"/>
      <c r="AK185" s="1378">
        <f>IF(INDEX(Tab_actions,217,1)=1,INDEX(Tab_actions,217,31),0)</f>
        <v>0</v>
      </c>
      <c r="AL185" s="1378">
        <f>IF(INDEX(Tab_actions,226,1)=1,INDEX(Tab_actions,226,31),0)</f>
        <v>0</v>
      </c>
      <c r="AM185" s="1378"/>
      <c r="AN185" s="1378">
        <f>IF(INDEX(Tab_actions,242,1)=1,INDEX(Tab_actions,242,31),0)</f>
        <v>0</v>
      </c>
      <c r="AO185" s="1378">
        <f>IF(INDEX(Tab_actions,251,1)=1,INDEX(Tab_actions,251,31),0)</f>
        <v>0</v>
      </c>
      <c r="AP185" s="1378"/>
      <c r="AQ185" s="1378"/>
      <c r="AR185" s="1378"/>
      <c r="AS185" s="1378"/>
      <c r="AT185" s="1378"/>
      <c r="AU185" s="1378"/>
      <c r="AV185" s="1378"/>
      <c r="AW185" s="1378">
        <f>IF(INDEX(Tab_actions,296,1)=1,INDEX(Tab_actions,296,7),0)</f>
        <v>0</v>
      </c>
      <c r="AX185" s="1378"/>
      <c r="AY185" s="1378"/>
      <c r="AZ185" s="1378"/>
      <c r="BA185" s="1378"/>
      <c r="BB185" s="1378"/>
      <c r="BC185" s="1378"/>
      <c r="BD185"/>
      <c r="BE185" s="198"/>
      <c r="BF185" s="198"/>
      <c r="BG185" s="198"/>
      <c r="BH185" s="198"/>
      <c r="BI185" s="198"/>
      <c r="BJ185" s="198"/>
      <c r="BK185" s="198"/>
      <c r="BL185" s="198"/>
      <c r="BM185" s="198"/>
      <c r="BN185" s="198"/>
      <c r="BO185" s="198"/>
      <c r="BP185" s="198"/>
      <c r="BQ185" s="198"/>
      <c r="BR185" s="198"/>
      <c r="BS185" s="198"/>
      <c r="BT185" s="198"/>
      <c r="BU185" s="198"/>
      <c r="BV185" s="198"/>
      <c r="BW185" s="198"/>
      <c r="BX185" s="198"/>
      <c r="BY185" s="198"/>
      <c r="BZ185" s="198"/>
      <c r="CA185" s="198"/>
      <c r="CB185" s="198"/>
      <c r="CC185" s="198"/>
      <c r="CD185" s="198"/>
      <c r="CE185" s="198"/>
      <c r="CF185" s="198"/>
      <c r="CG185" s="198"/>
      <c r="CH185" s="198"/>
      <c r="CI185" s="198"/>
      <c r="CJ185" s="198"/>
      <c r="CK185" s="198"/>
      <c r="CL185" s="198"/>
      <c r="CM185" s="198"/>
      <c r="CN185" s="198"/>
      <c r="CO185" s="198"/>
      <c r="CP185" s="198"/>
      <c r="CQ185" s="198"/>
      <c r="CR185" s="198"/>
      <c r="CS185" s="198"/>
      <c r="CT185" s="198"/>
      <c r="CU185" s="198"/>
      <c r="CV185" s="198"/>
      <c r="CW185" s="198"/>
      <c r="CX185" s="198"/>
      <c r="CY185" s="198"/>
      <c r="CZ185" s="198"/>
      <c r="DA185" s="198"/>
      <c r="DB185" s="198"/>
      <c r="DC185" s="198"/>
      <c r="DD185" s="198"/>
      <c r="DE185" s="198"/>
      <c r="DF185" s="198"/>
      <c r="DG185" s="198"/>
      <c r="DH185" s="198"/>
      <c r="DI185" s="198"/>
      <c r="DJ185" s="198"/>
      <c r="DK185" s="198"/>
      <c r="DL185" s="198"/>
      <c r="DM185" s="198"/>
      <c r="DN185" s="198"/>
      <c r="DO185" s="198"/>
      <c r="DP185" s="198"/>
      <c r="DQ185" s="198"/>
      <c r="DR185" s="198"/>
      <c r="DS185" s="198"/>
      <c r="DT185" s="198"/>
    </row>
    <row r="186" spans="1:124" s="172" customFormat="1" ht="15.75" customHeight="1" outlineLevel="1" x14ac:dyDescent="0.25">
      <c r="A186" s="217"/>
      <c r="B186" s="218" t="str">
        <f>Services!B186</f>
        <v>08C04</v>
      </c>
      <c r="C186" s="216" t="str">
        <f>Services!C186</f>
        <v>Sécurité physique des supports externalisés (stockés dans un site externe)</v>
      </c>
      <c r="D186" s="210" t="str">
        <f t="shared" si="2"/>
        <v/>
      </c>
      <c r="E186" s="1378"/>
      <c r="F186" s="1378"/>
      <c r="G186" s="1378"/>
      <c r="H186" s="1378"/>
      <c r="I186" s="1378"/>
      <c r="J186" s="1378"/>
      <c r="K186" s="1378"/>
      <c r="L186" s="1378"/>
      <c r="M186" s="1378"/>
      <c r="N186" s="1378"/>
      <c r="O186" s="1378"/>
      <c r="P186" s="1378"/>
      <c r="Q186" s="1378"/>
      <c r="R186" s="1378"/>
      <c r="S186" s="1378"/>
      <c r="T186" s="1378"/>
      <c r="U186" s="1378"/>
      <c r="V186" s="1378"/>
      <c r="W186" s="1378">
        <f>IF(AND(INDEX(Tab_actions,128,1)=1,INDEX(Tab_actions,122,1)=1),MAX(INDEX(Tab_actions,128,13),INDEX(Tab_actions,122,10)),IF(INDEX(Tab_actions,128,1)=1,INDEX(Tab_actions,128,13),IF(INDEX(Tab_actions,122,1)=1,INDEX(Tab_actions,122,10),0)))</f>
        <v>0</v>
      </c>
      <c r="X186" s="1378">
        <f>IF(AND(INDEX(Tab_actions,135,1)=1,INDEX(Tab_actions,132,1)=1),MAX(INDEX(Tab_actions,135,13),INDEX(Tab_actions,132,7)),IF(INDEX(Tab_actions,135,1)=1,INDEX(Tab_actions,135,13),IF(INDEX(Tab_actions,132,1)=1,INDEX(Tab_actions,132,7),0)))</f>
        <v>0</v>
      </c>
      <c r="Y186" s="1378"/>
      <c r="Z186" s="1378"/>
      <c r="AA186" s="1378"/>
      <c r="AB186" s="1378"/>
      <c r="AC186" s="1378"/>
      <c r="AD186" s="1378"/>
      <c r="AE186" s="1378"/>
      <c r="AF186" s="1378"/>
      <c r="AG186" s="1378"/>
      <c r="AH186" s="1378"/>
      <c r="AI186" s="1378"/>
      <c r="AJ186" s="1378"/>
      <c r="AK186" s="1378"/>
      <c r="AL186" s="1378"/>
      <c r="AM186" s="1378"/>
      <c r="AN186" s="1378"/>
      <c r="AO186" s="1378"/>
      <c r="AP186" s="1378"/>
      <c r="AQ186" s="1378"/>
      <c r="AR186" s="1378"/>
      <c r="AS186" s="1378"/>
      <c r="AT186" s="1378"/>
      <c r="AU186" s="1378"/>
      <c r="AV186" s="1378"/>
      <c r="AW186" s="1378">
        <f>IF(INDEX(Tab_actions,296,1)=1,INDEX(Tab_actions,296,10),0)</f>
        <v>0</v>
      </c>
      <c r="AX186" s="1378"/>
      <c r="AY186" s="1378"/>
      <c r="AZ186" s="1378"/>
      <c r="BA186" s="1378"/>
      <c r="BB186" s="1378"/>
      <c r="BC186" s="1378"/>
      <c r="BD186"/>
      <c r="BE186" s="198"/>
      <c r="BF186" s="198"/>
      <c r="BG186" s="198"/>
      <c r="BH186" s="198"/>
      <c r="BI186" s="198"/>
      <c r="BJ186" s="198"/>
      <c r="BK186" s="198"/>
      <c r="BL186" s="198"/>
      <c r="BM186" s="198"/>
      <c r="BN186" s="198"/>
      <c r="BO186" s="198"/>
      <c r="BP186" s="198"/>
      <c r="BQ186" s="198"/>
      <c r="BR186" s="198"/>
      <c r="BS186" s="198"/>
      <c r="BT186" s="198"/>
      <c r="BU186" s="198"/>
      <c r="BV186" s="198"/>
      <c r="BW186" s="198"/>
      <c r="BX186" s="198"/>
      <c r="BY186" s="198"/>
      <c r="BZ186" s="198"/>
      <c r="CA186" s="198"/>
      <c r="CB186" s="198"/>
      <c r="CC186" s="198"/>
      <c r="CD186" s="198"/>
      <c r="CE186" s="198"/>
      <c r="CF186" s="198"/>
      <c r="CG186" s="198"/>
      <c r="CH186" s="198"/>
      <c r="CI186" s="198"/>
      <c r="CJ186" s="198"/>
      <c r="CK186" s="198"/>
      <c r="CL186" s="198"/>
      <c r="CM186" s="198"/>
      <c r="CN186" s="198"/>
      <c r="CO186" s="198"/>
      <c r="CP186" s="198"/>
      <c r="CQ186" s="198"/>
      <c r="CR186" s="198"/>
      <c r="CS186" s="198"/>
      <c r="CT186" s="198"/>
      <c r="CU186" s="198"/>
      <c r="CV186" s="198"/>
      <c r="CW186" s="198"/>
      <c r="CX186" s="198"/>
      <c r="CY186" s="198"/>
      <c r="CZ186" s="198"/>
      <c r="DA186" s="198"/>
      <c r="DB186" s="198"/>
      <c r="DC186" s="198"/>
      <c r="DD186" s="198"/>
      <c r="DE186" s="198"/>
      <c r="DF186" s="198"/>
      <c r="DG186" s="198"/>
      <c r="DH186" s="198"/>
      <c r="DI186" s="198"/>
      <c r="DJ186" s="198"/>
      <c r="DK186" s="198"/>
      <c r="DL186" s="198"/>
      <c r="DM186" s="198"/>
      <c r="DN186" s="198"/>
      <c r="DO186" s="198"/>
      <c r="DP186" s="198"/>
      <c r="DQ186" s="198"/>
      <c r="DR186" s="198"/>
      <c r="DS186" s="198"/>
      <c r="DT186" s="198"/>
    </row>
    <row r="187" spans="1:124" s="172" customFormat="1" ht="14.25" outlineLevel="1" x14ac:dyDescent="0.25">
      <c r="A187" s="217"/>
      <c r="B187" s="218" t="str">
        <f>Services!B187</f>
        <v>08C05</v>
      </c>
      <c r="C187" s="216" t="str">
        <f>Services!C187</f>
        <v>Vérification et rotation des supports d'archivage</v>
      </c>
      <c r="D187" s="210" t="str">
        <f t="shared" si="2"/>
        <v/>
      </c>
      <c r="E187" s="1378"/>
      <c r="F187" s="1378"/>
      <c r="G187" s="1378"/>
      <c r="H187" s="1378"/>
      <c r="I187" s="1378"/>
      <c r="J187" s="1378"/>
      <c r="K187" s="1378"/>
      <c r="L187" s="1378"/>
      <c r="M187" s="1378">
        <f>IF(INDEX(Tab_actions,55,1)=1,INDEX(Tab_actions,55,4),0)</f>
        <v>0</v>
      </c>
      <c r="N187" s="1378"/>
      <c r="O187" s="1378"/>
      <c r="P187" s="1378"/>
      <c r="Q187" s="1378"/>
      <c r="R187" s="1378"/>
      <c r="S187" s="1378"/>
      <c r="T187" s="1378"/>
      <c r="U187" s="1378"/>
      <c r="V187" s="1378"/>
      <c r="W187" s="1378"/>
      <c r="X187" s="1378"/>
      <c r="Y187" s="1378"/>
      <c r="Z187" s="1378"/>
      <c r="AA187" s="1378"/>
      <c r="AB187" s="1378"/>
      <c r="AC187" s="1378"/>
      <c r="AD187" s="1378"/>
      <c r="AE187" s="1378"/>
      <c r="AF187" s="1378"/>
      <c r="AG187" s="1378"/>
      <c r="AH187" s="1378"/>
      <c r="AI187" s="1378"/>
      <c r="AJ187" s="1378"/>
      <c r="AK187" s="1378">
        <f>IF(INDEX(Tab_actions,220,1)=1,INDEX(Tab_actions,220,22),0)</f>
        <v>0</v>
      </c>
      <c r="AL187" s="1378">
        <f>IF(INDEX(Tab_actions,229,1)=1,INDEX(Tab_actions,229,22),0)</f>
        <v>0</v>
      </c>
      <c r="AM187" s="1378"/>
      <c r="AN187" s="1378">
        <f>IF(INDEX(Tab_actions,245,1)=1,INDEX(Tab_actions,245,22),0)</f>
        <v>0</v>
      </c>
      <c r="AO187" s="1378">
        <f>IF(INDEX(Tab_actions,254,1)=1,INDEX(Tab_actions,254,22),0)</f>
        <v>0</v>
      </c>
      <c r="AP187" s="1378"/>
      <c r="AQ187" s="1378"/>
      <c r="AR187" s="1378"/>
      <c r="AS187" s="1378"/>
      <c r="AT187" s="1378"/>
      <c r="AU187" s="1378"/>
      <c r="AV187" s="1378"/>
      <c r="AW187" s="1378"/>
      <c r="AX187" s="1378"/>
      <c r="AY187" s="1378"/>
      <c r="AZ187" s="1378"/>
      <c r="BA187" s="1378"/>
      <c r="BB187" s="1378"/>
      <c r="BC187" s="1378"/>
      <c r="BD187"/>
      <c r="BE187" s="198"/>
      <c r="BF187" s="198"/>
      <c r="BG187" s="198"/>
      <c r="BH187" s="198"/>
      <c r="BI187" s="198"/>
      <c r="BJ187" s="198"/>
      <c r="BK187" s="198"/>
      <c r="BL187" s="198"/>
      <c r="BM187" s="198"/>
      <c r="BN187" s="198"/>
      <c r="BO187" s="198"/>
      <c r="BP187" s="198"/>
      <c r="BQ187" s="198"/>
      <c r="BR187" s="198"/>
      <c r="BS187" s="198"/>
      <c r="BT187" s="198"/>
      <c r="BU187" s="198"/>
      <c r="BV187" s="198"/>
      <c r="BW187" s="198"/>
      <c r="BX187" s="198"/>
      <c r="BY187" s="198"/>
      <c r="BZ187" s="198"/>
      <c r="CA187" s="198"/>
      <c r="CB187" s="198"/>
      <c r="CC187" s="198"/>
      <c r="CD187" s="198"/>
      <c r="CE187" s="198"/>
      <c r="CF187" s="198"/>
      <c r="CG187" s="198"/>
      <c r="CH187" s="198"/>
      <c r="CI187" s="198"/>
      <c r="CJ187" s="198"/>
      <c r="CK187" s="198"/>
      <c r="CL187" s="198"/>
      <c r="CM187" s="198"/>
      <c r="CN187" s="198"/>
      <c r="CO187" s="198"/>
      <c r="CP187" s="198"/>
      <c r="CQ187" s="198"/>
      <c r="CR187" s="198"/>
      <c r="CS187" s="198"/>
      <c r="CT187" s="198"/>
      <c r="CU187" s="198"/>
      <c r="CV187" s="198"/>
      <c r="CW187" s="198"/>
      <c r="CX187" s="198"/>
      <c r="CY187" s="198"/>
      <c r="CZ187" s="198"/>
      <c r="DA187" s="198"/>
      <c r="DB187" s="198"/>
      <c r="DC187" s="198"/>
      <c r="DD187" s="198"/>
      <c r="DE187" s="198"/>
      <c r="DF187" s="198"/>
      <c r="DG187" s="198"/>
      <c r="DH187" s="198"/>
      <c r="DI187" s="198"/>
      <c r="DJ187" s="198"/>
      <c r="DK187" s="198"/>
      <c r="DL187" s="198"/>
      <c r="DM187" s="198"/>
      <c r="DN187" s="198"/>
      <c r="DO187" s="198"/>
      <c r="DP187" s="198"/>
      <c r="DQ187" s="198"/>
      <c r="DR187" s="198"/>
      <c r="DS187" s="198"/>
      <c r="DT187" s="198"/>
    </row>
    <row r="188" spans="1:124" s="172" customFormat="1" ht="14.25" outlineLevel="1" x14ac:dyDescent="0.25">
      <c r="A188" s="217"/>
      <c r="B188" s="218" t="str">
        <f>Services!B188</f>
        <v>08C06</v>
      </c>
      <c r="C188" s="216" t="str">
        <f>Services!C188</f>
        <v>Protection des réseaux de stockage</v>
      </c>
      <c r="D188" s="210" t="str">
        <f t="shared" si="2"/>
        <v/>
      </c>
      <c r="E188" s="1378"/>
      <c r="F188" s="1378"/>
      <c r="G188" s="1378"/>
      <c r="H188" s="1378"/>
      <c r="I188" s="1378"/>
      <c r="J188" s="1378"/>
      <c r="K188" s="1378"/>
      <c r="L188" s="1378"/>
      <c r="M188" s="1378"/>
      <c r="N188" s="1378"/>
      <c r="O188" s="1378"/>
      <c r="P188" s="1378"/>
      <c r="Q188" s="1378"/>
      <c r="R188" s="1378"/>
      <c r="S188" s="1378"/>
      <c r="T188" s="1378"/>
      <c r="U188" s="1378"/>
      <c r="V188" s="1378"/>
      <c r="W188" s="1378">
        <f>IF(INDEX(Tab_actions,126,1)=1,INDEX(Tab_actions,126,28),0)</f>
        <v>0</v>
      </c>
      <c r="X188" s="1378">
        <f>IF(INDEX(Tab_actions,134,1)=1,INDEX(Tab_actions,134,16),0)</f>
        <v>0</v>
      </c>
      <c r="Y188" s="1378"/>
      <c r="Z188" s="1378"/>
      <c r="AA188" s="1378"/>
      <c r="AB188" s="1378"/>
      <c r="AC188" s="1378"/>
      <c r="AD188" s="1378"/>
      <c r="AE188" s="1378"/>
      <c r="AF188" s="1378"/>
      <c r="AG188" s="1378"/>
      <c r="AH188" s="1378"/>
      <c r="AI188" s="1378"/>
      <c r="AJ188" s="1378"/>
      <c r="AK188" s="1378"/>
      <c r="AL188" s="1378"/>
      <c r="AM188" s="1378"/>
      <c r="AN188" s="1378"/>
      <c r="AO188" s="1378"/>
      <c r="AP188" s="1378"/>
      <c r="AQ188" s="1378"/>
      <c r="AR188" s="1378"/>
      <c r="AS188" s="1378"/>
      <c r="AT188" s="1378"/>
      <c r="AU188" s="1378"/>
      <c r="AV188" s="1378"/>
      <c r="AW188" s="1378"/>
      <c r="AX188" s="1378"/>
      <c r="AY188" s="1378"/>
      <c r="AZ188" s="1378"/>
      <c r="BA188" s="1378"/>
      <c r="BB188" s="1378"/>
      <c r="BC188" s="1378"/>
      <c r="BD188"/>
      <c r="BE188" s="198"/>
      <c r="BF188" s="198"/>
      <c r="BG188" s="198"/>
      <c r="BH188" s="198"/>
      <c r="BI188" s="198"/>
      <c r="BJ188" s="198"/>
      <c r="BK188" s="198"/>
      <c r="BL188" s="198"/>
      <c r="BM188" s="198"/>
      <c r="BN188" s="198"/>
      <c r="BO188" s="198"/>
      <c r="BP188" s="198"/>
      <c r="BQ188" s="198"/>
      <c r="BR188" s="198"/>
      <c r="BS188" s="198"/>
      <c r="BT188" s="198"/>
      <c r="BU188" s="198"/>
      <c r="BV188" s="198"/>
      <c r="BW188" s="198"/>
      <c r="BX188" s="198"/>
      <c r="BY188" s="198"/>
      <c r="BZ188" s="198"/>
      <c r="CA188" s="198"/>
      <c r="CB188" s="198"/>
      <c r="CC188" s="198"/>
      <c r="CD188" s="198"/>
      <c r="CE188" s="198"/>
      <c r="CF188" s="198"/>
      <c r="CG188" s="198"/>
      <c r="CH188" s="198"/>
      <c r="CI188" s="198"/>
      <c r="CJ188" s="198"/>
      <c r="CK188" s="198"/>
      <c r="CL188" s="198"/>
      <c r="CM188" s="198"/>
      <c r="CN188" s="198"/>
      <c r="CO188" s="198"/>
      <c r="CP188" s="198"/>
      <c r="CQ188" s="198"/>
      <c r="CR188" s="198"/>
      <c r="CS188" s="198"/>
      <c r="CT188" s="198"/>
      <c r="CU188" s="198"/>
      <c r="CV188" s="198"/>
      <c r="CW188" s="198"/>
      <c r="CX188" s="198"/>
      <c r="CY188" s="198"/>
      <c r="CZ188" s="198"/>
      <c r="DA188" s="198"/>
      <c r="DB188" s="198"/>
      <c r="DC188" s="198"/>
      <c r="DD188" s="198"/>
      <c r="DE188" s="198"/>
      <c r="DF188" s="198"/>
      <c r="DG188" s="198"/>
      <c r="DH188" s="198"/>
      <c r="DI188" s="198"/>
      <c r="DJ188" s="198"/>
      <c r="DK188" s="198"/>
      <c r="DL188" s="198"/>
      <c r="DM188" s="198"/>
      <c r="DN188" s="198"/>
      <c r="DO188" s="198"/>
      <c r="DP188" s="198"/>
      <c r="DQ188" s="198"/>
      <c r="DR188" s="198"/>
      <c r="DS188" s="198"/>
      <c r="DT188" s="198"/>
    </row>
    <row r="189" spans="1:124" s="172" customFormat="1" ht="14.25" outlineLevel="1" x14ac:dyDescent="0.25">
      <c r="A189" s="217"/>
      <c r="B189" s="218" t="str">
        <f>Services!B189</f>
        <v>08C07</v>
      </c>
      <c r="C189" s="216" t="str">
        <f>Services!C189</f>
        <v>Sécurité physique des médias en transit</v>
      </c>
      <c r="D189" s="210" t="str">
        <f t="shared" si="2"/>
        <v/>
      </c>
      <c r="E189" s="1378"/>
      <c r="F189" s="1378"/>
      <c r="G189" s="1378"/>
      <c r="H189" s="1378"/>
      <c r="I189" s="1378"/>
      <c r="J189" s="1378"/>
      <c r="K189" s="1378"/>
      <c r="L189" s="1378"/>
      <c r="M189" s="1378"/>
      <c r="N189" s="1378"/>
      <c r="O189" s="1378"/>
      <c r="P189" s="1378"/>
      <c r="Q189" s="1378"/>
      <c r="R189" s="1378"/>
      <c r="S189" s="1378"/>
      <c r="T189" s="1378"/>
      <c r="U189" s="1378"/>
      <c r="V189" s="1378"/>
      <c r="W189" s="1378">
        <f>IF(INDEX(Tab_actions,128,1)=1,INDEX(Tab_actions,128,16),0)</f>
        <v>0</v>
      </c>
      <c r="X189" s="1378">
        <f>IF(INDEX(Tab_actions,135,1)=1,INDEX(Tab_actions,135,16),0)</f>
        <v>0</v>
      </c>
      <c r="Y189" s="1378"/>
      <c r="Z189" s="1378"/>
      <c r="AA189" s="1378"/>
      <c r="AB189" s="1378"/>
      <c r="AC189" s="1378"/>
      <c r="AD189" s="1378"/>
      <c r="AE189" s="1378"/>
      <c r="AF189" s="1378"/>
      <c r="AG189" s="1378"/>
      <c r="AH189" s="1378"/>
      <c r="AI189" s="1378"/>
      <c r="AJ189" s="1378"/>
      <c r="AK189" s="1378"/>
      <c r="AL189" s="1378"/>
      <c r="AM189" s="1378"/>
      <c r="AN189" s="1378"/>
      <c r="AO189" s="1378"/>
      <c r="AP189" s="1378"/>
      <c r="AQ189" s="1378"/>
      <c r="AR189" s="1378"/>
      <c r="AS189" s="1378"/>
      <c r="AT189" s="1378"/>
      <c r="AU189" s="1378"/>
      <c r="AV189" s="1378"/>
      <c r="AW189" s="1378"/>
      <c r="AX189" s="1378"/>
      <c r="AY189" s="1378"/>
      <c r="AZ189" s="1378"/>
      <c r="BA189" s="1378"/>
      <c r="BB189" s="1378"/>
      <c r="BC189" s="1378"/>
      <c r="BD189"/>
      <c r="BE189" s="198"/>
      <c r="BF189" s="198"/>
      <c r="BG189" s="198"/>
      <c r="BH189" s="198"/>
      <c r="BI189" s="198"/>
      <c r="BJ189" s="198"/>
      <c r="BK189" s="198"/>
      <c r="BL189" s="198"/>
      <c r="BM189" s="198"/>
      <c r="BN189" s="198"/>
      <c r="BO189" s="198"/>
      <c r="BP189" s="198"/>
      <c r="BQ189" s="198"/>
      <c r="BR189" s="198"/>
      <c r="BS189" s="198"/>
      <c r="BT189" s="198"/>
      <c r="BU189" s="198"/>
      <c r="BV189" s="198"/>
      <c r="BW189" s="198"/>
      <c r="BX189" s="198"/>
      <c r="BY189" s="198"/>
      <c r="BZ189" s="198"/>
      <c r="CA189" s="198"/>
      <c r="CB189" s="198"/>
      <c r="CC189" s="198"/>
      <c r="CD189" s="198"/>
      <c r="CE189" s="198"/>
      <c r="CF189" s="198"/>
      <c r="CG189" s="198"/>
      <c r="CH189" s="198"/>
      <c r="CI189" s="198"/>
      <c r="CJ189" s="198"/>
      <c r="CK189" s="198"/>
      <c r="CL189" s="198"/>
      <c r="CM189" s="198"/>
      <c r="CN189" s="198"/>
      <c r="CO189" s="198"/>
      <c r="CP189" s="198"/>
      <c r="CQ189" s="198"/>
      <c r="CR189" s="198"/>
      <c r="CS189" s="198"/>
      <c r="CT189" s="198"/>
      <c r="CU189" s="198"/>
      <c r="CV189" s="198"/>
      <c r="CW189" s="198"/>
      <c r="CX189" s="198"/>
      <c r="CY189" s="198"/>
      <c r="CZ189" s="198"/>
      <c r="DA189" s="198"/>
      <c r="DB189" s="198"/>
      <c r="DC189" s="198"/>
      <c r="DD189" s="198"/>
      <c r="DE189" s="198"/>
      <c r="DF189" s="198"/>
      <c r="DG189" s="198"/>
      <c r="DH189" s="198"/>
      <c r="DI189" s="198"/>
      <c r="DJ189" s="198"/>
      <c r="DK189" s="198"/>
      <c r="DL189" s="198"/>
      <c r="DM189" s="198"/>
      <c r="DN189" s="198"/>
      <c r="DO189" s="198"/>
      <c r="DP189" s="198"/>
      <c r="DQ189" s="198"/>
      <c r="DR189" s="198"/>
      <c r="DS189" s="198"/>
      <c r="DT189" s="198"/>
    </row>
    <row r="190" spans="1:124" s="172" customFormat="1" ht="15" outlineLevel="1" x14ac:dyDescent="0.25">
      <c r="A190" s="212"/>
      <c r="B190" s="213" t="str">
        <f>Services!B190</f>
        <v>08D</v>
      </c>
      <c r="C190" s="214" t="str">
        <f>Services!C190</f>
        <v>Continuité de fonctionnement</v>
      </c>
      <c r="D190" s="210" t="str">
        <f t="shared" si="2"/>
        <v/>
      </c>
      <c r="E190" s="1378"/>
      <c r="F190" s="1378"/>
      <c r="G190" s="1378"/>
      <c r="H190" s="1378"/>
      <c r="I190" s="1378"/>
      <c r="J190" s="1378"/>
      <c r="K190" s="1378"/>
      <c r="L190" s="1378"/>
      <c r="M190" s="1378"/>
      <c r="N190" s="1378"/>
      <c r="O190" s="1378"/>
      <c r="P190" s="1378"/>
      <c r="Q190" s="1378"/>
      <c r="R190" s="1378"/>
      <c r="S190" s="1378"/>
      <c r="T190" s="1378"/>
      <c r="U190" s="1378"/>
      <c r="V190" s="1378"/>
      <c r="W190" s="1378"/>
      <c r="X190" s="1378"/>
      <c r="Y190" s="1378"/>
      <c r="Z190" s="1378"/>
      <c r="AA190" s="1378"/>
      <c r="AB190" s="1378"/>
      <c r="AC190" s="1378"/>
      <c r="AD190" s="1378"/>
      <c r="AE190" s="1378"/>
      <c r="AF190" s="1378"/>
      <c r="AG190" s="1378"/>
      <c r="AH190" s="1378"/>
      <c r="AI190" s="1378"/>
      <c r="AJ190" s="1378"/>
      <c r="AK190" s="1378"/>
      <c r="AL190" s="1378"/>
      <c r="AM190" s="1378"/>
      <c r="AN190" s="1378"/>
      <c r="AO190" s="1378"/>
      <c r="AP190" s="1378"/>
      <c r="AQ190" s="1378"/>
      <c r="AR190" s="1378"/>
      <c r="AS190" s="1378"/>
      <c r="AT190" s="1378"/>
      <c r="AU190" s="1378"/>
      <c r="AV190" s="1378"/>
      <c r="AW190" s="1378"/>
      <c r="AX190" s="1378"/>
      <c r="AY190" s="1378"/>
      <c r="AZ190" s="1378"/>
      <c r="BA190" s="1378"/>
      <c r="BB190" s="1378"/>
      <c r="BC190" s="1378"/>
      <c r="BD190"/>
      <c r="BE190" s="198"/>
      <c r="BF190" s="198"/>
      <c r="BG190" s="198"/>
      <c r="BH190" s="198"/>
      <c r="BI190" s="198"/>
      <c r="BJ190" s="198"/>
      <c r="BK190" s="198"/>
      <c r="BL190" s="198"/>
      <c r="BM190" s="198"/>
      <c r="BN190" s="198"/>
      <c r="BO190" s="198"/>
      <c r="BP190" s="198"/>
      <c r="BQ190" s="198"/>
      <c r="BR190" s="198"/>
      <c r="BS190" s="198"/>
      <c r="BT190" s="198"/>
      <c r="BU190" s="198"/>
      <c r="BV190" s="198"/>
      <c r="BW190" s="198"/>
      <c r="BX190" s="198"/>
      <c r="BY190" s="198"/>
      <c r="BZ190" s="198"/>
      <c r="CA190" s="198"/>
      <c r="CB190" s="198"/>
      <c r="CC190" s="198"/>
      <c r="CD190" s="198"/>
      <c r="CE190" s="198"/>
      <c r="CF190" s="198"/>
      <c r="CG190" s="198"/>
      <c r="CH190" s="198"/>
      <c r="CI190" s="198"/>
      <c r="CJ190" s="198"/>
      <c r="CK190" s="198"/>
      <c r="CL190" s="198"/>
      <c r="CM190" s="198"/>
      <c r="CN190" s="198"/>
      <c r="CO190" s="198"/>
      <c r="CP190" s="198"/>
      <c r="CQ190" s="198"/>
      <c r="CR190" s="198"/>
      <c r="CS190" s="198"/>
      <c r="CT190" s="198"/>
      <c r="CU190" s="198"/>
      <c r="CV190" s="198"/>
      <c r="CW190" s="198"/>
      <c r="CX190" s="198"/>
      <c r="CY190" s="198"/>
      <c r="CZ190" s="198"/>
      <c r="DA190" s="198"/>
      <c r="DB190" s="198"/>
      <c r="DC190" s="198"/>
      <c r="DD190" s="198"/>
      <c r="DE190" s="198"/>
      <c r="DF190" s="198"/>
      <c r="DG190" s="198"/>
      <c r="DH190" s="198"/>
      <c r="DI190" s="198"/>
      <c r="DJ190" s="198"/>
      <c r="DK190" s="198"/>
      <c r="DL190" s="198"/>
      <c r="DM190" s="198"/>
      <c r="DN190" s="198"/>
      <c r="DO190" s="198"/>
      <c r="DP190" s="198"/>
      <c r="DQ190" s="198"/>
      <c r="DR190" s="198"/>
      <c r="DS190" s="198"/>
      <c r="DT190" s="198"/>
    </row>
    <row r="191" spans="1:124" s="172" customFormat="1" ht="15.75" customHeight="1" outlineLevel="1" x14ac:dyDescent="0.25">
      <c r="A191" s="212"/>
      <c r="B191" s="218" t="str">
        <f>Services!B191</f>
        <v>08D01</v>
      </c>
      <c r="C191" s="216" t="str">
        <f>Services!C191</f>
        <v>Organisation de la maintenance du matériel (équipements) en exploitation</v>
      </c>
      <c r="D191" s="210" t="str">
        <f t="shared" si="2"/>
        <v/>
      </c>
      <c r="E191" s="1378"/>
      <c r="F191" s="1378"/>
      <c r="G191" s="1378"/>
      <c r="H191" s="1378"/>
      <c r="I191" s="1378"/>
      <c r="J191" s="1378"/>
      <c r="K191" s="1378"/>
      <c r="L191" s="1378"/>
      <c r="M191" s="1378"/>
      <c r="N191" s="1378"/>
      <c r="O191" s="1378"/>
      <c r="P191" s="1378"/>
      <c r="Q191" s="1378"/>
      <c r="R191" s="1378"/>
      <c r="S191" s="1378"/>
      <c r="T191" s="1378"/>
      <c r="U191" s="1378"/>
      <c r="V191" s="1378"/>
      <c r="W191" s="1378"/>
      <c r="X191" s="1378"/>
      <c r="Y191" s="1378"/>
      <c r="Z191" s="1378"/>
      <c r="AA191" s="1378"/>
      <c r="AB191" s="1378"/>
      <c r="AC191" s="1378"/>
      <c r="AD191" s="1378"/>
      <c r="AE191" s="1378"/>
      <c r="AF191" s="1378"/>
      <c r="AG191" s="1378"/>
      <c r="AH191" s="1378"/>
      <c r="AI191" s="1378"/>
      <c r="AJ191" s="1378"/>
      <c r="AK191" s="1378">
        <f>IF(INDEX(Tab_actions,221,1)=1,INDEX(Tab_actions,221,7),0)</f>
        <v>0</v>
      </c>
      <c r="AL191" s="1378">
        <f>IF(INDEX(Tab_actions,230,1)=1,INDEX(Tab_actions,230,7),0)</f>
        <v>0</v>
      </c>
      <c r="AM191" s="1378"/>
      <c r="AN191" s="1378">
        <f>IF(INDEX(Tab_actions,246,1)=1,INDEX(Tab_actions,246,7),0)</f>
        <v>0</v>
      </c>
      <c r="AO191" s="1378">
        <f>IF(INDEX(Tab_actions,255,1)=1,INDEX(Tab_actions,255,7),0)</f>
        <v>0</v>
      </c>
      <c r="AP191" s="1378"/>
      <c r="AQ191" s="1378"/>
      <c r="AR191" s="1378"/>
      <c r="AS191" s="1378"/>
      <c r="AT191" s="1378"/>
      <c r="AU191" s="1378"/>
      <c r="AV191" s="1378"/>
      <c r="AW191" s="1378"/>
      <c r="AX191" s="1378"/>
      <c r="AY191" s="1378"/>
      <c r="AZ191" s="1378"/>
      <c r="BA191" s="1378"/>
      <c r="BB191" s="1378"/>
      <c r="BC191" s="1378"/>
      <c r="BD191"/>
      <c r="BE191" s="198"/>
      <c r="BF191" s="198"/>
      <c r="BG191" s="198"/>
      <c r="BH191" s="198"/>
      <c r="BI191" s="198"/>
      <c r="BJ191" s="198"/>
      <c r="BK191" s="198"/>
      <c r="BL191" s="198"/>
      <c r="BM191" s="198"/>
      <c r="BN191" s="198"/>
      <c r="BO191" s="198"/>
      <c r="BP191" s="198"/>
      <c r="BQ191" s="198"/>
      <c r="BR191" s="198"/>
      <c r="BS191" s="198"/>
      <c r="BT191" s="198"/>
      <c r="BU191" s="198"/>
      <c r="BV191" s="198"/>
      <c r="BW191" s="198"/>
      <c r="BX191" s="198"/>
      <c r="BY191" s="198"/>
      <c r="BZ191" s="198"/>
      <c r="CA191" s="198"/>
      <c r="CB191" s="198"/>
      <c r="CC191" s="198"/>
      <c r="CD191" s="198"/>
      <c r="CE191" s="198"/>
      <c r="CF191" s="198"/>
      <c r="CG191" s="198"/>
      <c r="CH191" s="198"/>
      <c r="CI191" s="198"/>
      <c r="CJ191" s="198"/>
      <c r="CK191" s="198"/>
      <c r="CL191" s="198"/>
      <c r="CM191" s="198"/>
      <c r="CN191" s="198"/>
      <c r="CO191" s="198"/>
      <c r="CP191" s="198"/>
      <c r="CQ191" s="198"/>
      <c r="CR191" s="198"/>
      <c r="CS191" s="198"/>
      <c r="CT191" s="198"/>
      <c r="CU191" s="198"/>
      <c r="CV191" s="198"/>
      <c r="CW191" s="198"/>
      <c r="CX191" s="198"/>
      <c r="CY191" s="198"/>
      <c r="CZ191" s="198"/>
      <c r="DA191" s="198"/>
      <c r="DB191" s="198"/>
      <c r="DC191" s="198"/>
      <c r="DD191" s="198"/>
      <c r="DE191" s="198"/>
      <c r="DF191" s="198"/>
      <c r="DG191" s="198"/>
      <c r="DH191" s="198"/>
      <c r="DI191" s="198"/>
      <c r="DJ191" s="198"/>
      <c r="DK191" s="198"/>
      <c r="DL191" s="198"/>
      <c r="DM191" s="198"/>
      <c r="DN191" s="198"/>
      <c r="DO191" s="198"/>
      <c r="DP191" s="198"/>
      <c r="DQ191" s="198"/>
      <c r="DR191" s="198"/>
      <c r="DS191" s="198"/>
      <c r="DT191" s="198"/>
    </row>
    <row r="192" spans="1:124" s="172" customFormat="1" ht="15.75" customHeight="1" outlineLevel="1" x14ac:dyDescent="0.25">
      <c r="A192" s="212"/>
      <c r="B192" s="218" t="str">
        <f>Services!B192</f>
        <v>08D02</v>
      </c>
      <c r="C192" s="216" t="str">
        <f>Services!C192</f>
        <v>Organisation de la maintenance du logiciel (système, logiciel de couche intermédiaire et progiciel applicatif)</v>
      </c>
      <c r="D192" s="210" t="str">
        <f t="shared" si="2"/>
        <v/>
      </c>
      <c r="E192" s="1378"/>
      <c r="F192" s="1378"/>
      <c r="G192" s="1378"/>
      <c r="H192" s="1378"/>
      <c r="I192" s="1378"/>
      <c r="J192" s="1378"/>
      <c r="K192" s="1378"/>
      <c r="L192" s="1378"/>
      <c r="M192" s="1378"/>
      <c r="N192" s="1378"/>
      <c r="O192" s="1378"/>
      <c r="P192" s="1378"/>
      <c r="Q192" s="1378"/>
      <c r="R192" s="1378"/>
      <c r="S192" s="1378"/>
      <c r="T192" s="1378"/>
      <c r="U192" s="1378"/>
      <c r="V192" s="1378"/>
      <c r="W192" s="1378"/>
      <c r="X192" s="1378"/>
      <c r="Y192" s="1378"/>
      <c r="Z192" s="1378"/>
      <c r="AA192" s="1378"/>
      <c r="AB192" s="1378"/>
      <c r="AC192" s="1378"/>
      <c r="AD192" s="1378"/>
      <c r="AE192" s="1378"/>
      <c r="AF192" s="1378"/>
      <c r="AG192" s="1378"/>
      <c r="AH192" s="1378"/>
      <c r="AI192" s="1378"/>
      <c r="AJ192" s="1378"/>
      <c r="AK192" s="1378">
        <f>IF(INDEX(Tab_actions,221,1)=1,INDEX(Tab_actions,221,10),0)</f>
        <v>0</v>
      </c>
      <c r="AL192" s="1378">
        <f>IF(INDEX(Tab_actions,230,1)=1,INDEX(Tab_actions,230,10),0)</f>
        <v>0</v>
      </c>
      <c r="AM192" s="1378"/>
      <c r="AN192" s="1378">
        <f>IF(INDEX(Tab_actions,246,1)=1,INDEX(Tab_actions,246,10),0)</f>
        <v>0</v>
      </c>
      <c r="AO192" s="1378">
        <f>IF(INDEX(Tab_actions,255,1)=1,INDEX(Tab_actions,255,10),0)</f>
        <v>0</v>
      </c>
      <c r="AP192" s="1378"/>
      <c r="AQ192" s="1378"/>
      <c r="AR192" s="1378"/>
      <c r="AS192" s="1378"/>
      <c r="AT192" s="1378"/>
      <c r="AU192" s="1378"/>
      <c r="AV192" s="1378"/>
      <c r="AW192" s="1378"/>
      <c r="AX192" s="1378"/>
      <c r="AY192" s="1378"/>
      <c r="AZ192" s="1378"/>
      <c r="BA192" s="1378"/>
      <c r="BB192" s="1378"/>
      <c r="BC192" s="1378"/>
      <c r="BD192"/>
      <c r="BE192" s="198"/>
      <c r="BF192" s="198"/>
      <c r="BG192" s="198"/>
      <c r="BH192" s="198"/>
      <c r="BI192" s="198"/>
      <c r="BJ192" s="198"/>
      <c r="BK192" s="198"/>
      <c r="BL192" s="198"/>
      <c r="BM192" s="198"/>
      <c r="BN192" s="198"/>
      <c r="BO192" s="198"/>
      <c r="BP192" s="198"/>
      <c r="BQ192" s="198"/>
      <c r="BR192" s="198"/>
      <c r="BS192" s="198"/>
      <c r="BT192" s="198"/>
      <c r="BU192" s="198"/>
      <c r="BV192" s="198"/>
      <c r="BW192" s="198"/>
      <c r="BX192" s="198"/>
      <c r="BY192" s="198"/>
      <c r="BZ192" s="198"/>
      <c r="CA192" s="198"/>
      <c r="CB192" s="198"/>
      <c r="CC192" s="198"/>
      <c r="CD192" s="198"/>
      <c r="CE192" s="198"/>
      <c r="CF192" s="198"/>
      <c r="CG192" s="198"/>
      <c r="CH192" s="198"/>
      <c r="CI192" s="198"/>
      <c r="CJ192" s="198"/>
      <c r="CK192" s="198"/>
      <c r="CL192" s="198"/>
      <c r="CM192" s="198"/>
      <c r="CN192" s="198"/>
      <c r="CO192" s="198"/>
      <c r="CP192" s="198"/>
      <c r="CQ192" s="198"/>
      <c r="CR192" s="198"/>
      <c r="CS192" s="198"/>
      <c r="CT192" s="198"/>
      <c r="CU192" s="198"/>
      <c r="CV192" s="198"/>
      <c r="CW192" s="198"/>
      <c r="CX192" s="198"/>
      <c r="CY192" s="198"/>
      <c r="CZ192" s="198"/>
      <c r="DA192" s="198"/>
      <c r="DB192" s="198"/>
      <c r="DC192" s="198"/>
      <c r="DD192" s="198"/>
      <c r="DE192" s="198"/>
      <c r="DF192" s="198"/>
      <c r="DG192" s="198"/>
      <c r="DH192" s="198"/>
      <c r="DI192" s="198"/>
      <c r="DJ192" s="198"/>
      <c r="DK192" s="198"/>
      <c r="DL192" s="198"/>
      <c r="DM192" s="198"/>
      <c r="DN192" s="198"/>
      <c r="DO192" s="198"/>
      <c r="DP192" s="198"/>
      <c r="DQ192" s="198"/>
      <c r="DR192" s="198"/>
      <c r="DS192" s="198"/>
      <c r="DT192" s="198"/>
    </row>
    <row r="193" spans="1:124" s="172" customFormat="1" ht="15.75" customHeight="1" outlineLevel="1" x14ac:dyDescent="0.25">
      <c r="A193" s="212"/>
      <c r="B193" s="218" t="str">
        <f>Services!B193</f>
        <v>08D03</v>
      </c>
      <c r="C193" s="216" t="str">
        <f>Services!C193</f>
        <v>Procédures et plans de reprise des applications sur incidents d'exploitation</v>
      </c>
      <c r="D193" s="210" t="str">
        <f t="shared" si="2"/>
        <v/>
      </c>
      <c r="E193" s="1378">
        <f>IF(INDEX(Tab_actions,8,1)=1,INDEX(Tab_actions,8,13),0)</f>
        <v>0</v>
      </c>
      <c r="F193" s="1378"/>
      <c r="G193" s="1378"/>
      <c r="H193" s="1378"/>
      <c r="I193" s="1378"/>
      <c r="J193" s="1378"/>
      <c r="K193" s="1378"/>
      <c r="L193" s="1378"/>
      <c r="M193" s="1378"/>
      <c r="N193" s="1378"/>
      <c r="O193" s="1378">
        <f>IF(INDEX(Tab_actions,64,1)=1,INDEX(Tab_actions,64,4),0)</f>
        <v>0</v>
      </c>
      <c r="P193" s="1378"/>
      <c r="Q193" s="1378"/>
      <c r="R193" s="1378"/>
      <c r="S193" s="1378"/>
      <c r="T193" s="1378"/>
      <c r="U193" s="1378"/>
      <c r="V193" s="1378">
        <f>IF(INDEX(Tab_actions,118,1)=1,INDEX(Tab_actions,118,4),0)</f>
        <v>0</v>
      </c>
      <c r="W193" s="1378"/>
      <c r="X193" s="1378"/>
      <c r="Y193" s="1378"/>
      <c r="Z193" s="1378"/>
      <c r="AA193" s="1378"/>
      <c r="AB193" s="1378"/>
      <c r="AC193" s="1378"/>
      <c r="AD193" s="1378"/>
      <c r="AE193" s="1378"/>
      <c r="AF193" s="1378"/>
      <c r="AG193" s="1378"/>
      <c r="AH193" s="1378"/>
      <c r="AI193" s="1378"/>
      <c r="AJ193" s="1378"/>
      <c r="AK193" s="1378">
        <f>IF(INDEX(Tab_actions,221,1)=1,INDEX(Tab_actions,221,13),0)</f>
        <v>0</v>
      </c>
      <c r="AL193" s="1378">
        <f>IF(INDEX(Tab_actions,230,1)=1,INDEX(Tab_actions,230,13),0)</f>
        <v>0</v>
      </c>
      <c r="AM193" s="1378"/>
      <c r="AN193" s="1378">
        <f>IF(INDEX(Tab_actions,246,1)=1,INDEX(Tab_actions,246,13),0)</f>
        <v>0</v>
      </c>
      <c r="AO193" s="1378">
        <f>IF(INDEX(Tab_actions,255,1)=1,INDEX(Tab_actions,255,13),0)</f>
        <v>0</v>
      </c>
      <c r="AP193" s="1378"/>
      <c r="AQ193" s="1378"/>
      <c r="AR193" s="1378"/>
      <c r="AS193" s="1378"/>
      <c r="AT193" s="1378"/>
      <c r="AU193" s="1378"/>
      <c r="AV193" s="1378"/>
      <c r="AW193" s="1378"/>
      <c r="AX193" s="1378"/>
      <c r="AY193" s="1378"/>
      <c r="AZ193" s="1378"/>
      <c r="BA193" s="1378"/>
      <c r="BB193" s="1378"/>
      <c r="BC193" s="1378"/>
      <c r="BD193"/>
      <c r="BE193" s="198"/>
      <c r="BF193" s="198"/>
      <c r="BG193" s="198"/>
      <c r="BH193" s="198"/>
      <c r="BI193" s="198"/>
      <c r="BJ193" s="198"/>
      <c r="BK193" s="198"/>
      <c r="BL193" s="198"/>
      <c r="BM193" s="198"/>
      <c r="BN193" s="198"/>
      <c r="BO193" s="198"/>
      <c r="BP193" s="198"/>
      <c r="BQ193" s="198"/>
      <c r="BR193" s="198"/>
      <c r="BS193" s="198"/>
      <c r="BT193" s="198"/>
      <c r="BU193" s="198"/>
      <c r="BV193" s="198"/>
      <c r="BW193" s="198"/>
      <c r="BX193" s="198"/>
      <c r="BY193" s="198"/>
      <c r="BZ193" s="198"/>
      <c r="CA193" s="198"/>
      <c r="CB193" s="198"/>
      <c r="CC193" s="198"/>
      <c r="CD193" s="198"/>
      <c r="CE193" s="198"/>
      <c r="CF193" s="198"/>
      <c r="CG193" s="198"/>
      <c r="CH193" s="198"/>
      <c r="CI193" s="198"/>
      <c r="CJ193" s="198"/>
      <c r="CK193" s="198"/>
      <c r="CL193" s="198"/>
      <c r="CM193" s="198"/>
      <c r="CN193" s="198"/>
      <c r="CO193" s="198"/>
      <c r="CP193" s="198"/>
      <c r="CQ193" s="198"/>
      <c r="CR193" s="198"/>
      <c r="CS193" s="198"/>
      <c r="CT193" s="198"/>
      <c r="CU193" s="198"/>
      <c r="CV193" s="198"/>
      <c r="CW193" s="198"/>
      <c r="CX193" s="198"/>
      <c r="CY193" s="198"/>
      <c r="CZ193" s="198"/>
      <c r="DA193" s="198"/>
      <c r="DB193" s="198"/>
      <c r="DC193" s="198"/>
      <c r="DD193" s="198"/>
      <c r="DE193" s="198"/>
      <c r="DF193" s="198"/>
      <c r="DG193" s="198"/>
      <c r="DH193" s="198"/>
      <c r="DI193" s="198"/>
      <c r="DJ193" s="198"/>
      <c r="DK193" s="198"/>
      <c r="DL193" s="198"/>
      <c r="DM193" s="198"/>
      <c r="DN193" s="198"/>
      <c r="DO193" s="198"/>
      <c r="DP193" s="198"/>
      <c r="DQ193" s="198"/>
      <c r="DR193" s="198"/>
      <c r="DS193" s="198"/>
      <c r="DT193" s="198"/>
    </row>
    <row r="194" spans="1:124" s="172" customFormat="1" ht="25.5" outlineLevel="1" x14ac:dyDescent="0.25">
      <c r="A194" s="212"/>
      <c r="B194" s="218" t="str">
        <f>Services!B194</f>
        <v>08D04</v>
      </c>
      <c r="C194" s="216" t="str">
        <f>Services!C194</f>
        <v>Sauvegarde des configurations logicielles (logiciels de base et applicatifs et paramètres de configuration)</v>
      </c>
      <c r="D194" s="210" t="str">
        <f t="shared" si="2"/>
        <v/>
      </c>
      <c r="E194" s="1378"/>
      <c r="F194" s="1378"/>
      <c r="G194" s="1378"/>
      <c r="H194" s="1378"/>
      <c r="I194" s="1378"/>
      <c r="J194" s="1378"/>
      <c r="K194" s="1378"/>
      <c r="L194" s="1378"/>
      <c r="M194" s="1378"/>
      <c r="N194" s="1378"/>
      <c r="O194" s="1378"/>
      <c r="P194" s="1378"/>
      <c r="Q194" s="1378"/>
      <c r="R194" s="1378"/>
      <c r="S194" s="1378"/>
      <c r="T194" s="1378"/>
      <c r="U194" s="1378"/>
      <c r="V194" s="1378"/>
      <c r="W194" s="1378"/>
      <c r="X194" s="1378"/>
      <c r="Y194" s="1378"/>
      <c r="Z194" s="1378"/>
      <c r="AA194" s="1378"/>
      <c r="AB194" s="1378"/>
      <c r="AC194" s="1378"/>
      <c r="AD194" s="1378"/>
      <c r="AE194" s="1378"/>
      <c r="AF194" s="1378"/>
      <c r="AG194" s="1378"/>
      <c r="AH194" s="1378"/>
      <c r="AI194" s="1378"/>
      <c r="AJ194" s="1378"/>
      <c r="AK194" s="1378">
        <f>IF(INDEX(Tab_actions,222,1)=1,INDEX(Tab_actions,222,22),0)</f>
        <v>0</v>
      </c>
      <c r="AL194" s="1378">
        <f>IF(INDEX(Tab_actions,231,1)=1,INDEX(Tab_actions,231,19),0)</f>
        <v>0</v>
      </c>
      <c r="AM194" s="1378"/>
      <c r="AN194" s="1378">
        <f>IF(INDEX(Tab_actions,247,1)=1,INDEX(Tab_actions,247,22),0)</f>
        <v>0</v>
      </c>
      <c r="AO194" s="1378">
        <f>IF(INDEX(Tab_actions,256,1)=1,INDEX(Tab_actions,256,19),0)</f>
        <v>0</v>
      </c>
      <c r="AP194" s="1378"/>
      <c r="AQ194" s="1378"/>
      <c r="AR194" s="1378"/>
      <c r="AS194" s="1378"/>
      <c r="AT194" s="1378"/>
      <c r="AU194" s="1378"/>
      <c r="AV194" s="1378"/>
      <c r="AW194" s="1378"/>
      <c r="AX194" s="1378"/>
      <c r="AY194" s="1378"/>
      <c r="AZ194" s="1378"/>
      <c r="BA194" s="1378"/>
      <c r="BB194" s="1378"/>
      <c r="BC194" s="1378"/>
      <c r="BD194"/>
      <c r="BE194" s="198"/>
      <c r="BF194" s="198"/>
      <c r="BG194" s="198"/>
      <c r="BH194" s="198"/>
      <c r="BI194" s="198"/>
      <c r="BJ194" s="198"/>
      <c r="BK194" s="198"/>
      <c r="BL194" s="198"/>
      <c r="BM194" s="198"/>
      <c r="BN194" s="198"/>
      <c r="BO194" s="198"/>
      <c r="BP194" s="198"/>
      <c r="BQ194" s="198"/>
      <c r="BR194" s="198"/>
      <c r="BS194" s="198"/>
      <c r="BT194" s="198"/>
      <c r="BU194" s="198"/>
      <c r="BV194" s="198"/>
      <c r="BW194" s="198"/>
      <c r="BX194" s="198"/>
      <c r="BY194" s="198"/>
      <c r="BZ194" s="198"/>
      <c r="CA194" s="198"/>
      <c r="CB194" s="198"/>
      <c r="CC194" s="198"/>
      <c r="CD194" s="198"/>
      <c r="CE194" s="198"/>
      <c r="CF194" s="198"/>
      <c r="CG194" s="198"/>
      <c r="CH194" s="198"/>
      <c r="CI194" s="198"/>
      <c r="CJ194" s="198"/>
      <c r="CK194" s="198"/>
      <c r="CL194" s="198"/>
      <c r="CM194" s="198"/>
      <c r="CN194" s="198"/>
      <c r="CO194" s="198"/>
      <c r="CP194" s="198"/>
      <c r="CQ194" s="198"/>
      <c r="CR194" s="198"/>
      <c r="CS194" s="198"/>
      <c r="CT194" s="198"/>
      <c r="CU194" s="198"/>
      <c r="CV194" s="198"/>
      <c r="CW194" s="198"/>
      <c r="CX194" s="198"/>
      <c r="CY194" s="198"/>
      <c r="CZ194" s="198"/>
      <c r="DA194" s="198"/>
      <c r="DB194" s="198"/>
      <c r="DC194" s="198"/>
      <c r="DD194" s="198"/>
      <c r="DE194" s="198"/>
      <c r="DF194" s="198"/>
      <c r="DG194" s="198"/>
      <c r="DH194" s="198"/>
      <c r="DI194" s="198"/>
      <c r="DJ194" s="198"/>
      <c r="DK194" s="198"/>
      <c r="DL194" s="198"/>
      <c r="DM194" s="198"/>
      <c r="DN194" s="198"/>
      <c r="DO194" s="198"/>
      <c r="DP194" s="198"/>
      <c r="DQ194" s="198"/>
      <c r="DR194" s="198"/>
      <c r="DS194" s="198"/>
      <c r="DT194" s="198"/>
    </row>
    <row r="195" spans="1:124" s="172" customFormat="1" ht="15" outlineLevel="1" x14ac:dyDescent="0.25">
      <c r="A195" s="212"/>
      <c r="B195" s="218" t="str">
        <f>Services!B195</f>
        <v>08D05</v>
      </c>
      <c r="C195" s="216" t="str">
        <f>Services!C195</f>
        <v>Sauvegarde des données applicatives</v>
      </c>
      <c r="D195" s="210" t="str">
        <f t="shared" si="2"/>
        <v/>
      </c>
      <c r="E195" s="1378">
        <f>IF(INDEX(Tab_actions,11,1)=1,INDEX(Tab_actions,11,4),0)</f>
        <v>0</v>
      </c>
      <c r="F195" s="1378"/>
      <c r="G195" s="1378"/>
      <c r="H195" s="1378"/>
      <c r="I195" s="1378"/>
      <c r="J195" s="1378"/>
      <c r="K195" s="1378"/>
      <c r="L195" s="1378"/>
      <c r="M195" s="1378"/>
      <c r="N195" s="1378">
        <f>IF(INDEX(Tab_actions,61,1)=1,INDEX(Tab_actions,61,4),0)</f>
        <v>0</v>
      </c>
      <c r="O195" s="1378"/>
      <c r="P195" s="1378"/>
      <c r="Q195" s="1378"/>
      <c r="R195" s="1378"/>
      <c r="S195" s="1378"/>
      <c r="T195" s="1378"/>
      <c r="U195" s="1378"/>
      <c r="V195" s="1378"/>
      <c r="W195" s="1378"/>
      <c r="X195" s="1378"/>
      <c r="Y195" s="1378"/>
      <c r="Z195" s="1378"/>
      <c r="AA195" s="1378"/>
      <c r="AB195" s="1378"/>
      <c r="AC195" s="1378"/>
      <c r="AD195" s="1378"/>
      <c r="AE195" s="1378"/>
      <c r="AF195" s="1378"/>
      <c r="AG195" s="1378"/>
      <c r="AH195" s="1378"/>
      <c r="AI195" s="1378"/>
      <c r="AJ195" s="1378"/>
      <c r="AK195" s="1378"/>
      <c r="AL195" s="1378"/>
      <c r="AM195" s="1378"/>
      <c r="AN195" s="1378"/>
      <c r="AO195" s="1378"/>
      <c r="AP195" s="1378"/>
      <c r="AQ195" s="1378"/>
      <c r="AR195" s="1378"/>
      <c r="AS195" s="1378"/>
      <c r="AT195" s="1378"/>
      <c r="AU195" s="1378"/>
      <c r="AV195" s="1378"/>
      <c r="AW195" s="1378"/>
      <c r="AX195" s="1378"/>
      <c r="AY195" s="1378"/>
      <c r="AZ195" s="1378"/>
      <c r="BA195" s="1378"/>
      <c r="BB195" s="1378"/>
      <c r="BC195" s="1378"/>
      <c r="BD195"/>
      <c r="BE195" s="198"/>
      <c r="BF195" s="198"/>
      <c r="BG195" s="198"/>
      <c r="BH195" s="198"/>
      <c r="BI195" s="198"/>
      <c r="BJ195" s="198"/>
      <c r="BK195" s="198"/>
      <c r="BL195" s="198"/>
      <c r="BM195" s="198"/>
      <c r="BN195" s="198"/>
      <c r="BO195" s="198"/>
      <c r="BP195" s="198"/>
      <c r="BQ195" s="198"/>
      <c r="BR195" s="198"/>
      <c r="BS195" s="198"/>
      <c r="BT195" s="198"/>
      <c r="BU195" s="198"/>
      <c r="BV195" s="198"/>
      <c r="BW195" s="198"/>
      <c r="BX195" s="198"/>
      <c r="BY195" s="198"/>
      <c r="BZ195" s="198"/>
      <c r="CA195" s="198"/>
      <c r="CB195" s="198"/>
      <c r="CC195" s="198"/>
      <c r="CD195" s="198"/>
      <c r="CE195" s="198"/>
      <c r="CF195" s="198"/>
      <c r="CG195" s="198"/>
      <c r="CH195" s="198"/>
      <c r="CI195" s="198"/>
      <c r="CJ195" s="198"/>
      <c r="CK195" s="198"/>
      <c r="CL195" s="198"/>
      <c r="CM195" s="198"/>
      <c r="CN195" s="198"/>
      <c r="CO195" s="198"/>
      <c r="CP195" s="198"/>
      <c r="CQ195" s="198"/>
      <c r="CR195" s="198"/>
      <c r="CS195" s="198"/>
      <c r="CT195" s="198"/>
      <c r="CU195" s="198"/>
      <c r="CV195" s="198"/>
      <c r="CW195" s="198"/>
      <c r="CX195" s="198"/>
      <c r="CY195" s="198"/>
      <c r="CZ195" s="198"/>
      <c r="DA195" s="198"/>
      <c r="DB195" s="198"/>
      <c r="DC195" s="198"/>
      <c r="DD195" s="198"/>
      <c r="DE195" s="198"/>
      <c r="DF195" s="198"/>
      <c r="DG195" s="198"/>
      <c r="DH195" s="198"/>
      <c r="DI195" s="198"/>
      <c r="DJ195" s="198"/>
      <c r="DK195" s="198"/>
      <c r="DL195" s="198"/>
      <c r="DM195" s="198"/>
      <c r="DN195" s="198"/>
      <c r="DO195" s="198"/>
      <c r="DP195" s="198"/>
      <c r="DQ195" s="198"/>
      <c r="DR195" s="198"/>
      <c r="DS195" s="198"/>
      <c r="DT195" s="198"/>
    </row>
    <row r="196" spans="1:124" s="172" customFormat="1" ht="15" outlineLevel="1" x14ac:dyDescent="0.25">
      <c r="A196" s="212"/>
      <c r="B196" s="218" t="str">
        <f>Services!B196</f>
        <v>08D06</v>
      </c>
      <c r="C196" s="216" t="str">
        <f>Services!C196</f>
        <v>Plans de Reprise d'Activité des services informatiques</v>
      </c>
      <c r="D196" s="210" t="str">
        <f t="shared" si="2"/>
        <v/>
      </c>
      <c r="E196" s="1378"/>
      <c r="F196" s="1378"/>
      <c r="G196" s="1378"/>
      <c r="H196" s="1378"/>
      <c r="I196" s="1378"/>
      <c r="J196" s="1378"/>
      <c r="K196" s="1378"/>
      <c r="L196" s="1378"/>
      <c r="M196" s="1378"/>
      <c r="N196" s="1378"/>
      <c r="O196" s="1378"/>
      <c r="P196" s="1378"/>
      <c r="Q196" s="1378"/>
      <c r="R196" s="1378"/>
      <c r="S196" s="1378"/>
      <c r="T196" s="1378"/>
      <c r="U196" s="1378"/>
      <c r="V196" s="1378"/>
      <c r="W196" s="1378"/>
      <c r="X196" s="1378"/>
      <c r="Y196" s="1378"/>
      <c r="Z196" s="1378"/>
      <c r="AA196" s="1378"/>
      <c r="AB196" s="1378"/>
      <c r="AC196" s="1378"/>
      <c r="AD196" s="1378"/>
      <c r="AE196" s="1378"/>
      <c r="AF196" s="1378"/>
      <c r="AG196" s="1378"/>
      <c r="AH196" s="1378"/>
      <c r="AI196" s="1378"/>
      <c r="AJ196" s="1378"/>
      <c r="AK196" s="1378">
        <f>IF(INDEX(Tab_actions,222,1)=1,INDEX(Tab_actions,222,25),0)</f>
        <v>0</v>
      </c>
      <c r="AL196" s="1378">
        <f>IF(INDEX(Tab_actions,231,1)=1,INDEX(Tab_actions,231,22),0)</f>
        <v>0</v>
      </c>
      <c r="AM196" s="1378"/>
      <c r="AN196" s="1378">
        <f>IF(INDEX(Tab_actions,247,1)=1,INDEX(Tab_actions,247,25),0)</f>
        <v>0</v>
      </c>
      <c r="AO196" s="1378">
        <f>IF(INDEX(Tab_actions,256,1)=1,INDEX(Tab_actions,256,22),0)</f>
        <v>0</v>
      </c>
      <c r="AP196" s="1378"/>
      <c r="AQ196" s="1378"/>
      <c r="AR196" s="1378"/>
      <c r="AS196" s="1378"/>
      <c r="AT196" s="1378"/>
      <c r="AU196" s="1378"/>
      <c r="AV196" s="1378"/>
      <c r="AW196" s="1378"/>
      <c r="AX196" s="1378"/>
      <c r="AY196" s="1378"/>
      <c r="AZ196" s="1378"/>
      <c r="BA196" s="1378"/>
      <c r="BB196" s="1378"/>
      <c r="BC196" s="1378"/>
      <c r="BD196"/>
      <c r="BE196" s="198"/>
      <c r="BF196" s="198"/>
      <c r="BG196" s="198"/>
      <c r="BH196" s="198"/>
      <c r="BI196" s="198"/>
      <c r="BJ196" s="198"/>
      <c r="BK196" s="198"/>
      <c r="BL196" s="198"/>
      <c r="BM196" s="198"/>
      <c r="BN196" s="198"/>
      <c r="BO196" s="198"/>
      <c r="BP196" s="198"/>
      <c r="BQ196" s="198"/>
      <c r="BR196" s="198"/>
      <c r="BS196" s="198"/>
      <c r="BT196" s="198"/>
      <c r="BU196" s="198"/>
      <c r="BV196" s="198"/>
      <c r="BW196" s="198"/>
      <c r="BX196" s="198"/>
      <c r="BY196" s="198"/>
      <c r="BZ196" s="198"/>
      <c r="CA196" s="198"/>
      <c r="CB196" s="198"/>
      <c r="CC196" s="198"/>
      <c r="CD196" s="198"/>
      <c r="CE196" s="198"/>
      <c r="CF196" s="198"/>
      <c r="CG196" s="198"/>
      <c r="CH196" s="198"/>
      <c r="CI196" s="198"/>
      <c r="CJ196" s="198"/>
      <c r="CK196" s="198"/>
      <c r="CL196" s="198"/>
      <c r="CM196" s="198"/>
      <c r="CN196" s="198"/>
      <c r="CO196" s="198"/>
      <c r="CP196" s="198"/>
      <c r="CQ196" s="198"/>
      <c r="CR196" s="198"/>
      <c r="CS196" s="198"/>
      <c r="CT196" s="198"/>
      <c r="CU196" s="198"/>
      <c r="CV196" s="198"/>
      <c r="CW196" s="198"/>
      <c r="CX196" s="198"/>
      <c r="CY196" s="198"/>
      <c r="CZ196" s="198"/>
      <c r="DA196" s="198"/>
      <c r="DB196" s="198"/>
      <c r="DC196" s="198"/>
      <c r="DD196" s="198"/>
      <c r="DE196" s="198"/>
      <c r="DF196" s="198"/>
      <c r="DG196" s="198"/>
      <c r="DH196" s="198"/>
      <c r="DI196" s="198"/>
      <c r="DJ196" s="198"/>
      <c r="DK196" s="198"/>
      <c r="DL196" s="198"/>
      <c r="DM196" s="198"/>
      <c r="DN196" s="198"/>
      <c r="DO196" s="198"/>
      <c r="DP196" s="198"/>
      <c r="DQ196" s="198"/>
      <c r="DR196" s="198"/>
      <c r="DS196" s="198"/>
      <c r="DT196" s="198"/>
    </row>
    <row r="197" spans="1:124" s="172" customFormat="1" ht="15" outlineLevel="1" x14ac:dyDescent="0.25">
      <c r="A197" s="212"/>
      <c r="B197" s="218" t="str">
        <f>Services!B197</f>
        <v>08D07</v>
      </c>
      <c r="C197" s="216" t="str">
        <f>Services!C197</f>
        <v>Protection antivirale des serveurs de production</v>
      </c>
      <c r="D197" s="210" t="str">
        <f t="shared" ref="D197:D261" si="3">IF(MAX(E197:BE197)=0,"",MAX(E197:BE197))</f>
        <v/>
      </c>
      <c r="E197" s="1378"/>
      <c r="F197" s="1378">
        <f>IF(INDEX(Tab_actions,17,1)=1,INDEX(Tab_actions,17,4),0)</f>
        <v>0</v>
      </c>
      <c r="G197" s="1378">
        <f>IF(INDEX(Tab_actions,23,1)=1,INDEX(Tab_actions,23,4),0)</f>
        <v>0</v>
      </c>
      <c r="H197" s="1378"/>
      <c r="I197" s="1378"/>
      <c r="J197" s="1378"/>
      <c r="K197" s="1378"/>
      <c r="L197" s="1378"/>
      <c r="M197" s="1378"/>
      <c r="N197" s="1378"/>
      <c r="O197" s="1378"/>
      <c r="P197" s="1378"/>
      <c r="Q197" s="1378"/>
      <c r="R197" s="1378"/>
      <c r="S197" s="1378"/>
      <c r="T197" s="1378"/>
      <c r="U197" s="1378"/>
      <c r="V197" s="1378"/>
      <c r="W197" s="1378"/>
      <c r="X197" s="1378"/>
      <c r="Y197" s="1378"/>
      <c r="Z197" s="1378"/>
      <c r="AA197" s="1378"/>
      <c r="AB197" s="1378"/>
      <c r="AC197" s="1378"/>
      <c r="AD197" s="1378"/>
      <c r="AE197" s="1378"/>
      <c r="AF197" s="1378"/>
      <c r="AG197" s="1378"/>
      <c r="AH197" s="1378"/>
      <c r="AI197" s="1378"/>
      <c r="AJ197" s="1378"/>
      <c r="AK197" s="1378"/>
      <c r="AL197" s="1378"/>
      <c r="AM197" s="1378"/>
      <c r="AN197" s="1378"/>
      <c r="AO197" s="1378"/>
      <c r="AP197" s="1378"/>
      <c r="AQ197" s="1378"/>
      <c r="AR197" s="1378"/>
      <c r="AS197" s="1378"/>
      <c r="AT197" s="1378"/>
      <c r="AU197" s="1378"/>
      <c r="AV197" s="1378"/>
      <c r="AW197" s="1378"/>
      <c r="AX197" s="1378"/>
      <c r="AY197" s="1378"/>
      <c r="AZ197" s="1378"/>
      <c r="BA197" s="1378"/>
      <c r="BB197" s="1378"/>
      <c r="BC197" s="1378"/>
      <c r="BD197"/>
      <c r="BE197" s="198"/>
      <c r="BF197" s="198"/>
      <c r="BG197" s="198"/>
      <c r="BH197" s="198"/>
      <c r="BI197" s="198"/>
      <c r="BJ197" s="198"/>
      <c r="BK197" s="198"/>
      <c r="BL197" s="198"/>
      <c r="BM197" s="198"/>
      <c r="BN197" s="198"/>
      <c r="BO197" s="198"/>
      <c r="BP197" s="198"/>
      <c r="BQ197" s="198"/>
      <c r="BR197" s="198"/>
      <c r="BS197" s="198"/>
      <c r="BT197" s="198"/>
      <c r="BU197" s="198"/>
      <c r="BV197" s="198"/>
      <c r="BW197" s="198"/>
      <c r="BX197" s="198"/>
      <c r="BY197" s="198"/>
      <c r="BZ197" s="198"/>
      <c r="CA197" s="198"/>
      <c r="CB197" s="198"/>
      <c r="CC197" s="198"/>
      <c r="CD197" s="198"/>
      <c r="CE197" s="198"/>
      <c r="CF197" s="198"/>
      <c r="CG197" s="198"/>
      <c r="CH197" s="198"/>
      <c r="CI197" s="198"/>
      <c r="CJ197" s="198"/>
      <c r="CK197" s="198"/>
      <c r="CL197" s="198"/>
      <c r="CM197" s="198"/>
      <c r="CN197" s="198"/>
      <c r="CO197" s="198"/>
      <c r="CP197" s="198"/>
      <c r="CQ197" s="198"/>
      <c r="CR197" s="198"/>
      <c r="CS197" s="198"/>
      <c r="CT197" s="198"/>
      <c r="CU197" s="198"/>
      <c r="CV197" s="198"/>
      <c r="CW197" s="198"/>
      <c r="CX197" s="198"/>
      <c r="CY197" s="198"/>
      <c r="CZ197" s="198"/>
      <c r="DA197" s="198"/>
      <c r="DB197" s="198"/>
      <c r="DC197" s="198"/>
      <c r="DD197" s="198"/>
      <c r="DE197" s="198"/>
      <c r="DF197" s="198"/>
      <c r="DG197" s="198"/>
      <c r="DH197" s="198"/>
      <c r="DI197" s="198"/>
      <c r="DJ197" s="198"/>
      <c r="DK197" s="198"/>
      <c r="DL197" s="198"/>
      <c r="DM197" s="198"/>
      <c r="DN197" s="198"/>
      <c r="DO197" s="198"/>
      <c r="DP197" s="198"/>
      <c r="DQ197" s="198"/>
      <c r="DR197" s="198"/>
      <c r="DS197" s="198"/>
      <c r="DT197" s="198"/>
    </row>
    <row r="198" spans="1:124" s="172" customFormat="1" ht="15" outlineLevel="1" x14ac:dyDescent="0.25">
      <c r="A198" s="212"/>
      <c r="B198" s="218" t="str">
        <f>Services!B198</f>
        <v>08D08</v>
      </c>
      <c r="C198" s="216" t="str">
        <f>Services!C198</f>
        <v>Gestion des systèmes critiques (vis-à-vis de la permanence de la maintenance)</v>
      </c>
      <c r="D198" s="210" t="str">
        <f t="shared" si="3"/>
        <v/>
      </c>
      <c r="E198" s="1378"/>
      <c r="F198" s="1378"/>
      <c r="G198" s="1378"/>
      <c r="H198" s="1378"/>
      <c r="I198" s="1378"/>
      <c r="J198" s="1378"/>
      <c r="K198" s="1378"/>
      <c r="L198" s="1378"/>
      <c r="M198" s="1378"/>
      <c r="N198" s="1378"/>
      <c r="O198" s="1378"/>
      <c r="P198" s="1378"/>
      <c r="Q198" s="1378"/>
      <c r="R198" s="1378"/>
      <c r="S198" s="1378"/>
      <c r="T198" s="1378"/>
      <c r="U198" s="1378"/>
      <c r="V198" s="1378"/>
      <c r="W198" s="1378"/>
      <c r="X198" s="1378"/>
      <c r="Y198" s="1378"/>
      <c r="Z198" s="1378"/>
      <c r="AA198" s="1378"/>
      <c r="AB198" s="1378"/>
      <c r="AC198" s="1378"/>
      <c r="AD198" s="1378"/>
      <c r="AE198" s="1378"/>
      <c r="AF198" s="1378"/>
      <c r="AG198" s="1378"/>
      <c r="AH198" s="1378"/>
      <c r="AI198" s="1378"/>
      <c r="AJ198" s="1378"/>
      <c r="AK198" s="1378">
        <f>IF(INDEX(Tab_actions,221,1)=1,INDEX(Tab_actions,221,16),0)</f>
        <v>0</v>
      </c>
      <c r="AL198" s="1378">
        <f>IF(INDEX(Tab_actions,230,1)=1,INDEX(Tab_actions,230,16),0)</f>
        <v>0</v>
      </c>
      <c r="AM198" s="1378"/>
      <c r="AN198" s="1378">
        <f>IF(INDEX(Tab_actions,246,1)=1,INDEX(Tab_actions,246,16),0)</f>
        <v>0</v>
      </c>
      <c r="AO198" s="1378">
        <f>IF(INDEX(Tab_actions,255,1)=1,INDEX(Tab_actions,255,16),0)</f>
        <v>0</v>
      </c>
      <c r="AP198" s="1378"/>
      <c r="AQ198" s="1378"/>
      <c r="AR198" s="1378"/>
      <c r="AS198" s="1378"/>
      <c r="AT198" s="1378"/>
      <c r="AU198" s="1378"/>
      <c r="AV198" s="1378"/>
      <c r="AW198" s="1378"/>
      <c r="AX198" s="1378"/>
      <c r="AY198" s="1378"/>
      <c r="AZ198" s="1378"/>
      <c r="BA198" s="1378"/>
      <c r="BB198" s="1378"/>
      <c r="BC198" s="1378"/>
      <c r="BD198"/>
      <c r="BE198" s="198"/>
      <c r="BF198" s="198"/>
      <c r="BG198" s="198"/>
      <c r="BH198" s="198"/>
      <c r="BI198" s="198"/>
      <c r="BJ198" s="198"/>
      <c r="BK198" s="198"/>
      <c r="BL198" s="198"/>
      <c r="BM198" s="198"/>
      <c r="BN198" s="198"/>
      <c r="BO198" s="198"/>
      <c r="BP198" s="198"/>
      <c r="BQ198" s="198"/>
      <c r="BR198" s="198"/>
      <c r="BS198" s="198"/>
      <c r="BT198" s="198"/>
      <c r="BU198" s="198"/>
      <c r="BV198" s="198"/>
      <c r="BW198" s="198"/>
      <c r="BX198" s="198"/>
      <c r="BY198" s="198"/>
      <c r="BZ198" s="198"/>
      <c r="CA198" s="198"/>
      <c r="CB198" s="198"/>
      <c r="CC198" s="198"/>
      <c r="CD198" s="198"/>
      <c r="CE198" s="198"/>
      <c r="CF198" s="198"/>
      <c r="CG198" s="198"/>
      <c r="CH198" s="198"/>
      <c r="CI198" s="198"/>
      <c r="CJ198" s="198"/>
      <c r="CK198" s="198"/>
      <c r="CL198" s="198"/>
      <c r="CM198" s="198"/>
      <c r="CN198" s="198"/>
      <c r="CO198" s="198"/>
      <c r="CP198" s="198"/>
      <c r="CQ198" s="198"/>
      <c r="CR198" s="198"/>
      <c r="CS198" s="198"/>
      <c r="CT198" s="198"/>
      <c r="CU198" s="198"/>
      <c r="CV198" s="198"/>
      <c r="CW198" s="198"/>
      <c r="CX198" s="198"/>
      <c r="CY198" s="198"/>
      <c r="CZ198" s="198"/>
      <c r="DA198" s="198"/>
      <c r="DB198" s="198"/>
      <c r="DC198" s="198"/>
      <c r="DD198" s="198"/>
      <c r="DE198" s="198"/>
      <c r="DF198" s="198"/>
      <c r="DG198" s="198"/>
      <c r="DH198" s="198"/>
      <c r="DI198" s="198"/>
      <c r="DJ198" s="198"/>
      <c r="DK198" s="198"/>
      <c r="DL198" s="198"/>
      <c r="DM198" s="198"/>
      <c r="DN198" s="198"/>
      <c r="DO198" s="198"/>
      <c r="DP198" s="198"/>
      <c r="DQ198" s="198"/>
      <c r="DR198" s="198"/>
      <c r="DS198" s="198"/>
      <c r="DT198" s="198"/>
    </row>
    <row r="199" spans="1:124" s="172" customFormat="1" ht="15" outlineLevel="1" x14ac:dyDescent="0.25">
      <c r="A199" s="212"/>
      <c r="B199" s="218" t="str">
        <f>Services!B199</f>
        <v>08D09</v>
      </c>
      <c r="C199" s="216" t="str">
        <f>Services!C199</f>
        <v>Sauvegardes de secours (recours) externalisées</v>
      </c>
      <c r="D199" s="210" t="str">
        <f t="shared" si="3"/>
        <v/>
      </c>
      <c r="E199" s="1378">
        <f>IF(INDEX(Tab_actions,11,1)=1,INDEX(Tab_actions,11,7),0)</f>
        <v>0</v>
      </c>
      <c r="F199" s="1378">
        <f>IF(INDEX(Tab_actions,19,1)=1,INDEX(Tab_actions,19,4),0)</f>
        <v>0</v>
      </c>
      <c r="G199" s="1378"/>
      <c r="H199" s="1378"/>
      <c r="I199" s="1378"/>
      <c r="J199" s="1378"/>
      <c r="K199" s="1378"/>
      <c r="L199" s="1378"/>
      <c r="M199" s="1378"/>
      <c r="N199" s="1378">
        <f>IF(INDEX(Tab_actions,61,1)=1,INDEX(Tab_actions,61,7),0)</f>
        <v>0</v>
      </c>
      <c r="O199" s="1378"/>
      <c r="P199" s="1378"/>
      <c r="Q199" s="1378"/>
      <c r="R199" s="1378"/>
      <c r="S199" s="1378"/>
      <c r="T199" s="1378"/>
      <c r="U199" s="1378"/>
      <c r="V199" s="1378"/>
      <c r="W199" s="1378"/>
      <c r="X199" s="1378"/>
      <c r="Y199" s="1378"/>
      <c r="Z199" s="1378"/>
      <c r="AA199" s="1378"/>
      <c r="AB199" s="1378"/>
      <c r="AC199" s="1378"/>
      <c r="AD199" s="1378"/>
      <c r="AE199" s="1378"/>
      <c r="AF199" s="1378"/>
      <c r="AG199" s="1378"/>
      <c r="AH199" s="1378"/>
      <c r="AI199" s="1378"/>
      <c r="AJ199" s="1378"/>
      <c r="AK199" s="1378"/>
      <c r="AL199" s="1378"/>
      <c r="AM199" s="1378"/>
      <c r="AN199" s="1378"/>
      <c r="AO199" s="1378"/>
      <c r="AP199" s="1378"/>
      <c r="AQ199" s="1378"/>
      <c r="AR199" s="1378"/>
      <c r="AS199" s="1378"/>
      <c r="AT199" s="1378"/>
      <c r="AU199" s="1378"/>
      <c r="AV199" s="1378"/>
      <c r="AW199" s="1378"/>
      <c r="AX199" s="1378"/>
      <c r="AY199" s="1378"/>
      <c r="AZ199" s="1378"/>
      <c r="BA199" s="1378"/>
      <c r="BB199" s="1378"/>
      <c r="BC199" s="1378"/>
      <c r="BD199"/>
      <c r="BE199" s="198"/>
      <c r="BF199" s="198"/>
      <c r="BG199" s="198"/>
      <c r="BH199" s="198"/>
      <c r="BI199" s="198"/>
      <c r="BJ199" s="198"/>
      <c r="BK199" s="198"/>
      <c r="BL199" s="198"/>
      <c r="BM199" s="198"/>
      <c r="BN199" s="198"/>
      <c r="BO199" s="198"/>
      <c r="BP199" s="198"/>
      <c r="BQ199" s="198"/>
      <c r="BR199" s="198"/>
      <c r="BS199" s="198"/>
      <c r="BT199" s="198"/>
      <c r="BU199" s="198"/>
      <c r="BV199" s="198"/>
      <c r="BW199" s="198"/>
      <c r="BX199" s="198"/>
      <c r="BY199" s="198"/>
      <c r="BZ199" s="198"/>
      <c r="CA199" s="198"/>
      <c r="CB199" s="198"/>
      <c r="CC199" s="198"/>
      <c r="CD199" s="198"/>
      <c r="CE199" s="198"/>
      <c r="CF199" s="198"/>
      <c r="CG199" s="198"/>
      <c r="CH199" s="198"/>
      <c r="CI199" s="198"/>
      <c r="CJ199" s="198"/>
      <c r="CK199" s="198"/>
      <c r="CL199" s="198"/>
      <c r="CM199" s="198"/>
      <c r="CN199" s="198"/>
      <c r="CO199" s="198"/>
      <c r="CP199" s="198"/>
      <c r="CQ199" s="198"/>
      <c r="CR199" s="198"/>
      <c r="CS199" s="198"/>
      <c r="CT199" s="198"/>
      <c r="CU199" s="198"/>
      <c r="CV199" s="198"/>
      <c r="CW199" s="198"/>
      <c r="CX199" s="198"/>
      <c r="CY199" s="198"/>
      <c r="CZ199" s="198"/>
      <c r="DA199" s="198"/>
      <c r="DB199" s="198"/>
      <c r="DC199" s="198"/>
      <c r="DD199" s="198"/>
      <c r="DE199" s="198"/>
      <c r="DF199" s="198"/>
      <c r="DG199" s="198"/>
      <c r="DH199" s="198"/>
      <c r="DI199" s="198"/>
      <c r="DJ199" s="198"/>
      <c r="DK199" s="198"/>
      <c r="DL199" s="198"/>
      <c r="DM199" s="198"/>
      <c r="DN199" s="198"/>
      <c r="DO199" s="198"/>
      <c r="DP199" s="198"/>
      <c r="DQ199" s="198"/>
      <c r="DR199" s="198"/>
      <c r="DS199" s="198"/>
      <c r="DT199" s="198"/>
    </row>
    <row r="200" spans="1:124" s="230" customFormat="1" ht="15" outlineLevel="1" x14ac:dyDescent="0.25">
      <c r="A200" s="229"/>
      <c r="B200" s="218" t="str">
        <f>Services!B200</f>
        <v>08D10</v>
      </c>
      <c r="C200" s="216" t="str">
        <f>Services!C200</f>
        <v>Maintien des comptes d'accès</v>
      </c>
      <c r="D200" s="210" t="str">
        <f t="shared" si="3"/>
        <v/>
      </c>
      <c r="E200" s="1378"/>
      <c r="F200" s="1378"/>
      <c r="G200" s="1378"/>
      <c r="H200" s="1378"/>
      <c r="I200" s="1378"/>
      <c r="J200" s="1378"/>
      <c r="K200" s="1378"/>
      <c r="L200" s="1378"/>
      <c r="M200" s="1378"/>
      <c r="N200" s="1378"/>
      <c r="O200" s="1378"/>
      <c r="P200" s="1378"/>
      <c r="Q200" s="1378"/>
      <c r="R200" s="1378"/>
      <c r="S200" s="1378"/>
      <c r="T200" s="1378"/>
      <c r="U200" s="1378"/>
      <c r="V200" s="1378"/>
      <c r="W200" s="1378"/>
      <c r="X200" s="1378"/>
      <c r="Y200" s="1378"/>
      <c r="Z200" s="1378"/>
      <c r="AA200" s="1378"/>
      <c r="AB200" s="1378"/>
      <c r="AC200" s="1378"/>
      <c r="AD200" s="1378"/>
      <c r="AE200" s="1378"/>
      <c r="AF200" s="1378"/>
      <c r="AG200" s="1378"/>
      <c r="AH200" s="1378"/>
      <c r="AI200" s="1378"/>
      <c r="AJ200" s="1378"/>
      <c r="AK200" s="1378">
        <f>IF(INDEX(Tab_actions,221,1)=1,INDEX(Tab_actions,221,19),0)</f>
        <v>0</v>
      </c>
      <c r="AL200" s="1378">
        <f>IF(INDEX(Tab_actions,230,1)=1,INDEX(Tab_actions,230,19),0)</f>
        <v>0</v>
      </c>
      <c r="AM200" s="1378"/>
      <c r="AN200" s="1378">
        <f>IF(INDEX(Tab_actions,246,1)=1,INDEX(Tab_actions,246,19),0)</f>
        <v>0</v>
      </c>
      <c r="AO200" s="1378">
        <f>IF(INDEX(Tab_actions,255,1)=1,INDEX(Tab_actions,255,19),0)</f>
        <v>0</v>
      </c>
      <c r="AP200" s="1378"/>
      <c r="AQ200" s="1378"/>
      <c r="AR200" s="1378"/>
      <c r="AS200" s="1378"/>
      <c r="AT200" s="1378"/>
      <c r="AU200" s="1378"/>
      <c r="AV200" s="1378"/>
      <c r="AW200" s="1378"/>
      <c r="AX200" s="1378"/>
      <c r="AY200" s="1378"/>
      <c r="AZ200" s="1378"/>
      <c r="BA200" s="1378"/>
      <c r="BB200" s="1378"/>
      <c r="BC200" s="1378"/>
      <c r="BD200"/>
      <c r="BE200" s="198"/>
      <c r="BF200" s="198"/>
      <c r="BG200" s="198"/>
      <c r="BH200" s="198"/>
      <c r="BI200" s="198"/>
      <c r="BJ200" s="198"/>
      <c r="BK200" s="198"/>
      <c r="BL200" s="198"/>
      <c r="BM200" s="198"/>
      <c r="BN200" s="198"/>
      <c r="BO200" s="198"/>
      <c r="BP200" s="198"/>
      <c r="BQ200" s="198"/>
      <c r="BR200" s="198"/>
      <c r="BS200" s="198"/>
      <c r="BT200" s="198"/>
      <c r="BU200" s="198"/>
      <c r="BV200" s="198"/>
      <c r="BW200" s="198"/>
      <c r="BX200" s="198"/>
      <c r="BY200" s="198"/>
      <c r="BZ200" s="198"/>
      <c r="CA200" s="198"/>
      <c r="CB200" s="198"/>
      <c r="CC200" s="198"/>
      <c r="CD200" s="198"/>
      <c r="CE200" s="198"/>
      <c r="CF200" s="198"/>
      <c r="CG200" s="198"/>
      <c r="CH200" s="198"/>
      <c r="CI200" s="198"/>
      <c r="CJ200" s="198"/>
      <c r="CK200" s="198"/>
      <c r="CL200" s="198"/>
      <c r="CM200" s="198"/>
      <c r="CN200" s="198"/>
      <c r="CO200" s="198"/>
      <c r="CP200" s="198"/>
      <c r="CQ200" s="198"/>
      <c r="CR200" s="198"/>
      <c r="CS200" s="198"/>
      <c r="CT200" s="198"/>
      <c r="CU200" s="198"/>
      <c r="CV200" s="198"/>
      <c r="CW200" s="198"/>
      <c r="CX200" s="198"/>
      <c r="CY200" s="198"/>
      <c r="CZ200" s="198"/>
      <c r="DA200" s="198"/>
      <c r="DB200" s="198"/>
      <c r="DC200" s="198"/>
      <c r="DD200" s="198"/>
      <c r="DE200" s="198"/>
      <c r="DF200" s="198"/>
      <c r="DG200" s="198"/>
      <c r="DH200" s="198"/>
      <c r="DI200" s="198"/>
      <c r="DJ200" s="198"/>
      <c r="DK200" s="198"/>
      <c r="DL200" s="198"/>
      <c r="DM200" s="198"/>
      <c r="DN200" s="198"/>
      <c r="DO200" s="198"/>
      <c r="DP200" s="198"/>
      <c r="DQ200" s="198"/>
      <c r="DR200" s="198"/>
      <c r="DS200" s="198"/>
      <c r="DT200" s="198"/>
    </row>
    <row r="201" spans="1:124" s="172" customFormat="1" ht="15" outlineLevel="1" x14ac:dyDescent="0.25">
      <c r="A201" s="212"/>
      <c r="B201" s="213" t="str">
        <f>Services!B201</f>
        <v>08E</v>
      </c>
      <c r="C201" s="214" t="str">
        <f>Services!C201</f>
        <v>Gestion et traitement des incidents</v>
      </c>
      <c r="D201" s="210" t="str">
        <f t="shared" si="3"/>
        <v/>
      </c>
      <c r="E201" s="1378"/>
      <c r="F201" s="1378"/>
      <c r="G201" s="1378"/>
      <c r="H201" s="1378"/>
      <c r="I201" s="1378"/>
      <c r="J201" s="1378"/>
      <c r="K201" s="1378"/>
      <c r="L201" s="1378"/>
      <c r="M201" s="1378"/>
      <c r="N201" s="1378"/>
      <c r="O201" s="1378"/>
      <c r="P201" s="1378"/>
      <c r="Q201" s="1378"/>
      <c r="R201" s="1378"/>
      <c r="S201" s="1378"/>
      <c r="T201" s="1378"/>
      <c r="U201" s="1378"/>
      <c r="V201" s="1378"/>
      <c r="W201" s="1378"/>
      <c r="X201" s="1378"/>
      <c r="Y201" s="1378"/>
      <c r="Z201" s="1378"/>
      <c r="AA201" s="1378"/>
      <c r="AB201" s="1378"/>
      <c r="AC201" s="1378"/>
      <c r="AD201" s="1378"/>
      <c r="AE201" s="1378"/>
      <c r="AF201" s="1378"/>
      <c r="AG201" s="1378"/>
      <c r="AH201" s="1378"/>
      <c r="AI201" s="1378"/>
      <c r="AJ201" s="1378"/>
      <c r="AK201" s="1378"/>
      <c r="AL201" s="1378"/>
      <c r="AM201" s="1378"/>
      <c r="AN201" s="1378"/>
      <c r="AO201" s="1378"/>
      <c r="AP201" s="1378"/>
      <c r="AQ201" s="1378"/>
      <c r="AR201" s="1378"/>
      <c r="AS201" s="1378"/>
      <c r="AT201" s="1378"/>
      <c r="AU201" s="1378"/>
      <c r="AV201" s="1378"/>
      <c r="AW201" s="1378"/>
      <c r="AX201" s="1378"/>
      <c r="AY201" s="1378"/>
      <c r="AZ201" s="1378"/>
      <c r="BA201" s="1378"/>
      <c r="BB201" s="1378"/>
      <c r="BC201" s="1378"/>
      <c r="BD201"/>
      <c r="BE201" s="198"/>
      <c r="BF201" s="198"/>
      <c r="BG201" s="198"/>
      <c r="BH201" s="198"/>
      <c r="BI201" s="198"/>
      <c r="BJ201" s="198"/>
      <c r="BK201" s="198"/>
      <c r="BL201" s="198"/>
      <c r="BM201" s="198"/>
      <c r="BN201" s="198"/>
      <c r="BO201" s="198"/>
      <c r="BP201" s="198"/>
      <c r="BQ201" s="198"/>
      <c r="BR201" s="198"/>
      <c r="BS201" s="198"/>
      <c r="BT201" s="198"/>
      <c r="BU201" s="198"/>
      <c r="BV201" s="198"/>
      <c r="BW201" s="198"/>
      <c r="BX201" s="198"/>
      <c r="BY201" s="198"/>
      <c r="BZ201" s="198"/>
      <c r="CA201" s="198"/>
      <c r="CB201" s="198"/>
      <c r="CC201" s="198"/>
      <c r="CD201" s="198"/>
      <c r="CE201" s="198"/>
      <c r="CF201" s="198"/>
      <c r="CG201" s="198"/>
      <c r="CH201" s="198"/>
      <c r="CI201" s="198"/>
      <c r="CJ201" s="198"/>
      <c r="CK201" s="198"/>
      <c r="CL201" s="198"/>
      <c r="CM201" s="198"/>
      <c r="CN201" s="198"/>
      <c r="CO201" s="198"/>
      <c r="CP201" s="198"/>
      <c r="CQ201" s="198"/>
      <c r="CR201" s="198"/>
      <c r="CS201" s="198"/>
      <c r="CT201" s="198"/>
      <c r="CU201" s="198"/>
      <c r="CV201" s="198"/>
      <c r="CW201" s="198"/>
      <c r="CX201" s="198"/>
      <c r="CY201" s="198"/>
      <c r="CZ201" s="198"/>
      <c r="DA201" s="198"/>
      <c r="DB201" s="198"/>
      <c r="DC201" s="198"/>
      <c r="DD201" s="198"/>
      <c r="DE201" s="198"/>
      <c r="DF201" s="198"/>
      <c r="DG201" s="198"/>
      <c r="DH201" s="198"/>
      <c r="DI201" s="198"/>
      <c r="DJ201" s="198"/>
      <c r="DK201" s="198"/>
      <c r="DL201" s="198"/>
      <c r="DM201" s="198"/>
      <c r="DN201" s="198"/>
      <c r="DO201" s="198"/>
      <c r="DP201" s="198"/>
      <c r="DQ201" s="198"/>
      <c r="DR201" s="198"/>
      <c r="DS201" s="198"/>
      <c r="DT201" s="198"/>
    </row>
    <row r="202" spans="1:124" s="172" customFormat="1" ht="15.75" customHeight="1" outlineLevel="1" x14ac:dyDescent="0.25">
      <c r="A202" s="217"/>
      <c r="B202" s="218" t="str">
        <f>Services!B202</f>
        <v>08E01</v>
      </c>
      <c r="C202" s="216" t="str">
        <f>Services!C202</f>
        <v>Détection et traitement (en temps réel) des anomalies et incidents d'exploitation</v>
      </c>
      <c r="D202" s="210" t="str">
        <f t="shared" si="3"/>
        <v/>
      </c>
      <c r="E202" s="1378"/>
      <c r="F202" s="1378"/>
      <c r="G202" s="1378"/>
      <c r="H202" s="1378"/>
      <c r="I202" s="1378"/>
      <c r="J202" s="1378"/>
      <c r="K202" s="1378"/>
      <c r="L202" s="1378"/>
      <c r="M202" s="1378"/>
      <c r="N202" s="1378"/>
      <c r="O202" s="1378"/>
      <c r="P202" s="1378"/>
      <c r="Q202" s="1378"/>
      <c r="R202" s="1378"/>
      <c r="S202" s="1378"/>
      <c r="T202" s="1378"/>
      <c r="U202" s="1378"/>
      <c r="V202" s="1378"/>
      <c r="W202" s="1378"/>
      <c r="X202" s="1378"/>
      <c r="Y202" s="1378"/>
      <c r="Z202" s="1378"/>
      <c r="AA202" s="1378"/>
      <c r="AB202" s="1378"/>
      <c r="AC202" s="1378"/>
      <c r="AD202" s="1378"/>
      <c r="AE202" s="1378"/>
      <c r="AF202" s="1378"/>
      <c r="AG202" s="1378"/>
      <c r="AH202" s="1378"/>
      <c r="AI202" s="1378"/>
      <c r="AJ202" s="1378"/>
      <c r="AK202" s="1378">
        <f>IF(AND(INDEX(Tab_actions,220,1)=1,INDEX(Tab_actions,219,1)=1),MAX(INDEX(Tab_actions,220,25),INDEX(Tab_actions,219,10)),IF(INDEX(Tab_actions,220,1)=1,INDEX(Tab_actions,220,25),IF(INDEX(Tab_actions,219,1)=1,INDEX(Tab_actions,219,10),0)))</f>
        <v>0</v>
      </c>
      <c r="AL202" s="1378">
        <f>IF(AND(INDEX(Tab_actions,229,1)=1,INDEX(Tab_actions,228,1)=1),MAX(INDEX(Tab_actions,229,25),INDEX(Tab_actions,228,10)),IF(INDEX(Tab_actions,229,1)=1,INDEX(Tab_actions,229,25),IF(INDEX(Tab_actions,228,1)=1,INDEX(Tab_actions,228,10),0)))</f>
        <v>0</v>
      </c>
      <c r="AM202" s="1378"/>
      <c r="AN202" s="1378">
        <f>IF(AND(INDEX(Tab_actions,245,1)=1,INDEX(Tab_actions,244,1)=1),MAX(INDEX(Tab_actions,245,25),INDEX(Tab_actions,244,10)),IF(INDEX(Tab_actions,245,1)=1,INDEX(Tab_actions,245,25),IF(INDEX(Tab_actions,244,1)=1,INDEX(Tab_actions,244,10),0)))</f>
        <v>0</v>
      </c>
      <c r="AO202" s="1378">
        <f>IF(AND(INDEX(Tab_actions,254,1)=1,INDEX(Tab_actions,253,1)=1),MAX(INDEX(Tab_actions,254,25),INDEX(Tab_actions,253,10)),IF(INDEX(Tab_actions,254,1)=1,INDEX(Tab_actions,254,25),IF(INDEX(Tab_actions,253,1)=1,INDEX(Tab_actions,253,10),0)))</f>
        <v>0</v>
      </c>
      <c r="AP202" s="1378"/>
      <c r="AQ202" s="1378"/>
      <c r="AR202" s="1378"/>
      <c r="AS202" s="1378"/>
      <c r="AT202" s="1378"/>
      <c r="AU202" s="1378"/>
      <c r="AV202" s="1378"/>
      <c r="AW202" s="1378"/>
      <c r="AX202" s="1378"/>
      <c r="AY202" s="1378"/>
      <c r="AZ202" s="1378"/>
      <c r="BA202" s="1378"/>
      <c r="BB202" s="1378"/>
      <c r="BC202" s="1378"/>
      <c r="BD202"/>
      <c r="BE202" s="198"/>
      <c r="BF202" s="198"/>
      <c r="BG202" s="198"/>
      <c r="BH202" s="198"/>
      <c r="BI202" s="198"/>
      <c r="BJ202" s="198"/>
      <c r="BK202" s="198"/>
      <c r="BL202" s="198"/>
      <c r="BM202" s="198"/>
      <c r="BN202" s="198"/>
      <c r="BO202" s="198"/>
      <c r="BP202" s="198"/>
      <c r="BQ202" s="198"/>
      <c r="BR202" s="198"/>
      <c r="BS202" s="198"/>
      <c r="BT202" s="198"/>
      <c r="BU202" s="198"/>
      <c r="BV202" s="198"/>
      <c r="BW202" s="198"/>
      <c r="BX202" s="198"/>
      <c r="BY202" s="198"/>
      <c r="BZ202" s="198"/>
      <c r="CA202" s="198"/>
      <c r="CB202" s="198"/>
      <c r="CC202" s="198"/>
      <c r="CD202" s="198"/>
      <c r="CE202" s="198"/>
      <c r="CF202" s="198"/>
      <c r="CG202" s="198"/>
      <c r="CH202" s="198"/>
      <c r="CI202" s="198"/>
      <c r="CJ202" s="198"/>
      <c r="CK202" s="198"/>
      <c r="CL202" s="198"/>
      <c r="CM202" s="198"/>
      <c r="CN202" s="198"/>
      <c r="CO202" s="198"/>
      <c r="CP202" s="198"/>
      <c r="CQ202" s="198"/>
      <c r="CR202" s="198"/>
      <c r="CS202" s="198"/>
      <c r="CT202" s="198"/>
      <c r="CU202" s="198"/>
      <c r="CV202" s="198"/>
      <c r="CW202" s="198"/>
      <c r="CX202" s="198"/>
      <c r="CY202" s="198"/>
      <c r="CZ202" s="198"/>
      <c r="DA202" s="198"/>
      <c r="DB202" s="198"/>
      <c r="DC202" s="198"/>
      <c r="DD202" s="198"/>
      <c r="DE202" s="198"/>
      <c r="DF202" s="198"/>
      <c r="DG202" s="198"/>
      <c r="DH202" s="198"/>
      <c r="DI202" s="198"/>
      <c r="DJ202" s="198"/>
      <c r="DK202" s="198"/>
      <c r="DL202" s="198"/>
      <c r="DM202" s="198"/>
      <c r="DN202" s="198"/>
      <c r="DO202" s="198"/>
      <c r="DP202" s="198"/>
      <c r="DQ202" s="198"/>
      <c r="DR202" s="198"/>
      <c r="DS202" s="198"/>
      <c r="DT202" s="198"/>
    </row>
    <row r="203" spans="1:124" s="172" customFormat="1" ht="14.25" outlineLevel="1" x14ac:dyDescent="0.25">
      <c r="A203" s="217"/>
      <c r="B203" s="218" t="str">
        <f>Services!B203</f>
        <v>08E02</v>
      </c>
      <c r="C203" s="216" t="str">
        <f>Services!C203</f>
        <v>Surveillance, en temps différé, des traces, logs et journaux</v>
      </c>
      <c r="D203" s="210" t="str">
        <f t="shared" si="3"/>
        <v/>
      </c>
      <c r="E203" s="1378">
        <f>IF(AND(INDEX(Tab_actions,10,1)=1,INDEX(Tab_actions,5,1)=1),MAX(INDEX(Tab_actions,10,4),INDEX(Tab_actions,5,10)),IF(INDEX(Tab_actions,10,1)=1,INDEX(Tab_actions,10,4),IF(INDEX(Tab_actions,5,1)=1,INDEX(Tab_actions,5,10),0)))</f>
        <v>0</v>
      </c>
      <c r="F203" s="1378"/>
      <c r="G203" s="1378"/>
      <c r="H203" s="1378"/>
      <c r="I203" s="1378"/>
      <c r="J203" s="1378"/>
      <c r="K203" s="1378"/>
      <c r="L203" s="1378"/>
      <c r="M203" s="1378"/>
      <c r="N203" s="1378"/>
      <c r="O203" s="1378"/>
      <c r="P203" s="1378"/>
      <c r="Q203" s="1378"/>
      <c r="R203" s="1378"/>
      <c r="S203" s="1378"/>
      <c r="T203" s="1378"/>
      <c r="U203" s="1378"/>
      <c r="V203" s="1378"/>
      <c r="W203" s="1378"/>
      <c r="X203" s="1378"/>
      <c r="Y203" s="1378"/>
      <c r="Z203" s="1378"/>
      <c r="AA203" s="1378"/>
      <c r="AB203" s="1378"/>
      <c r="AC203" s="1378"/>
      <c r="AD203" s="1378"/>
      <c r="AE203" s="1378"/>
      <c r="AF203" s="1378"/>
      <c r="AG203" s="1378"/>
      <c r="AH203" s="1378"/>
      <c r="AI203" s="1378"/>
      <c r="AJ203" s="1378"/>
      <c r="AK203" s="1378">
        <f>IF(AND(INDEX(Tab_actions,220,1)=1,INDEX(Tab_actions,215,1)=1),MAX(INDEX(Tab_actions,220,28),INDEX(Tab_actions,215,13)),IF(INDEX(Tab_actions,220,1)=1,INDEX(Tab_actions,220,28),IF(INDEX(Tab_actions,215,1)=1,INDEX(Tab_actions,215,13),0)))</f>
        <v>0</v>
      </c>
      <c r="AL203" s="1378">
        <f>IF(AND(INDEX(Tab_actions,229,1)=1,INDEX(Tab_actions,224,1)=1),MAX(INDEX(Tab_actions,229,28),INDEX(Tab_actions,224,13)),IF(INDEX(Tab_actions,229,1)=1,INDEX(Tab_actions,229,28),IF(INDEX(Tab_actions,224,1)=1,INDEX(Tab_actions,224,13),0)))</f>
        <v>0</v>
      </c>
      <c r="AM203" s="1378"/>
      <c r="AN203" s="1378">
        <f>IF(AND(INDEX(Tab_actions,245,1)=1,INDEX(Tab_actions,240,1)=1),MAX(INDEX(Tab_actions,245,28),INDEX(Tab_actions,240,13)),IF(INDEX(Tab_actions,245,1)=1,INDEX(Tab_actions,245,28),IF(INDEX(Tab_actions,240,1)=1,INDEX(Tab_actions,240,13),0)))</f>
        <v>0</v>
      </c>
      <c r="AO203" s="1378">
        <f>IF(AND(INDEX(Tab_actions,254,1)=1,INDEX(Tab_actions,249,1)=1),MAX(INDEX(Tab_actions,254,28),INDEX(Tab_actions,249,13)),IF(INDEX(Tab_actions,254,1)=1,INDEX(Tab_actions,254,28),IF(INDEX(Tab_actions,249,1)=1,INDEX(Tab_actions,249,13),0)))</f>
        <v>0</v>
      </c>
      <c r="AP203" s="1378"/>
      <c r="AQ203" s="1378"/>
      <c r="AR203" s="1378"/>
      <c r="AS203" s="1378"/>
      <c r="AT203" s="1378"/>
      <c r="AU203" s="1378"/>
      <c r="AV203" s="1378"/>
      <c r="AW203" s="1378"/>
      <c r="AX203" s="1378"/>
      <c r="AY203" s="1378"/>
      <c r="AZ203" s="1378"/>
      <c r="BA203" s="1378"/>
      <c r="BB203" s="1378"/>
      <c r="BC203" s="1378"/>
      <c r="BD203"/>
      <c r="BE203" s="198"/>
      <c r="BF203" s="198"/>
      <c r="BG203" s="198"/>
      <c r="BH203" s="198"/>
      <c r="BI203" s="198"/>
      <c r="BJ203" s="198"/>
      <c r="BK203" s="198"/>
      <c r="BL203" s="198"/>
      <c r="BM203" s="198"/>
      <c r="BN203" s="198"/>
      <c r="BO203" s="198"/>
      <c r="BP203" s="198"/>
      <c r="BQ203" s="198"/>
      <c r="BR203" s="198"/>
      <c r="BS203" s="198"/>
      <c r="BT203" s="198"/>
      <c r="BU203" s="198"/>
      <c r="BV203" s="198"/>
      <c r="BW203" s="198"/>
      <c r="BX203" s="198"/>
      <c r="BY203" s="198"/>
      <c r="BZ203" s="198"/>
      <c r="CA203" s="198"/>
      <c r="CB203" s="198"/>
      <c r="CC203" s="198"/>
      <c r="CD203" s="198"/>
      <c r="CE203" s="198"/>
      <c r="CF203" s="198"/>
      <c r="CG203" s="198"/>
      <c r="CH203" s="198"/>
      <c r="CI203" s="198"/>
      <c r="CJ203" s="198"/>
      <c r="CK203" s="198"/>
      <c r="CL203" s="198"/>
      <c r="CM203" s="198"/>
      <c r="CN203" s="198"/>
      <c r="CO203" s="198"/>
      <c r="CP203" s="198"/>
      <c r="CQ203" s="198"/>
      <c r="CR203" s="198"/>
      <c r="CS203" s="198"/>
      <c r="CT203" s="198"/>
      <c r="CU203" s="198"/>
      <c r="CV203" s="198"/>
      <c r="CW203" s="198"/>
      <c r="CX203" s="198"/>
      <c r="CY203" s="198"/>
      <c r="CZ203" s="198"/>
      <c r="DA203" s="198"/>
      <c r="DB203" s="198"/>
      <c r="DC203" s="198"/>
      <c r="DD203" s="198"/>
      <c r="DE203" s="198"/>
      <c r="DF203" s="198"/>
      <c r="DG203" s="198"/>
      <c r="DH203" s="198"/>
      <c r="DI203" s="198"/>
      <c r="DJ203" s="198"/>
      <c r="DK203" s="198"/>
      <c r="DL203" s="198"/>
      <c r="DM203" s="198"/>
      <c r="DN203" s="198"/>
      <c r="DO203" s="198"/>
      <c r="DP203" s="198"/>
      <c r="DQ203" s="198"/>
      <c r="DR203" s="198"/>
      <c r="DS203" s="198"/>
      <c r="DT203" s="198"/>
    </row>
    <row r="204" spans="1:124" s="172" customFormat="1" ht="14.25" outlineLevel="1" x14ac:dyDescent="0.25">
      <c r="A204" s="217"/>
      <c r="B204" s="218" t="str">
        <f>Services!B204</f>
        <v>08E03</v>
      </c>
      <c r="C204" s="216" t="str">
        <f>Services!C204</f>
        <v>Gestion et traitement des incidents systèmes et applicatifs</v>
      </c>
      <c r="D204" s="210" t="str">
        <f t="shared" si="3"/>
        <v/>
      </c>
      <c r="E204" s="1378">
        <f>IF(INDEX(Tab_actions,10,1)=1,INDEX(Tab_actions,10,7),0)</f>
        <v>0</v>
      </c>
      <c r="F204" s="1378">
        <f>IF(INDEX(Tab_actions,18,1)=1,INDEX(Tab_actions,18,4),0)</f>
        <v>0</v>
      </c>
      <c r="G204" s="1378"/>
      <c r="H204" s="1378"/>
      <c r="I204" s="1378"/>
      <c r="J204" s="1378"/>
      <c r="K204" s="1378"/>
      <c r="L204" s="1378"/>
      <c r="M204" s="1378"/>
      <c r="N204" s="1378"/>
      <c r="O204" s="1378"/>
      <c r="P204" s="1378"/>
      <c r="Q204" s="1378"/>
      <c r="R204" s="1378"/>
      <c r="S204" s="1378"/>
      <c r="T204" s="1378"/>
      <c r="U204" s="1378"/>
      <c r="V204" s="1378"/>
      <c r="W204" s="1378"/>
      <c r="X204" s="1378"/>
      <c r="Y204" s="1378"/>
      <c r="Z204" s="1378"/>
      <c r="AA204" s="1378"/>
      <c r="AB204" s="1378"/>
      <c r="AC204" s="1378"/>
      <c r="AD204" s="1378"/>
      <c r="AE204" s="1378"/>
      <c r="AF204" s="1378"/>
      <c r="AG204" s="1378"/>
      <c r="AH204" s="1378"/>
      <c r="AI204" s="1378"/>
      <c r="AJ204" s="1378"/>
      <c r="AK204" s="1378">
        <f>IF(INDEX(Tab_actions,220,1)=1,INDEX(Tab_actions,220,31),0)</f>
        <v>0</v>
      </c>
      <c r="AL204" s="1378">
        <f>IF(INDEX(Tab_actions,229,1)=1,INDEX(Tab_actions,229,31),0)</f>
        <v>0</v>
      </c>
      <c r="AM204" s="1378"/>
      <c r="AN204" s="1378">
        <f>IF(INDEX(Tab_actions,245,1)=1,INDEX(Tab_actions,245,31),0)</f>
        <v>0</v>
      </c>
      <c r="AO204" s="1378">
        <f>IF(INDEX(Tab_actions,254,1)=1,INDEX(Tab_actions,254,31),0)</f>
        <v>0</v>
      </c>
      <c r="AP204" s="1378"/>
      <c r="AQ204" s="1378"/>
      <c r="AR204" s="1378"/>
      <c r="AS204" s="1378"/>
      <c r="AT204" s="1378"/>
      <c r="AU204" s="1378"/>
      <c r="AV204" s="1378"/>
      <c r="AW204" s="1378"/>
      <c r="AX204" s="1378"/>
      <c r="AY204" s="1378"/>
      <c r="AZ204" s="1378"/>
      <c r="BA204" s="1378"/>
      <c r="BB204" s="1378"/>
      <c r="BC204" s="1378"/>
      <c r="BD204"/>
      <c r="BE204" s="198"/>
      <c r="BF204" s="198"/>
      <c r="BG204" s="198"/>
      <c r="BH204" s="198"/>
      <c r="BI204" s="198"/>
      <c r="BJ204" s="198"/>
      <c r="BK204" s="198"/>
      <c r="BL204" s="198"/>
      <c r="BM204" s="198"/>
      <c r="BN204" s="198"/>
      <c r="BO204" s="198"/>
      <c r="BP204" s="198"/>
      <c r="BQ204" s="198"/>
      <c r="BR204" s="198"/>
      <c r="BS204" s="198"/>
      <c r="BT204" s="198"/>
      <c r="BU204" s="198"/>
      <c r="BV204" s="198"/>
      <c r="BW204" s="198"/>
      <c r="BX204" s="198"/>
      <c r="BY204" s="198"/>
      <c r="BZ204" s="198"/>
      <c r="CA204" s="198"/>
      <c r="CB204" s="198"/>
      <c r="CC204" s="198"/>
      <c r="CD204" s="198"/>
      <c r="CE204" s="198"/>
      <c r="CF204" s="198"/>
      <c r="CG204" s="198"/>
      <c r="CH204" s="198"/>
      <c r="CI204" s="198"/>
      <c r="CJ204" s="198"/>
      <c r="CK204" s="198"/>
      <c r="CL204" s="198"/>
      <c r="CM204" s="198"/>
      <c r="CN204" s="198"/>
      <c r="CO204" s="198"/>
      <c r="CP204" s="198"/>
      <c r="CQ204" s="198"/>
      <c r="CR204" s="198"/>
      <c r="CS204" s="198"/>
      <c r="CT204" s="198"/>
      <c r="CU204" s="198"/>
      <c r="CV204" s="198"/>
      <c r="CW204" s="198"/>
      <c r="CX204" s="198"/>
      <c r="CY204" s="198"/>
      <c r="CZ204" s="198"/>
      <c r="DA204" s="198"/>
      <c r="DB204" s="198"/>
      <c r="DC204" s="198"/>
      <c r="DD204" s="198"/>
      <c r="DE204" s="198"/>
      <c r="DF204" s="198"/>
      <c r="DG204" s="198"/>
      <c r="DH204" s="198"/>
      <c r="DI204" s="198"/>
      <c r="DJ204" s="198"/>
      <c r="DK204" s="198"/>
      <c r="DL204" s="198"/>
      <c r="DM204" s="198"/>
      <c r="DN204" s="198"/>
      <c r="DO204" s="198"/>
      <c r="DP204" s="198"/>
      <c r="DQ204" s="198"/>
      <c r="DR204" s="198"/>
      <c r="DS204" s="198"/>
      <c r="DT204" s="198"/>
    </row>
    <row r="205" spans="1:124" s="172" customFormat="1" ht="15" outlineLevel="1" x14ac:dyDescent="0.25">
      <c r="A205" s="212"/>
      <c r="B205" s="213" t="str">
        <f>Services!B205</f>
        <v>08F</v>
      </c>
      <c r="C205" s="214" t="str">
        <f>Services!C205</f>
        <v>Contrôle des droits d'administration</v>
      </c>
      <c r="D205" s="210" t="str">
        <f t="shared" si="3"/>
        <v/>
      </c>
      <c r="E205" s="1378"/>
      <c r="F205" s="1378"/>
      <c r="G205" s="1378"/>
      <c r="H205" s="1378"/>
      <c r="I205" s="1378"/>
      <c r="J205" s="1378"/>
      <c r="K205" s="1378"/>
      <c r="L205" s="1378"/>
      <c r="M205" s="1378"/>
      <c r="N205" s="1378"/>
      <c r="O205" s="1378"/>
      <c r="P205" s="1378"/>
      <c r="Q205" s="1378"/>
      <c r="R205" s="1378"/>
      <c r="S205" s="1378"/>
      <c r="T205" s="1378"/>
      <c r="U205" s="1378"/>
      <c r="V205" s="1378"/>
      <c r="W205" s="1378"/>
      <c r="X205" s="1378"/>
      <c r="Y205" s="1378"/>
      <c r="Z205" s="1378"/>
      <c r="AA205" s="1378"/>
      <c r="AB205" s="1378"/>
      <c r="AC205" s="1378"/>
      <c r="AD205" s="1378"/>
      <c r="AE205" s="1378"/>
      <c r="AF205" s="1378"/>
      <c r="AG205" s="1378"/>
      <c r="AH205" s="1378"/>
      <c r="AI205" s="1378"/>
      <c r="AJ205" s="1378"/>
      <c r="AK205" s="1378"/>
      <c r="AL205" s="1378"/>
      <c r="AM205" s="1378"/>
      <c r="AN205" s="1378"/>
      <c r="AO205" s="1378"/>
      <c r="AP205" s="1378"/>
      <c r="AQ205" s="1378"/>
      <c r="AR205" s="1378"/>
      <c r="AS205" s="1378"/>
      <c r="AT205" s="1378"/>
      <c r="AU205" s="1378"/>
      <c r="AV205" s="1378"/>
      <c r="AW205" s="1378"/>
      <c r="AX205" s="1378"/>
      <c r="AY205" s="1378"/>
      <c r="AZ205" s="1378"/>
      <c r="BA205" s="1378"/>
      <c r="BB205" s="1378"/>
      <c r="BC205" s="1378"/>
      <c r="BD205"/>
      <c r="BE205" s="198"/>
      <c r="BF205" s="198"/>
      <c r="BG205" s="198"/>
      <c r="BH205" s="198"/>
      <c r="BI205" s="198"/>
      <c r="BJ205" s="198"/>
      <c r="BK205" s="198"/>
      <c r="BL205" s="198"/>
      <c r="BM205" s="198"/>
      <c r="BN205" s="198"/>
      <c r="BO205" s="198"/>
      <c r="BP205" s="198"/>
      <c r="BQ205" s="198"/>
      <c r="BR205" s="198"/>
      <c r="BS205" s="198"/>
      <c r="BT205" s="198"/>
      <c r="BU205" s="198"/>
      <c r="BV205" s="198"/>
      <c r="BW205" s="198"/>
      <c r="BX205" s="198"/>
      <c r="BY205" s="198"/>
      <c r="BZ205" s="198"/>
      <c r="CA205" s="198"/>
      <c r="CB205" s="198"/>
      <c r="CC205" s="198"/>
      <c r="CD205" s="198"/>
      <c r="CE205" s="198"/>
      <c r="CF205" s="198"/>
      <c r="CG205" s="198"/>
      <c r="CH205" s="198"/>
      <c r="CI205" s="198"/>
      <c r="CJ205" s="198"/>
      <c r="CK205" s="198"/>
      <c r="CL205" s="198"/>
      <c r="CM205" s="198"/>
      <c r="CN205" s="198"/>
      <c r="CO205" s="198"/>
      <c r="CP205" s="198"/>
      <c r="CQ205" s="198"/>
      <c r="CR205" s="198"/>
      <c r="CS205" s="198"/>
      <c r="CT205" s="198"/>
      <c r="CU205" s="198"/>
      <c r="CV205" s="198"/>
      <c r="CW205" s="198"/>
      <c r="CX205" s="198"/>
      <c r="CY205" s="198"/>
      <c r="CZ205" s="198"/>
      <c r="DA205" s="198"/>
      <c r="DB205" s="198"/>
      <c r="DC205" s="198"/>
      <c r="DD205" s="198"/>
      <c r="DE205" s="198"/>
      <c r="DF205" s="198"/>
      <c r="DG205" s="198"/>
      <c r="DH205" s="198"/>
      <c r="DI205" s="198"/>
      <c r="DJ205" s="198"/>
      <c r="DK205" s="198"/>
      <c r="DL205" s="198"/>
      <c r="DM205" s="198"/>
      <c r="DN205" s="198"/>
      <c r="DO205" s="198"/>
      <c r="DP205" s="198"/>
      <c r="DQ205" s="198"/>
      <c r="DR205" s="198"/>
      <c r="DS205" s="198"/>
      <c r="DT205" s="198"/>
    </row>
    <row r="206" spans="1:124" s="172" customFormat="1" ht="25.5" outlineLevel="1" x14ac:dyDescent="0.25">
      <c r="A206" s="217"/>
      <c r="B206" s="218" t="str">
        <f>Services!B206</f>
        <v>08F01</v>
      </c>
      <c r="C206" s="216" t="str">
        <f>Services!C206</f>
        <v>Gestion des attributions de droits privilégiés sur les systèmes (droits d'administrateur)</v>
      </c>
      <c r="D206" s="210" t="str">
        <f t="shared" si="3"/>
        <v/>
      </c>
      <c r="E206" s="1378">
        <f>IF(INDEX(Tab_actions,7,1)=1,INDEX(Tab_actions,7,16),0)</f>
        <v>0</v>
      </c>
      <c r="F206" s="1378"/>
      <c r="G206" s="1378"/>
      <c r="H206" s="1378"/>
      <c r="I206" s="1378"/>
      <c r="J206" s="1378"/>
      <c r="K206" s="1378"/>
      <c r="L206" s="1378"/>
      <c r="M206" s="1378"/>
      <c r="N206" s="1378"/>
      <c r="O206" s="1378">
        <f>IF(INDEX(Tab_actions,65,1)=1,INDEX(Tab_actions,65,19),0)</f>
        <v>0</v>
      </c>
      <c r="P206" s="1378">
        <f>IF(INDEX(Tab_actions,76,1)=1,INDEX(Tab_actions,76,16),0)</f>
        <v>0</v>
      </c>
      <c r="Q206" s="1378"/>
      <c r="R206" s="1378"/>
      <c r="S206" s="1378"/>
      <c r="T206" s="1378"/>
      <c r="U206" s="1378"/>
      <c r="V206" s="1378">
        <f>IF(INDEX(Tab_actions,117,1)=1,INDEX(Tab_actions,117,28),0)</f>
        <v>0</v>
      </c>
      <c r="W206" s="1378"/>
      <c r="X206" s="1378"/>
      <c r="Y206" s="1378"/>
      <c r="Z206" s="1378"/>
      <c r="AA206" s="1378"/>
      <c r="AB206" s="1378">
        <f>IF(INDEX(Tab_actions,161,1)=1,INDEX(Tab_actions,161,16),0)</f>
        <v>0</v>
      </c>
      <c r="AC206" s="1378"/>
      <c r="AD206" s="1378"/>
      <c r="AE206" s="1378"/>
      <c r="AF206" s="1378"/>
      <c r="AG206" s="1378"/>
      <c r="AH206" s="1378"/>
      <c r="AI206" s="1378"/>
      <c r="AJ206" s="1378"/>
      <c r="AK206" s="1378">
        <f>IF(INDEX(Tab_actions,216,1)=1,INDEX(Tab_actions,216,16),0)</f>
        <v>0</v>
      </c>
      <c r="AL206" s="1378">
        <f>IF(INDEX(Tab_actions,225,1)=1,INDEX(Tab_actions,225,16),0)</f>
        <v>0</v>
      </c>
      <c r="AM206" s="1378"/>
      <c r="AN206" s="1378">
        <f>IF(INDEX(Tab_actions,241,1)=1,INDEX(Tab_actions,241,16),0)</f>
        <v>0</v>
      </c>
      <c r="AO206" s="1378">
        <f>IF(INDEX(Tab_actions,250,1)=1,INDEX(Tab_actions,250,16),0)</f>
        <v>0</v>
      </c>
      <c r="AP206" s="1378"/>
      <c r="AQ206" s="1378"/>
      <c r="AR206" s="1378"/>
      <c r="AS206" s="1378">
        <f>IF(INDEX(Tab_actions,275,1)=1,INDEX(Tab_actions,275,28),0)</f>
        <v>0</v>
      </c>
      <c r="AT206" s="1378">
        <f>IF(INDEX(Tab_actions,280,1)=1,INDEX(Tab_actions,280,19),0)</f>
        <v>0</v>
      </c>
      <c r="AU206" s="1378">
        <f>IF(INDEX(Tab_actions,286,1)=1,INDEX(Tab_actions,286,19),0)</f>
        <v>0</v>
      </c>
      <c r="AV206" s="1378">
        <f>IF(INDEX(Tab_actions,292,1)=1,INDEX(Tab_actions,292,28),0)</f>
        <v>0</v>
      </c>
      <c r="AW206" s="1378"/>
      <c r="AX206" s="1378"/>
      <c r="AY206" s="1378"/>
      <c r="AZ206" s="1378"/>
      <c r="BA206" s="1378"/>
      <c r="BB206" s="1378"/>
      <c r="BC206" s="1378"/>
      <c r="BD206"/>
      <c r="BE206" s="198"/>
      <c r="BF206" s="198"/>
      <c r="BG206" s="198"/>
      <c r="BH206" s="198"/>
      <c r="BI206" s="198"/>
      <c r="BJ206" s="198"/>
      <c r="BK206" s="198"/>
      <c r="BL206" s="198"/>
      <c r="BM206" s="198"/>
      <c r="BN206" s="198"/>
      <c r="BO206" s="198"/>
      <c r="BP206" s="198"/>
      <c r="BQ206" s="198"/>
      <c r="BR206" s="198"/>
      <c r="BS206" s="198"/>
      <c r="BT206" s="198"/>
      <c r="BU206" s="198"/>
      <c r="BV206" s="198"/>
      <c r="BW206" s="198"/>
      <c r="BX206" s="198"/>
      <c r="BY206" s="198"/>
      <c r="BZ206" s="198"/>
      <c r="CA206" s="198"/>
      <c r="CB206" s="198"/>
      <c r="CC206" s="198"/>
      <c r="CD206" s="198"/>
      <c r="CE206" s="198"/>
      <c r="CF206" s="198"/>
      <c r="CG206" s="198"/>
      <c r="CH206" s="198"/>
      <c r="CI206" s="198"/>
      <c r="CJ206" s="198"/>
      <c r="CK206" s="198"/>
      <c r="CL206" s="198"/>
      <c r="CM206" s="198"/>
      <c r="CN206" s="198"/>
      <c r="CO206" s="198"/>
      <c r="CP206" s="198"/>
      <c r="CQ206" s="198"/>
      <c r="CR206" s="198"/>
      <c r="CS206" s="198"/>
      <c r="CT206" s="198"/>
      <c r="CU206" s="198"/>
      <c r="CV206" s="198"/>
      <c r="CW206" s="198"/>
      <c r="CX206" s="198"/>
      <c r="CY206" s="198"/>
      <c r="CZ206" s="198"/>
      <c r="DA206" s="198"/>
      <c r="DB206" s="198"/>
      <c r="DC206" s="198"/>
      <c r="DD206" s="198"/>
      <c r="DE206" s="198"/>
      <c r="DF206" s="198"/>
      <c r="DG206" s="198"/>
      <c r="DH206" s="198"/>
      <c r="DI206" s="198"/>
      <c r="DJ206" s="198"/>
      <c r="DK206" s="198"/>
      <c r="DL206" s="198"/>
      <c r="DM206" s="198"/>
      <c r="DN206" s="198"/>
      <c r="DO206" s="198"/>
      <c r="DP206" s="198"/>
      <c r="DQ206" s="198"/>
      <c r="DR206" s="198"/>
      <c r="DS206" s="198"/>
      <c r="DT206" s="198"/>
    </row>
    <row r="207" spans="1:124" s="172" customFormat="1" ht="25.5" outlineLevel="1" x14ac:dyDescent="0.25">
      <c r="A207" s="217"/>
      <c r="B207" s="218" t="str">
        <f>Services!B207</f>
        <v>08F02</v>
      </c>
      <c r="C207" s="216" t="str">
        <f>Services!C207</f>
        <v>Authentification et contrôle des droits d'accès des administrateurs et personnels d'exploitation</v>
      </c>
      <c r="D207" s="210" t="str">
        <f t="shared" si="3"/>
        <v/>
      </c>
      <c r="E207" s="1378">
        <f>IF(AND(INDEX(Tab_actions,7,1)=1,INDEX(Tab_actions,5,1)=1),MAX(INDEX(Tab_actions,7,19),INDEX(Tab_actions,5,13)),IF(INDEX(Tab_actions,7,1)=1,INDEX(Tab_actions,7,19),IF(INDEX(Tab_actions,5,1)=1,INDEX(Tab_actions,5,13),0)))</f>
        <v>0</v>
      </c>
      <c r="F207" s="1378">
        <f>IF(INDEX(Tab_actions,13,1)=1,INDEX(Tab_actions,13,4),0)</f>
        <v>0</v>
      </c>
      <c r="G207" s="1378">
        <f>IF(INDEX(Tab_actions,21,1)=1,INDEX(Tab_actions,21,4),0)</f>
        <v>0</v>
      </c>
      <c r="H207" s="1378"/>
      <c r="I207" s="1378">
        <f>IF(AND(INDEX(Tab_actions,34,1)=1,INDEX(Tab_actions,33,1)=1),MAX(INDEX(Tab_actions,34,19),INDEX(Tab_actions,33,4)),IF(INDEX(Tab_actions,34,1)=1,INDEX(Tab_actions,34,19),IF(INDEX(Tab_actions,33,1)=1,INDEX(Tab_actions,33,4),0)))</f>
        <v>0</v>
      </c>
      <c r="J207" s="1378">
        <f>IF(AND(INDEX(Tab_actions,39,1)=1,INDEX(Tab_actions,38,1)=1),MAX(INDEX(Tab_actions,39,19),INDEX(Tab_actions,38,4)),IF(INDEX(Tab_actions,39,1)=1,INDEX(Tab_actions,39,19),IF(INDEX(Tab_actions,38,1)=1,INDEX(Tab_actions,38,4),0)))</f>
        <v>0</v>
      </c>
      <c r="K207" s="1378"/>
      <c r="L207" s="1378"/>
      <c r="M207" s="1378"/>
      <c r="N207" s="1378"/>
      <c r="O207" s="1378">
        <f>IF(INDEX(Tab_actions,65,1)=1,INDEX(Tab_actions,65,22),0)</f>
        <v>0</v>
      </c>
      <c r="P207" s="1378">
        <f>IF(INDEX(Tab_actions,76,1)=1,INDEX(Tab_actions,76,19),0)</f>
        <v>0</v>
      </c>
      <c r="Q207" s="1378"/>
      <c r="R207" s="1378"/>
      <c r="S207" s="1378"/>
      <c r="T207" s="1378"/>
      <c r="U207" s="1378"/>
      <c r="V207" s="1378">
        <f>IF(INDEX(Tab_actions,117,1)=1,INDEX(Tab_actions,117,31),0)</f>
        <v>0</v>
      </c>
      <c r="W207" s="1378">
        <f>IF(INDEX(Tab_actions,126,1)=1,INDEX(Tab_actions,126,31),0)</f>
        <v>0</v>
      </c>
      <c r="X207" s="1378">
        <f>IF(INDEX(Tab_actions,134,1)=1,INDEX(Tab_actions,134,19),0)</f>
        <v>0</v>
      </c>
      <c r="Y207" s="1378"/>
      <c r="Z207" s="1378"/>
      <c r="AA207" s="1378"/>
      <c r="AB207" s="1378">
        <f>IF(AND(INDEX(Tab_actions,161,1)=1,INDEX(Tab_actions,158,1)=1),MAX(INDEX(Tab_actions,161,19),INDEX(Tab_actions,158,10)),IF(INDEX(Tab_actions,161,1)=1,INDEX(Tab_actions,161,19),IF(INDEX(Tab_actions,158,1)=1,INDEX(Tab_actions,158,10),0)))</f>
        <v>0</v>
      </c>
      <c r="AC207" s="1378"/>
      <c r="AD207" s="1378"/>
      <c r="AE207" s="1378"/>
      <c r="AF207" s="1378"/>
      <c r="AG207" s="1378"/>
      <c r="AH207" s="1378"/>
      <c r="AI207" s="1378"/>
      <c r="AJ207" s="1378"/>
      <c r="AK207" s="1378">
        <f>IF(AND(INDEX(Tab_actions,216,1)=1,INDEX(Tab_actions,215,1)=1),MAX(INDEX(Tab_actions,216,19),INDEX(Tab_actions,215,16)),IF(INDEX(Tab_actions,216,1)=1,INDEX(Tab_actions,216,19),IF(INDEX(Tab_actions,215,1)=1,INDEX(Tab_actions,215,16),0)))</f>
        <v>0</v>
      </c>
      <c r="AL207" s="1378">
        <f>IF(AND(INDEX(Tab_actions,225,1)=1,INDEX(Tab_actions,224,1)=1),MAX(INDEX(Tab_actions,225,19),INDEX(Tab_actions,224,16)),IF(INDEX(Tab_actions,225,1)=1,INDEX(Tab_actions,225,19),IF(INDEX(Tab_actions,224,1)=1,INDEX(Tab_actions,224,16),0)))</f>
        <v>0</v>
      </c>
      <c r="AM207" s="1378"/>
      <c r="AN207" s="1378">
        <f>IF(AND(INDEX(Tab_actions,241,1)=1,INDEX(Tab_actions,240,1)=1),MAX(INDEX(Tab_actions,241,19),INDEX(Tab_actions,240,16)),IF(INDEX(Tab_actions,241,1)=1,INDEX(Tab_actions,241,19),IF(INDEX(Tab_actions,240,1)=1,INDEX(Tab_actions,240,16),0)))</f>
        <v>0</v>
      </c>
      <c r="AO207" s="1378">
        <f>IF(AND(INDEX(Tab_actions,250,1)=1,INDEX(Tab_actions,249,1)=1),MAX(INDEX(Tab_actions,250,19),INDEX(Tab_actions,249,16)),IF(INDEX(Tab_actions,250,1)=1,INDEX(Tab_actions,250,19),IF(INDEX(Tab_actions,249,1)=1,INDEX(Tab_actions,249,16),0)))</f>
        <v>0</v>
      </c>
      <c r="AP207" s="1378"/>
      <c r="AQ207" s="1378"/>
      <c r="AR207" s="1378"/>
      <c r="AS207" s="1378">
        <f>IF(INDEX(Tab_actions,275,1)=1,INDEX(Tab_actions,275,31),0)</f>
        <v>0</v>
      </c>
      <c r="AT207" s="1378">
        <f>IF(AND(INDEX(Tab_actions,280,1)=1,INDEX(Tab_actions,279,1)=1),MAX(INDEX(Tab_actions,280,22),INDEX(Tab_actions,279,10)),IF(INDEX(Tab_actions,280,1)=1,INDEX(Tab_actions,280,22),IF(INDEX(Tab_actions,279,1)=1,INDEX(Tab_actions,279,10),0)))</f>
        <v>0</v>
      </c>
      <c r="AU207" s="1378">
        <f>IF(AND(INDEX(Tab_actions,286,1)=1,INDEX(Tab_actions,285,1)=1),MAX(INDEX(Tab_actions,286,22),INDEX(Tab_actions,285,10)),IF(INDEX(Tab_actions,286,1)=1,INDEX(Tab_actions,286,22),IF(INDEX(Tab_actions,285,1)=1,INDEX(Tab_actions,285,10),0)))</f>
        <v>0</v>
      </c>
      <c r="AV207" s="1378">
        <f>IF(INDEX(Tab_actions,292,1)=1,INDEX(Tab_actions,292,31),0)</f>
        <v>0</v>
      </c>
      <c r="AW207" s="1378"/>
      <c r="AX207" s="1378"/>
      <c r="AY207" s="1378"/>
      <c r="AZ207" s="1378"/>
      <c r="BA207" s="1378"/>
      <c r="BB207" s="1378"/>
      <c r="BC207" s="1378"/>
      <c r="BD207"/>
      <c r="BE207" s="198"/>
      <c r="BF207" s="198"/>
      <c r="BG207" s="198"/>
      <c r="BH207" s="198"/>
      <c r="BI207" s="198"/>
      <c r="BJ207" s="198"/>
      <c r="BK207" s="198"/>
      <c r="BL207" s="198"/>
      <c r="BM207" s="198"/>
      <c r="BN207" s="198"/>
      <c r="BO207" s="198"/>
      <c r="BP207" s="198"/>
      <c r="BQ207" s="198"/>
      <c r="BR207" s="198"/>
      <c r="BS207" s="198"/>
      <c r="BT207" s="198"/>
      <c r="BU207" s="198"/>
      <c r="BV207" s="198"/>
      <c r="BW207" s="198"/>
      <c r="BX207" s="198"/>
      <c r="BY207" s="198"/>
      <c r="BZ207" s="198"/>
      <c r="CA207" s="198"/>
      <c r="CB207" s="198"/>
      <c r="CC207" s="198"/>
      <c r="CD207" s="198"/>
      <c r="CE207" s="198"/>
      <c r="CF207" s="198"/>
      <c r="CG207" s="198"/>
      <c r="CH207" s="198"/>
      <c r="CI207" s="198"/>
      <c r="CJ207" s="198"/>
      <c r="CK207" s="198"/>
      <c r="CL207" s="198"/>
      <c r="CM207" s="198"/>
      <c r="CN207" s="198"/>
      <c r="CO207" s="198"/>
      <c r="CP207" s="198"/>
      <c r="CQ207" s="198"/>
      <c r="CR207" s="198"/>
      <c r="CS207" s="198"/>
      <c r="CT207" s="198"/>
      <c r="CU207" s="198"/>
      <c r="CV207" s="198"/>
      <c r="CW207" s="198"/>
      <c r="CX207" s="198"/>
      <c r="CY207" s="198"/>
      <c r="CZ207" s="198"/>
      <c r="DA207" s="198"/>
      <c r="DB207" s="198"/>
      <c r="DC207" s="198"/>
      <c r="DD207" s="198"/>
      <c r="DE207" s="198"/>
      <c r="DF207" s="198"/>
      <c r="DG207" s="198"/>
      <c r="DH207" s="198"/>
      <c r="DI207" s="198"/>
      <c r="DJ207" s="198"/>
      <c r="DK207" s="198"/>
      <c r="DL207" s="198"/>
      <c r="DM207" s="198"/>
      <c r="DN207" s="198"/>
      <c r="DO207" s="198"/>
      <c r="DP207" s="198"/>
      <c r="DQ207" s="198"/>
      <c r="DR207" s="198"/>
      <c r="DS207" s="198"/>
      <c r="DT207" s="198"/>
    </row>
    <row r="208" spans="1:124" s="172" customFormat="1" ht="14.25" outlineLevel="1" x14ac:dyDescent="0.25">
      <c r="A208" s="217"/>
      <c r="B208" s="218" t="str">
        <f>Services!B208</f>
        <v>08F03</v>
      </c>
      <c r="C208" s="216" t="str">
        <f>Services!C208</f>
        <v>Surveillance des actions d'administration des systèmes</v>
      </c>
      <c r="D208" s="210" t="str">
        <f t="shared" si="3"/>
        <v/>
      </c>
      <c r="E208" s="1378">
        <f>IF(INDEX(Tab_actions,5,1)=1,INDEX(Tab_actions,5,16),0)</f>
        <v>0</v>
      </c>
      <c r="F208" s="1378">
        <f>IF(INDEX(Tab_actions,13,1)=1,INDEX(Tab_actions,13,7),0)</f>
        <v>0</v>
      </c>
      <c r="G208" s="1378">
        <f>IF(INDEX(Tab_actions,21,1)=1,INDEX(Tab_actions,21,7),0)</f>
        <v>0</v>
      </c>
      <c r="H208" s="1378"/>
      <c r="I208" s="1378">
        <f>IF(INDEX(Tab_actions,33,1)=1,INDEX(Tab_actions,33,7),0)</f>
        <v>0</v>
      </c>
      <c r="J208" s="1378">
        <f>IF(INDEX(Tab_actions,38,1)=1,INDEX(Tab_actions,38,7),0)</f>
        <v>0</v>
      </c>
      <c r="K208" s="1378"/>
      <c r="L208" s="1378"/>
      <c r="M208" s="1378"/>
      <c r="N208" s="1378"/>
      <c r="O208" s="1378"/>
      <c r="P208" s="1378"/>
      <c r="Q208" s="1378"/>
      <c r="R208" s="1378"/>
      <c r="S208" s="1378"/>
      <c r="T208" s="1378"/>
      <c r="U208" s="1378"/>
      <c r="V208" s="1378"/>
      <c r="W208" s="1378"/>
      <c r="X208" s="1378"/>
      <c r="Y208" s="1378"/>
      <c r="Z208" s="1378"/>
      <c r="AA208" s="1378"/>
      <c r="AB208" s="1378">
        <f>IF(INDEX(Tab_actions,158,1)=1,INDEX(Tab_actions,158,13),0)</f>
        <v>0</v>
      </c>
      <c r="AC208" s="1378"/>
      <c r="AD208" s="1378"/>
      <c r="AE208" s="1378"/>
      <c r="AF208" s="1378"/>
      <c r="AG208" s="1378"/>
      <c r="AH208" s="1378"/>
      <c r="AI208" s="1378"/>
      <c r="AJ208" s="1378"/>
      <c r="AK208" s="1378">
        <f>IF(INDEX(Tab_actions,215,1)=1,INDEX(Tab_actions,215,19),0)</f>
        <v>0</v>
      </c>
      <c r="AL208" s="1378">
        <f>IF(INDEX(Tab_actions,224,1)=1,INDEX(Tab_actions,224,19),0)</f>
        <v>0</v>
      </c>
      <c r="AM208" s="1378"/>
      <c r="AN208" s="1378">
        <f>IF(INDEX(Tab_actions,240,1)=1,INDEX(Tab_actions,240,19),0)</f>
        <v>0</v>
      </c>
      <c r="AO208" s="1378">
        <f>IF(INDEX(Tab_actions,249,1)=1,INDEX(Tab_actions,249,19),0)</f>
        <v>0</v>
      </c>
      <c r="AP208" s="1378"/>
      <c r="AQ208" s="1378"/>
      <c r="AR208" s="1378"/>
      <c r="AS208" s="1378">
        <f>IF(INDEX(Tab_actions,273,1)=1,INDEX(Tab_actions,273,16),0)</f>
        <v>0</v>
      </c>
      <c r="AT208" s="1378">
        <f>IF(INDEX(Tab_actions,279,1)=1,INDEX(Tab_actions,279,13),0)</f>
        <v>0</v>
      </c>
      <c r="AU208" s="1378">
        <f>IF(INDEX(Tab_actions,285,1)=1,INDEX(Tab_actions,285,13),0)</f>
        <v>0</v>
      </c>
      <c r="AV208" s="1378">
        <f>IF(INDEX(Tab_actions,290,1)=1,INDEX(Tab_actions,290,16),0)</f>
        <v>0</v>
      </c>
      <c r="AW208" s="1378"/>
      <c r="AX208" s="1378"/>
      <c r="AY208" s="1378"/>
      <c r="AZ208" s="1378"/>
      <c r="BA208" s="1378"/>
      <c r="BB208" s="1378"/>
      <c r="BC208" s="1378"/>
      <c r="BD208"/>
      <c r="BE208" s="198"/>
      <c r="BF208" s="198"/>
      <c r="BG208" s="198"/>
      <c r="BH208" s="198"/>
      <c r="BI208" s="198"/>
      <c r="BJ208" s="198"/>
      <c r="BK208" s="198"/>
      <c r="BL208" s="198"/>
      <c r="BM208" s="198"/>
      <c r="BN208" s="198"/>
      <c r="BO208" s="198"/>
      <c r="BP208" s="198"/>
      <c r="BQ208" s="198"/>
      <c r="BR208" s="198"/>
      <c r="BS208" s="198"/>
      <c r="BT208" s="198"/>
      <c r="BU208" s="198"/>
      <c r="BV208" s="198"/>
      <c r="BW208" s="198"/>
      <c r="BX208" s="198"/>
      <c r="BY208" s="198"/>
      <c r="BZ208" s="198"/>
      <c r="CA208" s="198"/>
      <c r="CB208" s="198"/>
      <c r="CC208" s="198"/>
      <c r="CD208" s="198"/>
      <c r="CE208" s="198"/>
      <c r="CF208" s="198"/>
      <c r="CG208" s="198"/>
      <c r="CH208" s="198"/>
      <c r="CI208" s="198"/>
      <c r="CJ208" s="198"/>
      <c r="CK208" s="198"/>
      <c r="CL208" s="198"/>
      <c r="CM208" s="198"/>
      <c r="CN208" s="198"/>
      <c r="CO208" s="198"/>
      <c r="CP208" s="198"/>
      <c r="CQ208" s="198"/>
      <c r="CR208" s="198"/>
      <c r="CS208" s="198"/>
      <c r="CT208" s="198"/>
      <c r="CU208" s="198"/>
      <c r="CV208" s="198"/>
      <c r="CW208" s="198"/>
      <c r="CX208" s="198"/>
      <c r="CY208" s="198"/>
      <c r="CZ208" s="198"/>
      <c r="DA208" s="198"/>
      <c r="DB208" s="198"/>
      <c r="DC208" s="198"/>
      <c r="DD208" s="198"/>
      <c r="DE208" s="198"/>
      <c r="DF208" s="198"/>
      <c r="DG208" s="198"/>
      <c r="DH208" s="198"/>
      <c r="DI208" s="198"/>
      <c r="DJ208" s="198"/>
      <c r="DK208" s="198"/>
      <c r="DL208" s="198"/>
      <c r="DM208" s="198"/>
      <c r="DN208" s="198"/>
      <c r="DO208" s="198"/>
      <c r="DP208" s="198"/>
      <c r="DQ208" s="198"/>
      <c r="DR208" s="198"/>
      <c r="DS208" s="198"/>
      <c r="DT208" s="198"/>
    </row>
    <row r="209" spans="1:124" s="172" customFormat="1" ht="25.5" outlineLevel="1" x14ac:dyDescent="0.25">
      <c r="A209" s="212"/>
      <c r="B209" s="213" t="str">
        <f>Services!B209</f>
        <v>08G</v>
      </c>
      <c r="C209" s="214" t="str">
        <f>Services!C209</f>
        <v>Procédures d'audit et de contrôle des systèmes de traitement de l'information</v>
      </c>
      <c r="D209" s="210" t="str">
        <f t="shared" si="3"/>
        <v/>
      </c>
      <c r="E209" s="1378"/>
      <c r="F209" s="1378"/>
      <c r="G209" s="1378"/>
      <c r="H209" s="1378"/>
      <c r="I209" s="1378"/>
      <c r="J209" s="1378"/>
      <c r="K209" s="1378"/>
      <c r="L209" s="1378"/>
      <c r="M209" s="1378"/>
      <c r="N209" s="1378"/>
      <c r="O209" s="1378"/>
      <c r="P209" s="1378"/>
      <c r="Q209" s="1378"/>
      <c r="R209" s="1378"/>
      <c r="S209" s="1378"/>
      <c r="T209" s="1378"/>
      <c r="U209" s="1378"/>
      <c r="V209" s="1378"/>
      <c r="W209" s="1378"/>
      <c r="X209" s="1378"/>
      <c r="Y209" s="1378"/>
      <c r="Z209" s="1378"/>
      <c r="AA209" s="1378"/>
      <c r="AB209" s="1378"/>
      <c r="AC209" s="1378"/>
      <c r="AD209" s="1378"/>
      <c r="AE209" s="1378"/>
      <c r="AF209" s="1378"/>
      <c r="AG209" s="1378"/>
      <c r="AH209" s="1378"/>
      <c r="AI209" s="1378"/>
      <c r="AJ209" s="1378"/>
      <c r="AK209" s="1378"/>
      <c r="AL209" s="1378"/>
      <c r="AM209" s="1378"/>
      <c r="AN209" s="1378"/>
      <c r="AO209" s="1378"/>
      <c r="AP209" s="1378"/>
      <c r="AQ209" s="1378"/>
      <c r="AR209" s="1378"/>
      <c r="AS209" s="1378"/>
      <c r="AT209" s="1378"/>
      <c r="AU209" s="1378"/>
      <c r="AV209" s="1378"/>
      <c r="AW209" s="1378"/>
      <c r="AX209" s="1378"/>
      <c r="AY209" s="1378"/>
      <c r="AZ209" s="1378"/>
      <c r="BA209" s="1378"/>
      <c r="BB209" s="1378"/>
      <c r="BC209" s="1378"/>
      <c r="BD209"/>
      <c r="BE209" s="198"/>
      <c r="BF209" s="198"/>
      <c r="BG209" s="198"/>
      <c r="BH209" s="198"/>
      <c r="BI209" s="198"/>
      <c r="BJ209" s="198"/>
      <c r="BK209" s="198"/>
      <c r="BL209" s="198"/>
      <c r="BM209" s="198"/>
      <c r="BN209" s="198"/>
      <c r="BO209" s="198"/>
      <c r="BP209" s="198"/>
      <c r="BQ209" s="198"/>
      <c r="BR209" s="198"/>
      <c r="BS209" s="198"/>
      <c r="BT209" s="198"/>
      <c r="BU209" s="198"/>
      <c r="BV209" s="198"/>
      <c r="BW209" s="198"/>
      <c r="BX209" s="198"/>
      <c r="BY209" s="198"/>
      <c r="BZ209" s="198"/>
      <c r="CA209" s="198"/>
      <c r="CB209" s="198"/>
      <c r="CC209" s="198"/>
      <c r="CD209" s="198"/>
      <c r="CE209" s="198"/>
      <c r="CF209" s="198"/>
      <c r="CG209" s="198"/>
      <c r="CH209" s="198"/>
      <c r="CI209" s="198"/>
      <c r="CJ209" s="198"/>
      <c r="CK209" s="198"/>
      <c r="CL209" s="198"/>
      <c r="CM209" s="198"/>
      <c r="CN209" s="198"/>
      <c r="CO209" s="198"/>
      <c r="CP209" s="198"/>
      <c r="CQ209" s="198"/>
      <c r="CR209" s="198"/>
      <c r="CS209" s="198"/>
      <c r="CT209" s="198"/>
      <c r="CU209" s="198"/>
      <c r="CV209" s="198"/>
      <c r="CW209" s="198"/>
      <c r="CX209" s="198"/>
      <c r="CY209" s="198"/>
      <c r="CZ209" s="198"/>
      <c r="DA209" s="198"/>
      <c r="DB209" s="198"/>
      <c r="DC209" s="198"/>
      <c r="DD209" s="198"/>
      <c r="DE209" s="198"/>
      <c r="DF209" s="198"/>
      <c r="DG209" s="198"/>
      <c r="DH209" s="198"/>
      <c r="DI209" s="198"/>
      <c r="DJ209" s="198"/>
      <c r="DK209" s="198"/>
      <c r="DL209" s="198"/>
      <c r="DM209" s="198"/>
      <c r="DN209" s="198"/>
      <c r="DO209" s="198"/>
      <c r="DP209" s="198"/>
      <c r="DQ209" s="198"/>
      <c r="DR209" s="198"/>
      <c r="DS209" s="198"/>
      <c r="DT209" s="198"/>
    </row>
    <row r="210" spans="1:124" s="172" customFormat="1" ht="14.25" outlineLevel="1" x14ac:dyDescent="0.25">
      <c r="A210" s="217"/>
      <c r="B210" s="218" t="str">
        <f>Services!B210</f>
        <v>08G01</v>
      </c>
      <c r="C210" s="216" t="str">
        <f>Services!C210</f>
        <v>Fonctionnement des contrôles d'audit</v>
      </c>
      <c r="D210" s="210" t="str">
        <f t="shared" si="3"/>
        <v/>
      </c>
      <c r="E210" s="1378"/>
      <c r="F210" s="1378"/>
      <c r="G210" s="1378"/>
      <c r="H210" s="1378"/>
      <c r="I210" s="1378"/>
      <c r="J210" s="1378"/>
      <c r="K210" s="1378"/>
      <c r="L210" s="1378"/>
      <c r="M210" s="1378"/>
      <c r="N210" s="1378"/>
      <c r="O210" s="1378"/>
      <c r="P210" s="1378"/>
      <c r="Q210" s="1378"/>
      <c r="R210" s="1378"/>
      <c r="S210" s="1378"/>
      <c r="T210" s="1378"/>
      <c r="U210" s="1378"/>
      <c r="V210" s="1378"/>
      <c r="W210" s="1378"/>
      <c r="X210" s="1378"/>
      <c r="Y210" s="1378"/>
      <c r="Z210" s="1378"/>
      <c r="AA210" s="1378"/>
      <c r="AB210" s="1378"/>
      <c r="AC210" s="1378"/>
      <c r="AD210" s="1378"/>
      <c r="AE210" s="1378"/>
      <c r="AF210" s="1378"/>
      <c r="AG210" s="1378"/>
      <c r="AH210" s="1378"/>
      <c r="AI210" s="1378"/>
      <c r="AJ210" s="1378"/>
      <c r="AK210" s="1378"/>
      <c r="AL210" s="1378"/>
      <c r="AM210" s="1378"/>
      <c r="AN210" s="1378"/>
      <c r="AO210" s="1378"/>
      <c r="AP210" s="1378"/>
      <c r="AQ210" s="1378"/>
      <c r="AR210" s="1378"/>
      <c r="AS210" s="1378"/>
      <c r="AT210" s="1378"/>
      <c r="AU210" s="1378"/>
      <c r="AV210" s="1378"/>
      <c r="AW210" s="1378"/>
      <c r="AX210" s="1378"/>
      <c r="AY210" s="1378"/>
      <c r="AZ210" s="1378"/>
      <c r="BA210" s="1378"/>
      <c r="BB210" s="1378"/>
      <c r="BC210" s="1378"/>
      <c r="BD210"/>
      <c r="BE210" s="198"/>
      <c r="BF210" s="198"/>
      <c r="BG210" s="198"/>
      <c r="BH210" s="198"/>
      <c r="BI210" s="198"/>
      <c r="BJ210" s="198"/>
      <c r="BK210" s="198"/>
      <c r="BL210" s="198"/>
      <c r="BM210" s="198"/>
      <c r="BN210" s="198"/>
      <c r="BO210" s="198"/>
      <c r="BP210" s="198"/>
      <c r="BQ210" s="198"/>
      <c r="BR210" s="198"/>
      <c r="BS210" s="198"/>
      <c r="BT210" s="198"/>
      <c r="BU210" s="198"/>
      <c r="BV210" s="198"/>
      <c r="BW210" s="198"/>
      <c r="BX210" s="198"/>
      <c r="BY210" s="198"/>
      <c r="BZ210" s="198"/>
      <c r="CA210" s="198"/>
      <c r="CB210" s="198"/>
      <c r="CC210" s="198"/>
      <c r="CD210" s="198"/>
      <c r="CE210" s="198"/>
      <c r="CF210" s="198"/>
      <c r="CG210" s="198"/>
      <c r="CH210" s="198"/>
      <c r="CI210" s="198"/>
      <c r="CJ210" s="198"/>
      <c r="CK210" s="198"/>
      <c r="CL210" s="198"/>
      <c r="CM210" s="198"/>
      <c r="CN210" s="198"/>
      <c r="CO210" s="198"/>
      <c r="CP210" s="198"/>
      <c r="CQ210" s="198"/>
      <c r="CR210" s="198"/>
      <c r="CS210" s="198"/>
      <c r="CT210" s="198"/>
      <c r="CU210" s="198"/>
      <c r="CV210" s="198"/>
      <c r="CW210" s="198"/>
      <c r="CX210" s="198"/>
      <c r="CY210" s="198"/>
      <c r="CZ210" s="198"/>
      <c r="DA210" s="198"/>
      <c r="DB210" s="198"/>
      <c r="DC210" s="198"/>
      <c r="DD210" s="198"/>
      <c r="DE210" s="198"/>
      <c r="DF210" s="198"/>
      <c r="DG210" s="198"/>
      <c r="DH210" s="198"/>
      <c r="DI210" s="198"/>
      <c r="DJ210" s="198"/>
      <c r="DK210" s="198"/>
      <c r="DL210" s="198"/>
      <c r="DM210" s="198"/>
      <c r="DN210" s="198"/>
      <c r="DO210" s="198"/>
      <c r="DP210" s="198"/>
      <c r="DQ210" s="198"/>
      <c r="DR210" s="198"/>
      <c r="DS210" s="198"/>
      <c r="DT210" s="198"/>
    </row>
    <row r="211" spans="1:124" s="172" customFormat="1" ht="14.25" outlineLevel="1" x14ac:dyDescent="0.25">
      <c r="A211" s="217"/>
      <c r="B211" s="218" t="str">
        <f>Services!B211</f>
        <v>08G02</v>
      </c>
      <c r="C211" s="216" t="str">
        <f>Services!C211</f>
        <v>Protection des outils et résultats d'audit</v>
      </c>
      <c r="D211" s="210" t="str">
        <f t="shared" si="3"/>
        <v/>
      </c>
      <c r="E211" s="1378"/>
      <c r="F211" s="1378"/>
      <c r="G211" s="1378"/>
      <c r="H211" s="1378"/>
      <c r="I211" s="1378"/>
      <c r="J211" s="1378"/>
      <c r="K211" s="1378"/>
      <c r="L211" s="1378"/>
      <c r="M211" s="1378"/>
      <c r="N211" s="1378"/>
      <c r="O211" s="1378"/>
      <c r="P211" s="1378"/>
      <c r="Q211" s="1378"/>
      <c r="R211" s="1378"/>
      <c r="S211" s="1378"/>
      <c r="T211" s="1378"/>
      <c r="U211" s="1378"/>
      <c r="V211" s="1378"/>
      <c r="W211" s="1378"/>
      <c r="X211" s="1378"/>
      <c r="Y211" s="1378"/>
      <c r="Z211" s="1378"/>
      <c r="AA211" s="1378"/>
      <c r="AB211" s="1378"/>
      <c r="AC211" s="1378"/>
      <c r="AD211" s="1378"/>
      <c r="AE211" s="1378"/>
      <c r="AF211" s="1378"/>
      <c r="AG211" s="1378"/>
      <c r="AH211" s="1378"/>
      <c r="AI211" s="1378"/>
      <c r="AJ211" s="1378"/>
      <c r="AK211" s="1378"/>
      <c r="AL211" s="1378"/>
      <c r="AM211" s="1378"/>
      <c r="AN211" s="1378"/>
      <c r="AO211" s="1378"/>
      <c r="AP211" s="1378"/>
      <c r="AQ211" s="1378"/>
      <c r="AR211" s="1378"/>
      <c r="AS211" s="1378"/>
      <c r="AT211" s="1378"/>
      <c r="AU211" s="1378"/>
      <c r="AV211" s="1378"/>
      <c r="AW211" s="1378"/>
      <c r="AX211" s="1378"/>
      <c r="AY211" s="1378"/>
      <c r="AZ211" s="1378"/>
      <c r="BA211" s="1378"/>
      <c r="BB211" s="1378"/>
      <c r="BC211" s="1378"/>
      <c r="BD211"/>
      <c r="BE211" s="198"/>
      <c r="BF211" s="198"/>
      <c r="BG211" s="198"/>
      <c r="BH211" s="198"/>
      <c r="BI211" s="198"/>
      <c r="BJ211" s="198"/>
      <c r="BK211" s="198"/>
      <c r="BL211" s="198"/>
      <c r="BM211" s="198"/>
      <c r="BN211" s="198"/>
      <c r="BO211" s="198"/>
      <c r="BP211" s="198"/>
      <c r="BQ211" s="198"/>
      <c r="BR211" s="198"/>
      <c r="BS211" s="198"/>
      <c r="BT211" s="198"/>
      <c r="BU211" s="198"/>
      <c r="BV211" s="198"/>
      <c r="BW211" s="198"/>
      <c r="BX211" s="198"/>
      <c r="BY211" s="198"/>
      <c r="BZ211" s="198"/>
      <c r="CA211" s="198"/>
      <c r="CB211" s="198"/>
      <c r="CC211" s="198"/>
      <c r="CD211" s="198"/>
      <c r="CE211" s="198"/>
      <c r="CF211" s="198"/>
      <c r="CG211" s="198"/>
      <c r="CH211" s="198"/>
      <c r="CI211" s="198"/>
      <c r="CJ211" s="198"/>
      <c r="CK211" s="198"/>
      <c r="CL211" s="198"/>
      <c r="CM211" s="198"/>
      <c r="CN211" s="198"/>
      <c r="CO211" s="198"/>
      <c r="CP211" s="198"/>
      <c r="CQ211" s="198"/>
      <c r="CR211" s="198"/>
      <c r="CS211" s="198"/>
      <c r="CT211" s="198"/>
      <c r="CU211" s="198"/>
      <c r="CV211" s="198"/>
      <c r="CW211" s="198"/>
      <c r="CX211" s="198"/>
      <c r="CY211" s="198"/>
      <c r="CZ211" s="198"/>
      <c r="DA211" s="198"/>
      <c r="DB211" s="198"/>
      <c r="DC211" s="198"/>
      <c r="DD211" s="198"/>
      <c r="DE211" s="198"/>
      <c r="DF211" s="198"/>
      <c r="DG211" s="198"/>
      <c r="DH211" s="198"/>
      <c r="DI211" s="198"/>
      <c r="DJ211" s="198"/>
      <c r="DK211" s="198"/>
      <c r="DL211" s="198"/>
      <c r="DM211" s="198"/>
      <c r="DN211" s="198"/>
      <c r="DO211" s="198"/>
      <c r="DP211" s="198"/>
      <c r="DQ211" s="198"/>
      <c r="DR211" s="198"/>
      <c r="DS211" s="198"/>
      <c r="DT211" s="198"/>
    </row>
    <row r="212" spans="1:124" s="172" customFormat="1" ht="15" outlineLevel="1" x14ac:dyDescent="0.25">
      <c r="A212" s="212"/>
      <c r="B212" s="213" t="str">
        <f>Services!B212</f>
        <v>08H</v>
      </c>
      <c r="C212" s="214" t="str">
        <f>Services!C212</f>
        <v>Gestion des archives informatiques</v>
      </c>
      <c r="D212" s="210" t="str">
        <f t="shared" si="3"/>
        <v/>
      </c>
      <c r="E212" s="1378"/>
      <c r="F212" s="1378"/>
      <c r="G212" s="1378"/>
      <c r="H212" s="1378"/>
      <c r="I212" s="1378"/>
      <c r="J212" s="1378"/>
      <c r="K212" s="1378"/>
      <c r="L212" s="1378"/>
      <c r="M212" s="1378"/>
      <c r="N212" s="1378"/>
      <c r="O212" s="1378"/>
      <c r="P212" s="1378"/>
      <c r="Q212" s="1378"/>
      <c r="R212" s="1378"/>
      <c r="S212" s="1378"/>
      <c r="T212" s="1378"/>
      <c r="U212" s="1378"/>
      <c r="V212" s="1378"/>
      <c r="W212" s="1378"/>
      <c r="X212" s="1378"/>
      <c r="Y212" s="1378"/>
      <c r="Z212" s="1378"/>
      <c r="AA212" s="1378"/>
      <c r="AB212" s="1378"/>
      <c r="AC212" s="1378"/>
      <c r="AD212" s="1378"/>
      <c r="AE212" s="1378"/>
      <c r="AF212" s="1378"/>
      <c r="AG212" s="1378"/>
      <c r="AH212" s="1378"/>
      <c r="AI212" s="1378"/>
      <c r="AJ212" s="1378"/>
      <c r="AK212" s="1378"/>
      <c r="AL212" s="1378"/>
      <c r="AM212" s="1378"/>
      <c r="AN212" s="1378"/>
      <c r="AO212" s="1378"/>
      <c r="AP212" s="1378"/>
      <c r="AQ212" s="1378"/>
      <c r="AR212" s="1378"/>
      <c r="AS212" s="1378"/>
      <c r="AT212" s="1378"/>
      <c r="AU212" s="1378"/>
      <c r="AV212" s="1378"/>
      <c r="AW212" s="1378"/>
      <c r="AX212" s="1378"/>
      <c r="AY212" s="1378"/>
      <c r="AZ212" s="1378"/>
      <c r="BA212" s="1378"/>
      <c r="BB212" s="1378"/>
      <c r="BC212" s="1378"/>
      <c r="BD212"/>
      <c r="BE212" s="198"/>
      <c r="BF212" s="198"/>
      <c r="BG212" s="198"/>
      <c r="BH212" s="198"/>
      <c r="BI212" s="198"/>
      <c r="BJ212" s="198"/>
      <c r="BK212" s="198"/>
      <c r="BL212" s="198"/>
      <c r="BM212" s="198"/>
      <c r="BN212" s="198"/>
      <c r="BO212" s="198"/>
      <c r="BP212" s="198"/>
      <c r="BQ212" s="198"/>
      <c r="BR212" s="198"/>
      <c r="BS212" s="198"/>
      <c r="BT212" s="198"/>
      <c r="BU212" s="198"/>
      <c r="BV212" s="198"/>
      <c r="BW212" s="198"/>
      <c r="BX212" s="198"/>
      <c r="BY212" s="198"/>
      <c r="BZ212" s="198"/>
      <c r="CA212" s="198"/>
      <c r="CB212" s="198"/>
      <c r="CC212" s="198"/>
      <c r="CD212" s="198"/>
      <c r="CE212" s="198"/>
      <c r="CF212" s="198"/>
      <c r="CG212" s="198"/>
      <c r="CH212" s="198"/>
      <c r="CI212" s="198"/>
      <c r="CJ212" s="198"/>
      <c r="CK212" s="198"/>
      <c r="CL212" s="198"/>
      <c r="CM212" s="198"/>
      <c r="CN212" s="198"/>
      <c r="CO212" s="198"/>
      <c r="CP212" s="198"/>
      <c r="CQ212" s="198"/>
      <c r="CR212" s="198"/>
      <c r="CS212" s="198"/>
      <c r="CT212" s="198"/>
      <c r="CU212" s="198"/>
      <c r="CV212" s="198"/>
      <c r="CW212" s="198"/>
      <c r="CX212" s="198"/>
      <c r="CY212" s="198"/>
      <c r="CZ212" s="198"/>
      <c r="DA212" s="198"/>
      <c r="DB212" s="198"/>
      <c r="DC212" s="198"/>
      <c r="DD212" s="198"/>
      <c r="DE212" s="198"/>
      <c r="DF212" s="198"/>
      <c r="DG212" s="198"/>
      <c r="DH212" s="198"/>
      <c r="DI212" s="198"/>
      <c r="DJ212" s="198"/>
      <c r="DK212" s="198"/>
      <c r="DL212" s="198"/>
      <c r="DM212" s="198"/>
      <c r="DN212" s="198"/>
      <c r="DO212" s="198"/>
      <c r="DP212" s="198"/>
      <c r="DQ212" s="198"/>
      <c r="DR212" s="198"/>
      <c r="DS212" s="198"/>
      <c r="DT212" s="198"/>
    </row>
    <row r="213" spans="1:124" s="172" customFormat="1" ht="14.25" outlineLevel="1" x14ac:dyDescent="0.25">
      <c r="A213" s="217"/>
      <c r="B213" s="218" t="str">
        <f>Services!B213</f>
        <v>08H01</v>
      </c>
      <c r="C213" s="216" t="str">
        <f>Services!C213</f>
        <v>Organisation de la gestion des archives informatiques</v>
      </c>
      <c r="D213" s="210" t="str">
        <f t="shared" si="3"/>
        <v/>
      </c>
      <c r="E213" s="1378"/>
      <c r="F213" s="1378"/>
      <c r="G213" s="1378"/>
      <c r="H213" s="1378"/>
      <c r="I213" s="1378"/>
      <c r="J213" s="1378"/>
      <c r="K213" s="1378"/>
      <c r="L213" s="1378"/>
      <c r="M213" s="1378">
        <f>IF(INDEX(Tab_actions,54,1)=1,INDEX(Tab_actions,54,4),0)</f>
        <v>0</v>
      </c>
      <c r="N213" s="1378"/>
      <c r="O213" s="1378"/>
      <c r="P213" s="1378"/>
      <c r="Q213" s="1378"/>
      <c r="R213" s="1378"/>
      <c r="S213" s="1378"/>
      <c r="T213" s="1378"/>
      <c r="U213" s="1378"/>
      <c r="V213" s="1378"/>
      <c r="W213" s="1378"/>
      <c r="X213" s="1378"/>
      <c r="Y213" s="1378"/>
      <c r="Z213" s="1378"/>
      <c r="AA213" s="1378"/>
      <c r="AB213" s="1378"/>
      <c r="AC213" s="1378"/>
      <c r="AD213" s="1378"/>
      <c r="AE213" s="1378"/>
      <c r="AF213" s="1378"/>
      <c r="AG213" s="1378"/>
      <c r="AH213" s="1378"/>
      <c r="AI213" s="1378"/>
      <c r="AJ213" s="1378"/>
      <c r="AK213" s="1378"/>
      <c r="AL213" s="1378"/>
      <c r="AM213" s="1378"/>
      <c r="AN213" s="1378"/>
      <c r="AO213" s="1378"/>
      <c r="AP213" s="1378"/>
      <c r="AQ213" s="1378"/>
      <c r="AR213" s="1378"/>
      <c r="AS213" s="1378"/>
      <c r="AT213" s="1378"/>
      <c r="AU213" s="1378"/>
      <c r="AV213" s="1378"/>
      <c r="AW213" s="1378"/>
      <c r="AX213" s="1378"/>
      <c r="AY213" s="1378"/>
      <c r="AZ213" s="1378"/>
      <c r="BA213" s="1378"/>
      <c r="BB213" s="1378"/>
      <c r="BC213" s="1378"/>
      <c r="BD213"/>
      <c r="BE213" s="198"/>
      <c r="BF213" s="198"/>
      <c r="BG213" s="198"/>
      <c r="BH213" s="198"/>
      <c r="BI213" s="198"/>
      <c r="BJ213" s="198"/>
      <c r="BK213" s="198"/>
      <c r="BL213" s="198"/>
      <c r="BM213" s="198"/>
      <c r="BN213" s="198"/>
      <c r="BO213" s="198"/>
      <c r="BP213" s="198"/>
      <c r="BQ213" s="198"/>
      <c r="BR213" s="198"/>
      <c r="BS213" s="198"/>
      <c r="BT213" s="198"/>
      <c r="BU213" s="198"/>
      <c r="BV213" s="198"/>
      <c r="BW213" s="198"/>
      <c r="BX213" s="198"/>
      <c r="BY213" s="198"/>
      <c r="BZ213" s="198"/>
      <c r="CA213" s="198"/>
      <c r="CB213" s="198"/>
      <c r="CC213" s="198"/>
      <c r="CD213" s="198"/>
      <c r="CE213" s="198"/>
      <c r="CF213" s="198"/>
      <c r="CG213" s="198"/>
      <c r="CH213" s="198"/>
      <c r="CI213" s="198"/>
      <c r="CJ213" s="198"/>
      <c r="CK213" s="198"/>
      <c r="CL213" s="198"/>
      <c r="CM213" s="198"/>
      <c r="CN213" s="198"/>
      <c r="CO213" s="198"/>
      <c r="CP213" s="198"/>
      <c r="CQ213" s="198"/>
      <c r="CR213" s="198"/>
      <c r="CS213" s="198"/>
      <c r="CT213" s="198"/>
      <c r="CU213" s="198"/>
      <c r="CV213" s="198"/>
      <c r="CW213" s="198"/>
      <c r="CX213" s="198"/>
      <c r="CY213" s="198"/>
      <c r="CZ213" s="198"/>
      <c r="DA213" s="198"/>
      <c r="DB213" s="198"/>
      <c r="DC213" s="198"/>
      <c r="DD213" s="198"/>
      <c r="DE213" s="198"/>
      <c r="DF213" s="198"/>
      <c r="DG213" s="198"/>
      <c r="DH213" s="198"/>
      <c r="DI213" s="198"/>
      <c r="DJ213" s="198"/>
      <c r="DK213" s="198"/>
      <c r="DL213" s="198"/>
      <c r="DM213" s="198"/>
      <c r="DN213" s="198"/>
      <c r="DO213" s="198"/>
      <c r="DP213" s="198"/>
      <c r="DQ213" s="198"/>
      <c r="DR213" s="198"/>
      <c r="DS213" s="198"/>
      <c r="DT213" s="198"/>
    </row>
    <row r="214" spans="1:124" s="172" customFormat="1" ht="14.25" outlineLevel="1" x14ac:dyDescent="0.25">
      <c r="A214" s="217"/>
      <c r="B214" s="218" t="str">
        <f>Services!B214</f>
        <v>08H02</v>
      </c>
      <c r="C214" s="216" t="str">
        <f>Services!C214</f>
        <v>Gestion des accès aux archives</v>
      </c>
      <c r="D214" s="210" t="str">
        <f t="shared" si="3"/>
        <v/>
      </c>
      <c r="E214" s="1378"/>
      <c r="F214" s="1378"/>
      <c r="G214" s="1378"/>
      <c r="H214" s="1378"/>
      <c r="I214" s="1378"/>
      <c r="J214" s="1378"/>
      <c r="K214" s="1378"/>
      <c r="L214" s="1378"/>
      <c r="M214" s="1378">
        <f>IF(INDEX(Tab_actions,56,1)=1,INDEX(Tab_actions,56,4),0)</f>
        <v>0</v>
      </c>
      <c r="N214" s="1378"/>
      <c r="O214" s="1378"/>
      <c r="P214" s="1378"/>
      <c r="Q214" s="1378"/>
      <c r="R214" s="1378"/>
      <c r="S214" s="1378"/>
      <c r="T214" s="1378"/>
      <c r="U214" s="1378">
        <f>IF(INDEX(Tab_actions,109,1)=1,INDEX(Tab_actions,109,4),0)</f>
        <v>0</v>
      </c>
      <c r="V214" s="1378"/>
      <c r="W214" s="1378"/>
      <c r="X214" s="1378"/>
      <c r="Y214" s="1378"/>
      <c r="Z214" s="1378"/>
      <c r="AA214" s="1378"/>
      <c r="AB214" s="1378"/>
      <c r="AC214" s="1378"/>
      <c r="AD214" s="1378"/>
      <c r="AE214" s="1378"/>
      <c r="AF214" s="1378"/>
      <c r="AG214" s="1378"/>
      <c r="AH214" s="1378"/>
      <c r="AI214" s="1378"/>
      <c r="AJ214" s="1378"/>
      <c r="AK214" s="1378"/>
      <c r="AL214" s="1378"/>
      <c r="AM214" s="1378"/>
      <c r="AN214" s="1378"/>
      <c r="AO214" s="1378"/>
      <c r="AP214" s="1378"/>
      <c r="AQ214" s="1378"/>
      <c r="AR214" s="1378"/>
      <c r="AS214" s="1378"/>
      <c r="AT214" s="1378"/>
      <c r="AU214" s="1378"/>
      <c r="AV214" s="1378"/>
      <c r="AW214" s="1378"/>
      <c r="AX214" s="1378"/>
      <c r="AY214" s="1378"/>
      <c r="AZ214" s="1378"/>
      <c r="BA214" s="1378"/>
      <c r="BB214" s="1378"/>
      <c r="BC214" s="1378"/>
      <c r="BD214"/>
      <c r="BE214" s="198"/>
      <c r="BF214" s="198"/>
      <c r="BG214" s="198"/>
      <c r="BH214" s="198"/>
      <c r="BI214" s="198"/>
      <c r="BJ214" s="198"/>
      <c r="BK214" s="198"/>
      <c r="BL214" s="198"/>
      <c r="BM214" s="198"/>
      <c r="BN214" s="198"/>
      <c r="BO214" s="198"/>
      <c r="BP214" s="198"/>
      <c r="BQ214" s="198"/>
      <c r="BR214" s="198"/>
      <c r="BS214" s="198"/>
      <c r="BT214" s="198"/>
      <c r="BU214" s="198"/>
      <c r="BV214" s="198"/>
      <c r="BW214" s="198"/>
      <c r="BX214" s="198"/>
      <c r="BY214" s="198"/>
      <c r="BZ214" s="198"/>
      <c r="CA214" s="198"/>
      <c r="CB214" s="198"/>
      <c r="CC214" s="198"/>
      <c r="CD214" s="198"/>
      <c r="CE214" s="198"/>
      <c r="CF214" s="198"/>
      <c r="CG214" s="198"/>
      <c r="CH214" s="198"/>
      <c r="CI214" s="198"/>
      <c r="CJ214" s="198"/>
      <c r="CK214" s="198"/>
      <c r="CL214" s="198"/>
      <c r="CM214" s="198"/>
      <c r="CN214" s="198"/>
      <c r="CO214" s="198"/>
      <c r="CP214" s="198"/>
      <c r="CQ214" s="198"/>
      <c r="CR214" s="198"/>
      <c r="CS214" s="198"/>
      <c r="CT214" s="198"/>
      <c r="CU214" s="198"/>
      <c r="CV214" s="198"/>
      <c r="CW214" s="198"/>
      <c r="CX214" s="198"/>
      <c r="CY214" s="198"/>
      <c r="CZ214" s="198"/>
      <c r="DA214" s="198"/>
      <c r="DB214" s="198"/>
      <c r="DC214" s="198"/>
      <c r="DD214" s="198"/>
      <c r="DE214" s="198"/>
      <c r="DF214" s="198"/>
      <c r="DG214" s="198"/>
      <c r="DH214" s="198"/>
      <c r="DI214" s="198"/>
      <c r="DJ214" s="198"/>
      <c r="DK214" s="198"/>
      <c r="DL214" s="198"/>
      <c r="DM214" s="198"/>
      <c r="DN214" s="198"/>
      <c r="DO214" s="198"/>
      <c r="DP214" s="198"/>
      <c r="DQ214" s="198"/>
      <c r="DR214" s="198"/>
      <c r="DS214" s="198"/>
      <c r="DT214" s="198"/>
    </row>
    <row r="215" spans="1:124" s="172" customFormat="1" ht="14.25" outlineLevel="1" x14ac:dyDescent="0.25">
      <c r="A215" s="217"/>
      <c r="B215" s="218" t="str">
        <f>Services!B215</f>
        <v>08H03</v>
      </c>
      <c r="C215" s="216" t="str">
        <f>Services!C215</f>
        <v>Gestion de la sécurité des archives</v>
      </c>
      <c r="D215" s="210" t="str">
        <f t="shared" si="3"/>
        <v/>
      </c>
      <c r="E215" s="1378"/>
      <c r="F215" s="1378"/>
      <c r="G215" s="1378"/>
      <c r="H215" s="1378"/>
      <c r="I215" s="1378"/>
      <c r="J215" s="1378"/>
      <c r="K215" s="1378"/>
      <c r="L215" s="1378"/>
      <c r="M215" s="1378">
        <f>IF(AND(INDEX(Tab_actions,54,1)=1,INDEX(Tab_actions,53,1)=1),MAX(INDEX(Tab_actions,54,7),INDEX(Tab_actions,53,4)),IF(INDEX(Tab_actions,54,1)=1,INDEX(Tab_actions,54,7),IF(INDEX(Tab_actions,53,1)=1,INDEX(Tab_actions,53,4),0)))</f>
        <v>0</v>
      </c>
      <c r="N215" s="1378"/>
      <c r="O215" s="1378"/>
      <c r="P215" s="1378"/>
      <c r="Q215" s="1378"/>
      <c r="R215" s="1378"/>
      <c r="S215" s="1378"/>
      <c r="T215" s="1378"/>
      <c r="U215" s="1378">
        <f>IF(INDEX(Tab_actions,108,1)=1,INDEX(Tab_actions,108,4),0)</f>
        <v>0</v>
      </c>
      <c r="V215" s="1378"/>
      <c r="W215" s="1378"/>
      <c r="X215" s="1378"/>
      <c r="Y215" s="1378"/>
      <c r="Z215" s="1378"/>
      <c r="AA215" s="1378"/>
      <c r="AB215" s="1378"/>
      <c r="AC215" s="1378"/>
      <c r="AD215" s="1378"/>
      <c r="AE215" s="1378"/>
      <c r="AF215" s="1378">
        <f>IF(INDEX(Tab_actions,183,1)=1,INDEX(Tab_actions,183,4),0)</f>
        <v>0</v>
      </c>
      <c r="AG215" s="1378"/>
      <c r="AH215" s="1378"/>
      <c r="AI215" s="1378"/>
      <c r="AJ215" s="1378"/>
      <c r="AK215" s="1378"/>
      <c r="AL215" s="1378"/>
      <c r="AM215" s="1378"/>
      <c r="AN215" s="1378"/>
      <c r="AO215" s="1378"/>
      <c r="AP215" s="1378"/>
      <c r="AQ215" s="1378"/>
      <c r="AR215" s="1378"/>
      <c r="AS215" s="1378"/>
      <c r="AT215" s="1378"/>
      <c r="AU215" s="1378"/>
      <c r="AV215" s="1378"/>
      <c r="AW215" s="1378"/>
      <c r="AX215" s="1378"/>
      <c r="AY215" s="1378"/>
      <c r="AZ215" s="1378"/>
      <c r="BA215" s="1378"/>
      <c r="BB215" s="1378"/>
      <c r="BC215" s="1378"/>
      <c r="BD215"/>
      <c r="BE215" s="198"/>
      <c r="BF215" s="198"/>
      <c r="BG215" s="198"/>
      <c r="BH215" s="198"/>
      <c r="BI215" s="198"/>
      <c r="BJ215" s="198"/>
      <c r="BK215" s="198"/>
      <c r="BL215" s="198"/>
      <c r="BM215" s="198"/>
      <c r="BN215" s="198"/>
      <c r="BO215" s="198"/>
      <c r="BP215" s="198"/>
      <c r="BQ215" s="198"/>
      <c r="BR215" s="198"/>
      <c r="BS215" s="198"/>
      <c r="BT215" s="198"/>
      <c r="BU215" s="198"/>
      <c r="BV215" s="198"/>
      <c r="BW215" s="198"/>
      <c r="BX215" s="198"/>
      <c r="BY215" s="198"/>
      <c r="BZ215" s="198"/>
      <c r="CA215" s="198"/>
      <c r="CB215" s="198"/>
      <c r="CC215" s="198"/>
      <c r="CD215" s="198"/>
      <c r="CE215" s="198"/>
      <c r="CF215" s="198"/>
      <c r="CG215" s="198"/>
      <c r="CH215" s="198"/>
      <c r="CI215" s="198"/>
      <c r="CJ215" s="198"/>
      <c r="CK215" s="198"/>
      <c r="CL215" s="198"/>
      <c r="CM215" s="198"/>
      <c r="CN215" s="198"/>
      <c r="CO215" s="198"/>
      <c r="CP215" s="198"/>
      <c r="CQ215" s="198"/>
      <c r="CR215" s="198"/>
      <c r="CS215" s="198"/>
      <c r="CT215" s="198"/>
      <c r="CU215" s="198"/>
      <c r="CV215" s="198"/>
      <c r="CW215" s="198"/>
      <c r="CX215" s="198"/>
      <c r="CY215" s="198"/>
      <c r="CZ215" s="198"/>
      <c r="DA215" s="198"/>
      <c r="DB215" s="198"/>
      <c r="DC215" s="198"/>
      <c r="DD215" s="198"/>
      <c r="DE215" s="198"/>
      <c r="DF215" s="198"/>
      <c r="DG215" s="198"/>
      <c r="DH215" s="198"/>
      <c r="DI215" s="198"/>
      <c r="DJ215" s="198"/>
      <c r="DK215" s="198"/>
      <c r="DL215" s="198"/>
      <c r="DM215" s="198"/>
      <c r="DN215" s="198"/>
      <c r="DO215" s="198"/>
      <c r="DP215" s="198"/>
      <c r="DQ215" s="198"/>
      <c r="DR215" s="198"/>
      <c r="DS215" s="198"/>
      <c r="DT215" s="198"/>
    </row>
    <row r="216" spans="1:124" ht="15" x14ac:dyDescent="0.25">
      <c r="A216" s="207" t="s">
        <v>1881</v>
      </c>
      <c r="B216" s="207" t="str">
        <f>Services!B216</f>
        <v>Sécurité applicative (09 App)</v>
      </c>
      <c r="C216" s="223"/>
      <c r="D216" s="210" t="str">
        <f t="shared" si="3"/>
        <v/>
      </c>
      <c r="E216" s="1378"/>
      <c r="F216" s="1378"/>
      <c r="G216" s="1378"/>
      <c r="H216" s="1378"/>
      <c r="I216" s="1378"/>
      <c r="J216" s="1378"/>
      <c r="K216" s="1378"/>
      <c r="L216" s="1378"/>
      <c r="M216" s="1378"/>
      <c r="N216" s="1378"/>
      <c r="O216" s="1378"/>
      <c r="P216" s="1378"/>
      <c r="Q216" s="1378"/>
      <c r="R216" s="1378"/>
      <c r="S216" s="1378"/>
      <c r="T216" s="1378"/>
      <c r="U216" s="1378"/>
      <c r="V216" s="1378"/>
      <c r="W216" s="1378"/>
      <c r="X216" s="1378"/>
      <c r="Y216" s="1378"/>
      <c r="Z216" s="1378"/>
      <c r="AA216" s="1378"/>
      <c r="AB216" s="1378"/>
      <c r="AC216" s="1378"/>
      <c r="AD216" s="1378"/>
      <c r="AE216" s="1378"/>
      <c r="AF216" s="1378"/>
      <c r="AG216" s="1378"/>
      <c r="AH216" s="1378"/>
      <c r="AI216" s="1378"/>
      <c r="AJ216" s="1378"/>
      <c r="AK216" s="1378"/>
      <c r="AL216" s="1378"/>
      <c r="AM216" s="1378"/>
      <c r="AN216" s="1378"/>
      <c r="AO216" s="1378"/>
      <c r="AP216" s="1378"/>
      <c r="AQ216" s="1378"/>
      <c r="AR216" s="1378"/>
      <c r="AS216" s="1378"/>
      <c r="AT216" s="1378"/>
      <c r="AU216" s="1378"/>
      <c r="AV216" s="1378"/>
      <c r="AW216" s="1378"/>
      <c r="AX216" s="1378"/>
      <c r="AY216" s="1378"/>
      <c r="AZ216" s="1378"/>
      <c r="BA216" s="1378"/>
      <c r="BB216" s="1378"/>
      <c r="BC216" s="1378"/>
      <c r="BD216"/>
    </row>
    <row r="217" spans="1:124" ht="15" outlineLevel="1" x14ac:dyDescent="0.25">
      <c r="A217" s="231"/>
      <c r="B217" s="213" t="str">
        <f>Services!B217</f>
        <v>09A</v>
      </c>
      <c r="C217" s="214" t="str">
        <f>Services!C217</f>
        <v>Contrôle d'accès applicatif</v>
      </c>
      <c r="D217" s="210" t="str">
        <f t="shared" si="3"/>
        <v/>
      </c>
      <c r="E217" s="1378"/>
      <c r="F217" s="1378"/>
      <c r="G217" s="1378"/>
      <c r="H217" s="1378"/>
      <c r="I217" s="1378"/>
      <c r="J217" s="1378"/>
      <c r="K217" s="1378"/>
      <c r="L217" s="1378"/>
      <c r="M217" s="1378"/>
      <c r="N217" s="1378"/>
      <c r="O217" s="1378"/>
      <c r="P217" s="1378"/>
      <c r="Q217" s="1378"/>
      <c r="R217" s="1378"/>
      <c r="S217" s="1378"/>
      <c r="T217" s="1378"/>
      <c r="U217" s="1378"/>
      <c r="V217" s="1378"/>
      <c r="W217" s="1378"/>
      <c r="X217" s="1378"/>
      <c r="Y217" s="1378"/>
      <c r="Z217" s="1378"/>
      <c r="AA217" s="1378"/>
      <c r="AB217" s="1378"/>
      <c r="AC217" s="1378"/>
      <c r="AD217" s="1378"/>
      <c r="AE217" s="1378"/>
      <c r="AF217" s="1378"/>
      <c r="AG217" s="1378"/>
      <c r="AH217" s="1378"/>
      <c r="AI217" s="1378"/>
      <c r="AJ217" s="1378"/>
      <c r="AK217" s="1378"/>
      <c r="AL217" s="1378"/>
      <c r="AM217" s="1378"/>
      <c r="AN217" s="1378"/>
      <c r="AO217" s="1378"/>
      <c r="AP217" s="1378"/>
      <c r="AQ217" s="1378"/>
      <c r="AR217" s="1378"/>
      <c r="AS217" s="1378"/>
      <c r="AT217" s="1378"/>
      <c r="AU217" s="1378"/>
      <c r="AV217" s="1378"/>
      <c r="AW217" s="1378"/>
      <c r="AX217" s="1378"/>
      <c r="AY217" s="1378"/>
      <c r="AZ217" s="1378"/>
      <c r="BA217" s="1378"/>
      <c r="BB217" s="1378"/>
      <c r="BC217" s="1378"/>
      <c r="BD217"/>
    </row>
    <row r="218" spans="1:124" ht="15" outlineLevel="1" x14ac:dyDescent="0.25">
      <c r="A218" s="231"/>
      <c r="B218" s="218" t="str">
        <f>Services!B218</f>
        <v>09A01</v>
      </c>
      <c r="C218" s="216" t="str">
        <f>Services!C218</f>
        <v>Gestion des profils d'accès aux données applicatives</v>
      </c>
      <c r="D218" s="210" t="str">
        <f t="shared" si="3"/>
        <v/>
      </c>
      <c r="E218" s="1378">
        <f>IF(INDEX(Tab_actions,7,1)=1,INDEX(Tab_actions,7,22),0)</f>
        <v>0</v>
      </c>
      <c r="F218" s="1378"/>
      <c r="G218" s="1378"/>
      <c r="H218" s="1378"/>
      <c r="I218" s="1378"/>
      <c r="J218" s="1378"/>
      <c r="K218" s="1378"/>
      <c r="L218" s="1378"/>
      <c r="M218" s="1378"/>
      <c r="N218" s="1378"/>
      <c r="O218" s="1378">
        <f>IF(INDEX(Tab_actions,66,1)=1,INDEX(Tab_actions,66,4),0)</f>
        <v>0</v>
      </c>
      <c r="P218" s="1378"/>
      <c r="Q218" s="1378"/>
      <c r="R218" s="1378">
        <f>IF(INDEX(Tab_actions,93,1)=1,INDEX(Tab_actions,93,16),0)</f>
        <v>0</v>
      </c>
      <c r="S218" s="1378"/>
      <c r="T218" s="1378"/>
      <c r="U218" s="1378"/>
      <c r="V218" s="1378">
        <f>IF(INDEX(Tab_actions,117,1)=1,INDEX(Tab_actions,117,16),0)</f>
        <v>0</v>
      </c>
      <c r="W218" s="1378">
        <f>IF(INDEX(Tab_actions,126,1)=1,INDEX(Tab_actions,126,16),0)</f>
        <v>0</v>
      </c>
      <c r="X218" s="1378"/>
      <c r="Y218" s="1378"/>
      <c r="Z218" s="1378"/>
      <c r="AA218" s="1378"/>
      <c r="AB218" s="1378">
        <f>IF(INDEX(Tab_actions,159,1)=1,INDEX(Tab_actions,159,4),0)</f>
        <v>0</v>
      </c>
      <c r="AC218" s="1378"/>
      <c r="AD218" s="1378"/>
      <c r="AE218" s="1378"/>
      <c r="AF218" s="1378"/>
      <c r="AG218" s="1378"/>
      <c r="AH218" s="1378"/>
      <c r="AI218" s="1378"/>
      <c r="AJ218" s="1378"/>
      <c r="AK218" s="1378">
        <f>IF(INDEX(Tab_actions,216,1)=1,INDEX(Tab_actions,216,22),0)</f>
        <v>0</v>
      </c>
      <c r="AL218" s="1378">
        <f>IF(INDEX(Tab_actions,225,1)=1,INDEX(Tab_actions,225,22),0)</f>
        <v>0</v>
      </c>
      <c r="AM218" s="1378"/>
      <c r="AN218" s="1378">
        <f>IF(INDEX(Tab_actions,241,1)=1,INDEX(Tab_actions,241,22),0)</f>
        <v>0</v>
      </c>
      <c r="AO218" s="1378">
        <f>IF(INDEX(Tab_actions,250,1)=1,INDEX(Tab_actions,250,22),0)</f>
        <v>0</v>
      </c>
      <c r="AP218" s="1378"/>
      <c r="AQ218" s="1378"/>
      <c r="AR218" s="1378"/>
      <c r="AS218" s="1378"/>
      <c r="AT218" s="1378"/>
      <c r="AU218" s="1378"/>
      <c r="AV218" s="1378"/>
      <c r="AW218" s="1378">
        <f>IF(INDEX(Tab_actions,298,1)=1,INDEX(Tab_actions,298,16),0)</f>
        <v>0</v>
      </c>
      <c r="AX218" s="1378"/>
      <c r="AY218" s="1378"/>
      <c r="AZ218" s="1378"/>
      <c r="BA218" s="1378"/>
      <c r="BB218" s="1378"/>
      <c r="BC218" s="1378"/>
      <c r="BD218"/>
    </row>
    <row r="219" spans="1:124" ht="25.5" outlineLevel="1" x14ac:dyDescent="0.25">
      <c r="A219" s="231"/>
      <c r="B219" s="218" t="str">
        <f>Services!B219</f>
        <v>09A02</v>
      </c>
      <c r="C219" s="216" t="str">
        <f>Services!C219</f>
        <v>Gestion des autorisations d'accès aux données applicatives (attribution, délégation, retrait)</v>
      </c>
      <c r="D219" s="210" t="str">
        <f t="shared" si="3"/>
        <v/>
      </c>
      <c r="E219" s="1378">
        <f>IF(INDEX(Tab_actions,7,1)=1,INDEX(Tab_actions,7,25),0)</f>
        <v>0</v>
      </c>
      <c r="F219" s="1378"/>
      <c r="G219" s="1378"/>
      <c r="H219" s="1378"/>
      <c r="I219" s="1378"/>
      <c r="J219" s="1378"/>
      <c r="K219" s="1378"/>
      <c r="L219" s="1378"/>
      <c r="M219" s="1378"/>
      <c r="N219" s="1378"/>
      <c r="O219" s="1378">
        <f>IF(INDEX(Tab_actions,66,1)=1,INDEX(Tab_actions,66,7),0)</f>
        <v>0</v>
      </c>
      <c r="P219" s="1378"/>
      <c r="Q219" s="1378"/>
      <c r="R219" s="1378">
        <f>IF(INDEX(Tab_actions,93,1)=1,INDEX(Tab_actions,93,19),0)</f>
        <v>0</v>
      </c>
      <c r="S219" s="1378"/>
      <c r="T219" s="1378"/>
      <c r="U219" s="1378"/>
      <c r="V219" s="1378">
        <f>IF(INDEX(Tab_actions,117,1)=1,INDEX(Tab_actions,117,19),0)</f>
        <v>0</v>
      </c>
      <c r="W219" s="1378">
        <f>IF(INDEX(Tab_actions,126,1)=1,INDEX(Tab_actions,126,19),0)</f>
        <v>0</v>
      </c>
      <c r="X219" s="1378"/>
      <c r="Y219" s="1378"/>
      <c r="Z219" s="1378"/>
      <c r="AA219" s="1378"/>
      <c r="AB219" s="1378">
        <f>IF(INDEX(Tab_actions,159,1)=1,INDEX(Tab_actions,159,7),0)</f>
        <v>0</v>
      </c>
      <c r="AC219" s="1378"/>
      <c r="AD219" s="1378"/>
      <c r="AE219" s="1378"/>
      <c r="AF219" s="1378"/>
      <c r="AG219" s="1378"/>
      <c r="AH219" s="1378"/>
      <c r="AI219" s="1378"/>
      <c r="AJ219" s="1378"/>
      <c r="AK219" s="1378">
        <f>IF(INDEX(Tab_actions,216,1)=1,INDEX(Tab_actions,216,25),0)</f>
        <v>0</v>
      </c>
      <c r="AL219" s="1378">
        <f>IF(INDEX(Tab_actions,225,1)=1,INDEX(Tab_actions,225,25),0)</f>
        <v>0</v>
      </c>
      <c r="AM219" s="1378"/>
      <c r="AN219" s="1378">
        <f>IF(INDEX(Tab_actions,241,1)=1,INDEX(Tab_actions,241,25),0)</f>
        <v>0</v>
      </c>
      <c r="AO219" s="1378">
        <f>IF(INDEX(Tab_actions,250,1)=1,INDEX(Tab_actions,250,25),0)</f>
        <v>0</v>
      </c>
      <c r="AP219" s="1378"/>
      <c r="AQ219" s="1378"/>
      <c r="AR219" s="1378"/>
      <c r="AS219" s="1378"/>
      <c r="AT219" s="1378"/>
      <c r="AU219" s="1378"/>
      <c r="AV219" s="1378"/>
      <c r="AW219" s="1378">
        <f>IF(INDEX(Tab_actions,298,1)=1,INDEX(Tab_actions,298,19),0)</f>
        <v>0</v>
      </c>
      <c r="AX219" s="1378"/>
      <c r="AY219" s="1378"/>
      <c r="AZ219" s="1378"/>
      <c r="BA219" s="1378"/>
      <c r="BB219" s="1378"/>
      <c r="BC219" s="1378"/>
      <c r="BD219"/>
    </row>
    <row r="220" spans="1:124" ht="15" outlineLevel="1" x14ac:dyDescent="0.25">
      <c r="A220" s="231"/>
      <c r="B220" s="218" t="str">
        <f>Services!B220</f>
        <v>09A03</v>
      </c>
      <c r="C220" s="216" t="str">
        <f>Services!C220</f>
        <v>Authentification de l'utilisateur ou de l'entité demandant un accès</v>
      </c>
      <c r="D220" s="210" t="str">
        <f t="shared" si="3"/>
        <v/>
      </c>
      <c r="E220" s="1378">
        <f>IF(INDEX(Tab_actions,7,1)=1,INDEX(Tab_actions,7,28),0)</f>
        <v>0</v>
      </c>
      <c r="F220" s="1378"/>
      <c r="G220" s="1378"/>
      <c r="H220" s="1378"/>
      <c r="I220" s="1378"/>
      <c r="J220" s="1378"/>
      <c r="K220" s="1378"/>
      <c r="L220" s="1378"/>
      <c r="M220" s="1378"/>
      <c r="N220" s="1378"/>
      <c r="O220" s="1378">
        <f>IF(INDEX(Tab_actions,66,1)=1,INDEX(Tab_actions,66,10),0)</f>
        <v>0</v>
      </c>
      <c r="P220" s="1378"/>
      <c r="Q220" s="1378"/>
      <c r="R220" s="1378">
        <f>IF(INDEX(Tab_actions,93,1)=1,INDEX(Tab_actions,93,22),0)</f>
        <v>0</v>
      </c>
      <c r="S220" s="1378"/>
      <c r="T220" s="1378"/>
      <c r="U220" s="1378"/>
      <c r="V220" s="1378">
        <f>IF(INDEX(Tab_actions,117,1)=1,INDEX(Tab_actions,117,22),0)</f>
        <v>0</v>
      </c>
      <c r="W220" s="1378">
        <f>IF(INDEX(Tab_actions,126,1)=1,INDEX(Tab_actions,126,22),0)</f>
        <v>0</v>
      </c>
      <c r="X220" s="1378"/>
      <c r="Y220" s="1378"/>
      <c r="Z220" s="1378"/>
      <c r="AA220" s="1378"/>
      <c r="AB220" s="1378">
        <f>IF(INDEX(Tab_actions,159,1)=1,INDEX(Tab_actions,159,10),0)</f>
        <v>0</v>
      </c>
      <c r="AC220" s="1378"/>
      <c r="AD220" s="1378"/>
      <c r="AE220" s="1378"/>
      <c r="AF220" s="1378"/>
      <c r="AG220" s="1378"/>
      <c r="AH220" s="1378"/>
      <c r="AI220" s="1378"/>
      <c r="AJ220" s="1378"/>
      <c r="AK220" s="1378">
        <f>IF(INDEX(Tab_actions,216,1)=1,INDEX(Tab_actions,216,28),0)</f>
        <v>0</v>
      </c>
      <c r="AL220" s="1378">
        <f>IF(INDEX(Tab_actions,225,1)=1,INDEX(Tab_actions,225,28),0)</f>
        <v>0</v>
      </c>
      <c r="AM220" s="1378"/>
      <c r="AN220" s="1378">
        <f>IF(INDEX(Tab_actions,241,1)=1,INDEX(Tab_actions,241,28),0)</f>
        <v>0</v>
      </c>
      <c r="AO220" s="1378">
        <f>IF(INDEX(Tab_actions,250,1)=1,INDEX(Tab_actions,250,28),0)</f>
        <v>0</v>
      </c>
      <c r="AP220" s="1378"/>
      <c r="AQ220" s="1378"/>
      <c r="AR220" s="1378"/>
      <c r="AS220" s="1378"/>
      <c r="AT220" s="1378"/>
      <c r="AU220" s="1378"/>
      <c r="AV220" s="1378"/>
      <c r="AW220" s="1378"/>
      <c r="AX220" s="1378"/>
      <c r="AY220" s="1378"/>
      <c r="AZ220" s="1378"/>
      <c r="BA220" s="1378"/>
      <c r="BB220" s="1378"/>
      <c r="BC220" s="1378"/>
      <c r="BD220"/>
    </row>
    <row r="221" spans="1:124" ht="15" outlineLevel="1" x14ac:dyDescent="0.25">
      <c r="A221" s="231"/>
      <c r="B221" s="218" t="str">
        <f>Services!B221</f>
        <v>09A04</v>
      </c>
      <c r="C221" s="232" t="str">
        <f>Services!C221</f>
        <v>Filtrage des accès et gestion des associations</v>
      </c>
      <c r="D221" s="210" t="str">
        <f t="shared" si="3"/>
        <v/>
      </c>
      <c r="E221" s="1378">
        <f>IF(INDEX(Tab_actions,7,1)=1,INDEX(Tab_actions,7,31),0)</f>
        <v>0</v>
      </c>
      <c r="F221" s="1378"/>
      <c r="G221" s="1378"/>
      <c r="H221" s="1378"/>
      <c r="I221" s="1378"/>
      <c r="J221" s="1378"/>
      <c r="K221" s="1378"/>
      <c r="L221" s="1378"/>
      <c r="M221" s="1378"/>
      <c r="N221" s="1378"/>
      <c r="O221" s="1378">
        <f>IF(INDEX(Tab_actions,66,1)=1,INDEX(Tab_actions,66,13),0)</f>
        <v>0</v>
      </c>
      <c r="P221" s="1378"/>
      <c r="Q221" s="1378"/>
      <c r="R221" s="1378">
        <f>IF(INDEX(Tab_actions,93,1)=1,INDEX(Tab_actions,93,25),0)</f>
        <v>0</v>
      </c>
      <c r="S221" s="1378"/>
      <c r="T221" s="1378"/>
      <c r="U221" s="1378"/>
      <c r="V221" s="1378">
        <f>IF(INDEX(Tab_actions,117,1)=1,INDEX(Tab_actions,117,25),0)</f>
        <v>0</v>
      </c>
      <c r="W221" s="1378">
        <f>IF(INDEX(Tab_actions,126,1)=1,INDEX(Tab_actions,126,25),0)</f>
        <v>0</v>
      </c>
      <c r="X221" s="1378"/>
      <c r="Y221" s="1378"/>
      <c r="Z221" s="1378"/>
      <c r="AA221" s="1378"/>
      <c r="AB221" s="1378">
        <f>IF(INDEX(Tab_actions,159,1)=1,INDEX(Tab_actions,159,13),0)</f>
        <v>0</v>
      </c>
      <c r="AC221" s="1378"/>
      <c r="AD221" s="1378"/>
      <c r="AE221" s="1378"/>
      <c r="AF221" s="1378"/>
      <c r="AG221" s="1378"/>
      <c r="AH221" s="1378"/>
      <c r="AI221" s="1378"/>
      <c r="AJ221" s="1378"/>
      <c r="AK221" s="1378">
        <f>IF(INDEX(Tab_actions,216,1)=1,INDEX(Tab_actions,216,31),0)</f>
        <v>0</v>
      </c>
      <c r="AL221" s="1378">
        <f>IF(INDEX(Tab_actions,225,1)=1,INDEX(Tab_actions,225,31),0)</f>
        <v>0</v>
      </c>
      <c r="AM221" s="1378"/>
      <c r="AN221" s="1378">
        <f>IF(INDEX(Tab_actions,241,1)=1,INDEX(Tab_actions,241,31),0)</f>
        <v>0</v>
      </c>
      <c r="AO221" s="1378">
        <f>IF(INDEX(Tab_actions,250,1)=1,INDEX(Tab_actions,250,31),0)</f>
        <v>0</v>
      </c>
      <c r="AP221" s="1378"/>
      <c r="AQ221" s="1378"/>
      <c r="AR221" s="1378"/>
      <c r="AS221" s="1378"/>
      <c r="AT221" s="1378"/>
      <c r="AU221" s="1378"/>
      <c r="AV221" s="1378"/>
      <c r="AW221" s="1378"/>
      <c r="AX221" s="1378"/>
      <c r="AY221" s="1378"/>
      <c r="AZ221" s="1378"/>
      <c r="BA221" s="1378"/>
      <c r="BB221" s="1378"/>
      <c r="BC221" s="1378"/>
      <c r="BD221"/>
    </row>
    <row r="222" spans="1:124" ht="15" outlineLevel="1" x14ac:dyDescent="0.25">
      <c r="A222" s="226"/>
      <c r="B222" s="218" t="str">
        <f>Services!B222</f>
        <v>09A05</v>
      </c>
      <c r="C222" s="232" t="str">
        <f>Services!C222</f>
        <v>Authentification de l'application lors des accès à des applications sensibles</v>
      </c>
      <c r="D222" s="210" t="str">
        <f t="shared" si="3"/>
        <v/>
      </c>
      <c r="E222" s="1378"/>
      <c r="F222" s="1378"/>
      <c r="G222" s="1378"/>
      <c r="H222" s="1378"/>
      <c r="I222" s="1378"/>
      <c r="J222" s="1378"/>
      <c r="K222" s="1378"/>
      <c r="L222" s="1378"/>
      <c r="M222" s="1378"/>
      <c r="N222" s="1378"/>
      <c r="O222" s="1378"/>
      <c r="P222" s="1378"/>
      <c r="Q222" s="1378"/>
      <c r="R222" s="1378"/>
      <c r="S222" s="1378"/>
      <c r="T222" s="1378"/>
      <c r="U222" s="1378"/>
      <c r="V222" s="1378"/>
      <c r="W222" s="1378"/>
      <c r="X222" s="1378"/>
      <c r="Y222" s="1378"/>
      <c r="Z222" s="1378"/>
      <c r="AA222" s="1378"/>
      <c r="AB222" s="1378"/>
      <c r="AC222" s="1378"/>
      <c r="AD222" s="1378"/>
      <c r="AE222" s="1378"/>
      <c r="AF222" s="1378"/>
      <c r="AG222" s="1378"/>
      <c r="AH222" s="1378"/>
      <c r="AI222" s="1378"/>
      <c r="AJ222" s="1378"/>
      <c r="AK222" s="1378"/>
      <c r="AL222" s="1378"/>
      <c r="AM222" s="1378"/>
      <c r="AN222" s="1378"/>
      <c r="AO222" s="1378"/>
      <c r="AP222" s="1378"/>
      <c r="AQ222" s="1378"/>
      <c r="AR222" s="1378"/>
      <c r="AS222" s="1378">
        <f>IF(INDEX(Tab_actions,274,1)=1,INDEX(Tab_actions,274,22),0)</f>
        <v>0</v>
      </c>
      <c r="AT222" s="1378"/>
      <c r="AU222" s="1378"/>
      <c r="AV222" s="1378">
        <f>IF(INDEX(Tab_actions,291,1)=1,INDEX(Tab_actions,291,22),0)</f>
        <v>0</v>
      </c>
      <c r="AW222" s="1378"/>
      <c r="AX222" s="1378"/>
      <c r="AY222" s="1378"/>
      <c r="AZ222" s="1378"/>
      <c r="BA222" s="1378"/>
      <c r="BB222" s="1378"/>
      <c r="BC222" s="1378"/>
      <c r="BD222"/>
    </row>
    <row r="223" spans="1:124" ht="15" outlineLevel="1" x14ac:dyDescent="0.25">
      <c r="A223" s="231"/>
      <c r="B223" s="213" t="str">
        <f>Services!B223</f>
        <v>09B</v>
      </c>
      <c r="C223" s="214" t="str">
        <f>Services!C223</f>
        <v>Contrôle de l'intégrité des données</v>
      </c>
      <c r="D223" s="210" t="str">
        <f t="shared" si="3"/>
        <v/>
      </c>
      <c r="E223" s="1378"/>
      <c r="F223" s="1378"/>
      <c r="G223" s="1378"/>
      <c r="H223" s="1378"/>
      <c r="I223" s="1378"/>
      <c r="J223" s="1378"/>
      <c r="K223" s="1378"/>
      <c r="L223" s="1378"/>
      <c r="M223" s="1378"/>
      <c r="N223" s="1378"/>
      <c r="O223" s="1378"/>
      <c r="P223" s="1378"/>
      <c r="Q223" s="1378"/>
      <c r="R223" s="1378"/>
      <c r="S223" s="1378"/>
      <c r="T223" s="1378"/>
      <c r="U223" s="1378"/>
      <c r="V223" s="1378"/>
      <c r="W223" s="1378"/>
      <c r="X223" s="1378"/>
      <c r="Y223" s="1378"/>
      <c r="Z223" s="1378"/>
      <c r="AA223" s="1378"/>
      <c r="AB223" s="1378"/>
      <c r="AC223" s="1378"/>
      <c r="AD223" s="1378"/>
      <c r="AE223" s="1378"/>
      <c r="AF223" s="1378"/>
      <c r="AG223" s="1378"/>
      <c r="AH223" s="1378"/>
      <c r="AI223" s="1378"/>
      <c r="AJ223" s="1378"/>
      <c r="AK223" s="1378"/>
      <c r="AL223" s="1378"/>
      <c r="AM223" s="1378"/>
      <c r="AN223" s="1378"/>
      <c r="AO223" s="1378"/>
      <c r="AP223" s="1378"/>
      <c r="AQ223" s="1378"/>
      <c r="AR223" s="1378"/>
      <c r="AS223" s="1378"/>
      <c r="AT223" s="1378"/>
      <c r="AU223" s="1378"/>
      <c r="AV223" s="1378"/>
      <c r="AW223" s="1378"/>
      <c r="AX223" s="1378"/>
      <c r="AY223" s="1378"/>
      <c r="AZ223" s="1378"/>
      <c r="BA223" s="1378"/>
      <c r="BB223" s="1378"/>
      <c r="BC223" s="1378"/>
      <c r="BD223"/>
    </row>
    <row r="224" spans="1:124" ht="15" outlineLevel="1" x14ac:dyDescent="0.25">
      <c r="A224" s="231"/>
      <c r="B224" s="218" t="str">
        <f>Services!B224</f>
        <v>09B01</v>
      </c>
      <c r="C224" s="216" t="str">
        <f>Services!C224</f>
        <v>Scellement des données sensibles</v>
      </c>
      <c r="D224" s="210" t="str">
        <f t="shared" si="3"/>
        <v/>
      </c>
      <c r="E224" s="1378"/>
      <c r="F224" s="1378"/>
      <c r="G224" s="1378"/>
      <c r="H224" s="1378"/>
      <c r="I224" s="1378"/>
      <c r="J224" s="1378"/>
      <c r="K224" s="1378"/>
      <c r="L224" s="1378"/>
      <c r="M224" s="1378"/>
      <c r="N224" s="1378"/>
      <c r="O224" s="1378">
        <f>IF(INDEX(Tab_actions,67,1)=1,INDEX(Tab_actions,67,4),0)</f>
        <v>0</v>
      </c>
      <c r="P224" s="1378"/>
      <c r="Q224" s="1378"/>
      <c r="R224" s="1378">
        <f>IF(INDEX(Tab_actions,90,1)=1,INDEX(Tab_actions,90,4),0)</f>
        <v>0</v>
      </c>
      <c r="S224" s="1378"/>
      <c r="T224" s="1378"/>
      <c r="U224" s="1378"/>
      <c r="V224" s="1378">
        <f>IF(INDEX(Tab_actions,115,1)=1,INDEX(Tab_actions,115,4),0)</f>
        <v>0</v>
      </c>
      <c r="W224" s="1378"/>
      <c r="X224" s="1378"/>
      <c r="Y224" s="1378"/>
      <c r="Z224" s="1378"/>
      <c r="AA224" s="1378"/>
      <c r="AB224" s="1378"/>
      <c r="AC224" s="1378"/>
      <c r="AD224" s="1378"/>
      <c r="AE224" s="1378"/>
      <c r="AF224" s="1378"/>
      <c r="AG224" s="1378"/>
      <c r="AH224" s="1378"/>
      <c r="AI224" s="1378"/>
      <c r="AJ224" s="1378"/>
      <c r="AK224" s="1378"/>
      <c r="AL224" s="1378"/>
      <c r="AM224" s="1378"/>
      <c r="AN224" s="1378"/>
      <c r="AO224" s="1378"/>
      <c r="AP224" s="1378"/>
      <c r="AQ224" s="1378"/>
      <c r="AR224" s="1378"/>
      <c r="AS224" s="1378"/>
      <c r="AT224" s="1378"/>
      <c r="AU224" s="1378"/>
      <c r="AV224" s="1378"/>
      <c r="AW224" s="1378"/>
      <c r="AX224" s="1378"/>
      <c r="AY224" s="1378"/>
      <c r="AZ224" s="1378"/>
      <c r="BA224" s="1378"/>
      <c r="BB224" s="1378"/>
      <c r="BC224" s="1378"/>
      <c r="BD224"/>
    </row>
    <row r="225" spans="1:124" ht="15" outlineLevel="1" x14ac:dyDescent="0.25">
      <c r="A225" s="231"/>
      <c r="B225" s="218" t="str">
        <f>Services!B225</f>
        <v>09B02</v>
      </c>
      <c r="C225" s="216" t="str">
        <f>Services!C225</f>
        <v xml:space="preserve">Protection de l'intégrité des données échangées </v>
      </c>
      <c r="D225" s="210" t="str">
        <f t="shared" si="3"/>
        <v/>
      </c>
      <c r="E225" s="1378"/>
      <c r="F225" s="1378"/>
      <c r="G225" s="1378"/>
      <c r="H225" s="1378"/>
      <c r="I225" s="1378"/>
      <c r="J225" s="1378"/>
      <c r="K225" s="1378"/>
      <c r="L225" s="1378"/>
      <c r="M225" s="1378"/>
      <c r="N225" s="1378"/>
      <c r="O225" s="1378"/>
      <c r="P225" s="1378"/>
      <c r="Q225" s="1378"/>
      <c r="R225" s="1378">
        <f>IF(INDEX(Tab_actions,90,1)=1,INDEX(Tab_actions,90,7),0)</f>
        <v>0</v>
      </c>
      <c r="S225" s="1378"/>
      <c r="T225" s="1378"/>
      <c r="U225" s="1378"/>
      <c r="V225" s="1378"/>
      <c r="W225" s="1378"/>
      <c r="X225" s="1378"/>
      <c r="Y225" s="1378"/>
      <c r="Z225" s="1378"/>
      <c r="AA225" s="1378"/>
      <c r="AB225" s="1378"/>
      <c r="AC225" s="1378"/>
      <c r="AD225" s="1378"/>
      <c r="AE225" s="1378"/>
      <c r="AF225" s="1378"/>
      <c r="AG225" s="1378"/>
      <c r="AH225" s="1378"/>
      <c r="AI225" s="1378"/>
      <c r="AJ225" s="1378"/>
      <c r="AK225" s="1378"/>
      <c r="AL225" s="1378"/>
      <c r="AM225" s="1378"/>
      <c r="AN225" s="1378"/>
      <c r="AO225" s="1378"/>
      <c r="AP225" s="1378"/>
      <c r="AQ225" s="1378"/>
      <c r="AR225" s="1378"/>
      <c r="AS225" s="1378"/>
      <c r="AT225" s="1378"/>
      <c r="AU225" s="1378"/>
      <c r="AV225" s="1378"/>
      <c r="AW225" s="1378"/>
      <c r="AX225" s="1378"/>
      <c r="AY225" s="1378"/>
      <c r="AZ225" s="1378"/>
      <c r="BA225" s="1378"/>
      <c r="BB225" s="1378"/>
      <c r="BC225" s="1378"/>
      <c r="BD225"/>
    </row>
    <row r="226" spans="1:124" ht="15" outlineLevel="1" x14ac:dyDescent="0.25">
      <c r="A226" s="231"/>
      <c r="B226" s="218" t="str">
        <f>Services!B226</f>
        <v>09B03</v>
      </c>
      <c r="C226" s="216" t="str">
        <f>Services!C226</f>
        <v>Contrôle de la saisie des données</v>
      </c>
      <c r="D226" s="210" t="str">
        <f t="shared" si="3"/>
        <v/>
      </c>
      <c r="E226" s="1378"/>
      <c r="F226" s="1378"/>
      <c r="G226" s="1378"/>
      <c r="H226" s="1378"/>
      <c r="I226" s="1378"/>
      <c r="J226" s="1378"/>
      <c r="K226" s="1378"/>
      <c r="L226" s="1378"/>
      <c r="M226" s="1378"/>
      <c r="N226" s="1378"/>
      <c r="O226" s="1378"/>
      <c r="P226" s="1378"/>
      <c r="Q226" s="1378"/>
      <c r="R226" s="1378">
        <f>IF(AND(INDEX(Tab_actions,89,1)=1,INDEX(Tab_actions,88,1)=1),MAX(INDEX(Tab_actions,89,4),INDEX(Tab_actions,88,4)),IF(INDEX(Tab_actions,89,1)=1,INDEX(Tab_actions,89,4),IF(INDEX(Tab_actions,88,1)=1,INDEX(Tab_actions,88,4),0)))</f>
        <v>0</v>
      </c>
      <c r="S226" s="1378"/>
      <c r="T226" s="1378"/>
      <c r="U226" s="1378"/>
      <c r="V226" s="1378"/>
      <c r="W226" s="1378"/>
      <c r="X226" s="1378"/>
      <c r="Y226" s="1378"/>
      <c r="Z226" s="1378"/>
      <c r="AA226" s="1378"/>
      <c r="AB226" s="1378"/>
      <c r="AC226" s="1378"/>
      <c r="AD226" s="1378"/>
      <c r="AE226" s="1378"/>
      <c r="AF226" s="1378"/>
      <c r="AG226" s="1378"/>
      <c r="AH226" s="1378"/>
      <c r="AI226" s="1378"/>
      <c r="AJ226" s="1378"/>
      <c r="AK226" s="1378"/>
      <c r="AL226" s="1378"/>
      <c r="AM226" s="1378"/>
      <c r="AN226" s="1378"/>
      <c r="AO226" s="1378"/>
      <c r="AP226" s="1378"/>
      <c r="AQ226" s="1378"/>
      <c r="AR226" s="1378"/>
      <c r="AS226" s="1378"/>
      <c r="AT226" s="1378"/>
      <c r="AU226" s="1378"/>
      <c r="AV226" s="1378"/>
      <c r="AW226" s="1378"/>
      <c r="AX226" s="1378"/>
      <c r="AY226" s="1378"/>
      <c r="AZ226" s="1378"/>
      <c r="BA226" s="1378"/>
      <c r="BB226" s="1378"/>
      <c r="BC226" s="1378"/>
      <c r="BD226"/>
    </row>
    <row r="227" spans="1:124" ht="15" outlineLevel="1" x14ac:dyDescent="0.25">
      <c r="A227" s="231"/>
      <c r="B227" s="218" t="str">
        <f>Services!B227</f>
        <v>09B04</v>
      </c>
      <c r="C227" s="216" t="str">
        <f>Services!C227</f>
        <v>Contrôles permanents  (vraisemblance, ...) sur les données</v>
      </c>
      <c r="D227" s="210" t="str">
        <f t="shared" si="3"/>
        <v/>
      </c>
      <c r="E227" s="1378"/>
      <c r="F227" s="1378"/>
      <c r="G227" s="1378"/>
      <c r="H227" s="1378"/>
      <c r="I227" s="1378"/>
      <c r="J227" s="1378"/>
      <c r="K227" s="1378"/>
      <c r="L227" s="1378"/>
      <c r="M227" s="1378"/>
      <c r="N227" s="1378"/>
      <c r="O227" s="1378">
        <f>IF(INDEX(Tab_actions,69,1)=1,INDEX(Tab_actions,69,4),0)</f>
        <v>0</v>
      </c>
      <c r="P227" s="1378"/>
      <c r="Q227" s="1378"/>
      <c r="R227" s="1378">
        <f>IF(INDEX(Tab_actions,94,1)=1,INDEX(Tab_actions,94,4),0)</f>
        <v>0</v>
      </c>
      <c r="S227" s="1378"/>
      <c r="T227" s="1378"/>
      <c r="U227" s="1378"/>
      <c r="V227" s="1378">
        <f>IF(INDEX(Tab_actions,119,1)=1,INDEX(Tab_actions,119,4),0)</f>
        <v>0</v>
      </c>
      <c r="W227" s="1378"/>
      <c r="X227" s="1378"/>
      <c r="Y227" s="1378"/>
      <c r="Z227" s="1378"/>
      <c r="AA227" s="1378"/>
      <c r="AB227" s="1378"/>
      <c r="AC227" s="1378"/>
      <c r="AD227" s="1378"/>
      <c r="AE227" s="1378"/>
      <c r="AF227" s="1378"/>
      <c r="AG227" s="1378"/>
      <c r="AH227" s="1378"/>
      <c r="AI227" s="1378"/>
      <c r="AJ227" s="1378"/>
      <c r="AK227" s="1378"/>
      <c r="AL227" s="1378"/>
      <c r="AM227" s="1378"/>
      <c r="AN227" s="1378"/>
      <c r="AO227" s="1378"/>
      <c r="AP227" s="1378"/>
      <c r="AQ227" s="1378"/>
      <c r="AR227" s="1378"/>
      <c r="AS227" s="1378">
        <f>IF(INDEX(Tab_actions,276,1)=1,INDEX(Tab_actions,276,4),0)</f>
        <v>0</v>
      </c>
      <c r="AT227" s="1378"/>
      <c r="AU227" s="1378"/>
      <c r="AV227" s="1378">
        <f>IF(INDEX(Tab_actions,293,1)=1,INDEX(Tab_actions,293,4),0)</f>
        <v>0</v>
      </c>
      <c r="AW227" s="1378"/>
      <c r="AX227" s="1378"/>
      <c r="AY227" s="1378"/>
      <c r="AZ227" s="1378"/>
      <c r="BA227" s="1378"/>
      <c r="BB227" s="1378"/>
      <c r="BC227" s="1378"/>
      <c r="BD227"/>
    </row>
    <row r="228" spans="1:124" s="172" customFormat="1" ht="15" outlineLevel="1" x14ac:dyDescent="0.25">
      <c r="A228" s="173"/>
      <c r="B228" s="218" t="str">
        <f>Services!B228</f>
        <v>09B05</v>
      </c>
      <c r="C228" s="216" t="str">
        <f>Services!C228</f>
        <v>Contrôles permanents  (vraisemblance, ...) sur les traitements</v>
      </c>
      <c r="D228" s="210" t="str">
        <f t="shared" si="3"/>
        <v/>
      </c>
      <c r="E228" s="1378"/>
      <c r="F228" s="1378"/>
      <c r="G228" s="1378"/>
      <c r="H228" s="1378"/>
      <c r="I228" s="1378"/>
      <c r="J228" s="1378"/>
      <c r="K228" s="1378"/>
      <c r="L228" s="1378"/>
      <c r="M228" s="1378"/>
      <c r="N228" s="1378"/>
      <c r="O228" s="1378"/>
      <c r="P228" s="1378"/>
      <c r="Q228" s="1378"/>
      <c r="R228" s="1378"/>
      <c r="S228" s="1378"/>
      <c r="T228" s="1378"/>
      <c r="U228" s="1378"/>
      <c r="V228" s="1378">
        <f>IF(INDEX(Tab_actions,114,1)=1,INDEX(Tab_actions,114,4),0)</f>
        <v>0</v>
      </c>
      <c r="W228" s="1378"/>
      <c r="X228" s="1378"/>
      <c r="Y228" s="1378"/>
      <c r="Z228" s="1378"/>
      <c r="AA228" s="1378"/>
      <c r="AB228" s="1378"/>
      <c r="AC228" s="1378"/>
      <c r="AD228" s="1378"/>
      <c r="AE228" s="1378"/>
      <c r="AF228" s="1378"/>
      <c r="AG228" s="1378"/>
      <c r="AH228" s="1378"/>
      <c r="AI228" s="1378"/>
      <c r="AJ228" s="1378"/>
      <c r="AK228" s="1378"/>
      <c r="AL228" s="1378"/>
      <c r="AM228" s="1378"/>
      <c r="AN228" s="1378"/>
      <c r="AO228" s="1378"/>
      <c r="AP228" s="1378"/>
      <c r="AQ228" s="1378"/>
      <c r="AR228" s="1378"/>
      <c r="AS228" s="1378">
        <f>IF(AND(INDEX(Tab_actions,276,1)=1,INDEX(Tab_actions,274,1)=1),MAX(INDEX(Tab_actions,276,7),INDEX(Tab_actions,274,25)),IF(INDEX(Tab_actions,276,1)=1,INDEX(Tab_actions,276,7),IF(INDEX(Tab_actions,274,1)=1,INDEX(Tab_actions,274,25),0)))</f>
        <v>0</v>
      </c>
      <c r="AT228" s="1378"/>
      <c r="AU228" s="1378"/>
      <c r="AV228" s="1378">
        <f>IF(AND(INDEX(Tab_actions,293,1)=1,INDEX(Tab_actions,291,1)=1),MAX(INDEX(Tab_actions,293,7),INDEX(Tab_actions,291,25)),IF(INDEX(Tab_actions,293,1)=1,INDEX(Tab_actions,293,7),IF(INDEX(Tab_actions,291,1)=1,INDEX(Tab_actions,291,25),0)))</f>
        <v>0</v>
      </c>
      <c r="AW228" s="1378"/>
      <c r="AX228" s="1378"/>
      <c r="AY228" s="1378"/>
      <c r="AZ228" s="1378"/>
      <c r="BA228" s="1378"/>
      <c r="BB228" s="1378"/>
      <c r="BC228" s="1378"/>
      <c r="BD228"/>
      <c r="BE228" s="198"/>
      <c r="BF228" s="198"/>
      <c r="BG228" s="198"/>
      <c r="BH228" s="198"/>
      <c r="BI228" s="198"/>
      <c r="BJ228" s="198"/>
      <c r="BK228" s="198"/>
      <c r="BL228" s="198"/>
      <c r="BM228" s="198"/>
      <c r="BN228" s="198"/>
      <c r="BO228" s="198"/>
      <c r="BP228" s="198"/>
      <c r="BQ228" s="198"/>
      <c r="BR228" s="198"/>
      <c r="BS228" s="198"/>
      <c r="BT228" s="198"/>
      <c r="BU228" s="198"/>
      <c r="BV228" s="198"/>
      <c r="BW228" s="198"/>
      <c r="BX228" s="198"/>
      <c r="BY228" s="198"/>
      <c r="BZ228" s="198"/>
      <c r="CA228" s="198"/>
      <c r="CB228" s="198"/>
      <c r="CC228" s="198"/>
      <c r="CD228" s="198"/>
      <c r="CE228" s="198"/>
      <c r="CF228" s="198"/>
      <c r="CG228" s="198"/>
      <c r="CH228" s="198"/>
      <c r="CI228" s="198"/>
      <c r="CJ228" s="198"/>
      <c r="CK228" s="198"/>
      <c r="CL228" s="198"/>
      <c r="CM228" s="198"/>
      <c r="CN228" s="198"/>
      <c r="CO228" s="198"/>
      <c r="CP228" s="198"/>
      <c r="CQ228" s="198"/>
      <c r="CR228" s="198"/>
      <c r="CS228" s="198"/>
      <c r="CT228" s="198"/>
      <c r="CU228" s="198"/>
      <c r="CV228" s="198"/>
      <c r="CW228" s="198"/>
      <c r="CX228" s="198"/>
      <c r="CY228" s="198"/>
      <c r="CZ228" s="198"/>
      <c r="DA228" s="198"/>
      <c r="DB228" s="198"/>
      <c r="DC228" s="198"/>
      <c r="DD228" s="198"/>
      <c r="DE228" s="198"/>
      <c r="DF228" s="198"/>
      <c r="DG228" s="198"/>
      <c r="DH228" s="198"/>
      <c r="DI228" s="198"/>
      <c r="DJ228" s="198"/>
      <c r="DK228" s="198"/>
      <c r="DL228" s="198"/>
      <c r="DM228" s="198"/>
      <c r="DN228" s="198"/>
      <c r="DO228" s="198"/>
      <c r="DP228" s="198"/>
      <c r="DQ228" s="198"/>
      <c r="DR228" s="198"/>
      <c r="DS228" s="198"/>
      <c r="DT228" s="198"/>
    </row>
    <row r="229" spans="1:124" ht="15" outlineLevel="1" x14ac:dyDescent="0.25">
      <c r="A229" s="231"/>
      <c r="B229" s="213" t="str">
        <f>Services!B229</f>
        <v>09C</v>
      </c>
      <c r="C229" s="214" t="str">
        <f>Services!C229</f>
        <v>Contrôle de la confidentialité des données</v>
      </c>
      <c r="D229" s="210" t="str">
        <f t="shared" si="3"/>
        <v/>
      </c>
      <c r="E229" s="1378"/>
      <c r="F229" s="1378"/>
      <c r="G229" s="1378"/>
      <c r="H229" s="1378"/>
      <c r="I229" s="1378"/>
      <c r="J229" s="1378"/>
      <c r="K229" s="1378"/>
      <c r="L229" s="1378"/>
      <c r="M229" s="1378"/>
      <c r="N229" s="1378"/>
      <c r="O229" s="1378"/>
      <c r="P229" s="1378"/>
      <c r="Q229" s="1378"/>
      <c r="R229" s="1378"/>
      <c r="S229" s="1378"/>
      <c r="T229" s="1378"/>
      <c r="U229" s="1378"/>
      <c r="V229" s="1378"/>
      <c r="W229" s="1378"/>
      <c r="X229" s="1378"/>
      <c r="Y229" s="1378"/>
      <c r="Z229" s="1378"/>
      <c r="AA229" s="1378"/>
      <c r="AB229" s="1378"/>
      <c r="AC229" s="1378"/>
      <c r="AD229" s="1378"/>
      <c r="AE229" s="1378"/>
      <c r="AF229" s="1378"/>
      <c r="AG229" s="1378"/>
      <c r="AH229" s="1378"/>
      <c r="AI229" s="1378"/>
      <c r="AJ229" s="1378"/>
      <c r="AK229" s="1378"/>
      <c r="AL229" s="1378"/>
      <c r="AM229" s="1378"/>
      <c r="AN229" s="1378"/>
      <c r="AO229" s="1378"/>
      <c r="AP229" s="1378"/>
      <c r="AQ229" s="1378"/>
      <c r="AR229" s="1378"/>
      <c r="AS229" s="1378"/>
      <c r="AT229" s="1378"/>
      <c r="AU229" s="1378"/>
      <c r="AV229" s="1378"/>
      <c r="AW229" s="1378"/>
      <c r="AX229" s="1378"/>
      <c r="AY229" s="1378"/>
      <c r="AZ229" s="1378"/>
      <c r="BA229" s="1378"/>
      <c r="BB229" s="1378"/>
      <c r="BC229" s="1378"/>
      <c r="BD229"/>
    </row>
    <row r="230" spans="1:124" ht="15" outlineLevel="1" x14ac:dyDescent="0.25">
      <c r="A230" s="231"/>
      <c r="B230" s="218" t="str">
        <f>Services!B230</f>
        <v>09C01</v>
      </c>
      <c r="C230" s="216" t="str">
        <f>Services!C230</f>
        <v>Chiffrement des échanges (ponctuel ou en totalité)</v>
      </c>
      <c r="D230" s="210" t="str">
        <f t="shared" si="3"/>
        <v/>
      </c>
      <c r="E230" s="1378"/>
      <c r="F230" s="1378"/>
      <c r="G230" s="1378"/>
      <c r="H230" s="1378"/>
      <c r="I230" s="1378"/>
      <c r="J230" s="1378"/>
      <c r="K230" s="1378"/>
      <c r="L230" s="1378"/>
      <c r="M230" s="1378"/>
      <c r="N230" s="1378"/>
      <c r="O230" s="1378"/>
      <c r="P230" s="1378"/>
      <c r="Q230" s="1378"/>
      <c r="R230" s="1378">
        <f>IF(INDEX(Tab_actions,91,1)=1,INDEX(Tab_actions,91,4),0)</f>
        <v>0</v>
      </c>
      <c r="S230" s="1378"/>
      <c r="T230" s="1378"/>
      <c r="U230" s="1378"/>
      <c r="V230" s="1378"/>
      <c r="W230" s="1378"/>
      <c r="X230" s="1378"/>
      <c r="Y230" s="1378"/>
      <c r="Z230" s="1378"/>
      <c r="AA230" s="1378"/>
      <c r="AB230" s="1378">
        <f>IF(INDEX(Tab_actions,160,1)=1,INDEX(Tab_actions,160,10),0)</f>
        <v>0</v>
      </c>
      <c r="AC230" s="1378"/>
      <c r="AD230" s="1378"/>
      <c r="AE230" s="1378"/>
      <c r="AF230" s="1378"/>
      <c r="AG230" s="1378"/>
      <c r="AH230" s="1378"/>
      <c r="AI230" s="1378"/>
      <c r="AJ230" s="1378"/>
      <c r="AK230" s="1378"/>
      <c r="AL230" s="1378"/>
      <c r="AM230" s="1378"/>
      <c r="AN230" s="1378"/>
      <c r="AO230" s="1378"/>
      <c r="AP230" s="1378"/>
      <c r="AQ230" s="1378"/>
      <c r="AR230" s="1378"/>
      <c r="AS230" s="1378"/>
      <c r="AT230" s="1378"/>
      <c r="AU230" s="1378"/>
      <c r="AV230" s="1378"/>
      <c r="AW230" s="1378"/>
      <c r="AX230" s="1378"/>
      <c r="AY230" s="1378"/>
      <c r="AZ230" s="1378"/>
      <c r="BA230" s="1378"/>
      <c r="BB230" s="1378"/>
      <c r="BC230" s="1378"/>
      <c r="BD230"/>
    </row>
    <row r="231" spans="1:124" ht="15" outlineLevel="1" x14ac:dyDescent="0.25">
      <c r="A231" s="231"/>
      <c r="B231" s="218" t="str">
        <f>Services!B231</f>
        <v>09C02</v>
      </c>
      <c r="C231" s="216" t="str">
        <f>Services!C231</f>
        <v>Chiffrement des données stockées</v>
      </c>
      <c r="D231" s="210" t="str">
        <f t="shared" si="3"/>
        <v/>
      </c>
      <c r="E231" s="1378">
        <f>IF(INDEX(Tab_actions,8,1)=1,INDEX(Tab_actions,8,16),0)</f>
        <v>0</v>
      </c>
      <c r="F231" s="1378"/>
      <c r="G231" s="1378"/>
      <c r="H231" s="1378"/>
      <c r="I231" s="1378"/>
      <c r="J231" s="1378"/>
      <c r="K231" s="1378"/>
      <c r="L231" s="1378"/>
      <c r="M231" s="1378"/>
      <c r="N231" s="1378"/>
      <c r="O231" s="1378">
        <f>IF(INDEX(Tab_actions,68,1)=1,INDEX(Tab_actions,68,4),0)</f>
        <v>0</v>
      </c>
      <c r="P231" s="1378"/>
      <c r="Q231" s="1378"/>
      <c r="R231" s="1378">
        <f>IF(INDEX(Tab_actions,91,1)=1,INDEX(Tab_actions,91,7),0)</f>
        <v>0</v>
      </c>
      <c r="S231" s="1378"/>
      <c r="T231" s="1378"/>
      <c r="U231" s="1378"/>
      <c r="V231" s="1378">
        <f>IF(INDEX(Tab_actions,116,1)=1,INDEX(Tab_actions,116,4),0)</f>
        <v>0</v>
      </c>
      <c r="W231" s="1378">
        <f>IF(INDEX(Tab_actions,124,1)=1,INDEX(Tab_actions,124,4),0)</f>
        <v>0</v>
      </c>
      <c r="X231" s="1378"/>
      <c r="Y231" s="1378"/>
      <c r="Z231" s="1378"/>
      <c r="AA231" s="1378"/>
      <c r="AB231" s="1378"/>
      <c r="AC231" s="1378"/>
      <c r="AD231" s="1378"/>
      <c r="AE231" s="1378"/>
      <c r="AF231" s="1378">
        <f>IF(INDEX(Tab_actions,184,1)=1,INDEX(Tab_actions,184,4),0)</f>
        <v>0</v>
      </c>
      <c r="AG231" s="1378"/>
      <c r="AH231" s="1378"/>
      <c r="AI231" s="1378"/>
      <c r="AJ231" s="1378"/>
      <c r="AK231" s="1378"/>
      <c r="AL231" s="1378"/>
      <c r="AM231" s="1378"/>
      <c r="AN231" s="1378"/>
      <c r="AO231" s="1378"/>
      <c r="AP231" s="1378"/>
      <c r="AQ231" s="1378"/>
      <c r="AR231" s="1378"/>
      <c r="AS231" s="1378"/>
      <c r="AT231" s="1378"/>
      <c r="AU231" s="1378"/>
      <c r="AV231" s="1378"/>
      <c r="AW231" s="1378"/>
      <c r="AX231" s="1378"/>
      <c r="AY231" s="1378"/>
      <c r="AZ231" s="1378"/>
      <c r="BA231" s="1378"/>
      <c r="BB231" s="1378"/>
      <c r="BC231" s="1378"/>
      <c r="BD231"/>
    </row>
    <row r="232" spans="1:124" ht="15" outlineLevel="1" x14ac:dyDescent="0.25">
      <c r="A232" s="231"/>
      <c r="B232" s="218" t="str">
        <f>Services!B232</f>
        <v>09C03</v>
      </c>
      <c r="C232" s="216" t="str">
        <f>Services!C232</f>
        <v>Dispositif anti-rayonnement électromagnétique</v>
      </c>
      <c r="D232" s="210" t="str">
        <f t="shared" si="3"/>
        <v/>
      </c>
      <c r="E232" s="1378"/>
      <c r="F232" s="1378"/>
      <c r="G232" s="1378"/>
      <c r="H232" s="1378"/>
      <c r="I232" s="1378"/>
      <c r="J232" s="1378"/>
      <c r="K232" s="1378"/>
      <c r="L232" s="1378"/>
      <c r="M232" s="1378"/>
      <c r="N232" s="1378"/>
      <c r="O232" s="1378"/>
      <c r="P232" s="1378"/>
      <c r="Q232" s="1378"/>
      <c r="R232" s="1378"/>
      <c r="S232" s="1378"/>
      <c r="T232" s="1378"/>
      <c r="U232" s="1378"/>
      <c r="V232" s="1378"/>
      <c r="W232" s="1378"/>
      <c r="X232" s="1378"/>
      <c r="Y232" s="1378"/>
      <c r="Z232" s="1378"/>
      <c r="AA232" s="1378"/>
      <c r="AB232" s="1378">
        <f>IF(INDEX(Tab_actions,164,1)=1,INDEX(Tab_actions,164,4),0)</f>
        <v>0</v>
      </c>
      <c r="AC232" s="1378"/>
      <c r="AD232" s="1378"/>
      <c r="AE232" s="1378"/>
      <c r="AF232" s="1378"/>
      <c r="AG232" s="1378"/>
      <c r="AH232" s="1378"/>
      <c r="AI232" s="1378"/>
      <c r="AJ232" s="1378"/>
      <c r="AK232" s="1378"/>
      <c r="AL232" s="1378"/>
      <c r="AM232" s="1378"/>
      <c r="AN232" s="1378"/>
      <c r="AO232" s="1378"/>
      <c r="AP232" s="1378"/>
      <c r="AQ232" s="1378"/>
      <c r="AR232" s="1378"/>
      <c r="AS232" s="1378"/>
      <c r="AT232" s="1378"/>
      <c r="AU232" s="1378"/>
      <c r="AV232" s="1378"/>
      <c r="AW232" s="1378"/>
      <c r="AX232" s="1378"/>
      <c r="AY232" s="1378"/>
      <c r="AZ232" s="1378"/>
      <c r="BA232" s="1378"/>
      <c r="BB232" s="1378"/>
      <c r="BC232" s="1378"/>
      <c r="BD232"/>
    </row>
    <row r="233" spans="1:124" ht="15" outlineLevel="1" x14ac:dyDescent="0.25">
      <c r="A233" s="231"/>
      <c r="B233" s="213" t="str">
        <f>Services!B233</f>
        <v>09D</v>
      </c>
      <c r="C233" s="214" t="str">
        <f>Services!C233</f>
        <v>Disponibilité des données</v>
      </c>
      <c r="D233" s="210" t="str">
        <f t="shared" si="3"/>
        <v/>
      </c>
      <c r="E233" s="1378"/>
      <c r="F233" s="1378"/>
      <c r="G233" s="1378"/>
      <c r="H233" s="1378"/>
      <c r="I233" s="1378"/>
      <c r="J233" s="1378"/>
      <c r="K233" s="1378"/>
      <c r="L233" s="1378"/>
      <c r="M233" s="1378"/>
      <c r="N233" s="1378"/>
      <c r="O233" s="1378"/>
      <c r="P233" s="1378"/>
      <c r="Q233" s="1378"/>
      <c r="R233" s="1378"/>
      <c r="S233" s="1378"/>
      <c r="T233" s="1378"/>
      <c r="U233" s="1378"/>
      <c r="V233" s="1378"/>
      <c r="W233" s="1378"/>
      <c r="X233" s="1378"/>
      <c r="Y233" s="1378"/>
      <c r="Z233" s="1378"/>
      <c r="AA233" s="1378"/>
      <c r="AB233" s="1378"/>
      <c r="AC233" s="1378"/>
      <c r="AD233" s="1378"/>
      <c r="AE233" s="1378"/>
      <c r="AF233" s="1378"/>
      <c r="AG233" s="1378"/>
      <c r="AH233" s="1378"/>
      <c r="AI233" s="1378"/>
      <c r="AJ233" s="1378"/>
      <c r="AK233" s="1378"/>
      <c r="AL233" s="1378"/>
      <c r="AM233" s="1378"/>
      <c r="AN233" s="1378"/>
      <c r="AO233" s="1378"/>
      <c r="AP233" s="1378"/>
      <c r="AQ233" s="1378"/>
      <c r="AR233" s="1378"/>
      <c r="AS233" s="1378"/>
      <c r="AT233" s="1378"/>
      <c r="AU233" s="1378"/>
      <c r="AV233" s="1378"/>
      <c r="AW233" s="1378"/>
      <c r="AX233" s="1378"/>
      <c r="AY233" s="1378"/>
      <c r="AZ233" s="1378"/>
      <c r="BA233" s="1378"/>
      <c r="BB233" s="1378"/>
      <c r="BC233" s="1378"/>
      <c r="BD233"/>
    </row>
    <row r="234" spans="1:124" ht="15" outlineLevel="1" x14ac:dyDescent="0.25">
      <c r="A234" s="231"/>
      <c r="B234" s="218" t="str">
        <f>Services!B234</f>
        <v>09D01</v>
      </c>
      <c r="C234" s="216" t="str">
        <f>Services!C234</f>
        <v>Enregistrements de Très Haute Sécurité (THS)</v>
      </c>
      <c r="D234" s="210" t="str">
        <f t="shared" si="3"/>
        <v/>
      </c>
      <c r="E234" s="1378">
        <f>IF(INDEX(Tab_actions,9,1)=1,INDEX(Tab_actions,9,22),0)</f>
        <v>0</v>
      </c>
      <c r="F234" s="1378"/>
      <c r="G234" s="1378"/>
      <c r="H234" s="1378"/>
      <c r="I234" s="1378"/>
      <c r="J234" s="1378"/>
      <c r="K234" s="1378"/>
      <c r="L234" s="1378"/>
      <c r="M234" s="1378"/>
      <c r="N234" s="1378"/>
      <c r="O234" s="1378"/>
      <c r="P234" s="1378"/>
      <c r="Q234" s="1378"/>
      <c r="R234" s="1378"/>
      <c r="S234" s="1378"/>
      <c r="T234" s="1378"/>
      <c r="U234" s="1378"/>
      <c r="V234" s="1378"/>
      <c r="W234" s="1378"/>
      <c r="X234" s="1378"/>
      <c r="Y234" s="1378"/>
      <c r="Z234" s="1378"/>
      <c r="AA234" s="1378"/>
      <c r="AB234" s="1378"/>
      <c r="AC234" s="1378"/>
      <c r="AD234" s="1378"/>
      <c r="AE234" s="1378"/>
      <c r="AF234" s="1378"/>
      <c r="AG234" s="1378"/>
      <c r="AH234" s="1378"/>
      <c r="AI234" s="1378"/>
      <c r="AJ234" s="1378"/>
      <c r="AK234" s="1378"/>
      <c r="AL234" s="1378"/>
      <c r="AM234" s="1378"/>
      <c r="AN234" s="1378"/>
      <c r="AO234" s="1378"/>
      <c r="AP234" s="1378"/>
      <c r="AQ234" s="1378"/>
      <c r="AR234" s="1378"/>
      <c r="AS234" s="1378"/>
      <c r="AT234" s="1378"/>
      <c r="AU234" s="1378"/>
      <c r="AV234" s="1378"/>
      <c r="AW234" s="1378"/>
      <c r="AX234" s="1378"/>
      <c r="AY234" s="1378"/>
      <c r="AZ234" s="1378"/>
      <c r="BA234" s="1378"/>
      <c r="BB234" s="1378"/>
      <c r="BC234" s="1378"/>
      <c r="BD234"/>
    </row>
    <row r="235" spans="1:124" ht="15" outlineLevel="1" x14ac:dyDescent="0.25">
      <c r="A235" s="231"/>
      <c r="B235" s="218" t="str">
        <f>Services!B235</f>
        <v>09D02</v>
      </c>
      <c r="C235" s="216" t="str">
        <f>Services!C235</f>
        <v>Gestion des moyens d'accès aux données applicatives</v>
      </c>
      <c r="D235" s="210" t="str">
        <f t="shared" si="3"/>
        <v/>
      </c>
      <c r="E235" s="1378">
        <f>IF(INDEX(Tab_actions,11,1)=1,INDEX(Tab_actions,11,10),0)</f>
        <v>0</v>
      </c>
      <c r="F235" s="1378"/>
      <c r="G235" s="1378"/>
      <c r="H235" s="1378"/>
      <c r="I235" s="1378"/>
      <c r="J235" s="1378"/>
      <c r="K235" s="1378"/>
      <c r="L235" s="1378"/>
      <c r="M235" s="1378">
        <f>IF(INDEX(Tab_actions,56,1)=1,INDEX(Tab_actions,56,7),0)</f>
        <v>0</v>
      </c>
      <c r="N235" s="1378"/>
      <c r="O235" s="1378"/>
      <c r="P235" s="1378"/>
      <c r="Q235" s="1378"/>
      <c r="R235" s="1378"/>
      <c r="S235" s="1378"/>
      <c r="T235" s="1378"/>
      <c r="U235" s="1378"/>
      <c r="V235" s="1378"/>
      <c r="W235" s="1378"/>
      <c r="X235" s="1378"/>
      <c r="Y235" s="1378"/>
      <c r="Z235" s="1378"/>
      <c r="AA235" s="1378"/>
      <c r="AB235" s="1378"/>
      <c r="AC235" s="1378"/>
      <c r="AD235" s="1378"/>
      <c r="AE235" s="1378"/>
      <c r="AF235" s="1378"/>
      <c r="AG235" s="1378"/>
      <c r="AH235" s="1378"/>
      <c r="AI235" s="1378"/>
      <c r="AJ235" s="1378"/>
      <c r="AK235" s="1378"/>
      <c r="AL235" s="1378"/>
      <c r="AM235" s="1378"/>
      <c r="AN235" s="1378"/>
      <c r="AO235" s="1378"/>
      <c r="AP235" s="1378"/>
      <c r="AQ235" s="1378"/>
      <c r="AR235" s="1378"/>
      <c r="AS235" s="1378"/>
      <c r="AT235" s="1378"/>
      <c r="AU235" s="1378"/>
      <c r="AV235" s="1378"/>
      <c r="AW235" s="1378"/>
      <c r="AX235" s="1378"/>
      <c r="AY235" s="1378"/>
      <c r="AZ235" s="1378"/>
      <c r="BA235" s="1378"/>
      <c r="BB235" s="1378"/>
      <c r="BC235" s="1378"/>
      <c r="BD235"/>
    </row>
    <row r="236" spans="1:124" s="172" customFormat="1" ht="15" outlineLevel="1" x14ac:dyDescent="0.25">
      <c r="A236" s="173"/>
      <c r="B236" s="213" t="str">
        <f>Services!B236</f>
        <v>09E</v>
      </c>
      <c r="C236" s="214" t="str">
        <f>Services!C236</f>
        <v>Continuité de fonctionnement</v>
      </c>
      <c r="D236" s="210" t="str">
        <f t="shared" si="3"/>
        <v/>
      </c>
      <c r="E236" s="1378"/>
      <c r="F236" s="1378"/>
      <c r="G236" s="1378"/>
      <c r="H236" s="1378"/>
      <c r="I236" s="1378"/>
      <c r="J236" s="1378"/>
      <c r="K236" s="1378"/>
      <c r="L236" s="1378"/>
      <c r="M236" s="1378"/>
      <c r="N236" s="1378"/>
      <c r="O236" s="1378"/>
      <c r="P236" s="1378"/>
      <c r="Q236" s="1378"/>
      <c r="R236" s="1378"/>
      <c r="S236" s="1378"/>
      <c r="T236" s="1378"/>
      <c r="U236" s="1378"/>
      <c r="V236" s="1378"/>
      <c r="W236" s="1378"/>
      <c r="X236" s="1378"/>
      <c r="Y236" s="1378"/>
      <c r="Z236" s="1378"/>
      <c r="AA236" s="1378"/>
      <c r="AB236" s="1378"/>
      <c r="AC236" s="1378"/>
      <c r="AD236" s="1378"/>
      <c r="AE236" s="1378"/>
      <c r="AF236" s="1378"/>
      <c r="AG236" s="1378"/>
      <c r="AH236" s="1378"/>
      <c r="AI236" s="1378"/>
      <c r="AJ236" s="1378"/>
      <c r="AK236" s="1378"/>
      <c r="AL236" s="1378"/>
      <c r="AM236" s="1378"/>
      <c r="AN236" s="1378"/>
      <c r="AO236" s="1378"/>
      <c r="AP236" s="1378"/>
      <c r="AQ236" s="1378"/>
      <c r="AR236" s="1378"/>
      <c r="AS236" s="1378"/>
      <c r="AT236" s="1378"/>
      <c r="AU236" s="1378"/>
      <c r="AV236" s="1378"/>
      <c r="AW236" s="1378"/>
      <c r="AX236" s="1378"/>
      <c r="AY236" s="1378"/>
      <c r="AZ236" s="1378"/>
      <c r="BA236" s="1378"/>
      <c r="BB236" s="1378"/>
      <c r="BC236" s="1378"/>
      <c r="BD236"/>
      <c r="BE236" s="198"/>
      <c r="BF236" s="198"/>
      <c r="BG236" s="198"/>
      <c r="BH236" s="198"/>
      <c r="BI236" s="198"/>
      <c r="BJ236" s="198"/>
      <c r="BK236" s="198"/>
      <c r="BL236" s="198"/>
      <c r="BM236" s="198"/>
      <c r="BN236" s="198"/>
      <c r="BO236" s="198"/>
      <c r="BP236" s="198"/>
      <c r="BQ236" s="198"/>
      <c r="BR236" s="198"/>
      <c r="BS236" s="198"/>
      <c r="BT236" s="198"/>
      <c r="BU236" s="198"/>
      <c r="BV236" s="198"/>
      <c r="BW236" s="198"/>
      <c r="BX236" s="198"/>
      <c r="BY236" s="198"/>
      <c r="BZ236" s="198"/>
      <c r="CA236" s="198"/>
      <c r="CB236" s="198"/>
      <c r="CC236" s="198"/>
      <c r="CD236" s="198"/>
      <c r="CE236" s="198"/>
      <c r="CF236" s="198"/>
      <c r="CG236" s="198"/>
      <c r="CH236" s="198"/>
      <c r="CI236" s="198"/>
      <c r="CJ236" s="198"/>
      <c r="CK236" s="198"/>
      <c r="CL236" s="198"/>
      <c r="CM236" s="198"/>
      <c r="CN236" s="198"/>
      <c r="CO236" s="198"/>
      <c r="CP236" s="198"/>
      <c r="CQ236" s="198"/>
      <c r="CR236" s="198"/>
      <c r="CS236" s="198"/>
      <c r="CT236" s="198"/>
      <c r="CU236" s="198"/>
      <c r="CV236" s="198"/>
      <c r="CW236" s="198"/>
      <c r="CX236" s="198"/>
      <c r="CY236" s="198"/>
      <c r="CZ236" s="198"/>
      <c r="DA236" s="198"/>
      <c r="DB236" s="198"/>
      <c r="DC236" s="198"/>
      <c r="DD236" s="198"/>
      <c r="DE236" s="198"/>
      <c r="DF236" s="198"/>
      <c r="DG236" s="198"/>
      <c r="DH236" s="198"/>
      <c r="DI236" s="198"/>
      <c r="DJ236" s="198"/>
      <c r="DK236" s="198"/>
      <c r="DL236" s="198"/>
      <c r="DM236" s="198"/>
      <c r="DN236" s="198"/>
      <c r="DO236" s="198"/>
      <c r="DP236" s="198"/>
      <c r="DQ236" s="198"/>
      <c r="DR236" s="198"/>
      <c r="DS236" s="198"/>
      <c r="DT236" s="198"/>
    </row>
    <row r="237" spans="1:124" s="172" customFormat="1" ht="15" outlineLevel="1" x14ac:dyDescent="0.25">
      <c r="A237" s="173"/>
      <c r="B237" s="218" t="str">
        <f>Services!B237</f>
        <v>09E01</v>
      </c>
      <c r="C237" s="216" t="str">
        <f>Services!C237</f>
        <v>Reconfiguration matérielle</v>
      </c>
      <c r="D237" s="210" t="str">
        <f t="shared" si="3"/>
        <v/>
      </c>
      <c r="E237" s="1378"/>
      <c r="F237" s="1378"/>
      <c r="G237" s="1378"/>
      <c r="H237" s="1378"/>
      <c r="I237" s="1378"/>
      <c r="J237" s="1378"/>
      <c r="K237" s="1378"/>
      <c r="L237" s="1378"/>
      <c r="M237" s="1378"/>
      <c r="N237" s="1378"/>
      <c r="O237" s="1378"/>
      <c r="P237" s="1378"/>
      <c r="Q237" s="1378"/>
      <c r="R237" s="1378"/>
      <c r="S237" s="1378"/>
      <c r="T237" s="1378"/>
      <c r="U237" s="1378"/>
      <c r="V237" s="1378"/>
      <c r="W237" s="1378"/>
      <c r="X237" s="1378"/>
      <c r="Y237" s="1378"/>
      <c r="Z237" s="1378"/>
      <c r="AA237" s="1378"/>
      <c r="AB237" s="1378"/>
      <c r="AC237" s="1378"/>
      <c r="AD237" s="1378"/>
      <c r="AE237" s="1378"/>
      <c r="AF237" s="1378"/>
      <c r="AG237" s="1378"/>
      <c r="AH237" s="1378"/>
      <c r="AI237" s="1378"/>
      <c r="AJ237" s="1378"/>
      <c r="AK237" s="1378">
        <f>IF(AND(INDEX(Tab_actions,222,1)=1,INDEX(Tab_actions,219,1)=1),MAX(INDEX(Tab_actions,222,28),INDEX(Tab_actions,219,13)),IF(INDEX(Tab_actions,222,1)=1,INDEX(Tab_actions,222,28),IF(INDEX(Tab_actions,219,1)=1,INDEX(Tab_actions,219,13),0)))</f>
        <v>0</v>
      </c>
      <c r="AL237" s="1378">
        <f>IF(AND(INDEX(Tab_actions,231,1)=1,INDEX(Tab_actions,228,1)=1),MAX(INDEX(Tab_actions,231,25),INDEX(Tab_actions,228,13)),IF(INDEX(Tab_actions,231,1)=1,INDEX(Tab_actions,231,25),IF(INDEX(Tab_actions,228,1)=1,INDEX(Tab_actions,228,13),0)))</f>
        <v>0</v>
      </c>
      <c r="AM237" s="1378"/>
      <c r="AN237" s="1378">
        <f>IF(AND(INDEX(Tab_actions,247,1)=1,INDEX(Tab_actions,244,1)=1),MAX(INDEX(Tab_actions,247,28),INDEX(Tab_actions,244,13)),IF(INDEX(Tab_actions,247,1)=1,INDEX(Tab_actions,247,28),IF(INDEX(Tab_actions,244,1)=1,INDEX(Tab_actions,244,13),0)))</f>
        <v>0</v>
      </c>
      <c r="AO237" s="1378">
        <f>IF(AND(INDEX(Tab_actions,256,1)=1,INDEX(Tab_actions,253,1)=1),MAX(INDEX(Tab_actions,256,25),INDEX(Tab_actions,253,13)),IF(INDEX(Tab_actions,256,1)=1,INDEX(Tab_actions,256,25),IF(INDEX(Tab_actions,253,1)=1,INDEX(Tab_actions,253,13),0)))</f>
        <v>0</v>
      </c>
      <c r="AP237" s="1378"/>
      <c r="AQ237" s="1378"/>
      <c r="AR237" s="1378"/>
      <c r="AS237" s="1378"/>
      <c r="AT237" s="1378"/>
      <c r="AU237" s="1378"/>
      <c r="AV237" s="1378"/>
      <c r="AW237" s="1378"/>
      <c r="AX237" s="1378"/>
      <c r="AY237" s="1378"/>
      <c r="AZ237" s="1378"/>
      <c r="BA237" s="1378"/>
      <c r="BB237" s="1378"/>
      <c r="BC237" s="1378"/>
      <c r="BD237"/>
      <c r="BE237" s="198"/>
      <c r="BF237" s="198"/>
      <c r="BG237" s="198"/>
      <c r="BH237" s="198"/>
      <c r="BI237" s="198"/>
      <c r="BJ237" s="198"/>
      <c r="BK237" s="198"/>
      <c r="BL237" s="198"/>
      <c r="BM237" s="198"/>
      <c r="BN237" s="198"/>
      <c r="BO237" s="198"/>
      <c r="BP237" s="198"/>
      <c r="BQ237" s="198"/>
      <c r="BR237" s="198"/>
      <c r="BS237" s="198"/>
      <c r="BT237" s="198"/>
      <c r="BU237" s="198"/>
      <c r="BV237" s="198"/>
      <c r="BW237" s="198"/>
      <c r="BX237" s="198"/>
      <c r="BY237" s="198"/>
      <c r="BZ237" s="198"/>
      <c r="CA237" s="198"/>
      <c r="CB237" s="198"/>
      <c r="CC237" s="198"/>
      <c r="CD237" s="198"/>
      <c r="CE237" s="198"/>
      <c r="CF237" s="198"/>
      <c r="CG237" s="198"/>
      <c r="CH237" s="198"/>
      <c r="CI237" s="198"/>
      <c r="CJ237" s="198"/>
      <c r="CK237" s="198"/>
      <c r="CL237" s="198"/>
      <c r="CM237" s="198"/>
      <c r="CN237" s="198"/>
      <c r="CO237" s="198"/>
      <c r="CP237" s="198"/>
      <c r="CQ237" s="198"/>
      <c r="CR237" s="198"/>
      <c r="CS237" s="198"/>
      <c r="CT237" s="198"/>
      <c r="CU237" s="198"/>
      <c r="CV237" s="198"/>
      <c r="CW237" s="198"/>
      <c r="CX237" s="198"/>
      <c r="CY237" s="198"/>
      <c r="CZ237" s="198"/>
      <c r="DA237" s="198"/>
      <c r="DB237" s="198"/>
      <c r="DC237" s="198"/>
      <c r="DD237" s="198"/>
      <c r="DE237" s="198"/>
      <c r="DF237" s="198"/>
      <c r="DG237" s="198"/>
      <c r="DH237" s="198"/>
      <c r="DI237" s="198"/>
      <c r="DJ237" s="198"/>
      <c r="DK237" s="198"/>
      <c r="DL237" s="198"/>
      <c r="DM237" s="198"/>
      <c r="DN237" s="198"/>
      <c r="DO237" s="198"/>
      <c r="DP237" s="198"/>
      <c r="DQ237" s="198"/>
      <c r="DR237" s="198"/>
      <c r="DS237" s="198"/>
      <c r="DT237" s="198"/>
    </row>
    <row r="238" spans="1:124" s="172" customFormat="1" ht="15" outlineLevel="1" x14ac:dyDescent="0.25">
      <c r="A238" s="173"/>
      <c r="B238" s="218" t="str">
        <f>Services!B238</f>
        <v>09E02</v>
      </c>
      <c r="C238" s="216" t="str">
        <f>Services!C238</f>
        <v>Plans de Continuité des processus applicatifs</v>
      </c>
      <c r="D238" s="210" t="str">
        <f t="shared" si="3"/>
        <v/>
      </c>
      <c r="E238" s="1378"/>
      <c r="F238" s="1378"/>
      <c r="G238" s="1378"/>
      <c r="H238" s="1378"/>
      <c r="I238" s="1378"/>
      <c r="J238" s="1378"/>
      <c r="K238" s="1378"/>
      <c r="L238" s="1378"/>
      <c r="M238" s="1378"/>
      <c r="N238" s="1378"/>
      <c r="O238" s="1378"/>
      <c r="P238" s="1378"/>
      <c r="Q238" s="1378"/>
      <c r="R238" s="1378"/>
      <c r="S238" s="1378"/>
      <c r="T238" s="1378"/>
      <c r="U238" s="1378"/>
      <c r="V238" s="1378"/>
      <c r="W238" s="1378"/>
      <c r="X238" s="1378"/>
      <c r="Y238" s="1378"/>
      <c r="Z238" s="1378"/>
      <c r="AA238" s="1378"/>
      <c r="AB238" s="1378"/>
      <c r="AC238" s="1378"/>
      <c r="AD238" s="1378"/>
      <c r="AE238" s="1378"/>
      <c r="AF238" s="1378"/>
      <c r="AG238" s="1378"/>
      <c r="AH238" s="1378"/>
      <c r="AI238" s="1378"/>
      <c r="AJ238" s="1378"/>
      <c r="AK238" s="1378">
        <f>IF(INDEX(Tab_actions,222,1)=1,INDEX(Tab_actions,222,31),0)</f>
        <v>0</v>
      </c>
      <c r="AL238" s="1378">
        <f>IF(INDEX(Tab_actions,231,1)=1,INDEX(Tab_actions,231,28),0)</f>
        <v>0</v>
      </c>
      <c r="AM238" s="1378"/>
      <c r="AN238" s="1378">
        <f>IF(INDEX(Tab_actions,247,1)=1,INDEX(Tab_actions,247,31),0)</f>
        <v>0</v>
      </c>
      <c r="AO238" s="1378">
        <f>IF(INDEX(Tab_actions,256,1)=1,INDEX(Tab_actions,256,28),0)</f>
        <v>0</v>
      </c>
      <c r="AP238" s="1378"/>
      <c r="AQ238" s="1378"/>
      <c r="AR238" s="1378"/>
      <c r="AS238" s="1378"/>
      <c r="AT238" s="1378"/>
      <c r="AU238" s="1378"/>
      <c r="AV238" s="1378"/>
      <c r="AW238" s="1378"/>
      <c r="AX238" s="1378"/>
      <c r="AY238" s="1378"/>
      <c r="AZ238" s="1378"/>
      <c r="BA238" s="1378"/>
      <c r="BB238" s="1378"/>
      <c r="BC238" s="1378"/>
      <c r="BD238"/>
      <c r="BE238" s="198"/>
      <c r="BF238" s="198"/>
      <c r="BG238" s="198"/>
      <c r="BH238" s="198"/>
      <c r="BI238" s="198"/>
      <c r="BJ238" s="198"/>
      <c r="BK238" s="198"/>
      <c r="BL238" s="198"/>
      <c r="BM238" s="198"/>
      <c r="BN238" s="198"/>
      <c r="BO238" s="198"/>
      <c r="BP238" s="198"/>
      <c r="BQ238" s="198"/>
      <c r="BR238" s="198"/>
      <c r="BS238" s="198"/>
      <c r="BT238" s="198"/>
      <c r="BU238" s="198"/>
      <c r="BV238" s="198"/>
      <c r="BW238" s="198"/>
      <c r="BX238" s="198"/>
      <c r="BY238" s="198"/>
      <c r="BZ238" s="198"/>
      <c r="CA238" s="198"/>
      <c r="CB238" s="198"/>
      <c r="CC238" s="198"/>
      <c r="CD238" s="198"/>
      <c r="CE238" s="198"/>
      <c r="CF238" s="198"/>
      <c r="CG238" s="198"/>
      <c r="CH238" s="198"/>
      <c r="CI238" s="198"/>
      <c r="CJ238" s="198"/>
      <c r="CK238" s="198"/>
      <c r="CL238" s="198"/>
      <c r="CM238" s="198"/>
      <c r="CN238" s="198"/>
      <c r="CO238" s="198"/>
      <c r="CP238" s="198"/>
      <c r="CQ238" s="198"/>
      <c r="CR238" s="198"/>
      <c r="CS238" s="198"/>
      <c r="CT238" s="198"/>
      <c r="CU238" s="198"/>
      <c r="CV238" s="198"/>
      <c r="CW238" s="198"/>
      <c r="CX238" s="198"/>
      <c r="CY238" s="198"/>
      <c r="CZ238" s="198"/>
      <c r="DA238" s="198"/>
      <c r="DB238" s="198"/>
      <c r="DC238" s="198"/>
      <c r="DD238" s="198"/>
      <c r="DE238" s="198"/>
      <c r="DF238" s="198"/>
      <c r="DG238" s="198"/>
      <c r="DH238" s="198"/>
      <c r="DI238" s="198"/>
      <c r="DJ238" s="198"/>
      <c r="DK238" s="198"/>
      <c r="DL238" s="198"/>
      <c r="DM238" s="198"/>
      <c r="DN238" s="198"/>
      <c r="DO238" s="198"/>
      <c r="DP238" s="198"/>
      <c r="DQ238" s="198"/>
      <c r="DR238" s="198"/>
      <c r="DS238" s="198"/>
      <c r="DT238" s="198"/>
    </row>
    <row r="239" spans="1:124" s="172" customFormat="1" ht="15.75" customHeight="1" outlineLevel="1" x14ac:dyDescent="0.25">
      <c r="A239" s="173"/>
      <c r="B239" s="218" t="str">
        <f>Services!B239</f>
        <v>09E03</v>
      </c>
      <c r="C239" s="216" t="str">
        <f>Services!C239</f>
        <v>Gestion des applications critiques (vis-à-vis de la permanence de la maintenance)</v>
      </c>
      <c r="D239" s="210" t="str">
        <f t="shared" si="3"/>
        <v/>
      </c>
      <c r="E239" s="1378"/>
      <c r="F239" s="1378"/>
      <c r="G239" s="1378"/>
      <c r="H239" s="1378"/>
      <c r="I239" s="1378"/>
      <c r="J239" s="1378"/>
      <c r="K239" s="1378"/>
      <c r="L239" s="1378"/>
      <c r="M239" s="1378"/>
      <c r="N239" s="1378"/>
      <c r="O239" s="1378"/>
      <c r="P239" s="1378"/>
      <c r="Q239" s="1378"/>
      <c r="R239" s="1378"/>
      <c r="S239" s="1378"/>
      <c r="T239" s="1378"/>
      <c r="U239" s="1378"/>
      <c r="V239" s="1378"/>
      <c r="W239" s="1378"/>
      <c r="X239" s="1378"/>
      <c r="Y239" s="1378"/>
      <c r="Z239" s="1378"/>
      <c r="AA239" s="1378"/>
      <c r="AB239" s="1378"/>
      <c r="AC239" s="1378"/>
      <c r="AD239" s="1378"/>
      <c r="AE239" s="1378"/>
      <c r="AF239" s="1378"/>
      <c r="AG239" s="1378"/>
      <c r="AH239" s="1378"/>
      <c r="AI239" s="1378"/>
      <c r="AJ239" s="1378"/>
      <c r="AK239" s="1378">
        <f>IF(INDEX(Tab_actions,221,1)=1,INDEX(Tab_actions,221,22),0)</f>
        <v>0</v>
      </c>
      <c r="AL239" s="1378">
        <f>IF(INDEX(Tab_actions,230,1)=1,INDEX(Tab_actions,230,22),0)</f>
        <v>0</v>
      </c>
      <c r="AM239" s="1378"/>
      <c r="AN239" s="1378">
        <f>IF(INDEX(Tab_actions,246,1)=1,INDEX(Tab_actions,246,22),0)</f>
        <v>0</v>
      </c>
      <c r="AO239" s="1378">
        <f>IF(INDEX(Tab_actions,255,1)=1,INDEX(Tab_actions,255,22),0)</f>
        <v>0</v>
      </c>
      <c r="AP239" s="1378"/>
      <c r="AQ239" s="1378"/>
      <c r="AR239" s="1378"/>
      <c r="AS239" s="1378"/>
      <c r="AT239" s="1378"/>
      <c r="AU239" s="1378"/>
      <c r="AV239" s="1378"/>
      <c r="AW239" s="1378"/>
      <c r="AX239" s="1378"/>
      <c r="AY239" s="1378"/>
      <c r="AZ239" s="1378"/>
      <c r="BA239" s="1378"/>
      <c r="BB239" s="1378"/>
      <c r="BC239" s="1378"/>
      <c r="BD239"/>
      <c r="BE239" s="198"/>
      <c r="BF239" s="198"/>
      <c r="BG239" s="198"/>
      <c r="BH239" s="198"/>
      <c r="BI239" s="198"/>
      <c r="BJ239" s="198"/>
      <c r="BK239" s="198"/>
      <c r="BL239" s="198"/>
      <c r="BM239" s="198"/>
      <c r="BN239" s="198"/>
      <c r="BO239" s="198"/>
      <c r="BP239" s="198"/>
      <c r="BQ239" s="198"/>
      <c r="BR239" s="198"/>
      <c r="BS239" s="198"/>
      <c r="BT239" s="198"/>
      <c r="BU239" s="198"/>
      <c r="BV239" s="198"/>
      <c r="BW239" s="198"/>
      <c r="BX239" s="198"/>
      <c r="BY239" s="198"/>
      <c r="BZ239" s="198"/>
      <c r="CA239" s="198"/>
      <c r="CB239" s="198"/>
      <c r="CC239" s="198"/>
      <c r="CD239" s="198"/>
      <c r="CE239" s="198"/>
      <c r="CF239" s="198"/>
      <c r="CG239" s="198"/>
      <c r="CH239" s="198"/>
      <c r="CI239" s="198"/>
      <c r="CJ239" s="198"/>
      <c r="CK239" s="198"/>
      <c r="CL239" s="198"/>
      <c r="CM239" s="198"/>
      <c r="CN239" s="198"/>
      <c r="CO239" s="198"/>
      <c r="CP239" s="198"/>
      <c r="CQ239" s="198"/>
      <c r="CR239" s="198"/>
      <c r="CS239" s="198"/>
      <c r="CT239" s="198"/>
      <c r="CU239" s="198"/>
      <c r="CV239" s="198"/>
      <c r="CW239" s="198"/>
      <c r="CX239" s="198"/>
      <c r="CY239" s="198"/>
      <c r="CZ239" s="198"/>
      <c r="DA239" s="198"/>
      <c r="DB239" s="198"/>
      <c r="DC239" s="198"/>
      <c r="DD239" s="198"/>
      <c r="DE239" s="198"/>
      <c r="DF239" s="198"/>
      <c r="DG239" s="198"/>
      <c r="DH239" s="198"/>
      <c r="DI239" s="198"/>
      <c r="DJ239" s="198"/>
      <c r="DK239" s="198"/>
      <c r="DL239" s="198"/>
      <c r="DM239" s="198"/>
      <c r="DN239" s="198"/>
      <c r="DO239" s="198"/>
      <c r="DP239" s="198"/>
      <c r="DQ239" s="198"/>
      <c r="DR239" s="198"/>
      <c r="DS239" s="198"/>
      <c r="DT239" s="198"/>
    </row>
    <row r="240" spans="1:124" ht="15" outlineLevel="1" x14ac:dyDescent="0.25">
      <c r="A240" s="231"/>
      <c r="B240" s="213" t="str">
        <f>Services!B240</f>
        <v>09F</v>
      </c>
      <c r="C240" s="214" t="str">
        <f>Services!C240</f>
        <v>Contrôle de l'émission et de la réception de données</v>
      </c>
      <c r="D240" s="210" t="str">
        <f t="shared" si="3"/>
        <v/>
      </c>
      <c r="E240" s="1378"/>
      <c r="F240" s="1378"/>
      <c r="G240" s="1378"/>
      <c r="H240" s="1378"/>
      <c r="I240" s="1378"/>
      <c r="J240" s="1378"/>
      <c r="K240" s="1378"/>
      <c r="L240" s="1378"/>
      <c r="M240" s="1378"/>
      <c r="N240" s="1378"/>
      <c r="O240" s="1378"/>
      <c r="P240" s="1378"/>
      <c r="Q240" s="1378"/>
      <c r="R240" s="1378"/>
      <c r="S240" s="1378"/>
      <c r="T240" s="1378"/>
      <c r="U240" s="1378"/>
      <c r="V240" s="1378"/>
      <c r="W240" s="1378"/>
      <c r="X240" s="1378"/>
      <c r="Y240" s="1378"/>
      <c r="Z240" s="1378"/>
      <c r="AA240" s="1378"/>
      <c r="AB240" s="1378"/>
      <c r="AC240" s="1378"/>
      <c r="AD240" s="1378"/>
      <c r="AE240" s="1378"/>
      <c r="AF240" s="1378"/>
      <c r="AG240" s="1378"/>
      <c r="AH240" s="1378"/>
      <c r="AI240" s="1378"/>
      <c r="AJ240" s="1378"/>
      <c r="AK240" s="1378"/>
      <c r="AL240" s="1378"/>
      <c r="AM240" s="1378"/>
      <c r="AN240" s="1378"/>
      <c r="AO240" s="1378"/>
      <c r="AP240" s="1378"/>
      <c r="AQ240" s="1378"/>
      <c r="AR240" s="1378"/>
      <c r="AS240" s="1378"/>
      <c r="AT240" s="1378"/>
      <c r="AU240" s="1378"/>
      <c r="AV240" s="1378"/>
      <c r="AW240" s="1378"/>
      <c r="AX240" s="1378"/>
      <c r="AY240" s="1378"/>
      <c r="AZ240" s="1378"/>
      <c r="BA240" s="1378"/>
      <c r="BB240" s="1378"/>
      <c r="BC240" s="1378"/>
      <c r="BD240"/>
    </row>
    <row r="241" spans="1:124" ht="15" outlineLevel="1" x14ac:dyDescent="0.25">
      <c r="A241" s="231"/>
      <c r="B241" s="218" t="str">
        <f>Services!B241</f>
        <v>09F01</v>
      </c>
      <c r="C241" s="216" t="str">
        <f>Services!C241</f>
        <v>Garantie d'origine, signature, électronique</v>
      </c>
      <c r="D241" s="210" t="str">
        <f t="shared" si="3"/>
        <v/>
      </c>
      <c r="E241" s="1378"/>
      <c r="F241" s="1378"/>
      <c r="G241" s="1378"/>
      <c r="H241" s="1378"/>
      <c r="I241" s="1378"/>
      <c r="J241" s="1378"/>
      <c r="K241" s="1378"/>
      <c r="L241" s="1378"/>
      <c r="M241" s="1378"/>
      <c r="N241" s="1378"/>
      <c r="O241" s="1378"/>
      <c r="P241" s="1378"/>
      <c r="Q241" s="1378"/>
      <c r="R241" s="1378">
        <f>IF(INDEX(Tab_actions,90,1)=1,INDEX(Tab_actions,90,10),0)</f>
        <v>0</v>
      </c>
      <c r="S241" s="1378"/>
      <c r="T241" s="1378"/>
      <c r="U241" s="1378"/>
      <c r="V241" s="1378"/>
      <c r="W241" s="1378"/>
      <c r="X241" s="1378"/>
      <c r="Y241" s="1378"/>
      <c r="Z241" s="1378"/>
      <c r="AA241" s="1378"/>
      <c r="AB241" s="1378"/>
      <c r="AC241" s="1378"/>
      <c r="AD241" s="1378"/>
      <c r="AE241" s="1378"/>
      <c r="AF241" s="1378"/>
      <c r="AG241" s="1378"/>
      <c r="AH241" s="1378"/>
      <c r="AI241" s="1378"/>
      <c r="AJ241" s="1378"/>
      <c r="AK241" s="1378"/>
      <c r="AL241" s="1378"/>
      <c r="AM241" s="1378"/>
      <c r="AN241" s="1378"/>
      <c r="AO241" s="1378"/>
      <c r="AP241" s="1378"/>
      <c r="AQ241" s="1378"/>
      <c r="AR241" s="1378"/>
      <c r="AS241" s="1378"/>
      <c r="AT241" s="1378"/>
      <c r="AU241" s="1378"/>
      <c r="AV241" s="1378"/>
      <c r="AW241" s="1378"/>
      <c r="AX241" s="1378"/>
      <c r="AY241" s="1378"/>
      <c r="AZ241" s="1378"/>
      <c r="BA241" s="1378"/>
      <c r="BB241" s="1378"/>
      <c r="BC241" s="1378"/>
      <c r="BD241"/>
    </row>
    <row r="242" spans="1:124" ht="25.5" outlineLevel="1" x14ac:dyDescent="0.25">
      <c r="A242" s="231"/>
      <c r="B242" s="218" t="str">
        <f>Services!B242</f>
        <v>09F02</v>
      </c>
      <c r="C242" s="216" t="str">
        <f>Services!C242</f>
        <v>Individualisation des messages empêchant leur duplication (numérotation, séquencement,...)</v>
      </c>
      <c r="D242" s="210" t="str">
        <f t="shared" si="3"/>
        <v/>
      </c>
      <c r="E242" s="1378"/>
      <c r="F242" s="1378"/>
      <c r="G242" s="1378"/>
      <c r="H242" s="1378"/>
      <c r="I242" s="1378"/>
      <c r="J242" s="1378"/>
      <c r="K242" s="1378"/>
      <c r="L242" s="1378"/>
      <c r="M242" s="1378"/>
      <c r="N242" s="1378"/>
      <c r="O242" s="1378"/>
      <c r="P242" s="1378"/>
      <c r="Q242" s="1378"/>
      <c r="R242" s="1378">
        <f>IF(INDEX(Tab_actions,90,1)=1,INDEX(Tab_actions,90,13),0)</f>
        <v>0</v>
      </c>
      <c r="S242" s="1378"/>
      <c r="T242" s="1378"/>
      <c r="U242" s="1378"/>
      <c r="V242" s="1378"/>
      <c r="W242" s="1378"/>
      <c r="X242" s="1378"/>
      <c r="Y242" s="1378"/>
      <c r="Z242" s="1378"/>
      <c r="AA242" s="1378"/>
      <c r="AB242" s="1378"/>
      <c r="AC242" s="1378"/>
      <c r="AD242" s="1378"/>
      <c r="AE242" s="1378"/>
      <c r="AF242" s="1378"/>
      <c r="AG242" s="1378"/>
      <c r="AH242" s="1378"/>
      <c r="AI242" s="1378"/>
      <c r="AJ242" s="1378"/>
      <c r="AK242" s="1378"/>
      <c r="AL242" s="1378"/>
      <c r="AM242" s="1378"/>
      <c r="AN242" s="1378"/>
      <c r="AO242" s="1378"/>
      <c r="AP242" s="1378"/>
      <c r="AQ242" s="1378"/>
      <c r="AR242" s="1378"/>
      <c r="AS242" s="1378"/>
      <c r="AT242" s="1378"/>
      <c r="AU242" s="1378"/>
      <c r="AV242" s="1378"/>
      <c r="AW242" s="1378"/>
      <c r="AX242" s="1378"/>
      <c r="AY242" s="1378"/>
      <c r="AZ242" s="1378"/>
      <c r="BA242" s="1378"/>
      <c r="BB242" s="1378"/>
      <c r="BC242" s="1378"/>
      <c r="BD242"/>
    </row>
    <row r="243" spans="1:124" ht="15" outlineLevel="1" x14ac:dyDescent="0.25">
      <c r="A243" s="231"/>
      <c r="B243" s="218" t="str">
        <f>Services!B243</f>
        <v>09F03</v>
      </c>
      <c r="C243" s="216" t="str">
        <f>Services!C243</f>
        <v xml:space="preserve">Accusé de réception </v>
      </c>
      <c r="D243" s="210" t="str">
        <f t="shared" si="3"/>
        <v/>
      </c>
      <c r="E243" s="1378"/>
      <c r="F243" s="1378"/>
      <c r="G243" s="1378"/>
      <c r="H243" s="1378"/>
      <c r="I243" s="1378">
        <f>IF(INDEX(Tab_actions,36,1)=1,INDEX(Tab_actions,36,4),0)</f>
        <v>0</v>
      </c>
      <c r="J243" s="1378"/>
      <c r="K243" s="1378"/>
      <c r="L243" s="1378"/>
      <c r="M243" s="1378"/>
      <c r="N243" s="1378"/>
      <c r="O243" s="1378"/>
      <c r="P243" s="1378"/>
      <c r="Q243" s="1378"/>
      <c r="R243" s="1378">
        <f>IF(INDEX(Tab_actions,95,1)=1,INDEX(Tab_actions,95,4),0)</f>
        <v>0</v>
      </c>
      <c r="S243" s="1378"/>
      <c r="T243" s="1378"/>
      <c r="U243" s="1378"/>
      <c r="V243" s="1378"/>
      <c r="W243" s="1378"/>
      <c r="X243" s="1378"/>
      <c r="Y243" s="1378"/>
      <c r="Z243" s="1378"/>
      <c r="AA243" s="1378"/>
      <c r="AB243" s="1378"/>
      <c r="AC243" s="1378"/>
      <c r="AD243" s="1378"/>
      <c r="AE243" s="1378"/>
      <c r="AF243" s="1378"/>
      <c r="AG243" s="1378"/>
      <c r="AH243" s="1378"/>
      <c r="AI243" s="1378"/>
      <c r="AJ243" s="1378"/>
      <c r="AK243" s="1378"/>
      <c r="AL243" s="1378"/>
      <c r="AM243" s="1378"/>
      <c r="AN243" s="1378"/>
      <c r="AO243" s="1378"/>
      <c r="AP243" s="1378"/>
      <c r="AQ243" s="1378"/>
      <c r="AR243" s="1378"/>
      <c r="AS243" s="1378"/>
      <c r="AT243" s="1378"/>
      <c r="AU243" s="1378"/>
      <c r="AV243" s="1378"/>
      <c r="AW243" s="1378"/>
      <c r="AX243" s="1378"/>
      <c r="AY243" s="1378"/>
      <c r="AZ243" s="1378"/>
      <c r="BA243" s="1378"/>
      <c r="BB243" s="1378"/>
      <c r="BC243" s="1378"/>
      <c r="BD243"/>
    </row>
    <row r="244" spans="1:124" ht="15" outlineLevel="1" x14ac:dyDescent="0.25">
      <c r="A244" s="231"/>
      <c r="B244" s="213" t="str">
        <f>Services!B244</f>
        <v>09G</v>
      </c>
      <c r="C244" s="214" t="str">
        <f>Services!C244</f>
        <v>Détection et gestion des incidents et anomalies applicatifs</v>
      </c>
      <c r="D244" s="210" t="str">
        <f t="shared" si="3"/>
        <v/>
      </c>
      <c r="E244" s="1378"/>
      <c r="F244" s="1378"/>
      <c r="G244" s="1378"/>
      <c r="H244" s="1378"/>
      <c r="I244" s="1378"/>
      <c r="J244" s="1378"/>
      <c r="K244" s="1378"/>
      <c r="L244" s="1378"/>
      <c r="M244" s="1378"/>
      <c r="N244" s="1378"/>
      <c r="O244" s="1378"/>
      <c r="P244" s="1378"/>
      <c r="Q244" s="1378"/>
      <c r="R244" s="1378"/>
      <c r="S244" s="1378"/>
      <c r="T244" s="1378"/>
      <c r="U244" s="1378"/>
      <c r="V244" s="1378"/>
      <c r="W244" s="1378"/>
      <c r="X244" s="1378"/>
      <c r="Y244" s="1378"/>
      <c r="Z244" s="1378"/>
      <c r="AA244" s="1378"/>
      <c r="AB244" s="1378"/>
      <c r="AC244" s="1378"/>
      <c r="AD244" s="1378"/>
      <c r="AE244" s="1378"/>
      <c r="AF244" s="1378"/>
      <c r="AG244" s="1378"/>
      <c r="AH244" s="1378"/>
      <c r="AI244" s="1378"/>
      <c r="AJ244" s="1378"/>
      <c r="AK244" s="1378"/>
      <c r="AL244" s="1378"/>
      <c r="AM244" s="1378"/>
      <c r="AN244" s="1378"/>
      <c r="AO244" s="1378"/>
      <c r="AP244" s="1378"/>
      <c r="AQ244" s="1378"/>
      <c r="AR244" s="1378"/>
      <c r="AS244" s="1378"/>
      <c r="AT244" s="1378"/>
      <c r="AU244" s="1378"/>
      <c r="AV244" s="1378"/>
      <c r="AW244" s="1378"/>
      <c r="AX244" s="1378"/>
      <c r="AY244" s="1378"/>
      <c r="AZ244" s="1378"/>
      <c r="BA244" s="1378"/>
      <c r="BB244" s="1378"/>
      <c r="BC244" s="1378"/>
      <c r="BD244"/>
    </row>
    <row r="245" spans="1:124" ht="15" outlineLevel="1" x14ac:dyDescent="0.25">
      <c r="A245" s="231"/>
      <c r="B245" s="218" t="str">
        <f>Services!B245</f>
        <v>09G01</v>
      </c>
      <c r="C245" s="216" t="str">
        <f>Services!C245</f>
        <v>Détection des anomalies applicatives</v>
      </c>
      <c r="D245" s="210" t="str">
        <f t="shared" si="3"/>
        <v/>
      </c>
      <c r="E245" s="1378"/>
      <c r="F245" s="1378"/>
      <c r="G245" s="1378"/>
      <c r="H245" s="1378"/>
      <c r="I245" s="1378"/>
      <c r="J245" s="1378"/>
      <c r="K245" s="1378"/>
      <c r="L245" s="1378"/>
      <c r="M245" s="1378"/>
      <c r="N245" s="1378"/>
      <c r="O245" s="1378"/>
      <c r="P245" s="1378"/>
      <c r="Q245" s="1378"/>
      <c r="R245" s="1378"/>
      <c r="S245" s="1378"/>
      <c r="T245" s="1378"/>
      <c r="U245" s="1378"/>
      <c r="V245" s="1378"/>
      <c r="W245" s="1378"/>
      <c r="X245" s="1378"/>
      <c r="Y245" s="1378"/>
      <c r="Z245" s="1378"/>
      <c r="AA245" s="1378"/>
      <c r="AB245" s="1378"/>
      <c r="AC245" s="1378"/>
      <c r="AD245" s="1378"/>
      <c r="AE245" s="1378"/>
      <c r="AF245" s="1378"/>
      <c r="AG245" s="1378"/>
      <c r="AH245" s="1378"/>
      <c r="AI245" s="1378"/>
      <c r="AJ245" s="1378"/>
      <c r="AK245" s="1378"/>
      <c r="AL245" s="1378"/>
      <c r="AM245" s="1378"/>
      <c r="AN245" s="1378"/>
      <c r="AO245" s="1378"/>
      <c r="AP245" s="1378"/>
      <c r="AQ245" s="1378"/>
      <c r="AR245" s="1378"/>
      <c r="AS245" s="1378"/>
      <c r="AT245" s="1378"/>
      <c r="AU245" s="1378"/>
      <c r="AV245" s="1378"/>
      <c r="AW245" s="1378"/>
      <c r="AX245" s="1378"/>
      <c r="AY245" s="1378"/>
      <c r="AZ245" s="1378"/>
      <c r="BA245" s="1378"/>
      <c r="BB245" s="1378"/>
      <c r="BC245" s="1378"/>
      <c r="BD245"/>
    </row>
    <row r="246" spans="1:124" s="172" customFormat="1" ht="15" outlineLevel="1" x14ac:dyDescent="0.25">
      <c r="A246" s="173"/>
      <c r="B246" s="213" t="str">
        <f>Services!B246</f>
        <v>09H</v>
      </c>
      <c r="C246" s="214" t="str">
        <f>Services!C246</f>
        <v>Sécurité des services et transactions des applications</v>
      </c>
      <c r="D246" s="210" t="str">
        <f t="shared" si="3"/>
        <v/>
      </c>
      <c r="E246" s="1378"/>
      <c r="F246" s="1378"/>
      <c r="G246" s="1378"/>
      <c r="H246" s="1378"/>
      <c r="I246" s="1378"/>
      <c r="J246" s="1378"/>
      <c r="K246" s="1378"/>
      <c r="L246" s="1378"/>
      <c r="M246" s="1378"/>
      <c r="N246" s="1378"/>
      <c r="O246" s="1378"/>
      <c r="P246" s="1378"/>
      <c r="Q246" s="1378"/>
      <c r="R246" s="1378"/>
      <c r="S246" s="1378"/>
      <c r="T246" s="1378"/>
      <c r="U246" s="1378"/>
      <c r="V246" s="1378"/>
      <c r="W246" s="1378"/>
      <c r="X246" s="1378"/>
      <c r="Y246" s="1378"/>
      <c r="Z246" s="1378"/>
      <c r="AA246" s="1378"/>
      <c r="AB246" s="1378"/>
      <c r="AC246" s="1378"/>
      <c r="AD246" s="1378"/>
      <c r="AE246" s="1378"/>
      <c r="AF246" s="1378"/>
      <c r="AG246" s="1378"/>
      <c r="AH246" s="1378"/>
      <c r="AI246" s="1378"/>
      <c r="AJ246" s="1378"/>
      <c r="AK246" s="1378"/>
      <c r="AL246" s="1378"/>
      <c r="AM246" s="1378"/>
      <c r="AN246" s="1378"/>
      <c r="AO246" s="1378"/>
      <c r="AP246" s="1378"/>
      <c r="AQ246" s="1378"/>
      <c r="AR246" s="1378"/>
      <c r="AS246" s="1378"/>
      <c r="AT246" s="1378"/>
      <c r="AU246" s="1378"/>
      <c r="AV246" s="1378"/>
      <c r="AW246" s="1378"/>
      <c r="AX246" s="1378"/>
      <c r="AY246" s="1378"/>
      <c r="AZ246" s="1378"/>
      <c r="BA246" s="1378"/>
      <c r="BB246" s="1378"/>
      <c r="BC246" s="1378"/>
      <c r="BD246"/>
      <c r="BE246" s="198"/>
      <c r="BF246" s="198"/>
      <c r="BG246" s="198"/>
      <c r="BH246" s="198"/>
      <c r="BI246" s="198"/>
      <c r="BJ246" s="198"/>
      <c r="BK246" s="198"/>
      <c r="BL246" s="198"/>
      <c r="BM246" s="198"/>
      <c r="BN246" s="198"/>
      <c r="BO246" s="198"/>
      <c r="BP246" s="198"/>
      <c r="BQ246" s="198"/>
      <c r="BR246" s="198"/>
      <c r="BS246" s="198"/>
      <c r="BT246" s="198"/>
      <c r="BU246" s="198"/>
      <c r="BV246" s="198"/>
      <c r="BW246" s="198"/>
      <c r="BX246" s="198"/>
      <c r="BY246" s="198"/>
      <c r="BZ246" s="198"/>
      <c r="CA246" s="198"/>
      <c r="CB246" s="198"/>
      <c r="CC246" s="198"/>
      <c r="CD246" s="198"/>
      <c r="CE246" s="198"/>
      <c r="CF246" s="198"/>
      <c r="CG246" s="198"/>
      <c r="CH246" s="198"/>
      <c r="CI246" s="198"/>
      <c r="CJ246" s="198"/>
      <c r="CK246" s="198"/>
      <c r="CL246" s="198"/>
      <c r="CM246" s="198"/>
      <c r="CN246" s="198"/>
      <c r="CO246" s="198"/>
      <c r="CP246" s="198"/>
      <c r="CQ246" s="198"/>
      <c r="CR246" s="198"/>
      <c r="CS246" s="198"/>
      <c r="CT246" s="198"/>
      <c r="CU246" s="198"/>
      <c r="CV246" s="198"/>
      <c r="CW246" s="198"/>
      <c r="CX246" s="198"/>
      <c r="CY246" s="198"/>
      <c r="CZ246" s="198"/>
      <c r="DA246" s="198"/>
      <c r="DB246" s="198"/>
      <c r="DC246" s="198"/>
      <c r="DD246" s="198"/>
      <c r="DE246" s="198"/>
      <c r="DF246" s="198"/>
      <c r="DG246" s="198"/>
      <c r="DH246" s="198"/>
      <c r="DI246" s="198"/>
      <c r="DJ246" s="198"/>
      <c r="DK246" s="198"/>
      <c r="DL246" s="198"/>
      <c r="DM246" s="198"/>
      <c r="DN246" s="198"/>
      <c r="DO246" s="198"/>
      <c r="DP246" s="198"/>
      <c r="DQ246" s="198"/>
      <c r="DR246" s="198"/>
      <c r="DS246" s="198"/>
      <c r="DT246" s="198"/>
    </row>
    <row r="247" spans="1:124" s="172" customFormat="1" ht="15" outlineLevel="1" x14ac:dyDescent="0.25">
      <c r="A247" s="173"/>
      <c r="B247" s="218" t="str">
        <f>Services!B247</f>
        <v>09H01</v>
      </c>
      <c r="C247" s="216" t="str">
        <f>Services!C247</f>
        <v>Sécurisation des services d'application sur les réseaux publics</v>
      </c>
      <c r="D247" s="210" t="str">
        <f t="shared" si="3"/>
        <v/>
      </c>
      <c r="E247" s="1378"/>
      <c r="F247" s="1378"/>
      <c r="G247" s="1378"/>
      <c r="H247" s="1378"/>
      <c r="I247" s="1378"/>
      <c r="J247" s="1378"/>
      <c r="K247" s="1378"/>
      <c r="L247" s="1378"/>
      <c r="M247" s="1378"/>
      <c r="N247" s="1378"/>
      <c r="O247" s="1378"/>
      <c r="P247" s="1378"/>
      <c r="Q247" s="1378"/>
      <c r="R247" s="1378"/>
      <c r="S247" s="1378"/>
      <c r="T247" s="1378"/>
      <c r="U247" s="1378"/>
      <c r="V247" s="1378"/>
      <c r="W247" s="1378"/>
      <c r="X247" s="1378"/>
      <c r="Y247" s="1378"/>
      <c r="Z247" s="1378"/>
      <c r="AA247" s="1378"/>
      <c r="AB247" s="1378"/>
      <c r="AC247" s="1378"/>
      <c r="AD247" s="1378"/>
      <c r="AE247" s="1378"/>
      <c r="AF247" s="1378"/>
      <c r="AG247" s="1378"/>
      <c r="AH247" s="1378"/>
      <c r="AI247" s="1378"/>
      <c r="AJ247" s="1378"/>
      <c r="AK247" s="1378"/>
      <c r="AL247" s="1378"/>
      <c r="AM247" s="1378"/>
      <c r="AN247" s="1378"/>
      <c r="AO247" s="1378"/>
      <c r="AP247" s="1378"/>
      <c r="AQ247" s="1378"/>
      <c r="AR247" s="1378"/>
      <c r="AS247" s="1378"/>
      <c r="AT247" s="1378"/>
      <c r="AU247" s="1378"/>
      <c r="AV247" s="1378"/>
      <c r="AW247" s="1378"/>
      <c r="AX247" s="1378"/>
      <c r="AY247" s="1378"/>
      <c r="AZ247" s="1378"/>
      <c r="BA247" s="1378"/>
      <c r="BB247" s="1378"/>
      <c r="BC247" s="1378"/>
      <c r="BD247"/>
      <c r="BE247" s="198"/>
      <c r="BF247" s="198"/>
      <c r="BG247" s="198"/>
      <c r="BH247" s="198"/>
      <c r="BI247" s="198"/>
      <c r="BJ247" s="198"/>
      <c r="BK247" s="198"/>
      <c r="BL247" s="198"/>
      <c r="BM247" s="198"/>
      <c r="BN247" s="198"/>
      <c r="BO247" s="198"/>
      <c r="BP247" s="198"/>
      <c r="BQ247" s="198"/>
      <c r="BR247" s="198"/>
      <c r="BS247" s="198"/>
      <c r="BT247" s="198"/>
      <c r="BU247" s="198"/>
      <c r="BV247" s="198"/>
      <c r="BW247" s="198"/>
      <c r="BX247" s="198"/>
      <c r="BY247" s="198"/>
      <c r="BZ247" s="198"/>
      <c r="CA247" s="198"/>
      <c r="CB247" s="198"/>
      <c r="CC247" s="198"/>
      <c r="CD247" s="198"/>
      <c r="CE247" s="198"/>
      <c r="CF247" s="198"/>
      <c r="CG247" s="198"/>
      <c r="CH247" s="198"/>
      <c r="CI247" s="198"/>
      <c r="CJ247" s="198"/>
      <c r="CK247" s="198"/>
      <c r="CL247" s="198"/>
      <c r="CM247" s="198"/>
      <c r="CN247" s="198"/>
      <c r="CO247" s="198"/>
      <c r="CP247" s="198"/>
      <c r="CQ247" s="198"/>
      <c r="CR247" s="198"/>
      <c r="CS247" s="198"/>
      <c r="CT247" s="198"/>
      <c r="CU247" s="198"/>
      <c r="CV247" s="198"/>
      <c r="CW247" s="198"/>
      <c r="CX247" s="198"/>
      <c r="CY247" s="198"/>
      <c r="CZ247" s="198"/>
      <c r="DA247" s="198"/>
      <c r="DB247" s="198"/>
      <c r="DC247" s="198"/>
      <c r="DD247" s="198"/>
      <c r="DE247" s="198"/>
      <c r="DF247" s="198"/>
      <c r="DG247" s="198"/>
      <c r="DH247" s="198"/>
      <c r="DI247" s="198"/>
      <c r="DJ247" s="198"/>
      <c r="DK247" s="198"/>
      <c r="DL247" s="198"/>
      <c r="DM247" s="198"/>
      <c r="DN247" s="198"/>
      <c r="DO247" s="198"/>
      <c r="DP247" s="198"/>
      <c r="DQ247" s="198"/>
      <c r="DR247" s="198"/>
      <c r="DS247" s="198"/>
      <c r="DT247" s="198"/>
    </row>
    <row r="248" spans="1:124" s="172" customFormat="1" ht="15" outlineLevel="1" x14ac:dyDescent="0.25">
      <c r="A248" s="173"/>
      <c r="B248" s="218" t="str">
        <f>Services!B248</f>
        <v>09H02</v>
      </c>
      <c r="C248" s="216" t="str">
        <f>Services!C248</f>
        <v>Protection des transactions de services d'application</v>
      </c>
      <c r="D248" s="210" t="str">
        <f t="shared" si="3"/>
        <v/>
      </c>
      <c r="E248" s="1378"/>
      <c r="F248" s="1378"/>
      <c r="G248" s="1378"/>
      <c r="H248" s="1378"/>
      <c r="I248" s="1378"/>
      <c r="J248" s="1378"/>
      <c r="K248" s="1378"/>
      <c r="L248" s="1378"/>
      <c r="M248" s="1378"/>
      <c r="N248" s="1378"/>
      <c r="O248" s="1378"/>
      <c r="P248" s="1378"/>
      <c r="Q248" s="1378"/>
      <c r="R248" s="1378"/>
      <c r="S248" s="1378"/>
      <c r="T248" s="1378"/>
      <c r="U248" s="1378"/>
      <c r="V248" s="1378"/>
      <c r="W248" s="1378"/>
      <c r="X248" s="1378"/>
      <c r="Y248" s="1378"/>
      <c r="Z248" s="1378"/>
      <c r="AA248" s="1378"/>
      <c r="AB248" s="1378"/>
      <c r="AC248" s="1378"/>
      <c r="AD248" s="1378"/>
      <c r="AE248" s="1378"/>
      <c r="AF248" s="1378"/>
      <c r="AG248" s="1378"/>
      <c r="AH248" s="1378"/>
      <c r="AI248" s="1378"/>
      <c r="AJ248" s="1378"/>
      <c r="AK248" s="1378"/>
      <c r="AL248" s="1378"/>
      <c r="AM248" s="1378"/>
      <c r="AN248" s="1378"/>
      <c r="AO248" s="1378"/>
      <c r="AP248" s="1378"/>
      <c r="AQ248" s="1378"/>
      <c r="AR248" s="1378"/>
      <c r="AS248" s="1378"/>
      <c r="AT248" s="1378"/>
      <c r="AU248" s="1378"/>
      <c r="AV248" s="1378"/>
      <c r="AW248" s="1378"/>
      <c r="AX248" s="1378"/>
      <c r="AY248" s="1378"/>
      <c r="AZ248" s="1378"/>
      <c r="BA248" s="1378"/>
      <c r="BB248" s="1378"/>
      <c r="BC248" s="1378"/>
      <c r="BD248"/>
      <c r="BE248" s="198"/>
      <c r="BF248" s="198"/>
      <c r="BG248" s="198"/>
      <c r="BH248" s="198"/>
      <c r="BI248" s="198"/>
      <c r="BJ248" s="198"/>
      <c r="BK248" s="198"/>
      <c r="BL248" s="198"/>
      <c r="BM248" s="198"/>
      <c r="BN248" s="198"/>
      <c r="BO248" s="198"/>
      <c r="BP248" s="198"/>
      <c r="BQ248" s="198"/>
      <c r="BR248" s="198"/>
      <c r="BS248" s="198"/>
      <c r="BT248" s="198"/>
      <c r="BU248" s="198"/>
      <c r="BV248" s="198"/>
      <c r="BW248" s="198"/>
      <c r="BX248" s="198"/>
      <c r="BY248" s="198"/>
      <c r="BZ248" s="198"/>
      <c r="CA248" s="198"/>
      <c r="CB248" s="198"/>
      <c r="CC248" s="198"/>
      <c r="CD248" s="198"/>
      <c r="CE248" s="198"/>
      <c r="CF248" s="198"/>
      <c r="CG248" s="198"/>
      <c r="CH248" s="198"/>
      <c r="CI248" s="198"/>
      <c r="CJ248" s="198"/>
      <c r="CK248" s="198"/>
      <c r="CL248" s="198"/>
      <c r="CM248" s="198"/>
      <c r="CN248" s="198"/>
      <c r="CO248" s="198"/>
      <c r="CP248" s="198"/>
      <c r="CQ248" s="198"/>
      <c r="CR248" s="198"/>
      <c r="CS248" s="198"/>
      <c r="CT248" s="198"/>
      <c r="CU248" s="198"/>
      <c r="CV248" s="198"/>
      <c r="CW248" s="198"/>
      <c r="CX248" s="198"/>
      <c r="CY248" s="198"/>
      <c r="CZ248" s="198"/>
      <c r="DA248" s="198"/>
      <c r="DB248" s="198"/>
      <c r="DC248" s="198"/>
      <c r="DD248" s="198"/>
      <c r="DE248" s="198"/>
      <c r="DF248" s="198"/>
      <c r="DG248" s="198"/>
      <c r="DH248" s="198"/>
      <c r="DI248" s="198"/>
      <c r="DJ248" s="198"/>
      <c r="DK248" s="198"/>
      <c r="DL248" s="198"/>
      <c r="DM248" s="198"/>
      <c r="DN248" s="198"/>
      <c r="DO248" s="198"/>
      <c r="DP248" s="198"/>
      <c r="DQ248" s="198"/>
      <c r="DR248" s="198"/>
      <c r="DS248" s="198"/>
      <c r="DT248" s="198"/>
    </row>
    <row r="249" spans="1:124" s="172" customFormat="1" ht="15" outlineLevel="1" x14ac:dyDescent="0.25">
      <c r="A249" s="173"/>
      <c r="B249" s="218" t="str">
        <f>Services!B249</f>
        <v>09H03</v>
      </c>
      <c r="C249" s="216" t="str">
        <f>Services!C249</f>
        <v>Messagerie électronique</v>
      </c>
      <c r="D249" s="210" t="str">
        <f t="shared" si="3"/>
        <v/>
      </c>
      <c r="E249" s="1378"/>
      <c r="F249" s="1378"/>
      <c r="G249" s="1378"/>
      <c r="H249" s="1378"/>
      <c r="I249" s="1378"/>
      <c r="J249" s="1378"/>
      <c r="K249" s="1378"/>
      <c r="L249" s="1378"/>
      <c r="M249" s="1378"/>
      <c r="N249" s="1378"/>
      <c r="O249" s="1378"/>
      <c r="P249" s="1378"/>
      <c r="Q249" s="1378"/>
      <c r="R249" s="1378"/>
      <c r="S249" s="1378"/>
      <c r="T249" s="1378"/>
      <c r="U249" s="1378"/>
      <c r="V249" s="1378"/>
      <c r="W249" s="1378"/>
      <c r="X249" s="1378"/>
      <c r="Y249" s="1378"/>
      <c r="Z249" s="1378"/>
      <c r="AA249" s="1378"/>
      <c r="AB249" s="1378"/>
      <c r="AC249" s="1378"/>
      <c r="AD249" s="1378"/>
      <c r="AE249" s="1378"/>
      <c r="AF249" s="1378"/>
      <c r="AG249" s="1378"/>
      <c r="AH249" s="1378"/>
      <c r="AI249" s="1378"/>
      <c r="AJ249" s="1378"/>
      <c r="AK249" s="1378"/>
      <c r="AL249" s="1378"/>
      <c r="AM249" s="1378"/>
      <c r="AN249" s="1378"/>
      <c r="AO249" s="1378"/>
      <c r="AP249" s="1378"/>
      <c r="AQ249" s="1378"/>
      <c r="AR249" s="1378"/>
      <c r="AS249" s="1378"/>
      <c r="AT249" s="1378"/>
      <c r="AU249" s="1378"/>
      <c r="AV249" s="1378"/>
      <c r="AW249" s="1378"/>
      <c r="AX249" s="1378"/>
      <c r="AY249" s="1378"/>
      <c r="AZ249" s="1378"/>
      <c r="BA249" s="1378"/>
      <c r="BB249" s="1378"/>
      <c r="BC249" s="1378"/>
      <c r="BD249"/>
      <c r="BE249" s="198"/>
      <c r="BF249" s="198"/>
      <c r="BG249" s="198"/>
      <c r="BH249" s="198"/>
      <c r="BI249" s="198"/>
      <c r="BJ249" s="198"/>
      <c r="BK249" s="198"/>
      <c r="BL249" s="198"/>
      <c r="BM249" s="198"/>
      <c r="BN249" s="198"/>
      <c r="BO249" s="198"/>
      <c r="BP249" s="198"/>
      <c r="BQ249" s="198"/>
      <c r="BR249" s="198"/>
      <c r="BS249" s="198"/>
      <c r="BT249" s="198"/>
      <c r="BU249" s="198"/>
      <c r="BV249" s="198"/>
      <c r="BW249" s="198"/>
      <c r="BX249" s="198"/>
      <c r="BY249" s="198"/>
      <c r="BZ249" s="198"/>
      <c r="CA249" s="198"/>
      <c r="CB249" s="198"/>
      <c r="CC249" s="198"/>
      <c r="CD249" s="198"/>
      <c r="CE249" s="198"/>
      <c r="CF249" s="198"/>
      <c r="CG249" s="198"/>
      <c r="CH249" s="198"/>
      <c r="CI249" s="198"/>
      <c r="CJ249" s="198"/>
      <c r="CK249" s="198"/>
      <c r="CL249" s="198"/>
      <c r="CM249" s="198"/>
      <c r="CN249" s="198"/>
      <c r="CO249" s="198"/>
      <c r="CP249" s="198"/>
      <c r="CQ249" s="198"/>
      <c r="CR249" s="198"/>
      <c r="CS249" s="198"/>
      <c r="CT249" s="198"/>
      <c r="CU249" s="198"/>
      <c r="CV249" s="198"/>
      <c r="CW249" s="198"/>
      <c r="CX249" s="198"/>
      <c r="CY249" s="198"/>
      <c r="CZ249" s="198"/>
      <c r="DA249" s="198"/>
      <c r="DB249" s="198"/>
      <c r="DC249" s="198"/>
      <c r="DD249" s="198"/>
      <c r="DE249" s="198"/>
      <c r="DF249" s="198"/>
      <c r="DG249" s="198"/>
      <c r="DH249" s="198"/>
      <c r="DI249" s="198"/>
      <c r="DJ249" s="198"/>
      <c r="DK249" s="198"/>
      <c r="DL249" s="198"/>
      <c r="DM249" s="198"/>
      <c r="DN249" s="198"/>
      <c r="DO249" s="198"/>
      <c r="DP249" s="198"/>
      <c r="DQ249" s="198"/>
      <c r="DR249" s="198"/>
      <c r="DS249" s="198"/>
      <c r="DT249" s="198"/>
    </row>
    <row r="250" spans="1:124" ht="15" x14ac:dyDescent="0.25">
      <c r="A250" s="207" t="s">
        <v>40</v>
      </c>
      <c r="B250" s="207" t="str">
        <f>Services!B250</f>
        <v>Sécurité des projets et développements applicatifs (10 Dev)</v>
      </c>
      <c r="C250" s="228"/>
      <c r="D250" s="210" t="str">
        <f t="shared" si="3"/>
        <v/>
      </c>
      <c r="E250" s="1378"/>
      <c r="F250" s="1378"/>
      <c r="G250" s="1378"/>
      <c r="H250" s="1378"/>
      <c r="I250" s="1378"/>
      <c r="J250" s="1378"/>
      <c r="K250" s="1378"/>
      <c r="L250" s="1378"/>
      <c r="M250" s="1378"/>
      <c r="N250" s="1378"/>
      <c r="O250" s="1378"/>
      <c r="P250" s="1378"/>
      <c r="Q250" s="1378"/>
      <c r="R250" s="1378"/>
      <c r="S250" s="1378"/>
      <c r="T250" s="1378"/>
      <c r="U250" s="1378"/>
      <c r="V250" s="1378"/>
      <c r="W250" s="1378"/>
      <c r="X250" s="1378"/>
      <c r="Y250" s="1378"/>
      <c r="Z250" s="1378"/>
      <c r="AA250" s="1378"/>
      <c r="AB250" s="1378"/>
      <c r="AC250" s="1378"/>
      <c r="AD250" s="1378"/>
      <c r="AE250" s="1378"/>
      <c r="AF250" s="1378"/>
      <c r="AG250" s="1378"/>
      <c r="AH250" s="1378"/>
      <c r="AI250" s="1378"/>
      <c r="AJ250" s="1378"/>
      <c r="AK250" s="1378"/>
      <c r="AL250" s="1378"/>
      <c r="AM250" s="1378"/>
      <c r="AN250" s="1378"/>
      <c r="AO250" s="1378"/>
      <c r="AP250" s="1378"/>
      <c r="AQ250" s="1378"/>
      <c r="AR250" s="1378"/>
      <c r="AS250" s="1378"/>
      <c r="AT250" s="1378"/>
      <c r="AU250" s="1378"/>
      <c r="AV250" s="1378"/>
      <c r="AW250" s="1378"/>
      <c r="AX250" s="1378"/>
      <c r="AY250" s="1378"/>
      <c r="AZ250" s="1378"/>
      <c r="BA250" s="1378"/>
      <c r="BB250" s="1378"/>
      <c r="BC250" s="1378"/>
      <c r="BD250"/>
    </row>
    <row r="251" spans="1:124" s="172" customFormat="1" ht="14.25" outlineLevel="1" x14ac:dyDescent="0.25">
      <c r="A251" s="217"/>
      <c r="B251" s="218" t="str">
        <f>Services!B251</f>
        <v>10A</v>
      </c>
      <c r="C251" s="216" t="str">
        <f>Services!C251</f>
        <v>Sécurité des projets et développements applicatifs</v>
      </c>
      <c r="D251" s="210" t="str">
        <f t="shared" si="3"/>
        <v/>
      </c>
      <c r="E251" s="1378"/>
      <c r="F251" s="1378"/>
      <c r="G251" s="1378"/>
      <c r="H251" s="1378"/>
      <c r="I251" s="1378"/>
      <c r="J251" s="1378"/>
      <c r="K251" s="1378"/>
      <c r="L251" s="1378"/>
      <c r="M251" s="1378"/>
      <c r="N251" s="1378"/>
      <c r="O251" s="1378"/>
      <c r="P251" s="1378"/>
      <c r="Q251" s="1378"/>
      <c r="R251" s="1378"/>
      <c r="S251" s="1378"/>
      <c r="T251" s="1378"/>
      <c r="U251" s="1378"/>
      <c r="V251" s="1378"/>
      <c r="W251" s="1378"/>
      <c r="X251" s="1378"/>
      <c r="Y251" s="1378"/>
      <c r="Z251" s="1378"/>
      <c r="AA251" s="1378"/>
      <c r="AB251" s="1378"/>
      <c r="AC251" s="1378"/>
      <c r="AD251" s="1378"/>
      <c r="AE251" s="1378"/>
      <c r="AF251" s="1378"/>
      <c r="AG251" s="1378"/>
      <c r="AH251" s="1378"/>
      <c r="AI251" s="1378"/>
      <c r="AJ251" s="1378"/>
      <c r="AK251" s="1378"/>
      <c r="AL251" s="1378"/>
      <c r="AM251" s="1378"/>
      <c r="AN251" s="1378"/>
      <c r="AO251" s="1378"/>
      <c r="AP251" s="1378"/>
      <c r="AQ251" s="1378"/>
      <c r="AR251" s="1378"/>
      <c r="AS251" s="1378"/>
      <c r="AT251" s="1378"/>
      <c r="AU251" s="1378"/>
      <c r="AV251" s="1378"/>
      <c r="AW251" s="1378"/>
      <c r="AX251" s="1378"/>
      <c r="AY251" s="1378"/>
      <c r="AZ251" s="1378"/>
      <c r="BA251" s="1378"/>
      <c r="BB251" s="1378"/>
      <c r="BC251" s="1378"/>
      <c r="BD251"/>
      <c r="BE251" s="198"/>
      <c r="BF251" s="198"/>
      <c r="BG251" s="198"/>
      <c r="BH251" s="198"/>
      <c r="BI251" s="198"/>
      <c r="BJ251" s="198"/>
      <c r="BK251" s="198"/>
      <c r="BL251" s="198"/>
      <c r="BM251" s="198"/>
      <c r="BN251" s="198"/>
      <c r="BO251" s="198"/>
      <c r="BP251" s="198"/>
      <c r="BQ251" s="198"/>
      <c r="BR251" s="198"/>
      <c r="BS251" s="198"/>
      <c r="BT251" s="198"/>
      <c r="BU251" s="198"/>
      <c r="BV251" s="198"/>
      <c r="BW251" s="198"/>
      <c r="BX251" s="198"/>
      <c r="BY251" s="198"/>
      <c r="BZ251" s="198"/>
      <c r="CA251" s="198"/>
      <c r="CB251" s="198"/>
      <c r="CC251" s="198"/>
      <c r="CD251" s="198"/>
      <c r="CE251" s="198"/>
      <c r="CF251" s="198"/>
      <c r="CG251" s="198"/>
      <c r="CH251" s="198"/>
      <c r="CI251" s="198"/>
      <c r="CJ251" s="198"/>
      <c r="CK251" s="198"/>
      <c r="CL251" s="198"/>
      <c r="CM251" s="198"/>
      <c r="CN251" s="198"/>
      <c r="CO251" s="198"/>
      <c r="CP251" s="198"/>
      <c r="CQ251" s="198"/>
      <c r="CR251" s="198"/>
      <c r="CS251" s="198"/>
      <c r="CT251" s="198"/>
      <c r="CU251" s="198"/>
      <c r="CV251" s="198"/>
      <c r="CW251" s="198"/>
      <c r="CX251" s="198"/>
      <c r="CY251" s="198"/>
      <c r="CZ251" s="198"/>
      <c r="DA251" s="198"/>
      <c r="DB251" s="198"/>
      <c r="DC251" s="198"/>
      <c r="DD251" s="198"/>
      <c r="DE251" s="198"/>
      <c r="DF251" s="198"/>
      <c r="DG251" s="198"/>
      <c r="DH251" s="198"/>
      <c r="DI251" s="198"/>
      <c r="DJ251" s="198"/>
      <c r="DK251" s="198"/>
      <c r="DL251" s="198"/>
      <c r="DM251" s="198"/>
      <c r="DN251" s="198"/>
      <c r="DO251" s="198"/>
      <c r="DP251" s="198"/>
      <c r="DQ251" s="198"/>
      <c r="DR251" s="198"/>
      <c r="DS251" s="198"/>
      <c r="DT251" s="198"/>
    </row>
    <row r="252" spans="1:124" s="172" customFormat="1" ht="14.25" outlineLevel="1" x14ac:dyDescent="0.25">
      <c r="A252" s="217"/>
      <c r="B252" s="218" t="str">
        <f>Services!B252</f>
        <v>10A01</v>
      </c>
      <c r="C252" s="216" t="str">
        <f>Services!C252</f>
        <v>Prise en compte de la sécurité dans les projets et développements</v>
      </c>
      <c r="D252" s="210" t="str">
        <f t="shared" si="3"/>
        <v/>
      </c>
      <c r="E252" s="1378"/>
      <c r="F252" s="1378"/>
      <c r="G252" s="1378"/>
      <c r="H252" s="1378"/>
      <c r="I252" s="1378"/>
      <c r="J252" s="1378"/>
      <c r="K252" s="1378"/>
      <c r="L252" s="1378"/>
      <c r="M252" s="1378"/>
      <c r="N252" s="1378"/>
      <c r="O252" s="1378"/>
      <c r="P252" s="1378"/>
      <c r="Q252" s="1378"/>
      <c r="R252" s="1378"/>
      <c r="S252" s="1378"/>
      <c r="T252" s="1378"/>
      <c r="U252" s="1378"/>
      <c r="V252" s="1378"/>
      <c r="W252" s="1378"/>
      <c r="X252" s="1378"/>
      <c r="Y252" s="1378"/>
      <c r="Z252" s="1378"/>
      <c r="AA252" s="1378"/>
      <c r="AB252" s="1378"/>
      <c r="AC252" s="1378"/>
      <c r="AD252" s="1378"/>
      <c r="AE252" s="1378"/>
      <c r="AF252" s="1378"/>
      <c r="AG252" s="1378"/>
      <c r="AH252" s="1378"/>
      <c r="AI252" s="1378"/>
      <c r="AJ252" s="1378"/>
      <c r="AK252" s="1378"/>
      <c r="AL252" s="1378"/>
      <c r="AM252" s="1378"/>
      <c r="AN252" s="1378"/>
      <c r="AO252" s="1378"/>
      <c r="AP252" s="1378"/>
      <c r="AQ252" s="1378"/>
      <c r="AR252" s="1378"/>
      <c r="AS252" s="1378"/>
      <c r="AT252" s="1378"/>
      <c r="AU252" s="1378"/>
      <c r="AV252" s="1378"/>
      <c r="AW252" s="1378"/>
      <c r="AX252" s="1378"/>
      <c r="AY252" s="1378"/>
      <c r="AZ252" s="1378"/>
      <c r="BA252" s="1378"/>
      <c r="BB252" s="1378"/>
      <c r="BC252" s="1378"/>
      <c r="BD252"/>
      <c r="BE252" s="198"/>
      <c r="BF252" s="198"/>
      <c r="BG252" s="198"/>
      <c r="BH252" s="198"/>
      <c r="BI252" s="198"/>
      <c r="BJ252" s="198"/>
      <c r="BK252" s="198"/>
      <c r="BL252" s="198"/>
      <c r="BM252" s="198"/>
      <c r="BN252" s="198"/>
      <c r="BO252" s="198"/>
      <c r="BP252" s="198"/>
      <c r="BQ252" s="198"/>
      <c r="BR252" s="198"/>
      <c r="BS252" s="198"/>
      <c r="BT252" s="198"/>
      <c r="BU252" s="198"/>
      <c r="BV252" s="198"/>
      <c r="BW252" s="198"/>
      <c r="BX252" s="198"/>
      <c r="BY252" s="198"/>
      <c r="BZ252" s="198"/>
      <c r="CA252" s="198"/>
      <c r="CB252" s="198"/>
      <c r="CC252" s="198"/>
      <c r="CD252" s="198"/>
      <c r="CE252" s="198"/>
      <c r="CF252" s="198"/>
      <c r="CG252" s="198"/>
      <c r="CH252" s="198"/>
      <c r="CI252" s="198"/>
      <c r="CJ252" s="198"/>
      <c r="CK252" s="198"/>
      <c r="CL252" s="198"/>
      <c r="CM252" s="198"/>
      <c r="CN252" s="198"/>
      <c r="CO252" s="198"/>
      <c r="CP252" s="198"/>
      <c r="CQ252" s="198"/>
      <c r="CR252" s="198"/>
      <c r="CS252" s="198"/>
      <c r="CT252" s="198"/>
      <c r="CU252" s="198"/>
      <c r="CV252" s="198"/>
      <c r="CW252" s="198"/>
      <c r="CX252" s="198"/>
      <c r="CY252" s="198"/>
      <c r="CZ252" s="198"/>
      <c r="DA252" s="198"/>
      <c r="DB252" s="198"/>
      <c r="DC252" s="198"/>
      <c r="DD252" s="198"/>
      <c r="DE252" s="198"/>
      <c r="DF252" s="198"/>
      <c r="DG252" s="198"/>
      <c r="DH252" s="198"/>
      <c r="DI252" s="198"/>
      <c r="DJ252" s="198"/>
      <c r="DK252" s="198"/>
      <c r="DL252" s="198"/>
      <c r="DM252" s="198"/>
      <c r="DN252" s="198"/>
      <c r="DO252" s="198"/>
      <c r="DP252" s="198"/>
      <c r="DQ252" s="198"/>
      <c r="DR252" s="198"/>
      <c r="DS252" s="198"/>
      <c r="DT252" s="198"/>
    </row>
    <row r="253" spans="1:124" s="172" customFormat="1" ht="14.25" outlineLevel="1" x14ac:dyDescent="0.25">
      <c r="A253" s="217"/>
      <c r="B253" s="218" t="str">
        <f>Services!B253</f>
        <v>10A02</v>
      </c>
      <c r="C253" s="216" t="str">
        <f>Services!C253</f>
        <v>Gestion des changements</v>
      </c>
      <c r="D253" s="210" t="str">
        <f t="shared" si="3"/>
        <v/>
      </c>
      <c r="E253" s="1378"/>
      <c r="F253" s="1378"/>
      <c r="G253" s="1378"/>
      <c r="H253" s="1378"/>
      <c r="I253" s="1378"/>
      <c r="J253" s="1378"/>
      <c r="K253" s="1378"/>
      <c r="L253" s="1378"/>
      <c r="M253" s="1378"/>
      <c r="N253" s="1378"/>
      <c r="O253" s="1378"/>
      <c r="P253" s="1378"/>
      <c r="Q253" s="1378"/>
      <c r="R253" s="1378"/>
      <c r="S253" s="1378"/>
      <c r="T253" s="1378"/>
      <c r="U253" s="1378"/>
      <c r="V253" s="1378"/>
      <c r="W253" s="1378"/>
      <c r="X253" s="1378"/>
      <c r="Y253" s="1378"/>
      <c r="Z253" s="1378"/>
      <c r="AA253" s="1378"/>
      <c r="AB253" s="1378"/>
      <c r="AC253" s="1378"/>
      <c r="AD253" s="1378"/>
      <c r="AE253" s="1378"/>
      <c r="AF253" s="1378"/>
      <c r="AG253" s="1378"/>
      <c r="AH253" s="1378"/>
      <c r="AI253" s="1378"/>
      <c r="AJ253" s="1378"/>
      <c r="AK253" s="1378"/>
      <c r="AL253" s="1378"/>
      <c r="AM253" s="1378"/>
      <c r="AN253" s="1378"/>
      <c r="AO253" s="1378"/>
      <c r="AP253" s="1378"/>
      <c r="AQ253" s="1378"/>
      <c r="AR253" s="1378"/>
      <c r="AS253" s="1378"/>
      <c r="AT253" s="1378"/>
      <c r="AU253" s="1378"/>
      <c r="AV253" s="1378"/>
      <c r="AW253" s="1378"/>
      <c r="AX253" s="1378"/>
      <c r="AY253" s="1378"/>
      <c r="AZ253" s="1378"/>
      <c r="BA253" s="1378"/>
      <c r="BB253" s="1378"/>
      <c r="BC253" s="1378"/>
      <c r="BD253"/>
      <c r="BE253" s="198"/>
      <c r="BF253" s="198"/>
      <c r="BG253" s="198"/>
      <c r="BH253" s="198"/>
      <c r="BI253" s="198"/>
      <c r="BJ253" s="198"/>
      <c r="BK253" s="198"/>
      <c r="BL253" s="198"/>
      <c r="BM253" s="198"/>
      <c r="BN253" s="198"/>
      <c r="BO253" s="198"/>
      <c r="BP253" s="198"/>
      <c r="BQ253" s="198"/>
      <c r="BR253" s="198"/>
      <c r="BS253" s="198"/>
      <c r="BT253" s="198"/>
      <c r="BU253" s="198"/>
      <c r="BV253" s="198"/>
      <c r="BW253" s="198"/>
      <c r="BX253" s="198"/>
      <c r="BY253" s="198"/>
      <c r="BZ253" s="198"/>
      <c r="CA253" s="198"/>
      <c r="CB253" s="198"/>
      <c r="CC253" s="198"/>
      <c r="CD253" s="198"/>
      <c r="CE253" s="198"/>
      <c r="CF253" s="198"/>
      <c r="CG253" s="198"/>
      <c r="CH253" s="198"/>
      <c r="CI253" s="198"/>
      <c r="CJ253" s="198"/>
      <c r="CK253" s="198"/>
      <c r="CL253" s="198"/>
      <c r="CM253" s="198"/>
      <c r="CN253" s="198"/>
      <c r="CO253" s="198"/>
      <c r="CP253" s="198"/>
      <c r="CQ253" s="198"/>
      <c r="CR253" s="198"/>
      <c r="CS253" s="198"/>
      <c r="CT253" s="198"/>
      <c r="CU253" s="198"/>
      <c r="CV253" s="198"/>
      <c r="CW253" s="198"/>
      <c r="CX253" s="198"/>
      <c r="CY253" s="198"/>
      <c r="CZ253" s="198"/>
      <c r="DA253" s="198"/>
      <c r="DB253" s="198"/>
      <c r="DC253" s="198"/>
      <c r="DD253" s="198"/>
      <c r="DE253" s="198"/>
      <c r="DF253" s="198"/>
      <c r="DG253" s="198"/>
      <c r="DH253" s="198"/>
      <c r="DI253" s="198"/>
      <c r="DJ253" s="198"/>
      <c r="DK253" s="198"/>
      <c r="DL253" s="198"/>
      <c r="DM253" s="198"/>
      <c r="DN253" s="198"/>
      <c r="DO253" s="198"/>
      <c r="DP253" s="198"/>
      <c r="DQ253" s="198"/>
      <c r="DR253" s="198"/>
      <c r="DS253" s="198"/>
      <c r="DT253" s="198"/>
    </row>
    <row r="254" spans="1:124" s="172" customFormat="1" ht="15.75" customHeight="1" outlineLevel="1" x14ac:dyDescent="0.25">
      <c r="A254" s="217"/>
      <c r="B254" s="218" t="str">
        <f>Services!B254</f>
        <v>10A03</v>
      </c>
      <c r="C254" s="216" t="str">
        <f>Services!C254</f>
        <v>Externalisation du développement logiciel (développement en sous-traitance)</v>
      </c>
      <c r="D254" s="210" t="str">
        <f t="shared" si="3"/>
        <v/>
      </c>
      <c r="E254" s="1378"/>
      <c r="F254" s="1378"/>
      <c r="G254" s="1378"/>
      <c r="H254" s="1378"/>
      <c r="I254" s="1378"/>
      <c r="J254" s="1378"/>
      <c r="K254" s="1378"/>
      <c r="L254" s="1378"/>
      <c r="M254" s="1378"/>
      <c r="N254" s="1378"/>
      <c r="O254" s="1378"/>
      <c r="P254" s="1378"/>
      <c r="Q254" s="1378"/>
      <c r="R254" s="1378"/>
      <c r="S254" s="1378"/>
      <c r="T254" s="1378"/>
      <c r="U254" s="1378"/>
      <c r="V254" s="1378"/>
      <c r="W254" s="1378"/>
      <c r="X254" s="1378"/>
      <c r="Y254" s="1378"/>
      <c r="Z254" s="1378"/>
      <c r="AA254" s="1378"/>
      <c r="AB254" s="1378"/>
      <c r="AC254" s="1378"/>
      <c r="AD254" s="1378"/>
      <c r="AE254" s="1378"/>
      <c r="AF254" s="1378"/>
      <c r="AG254" s="1378"/>
      <c r="AH254" s="1378"/>
      <c r="AI254" s="1378"/>
      <c r="AJ254" s="1378"/>
      <c r="AK254" s="1378"/>
      <c r="AL254" s="1378"/>
      <c r="AM254" s="1378"/>
      <c r="AN254" s="1378"/>
      <c r="AO254" s="1378"/>
      <c r="AP254" s="1378"/>
      <c r="AQ254" s="1378"/>
      <c r="AR254" s="1378"/>
      <c r="AS254" s="1378"/>
      <c r="AT254" s="1378"/>
      <c r="AU254" s="1378"/>
      <c r="AV254" s="1378"/>
      <c r="AW254" s="1378"/>
      <c r="AX254" s="1378"/>
      <c r="AY254" s="1378"/>
      <c r="AZ254" s="1378"/>
      <c r="BA254" s="1378"/>
      <c r="BB254" s="1378"/>
      <c r="BC254" s="1378"/>
      <c r="BD254"/>
      <c r="BE254" s="198"/>
      <c r="BF254" s="198"/>
      <c r="BG254" s="198"/>
      <c r="BH254" s="198"/>
      <c r="BI254" s="198"/>
      <c r="BJ254" s="198"/>
      <c r="BK254" s="198"/>
      <c r="BL254" s="198"/>
      <c r="BM254" s="198"/>
      <c r="BN254" s="198"/>
      <c r="BO254" s="198"/>
      <c r="BP254" s="198"/>
      <c r="BQ254" s="198"/>
      <c r="BR254" s="198"/>
      <c r="BS254" s="198"/>
      <c r="BT254" s="198"/>
      <c r="BU254" s="198"/>
      <c r="BV254" s="198"/>
      <c r="BW254" s="198"/>
      <c r="BX254" s="198"/>
      <c r="BY254" s="198"/>
      <c r="BZ254" s="198"/>
      <c r="CA254" s="198"/>
      <c r="CB254" s="198"/>
      <c r="CC254" s="198"/>
      <c r="CD254" s="198"/>
      <c r="CE254" s="198"/>
      <c r="CF254" s="198"/>
      <c r="CG254" s="198"/>
      <c r="CH254" s="198"/>
      <c r="CI254" s="198"/>
      <c r="CJ254" s="198"/>
      <c r="CK254" s="198"/>
      <c r="CL254" s="198"/>
      <c r="CM254" s="198"/>
      <c r="CN254" s="198"/>
      <c r="CO254" s="198"/>
      <c r="CP254" s="198"/>
      <c r="CQ254" s="198"/>
      <c r="CR254" s="198"/>
      <c r="CS254" s="198"/>
      <c r="CT254" s="198"/>
      <c r="CU254" s="198"/>
      <c r="CV254" s="198"/>
      <c r="CW254" s="198"/>
      <c r="CX254" s="198"/>
      <c r="CY254" s="198"/>
      <c r="CZ254" s="198"/>
      <c r="DA254" s="198"/>
      <c r="DB254" s="198"/>
      <c r="DC254" s="198"/>
      <c r="DD254" s="198"/>
      <c r="DE254" s="198"/>
      <c r="DF254" s="198"/>
      <c r="DG254" s="198"/>
      <c r="DH254" s="198"/>
      <c r="DI254" s="198"/>
      <c r="DJ254" s="198"/>
      <c r="DK254" s="198"/>
      <c r="DL254" s="198"/>
      <c r="DM254" s="198"/>
      <c r="DN254" s="198"/>
      <c r="DO254" s="198"/>
      <c r="DP254" s="198"/>
      <c r="DQ254" s="198"/>
      <c r="DR254" s="198"/>
      <c r="DS254" s="198"/>
      <c r="DT254" s="198"/>
    </row>
    <row r="255" spans="1:124" s="172" customFormat="1" ht="15" outlineLevel="1" x14ac:dyDescent="0.25">
      <c r="A255" s="227"/>
      <c r="B255" s="218" t="str">
        <f>Services!B255</f>
        <v>10A04</v>
      </c>
      <c r="C255" s="216" t="str">
        <f>Services!C255</f>
        <v>Organisation de la maintenance applicative</v>
      </c>
      <c r="D255" s="210" t="str">
        <f t="shared" si="3"/>
        <v/>
      </c>
      <c r="E255" s="1378"/>
      <c r="F255" s="1378"/>
      <c r="G255" s="1378"/>
      <c r="H255" s="1378"/>
      <c r="I255" s="1378"/>
      <c r="J255" s="1378"/>
      <c r="K255" s="1378"/>
      <c r="L255" s="1378"/>
      <c r="M255" s="1378"/>
      <c r="N255" s="1378"/>
      <c r="O255" s="1378"/>
      <c r="P255" s="1378"/>
      <c r="Q255" s="1378"/>
      <c r="R255" s="1378"/>
      <c r="S255" s="1378"/>
      <c r="T255" s="1378"/>
      <c r="U255" s="1378"/>
      <c r="V255" s="1378"/>
      <c r="W255" s="1378"/>
      <c r="X255" s="1378"/>
      <c r="Y255" s="1378"/>
      <c r="Z255" s="1378"/>
      <c r="AA255" s="1378"/>
      <c r="AB255" s="1378"/>
      <c r="AC255" s="1378"/>
      <c r="AD255" s="1378"/>
      <c r="AE255" s="1378"/>
      <c r="AF255" s="1378"/>
      <c r="AG255" s="1378"/>
      <c r="AH255" s="1378"/>
      <c r="AI255" s="1378"/>
      <c r="AJ255" s="1378"/>
      <c r="AK255" s="1378">
        <f>IF(INDEX(Tab_actions,221,1)=1,INDEX(Tab_actions,221,25),0)</f>
        <v>0</v>
      </c>
      <c r="AL255" s="1378">
        <f>IF(INDEX(Tab_actions,230,1)=1,INDEX(Tab_actions,230,25),0)</f>
        <v>0</v>
      </c>
      <c r="AM255" s="1378"/>
      <c r="AN255" s="1378">
        <f>IF(INDEX(Tab_actions,246,1)=1,INDEX(Tab_actions,246,25),0)</f>
        <v>0</v>
      </c>
      <c r="AO255" s="1378">
        <f>IF(INDEX(Tab_actions,255,1)=1,INDEX(Tab_actions,255,25),0)</f>
        <v>0</v>
      </c>
      <c r="AP255" s="1378"/>
      <c r="AQ255" s="1378"/>
      <c r="AR255" s="1378"/>
      <c r="AS255" s="1378"/>
      <c r="AT255" s="1378"/>
      <c r="AU255" s="1378"/>
      <c r="AV255" s="1378"/>
      <c r="AW255" s="1378"/>
      <c r="AX255" s="1378"/>
      <c r="AY255" s="1378"/>
      <c r="AZ255" s="1378"/>
      <c r="BA255" s="1378"/>
      <c r="BB255" s="1378"/>
      <c r="BC255" s="1378"/>
      <c r="BD255"/>
      <c r="BE255" s="198"/>
      <c r="BF255" s="198"/>
      <c r="BG255" s="198"/>
      <c r="BH255" s="198"/>
      <c r="BI255" s="198"/>
      <c r="BJ255" s="198"/>
      <c r="BK255" s="198"/>
      <c r="BL255" s="198"/>
      <c r="BM255" s="198"/>
      <c r="BN255" s="198"/>
      <c r="BO255" s="198"/>
      <c r="BP255" s="198"/>
      <c r="BQ255" s="198"/>
      <c r="BR255" s="198"/>
      <c r="BS255" s="198"/>
      <c r="BT255" s="198"/>
      <c r="BU255" s="198"/>
      <c r="BV255" s="198"/>
      <c r="BW255" s="198"/>
      <c r="BX255" s="198"/>
      <c r="BY255" s="198"/>
      <c r="BZ255" s="198"/>
      <c r="CA255" s="198"/>
      <c r="CB255" s="198"/>
      <c r="CC255" s="198"/>
      <c r="CD255" s="198"/>
      <c r="CE255" s="198"/>
      <c r="CF255" s="198"/>
      <c r="CG255" s="198"/>
      <c r="CH255" s="198"/>
      <c r="CI255" s="198"/>
      <c r="CJ255" s="198"/>
      <c r="CK255" s="198"/>
      <c r="CL255" s="198"/>
      <c r="CM255" s="198"/>
      <c r="CN255" s="198"/>
      <c r="CO255" s="198"/>
      <c r="CP255" s="198"/>
      <c r="CQ255" s="198"/>
      <c r="CR255" s="198"/>
      <c r="CS255" s="198"/>
      <c r="CT255" s="198"/>
      <c r="CU255" s="198"/>
      <c r="CV255" s="198"/>
      <c r="CW255" s="198"/>
      <c r="CX255" s="198"/>
      <c r="CY255" s="198"/>
      <c r="CZ255" s="198"/>
      <c r="DA255" s="198"/>
      <c r="DB255" s="198"/>
      <c r="DC255" s="198"/>
      <c r="DD255" s="198"/>
      <c r="DE255" s="198"/>
      <c r="DF255" s="198"/>
      <c r="DG255" s="198"/>
      <c r="DH255" s="198"/>
      <c r="DI255" s="198"/>
      <c r="DJ255" s="198"/>
      <c r="DK255" s="198"/>
      <c r="DL255" s="198"/>
      <c r="DM255" s="198"/>
      <c r="DN255" s="198"/>
      <c r="DO255" s="198"/>
      <c r="DP255" s="198"/>
      <c r="DQ255" s="198"/>
      <c r="DR255" s="198"/>
      <c r="DS255" s="198"/>
      <c r="DT255" s="198"/>
    </row>
    <row r="256" spans="1:124" s="172" customFormat="1" ht="15" outlineLevel="1" x14ac:dyDescent="0.25">
      <c r="A256" s="227"/>
      <c r="B256" s="218" t="str">
        <f>Services!B256</f>
        <v>10A05</v>
      </c>
      <c r="C256" s="216" t="str">
        <f>Services!C256</f>
        <v>Modification des progiciels</v>
      </c>
      <c r="D256" s="210" t="str">
        <f t="shared" si="3"/>
        <v/>
      </c>
      <c r="E256" s="1378"/>
      <c r="F256" s="1378"/>
      <c r="G256" s="1378"/>
      <c r="H256" s="1378"/>
      <c r="I256" s="1378"/>
      <c r="J256" s="1378"/>
      <c r="K256" s="1378"/>
      <c r="L256" s="1378"/>
      <c r="M256" s="1378"/>
      <c r="N256" s="1378"/>
      <c r="O256" s="1378"/>
      <c r="P256" s="1378"/>
      <c r="Q256" s="1378"/>
      <c r="R256" s="1378"/>
      <c r="S256" s="1378"/>
      <c r="T256" s="1378"/>
      <c r="U256" s="1378"/>
      <c r="V256" s="1378"/>
      <c r="W256" s="1378"/>
      <c r="X256" s="1378"/>
      <c r="Y256" s="1378"/>
      <c r="Z256" s="1378"/>
      <c r="AA256" s="1378"/>
      <c r="AB256" s="1378"/>
      <c r="AC256" s="1378"/>
      <c r="AD256" s="1378"/>
      <c r="AE256" s="1378"/>
      <c r="AF256" s="1378"/>
      <c r="AG256" s="1378"/>
      <c r="AH256" s="1378"/>
      <c r="AI256" s="1378"/>
      <c r="AJ256" s="1378"/>
      <c r="AK256" s="1378"/>
      <c r="AL256" s="1378"/>
      <c r="AM256" s="1378"/>
      <c r="AN256" s="1378"/>
      <c r="AO256" s="1378"/>
      <c r="AP256" s="1378"/>
      <c r="AQ256" s="1378"/>
      <c r="AR256" s="1378"/>
      <c r="AS256" s="1378"/>
      <c r="AT256" s="1378"/>
      <c r="AU256" s="1378"/>
      <c r="AV256" s="1378"/>
      <c r="AW256" s="1378"/>
      <c r="AX256" s="1378"/>
      <c r="AY256" s="1378"/>
      <c r="AZ256" s="1378"/>
      <c r="BA256" s="1378"/>
      <c r="BB256" s="1378"/>
      <c r="BC256" s="1378"/>
      <c r="BD256"/>
      <c r="BE256" s="198"/>
      <c r="BF256" s="198"/>
      <c r="BG256" s="198"/>
      <c r="BH256" s="198"/>
      <c r="BI256" s="198"/>
      <c r="BJ256" s="198"/>
      <c r="BK256" s="198"/>
      <c r="BL256" s="198"/>
      <c r="BM256" s="198"/>
      <c r="BN256" s="198"/>
      <c r="BO256" s="198"/>
      <c r="BP256" s="198"/>
      <c r="BQ256" s="198"/>
      <c r="BR256" s="198"/>
      <c r="BS256" s="198"/>
      <c r="BT256" s="198"/>
      <c r="BU256" s="198"/>
      <c r="BV256" s="198"/>
      <c r="BW256" s="198"/>
      <c r="BX256" s="198"/>
      <c r="BY256" s="198"/>
      <c r="BZ256" s="198"/>
      <c r="CA256" s="198"/>
      <c r="CB256" s="198"/>
      <c r="CC256" s="198"/>
      <c r="CD256" s="198"/>
      <c r="CE256" s="198"/>
      <c r="CF256" s="198"/>
      <c r="CG256" s="198"/>
      <c r="CH256" s="198"/>
      <c r="CI256" s="198"/>
      <c r="CJ256" s="198"/>
      <c r="CK256" s="198"/>
      <c r="CL256" s="198"/>
      <c r="CM256" s="198"/>
      <c r="CN256" s="198"/>
      <c r="CO256" s="198"/>
      <c r="CP256" s="198"/>
      <c r="CQ256" s="198"/>
      <c r="CR256" s="198"/>
      <c r="CS256" s="198"/>
      <c r="CT256" s="198"/>
      <c r="CU256" s="198"/>
      <c r="CV256" s="198"/>
      <c r="CW256" s="198"/>
      <c r="CX256" s="198"/>
      <c r="CY256" s="198"/>
      <c r="CZ256" s="198"/>
      <c r="DA256" s="198"/>
      <c r="DB256" s="198"/>
      <c r="DC256" s="198"/>
      <c r="DD256" s="198"/>
      <c r="DE256" s="198"/>
      <c r="DF256" s="198"/>
      <c r="DG256" s="198"/>
      <c r="DH256" s="198"/>
      <c r="DI256" s="198"/>
      <c r="DJ256" s="198"/>
      <c r="DK256" s="198"/>
      <c r="DL256" s="198"/>
      <c r="DM256" s="198"/>
      <c r="DN256" s="198"/>
      <c r="DO256" s="198"/>
      <c r="DP256" s="198"/>
      <c r="DQ256" s="198"/>
      <c r="DR256" s="198"/>
      <c r="DS256" s="198"/>
      <c r="DT256" s="198"/>
    </row>
    <row r="257" spans="1:124" s="172" customFormat="1" ht="14.25" outlineLevel="1" x14ac:dyDescent="0.25">
      <c r="A257" s="217"/>
      <c r="B257" s="218" t="str">
        <f>Services!B257</f>
        <v>10B</v>
      </c>
      <c r="C257" s="216" t="str">
        <f>Services!C257</f>
        <v>Sécurité des processus de développement et de maintenance</v>
      </c>
      <c r="D257" s="210" t="str">
        <f t="shared" si="3"/>
        <v/>
      </c>
      <c r="E257" s="1378"/>
      <c r="F257" s="1378"/>
      <c r="G257" s="1378"/>
      <c r="H257" s="1378"/>
      <c r="I257" s="1378"/>
      <c r="J257" s="1378"/>
      <c r="K257" s="1378"/>
      <c r="L257" s="1378"/>
      <c r="M257" s="1378"/>
      <c r="N257" s="1378"/>
      <c r="O257" s="1378"/>
      <c r="P257" s="1378"/>
      <c r="Q257" s="1378"/>
      <c r="R257" s="1378"/>
      <c r="S257" s="1378"/>
      <c r="T257" s="1378"/>
      <c r="U257" s="1378"/>
      <c r="V257" s="1378"/>
      <c r="W257" s="1378"/>
      <c r="X257" s="1378"/>
      <c r="Y257" s="1378"/>
      <c r="Z257" s="1378"/>
      <c r="AA257" s="1378"/>
      <c r="AB257" s="1378"/>
      <c r="AC257" s="1378"/>
      <c r="AD257" s="1378"/>
      <c r="AE257" s="1378"/>
      <c r="AF257" s="1378"/>
      <c r="AG257" s="1378"/>
      <c r="AH257" s="1378"/>
      <c r="AI257" s="1378"/>
      <c r="AJ257" s="1378"/>
      <c r="AK257" s="1378"/>
      <c r="AL257" s="1378"/>
      <c r="AM257" s="1378"/>
      <c r="AN257" s="1378"/>
      <c r="AO257" s="1378"/>
      <c r="AP257" s="1378"/>
      <c r="AQ257" s="1378"/>
      <c r="AR257" s="1378"/>
      <c r="AS257" s="1378"/>
      <c r="AT257" s="1378"/>
      <c r="AU257" s="1378"/>
      <c r="AV257" s="1378"/>
      <c r="AW257" s="1378"/>
      <c r="AX257" s="1378"/>
      <c r="AY257" s="1378"/>
      <c r="AZ257" s="1378"/>
      <c r="BA257" s="1378"/>
      <c r="BB257" s="1378"/>
      <c r="BC257" s="1378"/>
      <c r="BD257"/>
      <c r="BE257" s="198"/>
      <c r="BF257" s="198"/>
      <c r="BG257" s="198"/>
      <c r="BH257" s="198"/>
      <c r="BI257" s="198"/>
      <c r="BJ257" s="198"/>
      <c r="BK257" s="198"/>
      <c r="BL257" s="198"/>
      <c r="BM257" s="198"/>
      <c r="BN257" s="198"/>
      <c r="BO257" s="198"/>
      <c r="BP257" s="198"/>
      <c r="BQ257" s="198"/>
      <c r="BR257" s="198"/>
      <c r="BS257" s="198"/>
      <c r="BT257" s="198"/>
      <c r="BU257" s="198"/>
      <c r="BV257" s="198"/>
      <c r="BW257" s="198"/>
      <c r="BX257" s="198"/>
      <c r="BY257" s="198"/>
      <c r="BZ257" s="198"/>
      <c r="CA257" s="198"/>
      <c r="CB257" s="198"/>
      <c r="CC257" s="198"/>
      <c r="CD257" s="198"/>
      <c r="CE257" s="198"/>
      <c r="CF257" s="198"/>
      <c r="CG257" s="198"/>
      <c r="CH257" s="198"/>
      <c r="CI257" s="198"/>
      <c r="CJ257" s="198"/>
      <c r="CK257" s="198"/>
      <c r="CL257" s="198"/>
      <c r="CM257" s="198"/>
      <c r="CN257" s="198"/>
      <c r="CO257" s="198"/>
      <c r="CP257" s="198"/>
      <c r="CQ257" s="198"/>
      <c r="CR257" s="198"/>
      <c r="CS257" s="198"/>
      <c r="CT257" s="198"/>
      <c r="CU257" s="198"/>
      <c r="CV257" s="198"/>
      <c r="CW257" s="198"/>
      <c r="CX257" s="198"/>
      <c r="CY257" s="198"/>
      <c r="CZ257" s="198"/>
      <c r="DA257" s="198"/>
      <c r="DB257" s="198"/>
      <c r="DC257" s="198"/>
      <c r="DD257" s="198"/>
      <c r="DE257" s="198"/>
      <c r="DF257" s="198"/>
      <c r="DG257" s="198"/>
      <c r="DH257" s="198"/>
      <c r="DI257" s="198"/>
      <c r="DJ257" s="198"/>
      <c r="DK257" s="198"/>
      <c r="DL257" s="198"/>
      <c r="DM257" s="198"/>
      <c r="DN257" s="198"/>
      <c r="DO257" s="198"/>
      <c r="DP257" s="198"/>
      <c r="DQ257" s="198"/>
      <c r="DR257" s="198"/>
      <c r="DS257" s="198"/>
      <c r="DT257" s="198"/>
    </row>
    <row r="258" spans="1:124" s="172" customFormat="1" ht="14.25" outlineLevel="1" x14ac:dyDescent="0.25">
      <c r="A258" s="217"/>
      <c r="B258" s="218" t="str">
        <f>Services!B258</f>
        <v>10B01</v>
      </c>
      <c r="C258" s="216" t="str">
        <f>Services!C258</f>
        <v>Sécurité des processus des développements applicatifs</v>
      </c>
      <c r="D258" s="210" t="str">
        <f t="shared" si="3"/>
        <v/>
      </c>
      <c r="E258" s="1378"/>
      <c r="F258" s="1378"/>
      <c r="G258" s="1378"/>
      <c r="H258" s="1378"/>
      <c r="I258" s="1378"/>
      <c r="J258" s="1378"/>
      <c r="K258" s="1378"/>
      <c r="L258" s="1378"/>
      <c r="M258" s="1378"/>
      <c r="N258" s="1378"/>
      <c r="O258" s="1378"/>
      <c r="P258" s="1378"/>
      <c r="Q258" s="1378"/>
      <c r="R258" s="1378"/>
      <c r="S258" s="1378"/>
      <c r="T258" s="1378"/>
      <c r="U258" s="1378"/>
      <c r="V258" s="1378"/>
      <c r="W258" s="1378"/>
      <c r="X258" s="1378"/>
      <c r="Y258" s="1378"/>
      <c r="Z258" s="1378"/>
      <c r="AA258" s="1378"/>
      <c r="AB258" s="1378"/>
      <c r="AC258" s="1378"/>
      <c r="AD258" s="1378"/>
      <c r="AE258" s="1378"/>
      <c r="AF258" s="1378"/>
      <c r="AG258" s="1378"/>
      <c r="AH258" s="1378"/>
      <c r="AI258" s="1378"/>
      <c r="AJ258" s="1378"/>
      <c r="AK258" s="1378"/>
      <c r="AL258" s="1378"/>
      <c r="AM258" s="1378"/>
      <c r="AN258" s="1378"/>
      <c r="AO258" s="1378"/>
      <c r="AP258" s="1378"/>
      <c r="AQ258" s="1378"/>
      <c r="AR258" s="1378"/>
      <c r="AS258" s="1378">
        <f>IF(AND(INDEX(Tab_actions,274,1)=1,INDEX(Tab_actions,273,1)=1),MAX(INDEX(Tab_actions,274,28),INDEX(Tab_actions,273,19)),IF(INDEX(Tab_actions,274,1)=1,INDEX(Tab_actions,274,28),IF(INDEX(Tab_actions,273,1)=1,INDEX(Tab_actions,273,19),0)))</f>
        <v>0</v>
      </c>
      <c r="AT258" s="1378"/>
      <c r="AU258" s="1378"/>
      <c r="AV258" s="1378">
        <f>IF(AND(INDEX(Tab_actions,291,1)=1,INDEX(Tab_actions,290,1)=1),MAX(INDEX(Tab_actions,291,28),INDEX(Tab_actions,290,19)),IF(INDEX(Tab_actions,291,1)=1,INDEX(Tab_actions,291,28),IF(INDEX(Tab_actions,290,1)=1,INDEX(Tab_actions,290,19),0)))</f>
        <v>0</v>
      </c>
      <c r="AW258" s="1378"/>
      <c r="AX258" s="1378"/>
      <c r="AY258" s="1378"/>
      <c r="AZ258" s="1378"/>
      <c r="BA258" s="1378"/>
      <c r="BB258" s="1378"/>
      <c r="BC258" s="1378"/>
      <c r="BD258"/>
      <c r="BE258" s="198"/>
      <c r="BF258" s="198"/>
      <c r="BG258" s="198"/>
      <c r="BH258" s="198"/>
      <c r="BI258" s="198"/>
      <c r="BJ258" s="198"/>
      <c r="BK258" s="198"/>
      <c r="BL258" s="198"/>
      <c r="BM258" s="198"/>
      <c r="BN258" s="198"/>
      <c r="BO258" s="198"/>
      <c r="BP258" s="198"/>
      <c r="BQ258" s="198"/>
      <c r="BR258" s="198"/>
      <c r="BS258" s="198"/>
      <c r="BT258" s="198"/>
      <c r="BU258" s="198"/>
      <c r="BV258" s="198"/>
      <c r="BW258" s="198"/>
      <c r="BX258" s="198"/>
      <c r="BY258" s="198"/>
      <c r="BZ258" s="198"/>
      <c r="CA258" s="198"/>
      <c r="CB258" s="198"/>
      <c r="CC258" s="198"/>
      <c r="CD258" s="198"/>
      <c r="CE258" s="198"/>
      <c r="CF258" s="198"/>
      <c r="CG258" s="198"/>
      <c r="CH258" s="198"/>
      <c r="CI258" s="198"/>
      <c r="CJ258" s="198"/>
      <c r="CK258" s="198"/>
      <c r="CL258" s="198"/>
      <c r="CM258" s="198"/>
      <c r="CN258" s="198"/>
      <c r="CO258" s="198"/>
      <c r="CP258" s="198"/>
      <c r="CQ258" s="198"/>
      <c r="CR258" s="198"/>
      <c r="CS258" s="198"/>
      <c r="CT258" s="198"/>
      <c r="CU258" s="198"/>
      <c r="CV258" s="198"/>
      <c r="CW258" s="198"/>
      <c r="CX258" s="198"/>
      <c r="CY258" s="198"/>
      <c r="CZ258" s="198"/>
      <c r="DA258" s="198"/>
      <c r="DB258" s="198"/>
      <c r="DC258" s="198"/>
      <c r="DD258" s="198"/>
      <c r="DE258" s="198"/>
      <c r="DF258" s="198"/>
      <c r="DG258" s="198"/>
      <c r="DH258" s="198"/>
      <c r="DI258" s="198"/>
      <c r="DJ258" s="198"/>
      <c r="DK258" s="198"/>
      <c r="DL258" s="198"/>
      <c r="DM258" s="198"/>
      <c r="DN258" s="198"/>
      <c r="DO258" s="198"/>
      <c r="DP258" s="198"/>
      <c r="DQ258" s="198"/>
      <c r="DR258" s="198"/>
      <c r="DS258" s="198"/>
      <c r="DT258" s="198"/>
    </row>
    <row r="259" spans="1:124" s="172" customFormat="1" ht="14.25" outlineLevel="1" x14ac:dyDescent="0.25">
      <c r="A259" s="217"/>
      <c r="B259" s="218" t="str">
        <f>Services!B259</f>
        <v>10B02</v>
      </c>
      <c r="C259" s="216" t="str">
        <f>Services!C259</f>
        <v>Protection de la confidentialité des développements applicatifs</v>
      </c>
      <c r="D259" s="210" t="str">
        <f t="shared" si="3"/>
        <v/>
      </c>
      <c r="E259" s="1378"/>
      <c r="F259" s="1378"/>
      <c r="G259" s="1378"/>
      <c r="H259" s="1378"/>
      <c r="I259" s="1378"/>
      <c r="J259" s="1378"/>
      <c r="K259" s="1378"/>
      <c r="L259" s="1378"/>
      <c r="M259" s="1378"/>
      <c r="N259" s="1378"/>
      <c r="O259" s="1378"/>
      <c r="P259" s="1378"/>
      <c r="Q259" s="1378"/>
      <c r="R259" s="1378"/>
      <c r="S259" s="1378"/>
      <c r="T259" s="1378"/>
      <c r="U259" s="1378"/>
      <c r="V259" s="1378"/>
      <c r="W259" s="1378"/>
      <c r="X259" s="1378"/>
      <c r="Y259" s="1378"/>
      <c r="Z259" s="1378"/>
      <c r="AA259" s="1378"/>
      <c r="AB259" s="1378"/>
      <c r="AC259" s="1378"/>
      <c r="AD259" s="1378"/>
      <c r="AE259" s="1378"/>
      <c r="AF259" s="1378"/>
      <c r="AG259" s="1378"/>
      <c r="AH259" s="1378"/>
      <c r="AI259" s="1378"/>
      <c r="AJ259" s="1378"/>
      <c r="AK259" s="1378"/>
      <c r="AL259" s="1378"/>
      <c r="AM259" s="1378"/>
      <c r="AN259" s="1378"/>
      <c r="AO259" s="1378"/>
      <c r="AP259" s="1378"/>
      <c r="AQ259" s="1378"/>
      <c r="AR259" s="1378"/>
      <c r="AS259" s="1378"/>
      <c r="AT259" s="1378"/>
      <c r="AU259" s="1378"/>
      <c r="AV259" s="1378"/>
      <c r="AW259" s="1378">
        <f>IF(INDEX(Tab_actions,297,1)=1,INDEX(Tab_actions,297,4),0)</f>
        <v>0</v>
      </c>
      <c r="AX259" s="1378"/>
      <c r="AY259" s="1378"/>
      <c r="AZ259" s="1378"/>
      <c r="BA259" s="1378"/>
      <c r="BB259" s="1378"/>
      <c r="BC259" s="1378"/>
      <c r="BD259"/>
      <c r="BE259" s="198"/>
      <c r="BF259" s="198"/>
      <c r="BG259" s="198"/>
      <c r="BH259" s="198"/>
      <c r="BI259" s="198"/>
      <c r="BJ259" s="198"/>
      <c r="BK259" s="198"/>
      <c r="BL259" s="198"/>
      <c r="BM259" s="198"/>
      <c r="BN259" s="198"/>
      <c r="BO259" s="198"/>
      <c r="BP259" s="198"/>
      <c r="BQ259" s="198"/>
      <c r="BR259" s="198"/>
      <c r="BS259" s="198"/>
      <c r="BT259" s="198"/>
      <c r="BU259" s="198"/>
      <c r="BV259" s="198"/>
      <c r="BW259" s="198"/>
      <c r="BX259" s="198"/>
      <c r="BY259" s="198"/>
      <c r="BZ259" s="198"/>
      <c r="CA259" s="198"/>
      <c r="CB259" s="198"/>
      <c r="CC259" s="198"/>
      <c r="CD259" s="198"/>
      <c r="CE259" s="198"/>
      <c r="CF259" s="198"/>
      <c r="CG259" s="198"/>
      <c r="CH259" s="198"/>
      <c r="CI259" s="198"/>
      <c r="CJ259" s="198"/>
      <c r="CK259" s="198"/>
      <c r="CL259" s="198"/>
      <c r="CM259" s="198"/>
      <c r="CN259" s="198"/>
      <c r="CO259" s="198"/>
      <c r="CP259" s="198"/>
      <c r="CQ259" s="198"/>
      <c r="CR259" s="198"/>
      <c r="CS259" s="198"/>
      <c r="CT259" s="198"/>
      <c r="CU259" s="198"/>
      <c r="CV259" s="198"/>
      <c r="CW259" s="198"/>
      <c r="CX259" s="198"/>
      <c r="CY259" s="198"/>
      <c r="CZ259" s="198"/>
      <c r="DA259" s="198"/>
      <c r="DB259" s="198"/>
      <c r="DC259" s="198"/>
      <c r="DD259" s="198"/>
      <c r="DE259" s="198"/>
      <c r="DF259" s="198"/>
      <c r="DG259" s="198"/>
      <c r="DH259" s="198"/>
      <c r="DI259" s="198"/>
      <c r="DJ259" s="198"/>
      <c r="DK259" s="198"/>
      <c r="DL259" s="198"/>
      <c r="DM259" s="198"/>
      <c r="DN259" s="198"/>
      <c r="DO259" s="198"/>
      <c r="DP259" s="198"/>
      <c r="DQ259" s="198"/>
      <c r="DR259" s="198"/>
      <c r="DS259" s="198"/>
      <c r="DT259" s="198"/>
    </row>
    <row r="260" spans="1:124" s="172" customFormat="1" ht="14.25" outlineLevel="1" x14ac:dyDescent="0.25">
      <c r="A260" s="217"/>
      <c r="B260" s="218" t="str">
        <f>Services!B260</f>
        <v>10B03</v>
      </c>
      <c r="C260" s="216" t="str">
        <f>Services!C260</f>
        <v>Sécurité relative aux traitements internes des applications</v>
      </c>
      <c r="D260" s="210" t="str">
        <f t="shared" si="3"/>
        <v/>
      </c>
      <c r="E260" s="1378"/>
      <c r="F260" s="1378"/>
      <c r="G260" s="1378"/>
      <c r="H260" s="1378"/>
      <c r="I260" s="1378"/>
      <c r="J260" s="1378"/>
      <c r="K260" s="1378"/>
      <c r="L260" s="1378"/>
      <c r="M260" s="1378"/>
      <c r="N260" s="1378"/>
      <c r="O260" s="1378"/>
      <c r="P260" s="1378"/>
      <c r="Q260" s="1378"/>
      <c r="R260" s="1378"/>
      <c r="S260" s="1378"/>
      <c r="T260" s="1378"/>
      <c r="U260" s="1378"/>
      <c r="V260" s="1378"/>
      <c r="W260" s="1378"/>
      <c r="X260" s="1378"/>
      <c r="Y260" s="1378"/>
      <c r="Z260" s="1378"/>
      <c r="AA260" s="1378"/>
      <c r="AB260" s="1378"/>
      <c r="AC260" s="1378"/>
      <c r="AD260" s="1378"/>
      <c r="AE260" s="1378"/>
      <c r="AF260" s="1378"/>
      <c r="AG260" s="1378"/>
      <c r="AH260" s="1378"/>
      <c r="AI260" s="1378"/>
      <c r="AJ260" s="1378"/>
      <c r="AK260" s="1378"/>
      <c r="AL260" s="1378"/>
      <c r="AM260" s="1378"/>
      <c r="AN260" s="1378"/>
      <c r="AO260" s="1378"/>
      <c r="AP260" s="1378"/>
      <c r="AQ260" s="1378"/>
      <c r="AR260" s="1378"/>
      <c r="AS260" s="1378"/>
      <c r="AT260" s="1378"/>
      <c r="AU260" s="1378"/>
      <c r="AV260" s="1378"/>
      <c r="AW260" s="1378"/>
      <c r="AX260" s="1378"/>
      <c r="AY260" s="1378"/>
      <c r="AZ260" s="1378"/>
      <c r="BA260" s="1378"/>
      <c r="BB260" s="1378"/>
      <c r="BC260" s="1378"/>
      <c r="BD260"/>
      <c r="BE260" s="198"/>
      <c r="BF260" s="198"/>
      <c r="BG260" s="198"/>
      <c r="BH260" s="198"/>
      <c r="BI260" s="198"/>
      <c r="BJ260" s="198"/>
      <c r="BK260" s="198"/>
      <c r="BL260" s="198"/>
      <c r="BM260" s="198"/>
      <c r="BN260" s="198"/>
      <c r="BO260" s="198"/>
      <c r="BP260" s="198"/>
      <c r="BQ260" s="198"/>
      <c r="BR260" s="198"/>
      <c r="BS260" s="198"/>
      <c r="BT260" s="198"/>
      <c r="BU260" s="198"/>
      <c r="BV260" s="198"/>
      <c r="BW260" s="198"/>
      <c r="BX260" s="198"/>
      <c r="BY260" s="198"/>
      <c r="BZ260" s="198"/>
      <c r="CA260" s="198"/>
      <c r="CB260" s="198"/>
      <c r="CC260" s="198"/>
      <c r="CD260" s="198"/>
      <c r="CE260" s="198"/>
      <c r="CF260" s="198"/>
      <c r="CG260" s="198"/>
      <c r="CH260" s="198"/>
      <c r="CI260" s="198"/>
      <c r="CJ260" s="198"/>
      <c r="CK260" s="198"/>
      <c r="CL260" s="198"/>
      <c r="CM260" s="198"/>
      <c r="CN260" s="198"/>
      <c r="CO260" s="198"/>
      <c r="CP260" s="198"/>
      <c r="CQ260" s="198"/>
      <c r="CR260" s="198"/>
      <c r="CS260" s="198"/>
      <c r="CT260" s="198"/>
      <c r="CU260" s="198"/>
      <c r="CV260" s="198"/>
      <c r="CW260" s="198"/>
      <c r="CX260" s="198"/>
      <c r="CY260" s="198"/>
      <c r="CZ260" s="198"/>
      <c r="DA260" s="198"/>
      <c r="DB260" s="198"/>
      <c r="DC260" s="198"/>
      <c r="DD260" s="198"/>
      <c r="DE260" s="198"/>
      <c r="DF260" s="198"/>
      <c r="DG260" s="198"/>
      <c r="DH260" s="198"/>
      <c r="DI260" s="198"/>
      <c r="DJ260" s="198"/>
      <c r="DK260" s="198"/>
      <c r="DL260" s="198"/>
      <c r="DM260" s="198"/>
      <c r="DN260" s="198"/>
      <c r="DO260" s="198"/>
      <c r="DP260" s="198"/>
      <c r="DQ260" s="198"/>
      <c r="DR260" s="198"/>
      <c r="DS260" s="198"/>
      <c r="DT260" s="198"/>
    </row>
    <row r="261" spans="1:124" s="172" customFormat="1" ht="14.25" outlineLevel="1" x14ac:dyDescent="0.25">
      <c r="A261" s="217"/>
      <c r="B261" s="218" t="str">
        <f>Services!B261</f>
        <v>10B04</v>
      </c>
      <c r="C261" s="216" t="str">
        <f>Services!C261</f>
        <v>Protection des données d'essai</v>
      </c>
      <c r="D261" s="210" t="str">
        <f t="shared" si="3"/>
        <v/>
      </c>
      <c r="E261" s="1378"/>
      <c r="F261" s="1378"/>
      <c r="G261" s="1378"/>
      <c r="H261" s="1378"/>
      <c r="I261" s="1378"/>
      <c r="J261" s="1378"/>
      <c r="K261" s="1378"/>
      <c r="L261" s="1378"/>
      <c r="M261" s="1378"/>
      <c r="N261" s="1378"/>
      <c r="O261" s="1378"/>
      <c r="P261" s="1378"/>
      <c r="Q261" s="1378"/>
      <c r="R261" s="1378"/>
      <c r="S261" s="1378"/>
      <c r="T261" s="1378"/>
      <c r="U261" s="1378"/>
      <c r="V261" s="1378"/>
      <c r="W261" s="1378">
        <f>IF(INDEX(Tab_actions,125,1)=1,INDEX(Tab_actions,125,13),0)</f>
        <v>0</v>
      </c>
      <c r="X261" s="1378"/>
      <c r="Y261" s="1378"/>
      <c r="Z261" s="1378"/>
      <c r="AA261" s="1378"/>
      <c r="AB261" s="1378"/>
      <c r="AC261" s="1378"/>
      <c r="AD261" s="1378"/>
      <c r="AE261" s="1378"/>
      <c r="AF261" s="1378"/>
      <c r="AG261" s="1378"/>
      <c r="AH261" s="1378"/>
      <c r="AI261" s="1378"/>
      <c r="AJ261" s="1378"/>
      <c r="AK261" s="1378"/>
      <c r="AL261" s="1378"/>
      <c r="AM261" s="1378"/>
      <c r="AN261" s="1378"/>
      <c r="AO261" s="1378"/>
      <c r="AP261" s="1378"/>
      <c r="AQ261" s="1378"/>
      <c r="AR261" s="1378"/>
      <c r="AS261" s="1378"/>
      <c r="AT261" s="1378"/>
      <c r="AU261" s="1378"/>
      <c r="AV261" s="1378"/>
      <c r="AW261" s="1378"/>
      <c r="AX261" s="1378"/>
      <c r="AY261" s="1378"/>
      <c r="AZ261" s="1378"/>
      <c r="BA261" s="1378"/>
      <c r="BB261" s="1378"/>
      <c r="BC261" s="1378"/>
      <c r="BD261"/>
      <c r="BE261" s="198"/>
      <c r="BF261" s="198"/>
      <c r="BG261" s="198"/>
      <c r="BH261" s="198"/>
      <c r="BI261" s="198"/>
      <c r="BJ261" s="198"/>
      <c r="BK261" s="198"/>
      <c r="BL261" s="198"/>
      <c r="BM261" s="198"/>
      <c r="BN261" s="198"/>
      <c r="BO261" s="198"/>
      <c r="BP261" s="198"/>
      <c r="BQ261" s="198"/>
      <c r="BR261" s="198"/>
      <c r="BS261" s="198"/>
      <c r="BT261" s="198"/>
      <c r="BU261" s="198"/>
      <c r="BV261" s="198"/>
      <c r="BW261" s="198"/>
      <c r="BX261" s="198"/>
      <c r="BY261" s="198"/>
      <c r="BZ261" s="198"/>
      <c r="CA261" s="198"/>
      <c r="CB261" s="198"/>
      <c r="CC261" s="198"/>
      <c r="CD261" s="198"/>
      <c r="CE261" s="198"/>
      <c r="CF261" s="198"/>
      <c r="CG261" s="198"/>
      <c r="CH261" s="198"/>
      <c r="CI261" s="198"/>
      <c r="CJ261" s="198"/>
      <c r="CK261" s="198"/>
      <c r="CL261" s="198"/>
      <c r="CM261" s="198"/>
      <c r="CN261" s="198"/>
      <c r="CO261" s="198"/>
      <c r="CP261" s="198"/>
      <c r="CQ261" s="198"/>
      <c r="CR261" s="198"/>
      <c r="CS261" s="198"/>
      <c r="CT261" s="198"/>
      <c r="CU261" s="198"/>
      <c r="CV261" s="198"/>
      <c r="CW261" s="198"/>
      <c r="CX261" s="198"/>
      <c r="CY261" s="198"/>
      <c r="CZ261" s="198"/>
      <c r="DA261" s="198"/>
      <c r="DB261" s="198"/>
      <c r="DC261" s="198"/>
      <c r="DD261" s="198"/>
      <c r="DE261" s="198"/>
      <c r="DF261" s="198"/>
      <c r="DG261" s="198"/>
      <c r="DH261" s="198"/>
      <c r="DI261" s="198"/>
      <c r="DJ261" s="198"/>
      <c r="DK261" s="198"/>
      <c r="DL261" s="198"/>
      <c r="DM261" s="198"/>
      <c r="DN261" s="198"/>
      <c r="DO261" s="198"/>
      <c r="DP261" s="198"/>
      <c r="DQ261" s="198"/>
      <c r="DR261" s="198"/>
      <c r="DS261" s="198"/>
      <c r="DT261" s="198"/>
    </row>
    <row r="262" spans="1:124" s="172" customFormat="1" ht="15" outlineLevel="1" x14ac:dyDescent="0.25">
      <c r="A262" s="212"/>
      <c r="B262" s="218" t="str">
        <f>Services!B262</f>
        <v>10B05</v>
      </c>
      <c r="C262" s="216" t="str">
        <f>Services!C262</f>
        <v>Sécurité de la maintenance applicative</v>
      </c>
      <c r="D262" s="210" t="str">
        <f t="shared" ref="D262:D325" si="4">IF(MAX(E262:BE262)=0,"",MAX(E262:BE262))</f>
        <v/>
      </c>
      <c r="E262" s="1378">
        <f>IF(INDEX(Tab_actions,8,1)=1,INDEX(Tab_actions,8,19),0)</f>
        <v>0</v>
      </c>
      <c r="F262" s="1378"/>
      <c r="G262" s="1378"/>
      <c r="H262" s="1378"/>
      <c r="I262" s="1378"/>
      <c r="J262" s="1378"/>
      <c r="K262" s="1378"/>
      <c r="L262" s="1378"/>
      <c r="M262" s="1378"/>
      <c r="N262" s="1378"/>
      <c r="O262" s="1378">
        <f>IF(INDEX(Tab_actions,64,1)=1,INDEX(Tab_actions,64,7),0)</f>
        <v>0</v>
      </c>
      <c r="P262" s="1378"/>
      <c r="Q262" s="1378"/>
      <c r="R262" s="1378"/>
      <c r="S262" s="1378"/>
      <c r="T262" s="1378"/>
      <c r="U262" s="1378"/>
      <c r="V262" s="1378"/>
      <c r="W262" s="1378"/>
      <c r="X262" s="1378"/>
      <c r="Y262" s="1378"/>
      <c r="Z262" s="1378"/>
      <c r="AA262" s="1378"/>
      <c r="AB262" s="1378"/>
      <c r="AC262" s="1378"/>
      <c r="AD262" s="1378"/>
      <c r="AE262" s="1378"/>
      <c r="AF262" s="1378"/>
      <c r="AG262" s="1378"/>
      <c r="AH262" s="1378"/>
      <c r="AI262" s="1378"/>
      <c r="AJ262" s="1378"/>
      <c r="AK262" s="1378">
        <f>IF(INDEX(Tab_actions,219,1)=1,INDEX(Tab_actions,219,16),0)</f>
        <v>0</v>
      </c>
      <c r="AL262" s="1378">
        <f>IF(INDEX(Tab_actions,228,1)=1,INDEX(Tab_actions,228,16),0)</f>
        <v>0</v>
      </c>
      <c r="AM262" s="1378"/>
      <c r="AN262" s="1378">
        <f>IF(INDEX(Tab_actions,244,1)=1,INDEX(Tab_actions,244,16),0)</f>
        <v>0</v>
      </c>
      <c r="AO262" s="1378">
        <f>IF(INDEX(Tab_actions,253,1)=1,INDEX(Tab_actions,253,16),0)</f>
        <v>0</v>
      </c>
      <c r="AP262" s="1378"/>
      <c r="AQ262" s="1378"/>
      <c r="AR262" s="1378"/>
      <c r="AS262" s="1378">
        <f>IF(AND(INDEX(Tab_actions,274,1)=1,INDEX(Tab_actions,273,1)=1),MAX(INDEX(Tab_actions,274,31),INDEX(Tab_actions,273,22)),IF(INDEX(Tab_actions,274,1)=1,INDEX(Tab_actions,274,31),IF(INDEX(Tab_actions,273,1)=1,INDEX(Tab_actions,273,22),0)))</f>
        <v>0</v>
      </c>
      <c r="AT262" s="1378"/>
      <c r="AU262" s="1378"/>
      <c r="AV262" s="1378">
        <f>IF(AND(INDEX(Tab_actions,291,1)=1,INDEX(Tab_actions,290,1)=1),MAX(INDEX(Tab_actions,291,31),INDEX(Tab_actions,290,22)),IF(INDEX(Tab_actions,291,1)=1,INDEX(Tab_actions,291,31),IF(INDEX(Tab_actions,290,1)=1,INDEX(Tab_actions,290,22),0)))</f>
        <v>0</v>
      </c>
      <c r="AW262" s="1378"/>
      <c r="AX262" s="1378"/>
      <c r="AY262" s="1378"/>
      <c r="AZ262" s="1378"/>
      <c r="BA262" s="1378"/>
      <c r="BB262" s="1378"/>
      <c r="BC262" s="1378"/>
      <c r="BD262"/>
      <c r="BE262" s="198"/>
      <c r="BF262" s="198"/>
      <c r="BG262" s="198"/>
      <c r="BH262" s="198"/>
      <c r="BI262" s="198"/>
      <c r="BJ262" s="198"/>
      <c r="BK262" s="198"/>
      <c r="BL262" s="198"/>
      <c r="BM262" s="198"/>
      <c r="BN262" s="198"/>
      <c r="BO262" s="198"/>
      <c r="BP262" s="198"/>
      <c r="BQ262" s="198"/>
      <c r="BR262" s="198"/>
      <c r="BS262" s="198"/>
      <c r="BT262" s="198"/>
      <c r="BU262" s="198"/>
      <c r="BV262" s="198"/>
      <c r="BW262" s="198"/>
      <c r="BX262" s="198"/>
      <c r="BY262" s="198"/>
      <c r="BZ262" s="198"/>
      <c r="CA262" s="198"/>
      <c r="CB262" s="198"/>
      <c r="CC262" s="198"/>
      <c r="CD262" s="198"/>
      <c r="CE262" s="198"/>
      <c r="CF262" s="198"/>
      <c r="CG262" s="198"/>
      <c r="CH262" s="198"/>
      <c r="CI262" s="198"/>
      <c r="CJ262" s="198"/>
      <c r="CK262" s="198"/>
      <c r="CL262" s="198"/>
      <c r="CM262" s="198"/>
      <c r="CN262" s="198"/>
      <c r="CO262" s="198"/>
      <c r="CP262" s="198"/>
      <c r="CQ262" s="198"/>
      <c r="CR262" s="198"/>
      <c r="CS262" s="198"/>
      <c r="CT262" s="198"/>
      <c r="CU262" s="198"/>
      <c r="CV262" s="198"/>
      <c r="CW262" s="198"/>
      <c r="CX262" s="198"/>
      <c r="CY262" s="198"/>
      <c r="CZ262" s="198"/>
      <c r="DA262" s="198"/>
      <c r="DB262" s="198"/>
      <c r="DC262" s="198"/>
      <c r="DD262" s="198"/>
      <c r="DE262" s="198"/>
      <c r="DF262" s="198"/>
      <c r="DG262" s="198"/>
      <c r="DH262" s="198"/>
      <c r="DI262" s="198"/>
      <c r="DJ262" s="198"/>
      <c r="DK262" s="198"/>
      <c r="DL262" s="198"/>
      <c r="DM262" s="198"/>
      <c r="DN262" s="198"/>
      <c r="DO262" s="198"/>
      <c r="DP262" s="198"/>
      <c r="DQ262" s="198"/>
      <c r="DR262" s="198"/>
      <c r="DS262" s="198"/>
      <c r="DT262" s="198"/>
    </row>
    <row r="263" spans="1:124" s="172" customFormat="1" ht="15" outlineLevel="1" x14ac:dyDescent="0.25">
      <c r="A263" s="227"/>
      <c r="B263" s="218" t="str">
        <f>Services!B263</f>
        <v>10B06</v>
      </c>
      <c r="C263" s="216" t="str">
        <f>Services!C263</f>
        <v xml:space="preserve">Maintenance à chaud </v>
      </c>
      <c r="D263" s="210" t="str">
        <f t="shared" si="4"/>
        <v/>
      </c>
      <c r="E263" s="1378">
        <f>IF(INDEX(Tab_actions,8,1)=1,INDEX(Tab_actions,8,22),0)</f>
        <v>0</v>
      </c>
      <c r="F263" s="1378"/>
      <c r="G263" s="1378"/>
      <c r="H263" s="1378"/>
      <c r="I263" s="1378"/>
      <c r="J263" s="1378"/>
      <c r="K263" s="1378"/>
      <c r="L263" s="1378"/>
      <c r="M263" s="1378"/>
      <c r="N263" s="1378"/>
      <c r="O263" s="1378">
        <f>IF(INDEX(Tab_actions,64,1)=1,INDEX(Tab_actions,64,10),0)</f>
        <v>0</v>
      </c>
      <c r="P263" s="1378"/>
      <c r="Q263" s="1378"/>
      <c r="R263" s="1378"/>
      <c r="S263" s="1378"/>
      <c r="T263" s="1378"/>
      <c r="U263" s="1378"/>
      <c r="V263" s="1378">
        <f>IF(INDEX(Tab_actions,118,1)=1,INDEX(Tab_actions,118,7),0)</f>
        <v>0</v>
      </c>
      <c r="W263" s="1378"/>
      <c r="X263" s="1378"/>
      <c r="Y263" s="1378"/>
      <c r="Z263" s="1378"/>
      <c r="AA263" s="1378"/>
      <c r="AB263" s="1378"/>
      <c r="AC263" s="1378"/>
      <c r="AD263" s="1378"/>
      <c r="AE263" s="1378"/>
      <c r="AF263" s="1378"/>
      <c r="AG263" s="1378"/>
      <c r="AH263" s="1378"/>
      <c r="AI263" s="1378"/>
      <c r="AJ263" s="1378"/>
      <c r="AK263" s="1378">
        <f>IF(INDEX(Tab_actions,219,1)=1,INDEX(Tab_actions,219,19),0)</f>
        <v>0</v>
      </c>
      <c r="AL263" s="1378">
        <f>IF(INDEX(Tab_actions,228,1)=1,INDEX(Tab_actions,228,19),0)</f>
        <v>0</v>
      </c>
      <c r="AM263" s="1378"/>
      <c r="AN263" s="1378">
        <f>IF(INDEX(Tab_actions,244,1)=1,INDEX(Tab_actions,244,19),0)</f>
        <v>0</v>
      </c>
      <c r="AO263" s="1378">
        <f>IF(INDEX(Tab_actions,253,1)=1,INDEX(Tab_actions,253,19),0)</f>
        <v>0</v>
      </c>
      <c r="AP263" s="1378"/>
      <c r="AQ263" s="1378"/>
      <c r="AR263" s="1378"/>
      <c r="AS263" s="1378"/>
      <c r="AT263" s="1378"/>
      <c r="AU263" s="1378"/>
      <c r="AV263" s="1378"/>
      <c r="AW263" s="1378"/>
      <c r="AX263" s="1378"/>
      <c r="AY263" s="1378"/>
      <c r="AZ263" s="1378"/>
      <c r="BA263" s="1378"/>
      <c r="BB263" s="1378"/>
      <c r="BC263" s="1378"/>
      <c r="BD263"/>
      <c r="BE263" s="198"/>
      <c r="BF263" s="198"/>
      <c r="BG263" s="198"/>
      <c r="BH263" s="198"/>
      <c r="BI263" s="198"/>
      <c r="BJ263" s="198"/>
      <c r="BK263" s="198"/>
      <c r="BL263" s="198"/>
      <c r="BM263" s="198"/>
      <c r="BN263" s="198"/>
      <c r="BO263" s="198"/>
      <c r="BP263" s="198"/>
      <c r="BQ263" s="198"/>
      <c r="BR263" s="198"/>
      <c r="BS263" s="198"/>
      <c r="BT263" s="198"/>
      <c r="BU263" s="198"/>
      <c r="BV263" s="198"/>
      <c r="BW263" s="198"/>
      <c r="BX263" s="198"/>
      <c r="BY263" s="198"/>
      <c r="BZ263" s="198"/>
      <c r="CA263" s="198"/>
      <c r="CB263" s="198"/>
      <c r="CC263" s="198"/>
      <c r="CD263" s="198"/>
      <c r="CE263" s="198"/>
      <c r="CF263" s="198"/>
      <c r="CG263" s="198"/>
      <c r="CH263" s="198"/>
      <c r="CI263" s="198"/>
      <c r="CJ263" s="198"/>
      <c r="CK263" s="198"/>
      <c r="CL263" s="198"/>
      <c r="CM263" s="198"/>
      <c r="CN263" s="198"/>
      <c r="CO263" s="198"/>
      <c r="CP263" s="198"/>
      <c r="CQ263" s="198"/>
      <c r="CR263" s="198"/>
      <c r="CS263" s="198"/>
      <c r="CT263" s="198"/>
      <c r="CU263" s="198"/>
      <c r="CV263" s="198"/>
      <c r="CW263" s="198"/>
      <c r="CX263" s="198"/>
      <c r="CY263" s="198"/>
      <c r="CZ263" s="198"/>
      <c r="DA263" s="198"/>
      <c r="DB263" s="198"/>
      <c r="DC263" s="198"/>
      <c r="DD263" s="198"/>
      <c r="DE263" s="198"/>
      <c r="DF263" s="198"/>
      <c r="DG263" s="198"/>
      <c r="DH263" s="198"/>
      <c r="DI263" s="198"/>
      <c r="DJ263" s="198"/>
      <c r="DK263" s="198"/>
      <c r="DL263" s="198"/>
      <c r="DM263" s="198"/>
      <c r="DN263" s="198"/>
      <c r="DO263" s="198"/>
      <c r="DP263" s="198"/>
      <c r="DQ263" s="198"/>
      <c r="DR263" s="198"/>
      <c r="DS263" s="198"/>
      <c r="DT263" s="198"/>
    </row>
    <row r="264" spans="1:124" s="172" customFormat="1" ht="15" outlineLevel="1" x14ac:dyDescent="0.25">
      <c r="A264" s="227"/>
      <c r="B264" s="218" t="str">
        <f>Services!B264</f>
        <v>10B07</v>
      </c>
      <c r="C264" s="216" t="str">
        <f>Services!C264</f>
        <v>Politique de développement sécurisé</v>
      </c>
      <c r="D264" s="210" t="str">
        <f t="shared" si="4"/>
        <v/>
      </c>
      <c r="E264" s="1378"/>
      <c r="F264" s="1378"/>
      <c r="G264" s="1378"/>
      <c r="H264" s="1378"/>
      <c r="I264" s="1378"/>
      <c r="J264" s="1378"/>
      <c r="K264" s="1378"/>
      <c r="L264" s="1378"/>
      <c r="M264" s="1378"/>
      <c r="N264" s="1378"/>
      <c r="O264" s="1378"/>
      <c r="P264" s="1378"/>
      <c r="Q264" s="1378"/>
      <c r="R264" s="1378"/>
      <c r="S264" s="1378"/>
      <c r="T264" s="1378"/>
      <c r="U264" s="1378"/>
      <c r="V264" s="1378"/>
      <c r="W264" s="1378"/>
      <c r="X264" s="1378"/>
      <c r="Y264" s="1378"/>
      <c r="Z264" s="1378"/>
      <c r="AA264" s="1378"/>
      <c r="AB264" s="1378"/>
      <c r="AC264" s="1378"/>
      <c r="AD264" s="1378"/>
      <c r="AE264" s="1378"/>
      <c r="AF264" s="1378"/>
      <c r="AG264" s="1378"/>
      <c r="AH264" s="1378"/>
      <c r="AI264" s="1378"/>
      <c r="AJ264" s="1378"/>
      <c r="AK264" s="1378"/>
      <c r="AL264" s="1378"/>
      <c r="AM264" s="1378"/>
      <c r="AN264" s="1378"/>
      <c r="AO264" s="1378"/>
      <c r="AP264" s="1378"/>
      <c r="AQ264" s="1378"/>
      <c r="AR264" s="1378"/>
      <c r="AS264" s="1378"/>
      <c r="AT264" s="1378"/>
      <c r="AU264" s="1378"/>
      <c r="AV264" s="1378"/>
      <c r="AW264" s="1378"/>
      <c r="AX264" s="1378"/>
      <c r="AY264" s="1378"/>
      <c r="AZ264" s="1378"/>
      <c r="BA264" s="1378"/>
      <c r="BB264" s="1378"/>
      <c r="BC264" s="1378"/>
      <c r="BD264"/>
      <c r="BE264" s="198"/>
      <c r="BF264" s="198"/>
      <c r="BG264" s="198"/>
      <c r="BH264" s="198"/>
      <c r="BI264" s="198"/>
      <c r="BJ264" s="198"/>
      <c r="BK264" s="198"/>
      <c r="BL264" s="198"/>
      <c r="BM264" s="198"/>
      <c r="BN264" s="198"/>
      <c r="BO264" s="198"/>
      <c r="BP264" s="198"/>
      <c r="BQ264" s="198"/>
      <c r="BR264" s="198"/>
      <c r="BS264" s="198"/>
      <c r="BT264" s="198"/>
      <c r="BU264" s="198"/>
      <c r="BV264" s="198"/>
      <c r="BW264" s="198"/>
      <c r="BX264" s="198"/>
      <c r="BY264" s="198"/>
      <c r="BZ264" s="198"/>
      <c r="CA264" s="198"/>
      <c r="CB264" s="198"/>
      <c r="CC264" s="198"/>
      <c r="CD264" s="198"/>
      <c r="CE264" s="198"/>
      <c r="CF264" s="198"/>
      <c r="CG264" s="198"/>
      <c r="CH264" s="198"/>
      <c r="CI264" s="198"/>
      <c r="CJ264" s="198"/>
      <c r="CK264" s="198"/>
      <c r="CL264" s="198"/>
      <c r="CM264" s="198"/>
      <c r="CN264" s="198"/>
      <c r="CO264" s="198"/>
      <c r="CP264" s="198"/>
      <c r="CQ264" s="198"/>
      <c r="CR264" s="198"/>
      <c r="CS264" s="198"/>
      <c r="CT264" s="198"/>
      <c r="CU264" s="198"/>
      <c r="CV264" s="198"/>
      <c r="CW264" s="198"/>
      <c r="CX264" s="198"/>
      <c r="CY264" s="198"/>
      <c r="CZ264" s="198"/>
      <c r="DA264" s="198"/>
      <c r="DB264" s="198"/>
      <c r="DC264" s="198"/>
      <c r="DD264" s="198"/>
      <c r="DE264" s="198"/>
      <c r="DF264" s="198"/>
      <c r="DG264" s="198"/>
      <c r="DH264" s="198"/>
      <c r="DI264" s="198"/>
      <c r="DJ264" s="198"/>
      <c r="DK264" s="198"/>
      <c r="DL264" s="198"/>
      <c r="DM264" s="198"/>
      <c r="DN264" s="198"/>
      <c r="DO264" s="198"/>
      <c r="DP264" s="198"/>
      <c r="DQ264" s="198"/>
      <c r="DR264" s="198"/>
      <c r="DS264" s="198"/>
      <c r="DT264" s="198"/>
    </row>
    <row r="265" spans="1:124" ht="15" x14ac:dyDescent="0.25">
      <c r="A265" s="207" t="s">
        <v>39</v>
      </c>
      <c r="B265" s="207" t="str">
        <f>Services!B265</f>
        <v>Protection des postes de travail utilisateurs (11 Mic)</v>
      </c>
      <c r="C265" s="223"/>
      <c r="D265" s="210" t="str">
        <f t="shared" si="4"/>
        <v/>
      </c>
      <c r="E265" s="1378"/>
      <c r="F265" s="1378"/>
      <c r="G265" s="1378"/>
      <c r="H265" s="1378"/>
      <c r="I265" s="1378"/>
      <c r="J265" s="1378"/>
      <c r="K265" s="1378"/>
      <c r="L265" s="1378"/>
      <c r="M265" s="1378"/>
      <c r="N265" s="1378"/>
      <c r="O265" s="1378"/>
      <c r="P265" s="1378"/>
      <c r="Q265" s="1378"/>
      <c r="R265" s="1378"/>
      <c r="S265" s="1378"/>
      <c r="T265" s="1378"/>
      <c r="U265" s="1378"/>
      <c r="V265" s="1378"/>
      <c r="W265" s="1378"/>
      <c r="X265" s="1378"/>
      <c r="Y265" s="1378"/>
      <c r="Z265" s="1378"/>
      <c r="AA265" s="1378"/>
      <c r="AB265" s="1378"/>
      <c r="AC265" s="1378"/>
      <c r="AD265" s="1378"/>
      <c r="AE265" s="1378"/>
      <c r="AF265" s="1378"/>
      <c r="AG265" s="1378"/>
      <c r="AH265" s="1378"/>
      <c r="AI265" s="1378"/>
      <c r="AJ265" s="1378"/>
      <c r="AK265" s="1378"/>
      <c r="AL265" s="1378"/>
      <c r="AM265" s="1378"/>
      <c r="AN265" s="1378"/>
      <c r="AO265" s="1378"/>
      <c r="AP265" s="1378"/>
      <c r="AQ265" s="1378"/>
      <c r="AR265" s="1378"/>
      <c r="AS265" s="1378"/>
      <c r="AT265" s="1378"/>
      <c r="AU265" s="1378"/>
      <c r="AV265" s="1378"/>
      <c r="AW265" s="1378"/>
      <c r="AX265" s="1378"/>
      <c r="AY265" s="1378"/>
      <c r="AZ265" s="1378"/>
      <c r="BA265" s="1378"/>
      <c r="BB265" s="1378"/>
      <c r="BC265" s="1378"/>
      <c r="BD265"/>
    </row>
    <row r="266" spans="1:124" s="172" customFormat="1" ht="15.75" customHeight="1" outlineLevel="1" x14ac:dyDescent="0.25">
      <c r="A266" s="173"/>
      <c r="B266" s="213" t="str">
        <f>Services!B266</f>
        <v>11A</v>
      </c>
      <c r="C266" s="214" t="str">
        <f>Services!C266</f>
        <v>Sécurité des procédures d'exploitation du parc de postes utilisateurs</v>
      </c>
      <c r="D266" s="210" t="str">
        <f t="shared" si="4"/>
        <v/>
      </c>
      <c r="E266" s="1378"/>
      <c r="F266" s="1378"/>
      <c r="G266" s="1378"/>
      <c r="H266" s="1378"/>
      <c r="I266" s="1378"/>
      <c r="J266" s="1378"/>
      <c r="K266" s="1378"/>
      <c r="L266" s="1378"/>
      <c r="M266" s="1378"/>
      <c r="N266" s="1378"/>
      <c r="O266" s="1378"/>
      <c r="P266" s="1378"/>
      <c r="Q266" s="1378"/>
      <c r="R266" s="1378"/>
      <c r="S266" s="1378"/>
      <c r="T266" s="1378"/>
      <c r="U266" s="1378"/>
      <c r="V266" s="1378"/>
      <c r="W266" s="1378"/>
      <c r="X266" s="1378"/>
      <c r="Y266" s="1378"/>
      <c r="Z266" s="1378"/>
      <c r="AA266" s="1378"/>
      <c r="AB266" s="1378"/>
      <c r="AC266" s="1378"/>
      <c r="AD266" s="1378"/>
      <c r="AE266" s="1378"/>
      <c r="AF266" s="1378"/>
      <c r="AG266" s="1378"/>
      <c r="AH266" s="1378"/>
      <c r="AI266" s="1378"/>
      <c r="AJ266" s="1378"/>
      <c r="AK266" s="1378"/>
      <c r="AL266" s="1378"/>
      <c r="AM266" s="1378"/>
      <c r="AN266" s="1378"/>
      <c r="AO266" s="1378"/>
      <c r="AP266" s="1378"/>
      <c r="AQ266" s="1378"/>
      <c r="AR266" s="1378"/>
      <c r="AS266" s="1378"/>
      <c r="AT266" s="1378"/>
      <c r="AU266" s="1378"/>
      <c r="AV266" s="1378"/>
      <c r="AW266" s="1378"/>
      <c r="AX266" s="1378"/>
      <c r="AY266" s="1378"/>
      <c r="AZ266" s="1378"/>
      <c r="BA266" s="1378"/>
      <c r="BB266" s="1378"/>
      <c r="BC266" s="1378"/>
      <c r="BD266"/>
      <c r="BE266" s="198"/>
      <c r="BF266" s="198"/>
      <c r="BG266" s="198"/>
      <c r="BH266" s="198"/>
      <c r="BI266" s="198"/>
      <c r="BJ266" s="198"/>
      <c r="BK266" s="198"/>
      <c r="BL266" s="198"/>
      <c r="BM266" s="198"/>
      <c r="BN266" s="198"/>
      <c r="BO266" s="198"/>
      <c r="BP266" s="198"/>
      <c r="BQ266" s="198"/>
      <c r="BR266" s="198"/>
      <c r="BS266" s="198"/>
      <c r="BT266" s="198"/>
      <c r="BU266" s="198"/>
      <c r="BV266" s="198"/>
      <c r="BW266" s="198"/>
      <c r="BX266" s="198"/>
      <c r="BY266" s="198"/>
      <c r="BZ266" s="198"/>
      <c r="CA266" s="198"/>
      <c r="CB266" s="198"/>
      <c r="CC266" s="198"/>
      <c r="CD266" s="198"/>
      <c r="CE266" s="198"/>
      <c r="CF266" s="198"/>
      <c r="CG266" s="198"/>
      <c r="CH266" s="198"/>
      <c r="CI266" s="198"/>
      <c r="CJ266" s="198"/>
      <c r="CK266" s="198"/>
      <c r="CL266" s="198"/>
      <c r="CM266" s="198"/>
      <c r="CN266" s="198"/>
      <c r="CO266" s="198"/>
      <c r="CP266" s="198"/>
      <c r="CQ266" s="198"/>
      <c r="CR266" s="198"/>
      <c r="CS266" s="198"/>
      <c r="CT266" s="198"/>
      <c r="CU266" s="198"/>
      <c r="CV266" s="198"/>
      <c r="CW266" s="198"/>
      <c r="CX266" s="198"/>
      <c r="CY266" s="198"/>
      <c r="CZ266" s="198"/>
      <c r="DA266" s="198"/>
      <c r="DB266" s="198"/>
      <c r="DC266" s="198"/>
      <c r="DD266" s="198"/>
      <c r="DE266" s="198"/>
      <c r="DF266" s="198"/>
      <c r="DG266" s="198"/>
      <c r="DH266" s="198"/>
      <c r="DI266" s="198"/>
      <c r="DJ266" s="198"/>
      <c r="DK266" s="198"/>
      <c r="DL266" s="198"/>
      <c r="DM266" s="198"/>
      <c r="DN266" s="198"/>
      <c r="DO266" s="198"/>
      <c r="DP266" s="198"/>
      <c r="DQ266" s="198"/>
      <c r="DR266" s="198"/>
      <c r="DS266" s="198"/>
      <c r="DT266" s="198"/>
    </row>
    <row r="267" spans="1:124" s="172" customFormat="1" ht="25.5" outlineLevel="1" x14ac:dyDescent="0.25">
      <c r="A267" s="173"/>
      <c r="B267" s="218" t="str">
        <f>Services!B267</f>
        <v>11A01</v>
      </c>
      <c r="C267" s="216" t="str">
        <f>Services!C267</f>
        <v>Contrôle de l'installation de nouvelles versions de progiciels ou systèmes sur les postes utilisateurs</v>
      </c>
      <c r="D267" s="210" t="str">
        <f t="shared" si="4"/>
        <v/>
      </c>
      <c r="E267" s="1378"/>
      <c r="F267" s="1378"/>
      <c r="G267" s="1378"/>
      <c r="H267" s="1378"/>
      <c r="I267" s="1378"/>
      <c r="J267" s="1378"/>
      <c r="K267" s="1378"/>
      <c r="L267" s="1378"/>
      <c r="M267" s="1378"/>
      <c r="N267" s="1378"/>
      <c r="O267" s="1378"/>
      <c r="P267" s="1378"/>
      <c r="Q267" s="1378"/>
      <c r="R267" s="1378"/>
      <c r="S267" s="1378"/>
      <c r="T267" s="1378"/>
      <c r="U267" s="1378"/>
      <c r="V267" s="1378"/>
      <c r="W267" s="1378"/>
      <c r="X267" s="1378"/>
      <c r="Y267" s="1378"/>
      <c r="Z267" s="1378"/>
      <c r="AA267" s="1378"/>
      <c r="AB267" s="1378"/>
      <c r="AC267" s="1378"/>
      <c r="AD267" s="1378"/>
      <c r="AE267" s="1378"/>
      <c r="AF267" s="1378"/>
      <c r="AG267" s="1378"/>
      <c r="AH267" s="1378"/>
      <c r="AI267" s="1378"/>
      <c r="AJ267" s="1378"/>
      <c r="AK267" s="1378"/>
      <c r="AL267" s="1378"/>
      <c r="AM267" s="1378">
        <f>IF(INDEX(Tab_actions,234,1)=1,INDEX(Tab_actions,234,4),0)</f>
        <v>0</v>
      </c>
      <c r="AN267" s="1378"/>
      <c r="AO267" s="1378"/>
      <c r="AP267" s="1378"/>
      <c r="AQ267" s="1378"/>
      <c r="AR267" s="1378"/>
      <c r="AS267" s="1378"/>
      <c r="AT267" s="1378"/>
      <c r="AU267" s="1378"/>
      <c r="AV267" s="1378"/>
      <c r="AW267" s="1378"/>
      <c r="AX267" s="1378"/>
      <c r="AY267" s="1378"/>
      <c r="AZ267" s="1378"/>
      <c r="BA267" s="1378"/>
      <c r="BB267" s="1378"/>
      <c r="BC267" s="1378"/>
      <c r="BD267"/>
      <c r="BE267" s="198"/>
      <c r="BF267" s="198"/>
      <c r="BG267" s="198"/>
      <c r="BH267" s="198"/>
      <c r="BI267" s="198"/>
      <c r="BJ267" s="198"/>
      <c r="BK267" s="198"/>
      <c r="BL267" s="198"/>
      <c r="BM267" s="198"/>
      <c r="BN267" s="198"/>
      <c r="BO267" s="198"/>
      <c r="BP267" s="198"/>
      <c r="BQ267" s="198"/>
      <c r="BR267" s="198"/>
      <c r="BS267" s="198"/>
      <c r="BT267" s="198"/>
      <c r="BU267" s="198"/>
      <c r="BV267" s="198"/>
      <c r="BW267" s="198"/>
      <c r="BX267" s="198"/>
      <c r="BY267" s="198"/>
      <c r="BZ267" s="198"/>
      <c r="CA267" s="198"/>
      <c r="CB267" s="198"/>
      <c r="CC267" s="198"/>
      <c r="CD267" s="198"/>
      <c r="CE267" s="198"/>
      <c r="CF267" s="198"/>
      <c r="CG267" s="198"/>
      <c r="CH267" s="198"/>
      <c r="CI267" s="198"/>
      <c r="CJ267" s="198"/>
      <c r="CK267" s="198"/>
      <c r="CL267" s="198"/>
      <c r="CM267" s="198"/>
      <c r="CN267" s="198"/>
      <c r="CO267" s="198"/>
      <c r="CP267" s="198"/>
      <c r="CQ267" s="198"/>
      <c r="CR267" s="198"/>
      <c r="CS267" s="198"/>
      <c r="CT267" s="198"/>
      <c r="CU267" s="198"/>
      <c r="CV267" s="198"/>
      <c r="CW267" s="198"/>
      <c r="CX267" s="198"/>
      <c r="CY267" s="198"/>
      <c r="CZ267" s="198"/>
      <c r="DA267" s="198"/>
      <c r="DB267" s="198"/>
      <c r="DC267" s="198"/>
      <c r="DD267" s="198"/>
      <c r="DE267" s="198"/>
      <c r="DF267" s="198"/>
      <c r="DG267" s="198"/>
      <c r="DH267" s="198"/>
      <c r="DI267" s="198"/>
      <c r="DJ267" s="198"/>
      <c r="DK267" s="198"/>
      <c r="DL267" s="198"/>
      <c r="DM267" s="198"/>
      <c r="DN267" s="198"/>
      <c r="DO267" s="198"/>
      <c r="DP267" s="198"/>
      <c r="DQ267" s="198"/>
      <c r="DR267" s="198"/>
      <c r="DS267" s="198"/>
      <c r="DT267" s="198"/>
    </row>
    <row r="268" spans="1:124" s="172" customFormat="1" ht="15" outlineLevel="1" x14ac:dyDescent="0.25">
      <c r="A268" s="173"/>
      <c r="B268" s="218" t="str">
        <f>Services!B268</f>
        <v>11A02</v>
      </c>
      <c r="C268" s="216" t="str">
        <f>Services!C268</f>
        <v xml:space="preserve">Contrôle de la conformité des configurations utilisateurs </v>
      </c>
      <c r="D268" s="210" t="str">
        <f t="shared" si="4"/>
        <v/>
      </c>
      <c r="E268" s="1378"/>
      <c r="F268" s="1378"/>
      <c r="G268" s="1378"/>
      <c r="H268" s="1378"/>
      <c r="I268" s="1378"/>
      <c r="J268" s="1378"/>
      <c r="K268" s="1378"/>
      <c r="L268" s="1378"/>
      <c r="M268" s="1378"/>
      <c r="N268" s="1378"/>
      <c r="O268" s="1378"/>
      <c r="P268" s="1378"/>
      <c r="Q268" s="1378"/>
      <c r="R268" s="1378"/>
      <c r="S268" s="1378"/>
      <c r="T268" s="1378"/>
      <c r="U268" s="1378"/>
      <c r="V268" s="1378"/>
      <c r="W268" s="1378"/>
      <c r="X268" s="1378"/>
      <c r="Y268" s="1378"/>
      <c r="Z268" s="1378"/>
      <c r="AA268" s="1378"/>
      <c r="AB268" s="1378"/>
      <c r="AC268" s="1378"/>
      <c r="AD268" s="1378"/>
      <c r="AE268" s="1378"/>
      <c r="AF268" s="1378"/>
      <c r="AG268" s="1378"/>
      <c r="AH268" s="1378"/>
      <c r="AI268" s="1378"/>
      <c r="AJ268" s="1378"/>
      <c r="AK268" s="1378"/>
      <c r="AL268" s="1378"/>
      <c r="AM268" s="1378"/>
      <c r="AN268" s="1378"/>
      <c r="AO268" s="1378"/>
      <c r="AP268" s="1378"/>
      <c r="AQ268" s="1378"/>
      <c r="AR268" s="1378"/>
      <c r="AS268" s="1378"/>
      <c r="AT268" s="1378"/>
      <c r="AU268" s="1378"/>
      <c r="AV268" s="1378"/>
      <c r="AW268" s="1378"/>
      <c r="AX268" s="1378"/>
      <c r="AY268" s="1378"/>
      <c r="AZ268" s="1378"/>
      <c r="BA268" s="1378"/>
      <c r="BB268" s="1378"/>
      <c r="BC268" s="1378"/>
      <c r="BD268"/>
      <c r="BE268" s="198"/>
      <c r="BF268" s="198"/>
      <c r="BG268" s="198"/>
      <c r="BH268" s="198"/>
      <c r="BI268" s="198"/>
      <c r="BJ268" s="198"/>
      <c r="BK268" s="198"/>
      <c r="BL268" s="198"/>
      <c r="BM268" s="198"/>
      <c r="BN268" s="198"/>
      <c r="BO268" s="198"/>
      <c r="BP268" s="198"/>
      <c r="BQ268" s="198"/>
      <c r="BR268" s="198"/>
      <c r="BS268" s="198"/>
      <c r="BT268" s="198"/>
      <c r="BU268" s="198"/>
      <c r="BV268" s="198"/>
      <c r="BW268" s="198"/>
      <c r="BX268" s="198"/>
      <c r="BY268" s="198"/>
      <c r="BZ268" s="198"/>
      <c r="CA268" s="198"/>
      <c r="CB268" s="198"/>
      <c r="CC268" s="198"/>
      <c r="CD268" s="198"/>
      <c r="CE268" s="198"/>
      <c r="CF268" s="198"/>
      <c r="CG268" s="198"/>
      <c r="CH268" s="198"/>
      <c r="CI268" s="198"/>
      <c r="CJ268" s="198"/>
      <c r="CK268" s="198"/>
      <c r="CL268" s="198"/>
      <c r="CM268" s="198"/>
      <c r="CN268" s="198"/>
      <c r="CO268" s="198"/>
      <c r="CP268" s="198"/>
      <c r="CQ268" s="198"/>
      <c r="CR268" s="198"/>
      <c r="CS268" s="198"/>
      <c r="CT268" s="198"/>
      <c r="CU268" s="198"/>
      <c r="CV268" s="198"/>
      <c r="CW268" s="198"/>
      <c r="CX268" s="198"/>
      <c r="CY268" s="198"/>
      <c r="CZ268" s="198"/>
      <c r="DA268" s="198"/>
      <c r="DB268" s="198"/>
      <c r="DC268" s="198"/>
      <c r="DD268" s="198"/>
      <c r="DE268" s="198"/>
      <c r="DF268" s="198"/>
      <c r="DG268" s="198"/>
      <c r="DH268" s="198"/>
      <c r="DI268" s="198"/>
      <c r="DJ268" s="198"/>
      <c r="DK268" s="198"/>
      <c r="DL268" s="198"/>
      <c r="DM268" s="198"/>
      <c r="DN268" s="198"/>
      <c r="DO268" s="198"/>
      <c r="DP268" s="198"/>
      <c r="DQ268" s="198"/>
      <c r="DR268" s="198"/>
      <c r="DS268" s="198"/>
      <c r="DT268" s="198"/>
    </row>
    <row r="269" spans="1:124" s="172" customFormat="1" ht="15" outlineLevel="1" x14ac:dyDescent="0.25">
      <c r="A269" s="173"/>
      <c r="B269" s="218" t="str">
        <f>Services!B269</f>
        <v>11A03</v>
      </c>
      <c r="C269" s="216" t="str">
        <f>Services!C269</f>
        <v xml:space="preserve">Contrôle des licences des logiciels et progiciels </v>
      </c>
      <c r="D269" s="210" t="str">
        <f t="shared" si="4"/>
        <v/>
      </c>
      <c r="E269" s="1378"/>
      <c r="F269" s="1378"/>
      <c r="G269" s="1378"/>
      <c r="H269" s="1378"/>
      <c r="I269" s="1378"/>
      <c r="J269" s="1378"/>
      <c r="K269" s="1378"/>
      <c r="L269" s="1378"/>
      <c r="M269" s="1378"/>
      <c r="N269" s="1378"/>
      <c r="O269" s="1378"/>
      <c r="P269" s="1378"/>
      <c r="Q269" s="1378"/>
      <c r="R269" s="1378"/>
      <c r="S269" s="1378"/>
      <c r="T269" s="1378"/>
      <c r="U269" s="1378"/>
      <c r="V269" s="1378"/>
      <c r="W269" s="1378"/>
      <c r="X269" s="1378"/>
      <c r="Y269" s="1378"/>
      <c r="Z269" s="1378"/>
      <c r="AA269" s="1378"/>
      <c r="AB269" s="1378"/>
      <c r="AC269" s="1378"/>
      <c r="AD269" s="1378"/>
      <c r="AE269" s="1378"/>
      <c r="AF269" s="1378"/>
      <c r="AG269" s="1378"/>
      <c r="AH269" s="1378"/>
      <c r="AI269" s="1378"/>
      <c r="AJ269" s="1378"/>
      <c r="AK269" s="1378"/>
      <c r="AL269" s="1378"/>
      <c r="AM269" s="1378"/>
      <c r="AN269" s="1378"/>
      <c r="AO269" s="1378"/>
      <c r="AP269" s="1378"/>
      <c r="AQ269" s="1378"/>
      <c r="AR269" s="1378"/>
      <c r="AS269" s="1378"/>
      <c r="AT269" s="1378"/>
      <c r="AU269" s="1378"/>
      <c r="AV269" s="1378"/>
      <c r="AW269" s="1378"/>
      <c r="AX269" s="1378"/>
      <c r="AY269" s="1378"/>
      <c r="AZ269" s="1378"/>
      <c r="BA269" s="1378">
        <f>IF(AND(INDEX(Tab_actions,317,1)=1,INDEX(Tab_actions,316,1)=1),MAX(INDEX(Tab_actions,317,4),INDEX(Tab_actions,316,4)),IF(INDEX(Tab_actions,317,1)=1,INDEX(Tab_actions,317,4),IF(INDEX(Tab_actions,316,1)=1,INDEX(Tab_actions,316,4),0)))</f>
        <v>0</v>
      </c>
      <c r="BB269" s="1378"/>
      <c r="BC269" s="1378"/>
      <c r="BD269"/>
      <c r="BE269" s="198"/>
      <c r="BF269" s="198"/>
      <c r="BG269" s="198"/>
      <c r="BH269" s="198"/>
      <c r="BI269" s="198"/>
      <c r="BJ269" s="198"/>
      <c r="BK269" s="198"/>
      <c r="BL269" s="198"/>
      <c r="BM269" s="198"/>
      <c r="BN269" s="198"/>
      <c r="BO269" s="198"/>
      <c r="BP269" s="198"/>
      <c r="BQ269" s="198"/>
      <c r="BR269" s="198"/>
      <c r="BS269" s="198"/>
      <c r="BT269" s="198"/>
      <c r="BU269" s="198"/>
      <c r="BV269" s="198"/>
      <c r="BW269" s="198"/>
      <c r="BX269" s="198"/>
      <c r="BY269" s="198"/>
      <c r="BZ269" s="198"/>
      <c r="CA269" s="198"/>
      <c r="CB269" s="198"/>
      <c r="CC269" s="198"/>
      <c r="CD269" s="198"/>
      <c r="CE269" s="198"/>
      <c r="CF269" s="198"/>
      <c r="CG269" s="198"/>
      <c r="CH269" s="198"/>
      <c r="CI269" s="198"/>
      <c r="CJ269" s="198"/>
      <c r="CK269" s="198"/>
      <c r="CL269" s="198"/>
      <c r="CM269" s="198"/>
      <c r="CN269" s="198"/>
      <c r="CO269" s="198"/>
      <c r="CP269" s="198"/>
      <c r="CQ269" s="198"/>
      <c r="CR269" s="198"/>
      <c r="CS269" s="198"/>
      <c r="CT269" s="198"/>
      <c r="CU269" s="198"/>
      <c r="CV269" s="198"/>
      <c r="CW269" s="198"/>
      <c r="CX269" s="198"/>
      <c r="CY269" s="198"/>
      <c r="CZ269" s="198"/>
      <c r="DA269" s="198"/>
      <c r="DB269" s="198"/>
      <c r="DC269" s="198"/>
      <c r="DD269" s="198"/>
      <c r="DE269" s="198"/>
      <c r="DF269" s="198"/>
      <c r="DG269" s="198"/>
      <c r="DH269" s="198"/>
      <c r="DI269" s="198"/>
      <c r="DJ269" s="198"/>
      <c r="DK269" s="198"/>
      <c r="DL269" s="198"/>
      <c r="DM269" s="198"/>
      <c r="DN269" s="198"/>
      <c r="DO269" s="198"/>
      <c r="DP269" s="198"/>
      <c r="DQ269" s="198"/>
      <c r="DR269" s="198"/>
      <c r="DS269" s="198"/>
      <c r="DT269" s="198"/>
    </row>
    <row r="270" spans="1:124" s="172" customFormat="1" ht="25.5" outlineLevel="1" x14ac:dyDescent="0.25">
      <c r="A270" s="173"/>
      <c r="B270" s="218" t="str">
        <f>Services!B270</f>
        <v>11A04</v>
      </c>
      <c r="C270" s="216" t="str">
        <f>Services!C270</f>
        <v>Contrôle de la conformité des programmes de référence (Sources et exécutables) des logiciels utilisateurs</v>
      </c>
      <c r="D270" s="210" t="str">
        <f t="shared" si="4"/>
        <v/>
      </c>
      <c r="E270" s="1378"/>
      <c r="F270" s="1378"/>
      <c r="G270" s="1378"/>
      <c r="H270" s="1378"/>
      <c r="I270" s="1378"/>
      <c r="J270" s="1378"/>
      <c r="K270" s="1378"/>
      <c r="L270" s="1378"/>
      <c r="M270" s="1378"/>
      <c r="N270" s="1378"/>
      <c r="O270" s="1378"/>
      <c r="P270" s="1378"/>
      <c r="Q270" s="1378"/>
      <c r="R270" s="1378"/>
      <c r="S270" s="1378"/>
      <c r="T270" s="1378"/>
      <c r="U270" s="1378"/>
      <c r="V270" s="1378"/>
      <c r="W270" s="1378"/>
      <c r="X270" s="1378"/>
      <c r="Y270" s="1378"/>
      <c r="Z270" s="1378"/>
      <c r="AA270" s="1378"/>
      <c r="AB270" s="1378"/>
      <c r="AC270" s="1378"/>
      <c r="AD270" s="1378"/>
      <c r="AE270" s="1378"/>
      <c r="AF270" s="1378"/>
      <c r="AG270" s="1378"/>
      <c r="AH270" s="1378"/>
      <c r="AI270" s="1378"/>
      <c r="AJ270" s="1378"/>
      <c r="AK270" s="1378"/>
      <c r="AL270" s="1378"/>
      <c r="AM270" s="1378"/>
      <c r="AN270" s="1378"/>
      <c r="AO270" s="1378"/>
      <c r="AP270" s="1378"/>
      <c r="AQ270" s="1378"/>
      <c r="AR270" s="1378"/>
      <c r="AS270" s="1378"/>
      <c r="AT270" s="1378"/>
      <c r="AU270" s="1378"/>
      <c r="AV270" s="1378"/>
      <c r="AW270" s="1378"/>
      <c r="AX270" s="1378"/>
      <c r="AY270" s="1378"/>
      <c r="AZ270" s="1378"/>
      <c r="BA270" s="1378"/>
      <c r="BB270" s="1378"/>
      <c r="BC270" s="1378"/>
      <c r="BD270"/>
      <c r="BE270" s="198"/>
      <c r="BF270" s="198"/>
      <c r="BG270" s="198"/>
      <c r="BH270" s="198"/>
      <c r="BI270" s="198"/>
      <c r="BJ270" s="198"/>
      <c r="BK270" s="198"/>
      <c r="BL270" s="198"/>
      <c r="BM270" s="198"/>
      <c r="BN270" s="198"/>
      <c r="BO270" s="198"/>
      <c r="BP270" s="198"/>
      <c r="BQ270" s="198"/>
      <c r="BR270" s="198"/>
      <c r="BS270" s="198"/>
      <c r="BT270" s="198"/>
      <c r="BU270" s="198"/>
      <c r="BV270" s="198"/>
      <c r="BW270" s="198"/>
      <c r="BX270" s="198"/>
      <c r="BY270" s="198"/>
      <c r="BZ270" s="198"/>
      <c r="CA270" s="198"/>
      <c r="CB270" s="198"/>
      <c r="CC270" s="198"/>
      <c r="CD270" s="198"/>
      <c r="CE270" s="198"/>
      <c r="CF270" s="198"/>
      <c r="CG270" s="198"/>
      <c r="CH270" s="198"/>
      <c r="CI270" s="198"/>
      <c r="CJ270" s="198"/>
      <c r="CK270" s="198"/>
      <c r="CL270" s="198"/>
      <c r="CM270" s="198"/>
      <c r="CN270" s="198"/>
      <c r="CO270" s="198"/>
      <c r="CP270" s="198"/>
      <c r="CQ270" s="198"/>
      <c r="CR270" s="198"/>
      <c r="CS270" s="198"/>
      <c r="CT270" s="198"/>
      <c r="CU270" s="198"/>
      <c r="CV270" s="198"/>
      <c r="CW270" s="198"/>
      <c r="CX270" s="198"/>
      <c r="CY270" s="198"/>
      <c r="CZ270" s="198"/>
      <c r="DA270" s="198"/>
      <c r="DB270" s="198"/>
      <c r="DC270" s="198"/>
      <c r="DD270" s="198"/>
      <c r="DE270" s="198"/>
      <c r="DF270" s="198"/>
      <c r="DG270" s="198"/>
      <c r="DH270" s="198"/>
      <c r="DI270" s="198"/>
      <c r="DJ270" s="198"/>
      <c r="DK270" s="198"/>
      <c r="DL270" s="198"/>
      <c r="DM270" s="198"/>
      <c r="DN270" s="198"/>
      <c r="DO270" s="198"/>
      <c r="DP270" s="198"/>
      <c r="DQ270" s="198"/>
      <c r="DR270" s="198"/>
      <c r="DS270" s="198"/>
      <c r="DT270" s="198"/>
    </row>
    <row r="271" spans="1:124" s="172" customFormat="1" ht="25.5" outlineLevel="1" x14ac:dyDescent="0.25">
      <c r="A271" s="212"/>
      <c r="B271" s="218" t="str">
        <f>Services!B271</f>
        <v>11A05</v>
      </c>
      <c r="C271" s="216" t="str">
        <f>Services!C271</f>
        <v>Gestion des prestataires ou fournisseurs de services de gestion et d'administration du parc de postes utilisateurs</v>
      </c>
      <c r="D271" s="210" t="str">
        <f t="shared" si="4"/>
        <v/>
      </c>
      <c r="E271" s="1378"/>
      <c r="F271" s="1378"/>
      <c r="G271" s="1378"/>
      <c r="H271" s="1378"/>
      <c r="I271" s="1378"/>
      <c r="J271" s="1378"/>
      <c r="K271" s="1378"/>
      <c r="L271" s="1378"/>
      <c r="M271" s="1378"/>
      <c r="N271" s="1378"/>
      <c r="O271" s="1378"/>
      <c r="P271" s="1378"/>
      <c r="Q271" s="1378"/>
      <c r="R271" s="1378"/>
      <c r="S271" s="1378"/>
      <c r="T271" s="1378"/>
      <c r="U271" s="1378"/>
      <c r="V271" s="1378"/>
      <c r="W271" s="1378"/>
      <c r="X271" s="1378"/>
      <c r="Y271" s="1378"/>
      <c r="Z271" s="1378"/>
      <c r="AA271" s="1378"/>
      <c r="AB271" s="1378"/>
      <c r="AC271" s="1378"/>
      <c r="AD271" s="1378"/>
      <c r="AE271" s="1378"/>
      <c r="AF271" s="1378"/>
      <c r="AG271" s="1378"/>
      <c r="AH271" s="1378"/>
      <c r="AI271" s="1378"/>
      <c r="AJ271" s="1378"/>
      <c r="AK271" s="1378"/>
      <c r="AL271" s="1378"/>
      <c r="AM271" s="1378"/>
      <c r="AN271" s="1378"/>
      <c r="AO271" s="1378"/>
      <c r="AP271" s="1378"/>
      <c r="AQ271" s="1378"/>
      <c r="AR271" s="1378"/>
      <c r="AS271" s="1378"/>
      <c r="AT271" s="1378"/>
      <c r="AU271" s="1378"/>
      <c r="AV271" s="1378"/>
      <c r="AW271" s="1378"/>
      <c r="AX271" s="1378"/>
      <c r="AY271" s="1378"/>
      <c r="AZ271" s="1378"/>
      <c r="BA271" s="1378"/>
      <c r="BB271" s="1378"/>
      <c r="BC271" s="1378"/>
      <c r="BD271"/>
      <c r="BE271" s="198"/>
      <c r="BF271" s="198"/>
      <c r="BG271" s="198"/>
      <c r="BH271" s="198"/>
      <c r="BI271" s="198"/>
      <c r="BJ271" s="198"/>
      <c r="BK271" s="198"/>
      <c r="BL271" s="198"/>
      <c r="BM271" s="198"/>
      <c r="BN271" s="198"/>
      <c r="BO271" s="198"/>
      <c r="BP271" s="198"/>
      <c r="BQ271" s="198"/>
      <c r="BR271" s="198"/>
      <c r="BS271" s="198"/>
      <c r="BT271" s="198"/>
      <c r="BU271" s="198"/>
      <c r="BV271" s="198"/>
      <c r="BW271" s="198"/>
      <c r="BX271" s="198"/>
      <c r="BY271" s="198"/>
      <c r="BZ271" s="198"/>
      <c r="CA271" s="198"/>
      <c r="CB271" s="198"/>
      <c r="CC271" s="198"/>
      <c r="CD271" s="198"/>
      <c r="CE271" s="198"/>
      <c r="CF271" s="198"/>
      <c r="CG271" s="198"/>
      <c r="CH271" s="198"/>
      <c r="CI271" s="198"/>
      <c r="CJ271" s="198"/>
      <c r="CK271" s="198"/>
      <c r="CL271" s="198"/>
      <c r="CM271" s="198"/>
      <c r="CN271" s="198"/>
      <c r="CO271" s="198"/>
      <c r="CP271" s="198"/>
      <c r="CQ271" s="198"/>
      <c r="CR271" s="198"/>
      <c r="CS271" s="198"/>
      <c r="CT271" s="198"/>
      <c r="CU271" s="198"/>
      <c r="CV271" s="198"/>
      <c r="CW271" s="198"/>
      <c r="CX271" s="198"/>
      <c r="CY271" s="198"/>
      <c r="CZ271" s="198"/>
      <c r="DA271" s="198"/>
      <c r="DB271" s="198"/>
      <c r="DC271" s="198"/>
      <c r="DD271" s="198"/>
      <c r="DE271" s="198"/>
      <c r="DF271" s="198"/>
      <c r="DG271" s="198"/>
      <c r="DH271" s="198"/>
      <c r="DI271" s="198"/>
      <c r="DJ271" s="198"/>
      <c r="DK271" s="198"/>
      <c r="DL271" s="198"/>
      <c r="DM271" s="198"/>
      <c r="DN271" s="198"/>
      <c r="DO271" s="198"/>
      <c r="DP271" s="198"/>
      <c r="DQ271" s="198"/>
      <c r="DR271" s="198"/>
      <c r="DS271" s="198"/>
      <c r="DT271" s="198"/>
    </row>
    <row r="272" spans="1:124" s="172" customFormat="1" ht="15" outlineLevel="1" x14ac:dyDescent="0.25">
      <c r="A272" s="173"/>
      <c r="B272" s="213" t="str">
        <f>Services!B272</f>
        <v>11B</v>
      </c>
      <c r="C272" s="214" t="str">
        <f>Services!C272</f>
        <v>Protection des postes de travail</v>
      </c>
      <c r="D272" s="210" t="str">
        <f t="shared" si="4"/>
        <v/>
      </c>
      <c r="E272" s="1378"/>
      <c r="F272" s="1378"/>
      <c r="G272" s="1378"/>
      <c r="H272" s="1378"/>
      <c r="I272" s="1378"/>
      <c r="J272" s="1378"/>
      <c r="K272" s="1378"/>
      <c r="L272" s="1378"/>
      <c r="M272" s="1378"/>
      <c r="N272" s="1378"/>
      <c r="O272" s="1378"/>
      <c r="P272" s="1378"/>
      <c r="Q272" s="1378"/>
      <c r="R272" s="1378"/>
      <c r="S272" s="1378"/>
      <c r="T272" s="1378"/>
      <c r="U272" s="1378"/>
      <c r="V272" s="1378"/>
      <c r="W272" s="1378"/>
      <c r="X272" s="1378"/>
      <c r="Y272" s="1378"/>
      <c r="Z272" s="1378"/>
      <c r="AA272" s="1378"/>
      <c r="AB272" s="1378"/>
      <c r="AC272" s="1378"/>
      <c r="AD272" s="1378"/>
      <c r="AE272" s="1378"/>
      <c r="AF272" s="1378"/>
      <c r="AG272" s="1378"/>
      <c r="AH272" s="1378"/>
      <c r="AI272" s="1378"/>
      <c r="AJ272" s="1378"/>
      <c r="AK272" s="1378"/>
      <c r="AL272" s="1378"/>
      <c r="AM272" s="1378"/>
      <c r="AN272" s="1378"/>
      <c r="AO272" s="1378"/>
      <c r="AP272" s="1378"/>
      <c r="AQ272" s="1378"/>
      <c r="AR272" s="1378"/>
      <c r="AS272" s="1378"/>
      <c r="AT272" s="1378"/>
      <c r="AU272" s="1378"/>
      <c r="AV272" s="1378"/>
      <c r="AW272" s="1378"/>
      <c r="AX272" s="1378"/>
      <c r="AY272" s="1378"/>
      <c r="AZ272" s="1378"/>
      <c r="BA272" s="1378"/>
      <c r="BB272" s="1378"/>
      <c r="BC272" s="1378"/>
      <c r="BD272"/>
      <c r="BE272" s="198"/>
      <c r="BF272" s="198"/>
      <c r="BG272" s="198"/>
      <c r="BH272" s="198"/>
      <c r="BI272" s="198"/>
      <c r="BJ272" s="198"/>
      <c r="BK272" s="198"/>
      <c r="BL272" s="198"/>
      <c r="BM272" s="198"/>
      <c r="BN272" s="198"/>
      <c r="BO272" s="198"/>
      <c r="BP272" s="198"/>
      <c r="BQ272" s="198"/>
      <c r="BR272" s="198"/>
      <c r="BS272" s="198"/>
      <c r="BT272" s="198"/>
      <c r="BU272" s="198"/>
      <c r="BV272" s="198"/>
      <c r="BW272" s="198"/>
      <c r="BX272" s="198"/>
      <c r="BY272" s="198"/>
      <c r="BZ272" s="198"/>
      <c r="CA272" s="198"/>
      <c r="CB272" s="198"/>
      <c r="CC272" s="198"/>
      <c r="CD272" s="198"/>
      <c r="CE272" s="198"/>
      <c r="CF272" s="198"/>
      <c r="CG272" s="198"/>
      <c r="CH272" s="198"/>
      <c r="CI272" s="198"/>
      <c r="CJ272" s="198"/>
      <c r="CK272" s="198"/>
      <c r="CL272" s="198"/>
      <c r="CM272" s="198"/>
      <c r="CN272" s="198"/>
      <c r="CO272" s="198"/>
      <c r="CP272" s="198"/>
      <c r="CQ272" s="198"/>
      <c r="CR272" s="198"/>
      <c r="CS272" s="198"/>
      <c r="CT272" s="198"/>
      <c r="CU272" s="198"/>
      <c r="CV272" s="198"/>
      <c r="CW272" s="198"/>
      <c r="CX272" s="198"/>
      <c r="CY272" s="198"/>
      <c r="CZ272" s="198"/>
      <c r="DA272" s="198"/>
      <c r="DB272" s="198"/>
      <c r="DC272" s="198"/>
      <c r="DD272" s="198"/>
      <c r="DE272" s="198"/>
      <c r="DF272" s="198"/>
      <c r="DG272" s="198"/>
      <c r="DH272" s="198"/>
      <c r="DI272" s="198"/>
      <c r="DJ272" s="198"/>
      <c r="DK272" s="198"/>
      <c r="DL272" s="198"/>
      <c r="DM272" s="198"/>
      <c r="DN272" s="198"/>
      <c r="DO272" s="198"/>
      <c r="DP272" s="198"/>
      <c r="DQ272" s="198"/>
      <c r="DR272" s="198"/>
      <c r="DS272" s="198"/>
      <c r="DT272" s="198"/>
    </row>
    <row r="273" spans="1:124" s="172" customFormat="1" ht="15" outlineLevel="1" x14ac:dyDescent="0.25">
      <c r="A273" s="173"/>
      <c r="B273" s="218" t="str">
        <f>Services!B273</f>
        <v>11B01</v>
      </c>
      <c r="C273" s="216" t="str">
        <f>Services!C273</f>
        <v>Contrôle d'accès au poste de travail</v>
      </c>
      <c r="D273" s="210" t="str">
        <f t="shared" si="4"/>
        <v/>
      </c>
      <c r="E273" s="1378"/>
      <c r="F273" s="1378"/>
      <c r="G273" s="1378">
        <f>IF(INDEX(Tab_actions,23,1)=1,INDEX(Tab_actions,23,7),0)</f>
        <v>0</v>
      </c>
      <c r="H273" s="1378"/>
      <c r="I273" s="1378"/>
      <c r="J273" s="1378"/>
      <c r="K273" s="1378"/>
      <c r="L273" s="1378"/>
      <c r="M273" s="1378"/>
      <c r="N273" s="1378"/>
      <c r="O273" s="1378"/>
      <c r="P273" s="1378"/>
      <c r="Q273" s="1378"/>
      <c r="R273" s="1378"/>
      <c r="S273" s="1378"/>
      <c r="T273" s="1378"/>
      <c r="U273" s="1378"/>
      <c r="V273" s="1378"/>
      <c r="W273" s="1378"/>
      <c r="X273" s="1378"/>
      <c r="Y273" s="1378">
        <f>IF(INDEX(Tab_actions,142,1)=1,INDEX(Tab_actions,142,4),0)</f>
        <v>0</v>
      </c>
      <c r="Z273" s="1378"/>
      <c r="AA273" s="1378"/>
      <c r="AB273" s="1378"/>
      <c r="AC273" s="1378"/>
      <c r="AD273" s="1378"/>
      <c r="AE273" s="1378"/>
      <c r="AF273" s="1378"/>
      <c r="AG273" s="1378"/>
      <c r="AH273" s="1378"/>
      <c r="AI273" s="1378"/>
      <c r="AJ273" s="1378"/>
      <c r="AK273" s="1378"/>
      <c r="AL273" s="1378"/>
      <c r="AM273" s="1378"/>
      <c r="AN273" s="1378"/>
      <c r="AO273" s="1378"/>
      <c r="AP273" s="1378"/>
      <c r="AQ273" s="1378"/>
      <c r="AR273" s="1378"/>
      <c r="AS273" s="1378"/>
      <c r="AT273" s="1378"/>
      <c r="AU273" s="1378"/>
      <c r="AV273" s="1378"/>
      <c r="AW273" s="1378"/>
      <c r="AX273" s="1378"/>
      <c r="AY273" s="1378"/>
      <c r="AZ273" s="1378"/>
      <c r="BA273" s="1378"/>
      <c r="BB273" s="1378"/>
      <c r="BC273" s="1378"/>
      <c r="BD273"/>
      <c r="BE273" s="198"/>
      <c r="BF273" s="198"/>
      <c r="BG273" s="198"/>
      <c r="BH273" s="198"/>
      <c r="BI273" s="198"/>
      <c r="BJ273" s="198"/>
      <c r="BK273" s="198"/>
      <c r="BL273" s="198"/>
      <c r="BM273" s="198"/>
      <c r="BN273" s="198"/>
      <c r="BO273" s="198"/>
      <c r="BP273" s="198"/>
      <c r="BQ273" s="198"/>
      <c r="BR273" s="198"/>
      <c r="BS273" s="198"/>
      <c r="BT273" s="198"/>
      <c r="BU273" s="198"/>
      <c r="BV273" s="198"/>
      <c r="BW273" s="198"/>
      <c r="BX273" s="198"/>
      <c r="BY273" s="198"/>
      <c r="BZ273" s="198"/>
      <c r="CA273" s="198"/>
      <c r="CB273" s="198"/>
      <c r="CC273" s="198"/>
      <c r="CD273" s="198"/>
      <c r="CE273" s="198"/>
      <c r="CF273" s="198"/>
      <c r="CG273" s="198"/>
      <c r="CH273" s="198"/>
      <c r="CI273" s="198"/>
      <c r="CJ273" s="198"/>
      <c r="CK273" s="198"/>
      <c r="CL273" s="198"/>
      <c r="CM273" s="198"/>
      <c r="CN273" s="198"/>
      <c r="CO273" s="198"/>
      <c r="CP273" s="198"/>
      <c r="CQ273" s="198"/>
      <c r="CR273" s="198"/>
      <c r="CS273" s="198"/>
      <c r="CT273" s="198"/>
      <c r="CU273" s="198"/>
      <c r="CV273" s="198"/>
      <c r="CW273" s="198"/>
      <c r="CX273" s="198"/>
      <c r="CY273" s="198"/>
      <c r="CZ273" s="198"/>
      <c r="DA273" s="198"/>
      <c r="DB273" s="198"/>
      <c r="DC273" s="198"/>
      <c r="DD273" s="198"/>
      <c r="DE273" s="198"/>
      <c r="DF273" s="198"/>
      <c r="DG273" s="198"/>
      <c r="DH273" s="198"/>
      <c r="DI273" s="198"/>
      <c r="DJ273" s="198"/>
      <c r="DK273" s="198"/>
      <c r="DL273" s="198"/>
      <c r="DM273" s="198"/>
      <c r="DN273" s="198"/>
      <c r="DO273" s="198"/>
      <c r="DP273" s="198"/>
      <c r="DQ273" s="198"/>
      <c r="DR273" s="198"/>
      <c r="DS273" s="198"/>
      <c r="DT273" s="198"/>
    </row>
    <row r="274" spans="1:124" s="172" customFormat="1" ht="14.25" outlineLevel="1" x14ac:dyDescent="0.25">
      <c r="A274" s="217"/>
      <c r="B274" s="218" t="str">
        <f>Services!B274</f>
        <v>11B02</v>
      </c>
      <c r="C274" s="216" t="str">
        <f>Services!C274</f>
        <v>Travail en dehors des locaux de l'entreprise</v>
      </c>
      <c r="D274" s="210" t="str">
        <f t="shared" si="4"/>
        <v/>
      </c>
      <c r="E274" s="1378"/>
      <c r="F274" s="1378"/>
      <c r="G274" s="1378"/>
      <c r="H274" s="1378">
        <f>IF(INDEX(Tab_actions,29,1)=1,INDEX(Tab_actions,29,10),0)</f>
        <v>0</v>
      </c>
      <c r="I274" s="1378"/>
      <c r="J274" s="1378"/>
      <c r="K274" s="1378"/>
      <c r="L274" s="1378"/>
      <c r="M274" s="1378"/>
      <c r="N274" s="1378"/>
      <c r="O274" s="1378"/>
      <c r="P274" s="1378"/>
      <c r="Q274" s="1378"/>
      <c r="R274" s="1378"/>
      <c r="S274" s="1378"/>
      <c r="T274" s="1378"/>
      <c r="U274" s="1378"/>
      <c r="V274" s="1378"/>
      <c r="W274" s="1378"/>
      <c r="X274" s="1378"/>
      <c r="Y274" s="1378"/>
      <c r="Z274" s="1378"/>
      <c r="AA274" s="1378"/>
      <c r="AB274" s="1378"/>
      <c r="AC274" s="1378"/>
      <c r="AD274" s="1378"/>
      <c r="AE274" s="1378"/>
      <c r="AF274" s="1378"/>
      <c r="AG274" s="1378"/>
      <c r="AH274" s="1378"/>
      <c r="AI274" s="1378"/>
      <c r="AJ274" s="1378"/>
      <c r="AK274" s="1378"/>
      <c r="AL274" s="1378"/>
      <c r="AM274" s="1378"/>
      <c r="AN274" s="1378"/>
      <c r="AO274" s="1378"/>
      <c r="AP274" s="1378"/>
      <c r="AQ274" s="1378"/>
      <c r="AR274" s="1378"/>
      <c r="AS274" s="1378"/>
      <c r="AT274" s="1378"/>
      <c r="AU274" s="1378"/>
      <c r="AV274" s="1378"/>
      <c r="AW274" s="1378"/>
      <c r="AX274" s="1378"/>
      <c r="AY274" s="1378"/>
      <c r="AZ274" s="1378"/>
      <c r="BA274" s="1378"/>
      <c r="BB274" s="1378"/>
      <c r="BC274" s="1378"/>
      <c r="BD274"/>
      <c r="BE274" s="198"/>
      <c r="BF274" s="198"/>
      <c r="BG274" s="198"/>
      <c r="BH274" s="198"/>
      <c r="BI274" s="198"/>
      <c r="BJ274" s="198"/>
      <c r="BK274" s="198"/>
      <c r="BL274" s="198"/>
      <c r="BM274" s="198"/>
      <c r="BN274" s="198"/>
      <c r="BO274" s="198"/>
      <c r="BP274" s="198"/>
      <c r="BQ274" s="198"/>
      <c r="BR274" s="198"/>
      <c r="BS274" s="198"/>
      <c r="BT274" s="198"/>
      <c r="BU274" s="198"/>
      <c r="BV274" s="198"/>
      <c r="BW274" s="198"/>
      <c r="BX274" s="198"/>
      <c r="BY274" s="198"/>
      <c r="BZ274" s="198"/>
      <c r="CA274" s="198"/>
      <c r="CB274" s="198"/>
      <c r="CC274" s="198"/>
      <c r="CD274" s="198"/>
      <c r="CE274" s="198"/>
      <c r="CF274" s="198"/>
      <c r="CG274" s="198"/>
      <c r="CH274" s="198"/>
      <c r="CI274" s="198"/>
      <c r="CJ274" s="198"/>
      <c r="CK274" s="198"/>
      <c r="CL274" s="198"/>
      <c r="CM274" s="198"/>
      <c r="CN274" s="198"/>
      <c r="CO274" s="198"/>
      <c r="CP274" s="198"/>
      <c r="CQ274" s="198"/>
      <c r="CR274" s="198"/>
      <c r="CS274" s="198"/>
      <c r="CT274" s="198"/>
      <c r="CU274" s="198"/>
      <c r="CV274" s="198"/>
      <c r="CW274" s="198"/>
      <c r="CX274" s="198"/>
      <c r="CY274" s="198"/>
      <c r="CZ274" s="198"/>
      <c r="DA274" s="198"/>
      <c r="DB274" s="198"/>
      <c r="DC274" s="198"/>
      <c r="DD274" s="198"/>
      <c r="DE274" s="198"/>
      <c r="DF274" s="198"/>
      <c r="DG274" s="198"/>
      <c r="DH274" s="198"/>
      <c r="DI274" s="198"/>
      <c r="DJ274" s="198"/>
      <c r="DK274" s="198"/>
      <c r="DL274" s="198"/>
      <c r="DM274" s="198"/>
      <c r="DN274" s="198"/>
      <c r="DO274" s="198"/>
      <c r="DP274" s="198"/>
      <c r="DQ274" s="198"/>
      <c r="DR274" s="198"/>
      <c r="DS274" s="198"/>
      <c r="DT274" s="198"/>
    </row>
    <row r="275" spans="1:124" s="172" customFormat="1" ht="15.75" customHeight="1" outlineLevel="1" x14ac:dyDescent="0.25">
      <c r="A275" s="217"/>
      <c r="B275" s="218" t="str">
        <f>Services!B275</f>
        <v>11B03</v>
      </c>
      <c r="C275" s="216" t="str">
        <f>Services!C275</f>
        <v>Utilisation d'équipements personnels ou externes (n'appartenant pas à l'entreprise)</v>
      </c>
      <c r="D275" s="210" t="str">
        <f t="shared" si="4"/>
        <v/>
      </c>
      <c r="E275" s="1378"/>
      <c r="F275" s="1378"/>
      <c r="G275" s="1378"/>
      <c r="H275" s="1378"/>
      <c r="I275" s="1378"/>
      <c r="J275" s="1378"/>
      <c r="K275" s="1378"/>
      <c r="L275" s="1378"/>
      <c r="M275" s="1378"/>
      <c r="N275" s="1378"/>
      <c r="O275" s="1378"/>
      <c r="P275" s="1378"/>
      <c r="Q275" s="1378"/>
      <c r="R275" s="1378"/>
      <c r="S275" s="1378"/>
      <c r="T275" s="1378"/>
      <c r="U275" s="1378"/>
      <c r="V275" s="1378"/>
      <c r="W275" s="1378"/>
      <c r="X275" s="1378"/>
      <c r="Y275" s="1378"/>
      <c r="Z275" s="1378"/>
      <c r="AA275" s="1378"/>
      <c r="AB275" s="1378"/>
      <c r="AC275" s="1378"/>
      <c r="AD275" s="1378"/>
      <c r="AE275" s="1378"/>
      <c r="AF275" s="1378"/>
      <c r="AG275" s="1378"/>
      <c r="AH275" s="1378"/>
      <c r="AI275" s="1378"/>
      <c r="AJ275" s="1378"/>
      <c r="AK275" s="1378"/>
      <c r="AL275" s="1378"/>
      <c r="AM275" s="1378"/>
      <c r="AN275" s="1378"/>
      <c r="AO275" s="1378"/>
      <c r="AP275" s="1378"/>
      <c r="AQ275" s="1378"/>
      <c r="AR275" s="1378"/>
      <c r="AS275" s="1378"/>
      <c r="AT275" s="1378"/>
      <c r="AU275" s="1378"/>
      <c r="AV275" s="1378"/>
      <c r="AW275" s="1378"/>
      <c r="AX275" s="1378"/>
      <c r="AY275" s="1378"/>
      <c r="AZ275" s="1378"/>
      <c r="BA275" s="1378"/>
      <c r="BB275" s="1378"/>
      <c r="BC275" s="1378"/>
      <c r="BD275"/>
      <c r="BE275" s="198"/>
      <c r="BF275" s="198"/>
      <c r="BG275" s="198"/>
      <c r="BH275" s="198"/>
      <c r="BI275" s="198"/>
      <c r="BJ275" s="198"/>
      <c r="BK275" s="198"/>
      <c r="BL275" s="198"/>
      <c r="BM275" s="198"/>
      <c r="BN275" s="198"/>
      <c r="BO275" s="198"/>
      <c r="BP275" s="198"/>
      <c r="BQ275" s="198"/>
      <c r="BR275" s="198"/>
      <c r="BS275" s="198"/>
      <c r="BT275" s="198"/>
      <c r="BU275" s="198"/>
      <c r="BV275" s="198"/>
      <c r="BW275" s="198"/>
      <c r="BX275" s="198"/>
      <c r="BY275" s="198"/>
      <c r="BZ275" s="198"/>
      <c r="CA275" s="198"/>
      <c r="CB275" s="198"/>
      <c r="CC275" s="198"/>
      <c r="CD275" s="198"/>
      <c r="CE275" s="198"/>
      <c r="CF275" s="198"/>
      <c r="CG275" s="198"/>
      <c r="CH275" s="198"/>
      <c r="CI275" s="198"/>
      <c r="CJ275" s="198"/>
      <c r="CK275" s="198"/>
      <c r="CL275" s="198"/>
      <c r="CM275" s="198"/>
      <c r="CN275" s="198"/>
      <c r="CO275" s="198"/>
      <c r="CP275" s="198"/>
      <c r="CQ275" s="198"/>
      <c r="CR275" s="198"/>
      <c r="CS275" s="198"/>
      <c r="CT275" s="198"/>
      <c r="CU275" s="198"/>
      <c r="CV275" s="198"/>
      <c r="CW275" s="198"/>
      <c r="CX275" s="198"/>
      <c r="CY275" s="198"/>
      <c r="CZ275" s="198"/>
      <c r="DA275" s="198"/>
      <c r="DB275" s="198"/>
      <c r="DC275" s="198"/>
      <c r="DD275" s="198"/>
      <c r="DE275" s="198"/>
      <c r="DF275" s="198"/>
      <c r="DG275" s="198"/>
      <c r="DH275" s="198"/>
      <c r="DI275" s="198"/>
      <c r="DJ275" s="198"/>
      <c r="DK275" s="198"/>
      <c r="DL275" s="198"/>
      <c r="DM275" s="198"/>
      <c r="DN275" s="198"/>
      <c r="DO275" s="198"/>
      <c r="DP275" s="198"/>
      <c r="DQ275" s="198"/>
      <c r="DR275" s="198"/>
      <c r="DS275" s="198"/>
      <c r="DT275" s="198"/>
    </row>
    <row r="276" spans="1:124" s="172" customFormat="1" ht="15" outlineLevel="1" x14ac:dyDescent="0.25">
      <c r="A276" s="173"/>
      <c r="B276" s="213" t="str">
        <f>Services!B276</f>
        <v>11C</v>
      </c>
      <c r="C276" s="214" t="str">
        <f>Services!C276</f>
        <v>Protection des données du poste de travail</v>
      </c>
      <c r="D276" s="210" t="str">
        <f t="shared" si="4"/>
        <v/>
      </c>
      <c r="E276" s="1378"/>
      <c r="F276" s="1378"/>
      <c r="G276" s="1378"/>
      <c r="H276" s="1378"/>
      <c r="I276" s="1378"/>
      <c r="J276" s="1378"/>
      <c r="K276" s="1378"/>
      <c r="L276" s="1378"/>
      <c r="M276" s="1378"/>
      <c r="N276" s="1378"/>
      <c r="O276" s="1378"/>
      <c r="P276" s="1378"/>
      <c r="Q276" s="1378"/>
      <c r="R276" s="1378"/>
      <c r="S276" s="1378"/>
      <c r="T276" s="1378"/>
      <c r="U276" s="1378"/>
      <c r="V276" s="1378"/>
      <c r="W276" s="1378"/>
      <c r="X276" s="1378"/>
      <c r="Y276" s="1378"/>
      <c r="Z276" s="1378"/>
      <c r="AA276" s="1378"/>
      <c r="AB276" s="1378"/>
      <c r="AC276" s="1378"/>
      <c r="AD276" s="1378"/>
      <c r="AE276" s="1378"/>
      <c r="AF276" s="1378"/>
      <c r="AG276" s="1378"/>
      <c r="AH276" s="1378"/>
      <c r="AI276" s="1378"/>
      <c r="AJ276" s="1378"/>
      <c r="AK276" s="1378"/>
      <c r="AL276" s="1378"/>
      <c r="AM276" s="1378"/>
      <c r="AN276" s="1378"/>
      <c r="AO276" s="1378"/>
      <c r="AP276" s="1378"/>
      <c r="AQ276" s="1378"/>
      <c r="AR276" s="1378"/>
      <c r="AS276" s="1378"/>
      <c r="AT276" s="1378"/>
      <c r="AU276" s="1378"/>
      <c r="AV276" s="1378"/>
      <c r="AW276" s="1378"/>
      <c r="AX276" s="1378"/>
      <c r="AY276" s="1378"/>
      <c r="AZ276" s="1378"/>
      <c r="BA276" s="1378"/>
      <c r="BB276" s="1378"/>
      <c r="BC276" s="1378"/>
      <c r="BD276"/>
      <c r="BE276" s="198"/>
      <c r="BF276" s="198"/>
      <c r="BG276" s="198"/>
      <c r="BH276" s="198"/>
      <c r="BI276" s="198"/>
      <c r="BJ276" s="198"/>
      <c r="BK276" s="198"/>
      <c r="BL276" s="198"/>
      <c r="BM276" s="198"/>
      <c r="BN276" s="198"/>
      <c r="BO276" s="198"/>
      <c r="BP276" s="198"/>
      <c r="BQ276" s="198"/>
      <c r="BR276" s="198"/>
      <c r="BS276" s="198"/>
      <c r="BT276" s="198"/>
      <c r="BU276" s="198"/>
      <c r="BV276" s="198"/>
      <c r="BW276" s="198"/>
      <c r="BX276" s="198"/>
      <c r="BY276" s="198"/>
      <c r="BZ276" s="198"/>
      <c r="CA276" s="198"/>
      <c r="CB276" s="198"/>
      <c r="CC276" s="198"/>
      <c r="CD276" s="198"/>
      <c r="CE276" s="198"/>
      <c r="CF276" s="198"/>
      <c r="CG276" s="198"/>
      <c r="CH276" s="198"/>
      <c r="CI276" s="198"/>
      <c r="CJ276" s="198"/>
      <c r="CK276" s="198"/>
      <c r="CL276" s="198"/>
      <c r="CM276" s="198"/>
      <c r="CN276" s="198"/>
      <c r="CO276" s="198"/>
      <c r="CP276" s="198"/>
      <c r="CQ276" s="198"/>
      <c r="CR276" s="198"/>
      <c r="CS276" s="198"/>
      <c r="CT276" s="198"/>
      <c r="CU276" s="198"/>
      <c r="CV276" s="198"/>
      <c r="CW276" s="198"/>
      <c r="CX276" s="198"/>
      <c r="CY276" s="198"/>
      <c r="CZ276" s="198"/>
      <c r="DA276" s="198"/>
      <c r="DB276" s="198"/>
      <c r="DC276" s="198"/>
      <c r="DD276" s="198"/>
      <c r="DE276" s="198"/>
      <c r="DF276" s="198"/>
      <c r="DG276" s="198"/>
      <c r="DH276" s="198"/>
      <c r="DI276" s="198"/>
      <c r="DJ276" s="198"/>
      <c r="DK276" s="198"/>
      <c r="DL276" s="198"/>
      <c r="DM276" s="198"/>
      <c r="DN276" s="198"/>
      <c r="DO276" s="198"/>
      <c r="DP276" s="198"/>
      <c r="DQ276" s="198"/>
      <c r="DR276" s="198"/>
      <c r="DS276" s="198"/>
      <c r="DT276" s="198"/>
    </row>
    <row r="277" spans="1:124" s="172" customFormat="1" ht="28.5" customHeight="1" outlineLevel="1" x14ac:dyDescent="0.25">
      <c r="A277" s="173"/>
      <c r="B277" s="218" t="str">
        <f>Services!B277</f>
        <v>11C01</v>
      </c>
      <c r="C277" s="216" t="str">
        <f>Services!C277</f>
        <v>Protection de la confidentialité des données contenues sur le poste de travail ou sur un serveur de données (disque logique pour le poste de travail)</v>
      </c>
      <c r="D277" s="210" t="str">
        <f t="shared" si="4"/>
        <v/>
      </c>
      <c r="E277" s="1378"/>
      <c r="F277" s="1378"/>
      <c r="G277" s="1378"/>
      <c r="H277" s="1378"/>
      <c r="I277" s="1378"/>
      <c r="J277" s="1378"/>
      <c r="K277" s="1378"/>
      <c r="L277" s="1378"/>
      <c r="M277" s="1378"/>
      <c r="N277" s="1378"/>
      <c r="O277" s="1378"/>
      <c r="P277" s="1378">
        <f>IF(INDEX(Tab_actions,73,1)=1,INDEX(Tab_actions,73,4),0)</f>
        <v>0</v>
      </c>
      <c r="Q277" s="1378">
        <f>IF(INDEX(Tab_actions,81,1)=1,INDEX(Tab_actions,81,4),0)</f>
        <v>0</v>
      </c>
      <c r="R277" s="1378"/>
      <c r="S277" s="1378"/>
      <c r="T277" s="1378"/>
      <c r="U277" s="1378"/>
      <c r="V277" s="1378"/>
      <c r="W277" s="1378"/>
      <c r="X277" s="1378">
        <f>IF(INDEX(Tab_actions,133,1)=1,INDEX(Tab_actions,133,4),0)</f>
        <v>0</v>
      </c>
      <c r="Y277" s="1378">
        <f>IF(INDEX(Tab_actions,141,1)=1,INDEX(Tab_actions,141,4),0)</f>
        <v>0</v>
      </c>
      <c r="Z277" s="1378"/>
      <c r="AA277" s="1378"/>
      <c r="AB277" s="1378"/>
      <c r="AC277" s="1378"/>
      <c r="AD277" s="1378"/>
      <c r="AE277" s="1378"/>
      <c r="AF277" s="1378"/>
      <c r="AG277" s="1378"/>
      <c r="AH277" s="1378"/>
      <c r="AI277" s="1378"/>
      <c r="AJ277" s="1378"/>
      <c r="AK277" s="1378"/>
      <c r="AL277" s="1378"/>
      <c r="AM277" s="1378"/>
      <c r="AN277" s="1378"/>
      <c r="AO277" s="1378"/>
      <c r="AP277" s="1378"/>
      <c r="AQ277" s="1378"/>
      <c r="AR277" s="1378"/>
      <c r="AS277" s="1378"/>
      <c r="AT277" s="1378"/>
      <c r="AU277" s="1378"/>
      <c r="AV277" s="1378"/>
      <c r="AW277" s="1378"/>
      <c r="AX277" s="1378"/>
      <c r="AY277" s="1378"/>
      <c r="AZ277" s="1378"/>
      <c r="BA277" s="1378"/>
      <c r="BB277" s="1378"/>
      <c r="BC277" s="1378"/>
      <c r="BD277"/>
      <c r="BE277" s="198"/>
      <c r="BF277" s="198"/>
      <c r="BG277" s="198"/>
      <c r="BH277" s="198"/>
      <c r="BI277" s="198"/>
      <c r="BJ277" s="198"/>
      <c r="BK277" s="198"/>
      <c r="BL277" s="198"/>
      <c r="BM277" s="198"/>
      <c r="BN277" s="198"/>
      <c r="BO277" s="198"/>
      <c r="BP277" s="198"/>
      <c r="BQ277" s="198"/>
      <c r="BR277" s="198"/>
      <c r="BS277" s="198"/>
      <c r="BT277" s="198"/>
      <c r="BU277" s="198"/>
      <c r="BV277" s="198"/>
      <c r="BW277" s="198"/>
      <c r="BX277" s="198"/>
      <c r="BY277" s="198"/>
      <c r="BZ277" s="198"/>
      <c r="CA277" s="198"/>
      <c r="CB277" s="198"/>
      <c r="CC277" s="198"/>
      <c r="CD277" s="198"/>
      <c r="CE277" s="198"/>
      <c r="CF277" s="198"/>
      <c r="CG277" s="198"/>
      <c r="CH277" s="198"/>
      <c r="CI277" s="198"/>
      <c r="CJ277" s="198"/>
      <c r="CK277" s="198"/>
      <c r="CL277" s="198"/>
      <c r="CM277" s="198"/>
      <c r="CN277" s="198"/>
      <c r="CO277" s="198"/>
      <c r="CP277" s="198"/>
      <c r="CQ277" s="198"/>
      <c r="CR277" s="198"/>
      <c r="CS277" s="198"/>
      <c r="CT277" s="198"/>
      <c r="CU277" s="198"/>
      <c r="CV277" s="198"/>
      <c r="CW277" s="198"/>
      <c r="CX277" s="198"/>
      <c r="CY277" s="198"/>
      <c r="CZ277" s="198"/>
      <c r="DA277" s="198"/>
      <c r="DB277" s="198"/>
      <c r="DC277" s="198"/>
      <c r="DD277" s="198"/>
      <c r="DE277" s="198"/>
      <c r="DF277" s="198"/>
      <c r="DG277" s="198"/>
      <c r="DH277" s="198"/>
      <c r="DI277" s="198"/>
      <c r="DJ277" s="198"/>
      <c r="DK277" s="198"/>
      <c r="DL277" s="198"/>
      <c r="DM277" s="198"/>
      <c r="DN277" s="198"/>
      <c r="DO277" s="198"/>
      <c r="DP277" s="198"/>
      <c r="DQ277" s="198"/>
      <c r="DR277" s="198"/>
      <c r="DS277" s="198"/>
      <c r="DT277" s="198"/>
    </row>
    <row r="278" spans="1:124" s="172" customFormat="1" ht="25.5" outlineLevel="1" x14ac:dyDescent="0.25">
      <c r="A278" s="173"/>
      <c r="B278" s="218" t="str">
        <f>Services!B278</f>
        <v>11C02</v>
      </c>
      <c r="C278" s="216" t="str">
        <f>Services!C278</f>
        <v>Protection de la confidentialité des données de l'environnement de travail personnel stockées sur support amovible</v>
      </c>
      <c r="D278" s="210" t="str">
        <f t="shared" si="4"/>
        <v/>
      </c>
      <c r="E278" s="1378"/>
      <c r="F278" s="1378"/>
      <c r="G278" s="1378"/>
      <c r="H278" s="1378"/>
      <c r="I278" s="1378"/>
      <c r="J278" s="1378"/>
      <c r="K278" s="1378"/>
      <c r="L278" s="1378"/>
      <c r="M278" s="1378"/>
      <c r="N278" s="1378"/>
      <c r="O278" s="1378"/>
      <c r="P278" s="1378"/>
      <c r="Q278" s="1378">
        <f>IF(INDEX(Tab_actions,84,1)=1,INDEX(Tab_actions,84,4),0)</f>
        <v>0</v>
      </c>
      <c r="R278" s="1378"/>
      <c r="S278" s="1378"/>
      <c r="T278" s="1378"/>
      <c r="U278" s="1378"/>
      <c r="V278" s="1378"/>
      <c r="W278" s="1378"/>
      <c r="X278" s="1378"/>
      <c r="Y278" s="1378">
        <f>IF(INDEX(Tab_actions,141,1)=1,INDEX(Tab_actions,141,7),0)</f>
        <v>0</v>
      </c>
      <c r="Z278" s="1378"/>
      <c r="AA278" s="1378"/>
      <c r="AB278" s="1378"/>
      <c r="AC278" s="1378"/>
      <c r="AD278" s="1378"/>
      <c r="AE278" s="1378"/>
      <c r="AF278" s="1378"/>
      <c r="AG278" s="1378"/>
      <c r="AH278" s="1378"/>
      <c r="AI278" s="1378"/>
      <c r="AJ278" s="1378"/>
      <c r="AK278" s="1378"/>
      <c r="AL278" s="1378"/>
      <c r="AM278" s="1378"/>
      <c r="AN278" s="1378"/>
      <c r="AO278" s="1378"/>
      <c r="AP278" s="1378"/>
      <c r="AQ278" s="1378"/>
      <c r="AR278" s="1378"/>
      <c r="AS278" s="1378"/>
      <c r="AT278" s="1378"/>
      <c r="AU278" s="1378"/>
      <c r="AV278" s="1378"/>
      <c r="AW278" s="1378"/>
      <c r="AX278" s="1378"/>
      <c r="AY278" s="1378"/>
      <c r="AZ278" s="1378"/>
      <c r="BA278" s="1378"/>
      <c r="BB278" s="1378"/>
      <c r="BC278" s="1378"/>
      <c r="BD278"/>
      <c r="BE278" s="198"/>
      <c r="BF278" s="198"/>
      <c r="BG278" s="198"/>
      <c r="BH278" s="198"/>
      <c r="BI278" s="198"/>
      <c r="BJ278" s="198"/>
      <c r="BK278" s="198"/>
      <c r="BL278" s="198"/>
      <c r="BM278" s="198"/>
      <c r="BN278" s="198"/>
      <c r="BO278" s="198"/>
      <c r="BP278" s="198"/>
      <c r="BQ278" s="198"/>
      <c r="BR278" s="198"/>
      <c r="BS278" s="198"/>
      <c r="BT278" s="198"/>
      <c r="BU278" s="198"/>
      <c r="BV278" s="198"/>
      <c r="BW278" s="198"/>
      <c r="BX278" s="198"/>
      <c r="BY278" s="198"/>
      <c r="BZ278" s="198"/>
      <c r="CA278" s="198"/>
      <c r="CB278" s="198"/>
      <c r="CC278" s="198"/>
      <c r="CD278" s="198"/>
      <c r="CE278" s="198"/>
      <c r="CF278" s="198"/>
      <c r="CG278" s="198"/>
      <c r="CH278" s="198"/>
      <c r="CI278" s="198"/>
      <c r="CJ278" s="198"/>
      <c r="CK278" s="198"/>
      <c r="CL278" s="198"/>
      <c r="CM278" s="198"/>
      <c r="CN278" s="198"/>
      <c r="CO278" s="198"/>
      <c r="CP278" s="198"/>
      <c r="CQ278" s="198"/>
      <c r="CR278" s="198"/>
      <c r="CS278" s="198"/>
      <c r="CT278" s="198"/>
      <c r="CU278" s="198"/>
      <c r="CV278" s="198"/>
      <c r="CW278" s="198"/>
      <c r="CX278" s="198"/>
      <c r="CY278" s="198"/>
      <c r="CZ278" s="198"/>
      <c r="DA278" s="198"/>
      <c r="DB278" s="198"/>
      <c r="DC278" s="198"/>
      <c r="DD278" s="198"/>
      <c r="DE278" s="198"/>
      <c r="DF278" s="198"/>
      <c r="DG278" s="198"/>
      <c r="DH278" s="198"/>
      <c r="DI278" s="198"/>
      <c r="DJ278" s="198"/>
      <c r="DK278" s="198"/>
      <c r="DL278" s="198"/>
      <c r="DM278" s="198"/>
      <c r="DN278" s="198"/>
      <c r="DO278" s="198"/>
      <c r="DP278" s="198"/>
      <c r="DQ278" s="198"/>
      <c r="DR278" s="198"/>
      <c r="DS278" s="198"/>
      <c r="DT278" s="198"/>
    </row>
    <row r="279" spans="1:124" s="172" customFormat="1" ht="25.5" outlineLevel="1" x14ac:dyDescent="0.25">
      <c r="A279" s="173"/>
      <c r="B279" s="218" t="str">
        <f>Services!B279</f>
        <v>11C03</v>
      </c>
      <c r="C279" s="216" t="str">
        <f>Services!C279</f>
        <v>Prise en compte de la confidentialité lors des opérations de maintenance des postes utilisateurs</v>
      </c>
      <c r="D279" s="210" t="str">
        <f t="shared" si="4"/>
        <v/>
      </c>
      <c r="E279" s="1378"/>
      <c r="F279" s="1378"/>
      <c r="G279" s="1378"/>
      <c r="H279" s="1378"/>
      <c r="I279" s="1378"/>
      <c r="J279" s="1378"/>
      <c r="K279" s="1378"/>
      <c r="L279" s="1378"/>
      <c r="M279" s="1378"/>
      <c r="N279" s="1378"/>
      <c r="O279" s="1378"/>
      <c r="P279" s="1378">
        <f>IF(INDEX(Tab_actions,74,1)=1,INDEX(Tab_actions,74,4),0)</f>
        <v>0</v>
      </c>
      <c r="Q279" s="1378">
        <f>IF(INDEX(Tab_actions,82,1)=1,INDEX(Tab_actions,82,4),0)</f>
        <v>0</v>
      </c>
      <c r="R279" s="1378"/>
      <c r="S279" s="1378"/>
      <c r="T279" s="1378"/>
      <c r="U279" s="1378"/>
      <c r="V279" s="1378"/>
      <c r="W279" s="1378"/>
      <c r="X279" s="1378"/>
      <c r="Y279" s="1378"/>
      <c r="Z279" s="1378"/>
      <c r="AA279" s="1378"/>
      <c r="AB279" s="1378"/>
      <c r="AC279" s="1378"/>
      <c r="AD279" s="1378"/>
      <c r="AE279" s="1378"/>
      <c r="AF279" s="1378"/>
      <c r="AG279" s="1378"/>
      <c r="AH279" s="1378"/>
      <c r="AI279" s="1378"/>
      <c r="AJ279" s="1378"/>
      <c r="AK279" s="1378"/>
      <c r="AL279" s="1378"/>
      <c r="AM279" s="1378"/>
      <c r="AN279" s="1378"/>
      <c r="AO279" s="1378"/>
      <c r="AP279" s="1378"/>
      <c r="AQ279" s="1378"/>
      <c r="AR279" s="1378"/>
      <c r="AS279" s="1378"/>
      <c r="AT279" s="1378"/>
      <c r="AU279" s="1378"/>
      <c r="AV279" s="1378"/>
      <c r="AW279" s="1378"/>
      <c r="AX279" s="1378"/>
      <c r="AY279" s="1378"/>
      <c r="AZ279" s="1378"/>
      <c r="BA279" s="1378"/>
      <c r="BB279" s="1378"/>
      <c r="BC279" s="1378"/>
      <c r="BD279"/>
      <c r="BE279" s="198"/>
      <c r="BF279" s="198"/>
      <c r="BG279" s="198"/>
      <c r="BH279" s="198"/>
      <c r="BI279" s="198"/>
      <c r="BJ279" s="198"/>
      <c r="BK279" s="198"/>
      <c r="BL279" s="198"/>
      <c r="BM279" s="198"/>
      <c r="BN279" s="198"/>
      <c r="BO279" s="198"/>
      <c r="BP279" s="198"/>
      <c r="BQ279" s="198"/>
      <c r="BR279" s="198"/>
      <c r="BS279" s="198"/>
      <c r="BT279" s="198"/>
      <c r="BU279" s="198"/>
      <c r="BV279" s="198"/>
      <c r="BW279" s="198"/>
      <c r="BX279" s="198"/>
      <c r="BY279" s="198"/>
      <c r="BZ279" s="198"/>
      <c r="CA279" s="198"/>
      <c r="CB279" s="198"/>
      <c r="CC279" s="198"/>
      <c r="CD279" s="198"/>
      <c r="CE279" s="198"/>
      <c r="CF279" s="198"/>
      <c r="CG279" s="198"/>
      <c r="CH279" s="198"/>
      <c r="CI279" s="198"/>
      <c r="CJ279" s="198"/>
      <c r="CK279" s="198"/>
      <c r="CL279" s="198"/>
      <c r="CM279" s="198"/>
      <c r="CN279" s="198"/>
      <c r="CO279" s="198"/>
      <c r="CP279" s="198"/>
      <c r="CQ279" s="198"/>
      <c r="CR279" s="198"/>
      <c r="CS279" s="198"/>
      <c r="CT279" s="198"/>
      <c r="CU279" s="198"/>
      <c r="CV279" s="198"/>
      <c r="CW279" s="198"/>
      <c r="CX279" s="198"/>
      <c r="CY279" s="198"/>
      <c r="CZ279" s="198"/>
      <c r="DA279" s="198"/>
      <c r="DB279" s="198"/>
      <c r="DC279" s="198"/>
      <c r="DD279" s="198"/>
      <c r="DE279" s="198"/>
      <c r="DF279" s="198"/>
      <c r="DG279" s="198"/>
      <c r="DH279" s="198"/>
      <c r="DI279" s="198"/>
      <c r="DJ279" s="198"/>
      <c r="DK279" s="198"/>
      <c r="DL279" s="198"/>
      <c r="DM279" s="198"/>
      <c r="DN279" s="198"/>
      <c r="DO279" s="198"/>
      <c r="DP279" s="198"/>
      <c r="DQ279" s="198"/>
      <c r="DR279" s="198"/>
      <c r="DS279" s="198"/>
      <c r="DT279" s="198"/>
    </row>
    <row r="280" spans="1:124" s="172" customFormat="1" ht="25.5" outlineLevel="1" x14ac:dyDescent="0.25">
      <c r="A280" s="173"/>
      <c r="B280" s="218" t="str">
        <f>Services!B280</f>
        <v>11C04</v>
      </c>
      <c r="C280" s="216" t="str">
        <f>Services!C280</f>
        <v>Protection de l'intégrité des fichiers contenus sur le poste de travail ou sur un serveur de données (disque logique pour le poste de travail)</v>
      </c>
      <c r="D280" s="210" t="str">
        <f t="shared" si="4"/>
        <v/>
      </c>
      <c r="E280" s="1378"/>
      <c r="F280" s="1378"/>
      <c r="G280" s="1378"/>
      <c r="H280" s="1378"/>
      <c r="I280" s="1378"/>
      <c r="J280" s="1378"/>
      <c r="K280" s="1378"/>
      <c r="L280" s="1378"/>
      <c r="M280" s="1378"/>
      <c r="N280" s="1378"/>
      <c r="O280" s="1378"/>
      <c r="P280" s="1378">
        <f>IF(INDEX(Tab_actions,75,1)=1,INDEX(Tab_actions,75,4),0)</f>
        <v>0</v>
      </c>
      <c r="Q280" s="1378">
        <f>IF(INDEX(Tab_actions,83,1)=1,INDEX(Tab_actions,83,4),0)</f>
        <v>0</v>
      </c>
      <c r="R280" s="1378"/>
      <c r="S280" s="1378"/>
      <c r="T280" s="1378"/>
      <c r="U280" s="1378"/>
      <c r="V280" s="1378"/>
      <c r="W280" s="1378"/>
      <c r="X280" s="1378"/>
      <c r="Y280" s="1378"/>
      <c r="Z280" s="1378"/>
      <c r="AA280" s="1378"/>
      <c r="AB280" s="1378"/>
      <c r="AC280" s="1378"/>
      <c r="AD280" s="1378"/>
      <c r="AE280" s="1378"/>
      <c r="AF280" s="1378"/>
      <c r="AG280" s="1378"/>
      <c r="AH280" s="1378"/>
      <c r="AI280" s="1378"/>
      <c r="AJ280" s="1378"/>
      <c r="AK280" s="1378"/>
      <c r="AL280" s="1378"/>
      <c r="AM280" s="1378"/>
      <c r="AN280" s="1378"/>
      <c r="AO280" s="1378"/>
      <c r="AP280" s="1378"/>
      <c r="AQ280" s="1378"/>
      <c r="AR280" s="1378"/>
      <c r="AS280" s="1378"/>
      <c r="AT280" s="1378"/>
      <c r="AU280" s="1378"/>
      <c r="AV280" s="1378"/>
      <c r="AW280" s="1378"/>
      <c r="AX280" s="1378"/>
      <c r="AY280" s="1378"/>
      <c r="AZ280" s="1378"/>
      <c r="BA280" s="1378"/>
      <c r="BB280" s="1378"/>
      <c r="BC280" s="1378"/>
      <c r="BD280"/>
      <c r="BE280" s="198"/>
      <c r="BF280" s="198"/>
      <c r="BG280" s="198"/>
      <c r="BH280" s="198"/>
      <c r="BI280" s="198"/>
      <c r="BJ280" s="198"/>
      <c r="BK280" s="198"/>
      <c r="BL280" s="198"/>
      <c r="BM280" s="198"/>
      <c r="BN280" s="198"/>
      <c r="BO280" s="198"/>
      <c r="BP280" s="198"/>
      <c r="BQ280" s="198"/>
      <c r="BR280" s="198"/>
      <c r="BS280" s="198"/>
      <c r="BT280" s="198"/>
      <c r="BU280" s="198"/>
      <c r="BV280" s="198"/>
      <c r="BW280" s="198"/>
      <c r="BX280" s="198"/>
      <c r="BY280" s="198"/>
      <c r="BZ280" s="198"/>
      <c r="CA280" s="198"/>
      <c r="CB280" s="198"/>
      <c r="CC280" s="198"/>
      <c r="CD280" s="198"/>
      <c r="CE280" s="198"/>
      <c r="CF280" s="198"/>
      <c r="CG280" s="198"/>
      <c r="CH280" s="198"/>
      <c r="CI280" s="198"/>
      <c r="CJ280" s="198"/>
      <c r="CK280" s="198"/>
      <c r="CL280" s="198"/>
      <c r="CM280" s="198"/>
      <c r="CN280" s="198"/>
      <c r="CO280" s="198"/>
      <c r="CP280" s="198"/>
      <c r="CQ280" s="198"/>
      <c r="CR280" s="198"/>
      <c r="CS280" s="198"/>
      <c r="CT280" s="198"/>
      <c r="CU280" s="198"/>
      <c r="CV280" s="198"/>
      <c r="CW280" s="198"/>
      <c r="CX280" s="198"/>
      <c r="CY280" s="198"/>
      <c r="CZ280" s="198"/>
      <c r="DA280" s="198"/>
      <c r="DB280" s="198"/>
      <c r="DC280" s="198"/>
      <c r="DD280" s="198"/>
      <c r="DE280" s="198"/>
      <c r="DF280" s="198"/>
      <c r="DG280" s="198"/>
      <c r="DH280" s="198"/>
      <c r="DI280" s="198"/>
      <c r="DJ280" s="198"/>
      <c r="DK280" s="198"/>
      <c r="DL280" s="198"/>
      <c r="DM280" s="198"/>
      <c r="DN280" s="198"/>
      <c r="DO280" s="198"/>
      <c r="DP280" s="198"/>
      <c r="DQ280" s="198"/>
      <c r="DR280" s="198"/>
      <c r="DS280" s="198"/>
      <c r="DT280" s="198"/>
    </row>
    <row r="281" spans="1:124" s="172" customFormat="1" ht="25.5" outlineLevel="1" x14ac:dyDescent="0.25">
      <c r="A281" s="173"/>
      <c r="B281" s="218" t="str">
        <f>Services!B281</f>
        <v>11C05</v>
      </c>
      <c r="C281" s="216" t="str">
        <f>Services!C281</f>
        <v>Sécurité de la messagerie électronique (courriels) et des échanges électroniques d'information</v>
      </c>
      <c r="D281" s="210" t="str">
        <f t="shared" si="4"/>
        <v/>
      </c>
      <c r="E281" s="1378"/>
      <c r="F281" s="1378"/>
      <c r="G281" s="1378"/>
      <c r="H281" s="1378"/>
      <c r="I281" s="1378"/>
      <c r="J281" s="1378">
        <f>IF(INDEX(Tab_actions,41,1)=1,INDEX(Tab_actions,41,4),0)</f>
        <v>0</v>
      </c>
      <c r="K281" s="1378"/>
      <c r="L281" s="1378"/>
      <c r="M281" s="1378"/>
      <c r="N281" s="1378"/>
      <c r="O281" s="1378"/>
      <c r="P281" s="1378"/>
      <c r="Q281" s="1378"/>
      <c r="R281" s="1378"/>
      <c r="S281" s="1378">
        <f>IF(INDEX(Tab_actions,99,1)=1,INDEX(Tab_actions,99,4),0)</f>
        <v>0</v>
      </c>
      <c r="T281" s="1378"/>
      <c r="U281" s="1378"/>
      <c r="V281" s="1378"/>
      <c r="W281" s="1378"/>
      <c r="X281" s="1378"/>
      <c r="Y281" s="1378"/>
      <c r="Z281" s="1378"/>
      <c r="AA281" s="1378"/>
      <c r="AB281" s="1378"/>
      <c r="AC281" s="1378">
        <f>IF(INDEX(Tab_actions,169,1)=1,INDEX(Tab_actions,169,4),0)</f>
        <v>0</v>
      </c>
      <c r="AD281" s="1378"/>
      <c r="AE281" s="1378"/>
      <c r="AF281" s="1378"/>
      <c r="AG281" s="1378"/>
      <c r="AH281" s="1378"/>
      <c r="AI281" s="1378"/>
      <c r="AJ281" s="1378"/>
      <c r="AK281" s="1378"/>
      <c r="AL281" s="1378"/>
      <c r="AM281" s="1378"/>
      <c r="AN281" s="1378"/>
      <c r="AO281" s="1378"/>
      <c r="AP281" s="1378"/>
      <c r="AQ281" s="1378"/>
      <c r="AR281" s="1378"/>
      <c r="AS281" s="1378"/>
      <c r="AT281" s="1378"/>
      <c r="AU281" s="1378"/>
      <c r="AV281" s="1378"/>
      <c r="AW281" s="1378"/>
      <c r="AX281" s="1378"/>
      <c r="AY281" s="1378"/>
      <c r="AZ281" s="1378"/>
      <c r="BA281" s="1378"/>
      <c r="BB281" s="1378"/>
      <c r="BC281" s="1378"/>
      <c r="BD281"/>
      <c r="BE281" s="198"/>
      <c r="BF281" s="198"/>
      <c r="BG281" s="198"/>
      <c r="BH281" s="198"/>
      <c r="BI281" s="198"/>
      <c r="BJ281" s="198"/>
      <c r="BK281" s="198"/>
      <c r="BL281" s="198"/>
      <c r="BM281" s="198"/>
      <c r="BN281" s="198"/>
      <c r="BO281" s="198"/>
      <c r="BP281" s="198"/>
      <c r="BQ281" s="198"/>
      <c r="BR281" s="198"/>
      <c r="BS281" s="198"/>
      <c r="BT281" s="198"/>
      <c r="BU281" s="198"/>
      <c r="BV281" s="198"/>
      <c r="BW281" s="198"/>
      <c r="BX281" s="198"/>
      <c r="BY281" s="198"/>
      <c r="BZ281" s="198"/>
      <c r="CA281" s="198"/>
      <c r="CB281" s="198"/>
      <c r="CC281" s="198"/>
      <c r="CD281" s="198"/>
      <c r="CE281" s="198"/>
      <c r="CF281" s="198"/>
      <c r="CG281" s="198"/>
      <c r="CH281" s="198"/>
      <c r="CI281" s="198"/>
      <c r="CJ281" s="198"/>
      <c r="CK281" s="198"/>
      <c r="CL281" s="198"/>
      <c r="CM281" s="198"/>
      <c r="CN281" s="198"/>
      <c r="CO281" s="198"/>
      <c r="CP281" s="198"/>
      <c r="CQ281" s="198"/>
      <c r="CR281" s="198"/>
      <c r="CS281" s="198"/>
      <c r="CT281" s="198"/>
      <c r="CU281" s="198"/>
      <c r="CV281" s="198"/>
      <c r="CW281" s="198"/>
      <c r="CX281" s="198"/>
      <c r="CY281" s="198"/>
      <c r="CZ281" s="198"/>
      <c r="DA281" s="198"/>
      <c r="DB281" s="198"/>
      <c r="DC281" s="198"/>
      <c r="DD281" s="198"/>
      <c r="DE281" s="198"/>
      <c r="DF281" s="198"/>
      <c r="DG281" s="198"/>
      <c r="DH281" s="198"/>
      <c r="DI281" s="198"/>
      <c r="DJ281" s="198"/>
      <c r="DK281" s="198"/>
      <c r="DL281" s="198"/>
      <c r="DM281" s="198"/>
      <c r="DN281" s="198"/>
      <c r="DO281" s="198"/>
      <c r="DP281" s="198"/>
      <c r="DQ281" s="198"/>
      <c r="DR281" s="198"/>
      <c r="DS281" s="198"/>
      <c r="DT281" s="198"/>
    </row>
    <row r="282" spans="1:124" s="172" customFormat="1" ht="15" outlineLevel="1" x14ac:dyDescent="0.25">
      <c r="A282" s="173"/>
      <c r="B282" s="218" t="str">
        <f>Services!B282</f>
        <v>11C06</v>
      </c>
      <c r="C282" s="216" t="str">
        <f>Services!C282</f>
        <v>Protection des impressions sur imprimantes partagées</v>
      </c>
      <c r="D282" s="210" t="str">
        <f t="shared" si="4"/>
        <v/>
      </c>
      <c r="E282" s="1378"/>
      <c r="F282" s="1378"/>
      <c r="G282" s="1378"/>
      <c r="H282" s="1378"/>
      <c r="I282" s="1378"/>
      <c r="J282" s="1378"/>
      <c r="K282" s="1378"/>
      <c r="L282" s="1378"/>
      <c r="M282" s="1378"/>
      <c r="N282" s="1378"/>
      <c r="O282" s="1378"/>
      <c r="P282" s="1378"/>
      <c r="Q282" s="1378"/>
      <c r="R282" s="1378"/>
      <c r="S282" s="1378"/>
      <c r="T282" s="1378"/>
      <c r="U282" s="1378"/>
      <c r="V282" s="1378"/>
      <c r="W282" s="1378"/>
      <c r="X282" s="1378"/>
      <c r="Y282" s="1378"/>
      <c r="Z282" s="1378"/>
      <c r="AA282" s="1378"/>
      <c r="AB282" s="1378"/>
      <c r="AC282" s="1378"/>
      <c r="AD282" s="1378"/>
      <c r="AE282" s="1378"/>
      <c r="AF282" s="1378"/>
      <c r="AG282" s="1378"/>
      <c r="AH282" s="1378"/>
      <c r="AI282" s="1378"/>
      <c r="AJ282" s="1378"/>
      <c r="AK282" s="1378"/>
      <c r="AL282" s="1378"/>
      <c r="AM282" s="1378"/>
      <c r="AN282" s="1378"/>
      <c r="AO282" s="1378"/>
      <c r="AP282" s="1378"/>
      <c r="AQ282" s="1378"/>
      <c r="AR282" s="1378"/>
      <c r="AS282" s="1378"/>
      <c r="AT282" s="1378"/>
      <c r="AU282" s="1378"/>
      <c r="AV282" s="1378"/>
      <c r="AW282" s="1378"/>
      <c r="AX282" s="1378"/>
      <c r="AY282" s="1378"/>
      <c r="AZ282" s="1378"/>
      <c r="BA282" s="1378"/>
      <c r="BB282" s="1378"/>
      <c r="BC282" s="1378"/>
      <c r="BD282"/>
      <c r="BE282" s="198"/>
      <c r="BF282" s="198"/>
      <c r="BG282" s="198"/>
      <c r="BH282" s="198"/>
      <c r="BI282" s="198"/>
      <c r="BJ282" s="198"/>
      <c r="BK282" s="198"/>
      <c r="BL282" s="198"/>
      <c r="BM282" s="198"/>
      <c r="BN282" s="198"/>
      <c r="BO282" s="198"/>
      <c r="BP282" s="198"/>
      <c r="BQ282" s="198"/>
      <c r="BR282" s="198"/>
      <c r="BS282" s="198"/>
      <c r="BT282" s="198"/>
      <c r="BU282" s="198"/>
      <c r="BV282" s="198"/>
      <c r="BW282" s="198"/>
      <c r="BX282" s="198"/>
      <c r="BY282" s="198"/>
      <c r="BZ282" s="198"/>
      <c r="CA282" s="198"/>
      <c r="CB282" s="198"/>
      <c r="CC282" s="198"/>
      <c r="CD282" s="198"/>
      <c r="CE282" s="198"/>
      <c r="CF282" s="198"/>
      <c r="CG282" s="198"/>
      <c r="CH282" s="198"/>
      <c r="CI282" s="198"/>
      <c r="CJ282" s="198"/>
      <c r="CK282" s="198"/>
      <c r="CL282" s="198"/>
      <c r="CM282" s="198"/>
      <c r="CN282" s="198"/>
      <c r="CO282" s="198"/>
      <c r="CP282" s="198"/>
      <c r="CQ282" s="198"/>
      <c r="CR282" s="198"/>
      <c r="CS282" s="198"/>
      <c r="CT282" s="198"/>
      <c r="CU282" s="198"/>
      <c r="CV282" s="198"/>
      <c r="CW282" s="198"/>
      <c r="CX282" s="198"/>
      <c r="CY282" s="198"/>
      <c r="CZ282" s="198"/>
      <c r="DA282" s="198"/>
      <c r="DB282" s="198"/>
      <c r="DC282" s="198"/>
      <c r="DD282" s="198"/>
      <c r="DE282" s="198"/>
      <c r="DF282" s="198"/>
      <c r="DG282" s="198"/>
      <c r="DH282" s="198"/>
      <c r="DI282" s="198"/>
      <c r="DJ282" s="198"/>
      <c r="DK282" s="198"/>
      <c r="DL282" s="198"/>
      <c r="DM282" s="198"/>
      <c r="DN282" s="198"/>
      <c r="DO282" s="198"/>
      <c r="DP282" s="198"/>
      <c r="DQ282" s="198"/>
      <c r="DR282" s="198"/>
      <c r="DS282" s="198"/>
      <c r="DT282" s="198"/>
    </row>
    <row r="283" spans="1:124" s="172" customFormat="1" ht="15" outlineLevel="1" x14ac:dyDescent="0.25">
      <c r="A283" s="173"/>
      <c r="B283" s="213" t="str">
        <f>Services!B283</f>
        <v>11D</v>
      </c>
      <c r="C283" s="214" t="str">
        <f>Services!C283</f>
        <v>Continuité de service de l'environnement de travail</v>
      </c>
      <c r="D283" s="210" t="str">
        <f t="shared" si="4"/>
        <v/>
      </c>
      <c r="E283" s="1378"/>
      <c r="F283" s="1378"/>
      <c r="G283" s="1378"/>
      <c r="H283" s="1378"/>
      <c r="I283" s="1378"/>
      <c r="J283" s="1378"/>
      <c r="K283" s="1378"/>
      <c r="L283" s="1378"/>
      <c r="M283" s="1378"/>
      <c r="N283" s="1378"/>
      <c r="O283" s="1378"/>
      <c r="P283" s="1378"/>
      <c r="Q283" s="1378"/>
      <c r="R283" s="1378"/>
      <c r="S283" s="1378"/>
      <c r="T283" s="1378"/>
      <c r="U283" s="1378"/>
      <c r="V283" s="1378"/>
      <c r="W283" s="1378"/>
      <c r="X283" s="1378"/>
      <c r="Y283" s="1378"/>
      <c r="Z283" s="1378"/>
      <c r="AA283" s="1378"/>
      <c r="AB283" s="1378"/>
      <c r="AC283" s="1378"/>
      <c r="AD283" s="1378"/>
      <c r="AE283" s="1378"/>
      <c r="AF283" s="1378"/>
      <c r="AG283" s="1378"/>
      <c r="AH283" s="1378"/>
      <c r="AI283" s="1378"/>
      <c r="AJ283" s="1378"/>
      <c r="AK283" s="1378"/>
      <c r="AL283" s="1378"/>
      <c r="AM283" s="1378"/>
      <c r="AN283" s="1378"/>
      <c r="AO283" s="1378"/>
      <c r="AP283" s="1378"/>
      <c r="AQ283" s="1378"/>
      <c r="AR283" s="1378"/>
      <c r="AS283" s="1378"/>
      <c r="AT283" s="1378"/>
      <c r="AU283" s="1378"/>
      <c r="AV283" s="1378"/>
      <c r="AW283" s="1378"/>
      <c r="AX283" s="1378"/>
      <c r="AY283" s="1378"/>
      <c r="AZ283" s="1378"/>
      <c r="BA283" s="1378"/>
      <c r="BB283" s="1378"/>
      <c r="BC283" s="1378"/>
      <c r="BD283"/>
      <c r="BE283" s="198"/>
      <c r="BF283" s="198"/>
      <c r="BG283" s="198"/>
      <c r="BH283" s="198"/>
      <c r="BI283" s="198"/>
      <c r="BJ283" s="198"/>
      <c r="BK283" s="198"/>
      <c r="BL283" s="198"/>
      <c r="BM283" s="198"/>
      <c r="BN283" s="198"/>
      <c r="BO283" s="198"/>
      <c r="BP283" s="198"/>
      <c r="BQ283" s="198"/>
      <c r="BR283" s="198"/>
      <c r="BS283" s="198"/>
      <c r="BT283" s="198"/>
      <c r="BU283" s="198"/>
      <c r="BV283" s="198"/>
      <c r="BW283" s="198"/>
      <c r="BX283" s="198"/>
      <c r="BY283" s="198"/>
      <c r="BZ283" s="198"/>
      <c r="CA283" s="198"/>
      <c r="CB283" s="198"/>
      <c r="CC283" s="198"/>
      <c r="CD283" s="198"/>
      <c r="CE283" s="198"/>
      <c r="CF283" s="198"/>
      <c r="CG283" s="198"/>
      <c r="CH283" s="198"/>
      <c r="CI283" s="198"/>
      <c r="CJ283" s="198"/>
      <c r="CK283" s="198"/>
      <c r="CL283" s="198"/>
      <c r="CM283" s="198"/>
      <c r="CN283" s="198"/>
      <c r="CO283" s="198"/>
      <c r="CP283" s="198"/>
      <c r="CQ283" s="198"/>
      <c r="CR283" s="198"/>
      <c r="CS283" s="198"/>
      <c r="CT283" s="198"/>
      <c r="CU283" s="198"/>
      <c r="CV283" s="198"/>
      <c r="CW283" s="198"/>
      <c r="CX283" s="198"/>
      <c r="CY283" s="198"/>
      <c r="CZ283" s="198"/>
      <c r="DA283" s="198"/>
      <c r="DB283" s="198"/>
      <c r="DC283" s="198"/>
      <c r="DD283" s="198"/>
      <c r="DE283" s="198"/>
      <c r="DF283" s="198"/>
      <c r="DG283" s="198"/>
      <c r="DH283" s="198"/>
      <c r="DI283" s="198"/>
      <c r="DJ283" s="198"/>
      <c r="DK283" s="198"/>
      <c r="DL283" s="198"/>
      <c r="DM283" s="198"/>
      <c r="DN283" s="198"/>
      <c r="DO283" s="198"/>
      <c r="DP283" s="198"/>
      <c r="DQ283" s="198"/>
      <c r="DR283" s="198"/>
      <c r="DS283" s="198"/>
      <c r="DT283" s="198"/>
    </row>
    <row r="284" spans="1:124" s="172" customFormat="1" ht="17.25" customHeight="1" outlineLevel="1" x14ac:dyDescent="0.25">
      <c r="A284" s="173"/>
      <c r="B284" s="218" t="str">
        <f>Services!B284</f>
        <v>11D01</v>
      </c>
      <c r="C284" s="216" t="str">
        <f>Services!C284</f>
        <v>Organisation de la maintenance du matériel mis à la disposition du personnel</v>
      </c>
      <c r="D284" s="210" t="str">
        <f t="shared" si="4"/>
        <v/>
      </c>
      <c r="E284" s="1378"/>
      <c r="F284" s="1378"/>
      <c r="G284" s="1378"/>
      <c r="H284" s="1378"/>
      <c r="I284" s="1378"/>
      <c r="J284" s="1378"/>
      <c r="K284" s="1378"/>
      <c r="L284" s="1378"/>
      <c r="M284" s="1378"/>
      <c r="N284" s="1378"/>
      <c r="O284" s="1378"/>
      <c r="P284" s="1378"/>
      <c r="Q284" s="1378"/>
      <c r="R284" s="1378"/>
      <c r="S284" s="1378"/>
      <c r="T284" s="1378"/>
      <c r="U284" s="1378"/>
      <c r="V284" s="1378"/>
      <c r="W284" s="1378"/>
      <c r="X284" s="1378"/>
      <c r="Y284" s="1378"/>
      <c r="Z284" s="1378"/>
      <c r="AA284" s="1378"/>
      <c r="AB284" s="1378"/>
      <c r="AC284" s="1378"/>
      <c r="AD284" s="1378"/>
      <c r="AE284" s="1378"/>
      <c r="AF284" s="1378"/>
      <c r="AG284" s="1378"/>
      <c r="AH284" s="1378"/>
      <c r="AI284" s="1378"/>
      <c r="AJ284" s="1378"/>
      <c r="AK284" s="1378"/>
      <c r="AL284" s="1378"/>
      <c r="AM284" s="1378"/>
      <c r="AN284" s="1378"/>
      <c r="AO284" s="1378"/>
      <c r="AP284" s="1378"/>
      <c r="AQ284" s="1378"/>
      <c r="AR284" s="1378"/>
      <c r="AS284" s="1378"/>
      <c r="AT284" s="1378"/>
      <c r="AU284" s="1378"/>
      <c r="AV284" s="1378"/>
      <c r="AW284" s="1378"/>
      <c r="AX284" s="1378"/>
      <c r="AY284" s="1378"/>
      <c r="AZ284" s="1378"/>
      <c r="BA284" s="1378"/>
      <c r="BB284" s="1378"/>
      <c r="BC284" s="1378"/>
      <c r="BD284"/>
      <c r="BE284" s="198"/>
      <c r="BF284" s="198"/>
      <c r="BG284" s="198"/>
      <c r="BH284" s="198"/>
      <c r="BI284" s="198"/>
      <c r="BJ284" s="198"/>
      <c r="BK284" s="198"/>
      <c r="BL284" s="198"/>
      <c r="BM284" s="198"/>
      <c r="BN284" s="198"/>
      <c r="BO284" s="198"/>
      <c r="BP284" s="198"/>
      <c r="BQ284" s="198"/>
      <c r="BR284" s="198"/>
      <c r="BS284" s="198"/>
      <c r="BT284" s="198"/>
      <c r="BU284" s="198"/>
      <c r="BV284" s="198"/>
      <c r="BW284" s="198"/>
      <c r="BX284" s="198"/>
      <c r="BY284" s="198"/>
      <c r="BZ284" s="198"/>
      <c r="CA284" s="198"/>
      <c r="CB284" s="198"/>
      <c r="CC284" s="198"/>
      <c r="CD284" s="198"/>
      <c r="CE284" s="198"/>
      <c r="CF284" s="198"/>
      <c r="CG284" s="198"/>
      <c r="CH284" s="198"/>
      <c r="CI284" s="198"/>
      <c r="CJ284" s="198"/>
      <c r="CK284" s="198"/>
      <c r="CL284" s="198"/>
      <c r="CM284" s="198"/>
      <c r="CN284" s="198"/>
      <c r="CO284" s="198"/>
      <c r="CP284" s="198"/>
      <c r="CQ284" s="198"/>
      <c r="CR284" s="198"/>
      <c r="CS284" s="198"/>
      <c r="CT284" s="198"/>
      <c r="CU284" s="198"/>
      <c r="CV284" s="198"/>
      <c r="CW284" s="198"/>
      <c r="CX284" s="198"/>
      <c r="CY284" s="198"/>
      <c r="CZ284" s="198"/>
      <c r="DA284" s="198"/>
      <c r="DB284" s="198"/>
      <c r="DC284" s="198"/>
      <c r="DD284" s="198"/>
      <c r="DE284" s="198"/>
      <c r="DF284" s="198"/>
      <c r="DG284" s="198"/>
      <c r="DH284" s="198"/>
      <c r="DI284" s="198"/>
      <c r="DJ284" s="198"/>
      <c r="DK284" s="198"/>
      <c r="DL284" s="198"/>
      <c r="DM284" s="198"/>
      <c r="DN284" s="198"/>
      <c r="DO284" s="198"/>
      <c r="DP284" s="198"/>
      <c r="DQ284" s="198"/>
      <c r="DR284" s="198"/>
      <c r="DS284" s="198"/>
      <c r="DT284" s="198"/>
    </row>
    <row r="285" spans="1:124" s="172" customFormat="1" ht="25.5" outlineLevel="1" x14ac:dyDescent="0.25">
      <c r="A285" s="173"/>
      <c r="B285" s="218" t="str">
        <f>Services!B285</f>
        <v>11D02</v>
      </c>
      <c r="C285" s="216" t="str">
        <f>Services!C285</f>
        <v>Organisation de la maintenance du logiciel utilisateurs (système d'exploitation et applications)</v>
      </c>
      <c r="D285" s="210" t="str">
        <f t="shared" si="4"/>
        <v/>
      </c>
      <c r="E285" s="1378"/>
      <c r="F285" s="1378"/>
      <c r="G285" s="1378"/>
      <c r="H285" s="1378"/>
      <c r="I285" s="1378"/>
      <c r="J285" s="1378"/>
      <c r="K285" s="1378"/>
      <c r="L285" s="1378"/>
      <c r="M285" s="1378"/>
      <c r="N285" s="1378"/>
      <c r="O285" s="1378"/>
      <c r="P285" s="1378"/>
      <c r="Q285" s="1378"/>
      <c r="R285" s="1378"/>
      <c r="S285" s="1378"/>
      <c r="T285" s="1378"/>
      <c r="U285" s="1378"/>
      <c r="V285" s="1378"/>
      <c r="W285" s="1378"/>
      <c r="X285" s="1378"/>
      <c r="Y285" s="1378"/>
      <c r="Z285" s="1378"/>
      <c r="AA285" s="1378"/>
      <c r="AB285" s="1378"/>
      <c r="AC285" s="1378"/>
      <c r="AD285" s="1378"/>
      <c r="AE285" s="1378"/>
      <c r="AF285" s="1378"/>
      <c r="AG285" s="1378"/>
      <c r="AH285" s="1378"/>
      <c r="AI285" s="1378"/>
      <c r="AJ285" s="1378"/>
      <c r="AK285" s="1378"/>
      <c r="AL285" s="1378"/>
      <c r="AM285" s="1378"/>
      <c r="AN285" s="1378"/>
      <c r="AO285" s="1378"/>
      <c r="AP285" s="1378"/>
      <c r="AQ285" s="1378"/>
      <c r="AR285" s="1378"/>
      <c r="AS285" s="1378"/>
      <c r="AT285" s="1378"/>
      <c r="AU285" s="1378"/>
      <c r="AV285" s="1378"/>
      <c r="AW285" s="1378"/>
      <c r="AX285" s="1378"/>
      <c r="AY285" s="1378"/>
      <c r="AZ285" s="1378"/>
      <c r="BA285" s="1378"/>
      <c r="BB285" s="1378"/>
      <c r="BC285" s="1378"/>
      <c r="BD285"/>
      <c r="BE285" s="198"/>
      <c r="BF285" s="198"/>
      <c r="BG285" s="198"/>
      <c r="BH285" s="198"/>
      <c r="BI285" s="198"/>
      <c r="BJ285" s="198"/>
      <c r="BK285" s="198"/>
      <c r="BL285" s="198"/>
      <c r="BM285" s="198"/>
      <c r="BN285" s="198"/>
      <c r="BO285" s="198"/>
      <c r="BP285" s="198"/>
      <c r="BQ285" s="198"/>
      <c r="BR285" s="198"/>
      <c r="BS285" s="198"/>
      <c r="BT285" s="198"/>
      <c r="BU285" s="198"/>
      <c r="BV285" s="198"/>
      <c r="BW285" s="198"/>
      <c r="BX285" s="198"/>
      <c r="BY285" s="198"/>
      <c r="BZ285" s="198"/>
      <c r="CA285" s="198"/>
      <c r="CB285" s="198"/>
      <c r="CC285" s="198"/>
      <c r="CD285" s="198"/>
      <c r="CE285" s="198"/>
      <c r="CF285" s="198"/>
      <c r="CG285" s="198"/>
      <c r="CH285" s="198"/>
      <c r="CI285" s="198"/>
      <c r="CJ285" s="198"/>
      <c r="CK285" s="198"/>
      <c r="CL285" s="198"/>
      <c r="CM285" s="198"/>
      <c r="CN285" s="198"/>
      <c r="CO285" s="198"/>
      <c r="CP285" s="198"/>
      <c r="CQ285" s="198"/>
      <c r="CR285" s="198"/>
      <c r="CS285" s="198"/>
      <c r="CT285" s="198"/>
      <c r="CU285" s="198"/>
      <c r="CV285" s="198"/>
      <c r="CW285" s="198"/>
      <c r="CX285" s="198"/>
      <c r="CY285" s="198"/>
      <c r="CZ285" s="198"/>
      <c r="DA285" s="198"/>
      <c r="DB285" s="198"/>
      <c r="DC285" s="198"/>
      <c r="DD285" s="198"/>
      <c r="DE285" s="198"/>
      <c r="DF285" s="198"/>
      <c r="DG285" s="198"/>
      <c r="DH285" s="198"/>
      <c r="DI285" s="198"/>
      <c r="DJ285" s="198"/>
      <c r="DK285" s="198"/>
      <c r="DL285" s="198"/>
      <c r="DM285" s="198"/>
      <c r="DN285" s="198"/>
      <c r="DO285" s="198"/>
      <c r="DP285" s="198"/>
      <c r="DQ285" s="198"/>
      <c r="DR285" s="198"/>
      <c r="DS285" s="198"/>
      <c r="DT285" s="198"/>
    </row>
    <row r="286" spans="1:124" s="172" customFormat="1" ht="15" outlineLevel="1" x14ac:dyDescent="0.25">
      <c r="A286" s="173"/>
      <c r="B286" s="218" t="str">
        <f>Services!B286</f>
        <v>11D03</v>
      </c>
      <c r="C286" s="216" t="str">
        <f>Services!C286</f>
        <v>Plans de sauvegardes des configurations utilisateurs</v>
      </c>
      <c r="D286" s="210" t="str">
        <f t="shared" si="4"/>
        <v/>
      </c>
      <c r="E286" s="1378"/>
      <c r="F286" s="1378"/>
      <c r="G286" s="1378"/>
      <c r="H286" s="1378"/>
      <c r="I286" s="1378"/>
      <c r="J286" s="1378"/>
      <c r="K286" s="1378"/>
      <c r="L286" s="1378"/>
      <c r="M286" s="1378"/>
      <c r="N286" s="1378"/>
      <c r="O286" s="1378"/>
      <c r="P286" s="1378"/>
      <c r="Q286" s="1378"/>
      <c r="R286" s="1378"/>
      <c r="S286" s="1378"/>
      <c r="T286" s="1378"/>
      <c r="U286" s="1378"/>
      <c r="V286" s="1378"/>
      <c r="W286" s="1378"/>
      <c r="X286" s="1378"/>
      <c r="Y286" s="1378"/>
      <c r="Z286" s="1378"/>
      <c r="AA286" s="1378"/>
      <c r="AB286" s="1378"/>
      <c r="AC286" s="1378"/>
      <c r="AD286" s="1378"/>
      <c r="AE286" s="1378"/>
      <c r="AF286" s="1378"/>
      <c r="AG286" s="1378"/>
      <c r="AH286" s="1378"/>
      <c r="AI286" s="1378"/>
      <c r="AJ286" s="1378"/>
      <c r="AK286" s="1378"/>
      <c r="AL286" s="1378"/>
      <c r="AM286" s="1378">
        <f>IF(INDEX(Tab_actions,238,1)=1,INDEX(Tab_actions,238,7),0)</f>
        <v>0</v>
      </c>
      <c r="AN286" s="1378"/>
      <c r="AO286" s="1378"/>
      <c r="AP286" s="1378"/>
      <c r="AQ286" s="1378"/>
      <c r="AR286" s="1378"/>
      <c r="AS286" s="1378"/>
      <c r="AT286" s="1378"/>
      <c r="AU286" s="1378"/>
      <c r="AV286" s="1378"/>
      <c r="AW286" s="1378"/>
      <c r="AX286" s="1378"/>
      <c r="AY286" s="1378"/>
      <c r="AZ286" s="1378"/>
      <c r="BA286" s="1378"/>
      <c r="BB286" s="1378"/>
      <c r="BC286" s="1378"/>
      <c r="BD286"/>
      <c r="BE286" s="198"/>
      <c r="BF286" s="198"/>
      <c r="BG286" s="198"/>
      <c r="BH286" s="198"/>
      <c r="BI286" s="198"/>
      <c r="BJ286" s="198"/>
      <c r="BK286" s="198"/>
      <c r="BL286" s="198"/>
      <c r="BM286" s="198"/>
      <c r="BN286" s="198"/>
      <c r="BO286" s="198"/>
      <c r="BP286" s="198"/>
      <c r="BQ286" s="198"/>
      <c r="BR286" s="198"/>
      <c r="BS286" s="198"/>
      <c r="BT286" s="198"/>
      <c r="BU286" s="198"/>
      <c r="BV286" s="198"/>
      <c r="BW286" s="198"/>
      <c r="BX286" s="198"/>
      <c r="BY286" s="198"/>
      <c r="BZ286" s="198"/>
      <c r="CA286" s="198"/>
      <c r="CB286" s="198"/>
      <c r="CC286" s="198"/>
      <c r="CD286" s="198"/>
      <c r="CE286" s="198"/>
      <c r="CF286" s="198"/>
      <c r="CG286" s="198"/>
      <c r="CH286" s="198"/>
      <c r="CI286" s="198"/>
      <c r="CJ286" s="198"/>
      <c r="CK286" s="198"/>
      <c r="CL286" s="198"/>
      <c r="CM286" s="198"/>
      <c r="CN286" s="198"/>
      <c r="CO286" s="198"/>
      <c r="CP286" s="198"/>
      <c r="CQ286" s="198"/>
      <c r="CR286" s="198"/>
      <c r="CS286" s="198"/>
      <c r="CT286" s="198"/>
      <c r="CU286" s="198"/>
      <c r="CV286" s="198"/>
      <c r="CW286" s="198"/>
      <c r="CX286" s="198"/>
      <c r="CY286" s="198"/>
      <c r="CZ286" s="198"/>
      <c r="DA286" s="198"/>
      <c r="DB286" s="198"/>
      <c r="DC286" s="198"/>
      <c r="DD286" s="198"/>
      <c r="DE286" s="198"/>
      <c r="DF286" s="198"/>
      <c r="DG286" s="198"/>
      <c r="DH286" s="198"/>
      <c r="DI286" s="198"/>
      <c r="DJ286" s="198"/>
      <c r="DK286" s="198"/>
      <c r="DL286" s="198"/>
      <c r="DM286" s="198"/>
      <c r="DN286" s="198"/>
      <c r="DO286" s="198"/>
      <c r="DP286" s="198"/>
      <c r="DQ286" s="198"/>
      <c r="DR286" s="198"/>
      <c r="DS286" s="198"/>
      <c r="DT286" s="198"/>
    </row>
    <row r="287" spans="1:124" s="172" customFormat="1" ht="25.5" outlineLevel="1" x14ac:dyDescent="0.25">
      <c r="A287" s="173"/>
      <c r="B287" s="218" t="str">
        <f>Services!B287</f>
        <v>11D04</v>
      </c>
      <c r="C287" s="216" t="str">
        <f>Services!C287</f>
        <v>Plan de sauvegardes des données utilisateurs (bureautiques) stockées sur serveur de données</v>
      </c>
      <c r="D287" s="210" t="str">
        <f t="shared" si="4"/>
        <v/>
      </c>
      <c r="E287" s="1378"/>
      <c r="F287" s="1378">
        <f>IF(INDEX(Tab_actions,19,1)=1,INDEX(Tab_actions,19,7),0)</f>
        <v>0</v>
      </c>
      <c r="G287" s="1378"/>
      <c r="H287" s="1378"/>
      <c r="I287" s="1378"/>
      <c r="J287" s="1378"/>
      <c r="K287" s="1378"/>
      <c r="L287" s="1378"/>
      <c r="M287" s="1378"/>
      <c r="N287" s="1378"/>
      <c r="O287" s="1378"/>
      <c r="P287" s="1378"/>
      <c r="Q287" s="1378"/>
      <c r="R287" s="1378"/>
      <c r="S287" s="1378"/>
      <c r="T287" s="1378"/>
      <c r="U287" s="1378"/>
      <c r="V287" s="1378"/>
      <c r="W287" s="1378"/>
      <c r="X287" s="1378"/>
      <c r="Y287" s="1378"/>
      <c r="Z287" s="1378"/>
      <c r="AA287" s="1378"/>
      <c r="AB287" s="1378"/>
      <c r="AC287" s="1378"/>
      <c r="AD287" s="1378"/>
      <c r="AE287" s="1378"/>
      <c r="AF287" s="1378"/>
      <c r="AG287" s="1378"/>
      <c r="AH287" s="1378"/>
      <c r="AI287" s="1378"/>
      <c r="AJ287" s="1378"/>
      <c r="AK287" s="1378"/>
      <c r="AL287" s="1378"/>
      <c r="AM287" s="1378"/>
      <c r="AN287" s="1378"/>
      <c r="AO287" s="1378"/>
      <c r="AP287" s="1378"/>
      <c r="AQ287" s="1378"/>
      <c r="AR287" s="1378"/>
      <c r="AS287" s="1378"/>
      <c r="AT287" s="1378"/>
      <c r="AU287" s="1378"/>
      <c r="AV287" s="1378"/>
      <c r="AW287" s="1378"/>
      <c r="AX287" s="1378"/>
      <c r="AY287" s="1378"/>
      <c r="AZ287" s="1378"/>
      <c r="BA287" s="1378"/>
      <c r="BB287" s="1378"/>
      <c r="BC287" s="1378"/>
      <c r="BD287"/>
      <c r="BE287" s="198"/>
      <c r="BF287" s="198"/>
      <c r="BG287" s="198"/>
      <c r="BH287" s="198"/>
      <c r="BI287" s="198"/>
      <c r="BJ287" s="198"/>
      <c r="BK287" s="198"/>
      <c r="BL287" s="198"/>
      <c r="BM287" s="198"/>
      <c r="BN287" s="198"/>
      <c r="BO287" s="198"/>
      <c r="BP287" s="198"/>
      <c r="BQ287" s="198"/>
      <c r="BR287" s="198"/>
      <c r="BS287" s="198"/>
      <c r="BT287" s="198"/>
      <c r="BU287" s="198"/>
      <c r="BV287" s="198"/>
      <c r="BW287" s="198"/>
      <c r="BX287" s="198"/>
      <c r="BY287" s="198"/>
      <c r="BZ287" s="198"/>
      <c r="CA287" s="198"/>
      <c r="CB287" s="198"/>
      <c r="CC287" s="198"/>
      <c r="CD287" s="198"/>
      <c r="CE287" s="198"/>
      <c r="CF287" s="198"/>
      <c r="CG287" s="198"/>
      <c r="CH287" s="198"/>
      <c r="CI287" s="198"/>
      <c r="CJ287" s="198"/>
      <c r="CK287" s="198"/>
      <c r="CL287" s="198"/>
      <c r="CM287" s="198"/>
      <c r="CN287" s="198"/>
      <c r="CO287" s="198"/>
      <c r="CP287" s="198"/>
      <c r="CQ287" s="198"/>
      <c r="CR287" s="198"/>
      <c r="CS287" s="198"/>
      <c r="CT287" s="198"/>
      <c r="CU287" s="198"/>
      <c r="CV287" s="198"/>
      <c r="CW287" s="198"/>
      <c r="CX287" s="198"/>
      <c r="CY287" s="198"/>
      <c r="CZ287" s="198"/>
      <c r="DA287" s="198"/>
      <c r="DB287" s="198"/>
      <c r="DC287" s="198"/>
      <c r="DD287" s="198"/>
      <c r="DE287" s="198"/>
      <c r="DF287" s="198"/>
      <c r="DG287" s="198"/>
      <c r="DH287" s="198"/>
      <c r="DI287" s="198"/>
      <c r="DJ287" s="198"/>
      <c r="DK287" s="198"/>
      <c r="DL287" s="198"/>
      <c r="DM287" s="198"/>
      <c r="DN287" s="198"/>
      <c r="DO287" s="198"/>
      <c r="DP287" s="198"/>
      <c r="DQ287" s="198"/>
      <c r="DR287" s="198"/>
      <c r="DS287" s="198"/>
      <c r="DT287" s="198"/>
    </row>
    <row r="288" spans="1:124" s="172" customFormat="1" ht="25.5" outlineLevel="1" x14ac:dyDescent="0.25">
      <c r="A288" s="173"/>
      <c r="B288" s="218" t="str">
        <f>Services!B288</f>
        <v>11D05</v>
      </c>
      <c r="C288" s="216" t="str">
        <f>Services!C288</f>
        <v>Plan de sauvegardes des données utilisateurs (bureautiques) stockées sur les postes de travail</v>
      </c>
      <c r="D288" s="210" t="str">
        <f t="shared" si="4"/>
        <v/>
      </c>
      <c r="E288" s="1378"/>
      <c r="F288" s="1378"/>
      <c r="G288" s="1378">
        <f>IF(INDEX(Tab_actions,26,1)=1,INDEX(Tab_actions,26,4),0)</f>
        <v>0</v>
      </c>
      <c r="H288" s="1378"/>
      <c r="I288" s="1378"/>
      <c r="J288" s="1378"/>
      <c r="K288" s="1378"/>
      <c r="L288" s="1378"/>
      <c r="M288" s="1378"/>
      <c r="N288" s="1378"/>
      <c r="O288" s="1378"/>
      <c r="P288" s="1378"/>
      <c r="Q288" s="1378"/>
      <c r="R288" s="1378"/>
      <c r="S288" s="1378"/>
      <c r="T288" s="1378"/>
      <c r="U288" s="1378"/>
      <c r="V288" s="1378"/>
      <c r="W288" s="1378"/>
      <c r="X288" s="1378"/>
      <c r="Y288" s="1378"/>
      <c r="Z288" s="1378"/>
      <c r="AA288" s="1378"/>
      <c r="AB288" s="1378"/>
      <c r="AC288" s="1378"/>
      <c r="AD288" s="1378"/>
      <c r="AE288" s="1378"/>
      <c r="AF288" s="1378"/>
      <c r="AG288" s="1378"/>
      <c r="AH288" s="1378"/>
      <c r="AI288" s="1378"/>
      <c r="AJ288" s="1378"/>
      <c r="AK288" s="1378"/>
      <c r="AL288" s="1378"/>
      <c r="AM288" s="1378"/>
      <c r="AN288" s="1378"/>
      <c r="AO288" s="1378"/>
      <c r="AP288" s="1378"/>
      <c r="AQ288" s="1378"/>
      <c r="AR288" s="1378"/>
      <c r="AS288" s="1378"/>
      <c r="AT288" s="1378"/>
      <c r="AU288" s="1378"/>
      <c r="AV288" s="1378"/>
      <c r="AW288" s="1378"/>
      <c r="AX288" s="1378"/>
      <c r="AY288" s="1378"/>
      <c r="AZ288" s="1378"/>
      <c r="BA288" s="1378"/>
      <c r="BB288" s="1378"/>
      <c r="BC288" s="1378"/>
      <c r="BD288"/>
      <c r="BE288" s="198"/>
      <c r="BF288" s="198"/>
      <c r="BG288" s="198"/>
      <c r="BH288" s="198"/>
      <c r="BI288" s="198"/>
      <c r="BJ288" s="198"/>
      <c r="BK288" s="198"/>
      <c r="BL288" s="198"/>
      <c r="BM288" s="198"/>
      <c r="BN288" s="198"/>
      <c r="BO288" s="198"/>
      <c r="BP288" s="198"/>
      <c r="BQ288" s="198"/>
      <c r="BR288" s="198"/>
      <c r="BS288" s="198"/>
      <c r="BT288" s="198"/>
      <c r="BU288" s="198"/>
      <c r="BV288" s="198"/>
      <c r="BW288" s="198"/>
      <c r="BX288" s="198"/>
      <c r="BY288" s="198"/>
      <c r="BZ288" s="198"/>
      <c r="CA288" s="198"/>
      <c r="CB288" s="198"/>
      <c r="CC288" s="198"/>
      <c r="CD288" s="198"/>
      <c r="CE288" s="198"/>
      <c r="CF288" s="198"/>
      <c r="CG288" s="198"/>
      <c r="CH288" s="198"/>
      <c r="CI288" s="198"/>
      <c r="CJ288" s="198"/>
      <c r="CK288" s="198"/>
      <c r="CL288" s="198"/>
      <c r="CM288" s="198"/>
      <c r="CN288" s="198"/>
      <c r="CO288" s="198"/>
      <c r="CP288" s="198"/>
      <c r="CQ288" s="198"/>
      <c r="CR288" s="198"/>
      <c r="CS288" s="198"/>
      <c r="CT288" s="198"/>
      <c r="CU288" s="198"/>
      <c r="CV288" s="198"/>
      <c r="CW288" s="198"/>
      <c r="CX288" s="198"/>
      <c r="CY288" s="198"/>
      <c r="CZ288" s="198"/>
      <c r="DA288" s="198"/>
      <c r="DB288" s="198"/>
      <c r="DC288" s="198"/>
      <c r="DD288" s="198"/>
      <c r="DE288" s="198"/>
      <c r="DF288" s="198"/>
      <c r="DG288" s="198"/>
      <c r="DH288" s="198"/>
      <c r="DI288" s="198"/>
      <c r="DJ288" s="198"/>
      <c r="DK288" s="198"/>
      <c r="DL288" s="198"/>
      <c r="DM288" s="198"/>
      <c r="DN288" s="198"/>
      <c r="DO288" s="198"/>
      <c r="DP288" s="198"/>
      <c r="DQ288" s="198"/>
      <c r="DR288" s="198"/>
      <c r="DS288" s="198"/>
      <c r="DT288" s="198"/>
    </row>
    <row r="289" spans="1:124" s="172" customFormat="1" ht="25.5" outlineLevel="1" x14ac:dyDescent="0.25">
      <c r="A289" s="173"/>
      <c r="B289" s="218" t="str">
        <f>Services!B289</f>
        <v>11D06</v>
      </c>
      <c r="C289" s="216" t="str">
        <f>Services!C289</f>
        <v>Protection des postes utilisateurs contre des codes malveillants ou des codes exécutables non autorisés</v>
      </c>
      <c r="D289" s="210" t="str">
        <f t="shared" si="4"/>
        <v/>
      </c>
      <c r="E289" s="1378"/>
      <c r="F289" s="1378">
        <f>IF(INDEX(Tab_actions,17,1)=1,INDEX(Tab_actions,17,7),0)</f>
        <v>0</v>
      </c>
      <c r="G289" s="1378">
        <f>IF(INDEX(Tab_actions,23,1)=1,INDEX(Tab_actions,23,10),0)</f>
        <v>0</v>
      </c>
      <c r="H289" s="1378"/>
      <c r="I289" s="1378"/>
      <c r="J289" s="1378"/>
      <c r="K289" s="1378"/>
      <c r="L289" s="1378"/>
      <c r="M289" s="1378"/>
      <c r="N289" s="1378"/>
      <c r="O289" s="1378"/>
      <c r="P289" s="1378"/>
      <c r="Q289" s="1378"/>
      <c r="R289" s="1378"/>
      <c r="S289" s="1378"/>
      <c r="T289" s="1378"/>
      <c r="U289" s="1378"/>
      <c r="V289" s="1378"/>
      <c r="W289" s="1378"/>
      <c r="X289" s="1378"/>
      <c r="Y289" s="1378"/>
      <c r="Z289" s="1378"/>
      <c r="AA289" s="1378"/>
      <c r="AB289" s="1378"/>
      <c r="AC289" s="1378"/>
      <c r="AD289" s="1378"/>
      <c r="AE289" s="1378"/>
      <c r="AF289" s="1378"/>
      <c r="AG289" s="1378"/>
      <c r="AH289" s="1378"/>
      <c r="AI289" s="1378"/>
      <c r="AJ289" s="1378"/>
      <c r="AK289" s="1378"/>
      <c r="AL289" s="1378"/>
      <c r="AM289" s="1378">
        <f>IF(INDEX(Tab_actions,234,1)=1,INDEX(Tab_actions,234,7),0)</f>
        <v>0</v>
      </c>
      <c r="AN289" s="1378"/>
      <c r="AO289" s="1378"/>
      <c r="AP289" s="1378"/>
      <c r="AQ289" s="1378"/>
      <c r="AR289" s="1378"/>
      <c r="AS289" s="1378"/>
      <c r="AT289" s="1378"/>
      <c r="AU289" s="1378"/>
      <c r="AV289" s="1378"/>
      <c r="AW289" s="1378"/>
      <c r="AX289" s="1378"/>
      <c r="AY289" s="1378"/>
      <c r="AZ289" s="1378"/>
      <c r="BA289" s="1378"/>
      <c r="BB289" s="1378"/>
      <c r="BC289" s="1378"/>
      <c r="BD289"/>
      <c r="BE289" s="198"/>
      <c r="BF289" s="198"/>
      <c r="BG289" s="198"/>
      <c r="BH289" s="198"/>
      <c r="BI289" s="198"/>
      <c r="BJ289" s="198"/>
      <c r="BK289" s="198"/>
      <c r="BL289" s="198"/>
      <c r="BM289" s="198"/>
      <c r="BN289" s="198"/>
      <c r="BO289" s="198"/>
      <c r="BP289" s="198"/>
      <c r="BQ289" s="198"/>
      <c r="BR289" s="198"/>
      <c r="BS289" s="198"/>
      <c r="BT289" s="198"/>
      <c r="BU289" s="198"/>
      <c r="BV289" s="198"/>
      <c r="BW289" s="198"/>
      <c r="BX289" s="198"/>
      <c r="BY289" s="198"/>
      <c r="BZ289" s="198"/>
      <c r="CA289" s="198"/>
      <c r="CB289" s="198"/>
      <c r="CC289" s="198"/>
      <c r="CD289" s="198"/>
      <c r="CE289" s="198"/>
      <c r="CF289" s="198"/>
      <c r="CG289" s="198"/>
      <c r="CH289" s="198"/>
      <c r="CI289" s="198"/>
      <c r="CJ289" s="198"/>
      <c r="CK289" s="198"/>
      <c r="CL289" s="198"/>
      <c r="CM289" s="198"/>
      <c r="CN289" s="198"/>
      <c r="CO289" s="198"/>
      <c r="CP289" s="198"/>
      <c r="CQ289" s="198"/>
      <c r="CR289" s="198"/>
      <c r="CS289" s="198"/>
      <c r="CT289" s="198"/>
      <c r="CU289" s="198"/>
      <c r="CV289" s="198"/>
      <c r="CW289" s="198"/>
      <c r="CX289" s="198"/>
      <c r="CY289" s="198"/>
      <c r="CZ289" s="198"/>
      <c r="DA289" s="198"/>
      <c r="DB289" s="198"/>
      <c r="DC289" s="198"/>
      <c r="DD289" s="198"/>
      <c r="DE289" s="198"/>
      <c r="DF289" s="198"/>
      <c r="DG289" s="198"/>
      <c r="DH289" s="198"/>
      <c r="DI289" s="198"/>
      <c r="DJ289" s="198"/>
      <c r="DK289" s="198"/>
      <c r="DL289" s="198"/>
      <c r="DM289" s="198"/>
      <c r="DN289" s="198"/>
      <c r="DO289" s="198"/>
      <c r="DP289" s="198"/>
      <c r="DQ289" s="198"/>
      <c r="DR289" s="198"/>
      <c r="DS289" s="198"/>
      <c r="DT289" s="198"/>
    </row>
    <row r="290" spans="1:124" s="172" customFormat="1" ht="15" outlineLevel="1" x14ac:dyDescent="0.25">
      <c r="A290" s="173"/>
      <c r="B290" s="218" t="str">
        <f>Services!B290</f>
        <v>11D07</v>
      </c>
      <c r="C290" s="216" t="str">
        <f>Services!C290</f>
        <v>Plan de Reprise d'Activité des postes utilisateurs</v>
      </c>
      <c r="D290" s="210" t="str">
        <f t="shared" si="4"/>
        <v/>
      </c>
      <c r="E290" s="1378"/>
      <c r="F290" s="1378"/>
      <c r="G290" s="1378"/>
      <c r="H290" s="1378"/>
      <c r="I290" s="1378"/>
      <c r="J290" s="1378"/>
      <c r="K290" s="1378"/>
      <c r="L290" s="1378"/>
      <c r="M290" s="1378"/>
      <c r="N290" s="1378"/>
      <c r="O290" s="1378"/>
      <c r="P290" s="1378"/>
      <c r="Q290" s="1378"/>
      <c r="R290" s="1378"/>
      <c r="S290" s="1378"/>
      <c r="T290" s="1378"/>
      <c r="U290" s="1378"/>
      <c r="V290" s="1378"/>
      <c r="W290" s="1378"/>
      <c r="X290" s="1378"/>
      <c r="Y290" s="1378"/>
      <c r="Z290" s="1378"/>
      <c r="AA290" s="1378"/>
      <c r="AB290" s="1378"/>
      <c r="AC290" s="1378"/>
      <c r="AD290" s="1378"/>
      <c r="AE290" s="1378"/>
      <c r="AF290" s="1378"/>
      <c r="AG290" s="1378"/>
      <c r="AH290" s="1378"/>
      <c r="AI290" s="1378"/>
      <c r="AJ290" s="1378"/>
      <c r="AK290" s="1378"/>
      <c r="AL290" s="1378"/>
      <c r="AM290" s="1378">
        <f>IF(INDEX(Tab_actions,238,1)=1,INDEX(Tab_actions,238,10),0)</f>
        <v>0</v>
      </c>
      <c r="AN290" s="1378"/>
      <c r="AO290" s="1378"/>
      <c r="AP290" s="1378"/>
      <c r="AQ290" s="1378"/>
      <c r="AR290" s="1378"/>
      <c r="AS290" s="1378"/>
      <c r="AT290" s="1378"/>
      <c r="AU290" s="1378"/>
      <c r="AV290" s="1378"/>
      <c r="AW290" s="1378"/>
      <c r="AX290" s="1378"/>
      <c r="AY290" s="1378"/>
      <c r="AZ290" s="1378"/>
      <c r="BA290" s="1378"/>
      <c r="BB290" s="1378"/>
      <c r="BC290" s="1378"/>
      <c r="BD290"/>
      <c r="BE290" s="198"/>
      <c r="BF290" s="198"/>
      <c r="BG290" s="198"/>
      <c r="BH290" s="198"/>
      <c r="BI290" s="198"/>
      <c r="BJ290" s="198"/>
      <c r="BK290" s="198"/>
      <c r="BL290" s="198"/>
      <c r="BM290" s="198"/>
      <c r="BN290" s="198"/>
      <c r="BO290" s="198"/>
      <c r="BP290" s="198"/>
      <c r="BQ290" s="198"/>
      <c r="BR290" s="198"/>
      <c r="BS290" s="198"/>
      <c r="BT290" s="198"/>
      <c r="BU290" s="198"/>
      <c r="BV290" s="198"/>
      <c r="BW290" s="198"/>
      <c r="BX290" s="198"/>
      <c r="BY290" s="198"/>
      <c r="BZ290" s="198"/>
      <c r="CA290" s="198"/>
      <c r="CB290" s="198"/>
      <c r="CC290" s="198"/>
      <c r="CD290" s="198"/>
      <c r="CE290" s="198"/>
      <c r="CF290" s="198"/>
      <c r="CG290" s="198"/>
      <c r="CH290" s="198"/>
      <c r="CI290" s="198"/>
      <c r="CJ290" s="198"/>
      <c r="CK290" s="198"/>
      <c r="CL290" s="198"/>
      <c r="CM290" s="198"/>
      <c r="CN290" s="198"/>
      <c r="CO290" s="198"/>
      <c r="CP290" s="198"/>
      <c r="CQ290" s="198"/>
      <c r="CR290" s="198"/>
      <c r="CS290" s="198"/>
      <c r="CT290" s="198"/>
      <c r="CU290" s="198"/>
      <c r="CV290" s="198"/>
      <c r="CW290" s="198"/>
      <c r="CX290" s="198"/>
      <c r="CY290" s="198"/>
      <c r="CZ290" s="198"/>
      <c r="DA290" s="198"/>
      <c r="DB290" s="198"/>
      <c r="DC290" s="198"/>
      <c r="DD290" s="198"/>
      <c r="DE290" s="198"/>
      <c r="DF290" s="198"/>
      <c r="DG290" s="198"/>
      <c r="DH290" s="198"/>
      <c r="DI290" s="198"/>
      <c r="DJ290" s="198"/>
      <c r="DK290" s="198"/>
      <c r="DL290" s="198"/>
      <c r="DM290" s="198"/>
      <c r="DN290" s="198"/>
      <c r="DO290" s="198"/>
      <c r="DP290" s="198"/>
      <c r="DQ290" s="198"/>
      <c r="DR290" s="198"/>
      <c r="DS290" s="198"/>
      <c r="DT290" s="198"/>
    </row>
    <row r="291" spans="1:124" s="172" customFormat="1" ht="15" outlineLevel="1" x14ac:dyDescent="0.25">
      <c r="A291" s="173"/>
      <c r="B291" s="218" t="str">
        <f>Services!B291</f>
        <v>11D08</v>
      </c>
      <c r="C291" s="216" t="str">
        <f>Services!C291</f>
        <v>Gestion des moyens nécessaires à l'accès aux fichiers bureautiques</v>
      </c>
      <c r="D291" s="210" t="str">
        <f t="shared" si="4"/>
        <v/>
      </c>
      <c r="E291" s="1378"/>
      <c r="F291" s="1378">
        <f>IF(INDEX(Tab_actions,19,1)=1,INDEX(Tab_actions,19,10),0)</f>
        <v>0</v>
      </c>
      <c r="G291" s="1378">
        <f>IF(INDEX(Tab_actions,26,1)=1,INDEX(Tab_actions,26,7),0)</f>
        <v>0</v>
      </c>
      <c r="H291" s="1378"/>
      <c r="I291" s="1378"/>
      <c r="J291" s="1378"/>
      <c r="K291" s="1378"/>
      <c r="L291" s="1378"/>
      <c r="M291" s="1378"/>
      <c r="N291" s="1378"/>
      <c r="O291" s="1378"/>
      <c r="P291" s="1378"/>
      <c r="Q291" s="1378"/>
      <c r="R291" s="1378"/>
      <c r="S291" s="1378"/>
      <c r="T291" s="1378"/>
      <c r="U291" s="1378"/>
      <c r="V291" s="1378"/>
      <c r="W291" s="1378"/>
      <c r="X291" s="1378"/>
      <c r="Y291" s="1378"/>
      <c r="Z291" s="1378"/>
      <c r="AA291" s="1378"/>
      <c r="AB291" s="1378"/>
      <c r="AC291" s="1378"/>
      <c r="AD291" s="1378"/>
      <c r="AE291" s="1378"/>
      <c r="AF291" s="1378"/>
      <c r="AG291" s="1378"/>
      <c r="AH291" s="1378"/>
      <c r="AI291" s="1378"/>
      <c r="AJ291" s="1378"/>
      <c r="AK291" s="1378"/>
      <c r="AL291" s="1378"/>
      <c r="AM291" s="1378"/>
      <c r="AN291" s="1378"/>
      <c r="AO291" s="1378"/>
      <c r="AP291" s="1378"/>
      <c r="AQ291" s="1378"/>
      <c r="AR291" s="1378"/>
      <c r="AS291" s="1378"/>
      <c r="AT291" s="1378"/>
      <c r="AU291" s="1378"/>
      <c r="AV291" s="1378"/>
      <c r="AW291" s="1378"/>
      <c r="AX291" s="1378"/>
      <c r="AY291" s="1378"/>
      <c r="AZ291" s="1378"/>
      <c r="BA291" s="1378"/>
      <c r="BB291" s="1378"/>
      <c r="BC291" s="1378"/>
      <c r="BD291"/>
      <c r="BE291" s="198"/>
      <c r="BF291" s="198"/>
      <c r="BG291" s="198"/>
      <c r="BH291" s="198"/>
      <c r="BI291" s="198"/>
      <c r="BJ291" s="198"/>
      <c r="BK291" s="198"/>
      <c r="BL291" s="198"/>
      <c r="BM291" s="198"/>
      <c r="BN291" s="198"/>
      <c r="BO291" s="198"/>
      <c r="BP291" s="198"/>
      <c r="BQ291" s="198"/>
      <c r="BR291" s="198"/>
      <c r="BS291" s="198"/>
      <c r="BT291" s="198"/>
      <c r="BU291" s="198"/>
      <c r="BV291" s="198"/>
      <c r="BW291" s="198"/>
      <c r="BX291" s="198"/>
      <c r="BY291" s="198"/>
      <c r="BZ291" s="198"/>
      <c r="CA291" s="198"/>
      <c r="CB291" s="198"/>
      <c r="CC291" s="198"/>
      <c r="CD291" s="198"/>
      <c r="CE291" s="198"/>
      <c r="CF291" s="198"/>
      <c r="CG291" s="198"/>
      <c r="CH291" s="198"/>
      <c r="CI291" s="198"/>
      <c r="CJ291" s="198"/>
      <c r="CK291" s="198"/>
      <c r="CL291" s="198"/>
      <c r="CM291" s="198"/>
      <c r="CN291" s="198"/>
      <c r="CO291" s="198"/>
      <c r="CP291" s="198"/>
      <c r="CQ291" s="198"/>
      <c r="CR291" s="198"/>
      <c r="CS291" s="198"/>
      <c r="CT291" s="198"/>
      <c r="CU291" s="198"/>
      <c r="CV291" s="198"/>
      <c r="CW291" s="198"/>
      <c r="CX291" s="198"/>
      <c r="CY291" s="198"/>
      <c r="CZ291" s="198"/>
      <c r="DA291" s="198"/>
      <c r="DB291" s="198"/>
      <c r="DC291" s="198"/>
      <c r="DD291" s="198"/>
      <c r="DE291" s="198"/>
      <c r="DF291" s="198"/>
      <c r="DG291" s="198"/>
      <c r="DH291" s="198"/>
      <c r="DI291" s="198"/>
      <c r="DJ291" s="198"/>
      <c r="DK291" s="198"/>
      <c r="DL291" s="198"/>
      <c r="DM291" s="198"/>
      <c r="DN291" s="198"/>
      <c r="DO291" s="198"/>
      <c r="DP291" s="198"/>
      <c r="DQ291" s="198"/>
      <c r="DR291" s="198"/>
      <c r="DS291" s="198"/>
      <c r="DT291" s="198"/>
    </row>
    <row r="292" spans="1:124" s="172" customFormat="1" ht="15" outlineLevel="1" x14ac:dyDescent="0.25">
      <c r="A292" s="173"/>
      <c r="B292" s="213" t="str">
        <f>Services!B292</f>
        <v>11E</v>
      </c>
      <c r="C292" s="214" t="str">
        <f>Services!C292</f>
        <v>Contrôle des droits d'administration</v>
      </c>
      <c r="D292" s="210" t="str">
        <f t="shared" si="4"/>
        <v/>
      </c>
      <c r="E292" s="1378"/>
      <c r="F292" s="1378"/>
      <c r="G292" s="1378"/>
      <c r="H292" s="1378"/>
      <c r="I292" s="1378"/>
      <c r="J292" s="1378"/>
      <c r="K292" s="1378"/>
      <c r="L292" s="1378"/>
      <c r="M292" s="1378"/>
      <c r="N292" s="1378"/>
      <c r="O292" s="1378"/>
      <c r="P292" s="1378"/>
      <c r="Q292" s="1378"/>
      <c r="R292" s="1378"/>
      <c r="S292" s="1378"/>
      <c r="T292" s="1378"/>
      <c r="U292" s="1378"/>
      <c r="V292" s="1378"/>
      <c r="W292" s="1378"/>
      <c r="X292" s="1378"/>
      <c r="Y292" s="1378"/>
      <c r="Z292" s="1378"/>
      <c r="AA292" s="1378"/>
      <c r="AB292" s="1378"/>
      <c r="AC292" s="1378"/>
      <c r="AD292" s="1378"/>
      <c r="AE292" s="1378"/>
      <c r="AF292" s="1378"/>
      <c r="AG292" s="1378"/>
      <c r="AH292" s="1378"/>
      <c r="AI292" s="1378"/>
      <c r="AJ292" s="1378"/>
      <c r="AK292" s="1378"/>
      <c r="AL292" s="1378"/>
      <c r="AM292" s="1378"/>
      <c r="AN292" s="1378"/>
      <c r="AO292" s="1378"/>
      <c r="AP292" s="1378"/>
      <c r="AQ292" s="1378"/>
      <c r="AR292" s="1378"/>
      <c r="AS292" s="1378"/>
      <c r="AT292" s="1378"/>
      <c r="AU292" s="1378"/>
      <c r="AV292" s="1378"/>
      <c r="AW292" s="1378"/>
      <c r="AX292" s="1378"/>
      <c r="AY292" s="1378"/>
      <c r="AZ292" s="1378"/>
      <c r="BA292" s="1378"/>
      <c r="BB292" s="1378"/>
      <c r="BC292" s="1378"/>
      <c r="BD292"/>
      <c r="BE292" s="198"/>
      <c r="BF292" s="198"/>
      <c r="BG292" s="198"/>
      <c r="BH292" s="198"/>
      <c r="BI292" s="198"/>
      <c r="BJ292" s="198"/>
      <c r="BK292" s="198"/>
      <c r="BL292" s="198"/>
      <c r="BM292" s="198"/>
      <c r="BN292" s="198"/>
      <c r="BO292" s="198"/>
      <c r="BP292" s="198"/>
      <c r="BQ292" s="198"/>
      <c r="BR292" s="198"/>
      <c r="BS292" s="198"/>
      <c r="BT292" s="198"/>
      <c r="BU292" s="198"/>
      <c r="BV292" s="198"/>
      <c r="BW292" s="198"/>
      <c r="BX292" s="198"/>
      <c r="BY292" s="198"/>
      <c r="BZ292" s="198"/>
      <c r="CA292" s="198"/>
      <c r="CB292" s="198"/>
      <c r="CC292" s="198"/>
      <c r="CD292" s="198"/>
      <c r="CE292" s="198"/>
      <c r="CF292" s="198"/>
      <c r="CG292" s="198"/>
      <c r="CH292" s="198"/>
      <c r="CI292" s="198"/>
      <c r="CJ292" s="198"/>
      <c r="CK292" s="198"/>
      <c r="CL292" s="198"/>
      <c r="CM292" s="198"/>
      <c r="CN292" s="198"/>
      <c r="CO292" s="198"/>
      <c r="CP292" s="198"/>
      <c r="CQ292" s="198"/>
      <c r="CR292" s="198"/>
      <c r="CS292" s="198"/>
      <c r="CT292" s="198"/>
      <c r="CU292" s="198"/>
      <c r="CV292" s="198"/>
      <c r="CW292" s="198"/>
      <c r="CX292" s="198"/>
      <c r="CY292" s="198"/>
      <c r="CZ292" s="198"/>
      <c r="DA292" s="198"/>
      <c r="DB292" s="198"/>
      <c r="DC292" s="198"/>
      <c r="DD292" s="198"/>
      <c r="DE292" s="198"/>
      <c r="DF292" s="198"/>
      <c r="DG292" s="198"/>
      <c r="DH292" s="198"/>
      <c r="DI292" s="198"/>
      <c r="DJ292" s="198"/>
      <c r="DK292" s="198"/>
      <c r="DL292" s="198"/>
      <c r="DM292" s="198"/>
      <c r="DN292" s="198"/>
      <c r="DO292" s="198"/>
      <c r="DP292" s="198"/>
      <c r="DQ292" s="198"/>
      <c r="DR292" s="198"/>
      <c r="DS292" s="198"/>
      <c r="DT292" s="198"/>
    </row>
    <row r="293" spans="1:124" s="172" customFormat="1" ht="25.5" outlineLevel="1" x14ac:dyDescent="0.25">
      <c r="A293" s="173"/>
      <c r="B293" s="218" t="str">
        <f>Services!B293</f>
        <v>11E01</v>
      </c>
      <c r="C293" s="216" t="str">
        <f>Services!C293</f>
        <v>Gestion des attributions de droits privilégiés sur les postes utilisateurs (droits d'administrateur)</v>
      </c>
      <c r="D293" s="210" t="str">
        <f t="shared" si="4"/>
        <v/>
      </c>
      <c r="E293" s="1378"/>
      <c r="F293" s="1378"/>
      <c r="G293" s="1378"/>
      <c r="H293" s="1378"/>
      <c r="I293" s="1378"/>
      <c r="J293" s="1378"/>
      <c r="K293" s="1378"/>
      <c r="L293" s="1378"/>
      <c r="M293" s="1378"/>
      <c r="N293" s="1378"/>
      <c r="O293" s="1378"/>
      <c r="P293" s="1378"/>
      <c r="Q293" s="1378"/>
      <c r="R293" s="1378"/>
      <c r="S293" s="1378"/>
      <c r="T293" s="1378"/>
      <c r="U293" s="1378"/>
      <c r="V293" s="1378"/>
      <c r="W293" s="1378"/>
      <c r="X293" s="1378"/>
      <c r="Y293" s="1378">
        <f>IF(INDEX(Tab_actions,142,1)=1,INDEX(Tab_actions,142,7),0)</f>
        <v>0</v>
      </c>
      <c r="Z293" s="1378"/>
      <c r="AA293" s="1378"/>
      <c r="AB293" s="1378"/>
      <c r="AC293" s="1378"/>
      <c r="AD293" s="1378"/>
      <c r="AE293" s="1378"/>
      <c r="AF293" s="1378"/>
      <c r="AG293" s="1378"/>
      <c r="AH293" s="1378"/>
      <c r="AI293" s="1378"/>
      <c r="AJ293" s="1378"/>
      <c r="AK293" s="1378"/>
      <c r="AL293" s="1378"/>
      <c r="AM293" s="1378"/>
      <c r="AN293" s="1378"/>
      <c r="AO293" s="1378"/>
      <c r="AP293" s="1378"/>
      <c r="AQ293" s="1378"/>
      <c r="AR293" s="1378"/>
      <c r="AS293" s="1378"/>
      <c r="AT293" s="1378"/>
      <c r="AU293" s="1378"/>
      <c r="AV293" s="1378"/>
      <c r="AW293" s="1378"/>
      <c r="AX293" s="1378"/>
      <c r="AY293" s="1378"/>
      <c r="AZ293" s="1378"/>
      <c r="BA293" s="1378"/>
      <c r="BB293" s="1378"/>
      <c r="BC293" s="1378"/>
      <c r="BD293"/>
      <c r="BE293" s="198"/>
      <c r="BF293" s="198"/>
      <c r="BG293" s="198"/>
      <c r="BH293" s="198"/>
      <c r="BI293" s="198"/>
      <c r="BJ293" s="198"/>
      <c r="BK293" s="198"/>
      <c r="BL293" s="198"/>
      <c r="BM293" s="198"/>
      <c r="BN293" s="198"/>
      <c r="BO293" s="198"/>
      <c r="BP293" s="198"/>
      <c r="BQ293" s="198"/>
      <c r="BR293" s="198"/>
      <c r="BS293" s="198"/>
      <c r="BT293" s="198"/>
      <c r="BU293" s="198"/>
      <c r="BV293" s="198"/>
      <c r="BW293" s="198"/>
      <c r="BX293" s="198"/>
      <c r="BY293" s="198"/>
      <c r="BZ293" s="198"/>
      <c r="CA293" s="198"/>
      <c r="CB293" s="198"/>
      <c r="CC293" s="198"/>
      <c r="CD293" s="198"/>
      <c r="CE293" s="198"/>
      <c r="CF293" s="198"/>
      <c r="CG293" s="198"/>
      <c r="CH293" s="198"/>
      <c r="CI293" s="198"/>
      <c r="CJ293" s="198"/>
      <c r="CK293" s="198"/>
      <c r="CL293" s="198"/>
      <c r="CM293" s="198"/>
      <c r="CN293" s="198"/>
      <c r="CO293" s="198"/>
      <c r="CP293" s="198"/>
      <c r="CQ293" s="198"/>
      <c r="CR293" s="198"/>
      <c r="CS293" s="198"/>
      <c r="CT293" s="198"/>
      <c r="CU293" s="198"/>
      <c r="CV293" s="198"/>
      <c r="CW293" s="198"/>
      <c r="CX293" s="198"/>
      <c r="CY293" s="198"/>
      <c r="CZ293" s="198"/>
      <c r="DA293" s="198"/>
      <c r="DB293" s="198"/>
      <c r="DC293" s="198"/>
      <c r="DD293" s="198"/>
      <c r="DE293" s="198"/>
      <c r="DF293" s="198"/>
      <c r="DG293" s="198"/>
      <c r="DH293" s="198"/>
      <c r="DI293" s="198"/>
      <c r="DJ293" s="198"/>
      <c r="DK293" s="198"/>
      <c r="DL293" s="198"/>
      <c r="DM293" s="198"/>
      <c r="DN293" s="198"/>
      <c r="DO293" s="198"/>
      <c r="DP293" s="198"/>
      <c r="DQ293" s="198"/>
      <c r="DR293" s="198"/>
      <c r="DS293" s="198"/>
      <c r="DT293" s="198"/>
    </row>
    <row r="294" spans="1:124" s="172" customFormat="1" ht="25.5" outlineLevel="1" x14ac:dyDescent="0.25">
      <c r="A294" s="173"/>
      <c r="B294" s="218" t="str">
        <f>Services!B294</f>
        <v>11E02</v>
      </c>
      <c r="C294" s="216" t="str">
        <f>Services!C294</f>
        <v>Authentification et contrôle des droits d'accès des administrateurs et personnels d'exploitation</v>
      </c>
      <c r="D294" s="210" t="str">
        <f t="shared" si="4"/>
        <v/>
      </c>
      <c r="E294" s="1378"/>
      <c r="F294" s="1378"/>
      <c r="G294" s="1378"/>
      <c r="H294" s="1378"/>
      <c r="I294" s="1378"/>
      <c r="J294" s="1378"/>
      <c r="K294" s="1378"/>
      <c r="L294" s="1378"/>
      <c r="M294" s="1378"/>
      <c r="N294" s="1378"/>
      <c r="O294" s="1378"/>
      <c r="P294" s="1378"/>
      <c r="Q294" s="1378"/>
      <c r="R294" s="1378"/>
      <c r="S294" s="1378"/>
      <c r="T294" s="1378"/>
      <c r="U294" s="1378"/>
      <c r="V294" s="1378"/>
      <c r="W294" s="1378"/>
      <c r="X294" s="1378"/>
      <c r="Y294" s="1378">
        <f>IF(INDEX(Tab_actions,140,1)=1,INDEX(Tab_actions,140,10),0)</f>
        <v>0</v>
      </c>
      <c r="Z294" s="1378"/>
      <c r="AA294" s="1378"/>
      <c r="AB294" s="1378"/>
      <c r="AC294" s="1378"/>
      <c r="AD294" s="1378"/>
      <c r="AE294" s="1378"/>
      <c r="AF294" s="1378"/>
      <c r="AG294" s="1378"/>
      <c r="AH294" s="1378"/>
      <c r="AI294" s="1378"/>
      <c r="AJ294" s="1378"/>
      <c r="AK294" s="1378"/>
      <c r="AL294" s="1378"/>
      <c r="AM294" s="1378">
        <f>IF(INDEX(Tab_actions,233,1)=1,INDEX(Tab_actions,233,7),0)</f>
        <v>0</v>
      </c>
      <c r="AN294" s="1378"/>
      <c r="AO294" s="1378"/>
      <c r="AP294" s="1378"/>
      <c r="AQ294" s="1378"/>
      <c r="AR294" s="1378"/>
      <c r="AS294" s="1378"/>
      <c r="AT294" s="1378"/>
      <c r="AU294" s="1378"/>
      <c r="AV294" s="1378"/>
      <c r="AW294" s="1378"/>
      <c r="AX294" s="1378"/>
      <c r="AY294" s="1378"/>
      <c r="AZ294" s="1378"/>
      <c r="BA294" s="1378"/>
      <c r="BB294" s="1378"/>
      <c r="BC294" s="1378"/>
      <c r="BD294"/>
      <c r="BE294" s="198"/>
      <c r="BF294" s="198"/>
      <c r="BG294" s="198"/>
      <c r="BH294" s="198"/>
      <c r="BI294" s="198"/>
      <c r="BJ294" s="198"/>
      <c r="BK294" s="198"/>
      <c r="BL294" s="198"/>
      <c r="BM294" s="198"/>
      <c r="BN294" s="198"/>
      <c r="BO294" s="198"/>
      <c r="BP294" s="198"/>
      <c r="BQ294" s="198"/>
      <c r="BR294" s="198"/>
      <c r="BS294" s="198"/>
      <c r="BT294" s="198"/>
      <c r="BU294" s="198"/>
      <c r="BV294" s="198"/>
      <c r="BW294" s="198"/>
      <c r="BX294" s="198"/>
      <c r="BY294" s="198"/>
      <c r="BZ294" s="198"/>
      <c r="CA294" s="198"/>
      <c r="CB294" s="198"/>
      <c r="CC294" s="198"/>
      <c r="CD294" s="198"/>
      <c r="CE294" s="198"/>
      <c r="CF294" s="198"/>
      <c r="CG294" s="198"/>
      <c r="CH294" s="198"/>
      <c r="CI294" s="198"/>
      <c r="CJ294" s="198"/>
      <c r="CK294" s="198"/>
      <c r="CL294" s="198"/>
      <c r="CM294" s="198"/>
      <c r="CN294" s="198"/>
      <c r="CO294" s="198"/>
      <c r="CP294" s="198"/>
      <c r="CQ294" s="198"/>
      <c r="CR294" s="198"/>
      <c r="CS294" s="198"/>
      <c r="CT294" s="198"/>
      <c r="CU294" s="198"/>
      <c r="CV294" s="198"/>
      <c r="CW294" s="198"/>
      <c r="CX294" s="198"/>
      <c r="CY294" s="198"/>
      <c r="CZ294" s="198"/>
      <c r="DA294" s="198"/>
      <c r="DB294" s="198"/>
      <c r="DC294" s="198"/>
      <c r="DD294" s="198"/>
      <c r="DE294" s="198"/>
      <c r="DF294" s="198"/>
      <c r="DG294" s="198"/>
      <c r="DH294" s="198"/>
      <c r="DI294" s="198"/>
      <c r="DJ294" s="198"/>
      <c r="DK294" s="198"/>
      <c r="DL294" s="198"/>
      <c r="DM294" s="198"/>
      <c r="DN294" s="198"/>
      <c r="DO294" s="198"/>
      <c r="DP294" s="198"/>
      <c r="DQ294" s="198"/>
      <c r="DR294" s="198"/>
      <c r="DS294" s="198"/>
      <c r="DT294" s="198"/>
    </row>
    <row r="295" spans="1:124" s="172" customFormat="1" ht="15" outlineLevel="1" x14ac:dyDescent="0.25">
      <c r="A295" s="173"/>
      <c r="B295" s="218" t="str">
        <f>Services!B295</f>
        <v>11E03</v>
      </c>
      <c r="C295" s="216" t="str">
        <f>Services!C295</f>
        <v>Surveillance des actions d'administration du parc de postes utilisateurs</v>
      </c>
      <c r="D295" s="210" t="str">
        <f t="shared" si="4"/>
        <v/>
      </c>
      <c r="E295" s="1378"/>
      <c r="F295" s="1378"/>
      <c r="G295" s="1378"/>
      <c r="H295" s="1378"/>
      <c r="I295" s="1378"/>
      <c r="J295" s="1378"/>
      <c r="K295" s="1378"/>
      <c r="L295" s="1378"/>
      <c r="M295" s="1378"/>
      <c r="N295" s="1378"/>
      <c r="O295" s="1378"/>
      <c r="P295" s="1378"/>
      <c r="Q295" s="1378"/>
      <c r="R295" s="1378"/>
      <c r="S295" s="1378"/>
      <c r="T295" s="1378"/>
      <c r="U295" s="1378"/>
      <c r="V295" s="1378"/>
      <c r="W295" s="1378"/>
      <c r="X295" s="1378"/>
      <c r="Y295" s="1378">
        <f>IF(INDEX(Tab_actions,140,1)=1,INDEX(Tab_actions,140,13),0)</f>
        <v>0</v>
      </c>
      <c r="Z295" s="1378"/>
      <c r="AA295" s="1378"/>
      <c r="AB295" s="1378"/>
      <c r="AC295" s="1378"/>
      <c r="AD295" s="1378"/>
      <c r="AE295" s="1378"/>
      <c r="AF295" s="1378"/>
      <c r="AG295" s="1378"/>
      <c r="AH295" s="1378"/>
      <c r="AI295" s="1378"/>
      <c r="AJ295" s="1378"/>
      <c r="AK295" s="1378"/>
      <c r="AL295" s="1378"/>
      <c r="AM295" s="1378">
        <f>IF(INDEX(Tab_actions,233,1)=1,INDEX(Tab_actions,233,10),0)</f>
        <v>0</v>
      </c>
      <c r="AN295" s="1378"/>
      <c r="AO295" s="1378"/>
      <c r="AP295" s="1378"/>
      <c r="AQ295" s="1378"/>
      <c r="AR295" s="1378"/>
      <c r="AS295" s="1378"/>
      <c r="AT295" s="1378"/>
      <c r="AU295" s="1378"/>
      <c r="AV295" s="1378"/>
      <c r="AW295" s="1378"/>
      <c r="AX295" s="1378"/>
      <c r="AY295" s="1378"/>
      <c r="AZ295" s="1378"/>
      <c r="BA295" s="1378"/>
      <c r="BB295" s="1378"/>
      <c r="BC295" s="1378"/>
      <c r="BD295"/>
      <c r="BE295" s="198"/>
      <c r="BF295" s="198"/>
      <c r="BG295" s="198"/>
      <c r="BH295" s="198"/>
      <c r="BI295" s="198"/>
      <c r="BJ295" s="198"/>
      <c r="BK295" s="198"/>
      <c r="BL295" s="198"/>
      <c r="BM295" s="198"/>
      <c r="BN295" s="198"/>
      <c r="BO295" s="198"/>
      <c r="BP295" s="198"/>
      <c r="BQ295" s="198"/>
      <c r="BR295" s="198"/>
      <c r="BS295" s="198"/>
      <c r="BT295" s="198"/>
      <c r="BU295" s="198"/>
      <c r="BV295" s="198"/>
      <c r="BW295" s="198"/>
      <c r="BX295" s="198"/>
      <c r="BY295" s="198"/>
      <c r="BZ295" s="198"/>
      <c r="CA295" s="198"/>
      <c r="CB295" s="198"/>
      <c r="CC295" s="198"/>
      <c r="CD295" s="198"/>
      <c r="CE295" s="198"/>
      <c r="CF295" s="198"/>
      <c r="CG295" s="198"/>
      <c r="CH295" s="198"/>
      <c r="CI295" s="198"/>
      <c r="CJ295" s="198"/>
      <c r="CK295" s="198"/>
      <c r="CL295" s="198"/>
      <c r="CM295" s="198"/>
      <c r="CN295" s="198"/>
      <c r="CO295" s="198"/>
      <c r="CP295" s="198"/>
      <c r="CQ295" s="198"/>
      <c r="CR295" s="198"/>
      <c r="CS295" s="198"/>
      <c r="CT295" s="198"/>
      <c r="CU295" s="198"/>
      <c r="CV295" s="198"/>
      <c r="CW295" s="198"/>
      <c r="CX295" s="198"/>
      <c r="CY295" s="198"/>
      <c r="CZ295" s="198"/>
      <c r="DA295" s="198"/>
      <c r="DB295" s="198"/>
      <c r="DC295" s="198"/>
      <c r="DD295" s="198"/>
      <c r="DE295" s="198"/>
      <c r="DF295" s="198"/>
      <c r="DG295" s="198"/>
      <c r="DH295" s="198"/>
      <c r="DI295" s="198"/>
      <c r="DJ295" s="198"/>
      <c r="DK295" s="198"/>
      <c r="DL295" s="198"/>
      <c r="DM295" s="198"/>
      <c r="DN295" s="198"/>
      <c r="DO295" s="198"/>
      <c r="DP295" s="198"/>
      <c r="DQ295" s="198"/>
      <c r="DR295" s="198"/>
      <c r="DS295" s="198"/>
      <c r="DT295" s="198"/>
    </row>
    <row r="296" spans="1:124" s="172" customFormat="1" ht="15" x14ac:dyDescent="0.25">
      <c r="A296" s="233" t="s">
        <v>5810</v>
      </c>
      <c r="B296" s="233" t="str">
        <f>Services!B296</f>
        <v>Exploitation des télécommunications (12 Ext)</v>
      </c>
      <c r="C296" s="234"/>
      <c r="D296" s="210" t="str">
        <f t="shared" si="4"/>
        <v/>
      </c>
      <c r="E296" s="1378"/>
      <c r="F296" s="1378"/>
      <c r="G296" s="1378"/>
      <c r="H296" s="1378"/>
      <c r="I296" s="1378"/>
      <c r="J296" s="1378"/>
      <c r="K296" s="1378"/>
      <c r="L296" s="1378"/>
      <c r="M296" s="1378"/>
      <c r="N296" s="1378"/>
      <c r="O296" s="1378"/>
      <c r="P296" s="1378"/>
      <c r="Q296" s="1378"/>
      <c r="R296" s="1378"/>
      <c r="S296" s="1378"/>
      <c r="T296" s="1378"/>
      <c r="U296" s="1378"/>
      <c r="V296" s="1378"/>
      <c r="W296" s="1378"/>
      <c r="X296" s="1378"/>
      <c r="Y296" s="1378"/>
      <c r="Z296" s="1378"/>
      <c r="AA296" s="1378"/>
      <c r="AB296" s="1378"/>
      <c r="AC296" s="1378"/>
      <c r="AD296" s="1378"/>
      <c r="AE296" s="1378"/>
      <c r="AF296" s="1378"/>
      <c r="AG296" s="1378"/>
      <c r="AH296" s="1378"/>
      <c r="AI296" s="1378"/>
      <c r="AJ296" s="1378"/>
      <c r="AK296" s="1378"/>
      <c r="AL296" s="1378"/>
      <c r="AM296" s="1378"/>
      <c r="AN296" s="1378"/>
      <c r="AO296" s="1378"/>
      <c r="AP296" s="1378"/>
      <c r="AQ296" s="1378"/>
      <c r="AR296" s="1378"/>
      <c r="AS296" s="1378"/>
      <c r="AT296" s="1378"/>
      <c r="AU296" s="1378"/>
      <c r="AV296" s="1378"/>
      <c r="AW296" s="1378"/>
      <c r="AX296" s="1378"/>
      <c r="AY296" s="1378"/>
      <c r="AZ296" s="1378"/>
      <c r="BA296" s="1378"/>
      <c r="BB296" s="1378"/>
      <c r="BC296" s="1378"/>
      <c r="BD296"/>
      <c r="BE296" s="198"/>
      <c r="BF296" s="198"/>
      <c r="BG296" s="198"/>
      <c r="BH296" s="198"/>
      <c r="BI296" s="198"/>
      <c r="BJ296" s="198"/>
      <c r="BK296" s="198"/>
      <c r="BL296" s="198"/>
      <c r="BM296" s="198"/>
      <c r="BN296" s="198"/>
      <c r="BO296" s="198"/>
      <c r="BP296" s="198"/>
      <c r="BQ296" s="198"/>
      <c r="BR296" s="198"/>
      <c r="BS296" s="198"/>
      <c r="BT296" s="198"/>
      <c r="BU296" s="198"/>
      <c r="BV296" s="198"/>
      <c r="BW296" s="198"/>
      <c r="BX296" s="198"/>
      <c r="BY296" s="198"/>
      <c r="BZ296" s="198"/>
      <c r="CA296" s="198"/>
      <c r="CB296" s="198"/>
      <c r="CC296" s="198"/>
      <c r="CD296" s="198"/>
      <c r="CE296" s="198"/>
      <c r="CF296" s="198"/>
      <c r="CG296" s="198"/>
      <c r="CH296" s="198"/>
      <c r="CI296" s="198"/>
      <c r="CJ296" s="198"/>
      <c r="CK296" s="198"/>
      <c r="CL296" s="198"/>
      <c r="CM296" s="198"/>
      <c r="CN296" s="198"/>
      <c r="CO296" s="198"/>
      <c r="CP296" s="198"/>
      <c r="CQ296" s="198"/>
      <c r="CR296" s="198"/>
      <c r="CS296" s="198"/>
      <c r="CT296" s="198"/>
      <c r="CU296" s="198"/>
      <c r="CV296" s="198"/>
      <c r="CW296" s="198"/>
      <c r="CX296" s="198"/>
      <c r="CY296" s="198"/>
      <c r="CZ296" s="198"/>
      <c r="DA296" s="198"/>
      <c r="DB296" s="198"/>
      <c r="DC296" s="198"/>
      <c r="DD296" s="198"/>
      <c r="DE296" s="198"/>
      <c r="DF296" s="198"/>
      <c r="DG296" s="198"/>
      <c r="DH296" s="198"/>
      <c r="DI296" s="198"/>
      <c r="DJ296" s="198"/>
      <c r="DK296" s="198"/>
      <c r="DL296" s="198"/>
      <c r="DM296" s="198"/>
      <c r="DN296" s="198"/>
      <c r="DO296" s="198"/>
      <c r="DP296" s="198"/>
      <c r="DQ296" s="198"/>
      <c r="DR296" s="198"/>
      <c r="DS296" s="198"/>
      <c r="DT296" s="198"/>
    </row>
    <row r="297" spans="1:124" s="172" customFormat="1" ht="15" outlineLevel="1" x14ac:dyDescent="0.25">
      <c r="A297" s="212"/>
      <c r="B297" s="213" t="str">
        <f>Services!B297</f>
        <v>12A</v>
      </c>
      <c r="C297" s="214" t="str">
        <f>Services!C297</f>
        <v>Sécurité des procédures d'exploitation</v>
      </c>
      <c r="D297" s="210" t="str">
        <f t="shared" si="4"/>
        <v/>
      </c>
      <c r="E297" s="1378"/>
      <c r="F297" s="1378"/>
      <c r="G297" s="1378"/>
      <c r="H297" s="1378"/>
      <c r="I297" s="1378"/>
      <c r="J297" s="1378"/>
      <c r="K297" s="1378"/>
      <c r="L297" s="1378"/>
      <c r="M297" s="1378"/>
      <c r="N297" s="1378"/>
      <c r="O297" s="1378"/>
      <c r="P297" s="1378"/>
      <c r="Q297" s="1378"/>
      <c r="R297" s="1378"/>
      <c r="S297" s="1378"/>
      <c r="T297" s="1378"/>
      <c r="U297" s="1378"/>
      <c r="V297" s="1378"/>
      <c r="W297" s="1378"/>
      <c r="X297" s="1378"/>
      <c r="Y297" s="1378"/>
      <c r="Z297" s="1378"/>
      <c r="AA297" s="1378"/>
      <c r="AB297" s="1378"/>
      <c r="AC297" s="1378"/>
      <c r="AD297" s="1378"/>
      <c r="AE297" s="1378"/>
      <c r="AF297" s="1378"/>
      <c r="AG297" s="1378"/>
      <c r="AH297" s="1378"/>
      <c r="AI297" s="1378"/>
      <c r="AJ297" s="1378"/>
      <c r="AK297" s="1378"/>
      <c r="AL297" s="1378"/>
      <c r="AM297" s="1378"/>
      <c r="AN297" s="1378"/>
      <c r="AO297" s="1378"/>
      <c r="AP297" s="1378"/>
      <c r="AQ297" s="1378"/>
      <c r="AR297" s="1378"/>
      <c r="AS297" s="1378"/>
      <c r="AT297" s="1378"/>
      <c r="AU297" s="1378"/>
      <c r="AV297" s="1378"/>
      <c r="AW297" s="1378"/>
      <c r="AX297" s="1378"/>
      <c r="AY297" s="1378"/>
      <c r="AZ297" s="1378"/>
      <c r="BA297" s="1378"/>
      <c r="BB297" s="1378"/>
      <c r="BC297" s="1378"/>
      <c r="BD297"/>
      <c r="BE297" s="198"/>
      <c r="BF297" s="198"/>
      <c r="BG297" s="198"/>
      <c r="BH297" s="198"/>
      <c r="BI297" s="198"/>
      <c r="BJ297" s="198"/>
      <c r="BK297" s="198"/>
      <c r="BL297" s="198"/>
      <c r="BM297" s="198"/>
      <c r="BN297" s="198"/>
      <c r="BO297" s="198"/>
      <c r="BP297" s="198"/>
      <c r="BQ297" s="198"/>
      <c r="BR297" s="198"/>
      <c r="BS297" s="198"/>
      <c r="BT297" s="198"/>
      <c r="BU297" s="198"/>
      <c r="BV297" s="198"/>
      <c r="BW297" s="198"/>
      <c r="BX297" s="198"/>
      <c r="BY297" s="198"/>
      <c r="BZ297" s="198"/>
      <c r="CA297" s="198"/>
      <c r="CB297" s="198"/>
      <c r="CC297" s="198"/>
      <c r="CD297" s="198"/>
      <c r="CE297" s="198"/>
      <c r="CF297" s="198"/>
      <c r="CG297" s="198"/>
      <c r="CH297" s="198"/>
      <c r="CI297" s="198"/>
      <c r="CJ297" s="198"/>
      <c r="CK297" s="198"/>
      <c r="CL297" s="198"/>
      <c r="CM297" s="198"/>
      <c r="CN297" s="198"/>
      <c r="CO297" s="198"/>
      <c r="CP297" s="198"/>
      <c r="CQ297" s="198"/>
      <c r="CR297" s="198"/>
      <c r="CS297" s="198"/>
      <c r="CT297" s="198"/>
      <c r="CU297" s="198"/>
      <c r="CV297" s="198"/>
      <c r="CW297" s="198"/>
      <c r="CX297" s="198"/>
      <c r="CY297" s="198"/>
      <c r="CZ297" s="198"/>
      <c r="DA297" s="198"/>
      <c r="DB297" s="198"/>
      <c r="DC297" s="198"/>
      <c r="DD297" s="198"/>
      <c r="DE297" s="198"/>
      <c r="DF297" s="198"/>
      <c r="DG297" s="198"/>
      <c r="DH297" s="198"/>
      <c r="DI297" s="198"/>
      <c r="DJ297" s="198"/>
      <c r="DK297" s="198"/>
      <c r="DL297" s="198"/>
      <c r="DM297" s="198"/>
      <c r="DN297" s="198"/>
      <c r="DO297" s="198"/>
      <c r="DP297" s="198"/>
      <c r="DQ297" s="198"/>
      <c r="DR297" s="198"/>
      <c r="DS297" s="198"/>
      <c r="DT297" s="198"/>
    </row>
    <row r="298" spans="1:124" s="172" customFormat="1" ht="25.5" outlineLevel="1" x14ac:dyDescent="0.25">
      <c r="A298" s="217"/>
      <c r="B298" s="218" t="str">
        <f>Services!B298</f>
        <v>12A01</v>
      </c>
      <c r="C298" s="216" t="str">
        <f>Services!C298</f>
        <v>Prise en compte de la sécurité dans les relations avec le personnel d'exploitation (salariés et prestataires)</v>
      </c>
      <c r="D298" s="210" t="str">
        <f t="shared" si="4"/>
        <v/>
      </c>
      <c r="E298" s="1378"/>
      <c r="F298" s="1378"/>
      <c r="G298" s="1378"/>
      <c r="H298" s="1378"/>
      <c r="I298" s="1378"/>
      <c r="J298" s="1378"/>
      <c r="K298" s="1378"/>
      <c r="L298" s="1378"/>
      <c r="M298" s="1378"/>
      <c r="N298" s="1378"/>
      <c r="O298" s="1378"/>
      <c r="P298" s="1378"/>
      <c r="Q298" s="1378"/>
      <c r="R298" s="1378"/>
      <c r="S298" s="1378"/>
      <c r="T298" s="1378"/>
      <c r="U298" s="1378"/>
      <c r="V298" s="1378"/>
      <c r="W298" s="1378"/>
      <c r="X298" s="1378"/>
      <c r="Y298" s="1378"/>
      <c r="Z298" s="1378"/>
      <c r="AA298" s="1378"/>
      <c r="AB298" s="1378"/>
      <c r="AC298" s="1378"/>
      <c r="AD298" s="1378"/>
      <c r="AE298" s="1378"/>
      <c r="AF298" s="1378"/>
      <c r="AG298" s="1378"/>
      <c r="AH298" s="1378"/>
      <c r="AI298" s="1378"/>
      <c r="AJ298" s="1378"/>
      <c r="AK298" s="1378"/>
      <c r="AL298" s="1378"/>
      <c r="AM298" s="1378"/>
      <c r="AN298" s="1378"/>
      <c r="AO298" s="1378"/>
      <c r="AP298" s="1378"/>
      <c r="AQ298" s="1378"/>
      <c r="AR298" s="1378"/>
      <c r="AS298" s="1378"/>
      <c r="AT298" s="1378"/>
      <c r="AU298" s="1378"/>
      <c r="AV298" s="1378"/>
      <c r="AW298" s="1378"/>
      <c r="AX298" s="1378"/>
      <c r="AY298" s="1378"/>
      <c r="AZ298" s="1378"/>
      <c r="BA298" s="1378"/>
      <c r="BB298" s="1378"/>
      <c r="BC298" s="1378"/>
      <c r="BD298"/>
      <c r="BE298" s="198"/>
      <c r="BF298" s="198"/>
      <c r="BG298" s="198"/>
      <c r="BH298" s="198"/>
      <c r="BI298" s="198"/>
      <c r="BJ298" s="198"/>
      <c r="BK298" s="198"/>
      <c r="BL298" s="198"/>
      <c r="BM298" s="198"/>
      <c r="BN298" s="198"/>
      <c r="BO298" s="198"/>
      <c r="BP298" s="198"/>
      <c r="BQ298" s="198"/>
      <c r="BR298" s="198"/>
      <c r="BS298" s="198"/>
      <c r="BT298" s="198"/>
      <c r="BU298" s="198"/>
      <c r="BV298" s="198"/>
      <c r="BW298" s="198"/>
      <c r="BX298" s="198"/>
      <c r="BY298" s="198"/>
      <c r="BZ298" s="198"/>
      <c r="CA298" s="198"/>
      <c r="CB298" s="198"/>
      <c r="CC298" s="198"/>
      <c r="CD298" s="198"/>
      <c r="CE298" s="198"/>
      <c r="CF298" s="198"/>
      <c r="CG298" s="198"/>
      <c r="CH298" s="198"/>
      <c r="CI298" s="198"/>
      <c r="CJ298" s="198"/>
      <c r="CK298" s="198"/>
      <c r="CL298" s="198"/>
      <c r="CM298" s="198"/>
      <c r="CN298" s="198"/>
      <c r="CO298" s="198"/>
      <c r="CP298" s="198"/>
      <c r="CQ298" s="198"/>
      <c r="CR298" s="198"/>
      <c r="CS298" s="198"/>
      <c r="CT298" s="198"/>
      <c r="CU298" s="198"/>
      <c r="CV298" s="198"/>
      <c r="CW298" s="198"/>
      <c r="CX298" s="198"/>
      <c r="CY298" s="198"/>
      <c r="CZ298" s="198"/>
      <c r="DA298" s="198"/>
      <c r="DB298" s="198"/>
      <c r="DC298" s="198"/>
      <c r="DD298" s="198"/>
      <c r="DE298" s="198"/>
      <c r="DF298" s="198"/>
      <c r="DG298" s="198"/>
      <c r="DH298" s="198"/>
      <c r="DI298" s="198"/>
      <c r="DJ298" s="198"/>
      <c r="DK298" s="198"/>
      <c r="DL298" s="198"/>
      <c r="DM298" s="198"/>
      <c r="DN298" s="198"/>
      <c r="DO298" s="198"/>
      <c r="DP298" s="198"/>
      <c r="DQ298" s="198"/>
      <c r="DR298" s="198"/>
      <c r="DS298" s="198"/>
      <c r="DT298" s="198"/>
    </row>
    <row r="299" spans="1:124" s="172" customFormat="1" ht="25.5" outlineLevel="1" x14ac:dyDescent="0.25">
      <c r="A299" s="212"/>
      <c r="B299" s="218" t="str">
        <f>Services!B299</f>
        <v>12A02</v>
      </c>
      <c r="C299" s="216" t="str">
        <f>Services!C299</f>
        <v>Contrôle de la mise en production de nouveaux systèmes ou d'évolutions de systèmes existants</v>
      </c>
      <c r="D299" s="210" t="str">
        <f t="shared" si="4"/>
        <v/>
      </c>
      <c r="E299" s="1378"/>
      <c r="F299" s="1378"/>
      <c r="G299" s="1378"/>
      <c r="H299" s="1378"/>
      <c r="I299" s="1378"/>
      <c r="J299" s="1378"/>
      <c r="K299" s="1378"/>
      <c r="L299" s="1378"/>
      <c r="M299" s="1378"/>
      <c r="N299" s="1378"/>
      <c r="O299" s="1378"/>
      <c r="P299" s="1378"/>
      <c r="Q299" s="1378"/>
      <c r="R299" s="1378"/>
      <c r="S299" s="1378"/>
      <c r="T299" s="1378"/>
      <c r="U299" s="1378"/>
      <c r="V299" s="1378"/>
      <c r="W299" s="1378"/>
      <c r="X299" s="1378"/>
      <c r="Y299" s="1378"/>
      <c r="Z299" s="1378"/>
      <c r="AA299" s="1378"/>
      <c r="AB299" s="1378"/>
      <c r="AC299" s="1378"/>
      <c r="AD299" s="1378"/>
      <c r="AE299" s="1378"/>
      <c r="AF299" s="1378"/>
      <c r="AG299" s="1378"/>
      <c r="AH299" s="1378">
        <f>IF(INDEX(Tab_actions,196,1)=1,INDEX(Tab_actions,196,4),0)</f>
        <v>0</v>
      </c>
      <c r="AI299" s="1378"/>
      <c r="AJ299" s="1378"/>
      <c r="AK299" s="1378"/>
      <c r="AL299" s="1378"/>
      <c r="AM299" s="1378"/>
      <c r="AN299" s="1378"/>
      <c r="AO299" s="1378"/>
      <c r="AP299" s="1378">
        <f>IF(INDEX(Tab_actions,259,1)=1,INDEX(Tab_actions,259,4),0)</f>
        <v>0</v>
      </c>
      <c r="AQ299" s="1378"/>
      <c r="AR299" s="1378"/>
      <c r="AS299" s="1378"/>
      <c r="AT299" s="1378"/>
      <c r="AU299" s="1378"/>
      <c r="AV299" s="1378"/>
      <c r="AW299" s="1378"/>
      <c r="AX299" s="1378"/>
      <c r="AY299" s="1378"/>
      <c r="AZ299" s="1378"/>
      <c r="BA299" s="1378"/>
      <c r="BB299" s="1378"/>
      <c r="BC299" s="1378"/>
      <c r="BD299"/>
      <c r="BE299" s="198"/>
      <c r="BF299" s="198"/>
      <c r="BG299" s="198"/>
      <c r="BH299" s="198"/>
      <c r="BI299" s="198"/>
      <c r="BJ299" s="198"/>
      <c r="BK299" s="198"/>
      <c r="BL299" s="198"/>
      <c r="BM299" s="198"/>
      <c r="BN299" s="198"/>
      <c r="BO299" s="198"/>
      <c r="BP299" s="198"/>
      <c r="BQ299" s="198"/>
      <c r="BR299" s="198"/>
      <c r="BS299" s="198"/>
      <c r="BT299" s="198"/>
      <c r="BU299" s="198"/>
      <c r="BV299" s="198"/>
      <c r="BW299" s="198"/>
      <c r="BX299" s="198"/>
      <c r="BY299" s="198"/>
      <c r="BZ299" s="198"/>
      <c r="CA299" s="198"/>
      <c r="CB299" s="198"/>
      <c r="CC299" s="198"/>
      <c r="CD299" s="198"/>
      <c r="CE299" s="198"/>
      <c r="CF299" s="198"/>
      <c r="CG299" s="198"/>
      <c r="CH299" s="198"/>
      <c r="CI299" s="198"/>
      <c r="CJ299" s="198"/>
      <c r="CK299" s="198"/>
      <c r="CL299" s="198"/>
      <c r="CM299" s="198"/>
      <c r="CN299" s="198"/>
      <c r="CO299" s="198"/>
      <c r="CP299" s="198"/>
      <c r="CQ299" s="198"/>
      <c r="CR299" s="198"/>
      <c r="CS299" s="198"/>
      <c r="CT299" s="198"/>
      <c r="CU299" s="198"/>
      <c r="CV299" s="198"/>
      <c r="CW299" s="198"/>
      <c r="CX299" s="198"/>
      <c r="CY299" s="198"/>
      <c r="CZ299" s="198"/>
      <c r="DA299" s="198"/>
      <c r="DB299" s="198"/>
      <c r="DC299" s="198"/>
      <c r="DD299" s="198"/>
      <c r="DE299" s="198"/>
      <c r="DF299" s="198"/>
      <c r="DG299" s="198"/>
      <c r="DH299" s="198"/>
      <c r="DI299" s="198"/>
      <c r="DJ299" s="198"/>
      <c r="DK299" s="198"/>
      <c r="DL299" s="198"/>
      <c r="DM299" s="198"/>
      <c r="DN299" s="198"/>
      <c r="DO299" s="198"/>
      <c r="DP299" s="198"/>
      <c r="DQ299" s="198"/>
      <c r="DR299" s="198"/>
      <c r="DS299" s="198"/>
      <c r="DT299" s="198"/>
    </row>
    <row r="300" spans="1:124" s="172" customFormat="1" ht="15" outlineLevel="1" x14ac:dyDescent="0.25">
      <c r="A300" s="212"/>
      <c r="B300" s="218" t="str">
        <f>Services!B300</f>
        <v>12A03</v>
      </c>
      <c r="C300" s="216" t="str">
        <f>Services!C300</f>
        <v xml:space="preserve">Contrôle des opérations de maintenance </v>
      </c>
      <c r="D300" s="210" t="str">
        <f t="shared" si="4"/>
        <v/>
      </c>
      <c r="E300" s="1378"/>
      <c r="F300" s="1378"/>
      <c r="G300" s="1378"/>
      <c r="H300" s="1378"/>
      <c r="I300" s="1378"/>
      <c r="J300" s="1378"/>
      <c r="K300" s="1378"/>
      <c r="L300" s="1378"/>
      <c r="M300" s="1378"/>
      <c r="N300" s="1378"/>
      <c r="O300" s="1378"/>
      <c r="P300" s="1378"/>
      <c r="Q300" s="1378"/>
      <c r="R300" s="1378"/>
      <c r="S300" s="1378"/>
      <c r="T300" s="1378"/>
      <c r="U300" s="1378"/>
      <c r="V300" s="1378"/>
      <c r="W300" s="1378"/>
      <c r="X300" s="1378"/>
      <c r="Y300" s="1378"/>
      <c r="Z300" s="1378"/>
      <c r="AA300" s="1378"/>
      <c r="AB300" s="1378"/>
      <c r="AC300" s="1378"/>
      <c r="AD300" s="1378"/>
      <c r="AE300" s="1378"/>
      <c r="AF300" s="1378"/>
      <c r="AG300" s="1378"/>
      <c r="AH300" s="1378"/>
      <c r="AI300" s="1378"/>
      <c r="AJ300" s="1378"/>
      <c r="AK300" s="1378"/>
      <c r="AL300" s="1378"/>
      <c r="AM300" s="1378"/>
      <c r="AN300" s="1378"/>
      <c r="AO300" s="1378"/>
      <c r="AP300" s="1378">
        <f>IF(INDEX(Tab_actions,258,1)=1,INDEX(Tab_actions,258,4),0)</f>
        <v>0</v>
      </c>
      <c r="AQ300" s="1378"/>
      <c r="AR300" s="1378"/>
      <c r="AS300" s="1378"/>
      <c r="AT300" s="1378"/>
      <c r="AU300" s="1378"/>
      <c r="AV300" s="1378"/>
      <c r="AW300" s="1378"/>
      <c r="AX300" s="1378"/>
      <c r="AY300" s="1378"/>
      <c r="AZ300" s="1378"/>
      <c r="BA300" s="1378"/>
      <c r="BB300" s="1378"/>
      <c r="BC300" s="1378"/>
      <c r="BD300"/>
      <c r="BE300" s="198"/>
      <c r="BF300" s="198"/>
      <c r="BG300" s="198"/>
      <c r="BH300" s="198"/>
      <c r="BI300" s="198"/>
      <c r="BJ300" s="198"/>
      <c r="BK300" s="198"/>
      <c r="BL300" s="198"/>
      <c r="BM300" s="198"/>
      <c r="BN300" s="198"/>
      <c r="BO300" s="198"/>
      <c r="BP300" s="198"/>
      <c r="BQ300" s="198"/>
      <c r="BR300" s="198"/>
      <c r="BS300" s="198"/>
      <c r="BT300" s="198"/>
      <c r="BU300" s="198"/>
      <c r="BV300" s="198"/>
      <c r="BW300" s="198"/>
      <c r="BX300" s="198"/>
      <c r="BY300" s="198"/>
      <c r="BZ300" s="198"/>
      <c r="CA300" s="198"/>
      <c r="CB300" s="198"/>
      <c r="CC300" s="198"/>
      <c r="CD300" s="198"/>
      <c r="CE300" s="198"/>
      <c r="CF300" s="198"/>
      <c r="CG300" s="198"/>
      <c r="CH300" s="198"/>
      <c r="CI300" s="198"/>
      <c r="CJ300" s="198"/>
      <c r="CK300" s="198"/>
      <c r="CL300" s="198"/>
      <c r="CM300" s="198"/>
      <c r="CN300" s="198"/>
      <c r="CO300" s="198"/>
      <c r="CP300" s="198"/>
      <c r="CQ300" s="198"/>
      <c r="CR300" s="198"/>
      <c r="CS300" s="198"/>
      <c r="CT300" s="198"/>
      <c r="CU300" s="198"/>
      <c r="CV300" s="198"/>
      <c r="CW300" s="198"/>
      <c r="CX300" s="198"/>
      <c r="CY300" s="198"/>
      <c r="CZ300" s="198"/>
      <c r="DA300" s="198"/>
      <c r="DB300" s="198"/>
      <c r="DC300" s="198"/>
      <c r="DD300" s="198"/>
      <c r="DE300" s="198"/>
      <c r="DF300" s="198"/>
      <c r="DG300" s="198"/>
      <c r="DH300" s="198"/>
      <c r="DI300" s="198"/>
      <c r="DJ300" s="198"/>
      <c r="DK300" s="198"/>
      <c r="DL300" s="198"/>
      <c r="DM300" s="198"/>
      <c r="DN300" s="198"/>
      <c r="DO300" s="198"/>
      <c r="DP300" s="198"/>
      <c r="DQ300" s="198"/>
      <c r="DR300" s="198"/>
      <c r="DS300" s="198"/>
      <c r="DT300" s="198"/>
    </row>
    <row r="301" spans="1:124" s="172" customFormat="1" ht="15" outlineLevel="1" x14ac:dyDescent="0.25">
      <c r="A301" s="212"/>
      <c r="B301" s="218" t="str">
        <f>Services!B301</f>
        <v>12A04</v>
      </c>
      <c r="C301" s="216" t="str">
        <f>Services!C301</f>
        <v xml:space="preserve">Contrôle de la télémaintenance </v>
      </c>
      <c r="D301" s="210" t="str">
        <f t="shared" si="4"/>
        <v/>
      </c>
      <c r="E301" s="1378"/>
      <c r="F301" s="1378"/>
      <c r="G301" s="1378"/>
      <c r="H301" s="1378"/>
      <c r="I301" s="1378"/>
      <c r="J301" s="1378"/>
      <c r="K301" s="1378"/>
      <c r="L301" s="1378"/>
      <c r="M301" s="1378"/>
      <c r="N301" s="1378"/>
      <c r="O301" s="1378"/>
      <c r="P301" s="1378"/>
      <c r="Q301" s="1378"/>
      <c r="R301" s="1378"/>
      <c r="S301" s="1378"/>
      <c r="T301" s="1378"/>
      <c r="U301" s="1378"/>
      <c r="V301" s="1378"/>
      <c r="W301" s="1378"/>
      <c r="X301" s="1378"/>
      <c r="Y301" s="1378"/>
      <c r="Z301" s="1378"/>
      <c r="AA301" s="1378"/>
      <c r="AB301" s="1378"/>
      <c r="AC301" s="1378"/>
      <c r="AD301" s="1378"/>
      <c r="AE301" s="1378"/>
      <c r="AF301" s="1378"/>
      <c r="AG301" s="1378"/>
      <c r="AH301" s="1378"/>
      <c r="AI301" s="1378"/>
      <c r="AJ301" s="1378"/>
      <c r="AK301" s="1378"/>
      <c r="AL301" s="1378"/>
      <c r="AM301" s="1378"/>
      <c r="AN301" s="1378"/>
      <c r="AO301" s="1378"/>
      <c r="AP301" s="1378"/>
      <c r="AQ301" s="1378"/>
      <c r="AR301" s="1378"/>
      <c r="AS301" s="1378"/>
      <c r="AT301" s="1378"/>
      <c r="AU301" s="1378"/>
      <c r="AV301" s="1378"/>
      <c r="AW301" s="1378"/>
      <c r="AX301" s="1378"/>
      <c r="AY301" s="1378"/>
      <c r="AZ301" s="1378"/>
      <c r="BA301" s="1378"/>
      <c r="BB301" s="1378"/>
      <c r="BC301" s="1378"/>
      <c r="BD301"/>
      <c r="BE301" s="198"/>
      <c r="BF301" s="198"/>
      <c r="BG301" s="198"/>
      <c r="BH301" s="198"/>
      <c r="BI301" s="198"/>
      <c r="BJ301" s="198"/>
      <c r="BK301" s="198"/>
      <c r="BL301" s="198"/>
      <c r="BM301" s="198"/>
      <c r="BN301" s="198"/>
      <c r="BO301" s="198"/>
      <c r="BP301" s="198"/>
      <c r="BQ301" s="198"/>
      <c r="BR301" s="198"/>
      <c r="BS301" s="198"/>
      <c r="BT301" s="198"/>
      <c r="BU301" s="198"/>
      <c r="BV301" s="198"/>
      <c r="BW301" s="198"/>
      <c r="BX301" s="198"/>
      <c r="BY301" s="198"/>
      <c r="BZ301" s="198"/>
      <c r="CA301" s="198"/>
      <c r="CB301" s="198"/>
      <c r="CC301" s="198"/>
      <c r="CD301" s="198"/>
      <c r="CE301" s="198"/>
      <c r="CF301" s="198"/>
      <c r="CG301" s="198"/>
      <c r="CH301" s="198"/>
      <c r="CI301" s="198"/>
      <c r="CJ301" s="198"/>
      <c r="CK301" s="198"/>
      <c r="CL301" s="198"/>
      <c r="CM301" s="198"/>
      <c r="CN301" s="198"/>
      <c r="CO301" s="198"/>
      <c r="CP301" s="198"/>
      <c r="CQ301" s="198"/>
      <c r="CR301" s="198"/>
      <c r="CS301" s="198"/>
      <c r="CT301" s="198"/>
      <c r="CU301" s="198"/>
      <c r="CV301" s="198"/>
      <c r="CW301" s="198"/>
      <c r="CX301" s="198"/>
      <c r="CY301" s="198"/>
      <c r="CZ301" s="198"/>
      <c r="DA301" s="198"/>
      <c r="DB301" s="198"/>
      <c r="DC301" s="198"/>
      <c r="DD301" s="198"/>
      <c r="DE301" s="198"/>
      <c r="DF301" s="198"/>
      <c r="DG301" s="198"/>
      <c r="DH301" s="198"/>
      <c r="DI301" s="198"/>
      <c r="DJ301" s="198"/>
      <c r="DK301" s="198"/>
      <c r="DL301" s="198"/>
      <c r="DM301" s="198"/>
      <c r="DN301" s="198"/>
      <c r="DO301" s="198"/>
      <c r="DP301" s="198"/>
      <c r="DQ301" s="198"/>
      <c r="DR301" s="198"/>
      <c r="DS301" s="198"/>
      <c r="DT301" s="198"/>
    </row>
    <row r="302" spans="1:124" s="172" customFormat="1" ht="15.75" customHeight="1" outlineLevel="1" x14ac:dyDescent="0.25">
      <c r="A302" s="212"/>
      <c r="B302" s="218" t="str">
        <f>Services!B302</f>
        <v>12A05</v>
      </c>
      <c r="C302" s="216" t="str">
        <f>Services!C302</f>
        <v>Gestion des procédures opérationnelles d'exploitation des télécommunications</v>
      </c>
      <c r="D302" s="210" t="str">
        <f t="shared" si="4"/>
        <v/>
      </c>
      <c r="E302" s="1378"/>
      <c r="F302" s="1378"/>
      <c r="G302" s="1378"/>
      <c r="H302" s="1378"/>
      <c r="I302" s="1378"/>
      <c r="J302" s="1378"/>
      <c r="K302" s="1378"/>
      <c r="L302" s="1378"/>
      <c r="M302" s="1378"/>
      <c r="N302" s="1378"/>
      <c r="O302" s="1378"/>
      <c r="P302" s="1378"/>
      <c r="Q302" s="1378"/>
      <c r="R302" s="1378"/>
      <c r="S302" s="1378"/>
      <c r="T302" s="1378"/>
      <c r="U302" s="1378"/>
      <c r="V302" s="1378"/>
      <c r="W302" s="1378"/>
      <c r="X302" s="1378"/>
      <c r="Y302" s="1378"/>
      <c r="Z302" s="1378"/>
      <c r="AA302" s="1378"/>
      <c r="AB302" s="1378"/>
      <c r="AC302" s="1378"/>
      <c r="AD302" s="1378"/>
      <c r="AE302" s="1378"/>
      <c r="AF302" s="1378"/>
      <c r="AG302" s="1378"/>
      <c r="AH302" s="1378"/>
      <c r="AI302" s="1378"/>
      <c r="AJ302" s="1378"/>
      <c r="AK302" s="1378"/>
      <c r="AL302" s="1378"/>
      <c r="AM302" s="1378"/>
      <c r="AN302" s="1378"/>
      <c r="AO302" s="1378"/>
      <c r="AP302" s="1378"/>
      <c r="AQ302" s="1378"/>
      <c r="AR302" s="1378"/>
      <c r="AS302" s="1378"/>
      <c r="AT302" s="1378"/>
      <c r="AU302" s="1378"/>
      <c r="AV302" s="1378"/>
      <c r="AW302" s="1378"/>
      <c r="AX302" s="1378"/>
      <c r="AY302" s="1378"/>
      <c r="AZ302" s="1378"/>
      <c r="BA302" s="1378"/>
      <c r="BB302" s="1378"/>
      <c r="BC302" s="1378"/>
      <c r="BD302"/>
      <c r="BE302" s="198"/>
      <c r="BF302" s="198"/>
      <c r="BG302" s="198"/>
      <c r="BH302" s="198"/>
      <c r="BI302" s="198"/>
      <c r="BJ302" s="198"/>
      <c r="BK302" s="198"/>
      <c r="BL302" s="198"/>
      <c r="BM302" s="198"/>
      <c r="BN302" s="198"/>
      <c r="BO302" s="198"/>
      <c r="BP302" s="198"/>
      <c r="BQ302" s="198"/>
      <c r="BR302" s="198"/>
      <c r="BS302" s="198"/>
      <c r="BT302" s="198"/>
      <c r="BU302" s="198"/>
      <c r="BV302" s="198"/>
      <c r="BW302" s="198"/>
      <c r="BX302" s="198"/>
      <c r="BY302" s="198"/>
      <c r="BZ302" s="198"/>
      <c r="CA302" s="198"/>
      <c r="CB302" s="198"/>
      <c r="CC302" s="198"/>
      <c r="CD302" s="198"/>
      <c r="CE302" s="198"/>
      <c r="CF302" s="198"/>
      <c r="CG302" s="198"/>
      <c r="CH302" s="198"/>
      <c r="CI302" s="198"/>
      <c r="CJ302" s="198"/>
      <c r="CK302" s="198"/>
      <c r="CL302" s="198"/>
      <c r="CM302" s="198"/>
      <c r="CN302" s="198"/>
      <c r="CO302" s="198"/>
      <c r="CP302" s="198"/>
      <c r="CQ302" s="198"/>
      <c r="CR302" s="198"/>
      <c r="CS302" s="198"/>
      <c r="CT302" s="198"/>
      <c r="CU302" s="198"/>
      <c r="CV302" s="198"/>
      <c r="CW302" s="198"/>
      <c r="CX302" s="198"/>
      <c r="CY302" s="198"/>
      <c r="CZ302" s="198"/>
      <c r="DA302" s="198"/>
      <c r="DB302" s="198"/>
      <c r="DC302" s="198"/>
      <c r="DD302" s="198"/>
      <c r="DE302" s="198"/>
      <c r="DF302" s="198"/>
      <c r="DG302" s="198"/>
      <c r="DH302" s="198"/>
      <c r="DI302" s="198"/>
      <c r="DJ302" s="198"/>
      <c r="DK302" s="198"/>
      <c r="DL302" s="198"/>
      <c r="DM302" s="198"/>
      <c r="DN302" s="198"/>
      <c r="DO302" s="198"/>
      <c r="DP302" s="198"/>
      <c r="DQ302" s="198"/>
      <c r="DR302" s="198"/>
      <c r="DS302" s="198"/>
      <c r="DT302" s="198"/>
    </row>
    <row r="303" spans="1:124" s="172" customFormat="1" ht="15" outlineLevel="1" x14ac:dyDescent="0.25">
      <c r="A303" s="212"/>
      <c r="B303" s="218" t="str">
        <f>Services!B303</f>
        <v>12A06</v>
      </c>
      <c r="C303" s="216" t="str">
        <f>Services!C303</f>
        <v>Gestion des prestataires ou fournisseurs de services télécoms</v>
      </c>
      <c r="D303" s="210" t="str">
        <f t="shared" si="4"/>
        <v/>
      </c>
      <c r="E303" s="1378"/>
      <c r="F303" s="1378"/>
      <c r="G303" s="1378"/>
      <c r="H303" s="1378"/>
      <c r="I303" s="1378"/>
      <c r="J303" s="1378"/>
      <c r="K303" s="1378"/>
      <c r="L303" s="1378"/>
      <c r="M303" s="1378"/>
      <c r="N303" s="1378"/>
      <c r="O303" s="1378"/>
      <c r="P303" s="1378"/>
      <c r="Q303" s="1378"/>
      <c r="R303" s="1378"/>
      <c r="S303" s="1378"/>
      <c r="T303" s="1378"/>
      <c r="U303" s="1378"/>
      <c r="V303" s="1378"/>
      <c r="W303" s="1378"/>
      <c r="X303" s="1378"/>
      <c r="Y303" s="1378"/>
      <c r="Z303" s="1378"/>
      <c r="AA303" s="1378"/>
      <c r="AB303" s="1378"/>
      <c r="AC303" s="1378"/>
      <c r="AD303" s="1378"/>
      <c r="AE303" s="1378"/>
      <c r="AF303" s="1378"/>
      <c r="AG303" s="1378"/>
      <c r="AH303" s="1378"/>
      <c r="AI303" s="1378"/>
      <c r="AJ303" s="1378"/>
      <c r="AK303" s="1378"/>
      <c r="AL303" s="1378"/>
      <c r="AM303" s="1378"/>
      <c r="AN303" s="1378"/>
      <c r="AO303" s="1378"/>
      <c r="AP303" s="1378"/>
      <c r="AQ303" s="1378"/>
      <c r="AR303" s="1378"/>
      <c r="AS303" s="1378"/>
      <c r="AT303" s="1378"/>
      <c r="AU303" s="1378"/>
      <c r="AV303" s="1378"/>
      <c r="AW303" s="1378"/>
      <c r="AX303" s="1378"/>
      <c r="AY303" s="1378"/>
      <c r="AZ303" s="1378"/>
      <c r="BA303" s="1378"/>
      <c r="BB303" s="1378"/>
      <c r="BC303" s="1378"/>
      <c r="BD303"/>
      <c r="BE303" s="198"/>
      <c r="BF303" s="198"/>
      <c r="BG303" s="198"/>
      <c r="BH303" s="198"/>
      <c r="BI303" s="198"/>
      <c r="BJ303" s="198"/>
      <c r="BK303" s="198"/>
      <c r="BL303" s="198"/>
      <c r="BM303" s="198"/>
      <c r="BN303" s="198"/>
      <c r="BO303" s="198"/>
      <c r="BP303" s="198"/>
      <c r="BQ303" s="198"/>
      <c r="BR303" s="198"/>
      <c r="BS303" s="198"/>
      <c r="BT303" s="198"/>
      <c r="BU303" s="198"/>
      <c r="BV303" s="198"/>
      <c r="BW303" s="198"/>
      <c r="BX303" s="198"/>
      <c r="BY303" s="198"/>
      <c r="BZ303" s="198"/>
      <c r="CA303" s="198"/>
      <c r="CB303" s="198"/>
      <c r="CC303" s="198"/>
      <c r="CD303" s="198"/>
      <c r="CE303" s="198"/>
      <c r="CF303" s="198"/>
      <c r="CG303" s="198"/>
      <c r="CH303" s="198"/>
      <c r="CI303" s="198"/>
      <c r="CJ303" s="198"/>
      <c r="CK303" s="198"/>
      <c r="CL303" s="198"/>
      <c r="CM303" s="198"/>
      <c r="CN303" s="198"/>
      <c r="CO303" s="198"/>
      <c r="CP303" s="198"/>
      <c r="CQ303" s="198"/>
      <c r="CR303" s="198"/>
      <c r="CS303" s="198"/>
      <c r="CT303" s="198"/>
      <c r="CU303" s="198"/>
      <c r="CV303" s="198"/>
      <c r="CW303" s="198"/>
      <c r="CX303" s="198"/>
      <c r="CY303" s="198"/>
      <c r="CZ303" s="198"/>
      <c r="DA303" s="198"/>
      <c r="DB303" s="198"/>
      <c r="DC303" s="198"/>
      <c r="DD303" s="198"/>
      <c r="DE303" s="198"/>
      <c r="DF303" s="198"/>
      <c r="DG303" s="198"/>
      <c r="DH303" s="198"/>
      <c r="DI303" s="198"/>
      <c r="DJ303" s="198"/>
      <c r="DK303" s="198"/>
      <c r="DL303" s="198"/>
      <c r="DM303" s="198"/>
      <c r="DN303" s="198"/>
      <c r="DO303" s="198"/>
      <c r="DP303" s="198"/>
      <c r="DQ303" s="198"/>
      <c r="DR303" s="198"/>
      <c r="DS303" s="198"/>
      <c r="DT303" s="198"/>
    </row>
    <row r="304" spans="1:124" s="172" customFormat="1" ht="14.25" outlineLevel="1" x14ac:dyDescent="0.25">
      <c r="A304" s="217"/>
      <c r="B304" s="213" t="str">
        <f>Services!B304</f>
        <v>12B</v>
      </c>
      <c r="C304" s="214" t="str">
        <f>Services!C304</f>
        <v>Contrôle des configurations matérielles et logicielles</v>
      </c>
      <c r="D304" s="210" t="str">
        <f t="shared" si="4"/>
        <v/>
      </c>
      <c r="E304" s="1378"/>
      <c r="F304" s="1378"/>
      <c r="G304" s="1378"/>
      <c r="H304" s="1378"/>
      <c r="I304" s="1378"/>
      <c r="J304" s="1378"/>
      <c r="K304" s="1378"/>
      <c r="L304" s="1378"/>
      <c r="M304" s="1378"/>
      <c r="N304" s="1378"/>
      <c r="O304" s="1378"/>
      <c r="P304" s="1378"/>
      <c r="Q304" s="1378"/>
      <c r="R304" s="1378"/>
      <c r="S304" s="1378"/>
      <c r="T304" s="1378"/>
      <c r="U304" s="1378"/>
      <c r="V304" s="1378"/>
      <c r="W304" s="1378"/>
      <c r="X304" s="1378"/>
      <c r="Y304" s="1378"/>
      <c r="Z304" s="1378"/>
      <c r="AA304" s="1378"/>
      <c r="AB304" s="1378"/>
      <c r="AC304" s="1378"/>
      <c r="AD304" s="1378"/>
      <c r="AE304" s="1378"/>
      <c r="AF304" s="1378"/>
      <c r="AG304" s="1378"/>
      <c r="AH304" s="1378"/>
      <c r="AI304" s="1378"/>
      <c r="AJ304" s="1378"/>
      <c r="AK304" s="1378"/>
      <c r="AL304" s="1378"/>
      <c r="AM304" s="1378"/>
      <c r="AN304" s="1378"/>
      <c r="AO304" s="1378"/>
      <c r="AP304" s="1378"/>
      <c r="AQ304" s="1378"/>
      <c r="AR304" s="1378"/>
      <c r="AS304" s="1378"/>
      <c r="AT304" s="1378"/>
      <c r="AU304" s="1378"/>
      <c r="AV304" s="1378"/>
      <c r="AW304" s="1378"/>
      <c r="AX304" s="1378"/>
      <c r="AY304" s="1378"/>
      <c r="AZ304" s="1378"/>
      <c r="BA304" s="1378"/>
      <c r="BB304" s="1378"/>
      <c r="BC304" s="1378"/>
      <c r="BD304"/>
      <c r="BE304" s="198"/>
      <c r="BF304" s="198"/>
      <c r="BG304" s="198"/>
      <c r="BH304" s="198"/>
      <c r="BI304" s="198"/>
      <c r="BJ304" s="198"/>
      <c r="BK304" s="198"/>
      <c r="BL304" s="198"/>
      <c r="BM304" s="198"/>
      <c r="BN304" s="198"/>
      <c r="BO304" s="198"/>
      <c r="BP304" s="198"/>
      <c r="BQ304" s="198"/>
      <c r="BR304" s="198"/>
      <c r="BS304" s="198"/>
      <c r="BT304" s="198"/>
      <c r="BU304" s="198"/>
      <c r="BV304" s="198"/>
      <c r="BW304" s="198"/>
      <c r="BX304" s="198"/>
      <c r="BY304" s="198"/>
      <c r="BZ304" s="198"/>
      <c r="CA304" s="198"/>
      <c r="CB304" s="198"/>
      <c r="CC304" s="198"/>
      <c r="CD304" s="198"/>
      <c r="CE304" s="198"/>
      <c r="CF304" s="198"/>
      <c r="CG304" s="198"/>
      <c r="CH304" s="198"/>
      <c r="CI304" s="198"/>
      <c r="CJ304" s="198"/>
      <c r="CK304" s="198"/>
      <c r="CL304" s="198"/>
      <c r="CM304" s="198"/>
      <c r="CN304" s="198"/>
      <c r="CO304" s="198"/>
      <c r="CP304" s="198"/>
      <c r="CQ304" s="198"/>
      <c r="CR304" s="198"/>
      <c r="CS304" s="198"/>
      <c r="CT304" s="198"/>
      <c r="CU304" s="198"/>
      <c r="CV304" s="198"/>
      <c r="CW304" s="198"/>
      <c r="CX304" s="198"/>
      <c r="CY304" s="198"/>
      <c r="CZ304" s="198"/>
      <c r="DA304" s="198"/>
      <c r="DB304" s="198"/>
      <c r="DC304" s="198"/>
      <c r="DD304" s="198"/>
      <c r="DE304" s="198"/>
      <c r="DF304" s="198"/>
      <c r="DG304" s="198"/>
      <c r="DH304" s="198"/>
      <c r="DI304" s="198"/>
      <c r="DJ304" s="198"/>
      <c r="DK304" s="198"/>
      <c r="DL304" s="198"/>
      <c r="DM304" s="198"/>
      <c r="DN304" s="198"/>
      <c r="DO304" s="198"/>
      <c r="DP304" s="198"/>
      <c r="DQ304" s="198"/>
      <c r="DR304" s="198"/>
      <c r="DS304" s="198"/>
      <c r="DT304" s="198"/>
    </row>
    <row r="305" spans="1:124" s="172" customFormat="1" ht="15.75" customHeight="1" outlineLevel="1" x14ac:dyDescent="0.25">
      <c r="A305" s="212"/>
      <c r="B305" s="218" t="str">
        <f>Services!B305</f>
        <v>12B01</v>
      </c>
      <c r="C305" s="216" t="str">
        <f>Services!C305</f>
        <v>Paramétrage des équipements et contrôle de la conformité des configurations</v>
      </c>
      <c r="D305" s="210" t="str">
        <f t="shared" si="4"/>
        <v/>
      </c>
      <c r="E305" s="1378"/>
      <c r="F305" s="1378"/>
      <c r="G305" s="1378"/>
      <c r="H305" s="1378"/>
      <c r="I305" s="1378"/>
      <c r="J305" s="1378"/>
      <c r="K305" s="1378"/>
      <c r="L305" s="1378"/>
      <c r="M305" s="1378"/>
      <c r="N305" s="1378"/>
      <c r="O305" s="1378"/>
      <c r="P305" s="1378"/>
      <c r="Q305" s="1378"/>
      <c r="R305" s="1378"/>
      <c r="S305" s="1378"/>
      <c r="T305" s="1378"/>
      <c r="U305" s="1378"/>
      <c r="V305" s="1378"/>
      <c r="W305" s="1378"/>
      <c r="X305" s="1378"/>
      <c r="Y305" s="1378"/>
      <c r="Z305" s="1378"/>
      <c r="AA305" s="1378"/>
      <c r="AB305" s="1378"/>
      <c r="AC305" s="1378"/>
      <c r="AD305" s="1378"/>
      <c r="AE305" s="1378"/>
      <c r="AF305" s="1378"/>
      <c r="AG305" s="1378"/>
      <c r="AH305" s="1378"/>
      <c r="AI305" s="1378"/>
      <c r="AJ305" s="1378"/>
      <c r="AK305" s="1378"/>
      <c r="AL305" s="1378"/>
      <c r="AM305" s="1378"/>
      <c r="AN305" s="1378"/>
      <c r="AO305" s="1378"/>
      <c r="AP305" s="1378">
        <f>IF(INDEX(Tab_actions,259,1)=1,INDEX(Tab_actions,259,7),0)</f>
        <v>0</v>
      </c>
      <c r="AQ305" s="1378"/>
      <c r="AR305" s="1378"/>
      <c r="AS305" s="1378"/>
      <c r="AT305" s="1378"/>
      <c r="AU305" s="1378"/>
      <c r="AV305" s="1378"/>
      <c r="AW305" s="1378"/>
      <c r="AX305" s="1378"/>
      <c r="AY305" s="1378"/>
      <c r="AZ305" s="1378"/>
      <c r="BA305" s="1378"/>
      <c r="BB305" s="1378"/>
      <c r="BC305" s="1378"/>
      <c r="BD305"/>
      <c r="BE305" s="198"/>
      <c r="BF305" s="198"/>
      <c r="BG305" s="198"/>
      <c r="BH305" s="198"/>
      <c r="BI305" s="198"/>
      <c r="BJ305" s="198"/>
      <c r="BK305" s="198"/>
      <c r="BL305" s="198"/>
      <c r="BM305" s="198"/>
      <c r="BN305" s="198"/>
      <c r="BO305" s="198"/>
      <c r="BP305" s="198"/>
      <c r="BQ305" s="198"/>
      <c r="BR305" s="198"/>
      <c r="BS305" s="198"/>
      <c r="BT305" s="198"/>
      <c r="BU305" s="198"/>
      <c r="BV305" s="198"/>
      <c r="BW305" s="198"/>
      <c r="BX305" s="198"/>
      <c r="BY305" s="198"/>
      <c r="BZ305" s="198"/>
      <c r="CA305" s="198"/>
      <c r="CB305" s="198"/>
      <c r="CC305" s="198"/>
      <c r="CD305" s="198"/>
      <c r="CE305" s="198"/>
      <c r="CF305" s="198"/>
      <c r="CG305" s="198"/>
      <c r="CH305" s="198"/>
      <c r="CI305" s="198"/>
      <c r="CJ305" s="198"/>
      <c r="CK305" s="198"/>
      <c r="CL305" s="198"/>
      <c r="CM305" s="198"/>
      <c r="CN305" s="198"/>
      <c r="CO305" s="198"/>
      <c r="CP305" s="198"/>
      <c r="CQ305" s="198"/>
      <c r="CR305" s="198"/>
      <c r="CS305" s="198"/>
      <c r="CT305" s="198"/>
      <c r="CU305" s="198"/>
      <c r="CV305" s="198"/>
      <c r="CW305" s="198"/>
      <c r="CX305" s="198"/>
      <c r="CY305" s="198"/>
      <c r="CZ305" s="198"/>
      <c r="DA305" s="198"/>
      <c r="DB305" s="198"/>
      <c r="DC305" s="198"/>
      <c r="DD305" s="198"/>
      <c r="DE305" s="198"/>
      <c r="DF305" s="198"/>
      <c r="DG305" s="198"/>
      <c r="DH305" s="198"/>
      <c r="DI305" s="198"/>
      <c r="DJ305" s="198"/>
      <c r="DK305" s="198"/>
      <c r="DL305" s="198"/>
      <c r="DM305" s="198"/>
      <c r="DN305" s="198"/>
      <c r="DO305" s="198"/>
      <c r="DP305" s="198"/>
      <c r="DQ305" s="198"/>
      <c r="DR305" s="198"/>
      <c r="DS305" s="198"/>
      <c r="DT305" s="198"/>
    </row>
    <row r="306" spans="1:124" s="172" customFormat="1" ht="15" outlineLevel="1" x14ac:dyDescent="0.25">
      <c r="A306" s="212"/>
      <c r="B306" s="218" t="str">
        <f>Services!B306</f>
        <v>12B02</v>
      </c>
      <c r="C306" s="216" t="str">
        <f>Services!C306</f>
        <v xml:space="preserve">Contrôle de la conformité des programmes de référence </v>
      </c>
      <c r="D306" s="210" t="str">
        <f t="shared" si="4"/>
        <v/>
      </c>
      <c r="E306" s="1378"/>
      <c r="F306" s="1378"/>
      <c r="G306" s="1378"/>
      <c r="H306" s="1378"/>
      <c r="I306" s="1378"/>
      <c r="J306" s="1378"/>
      <c r="K306" s="1378"/>
      <c r="L306" s="1378"/>
      <c r="M306" s="1378"/>
      <c r="N306" s="1378"/>
      <c r="O306" s="1378"/>
      <c r="P306" s="1378"/>
      <c r="Q306" s="1378"/>
      <c r="R306" s="1378"/>
      <c r="S306" s="1378"/>
      <c r="T306" s="1378"/>
      <c r="U306" s="1378"/>
      <c r="V306" s="1378"/>
      <c r="W306" s="1378"/>
      <c r="X306" s="1378"/>
      <c r="Y306" s="1378"/>
      <c r="Z306" s="1378"/>
      <c r="AA306" s="1378"/>
      <c r="AB306" s="1378"/>
      <c r="AC306" s="1378"/>
      <c r="AD306" s="1378"/>
      <c r="AE306" s="1378"/>
      <c r="AF306" s="1378"/>
      <c r="AG306" s="1378"/>
      <c r="AH306" s="1378"/>
      <c r="AI306" s="1378"/>
      <c r="AJ306" s="1378"/>
      <c r="AK306" s="1378"/>
      <c r="AL306" s="1378"/>
      <c r="AM306" s="1378"/>
      <c r="AN306" s="1378"/>
      <c r="AO306" s="1378"/>
      <c r="AP306" s="1378">
        <f>IF(INDEX(Tab_actions,259,1)=1,INDEX(Tab_actions,259,10),0)</f>
        <v>0</v>
      </c>
      <c r="AQ306" s="1378"/>
      <c r="AR306" s="1378"/>
      <c r="AS306" s="1378"/>
      <c r="AT306" s="1378"/>
      <c r="AU306" s="1378"/>
      <c r="AV306" s="1378"/>
      <c r="AW306" s="1378"/>
      <c r="AX306" s="1378"/>
      <c r="AY306" s="1378"/>
      <c r="AZ306" s="1378"/>
      <c r="BA306" s="1378"/>
      <c r="BB306" s="1378"/>
      <c r="BC306" s="1378"/>
      <c r="BD306"/>
      <c r="BE306" s="198"/>
      <c r="BF306" s="198"/>
      <c r="BG306" s="198"/>
      <c r="BH306" s="198"/>
      <c r="BI306" s="198"/>
      <c r="BJ306" s="198"/>
      <c r="BK306" s="198"/>
      <c r="BL306" s="198"/>
      <c r="BM306" s="198"/>
      <c r="BN306" s="198"/>
      <c r="BO306" s="198"/>
      <c r="BP306" s="198"/>
      <c r="BQ306" s="198"/>
      <c r="BR306" s="198"/>
      <c r="BS306" s="198"/>
      <c r="BT306" s="198"/>
      <c r="BU306" s="198"/>
      <c r="BV306" s="198"/>
      <c r="BW306" s="198"/>
      <c r="BX306" s="198"/>
      <c r="BY306" s="198"/>
      <c r="BZ306" s="198"/>
      <c r="CA306" s="198"/>
      <c r="CB306" s="198"/>
      <c r="CC306" s="198"/>
      <c r="CD306" s="198"/>
      <c r="CE306" s="198"/>
      <c r="CF306" s="198"/>
      <c r="CG306" s="198"/>
      <c r="CH306" s="198"/>
      <c r="CI306" s="198"/>
      <c r="CJ306" s="198"/>
      <c r="CK306" s="198"/>
      <c r="CL306" s="198"/>
      <c r="CM306" s="198"/>
      <c r="CN306" s="198"/>
      <c r="CO306" s="198"/>
      <c r="CP306" s="198"/>
      <c r="CQ306" s="198"/>
      <c r="CR306" s="198"/>
      <c r="CS306" s="198"/>
      <c r="CT306" s="198"/>
      <c r="CU306" s="198"/>
      <c r="CV306" s="198"/>
      <c r="CW306" s="198"/>
      <c r="CX306" s="198"/>
      <c r="CY306" s="198"/>
      <c r="CZ306" s="198"/>
      <c r="DA306" s="198"/>
      <c r="DB306" s="198"/>
      <c r="DC306" s="198"/>
      <c r="DD306" s="198"/>
      <c r="DE306" s="198"/>
      <c r="DF306" s="198"/>
      <c r="DG306" s="198"/>
      <c r="DH306" s="198"/>
      <c r="DI306" s="198"/>
      <c r="DJ306" s="198"/>
      <c r="DK306" s="198"/>
      <c r="DL306" s="198"/>
      <c r="DM306" s="198"/>
      <c r="DN306" s="198"/>
      <c r="DO306" s="198"/>
      <c r="DP306" s="198"/>
      <c r="DQ306" s="198"/>
      <c r="DR306" s="198"/>
      <c r="DS306" s="198"/>
      <c r="DT306" s="198"/>
    </row>
    <row r="307" spans="1:124" s="172" customFormat="1" ht="15" outlineLevel="1" x14ac:dyDescent="0.25">
      <c r="A307" s="212"/>
      <c r="B307" s="213" t="str">
        <f>Services!B307</f>
        <v>12C</v>
      </c>
      <c r="C307" s="214" t="str">
        <f>Services!C307</f>
        <v>Continuité de fonctionnement</v>
      </c>
      <c r="D307" s="210" t="str">
        <f t="shared" si="4"/>
        <v/>
      </c>
      <c r="E307" s="1378"/>
      <c r="F307" s="1378"/>
      <c r="G307" s="1378"/>
      <c r="H307" s="1378"/>
      <c r="I307" s="1378"/>
      <c r="J307" s="1378"/>
      <c r="K307" s="1378"/>
      <c r="L307" s="1378"/>
      <c r="M307" s="1378"/>
      <c r="N307" s="1378"/>
      <c r="O307" s="1378"/>
      <c r="P307" s="1378"/>
      <c r="Q307" s="1378"/>
      <c r="R307" s="1378"/>
      <c r="S307" s="1378"/>
      <c r="T307" s="1378"/>
      <c r="U307" s="1378"/>
      <c r="V307" s="1378"/>
      <c r="W307" s="1378"/>
      <c r="X307" s="1378"/>
      <c r="Y307" s="1378"/>
      <c r="Z307" s="1378"/>
      <c r="AA307" s="1378"/>
      <c r="AB307" s="1378"/>
      <c r="AC307" s="1378"/>
      <c r="AD307" s="1378"/>
      <c r="AE307" s="1378"/>
      <c r="AF307" s="1378"/>
      <c r="AG307" s="1378"/>
      <c r="AH307" s="1378"/>
      <c r="AI307" s="1378"/>
      <c r="AJ307" s="1378"/>
      <c r="AK307" s="1378"/>
      <c r="AL307" s="1378"/>
      <c r="AM307" s="1378"/>
      <c r="AN307" s="1378"/>
      <c r="AO307" s="1378"/>
      <c r="AP307" s="1378"/>
      <c r="AQ307" s="1378"/>
      <c r="AR307" s="1378"/>
      <c r="AS307" s="1378"/>
      <c r="AT307" s="1378"/>
      <c r="AU307" s="1378"/>
      <c r="AV307" s="1378"/>
      <c r="AW307" s="1378"/>
      <c r="AX307" s="1378"/>
      <c r="AY307" s="1378"/>
      <c r="AZ307" s="1378"/>
      <c r="BA307" s="1378"/>
      <c r="BB307" s="1378"/>
      <c r="BC307" s="1378"/>
      <c r="BD307"/>
      <c r="BE307" s="198"/>
      <c r="BF307" s="198"/>
      <c r="BG307" s="198"/>
      <c r="BH307" s="198"/>
      <c r="BI307" s="198"/>
      <c r="BJ307" s="198"/>
      <c r="BK307" s="198"/>
      <c r="BL307" s="198"/>
      <c r="BM307" s="198"/>
      <c r="BN307" s="198"/>
      <c r="BO307" s="198"/>
      <c r="BP307" s="198"/>
      <c r="BQ307" s="198"/>
      <c r="BR307" s="198"/>
      <c r="BS307" s="198"/>
      <c r="BT307" s="198"/>
      <c r="BU307" s="198"/>
      <c r="BV307" s="198"/>
      <c r="BW307" s="198"/>
      <c r="BX307" s="198"/>
      <c r="BY307" s="198"/>
      <c r="BZ307" s="198"/>
      <c r="CA307" s="198"/>
      <c r="CB307" s="198"/>
      <c r="CC307" s="198"/>
      <c r="CD307" s="198"/>
      <c r="CE307" s="198"/>
      <c r="CF307" s="198"/>
      <c r="CG307" s="198"/>
      <c r="CH307" s="198"/>
      <c r="CI307" s="198"/>
      <c r="CJ307" s="198"/>
      <c r="CK307" s="198"/>
      <c r="CL307" s="198"/>
      <c r="CM307" s="198"/>
      <c r="CN307" s="198"/>
      <c r="CO307" s="198"/>
      <c r="CP307" s="198"/>
      <c r="CQ307" s="198"/>
      <c r="CR307" s="198"/>
      <c r="CS307" s="198"/>
      <c r="CT307" s="198"/>
      <c r="CU307" s="198"/>
      <c r="CV307" s="198"/>
      <c r="CW307" s="198"/>
      <c r="CX307" s="198"/>
      <c r="CY307" s="198"/>
      <c r="CZ307" s="198"/>
      <c r="DA307" s="198"/>
      <c r="DB307" s="198"/>
      <c r="DC307" s="198"/>
      <c r="DD307" s="198"/>
      <c r="DE307" s="198"/>
      <c r="DF307" s="198"/>
      <c r="DG307" s="198"/>
      <c r="DH307" s="198"/>
      <c r="DI307" s="198"/>
      <c r="DJ307" s="198"/>
      <c r="DK307" s="198"/>
      <c r="DL307" s="198"/>
      <c r="DM307" s="198"/>
      <c r="DN307" s="198"/>
      <c r="DO307" s="198"/>
      <c r="DP307" s="198"/>
      <c r="DQ307" s="198"/>
      <c r="DR307" s="198"/>
      <c r="DS307" s="198"/>
      <c r="DT307" s="198"/>
    </row>
    <row r="308" spans="1:124" s="172" customFormat="1" ht="15" outlineLevel="1" x14ac:dyDescent="0.25">
      <c r="A308" s="212"/>
      <c r="B308" s="218" t="str">
        <f>Services!B308</f>
        <v>12C01</v>
      </c>
      <c r="C308" s="216" t="str">
        <f>Services!C308</f>
        <v>Organisation de la maintenance des équipements</v>
      </c>
      <c r="D308" s="210" t="str">
        <f t="shared" si="4"/>
        <v/>
      </c>
      <c r="E308" s="1378"/>
      <c r="F308" s="1378"/>
      <c r="G308" s="1378"/>
      <c r="H308" s="1378"/>
      <c r="I308" s="1378"/>
      <c r="J308" s="1378"/>
      <c r="K308" s="1378"/>
      <c r="L308" s="1378"/>
      <c r="M308" s="1378"/>
      <c r="N308" s="1378"/>
      <c r="O308" s="1378"/>
      <c r="P308" s="1378"/>
      <c r="Q308" s="1378"/>
      <c r="R308" s="1378"/>
      <c r="S308" s="1378"/>
      <c r="T308" s="1378"/>
      <c r="U308" s="1378"/>
      <c r="V308" s="1378"/>
      <c r="W308" s="1378"/>
      <c r="X308" s="1378"/>
      <c r="Y308" s="1378"/>
      <c r="Z308" s="1378"/>
      <c r="AA308" s="1378"/>
      <c r="AB308" s="1378"/>
      <c r="AC308" s="1378"/>
      <c r="AD308" s="1378"/>
      <c r="AE308" s="1378"/>
      <c r="AF308" s="1378"/>
      <c r="AG308" s="1378"/>
      <c r="AH308" s="1378">
        <f>IF(INDEX(Tab_actions,198,1)=1,INDEX(Tab_actions,198,10),0)</f>
        <v>0</v>
      </c>
      <c r="AI308" s="1378"/>
      <c r="AJ308" s="1378"/>
      <c r="AK308" s="1378"/>
      <c r="AL308" s="1378"/>
      <c r="AM308" s="1378"/>
      <c r="AN308" s="1378"/>
      <c r="AO308" s="1378"/>
      <c r="AP308" s="1378"/>
      <c r="AQ308" s="1378"/>
      <c r="AR308" s="1378"/>
      <c r="AS308" s="1378"/>
      <c r="AT308" s="1378"/>
      <c r="AU308" s="1378"/>
      <c r="AV308" s="1378"/>
      <c r="AW308" s="1378"/>
      <c r="AX308" s="1378"/>
      <c r="AY308" s="1378"/>
      <c r="AZ308" s="1378"/>
      <c r="BA308" s="1378"/>
      <c r="BB308" s="1378"/>
      <c r="BC308" s="1378"/>
      <c r="BD308"/>
      <c r="BE308" s="198"/>
      <c r="BF308" s="198"/>
      <c r="BG308" s="198"/>
      <c r="BH308" s="198"/>
      <c r="BI308" s="198"/>
      <c r="BJ308" s="198"/>
      <c r="BK308" s="198"/>
      <c r="BL308" s="198"/>
      <c r="BM308" s="198"/>
      <c r="BN308" s="198"/>
      <c r="BO308" s="198"/>
      <c r="BP308" s="198"/>
      <c r="BQ308" s="198"/>
      <c r="BR308" s="198"/>
      <c r="BS308" s="198"/>
      <c r="BT308" s="198"/>
      <c r="BU308" s="198"/>
      <c r="BV308" s="198"/>
      <c r="BW308" s="198"/>
      <c r="BX308" s="198"/>
      <c r="BY308" s="198"/>
      <c r="BZ308" s="198"/>
      <c r="CA308" s="198"/>
      <c r="CB308" s="198"/>
      <c r="CC308" s="198"/>
      <c r="CD308" s="198"/>
      <c r="CE308" s="198"/>
      <c r="CF308" s="198"/>
      <c r="CG308" s="198"/>
      <c r="CH308" s="198"/>
      <c r="CI308" s="198"/>
      <c r="CJ308" s="198"/>
      <c r="CK308" s="198"/>
      <c r="CL308" s="198"/>
      <c r="CM308" s="198"/>
      <c r="CN308" s="198"/>
      <c r="CO308" s="198"/>
      <c r="CP308" s="198"/>
      <c r="CQ308" s="198"/>
      <c r="CR308" s="198"/>
      <c r="CS308" s="198"/>
      <c r="CT308" s="198"/>
      <c r="CU308" s="198"/>
      <c r="CV308" s="198"/>
      <c r="CW308" s="198"/>
      <c r="CX308" s="198"/>
      <c r="CY308" s="198"/>
      <c r="CZ308" s="198"/>
      <c r="DA308" s="198"/>
      <c r="DB308" s="198"/>
      <c r="DC308" s="198"/>
      <c r="DD308" s="198"/>
      <c r="DE308" s="198"/>
      <c r="DF308" s="198"/>
      <c r="DG308" s="198"/>
      <c r="DH308" s="198"/>
      <c r="DI308" s="198"/>
      <c r="DJ308" s="198"/>
      <c r="DK308" s="198"/>
      <c r="DL308" s="198"/>
      <c r="DM308" s="198"/>
      <c r="DN308" s="198"/>
      <c r="DO308" s="198"/>
      <c r="DP308" s="198"/>
      <c r="DQ308" s="198"/>
      <c r="DR308" s="198"/>
      <c r="DS308" s="198"/>
      <c r="DT308" s="198"/>
    </row>
    <row r="309" spans="1:124" s="172" customFormat="1" ht="15.75" customHeight="1" outlineLevel="1" x14ac:dyDescent="0.25">
      <c r="A309" s="212"/>
      <c r="B309" s="218" t="str">
        <f>Services!B309</f>
        <v>12C02</v>
      </c>
      <c r="C309" s="216" t="str">
        <f>Services!C309</f>
        <v>Organisation de la maintenance du logiciel (système et services attachés)</v>
      </c>
      <c r="D309" s="210" t="str">
        <f t="shared" si="4"/>
        <v/>
      </c>
      <c r="E309" s="1378"/>
      <c r="F309" s="1378"/>
      <c r="G309" s="1378"/>
      <c r="H309" s="1378"/>
      <c r="I309" s="1378"/>
      <c r="J309" s="1378"/>
      <c r="K309" s="1378"/>
      <c r="L309" s="1378"/>
      <c r="M309" s="1378"/>
      <c r="N309" s="1378"/>
      <c r="O309" s="1378"/>
      <c r="P309" s="1378"/>
      <c r="Q309" s="1378"/>
      <c r="R309" s="1378"/>
      <c r="S309" s="1378"/>
      <c r="T309" s="1378"/>
      <c r="U309" s="1378"/>
      <c r="V309" s="1378"/>
      <c r="W309" s="1378"/>
      <c r="X309" s="1378"/>
      <c r="Y309" s="1378"/>
      <c r="Z309" s="1378"/>
      <c r="AA309" s="1378"/>
      <c r="AB309" s="1378"/>
      <c r="AC309" s="1378"/>
      <c r="AD309" s="1378"/>
      <c r="AE309" s="1378"/>
      <c r="AF309" s="1378"/>
      <c r="AG309" s="1378"/>
      <c r="AH309" s="1378"/>
      <c r="AI309" s="1378"/>
      <c r="AJ309" s="1378"/>
      <c r="AK309" s="1378"/>
      <c r="AL309" s="1378"/>
      <c r="AM309" s="1378"/>
      <c r="AN309" s="1378"/>
      <c r="AO309" s="1378"/>
      <c r="AP309" s="1378"/>
      <c r="AQ309" s="1378"/>
      <c r="AR309" s="1378"/>
      <c r="AS309" s="1378"/>
      <c r="AT309" s="1378"/>
      <c r="AU309" s="1378"/>
      <c r="AV309" s="1378"/>
      <c r="AW309" s="1378"/>
      <c r="AX309" s="1378"/>
      <c r="AY309" s="1378"/>
      <c r="AZ309" s="1378"/>
      <c r="BA309" s="1378"/>
      <c r="BB309" s="1378"/>
      <c r="BC309" s="1378"/>
      <c r="BD309"/>
      <c r="BE309" s="198"/>
      <c r="BF309" s="198"/>
      <c r="BG309" s="198"/>
      <c r="BH309" s="198"/>
      <c r="BI309" s="198"/>
      <c r="BJ309" s="198"/>
      <c r="BK309" s="198"/>
      <c r="BL309" s="198"/>
      <c r="BM309" s="198"/>
      <c r="BN309" s="198"/>
      <c r="BO309" s="198"/>
      <c r="BP309" s="198"/>
      <c r="BQ309" s="198"/>
      <c r="BR309" s="198"/>
      <c r="BS309" s="198"/>
      <c r="BT309" s="198"/>
      <c r="BU309" s="198"/>
      <c r="BV309" s="198"/>
      <c r="BW309" s="198"/>
      <c r="BX309" s="198"/>
      <c r="BY309" s="198"/>
      <c r="BZ309" s="198"/>
      <c r="CA309" s="198"/>
      <c r="CB309" s="198"/>
      <c r="CC309" s="198"/>
      <c r="CD309" s="198"/>
      <c r="CE309" s="198"/>
      <c r="CF309" s="198"/>
      <c r="CG309" s="198"/>
      <c r="CH309" s="198"/>
      <c r="CI309" s="198"/>
      <c r="CJ309" s="198"/>
      <c r="CK309" s="198"/>
      <c r="CL309" s="198"/>
      <c r="CM309" s="198"/>
      <c r="CN309" s="198"/>
      <c r="CO309" s="198"/>
      <c r="CP309" s="198"/>
      <c r="CQ309" s="198"/>
      <c r="CR309" s="198"/>
      <c r="CS309" s="198"/>
      <c r="CT309" s="198"/>
      <c r="CU309" s="198"/>
      <c r="CV309" s="198"/>
      <c r="CW309" s="198"/>
      <c r="CX309" s="198"/>
      <c r="CY309" s="198"/>
      <c r="CZ309" s="198"/>
      <c r="DA309" s="198"/>
      <c r="DB309" s="198"/>
      <c r="DC309" s="198"/>
      <c r="DD309" s="198"/>
      <c r="DE309" s="198"/>
      <c r="DF309" s="198"/>
      <c r="DG309" s="198"/>
      <c r="DH309" s="198"/>
      <c r="DI309" s="198"/>
      <c r="DJ309" s="198"/>
      <c r="DK309" s="198"/>
      <c r="DL309" s="198"/>
      <c r="DM309" s="198"/>
      <c r="DN309" s="198"/>
      <c r="DO309" s="198"/>
      <c r="DP309" s="198"/>
      <c r="DQ309" s="198"/>
      <c r="DR309" s="198"/>
      <c r="DS309" s="198"/>
      <c r="DT309" s="198"/>
    </row>
    <row r="310" spans="1:124" s="172" customFormat="1" ht="25.5" outlineLevel="1" x14ac:dyDescent="0.25">
      <c r="A310" s="212"/>
      <c r="B310" s="218" t="str">
        <f>Services!B310</f>
        <v>12C03</v>
      </c>
      <c r="C310" s="216" t="str">
        <f>Services!C310</f>
        <v>Sauvegarde des configurations logicielles (logiciels de base, de services et/ou paramètres de configuration)</v>
      </c>
      <c r="D310" s="210" t="str">
        <f t="shared" si="4"/>
        <v/>
      </c>
      <c r="E310" s="1378"/>
      <c r="F310" s="1378"/>
      <c r="G310" s="1378"/>
      <c r="H310" s="1378"/>
      <c r="I310" s="1378"/>
      <c r="J310" s="1378"/>
      <c r="K310" s="1378"/>
      <c r="L310" s="1378"/>
      <c r="M310" s="1378"/>
      <c r="N310" s="1378"/>
      <c r="O310" s="1378"/>
      <c r="P310" s="1378"/>
      <c r="Q310" s="1378"/>
      <c r="R310" s="1378"/>
      <c r="S310" s="1378"/>
      <c r="T310" s="1378"/>
      <c r="U310" s="1378"/>
      <c r="V310" s="1378"/>
      <c r="W310" s="1378"/>
      <c r="X310" s="1378"/>
      <c r="Y310" s="1378"/>
      <c r="Z310" s="1378"/>
      <c r="AA310" s="1378"/>
      <c r="AB310" s="1378"/>
      <c r="AC310" s="1378"/>
      <c r="AD310" s="1378"/>
      <c r="AE310" s="1378"/>
      <c r="AF310" s="1378"/>
      <c r="AG310" s="1378"/>
      <c r="AH310" s="1378">
        <f>IF(INDEX(Tab_actions,198,1)=1,INDEX(Tab_actions,198,13),0)</f>
        <v>0</v>
      </c>
      <c r="AI310" s="1378"/>
      <c r="AJ310" s="1378"/>
      <c r="AK310" s="1378"/>
      <c r="AL310" s="1378"/>
      <c r="AM310" s="1378"/>
      <c r="AN310" s="1378"/>
      <c r="AO310" s="1378"/>
      <c r="AP310" s="1378"/>
      <c r="AQ310" s="1378"/>
      <c r="AR310" s="1378"/>
      <c r="AS310" s="1378"/>
      <c r="AT310" s="1378"/>
      <c r="AU310" s="1378"/>
      <c r="AV310" s="1378"/>
      <c r="AW310" s="1378"/>
      <c r="AX310" s="1378"/>
      <c r="AY310" s="1378"/>
      <c r="AZ310" s="1378"/>
      <c r="BA310" s="1378"/>
      <c r="BB310" s="1378"/>
      <c r="BC310" s="1378"/>
      <c r="BD310"/>
      <c r="BE310" s="198"/>
      <c r="BF310" s="198"/>
      <c r="BG310" s="198"/>
      <c r="BH310" s="198"/>
      <c r="BI310" s="198"/>
      <c r="BJ310" s="198"/>
      <c r="BK310" s="198"/>
      <c r="BL310" s="198"/>
      <c r="BM310" s="198"/>
      <c r="BN310" s="198"/>
      <c r="BO310" s="198"/>
      <c r="BP310" s="198"/>
      <c r="BQ310" s="198"/>
      <c r="BR310" s="198"/>
      <c r="BS310" s="198"/>
      <c r="BT310" s="198"/>
      <c r="BU310" s="198"/>
      <c r="BV310" s="198"/>
      <c r="BW310" s="198"/>
      <c r="BX310" s="198"/>
      <c r="BY310" s="198"/>
      <c r="BZ310" s="198"/>
      <c r="CA310" s="198"/>
      <c r="CB310" s="198"/>
      <c r="CC310" s="198"/>
      <c r="CD310" s="198"/>
      <c r="CE310" s="198"/>
      <c r="CF310" s="198"/>
      <c r="CG310" s="198"/>
      <c r="CH310" s="198"/>
      <c r="CI310" s="198"/>
      <c r="CJ310" s="198"/>
      <c r="CK310" s="198"/>
      <c r="CL310" s="198"/>
      <c r="CM310" s="198"/>
      <c r="CN310" s="198"/>
      <c r="CO310" s="198"/>
      <c r="CP310" s="198"/>
      <c r="CQ310" s="198"/>
      <c r="CR310" s="198"/>
      <c r="CS310" s="198"/>
      <c r="CT310" s="198"/>
      <c r="CU310" s="198"/>
      <c r="CV310" s="198"/>
      <c r="CW310" s="198"/>
      <c r="CX310" s="198"/>
      <c r="CY310" s="198"/>
      <c r="CZ310" s="198"/>
      <c r="DA310" s="198"/>
      <c r="DB310" s="198"/>
      <c r="DC310" s="198"/>
      <c r="DD310" s="198"/>
      <c r="DE310" s="198"/>
      <c r="DF310" s="198"/>
      <c r="DG310" s="198"/>
      <c r="DH310" s="198"/>
      <c r="DI310" s="198"/>
      <c r="DJ310" s="198"/>
      <c r="DK310" s="198"/>
      <c r="DL310" s="198"/>
      <c r="DM310" s="198"/>
      <c r="DN310" s="198"/>
      <c r="DO310" s="198"/>
      <c r="DP310" s="198"/>
      <c r="DQ310" s="198"/>
      <c r="DR310" s="198"/>
      <c r="DS310" s="198"/>
      <c r="DT310" s="198"/>
    </row>
    <row r="311" spans="1:124" s="172" customFormat="1" ht="15" outlineLevel="1" x14ac:dyDescent="0.25">
      <c r="A311" s="212"/>
      <c r="B311" s="218" t="str">
        <f>Services!B311</f>
        <v>12C04</v>
      </c>
      <c r="C311" s="216" t="str">
        <f>Services!C311</f>
        <v>Plans de Reprise d'Activité</v>
      </c>
      <c r="D311" s="210" t="str">
        <f t="shared" si="4"/>
        <v/>
      </c>
      <c r="E311" s="1378"/>
      <c r="F311" s="1378"/>
      <c r="G311" s="1378"/>
      <c r="H311" s="1378"/>
      <c r="I311" s="1378"/>
      <c r="J311" s="1378"/>
      <c r="K311" s="1378"/>
      <c r="L311" s="1378"/>
      <c r="M311" s="1378"/>
      <c r="N311" s="1378"/>
      <c r="O311" s="1378"/>
      <c r="P311" s="1378"/>
      <c r="Q311" s="1378"/>
      <c r="R311" s="1378"/>
      <c r="S311" s="1378"/>
      <c r="T311" s="1378"/>
      <c r="U311" s="1378"/>
      <c r="V311" s="1378"/>
      <c r="W311" s="1378"/>
      <c r="X311" s="1378"/>
      <c r="Y311" s="1378"/>
      <c r="Z311" s="1378"/>
      <c r="AA311" s="1378"/>
      <c r="AB311" s="1378"/>
      <c r="AC311" s="1378"/>
      <c r="AD311" s="1378"/>
      <c r="AE311" s="1378"/>
      <c r="AF311" s="1378"/>
      <c r="AG311" s="1378"/>
      <c r="AH311" s="1378">
        <f>IF(INDEX(Tab_actions,198,1)=1,INDEX(Tab_actions,198,16),0)</f>
        <v>0</v>
      </c>
      <c r="AI311" s="1378"/>
      <c r="AJ311" s="1378"/>
      <c r="AK311" s="1378"/>
      <c r="AL311" s="1378"/>
      <c r="AM311" s="1378"/>
      <c r="AN311" s="1378"/>
      <c r="AO311" s="1378"/>
      <c r="AP311" s="1378"/>
      <c r="AQ311" s="1378"/>
      <c r="AR311" s="1378"/>
      <c r="AS311" s="1378"/>
      <c r="AT311" s="1378"/>
      <c r="AU311" s="1378"/>
      <c r="AV311" s="1378"/>
      <c r="AW311" s="1378"/>
      <c r="AX311" s="1378"/>
      <c r="AY311" s="1378"/>
      <c r="AZ311" s="1378"/>
      <c r="BA311" s="1378"/>
      <c r="BB311" s="1378"/>
      <c r="BC311" s="1378"/>
      <c r="BD311"/>
      <c r="BE311" s="198"/>
      <c r="BF311" s="198"/>
      <c r="BG311" s="198"/>
      <c r="BH311" s="198"/>
      <c r="BI311" s="198"/>
      <c r="BJ311" s="198"/>
      <c r="BK311" s="198"/>
      <c r="BL311" s="198"/>
      <c r="BM311" s="198"/>
      <c r="BN311" s="198"/>
      <c r="BO311" s="198"/>
      <c r="BP311" s="198"/>
      <c r="BQ311" s="198"/>
      <c r="BR311" s="198"/>
      <c r="BS311" s="198"/>
      <c r="BT311" s="198"/>
      <c r="BU311" s="198"/>
      <c r="BV311" s="198"/>
      <c r="BW311" s="198"/>
      <c r="BX311" s="198"/>
      <c r="BY311" s="198"/>
      <c r="BZ311" s="198"/>
      <c r="CA311" s="198"/>
      <c r="CB311" s="198"/>
      <c r="CC311" s="198"/>
      <c r="CD311" s="198"/>
      <c r="CE311" s="198"/>
      <c r="CF311" s="198"/>
      <c r="CG311" s="198"/>
      <c r="CH311" s="198"/>
      <c r="CI311" s="198"/>
      <c r="CJ311" s="198"/>
      <c r="CK311" s="198"/>
      <c r="CL311" s="198"/>
      <c r="CM311" s="198"/>
      <c r="CN311" s="198"/>
      <c r="CO311" s="198"/>
      <c r="CP311" s="198"/>
      <c r="CQ311" s="198"/>
      <c r="CR311" s="198"/>
      <c r="CS311" s="198"/>
      <c r="CT311" s="198"/>
      <c r="CU311" s="198"/>
      <c r="CV311" s="198"/>
      <c r="CW311" s="198"/>
      <c r="CX311" s="198"/>
      <c r="CY311" s="198"/>
      <c r="CZ311" s="198"/>
      <c r="DA311" s="198"/>
      <c r="DB311" s="198"/>
      <c r="DC311" s="198"/>
      <c r="DD311" s="198"/>
      <c r="DE311" s="198"/>
      <c r="DF311" s="198"/>
      <c r="DG311" s="198"/>
      <c r="DH311" s="198"/>
      <c r="DI311" s="198"/>
      <c r="DJ311" s="198"/>
      <c r="DK311" s="198"/>
      <c r="DL311" s="198"/>
      <c r="DM311" s="198"/>
      <c r="DN311" s="198"/>
      <c r="DO311" s="198"/>
      <c r="DP311" s="198"/>
      <c r="DQ311" s="198"/>
      <c r="DR311" s="198"/>
      <c r="DS311" s="198"/>
      <c r="DT311" s="198"/>
    </row>
    <row r="312" spans="1:124" s="172" customFormat="1" ht="15.75" customHeight="1" outlineLevel="1" x14ac:dyDescent="0.25">
      <c r="A312" s="212"/>
      <c r="B312" s="218" t="str">
        <f>Services!B312</f>
        <v>12C05</v>
      </c>
      <c r="C312" s="216" t="str">
        <f>Services!C312</f>
        <v>Gestion des systèmes critiques (vis-à-vis de la permanence de la maintenance)</v>
      </c>
      <c r="D312" s="210" t="str">
        <f t="shared" si="4"/>
        <v/>
      </c>
      <c r="E312" s="1378"/>
      <c r="F312" s="1378"/>
      <c r="G312" s="1378"/>
      <c r="H312" s="1378"/>
      <c r="I312" s="1378"/>
      <c r="J312" s="1378"/>
      <c r="K312" s="1378"/>
      <c r="L312" s="1378"/>
      <c r="M312" s="1378"/>
      <c r="N312" s="1378"/>
      <c r="O312" s="1378"/>
      <c r="P312" s="1378"/>
      <c r="Q312" s="1378"/>
      <c r="R312" s="1378"/>
      <c r="S312" s="1378"/>
      <c r="T312" s="1378"/>
      <c r="U312" s="1378"/>
      <c r="V312" s="1378"/>
      <c r="W312" s="1378"/>
      <c r="X312" s="1378"/>
      <c r="Y312" s="1378"/>
      <c r="Z312" s="1378"/>
      <c r="AA312" s="1378"/>
      <c r="AB312" s="1378"/>
      <c r="AC312" s="1378"/>
      <c r="AD312" s="1378"/>
      <c r="AE312" s="1378"/>
      <c r="AF312" s="1378"/>
      <c r="AG312" s="1378"/>
      <c r="AH312" s="1378">
        <f>IF(INDEX(Tab_actions,198,1)=1,INDEX(Tab_actions,198,19),0)</f>
        <v>0</v>
      </c>
      <c r="AI312" s="1378"/>
      <c r="AJ312" s="1378"/>
      <c r="AK312" s="1378"/>
      <c r="AL312" s="1378"/>
      <c r="AM312" s="1378"/>
      <c r="AN312" s="1378"/>
      <c r="AO312" s="1378"/>
      <c r="AP312" s="1378"/>
      <c r="AQ312" s="1378"/>
      <c r="AR312" s="1378"/>
      <c r="AS312" s="1378"/>
      <c r="AT312" s="1378"/>
      <c r="AU312" s="1378"/>
      <c r="AV312" s="1378"/>
      <c r="AW312" s="1378"/>
      <c r="AX312" s="1378"/>
      <c r="AY312" s="1378"/>
      <c r="AZ312" s="1378"/>
      <c r="BA312" s="1378"/>
      <c r="BB312" s="1378"/>
      <c r="BC312" s="1378"/>
      <c r="BD312"/>
      <c r="BE312" s="198"/>
      <c r="BF312" s="198"/>
      <c r="BG312" s="198"/>
      <c r="BH312" s="198"/>
      <c r="BI312" s="198"/>
      <c r="BJ312" s="198"/>
      <c r="BK312" s="198"/>
      <c r="BL312" s="198"/>
      <c r="BM312" s="198"/>
      <c r="BN312" s="198"/>
      <c r="BO312" s="198"/>
      <c r="BP312" s="198"/>
      <c r="BQ312" s="198"/>
      <c r="BR312" s="198"/>
      <c r="BS312" s="198"/>
      <c r="BT312" s="198"/>
      <c r="BU312" s="198"/>
      <c r="BV312" s="198"/>
      <c r="BW312" s="198"/>
      <c r="BX312" s="198"/>
      <c r="BY312" s="198"/>
      <c r="BZ312" s="198"/>
      <c r="CA312" s="198"/>
      <c r="CB312" s="198"/>
      <c r="CC312" s="198"/>
      <c r="CD312" s="198"/>
      <c r="CE312" s="198"/>
      <c r="CF312" s="198"/>
      <c r="CG312" s="198"/>
      <c r="CH312" s="198"/>
      <c r="CI312" s="198"/>
      <c r="CJ312" s="198"/>
      <c r="CK312" s="198"/>
      <c r="CL312" s="198"/>
      <c r="CM312" s="198"/>
      <c r="CN312" s="198"/>
      <c r="CO312" s="198"/>
      <c r="CP312" s="198"/>
      <c r="CQ312" s="198"/>
      <c r="CR312" s="198"/>
      <c r="CS312" s="198"/>
      <c r="CT312" s="198"/>
      <c r="CU312" s="198"/>
      <c r="CV312" s="198"/>
      <c r="CW312" s="198"/>
      <c r="CX312" s="198"/>
      <c r="CY312" s="198"/>
      <c r="CZ312" s="198"/>
      <c r="DA312" s="198"/>
      <c r="DB312" s="198"/>
      <c r="DC312" s="198"/>
      <c r="DD312" s="198"/>
      <c r="DE312" s="198"/>
      <c r="DF312" s="198"/>
      <c r="DG312" s="198"/>
      <c r="DH312" s="198"/>
      <c r="DI312" s="198"/>
      <c r="DJ312" s="198"/>
      <c r="DK312" s="198"/>
      <c r="DL312" s="198"/>
      <c r="DM312" s="198"/>
      <c r="DN312" s="198"/>
      <c r="DO312" s="198"/>
      <c r="DP312" s="198"/>
      <c r="DQ312" s="198"/>
      <c r="DR312" s="198"/>
      <c r="DS312" s="198"/>
      <c r="DT312" s="198"/>
    </row>
    <row r="313" spans="1:124" s="172" customFormat="1" ht="14.25" outlineLevel="1" x14ac:dyDescent="0.25">
      <c r="A313" s="217"/>
      <c r="B313" s="213" t="str">
        <f>Services!B313</f>
        <v>12D</v>
      </c>
      <c r="C313" s="214" t="str">
        <f>Services!C313</f>
        <v>Utilisation des équipements terminaux</v>
      </c>
      <c r="D313" s="210" t="str">
        <f t="shared" si="4"/>
        <v/>
      </c>
      <c r="E313" s="1378"/>
      <c r="F313" s="1378"/>
      <c r="G313" s="1378"/>
      <c r="H313" s="1378"/>
      <c r="I313" s="1378"/>
      <c r="J313" s="1378"/>
      <c r="K313" s="1378"/>
      <c r="L313" s="1378"/>
      <c r="M313" s="1378"/>
      <c r="N313" s="1378"/>
      <c r="O313" s="1378"/>
      <c r="P313" s="1378"/>
      <c r="Q313" s="1378"/>
      <c r="R313" s="1378"/>
      <c r="S313" s="1378"/>
      <c r="T313" s="1378"/>
      <c r="U313" s="1378"/>
      <c r="V313" s="1378"/>
      <c r="W313" s="1378"/>
      <c r="X313" s="1378"/>
      <c r="Y313" s="1378"/>
      <c r="Z313" s="1378"/>
      <c r="AA313" s="1378"/>
      <c r="AB313" s="1378"/>
      <c r="AC313" s="1378"/>
      <c r="AD313" s="1378"/>
      <c r="AE313" s="1378"/>
      <c r="AF313" s="1378"/>
      <c r="AG313" s="1378"/>
      <c r="AH313" s="1378"/>
      <c r="AI313" s="1378"/>
      <c r="AJ313" s="1378"/>
      <c r="AK313" s="1378"/>
      <c r="AL313" s="1378"/>
      <c r="AM313" s="1378"/>
      <c r="AN313" s="1378"/>
      <c r="AO313" s="1378"/>
      <c r="AP313" s="1378"/>
      <c r="AQ313" s="1378"/>
      <c r="AR313" s="1378"/>
      <c r="AS313" s="1378"/>
      <c r="AT313" s="1378"/>
      <c r="AU313" s="1378"/>
      <c r="AV313" s="1378"/>
      <c r="AW313" s="1378"/>
      <c r="AX313" s="1378"/>
      <c r="AY313" s="1378"/>
      <c r="AZ313" s="1378"/>
      <c r="BA313" s="1378"/>
      <c r="BB313" s="1378"/>
      <c r="BC313" s="1378"/>
      <c r="BD313"/>
      <c r="BE313" s="198"/>
      <c r="BF313" s="198"/>
      <c r="BG313" s="198"/>
      <c r="BH313" s="198"/>
      <c r="BI313" s="198"/>
      <c r="BJ313" s="198"/>
      <c r="BK313" s="198"/>
      <c r="BL313" s="198"/>
      <c r="BM313" s="198"/>
      <c r="BN313" s="198"/>
      <c r="BO313" s="198"/>
      <c r="BP313" s="198"/>
      <c r="BQ313" s="198"/>
      <c r="BR313" s="198"/>
      <c r="BS313" s="198"/>
      <c r="BT313" s="198"/>
      <c r="BU313" s="198"/>
      <c r="BV313" s="198"/>
      <c r="BW313" s="198"/>
      <c r="BX313" s="198"/>
      <c r="BY313" s="198"/>
      <c r="BZ313" s="198"/>
      <c r="CA313" s="198"/>
      <c r="CB313" s="198"/>
      <c r="CC313" s="198"/>
      <c r="CD313" s="198"/>
      <c r="CE313" s="198"/>
      <c r="CF313" s="198"/>
      <c r="CG313" s="198"/>
      <c r="CH313" s="198"/>
      <c r="CI313" s="198"/>
      <c r="CJ313" s="198"/>
      <c r="CK313" s="198"/>
      <c r="CL313" s="198"/>
      <c r="CM313" s="198"/>
      <c r="CN313" s="198"/>
      <c r="CO313" s="198"/>
      <c r="CP313" s="198"/>
      <c r="CQ313" s="198"/>
      <c r="CR313" s="198"/>
      <c r="CS313" s="198"/>
      <c r="CT313" s="198"/>
      <c r="CU313" s="198"/>
      <c r="CV313" s="198"/>
      <c r="CW313" s="198"/>
      <c r="CX313" s="198"/>
      <c r="CY313" s="198"/>
      <c r="CZ313" s="198"/>
      <c r="DA313" s="198"/>
      <c r="DB313" s="198"/>
      <c r="DC313" s="198"/>
      <c r="DD313" s="198"/>
      <c r="DE313" s="198"/>
      <c r="DF313" s="198"/>
      <c r="DG313" s="198"/>
      <c r="DH313" s="198"/>
      <c r="DI313" s="198"/>
      <c r="DJ313" s="198"/>
      <c r="DK313" s="198"/>
      <c r="DL313" s="198"/>
      <c r="DM313" s="198"/>
      <c r="DN313" s="198"/>
      <c r="DO313" s="198"/>
      <c r="DP313" s="198"/>
      <c r="DQ313" s="198"/>
      <c r="DR313" s="198"/>
      <c r="DS313" s="198"/>
      <c r="DT313" s="198"/>
    </row>
    <row r="314" spans="1:124" s="172" customFormat="1" ht="14.25" outlineLevel="1" x14ac:dyDescent="0.25">
      <c r="A314" s="217"/>
      <c r="B314" s="218" t="str">
        <f>Services!B314</f>
        <v>12D01</v>
      </c>
      <c r="C314" s="216" t="str">
        <f>Services!C314</f>
        <v xml:space="preserve">Contrôle des configurations utilisateurs mises en œuvre </v>
      </c>
      <c r="D314" s="210" t="str">
        <f t="shared" si="4"/>
        <v/>
      </c>
      <c r="E314" s="1378"/>
      <c r="F314" s="1378"/>
      <c r="G314" s="1378"/>
      <c r="H314" s="1378"/>
      <c r="I314" s="1378"/>
      <c r="J314" s="1378"/>
      <c r="K314" s="1378"/>
      <c r="L314" s="1378"/>
      <c r="M314" s="1378"/>
      <c r="N314" s="1378"/>
      <c r="O314" s="1378"/>
      <c r="P314" s="1378"/>
      <c r="Q314" s="1378"/>
      <c r="R314" s="1378"/>
      <c r="S314" s="1378"/>
      <c r="T314" s="1378"/>
      <c r="U314" s="1378"/>
      <c r="V314" s="1378"/>
      <c r="W314" s="1378"/>
      <c r="X314" s="1378"/>
      <c r="Y314" s="1378"/>
      <c r="Z314" s="1378"/>
      <c r="AA314" s="1378"/>
      <c r="AB314" s="1378"/>
      <c r="AC314" s="1378"/>
      <c r="AD314" s="1378"/>
      <c r="AE314" s="1378"/>
      <c r="AF314" s="1378"/>
      <c r="AG314" s="1378"/>
      <c r="AH314" s="1378"/>
      <c r="AI314" s="1378"/>
      <c r="AJ314" s="1378"/>
      <c r="AK314" s="1378"/>
      <c r="AL314" s="1378"/>
      <c r="AM314" s="1378"/>
      <c r="AN314" s="1378"/>
      <c r="AO314" s="1378"/>
      <c r="AP314" s="1378"/>
      <c r="AQ314" s="1378"/>
      <c r="AR314" s="1378"/>
      <c r="AS314" s="1378"/>
      <c r="AT314" s="1378"/>
      <c r="AU314" s="1378"/>
      <c r="AV314" s="1378"/>
      <c r="AW314" s="1378"/>
      <c r="AX314" s="1378"/>
      <c r="AY314" s="1378"/>
      <c r="AZ314" s="1378"/>
      <c r="BA314" s="1378"/>
      <c r="BB314" s="1378"/>
      <c r="BC314" s="1378"/>
      <c r="BD314"/>
      <c r="BE314" s="198"/>
      <c r="BF314" s="198"/>
      <c r="BG314" s="198"/>
      <c r="BH314" s="198"/>
      <c r="BI314" s="198"/>
      <c r="BJ314" s="198"/>
      <c r="BK314" s="198"/>
      <c r="BL314" s="198"/>
      <c r="BM314" s="198"/>
      <c r="BN314" s="198"/>
      <c r="BO314" s="198"/>
      <c r="BP314" s="198"/>
      <c r="BQ314" s="198"/>
      <c r="BR314" s="198"/>
      <c r="BS314" s="198"/>
      <c r="BT314" s="198"/>
      <c r="BU314" s="198"/>
      <c r="BV314" s="198"/>
      <c r="BW314" s="198"/>
      <c r="BX314" s="198"/>
      <c r="BY314" s="198"/>
      <c r="BZ314" s="198"/>
      <c r="CA314" s="198"/>
      <c r="CB314" s="198"/>
      <c r="CC314" s="198"/>
      <c r="CD314" s="198"/>
      <c r="CE314" s="198"/>
      <c r="CF314" s="198"/>
      <c r="CG314" s="198"/>
      <c r="CH314" s="198"/>
      <c r="CI314" s="198"/>
      <c r="CJ314" s="198"/>
      <c r="CK314" s="198"/>
      <c r="CL314" s="198"/>
      <c r="CM314" s="198"/>
      <c r="CN314" s="198"/>
      <c r="CO314" s="198"/>
      <c r="CP314" s="198"/>
      <c r="CQ314" s="198"/>
      <c r="CR314" s="198"/>
      <c r="CS314" s="198"/>
      <c r="CT314" s="198"/>
      <c r="CU314" s="198"/>
      <c r="CV314" s="198"/>
      <c r="CW314" s="198"/>
      <c r="CX314" s="198"/>
      <c r="CY314" s="198"/>
      <c r="CZ314" s="198"/>
      <c r="DA314" s="198"/>
      <c r="DB314" s="198"/>
      <c r="DC314" s="198"/>
      <c r="DD314" s="198"/>
      <c r="DE314" s="198"/>
      <c r="DF314" s="198"/>
      <c r="DG314" s="198"/>
      <c r="DH314" s="198"/>
      <c r="DI314" s="198"/>
      <c r="DJ314" s="198"/>
      <c r="DK314" s="198"/>
      <c r="DL314" s="198"/>
      <c r="DM314" s="198"/>
      <c r="DN314" s="198"/>
      <c r="DO314" s="198"/>
      <c r="DP314" s="198"/>
      <c r="DQ314" s="198"/>
      <c r="DR314" s="198"/>
      <c r="DS314" s="198"/>
      <c r="DT314" s="198"/>
    </row>
    <row r="315" spans="1:124" s="172" customFormat="1" ht="14.25" outlineLevel="1" x14ac:dyDescent="0.25">
      <c r="A315" s="217"/>
      <c r="B315" s="218" t="str">
        <f>Services!B315</f>
        <v>12D02</v>
      </c>
      <c r="C315" s="216" t="str">
        <f>Services!C315</f>
        <v>Formation et sensibilisation des utilisateurs</v>
      </c>
      <c r="D315" s="210" t="str">
        <f t="shared" si="4"/>
        <v/>
      </c>
      <c r="E315" s="1378"/>
      <c r="F315" s="1378"/>
      <c r="G315" s="1378"/>
      <c r="H315" s="1378"/>
      <c r="I315" s="1378"/>
      <c r="J315" s="1378"/>
      <c r="K315" s="1378"/>
      <c r="L315" s="1378"/>
      <c r="M315" s="1378"/>
      <c r="N315" s="1378"/>
      <c r="O315" s="1378"/>
      <c r="P315" s="1378"/>
      <c r="Q315" s="1378"/>
      <c r="R315" s="1378"/>
      <c r="S315" s="1378"/>
      <c r="T315" s="1378"/>
      <c r="U315" s="1378"/>
      <c r="V315" s="1378"/>
      <c r="W315" s="1378"/>
      <c r="X315" s="1378"/>
      <c r="Y315" s="1378"/>
      <c r="Z315" s="1378"/>
      <c r="AA315" s="1378"/>
      <c r="AB315" s="1378"/>
      <c r="AC315" s="1378"/>
      <c r="AD315" s="1378"/>
      <c r="AE315" s="1378"/>
      <c r="AF315" s="1378"/>
      <c r="AG315" s="1378"/>
      <c r="AH315" s="1378"/>
      <c r="AI315" s="1378"/>
      <c r="AJ315" s="1378"/>
      <c r="AK315" s="1378"/>
      <c r="AL315" s="1378"/>
      <c r="AM315" s="1378"/>
      <c r="AN315" s="1378"/>
      <c r="AO315" s="1378"/>
      <c r="AP315" s="1378"/>
      <c r="AQ315" s="1378"/>
      <c r="AR315" s="1378"/>
      <c r="AS315" s="1378"/>
      <c r="AT315" s="1378"/>
      <c r="AU315" s="1378"/>
      <c r="AV315" s="1378"/>
      <c r="AW315" s="1378"/>
      <c r="AX315" s="1378"/>
      <c r="AY315" s="1378"/>
      <c r="AZ315" s="1378"/>
      <c r="BA315" s="1378"/>
      <c r="BB315" s="1378"/>
      <c r="BC315" s="1378"/>
      <c r="BD315"/>
      <c r="BE315" s="198"/>
      <c r="BF315" s="198"/>
      <c r="BG315" s="198"/>
      <c r="BH315" s="198"/>
      <c r="BI315" s="198"/>
      <c r="BJ315" s="198"/>
      <c r="BK315" s="198"/>
      <c r="BL315" s="198"/>
      <c r="BM315" s="198"/>
      <c r="BN315" s="198"/>
      <c r="BO315" s="198"/>
      <c r="BP315" s="198"/>
      <c r="BQ315" s="198"/>
      <c r="BR315" s="198"/>
      <c r="BS315" s="198"/>
      <c r="BT315" s="198"/>
      <c r="BU315" s="198"/>
      <c r="BV315" s="198"/>
      <c r="BW315" s="198"/>
      <c r="BX315" s="198"/>
      <c r="BY315" s="198"/>
      <c r="BZ315" s="198"/>
      <c r="CA315" s="198"/>
      <c r="CB315" s="198"/>
      <c r="CC315" s="198"/>
      <c r="CD315" s="198"/>
      <c r="CE315" s="198"/>
      <c r="CF315" s="198"/>
      <c r="CG315" s="198"/>
      <c r="CH315" s="198"/>
      <c r="CI315" s="198"/>
      <c r="CJ315" s="198"/>
      <c r="CK315" s="198"/>
      <c r="CL315" s="198"/>
      <c r="CM315" s="198"/>
      <c r="CN315" s="198"/>
      <c r="CO315" s="198"/>
      <c r="CP315" s="198"/>
      <c r="CQ315" s="198"/>
      <c r="CR315" s="198"/>
      <c r="CS315" s="198"/>
      <c r="CT315" s="198"/>
      <c r="CU315" s="198"/>
      <c r="CV315" s="198"/>
      <c r="CW315" s="198"/>
      <c r="CX315" s="198"/>
      <c r="CY315" s="198"/>
      <c r="CZ315" s="198"/>
      <c r="DA315" s="198"/>
      <c r="DB315" s="198"/>
      <c r="DC315" s="198"/>
      <c r="DD315" s="198"/>
      <c r="DE315" s="198"/>
      <c r="DF315" s="198"/>
      <c r="DG315" s="198"/>
      <c r="DH315" s="198"/>
      <c r="DI315" s="198"/>
      <c r="DJ315" s="198"/>
      <c r="DK315" s="198"/>
      <c r="DL315" s="198"/>
      <c r="DM315" s="198"/>
      <c r="DN315" s="198"/>
      <c r="DO315" s="198"/>
      <c r="DP315" s="198"/>
      <c r="DQ315" s="198"/>
      <c r="DR315" s="198"/>
      <c r="DS315" s="198"/>
      <c r="DT315" s="198"/>
    </row>
    <row r="316" spans="1:124" s="172" customFormat="1" ht="14.25" outlineLevel="1" x14ac:dyDescent="0.25">
      <c r="A316" s="217"/>
      <c r="B316" s="218" t="str">
        <f>Services!B316</f>
        <v>12D03</v>
      </c>
      <c r="C316" s="216" t="str">
        <f>Services!C316</f>
        <v>Utilisation de terminaux chiffrants</v>
      </c>
      <c r="D316" s="210" t="str">
        <f t="shared" si="4"/>
        <v/>
      </c>
      <c r="E316" s="1378"/>
      <c r="F316" s="1378"/>
      <c r="G316" s="1378"/>
      <c r="H316" s="1378"/>
      <c r="I316" s="1378"/>
      <c r="J316" s="1378"/>
      <c r="K316" s="1378"/>
      <c r="L316" s="1378"/>
      <c r="M316" s="1378"/>
      <c r="N316" s="1378"/>
      <c r="O316" s="1378"/>
      <c r="P316" s="1378"/>
      <c r="Q316" s="1378"/>
      <c r="R316" s="1378"/>
      <c r="S316" s="1378"/>
      <c r="T316" s="1378"/>
      <c r="U316" s="1378"/>
      <c r="V316" s="1378"/>
      <c r="W316" s="1378"/>
      <c r="X316" s="1378"/>
      <c r="Y316" s="1378"/>
      <c r="Z316" s="1378"/>
      <c r="AA316" s="1378"/>
      <c r="AB316" s="1378"/>
      <c r="AC316" s="1378"/>
      <c r="AD316" s="1378"/>
      <c r="AE316" s="1378"/>
      <c r="AF316" s="1378"/>
      <c r="AG316" s="1378"/>
      <c r="AH316" s="1378"/>
      <c r="AI316" s="1378"/>
      <c r="AJ316" s="1378"/>
      <c r="AK316" s="1378"/>
      <c r="AL316" s="1378"/>
      <c r="AM316" s="1378"/>
      <c r="AN316" s="1378"/>
      <c r="AO316" s="1378"/>
      <c r="AP316" s="1378"/>
      <c r="AQ316" s="1378"/>
      <c r="AR316" s="1378"/>
      <c r="AS316" s="1378"/>
      <c r="AT316" s="1378"/>
      <c r="AU316" s="1378"/>
      <c r="AV316" s="1378"/>
      <c r="AW316" s="1378"/>
      <c r="AX316" s="1378"/>
      <c r="AY316" s="1378"/>
      <c r="AZ316" s="1378"/>
      <c r="BA316" s="1378"/>
      <c r="BB316" s="1378"/>
      <c r="BC316" s="1378"/>
      <c r="BD316"/>
      <c r="BE316" s="198"/>
      <c r="BF316" s="198"/>
      <c r="BG316" s="198"/>
      <c r="BH316" s="198"/>
      <c r="BI316" s="198"/>
      <c r="BJ316" s="198"/>
      <c r="BK316" s="198"/>
      <c r="BL316" s="198"/>
      <c r="BM316" s="198"/>
      <c r="BN316" s="198"/>
      <c r="BO316" s="198"/>
      <c r="BP316" s="198"/>
      <c r="BQ316" s="198"/>
      <c r="BR316" s="198"/>
      <c r="BS316" s="198"/>
      <c r="BT316" s="198"/>
      <c r="BU316" s="198"/>
      <c r="BV316" s="198"/>
      <c r="BW316" s="198"/>
      <c r="BX316" s="198"/>
      <c r="BY316" s="198"/>
      <c r="BZ316" s="198"/>
      <c r="CA316" s="198"/>
      <c r="CB316" s="198"/>
      <c r="CC316" s="198"/>
      <c r="CD316" s="198"/>
      <c r="CE316" s="198"/>
      <c r="CF316" s="198"/>
      <c r="CG316" s="198"/>
      <c r="CH316" s="198"/>
      <c r="CI316" s="198"/>
      <c r="CJ316" s="198"/>
      <c r="CK316" s="198"/>
      <c r="CL316" s="198"/>
      <c r="CM316" s="198"/>
      <c r="CN316" s="198"/>
      <c r="CO316" s="198"/>
      <c r="CP316" s="198"/>
      <c r="CQ316" s="198"/>
      <c r="CR316" s="198"/>
      <c r="CS316" s="198"/>
      <c r="CT316" s="198"/>
      <c r="CU316" s="198"/>
      <c r="CV316" s="198"/>
      <c r="CW316" s="198"/>
      <c r="CX316" s="198"/>
      <c r="CY316" s="198"/>
      <c r="CZ316" s="198"/>
      <c r="DA316" s="198"/>
      <c r="DB316" s="198"/>
      <c r="DC316" s="198"/>
      <c r="DD316" s="198"/>
      <c r="DE316" s="198"/>
      <c r="DF316" s="198"/>
      <c r="DG316" s="198"/>
      <c r="DH316" s="198"/>
      <c r="DI316" s="198"/>
      <c r="DJ316" s="198"/>
      <c r="DK316" s="198"/>
      <c r="DL316" s="198"/>
      <c r="DM316" s="198"/>
      <c r="DN316" s="198"/>
      <c r="DO316" s="198"/>
      <c r="DP316" s="198"/>
      <c r="DQ316" s="198"/>
      <c r="DR316" s="198"/>
      <c r="DS316" s="198"/>
      <c r="DT316" s="198"/>
    </row>
    <row r="317" spans="1:124" s="172" customFormat="1" ht="15" outlineLevel="1" x14ac:dyDescent="0.25">
      <c r="A317" s="212"/>
      <c r="B317" s="213" t="str">
        <f>Services!B317</f>
        <v>12E</v>
      </c>
      <c r="C317" s="214" t="str">
        <f>Services!C317</f>
        <v>Contrôle des droits d'administration</v>
      </c>
      <c r="D317" s="210" t="str">
        <f t="shared" si="4"/>
        <v/>
      </c>
      <c r="E317" s="1378"/>
      <c r="F317" s="1378"/>
      <c r="G317" s="1378"/>
      <c r="H317" s="1378"/>
      <c r="I317" s="1378"/>
      <c r="J317" s="1378"/>
      <c r="K317" s="1378"/>
      <c r="L317" s="1378"/>
      <c r="M317" s="1378"/>
      <c r="N317" s="1378"/>
      <c r="O317" s="1378"/>
      <c r="P317" s="1378"/>
      <c r="Q317" s="1378"/>
      <c r="R317" s="1378"/>
      <c r="S317" s="1378"/>
      <c r="T317" s="1378"/>
      <c r="U317" s="1378"/>
      <c r="V317" s="1378"/>
      <c r="W317" s="1378"/>
      <c r="X317" s="1378"/>
      <c r="Y317" s="1378"/>
      <c r="Z317" s="1378"/>
      <c r="AA317" s="1378"/>
      <c r="AB317" s="1378"/>
      <c r="AC317" s="1378"/>
      <c r="AD317" s="1378"/>
      <c r="AE317" s="1378"/>
      <c r="AF317" s="1378"/>
      <c r="AG317" s="1378"/>
      <c r="AH317" s="1378"/>
      <c r="AI317" s="1378"/>
      <c r="AJ317" s="1378"/>
      <c r="AK317" s="1378"/>
      <c r="AL317" s="1378"/>
      <c r="AM317" s="1378"/>
      <c r="AN317" s="1378"/>
      <c r="AO317" s="1378"/>
      <c r="AP317" s="1378"/>
      <c r="AQ317" s="1378"/>
      <c r="AR317" s="1378"/>
      <c r="AS317" s="1378"/>
      <c r="AT317" s="1378"/>
      <c r="AU317" s="1378"/>
      <c r="AV317" s="1378"/>
      <c r="AW317" s="1378"/>
      <c r="AX317" s="1378"/>
      <c r="AY317" s="1378"/>
      <c r="AZ317" s="1378"/>
      <c r="BA317" s="1378"/>
      <c r="BB317" s="1378"/>
      <c r="BC317" s="1378"/>
      <c r="BD317"/>
      <c r="BE317" s="198"/>
      <c r="BF317" s="198"/>
      <c r="BG317" s="198"/>
      <c r="BH317" s="198"/>
      <c r="BI317" s="198"/>
      <c r="BJ317" s="198"/>
      <c r="BK317" s="198"/>
      <c r="BL317" s="198"/>
      <c r="BM317" s="198"/>
      <c r="BN317" s="198"/>
      <c r="BO317" s="198"/>
      <c r="BP317" s="198"/>
      <c r="BQ317" s="198"/>
      <c r="BR317" s="198"/>
      <c r="BS317" s="198"/>
      <c r="BT317" s="198"/>
      <c r="BU317" s="198"/>
      <c r="BV317" s="198"/>
      <c r="BW317" s="198"/>
      <c r="BX317" s="198"/>
      <c r="BY317" s="198"/>
      <c r="BZ317" s="198"/>
      <c r="CA317" s="198"/>
      <c r="CB317" s="198"/>
      <c r="CC317" s="198"/>
      <c r="CD317" s="198"/>
      <c r="CE317" s="198"/>
      <c r="CF317" s="198"/>
      <c r="CG317" s="198"/>
      <c r="CH317" s="198"/>
      <c r="CI317" s="198"/>
      <c r="CJ317" s="198"/>
      <c r="CK317" s="198"/>
      <c r="CL317" s="198"/>
      <c r="CM317" s="198"/>
      <c r="CN317" s="198"/>
      <c r="CO317" s="198"/>
      <c r="CP317" s="198"/>
      <c r="CQ317" s="198"/>
      <c r="CR317" s="198"/>
      <c r="CS317" s="198"/>
      <c r="CT317" s="198"/>
      <c r="CU317" s="198"/>
      <c r="CV317" s="198"/>
      <c r="CW317" s="198"/>
      <c r="CX317" s="198"/>
      <c r="CY317" s="198"/>
      <c r="CZ317" s="198"/>
      <c r="DA317" s="198"/>
      <c r="DB317" s="198"/>
      <c r="DC317" s="198"/>
      <c r="DD317" s="198"/>
      <c r="DE317" s="198"/>
      <c r="DF317" s="198"/>
      <c r="DG317" s="198"/>
      <c r="DH317" s="198"/>
      <c r="DI317" s="198"/>
      <c r="DJ317" s="198"/>
      <c r="DK317" s="198"/>
      <c r="DL317" s="198"/>
      <c r="DM317" s="198"/>
      <c r="DN317" s="198"/>
      <c r="DO317" s="198"/>
      <c r="DP317" s="198"/>
      <c r="DQ317" s="198"/>
      <c r="DR317" s="198"/>
      <c r="DS317" s="198"/>
      <c r="DT317" s="198"/>
    </row>
    <row r="318" spans="1:124" s="172" customFormat="1" ht="25.5" outlineLevel="1" x14ac:dyDescent="0.25">
      <c r="A318" s="217"/>
      <c r="B318" s="218" t="str">
        <f>Services!B318</f>
        <v>12E01</v>
      </c>
      <c r="C318" s="216" t="str">
        <f>Services!C318</f>
        <v>Gestion des attributions de droits privilégiés sur les équipements et lessystèmes (droits d'administrateur)</v>
      </c>
      <c r="D318" s="210" t="str">
        <f t="shared" si="4"/>
        <v/>
      </c>
      <c r="E318" s="1378"/>
      <c r="F318" s="1378"/>
      <c r="G318" s="1378"/>
      <c r="H318" s="1378"/>
      <c r="I318" s="1378"/>
      <c r="J318" s="1378"/>
      <c r="K318" s="1378"/>
      <c r="L318" s="1378"/>
      <c r="M318" s="1378"/>
      <c r="N318" s="1378"/>
      <c r="O318" s="1378"/>
      <c r="P318" s="1378"/>
      <c r="Q318" s="1378"/>
      <c r="R318" s="1378"/>
      <c r="S318" s="1378"/>
      <c r="T318" s="1378"/>
      <c r="U318" s="1378"/>
      <c r="V318" s="1378"/>
      <c r="W318" s="1378"/>
      <c r="X318" s="1378"/>
      <c r="Y318" s="1378"/>
      <c r="Z318" s="1378"/>
      <c r="AA318" s="1378"/>
      <c r="AB318" s="1378"/>
      <c r="AC318" s="1378"/>
      <c r="AD318" s="1378"/>
      <c r="AE318" s="1378"/>
      <c r="AF318" s="1378"/>
      <c r="AG318" s="1378"/>
      <c r="AH318" s="1378"/>
      <c r="AI318" s="1378"/>
      <c r="AJ318" s="1378"/>
      <c r="AK318" s="1378"/>
      <c r="AL318" s="1378"/>
      <c r="AM318" s="1378"/>
      <c r="AN318" s="1378"/>
      <c r="AO318" s="1378"/>
      <c r="AP318" s="1378">
        <f>IF(INDEX(Tab_actions,259,1)=1,INDEX(Tab_actions,259,13),0)</f>
        <v>0</v>
      </c>
      <c r="AQ318" s="1378"/>
      <c r="AR318" s="1378"/>
      <c r="AS318" s="1378"/>
      <c r="AT318" s="1378"/>
      <c r="AU318" s="1378"/>
      <c r="AV318" s="1378"/>
      <c r="AW318" s="1378"/>
      <c r="AX318" s="1378"/>
      <c r="AY318" s="1378"/>
      <c r="AZ318" s="1378"/>
      <c r="BA318" s="1378"/>
      <c r="BB318" s="1378"/>
      <c r="BC318" s="1378"/>
      <c r="BD318"/>
      <c r="BE318" s="198"/>
      <c r="BF318" s="198"/>
      <c r="BG318" s="198"/>
      <c r="BH318" s="198"/>
      <c r="BI318" s="198"/>
      <c r="BJ318" s="198"/>
      <c r="BK318" s="198"/>
      <c r="BL318" s="198"/>
      <c r="BM318" s="198"/>
      <c r="BN318" s="198"/>
      <c r="BO318" s="198"/>
      <c r="BP318" s="198"/>
      <c r="BQ318" s="198"/>
      <c r="BR318" s="198"/>
      <c r="BS318" s="198"/>
      <c r="BT318" s="198"/>
      <c r="BU318" s="198"/>
      <c r="BV318" s="198"/>
      <c r="BW318" s="198"/>
      <c r="BX318" s="198"/>
      <c r="BY318" s="198"/>
      <c r="BZ318" s="198"/>
      <c r="CA318" s="198"/>
      <c r="CB318" s="198"/>
      <c r="CC318" s="198"/>
      <c r="CD318" s="198"/>
      <c r="CE318" s="198"/>
      <c r="CF318" s="198"/>
      <c r="CG318" s="198"/>
      <c r="CH318" s="198"/>
      <c r="CI318" s="198"/>
      <c r="CJ318" s="198"/>
      <c r="CK318" s="198"/>
      <c r="CL318" s="198"/>
      <c r="CM318" s="198"/>
      <c r="CN318" s="198"/>
      <c r="CO318" s="198"/>
      <c r="CP318" s="198"/>
      <c r="CQ318" s="198"/>
      <c r="CR318" s="198"/>
      <c r="CS318" s="198"/>
      <c r="CT318" s="198"/>
      <c r="CU318" s="198"/>
      <c r="CV318" s="198"/>
      <c r="CW318" s="198"/>
      <c r="CX318" s="198"/>
      <c r="CY318" s="198"/>
      <c r="CZ318" s="198"/>
      <c r="DA318" s="198"/>
      <c r="DB318" s="198"/>
      <c r="DC318" s="198"/>
      <c r="DD318" s="198"/>
      <c r="DE318" s="198"/>
      <c r="DF318" s="198"/>
      <c r="DG318" s="198"/>
      <c r="DH318" s="198"/>
      <c r="DI318" s="198"/>
      <c r="DJ318" s="198"/>
      <c r="DK318" s="198"/>
      <c r="DL318" s="198"/>
      <c r="DM318" s="198"/>
      <c r="DN318" s="198"/>
      <c r="DO318" s="198"/>
      <c r="DP318" s="198"/>
      <c r="DQ318" s="198"/>
      <c r="DR318" s="198"/>
      <c r="DS318" s="198"/>
      <c r="DT318" s="198"/>
    </row>
    <row r="319" spans="1:124" ht="25.5" outlineLevel="1" x14ac:dyDescent="0.25">
      <c r="A319" s="217"/>
      <c r="B319" s="218" t="str">
        <f>Services!B319</f>
        <v>12E02</v>
      </c>
      <c r="C319" s="216" t="str">
        <f>Services!C319</f>
        <v>Authentification et contrôle des droits d'accès des administrateurs et personnels d'exploitation</v>
      </c>
      <c r="D319" s="210" t="str">
        <f t="shared" si="4"/>
        <v/>
      </c>
      <c r="E319" s="1378"/>
      <c r="F319" s="1378"/>
      <c r="G319" s="1378"/>
      <c r="H319" s="1378"/>
      <c r="I319" s="1378"/>
      <c r="J319" s="1378"/>
      <c r="K319" s="1378"/>
      <c r="L319" s="1378"/>
      <c r="M319" s="1378"/>
      <c r="N319" s="1378"/>
      <c r="O319" s="1378"/>
      <c r="P319" s="1378"/>
      <c r="Q319" s="1378"/>
      <c r="R319" s="1378"/>
      <c r="S319" s="1378"/>
      <c r="T319" s="1378"/>
      <c r="U319" s="1378"/>
      <c r="V319" s="1378"/>
      <c r="W319" s="1378"/>
      <c r="X319" s="1378"/>
      <c r="Y319" s="1378"/>
      <c r="Z319" s="1378"/>
      <c r="AA319" s="1378"/>
      <c r="AB319" s="1378"/>
      <c r="AC319" s="1378"/>
      <c r="AD319" s="1378"/>
      <c r="AE319" s="1378"/>
      <c r="AF319" s="1378"/>
      <c r="AG319" s="1378"/>
      <c r="AH319" s="1378">
        <f>IF(INDEX(Tab_actions,193,1)=1,INDEX(Tab_actions,193,7),0)</f>
        <v>0</v>
      </c>
      <c r="AI319" s="1378"/>
      <c r="AJ319" s="1378"/>
      <c r="AK319" s="1378"/>
      <c r="AL319" s="1378"/>
      <c r="AM319" s="1378"/>
      <c r="AN319" s="1378"/>
      <c r="AO319" s="1378"/>
      <c r="AP319" s="1378">
        <f>IF(AND(INDEX(Tab_actions,259,1)=1,INDEX(Tab_actions,258,1)=1),MAX(INDEX(Tab_actions,259,16),INDEX(Tab_actions,258,7)),IF(INDEX(Tab_actions,259,1)=1,INDEX(Tab_actions,259,16),IF(INDEX(Tab_actions,258,1)=1,INDEX(Tab_actions,258,7),0)))</f>
        <v>0</v>
      </c>
      <c r="AQ319" s="1378"/>
      <c r="AR319" s="1378"/>
      <c r="AS319" s="1378"/>
      <c r="AT319" s="1378"/>
      <c r="AU319" s="1378"/>
      <c r="AV319" s="1378"/>
      <c r="AW319" s="1378"/>
      <c r="AX319" s="1378"/>
      <c r="AY319" s="1378"/>
      <c r="AZ319" s="1378"/>
      <c r="BA319" s="1378"/>
      <c r="BB319" s="1378"/>
      <c r="BC319" s="1378"/>
      <c r="BD319"/>
    </row>
    <row r="320" spans="1:124" s="172" customFormat="1" ht="15.75" customHeight="1" outlineLevel="1" x14ac:dyDescent="0.25">
      <c r="A320" s="217"/>
      <c r="B320" s="218" t="str">
        <f>Services!B320</f>
        <v>12E03</v>
      </c>
      <c r="C320" s="216" t="str">
        <f>Services!C320</f>
        <v>Surveillance des actions d'administration des équipements et des systèmes</v>
      </c>
      <c r="D320" s="210" t="str">
        <f t="shared" si="4"/>
        <v/>
      </c>
      <c r="E320" s="1378"/>
      <c r="F320" s="1378"/>
      <c r="G320" s="1378"/>
      <c r="H320" s="1378"/>
      <c r="I320" s="1378"/>
      <c r="J320" s="1378"/>
      <c r="K320" s="1378"/>
      <c r="L320" s="1378"/>
      <c r="M320" s="1378"/>
      <c r="N320" s="1378"/>
      <c r="O320" s="1378"/>
      <c r="P320" s="1378"/>
      <c r="Q320" s="1378"/>
      <c r="R320" s="1378"/>
      <c r="S320" s="1378"/>
      <c r="T320" s="1378"/>
      <c r="U320" s="1378"/>
      <c r="V320" s="1378"/>
      <c r="W320" s="1378"/>
      <c r="X320" s="1378"/>
      <c r="Y320" s="1378"/>
      <c r="Z320" s="1378"/>
      <c r="AA320" s="1378"/>
      <c r="AB320" s="1378"/>
      <c r="AC320" s="1378"/>
      <c r="AD320" s="1378"/>
      <c r="AE320" s="1378"/>
      <c r="AF320" s="1378"/>
      <c r="AG320" s="1378"/>
      <c r="AH320" s="1378">
        <f>IF(INDEX(Tab_actions,193,1)=1,INDEX(Tab_actions,193,10),0)</f>
        <v>0</v>
      </c>
      <c r="AI320" s="1378"/>
      <c r="AJ320" s="1378"/>
      <c r="AK320" s="1378"/>
      <c r="AL320" s="1378"/>
      <c r="AM320" s="1378"/>
      <c r="AN320" s="1378"/>
      <c r="AO320" s="1378"/>
      <c r="AP320" s="1378">
        <f>IF(INDEX(Tab_actions,258,1)=1,INDEX(Tab_actions,258,10),0)</f>
        <v>0</v>
      </c>
      <c r="AQ320" s="1378"/>
      <c r="AR320" s="1378"/>
      <c r="AS320" s="1378"/>
      <c r="AT320" s="1378"/>
      <c r="AU320" s="1378"/>
      <c r="AV320" s="1378"/>
      <c r="AW320" s="1378"/>
      <c r="AX320" s="1378"/>
      <c r="AY320" s="1378"/>
      <c r="AZ320" s="1378"/>
      <c r="BA320" s="1378"/>
      <c r="BB320" s="1378"/>
      <c r="BC320" s="1378"/>
      <c r="BD320"/>
      <c r="BE320" s="198"/>
      <c r="BF320" s="198"/>
      <c r="BG320" s="198"/>
      <c r="BH320" s="198"/>
      <c r="BI320" s="198"/>
      <c r="BJ320" s="198"/>
      <c r="BK320" s="198"/>
      <c r="BL320" s="198"/>
      <c r="BM320" s="198"/>
      <c r="BN320" s="198"/>
      <c r="BO320" s="198"/>
      <c r="BP320" s="198"/>
      <c r="BQ320" s="198"/>
      <c r="BR320" s="198"/>
      <c r="BS320" s="198"/>
      <c r="BT320" s="198"/>
      <c r="BU320" s="198"/>
      <c r="BV320" s="198"/>
      <c r="BW320" s="198"/>
      <c r="BX320" s="198"/>
      <c r="BY320" s="198"/>
      <c r="BZ320" s="198"/>
      <c r="CA320" s="198"/>
      <c r="CB320" s="198"/>
      <c r="CC320" s="198"/>
      <c r="CD320" s="198"/>
      <c r="CE320" s="198"/>
      <c r="CF320" s="198"/>
      <c r="CG320" s="198"/>
      <c r="CH320" s="198"/>
      <c r="CI320" s="198"/>
      <c r="CJ320" s="198"/>
      <c r="CK320" s="198"/>
      <c r="CL320" s="198"/>
      <c r="CM320" s="198"/>
      <c r="CN320" s="198"/>
      <c r="CO320" s="198"/>
      <c r="CP320" s="198"/>
      <c r="CQ320" s="198"/>
      <c r="CR320" s="198"/>
      <c r="CS320" s="198"/>
      <c r="CT320" s="198"/>
      <c r="CU320" s="198"/>
      <c r="CV320" s="198"/>
      <c r="CW320" s="198"/>
      <c r="CX320" s="198"/>
      <c r="CY320" s="198"/>
      <c r="CZ320" s="198"/>
      <c r="DA320" s="198"/>
      <c r="DB320" s="198"/>
      <c r="DC320" s="198"/>
      <c r="DD320" s="198"/>
      <c r="DE320" s="198"/>
      <c r="DF320" s="198"/>
      <c r="DG320" s="198"/>
      <c r="DH320" s="198"/>
      <c r="DI320" s="198"/>
      <c r="DJ320" s="198"/>
      <c r="DK320" s="198"/>
      <c r="DL320" s="198"/>
      <c r="DM320" s="198"/>
      <c r="DN320" s="198"/>
      <c r="DO320" s="198"/>
      <c r="DP320" s="198"/>
      <c r="DQ320" s="198"/>
      <c r="DR320" s="198"/>
      <c r="DS320" s="198"/>
      <c r="DT320" s="198"/>
    </row>
    <row r="321" spans="1:124" s="172" customFormat="1" ht="15" x14ac:dyDescent="0.25">
      <c r="A321" s="207" t="s">
        <v>5811</v>
      </c>
      <c r="B321" s="207" t="str">
        <f>Services!B321</f>
        <v>Processus de gestion (13 Man)</v>
      </c>
      <c r="C321" s="223"/>
      <c r="D321" s="210" t="str">
        <f t="shared" si="4"/>
        <v/>
      </c>
      <c r="E321" s="1378"/>
      <c r="F321" s="1378"/>
      <c r="G321" s="1378"/>
      <c r="H321" s="1378"/>
      <c r="I321" s="1378"/>
      <c r="J321" s="1378"/>
      <c r="K321" s="1378"/>
      <c r="L321" s="1378"/>
      <c r="M321" s="1378"/>
      <c r="N321" s="1378"/>
      <c r="O321" s="1378"/>
      <c r="P321" s="1378"/>
      <c r="Q321" s="1378"/>
      <c r="R321" s="1378"/>
      <c r="S321" s="1378"/>
      <c r="T321" s="1378"/>
      <c r="U321" s="1378"/>
      <c r="V321" s="1378"/>
      <c r="W321" s="1378"/>
      <c r="X321" s="1378"/>
      <c r="Y321" s="1378"/>
      <c r="Z321" s="1378"/>
      <c r="AA321" s="1378"/>
      <c r="AB321" s="1378"/>
      <c r="AC321" s="1378"/>
      <c r="AD321" s="1378"/>
      <c r="AE321" s="1378"/>
      <c r="AF321" s="1378"/>
      <c r="AG321" s="1378"/>
      <c r="AH321" s="1378"/>
      <c r="AI321" s="1378"/>
      <c r="AJ321" s="1378"/>
      <c r="AK321" s="1378"/>
      <c r="AL321" s="1378"/>
      <c r="AM321" s="1378"/>
      <c r="AN321" s="1378"/>
      <c r="AO321" s="1378"/>
      <c r="AP321" s="1378"/>
      <c r="AQ321" s="1378"/>
      <c r="AR321" s="1378"/>
      <c r="AS321" s="1378"/>
      <c r="AT321" s="1378"/>
      <c r="AU321" s="1378"/>
      <c r="AV321" s="1378"/>
      <c r="AW321" s="1378"/>
      <c r="AX321" s="1378"/>
      <c r="AY321" s="1378"/>
      <c r="AZ321" s="1378"/>
      <c r="BA321" s="1378"/>
      <c r="BB321" s="1378"/>
      <c r="BC321" s="1378"/>
      <c r="BD321"/>
      <c r="BE321" s="198"/>
      <c r="BF321" s="198"/>
      <c r="BG321" s="198"/>
      <c r="BH321" s="198"/>
      <c r="BI321" s="198"/>
      <c r="BJ321" s="198"/>
      <c r="BK321" s="198"/>
      <c r="BL321" s="198"/>
      <c r="BM321" s="198"/>
      <c r="BN321" s="198"/>
      <c r="BO321" s="198"/>
      <c r="BP321" s="198"/>
      <c r="BQ321" s="198"/>
      <c r="BR321" s="198"/>
      <c r="BS321" s="198"/>
      <c r="BT321" s="198"/>
      <c r="BU321" s="198"/>
      <c r="BV321" s="198"/>
      <c r="BW321" s="198"/>
      <c r="BX321" s="198"/>
      <c r="BY321" s="198"/>
      <c r="BZ321" s="198"/>
      <c r="CA321" s="198"/>
      <c r="CB321" s="198"/>
      <c r="CC321" s="198"/>
      <c r="CD321" s="198"/>
      <c r="CE321" s="198"/>
      <c r="CF321" s="198"/>
      <c r="CG321" s="198"/>
      <c r="CH321" s="198"/>
      <c r="CI321" s="198"/>
      <c r="CJ321" s="198"/>
      <c r="CK321" s="198"/>
      <c r="CL321" s="198"/>
      <c r="CM321" s="198"/>
      <c r="CN321" s="198"/>
      <c r="CO321" s="198"/>
      <c r="CP321" s="198"/>
      <c r="CQ321" s="198"/>
      <c r="CR321" s="198"/>
      <c r="CS321" s="198"/>
      <c r="CT321" s="198"/>
      <c r="CU321" s="198"/>
      <c r="CV321" s="198"/>
      <c r="CW321" s="198"/>
      <c r="CX321" s="198"/>
      <c r="CY321" s="198"/>
      <c r="CZ321" s="198"/>
      <c r="DA321" s="198"/>
      <c r="DB321" s="198"/>
      <c r="DC321" s="198"/>
      <c r="DD321" s="198"/>
      <c r="DE321" s="198"/>
      <c r="DF321" s="198"/>
      <c r="DG321" s="198"/>
      <c r="DH321" s="198"/>
      <c r="DI321" s="198"/>
      <c r="DJ321" s="198"/>
      <c r="DK321" s="198"/>
      <c r="DL321" s="198"/>
      <c r="DM321" s="198"/>
      <c r="DN321" s="198"/>
      <c r="DO321" s="198"/>
      <c r="DP321" s="198"/>
      <c r="DQ321" s="198"/>
      <c r="DR321" s="198"/>
      <c r="DS321" s="198"/>
      <c r="DT321" s="198"/>
    </row>
    <row r="322" spans="1:124" s="172" customFormat="1" ht="15" outlineLevel="1" x14ac:dyDescent="0.25">
      <c r="A322" s="173"/>
      <c r="B322" s="213" t="str">
        <f>Services!B322</f>
        <v>13A</v>
      </c>
      <c r="C322" s="214" t="str">
        <f>Services!C322</f>
        <v>Protection des renseignements personnels</v>
      </c>
      <c r="D322" s="210" t="str">
        <f t="shared" si="4"/>
        <v/>
      </c>
      <c r="E322" s="1378"/>
      <c r="F322" s="1378"/>
      <c r="G322" s="1378"/>
      <c r="H322" s="1378"/>
      <c r="I322" s="1378"/>
      <c r="J322" s="1378"/>
      <c r="K322" s="1378"/>
      <c r="L322" s="1378"/>
      <c r="M322" s="1378"/>
      <c r="N322" s="1378"/>
      <c r="O322" s="1378"/>
      <c r="P322" s="1378"/>
      <c r="Q322" s="1378"/>
      <c r="R322" s="1378"/>
      <c r="S322" s="1378"/>
      <c r="T322" s="1378"/>
      <c r="U322" s="1378"/>
      <c r="V322" s="1378"/>
      <c r="W322" s="1378"/>
      <c r="X322" s="1378"/>
      <c r="Y322" s="1378"/>
      <c r="Z322" s="1378"/>
      <c r="AA322" s="1378"/>
      <c r="AB322" s="1378"/>
      <c r="AC322" s="1378"/>
      <c r="AD322" s="1378"/>
      <c r="AE322" s="1378"/>
      <c r="AF322" s="1378"/>
      <c r="AG322" s="1378"/>
      <c r="AH322" s="1378"/>
      <c r="AI322" s="1378"/>
      <c r="AJ322" s="1378"/>
      <c r="AK322" s="1378"/>
      <c r="AL322" s="1378"/>
      <c r="AM322" s="1378"/>
      <c r="AN322" s="1378"/>
      <c r="AO322" s="1378"/>
      <c r="AP322" s="1378"/>
      <c r="AQ322" s="1378"/>
      <c r="AR322" s="1378"/>
      <c r="AS322" s="1378"/>
      <c r="AT322" s="1378"/>
      <c r="AU322" s="1378"/>
      <c r="AV322" s="1378"/>
      <c r="AW322" s="1378"/>
      <c r="AX322" s="1378"/>
      <c r="AY322" s="1378"/>
      <c r="AZ322" s="1378"/>
      <c r="BA322" s="1378"/>
      <c r="BB322" s="1378"/>
      <c r="BC322" s="1378"/>
      <c r="BD322"/>
      <c r="BE322" s="198"/>
      <c r="BF322" s="198"/>
      <c r="BG322" s="198"/>
      <c r="BH322" s="198"/>
      <c r="BI322" s="198"/>
      <c r="BJ322" s="198"/>
      <c r="BK322" s="198"/>
      <c r="BL322" s="198"/>
      <c r="BM322" s="198"/>
      <c r="BN322" s="198"/>
      <c r="BO322" s="198"/>
      <c r="BP322" s="198"/>
      <c r="BQ322" s="198"/>
      <c r="BR322" s="198"/>
      <c r="BS322" s="198"/>
      <c r="BT322" s="198"/>
      <c r="BU322" s="198"/>
      <c r="BV322" s="198"/>
      <c r="BW322" s="198"/>
      <c r="BX322" s="198"/>
      <c r="BY322" s="198"/>
      <c r="BZ322" s="198"/>
      <c r="CA322" s="198"/>
      <c r="CB322" s="198"/>
      <c r="CC322" s="198"/>
      <c r="CD322" s="198"/>
      <c r="CE322" s="198"/>
      <c r="CF322" s="198"/>
      <c r="CG322" s="198"/>
      <c r="CH322" s="198"/>
      <c r="CI322" s="198"/>
      <c r="CJ322" s="198"/>
      <c r="CK322" s="198"/>
      <c r="CL322" s="198"/>
      <c r="CM322" s="198"/>
      <c r="CN322" s="198"/>
      <c r="CO322" s="198"/>
      <c r="CP322" s="198"/>
      <c r="CQ322" s="198"/>
      <c r="CR322" s="198"/>
      <c r="CS322" s="198"/>
      <c r="CT322" s="198"/>
      <c r="CU322" s="198"/>
      <c r="CV322" s="198"/>
      <c r="CW322" s="198"/>
      <c r="CX322" s="198"/>
      <c r="CY322" s="198"/>
      <c r="CZ322" s="198"/>
      <c r="DA322" s="198"/>
      <c r="DB322" s="198"/>
      <c r="DC322" s="198"/>
      <c r="DD322" s="198"/>
      <c r="DE322" s="198"/>
      <c r="DF322" s="198"/>
      <c r="DG322" s="198"/>
      <c r="DH322" s="198"/>
      <c r="DI322" s="198"/>
      <c r="DJ322" s="198"/>
      <c r="DK322" s="198"/>
      <c r="DL322" s="198"/>
      <c r="DM322" s="198"/>
      <c r="DN322" s="198"/>
      <c r="DO322" s="198"/>
      <c r="DP322" s="198"/>
      <c r="DQ322" s="198"/>
      <c r="DR322" s="198"/>
      <c r="DS322" s="198"/>
      <c r="DT322" s="198"/>
    </row>
    <row r="323" spans="1:124" s="172" customFormat="1" ht="15" outlineLevel="1" x14ac:dyDescent="0.25">
      <c r="A323" s="173"/>
      <c r="B323" s="218" t="str">
        <f>Services!B323</f>
        <v>13A01</v>
      </c>
      <c r="C323" s="216" t="str">
        <f>Services!C323</f>
        <v>Politique et directives relatives à la PRP</v>
      </c>
      <c r="D323" s="210" t="str">
        <f t="shared" si="4"/>
        <v/>
      </c>
      <c r="E323" s="1378"/>
      <c r="F323" s="1378"/>
      <c r="G323" s="1378"/>
      <c r="H323" s="1378"/>
      <c r="I323" s="1378"/>
      <c r="J323" s="1378"/>
      <c r="K323" s="1378"/>
      <c r="L323" s="1378"/>
      <c r="M323" s="1378"/>
      <c r="N323" s="1378"/>
      <c r="O323" s="1378"/>
      <c r="P323" s="1378"/>
      <c r="Q323" s="1378"/>
      <c r="R323" s="1378"/>
      <c r="S323" s="1378"/>
      <c r="T323" s="1378"/>
      <c r="U323" s="1378"/>
      <c r="V323" s="1378"/>
      <c r="W323" s="1378"/>
      <c r="X323" s="1378"/>
      <c r="Y323" s="1378"/>
      <c r="Z323" s="1378"/>
      <c r="AA323" s="1378"/>
      <c r="AB323" s="1378"/>
      <c r="AC323" s="1378"/>
      <c r="AD323" s="1378"/>
      <c r="AE323" s="1378"/>
      <c r="AF323" s="1378"/>
      <c r="AG323" s="1378"/>
      <c r="AH323" s="1378"/>
      <c r="AI323" s="1378"/>
      <c r="AJ323" s="1378"/>
      <c r="AK323" s="1378"/>
      <c r="AL323" s="1378"/>
      <c r="AM323" s="1378"/>
      <c r="AN323" s="1378"/>
      <c r="AO323" s="1378"/>
      <c r="AP323" s="1378"/>
      <c r="AQ323" s="1378"/>
      <c r="AR323" s="1378"/>
      <c r="AS323" s="1378"/>
      <c r="AT323" s="1378"/>
      <c r="AU323" s="1378"/>
      <c r="AV323" s="1378"/>
      <c r="AW323" s="1378"/>
      <c r="AX323" s="1378">
        <f>IF(INDEX(Tab_actions,302,1)=1,INDEX(Tab_actions,302,4),0)</f>
        <v>0</v>
      </c>
      <c r="AY323" s="1378"/>
      <c r="AZ323" s="1378"/>
      <c r="BA323" s="1378"/>
      <c r="BB323" s="1378"/>
      <c r="BC323" s="1378"/>
      <c r="BD323"/>
      <c r="BE323" s="198"/>
      <c r="BF323" s="198"/>
      <c r="BG323" s="198"/>
      <c r="BH323" s="198"/>
      <c r="BI323" s="198"/>
      <c r="BJ323" s="198"/>
      <c r="BK323" s="198"/>
      <c r="BL323" s="198"/>
      <c r="BM323" s="198"/>
      <c r="BN323" s="198"/>
      <c r="BO323" s="198"/>
      <c r="BP323" s="198"/>
      <c r="BQ323" s="198"/>
      <c r="BR323" s="198"/>
      <c r="BS323" s="198"/>
      <c r="BT323" s="198"/>
      <c r="BU323" s="198"/>
      <c r="BV323" s="198"/>
      <c r="BW323" s="198"/>
      <c r="BX323" s="198"/>
      <c r="BY323" s="198"/>
      <c r="BZ323" s="198"/>
      <c r="CA323" s="198"/>
      <c r="CB323" s="198"/>
      <c r="CC323" s="198"/>
      <c r="CD323" s="198"/>
      <c r="CE323" s="198"/>
      <c r="CF323" s="198"/>
      <c r="CG323" s="198"/>
      <c r="CH323" s="198"/>
      <c r="CI323" s="198"/>
      <c r="CJ323" s="198"/>
      <c r="CK323" s="198"/>
      <c r="CL323" s="198"/>
      <c r="CM323" s="198"/>
      <c r="CN323" s="198"/>
      <c r="CO323" s="198"/>
      <c r="CP323" s="198"/>
      <c r="CQ323" s="198"/>
      <c r="CR323" s="198"/>
      <c r="CS323" s="198"/>
      <c r="CT323" s="198"/>
      <c r="CU323" s="198"/>
      <c r="CV323" s="198"/>
      <c r="CW323" s="198"/>
      <c r="CX323" s="198"/>
      <c r="CY323" s="198"/>
      <c r="CZ323" s="198"/>
      <c r="DA323" s="198"/>
      <c r="DB323" s="198"/>
      <c r="DC323" s="198"/>
      <c r="DD323" s="198"/>
      <c r="DE323" s="198"/>
      <c r="DF323" s="198"/>
      <c r="DG323" s="198"/>
      <c r="DH323" s="198"/>
      <c r="DI323" s="198"/>
      <c r="DJ323" s="198"/>
      <c r="DK323" s="198"/>
      <c r="DL323" s="198"/>
      <c r="DM323" s="198"/>
      <c r="DN323" s="198"/>
      <c r="DO323" s="198"/>
      <c r="DP323" s="198"/>
      <c r="DQ323" s="198"/>
      <c r="DR323" s="198"/>
      <c r="DS323" s="198"/>
      <c r="DT323" s="198"/>
    </row>
    <row r="324" spans="1:124" s="172" customFormat="1" ht="15" outlineLevel="1" x14ac:dyDescent="0.25">
      <c r="A324" s="173"/>
      <c r="B324" s="218" t="str">
        <f>Services!B324</f>
        <v>13A02</v>
      </c>
      <c r="C324" s="216" t="str">
        <f>Services!C324</f>
        <v>Programme de formation et de sensibilisation à la PRP</v>
      </c>
      <c r="D324" s="210" t="str">
        <f t="shared" si="4"/>
        <v/>
      </c>
      <c r="E324" s="1378"/>
      <c r="F324" s="1378"/>
      <c r="G324" s="1378"/>
      <c r="H324" s="1378"/>
      <c r="I324" s="1378"/>
      <c r="J324" s="1378"/>
      <c r="K324" s="1378"/>
      <c r="L324" s="1378"/>
      <c r="M324" s="1378"/>
      <c r="N324" s="1378"/>
      <c r="O324" s="1378"/>
      <c r="P324" s="1378"/>
      <c r="Q324" s="1378"/>
      <c r="R324" s="1378"/>
      <c r="S324" s="1378"/>
      <c r="T324" s="1378"/>
      <c r="U324" s="1378"/>
      <c r="V324" s="1378"/>
      <c r="W324" s="1378"/>
      <c r="X324" s="1378"/>
      <c r="Y324" s="1378"/>
      <c r="Z324" s="1378"/>
      <c r="AA324" s="1378"/>
      <c r="AB324" s="1378"/>
      <c r="AC324" s="1378"/>
      <c r="AD324" s="1378"/>
      <c r="AE324" s="1378"/>
      <c r="AF324" s="1378"/>
      <c r="AG324" s="1378"/>
      <c r="AH324" s="1378"/>
      <c r="AI324" s="1378"/>
      <c r="AJ324" s="1378"/>
      <c r="AK324" s="1378"/>
      <c r="AL324" s="1378"/>
      <c r="AM324" s="1378"/>
      <c r="AN324" s="1378"/>
      <c r="AO324" s="1378"/>
      <c r="AP324" s="1378"/>
      <c r="AQ324" s="1378"/>
      <c r="AR324" s="1378"/>
      <c r="AS324" s="1378"/>
      <c r="AT324" s="1378"/>
      <c r="AU324" s="1378"/>
      <c r="AV324" s="1378"/>
      <c r="AW324" s="1378"/>
      <c r="AX324" s="1378">
        <f>IF(INDEX(Tab_actions,302,1)=1,INDEX(Tab_actions,302,7),0)</f>
        <v>0</v>
      </c>
      <c r="AY324" s="1378"/>
      <c r="AZ324" s="1378"/>
      <c r="BA324" s="1378"/>
      <c r="BB324" s="1378"/>
      <c r="BC324" s="1378"/>
      <c r="BD324"/>
      <c r="BE324" s="198"/>
      <c r="BF324" s="198"/>
      <c r="BG324" s="198"/>
      <c r="BH324" s="198"/>
      <c r="BI324" s="198"/>
      <c r="BJ324" s="198"/>
      <c r="BK324" s="198"/>
      <c r="BL324" s="198"/>
      <c r="BM324" s="198"/>
      <c r="BN324" s="198"/>
      <c r="BO324" s="198"/>
      <c r="BP324" s="198"/>
      <c r="BQ324" s="198"/>
      <c r="BR324" s="198"/>
      <c r="BS324" s="198"/>
      <c r="BT324" s="198"/>
      <c r="BU324" s="198"/>
      <c r="BV324" s="198"/>
      <c r="BW324" s="198"/>
      <c r="BX324" s="198"/>
      <c r="BY324" s="198"/>
      <c r="BZ324" s="198"/>
      <c r="CA324" s="198"/>
      <c r="CB324" s="198"/>
      <c r="CC324" s="198"/>
      <c r="CD324" s="198"/>
      <c r="CE324" s="198"/>
      <c r="CF324" s="198"/>
      <c r="CG324" s="198"/>
      <c r="CH324" s="198"/>
      <c r="CI324" s="198"/>
      <c r="CJ324" s="198"/>
      <c r="CK324" s="198"/>
      <c r="CL324" s="198"/>
      <c r="CM324" s="198"/>
      <c r="CN324" s="198"/>
      <c r="CO324" s="198"/>
      <c r="CP324" s="198"/>
      <c r="CQ324" s="198"/>
      <c r="CR324" s="198"/>
      <c r="CS324" s="198"/>
      <c r="CT324" s="198"/>
      <c r="CU324" s="198"/>
      <c r="CV324" s="198"/>
      <c r="CW324" s="198"/>
      <c r="CX324" s="198"/>
      <c r="CY324" s="198"/>
      <c r="CZ324" s="198"/>
      <c r="DA324" s="198"/>
      <c r="DB324" s="198"/>
      <c r="DC324" s="198"/>
      <c r="DD324" s="198"/>
      <c r="DE324" s="198"/>
      <c r="DF324" s="198"/>
      <c r="DG324" s="198"/>
      <c r="DH324" s="198"/>
      <c r="DI324" s="198"/>
      <c r="DJ324" s="198"/>
      <c r="DK324" s="198"/>
      <c r="DL324" s="198"/>
      <c r="DM324" s="198"/>
      <c r="DN324" s="198"/>
      <c r="DO324" s="198"/>
      <c r="DP324" s="198"/>
      <c r="DQ324" s="198"/>
      <c r="DR324" s="198"/>
      <c r="DS324" s="198"/>
      <c r="DT324" s="198"/>
    </row>
    <row r="325" spans="1:124" s="172" customFormat="1" ht="15" outlineLevel="1" x14ac:dyDescent="0.25">
      <c r="A325" s="173"/>
      <c r="B325" s="218" t="str">
        <f>Services!B325</f>
        <v>13A03</v>
      </c>
      <c r="C325" s="216" t="str">
        <f>Services!C325</f>
        <v>Applicabilité de la politique relative à la Prp</v>
      </c>
      <c r="D325" s="210" t="str">
        <f t="shared" si="4"/>
        <v/>
      </c>
      <c r="E325" s="1378"/>
      <c r="F325" s="1378"/>
      <c r="G325" s="1378"/>
      <c r="H325" s="1378"/>
      <c r="I325" s="1378"/>
      <c r="J325" s="1378"/>
      <c r="K325" s="1378"/>
      <c r="L325" s="1378"/>
      <c r="M325" s="1378"/>
      <c r="N325" s="1378"/>
      <c r="O325" s="1378"/>
      <c r="P325" s="1378"/>
      <c r="Q325" s="1378"/>
      <c r="R325" s="1378"/>
      <c r="S325" s="1378"/>
      <c r="T325" s="1378"/>
      <c r="U325" s="1378"/>
      <c r="V325" s="1378"/>
      <c r="W325" s="1378"/>
      <c r="X325" s="1378"/>
      <c r="Y325" s="1378"/>
      <c r="Z325" s="1378"/>
      <c r="AA325" s="1378"/>
      <c r="AB325" s="1378"/>
      <c r="AC325" s="1378"/>
      <c r="AD325" s="1378"/>
      <c r="AE325" s="1378"/>
      <c r="AF325" s="1378"/>
      <c r="AG325" s="1378"/>
      <c r="AH325" s="1378"/>
      <c r="AI325" s="1378"/>
      <c r="AJ325" s="1378"/>
      <c r="AK325" s="1378"/>
      <c r="AL325" s="1378"/>
      <c r="AM325" s="1378"/>
      <c r="AN325" s="1378"/>
      <c r="AO325" s="1378"/>
      <c r="AP325" s="1378"/>
      <c r="AQ325" s="1378"/>
      <c r="AR325" s="1378"/>
      <c r="AS325" s="1378"/>
      <c r="AT325" s="1378"/>
      <c r="AU325" s="1378"/>
      <c r="AV325" s="1378"/>
      <c r="AW325" s="1378"/>
      <c r="AX325" s="1378">
        <f>IF(INDEX(Tab_actions,302,1)=1,INDEX(Tab_actions,302,10),0)</f>
        <v>0</v>
      </c>
      <c r="AY325" s="1378"/>
      <c r="AZ325" s="1378"/>
      <c r="BA325" s="1378"/>
      <c r="BB325" s="1378"/>
      <c r="BC325" s="1378"/>
      <c r="BD325"/>
      <c r="BE325" s="198"/>
      <c r="BF325" s="198"/>
      <c r="BG325" s="198"/>
      <c r="BH325" s="198"/>
      <c r="BI325" s="198"/>
      <c r="BJ325" s="198"/>
      <c r="BK325" s="198"/>
      <c r="BL325" s="198"/>
      <c r="BM325" s="198"/>
      <c r="BN325" s="198"/>
      <c r="BO325" s="198"/>
      <c r="BP325" s="198"/>
      <c r="BQ325" s="198"/>
      <c r="BR325" s="198"/>
      <c r="BS325" s="198"/>
      <c r="BT325" s="198"/>
      <c r="BU325" s="198"/>
      <c r="BV325" s="198"/>
      <c r="BW325" s="198"/>
      <c r="BX325" s="198"/>
      <c r="BY325" s="198"/>
      <c r="BZ325" s="198"/>
      <c r="CA325" s="198"/>
      <c r="CB325" s="198"/>
      <c r="CC325" s="198"/>
      <c r="CD325" s="198"/>
      <c r="CE325" s="198"/>
      <c r="CF325" s="198"/>
      <c r="CG325" s="198"/>
      <c r="CH325" s="198"/>
      <c r="CI325" s="198"/>
      <c r="CJ325" s="198"/>
      <c r="CK325" s="198"/>
      <c r="CL325" s="198"/>
      <c r="CM325" s="198"/>
      <c r="CN325" s="198"/>
      <c r="CO325" s="198"/>
      <c r="CP325" s="198"/>
      <c r="CQ325" s="198"/>
      <c r="CR325" s="198"/>
      <c r="CS325" s="198"/>
      <c r="CT325" s="198"/>
      <c r="CU325" s="198"/>
      <c r="CV325" s="198"/>
      <c r="CW325" s="198"/>
      <c r="CX325" s="198"/>
      <c r="CY325" s="198"/>
      <c r="CZ325" s="198"/>
      <c r="DA325" s="198"/>
      <c r="DB325" s="198"/>
      <c r="DC325" s="198"/>
      <c r="DD325" s="198"/>
      <c r="DE325" s="198"/>
      <c r="DF325" s="198"/>
      <c r="DG325" s="198"/>
      <c r="DH325" s="198"/>
      <c r="DI325" s="198"/>
      <c r="DJ325" s="198"/>
      <c r="DK325" s="198"/>
      <c r="DL325" s="198"/>
      <c r="DM325" s="198"/>
      <c r="DN325" s="198"/>
      <c r="DO325" s="198"/>
      <c r="DP325" s="198"/>
      <c r="DQ325" s="198"/>
      <c r="DR325" s="198"/>
      <c r="DS325" s="198"/>
      <c r="DT325" s="198"/>
    </row>
    <row r="326" spans="1:124" s="172" customFormat="1" ht="15" outlineLevel="1" x14ac:dyDescent="0.25">
      <c r="A326" s="173"/>
      <c r="B326" s="218" t="str">
        <f>Services!B326</f>
        <v>13A04</v>
      </c>
      <c r="C326" s="216" t="str">
        <f>Services!C326</f>
        <v>Contrôle de l'application de la politique relative à la Prp</v>
      </c>
      <c r="D326" s="210" t="str">
        <f t="shared" ref="D326:D388" si="5">IF(MAX(E326:BE326)=0,"",MAX(E326:BE326))</f>
        <v/>
      </c>
      <c r="E326" s="1378"/>
      <c r="F326" s="1378"/>
      <c r="G326" s="1378"/>
      <c r="H326" s="1378"/>
      <c r="I326" s="1378"/>
      <c r="J326" s="1378"/>
      <c r="K326" s="1378"/>
      <c r="L326" s="1378"/>
      <c r="M326" s="1378"/>
      <c r="N326" s="1378"/>
      <c r="O326" s="1378"/>
      <c r="P326" s="1378"/>
      <c r="Q326" s="1378"/>
      <c r="R326" s="1378"/>
      <c r="S326" s="1378"/>
      <c r="T326" s="1378"/>
      <c r="U326" s="1378"/>
      <c r="V326" s="1378"/>
      <c r="W326" s="1378"/>
      <c r="X326" s="1378"/>
      <c r="Y326" s="1378"/>
      <c r="Z326" s="1378"/>
      <c r="AA326" s="1378"/>
      <c r="AB326" s="1378"/>
      <c r="AC326" s="1378"/>
      <c r="AD326" s="1378"/>
      <c r="AE326" s="1378"/>
      <c r="AF326" s="1378"/>
      <c r="AG326" s="1378"/>
      <c r="AH326" s="1378"/>
      <c r="AI326" s="1378"/>
      <c r="AJ326" s="1378"/>
      <c r="AK326" s="1378"/>
      <c r="AL326" s="1378"/>
      <c r="AM326" s="1378"/>
      <c r="AN326" s="1378"/>
      <c r="AO326" s="1378"/>
      <c r="AP326" s="1378"/>
      <c r="AQ326" s="1378"/>
      <c r="AR326" s="1378"/>
      <c r="AS326" s="1378"/>
      <c r="AT326" s="1378"/>
      <c r="AU326" s="1378"/>
      <c r="AV326" s="1378"/>
      <c r="AW326" s="1378"/>
      <c r="AX326" s="1378">
        <f>IF(INDEX(Tab_actions,301,1)=1,INDEX(Tab_actions,301,4),0)</f>
        <v>0</v>
      </c>
      <c r="AY326" s="1378"/>
      <c r="AZ326" s="1378"/>
      <c r="BA326" s="1378"/>
      <c r="BB326" s="1378"/>
      <c r="BC326" s="1378"/>
      <c r="BD326"/>
      <c r="BE326" s="198"/>
      <c r="BF326" s="198"/>
      <c r="BG326" s="198"/>
      <c r="BH326" s="198"/>
      <c r="BI326" s="198"/>
      <c r="BJ326" s="198"/>
      <c r="BK326" s="198"/>
      <c r="BL326" s="198"/>
      <c r="BM326" s="198"/>
      <c r="BN326" s="198"/>
      <c r="BO326" s="198"/>
      <c r="BP326" s="198"/>
      <c r="BQ326" s="198"/>
      <c r="BR326" s="198"/>
      <c r="BS326" s="198"/>
      <c r="BT326" s="198"/>
      <c r="BU326" s="198"/>
      <c r="BV326" s="198"/>
      <c r="BW326" s="198"/>
      <c r="BX326" s="198"/>
      <c r="BY326" s="198"/>
      <c r="BZ326" s="198"/>
      <c r="CA326" s="198"/>
      <c r="CB326" s="198"/>
      <c r="CC326" s="198"/>
      <c r="CD326" s="198"/>
      <c r="CE326" s="198"/>
      <c r="CF326" s="198"/>
      <c r="CG326" s="198"/>
      <c r="CH326" s="198"/>
      <c r="CI326" s="198"/>
      <c r="CJ326" s="198"/>
      <c r="CK326" s="198"/>
      <c r="CL326" s="198"/>
      <c r="CM326" s="198"/>
      <c r="CN326" s="198"/>
      <c r="CO326" s="198"/>
      <c r="CP326" s="198"/>
      <c r="CQ326" s="198"/>
      <c r="CR326" s="198"/>
      <c r="CS326" s="198"/>
      <c r="CT326" s="198"/>
      <c r="CU326" s="198"/>
      <c r="CV326" s="198"/>
      <c r="CW326" s="198"/>
      <c r="CX326" s="198"/>
      <c r="CY326" s="198"/>
      <c r="CZ326" s="198"/>
      <c r="DA326" s="198"/>
      <c r="DB326" s="198"/>
      <c r="DC326" s="198"/>
      <c r="DD326" s="198"/>
      <c r="DE326" s="198"/>
      <c r="DF326" s="198"/>
      <c r="DG326" s="198"/>
      <c r="DH326" s="198"/>
      <c r="DI326" s="198"/>
      <c r="DJ326" s="198"/>
      <c r="DK326" s="198"/>
      <c r="DL326" s="198"/>
      <c r="DM326" s="198"/>
      <c r="DN326" s="198"/>
      <c r="DO326" s="198"/>
      <c r="DP326" s="198"/>
      <c r="DQ326" s="198"/>
      <c r="DR326" s="198"/>
      <c r="DS326" s="198"/>
      <c r="DT326" s="198"/>
    </row>
    <row r="327" spans="1:124" s="172" customFormat="1" ht="15" outlineLevel="1" x14ac:dyDescent="0.25">
      <c r="A327" s="173"/>
      <c r="B327" s="213" t="str">
        <f>Services!B327</f>
        <v>13B</v>
      </c>
      <c r="C327" s="214" t="str">
        <f>Services!C327</f>
        <v>Communication financière</v>
      </c>
      <c r="D327" s="210" t="str">
        <f t="shared" si="5"/>
        <v/>
      </c>
      <c r="E327" s="1378"/>
      <c r="F327" s="1378"/>
      <c r="G327" s="1378"/>
      <c r="H327" s="1378"/>
      <c r="I327" s="1378"/>
      <c r="J327" s="1378"/>
      <c r="K327" s="1378"/>
      <c r="L327" s="1378"/>
      <c r="M327" s="1378"/>
      <c r="N327" s="1378"/>
      <c r="O327" s="1378"/>
      <c r="P327" s="1378"/>
      <c r="Q327" s="1378"/>
      <c r="R327" s="1378"/>
      <c r="S327" s="1378"/>
      <c r="T327" s="1378"/>
      <c r="U327" s="1378"/>
      <c r="V327" s="1378"/>
      <c r="W327" s="1378"/>
      <c r="X327" s="1378"/>
      <c r="Y327" s="1378"/>
      <c r="Z327" s="1378"/>
      <c r="AA327" s="1378"/>
      <c r="AB327" s="1378"/>
      <c r="AC327" s="1378"/>
      <c r="AD327" s="1378"/>
      <c r="AE327" s="1378"/>
      <c r="AF327" s="1378"/>
      <c r="AG327" s="1378"/>
      <c r="AH327" s="1378"/>
      <c r="AI327" s="1378"/>
      <c r="AJ327" s="1378"/>
      <c r="AK327" s="1378"/>
      <c r="AL327" s="1378"/>
      <c r="AM327" s="1378"/>
      <c r="AN327" s="1378"/>
      <c r="AO327" s="1378"/>
      <c r="AP327" s="1378"/>
      <c r="AQ327" s="1378"/>
      <c r="AR327" s="1378"/>
      <c r="AS327" s="1378"/>
      <c r="AT327" s="1378"/>
      <c r="AU327" s="1378"/>
      <c r="AV327" s="1378"/>
      <c r="AW327" s="1378"/>
      <c r="AX327" s="1378"/>
      <c r="AY327" s="1378"/>
      <c r="AZ327" s="1378"/>
      <c r="BA327" s="1378"/>
      <c r="BB327" s="1378"/>
      <c r="BC327" s="1378"/>
      <c r="BD327"/>
      <c r="BE327" s="198"/>
      <c r="BF327" s="198"/>
      <c r="BG327" s="198"/>
      <c r="BH327" s="198"/>
      <c r="BI327" s="198"/>
      <c r="BJ327" s="198"/>
      <c r="BK327" s="198"/>
      <c r="BL327" s="198"/>
      <c r="BM327" s="198"/>
      <c r="BN327" s="198"/>
      <c r="BO327" s="198"/>
      <c r="BP327" s="198"/>
      <c r="BQ327" s="198"/>
      <c r="BR327" s="198"/>
      <c r="BS327" s="198"/>
      <c r="BT327" s="198"/>
      <c r="BU327" s="198"/>
      <c r="BV327" s="198"/>
      <c r="BW327" s="198"/>
      <c r="BX327" s="198"/>
      <c r="BY327" s="198"/>
      <c r="BZ327" s="198"/>
      <c r="CA327" s="198"/>
      <c r="CB327" s="198"/>
      <c r="CC327" s="198"/>
      <c r="CD327" s="198"/>
      <c r="CE327" s="198"/>
      <c r="CF327" s="198"/>
      <c r="CG327" s="198"/>
      <c r="CH327" s="198"/>
      <c r="CI327" s="198"/>
      <c r="CJ327" s="198"/>
      <c r="CK327" s="198"/>
      <c r="CL327" s="198"/>
      <c r="CM327" s="198"/>
      <c r="CN327" s="198"/>
      <c r="CO327" s="198"/>
      <c r="CP327" s="198"/>
      <c r="CQ327" s="198"/>
      <c r="CR327" s="198"/>
      <c r="CS327" s="198"/>
      <c r="CT327" s="198"/>
      <c r="CU327" s="198"/>
      <c r="CV327" s="198"/>
      <c r="CW327" s="198"/>
      <c r="CX327" s="198"/>
      <c r="CY327" s="198"/>
      <c r="CZ327" s="198"/>
      <c r="DA327" s="198"/>
      <c r="DB327" s="198"/>
      <c r="DC327" s="198"/>
      <c r="DD327" s="198"/>
      <c r="DE327" s="198"/>
      <c r="DF327" s="198"/>
      <c r="DG327" s="198"/>
      <c r="DH327" s="198"/>
      <c r="DI327" s="198"/>
      <c r="DJ327" s="198"/>
      <c r="DK327" s="198"/>
      <c r="DL327" s="198"/>
      <c r="DM327" s="198"/>
      <c r="DN327" s="198"/>
      <c r="DO327" s="198"/>
      <c r="DP327" s="198"/>
      <c r="DQ327" s="198"/>
      <c r="DR327" s="198"/>
      <c r="DS327" s="198"/>
      <c r="DT327" s="198"/>
    </row>
    <row r="328" spans="1:124" s="172" customFormat="1" ht="15" outlineLevel="1" x14ac:dyDescent="0.25">
      <c r="A328" s="173"/>
      <c r="B328" s="218" t="str">
        <f>Services!B328</f>
        <v>13B01</v>
      </c>
      <c r="C328" s="216" t="str">
        <f>Services!C328</f>
        <v>Politique et directives relatives à la Communication financière</v>
      </c>
      <c r="D328" s="210" t="str">
        <f t="shared" si="5"/>
        <v/>
      </c>
      <c r="E328" s="1378"/>
      <c r="F328" s="1378"/>
      <c r="G328" s="1378"/>
      <c r="H328" s="1378"/>
      <c r="I328" s="1378"/>
      <c r="J328" s="1378"/>
      <c r="K328" s="1378"/>
      <c r="L328" s="1378"/>
      <c r="M328" s="1378"/>
      <c r="N328" s="1378"/>
      <c r="O328" s="1378"/>
      <c r="P328" s="1378"/>
      <c r="Q328" s="1378"/>
      <c r="R328" s="1378"/>
      <c r="S328" s="1378"/>
      <c r="T328" s="1378"/>
      <c r="U328" s="1378"/>
      <c r="V328" s="1378"/>
      <c r="W328" s="1378"/>
      <c r="X328" s="1378"/>
      <c r="Y328" s="1378"/>
      <c r="Z328" s="1378"/>
      <c r="AA328" s="1378"/>
      <c r="AB328" s="1378"/>
      <c r="AC328" s="1378"/>
      <c r="AD328" s="1378"/>
      <c r="AE328" s="1378"/>
      <c r="AF328" s="1378"/>
      <c r="AG328" s="1378"/>
      <c r="AH328" s="1378"/>
      <c r="AI328" s="1378"/>
      <c r="AJ328" s="1378"/>
      <c r="AK328" s="1378"/>
      <c r="AL328" s="1378"/>
      <c r="AM328" s="1378"/>
      <c r="AN328" s="1378"/>
      <c r="AO328" s="1378"/>
      <c r="AP328" s="1378"/>
      <c r="AQ328" s="1378"/>
      <c r="AR328" s="1378"/>
      <c r="AS328" s="1378"/>
      <c r="AT328" s="1378"/>
      <c r="AU328" s="1378"/>
      <c r="AV328" s="1378"/>
      <c r="AW328" s="1378"/>
      <c r="AX328" s="1378"/>
      <c r="AY328" s="1378">
        <f>IF(INDEX(Tab_actions,307,1)=1,INDEX(Tab_actions,307,4),0)</f>
        <v>0</v>
      </c>
      <c r="AZ328" s="1378"/>
      <c r="BA328" s="1378"/>
      <c r="BB328" s="1378"/>
      <c r="BC328" s="1378"/>
      <c r="BD328"/>
      <c r="BE328" s="198"/>
      <c r="BF328" s="198"/>
      <c r="BG328" s="198"/>
      <c r="BH328" s="198"/>
      <c r="BI328" s="198"/>
      <c r="BJ328" s="198"/>
      <c r="BK328" s="198"/>
      <c r="BL328" s="198"/>
      <c r="BM328" s="198"/>
      <c r="BN328" s="198"/>
      <c r="BO328" s="198"/>
      <c r="BP328" s="198"/>
      <c r="BQ328" s="198"/>
      <c r="BR328" s="198"/>
      <c r="BS328" s="198"/>
      <c r="BT328" s="198"/>
      <c r="BU328" s="198"/>
      <c r="BV328" s="198"/>
      <c r="BW328" s="198"/>
      <c r="BX328" s="198"/>
      <c r="BY328" s="198"/>
      <c r="BZ328" s="198"/>
      <c r="CA328" s="198"/>
      <c r="CB328" s="198"/>
      <c r="CC328" s="198"/>
      <c r="CD328" s="198"/>
      <c r="CE328" s="198"/>
      <c r="CF328" s="198"/>
      <c r="CG328" s="198"/>
      <c r="CH328" s="198"/>
      <c r="CI328" s="198"/>
      <c r="CJ328" s="198"/>
      <c r="CK328" s="198"/>
      <c r="CL328" s="198"/>
      <c r="CM328" s="198"/>
      <c r="CN328" s="198"/>
      <c r="CO328" s="198"/>
      <c r="CP328" s="198"/>
      <c r="CQ328" s="198"/>
      <c r="CR328" s="198"/>
      <c r="CS328" s="198"/>
      <c r="CT328" s="198"/>
      <c r="CU328" s="198"/>
      <c r="CV328" s="198"/>
      <c r="CW328" s="198"/>
      <c r="CX328" s="198"/>
      <c r="CY328" s="198"/>
      <c r="CZ328" s="198"/>
      <c r="DA328" s="198"/>
      <c r="DB328" s="198"/>
      <c r="DC328" s="198"/>
      <c r="DD328" s="198"/>
      <c r="DE328" s="198"/>
      <c r="DF328" s="198"/>
      <c r="DG328" s="198"/>
      <c r="DH328" s="198"/>
      <c r="DI328" s="198"/>
      <c r="DJ328" s="198"/>
      <c r="DK328" s="198"/>
      <c r="DL328" s="198"/>
      <c r="DM328" s="198"/>
      <c r="DN328" s="198"/>
      <c r="DO328" s="198"/>
      <c r="DP328" s="198"/>
      <c r="DQ328" s="198"/>
      <c r="DR328" s="198"/>
      <c r="DS328" s="198"/>
      <c r="DT328" s="198"/>
    </row>
    <row r="329" spans="1:124" s="172" customFormat="1" ht="15.75" customHeight="1" outlineLevel="1" x14ac:dyDescent="0.25">
      <c r="A329" s="173"/>
      <c r="B329" s="218" t="str">
        <f>Services!B329</f>
        <v>13B02</v>
      </c>
      <c r="C329" s="216" t="str">
        <f>Services!C329</f>
        <v>Programme de formation et de sensibilisation à la Communication financière</v>
      </c>
      <c r="D329" s="210" t="str">
        <f t="shared" si="5"/>
        <v/>
      </c>
      <c r="E329" s="1378"/>
      <c r="F329" s="1378"/>
      <c r="G329" s="1378"/>
      <c r="H329" s="1378"/>
      <c r="I329" s="1378"/>
      <c r="J329" s="1378"/>
      <c r="K329" s="1378"/>
      <c r="L329" s="1378"/>
      <c r="M329" s="1378"/>
      <c r="N329" s="1378"/>
      <c r="O329" s="1378"/>
      <c r="P329" s="1378"/>
      <c r="Q329" s="1378"/>
      <c r="R329" s="1378"/>
      <c r="S329" s="1378"/>
      <c r="T329" s="1378"/>
      <c r="U329" s="1378"/>
      <c r="V329" s="1378"/>
      <c r="W329" s="1378"/>
      <c r="X329" s="1378"/>
      <c r="Y329" s="1378"/>
      <c r="Z329" s="1378"/>
      <c r="AA329" s="1378"/>
      <c r="AB329" s="1378"/>
      <c r="AC329" s="1378"/>
      <c r="AD329" s="1378"/>
      <c r="AE329" s="1378"/>
      <c r="AF329" s="1378"/>
      <c r="AG329" s="1378"/>
      <c r="AH329" s="1378"/>
      <c r="AI329" s="1378"/>
      <c r="AJ329" s="1378"/>
      <c r="AK329" s="1378"/>
      <c r="AL329" s="1378"/>
      <c r="AM329" s="1378"/>
      <c r="AN329" s="1378"/>
      <c r="AO329" s="1378"/>
      <c r="AP329" s="1378"/>
      <c r="AQ329" s="1378"/>
      <c r="AR329" s="1378"/>
      <c r="AS329" s="1378"/>
      <c r="AT329" s="1378"/>
      <c r="AU329" s="1378"/>
      <c r="AV329" s="1378"/>
      <c r="AW329" s="1378"/>
      <c r="AX329" s="1378"/>
      <c r="AY329" s="1378">
        <f>IF(INDEX(Tab_actions,307,1)=1,INDEX(Tab_actions,307,7),0)</f>
        <v>0</v>
      </c>
      <c r="AZ329" s="1378"/>
      <c r="BA329" s="1378"/>
      <c r="BB329" s="1378"/>
      <c r="BC329" s="1378"/>
      <c r="BD329"/>
      <c r="BE329" s="198"/>
      <c r="BF329" s="198"/>
      <c r="BG329" s="198"/>
      <c r="BH329" s="198"/>
      <c r="BI329" s="198"/>
      <c r="BJ329" s="198"/>
      <c r="BK329" s="198"/>
      <c r="BL329" s="198"/>
      <c r="BM329" s="198"/>
      <c r="BN329" s="198"/>
      <c r="BO329" s="198"/>
      <c r="BP329" s="198"/>
      <c r="BQ329" s="198"/>
      <c r="BR329" s="198"/>
      <c r="BS329" s="198"/>
      <c r="BT329" s="198"/>
      <c r="BU329" s="198"/>
      <c r="BV329" s="198"/>
      <c r="BW329" s="198"/>
      <c r="BX329" s="198"/>
      <c r="BY329" s="198"/>
      <c r="BZ329" s="198"/>
      <c r="CA329" s="198"/>
      <c r="CB329" s="198"/>
      <c r="CC329" s="198"/>
      <c r="CD329" s="198"/>
      <c r="CE329" s="198"/>
      <c r="CF329" s="198"/>
      <c r="CG329" s="198"/>
      <c r="CH329" s="198"/>
      <c r="CI329" s="198"/>
      <c r="CJ329" s="198"/>
      <c r="CK329" s="198"/>
      <c r="CL329" s="198"/>
      <c r="CM329" s="198"/>
      <c r="CN329" s="198"/>
      <c r="CO329" s="198"/>
      <c r="CP329" s="198"/>
      <c r="CQ329" s="198"/>
      <c r="CR329" s="198"/>
      <c r="CS329" s="198"/>
      <c r="CT329" s="198"/>
      <c r="CU329" s="198"/>
      <c r="CV329" s="198"/>
      <c r="CW329" s="198"/>
      <c r="CX329" s="198"/>
      <c r="CY329" s="198"/>
      <c r="CZ329" s="198"/>
      <c r="DA329" s="198"/>
      <c r="DB329" s="198"/>
      <c r="DC329" s="198"/>
      <c r="DD329" s="198"/>
      <c r="DE329" s="198"/>
      <c r="DF329" s="198"/>
      <c r="DG329" s="198"/>
      <c r="DH329" s="198"/>
      <c r="DI329" s="198"/>
      <c r="DJ329" s="198"/>
      <c r="DK329" s="198"/>
      <c r="DL329" s="198"/>
      <c r="DM329" s="198"/>
      <c r="DN329" s="198"/>
      <c r="DO329" s="198"/>
      <c r="DP329" s="198"/>
      <c r="DQ329" s="198"/>
      <c r="DR329" s="198"/>
      <c r="DS329" s="198"/>
      <c r="DT329" s="198"/>
    </row>
    <row r="330" spans="1:124" s="172" customFormat="1" ht="15" outlineLevel="1" x14ac:dyDescent="0.25">
      <c r="A330" s="173"/>
      <c r="B330" s="218" t="str">
        <f>Services!B330</f>
        <v>13B03</v>
      </c>
      <c r="C330" s="216" t="str">
        <f>Services!C330</f>
        <v>Applicabilité de la politique relative à la Communication financière</v>
      </c>
      <c r="D330" s="210" t="str">
        <f t="shared" si="5"/>
        <v/>
      </c>
      <c r="E330" s="1378"/>
      <c r="F330" s="1378"/>
      <c r="G330" s="1378"/>
      <c r="H330" s="1378"/>
      <c r="I330" s="1378"/>
      <c r="J330" s="1378"/>
      <c r="K330" s="1378"/>
      <c r="L330" s="1378"/>
      <c r="M330" s="1378"/>
      <c r="N330" s="1378"/>
      <c r="O330" s="1378"/>
      <c r="P330" s="1378"/>
      <c r="Q330" s="1378"/>
      <c r="R330" s="1378"/>
      <c r="S330" s="1378"/>
      <c r="T330" s="1378"/>
      <c r="U330" s="1378"/>
      <c r="V330" s="1378"/>
      <c r="W330" s="1378"/>
      <c r="X330" s="1378"/>
      <c r="Y330" s="1378"/>
      <c r="Z330" s="1378"/>
      <c r="AA330" s="1378"/>
      <c r="AB330" s="1378"/>
      <c r="AC330" s="1378"/>
      <c r="AD330" s="1378"/>
      <c r="AE330" s="1378"/>
      <c r="AF330" s="1378"/>
      <c r="AG330" s="1378"/>
      <c r="AH330" s="1378"/>
      <c r="AI330" s="1378"/>
      <c r="AJ330" s="1378"/>
      <c r="AK330" s="1378"/>
      <c r="AL330" s="1378"/>
      <c r="AM330" s="1378"/>
      <c r="AN330" s="1378"/>
      <c r="AO330" s="1378"/>
      <c r="AP330" s="1378"/>
      <c r="AQ330" s="1378"/>
      <c r="AR330" s="1378"/>
      <c r="AS330" s="1378"/>
      <c r="AT330" s="1378"/>
      <c r="AU330" s="1378"/>
      <c r="AV330" s="1378"/>
      <c r="AW330" s="1378"/>
      <c r="AX330" s="1378"/>
      <c r="AY330" s="1378">
        <f>IF(INDEX(Tab_actions,307,1)=1,INDEX(Tab_actions,307,10),0)</f>
        <v>0</v>
      </c>
      <c r="AZ330" s="1378"/>
      <c r="BA330" s="1378"/>
      <c r="BB330" s="1378"/>
      <c r="BC330" s="1378"/>
      <c r="BD330"/>
      <c r="BE330" s="198"/>
      <c r="BF330" s="198"/>
      <c r="BG330" s="198"/>
      <c r="BH330" s="198"/>
      <c r="BI330" s="198"/>
      <c r="BJ330" s="198"/>
      <c r="BK330" s="198"/>
      <c r="BL330" s="198"/>
      <c r="BM330" s="198"/>
      <c r="BN330" s="198"/>
      <c r="BO330" s="198"/>
      <c r="BP330" s="198"/>
      <c r="BQ330" s="198"/>
      <c r="BR330" s="198"/>
      <c r="BS330" s="198"/>
      <c r="BT330" s="198"/>
      <c r="BU330" s="198"/>
      <c r="BV330" s="198"/>
      <c r="BW330" s="198"/>
      <c r="BX330" s="198"/>
      <c r="BY330" s="198"/>
      <c r="BZ330" s="198"/>
      <c r="CA330" s="198"/>
      <c r="CB330" s="198"/>
      <c r="CC330" s="198"/>
      <c r="CD330" s="198"/>
      <c r="CE330" s="198"/>
      <c r="CF330" s="198"/>
      <c r="CG330" s="198"/>
      <c r="CH330" s="198"/>
      <c r="CI330" s="198"/>
      <c r="CJ330" s="198"/>
      <c r="CK330" s="198"/>
      <c r="CL330" s="198"/>
      <c r="CM330" s="198"/>
      <c r="CN330" s="198"/>
      <c r="CO330" s="198"/>
      <c r="CP330" s="198"/>
      <c r="CQ330" s="198"/>
      <c r="CR330" s="198"/>
      <c r="CS330" s="198"/>
      <c r="CT330" s="198"/>
      <c r="CU330" s="198"/>
      <c r="CV330" s="198"/>
      <c r="CW330" s="198"/>
      <c r="CX330" s="198"/>
      <c r="CY330" s="198"/>
      <c r="CZ330" s="198"/>
      <c r="DA330" s="198"/>
      <c r="DB330" s="198"/>
      <c r="DC330" s="198"/>
      <c r="DD330" s="198"/>
      <c r="DE330" s="198"/>
      <c r="DF330" s="198"/>
      <c r="DG330" s="198"/>
      <c r="DH330" s="198"/>
      <c r="DI330" s="198"/>
      <c r="DJ330" s="198"/>
      <c r="DK330" s="198"/>
      <c r="DL330" s="198"/>
      <c r="DM330" s="198"/>
      <c r="DN330" s="198"/>
      <c r="DO330" s="198"/>
      <c r="DP330" s="198"/>
      <c r="DQ330" s="198"/>
      <c r="DR330" s="198"/>
      <c r="DS330" s="198"/>
      <c r="DT330" s="198"/>
    </row>
    <row r="331" spans="1:124" s="172" customFormat="1" ht="15.75" customHeight="1" outlineLevel="1" x14ac:dyDescent="0.25">
      <c r="A331" s="173"/>
      <c r="B331" s="218" t="str">
        <f>Services!B331</f>
        <v>13B04</v>
      </c>
      <c r="C331" s="216" t="str">
        <f>Services!C331</f>
        <v>Contrôle de l'application de la politique relative à la Communication financière</v>
      </c>
      <c r="D331" s="210" t="str">
        <f t="shared" si="5"/>
        <v/>
      </c>
      <c r="E331" s="1378"/>
      <c r="F331" s="1378"/>
      <c r="G331" s="1378"/>
      <c r="H331" s="1378"/>
      <c r="I331" s="1378"/>
      <c r="J331" s="1378"/>
      <c r="K331" s="1378"/>
      <c r="L331" s="1378"/>
      <c r="M331" s="1378"/>
      <c r="N331" s="1378"/>
      <c r="O331" s="1378"/>
      <c r="P331" s="1378"/>
      <c r="Q331" s="1378"/>
      <c r="R331" s="1378"/>
      <c r="S331" s="1378"/>
      <c r="T331" s="1378"/>
      <c r="U331" s="1378"/>
      <c r="V331" s="1378"/>
      <c r="W331" s="1378"/>
      <c r="X331" s="1378"/>
      <c r="Y331" s="1378"/>
      <c r="Z331" s="1378"/>
      <c r="AA331" s="1378"/>
      <c r="AB331" s="1378"/>
      <c r="AC331" s="1378"/>
      <c r="AD331" s="1378"/>
      <c r="AE331" s="1378"/>
      <c r="AF331" s="1378"/>
      <c r="AG331" s="1378"/>
      <c r="AH331" s="1378"/>
      <c r="AI331" s="1378"/>
      <c r="AJ331" s="1378"/>
      <c r="AK331" s="1378"/>
      <c r="AL331" s="1378"/>
      <c r="AM331" s="1378"/>
      <c r="AN331" s="1378"/>
      <c r="AO331" s="1378"/>
      <c r="AP331" s="1378"/>
      <c r="AQ331" s="1378"/>
      <c r="AR331" s="1378"/>
      <c r="AS331" s="1378"/>
      <c r="AT331" s="1378"/>
      <c r="AU331" s="1378"/>
      <c r="AV331" s="1378"/>
      <c r="AW331" s="1378"/>
      <c r="AX331" s="1378"/>
      <c r="AY331" s="1378">
        <f>IF(INDEX(Tab_actions,306,1)=1,INDEX(Tab_actions,306,4),0)</f>
        <v>0</v>
      </c>
      <c r="AZ331" s="1378"/>
      <c r="BA331" s="1378"/>
      <c r="BB331" s="1378"/>
      <c r="BC331" s="1378"/>
      <c r="BD331"/>
      <c r="BE331" s="198"/>
      <c r="BF331" s="198"/>
      <c r="BG331" s="198"/>
      <c r="BH331" s="198"/>
      <c r="BI331" s="198"/>
      <c r="BJ331" s="198"/>
      <c r="BK331" s="198"/>
      <c r="BL331" s="198"/>
      <c r="BM331" s="198"/>
      <c r="BN331" s="198"/>
      <c r="BO331" s="198"/>
      <c r="BP331" s="198"/>
      <c r="BQ331" s="198"/>
      <c r="BR331" s="198"/>
      <c r="BS331" s="198"/>
      <c r="BT331" s="198"/>
      <c r="BU331" s="198"/>
      <c r="BV331" s="198"/>
      <c r="BW331" s="198"/>
      <c r="BX331" s="198"/>
      <c r="BY331" s="198"/>
      <c r="BZ331" s="198"/>
      <c r="CA331" s="198"/>
      <c r="CB331" s="198"/>
      <c r="CC331" s="198"/>
      <c r="CD331" s="198"/>
      <c r="CE331" s="198"/>
      <c r="CF331" s="198"/>
      <c r="CG331" s="198"/>
      <c r="CH331" s="198"/>
      <c r="CI331" s="198"/>
      <c r="CJ331" s="198"/>
      <c r="CK331" s="198"/>
      <c r="CL331" s="198"/>
      <c r="CM331" s="198"/>
      <c r="CN331" s="198"/>
      <c r="CO331" s="198"/>
      <c r="CP331" s="198"/>
      <c r="CQ331" s="198"/>
      <c r="CR331" s="198"/>
      <c r="CS331" s="198"/>
      <c r="CT331" s="198"/>
      <c r="CU331" s="198"/>
      <c r="CV331" s="198"/>
      <c r="CW331" s="198"/>
      <c r="CX331" s="198"/>
      <c r="CY331" s="198"/>
      <c r="CZ331" s="198"/>
      <c r="DA331" s="198"/>
      <c r="DB331" s="198"/>
      <c r="DC331" s="198"/>
      <c r="DD331" s="198"/>
      <c r="DE331" s="198"/>
      <c r="DF331" s="198"/>
      <c r="DG331" s="198"/>
      <c r="DH331" s="198"/>
      <c r="DI331" s="198"/>
      <c r="DJ331" s="198"/>
      <c r="DK331" s="198"/>
      <c r="DL331" s="198"/>
      <c r="DM331" s="198"/>
      <c r="DN331" s="198"/>
      <c r="DO331" s="198"/>
      <c r="DP331" s="198"/>
      <c r="DQ331" s="198"/>
      <c r="DR331" s="198"/>
      <c r="DS331" s="198"/>
      <c r="DT331" s="198"/>
    </row>
    <row r="332" spans="1:124" s="172" customFormat="1" ht="25.5" outlineLevel="1" x14ac:dyDescent="0.25">
      <c r="A332" s="173"/>
      <c r="B332" s="213" t="str">
        <f>Services!B332</f>
        <v>13C</v>
      </c>
      <c r="C332" s="214" t="str">
        <f>Services!C332</f>
        <v>Respect de la législation concernant la Vérification de la Comptabilité Informatisée (VCI)</v>
      </c>
      <c r="D332" s="210" t="str">
        <f t="shared" si="5"/>
        <v/>
      </c>
      <c r="E332" s="1378"/>
      <c r="F332" s="1378"/>
      <c r="G332" s="1378"/>
      <c r="H332" s="1378"/>
      <c r="I332" s="1378"/>
      <c r="J332" s="1378"/>
      <c r="K332" s="1378"/>
      <c r="L332" s="1378"/>
      <c r="M332" s="1378"/>
      <c r="N332" s="1378"/>
      <c r="O332" s="1378"/>
      <c r="P332" s="1378"/>
      <c r="Q332" s="1378"/>
      <c r="R332" s="1378"/>
      <c r="S332" s="1378"/>
      <c r="T332" s="1378"/>
      <c r="U332" s="1378"/>
      <c r="V332" s="1378"/>
      <c r="W332" s="1378"/>
      <c r="X332" s="1378"/>
      <c r="Y332" s="1378"/>
      <c r="Z332" s="1378"/>
      <c r="AA332" s="1378"/>
      <c r="AB332" s="1378"/>
      <c r="AC332" s="1378"/>
      <c r="AD332" s="1378"/>
      <c r="AE332" s="1378"/>
      <c r="AF332" s="1378"/>
      <c r="AG332" s="1378"/>
      <c r="AH332" s="1378"/>
      <c r="AI332" s="1378"/>
      <c r="AJ332" s="1378"/>
      <c r="AK332" s="1378"/>
      <c r="AL332" s="1378"/>
      <c r="AM332" s="1378"/>
      <c r="AN332" s="1378"/>
      <c r="AO332" s="1378"/>
      <c r="AP332" s="1378"/>
      <c r="AQ332" s="1378"/>
      <c r="AR332" s="1378"/>
      <c r="AS332" s="1378"/>
      <c r="AT332" s="1378"/>
      <c r="AU332" s="1378"/>
      <c r="AV332" s="1378"/>
      <c r="AW332" s="1378"/>
      <c r="AX332" s="1378"/>
      <c r="AY332" s="1378"/>
      <c r="AZ332" s="1378"/>
      <c r="BA332" s="1378"/>
      <c r="BB332" s="1378"/>
      <c r="BC332" s="1378"/>
      <c r="BD332"/>
      <c r="BE332" s="198"/>
      <c r="BF332" s="198"/>
      <c r="BG332" s="198"/>
      <c r="BH332" s="198"/>
      <c r="BI332" s="198"/>
      <c r="BJ332" s="198"/>
      <c r="BK332" s="198"/>
      <c r="BL332" s="198"/>
      <c r="BM332" s="198"/>
      <c r="BN332" s="198"/>
      <c r="BO332" s="198"/>
      <c r="BP332" s="198"/>
      <c r="BQ332" s="198"/>
      <c r="BR332" s="198"/>
      <c r="BS332" s="198"/>
      <c r="BT332" s="198"/>
      <c r="BU332" s="198"/>
      <c r="BV332" s="198"/>
      <c r="BW332" s="198"/>
      <c r="BX332" s="198"/>
      <c r="BY332" s="198"/>
      <c r="BZ332" s="198"/>
      <c r="CA332" s="198"/>
      <c r="CB332" s="198"/>
      <c r="CC332" s="198"/>
      <c r="CD332" s="198"/>
      <c r="CE332" s="198"/>
      <c r="CF332" s="198"/>
      <c r="CG332" s="198"/>
      <c r="CH332" s="198"/>
      <c r="CI332" s="198"/>
      <c r="CJ332" s="198"/>
      <c r="CK332" s="198"/>
      <c r="CL332" s="198"/>
      <c r="CM332" s="198"/>
      <c r="CN332" s="198"/>
      <c r="CO332" s="198"/>
      <c r="CP332" s="198"/>
      <c r="CQ332" s="198"/>
      <c r="CR332" s="198"/>
      <c r="CS332" s="198"/>
      <c r="CT332" s="198"/>
      <c r="CU332" s="198"/>
      <c r="CV332" s="198"/>
      <c r="CW332" s="198"/>
      <c r="CX332" s="198"/>
      <c r="CY332" s="198"/>
      <c r="CZ332" s="198"/>
      <c r="DA332" s="198"/>
      <c r="DB332" s="198"/>
      <c r="DC332" s="198"/>
      <c r="DD332" s="198"/>
      <c r="DE332" s="198"/>
      <c r="DF332" s="198"/>
      <c r="DG332" s="198"/>
      <c r="DH332" s="198"/>
      <c r="DI332" s="198"/>
      <c r="DJ332" s="198"/>
      <c r="DK332" s="198"/>
      <c r="DL332" s="198"/>
      <c r="DM332" s="198"/>
      <c r="DN332" s="198"/>
      <c r="DO332" s="198"/>
      <c r="DP332" s="198"/>
      <c r="DQ332" s="198"/>
      <c r="DR332" s="198"/>
      <c r="DS332" s="198"/>
      <c r="DT332" s="198"/>
    </row>
    <row r="333" spans="1:124" s="172" customFormat="1" ht="15" outlineLevel="1" x14ac:dyDescent="0.25">
      <c r="A333" s="173"/>
      <c r="B333" s="218" t="str">
        <f>Services!B333</f>
        <v>13C01</v>
      </c>
      <c r="C333" s="216" t="str">
        <f>Services!C333</f>
        <v xml:space="preserve">Conservation des données et traitements </v>
      </c>
      <c r="D333" s="210" t="str">
        <f t="shared" si="5"/>
        <v/>
      </c>
      <c r="E333" s="1378"/>
      <c r="F333" s="1378"/>
      <c r="G333" s="1378"/>
      <c r="H333" s="1378"/>
      <c r="I333" s="1378"/>
      <c r="J333" s="1378"/>
      <c r="K333" s="1378"/>
      <c r="L333" s="1378"/>
      <c r="M333" s="1378"/>
      <c r="N333" s="1378"/>
      <c r="O333" s="1378"/>
      <c r="P333" s="1378"/>
      <c r="Q333" s="1378"/>
      <c r="R333" s="1378"/>
      <c r="S333" s="1378"/>
      <c r="T333" s="1378"/>
      <c r="U333" s="1378"/>
      <c r="V333" s="1378"/>
      <c r="W333" s="1378"/>
      <c r="X333" s="1378"/>
      <c r="Y333" s="1378"/>
      <c r="Z333" s="1378"/>
      <c r="AA333" s="1378"/>
      <c r="AB333" s="1378"/>
      <c r="AC333" s="1378"/>
      <c r="AD333" s="1378"/>
      <c r="AE333" s="1378"/>
      <c r="AF333" s="1378"/>
      <c r="AG333" s="1378"/>
      <c r="AH333" s="1378"/>
      <c r="AI333" s="1378"/>
      <c r="AJ333" s="1378"/>
      <c r="AK333" s="1378"/>
      <c r="AL333" s="1378"/>
      <c r="AM333" s="1378"/>
      <c r="AN333" s="1378"/>
      <c r="AO333" s="1378"/>
      <c r="AP333" s="1378"/>
      <c r="AQ333" s="1378"/>
      <c r="AR333" s="1378"/>
      <c r="AS333" s="1378"/>
      <c r="AT333" s="1378"/>
      <c r="AU333" s="1378"/>
      <c r="AV333" s="1378"/>
      <c r="AW333" s="1378"/>
      <c r="AX333" s="1378"/>
      <c r="AY333" s="1378"/>
      <c r="AZ333" s="1378">
        <f>IF(INDEX(Tab_actions,312,1)=1,INDEX(Tab_actions,312,4),0)</f>
        <v>0</v>
      </c>
      <c r="BA333" s="1378"/>
      <c r="BB333" s="1378"/>
      <c r="BC333" s="1378"/>
      <c r="BD333"/>
      <c r="BE333" s="198"/>
      <c r="BF333" s="198"/>
      <c r="BG333" s="198"/>
      <c r="BH333" s="198"/>
      <c r="BI333" s="198"/>
      <c r="BJ333" s="198"/>
      <c r="BK333" s="198"/>
      <c r="BL333" s="198"/>
      <c r="BM333" s="198"/>
      <c r="BN333" s="198"/>
      <c r="BO333" s="198"/>
      <c r="BP333" s="198"/>
      <c r="BQ333" s="198"/>
      <c r="BR333" s="198"/>
      <c r="BS333" s="198"/>
      <c r="BT333" s="198"/>
      <c r="BU333" s="198"/>
      <c r="BV333" s="198"/>
      <c r="BW333" s="198"/>
      <c r="BX333" s="198"/>
      <c r="BY333" s="198"/>
      <c r="BZ333" s="198"/>
      <c r="CA333" s="198"/>
      <c r="CB333" s="198"/>
      <c r="CC333" s="198"/>
      <c r="CD333" s="198"/>
      <c r="CE333" s="198"/>
      <c r="CF333" s="198"/>
      <c r="CG333" s="198"/>
      <c r="CH333" s="198"/>
      <c r="CI333" s="198"/>
      <c r="CJ333" s="198"/>
      <c r="CK333" s="198"/>
      <c r="CL333" s="198"/>
      <c r="CM333" s="198"/>
      <c r="CN333" s="198"/>
      <c r="CO333" s="198"/>
      <c r="CP333" s="198"/>
      <c r="CQ333" s="198"/>
      <c r="CR333" s="198"/>
      <c r="CS333" s="198"/>
      <c r="CT333" s="198"/>
      <c r="CU333" s="198"/>
      <c r="CV333" s="198"/>
      <c r="CW333" s="198"/>
      <c r="CX333" s="198"/>
      <c r="CY333" s="198"/>
      <c r="CZ333" s="198"/>
      <c r="DA333" s="198"/>
      <c r="DB333" s="198"/>
      <c r="DC333" s="198"/>
      <c r="DD333" s="198"/>
      <c r="DE333" s="198"/>
      <c r="DF333" s="198"/>
      <c r="DG333" s="198"/>
      <c r="DH333" s="198"/>
      <c r="DI333" s="198"/>
      <c r="DJ333" s="198"/>
      <c r="DK333" s="198"/>
      <c r="DL333" s="198"/>
      <c r="DM333" s="198"/>
      <c r="DN333" s="198"/>
      <c r="DO333" s="198"/>
      <c r="DP333" s="198"/>
      <c r="DQ333" s="198"/>
      <c r="DR333" s="198"/>
      <c r="DS333" s="198"/>
      <c r="DT333" s="198"/>
    </row>
    <row r="334" spans="1:124" s="172" customFormat="1" ht="15.75" customHeight="1" outlineLevel="1" x14ac:dyDescent="0.25">
      <c r="A334" s="173"/>
      <c r="B334" s="218" t="str">
        <f>Services!B334</f>
        <v>13C02</v>
      </c>
      <c r="C334" s="216" t="str">
        <f>Services!C334</f>
        <v>Documentation des données , procédures et traitements liés à la comptabilité</v>
      </c>
      <c r="D334" s="210" t="str">
        <f t="shared" si="5"/>
        <v/>
      </c>
      <c r="E334" s="1378"/>
      <c r="F334" s="1378"/>
      <c r="G334" s="1378"/>
      <c r="H334" s="1378"/>
      <c r="I334" s="1378"/>
      <c r="J334" s="1378"/>
      <c r="K334" s="1378"/>
      <c r="L334" s="1378"/>
      <c r="M334" s="1378"/>
      <c r="N334" s="1378"/>
      <c r="O334" s="1378"/>
      <c r="P334" s="1378"/>
      <c r="Q334" s="1378"/>
      <c r="R334" s="1378"/>
      <c r="S334" s="1378"/>
      <c r="T334" s="1378"/>
      <c r="U334" s="1378"/>
      <c r="V334" s="1378"/>
      <c r="W334" s="1378"/>
      <c r="X334" s="1378"/>
      <c r="Y334" s="1378"/>
      <c r="Z334" s="1378"/>
      <c r="AA334" s="1378"/>
      <c r="AB334" s="1378"/>
      <c r="AC334" s="1378"/>
      <c r="AD334" s="1378"/>
      <c r="AE334" s="1378"/>
      <c r="AF334" s="1378"/>
      <c r="AG334" s="1378"/>
      <c r="AH334" s="1378"/>
      <c r="AI334" s="1378"/>
      <c r="AJ334" s="1378"/>
      <c r="AK334" s="1378"/>
      <c r="AL334" s="1378"/>
      <c r="AM334" s="1378"/>
      <c r="AN334" s="1378"/>
      <c r="AO334" s="1378"/>
      <c r="AP334" s="1378"/>
      <c r="AQ334" s="1378"/>
      <c r="AR334" s="1378"/>
      <c r="AS334" s="1378"/>
      <c r="AT334" s="1378"/>
      <c r="AU334" s="1378"/>
      <c r="AV334" s="1378"/>
      <c r="AW334" s="1378"/>
      <c r="AX334" s="1378"/>
      <c r="AY334" s="1378"/>
      <c r="AZ334" s="1378">
        <f>IF(INDEX(Tab_actions,312,1)=1,INDEX(Tab_actions,312,7),0)</f>
        <v>0</v>
      </c>
      <c r="BA334" s="1378"/>
      <c r="BB334" s="1378"/>
      <c r="BC334" s="1378"/>
      <c r="BD334"/>
      <c r="BE334" s="198"/>
      <c r="BF334" s="198"/>
      <c r="BG334" s="198"/>
      <c r="BH334" s="198"/>
      <c r="BI334" s="198"/>
      <c r="BJ334" s="198"/>
      <c r="BK334" s="198"/>
      <c r="BL334" s="198"/>
      <c r="BM334" s="198"/>
      <c r="BN334" s="198"/>
      <c r="BO334" s="198"/>
      <c r="BP334" s="198"/>
      <c r="BQ334" s="198"/>
      <c r="BR334" s="198"/>
      <c r="BS334" s="198"/>
      <c r="BT334" s="198"/>
      <c r="BU334" s="198"/>
      <c r="BV334" s="198"/>
      <c r="BW334" s="198"/>
      <c r="BX334" s="198"/>
      <c r="BY334" s="198"/>
      <c r="BZ334" s="198"/>
      <c r="CA334" s="198"/>
      <c r="CB334" s="198"/>
      <c r="CC334" s="198"/>
      <c r="CD334" s="198"/>
      <c r="CE334" s="198"/>
      <c r="CF334" s="198"/>
      <c r="CG334" s="198"/>
      <c r="CH334" s="198"/>
      <c r="CI334" s="198"/>
      <c r="CJ334" s="198"/>
      <c r="CK334" s="198"/>
      <c r="CL334" s="198"/>
      <c r="CM334" s="198"/>
      <c r="CN334" s="198"/>
      <c r="CO334" s="198"/>
      <c r="CP334" s="198"/>
      <c r="CQ334" s="198"/>
      <c r="CR334" s="198"/>
      <c r="CS334" s="198"/>
      <c r="CT334" s="198"/>
      <c r="CU334" s="198"/>
      <c r="CV334" s="198"/>
      <c r="CW334" s="198"/>
      <c r="CX334" s="198"/>
      <c r="CY334" s="198"/>
      <c r="CZ334" s="198"/>
      <c r="DA334" s="198"/>
      <c r="DB334" s="198"/>
      <c r="DC334" s="198"/>
      <c r="DD334" s="198"/>
      <c r="DE334" s="198"/>
      <c r="DF334" s="198"/>
      <c r="DG334" s="198"/>
      <c r="DH334" s="198"/>
      <c r="DI334" s="198"/>
      <c r="DJ334" s="198"/>
      <c r="DK334" s="198"/>
      <c r="DL334" s="198"/>
      <c r="DM334" s="198"/>
      <c r="DN334" s="198"/>
      <c r="DO334" s="198"/>
      <c r="DP334" s="198"/>
      <c r="DQ334" s="198"/>
      <c r="DR334" s="198"/>
      <c r="DS334" s="198"/>
      <c r="DT334" s="198"/>
    </row>
    <row r="335" spans="1:124" s="172" customFormat="1" ht="25.5" outlineLevel="1" x14ac:dyDescent="0.25">
      <c r="A335" s="173"/>
      <c r="B335" s="218" t="str">
        <f>Services!B335</f>
        <v>13C03</v>
      </c>
      <c r="C335" s="216" t="str">
        <f>Services!C335</f>
        <v>Programme de formation et de sensibilisation aux contraintes de la Vérification de la comptabilité informatisée</v>
      </c>
      <c r="D335" s="210" t="str">
        <f t="shared" si="5"/>
        <v/>
      </c>
      <c r="E335" s="1378"/>
      <c r="F335" s="1378"/>
      <c r="G335" s="1378"/>
      <c r="H335" s="1378"/>
      <c r="I335" s="1378"/>
      <c r="J335" s="1378"/>
      <c r="K335" s="1378"/>
      <c r="L335" s="1378"/>
      <c r="M335" s="1378"/>
      <c r="N335" s="1378"/>
      <c r="O335" s="1378"/>
      <c r="P335" s="1378"/>
      <c r="Q335" s="1378"/>
      <c r="R335" s="1378"/>
      <c r="S335" s="1378"/>
      <c r="T335" s="1378"/>
      <c r="U335" s="1378"/>
      <c r="V335" s="1378"/>
      <c r="W335" s="1378"/>
      <c r="X335" s="1378"/>
      <c r="Y335" s="1378"/>
      <c r="Z335" s="1378"/>
      <c r="AA335" s="1378"/>
      <c r="AB335" s="1378"/>
      <c r="AC335" s="1378"/>
      <c r="AD335" s="1378"/>
      <c r="AE335" s="1378"/>
      <c r="AF335" s="1378"/>
      <c r="AG335" s="1378"/>
      <c r="AH335" s="1378"/>
      <c r="AI335" s="1378"/>
      <c r="AJ335" s="1378"/>
      <c r="AK335" s="1378"/>
      <c r="AL335" s="1378"/>
      <c r="AM335" s="1378"/>
      <c r="AN335" s="1378"/>
      <c r="AO335" s="1378"/>
      <c r="AP335" s="1378"/>
      <c r="AQ335" s="1378"/>
      <c r="AR335" s="1378"/>
      <c r="AS335" s="1378"/>
      <c r="AT335" s="1378"/>
      <c r="AU335" s="1378"/>
      <c r="AV335" s="1378"/>
      <c r="AW335" s="1378"/>
      <c r="AX335" s="1378"/>
      <c r="AY335" s="1378"/>
      <c r="AZ335" s="1378">
        <f>IF(INDEX(Tab_actions,312,1)=1,INDEX(Tab_actions,312,10),0)</f>
        <v>0</v>
      </c>
      <c r="BA335" s="1378"/>
      <c r="BB335" s="1378"/>
      <c r="BC335" s="1378"/>
      <c r="BD335"/>
      <c r="BE335" s="198"/>
      <c r="BF335" s="198"/>
      <c r="BG335" s="198"/>
      <c r="BH335" s="198"/>
      <c r="BI335" s="198"/>
      <c r="BJ335" s="198"/>
      <c r="BK335" s="198"/>
      <c r="BL335" s="198"/>
      <c r="BM335" s="198"/>
      <c r="BN335" s="198"/>
      <c r="BO335" s="198"/>
      <c r="BP335" s="198"/>
      <c r="BQ335" s="198"/>
      <c r="BR335" s="198"/>
      <c r="BS335" s="198"/>
      <c r="BT335" s="198"/>
      <c r="BU335" s="198"/>
      <c r="BV335" s="198"/>
      <c r="BW335" s="198"/>
      <c r="BX335" s="198"/>
      <c r="BY335" s="198"/>
      <c r="BZ335" s="198"/>
      <c r="CA335" s="198"/>
      <c r="CB335" s="198"/>
      <c r="CC335" s="198"/>
      <c r="CD335" s="198"/>
      <c r="CE335" s="198"/>
      <c r="CF335" s="198"/>
      <c r="CG335" s="198"/>
      <c r="CH335" s="198"/>
      <c r="CI335" s="198"/>
      <c r="CJ335" s="198"/>
      <c r="CK335" s="198"/>
      <c r="CL335" s="198"/>
      <c r="CM335" s="198"/>
      <c r="CN335" s="198"/>
      <c r="CO335" s="198"/>
      <c r="CP335" s="198"/>
      <c r="CQ335" s="198"/>
      <c r="CR335" s="198"/>
      <c r="CS335" s="198"/>
      <c r="CT335" s="198"/>
      <c r="CU335" s="198"/>
      <c r="CV335" s="198"/>
      <c r="CW335" s="198"/>
      <c r="CX335" s="198"/>
      <c r="CY335" s="198"/>
      <c r="CZ335" s="198"/>
      <c r="DA335" s="198"/>
      <c r="DB335" s="198"/>
      <c r="DC335" s="198"/>
      <c r="DD335" s="198"/>
      <c r="DE335" s="198"/>
      <c r="DF335" s="198"/>
      <c r="DG335" s="198"/>
      <c r="DH335" s="198"/>
      <c r="DI335" s="198"/>
      <c r="DJ335" s="198"/>
      <c r="DK335" s="198"/>
      <c r="DL335" s="198"/>
      <c r="DM335" s="198"/>
      <c r="DN335" s="198"/>
      <c r="DO335" s="198"/>
      <c r="DP335" s="198"/>
      <c r="DQ335" s="198"/>
      <c r="DR335" s="198"/>
      <c r="DS335" s="198"/>
      <c r="DT335" s="198"/>
    </row>
    <row r="336" spans="1:124" s="172" customFormat="1" ht="15.75" customHeight="1" outlineLevel="1" x14ac:dyDescent="0.25">
      <c r="A336" s="173"/>
      <c r="B336" s="218" t="str">
        <f>Services!B336</f>
        <v>13C04</v>
      </c>
      <c r="C336" s="216" t="str">
        <f>Services!C336</f>
        <v>Applicabilité de la politique relative à la Vérification de la comptabilité informatisée</v>
      </c>
      <c r="D336" s="210" t="str">
        <f t="shared" si="5"/>
        <v/>
      </c>
      <c r="E336" s="1378"/>
      <c r="F336" s="1378"/>
      <c r="G336" s="1378"/>
      <c r="H336" s="1378"/>
      <c r="I336" s="1378"/>
      <c r="J336" s="1378"/>
      <c r="K336" s="1378"/>
      <c r="L336" s="1378"/>
      <c r="M336" s="1378"/>
      <c r="N336" s="1378"/>
      <c r="O336" s="1378"/>
      <c r="P336" s="1378"/>
      <c r="Q336" s="1378"/>
      <c r="R336" s="1378"/>
      <c r="S336" s="1378"/>
      <c r="T336" s="1378"/>
      <c r="U336" s="1378"/>
      <c r="V336" s="1378"/>
      <c r="W336" s="1378"/>
      <c r="X336" s="1378"/>
      <c r="Y336" s="1378"/>
      <c r="Z336" s="1378"/>
      <c r="AA336" s="1378"/>
      <c r="AB336" s="1378"/>
      <c r="AC336" s="1378"/>
      <c r="AD336" s="1378"/>
      <c r="AE336" s="1378"/>
      <c r="AF336" s="1378"/>
      <c r="AG336" s="1378"/>
      <c r="AH336" s="1378"/>
      <c r="AI336" s="1378"/>
      <c r="AJ336" s="1378"/>
      <c r="AK336" s="1378"/>
      <c r="AL336" s="1378"/>
      <c r="AM336" s="1378"/>
      <c r="AN336" s="1378"/>
      <c r="AO336" s="1378"/>
      <c r="AP336" s="1378"/>
      <c r="AQ336" s="1378"/>
      <c r="AR336" s="1378"/>
      <c r="AS336" s="1378"/>
      <c r="AT336" s="1378"/>
      <c r="AU336" s="1378"/>
      <c r="AV336" s="1378"/>
      <c r="AW336" s="1378"/>
      <c r="AX336" s="1378"/>
      <c r="AY336" s="1378"/>
      <c r="AZ336" s="1378">
        <f>IF(INDEX(Tab_actions,312,1)=1,INDEX(Tab_actions,312,13),0)</f>
        <v>0</v>
      </c>
      <c r="BA336" s="1378"/>
      <c r="BB336" s="1378"/>
      <c r="BC336" s="1378"/>
      <c r="BD336"/>
      <c r="BE336" s="198"/>
      <c r="BF336" s="198"/>
      <c r="BG336" s="198"/>
      <c r="BH336" s="198"/>
      <c r="BI336" s="198"/>
      <c r="BJ336" s="198"/>
      <c r="BK336" s="198"/>
      <c r="BL336" s="198"/>
      <c r="BM336" s="198"/>
      <c r="BN336" s="198"/>
      <c r="BO336" s="198"/>
      <c r="BP336" s="198"/>
      <c r="BQ336" s="198"/>
      <c r="BR336" s="198"/>
      <c r="BS336" s="198"/>
      <c r="BT336" s="198"/>
      <c r="BU336" s="198"/>
      <c r="BV336" s="198"/>
      <c r="BW336" s="198"/>
      <c r="BX336" s="198"/>
      <c r="BY336" s="198"/>
      <c r="BZ336" s="198"/>
      <c r="CA336" s="198"/>
      <c r="CB336" s="198"/>
      <c r="CC336" s="198"/>
      <c r="CD336" s="198"/>
      <c r="CE336" s="198"/>
      <c r="CF336" s="198"/>
      <c r="CG336" s="198"/>
      <c r="CH336" s="198"/>
      <c r="CI336" s="198"/>
      <c r="CJ336" s="198"/>
      <c r="CK336" s="198"/>
      <c r="CL336" s="198"/>
      <c r="CM336" s="198"/>
      <c r="CN336" s="198"/>
      <c r="CO336" s="198"/>
      <c r="CP336" s="198"/>
      <c r="CQ336" s="198"/>
      <c r="CR336" s="198"/>
      <c r="CS336" s="198"/>
      <c r="CT336" s="198"/>
      <c r="CU336" s="198"/>
      <c r="CV336" s="198"/>
      <c r="CW336" s="198"/>
      <c r="CX336" s="198"/>
      <c r="CY336" s="198"/>
      <c r="CZ336" s="198"/>
      <c r="DA336" s="198"/>
      <c r="DB336" s="198"/>
      <c r="DC336" s="198"/>
      <c r="DD336" s="198"/>
      <c r="DE336" s="198"/>
      <c r="DF336" s="198"/>
      <c r="DG336" s="198"/>
      <c r="DH336" s="198"/>
      <c r="DI336" s="198"/>
      <c r="DJ336" s="198"/>
      <c r="DK336" s="198"/>
      <c r="DL336" s="198"/>
      <c r="DM336" s="198"/>
      <c r="DN336" s="198"/>
      <c r="DO336" s="198"/>
      <c r="DP336" s="198"/>
      <c r="DQ336" s="198"/>
      <c r="DR336" s="198"/>
      <c r="DS336" s="198"/>
      <c r="DT336" s="198"/>
    </row>
    <row r="337" spans="1:124" s="172" customFormat="1" ht="25.5" outlineLevel="1" x14ac:dyDescent="0.25">
      <c r="A337" s="173"/>
      <c r="B337" s="218" t="str">
        <f>Services!B337</f>
        <v>13C05</v>
      </c>
      <c r="C337" s="216" t="str">
        <f>Services!C337</f>
        <v>Contrôle de l'application de la politique relative à la Vérification de la comptabilité informatisée</v>
      </c>
      <c r="D337" s="210" t="str">
        <f t="shared" si="5"/>
        <v/>
      </c>
      <c r="E337" s="1378"/>
      <c r="F337" s="1378"/>
      <c r="G337" s="1378"/>
      <c r="H337" s="1378"/>
      <c r="I337" s="1378"/>
      <c r="J337" s="1378"/>
      <c r="K337" s="1378"/>
      <c r="L337" s="1378"/>
      <c r="M337" s="1378"/>
      <c r="N337" s="1378"/>
      <c r="O337" s="1378"/>
      <c r="P337" s="1378"/>
      <c r="Q337" s="1378"/>
      <c r="R337" s="1378"/>
      <c r="S337" s="1378"/>
      <c r="T337" s="1378"/>
      <c r="U337" s="1378"/>
      <c r="V337" s="1378"/>
      <c r="W337" s="1378"/>
      <c r="X337" s="1378"/>
      <c r="Y337" s="1378"/>
      <c r="Z337" s="1378"/>
      <c r="AA337" s="1378"/>
      <c r="AB337" s="1378"/>
      <c r="AC337" s="1378"/>
      <c r="AD337" s="1378"/>
      <c r="AE337" s="1378"/>
      <c r="AF337" s="1378"/>
      <c r="AG337" s="1378"/>
      <c r="AH337" s="1378"/>
      <c r="AI337" s="1378"/>
      <c r="AJ337" s="1378"/>
      <c r="AK337" s="1378"/>
      <c r="AL337" s="1378"/>
      <c r="AM337" s="1378"/>
      <c r="AN337" s="1378"/>
      <c r="AO337" s="1378"/>
      <c r="AP337" s="1378"/>
      <c r="AQ337" s="1378"/>
      <c r="AR337" s="1378"/>
      <c r="AS337" s="1378"/>
      <c r="AT337" s="1378"/>
      <c r="AU337" s="1378"/>
      <c r="AV337" s="1378"/>
      <c r="AW337" s="1378"/>
      <c r="AX337" s="1378"/>
      <c r="AY337" s="1378"/>
      <c r="AZ337" s="1378">
        <f>IF(INDEX(Tab_actions,311,1)=1,INDEX(Tab_actions,311,4),0)</f>
        <v>0</v>
      </c>
      <c r="BA337" s="1378"/>
      <c r="BB337" s="1378"/>
      <c r="BC337" s="1378"/>
      <c r="BD337"/>
      <c r="BE337" s="198"/>
      <c r="BF337" s="198"/>
      <c r="BG337" s="198"/>
      <c r="BH337" s="198"/>
      <c r="BI337" s="198"/>
      <c r="BJ337" s="198"/>
      <c r="BK337" s="198"/>
      <c r="BL337" s="198"/>
      <c r="BM337" s="198"/>
      <c r="BN337" s="198"/>
      <c r="BO337" s="198"/>
      <c r="BP337" s="198"/>
      <c r="BQ337" s="198"/>
      <c r="BR337" s="198"/>
      <c r="BS337" s="198"/>
      <c r="BT337" s="198"/>
      <c r="BU337" s="198"/>
      <c r="BV337" s="198"/>
      <c r="BW337" s="198"/>
      <c r="BX337" s="198"/>
      <c r="BY337" s="198"/>
      <c r="BZ337" s="198"/>
      <c r="CA337" s="198"/>
      <c r="CB337" s="198"/>
      <c r="CC337" s="198"/>
      <c r="CD337" s="198"/>
      <c r="CE337" s="198"/>
      <c r="CF337" s="198"/>
      <c r="CG337" s="198"/>
      <c r="CH337" s="198"/>
      <c r="CI337" s="198"/>
      <c r="CJ337" s="198"/>
      <c r="CK337" s="198"/>
      <c r="CL337" s="198"/>
      <c r="CM337" s="198"/>
      <c r="CN337" s="198"/>
      <c r="CO337" s="198"/>
      <c r="CP337" s="198"/>
      <c r="CQ337" s="198"/>
      <c r="CR337" s="198"/>
      <c r="CS337" s="198"/>
      <c r="CT337" s="198"/>
      <c r="CU337" s="198"/>
      <c r="CV337" s="198"/>
      <c r="CW337" s="198"/>
      <c r="CX337" s="198"/>
      <c r="CY337" s="198"/>
      <c r="CZ337" s="198"/>
      <c r="DA337" s="198"/>
      <c r="DB337" s="198"/>
      <c r="DC337" s="198"/>
      <c r="DD337" s="198"/>
      <c r="DE337" s="198"/>
      <c r="DF337" s="198"/>
      <c r="DG337" s="198"/>
      <c r="DH337" s="198"/>
      <c r="DI337" s="198"/>
      <c r="DJ337" s="198"/>
      <c r="DK337" s="198"/>
      <c r="DL337" s="198"/>
      <c r="DM337" s="198"/>
      <c r="DN337" s="198"/>
      <c r="DO337" s="198"/>
      <c r="DP337" s="198"/>
      <c r="DQ337" s="198"/>
      <c r="DR337" s="198"/>
      <c r="DS337" s="198"/>
      <c r="DT337" s="198"/>
    </row>
    <row r="338" spans="1:124" s="172" customFormat="1" ht="15" outlineLevel="1" x14ac:dyDescent="0.25">
      <c r="A338" s="173"/>
      <c r="B338" s="213" t="str">
        <f>Services!B338</f>
        <v>13D</v>
      </c>
      <c r="C338" s="214" t="str">
        <f>Services!C338</f>
        <v>Protection de la propriété intellectuelle</v>
      </c>
      <c r="D338" s="210" t="str">
        <f t="shared" si="5"/>
        <v/>
      </c>
      <c r="E338" s="1378"/>
      <c r="F338" s="1378"/>
      <c r="G338" s="1378"/>
      <c r="H338" s="1378"/>
      <c r="I338" s="1378"/>
      <c r="J338" s="1378"/>
      <c r="K338" s="1378"/>
      <c r="L338" s="1378"/>
      <c r="M338" s="1378"/>
      <c r="N338" s="1378"/>
      <c r="O338" s="1378"/>
      <c r="P338" s="1378"/>
      <c r="Q338" s="1378"/>
      <c r="R338" s="1378"/>
      <c r="S338" s="1378"/>
      <c r="T338" s="1378"/>
      <c r="U338" s="1378"/>
      <c r="V338" s="1378"/>
      <c r="W338" s="1378"/>
      <c r="X338" s="1378"/>
      <c r="Y338" s="1378"/>
      <c r="Z338" s="1378"/>
      <c r="AA338" s="1378"/>
      <c r="AB338" s="1378"/>
      <c r="AC338" s="1378"/>
      <c r="AD338" s="1378"/>
      <c r="AE338" s="1378"/>
      <c r="AF338" s="1378"/>
      <c r="AG338" s="1378"/>
      <c r="AH338" s="1378"/>
      <c r="AI338" s="1378"/>
      <c r="AJ338" s="1378"/>
      <c r="AK338" s="1378"/>
      <c r="AL338" s="1378"/>
      <c r="AM338" s="1378"/>
      <c r="AN338" s="1378"/>
      <c r="AO338" s="1378"/>
      <c r="AP338" s="1378"/>
      <c r="AQ338" s="1378"/>
      <c r="AR338" s="1378"/>
      <c r="AS338" s="1378"/>
      <c r="AT338" s="1378"/>
      <c r="AU338" s="1378"/>
      <c r="AV338" s="1378"/>
      <c r="AW338" s="1378"/>
      <c r="AX338" s="1378"/>
      <c r="AY338" s="1378"/>
      <c r="AZ338" s="1378"/>
      <c r="BA338" s="1378"/>
      <c r="BB338" s="1378"/>
      <c r="BC338" s="1378"/>
      <c r="BD338"/>
      <c r="BE338" s="198"/>
      <c r="BF338" s="198"/>
      <c r="BG338" s="198"/>
      <c r="BH338" s="198"/>
      <c r="BI338" s="198"/>
      <c r="BJ338" s="198"/>
      <c r="BK338" s="198"/>
      <c r="BL338" s="198"/>
      <c r="BM338" s="198"/>
      <c r="BN338" s="198"/>
      <c r="BO338" s="198"/>
      <c r="BP338" s="198"/>
      <c r="BQ338" s="198"/>
      <c r="BR338" s="198"/>
      <c r="BS338" s="198"/>
      <c r="BT338" s="198"/>
      <c r="BU338" s="198"/>
      <c r="BV338" s="198"/>
      <c r="BW338" s="198"/>
      <c r="BX338" s="198"/>
      <c r="BY338" s="198"/>
      <c r="BZ338" s="198"/>
      <c r="CA338" s="198"/>
      <c r="CB338" s="198"/>
      <c r="CC338" s="198"/>
      <c r="CD338" s="198"/>
      <c r="CE338" s="198"/>
      <c r="CF338" s="198"/>
      <c r="CG338" s="198"/>
      <c r="CH338" s="198"/>
      <c r="CI338" s="198"/>
      <c r="CJ338" s="198"/>
      <c r="CK338" s="198"/>
      <c r="CL338" s="198"/>
      <c r="CM338" s="198"/>
      <c r="CN338" s="198"/>
      <c r="CO338" s="198"/>
      <c r="CP338" s="198"/>
      <c r="CQ338" s="198"/>
      <c r="CR338" s="198"/>
      <c r="CS338" s="198"/>
      <c r="CT338" s="198"/>
      <c r="CU338" s="198"/>
      <c r="CV338" s="198"/>
      <c r="CW338" s="198"/>
      <c r="CX338" s="198"/>
      <c r="CY338" s="198"/>
      <c r="CZ338" s="198"/>
      <c r="DA338" s="198"/>
      <c r="DB338" s="198"/>
      <c r="DC338" s="198"/>
      <c r="DD338" s="198"/>
      <c r="DE338" s="198"/>
      <c r="DF338" s="198"/>
      <c r="DG338" s="198"/>
      <c r="DH338" s="198"/>
      <c r="DI338" s="198"/>
      <c r="DJ338" s="198"/>
      <c r="DK338" s="198"/>
      <c r="DL338" s="198"/>
      <c r="DM338" s="198"/>
      <c r="DN338" s="198"/>
      <c r="DO338" s="198"/>
      <c r="DP338" s="198"/>
      <c r="DQ338" s="198"/>
      <c r="DR338" s="198"/>
      <c r="DS338" s="198"/>
      <c r="DT338" s="198"/>
    </row>
    <row r="339" spans="1:124" s="172" customFormat="1" ht="15.75" customHeight="1" outlineLevel="1" x14ac:dyDescent="0.25">
      <c r="A339" s="173"/>
      <c r="B339" s="218" t="str">
        <f>Services!B339</f>
        <v>13D01</v>
      </c>
      <c r="C339" s="216" t="str">
        <f>Services!C339</f>
        <v>Politique et directives relatives à la Protection de la propriété intellectuelle</v>
      </c>
      <c r="D339" s="210" t="str">
        <f t="shared" si="5"/>
        <v/>
      </c>
      <c r="E339" s="1378"/>
      <c r="F339" s="1378"/>
      <c r="G339" s="1378"/>
      <c r="H339" s="1378"/>
      <c r="I339" s="1378"/>
      <c r="J339" s="1378"/>
      <c r="K339" s="1378"/>
      <c r="L339" s="1378"/>
      <c r="M339" s="1378"/>
      <c r="N339" s="1378"/>
      <c r="O339" s="1378"/>
      <c r="P339" s="1378"/>
      <c r="Q339" s="1378"/>
      <c r="R339" s="1378"/>
      <c r="S339" s="1378"/>
      <c r="T339" s="1378"/>
      <c r="U339" s="1378"/>
      <c r="V339" s="1378"/>
      <c r="W339" s="1378"/>
      <c r="X339" s="1378"/>
      <c r="Y339" s="1378"/>
      <c r="Z339" s="1378"/>
      <c r="AA339" s="1378"/>
      <c r="AB339" s="1378"/>
      <c r="AC339" s="1378"/>
      <c r="AD339" s="1378"/>
      <c r="AE339" s="1378"/>
      <c r="AF339" s="1378"/>
      <c r="AG339" s="1378"/>
      <c r="AH339" s="1378"/>
      <c r="AI339" s="1378"/>
      <c r="AJ339" s="1378"/>
      <c r="AK339" s="1378"/>
      <c r="AL339" s="1378"/>
      <c r="AM339" s="1378"/>
      <c r="AN339" s="1378"/>
      <c r="AO339" s="1378"/>
      <c r="AP339" s="1378"/>
      <c r="AQ339" s="1378"/>
      <c r="AR339" s="1378"/>
      <c r="AS339" s="1378"/>
      <c r="AT339" s="1378"/>
      <c r="AU339" s="1378"/>
      <c r="AV339" s="1378"/>
      <c r="AW339" s="1378"/>
      <c r="AX339" s="1378"/>
      <c r="AY339" s="1378"/>
      <c r="AZ339" s="1378"/>
      <c r="BA339" s="1378">
        <f>IF(INDEX(Tab_actions,317,1)=1,INDEX(Tab_actions,317,7),0)</f>
        <v>0</v>
      </c>
      <c r="BB339" s="1378"/>
      <c r="BC339" s="1378"/>
      <c r="BD339"/>
      <c r="BE339" s="198"/>
      <c r="BF339" s="198"/>
      <c r="BG339" s="198"/>
      <c r="BH339" s="198"/>
      <c r="BI339" s="198"/>
      <c r="BJ339" s="198"/>
      <c r="BK339" s="198"/>
      <c r="BL339" s="198"/>
      <c r="BM339" s="198"/>
      <c r="BN339" s="198"/>
      <c r="BO339" s="198"/>
      <c r="BP339" s="198"/>
      <c r="BQ339" s="198"/>
      <c r="BR339" s="198"/>
      <c r="BS339" s="198"/>
      <c r="BT339" s="198"/>
      <c r="BU339" s="198"/>
      <c r="BV339" s="198"/>
      <c r="BW339" s="198"/>
      <c r="BX339" s="198"/>
      <c r="BY339" s="198"/>
      <c r="BZ339" s="198"/>
      <c r="CA339" s="198"/>
      <c r="CB339" s="198"/>
      <c r="CC339" s="198"/>
      <c r="CD339" s="198"/>
      <c r="CE339" s="198"/>
      <c r="CF339" s="198"/>
      <c r="CG339" s="198"/>
      <c r="CH339" s="198"/>
      <c r="CI339" s="198"/>
      <c r="CJ339" s="198"/>
      <c r="CK339" s="198"/>
      <c r="CL339" s="198"/>
      <c r="CM339" s="198"/>
      <c r="CN339" s="198"/>
      <c r="CO339" s="198"/>
      <c r="CP339" s="198"/>
      <c r="CQ339" s="198"/>
      <c r="CR339" s="198"/>
      <c r="CS339" s="198"/>
      <c r="CT339" s="198"/>
      <c r="CU339" s="198"/>
      <c r="CV339" s="198"/>
      <c r="CW339" s="198"/>
      <c r="CX339" s="198"/>
      <c r="CY339" s="198"/>
      <c r="CZ339" s="198"/>
      <c r="DA339" s="198"/>
      <c r="DB339" s="198"/>
      <c r="DC339" s="198"/>
      <c r="DD339" s="198"/>
      <c r="DE339" s="198"/>
      <c r="DF339" s="198"/>
      <c r="DG339" s="198"/>
      <c r="DH339" s="198"/>
      <c r="DI339" s="198"/>
      <c r="DJ339" s="198"/>
      <c r="DK339" s="198"/>
      <c r="DL339" s="198"/>
      <c r="DM339" s="198"/>
      <c r="DN339" s="198"/>
      <c r="DO339" s="198"/>
      <c r="DP339" s="198"/>
      <c r="DQ339" s="198"/>
      <c r="DR339" s="198"/>
      <c r="DS339" s="198"/>
      <c r="DT339" s="198"/>
    </row>
    <row r="340" spans="1:124" s="172" customFormat="1" ht="25.5" outlineLevel="1" x14ac:dyDescent="0.25">
      <c r="A340" s="173"/>
      <c r="B340" s="218" t="str">
        <f>Services!B340</f>
        <v>13D02</v>
      </c>
      <c r="C340" s="216" t="str">
        <f>Services!C340</f>
        <v>Programme de formation et de sensibilisation à la Protection de la propriété intellectuelle</v>
      </c>
      <c r="D340" s="210" t="str">
        <f t="shared" si="5"/>
        <v/>
      </c>
      <c r="E340" s="1378"/>
      <c r="F340" s="1378"/>
      <c r="G340" s="1378"/>
      <c r="H340" s="1378"/>
      <c r="I340" s="1378"/>
      <c r="J340" s="1378"/>
      <c r="K340" s="1378"/>
      <c r="L340" s="1378"/>
      <c r="M340" s="1378"/>
      <c r="N340" s="1378"/>
      <c r="O340" s="1378"/>
      <c r="P340" s="1378"/>
      <c r="Q340" s="1378"/>
      <c r="R340" s="1378"/>
      <c r="S340" s="1378"/>
      <c r="T340" s="1378"/>
      <c r="U340" s="1378"/>
      <c r="V340" s="1378"/>
      <c r="W340" s="1378"/>
      <c r="X340" s="1378"/>
      <c r="Y340" s="1378"/>
      <c r="Z340" s="1378"/>
      <c r="AA340" s="1378"/>
      <c r="AB340" s="1378"/>
      <c r="AC340" s="1378"/>
      <c r="AD340" s="1378"/>
      <c r="AE340" s="1378"/>
      <c r="AF340" s="1378"/>
      <c r="AG340" s="1378"/>
      <c r="AH340" s="1378"/>
      <c r="AI340" s="1378"/>
      <c r="AJ340" s="1378"/>
      <c r="AK340" s="1378"/>
      <c r="AL340" s="1378"/>
      <c r="AM340" s="1378"/>
      <c r="AN340" s="1378"/>
      <c r="AO340" s="1378"/>
      <c r="AP340" s="1378"/>
      <c r="AQ340" s="1378"/>
      <c r="AR340" s="1378"/>
      <c r="AS340" s="1378"/>
      <c r="AT340" s="1378"/>
      <c r="AU340" s="1378"/>
      <c r="AV340" s="1378"/>
      <c r="AW340" s="1378"/>
      <c r="AX340" s="1378"/>
      <c r="AY340" s="1378"/>
      <c r="AZ340" s="1378"/>
      <c r="BA340" s="1378">
        <f>IF(INDEX(Tab_actions,317,1)=1,INDEX(Tab_actions,317,10),0)</f>
        <v>0</v>
      </c>
      <c r="BB340" s="1378"/>
      <c r="BC340" s="1378"/>
      <c r="BD340"/>
      <c r="BE340" s="198"/>
      <c r="BF340" s="198"/>
      <c r="BG340" s="198"/>
      <c r="BH340" s="198"/>
      <c r="BI340" s="198"/>
      <c r="BJ340" s="198"/>
      <c r="BK340" s="198"/>
      <c r="BL340" s="198"/>
      <c r="BM340" s="198"/>
      <c r="BN340" s="198"/>
      <c r="BO340" s="198"/>
      <c r="BP340" s="198"/>
      <c r="BQ340" s="198"/>
      <c r="BR340" s="198"/>
      <c r="BS340" s="198"/>
      <c r="BT340" s="198"/>
      <c r="BU340" s="198"/>
      <c r="BV340" s="198"/>
      <c r="BW340" s="198"/>
      <c r="BX340" s="198"/>
      <c r="BY340" s="198"/>
      <c r="BZ340" s="198"/>
      <c r="CA340" s="198"/>
      <c r="CB340" s="198"/>
      <c r="CC340" s="198"/>
      <c r="CD340" s="198"/>
      <c r="CE340" s="198"/>
      <c r="CF340" s="198"/>
      <c r="CG340" s="198"/>
      <c r="CH340" s="198"/>
      <c r="CI340" s="198"/>
      <c r="CJ340" s="198"/>
      <c r="CK340" s="198"/>
      <c r="CL340" s="198"/>
      <c r="CM340" s="198"/>
      <c r="CN340" s="198"/>
      <c r="CO340" s="198"/>
      <c r="CP340" s="198"/>
      <c r="CQ340" s="198"/>
      <c r="CR340" s="198"/>
      <c r="CS340" s="198"/>
      <c r="CT340" s="198"/>
      <c r="CU340" s="198"/>
      <c r="CV340" s="198"/>
      <c r="CW340" s="198"/>
      <c r="CX340" s="198"/>
      <c r="CY340" s="198"/>
      <c r="CZ340" s="198"/>
      <c r="DA340" s="198"/>
      <c r="DB340" s="198"/>
      <c r="DC340" s="198"/>
      <c r="DD340" s="198"/>
      <c r="DE340" s="198"/>
      <c r="DF340" s="198"/>
      <c r="DG340" s="198"/>
      <c r="DH340" s="198"/>
      <c r="DI340" s="198"/>
      <c r="DJ340" s="198"/>
      <c r="DK340" s="198"/>
      <c r="DL340" s="198"/>
      <c r="DM340" s="198"/>
      <c r="DN340" s="198"/>
      <c r="DO340" s="198"/>
      <c r="DP340" s="198"/>
      <c r="DQ340" s="198"/>
      <c r="DR340" s="198"/>
      <c r="DS340" s="198"/>
      <c r="DT340" s="198"/>
    </row>
    <row r="341" spans="1:124" s="172" customFormat="1" ht="15.75" customHeight="1" outlineLevel="1" x14ac:dyDescent="0.25">
      <c r="A341" s="173"/>
      <c r="B341" s="218" t="str">
        <f>Services!B341</f>
        <v>13D03</v>
      </c>
      <c r="C341" s="216" t="str">
        <f>Services!C341</f>
        <v>Applicabilité de la politique relative à la Protection de la propriété intellectuelle</v>
      </c>
      <c r="D341" s="210" t="str">
        <f t="shared" si="5"/>
        <v/>
      </c>
      <c r="E341" s="1378"/>
      <c r="F341" s="1378"/>
      <c r="G341" s="1378"/>
      <c r="H341" s="1378"/>
      <c r="I341" s="1378"/>
      <c r="J341" s="1378"/>
      <c r="K341" s="1378"/>
      <c r="L341" s="1378"/>
      <c r="M341" s="1378"/>
      <c r="N341" s="1378"/>
      <c r="O341" s="1378"/>
      <c r="P341" s="1378"/>
      <c r="Q341" s="1378"/>
      <c r="R341" s="1378"/>
      <c r="S341" s="1378"/>
      <c r="T341" s="1378"/>
      <c r="U341" s="1378"/>
      <c r="V341" s="1378"/>
      <c r="W341" s="1378"/>
      <c r="X341" s="1378"/>
      <c r="Y341" s="1378"/>
      <c r="Z341" s="1378"/>
      <c r="AA341" s="1378"/>
      <c r="AB341" s="1378"/>
      <c r="AC341" s="1378"/>
      <c r="AD341" s="1378"/>
      <c r="AE341" s="1378"/>
      <c r="AF341" s="1378"/>
      <c r="AG341" s="1378"/>
      <c r="AH341" s="1378"/>
      <c r="AI341" s="1378"/>
      <c r="AJ341" s="1378"/>
      <c r="AK341" s="1378"/>
      <c r="AL341" s="1378"/>
      <c r="AM341" s="1378"/>
      <c r="AN341" s="1378"/>
      <c r="AO341" s="1378"/>
      <c r="AP341" s="1378"/>
      <c r="AQ341" s="1378"/>
      <c r="AR341" s="1378"/>
      <c r="AS341" s="1378"/>
      <c r="AT341" s="1378"/>
      <c r="AU341" s="1378"/>
      <c r="AV341" s="1378"/>
      <c r="AW341" s="1378"/>
      <c r="AX341" s="1378"/>
      <c r="AY341" s="1378"/>
      <c r="AZ341" s="1378"/>
      <c r="BA341" s="1378">
        <f>IF(INDEX(Tab_actions,317,1)=1,INDEX(Tab_actions,317,13),0)</f>
        <v>0</v>
      </c>
      <c r="BB341" s="1378"/>
      <c r="BC341" s="1378"/>
      <c r="BD341"/>
      <c r="BE341" s="198"/>
      <c r="BF341" s="198"/>
      <c r="BG341" s="198"/>
      <c r="BH341" s="198"/>
      <c r="BI341" s="198"/>
      <c r="BJ341" s="198"/>
      <c r="BK341" s="198"/>
      <c r="BL341" s="198"/>
      <c r="BM341" s="198"/>
      <c r="BN341" s="198"/>
      <c r="BO341" s="198"/>
      <c r="BP341" s="198"/>
      <c r="BQ341" s="198"/>
      <c r="BR341" s="198"/>
      <c r="BS341" s="198"/>
      <c r="BT341" s="198"/>
      <c r="BU341" s="198"/>
      <c r="BV341" s="198"/>
      <c r="BW341" s="198"/>
      <c r="BX341" s="198"/>
      <c r="BY341" s="198"/>
      <c r="BZ341" s="198"/>
      <c r="CA341" s="198"/>
      <c r="CB341" s="198"/>
      <c r="CC341" s="198"/>
      <c r="CD341" s="198"/>
      <c r="CE341" s="198"/>
      <c r="CF341" s="198"/>
      <c r="CG341" s="198"/>
      <c r="CH341" s="198"/>
      <c r="CI341" s="198"/>
      <c r="CJ341" s="198"/>
      <c r="CK341" s="198"/>
      <c r="CL341" s="198"/>
      <c r="CM341" s="198"/>
      <c r="CN341" s="198"/>
      <c r="CO341" s="198"/>
      <c r="CP341" s="198"/>
      <c r="CQ341" s="198"/>
      <c r="CR341" s="198"/>
      <c r="CS341" s="198"/>
      <c r="CT341" s="198"/>
      <c r="CU341" s="198"/>
      <c r="CV341" s="198"/>
      <c r="CW341" s="198"/>
      <c r="CX341" s="198"/>
      <c r="CY341" s="198"/>
      <c r="CZ341" s="198"/>
      <c r="DA341" s="198"/>
      <c r="DB341" s="198"/>
      <c r="DC341" s="198"/>
      <c r="DD341" s="198"/>
      <c r="DE341" s="198"/>
      <c r="DF341" s="198"/>
      <c r="DG341" s="198"/>
      <c r="DH341" s="198"/>
      <c r="DI341" s="198"/>
      <c r="DJ341" s="198"/>
      <c r="DK341" s="198"/>
      <c r="DL341" s="198"/>
      <c r="DM341" s="198"/>
      <c r="DN341" s="198"/>
      <c r="DO341" s="198"/>
      <c r="DP341" s="198"/>
      <c r="DQ341" s="198"/>
      <c r="DR341" s="198"/>
      <c r="DS341" s="198"/>
      <c r="DT341" s="198"/>
    </row>
    <row r="342" spans="1:124" s="172" customFormat="1" ht="25.5" outlineLevel="1" x14ac:dyDescent="0.25">
      <c r="A342" s="173"/>
      <c r="B342" s="218" t="str">
        <f>Services!B342</f>
        <v>13D04</v>
      </c>
      <c r="C342" s="216" t="str">
        <f>Services!C342</f>
        <v>Contrôle de l'application de la politique relative à la Protection de la propriété intellectuelle</v>
      </c>
      <c r="D342" s="210" t="str">
        <f t="shared" si="5"/>
        <v/>
      </c>
      <c r="E342" s="1378"/>
      <c r="F342" s="1378"/>
      <c r="G342" s="1378"/>
      <c r="H342" s="1378"/>
      <c r="I342" s="1378"/>
      <c r="J342" s="1378"/>
      <c r="K342" s="1378"/>
      <c r="L342" s="1378"/>
      <c r="M342" s="1378"/>
      <c r="N342" s="1378"/>
      <c r="O342" s="1378"/>
      <c r="P342" s="1378"/>
      <c r="Q342" s="1378"/>
      <c r="R342" s="1378"/>
      <c r="S342" s="1378"/>
      <c r="T342" s="1378"/>
      <c r="U342" s="1378"/>
      <c r="V342" s="1378"/>
      <c r="W342" s="1378"/>
      <c r="X342" s="1378"/>
      <c r="Y342" s="1378"/>
      <c r="Z342" s="1378"/>
      <c r="AA342" s="1378"/>
      <c r="AB342" s="1378"/>
      <c r="AC342" s="1378"/>
      <c r="AD342" s="1378"/>
      <c r="AE342" s="1378"/>
      <c r="AF342" s="1378"/>
      <c r="AG342" s="1378"/>
      <c r="AH342" s="1378"/>
      <c r="AI342" s="1378"/>
      <c r="AJ342" s="1378"/>
      <c r="AK342" s="1378"/>
      <c r="AL342" s="1378"/>
      <c r="AM342" s="1378"/>
      <c r="AN342" s="1378"/>
      <c r="AO342" s="1378"/>
      <c r="AP342" s="1378"/>
      <c r="AQ342" s="1378"/>
      <c r="AR342" s="1378"/>
      <c r="AS342" s="1378"/>
      <c r="AT342" s="1378"/>
      <c r="AU342" s="1378"/>
      <c r="AV342" s="1378"/>
      <c r="AW342" s="1378"/>
      <c r="AX342" s="1378"/>
      <c r="AY342" s="1378"/>
      <c r="AZ342" s="1378"/>
      <c r="BA342" s="1378">
        <f>IF(INDEX(Tab_actions,316,1)=1,INDEX(Tab_actions,316,7),0)</f>
        <v>0</v>
      </c>
      <c r="BB342" s="1378"/>
      <c r="BC342" s="1378"/>
      <c r="BD342"/>
      <c r="BE342" s="198"/>
      <c r="BF342" s="198"/>
      <c r="BG342" s="198"/>
      <c r="BH342" s="198"/>
      <c r="BI342" s="198"/>
      <c r="BJ342" s="198"/>
      <c r="BK342" s="198"/>
      <c r="BL342" s="198"/>
      <c r="BM342" s="198"/>
      <c r="BN342" s="198"/>
      <c r="BO342" s="198"/>
      <c r="BP342" s="198"/>
      <c r="BQ342" s="198"/>
      <c r="BR342" s="198"/>
      <c r="BS342" s="198"/>
      <c r="BT342" s="198"/>
      <c r="BU342" s="198"/>
      <c r="BV342" s="198"/>
      <c r="BW342" s="198"/>
      <c r="BX342" s="198"/>
      <c r="BY342" s="198"/>
      <c r="BZ342" s="198"/>
      <c r="CA342" s="198"/>
      <c r="CB342" s="198"/>
      <c r="CC342" s="198"/>
      <c r="CD342" s="198"/>
      <c r="CE342" s="198"/>
      <c r="CF342" s="198"/>
      <c r="CG342" s="198"/>
      <c r="CH342" s="198"/>
      <c r="CI342" s="198"/>
      <c r="CJ342" s="198"/>
      <c r="CK342" s="198"/>
      <c r="CL342" s="198"/>
      <c r="CM342" s="198"/>
      <c r="CN342" s="198"/>
      <c r="CO342" s="198"/>
      <c r="CP342" s="198"/>
      <c r="CQ342" s="198"/>
      <c r="CR342" s="198"/>
      <c r="CS342" s="198"/>
      <c r="CT342" s="198"/>
      <c r="CU342" s="198"/>
      <c r="CV342" s="198"/>
      <c r="CW342" s="198"/>
      <c r="CX342" s="198"/>
      <c r="CY342" s="198"/>
      <c r="CZ342" s="198"/>
      <c r="DA342" s="198"/>
      <c r="DB342" s="198"/>
      <c r="DC342" s="198"/>
      <c r="DD342" s="198"/>
      <c r="DE342" s="198"/>
      <c r="DF342" s="198"/>
      <c r="DG342" s="198"/>
      <c r="DH342" s="198"/>
      <c r="DI342" s="198"/>
      <c r="DJ342" s="198"/>
      <c r="DK342" s="198"/>
      <c r="DL342" s="198"/>
      <c r="DM342" s="198"/>
      <c r="DN342" s="198"/>
      <c r="DO342" s="198"/>
      <c r="DP342" s="198"/>
      <c r="DQ342" s="198"/>
      <c r="DR342" s="198"/>
      <c r="DS342" s="198"/>
      <c r="DT342" s="198"/>
    </row>
    <row r="343" spans="1:124" s="172" customFormat="1" ht="15" outlineLevel="1" x14ac:dyDescent="0.25">
      <c r="A343" s="173"/>
      <c r="B343" s="213" t="str">
        <f>Services!B343</f>
        <v>13E</v>
      </c>
      <c r="C343" s="214" t="str">
        <f>Services!C343</f>
        <v xml:space="preserve">Protection des systèmes informatisés </v>
      </c>
      <c r="D343" s="210" t="str">
        <f t="shared" si="5"/>
        <v/>
      </c>
      <c r="E343" s="1378"/>
      <c r="F343" s="1378"/>
      <c r="G343" s="1378"/>
      <c r="H343" s="1378"/>
      <c r="I343" s="1378"/>
      <c r="J343" s="1378"/>
      <c r="K343" s="1378"/>
      <c r="L343" s="1378"/>
      <c r="M343" s="1378"/>
      <c r="N343" s="1378"/>
      <c r="O343" s="1378"/>
      <c r="P343" s="1378"/>
      <c r="Q343" s="1378"/>
      <c r="R343" s="1378"/>
      <c r="S343" s="1378"/>
      <c r="T343" s="1378"/>
      <c r="U343" s="1378"/>
      <c r="V343" s="1378"/>
      <c r="W343" s="1378"/>
      <c r="X343" s="1378"/>
      <c r="Y343" s="1378"/>
      <c r="Z343" s="1378"/>
      <c r="AA343" s="1378"/>
      <c r="AB343" s="1378"/>
      <c r="AC343" s="1378"/>
      <c r="AD343" s="1378"/>
      <c r="AE343" s="1378"/>
      <c r="AF343" s="1378"/>
      <c r="AG343" s="1378"/>
      <c r="AH343" s="1378"/>
      <c r="AI343" s="1378"/>
      <c r="AJ343" s="1378"/>
      <c r="AK343" s="1378"/>
      <c r="AL343" s="1378"/>
      <c r="AM343" s="1378"/>
      <c r="AN343" s="1378"/>
      <c r="AO343" s="1378"/>
      <c r="AP343" s="1378"/>
      <c r="AQ343" s="1378"/>
      <c r="AR343" s="1378"/>
      <c r="AS343" s="1378"/>
      <c r="AT343" s="1378"/>
      <c r="AU343" s="1378"/>
      <c r="AV343" s="1378"/>
      <c r="AW343" s="1378"/>
      <c r="AX343" s="1378"/>
      <c r="AY343" s="1378"/>
      <c r="AZ343" s="1378"/>
      <c r="BA343" s="1378"/>
      <c r="BB343" s="1378"/>
      <c r="BC343" s="1378"/>
      <c r="BD343"/>
      <c r="BE343" s="198"/>
      <c r="BF343" s="198"/>
      <c r="BG343" s="198"/>
      <c r="BH343" s="198"/>
      <c r="BI343" s="198"/>
      <c r="BJ343" s="198"/>
      <c r="BK343" s="198"/>
      <c r="BL343" s="198"/>
      <c r="BM343" s="198"/>
      <c r="BN343" s="198"/>
      <c r="BO343" s="198"/>
      <c r="BP343" s="198"/>
      <c r="BQ343" s="198"/>
      <c r="BR343" s="198"/>
      <c r="BS343" s="198"/>
      <c r="BT343" s="198"/>
      <c r="BU343" s="198"/>
      <c r="BV343" s="198"/>
      <c r="BW343" s="198"/>
      <c r="BX343" s="198"/>
      <c r="BY343" s="198"/>
      <c r="BZ343" s="198"/>
      <c r="CA343" s="198"/>
      <c r="CB343" s="198"/>
      <c r="CC343" s="198"/>
      <c r="CD343" s="198"/>
      <c r="CE343" s="198"/>
      <c r="CF343" s="198"/>
      <c r="CG343" s="198"/>
      <c r="CH343" s="198"/>
      <c r="CI343" s="198"/>
      <c r="CJ343" s="198"/>
      <c r="CK343" s="198"/>
      <c r="CL343" s="198"/>
      <c r="CM343" s="198"/>
      <c r="CN343" s="198"/>
      <c r="CO343" s="198"/>
      <c r="CP343" s="198"/>
      <c r="CQ343" s="198"/>
      <c r="CR343" s="198"/>
      <c r="CS343" s="198"/>
      <c r="CT343" s="198"/>
      <c r="CU343" s="198"/>
      <c r="CV343" s="198"/>
      <c r="CW343" s="198"/>
      <c r="CX343" s="198"/>
      <c r="CY343" s="198"/>
      <c r="CZ343" s="198"/>
      <c r="DA343" s="198"/>
      <c r="DB343" s="198"/>
      <c r="DC343" s="198"/>
      <c r="DD343" s="198"/>
      <c r="DE343" s="198"/>
      <c r="DF343" s="198"/>
      <c r="DG343" s="198"/>
      <c r="DH343" s="198"/>
      <c r="DI343" s="198"/>
      <c r="DJ343" s="198"/>
      <c r="DK343" s="198"/>
      <c r="DL343" s="198"/>
      <c r="DM343" s="198"/>
      <c r="DN343" s="198"/>
      <c r="DO343" s="198"/>
      <c r="DP343" s="198"/>
      <c r="DQ343" s="198"/>
      <c r="DR343" s="198"/>
      <c r="DS343" s="198"/>
      <c r="DT343" s="198"/>
    </row>
    <row r="344" spans="1:124" s="172" customFormat="1" ht="15" outlineLevel="1" x14ac:dyDescent="0.25">
      <c r="A344" s="173"/>
      <c r="B344" s="218" t="str">
        <f>Services!B344</f>
        <v>13E01</v>
      </c>
      <c r="C344" s="216" t="str">
        <f>Services!C344</f>
        <v xml:space="preserve">Politique et directives relatives à la Protection des systèmes informatisés </v>
      </c>
      <c r="D344" s="210" t="str">
        <f t="shared" si="5"/>
        <v/>
      </c>
      <c r="E344" s="1378"/>
      <c r="F344" s="1378"/>
      <c r="G344" s="1378"/>
      <c r="H344" s="1378"/>
      <c r="I344" s="1378"/>
      <c r="J344" s="1378"/>
      <c r="K344" s="1378"/>
      <c r="L344" s="1378"/>
      <c r="M344" s="1378"/>
      <c r="N344" s="1378"/>
      <c r="O344" s="1378"/>
      <c r="P344" s="1378"/>
      <c r="Q344" s="1378"/>
      <c r="R344" s="1378"/>
      <c r="S344" s="1378"/>
      <c r="T344" s="1378"/>
      <c r="U344" s="1378"/>
      <c r="V344" s="1378"/>
      <c r="W344" s="1378"/>
      <c r="X344" s="1378"/>
      <c r="Y344" s="1378"/>
      <c r="Z344" s="1378"/>
      <c r="AA344" s="1378"/>
      <c r="AB344" s="1378"/>
      <c r="AC344" s="1378"/>
      <c r="AD344" s="1378"/>
      <c r="AE344" s="1378"/>
      <c r="AF344" s="1378"/>
      <c r="AG344" s="1378"/>
      <c r="AH344" s="1378"/>
      <c r="AI344" s="1378"/>
      <c r="AJ344" s="1378"/>
      <c r="AK344" s="1378"/>
      <c r="AL344" s="1378"/>
      <c r="AM344" s="1378"/>
      <c r="AN344" s="1378"/>
      <c r="AO344" s="1378"/>
      <c r="AP344" s="1378"/>
      <c r="AQ344" s="1378"/>
      <c r="AR344" s="1378"/>
      <c r="AS344" s="1378"/>
      <c r="AT344" s="1378"/>
      <c r="AU344" s="1378"/>
      <c r="AV344" s="1378"/>
      <c r="AW344" s="1378"/>
      <c r="AX344" s="1378"/>
      <c r="AY344" s="1378"/>
      <c r="AZ344" s="1378"/>
      <c r="BA344" s="1378"/>
      <c r="BB344" s="1378">
        <f>IF(INDEX(Tab_actions,322,1)=1,INDEX(Tab_actions,322,4),0)</f>
        <v>0</v>
      </c>
      <c r="BC344" s="1378"/>
      <c r="BD344"/>
      <c r="BE344" s="198"/>
      <c r="BF344" s="198"/>
      <c r="BG344" s="198"/>
      <c r="BH344" s="198"/>
      <c r="BI344" s="198"/>
      <c r="BJ344" s="198"/>
      <c r="BK344" s="198"/>
      <c r="BL344" s="198"/>
      <c r="BM344" s="198"/>
      <c r="BN344" s="198"/>
      <c r="BO344" s="198"/>
      <c r="BP344" s="198"/>
      <c r="BQ344" s="198"/>
      <c r="BR344" s="198"/>
      <c r="BS344" s="198"/>
      <c r="BT344" s="198"/>
      <c r="BU344" s="198"/>
      <c r="BV344" s="198"/>
      <c r="BW344" s="198"/>
      <c r="BX344" s="198"/>
      <c r="BY344" s="198"/>
      <c r="BZ344" s="198"/>
      <c r="CA344" s="198"/>
      <c r="CB344" s="198"/>
      <c r="CC344" s="198"/>
      <c r="CD344" s="198"/>
      <c r="CE344" s="198"/>
      <c r="CF344" s="198"/>
      <c r="CG344" s="198"/>
      <c r="CH344" s="198"/>
      <c r="CI344" s="198"/>
      <c r="CJ344" s="198"/>
      <c r="CK344" s="198"/>
      <c r="CL344" s="198"/>
      <c r="CM344" s="198"/>
      <c r="CN344" s="198"/>
      <c r="CO344" s="198"/>
      <c r="CP344" s="198"/>
      <c r="CQ344" s="198"/>
      <c r="CR344" s="198"/>
      <c r="CS344" s="198"/>
      <c r="CT344" s="198"/>
      <c r="CU344" s="198"/>
      <c r="CV344" s="198"/>
      <c r="CW344" s="198"/>
      <c r="CX344" s="198"/>
      <c r="CY344" s="198"/>
      <c r="CZ344" s="198"/>
      <c r="DA344" s="198"/>
      <c r="DB344" s="198"/>
      <c r="DC344" s="198"/>
      <c r="DD344" s="198"/>
      <c r="DE344" s="198"/>
      <c r="DF344" s="198"/>
      <c r="DG344" s="198"/>
      <c r="DH344" s="198"/>
      <c r="DI344" s="198"/>
      <c r="DJ344" s="198"/>
      <c r="DK344" s="198"/>
      <c r="DL344" s="198"/>
      <c r="DM344" s="198"/>
      <c r="DN344" s="198"/>
      <c r="DO344" s="198"/>
      <c r="DP344" s="198"/>
      <c r="DQ344" s="198"/>
      <c r="DR344" s="198"/>
      <c r="DS344" s="198"/>
      <c r="DT344" s="198"/>
    </row>
    <row r="345" spans="1:124" s="172" customFormat="1" ht="25.5" outlineLevel="1" x14ac:dyDescent="0.25">
      <c r="A345" s="173"/>
      <c r="B345" s="218" t="str">
        <f>Services!B345</f>
        <v>13E02</v>
      </c>
      <c r="C345" s="216" t="str">
        <f>Services!C345</f>
        <v xml:space="preserve">Programme de formation et de sensibilisation à la Protection des systèmes informatisés </v>
      </c>
      <c r="D345" s="210" t="str">
        <f t="shared" si="5"/>
        <v/>
      </c>
      <c r="E345" s="1378"/>
      <c r="F345" s="1378"/>
      <c r="G345" s="1378"/>
      <c r="H345" s="1378"/>
      <c r="I345" s="1378"/>
      <c r="J345" s="1378"/>
      <c r="K345" s="1378"/>
      <c r="L345" s="1378"/>
      <c r="M345" s="1378"/>
      <c r="N345" s="1378"/>
      <c r="O345" s="1378"/>
      <c r="P345" s="1378"/>
      <c r="Q345" s="1378"/>
      <c r="R345" s="1378"/>
      <c r="S345" s="1378"/>
      <c r="T345" s="1378"/>
      <c r="U345" s="1378"/>
      <c r="V345" s="1378"/>
      <c r="W345" s="1378"/>
      <c r="X345" s="1378"/>
      <c r="Y345" s="1378"/>
      <c r="Z345" s="1378"/>
      <c r="AA345" s="1378"/>
      <c r="AB345" s="1378"/>
      <c r="AC345" s="1378"/>
      <c r="AD345" s="1378"/>
      <c r="AE345" s="1378"/>
      <c r="AF345" s="1378"/>
      <c r="AG345" s="1378"/>
      <c r="AH345" s="1378"/>
      <c r="AI345" s="1378"/>
      <c r="AJ345" s="1378"/>
      <c r="AK345" s="1378"/>
      <c r="AL345" s="1378"/>
      <c r="AM345" s="1378"/>
      <c r="AN345" s="1378"/>
      <c r="AO345" s="1378"/>
      <c r="AP345" s="1378"/>
      <c r="AQ345" s="1378"/>
      <c r="AR345" s="1378"/>
      <c r="AS345" s="1378"/>
      <c r="AT345" s="1378"/>
      <c r="AU345" s="1378"/>
      <c r="AV345" s="1378"/>
      <c r="AW345" s="1378"/>
      <c r="AX345" s="1378"/>
      <c r="AY345" s="1378"/>
      <c r="AZ345" s="1378"/>
      <c r="BA345" s="1378"/>
      <c r="BB345" s="1378">
        <f>IF(INDEX(Tab_actions,322,1)=1,INDEX(Tab_actions,322,7),0)</f>
        <v>0</v>
      </c>
      <c r="BC345" s="1378"/>
      <c r="BD345"/>
      <c r="BE345" s="198"/>
      <c r="BF345" s="198"/>
      <c r="BG345" s="198"/>
      <c r="BH345" s="198"/>
      <c r="BI345" s="198"/>
      <c r="BJ345" s="198"/>
      <c r="BK345" s="198"/>
      <c r="BL345" s="198"/>
      <c r="BM345" s="198"/>
      <c r="BN345" s="198"/>
      <c r="BO345" s="198"/>
      <c r="BP345" s="198"/>
      <c r="BQ345" s="198"/>
      <c r="BR345" s="198"/>
      <c r="BS345" s="198"/>
      <c r="BT345" s="198"/>
      <c r="BU345" s="198"/>
      <c r="BV345" s="198"/>
      <c r="BW345" s="198"/>
      <c r="BX345" s="198"/>
      <c r="BY345" s="198"/>
      <c r="BZ345" s="198"/>
      <c r="CA345" s="198"/>
      <c r="CB345" s="198"/>
      <c r="CC345" s="198"/>
      <c r="CD345" s="198"/>
      <c r="CE345" s="198"/>
      <c r="CF345" s="198"/>
      <c r="CG345" s="198"/>
      <c r="CH345" s="198"/>
      <c r="CI345" s="198"/>
      <c r="CJ345" s="198"/>
      <c r="CK345" s="198"/>
      <c r="CL345" s="198"/>
      <c r="CM345" s="198"/>
      <c r="CN345" s="198"/>
      <c r="CO345" s="198"/>
      <c r="CP345" s="198"/>
      <c r="CQ345" s="198"/>
      <c r="CR345" s="198"/>
      <c r="CS345" s="198"/>
      <c r="CT345" s="198"/>
      <c r="CU345" s="198"/>
      <c r="CV345" s="198"/>
      <c r="CW345" s="198"/>
      <c r="CX345" s="198"/>
      <c r="CY345" s="198"/>
      <c r="CZ345" s="198"/>
      <c r="DA345" s="198"/>
      <c r="DB345" s="198"/>
      <c r="DC345" s="198"/>
      <c r="DD345" s="198"/>
      <c r="DE345" s="198"/>
      <c r="DF345" s="198"/>
      <c r="DG345" s="198"/>
      <c r="DH345" s="198"/>
      <c r="DI345" s="198"/>
      <c r="DJ345" s="198"/>
      <c r="DK345" s="198"/>
      <c r="DL345" s="198"/>
      <c r="DM345" s="198"/>
      <c r="DN345" s="198"/>
      <c r="DO345" s="198"/>
      <c r="DP345" s="198"/>
      <c r="DQ345" s="198"/>
      <c r="DR345" s="198"/>
      <c r="DS345" s="198"/>
      <c r="DT345" s="198"/>
    </row>
    <row r="346" spans="1:124" s="172" customFormat="1" ht="15.75" customHeight="1" outlineLevel="1" x14ac:dyDescent="0.25">
      <c r="A346" s="173"/>
      <c r="B346" s="218" t="str">
        <f>Services!B346</f>
        <v>13E03</v>
      </c>
      <c r="C346" s="216" t="str">
        <f>Services!C346</f>
        <v xml:space="preserve">Applicabilité de la politique relative à la Protection des systèmes informatisés </v>
      </c>
      <c r="D346" s="210" t="str">
        <f t="shared" si="5"/>
        <v/>
      </c>
      <c r="E346" s="1378"/>
      <c r="F346" s="1378"/>
      <c r="G346" s="1378"/>
      <c r="H346" s="1378"/>
      <c r="I346" s="1378"/>
      <c r="J346" s="1378"/>
      <c r="K346" s="1378"/>
      <c r="L346" s="1378"/>
      <c r="M346" s="1378"/>
      <c r="N346" s="1378"/>
      <c r="O346" s="1378"/>
      <c r="P346" s="1378"/>
      <c r="Q346" s="1378"/>
      <c r="R346" s="1378"/>
      <c r="S346" s="1378"/>
      <c r="T346" s="1378"/>
      <c r="U346" s="1378"/>
      <c r="V346" s="1378"/>
      <c r="W346" s="1378"/>
      <c r="X346" s="1378"/>
      <c r="Y346" s="1378"/>
      <c r="Z346" s="1378"/>
      <c r="AA346" s="1378"/>
      <c r="AB346" s="1378"/>
      <c r="AC346" s="1378"/>
      <c r="AD346" s="1378"/>
      <c r="AE346" s="1378"/>
      <c r="AF346" s="1378"/>
      <c r="AG346" s="1378"/>
      <c r="AH346" s="1378"/>
      <c r="AI346" s="1378"/>
      <c r="AJ346" s="1378"/>
      <c r="AK346" s="1378"/>
      <c r="AL346" s="1378"/>
      <c r="AM346" s="1378"/>
      <c r="AN346" s="1378"/>
      <c r="AO346" s="1378"/>
      <c r="AP346" s="1378"/>
      <c r="AQ346" s="1378"/>
      <c r="AR346" s="1378"/>
      <c r="AS346" s="1378"/>
      <c r="AT346" s="1378"/>
      <c r="AU346" s="1378"/>
      <c r="AV346" s="1378"/>
      <c r="AW346" s="1378"/>
      <c r="AX346" s="1378"/>
      <c r="AY346" s="1378"/>
      <c r="AZ346" s="1378"/>
      <c r="BA346" s="1378"/>
      <c r="BB346" s="1378">
        <f>IF(INDEX(Tab_actions,322,1)=1,INDEX(Tab_actions,322,10),0)</f>
        <v>0</v>
      </c>
      <c r="BC346" s="1378"/>
      <c r="BD346"/>
      <c r="BE346" s="198"/>
      <c r="BF346" s="198"/>
      <c r="BG346" s="198"/>
      <c r="BH346" s="198"/>
      <c r="BI346" s="198"/>
      <c r="BJ346" s="198"/>
      <c r="BK346" s="198"/>
      <c r="BL346" s="198"/>
      <c r="BM346" s="198"/>
      <c r="BN346" s="198"/>
      <c r="BO346" s="198"/>
      <c r="BP346" s="198"/>
      <c r="BQ346" s="198"/>
      <c r="BR346" s="198"/>
      <c r="BS346" s="198"/>
      <c r="BT346" s="198"/>
      <c r="BU346" s="198"/>
      <c r="BV346" s="198"/>
      <c r="BW346" s="198"/>
      <c r="BX346" s="198"/>
      <c r="BY346" s="198"/>
      <c r="BZ346" s="198"/>
      <c r="CA346" s="198"/>
      <c r="CB346" s="198"/>
      <c r="CC346" s="198"/>
      <c r="CD346" s="198"/>
      <c r="CE346" s="198"/>
      <c r="CF346" s="198"/>
      <c r="CG346" s="198"/>
      <c r="CH346" s="198"/>
      <c r="CI346" s="198"/>
      <c r="CJ346" s="198"/>
      <c r="CK346" s="198"/>
      <c r="CL346" s="198"/>
      <c r="CM346" s="198"/>
      <c r="CN346" s="198"/>
      <c r="CO346" s="198"/>
      <c r="CP346" s="198"/>
      <c r="CQ346" s="198"/>
      <c r="CR346" s="198"/>
      <c r="CS346" s="198"/>
      <c r="CT346" s="198"/>
      <c r="CU346" s="198"/>
      <c r="CV346" s="198"/>
      <c r="CW346" s="198"/>
      <c r="CX346" s="198"/>
      <c r="CY346" s="198"/>
      <c r="CZ346" s="198"/>
      <c r="DA346" s="198"/>
      <c r="DB346" s="198"/>
      <c r="DC346" s="198"/>
      <c r="DD346" s="198"/>
      <c r="DE346" s="198"/>
      <c r="DF346" s="198"/>
      <c r="DG346" s="198"/>
      <c r="DH346" s="198"/>
      <c r="DI346" s="198"/>
      <c r="DJ346" s="198"/>
      <c r="DK346" s="198"/>
      <c r="DL346" s="198"/>
      <c r="DM346" s="198"/>
      <c r="DN346" s="198"/>
      <c r="DO346" s="198"/>
      <c r="DP346" s="198"/>
      <c r="DQ346" s="198"/>
      <c r="DR346" s="198"/>
      <c r="DS346" s="198"/>
      <c r="DT346" s="198"/>
    </row>
    <row r="347" spans="1:124" s="172" customFormat="1" ht="25.5" outlineLevel="1" x14ac:dyDescent="0.25">
      <c r="A347" s="173"/>
      <c r="B347" s="218" t="str">
        <f>Services!B347</f>
        <v>13E04</v>
      </c>
      <c r="C347" s="216" t="str">
        <f>Services!C347</f>
        <v xml:space="preserve">Contrôle de l'application de la politique relative à la Protection des systèmes informatisés </v>
      </c>
      <c r="D347" s="210" t="str">
        <f t="shared" si="5"/>
        <v/>
      </c>
      <c r="E347" s="1378"/>
      <c r="F347" s="1378"/>
      <c r="G347" s="1378"/>
      <c r="H347" s="1378"/>
      <c r="I347" s="1378"/>
      <c r="J347" s="1378"/>
      <c r="K347" s="1378"/>
      <c r="L347" s="1378"/>
      <c r="M347" s="1378"/>
      <c r="N347" s="1378"/>
      <c r="O347" s="1378"/>
      <c r="P347" s="1378"/>
      <c r="Q347" s="1378"/>
      <c r="R347" s="1378"/>
      <c r="S347" s="1378"/>
      <c r="T347" s="1378"/>
      <c r="U347" s="1378"/>
      <c r="V347" s="1378"/>
      <c r="W347" s="1378"/>
      <c r="X347" s="1378"/>
      <c r="Y347" s="1378"/>
      <c r="Z347" s="1378"/>
      <c r="AA347" s="1378"/>
      <c r="AB347" s="1378"/>
      <c r="AC347" s="1378"/>
      <c r="AD347" s="1378"/>
      <c r="AE347" s="1378"/>
      <c r="AF347" s="1378"/>
      <c r="AG347" s="1378"/>
      <c r="AH347" s="1378"/>
      <c r="AI347" s="1378"/>
      <c r="AJ347" s="1378"/>
      <c r="AK347" s="1378"/>
      <c r="AL347" s="1378"/>
      <c r="AM347" s="1378"/>
      <c r="AN347" s="1378"/>
      <c r="AO347" s="1378"/>
      <c r="AP347" s="1378"/>
      <c r="AQ347" s="1378"/>
      <c r="AR347" s="1378"/>
      <c r="AS347" s="1378"/>
      <c r="AT347" s="1378"/>
      <c r="AU347" s="1378"/>
      <c r="AV347" s="1378"/>
      <c r="AW347" s="1378"/>
      <c r="AX347" s="1378"/>
      <c r="AY347" s="1378"/>
      <c r="AZ347" s="1378"/>
      <c r="BA347" s="1378"/>
      <c r="BB347" s="1378">
        <f>IF(INDEX(Tab_actions,321,1)=1,INDEX(Tab_actions,321,4),0)</f>
        <v>0</v>
      </c>
      <c r="BC347" s="1378"/>
      <c r="BD347"/>
      <c r="BE347" s="198"/>
      <c r="BF347" s="198"/>
      <c r="BG347" s="198"/>
      <c r="BH347" s="198"/>
      <c r="BI347" s="198"/>
      <c r="BJ347" s="198"/>
      <c r="BK347" s="198"/>
      <c r="BL347" s="198"/>
      <c r="BM347" s="198"/>
      <c r="BN347" s="198"/>
      <c r="BO347" s="198"/>
      <c r="BP347" s="198"/>
      <c r="BQ347" s="198"/>
      <c r="BR347" s="198"/>
      <c r="BS347" s="198"/>
      <c r="BT347" s="198"/>
      <c r="BU347" s="198"/>
      <c r="BV347" s="198"/>
      <c r="BW347" s="198"/>
      <c r="BX347" s="198"/>
      <c r="BY347" s="198"/>
      <c r="BZ347" s="198"/>
      <c r="CA347" s="198"/>
      <c r="CB347" s="198"/>
      <c r="CC347" s="198"/>
      <c r="CD347" s="198"/>
      <c r="CE347" s="198"/>
      <c r="CF347" s="198"/>
      <c r="CG347" s="198"/>
      <c r="CH347" s="198"/>
      <c r="CI347" s="198"/>
      <c r="CJ347" s="198"/>
      <c r="CK347" s="198"/>
      <c r="CL347" s="198"/>
      <c r="CM347" s="198"/>
      <c r="CN347" s="198"/>
      <c r="CO347" s="198"/>
      <c r="CP347" s="198"/>
      <c r="CQ347" s="198"/>
      <c r="CR347" s="198"/>
      <c r="CS347" s="198"/>
      <c r="CT347" s="198"/>
      <c r="CU347" s="198"/>
      <c r="CV347" s="198"/>
      <c r="CW347" s="198"/>
      <c r="CX347" s="198"/>
      <c r="CY347" s="198"/>
      <c r="CZ347" s="198"/>
      <c r="DA347" s="198"/>
      <c r="DB347" s="198"/>
      <c r="DC347" s="198"/>
      <c r="DD347" s="198"/>
      <c r="DE347" s="198"/>
      <c r="DF347" s="198"/>
      <c r="DG347" s="198"/>
      <c r="DH347" s="198"/>
      <c r="DI347" s="198"/>
      <c r="DJ347" s="198"/>
      <c r="DK347" s="198"/>
      <c r="DL347" s="198"/>
      <c r="DM347" s="198"/>
      <c r="DN347" s="198"/>
      <c r="DO347" s="198"/>
      <c r="DP347" s="198"/>
      <c r="DQ347" s="198"/>
      <c r="DR347" s="198"/>
      <c r="DS347" s="198"/>
      <c r="DT347" s="198"/>
    </row>
    <row r="348" spans="1:124" s="172" customFormat="1" ht="15" outlineLevel="1" x14ac:dyDescent="0.25">
      <c r="A348" s="173"/>
      <c r="B348" s="213" t="str">
        <f>Services!B348</f>
        <v>13F</v>
      </c>
      <c r="C348" s="214" t="str">
        <f>Services!C348</f>
        <v xml:space="preserve">Sécurité des personnes et protection de l'environnement </v>
      </c>
      <c r="D348" s="210" t="str">
        <f t="shared" si="5"/>
        <v/>
      </c>
      <c r="E348" s="1378"/>
      <c r="F348" s="1378"/>
      <c r="G348" s="1378"/>
      <c r="H348" s="1378"/>
      <c r="I348" s="1378"/>
      <c r="J348" s="1378"/>
      <c r="K348" s="1378"/>
      <c r="L348" s="1378"/>
      <c r="M348" s="1378"/>
      <c r="N348" s="1378"/>
      <c r="O348" s="1378"/>
      <c r="P348" s="1378"/>
      <c r="Q348" s="1378"/>
      <c r="R348" s="1378"/>
      <c r="S348" s="1378"/>
      <c r="T348" s="1378"/>
      <c r="U348" s="1378"/>
      <c r="V348" s="1378"/>
      <c r="W348" s="1378"/>
      <c r="X348" s="1378"/>
      <c r="Y348" s="1378"/>
      <c r="Z348" s="1378"/>
      <c r="AA348" s="1378"/>
      <c r="AB348" s="1378"/>
      <c r="AC348" s="1378"/>
      <c r="AD348" s="1378"/>
      <c r="AE348" s="1378"/>
      <c r="AF348" s="1378"/>
      <c r="AG348" s="1378"/>
      <c r="AH348" s="1378"/>
      <c r="AI348" s="1378"/>
      <c r="AJ348" s="1378"/>
      <c r="AK348" s="1378"/>
      <c r="AL348" s="1378"/>
      <c r="AM348" s="1378"/>
      <c r="AN348" s="1378"/>
      <c r="AO348" s="1378"/>
      <c r="AP348" s="1378"/>
      <c r="AQ348" s="1378"/>
      <c r="AR348" s="1378"/>
      <c r="AS348" s="1378"/>
      <c r="AT348" s="1378"/>
      <c r="AU348" s="1378"/>
      <c r="AV348" s="1378"/>
      <c r="AW348" s="1378"/>
      <c r="AX348" s="1378"/>
      <c r="AY348" s="1378"/>
      <c r="AZ348" s="1378"/>
      <c r="BA348" s="1378"/>
      <c r="BB348" s="1378"/>
      <c r="BC348" s="1378"/>
      <c r="BD348"/>
      <c r="BE348" s="198"/>
      <c r="BF348" s="198"/>
      <c r="BG348" s="198"/>
      <c r="BH348" s="198"/>
      <c r="BI348" s="198"/>
      <c r="BJ348" s="198"/>
      <c r="BK348" s="198"/>
      <c r="BL348" s="198"/>
      <c r="BM348" s="198"/>
      <c r="BN348" s="198"/>
      <c r="BO348" s="198"/>
      <c r="BP348" s="198"/>
      <c r="BQ348" s="198"/>
      <c r="BR348" s="198"/>
      <c r="BS348" s="198"/>
      <c r="BT348" s="198"/>
      <c r="BU348" s="198"/>
      <c r="BV348" s="198"/>
      <c r="BW348" s="198"/>
      <c r="BX348" s="198"/>
      <c r="BY348" s="198"/>
      <c r="BZ348" s="198"/>
      <c r="CA348" s="198"/>
      <c r="CB348" s="198"/>
      <c r="CC348" s="198"/>
      <c r="CD348" s="198"/>
      <c r="CE348" s="198"/>
      <c r="CF348" s="198"/>
      <c r="CG348" s="198"/>
      <c r="CH348" s="198"/>
      <c r="CI348" s="198"/>
      <c r="CJ348" s="198"/>
      <c r="CK348" s="198"/>
      <c r="CL348" s="198"/>
      <c r="CM348" s="198"/>
      <c r="CN348" s="198"/>
      <c r="CO348" s="198"/>
      <c r="CP348" s="198"/>
      <c r="CQ348" s="198"/>
      <c r="CR348" s="198"/>
      <c r="CS348" s="198"/>
      <c r="CT348" s="198"/>
      <c r="CU348" s="198"/>
      <c r="CV348" s="198"/>
      <c r="CW348" s="198"/>
      <c r="CX348" s="198"/>
      <c r="CY348" s="198"/>
      <c r="CZ348" s="198"/>
      <c r="DA348" s="198"/>
      <c r="DB348" s="198"/>
      <c r="DC348" s="198"/>
      <c r="DD348" s="198"/>
      <c r="DE348" s="198"/>
      <c r="DF348" s="198"/>
      <c r="DG348" s="198"/>
      <c r="DH348" s="198"/>
      <c r="DI348" s="198"/>
      <c r="DJ348" s="198"/>
      <c r="DK348" s="198"/>
      <c r="DL348" s="198"/>
      <c r="DM348" s="198"/>
      <c r="DN348" s="198"/>
      <c r="DO348" s="198"/>
      <c r="DP348" s="198"/>
      <c r="DQ348" s="198"/>
      <c r="DR348" s="198"/>
      <c r="DS348" s="198"/>
      <c r="DT348" s="198"/>
    </row>
    <row r="349" spans="1:124" s="172" customFormat="1" ht="25.5" outlineLevel="1" x14ac:dyDescent="0.25">
      <c r="A349" s="235"/>
      <c r="B349" s="218" t="str">
        <f>Services!B349</f>
        <v>13F01</v>
      </c>
      <c r="C349" s="216" t="str">
        <f>Services!C349</f>
        <v xml:space="preserve">Politique et directives relatives à la sécurité des personnes et à la protection de l'environnement </v>
      </c>
      <c r="D349" s="210" t="str">
        <f t="shared" si="5"/>
        <v/>
      </c>
      <c r="E349" s="1378"/>
      <c r="F349" s="1378"/>
      <c r="G349" s="1378"/>
      <c r="H349" s="1378"/>
      <c r="I349" s="1378"/>
      <c r="J349" s="1378"/>
      <c r="K349" s="1378"/>
      <c r="L349" s="1378"/>
      <c r="M349" s="1378"/>
      <c r="N349" s="1378"/>
      <c r="O349" s="1378"/>
      <c r="P349" s="1378"/>
      <c r="Q349" s="1378"/>
      <c r="R349" s="1378"/>
      <c r="S349" s="1378"/>
      <c r="T349" s="1378"/>
      <c r="U349" s="1378"/>
      <c r="V349" s="1378"/>
      <c r="W349" s="1378"/>
      <c r="X349" s="1378"/>
      <c r="Y349" s="1378"/>
      <c r="Z349" s="1378"/>
      <c r="AA349" s="1378"/>
      <c r="AB349" s="1378"/>
      <c r="AC349" s="1378"/>
      <c r="AD349" s="1378"/>
      <c r="AE349" s="1378"/>
      <c r="AF349" s="1378"/>
      <c r="AG349" s="1378"/>
      <c r="AH349" s="1378"/>
      <c r="AI349" s="1378"/>
      <c r="AJ349" s="1378"/>
      <c r="AK349" s="1378"/>
      <c r="AL349" s="1378"/>
      <c r="AM349" s="1378"/>
      <c r="AN349" s="1378"/>
      <c r="AO349" s="1378"/>
      <c r="AP349" s="1378"/>
      <c r="AQ349" s="1378"/>
      <c r="AR349" s="1378"/>
      <c r="AS349" s="1378"/>
      <c r="AT349" s="1378"/>
      <c r="AU349" s="1378"/>
      <c r="AV349" s="1378"/>
      <c r="AW349" s="1378"/>
      <c r="AX349" s="1378"/>
      <c r="AY349" s="1378"/>
      <c r="AZ349" s="1378"/>
      <c r="BA349" s="1378"/>
      <c r="BB349" s="1378"/>
      <c r="BC349" s="1378">
        <f>IF(INDEX(Tab_actions,327,1)=1,INDEX(Tab_actions,327,4),0)</f>
        <v>0</v>
      </c>
      <c r="BD349"/>
      <c r="BE349" s="198"/>
      <c r="BF349" s="198"/>
      <c r="BG349" s="198"/>
      <c r="BH349" s="198"/>
      <c r="BI349" s="198"/>
      <c r="BJ349" s="198"/>
      <c r="BK349" s="198"/>
      <c r="BL349" s="198"/>
      <c r="BM349" s="198"/>
      <c r="BN349" s="198"/>
      <c r="BO349" s="198"/>
      <c r="BP349" s="198"/>
      <c r="BQ349" s="198"/>
      <c r="BR349" s="198"/>
      <c r="BS349" s="198"/>
      <c r="BT349" s="198"/>
      <c r="BU349" s="198"/>
      <c r="BV349" s="198"/>
      <c r="BW349" s="198"/>
      <c r="BX349" s="198"/>
      <c r="BY349" s="198"/>
      <c r="BZ349" s="198"/>
      <c r="CA349" s="198"/>
      <c r="CB349" s="198"/>
      <c r="CC349" s="198"/>
      <c r="CD349" s="198"/>
      <c r="CE349" s="198"/>
      <c r="CF349" s="198"/>
      <c r="CG349" s="198"/>
      <c r="CH349" s="198"/>
      <c r="CI349" s="198"/>
      <c r="CJ349" s="198"/>
      <c r="CK349" s="198"/>
      <c r="CL349" s="198"/>
      <c r="CM349" s="198"/>
      <c r="CN349" s="198"/>
      <c r="CO349" s="198"/>
      <c r="CP349" s="198"/>
      <c r="CQ349" s="198"/>
      <c r="CR349" s="198"/>
      <c r="CS349" s="198"/>
      <c r="CT349" s="198"/>
      <c r="CU349" s="198"/>
      <c r="CV349" s="198"/>
      <c r="CW349" s="198"/>
      <c r="CX349" s="198"/>
      <c r="CY349" s="198"/>
      <c r="CZ349" s="198"/>
      <c r="DA349" s="198"/>
      <c r="DB349" s="198"/>
      <c r="DC349" s="198"/>
      <c r="DD349" s="198"/>
      <c r="DE349" s="198"/>
      <c r="DF349" s="198"/>
      <c r="DG349" s="198"/>
      <c r="DH349" s="198"/>
      <c r="DI349" s="198"/>
      <c r="DJ349" s="198"/>
      <c r="DK349" s="198"/>
      <c r="DL349" s="198"/>
      <c r="DM349" s="198"/>
      <c r="DN349" s="198"/>
      <c r="DO349" s="198"/>
      <c r="DP349" s="198"/>
      <c r="DQ349" s="198"/>
      <c r="DR349" s="198"/>
      <c r="DS349" s="198"/>
      <c r="DT349" s="198"/>
    </row>
    <row r="350" spans="1:124" s="172" customFormat="1" ht="25.5" outlineLevel="1" x14ac:dyDescent="0.25">
      <c r="A350" s="235"/>
      <c r="B350" s="218" t="str">
        <f>Services!B350</f>
        <v>13F02</v>
      </c>
      <c r="C350" s="216" t="str">
        <f>Services!C350</f>
        <v xml:space="preserve">Programme de formation et de sensibilisation à la Sécurité des personnes et à la protection de l'environnement </v>
      </c>
      <c r="D350" s="210" t="str">
        <f t="shared" si="5"/>
        <v/>
      </c>
      <c r="E350" s="1378"/>
      <c r="F350" s="1378"/>
      <c r="G350" s="1378"/>
      <c r="H350" s="1378"/>
      <c r="I350" s="1378"/>
      <c r="J350" s="1378"/>
      <c r="K350" s="1378"/>
      <c r="L350" s="1378"/>
      <c r="M350" s="1378"/>
      <c r="N350" s="1378"/>
      <c r="O350" s="1378"/>
      <c r="P350" s="1378"/>
      <c r="Q350" s="1378"/>
      <c r="R350" s="1378"/>
      <c r="S350" s="1378"/>
      <c r="T350" s="1378"/>
      <c r="U350" s="1378"/>
      <c r="V350" s="1378"/>
      <c r="W350" s="1378"/>
      <c r="X350" s="1378"/>
      <c r="Y350" s="1378"/>
      <c r="Z350" s="1378"/>
      <c r="AA350" s="1378"/>
      <c r="AB350" s="1378"/>
      <c r="AC350" s="1378"/>
      <c r="AD350" s="1378"/>
      <c r="AE350" s="1378"/>
      <c r="AF350" s="1378"/>
      <c r="AG350" s="1378"/>
      <c r="AH350" s="1378"/>
      <c r="AI350" s="1378"/>
      <c r="AJ350" s="1378"/>
      <c r="AK350" s="1378"/>
      <c r="AL350" s="1378"/>
      <c r="AM350" s="1378"/>
      <c r="AN350" s="1378"/>
      <c r="AO350" s="1378"/>
      <c r="AP350" s="1378"/>
      <c r="AQ350" s="1378"/>
      <c r="AR350" s="1378"/>
      <c r="AS350" s="1378"/>
      <c r="AT350" s="1378"/>
      <c r="AU350" s="1378"/>
      <c r="AV350" s="1378"/>
      <c r="AW350" s="1378"/>
      <c r="AX350" s="1378"/>
      <c r="AY350" s="1378"/>
      <c r="AZ350" s="1378"/>
      <c r="BA350" s="1378"/>
      <c r="BB350" s="1378"/>
      <c r="BC350" s="1378">
        <f>IF(INDEX(Tab_actions,327,1)=1,INDEX(Tab_actions,327,7),0)</f>
        <v>0</v>
      </c>
      <c r="BD350"/>
      <c r="BE350" s="198"/>
      <c r="BF350" s="198"/>
      <c r="BG350" s="198"/>
      <c r="BH350" s="198"/>
      <c r="BI350" s="198"/>
      <c r="BJ350" s="198"/>
      <c r="BK350" s="198"/>
      <c r="BL350" s="198"/>
      <c r="BM350" s="198"/>
      <c r="BN350" s="198"/>
      <c r="BO350" s="198"/>
      <c r="BP350" s="198"/>
      <c r="BQ350" s="198"/>
      <c r="BR350" s="198"/>
      <c r="BS350" s="198"/>
      <c r="BT350" s="198"/>
      <c r="BU350" s="198"/>
      <c r="BV350" s="198"/>
      <c r="BW350" s="198"/>
      <c r="BX350" s="198"/>
      <c r="BY350" s="198"/>
      <c r="BZ350" s="198"/>
      <c r="CA350" s="198"/>
      <c r="CB350" s="198"/>
      <c r="CC350" s="198"/>
      <c r="CD350" s="198"/>
      <c r="CE350" s="198"/>
      <c r="CF350" s="198"/>
      <c r="CG350" s="198"/>
      <c r="CH350" s="198"/>
      <c r="CI350" s="198"/>
      <c r="CJ350" s="198"/>
      <c r="CK350" s="198"/>
      <c r="CL350" s="198"/>
      <c r="CM350" s="198"/>
      <c r="CN350" s="198"/>
      <c r="CO350" s="198"/>
      <c r="CP350" s="198"/>
      <c r="CQ350" s="198"/>
      <c r="CR350" s="198"/>
      <c r="CS350" s="198"/>
      <c r="CT350" s="198"/>
      <c r="CU350" s="198"/>
      <c r="CV350" s="198"/>
      <c r="CW350" s="198"/>
      <c r="CX350" s="198"/>
      <c r="CY350" s="198"/>
      <c r="CZ350" s="198"/>
      <c r="DA350" s="198"/>
      <c r="DB350" s="198"/>
      <c r="DC350" s="198"/>
      <c r="DD350" s="198"/>
      <c r="DE350" s="198"/>
      <c r="DF350" s="198"/>
      <c r="DG350" s="198"/>
      <c r="DH350" s="198"/>
      <c r="DI350" s="198"/>
      <c r="DJ350" s="198"/>
      <c r="DK350" s="198"/>
      <c r="DL350" s="198"/>
      <c r="DM350" s="198"/>
      <c r="DN350" s="198"/>
      <c r="DO350" s="198"/>
      <c r="DP350" s="198"/>
      <c r="DQ350" s="198"/>
      <c r="DR350" s="198"/>
      <c r="DS350" s="198"/>
      <c r="DT350" s="198"/>
    </row>
    <row r="351" spans="1:124" s="172" customFormat="1" ht="25.5" outlineLevel="1" x14ac:dyDescent="0.25">
      <c r="A351" s="173"/>
      <c r="B351" s="218" t="str">
        <f>Services!B351</f>
        <v>13F03</v>
      </c>
      <c r="C351" s="216" t="str">
        <f>Services!C351</f>
        <v xml:space="preserve">Applicabilité de la politique relative à la Sécurité des personnes et protection de l'environnement </v>
      </c>
      <c r="D351" s="210" t="str">
        <f t="shared" si="5"/>
        <v/>
      </c>
      <c r="E351" s="1378"/>
      <c r="F351" s="1378"/>
      <c r="G351" s="1378"/>
      <c r="H351" s="1378"/>
      <c r="I351" s="1378"/>
      <c r="J351" s="1378"/>
      <c r="K351" s="1378"/>
      <c r="L351" s="1378"/>
      <c r="M351" s="1378"/>
      <c r="N351" s="1378"/>
      <c r="O351" s="1378"/>
      <c r="P351" s="1378"/>
      <c r="Q351" s="1378"/>
      <c r="R351" s="1378"/>
      <c r="S351" s="1378"/>
      <c r="T351" s="1378"/>
      <c r="U351" s="1378"/>
      <c r="V351" s="1378"/>
      <c r="W351" s="1378"/>
      <c r="X351" s="1378"/>
      <c r="Y351" s="1378"/>
      <c r="Z351" s="1378"/>
      <c r="AA351" s="1378"/>
      <c r="AB351" s="1378"/>
      <c r="AC351" s="1378"/>
      <c r="AD351" s="1378"/>
      <c r="AE351" s="1378"/>
      <c r="AF351" s="1378"/>
      <c r="AG351" s="1378"/>
      <c r="AH351" s="1378"/>
      <c r="AI351" s="1378"/>
      <c r="AJ351" s="1378"/>
      <c r="AK351" s="1378"/>
      <c r="AL351" s="1378"/>
      <c r="AM351" s="1378"/>
      <c r="AN351" s="1378"/>
      <c r="AO351" s="1378"/>
      <c r="AP351" s="1378"/>
      <c r="AQ351" s="1378"/>
      <c r="AR351" s="1378"/>
      <c r="AS351" s="1378"/>
      <c r="AT351" s="1378"/>
      <c r="AU351" s="1378"/>
      <c r="AV351" s="1378"/>
      <c r="AW351" s="1378"/>
      <c r="AX351" s="1378"/>
      <c r="AY351" s="1378"/>
      <c r="AZ351" s="1378"/>
      <c r="BA351" s="1378"/>
      <c r="BB351" s="1378"/>
      <c r="BC351" s="1378">
        <f>IF(INDEX(Tab_actions,327,1)=1,INDEX(Tab_actions,327,10),0)</f>
        <v>0</v>
      </c>
      <c r="BD351"/>
      <c r="BE351" s="198"/>
      <c r="BF351" s="198"/>
      <c r="BG351" s="198"/>
      <c r="BH351" s="198"/>
      <c r="BI351" s="198"/>
      <c r="BJ351" s="198"/>
      <c r="BK351" s="198"/>
      <c r="BL351" s="198"/>
      <c r="BM351" s="198"/>
      <c r="BN351" s="198"/>
      <c r="BO351" s="198"/>
      <c r="BP351" s="198"/>
      <c r="BQ351" s="198"/>
      <c r="BR351" s="198"/>
      <c r="BS351" s="198"/>
      <c r="BT351" s="198"/>
      <c r="BU351" s="198"/>
      <c r="BV351" s="198"/>
      <c r="BW351" s="198"/>
      <c r="BX351" s="198"/>
      <c r="BY351" s="198"/>
      <c r="BZ351" s="198"/>
      <c r="CA351" s="198"/>
      <c r="CB351" s="198"/>
      <c r="CC351" s="198"/>
      <c r="CD351" s="198"/>
      <c r="CE351" s="198"/>
      <c r="CF351" s="198"/>
      <c r="CG351" s="198"/>
      <c r="CH351" s="198"/>
      <c r="CI351" s="198"/>
      <c r="CJ351" s="198"/>
      <c r="CK351" s="198"/>
      <c r="CL351" s="198"/>
      <c r="CM351" s="198"/>
      <c r="CN351" s="198"/>
      <c r="CO351" s="198"/>
      <c r="CP351" s="198"/>
      <c r="CQ351" s="198"/>
      <c r="CR351" s="198"/>
      <c r="CS351" s="198"/>
      <c r="CT351" s="198"/>
      <c r="CU351" s="198"/>
      <c r="CV351" s="198"/>
      <c r="CW351" s="198"/>
      <c r="CX351" s="198"/>
      <c r="CY351" s="198"/>
      <c r="CZ351" s="198"/>
      <c r="DA351" s="198"/>
      <c r="DB351" s="198"/>
      <c r="DC351" s="198"/>
      <c r="DD351" s="198"/>
      <c r="DE351" s="198"/>
      <c r="DF351" s="198"/>
      <c r="DG351" s="198"/>
      <c r="DH351" s="198"/>
      <c r="DI351" s="198"/>
      <c r="DJ351" s="198"/>
      <c r="DK351" s="198"/>
      <c r="DL351" s="198"/>
      <c r="DM351" s="198"/>
      <c r="DN351" s="198"/>
      <c r="DO351" s="198"/>
      <c r="DP351" s="198"/>
      <c r="DQ351" s="198"/>
      <c r="DR351" s="198"/>
      <c r="DS351" s="198"/>
      <c r="DT351" s="198"/>
    </row>
    <row r="352" spans="1:124" ht="25.5" outlineLevel="1" x14ac:dyDescent="0.25">
      <c r="A352" s="173"/>
      <c r="B352" s="218" t="str">
        <f>Services!B352</f>
        <v>13F04</v>
      </c>
      <c r="C352" s="216" t="str">
        <f>Services!C352</f>
        <v xml:space="preserve">Contrôle de l'application de la politique relative à la Sécurité des personnes et protection de l'environnement </v>
      </c>
      <c r="D352" s="210" t="str">
        <f t="shared" si="5"/>
        <v/>
      </c>
      <c r="E352" s="1378"/>
      <c r="F352" s="1378"/>
      <c r="G352" s="1378"/>
      <c r="H352" s="1378"/>
      <c r="I352" s="1378"/>
      <c r="J352" s="1378"/>
      <c r="K352" s="1378"/>
      <c r="L352" s="1378"/>
      <c r="M352" s="1378"/>
      <c r="N352" s="1378"/>
      <c r="O352" s="1378"/>
      <c r="P352" s="1378"/>
      <c r="Q352" s="1378"/>
      <c r="R352" s="1378"/>
      <c r="S352" s="1378"/>
      <c r="T352" s="1378"/>
      <c r="U352" s="1378"/>
      <c r="V352" s="1378"/>
      <c r="W352" s="1378"/>
      <c r="X352" s="1378"/>
      <c r="Y352" s="1378"/>
      <c r="Z352" s="1378"/>
      <c r="AA352" s="1378"/>
      <c r="AB352" s="1378"/>
      <c r="AC352" s="1378"/>
      <c r="AD352" s="1378"/>
      <c r="AE352" s="1378"/>
      <c r="AF352" s="1378"/>
      <c r="AG352" s="1378"/>
      <c r="AH352" s="1378"/>
      <c r="AI352" s="1378"/>
      <c r="AJ352" s="1378"/>
      <c r="AK352" s="1378"/>
      <c r="AL352" s="1378"/>
      <c r="AM352" s="1378"/>
      <c r="AN352" s="1378"/>
      <c r="AO352" s="1378"/>
      <c r="AP352" s="1378"/>
      <c r="AQ352" s="1378"/>
      <c r="AR352" s="1378"/>
      <c r="AS352" s="1378"/>
      <c r="AT352" s="1378"/>
      <c r="AU352" s="1378"/>
      <c r="AV352" s="1378"/>
      <c r="AW352" s="1378"/>
      <c r="AX352" s="1378"/>
      <c r="AY352" s="1378"/>
      <c r="AZ352" s="1378"/>
      <c r="BA352" s="1378"/>
      <c r="BB352" s="1378"/>
      <c r="BC352" s="1378">
        <f>IF(INDEX(Tab_actions,326,1)=1,INDEX(Tab_actions,326,4),0)</f>
        <v>0</v>
      </c>
      <c r="BD352"/>
    </row>
    <row r="353" spans="1:124" s="172" customFormat="1" ht="15" outlineLevel="1" x14ac:dyDescent="0.25">
      <c r="A353" s="173"/>
      <c r="B353" s="213" t="str">
        <f>Services!B353</f>
        <v>13G</v>
      </c>
      <c r="C353" s="214" t="str">
        <f>Services!C353</f>
        <v>Règles relatives à l'utilisation de moyens cryptologiques</v>
      </c>
      <c r="D353" s="210" t="str">
        <f t="shared" si="5"/>
        <v/>
      </c>
      <c r="E353" s="1378"/>
      <c r="F353" s="1378"/>
      <c r="G353" s="1378"/>
      <c r="H353" s="1378"/>
      <c r="I353" s="1378"/>
      <c r="J353" s="1378"/>
      <c r="K353" s="1378"/>
      <c r="L353" s="1378"/>
      <c r="M353" s="1378"/>
      <c r="N353" s="1378"/>
      <c r="O353" s="1378"/>
      <c r="P353" s="1378"/>
      <c r="Q353" s="1378"/>
      <c r="R353" s="1378"/>
      <c r="S353" s="1378"/>
      <c r="T353" s="1378"/>
      <c r="U353" s="1378"/>
      <c r="V353" s="1378"/>
      <c r="W353" s="1378"/>
      <c r="X353" s="1378"/>
      <c r="Y353" s="1378"/>
      <c r="Z353" s="1378"/>
      <c r="AA353" s="1378"/>
      <c r="AB353" s="1378"/>
      <c r="AC353" s="1378"/>
      <c r="AD353" s="1378"/>
      <c r="AE353" s="1378"/>
      <c r="AF353" s="1378"/>
      <c r="AG353" s="1378"/>
      <c r="AH353" s="1378"/>
      <c r="AI353" s="1378"/>
      <c r="AJ353" s="1378"/>
      <c r="AK353" s="1378"/>
      <c r="AL353" s="1378"/>
      <c r="AM353" s="1378"/>
      <c r="AN353" s="1378"/>
      <c r="AO353" s="1378"/>
      <c r="AP353" s="1378"/>
      <c r="AQ353" s="1378"/>
      <c r="AR353" s="1378"/>
      <c r="AS353" s="1378"/>
      <c r="AT353" s="1378"/>
      <c r="AU353" s="1378"/>
      <c r="AV353" s="1378"/>
      <c r="AW353" s="1378"/>
      <c r="AX353" s="1378"/>
      <c r="AY353" s="1378"/>
      <c r="AZ353" s="1378"/>
      <c r="BA353" s="1378"/>
      <c r="BB353" s="1378"/>
      <c r="BC353" s="1378"/>
      <c r="BD353"/>
      <c r="BE353" s="198"/>
      <c r="BF353" s="198"/>
      <c r="BG353" s="198"/>
      <c r="BH353" s="198"/>
      <c r="BI353" s="198"/>
      <c r="BJ353" s="198"/>
      <c r="BK353" s="198"/>
      <c r="BL353" s="198"/>
      <c r="BM353" s="198"/>
      <c r="BN353" s="198"/>
      <c r="BO353" s="198"/>
      <c r="BP353" s="198"/>
      <c r="BQ353" s="198"/>
      <c r="BR353" s="198"/>
      <c r="BS353" s="198"/>
      <c r="BT353" s="198"/>
      <c r="BU353" s="198"/>
      <c r="BV353" s="198"/>
      <c r="BW353" s="198"/>
      <c r="BX353" s="198"/>
      <c r="BY353" s="198"/>
      <c r="BZ353" s="198"/>
      <c r="CA353" s="198"/>
      <c r="CB353" s="198"/>
      <c r="CC353" s="198"/>
      <c r="CD353" s="198"/>
      <c r="CE353" s="198"/>
      <c r="CF353" s="198"/>
      <c r="CG353" s="198"/>
      <c r="CH353" s="198"/>
      <c r="CI353" s="198"/>
      <c r="CJ353" s="198"/>
      <c r="CK353" s="198"/>
      <c r="CL353" s="198"/>
      <c r="CM353" s="198"/>
      <c r="CN353" s="198"/>
      <c r="CO353" s="198"/>
      <c r="CP353" s="198"/>
      <c r="CQ353" s="198"/>
      <c r="CR353" s="198"/>
      <c r="CS353" s="198"/>
      <c r="CT353" s="198"/>
      <c r="CU353" s="198"/>
      <c r="CV353" s="198"/>
      <c r="CW353" s="198"/>
      <c r="CX353" s="198"/>
      <c r="CY353" s="198"/>
      <c r="CZ353" s="198"/>
      <c r="DA353" s="198"/>
      <c r="DB353" s="198"/>
      <c r="DC353" s="198"/>
      <c r="DD353" s="198"/>
      <c r="DE353" s="198"/>
      <c r="DF353" s="198"/>
      <c r="DG353" s="198"/>
      <c r="DH353" s="198"/>
      <c r="DI353" s="198"/>
      <c r="DJ353" s="198"/>
      <c r="DK353" s="198"/>
      <c r="DL353" s="198"/>
      <c r="DM353" s="198"/>
      <c r="DN353" s="198"/>
      <c r="DO353" s="198"/>
      <c r="DP353" s="198"/>
      <c r="DQ353" s="198"/>
      <c r="DR353" s="198"/>
      <c r="DS353" s="198"/>
      <c r="DT353" s="198"/>
    </row>
    <row r="354" spans="1:124" s="172" customFormat="1" ht="15" outlineLevel="1" x14ac:dyDescent="0.25">
      <c r="A354" s="235"/>
      <c r="B354" s="218" t="str">
        <f>Services!B354</f>
        <v>13G01</v>
      </c>
      <c r="C354" s="216" t="str">
        <f>Services!C354</f>
        <v>Politique et directives relatives à l'utilisation de moyens cryptologiques</v>
      </c>
      <c r="D354" s="210" t="str">
        <f t="shared" si="5"/>
        <v/>
      </c>
      <c r="E354" s="1378"/>
      <c r="F354" s="1378"/>
      <c r="G354" s="1378"/>
      <c r="H354" s="1378"/>
      <c r="I354" s="1378"/>
      <c r="J354" s="1378"/>
      <c r="K354" s="1378"/>
      <c r="L354" s="1378"/>
      <c r="M354" s="1378"/>
      <c r="N354" s="1378"/>
      <c r="O354" s="1378"/>
      <c r="P354" s="1378"/>
      <c r="Q354" s="1378"/>
      <c r="R354" s="1378"/>
      <c r="S354" s="1378"/>
      <c r="T354" s="1378"/>
      <c r="U354" s="1378"/>
      <c r="V354" s="1378"/>
      <c r="W354" s="1378"/>
      <c r="X354" s="1378"/>
      <c r="Y354" s="1378"/>
      <c r="Z354" s="1378"/>
      <c r="AA354" s="1378"/>
      <c r="AB354" s="1378"/>
      <c r="AC354" s="1378"/>
      <c r="AD354" s="1378"/>
      <c r="AE354" s="1378"/>
      <c r="AF354" s="1378"/>
      <c r="AG354" s="1378"/>
      <c r="AH354" s="1378"/>
      <c r="AI354" s="1378"/>
      <c r="AJ354" s="1378"/>
      <c r="AK354" s="1378"/>
      <c r="AL354" s="1378"/>
      <c r="AM354" s="1378"/>
      <c r="AN354" s="1378"/>
      <c r="AO354" s="1378"/>
      <c r="AP354" s="1378"/>
      <c r="AQ354" s="1378"/>
      <c r="AR354" s="1378"/>
      <c r="AS354" s="1378"/>
      <c r="AT354" s="1378"/>
      <c r="AU354" s="1378"/>
      <c r="AV354" s="1378"/>
      <c r="AW354" s="1378"/>
      <c r="AX354" s="1378"/>
      <c r="AY354" s="1378"/>
      <c r="AZ354" s="1378"/>
      <c r="BA354" s="1378"/>
      <c r="BB354" s="1378"/>
      <c r="BC354" s="1378"/>
      <c r="BD354"/>
      <c r="BE354" s="198"/>
      <c r="BF354" s="198"/>
      <c r="BG354" s="198"/>
      <c r="BH354" s="198"/>
      <c r="BI354" s="198"/>
      <c r="BJ354" s="198"/>
      <c r="BK354" s="198"/>
      <c r="BL354" s="198"/>
      <c r="BM354" s="198"/>
      <c r="BN354" s="198"/>
      <c r="BO354" s="198"/>
      <c r="BP354" s="198"/>
      <c r="BQ354" s="198"/>
      <c r="BR354" s="198"/>
      <c r="BS354" s="198"/>
      <c r="BT354" s="198"/>
      <c r="BU354" s="198"/>
      <c r="BV354" s="198"/>
      <c r="BW354" s="198"/>
      <c r="BX354" s="198"/>
      <c r="BY354" s="198"/>
      <c r="BZ354" s="198"/>
      <c r="CA354" s="198"/>
      <c r="CB354" s="198"/>
      <c r="CC354" s="198"/>
      <c r="CD354" s="198"/>
      <c r="CE354" s="198"/>
      <c r="CF354" s="198"/>
      <c r="CG354" s="198"/>
      <c r="CH354" s="198"/>
      <c r="CI354" s="198"/>
      <c r="CJ354" s="198"/>
      <c r="CK354" s="198"/>
      <c r="CL354" s="198"/>
      <c r="CM354" s="198"/>
      <c r="CN354" s="198"/>
      <c r="CO354" s="198"/>
      <c r="CP354" s="198"/>
      <c r="CQ354" s="198"/>
      <c r="CR354" s="198"/>
      <c r="CS354" s="198"/>
      <c r="CT354" s="198"/>
      <c r="CU354" s="198"/>
      <c r="CV354" s="198"/>
      <c r="CW354" s="198"/>
      <c r="CX354" s="198"/>
      <c r="CY354" s="198"/>
      <c r="CZ354" s="198"/>
      <c r="DA354" s="198"/>
      <c r="DB354" s="198"/>
      <c r="DC354" s="198"/>
      <c r="DD354" s="198"/>
      <c r="DE354" s="198"/>
      <c r="DF354" s="198"/>
      <c r="DG354" s="198"/>
      <c r="DH354" s="198"/>
      <c r="DI354" s="198"/>
      <c r="DJ354" s="198"/>
      <c r="DK354" s="198"/>
      <c r="DL354" s="198"/>
      <c r="DM354" s="198"/>
      <c r="DN354" s="198"/>
      <c r="DO354" s="198"/>
      <c r="DP354" s="198"/>
      <c r="DQ354" s="198"/>
      <c r="DR354" s="198"/>
      <c r="DS354" s="198"/>
      <c r="DT354" s="198"/>
    </row>
    <row r="355" spans="1:124" s="172" customFormat="1" ht="25.5" outlineLevel="1" x14ac:dyDescent="0.25">
      <c r="A355" s="235"/>
      <c r="B355" s="218" t="str">
        <f>Services!B355</f>
        <v>13G02</v>
      </c>
      <c r="C355" s="216" t="str">
        <f>Services!C355</f>
        <v>Programme de formation et de sensibilisation à l'utilisation de moyens cryptologiques</v>
      </c>
      <c r="D355" s="210" t="str">
        <f t="shared" si="5"/>
        <v/>
      </c>
      <c r="E355" s="1378"/>
      <c r="F355" s="1378"/>
      <c r="G355" s="1378"/>
      <c r="H355" s="1378"/>
      <c r="I355" s="1378"/>
      <c r="J355" s="1378"/>
      <c r="K355" s="1378"/>
      <c r="L355" s="1378"/>
      <c r="M355" s="1378"/>
      <c r="N355" s="1378"/>
      <c r="O355" s="1378"/>
      <c r="P355" s="1378"/>
      <c r="Q355" s="1378"/>
      <c r="R355" s="1378"/>
      <c r="S355" s="1378"/>
      <c r="T355" s="1378"/>
      <c r="U355" s="1378"/>
      <c r="V355" s="1378"/>
      <c r="W355" s="1378"/>
      <c r="X355" s="1378"/>
      <c r="Y355" s="1378"/>
      <c r="Z355" s="1378"/>
      <c r="AA355" s="1378"/>
      <c r="AB355" s="1378"/>
      <c r="AC355" s="1378"/>
      <c r="AD355" s="1378"/>
      <c r="AE355" s="1378"/>
      <c r="AF355" s="1378"/>
      <c r="AG355" s="1378"/>
      <c r="AH355" s="1378"/>
      <c r="AI355" s="1378"/>
      <c r="AJ355" s="1378"/>
      <c r="AK355" s="1378"/>
      <c r="AL355" s="1378"/>
      <c r="AM355" s="1378"/>
      <c r="AN355" s="1378"/>
      <c r="AO355" s="1378"/>
      <c r="AP355" s="1378"/>
      <c r="AQ355" s="1378"/>
      <c r="AR355" s="1378"/>
      <c r="AS355" s="1378"/>
      <c r="AT355" s="1378"/>
      <c r="AU355" s="1378"/>
      <c r="AV355" s="1378"/>
      <c r="AW355" s="1378"/>
      <c r="AX355" s="1378"/>
      <c r="AY355" s="1378"/>
      <c r="AZ355" s="1378"/>
      <c r="BA355" s="1378"/>
      <c r="BB355" s="1378"/>
      <c r="BC355" s="1378"/>
      <c r="BD355"/>
      <c r="BE355" s="198"/>
      <c r="BF355" s="198"/>
      <c r="BG355" s="198"/>
      <c r="BH355" s="198"/>
      <c r="BI355" s="198"/>
      <c r="BJ355" s="198"/>
      <c r="BK355" s="198"/>
      <c r="BL355" s="198"/>
      <c r="BM355" s="198"/>
      <c r="BN355" s="198"/>
      <c r="BO355" s="198"/>
      <c r="BP355" s="198"/>
      <c r="BQ355" s="198"/>
      <c r="BR355" s="198"/>
      <c r="BS355" s="198"/>
      <c r="BT355" s="198"/>
      <c r="BU355" s="198"/>
      <c r="BV355" s="198"/>
      <c r="BW355" s="198"/>
      <c r="BX355" s="198"/>
      <c r="BY355" s="198"/>
      <c r="BZ355" s="198"/>
      <c r="CA355" s="198"/>
      <c r="CB355" s="198"/>
      <c r="CC355" s="198"/>
      <c r="CD355" s="198"/>
      <c r="CE355" s="198"/>
      <c r="CF355" s="198"/>
      <c r="CG355" s="198"/>
      <c r="CH355" s="198"/>
      <c r="CI355" s="198"/>
      <c r="CJ355" s="198"/>
      <c r="CK355" s="198"/>
      <c r="CL355" s="198"/>
      <c r="CM355" s="198"/>
      <c r="CN355" s="198"/>
      <c r="CO355" s="198"/>
      <c r="CP355" s="198"/>
      <c r="CQ355" s="198"/>
      <c r="CR355" s="198"/>
      <c r="CS355" s="198"/>
      <c r="CT355" s="198"/>
      <c r="CU355" s="198"/>
      <c r="CV355" s="198"/>
      <c r="CW355" s="198"/>
      <c r="CX355" s="198"/>
      <c r="CY355" s="198"/>
      <c r="CZ355" s="198"/>
      <c r="DA355" s="198"/>
      <c r="DB355" s="198"/>
      <c r="DC355" s="198"/>
      <c r="DD355" s="198"/>
      <c r="DE355" s="198"/>
      <c r="DF355" s="198"/>
      <c r="DG355" s="198"/>
      <c r="DH355" s="198"/>
      <c r="DI355" s="198"/>
      <c r="DJ355" s="198"/>
      <c r="DK355" s="198"/>
      <c r="DL355" s="198"/>
      <c r="DM355" s="198"/>
      <c r="DN355" s="198"/>
      <c r="DO355" s="198"/>
      <c r="DP355" s="198"/>
      <c r="DQ355" s="198"/>
      <c r="DR355" s="198"/>
      <c r="DS355" s="198"/>
      <c r="DT355" s="198"/>
    </row>
    <row r="356" spans="1:124" ht="25.5" outlineLevel="1" x14ac:dyDescent="0.25">
      <c r="A356" s="173"/>
      <c r="B356" s="218" t="str">
        <f>Services!B356</f>
        <v>13G03</v>
      </c>
      <c r="C356" s="216" t="str">
        <f>Services!C356</f>
        <v>Contrôle de l'application de la politique relative à l'utilisation de moyens cryptologiques</v>
      </c>
      <c r="D356" s="210" t="str">
        <f t="shared" si="5"/>
        <v/>
      </c>
      <c r="E356" s="1378"/>
      <c r="F356" s="1378"/>
      <c r="G356" s="1378"/>
      <c r="H356" s="1378"/>
      <c r="I356" s="1378"/>
      <c r="J356" s="1378"/>
      <c r="K356" s="1378"/>
      <c r="L356" s="1378"/>
      <c r="M356" s="1378"/>
      <c r="N356" s="1378"/>
      <c r="O356" s="1378"/>
      <c r="P356" s="1378"/>
      <c r="Q356" s="1378"/>
      <c r="R356" s="1378"/>
      <c r="S356" s="1378"/>
      <c r="T356" s="1378"/>
      <c r="U356" s="1378"/>
      <c r="V356" s="1378"/>
      <c r="W356" s="1378"/>
      <c r="X356" s="1378"/>
      <c r="Y356" s="1378"/>
      <c r="Z356" s="1378"/>
      <c r="AA356" s="1378"/>
      <c r="AB356" s="1378"/>
      <c r="AC356" s="1378"/>
      <c r="AD356" s="1378"/>
      <c r="AE356" s="1378"/>
      <c r="AF356" s="1378"/>
      <c r="AG356" s="1378"/>
      <c r="AH356" s="1378"/>
      <c r="AI356" s="1378"/>
      <c r="AJ356" s="1378"/>
      <c r="AK356" s="1378"/>
      <c r="AL356" s="1378"/>
      <c r="AM356" s="1378"/>
      <c r="AN356" s="1378"/>
      <c r="AO356" s="1378"/>
      <c r="AP356" s="1378"/>
      <c r="AQ356" s="1378"/>
      <c r="AR356" s="1378"/>
      <c r="AS356" s="1378"/>
      <c r="AT356" s="1378"/>
      <c r="AU356" s="1378"/>
      <c r="AV356" s="1378"/>
      <c r="AW356" s="1378"/>
      <c r="AX356" s="1378"/>
      <c r="AY356" s="1378"/>
      <c r="AZ356" s="1378"/>
      <c r="BA356" s="1378"/>
      <c r="BB356" s="1378"/>
      <c r="BC356" s="1378"/>
      <c r="BD356"/>
    </row>
    <row r="357" spans="1:124" ht="15" x14ac:dyDescent="0.25">
      <c r="A357" s="233">
        <v>14</v>
      </c>
      <c r="B357" s="233" t="str">
        <f>Services!B357</f>
        <v>Gestion de la sécurité de l'information (14 Msi)</v>
      </c>
      <c r="C357" s="234"/>
      <c r="D357" s="210" t="str">
        <f t="shared" si="5"/>
        <v/>
      </c>
      <c r="E357" s="1378"/>
      <c r="F357" s="1378"/>
      <c r="G357" s="1378"/>
      <c r="H357" s="1378"/>
      <c r="I357" s="1378"/>
      <c r="J357" s="1378"/>
      <c r="K357" s="1378"/>
      <c r="L357" s="1378"/>
      <c r="M357" s="1378"/>
      <c r="N357" s="1378"/>
      <c r="O357" s="1378"/>
      <c r="P357" s="1378"/>
      <c r="Q357" s="1378"/>
      <c r="R357" s="1378"/>
      <c r="S357" s="1378"/>
      <c r="T357" s="1378"/>
      <c r="U357" s="1378"/>
      <c r="V357" s="1378"/>
      <c r="W357" s="1378"/>
      <c r="X357" s="1378"/>
      <c r="Y357" s="1378"/>
      <c r="Z357" s="1378"/>
      <c r="AA357" s="1378"/>
      <c r="AB357" s="1378"/>
      <c r="AC357" s="1378"/>
      <c r="AD357" s="1378"/>
      <c r="AE357" s="1378"/>
      <c r="AF357" s="1378"/>
      <c r="AG357" s="1378"/>
      <c r="AH357" s="1378"/>
      <c r="AI357" s="1378"/>
      <c r="AJ357" s="1378"/>
      <c r="AK357" s="1378"/>
      <c r="AL357" s="1378"/>
      <c r="AM357" s="1378"/>
      <c r="AN357" s="1378"/>
      <c r="AO357" s="1378"/>
      <c r="AP357" s="1378"/>
      <c r="AQ357" s="1378"/>
      <c r="AR357" s="1378"/>
      <c r="AS357" s="1378"/>
      <c r="AT357" s="1378"/>
      <c r="AU357" s="1378"/>
      <c r="AV357" s="1378"/>
      <c r="AW357" s="1378"/>
      <c r="AX357" s="1378"/>
      <c r="AY357" s="1378"/>
      <c r="AZ357" s="1378"/>
      <c r="BA357" s="1378"/>
      <c r="BB357" s="1378"/>
      <c r="BC357" s="1378"/>
      <c r="BD357"/>
    </row>
    <row r="358" spans="1:124" ht="15" outlineLevel="1" x14ac:dyDescent="0.25">
      <c r="A358" s="236"/>
      <c r="B358" s="213" t="str">
        <f>Services!B358</f>
        <v>14A</v>
      </c>
      <c r="C358" s="214" t="str">
        <f>Services!C358</f>
        <v>Planification du système de management</v>
      </c>
      <c r="D358" s="210" t="str">
        <f t="shared" si="5"/>
        <v/>
      </c>
      <c r="E358" s="1378"/>
      <c r="F358" s="1378"/>
      <c r="G358" s="1378"/>
      <c r="H358" s="1378"/>
      <c r="I358" s="1378"/>
      <c r="J358" s="1378"/>
      <c r="K358" s="1378"/>
      <c r="L358" s="1378"/>
      <c r="M358" s="1378"/>
      <c r="N358" s="1378"/>
      <c r="O358" s="1378"/>
      <c r="P358" s="1378"/>
      <c r="Q358" s="1378"/>
      <c r="R358" s="1378"/>
      <c r="S358" s="1378"/>
      <c r="T358" s="1378"/>
      <c r="U358" s="1378"/>
      <c r="V358" s="1378"/>
      <c r="W358" s="1378"/>
      <c r="X358" s="1378"/>
      <c r="Y358" s="1378"/>
      <c r="Z358" s="1378"/>
      <c r="AA358" s="1378"/>
      <c r="AB358" s="1378"/>
      <c r="AC358" s="1378"/>
      <c r="AD358" s="1378"/>
      <c r="AE358" s="1378"/>
      <c r="AF358" s="1378"/>
      <c r="AG358" s="1378"/>
      <c r="AH358" s="1378"/>
      <c r="AI358" s="1378"/>
      <c r="AJ358" s="1378"/>
      <c r="AK358" s="1378"/>
      <c r="AL358" s="1378"/>
      <c r="AM358" s="1378"/>
      <c r="AN358" s="1378"/>
      <c r="AO358" s="1378"/>
      <c r="AP358" s="1378"/>
      <c r="AQ358" s="1378"/>
      <c r="AR358" s="1378"/>
      <c r="AS358" s="1378"/>
      <c r="AT358" s="1378"/>
      <c r="AU358" s="1378"/>
      <c r="AV358" s="1378"/>
      <c r="AW358" s="1378"/>
      <c r="AX358" s="1378"/>
      <c r="AY358" s="1378"/>
      <c r="AZ358" s="1378"/>
      <c r="BA358" s="1378"/>
      <c r="BB358" s="1378"/>
      <c r="BC358" s="1378"/>
      <c r="BD358"/>
    </row>
    <row r="359" spans="1:124" ht="15" outlineLevel="1" x14ac:dyDescent="0.25">
      <c r="A359" s="236"/>
      <c r="B359" s="218" t="str">
        <f>Services!B359</f>
        <v>14A01</v>
      </c>
      <c r="C359" s="216" t="str">
        <f>Services!C359</f>
        <v>Définition du périmètre du SMSI</v>
      </c>
      <c r="D359" s="210" t="str">
        <f t="shared" si="5"/>
        <v/>
      </c>
      <c r="E359" s="1378"/>
      <c r="F359" s="1378"/>
      <c r="G359" s="1378"/>
      <c r="H359" s="1378"/>
      <c r="I359" s="1378"/>
      <c r="J359" s="1378"/>
      <c r="K359" s="1378"/>
      <c r="L359" s="1378"/>
      <c r="M359" s="1378"/>
      <c r="N359" s="1378"/>
      <c r="O359" s="1378"/>
      <c r="P359" s="1378"/>
      <c r="Q359" s="1378"/>
      <c r="R359" s="1378"/>
      <c r="S359" s="1378"/>
      <c r="T359" s="1378"/>
      <c r="U359" s="1378"/>
      <c r="V359" s="1378"/>
      <c r="W359" s="1378"/>
      <c r="X359" s="1378"/>
      <c r="Y359" s="1378"/>
      <c r="Z359" s="1378"/>
      <c r="AA359" s="1378"/>
      <c r="AB359" s="1378"/>
      <c r="AC359" s="1378"/>
      <c r="AD359" s="1378"/>
      <c r="AE359" s="1378"/>
      <c r="AF359" s="1378"/>
      <c r="AG359" s="1378"/>
      <c r="AH359" s="1378"/>
      <c r="AI359" s="1378"/>
      <c r="AJ359" s="1378"/>
      <c r="AK359" s="1378"/>
      <c r="AL359" s="1378"/>
      <c r="AM359" s="1378"/>
      <c r="AN359" s="1378"/>
      <c r="AO359" s="1378"/>
      <c r="AP359" s="1378"/>
      <c r="AQ359" s="1378"/>
      <c r="AR359" s="1378"/>
      <c r="AS359" s="1378"/>
      <c r="AT359" s="1378"/>
      <c r="AU359" s="1378"/>
      <c r="AV359" s="1378"/>
      <c r="AW359" s="1378"/>
      <c r="AX359" s="1378"/>
      <c r="AY359" s="1378"/>
      <c r="AZ359" s="1378"/>
      <c r="BA359" s="1378"/>
      <c r="BB359" s="1378"/>
      <c r="BC359" s="1378"/>
      <c r="BD359"/>
    </row>
    <row r="360" spans="1:124" ht="15" outlineLevel="1" x14ac:dyDescent="0.25">
      <c r="A360" s="236"/>
      <c r="B360" s="218" t="str">
        <f>Services!B360</f>
        <v>14A02</v>
      </c>
      <c r="C360" s="216" t="str">
        <f>Services!C360</f>
        <v>Définition de la politique du SMSI</v>
      </c>
      <c r="D360" s="210" t="str">
        <f t="shared" si="5"/>
        <v/>
      </c>
      <c r="E360" s="1378"/>
      <c r="F360" s="1378"/>
      <c r="G360" s="1378"/>
      <c r="H360" s="1378"/>
      <c r="I360" s="1378"/>
      <c r="J360" s="1378"/>
      <c r="K360" s="1378"/>
      <c r="L360" s="1378"/>
      <c r="M360" s="1378"/>
      <c r="N360" s="1378"/>
      <c r="O360" s="1378"/>
      <c r="P360" s="1378"/>
      <c r="Q360" s="1378"/>
      <c r="R360" s="1378"/>
      <c r="S360" s="1378"/>
      <c r="T360" s="1378"/>
      <c r="U360" s="1378"/>
      <c r="V360" s="1378"/>
      <c r="W360" s="1378"/>
      <c r="X360" s="1378"/>
      <c r="Y360" s="1378"/>
      <c r="Z360" s="1378"/>
      <c r="AA360" s="1378"/>
      <c r="AB360" s="1378"/>
      <c r="AC360" s="1378"/>
      <c r="AD360" s="1378"/>
      <c r="AE360" s="1378"/>
      <c r="AF360" s="1378"/>
      <c r="AG360" s="1378"/>
      <c r="AH360" s="1378"/>
      <c r="AI360" s="1378"/>
      <c r="AJ360" s="1378"/>
      <c r="AK360" s="1378"/>
      <c r="AL360" s="1378"/>
      <c r="AM360" s="1378"/>
      <c r="AN360" s="1378"/>
      <c r="AO360" s="1378"/>
      <c r="AP360" s="1378"/>
      <c r="AQ360" s="1378"/>
      <c r="AR360" s="1378"/>
      <c r="AS360" s="1378"/>
      <c r="AT360" s="1378"/>
      <c r="AU360" s="1378"/>
      <c r="AV360" s="1378"/>
      <c r="AW360" s="1378"/>
      <c r="AX360" s="1378"/>
      <c r="AY360" s="1378"/>
      <c r="AZ360" s="1378"/>
      <c r="BA360" s="1378"/>
      <c r="BB360" s="1378"/>
      <c r="BC360" s="1378"/>
      <c r="BD360"/>
    </row>
    <row r="361" spans="1:124" ht="15" outlineLevel="1" x14ac:dyDescent="0.25">
      <c r="A361" s="236"/>
      <c r="B361" s="218" t="str">
        <f>Services!B361</f>
        <v>14A03</v>
      </c>
      <c r="C361" s="216" t="str">
        <f>Services!C361</f>
        <v>Approche de l'analyse des risques et des métriques associées</v>
      </c>
      <c r="D361" s="210" t="str">
        <f t="shared" si="5"/>
        <v/>
      </c>
      <c r="E361" s="1378"/>
      <c r="F361" s="1378"/>
      <c r="G361" s="1378"/>
      <c r="H361" s="1378"/>
      <c r="I361" s="1378"/>
      <c r="J361" s="1378"/>
      <c r="K361" s="1378"/>
      <c r="L361" s="1378"/>
      <c r="M361" s="1378"/>
      <c r="N361" s="1378"/>
      <c r="O361" s="1378"/>
      <c r="P361" s="1378"/>
      <c r="Q361" s="1378"/>
      <c r="R361" s="1378"/>
      <c r="S361" s="1378"/>
      <c r="T361" s="1378"/>
      <c r="U361" s="1378"/>
      <c r="V361" s="1378"/>
      <c r="W361" s="1378"/>
      <c r="X361" s="1378"/>
      <c r="Y361" s="1378"/>
      <c r="Z361" s="1378"/>
      <c r="AA361" s="1378"/>
      <c r="AB361" s="1378"/>
      <c r="AC361" s="1378"/>
      <c r="AD361" s="1378"/>
      <c r="AE361" s="1378"/>
      <c r="AF361" s="1378"/>
      <c r="AG361" s="1378"/>
      <c r="AH361" s="1378"/>
      <c r="AI361" s="1378"/>
      <c r="AJ361" s="1378"/>
      <c r="AK361" s="1378"/>
      <c r="AL361" s="1378"/>
      <c r="AM361" s="1378"/>
      <c r="AN361" s="1378"/>
      <c r="AO361" s="1378"/>
      <c r="AP361" s="1378"/>
      <c r="AQ361" s="1378"/>
      <c r="AR361" s="1378"/>
      <c r="AS361" s="1378"/>
      <c r="AT361" s="1378"/>
      <c r="AU361" s="1378"/>
      <c r="AV361" s="1378"/>
      <c r="AW361" s="1378"/>
      <c r="AX361" s="1378"/>
      <c r="AY361" s="1378"/>
      <c r="AZ361" s="1378"/>
      <c r="BA361" s="1378"/>
      <c r="BB361" s="1378"/>
      <c r="BC361" s="1378"/>
      <c r="BD361"/>
    </row>
    <row r="362" spans="1:124" ht="15" outlineLevel="1" x14ac:dyDescent="0.25">
      <c r="A362" s="236"/>
      <c r="B362" s="218" t="str">
        <f>Services!B362</f>
        <v>14A04</v>
      </c>
      <c r="C362" s="216" t="str">
        <f>Services!C362</f>
        <v>Identification des risques</v>
      </c>
      <c r="D362" s="210" t="str">
        <f t="shared" si="5"/>
        <v/>
      </c>
      <c r="E362" s="1378"/>
      <c r="F362" s="1378"/>
      <c r="G362" s="1378"/>
      <c r="H362" s="1378"/>
      <c r="I362" s="1378"/>
      <c r="J362" s="1378"/>
      <c r="K362" s="1378"/>
      <c r="L362" s="1378"/>
      <c r="M362" s="1378"/>
      <c r="N362" s="1378"/>
      <c r="O362" s="1378"/>
      <c r="P362" s="1378"/>
      <c r="Q362" s="1378"/>
      <c r="R362" s="1378"/>
      <c r="S362" s="1378"/>
      <c r="T362" s="1378"/>
      <c r="U362" s="1378"/>
      <c r="V362" s="1378"/>
      <c r="W362" s="1378"/>
      <c r="X362" s="1378"/>
      <c r="Y362" s="1378"/>
      <c r="Z362" s="1378"/>
      <c r="AA362" s="1378"/>
      <c r="AB362" s="1378"/>
      <c r="AC362" s="1378"/>
      <c r="AD362" s="1378"/>
      <c r="AE362" s="1378"/>
      <c r="AF362" s="1378"/>
      <c r="AG362" s="1378"/>
      <c r="AH362" s="1378"/>
      <c r="AI362" s="1378"/>
      <c r="AJ362" s="1378"/>
      <c r="AK362" s="1378"/>
      <c r="AL362" s="1378"/>
      <c r="AM362" s="1378"/>
      <c r="AN362" s="1378"/>
      <c r="AO362" s="1378"/>
      <c r="AP362" s="1378"/>
      <c r="AQ362" s="1378"/>
      <c r="AR362" s="1378"/>
      <c r="AS362" s="1378"/>
      <c r="AT362" s="1378"/>
      <c r="AU362" s="1378"/>
      <c r="AV362" s="1378"/>
      <c r="AW362" s="1378"/>
      <c r="AX362" s="1378"/>
      <c r="AY362" s="1378"/>
      <c r="AZ362" s="1378"/>
      <c r="BA362" s="1378"/>
      <c r="BB362" s="1378"/>
      <c r="BC362" s="1378"/>
      <c r="BD362"/>
    </row>
    <row r="363" spans="1:124" ht="15" outlineLevel="1" x14ac:dyDescent="0.25">
      <c r="A363" s="236"/>
      <c r="B363" s="218" t="str">
        <f>Services!B363</f>
        <v>14A05</v>
      </c>
      <c r="C363" s="216" t="str">
        <f>Services!C363</f>
        <v>Analyse et évaluation des risques</v>
      </c>
      <c r="D363" s="210" t="str">
        <f t="shared" si="5"/>
        <v/>
      </c>
      <c r="E363" s="1378"/>
      <c r="F363" s="1378"/>
      <c r="G363" s="1378"/>
      <c r="H363" s="1378"/>
      <c r="I363" s="1378"/>
      <c r="J363" s="1378"/>
      <c r="K363" s="1378"/>
      <c r="L363" s="1378"/>
      <c r="M363" s="1378"/>
      <c r="N363" s="1378"/>
      <c r="O363" s="1378"/>
      <c r="P363" s="1378"/>
      <c r="Q363" s="1378"/>
      <c r="R363" s="1378"/>
      <c r="S363" s="1378"/>
      <c r="T363" s="1378"/>
      <c r="U363" s="1378"/>
      <c r="V363" s="1378"/>
      <c r="W363" s="1378"/>
      <c r="X363" s="1378"/>
      <c r="Y363" s="1378"/>
      <c r="Z363" s="1378"/>
      <c r="AA363" s="1378"/>
      <c r="AB363" s="1378"/>
      <c r="AC363" s="1378"/>
      <c r="AD363" s="1378"/>
      <c r="AE363" s="1378"/>
      <c r="AF363" s="1378"/>
      <c r="AG363" s="1378"/>
      <c r="AH363" s="1378"/>
      <c r="AI363" s="1378"/>
      <c r="AJ363" s="1378"/>
      <c r="AK363" s="1378"/>
      <c r="AL363" s="1378"/>
      <c r="AM363" s="1378"/>
      <c r="AN363" s="1378"/>
      <c r="AO363" s="1378"/>
      <c r="AP363" s="1378"/>
      <c r="AQ363" s="1378"/>
      <c r="AR363" s="1378"/>
      <c r="AS363" s="1378"/>
      <c r="AT363" s="1378"/>
      <c r="AU363" s="1378"/>
      <c r="AV363" s="1378"/>
      <c r="AW363" s="1378"/>
      <c r="AX363" s="1378"/>
      <c r="AY363" s="1378"/>
      <c r="AZ363" s="1378"/>
      <c r="BA363" s="1378"/>
      <c r="BB363" s="1378"/>
      <c r="BC363" s="1378"/>
      <c r="BD363"/>
    </row>
    <row r="364" spans="1:124" ht="15" outlineLevel="1" x14ac:dyDescent="0.25">
      <c r="A364" s="236"/>
      <c r="B364" s="218" t="str">
        <f>Services!B364</f>
        <v>14A06</v>
      </c>
      <c r="C364" s="216" t="str">
        <f>Services!C364</f>
        <v>Sélection des options de traitement des risques</v>
      </c>
      <c r="D364" s="210" t="str">
        <f t="shared" si="5"/>
        <v/>
      </c>
      <c r="E364" s="1378"/>
      <c r="F364" s="1378"/>
      <c r="G364" s="1378"/>
      <c r="H364" s="1378"/>
      <c r="I364" s="1378"/>
      <c r="J364" s="1378"/>
      <c r="K364" s="1378"/>
      <c r="L364" s="1378"/>
      <c r="M364" s="1378"/>
      <c r="N364" s="1378"/>
      <c r="O364" s="1378"/>
      <c r="P364" s="1378"/>
      <c r="Q364" s="1378"/>
      <c r="R364" s="1378"/>
      <c r="S364" s="1378"/>
      <c r="T364" s="1378"/>
      <c r="U364" s="1378"/>
      <c r="V364" s="1378"/>
      <c r="W364" s="1378"/>
      <c r="X364" s="1378"/>
      <c r="Y364" s="1378"/>
      <c r="Z364" s="1378"/>
      <c r="AA364" s="1378"/>
      <c r="AB364" s="1378"/>
      <c r="AC364" s="1378"/>
      <c r="AD364" s="1378"/>
      <c r="AE364" s="1378"/>
      <c r="AF364" s="1378"/>
      <c r="AG364" s="1378"/>
      <c r="AH364" s="1378"/>
      <c r="AI364" s="1378"/>
      <c r="AJ364" s="1378"/>
      <c r="AK364" s="1378"/>
      <c r="AL364" s="1378"/>
      <c r="AM364" s="1378"/>
      <c r="AN364" s="1378"/>
      <c r="AO364" s="1378"/>
      <c r="AP364" s="1378"/>
      <c r="AQ364" s="1378"/>
      <c r="AR364" s="1378"/>
      <c r="AS364" s="1378"/>
      <c r="AT364" s="1378"/>
      <c r="AU364" s="1378"/>
      <c r="AV364" s="1378"/>
      <c r="AW364" s="1378"/>
      <c r="AX364" s="1378"/>
      <c r="AY364" s="1378"/>
      <c r="AZ364" s="1378"/>
      <c r="BA364" s="1378"/>
      <c r="BB364" s="1378"/>
      <c r="BC364" s="1378"/>
      <c r="BD364"/>
    </row>
    <row r="365" spans="1:124" ht="15" outlineLevel="1" x14ac:dyDescent="0.25">
      <c r="A365" s="236"/>
      <c r="B365" s="218" t="str">
        <f>Services!B365</f>
        <v>14A07</v>
      </c>
      <c r="C365" s="216" t="str">
        <f>Services!C365</f>
        <v xml:space="preserve">Sélection des mesures de réduction des risques </v>
      </c>
      <c r="D365" s="210" t="str">
        <f t="shared" si="5"/>
        <v/>
      </c>
      <c r="E365" s="1378"/>
      <c r="F365" s="1378"/>
      <c r="G365" s="1378"/>
      <c r="H365" s="1378"/>
      <c r="I365" s="1378"/>
      <c r="J365" s="1378"/>
      <c r="K365" s="1378"/>
      <c r="L365" s="1378"/>
      <c r="M365" s="1378"/>
      <c r="N365" s="1378"/>
      <c r="O365" s="1378"/>
      <c r="P365" s="1378"/>
      <c r="Q365" s="1378"/>
      <c r="R365" s="1378"/>
      <c r="S365" s="1378"/>
      <c r="T365" s="1378"/>
      <c r="U365" s="1378"/>
      <c r="V365" s="1378"/>
      <c r="W365" s="1378"/>
      <c r="X365" s="1378"/>
      <c r="Y365" s="1378"/>
      <c r="Z365" s="1378"/>
      <c r="AA365" s="1378"/>
      <c r="AB365" s="1378"/>
      <c r="AC365" s="1378"/>
      <c r="AD365" s="1378"/>
      <c r="AE365" s="1378"/>
      <c r="AF365" s="1378"/>
      <c r="AG365" s="1378"/>
      <c r="AH365" s="1378"/>
      <c r="AI365" s="1378"/>
      <c r="AJ365" s="1378"/>
      <c r="AK365" s="1378"/>
      <c r="AL365" s="1378"/>
      <c r="AM365" s="1378"/>
      <c r="AN365" s="1378"/>
      <c r="AO365" s="1378"/>
      <c r="AP365" s="1378"/>
      <c r="AQ365" s="1378"/>
      <c r="AR365" s="1378"/>
      <c r="AS365" s="1378"/>
      <c r="AT365" s="1378"/>
      <c r="AU365" s="1378"/>
      <c r="AV365" s="1378"/>
      <c r="AW365" s="1378"/>
      <c r="AX365" s="1378"/>
      <c r="AY365" s="1378"/>
      <c r="AZ365" s="1378"/>
      <c r="BA365" s="1378"/>
      <c r="BB365" s="1378"/>
      <c r="BC365" s="1378"/>
      <c r="BD365"/>
    </row>
    <row r="366" spans="1:124" ht="15.75" customHeight="1" outlineLevel="1" x14ac:dyDescent="0.25">
      <c r="A366" s="236"/>
      <c r="B366" s="218" t="str">
        <f>Services!B366</f>
        <v>14A08</v>
      </c>
      <c r="C366" s="216" t="str">
        <f>Services!C366</f>
        <v>Sélection des mesures de sécurité et construction d'une déclaration d'applicabilité</v>
      </c>
      <c r="D366" s="210" t="str">
        <f t="shared" si="5"/>
        <v/>
      </c>
      <c r="E366" s="1378"/>
      <c r="F366" s="1378"/>
      <c r="G366" s="1378"/>
      <c r="H366" s="1378"/>
      <c r="I366" s="1378"/>
      <c r="J366" s="1378"/>
      <c r="K366" s="1378"/>
      <c r="L366" s="1378"/>
      <c r="M366" s="1378"/>
      <c r="N366" s="1378"/>
      <c r="O366" s="1378"/>
      <c r="P366" s="1378"/>
      <c r="Q366" s="1378"/>
      <c r="R366" s="1378"/>
      <c r="S366" s="1378"/>
      <c r="T366" s="1378"/>
      <c r="U366" s="1378"/>
      <c r="V366" s="1378"/>
      <c r="W366" s="1378"/>
      <c r="X366" s="1378"/>
      <c r="Y366" s="1378"/>
      <c r="Z366" s="1378"/>
      <c r="AA366" s="1378"/>
      <c r="AB366" s="1378"/>
      <c r="AC366" s="1378"/>
      <c r="AD366" s="1378"/>
      <c r="AE366" s="1378"/>
      <c r="AF366" s="1378"/>
      <c r="AG366" s="1378"/>
      <c r="AH366" s="1378"/>
      <c r="AI366" s="1378"/>
      <c r="AJ366" s="1378"/>
      <c r="AK366" s="1378"/>
      <c r="AL366" s="1378"/>
      <c r="AM366" s="1378"/>
      <c r="AN366" s="1378"/>
      <c r="AO366" s="1378"/>
      <c r="AP366" s="1378"/>
      <c r="AQ366" s="1378"/>
      <c r="AR366" s="1378"/>
      <c r="AS366" s="1378"/>
      <c r="AT366" s="1378"/>
      <c r="AU366" s="1378"/>
      <c r="AV366" s="1378"/>
      <c r="AW366" s="1378"/>
      <c r="AX366" s="1378"/>
      <c r="AY366" s="1378"/>
      <c r="AZ366" s="1378"/>
      <c r="BA366" s="1378"/>
      <c r="BB366" s="1378"/>
      <c r="BC366" s="1378"/>
      <c r="BD366"/>
    </row>
    <row r="367" spans="1:124" ht="15" outlineLevel="1" x14ac:dyDescent="0.25">
      <c r="A367" s="236"/>
      <c r="B367" s="213" t="str">
        <f>Services!B367</f>
        <v>14B</v>
      </c>
      <c r="C367" s="214" t="str">
        <f>Services!C367</f>
        <v xml:space="preserve">Déploiement du système de management </v>
      </c>
      <c r="D367" s="210" t="str">
        <f t="shared" si="5"/>
        <v/>
      </c>
      <c r="E367" s="1378"/>
      <c r="F367" s="1378"/>
      <c r="G367" s="1378"/>
      <c r="H367" s="1378"/>
      <c r="I367" s="1378"/>
      <c r="J367" s="1378"/>
      <c r="K367" s="1378"/>
      <c r="L367" s="1378"/>
      <c r="M367" s="1378"/>
      <c r="N367" s="1378"/>
      <c r="O367" s="1378"/>
      <c r="P367" s="1378"/>
      <c r="Q367" s="1378"/>
      <c r="R367" s="1378"/>
      <c r="S367" s="1378"/>
      <c r="T367" s="1378"/>
      <c r="U367" s="1378"/>
      <c r="V367" s="1378"/>
      <c r="W367" s="1378"/>
      <c r="X367" s="1378"/>
      <c r="Y367" s="1378"/>
      <c r="Z367" s="1378"/>
      <c r="AA367" s="1378"/>
      <c r="AB367" s="1378"/>
      <c r="AC367" s="1378"/>
      <c r="AD367" s="1378"/>
      <c r="AE367" s="1378"/>
      <c r="AF367" s="1378"/>
      <c r="AG367" s="1378"/>
      <c r="AH367" s="1378"/>
      <c r="AI367" s="1378"/>
      <c r="AJ367" s="1378"/>
      <c r="AK367" s="1378"/>
      <c r="AL367" s="1378"/>
      <c r="AM367" s="1378"/>
      <c r="AN367" s="1378"/>
      <c r="AO367" s="1378"/>
      <c r="AP367" s="1378"/>
      <c r="AQ367" s="1378"/>
      <c r="AR367" s="1378"/>
      <c r="AS367" s="1378"/>
      <c r="AT367" s="1378"/>
      <c r="AU367" s="1378"/>
      <c r="AV367" s="1378"/>
      <c r="AW367" s="1378"/>
      <c r="AX367" s="1378"/>
      <c r="AY367" s="1378"/>
      <c r="AZ367" s="1378"/>
      <c r="BA367" s="1378"/>
      <c r="BB367" s="1378"/>
      <c r="BC367" s="1378"/>
      <c r="BD367"/>
    </row>
    <row r="368" spans="1:124" ht="15" outlineLevel="1" x14ac:dyDescent="0.25">
      <c r="A368" s="236"/>
      <c r="B368" s="218" t="str">
        <f>Services!B368</f>
        <v>14B01</v>
      </c>
      <c r="C368" s="216" t="str">
        <f>Services!C368</f>
        <v>Formulation d'un plan de traitement des risques</v>
      </c>
      <c r="D368" s="210" t="str">
        <f t="shared" si="5"/>
        <v/>
      </c>
      <c r="E368" s="1378"/>
      <c r="F368" s="1378"/>
      <c r="G368" s="1378"/>
      <c r="H368" s="1378"/>
      <c r="I368" s="1378"/>
      <c r="J368" s="1378"/>
      <c r="K368" s="1378"/>
      <c r="L368" s="1378"/>
      <c r="M368" s="1378"/>
      <c r="N368" s="1378"/>
      <c r="O368" s="1378"/>
      <c r="P368" s="1378"/>
      <c r="Q368" s="1378"/>
      <c r="R368" s="1378"/>
      <c r="S368" s="1378"/>
      <c r="T368" s="1378"/>
      <c r="U368" s="1378"/>
      <c r="V368" s="1378"/>
      <c r="W368" s="1378"/>
      <c r="X368" s="1378"/>
      <c r="Y368" s="1378"/>
      <c r="Z368" s="1378"/>
      <c r="AA368" s="1378"/>
      <c r="AB368" s="1378"/>
      <c r="AC368" s="1378"/>
      <c r="AD368" s="1378"/>
      <c r="AE368" s="1378"/>
      <c r="AF368" s="1378"/>
      <c r="AG368" s="1378"/>
      <c r="AH368" s="1378"/>
      <c r="AI368" s="1378"/>
      <c r="AJ368" s="1378"/>
      <c r="AK368" s="1378"/>
      <c r="AL368" s="1378"/>
      <c r="AM368" s="1378"/>
      <c r="AN368" s="1378"/>
      <c r="AO368" s="1378"/>
      <c r="AP368" s="1378"/>
      <c r="AQ368" s="1378"/>
      <c r="AR368" s="1378"/>
      <c r="AS368" s="1378"/>
      <c r="AT368" s="1378"/>
      <c r="AU368" s="1378"/>
      <c r="AV368" s="1378"/>
      <c r="AW368" s="1378"/>
      <c r="AX368" s="1378"/>
      <c r="AY368" s="1378"/>
      <c r="AZ368" s="1378"/>
      <c r="BA368" s="1378"/>
      <c r="BB368" s="1378"/>
      <c r="BC368" s="1378"/>
      <c r="BD368"/>
    </row>
    <row r="369" spans="1:56" ht="15" outlineLevel="1" x14ac:dyDescent="0.25">
      <c r="A369" s="236"/>
      <c r="B369" s="218" t="str">
        <f>Services!B369</f>
        <v>14B02</v>
      </c>
      <c r="C369" s="216" t="str">
        <f>Services!C369</f>
        <v>Mise en oeuvre du plan de traitement des risques</v>
      </c>
      <c r="D369" s="210" t="str">
        <f t="shared" si="5"/>
        <v/>
      </c>
      <c r="E369" s="1378"/>
      <c r="F369" s="1378"/>
      <c r="G369" s="1378"/>
      <c r="H369" s="1378"/>
      <c r="I369" s="1378"/>
      <c r="J369" s="1378"/>
      <c r="K369" s="1378"/>
      <c r="L369" s="1378"/>
      <c r="M369" s="1378"/>
      <c r="N369" s="1378"/>
      <c r="O369" s="1378"/>
      <c r="P369" s="1378"/>
      <c r="Q369" s="1378"/>
      <c r="R369" s="1378"/>
      <c r="S369" s="1378"/>
      <c r="T369" s="1378"/>
      <c r="U369" s="1378"/>
      <c r="V369" s="1378"/>
      <c r="W369" s="1378"/>
      <c r="X369" s="1378"/>
      <c r="Y369" s="1378"/>
      <c r="Z369" s="1378"/>
      <c r="AA369" s="1378"/>
      <c r="AB369" s="1378"/>
      <c r="AC369" s="1378"/>
      <c r="AD369" s="1378"/>
      <c r="AE369" s="1378"/>
      <c r="AF369" s="1378"/>
      <c r="AG369" s="1378"/>
      <c r="AH369" s="1378"/>
      <c r="AI369" s="1378"/>
      <c r="AJ369" s="1378"/>
      <c r="AK369" s="1378"/>
      <c r="AL369" s="1378"/>
      <c r="AM369" s="1378"/>
      <c r="AN369" s="1378"/>
      <c r="AO369" s="1378"/>
      <c r="AP369" s="1378"/>
      <c r="AQ369" s="1378"/>
      <c r="AR369" s="1378"/>
      <c r="AS369" s="1378"/>
      <c r="AT369" s="1378"/>
      <c r="AU369" s="1378"/>
      <c r="AV369" s="1378"/>
      <c r="AW369" s="1378"/>
      <c r="AX369" s="1378"/>
      <c r="AY369" s="1378"/>
      <c r="AZ369" s="1378"/>
      <c r="BA369" s="1378"/>
      <c r="BB369" s="1378"/>
      <c r="BC369" s="1378"/>
      <c r="BD369"/>
    </row>
    <row r="370" spans="1:56" ht="15" outlineLevel="1" x14ac:dyDescent="0.25">
      <c r="A370" s="236"/>
      <c r="B370" s="218" t="str">
        <f>Services!B370</f>
        <v>14B03</v>
      </c>
      <c r="C370" s="216" t="str">
        <f>Services!C370</f>
        <v>Choix et mise en place des indicateurs pour le SMSI</v>
      </c>
      <c r="D370" s="210" t="str">
        <f t="shared" si="5"/>
        <v/>
      </c>
      <c r="E370" s="1378"/>
      <c r="F370" s="1378"/>
      <c r="G370" s="1378"/>
      <c r="H370" s="1378"/>
      <c r="I370" s="1378"/>
      <c r="J370" s="1378"/>
      <c r="K370" s="1378"/>
      <c r="L370" s="1378"/>
      <c r="M370" s="1378"/>
      <c r="N370" s="1378"/>
      <c r="O370" s="1378"/>
      <c r="P370" s="1378"/>
      <c r="Q370" s="1378"/>
      <c r="R370" s="1378"/>
      <c r="S370" s="1378"/>
      <c r="T370" s="1378"/>
      <c r="U370" s="1378"/>
      <c r="V370" s="1378"/>
      <c r="W370" s="1378"/>
      <c r="X370" s="1378"/>
      <c r="Y370" s="1378"/>
      <c r="Z370" s="1378"/>
      <c r="AA370" s="1378"/>
      <c r="AB370" s="1378"/>
      <c r="AC370" s="1378"/>
      <c r="AD370" s="1378"/>
      <c r="AE370" s="1378"/>
      <c r="AF370" s="1378"/>
      <c r="AG370" s="1378"/>
      <c r="AH370" s="1378"/>
      <c r="AI370" s="1378"/>
      <c r="AJ370" s="1378"/>
      <c r="AK370" s="1378"/>
      <c r="AL370" s="1378"/>
      <c r="AM370" s="1378"/>
      <c r="AN370" s="1378"/>
      <c r="AO370" s="1378"/>
      <c r="AP370" s="1378"/>
      <c r="AQ370" s="1378"/>
      <c r="AR370" s="1378"/>
      <c r="AS370" s="1378"/>
      <c r="AT370" s="1378"/>
      <c r="AU370" s="1378"/>
      <c r="AV370" s="1378"/>
      <c r="AW370" s="1378"/>
      <c r="AX370" s="1378"/>
      <c r="AY370" s="1378"/>
      <c r="AZ370" s="1378"/>
      <c r="BA370" s="1378"/>
      <c r="BB370" s="1378"/>
      <c r="BC370" s="1378"/>
      <c r="BD370"/>
    </row>
    <row r="371" spans="1:56" ht="15" outlineLevel="1" x14ac:dyDescent="0.25">
      <c r="A371" s="236"/>
      <c r="B371" s="218" t="str">
        <f>Services!B371</f>
        <v>14B04</v>
      </c>
      <c r="C371" s="216" t="str">
        <f>Services!C371</f>
        <v>Mise en place d'un plan de formation et de sensibilisation</v>
      </c>
      <c r="D371" s="210" t="str">
        <f t="shared" si="5"/>
        <v/>
      </c>
      <c r="E371" s="1378"/>
      <c r="F371" s="1378"/>
      <c r="G371" s="1378"/>
      <c r="H371" s="1378"/>
      <c r="I371" s="1378"/>
      <c r="J371" s="1378"/>
      <c r="K371" s="1378"/>
      <c r="L371" s="1378"/>
      <c r="M371" s="1378"/>
      <c r="N371" s="1378"/>
      <c r="O371" s="1378"/>
      <c r="P371" s="1378"/>
      <c r="Q371" s="1378"/>
      <c r="R371" s="1378"/>
      <c r="S371" s="1378"/>
      <c r="T371" s="1378"/>
      <c r="U371" s="1378"/>
      <c r="V371" s="1378"/>
      <c r="W371" s="1378"/>
      <c r="X371" s="1378"/>
      <c r="Y371" s="1378"/>
      <c r="Z371" s="1378"/>
      <c r="AA371" s="1378"/>
      <c r="AB371" s="1378"/>
      <c r="AC371" s="1378"/>
      <c r="AD371" s="1378"/>
      <c r="AE371" s="1378"/>
      <c r="AF371" s="1378"/>
      <c r="AG371" s="1378"/>
      <c r="AH371" s="1378"/>
      <c r="AI371" s="1378"/>
      <c r="AJ371" s="1378"/>
      <c r="AK371" s="1378"/>
      <c r="AL371" s="1378"/>
      <c r="AM371" s="1378"/>
      <c r="AN371" s="1378"/>
      <c r="AO371" s="1378"/>
      <c r="AP371" s="1378"/>
      <c r="AQ371" s="1378"/>
      <c r="AR371" s="1378"/>
      <c r="AS371" s="1378"/>
      <c r="AT371" s="1378"/>
      <c r="AU371" s="1378"/>
      <c r="AV371" s="1378"/>
      <c r="AW371" s="1378"/>
      <c r="AX371" s="1378"/>
      <c r="AY371" s="1378"/>
      <c r="AZ371" s="1378"/>
      <c r="BA371" s="1378"/>
      <c r="BB371" s="1378"/>
      <c r="BC371" s="1378"/>
      <c r="BD371"/>
    </row>
    <row r="372" spans="1:56" ht="15" outlineLevel="1" x14ac:dyDescent="0.25">
      <c r="A372" s="236"/>
      <c r="B372" s="218" t="str">
        <f>Services!B372</f>
        <v>14B05</v>
      </c>
      <c r="C372" s="216" t="str">
        <f>Services!C372</f>
        <v>Détection et réactions aux incidents</v>
      </c>
      <c r="D372" s="210" t="str">
        <f t="shared" si="5"/>
        <v/>
      </c>
      <c r="E372" s="1378"/>
      <c r="F372" s="1378"/>
      <c r="G372" s="1378"/>
      <c r="H372" s="1378"/>
      <c r="I372" s="1378"/>
      <c r="J372" s="1378"/>
      <c r="K372" s="1378"/>
      <c r="L372" s="1378"/>
      <c r="M372" s="1378"/>
      <c r="N372" s="1378"/>
      <c r="O372" s="1378"/>
      <c r="P372" s="1378"/>
      <c r="Q372" s="1378"/>
      <c r="R372" s="1378"/>
      <c r="S372" s="1378"/>
      <c r="T372" s="1378"/>
      <c r="U372" s="1378"/>
      <c r="V372" s="1378"/>
      <c r="W372" s="1378"/>
      <c r="X372" s="1378"/>
      <c r="Y372" s="1378"/>
      <c r="Z372" s="1378"/>
      <c r="AA372" s="1378"/>
      <c r="AB372" s="1378"/>
      <c r="AC372" s="1378"/>
      <c r="AD372" s="1378"/>
      <c r="AE372" s="1378"/>
      <c r="AF372" s="1378"/>
      <c r="AG372" s="1378"/>
      <c r="AH372" s="1378"/>
      <c r="AI372" s="1378"/>
      <c r="AJ372" s="1378"/>
      <c r="AK372" s="1378"/>
      <c r="AL372" s="1378"/>
      <c r="AM372" s="1378"/>
      <c r="AN372" s="1378"/>
      <c r="AO372" s="1378"/>
      <c r="AP372" s="1378"/>
      <c r="AQ372" s="1378"/>
      <c r="AR372" s="1378"/>
      <c r="AS372" s="1378"/>
      <c r="AT372" s="1378"/>
      <c r="AU372" s="1378"/>
      <c r="AV372" s="1378"/>
      <c r="AW372" s="1378"/>
      <c r="AX372" s="1378"/>
      <c r="AY372" s="1378"/>
      <c r="AZ372" s="1378"/>
      <c r="BA372" s="1378"/>
      <c r="BB372" s="1378"/>
      <c r="BC372" s="1378"/>
      <c r="BD372"/>
    </row>
    <row r="373" spans="1:56" ht="15" outlineLevel="1" x14ac:dyDescent="0.25">
      <c r="A373" s="236"/>
      <c r="B373" s="213" t="str">
        <f>Services!B373</f>
        <v>14C</v>
      </c>
      <c r="C373" s="214" t="str">
        <f>Services!C373</f>
        <v>Mise sous Contrôle du système de management</v>
      </c>
      <c r="D373" s="210" t="str">
        <f t="shared" si="5"/>
        <v/>
      </c>
      <c r="E373" s="1378"/>
      <c r="F373" s="1378"/>
      <c r="G373" s="1378"/>
      <c r="H373" s="1378"/>
      <c r="I373" s="1378"/>
      <c r="J373" s="1378"/>
      <c r="K373" s="1378"/>
      <c r="L373" s="1378"/>
      <c r="M373" s="1378"/>
      <c r="N373" s="1378"/>
      <c r="O373" s="1378"/>
      <c r="P373" s="1378"/>
      <c r="Q373" s="1378"/>
      <c r="R373" s="1378"/>
      <c r="S373" s="1378"/>
      <c r="T373" s="1378"/>
      <c r="U373" s="1378"/>
      <c r="V373" s="1378"/>
      <c r="W373" s="1378"/>
      <c r="X373" s="1378"/>
      <c r="Y373" s="1378"/>
      <c r="Z373" s="1378"/>
      <c r="AA373" s="1378"/>
      <c r="AB373" s="1378"/>
      <c r="AC373" s="1378"/>
      <c r="AD373" s="1378"/>
      <c r="AE373" s="1378"/>
      <c r="AF373" s="1378"/>
      <c r="AG373" s="1378"/>
      <c r="AH373" s="1378"/>
      <c r="AI373" s="1378"/>
      <c r="AJ373" s="1378"/>
      <c r="AK373" s="1378"/>
      <c r="AL373" s="1378"/>
      <c r="AM373" s="1378"/>
      <c r="AN373" s="1378"/>
      <c r="AO373" s="1378"/>
      <c r="AP373" s="1378"/>
      <c r="AQ373" s="1378"/>
      <c r="AR373" s="1378"/>
      <c r="AS373" s="1378"/>
      <c r="AT373" s="1378"/>
      <c r="AU373" s="1378"/>
      <c r="AV373" s="1378"/>
      <c r="AW373" s="1378"/>
      <c r="AX373" s="1378"/>
      <c r="AY373" s="1378"/>
      <c r="AZ373" s="1378"/>
      <c r="BA373" s="1378"/>
      <c r="BB373" s="1378"/>
      <c r="BC373" s="1378"/>
      <c r="BD373"/>
    </row>
    <row r="374" spans="1:56" ht="15" outlineLevel="1" x14ac:dyDescent="0.25">
      <c r="A374" s="236"/>
      <c r="B374" s="218" t="str">
        <f>Services!B374</f>
        <v>14C01</v>
      </c>
      <c r="C374" s="216" t="str">
        <f>Services!C374</f>
        <v>Contrôle de l'exécution des procédures et des mesures de sécurité</v>
      </c>
      <c r="D374" s="210" t="str">
        <f t="shared" si="5"/>
        <v/>
      </c>
      <c r="E374" s="1378"/>
      <c r="F374" s="1378"/>
      <c r="G374" s="1378"/>
      <c r="H374" s="1378"/>
      <c r="I374" s="1378"/>
      <c r="J374" s="1378"/>
      <c r="K374" s="1378"/>
      <c r="L374" s="1378"/>
      <c r="M374" s="1378"/>
      <c r="N374" s="1378"/>
      <c r="O374" s="1378"/>
      <c r="P374" s="1378"/>
      <c r="Q374" s="1378"/>
      <c r="R374" s="1378"/>
      <c r="S374" s="1378"/>
      <c r="T374" s="1378"/>
      <c r="U374" s="1378"/>
      <c r="V374" s="1378"/>
      <c r="W374" s="1378"/>
      <c r="X374" s="1378"/>
      <c r="Y374" s="1378"/>
      <c r="Z374" s="1378"/>
      <c r="AA374" s="1378"/>
      <c r="AB374" s="1378"/>
      <c r="AC374" s="1378"/>
      <c r="AD374" s="1378"/>
      <c r="AE374" s="1378"/>
      <c r="AF374" s="1378"/>
      <c r="AG374" s="1378"/>
      <c r="AH374" s="1378"/>
      <c r="AI374" s="1378"/>
      <c r="AJ374" s="1378"/>
      <c r="AK374" s="1378"/>
      <c r="AL374" s="1378"/>
      <c r="AM374" s="1378"/>
      <c r="AN374" s="1378"/>
      <c r="AO374" s="1378"/>
      <c r="AP374" s="1378"/>
      <c r="AQ374" s="1378"/>
      <c r="AR374" s="1378"/>
      <c r="AS374" s="1378"/>
      <c r="AT374" s="1378"/>
      <c r="AU374" s="1378"/>
      <c r="AV374" s="1378"/>
      <c r="AW374" s="1378"/>
      <c r="AX374" s="1378"/>
      <c r="AY374" s="1378"/>
      <c r="AZ374" s="1378"/>
      <c r="BA374" s="1378"/>
      <c r="BB374" s="1378"/>
      <c r="BC374" s="1378"/>
      <c r="BD374"/>
    </row>
    <row r="375" spans="1:56" ht="15" outlineLevel="1" x14ac:dyDescent="0.25">
      <c r="A375" s="236"/>
      <c r="B375" s="218" t="str">
        <f>Services!B375</f>
        <v>14C02</v>
      </c>
      <c r="C375" s="216" t="str">
        <f>Services!C375</f>
        <v>Pilotage du programme d'audit</v>
      </c>
      <c r="D375" s="210" t="str">
        <f t="shared" si="5"/>
        <v/>
      </c>
      <c r="E375" s="1378"/>
      <c r="F375" s="1378"/>
      <c r="G375" s="1378"/>
      <c r="H375" s="1378"/>
      <c r="I375" s="1378"/>
      <c r="J375" s="1378"/>
      <c r="K375" s="1378"/>
      <c r="L375" s="1378"/>
      <c r="M375" s="1378"/>
      <c r="N375" s="1378"/>
      <c r="O375" s="1378"/>
      <c r="P375" s="1378"/>
      <c r="Q375" s="1378"/>
      <c r="R375" s="1378"/>
      <c r="S375" s="1378"/>
      <c r="T375" s="1378"/>
      <c r="U375" s="1378"/>
      <c r="V375" s="1378"/>
      <c r="W375" s="1378"/>
      <c r="X375" s="1378"/>
      <c r="Y375" s="1378"/>
      <c r="Z375" s="1378"/>
      <c r="AA375" s="1378"/>
      <c r="AB375" s="1378"/>
      <c r="AC375" s="1378"/>
      <c r="AD375" s="1378"/>
      <c r="AE375" s="1378"/>
      <c r="AF375" s="1378"/>
      <c r="AG375" s="1378"/>
      <c r="AH375" s="1378"/>
      <c r="AI375" s="1378"/>
      <c r="AJ375" s="1378"/>
      <c r="AK375" s="1378"/>
      <c r="AL375" s="1378"/>
      <c r="AM375" s="1378"/>
      <c r="AN375" s="1378"/>
      <c r="AO375" s="1378"/>
      <c r="AP375" s="1378"/>
      <c r="AQ375" s="1378"/>
      <c r="AR375" s="1378"/>
      <c r="AS375" s="1378"/>
      <c r="AT375" s="1378"/>
      <c r="AU375" s="1378"/>
      <c r="AV375" s="1378"/>
      <c r="AW375" s="1378"/>
      <c r="AX375" s="1378"/>
      <c r="AY375" s="1378"/>
      <c r="AZ375" s="1378"/>
      <c r="BA375" s="1378"/>
      <c r="BB375" s="1378"/>
      <c r="BC375" s="1378"/>
      <c r="BD375"/>
    </row>
    <row r="376" spans="1:56" ht="15" outlineLevel="1" x14ac:dyDescent="0.25">
      <c r="A376" s="236"/>
      <c r="B376" s="218" t="str">
        <f>Services!B376</f>
        <v>14C03</v>
      </c>
      <c r="C376" s="216" t="str">
        <f>Services!C376</f>
        <v xml:space="preserve">Revue des risques et des mesures de sécurité </v>
      </c>
      <c r="D376" s="210" t="str">
        <f t="shared" si="5"/>
        <v/>
      </c>
      <c r="E376" s="1378"/>
      <c r="F376" s="1378"/>
      <c r="G376" s="1378"/>
      <c r="H376" s="1378"/>
      <c r="I376" s="1378"/>
      <c r="J376" s="1378"/>
      <c r="K376" s="1378"/>
      <c r="L376" s="1378"/>
      <c r="M376" s="1378"/>
      <c r="N376" s="1378"/>
      <c r="O376" s="1378"/>
      <c r="P376" s="1378"/>
      <c r="Q376" s="1378"/>
      <c r="R376" s="1378"/>
      <c r="S376" s="1378"/>
      <c r="T376" s="1378"/>
      <c r="U376" s="1378"/>
      <c r="V376" s="1378"/>
      <c r="W376" s="1378"/>
      <c r="X376" s="1378"/>
      <c r="Y376" s="1378"/>
      <c r="Z376" s="1378"/>
      <c r="AA376" s="1378"/>
      <c r="AB376" s="1378"/>
      <c r="AC376" s="1378"/>
      <c r="AD376" s="1378"/>
      <c r="AE376" s="1378"/>
      <c r="AF376" s="1378"/>
      <c r="AG376" s="1378"/>
      <c r="AH376" s="1378"/>
      <c r="AI376" s="1378"/>
      <c r="AJ376" s="1378"/>
      <c r="AK376" s="1378"/>
      <c r="AL376" s="1378"/>
      <c r="AM376" s="1378"/>
      <c r="AN376" s="1378"/>
      <c r="AO376" s="1378"/>
      <c r="AP376" s="1378"/>
      <c r="AQ376" s="1378"/>
      <c r="AR376" s="1378"/>
      <c r="AS376" s="1378"/>
      <c r="AT376" s="1378"/>
      <c r="AU376" s="1378"/>
      <c r="AV376" s="1378"/>
      <c r="AW376" s="1378"/>
      <c r="AX376" s="1378"/>
      <c r="AY376" s="1378"/>
      <c r="AZ376" s="1378"/>
      <c r="BA376" s="1378"/>
      <c r="BB376" s="1378"/>
      <c r="BC376" s="1378"/>
      <c r="BD376"/>
    </row>
    <row r="377" spans="1:56" ht="15" outlineLevel="1" x14ac:dyDescent="0.25">
      <c r="A377" s="236"/>
      <c r="B377" s="213" t="str">
        <f>Services!B377</f>
        <v>14D</v>
      </c>
      <c r="C377" s="214" t="str">
        <f>Services!C377</f>
        <v>Amélioration du système de management</v>
      </c>
      <c r="D377" s="210" t="str">
        <f t="shared" si="5"/>
        <v/>
      </c>
      <c r="E377" s="1378"/>
      <c r="F377" s="1378"/>
      <c r="G377" s="1378"/>
      <c r="H377" s="1378"/>
      <c r="I377" s="1378"/>
      <c r="J377" s="1378"/>
      <c r="K377" s="1378"/>
      <c r="L377" s="1378"/>
      <c r="M377" s="1378"/>
      <c r="N377" s="1378"/>
      <c r="O377" s="1378"/>
      <c r="P377" s="1378"/>
      <c r="Q377" s="1378"/>
      <c r="R377" s="1378"/>
      <c r="S377" s="1378"/>
      <c r="T377" s="1378"/>
      <c r="U377" s="1378"/>
      <c r="V377" s="1378"/>
      <c r="W377" s="1378"/>
      <c r="X377" s="1378"/>
      <c r="Y377" s="1378"/>
      <c r="Z377" s="1378"/>
      <c r="AA377" s="1378"/>
      <c r="AB377" s="1378"/>
      <c r="AC377" s="1378"/>
      <c r="AD377" s="1378"/>
      <c r="AE377" s="1378"/>
      <c r="AF377" s="1378"/>
      <c r="AG377" s="1378"/>
      <c r="AH377" s="1378"/>
      <c r="AI377" s="1378"/>
      <c r="AJ377" s="1378"/>
      <c r="AK377" s="1378"/>
      <c r="AL377" s="1378"/>
      <c r="AM377" s="1378"/>
      <c r="AN377" s="1378"/>
      <c r="AO377" s="1378"/>
      <c r="AP377" s="1378"/>
      <c r="AQ377" s="1378"/>
      <c r="AR377" s="1378"/>
      <c r="AS377" s="1378"/>
      <c r="AT377" s="1378"/>
      <c r="AU377" s="1378"/>
      <c r="AV377" s="1378"/>
      <c r="AW377" s="1378"/>
      <c r="AX377" s="1378"/>
      <c r="AY377" s="1378"/>
      <c r="AZ377" s="1378"/>
      <c r="BA377" s="1378"/>
      <c r="BB377" s="1378"/>
      <c r="BC377" s="1378"/>
      <c r="BD377"/>
    </row>
    <row r="378" spans="1:56" ht="15" outlineLevel="1" x14ac:dyDescent="0.25">
      <c r="A378" s="236"/>
      <c r="B378" s="218" t="str">
        <f>Services!B378</f>
        <v>14D01</v>
      </c>
      <c r="C378" s="216" t="str">
        <f>Services!C378</f>
        <v xml:space="preserve">Amélioration continue </v>
      </c>
      <c r="D378" s="210" t="str">
        <f t="shared" si="5"/>
        <v/>
      </c>
      <c r="E378" s="1378"/>
      <c r="F378" s="1378"/>
      <c r="G378" s="1378"/>
      <c r="H378" s="1378"/>
      <c r="I378" s="1378"/>
      <c r="J378" s="1378"/>
      <c r="K378" s="1378"/>
      <c r="L378" s="1378"/>
      <c r="M378" s="1378"/>
      <c r="N378" s="1378"/>
      <c r="O378" s="1378"/>
      <c r="P378" s="1378"/>
      <c r="Q378" s="1378"/>
      <c r="R378" s="1378"/>
      <c r="S378" s="1378"/>
      <c r="T378" s="1378"/>
      <c r="U378" s="1378"/>
      <c r="V378" s="1378"/>
      <c r="W378" s="1378"/>
      <c r="X378" s="1378"/>
      <c r="Y378" s="1378"/>
      <c r="Z378" s="1378"/>
      <c r="AA378" s="1378"/>
      <c r="AB378" s="1378"/>
      <c r="AC378" s="1378"/>
      <c r="AD378" s="1378"/>
      <c r="AE378" s="1378"/>
      <c r="AF378" s="1378"/>
      <c r="AG378" s="1378"/>
      <c r="AH378" s="1378"/>
      <c r="AI378" s="1378"/>
      <c r="AJ378" s="1378"/>
      <c r="AK378" s="1378"/>
      <c r="AL378" s="1378"/>
      <c r="AM378" s="1378"/>
      <c r="AN378" s="1378"/>
      <c r="AO378" s="1378"/>
      <c r="AP378" s="1378"/>
      <c r="AQ378" s="1378"/>
      <c r="AR378" s="1378"/>
      <c r="AS378" s="1378"/>
      <c r="AT378" s="1378"/>
      <c r="AU378" s="1378"/>
      <c r="AV378" s="1378"/>
      <c r="AW378" s="1378"/>
      <c r="AX378" s="1378"/>
      <c r="AY378" s="1378"/>
      <c r="AZ378" s="1378"/>
      <c r="BA378" s="1378"/>
      <c r="BB378" s="1378"/>
      <c r="BC378" s="1378"/>
      <c r="BD378"/>
    </row>
    <row r="379" spans="1:56" ht="15" outlineLevel="1" x14ac:dyDescent="0.25">
      <c r="A379" s="236"/>
      <c r="B379" s="218" t="str">
        <f>Services!B379</f>
        <v>14D02</v>
      </c>
      <c r="C379" s="216" t="str">
        <f>Services!C379</f>
        <v>Actions de correction des non-conformités</v>
      </c>
      <c r="D379" s="210" t="str">
        <f t="shared" si="5"/>
        <v/>
      </c>
      <c r="E379" s="1378"/>
      <c r="F379" s="1378"/>
      <c r="G379" s="1378"/>
      <c r="H379" s="1378"/>
      <c r="I379" s="1378"/>
      <c r="J379" s="1378"/>
      <c r="K379" s="1378"/>
      <c r="L379" s="1378"/>
      <c r="M379" s="1378"/>
      <c r="N379" s="1378"/>
      <c r="O379" s="1378"/>
      <c r="P379" s="1378"/>
      <c r="Q379" s="1378"/>
      <c r="R379" s="1378"/>
      <c r="S379" s="1378"/>
      <c r="T379" s="1378"/>
      <c r="U379" s="1378"/>
      <c r="V379" s="1378"/>
      <c r="W379" s="1378"/>
      <c r="X379" s="1378"/>
      <c r="Y379" s="1378"/>
      <c r="Z379" s="1378"/>
      <c r="AA379" s="1378"/>
      <c r="AB379" s="1378"/>
      <c r="AC379" s="1378"/>
      <c r="AD379" s="1378"/>
      <c r="AE379" s="1378"/>
      <c r="AF379" s="1378"/>
      <c r="AG379" s="1378"/>
      <c r="AH379" s="1378"/>
      <c r="AI379" s="1378"/>
      <c r="AJ379" s="1378"/>
      <c r="AK379" s="1378"/>
      <c r="AL379" s="1378"/>
      <c r="AM379" s="1378"/>
      <c r="AN379" s="1378"/>
      <c r="AO379" s="1378"/>
      <c r="AP379" s="1378"/>
      <c r="AQ379" s="1378"/>
      <c r="AR379" s="1378"/>
      <c r="AS379" s="1378"/>
      <c r="AT379" s="1378"/>
      <c r="AU379" s="1378"/>
      <c r="AV379" s="1378"/>
      <c r="AW379" s="1378"/>
      <c r="AX379" s="1378"/>
      <c r="AY379" s="1378"/>
      <c r="AZ379" s="1378"/>
      <c r="BA379" s="1378"/>
      <c r="BB379" s="1378"/>
      <c r="BC379" s="1378"/>
      <c r="BD379"/>
    </row>
    <row r="380" spans="1:56" ht="15" outlineLevel="1" x14ac:dyDescent="0.25">
      <c r="A380" s="236"/>
      <c r="B380" s="218" t="str">
        <f>Services!B380</f>
        <v>14D03</v>
      </c>
      <c r="C380" s="216" t="str">
        <f>Services!C380</f>
        <v>Actions de prévention des non-conformités</v>
      </c>
      <c r="D380" s="210" t="str">
        <f t="shared" si="5"/>
        <v/>
      </c>
      <c r="E380" s="1378"/>
      <c r="F380" s="1378"/>
      <c r="G380" s="1378"/>
      <c r="H380" s="1378"/>
      <c r="I380" s="1378"/>
      <c r="J380" s="1378"/>
      <c r="K380" s="1378"/>
      <c r="L380" s="1378"/>
      <c r="M380" s="1378"/>
      <c r="N380" s="1378"/>
      <c r="O380" s="1378"/>
      <c r="P380" s="1378"/>
      <c r="Q380" s="1378"/>
      <c r="R380" s="1378"/>
      <c r="S380" s="1378"/>
      <c r="T380" s="1378"/>
      <c r="U380" s="1378"/>
      <c r="V380" s="1378"/>
      <c r="W380" s="1378"/>
      <c r="X380" s="1378"/>
      <c r="Y380" s="1378"/>
      <c r="Z380" s="1378"/>
      <c r="AA380" s="1378"/>
      <c r="AB380" s="1378"/>
      <c r="AC380" s="1378"/>
      <c r="AD380" s="1378"/>
      <c r="AE380" s="1378"/>
      <c r="AF380" s="1378"/>
      <c r="AG380" s="1378"/>
      <c r="AH380" s="1378"/>
      <c r="AI380" s="1378"/>
      <c r="AJ380" s="1378"/>
      <c r="AK380" s="1378"/>
      <c r="AL380" s="1378"/>
      <c r="AM380" s="1378"/>
      <c r="AN380" s="1378"/>
      <c r="AO380" s="1378"/>
      <c r="AP380" s="1378"/>
      <c r="AQ380" s="1378"/>
      <c r="AR380" s="1378"/>
      <c r="AS380" s="1378"/>
      <c r="AT380" s="1378"/>
      <c r="AU380" s="1378"/>
      <c r="AV380" s="1378"/>
      <c r="AW380" s="1378"/>
      <c r="AX380" s="1378"/>
      <c r="AY380" s="1378"/>
      <c r="AZ380" s="1378"/>
      <c r="BA380" s="1378"/>
      <c r="BB380" s="1378"/>
      <c r="BC380" s="1378"/>
      <c r="BD380"/>
    </row>
    <row r="381" spans="1:56" ht="15" outlineLevel="1" x14ac:dyDescent="0.25">
      <c r="A381" s="236"/>
      <c r="B381" s="218" t="str">
        <f>Services!B381</f>
        <v>14D04</v>
      </c>
      <c r="C381" s="216" t="str">
        <f>Services!C381</f>
        <v>Communication vers les parties prenantes</v>
      </c>
      <c r="D381" s="210" t="str">
        <f t="shared" si="5"/>
        <v/>
      </c>
      <c r="E381" s="1378"/>
      <c r="F381" s="1378"/>
      <c r="G381" s="1378"/>
      <c r="H381" s="1378"/>
      <c r="I381" s="1378"/>
      <c r="J381" s="1378"/>
      <c r="K381" s="1378"/>
      <c r="L381" s="1378"/>
      <c r="M381" s="1378"/>
      <c r="N381" s="1378"/>
      <c r="O381" s="1378"/>
      <c r="P381" s="1378"/>
      <c r="Q381" s="1378"/>
      <c r="R381" s="1378"/>
      <c r="S381" s="1378"/>
      <c r="T381" s="1378"/>
      <c r="U381" s="1378"/>
      <c r="V381" s="1378"/>
      <c r="W381" s="1378"/>
      <c r="X381" s="1378"/>
      <c r="Y381" s="1378"/>
      <c r="Z381" s="1378"/>
      <c r="AA381" s="1378"/>
      <c r="AB381" s="1378"/>
      <c r="AC381" s="1378"/>
      <c r="AD381" s="1378"/>
      <c r="AE381" s="1378"/>
      <c r="AF381" s="1378"/>
      <c r="AG381" s="1378"/>
      <c r="AH381" s="1378"/>
      <c r="AI381" s="1378"/>
      <c r="AJ381" s="1378"/>
      <c r="AK381" s="1378"/>
      <c r="AL381" s="1378"/>
      <c r="AM381" s="1378"/>
      <c r="AN381" s="1378"/>
      <c r="AO381" s="1378"/>
      <c r="AP381" s="1378"/>
      <c r="AQ381" s="1378"/>
      <c r="AR381" s="1378"/>
      <c r="AS381" s="1378"/>
      <c r="AT381" s="1378"/>
      <c r="AU381" s="1378"/>
      <c r="AV381" s="1378"/>
      <c r="AW381" s="1378"/>
      <c r="AX381" s="1378"/>
      <c r="AY381" s="1378"/>
      <c r="AZ381" s="1378"/>
      <c r="BA381" s="1378"/>
      <c r="BB381" s="1378"/>
      <c r="BC381" s="1378"/>
      <c r="BD381"/>
    </row>
    <row r="382" spans="1:56" ht="15" outlineLevel="1" x14ac:dyDescent="0.25">
      <c r="A382" s="236"/>
      <c r="B382" s="213" t="str">
        <f>Services!B382</f>
        <v>14E</v>
      </c>
      <c r="C382" s="214" t="str">
        <f>Services!C382</f>
        <v>Documentation</v>
      </c>
      <c r="D382" s="210" t="str">
        <f t="shared" si="5"/>
        <v/>
      </c>
      <c r="E382" s="1378"/>
      <c r="F382" s="1378"/>
      <c r="G382" s="1378"/>
      <c r="H382" s="1378"/>
      <c r="I382" s="1378"/>
      <c r="J382" s="1378"/>
      <c r="K382" s="1378"/>
      <c r="L382" s="1378"/>
      <c r="M382" s="1378"/>
      <c r="N382" s="1378"/>
      <c r="O382" s="1378"/>
      <c r="P382" s="1378"/>
      <c r="Q382" s="1378"/>
      <c r="R382" s="1378"/>
      <c r="S382" s="1378"/>
      <c r="T382" s="1378"/>
      <c r="U382" s="1378"/>
      <c r="V382" s="1378"/>
      <c r="W382" s="1378"/>
      <c r="X382" s="1378"/>
      <c r="Y382" s="1378"/>
      <c r="Z382" s="1378"/>
      <c r="AA382" s="1378"/>
      <c r="AB382" s="1378"/>
      <c r="AC382" s="1378"/>
      <c r="AD382" s="1378"/>
      <c r="AE382" s="1378"/>
      <c r="AF382" s="1378"/>
      <c r="AG382" s="1378"/>
      <c r="AH382" s="1378"/>
      <c r="AI382" s="1378"/>
      <c r="AJ382" s="1378"/>
      <c r="AK382" s="1378"/>
      <c r="AL382" s="1378"/>
      <c r="AM382" s="1378"/>
      <c r="AN382" s="1378"/>
      <c r="AO382" s="1378"/>
      <c r="AP382" s="1378"/>
      <c r="AQ382" s="1378"/>
      <c r="AR382" s="1378"/>
      <c r="AS382" s="1378"/>
      <c r="AT382" s="1378"/>
      <c r="AU382" s="1378"/>
      <c r="AV382" s="1378"/>
      <c r="AW382" s="1378"/>
      <c r="AX382" s="1378"/>
      <c r="AY382" s="1378"/>
      <c r="AZ382" s="1378"/>
      <c r="BA382" s="1378"/>
      <c r="BB382" s="1378"/>
      <c r="BC382" s="1378"/>
      <c r="BD382"/>
    </row>
    <row r="383" spans="1:56" ht="15" outlineLevel="1" x14ac:dyDescent="0.25">
      <c r="A383" s="236"/>
      <c r="B383" s="218" t="str">
        <f>Services!B383</f>
        <v>14E01</v>
      </c>
      <c r="C383" s="216" t="str">
        <f>Services!C383</f>
        <v>Gestion de la documentation</v>
      </c>
      <c r="D383" s="210" t="str">
        <f t="shared" si="5"/>
        <v/>
      </c>
      <c r="E383" s="1378"/>
      <c r="F383" s="1378"/>
      <c r="G383" s="1378"/>
      <c r="H383" s="1378"/>
      <c r="I383" s="1378"/>
      <c r="J383" s="1378"/>
      <c r="K383" s="1378"/>
      <c r="L383" s="1378"/>
      <c r="M383" s="1378"/>
      <c r="N383" s="1378"/>
      <c r="O383" s="1378"/>
      <c r="P383" s="1378"/>
      <c r="Q383" s="1378"/>
      <c r="R383" s="1378"/>
      <c r="S383" s="1378"/>
      <c r="T383" s="1378"/>
      <c r="U383" s="1378"/>
      <c r="V383" s="1378"/>
      <c r="W383" s="1378"/>
      <c r="X383" s="1378"/>
      <c r="Y383" s="1378"/>
      <c r="Z383" s="1378"/>
      <c r="AA383" s="1378"/>
      <c r="AB383" s="1378"/>
      <c r="AC383" s="1378"/>
      <c r="AD383" s="1378"/>
      <c r="AE383" s="1378"/>
      <c r="AF383" s="1378"/>
      <c r="AG383" s="1378"/>
      <c r="AH383" s="1378"/>
      <c r="AI383" s="1378"/>
      <c r="AJ383" s="1378"/>
      <c r="AK383" s="1378"/>
      <c r="AL383" s="1378"/>
      <c r="AM383" s="1378"/>
      <c r="AN383" s="1378"/>
      <c r="AO383" s="1378"/>
      <c r="AP383" s="1378"/>
      <c r="AQ383" s="1378"/>
      <c r="AR383" s="1378"/>
      <c r="AS383" s="1378"/>
      <c r="AT383" s="1378"/>
      <c r="AU383" s="1378"/>
      <c r="AV383" s="1378"/>
      <c r="AW383" s="1378"/>
      <c r="AX383" s="1378"/>
      <c r="AY383" s="1378"/>
      <c r="AZ383" s="1378"/>
      <c r="BA383" s="1378"/>
      <c r="BB383" s="1378"/>
      <c r="BC383" s="1378"/>
      <c r="BD383"/>
    </row>
    <row r="384" spans="1:56" ht="15" outlineLevel="1" x14ac:dyDescent="0.25">
      <c r="A384" s="236"/>
      <c r="B384" s="218" t="str">
        <f>Services!B384</f>
        <v>14E02</v>
      </c>
      <c r="C384" s="216" t="str">
        <f>Services!C384</f>
        <v>Approbation des documents</v>
      </c>
      <c r="D384" s="210" t="str">
        <f t="shared" si="5"/>
        <v/>
      </c>
      <c r="E384" s="1378"/>
      <c r="F384" s="1378"/>
      <c r="G384" s="1378"/>
      <c r="H384" s="1378"/>
      <c r="I384" s="1378"/>
      <c r="J384" s="1378"/>
      <c r="K384" s="1378"/>
      <c r="L384" s="1378"/>
      <c r="M384" s="1378"/>
      <c r="N384" s="1378"/>
      <c r="O384" s="1378"/>
      <c r="P384" s="1378"/>
      <c r="Q384" s="1378"/>
      <c r="R384" s="1378"/>
      <c r="S384" s="1378"/>
      <c r="T384" s="1378"/>
      <c r="U384" s="1378"/>
      <c r="V384" s="1378"/>
      <c r="W384" s="1378"/>
      <c r="X384" s="1378"/>
      <c r="Y384" s="1378"/>
      <c r="Z384" s="1378"/>
      <c r="AA384" s="1378"/>
      <c r="AB384" s="1378"/>
      <c r="AC384" s="1378"/>
      <c r="AD384" s="1378"/>
      <c r="AE384" s="1378"/>
      <c r="AF384" s="1378"/>
      <c r="AG384" s="1378"/>
      <c r="AH384" s="1378"/>
      <c r="AI384" s="1378"/>
      <c r="AJ384" s="1378"/>
      <c r="AK384" s="1378"/>
      <c r="AL384" s="1378"/>
      <c r="AM384" s="1378"/>
      <c r="AN384" s="1378"/>
      <c r="AO384" s="1378"/>
      <c r="AP384" s="1378"/>
      <c r="AQ384" s="1378"/>
      <c r="AR384" s="1378"/>
      <c r="AS384" s="1378"/>
      <c r="AT384" s="1378"/>
      <c r="AU384" s="1378"/>
      <c r="AV384" s="1378"/>
      <c r="AW384" s="1378"/>
      <c r="AX384" s="1378"/>
      <c r="AY384" s="1378"/>
      <c r="AZ384" s="1378"/>
      <c r="BA384" s="1378"/>
      <c r="BB384" s="1378"/>
      <c r="BC384" s="1378"/>
      <c r="BD384"/>
    </row>
    <row r="385" spans="1:56" ht="15" outlineLevel="1" x14ac:dyDescent="0.25">
      <c r="A385" s="236"/>
      <c r="B385" s="218" t="str">
        <f>Services!B385</f>
        <v>14E03</v>
      </c>
      <c r="C385" s="216" t="str">
        <f>Services!C385</f>
        <v>Mises à jour</v>
      </c>
      <c r="D385" s="210" t="str">
        <f t="shared" si="5"/>
        <v/>
      </c>
      <c r="E385" s="1378"/>
      <c r="F385" s="1378"/>
      <c r="G385" s="1378"/>
      <c r="H385" s="1378"/>
      <c r="I385" s="1378"/>
      <c r="J385" s="1378"/>
      <c r="K385" s="1378"/>
      <c r="L385" s="1378"/>
      <c r="M385" s="1378"/>
      <c r="N385" s="1378"/>
      <c r="O385" s="1378"/>
      <c r="P385" s="1378"/>
      <c r="Q385" s="1378"/>
      <c r="R385" s="1378"/>
      <c r="S385" s="1378"/>
      <c r="T385" s="1378"/>
      <c r="U385" s="1378"/>
      <c r="V385" s="1378"/>
      <c r="W385" s="1378"/>
      <c r="X385" s="1378"/>
      <c r="Y385" s="1378"/>
      <c r="Z385" s="1378"/>
      <c r="AA385" s="1378"/>
      <c r="AB385" s="1378"/>
      <c r="AC385" s="1378"/>
      <c r="AD385" s="1378"/>
      <c r="AE385" s="1378"/>
      <c r="AF385" s="1378"/>
      <c r="AG385" s="1378"/>
      <c r="AH385" s="1378"/>
      <c r="AI385" s="1378"/>
      <c r="AJ385" s="1378"/>
      <c r="AK385" s="1378"/>
      <c r="AL385" s="1378"/>
      <c r="AM385" s="1378"/>
      <c r="AN385" s="1378"/>
      <c r="AO385" s="1378"/>
      <c r="AP385" s="1378"/>
      <c r="AQ385" s="1378"/>
      <c r="AR385" s="1378"/>
      <c r="AS385" s="1378"/>
      <c r="AT385" s="1378"/>
      <c r="AU385" s="1378"/>
      <c r="AV385" s="1378"/>
      <c r="AW385" s="1378"/>
      <c r="AX385" s="1378"/>
      <c r="AY385" s="1378"/>
      <c r="AZ385" s="1378"/>
      <c r="BA385" s="1378"/>
      <c r="BB385" s="1378"/>
      <c r="BC385" s="1378"/>
      <c r="BD385"/>
    </row>
    <row r="386" spans="1:56" ht="15" outlineLevel="1" x14ac:dyDescent="0.25">
      <c r="A386" s="236"/>
      <c r="B386" s="218" t="str">
        <f>Services!B386</f>
        <v>14E04</v>
      </c>
      <c r="C386" s="216" t="str">
        <f>Services!C386</f>
        <v>Identification et gestion des versions des documents</v>
      </c>
      <c r="D386" s="210" t="str">
        <f t="shared" si="5"/>
        <v/>
      </c>
      <c r="E386" s="1378"/>
      <c r="F386" s="1378"/>
      <c r="G386" s="1378"/>
      <c r="H386" s="1378"/>
      <c r="I386" s="1378"/>
      <c r="J386" s="1378"/>
      <c r="K386" s="1378"/>
      <c r="L386" s="1378"/>
      <c r="M386" s="1378"/>
      <c r="N386" s="1378"/>
      <c r="O386" s="1378"/>
      <c r="P386" s="1378"/>
      <c r="Q386" s="1378"/>
      <c r="R386" s="1378"/>
      <c r="S386" s="1378"/>
      <c r="T386" s="1378"/>
      <c r="U386" s="1378"/>
      <c r="V386" s="1378"/>
      <c r="W386" s="1378"/>
      <c r="X386" s="1378"/>
      <c r="Y386" s="1378"/>
      <c r="Z386" s="1378"/>
      <c r="AA386" s="1378"/>
      <c r="AB386" s="1378"/>
      <c r="AC386" s="1378"/>
      <c r="AD386" s="1378"/>
      <c r="AE386" s="1378"/>
      <c r="AF386" s="1378"/>
      <c r="AG386" s="1378"/>
      <c r="AH386" s="1378"/>
      <c r="AI386" s="1378"/>
      <c r="AJ386" s="1378"/>
      <c r="AK386" s="1378"/>
      <c r="AL386" s="1378"/>
      <c r="AM386" s="1378"/>
      <c r="AN386" s="1378"/>
      <c r="AO386" s="1378"/>
      <c r="AP386" s="1378"/>
      <c r="AQ386" s="1378"/>
      <c r="AR386" s="1378"/>
      <c r="AS386" s="1378"/>
      <c r="AT386" s="1378"/>
      <c r="AU386" s="1378"/>
      <c r="AV386" s="1378"/>
      <c r="AW386" s="1378"/>
      <c r="AX386" s="1378"/>
      <c r="AY386" s="1378"/>
      <c r="AZ386" s="1378"/>
      <c r="BA386" s="1378"/>
      <c r="BB386" s="1378"/>
      <c r="BC386" s="1378"/>
      <c r="BD386"/>
    </row>
    <row r="387" spans="1:56" ht="15" outlineLevel="1" x14ac:dyDescent="0.25">
      <c r="A387" s="236"/>
      <c r="B387" s="218" t="str">
        <f>Services!B387</f>
        <v>14E05</v>
      </c>
      <c r="C387" s="216" t="str">
        <f>Services!C387</f>
        <v>Mise à disposition de la documentation</v>
      </c>
      <c r="D387" s="210" t="str">
        <f t="shared" si="5"/>
        <v/>
      </c>
      <c r="E387" s="1378"/>
      <c r="F387" s="1378"/>
      <c r="G387" s="1378"/>
      <c r="H387" s="1378"/>
      <c r="I387" s="1378"/>
      <c r="J387" s="1378"/>
      <c r="K387" s="1378"/>
      <c r="L387" s="1378"/>
      <c r="M387" s="1378"/>
      <c r="N387" s="1378"/>
      <c r="O387" s="1378"/>
      <c r="P387" s="1378"/>
      <c r="Q387" s="1378"/>
      <c r="R387" s="1378"/>
      <c r="S387" s="1378"/>
      <c r="T387" s="1378"/>
      <c r="U387" s="1378"/>
      <c r="V387" s="1378"/>
      <c r="W387" s="1378"/>
      <c r="X387" s="1378"/>
      <c r="Y387" s="1378"/>
      <c r="Z387" s="1378"/>
      <c r="AA387" s="1378"/>
      <c r="AB387" s="1378"/>
      <c r="AC387" s="1378"/>
      <c r="AD387" s="1378"/>
      <c r="AE387" s="1378"/>
      <c r="AF387" s="1378"/>
      <c r="AG387" s="1378"/>
      <c r="AH387" s="1378"/>
      <c r="AI387" s="1378"/>
      <c r="AJ387" s="1378"/>
      <c r="AK387" s="1378"/>
      <c r="AL387" s="1378"/>
      <c r="AM387" s="1378"/>
      <c r="AN387" s="1378"/>
      <c r="AO387" s="1378"/>
      <c r="AP387" s="1378"/>
      <c r="AQ387" s="1378"/>
      <c r="AR387" s="1378"/>
      <c r="AS387" s="1378"/>
      <c r="AT387" s="1378"/>
      <c r="AU387" s="1378"/>
      <c r="AV387" s="1378"/>
      <c r="AW387" s="1378"/>
      <c r="AX387" s="1378"/>
      <c r="AY387" s="1378"/>
      <c r="AZ387" s="1378"/>
      <c r="BA387" s="1378"/>
      <c r="BB387" s="1378"/>
      <c r="BC387" s="1378"/>
      <c r="BD387"/>
    </row>
    <row r="388" spans="1:56" ht="15.75" outlineLevel="1" thickBot="1" x14ac:dyDescent="0.3">
      <c r="A388" s="183"/>
      <c r="B388" s="184" t="str">
        <f>Services!B388</f>
        <v>14E06</v>
      </c>
      <c r="C388" s="185" t="str">
        <f>Services!C388</f>
        <v>Retrait des documents qui ne sont plus valides</v>
      </c>
      <c r="D388" s="237" t="str">
        <f t="shared" si="5"/>
        <v/>
      </c>
      <c r="E388" s="1378"/>
      <c r="F388" s="1378"/>
      <c r="G388" s="1378"/>
      <c r="H388" s="1378"/>
      <c r="I388" s="1378"/>
      <c r="J388" s="1378"/>
      <c r="K388" s="1378"/>
      <c r="L388" s="1378"/>
      <c r="M388" s="1378"/>
      <c r="N388" s="1378"/>
      <c r="O388" s="1378"/>
      <c r="P388" s="1378"/>
      <c r="Q388" s="1378"/>
      <c r="R388" s="1378"/>
      <c r="S388" s="1378"/>
      <c r="T388" s="1378"/>
      <c r="U388" s="1378"/>
      <c r="V388" s="1378"/>
      <c r="W388" s="1378"/>
      <c r="X388" s="1378"/>
      <c r="Y388" s="1378"/>
      <c r="Z388" s="1378"/>
      <c r="AA388" s="1378"/>
      <c r="AB388" s="1378"/>
      <c r="AC388" s="1378"/>
      <c r="AD388" s="1378"/>
      <c r="AE388" s="1378"/>
      <c r="AF388" s="1378"/>
      <c r="AG388" s="1378"/>
      <c r="AH388" s="1378"/>
      <c r="AI388" s="1378"/>
      <c r="AJ388" s="1378"/>
      <c r="AK388" s="1378"/>
      <c r="AL388" s="1378"/>
      <c r="AM388" s="1378"/>
      <c r="AN388" s="1378"/>
      <c r="AO388" s="1378"/>
      <c r="AP388" s="1378"/>
      <c r="AQ388" s="1378"/>
      <c r="AR388" s="1378"/>
      <c r="AS388" s="1378"/>
      <c r="AT388" s="1378"/>
      <c r="AU388" s="1378"/>
      <c r="AV388" s="1378"/>
      <c r="AW388" s="1378"/>
      <c r="AX388" s="1378"/>
      <c r="AY388" s="1378"/>
      <c r="AZ388" s="1378"/>
      <c r="BA388" s="1378"/>
      <c r="BB388" s="1378"/>
      <c r="BC388" s="1378"/>
      <c r="BD388"/>
    </row>
    <row r="389" spans="1:56" ht="12" customHeight="1" x14ac:dyDescent="0.25">
      <c r="A389" s="238"/>
      <c r="B389" s="239"/>
      <c r="C389" s="239"/>
      <c r="E389" s="1378"/>
      <c r="F389" s="1378"/>
      <c r="G389" s="1378"/>
      <c r="H389" s="1378"/>
      <c r="I389" s="1378"/>
      <c r="J389" s="1378"/>
      <c r="K389" s="1378"/>
      <c r="L389" s="1378"/>
      <c r="M389" s="1378"/>
      <c r="N389" s="1378"/>
      <c r="O389" s="1378"/>
      <c r="P389" s="1378"/>
      <c r="Q389" s="1378"/>
      <c r="R389" s="1378"/>
      <c r="S389" s="1378"/>
      <c r="T389" s="1378"/>
      <c r="U389" s="1378"/>
      <c r="V389" s="1378"/>
      <c r="W389" s="1378"/>
      <c r="X389" s="1378"/>
      <c r="Y389" s="1378"/>
      <c r="Z389" s="1378"/>
      <c r="AA389" s="1378"/>
      <c r="AB389" s="1378"/>
      <c r="AC389" s="1378"/>
      <c r="AD389" s="1378"/>
      <c r="AE389" s="1378"/>
      <c r="AF389" s="1378"/>
      <c r="AG389" s="1378"/>
      <c r="AH389" s="1378"/>
      <c r="AI389" s="1378"/>
      <c r="AJ389" s="1378"/>
      <c r="AK389" s="1378"/>
      <c r="AL389" s="1378"/>
      <c r="AM389" s="1378"/>
      <c r="AN389" s="1378"/>
      <c r="AO389" s="1378"/>
      <c r="AP389" s="1378"/>
      <c r="AQ389" s="1378"/>
      <c r="AR389" s="1378"/>
      <c r="AS389" s="1378"/>
      <c r="AT389" s="1378"/>
      <c r="AU389" s="1378"/>
      <c r="AV389" s="1378"/>
      <c r="AW389" s="1378"/>
      <c r="AX389" s="1378"/>
      <c r="AY389" s="1378"/>
      <c r="AZ389" s="1378"/>
      <c r="BA389" s="1378"/>
      <c r="BB389" s="1378"/>
      <c r="BC389" s="1378"/>
      <c r="BD389"/>
    </row>
    <row r="390" spans="1:56" ht="12" customHeight="1" x14ac:dyDescent="0.25">
      <c r="B390" s="239"/>
      <c r="C390" s="239"/>
      <c r="E390" s="1378"/>
      <c r="F390" s="1378"/>
      <c r="G390" s="1378"/>
      <c r="H390" s="1378"/>
      <c r="I390" s="1378"/>
      <c r="J390" s="1378"/>
      <c r="K390" s="1378"/>
      <c r="L390" s="1378"/>
      <c r="M390" s="1378"/>
      <c r="N390" s="1378"/>
      <c r="O390" s="1378"/>
      <c r="P390" s="1378"/>
      <c r="Q390" s="1378"/>
      <c r="R390" s="1378"/>
      <c r="S390" s="1378"/>
      <c r="T390" s="1378"/>
      <c r="U390" s="1378"/>
      <c r="V390" s="1378"/>
      <c r="W390" s="1378"/>
      <c r="X390" s="1378"/>
      <c r="Y390" s="1378"/>
      <c r="Z390" s="1378"/>
      <c r="AA390" s="1378"/>
      <c r="AB390" s="1378"/>
      <c r="AC390" s="1378"/>
      <c r="AD390" s="1378"/>
      <c r="AE390" s="1378"/>
      <c r="AF390" s="1378"/>
      <c r="AG390" s="1378"/>
      <c r="AH390" s="1378"/>
      <c r="AI390" s="1378"/>
      <c r="AJ390" s="1378"/>
      <c r="AK390" s="1378"/>
      <c r="AL390" s="1378"/>
      <c r="AM390" s="1378"/>
      <c r="AN390" s="1378"/>
      <c r="AO390" s="1378"/>
      <c r="AP390" s="1378"/>
      <c r="AQ390" s="1378"/>
      <c r="AR390" s="1378"/>
      <c r="AS390" s="1378"/>
      <c r="AT390" s="1378"/>
      <c r="AU390" s="1378"/>
      <c r="AV390" s="1378"/>
      <c r="AW390" s="1378"/>
      <c r="AX390" s="1378"/>
      <c r="AY390" s="1378"/>
      <c r="AZ390" s="1378"/>
      <c r="BA390" s="1378"/>
      <c r="BB390" s="1378"/>
      <c r="BC390" s="1378"/>
      <c r="BD390"/>
    </row>
    <row r="391" spans="1:56" ht="12" customHeight="1" x14ac:dyDescent="0.25">
      <c r="B391" s="239"/>
      <c r="C391" s="239"/>
      <c r="E391" s="1378"/>
      <c r="F391" s="1378"/>
      <c r="G391" s="1378"/>
      <c r="H391" s="1378"/>
      <c r="I391" s="1378"/>
      <c r="J391" s="1378"/>
      <c r="K391" s="1378"/>
      <c r="L391" s="1378"/>
      <c r="M391" s="1378"/>
      <c r="N391" s="1378"/>
      <c r="O391" s="1378"/>
      <c r="P391" s="1378"/>
      <c r="Q391" s="1378"/>
      <c r="R391" s="1378"/>
      <c r="S391" s="1378"/>
      <c r="T391" s="1378"/>
      <c r="U391" s="1378"/>
      <c r="V391" s="1378"/>
      <c r="W391" s="1378"/>
      <c r="X391" s="1378"/>
      <c r="Y391" s="1378"/>
      <c r="Z391" s="1378"/>
      <c r="AA391" s="1378"/>
      <c r="AB391" s="1378"/>
      <c r="AC391" s="1378"/>
      <c r="AD391" s="1378"/>
      <c r="AE391" s="1378"/>
      <c r="AF391" s="1378"/>
      <c r="AG391" s="1378"/>
      <c r="AH391" s="1378"/>
      <c r="AI391" s="1378"/>
      <c r="AJ391" s="1378"/>
      <c r="AK391" s="1378"/>
      <c r="AL391" s="1378"/>
      <c r="AM391" s="1378"/>
      <c r="AN391" s="1378"/>
      <c r="AO391" s="1378"/>
      <c r="AP391" s="1378"/>
      <c r="AQ391" s="1378"/>
      <c r="AR391" s="1378"/>
      <c r="AS391" s="1378"/>
      <c r="AT391" s="1378"/>
      <c r="AU391" s="1378"/>
      <c r="AV391" s="1378"/>
      <c r="AW391" s="1378"/>
      <c r="AX391" s="1378"/>
      <c r="AY391" s="1378"/>
      <c r="AZ391" s="1378"/>
      <c r="BA391" s="1378"/>
      <c r="BB391" s="1378"/>
      <c r="BC391" s="1378"/>
      <c r="BD391"/>
    </row>
    <row r="392" spans="1:56" ht="12" customHeight="1" x14ac:dyDescent="0.25">
      <c r="B392" s="239"/>
      <c r="C392" s="239"/>
      <c r="E392" s="1378"/>
      <c r="F392" s="1378"/>
      <c r="G392" s="1378"/>
      <c r="H392" s="1378"/>
      <c r="I392" s="1378"/>
      <c r="J392" s="1378"/>
      <c r="K392" s="1378"/>
      <c r="L392" s="1378"/>
      <c r="M392" s="1378"/>
      <c r="N392" s="1378"/>
      <c r="O392" s="1378"/>
      <c r="P392" s="1378"/>
      <c r="Q392" s="1378"/>
      <c r="R392" s="1378"/>
      <c r="S392" s="1378"/>
      <c r="T392" s="1378"/>
      <c r="U392" s="1378"/>
      <c r="V392" s="1378"/>
      <c r="W392" s="1378"/>
      <c r="X392" s="1378"/>
      <c r="Y392" s="1378"/>
      <c r="Z392" s="1378"/>
      <c r="AA392" s="1378"/>
      <c r="AB392" s="1378"/>
      <c r="AC392" s="1378"/>
      <c r="AD392" s="1378"/>
      <c r="AE392" s="1378"/>
      <c r="AF392" s="1378"/>
      <c r="AG392" s="1378"/>
      <c r="AH392" s="1378"/>
      <c r="AI392" s="1378"/>
      <c r="AJ392" s="1378"/>
      <c r="AK392" s="1378"/>
      <c r="AL392" s="1378"/>
      <c r="AM392" s="1378"/>
      <c r="AN392" s="1378"/>
      <c r="AO392" s="1378"/>
      <c r="AP392" s="1378"/>
      <c r="AQ392" s="1378"/>
      <c r="AR392" s="1378"/>
      <c r="AS392" s="1378"/>
      <c r="AT392" s="1378"/>
      <c r="AU392" s="1378"/>
      <c r="AV392" s="1378"/>
      <c r="AW392" s="1378"/>
      <c r="AX392" s="1378"/>
      <c r="AY392" s="1378"/>
      <c r="AZ392" s="1378"/>
      <c r="BA392" s="1378"/>
      <c r="BB392" s="1378"/>
      <c r="BC392" s="1378"/>
      <c r="BD392"/>
    </row>
    <row r="393" spans="1:56" ht="12" customHeight="1" x14ac:dyDescent="0.25">
      <c r="B393" s="239"/>
      <c r="C393" s="239"/>
      <c r="E393" s="1378"/>
      <c r="F393" s="1378"/>
      <c r="G393" s="1378"/>
      <c r="H393" s="1378"/>
      <c r="I393" s="1378"/>
      <c r="J393" s="1378"/>
      <c r="K393" s="1378"/>
      <c r="L393" s="1378"/>
      <c r="M393" s="1378"/>
      <c r="N393" s="1378"/>
      <c r="O393" s="1378"/>
      <c r="P393" s="1378"/>
      <c r="Q393" s="1378"/>
      <c r="R393" s="1378"/>
      <c r="S393" s="1378"/>
      <c r="T393" s="1378"/>
      <c r="U393" s="1378"/>
      <c r="V393" s="1378"/>
      <c r="W393" s="1378"/>
      <c r="X393" s="1378"/>
      <c r="Y393" s="1378"/>
      <c r="Z393" s="1378"/>
      <c r="AA393" s="1378"/>
      <c r="AB393" s="1378"/>
      <c r="AC393" s="1378"/>
      <c r="AD393" s="1378"/>
      <c r="AE393" s="1378"/>
      <c r="AF393" s="1378"/>
      <c r="AG393" s="1378"/>
      <c r="AH393" s="1378"/>
      <c r="AI393" s="1378"/>
      <c r="AJ393" s="1378"/>
      <c r="AK393" s="1378"/>
      <c r="AL393" s="1378"/>
      <c r="AM393" s="1378"/>
      <c r="AN393" s="1378"/>
      <c r="AO393" s="1378"/>
      <c r="AP393" s="1378"/>
      <c r="AQ393" s="1378"/>
      <c r="AR393" s="1378"/>
      <c r="AS393" s="1378"/>
      <c r="AT393" s="1378"/>
      <c r="AU393" s="1378"/>
      <c r="AV393" s="1378"/>
      <c r="AW393" s="1378"/>
      <c r="AX393" s="1378"/>
      <c r="AY393" s="1378"/>
      <c r="AZ393" s="1378"/>
      <c r="BA393" s="1378"/>
      <c r="BB393" s="1378"/>
      <c r="BC393" s="1378"/>
      <c r="BD393"/>
    </row>
    <row r="394" spans="1:56" ht="12" customHeight="1" x14ac:dyDescent="0.25">
      <c r="B394" s="239"/>
      <c r="C394" s="239"/>
      <c r="E394" s="1378"/>
      <c r="F394" s="1378"/>
      <c r="G394" s="1378"/>
      <c r="H394" s="1378"/>
      <c r="I394" s="1378"/>
      <c r="J394" s="1378"/>
      <c r="K394" s="1378"/>
      <c r="L394" s="1378"/>
      <c r="M394" s="1378"/>
      <c r="N394" s="1378"/>
      <c r="O394" s="1378"/>
      <c r="P394" s="1378"/>
      <c r="Q394" s="1378"/>
      <c r="R394" s="1378"/>
      <c r="S394" s="1378"/>
      <c r="T394" s="1378"/>
      <c r="U394" s="1378"/>
      <c r="V394" s="1378"/>
      <c r="W394" s="1378"/>
      <c r="X394" s="1378"/>
      <c r="Y394" s="1378"/>
      <c r="Z394" s="1378"/>
      <c r="AA394" s="1378"/>
      <c r="AB394" s="1378"/>
      <c r="AC394" s="1378"/>
      <c r="AD394" s="1378"/>
      <c r="AE394" s="1378"/>
      <c r="AF394" s="1378"/>
      <c r="AG394" s="1378"/>
      <c r="AH394" s="1378"/>
      <c r="AI394" s="1378"/>
      <c r="AJ394" s="1378"/>
      <c r="AK394" s="1378"/>
      <c r="AL394" s="1378"/>
      <c r="AM394" s="1378"/>
      <c r="AN394" s="1378"/>
      <c r="AO394" s="1378"/>
      <c r="AP394" s="1378"/>
      <c r="AQ394" s="1378"/>
      <c r="AR394" s="1378"/>
      <c r="AS394" s="1378"/>
      <c r="AT394" s="1378"/>
      <c r="AU394" s="1378"/>
      <c r="AV394" s="1378"/>
      <c r="AW394" s="1378"/>
      <c r="AX394" s="1378"/>
      <c r="AY394" s="1378"/>
      <c r="AZ394" s="1378"/>
      <c r="BA394" s="1378"/>
      <c r="BB394" s="1378"/>
      <c r="BC394" s="1378"/>
      <c r="BD394"/>
    </row>
    <row r="395" spans="1:56" ht="12" customHeight="1" x14ac:dyDescent="0.25">
      <c r="B395" s="239"/>
      <c r="C395" s="239"/>
      <c r="E395" s="1378"/>
      <c r="F395" s="1378"/>
      <c r="G395" s="1378"/>
      <c r="H395" s="1378"/>
      <c r="I395" s="1378"/>
      <c r="J395" s="1378"/>
      <c r="K395" s="1378"/>
      <c r="L395" s="1378"/>
      <c r="M395" s="1378"/>
      <c r="N395" s="1378"/>
      <c r="O395" s="1378"/>
      <c r="P395" s="1378"/>
      <c r="Q395" s="1378"/>
      <c r="R395" s="1378"/>
      <c r="S395" s="1378"/>
      <c r="T395" s="1378"/>
      <c r="U395" s="1378"/>
      <c r="V395" s="1378"/>
      <c r="W395" s="1378"/>
      <c r="X395" s="1378"/>
      <c r="Y395" s="1378"/>
      <c r="Z395" s="1378"/>
      <c r="AA395" s="1378"/>
      <c r="AB395" s="1378"/>
      <c r="AC395" s="1378"/>
      <c r="AD395" s="1378"/>
      <c r="AE395" s="1378"/>
      <c r="AF395" s="1378"/>
      <c r="AG395" s="1378"/>
      <c r="AH395" s="1378"/>
      <c r="AI395" s="1378"/>
      <c r="AJ395" s="1378"/>
      <c r="AK395" s="1378"/>
      <c r="AL395" s="1378"/>
      <c r="AM395" s="1378"/>
      <c r="AN395" s="1378"/>
      <c r="AO395" s="1378"/>
      <c r="AP395" s="1378"/>
      <c r="AQ395" s="1378"/>
      <c r="AR395" s="1378"/>
      <c r="AS395" s="1378"/>
      <c r="AT395" s="1378"/>
      <c r="AU395" s="1378"/>
      <c r="AV395" s="1378"/>
      <c r="AW395" s="1378"/>
      <c r="AX395" s="1378"/>
      <c r="AY395" s="1378"/>
      <c r="AZ395" s="1378"/>
      <c r="BA395" s="1378"/>
      <c r="BB395" s="1378"/>
      <c r="BC395" s="1378"/>
      <c r="BD395"/>
    </row>
    <row r="396" spans="1:56" ht="12" customHeight="1" x14ac:dyDescent="0.25">
      <c r="B396" s="239"/>
      <c r="C396" s="239"/>
      <c r="E396" s="1378"/>
      <c r="F396" s="1378"/>
      <c r="G396" s="1378"/>
      <c r="H396" s="1378"/>
      <c r="I396" s="1378"/>
      <c r="J396" s="1378"/>
      <c r="K396" s="1378"/>
      <c r="L396" s="1378"/>
      <c r="M396" s="1378"/>
      <c r="N396" s="1378"/>
      <c r="O396" s="1378"/>
      <c r="P396" s="1378"/>
      <c r="Q396" s="1378"/>
      <c r="R396" s="1378"/>
      <c r="S396" s="1378"/>
      <c r="T396" s="1378"/>
      <c r="U396" s="1378"/>
      <c r="V396" s="1378"/>
      <c r="W396" s="1378"/>
      <c r="X396" s="1378"/>
      <c r="Y396" s="1378"/>
      <c r="Z396" s="1378"/>
      <c r="AA396" s="1378"/>
      <c r="AB396" s="1378"/>
      <c r="AC396" s="1378"/>
      <c r="AD396" s="1378"/>
      <c r="AE396" s="1378"/>
      <c r="AF396" s="1378"/>
      <c r="AG396" s="1378"/>
      <c r="AH396" s="1378"/>
      <c r="AI396" s="1378"/>
      <c r="AJ396" s="1378"/>
      <c r="AK396" s="1378"/>
      <c r="AL396" s="1378"/>
      <c r="AM396" s="1378"/>
      <c r="AN396" s="1378"/>
      <c r="AO396" s="1378"/>
      <c r="AP396" s="1378"/>
      <c r="AQ396" s="1378"/>
      <c r="AR396" s="1378"/>
      <c r="AS396" s="1378"/>
      <c r="AT396" s="1378"/>
      <c r="AU396" s="1378"/>
      <c r="AV396" s="1378"/>
      <c r="AW396" s="1378"/>
      <c r="AX396" s="1378"/>
      <c r="AY396" s="1378"/>
      <c r="AZ396" s="1378"/>
      <c r="BA396" s="1378"/>
      <c r="BB396" s="1378"/>
      <c r="BC396" s="1378"/>
      <c r="BD396"/>
    </row>
    <row r="397" spans="1:56" ht="12" customHeight="1" x14ac:dyDescent="0.25">
      <c r="B397" s="239"/>
      <c r="C397" s="239"/>
      <c r="E397" s="1378"/>
      <c r="F397" s="1378"/>
      <c r="G397" s="1378"/>
      <c r="H397" s="1378"/>
      <c r="I397" s="1378"/>
      <c r="J397" s="1378"/>
      <c r="K397" s="1378"/>
      <c r="L397" s="1378"/>
      <c r="M397" s="1378"/>
      <c r="N397" s="1378"/>
      <c r="O397" s="1378"/>
      <c r="P397" s="1378"/>
      <c r="Q397" s="1378"/>
      <c r="R397" s="1378"/>
      <c r="S397" s="1378"/>
      <c r="T397" s="1378"/>
      <c r="U397" s="1378"/>
      <c r="V397" s="1378"/>
      <c r="W397" s="1378"/>
      <c r="X397" s="1378"/>
      <c r="Y397" s="1378"/>
      <c r="Z397" s="1378"/>
      <c r="AA397" s="1378"/>
      <c r="AB397" s="1378"/>
      <c r="AC397" s="1378"/>
      <c r="AD397" s="1378"/>
      <c r="AE397" s="1378"/>
      <c r="AF397" s="1378"/>
      <c r="AG397" s="1378"/>
      <c r="AH397" s="1378"/>
      <c r="AI397" s="1378"/>
      <c r="AJ397" s="1378"/>
      <c r="AK397" s="1378"/>
      <c r="AL397" s="1378"/>
      <c r="AM397" s="1378"/>
      <c r="AN397" s="1378"/>
      <c r="AO397" s="1378"/>
      <c r="AP397" s="1378"/>
      <c r="AQ397" s="1378"/>
      <c r="AR397" s="1378"/>
      <c r="AS397" s="1378"/>
      <c r="AT397" s="1378"/>
      <c r="AU397" s="1378"/>
      <c r="AV397" s="1378"/>
      <c r="AW397" s="1378"/>
      <c r="AX397" s="1378"/>
      <c r="AY397" s="1378"/>
      <c r="AZ397" s="1378"/>
      <c r="BA397" s="1378"/>
      <c r="BB397" s="1378"/>
      <c r="BC397" s="1378"/>
      <c r="BD397"/>
    </row>
    <row r="398" spans="1:56" ht="12" customHeight="1" x14ac:dyDescent="0.25">
      <c r="B398" s="239"/>
      <c r="C398" s="239"/>
      <c r="E398" s="1378"/>
      <c r="F398" s="1378"/>
      <c r="G398" s="1378"/>
      <c r="H398" s="1378"/>
      <c r="I398" s="1378"/>
      <c r="J398" s="1378"/>
      <c r="K398" s="1378"/>
      <c r="L398" s="1378"/>
      <c r="M398" s="1378"/>
      <c r="N398" s="1378"/>
      <c r="O398" s="1378"/>
      <c r="P398" s="1378"/>
      <c r="Q398" s="1378"/>
      <c r="R398" s="1378"/>
      <c r="S398" s="1378"/>
      <c r="T398" s="1378"/>
      <c r="U398" s="1378"/>
      <c r="V398" s="1378"/>
      <c r="W398" s="1378"/>
      <c r="X398" s="1378"/>
      <c r="Y398" s="1378"/>
      <c r="Z398" s="1378"/>
      <c r="AA398" s="1378"/>
      <c r="AB398" s="1378"/>
      <c r="AC398" s="1378"/>
      <c r="AD398" s="1378"/>
      <c r="AE398" s="1378"/>
      <c r="AF398" s="1378"/>
      <c r="AG398" s="1378"/>
      <c r="AH398" s="1378"/>
      <c r="AI398" s="1378"/>
      <c r="AJ398" s="1378"/>
      <c r="AK398" s="1378"/>
      <c r="AL398" s="1378"/>
      <c r="AM398" s="1378"/>
      <c r="AN398" s="1378"/>
      <c r="AO398" s="1378"/>
      <c r="AP398" s="1378"/>
      <c r="AQ398" s="1378"/>
      <c r="AR398" s="1378"/>
      <c r="AS398" s="1378"/>
      <c r="AT398" s="1378"/>
      <c r="AU398" s="1378"/>
      <c r="AV398" s="1378"/>
      <c r="AW398" s="1378"/>
      <c r="AX398" s="1378"/>
      <c r="AY398" s="1378"/>
      <c r="AZ398" s="1378"/>
      <c r="BA398" s="1378"/>
      <c r="BB398" s="1378"/>
      <c r="BC398" s="1378"/>
      <c r="BD398"/>
    </row>
    <row r="399" spans="1:56" ht="12" customHeight="1" x14ac:dyDescent="0.25">
      <c r="B399" s="239"/>
      <c r="C399" s="239"/>
      <c r="E399" s="1378"/>
      <c r="F399" s="1378"/>
      <c r="G399" s="1378"/>
      <c r="H399" s="1378"/>
      <c r="I399" s="1378"/>
      <c r="J399" s="1378"/>
      <c r="K399" s="1378"/>
      <c r="L399" s="1378"/>
      <c r="M399" s="1378"/>
      <c r="N399" s="1378"/>
      <c r="O399" s="1378"/>
      <c r="P399" s="1378"/>
      <c r="Q399" s="1378"/>
      <c r="R399" s="1378"/>
      <c r="S399" s="1378"/>
      <c r="T399" s="1378"/>
      <c r="U399" s="1378"/>
      <c r="V399" s="1378"/>
      <c r="W399" s="1378"/>
      <c r="X399" s="1378"/>
      <c r="Y399" s="1378"/>
      <c r="Z399" s="1378"/>
      <c r="AA399" s="1378"/>
      <c r="AB399" s="1378"/>
      <c r="AC399" s="1378"/>
      <c r="AD399" s="1378"/>
      <c r="AE399" s="1378"/>
      <c r="AF399" s="1378"/>
      <c r="AG399" s="1378"/>
      <c r="AH399" s="1378"/>
      <c r="AI399" s="1378"/>
      <c r="AJ399" s="1378"/>
      <c r="AK399" s="1378"/>
      <c r="AL399" s="1378"/>
      <c r="AM399" s="1378"/>
      <c r="AN399" s="1378"/>
      <c r="AO399" s="1378"/>
      <c r="AP399" s="1378"/>
      <c r="AQ399" s="1378"/>
      <c r="AR399" s="1378"/>
      <c r="AS399" s="1378"/>
      <c r="AT399" s="1378"/>
      <c r="AU399" s="1378"/>
      <c r="AV399" s="1378"/>
      <c r="AW399" s="1378"/>
      <c r="AX399" s="1378"/>
      <c r="AY399" s="1378"/>
      <c r="AZ399" s="1378"/>
      <c r="BA399" s="1378"/>
      <c r="BB399" s="1378"/>
      <c r="BC399" s="1378"/>
      <c r="BD399"/>
    </row>
    <row r="400" spans="1:56" ht="12" customHeight="1" x14ac:dyDescent="0.25">
      <c r="B400" s="239"/>
      <c r="C400" s="239"/>
      <c r="E400" s="1378"/>
      <c r="F400" s="1378"/>
      <c r="G400" s="1378"/>
      <c r="H400" s="1378"/>
      <c r="I400" s="1378"/>
      <c r="J400" s="1378"/>
      <c r="K400" s="1378"/>
      <c r="L400" s="1378"/>
      <c r="M400" s="1378"/>
      <c r="N400" s="1378"/>
      <c r="O400" s="1378"/>
      <c r="P400" s="1378"/>
      <c r="Q400" s="1378"/>
      <c r="R400" s="1378"/>
      <c r="S400" s="1378"/>
      <c r="T400" s="1378"/>
      <c r="U400" s="1378"/>
      <c r="V400" s="1378"/>
      <c r="W400" s="1378"/>
      <c r="X400" s="1378"/>
      <c r="Y400" s="1378"/>
      <c r="Z400" s="1378"/>
      <c r="AA400" s="1378"/>
      <c r="AB400" s="1378"/>
      <c r="AC400" s="1378"/>
      <c r="AD400" s="1378"/>
      <c r="AE400" s="1378"/>
      <c r="AF400" s="1378"/>
      <c r="AG400" s="1378"/>
      <c r="AH400" s="1378"/>
      <c r="AI400" s="1378"/>
      <c r="AJ400" s="1378"/>
      <c r="AK400" s="1378"/>
      <c r="AL400" s="1378"/>
      <c r="AM400" s="1378"/>
      <c r="AN400" s="1378"/>
      <c r="AO400" s="1378"/>
      <c r="AP400" s="1378"/>
      <c r="AQ400" s="1378"/>
      <c r="AR400" s="1378"/>
      <c r="AS400" s="1378"/>
      <c r="AT400" s="1378"/>
      <c r="AU400" s="1378"/>
      <c r="AV400" s="1378"/>
      <c r="AW400" s="1378"/>
      <c r="AX400" s="1378"/>
      <c r="AY400" s="1378"/>
      <c r="AZ400" s="1378"/>
      <c r="BA400" s="1378"/>
      <c r="BB400" s="1378"/>
      <c r="BC400" s="1378"/>
      <c r="BD400"/>
    </row>
    <row r="401" spans="2:56" ht="12" customHeight="1" x14ac:dyDescent="0.25">
      <c r="B401" s="239"/>
      <c r="C401" s="239"/>
      <c r="E401" s="1378"/>
      <c r="F401" s="1378"/>
      <c r="G401" s="1378"/>
      <c r="H401" s="1378"/>
      <c r="I401" s="1378"/>
      <c r="J401" s="1378"/>
      <c r="K401" s="1378"/>
      <c r="L401" s="1378"/>
      <c r="M401" s="1378"/>
      <c r="N401" s="1378"/>
      <c r="O401" s="1378"/>
      <c r="P401" s="1378"/>
      <c r="Q401" s="1378"/>
      <c r="R401" s="1378"/>
      <c r="S401" s="1378"/>
      <c r="T401" s="1378"/>
      <c r="U401" s="1378"/>
      <c r="V401" s="1378"/>
      <c r="W401" s="1378"/>
      <c r="X401" s="1378"/>
      <c r="Y401" s="1378"/>
      <c r="Z401" s="1378"/>
      <c r="AA401" s="1378"/>
      <c r="AB401" s="1378"/>
      <c r="AC401" s="1378"/>
      <c r="AD401" s="1378"/>
      <c r="AE401" s="1378"/>
      <c r="AF401" s="1378"/>
      <c r="AG401" s="1378"/>
      <c r="AH401" s="1378"/>
      <c r="AI401" s="1378"/>
      <c r="AJ401" s="1378"/>
      <c r="AK401" s="1378"/>
      <c r="AL401" s="1378"/>
      <c r="AM401" s="1378"/>
      <c r="AN401" s="1378"/>
      <c r="AO401" s="1378"/>
      <c r="AP401" s="1378"/>
      <c r="AQ401" s="1378"/>
      <c r="AR401" s="1378"/>
      <c r="AS401" s="1378"/>
      <c r="AT401" s="1378"/>
      <c r="AU401" s="1378"/>
      <c r="AV401" s="1378"/>
      <c r="AW401" s="1378"/>
      <c r="AX401" s="1378"/>
      <c r="AY401" s="1378"/>
      <c r="AZ401" s="1378"/>
      <c r="BA401" s="1378"/>
      <c r="BB401" s="1378"/>
      <c r="BC401" s="1378"/>
      <c r="BD401"/>
    </row>
    <row r="402" spans="2:56" ht="12" customHeight="1" x14ac:dyDescent="0.25">
      <c r="B402" s="239"/>
      <c r="C402" s="239"/>
      <c r="E402" s="1378"/>
      <c r="F402" s="1378"/>
      <c r="G402" s="1378"/>
      <c r="H402" s="1378"/>
      <c r="I402" s="1378"/>
      <c r="J402" s="1378"/>
      <c r="K402" s="1378"/>
      <c r="L402" s="1378"/>
      <c r="M402" s="1378"/>
      <c r="N402" s="1378"/>
      <c r="O402" s="1378"/>
      <c r="P402" s="1378"/>
      <c r="Q402" s="1378"/>
      <c r="R402" s="1378"/>
      <c r="S402" s="1378"/>
      <c r="T402" s="1378"/>
      <c r="U402" s="1378"/>
      <c r="V402" s="1378"/>
      <c r="W402" s="1378"/>
      <c r="X402" s="1378"/>
      <c r="Y402" s="1378"/>
      <c r="Z402" s="1378"/>
      <c r="AA402" s="1378"/>
      <c r="AB402" s="1378"/>
      <c r="AC402" s="1378"/>
      <c r="AD402" s="1378"/>
      <c r="AE402" s="1378"/>
      <c r="AF402" s="1378"/>
      <c r="AG402" s="1378"/>
      <c r="AH402" s="1378"/>
      <c r="AI402" s="1378"/>
      <c r="AJ402" s="1378"/>
      <c r="AK402" s="1378"/>
      <c r="AL402" s="1378"/>
      <c r="AM402" s="1378"/>
      <c r="AN402" s="1378"/>
      <c r="AO402" s="1378"/>
      <c r="AP402" s="1378"/>
      <c r="AQ402" s="1378"/>
      <c r="AR402" s="1378"/>
      <c r="AS402" s="1378"/>
      <c r="AT402" s="1378"/>
      <c r="AU402" s="1378"/>
      <c r="AV402" s="1378"/>
      <c r="AW402" s="1378"/>
      <c r="AX402" s="1378"/>
      <c r="AY402" s="1378"/>
      <c r="AZ402" s="1378"/>
      <c r="BA402" s="1378"/>
      <c r="BB402" s="1378"/>
      <c r="BC402" s="1378"/>
      <c r="BD402"/>
    </row>
    <row r="403" spans="2:56" ht="12" customHeight="1" x14ac:dyDescent="0.25">
      <c r="B403" s="239"/>
      <c r="C403" s="239"/>
      <c r="E403" s="1378"/>
      <c r="F403" s="1378"/>
      <c r="G403" s="1378"/>
      <c r="H403" s="1378"/>
      <c r="I403" s="1378"/>
      <c r="J403" s="1378"/>
      <c r="K403" s="1378"/>
      <c r="L403" s="1378"/>
      <c r="M403" s="1378"/>
      <c r="N403" s="1378"/>
      <c r="O403" s="1378"/>
      <c r="P403" s="1378"/>
      <c r="Q403" s="1378"/>
      <c r="R403" s="1378"/>
      <c r="S403" s="1378"/>
      <c r="T403" s="1378"/>
      <c r="U403" s="1378"/>
      <c r="V403" s="1378"/>
      <c r="W403" s="1378"/>
      <c r="X403" s="1378"/>
      <c r="Y403" s="1378"/>
      <c r="Z403" s="1378"/>
      <c r="AA403" s="1378"/>
      <c r="AB403" s="1378"/>
      <c r="AC403" s="1378"/>
      <c r="AD403" s="1378"/>
      <c r="AE403" s="1378"/>
      <c r="AF403" s="1378"/>
      <c r="AG403" s="1378"/>
      <c r="AH403" s="1378"/>
      <c r="AI403" s="1378"/>
      <c r="AJ403" s="1378"/>
      <c r="AK403" s="1378"/>
      <c r="AL403" s="1378"/>
      <c r="AM403" s="1378"/>
      <c r="AN403" s="1378"/>
      <c r="AO403" s="1378"/>
      <c r="AP403" s="1378"/>
      <c r="AQ403" s="1378"/>
      <c r="AR403" s="1378"/>
      <c r="AS403" s="1378"/>
      <c r="AT403" s="1378"/>
      <c r="AU403" s="1378"/>
      <c r="AV403" s="1378"/>
      <c r="AW403" s="1378"/>
      <c r="AX403" s="1378"/>
      <c r="AY403" s="1378"/>
      <c r="AZ403" s="1378"/>
      <c r="BA403" s="1378"/>
      <c r="BB403" s="1378"/>
      <c r="BC403" s="1378"/>
      <c r="BD403"/>
    </row>
    <row r="404" spans="2:56" ht="12" customHeight="1" x14ac:dyDescent="0.25">
      <c r="B404" s="239"/>
      <c r="C404" s="239"/>
      <c r="E404" s="1378"/>
      <c r="F404" s="1378"/>
      <c r="G404" s="1378"/>
      <c r="H404" s="1378"/>
      <c r="I404" s="1378"/>
      <c r="J404" s="1378"/>
      <c r="K404" s="1378"/>
      <c r="L404" s="1378"/>
      <c r="M404" s="1378"/>
      <c r="N404" s="1378"/>
      <c r="O404" s="1378"/>
      <c r="P404" s="1378"/>
      <c r="Q404" s="1378"/>
      <c r="R404" s="1378"/>
      <c r="S404" s="1378"/>
      <c r="T404" s="1378"/>
      <c r="U404" s="1378"/>
      <c r="V404" s="1378"/>
      <c r="W404" s="1378"/>
      <c r="X404" s="1378"/>
      <c r="Y404" s="1378"/>
      <c r="Z404" s="1378"/>
      <c r="AA404" s="1378"/>
      <c r="AB404" s="1378"/>
      <c r="AC404" s="1378"/>
      <c r="AD404" s="1378"/>
      <c r="AE404" s="1378"/>
      <c r="AF404" s="1378"/>
      <c r="AG404" s="1378"/>
      <c r="AH404" s="1378"/>
      <c r="AI404" s="1378"/>
      <c r="AJ404" s="1378"/>
      <c r="AK404" s="1378"/>
      <c r="AL404" s="1378"/>
      <c r="AM404" s="1378"/>
      <c r="AN404" s="1378"/>
      <c r="AO404" s="1378"/>
      <c r="AP404" s="1378"/>
      <c r="AQ404" s="1378"/>
      <c r="AR404" s="1378"/>
      <c r="AS404" s="1378"/>
      <c r="AT404" s="1378"/>
      <c r="AU404" s="1378"/>
      <c r="AV404" s="1378"/>
      <c r="AW404" s="1378"/>
      <c r="AX404" s="1378"/>
      <c r="AY404" s="1378"/>
      <c r="AZ404" s="1378"/>
      <c r="BA404" s="1378"/>
      <c r="BB404" s="1378"/>
      <c r="BC404" s="1378"/>
      <c r="BD404"/>
    </row>
    <row r="405" spans="2:56" ht="12" customHeight="1" x14ac:dyDescent="0.25">
      <c r="B405" s="239"/>
      <c r="C405" s="239"/>
      <c r="E405" s="1378"/>
      <c r="F405" s="1378"/>
      <c r="G405" s="1378"/>
      <c r="H405" s="1378"/>
      <c r="I405" s="1378"/>
      <c r="J405" s="1378"/>
      <c r="K405" s="1378"/>
      <c r="L405" s="1378"/>
      <c r="M405" s="1378"/>
      <c r="N405" s="1378"/>
      <c r="O405" s="1378"/>
      <c r="P405" s="1378"/>
      <c r="Q405" s="1378"/>
      <c r="R405" s="1378"/>
      <c r="S405" s="1378"/>
      <c r="T405" s="1378"/>
      <c r="U405" s="1378"/>
      <c r="V405" s="1378"/>
      <c r="W405" s="1378"/>
      <c r="X405" s="1378"/>
      <c r="Y405" s="1378"/>
      <c r="Z405" s="1378"/>
      <c r="AA405" s="1378"/>
      <c r="AB405" s="1378"/>
      <c r="AC405" s="1378"/>
      <c r="AD405" s="1378"/>
      <c r="AE405" s="1378"/>
      <c r="AF405" s="1378"/>
      <c r="AG405" s="1378"/>
      <c r="AH405" s="1378"/>
      <c r="AI405" s="1378"/>
      <c r="AJ405" s="1378"/>
      <c r="AK405" s="1378"/>
      <c r="AL405" s="1378"/>
      <c r="AM405" s="1378"/>
      <c r="AN405" s="1378"/>
      <c r="AO405" s="1378"/>
      <c r="AP405" s="1378"/>
      <c r="AQ405" s="1378"/>
      <c r="AR405" s="1378"/>
      <c r="AS405" s="1378"/>
      <c r="AT405" s="1378"/>
      <c r="AU405" s="1378"/>
      <c r="AV405" s="1378"/>
      <c r="AW405" s="1378"/>
      <c r="AX405" s="1378"/>
      <c r="AY405" s="1378"/>
      <c r="AZ405" s="1378"/>
      <c r="BA405" s="1378"/>
      <c r="BB405" s="1378"/>
      <c r="BC405" s="1378"/>
      <c r="BD405"/>
    </row>
    <row r="406" spans="2:56" ht="12" customHeight="1" x14ac:dyDescent="0.25">
      <c r="B406" s="239"/>
      <c r="C406" s="239"/>
      <c r="E406" s="1378"/>
      <c r="F406" s="1378"/>
      <c r="G406" s="1378"/>
      <c r="H406" s="1378"/>
      <c r="I406" s="1378"/>
      <c r="J406" s="1378"/>
      <c r="K406" s="1378"/>
      <c r="L406" s="1378"/>
      <c r="M406" s="1378"/>
      <c r="N406" s="1378"/>
      <c r="O406" s="1378"/>
      <c r="P406" s="1378"/>
      <c r="Q406" s="1378"/>
      <c r="R406" s="1378"/>
      <c r="S406" s="1378"/>
      <c r="T406" s="1378"/>
      <c r="U406" s="1378"/>
      <c r="V406" s="1378"/>
      <c r="W406" s="1378"/>
      <c r="X406" s="1378"/>
      <c r="Y406" s="1378"/>
      <c r="Z406" s="1378"/>
      <c r="AA406" s="1378"/>
      <c r="AB406" s="1378"/>
      <c r="AC406" s="1378"/>
      <c r="AD406" s="1378"/>
      <c r="AE406" s="1378"/>
      <c r="AF406" s="1378"/>
      <c r="AG406" s="1378"/>
      <c r="AH406" s="1378"/>
      <c r="AI406" s="1378"/>
      <c r="AJ406" s="1378"/>
      <c r="AK406" s="1378"/>
      <c r="AL406" s="1378"/>
      <c r="AM406" s="1378"/>
      <c r="AN406" s="1378"/>
      <c r="AO406" s="1378"/>
      <c r="AP406" s="1378"/>
      <c r="AQ406" s="1378"/>
      <c r="AR406" s="1378"/>
      <c r="AS406" s="1378"/>
      <c r="AT406" s="1378"/>
      <c r="AU406" s="1378"/>
      <c r="AV406" s="1378"/>
      <c r="AW406" s="1378"/>
      <c r="AX406" s="1378"/>
      <c r="AY406" s="1378"/>
      <c r="AZ406" s="1378"/>
      <c r="BA406" s="1378"/>
      <c r="BB406" s="1378"/>
      <c r="BC406" s="1378"/>
      <c r="BD406"/>
    </row>
    <row r="407" spans="2:56" ht="12" customHeight="1" x14ac:dyDescent="0.25">
      <c r="B407" s="239"/>
      <c r="C407" s="239"/>
      <c r="E407" s="1378"/>
      <c r="F407" s="1378"/>
      <c r="G407" s="1378"/>
      <c r="H407" s="1378"/>
      <c r="I407" s="1378"/>
      <c r="J407" s="1378"/>
      <c r="K407" s="1378"/>
      <c r="L407" s="1378"/>
      <c r="M407" s="1378"/>
      <c r="N407" s="1378"/>
      <c r="O407" s="1378"/>
      <c r="P407" s="1378"/>
      <c r="Q407" s="1378"/>
      <c r="R407" s="1378"/>
      <c r="S407" s="1378"/>
      <c r="T407" s="1378"/>
      <c r="U407" s="1378"/>
      <c r="V407" s="1378"/>
      <c r="W407" s="1378"/>
      <c r="X407" s="1378"/>
      <c r="Y407" s="1378"/>
      <c r="Z407" s="1378"/>
      <c r="AA407" s="1378"/>
      <c r="AB407" s="1378"/>
      <c r="AC407" s="1378"/>
      <c r="AD407" s="1378"/>
      <c r="AE407" s="1378"/>
      <c r="AF407" s="1378"/>
      <c r="AG407" s="1378"/>
      <c r="AH407" s="1378"/>
      <c r="AI407" s="1378"/>
      <c r="AJ407" s="1378"/>
      <c r="AK407" s="1378"/>
      <c r="AL407" s="1378"/>
      <c r="AM407" s="1378"/>
      <c r="AN407" s="1378"/>
      <c r="AO407" s="1378"/>
      <c r="AP407" s="1378"/>
      <c r="AQ407" s="1378"/>
      <c r="AR407" s="1378"/>
      <c r="AS407" s="1378"/>
      <c r="AT407" s="1378"/>
      <c r="AU407" s="1378"/>
      <c r="AV407" s="1378"/>
      <c r="AW407" s="1378"/>
      <c r="AX407" s="1378"/>
      <c r="AY407" s="1378"/>
      <c r="AZ407" s="1378"/>
      <c r="BA407" s="1378"/>
      <c r="BB407" s="1378"/>
      <c r="BC407" s="1378"/>
      <c r="BD407"/>
    </row>
    <row r="408" spans="2:56" ht="12" customHeight="1" x14ac:dyDescent="0.25">
      <c r="B408" s="239"/>
      <c r="C408" s="239"/>
      <c r="E408" s="1378"/>
      <c r="F408" s="1378"/>
      <c r="G408" s="1378"/>
      <c r="H408" s="1378"/>
      <c r="I408" s="1378"/>
      <c r="J408" s="1378"/>
      <c r="K408" s="1378"/>
      <c r="L408" s="1378"/>
      <c r="M408" s="1378"/>
      <c r="N408" s="1378"/>
      <c r="O408" s="1378"/>
      <c r="P408" s="1378"/>
      <c r="Q408" s="1378"/>
      <c r="R408" s="1378"/>
      <c r="S408" s="1378"/>
      <c r="T408" s="1378"/>
      <c r="U408" s="1378"/>
      <c r="V408" s="1378"/>
      <c r="W408" s="1378"/>
      <c r="X408" s="1378"/>
      <c r="Y408" s="1378"/>
      <c r="Z408" s="1378"/>
      <c r="AA408" s="1378"/>
      <c r="AB408" s="1378"/>
      <c r="AC408" s="1378"/>
      <c r="AD408" s="1378"/>
      <c r="AE408" s="1378"/>
      <c r="AF408" s="1378"/>
      <c r="AG408" s="1378"/>
      <c r="AH408" s="1378"/>
      <c r="AI408" s="1378"/>
      <c r="AJ408" s="1378"/>
      <c r="AK408" s="1378"/>
      <c r="AL408" s="1378"/>
      <c r="AM408" s="1378"/>
      <c r="AN408" s="1378"/>
      <c r="AO408" s="1378"/>
      <c r="AP408" s="1378"/>
      <c r="AQ408" s="1378"/>
      <c r="AR408" s="1378"/>
      <c r="AS408" s="1378"/>
      <c r="AT408" s="1378"/>
      <c r="AU408" s="1378"/>
      <c r="AV408" s="1378"/>
      <c r="AW408" s="1378"/>
      <c r="AX408" s="1378"/>
      <c r="AY408" s="1378"/>
      <c r="AZ408" s="1378"/>
      <c r="BA408" s="1378"/>
      <c r="BB408" s="1378"/>
      <c r="BC408" s="1378"/>
      <c r="BD408"/>
    </row>
    <row r="409" spans="2:56" ht="12" customHeight="1" x14ac:dyDescent="0.25">
      <c r="B409" s="239"/>
      <c r="C409" s="239"/>
      <c r="E409" s="1378"/>
      <c r="F409" s="1378"/>
      <c r="G409" s="1378"/>
      <c r="H409" s="1378"/>
      <c r="I409" s="1378"/>
      <c r="J409" s="1378"/>
      <c r="K409" s="1378"/>
      <c r="L409" s="1378"/>
      <c r="M409" s="1378"/>
      <c r="N409" s="1378"/>
      <c r="O409" s="1378"/>
      <c r="P409" s="1378"/>
      <c r="Q409" s="1378"/>
      <c r="R409" s="1378"/>
      <c r="S409" s="1378"/>
      <c r="T409" s="1378"/>
      <c r="U409" s="1378"/>
      <c r="V409" s="1378"/>
      <c r="W409" s="1378"/>
      <c r="X409" s="1378"/>
      <c r="Y409" s="1378"/>
      <c r="Z409" s="1378"/>
      <c r="AA409" s="1378"/>
      <c r="AB409" s="1378"/>
      <c r="AC409" s="1378"/>
      <c r="AD409" s="1378"/>
      <c r="AE409" s="1378"/>
      <c r="AF409" s="1378"/>
      <c r="AG409" s="1378"/>
      <c r="AH409" s="1378"/>
      <c r="AI409" s="1378"/>
      <c r="AJ409" s="1378"/>
      <c r="AK409" s="1378"/>
      <c r="AL409" s="1378"/>
      <c r="AM409" s="1378"/>
      <c r="AN409" s="1378"/>
      <c r="AO409" s="1378"/>
      <c r="AP409" s="1378"/>
      <c r="AQ409" s="1378"/>
      <c r="AR409" s="1378"/>
      <c r="AS409" s="1378"/>
      <c r="AT409" s="1378"/>
      <c r="AU409" s="1378"/>
      <c r="AV409" s="1378"/>
      <c r="AW409" s="1378"/>
      <c r="AX409" s="1378"/>
      <c r="AY409" s="1378"/>
      <c r="AZ409" s="1378"/>
      <c r="BA409" s="1378"/>
      <c r="BB409" s="1378"/>
      <c r="BC409" s="1378"/>
      <c r="BD409"/>
    </row>
    <row r="410" spans="2:56" ht="12" customHeight="1" x14ac:dyDescent="0.25">
      <c r="B410" s="239"/>
      <c r="C410" s="239"/>
      <c r="E410" s="1378"/>
      <c r="F410" s="1378"/>
      <c r="G410" s="1378"/>
      <c r="H410" s="1378"/>
      <c r="I410" s="1378"/>
      <c r="J410" s="1378"/>
      <c r="K410" s="1378"/>
      <c r="L410" s="1378"/>
      <c r="M410" s="1378"/>
      <c r="N410" s="1378"/>
      <c r="O410" s="1378"/>
      <c r="P410" s="1378"/>
      <c r="Q410" s="1378"/>
      <c r="R410" s="1378"/>
      <c r="S410" s="1378"/>
      <c r="T410" s="1378"/>
      <c r="U410" s="1378"/>
      <c r="V410" s="1378"/>
      <c r="W410" s="1378"/>
      <c r="X410" s="1378"/>
      <c r="Y410" s="1378"/>
      <c r="Z410" s="1378"/>
      <c r="AA410" s="1378"/>
      <c r="AB410" s="1378"/>
      <c r="AC410" s="1378"/>
      <c r="AD410" s="1378"/>
      <c r="AE410" s="1378"/>
      <c r="AF410" s="1378"/>
      <c r="AG410" s="1378"/>
      <c r="AH410" s="1378"/>
      <c r="AI410" s="1378"/>
      <c r="AJ410" s="1378"/>
      <c r="AK410" s="1378"/>
      <c r="AL410" s="1378"/>
      <c r="AM410" s="1378"/>
      <c r="AN410" s="1378"/>
      <c r="AO410" s="1378"/>
      <c r="AP410" s="1378"/>
      <c r="AQ410" s="1378"/>
      <c r="AR410" s="1378"/>
      <c r="AS410" s="1378"/>
      <c r="AT410" s="1378"/>
      <c r="AU410" s="1378"/>
      <c r="AV410" s="1378"/>
      <c r="AW410" s="1378"/>
      <c r="AX410" s="1378"/>
      <c r="AY410" s="1378"/>
      <c r="AZ410" s="1378"/>
      <c r="BA410" s="1378"/>
      <c r="BB410" s="1378"/>
      <c r="BC410" s="1378"/>
      <c r="BD410"/>
    </row>
    <row r="411" spans="2:56" ht="12" customHeight="1" x14ac:dyDescent="0.25">
      <c r="B411" s="239"/>
      <c r="C411" s="239"/>
      <c r="E411" s="1378"/>
      <c r="F411" s="1378"/>
      <c r="G411" s="1378"/>
      <c r="H411" s="1378"/>
      <c r="I411" s="1378"/>
      <c r="J411" s="1378"/>
      <c r="K411" s="1378"/>
      <c r="L411" s="1378"/>
      <c r="M411" s="1378"/>
      <c r="N411" s="1378"/>
      <c r="O411" s="1378"/>
      <c r="P411" s="1378"/>
      <c r="Q411" s="1378"/>
      <c r="R411" s="1378"/>
      <c r="S411" s="1378"/>
      <c r="T411" s="1378"/>
      <c r="U411" s="1378"/>
      <c r="V411" s="1378"/>
      <c r="W411" s="1378"/>
      <c r="X411" s="1378"/>
      <c r="Y411" s="1378"/>
      <c r="Z411" s="1378"/>
      <c r="AA411" s="1378"/>
      <c r="AB411" s="1378"/>
      <c r="AC411" s="1378"/>
      <c r="AD411" s="1378"/>
      <c r="AE411" s="1378"/>
      <c r="AF411" s="1378"/>
      <c r="AG411" s="1378"/>
      <c r="AH411" s="1378"/>
      <c r="AI411" s="1378"/>
      <c r="AJ411" s="1378"/>
      <c r="AK411" s="1378"/>
      <c r="AL411" s="1378"/>
      <c r="AM411" s="1378"/>
      <c r="AN411" s="1378"/>
      <c r="AO411" s="1378"/>
      <c r="AP411" s="1378"/>
      <c r="AQ411" s="1378"/>
      <c r="AR411" s="1378"/>
      <c r="AS411" s="1378"/>
      <c r="AT411" s="1378"/>
      <c r="AU411" s="1378"/>
      <c r="AV411" s="1378"/>
      <c r="AW411" s="1378"/>
      <c r="AX411" s="1378"/>
      <c r="AY411" s="1378"/>
      <c r="AZ411" s="1378"/>
      <c r="BA411" s="1378"/>
      <c r="BB411" s="1378"/>
      <c r="BC411" s="1378"/>
      <c r="BD411"/>
    </row>
    <row r="412" spans="2:56" ht="12" customHeight="1" x14ac:dyDescent="0.25">
      <c r="B412" s="239"/>
      <c r="C412" s="239"/>
      <c r="E412" s="1378"/>
      <c r="F412" s="1378"/>
      <c r="G412" s="1378"/>
      <c r="H412" s="1378"/>
      <c r="I412" s="1378"/>
      <c r="J412" s="1378"/>
      <c r="K412" s="1378"/>
      <c r="L412" s="1378"/>
      <c r="M412" s="1378"/>
      <c r="N412" s="1378"/>
      <c r="O412" s="1378"/>
      <c r="P412" s="1378"/>
      <c r="Q412" s="1378"/>
      <c r="R412" s="1378"/>
      <c r="S412" s="1378"/>
      <c r="T412" s="1378"/>
      <c r="U412" s="1378"/>
      <c r="V412" s="1378"/>
      <c r="W412" s="1378"/>
      <c r="X412" s="1378"/>
      <c r="Y412" s="1378"/>
      <c r="Z412" s="1378"/>
      <c r="AA412" s="1378"/>
      <c r="AB412" s="1378"/>
      <c r="AC412" s="1378"/>
      <c r="AD412" s="1378"/>
      <c r="AE412" s="1378"/>
      <c r="AF412" s="1378"/>
      <c r="AG412" s="1378"/>
      <c r="AH412" s="1378"/>
      <c r="AI412" s="1378"/>
      <c r="AJ412" s="1378"/>
      <c r="AK412" s="1378"/>
      <c r="AL412" s="1378"/>
      <c r="AM412" s="1378"/>
      <c r="AN412" s="1378"/>
      <c r="AO412" s="1378"/>
      <c r="AP412" s="1378"/>
      <c r="AQ412" s="1378"/>
      <c r="AR412" s="1378"/>
      <c r="AS412" s="1378"/>
      <c r="AT412" s="1378"/>
      <c r="AU412" s="1378"/>
      <c r="AV412" s="1378"/>
      <c r="AW412" s="1378"/>
      <c r="AX412" s="1378"/>
      <c r="AY412" s="1378"/>
      <c r="AZ412" s="1378"/>
      <c r="BA412" s="1378"/>
      <c r="BB412" s="1378"/>
      <c r="BC412" s="1378"/>
      <c r="BD412"/>
    </row>
    <row r="413" spans="2:56" ht="12" customHeight="1" x14ac:dyDescent="0.25">
      <c r="B413" s="239"/>
      <c r="C413" s="239"/>
      <c r="E413" s="1378"/>
      <c r="F413" s="1378"/>
      <c r="G413" s="1378"/>
      <c r="H413" s="1378"/>
      <c r="I413" s="1378"/>
      <c r="J413" s="1378"/>
      <c r="K413" s="1378"/>
      <c r="L413" s="1378"/>
      <c r="M413" s="1378"/>
      <c r="N413" s="1378"/>
      <c r="O413" s="1378"/>
      <c r="P413" s="1378"/>
      <c r="Q413" s="1378"/>
      <c r="R413" s="1378"/>
      <c r="S413" s="1378"/>
      <c r="T413" s="1378"/>
      <c r="U413" s="1378"/>
      <c r="V413" s="1378"/>
      <c r="W413" s="1378"/>
      <c r="X413" s="1378"/>
      <c r="Y413" s="1378"/>
      <c r="Z413" s="1378"/>
      <c r="AA413" s="1378"/>
      <c r="AB413" s="1378"/>
      <c r="AC413" s="1378"/>
      <c r="AD413" s="1378"/>
      <c r="AE413" s="1378"/>
      <c r="AF413" s="1378"/>
      <c r="AG413" s="1378"/>
      <c r="AH413" s="1378"/>
      <c r="AI413" s="1378"/>
      <c r="AJ413" s="1378"/>
      <c r="AK413" s="1378"/>
      <c r="AL413" s="1378"/>
      <c r="AM413" s="1378"/>
      <c r="AN413" s="1378"/>
      <c r="AO413" s="1378"/>
      <c r="AP413" s="1378"/>
      <c r="AQ413" s="1378"/>
      <c r="AR413" s="1378"/>
      <c r="AS413" s="1378"/>
      <c r="AT413" s="1378"/>
      <c r="AU413" s="1378"/>
      <c r="AV413" s="1378"/>
      <c r="AW413" s="1378"/>
      <c r="AX413" s="1378"/>
      <c r="AY413" s="1378"/>
      <c r="AZ413" s="1378"/>
      <c r="BA413" s="1378"/>
      <c r="BB413" s="1378"/>
      <c r="BC413" s="1378"/>
      <c r="BD413"/>
    </row>
    <row r="414" spans="2:56" ht="12" customHeight="1" x14ac:dyDescent="0.25">
      <c r="B414" s="239"/>
      <c r="C414" s="239"/>
      <c r="E414" s="1378"/>
      <c r="F414" s="1378"/>
      <c r="G414" s="1378"/>
      <c r="H414" s="1378"/>
      <c r="I414" s="1378"/>
      <c r="J414" s="1378"/>
      <c r="K414" s="1378"/>
      <c r="L414" s="1378"/>
      <c r="M414" s="1378"/>
      <c r="N414" s="1378"/>
      <c r="O414" s="1378"/>
      <c r="P414" s="1378"/>
      <c r="Q414" s="1378"/>
      <c r="R414" s="1378"/>
      <c r="S414" s="1378"/>
      <c r="T414" s="1378"/>
      <c r="U414" s="1378"/>
      <c r="V414" s="1378"/>
      <c r="W414" s="1378"/>
      <c r="X414" s="1378"/>
      <c r="Y414" s="1378"/>
      <c r="Z414" s="1378"/>
      <c r="AA414" s="1378"/>
      <c r="AB414" s="1378"/>
      <c r="AC414" s="1378"/>
      <c r="AD414" s="1378"/>
      <c r="AE414" s="1378"/>
      <c r="AF414" s="1378"/>
      <c r="AG414" s="1378"/>
      <c r="AH414" s="1378"/>
      <c r="AI414" s="1378"/>
      <c r="AJ414" s="1378"/>
      <c r="AK414" s="1378"/>
      <c r="AL414" s="1378"/>
      <c r="AM414" s="1378"/>
      <c r="AN414" s="1378"/>
      <c r="AO414" s="1378"/>
      <c r="AP414" s="1378"/>
      <c r="AQ414" s="1378"/>
      <c r="AR414" s="1378"/>
      <c r="AS414" s="1378"/>
      <c r="AT414" s="1378"/>
      <c r="AU414" s="1378"/>
      <c r="AV414" s="1378"/>
      <c r="AW414" s="1378"/>
      <c r="AX414" s="1378"/>
      <c r="AY414" s="1378"/>
      <c r="AZ414" s="1378"/>
      <c r="BA414" s="1378"/>
      <c r="BB414" s="1378"/>
      <c r="BC414" s="1378"/>
      <c r="BD414"/>
    </row>
    <row r="415" spans="2:56" ht="12" customHeight="1" x14ac:dyDescent="0.25">
      <c r="B415" s="239"/>
      <c r="C415" s="239"/>
      <c r="E415" s="1378"/>
      <c r="F415" s="1378"/>
      <c r="G415" s="1378"/>
      <c r="H415" s="1378"/>
      <c r="I415" s="1378"/>
      <c r="J415" s="1378"/>
      <c r="K415" s="1378"/>
      <c r="L415" s="1378"/>
      <c r="M415" s="1378"/>
      <c r="N415" s="1378"/>
      <c r="O415" s="1378"/>
      <c r="P415" s="1378"/>
      <c r="Q415" s="1378"/>
      <c r="R415" s="1378"/>
      <c r="S415" s="1378"/>
      <c r="T415" s="1378"/>
      <c r="U415" s="1378"/>
      <c r="V415" s="1378"/>
      <c r="W415" s="1378"/>
      <c r="X415" s="1378"/>
      <c r="Y415" s="1378"/>
      <c r="Z415" s="1378"/>
      <c r="AA415" s="1378"/>
      <c r="AB415" s="1378"/>
      <c r="AC415" s="1378"/>
      <c r="AD415" s="1378"/>
      <c r="AE415" s="1378"/>
      <c r="AF415" s="1378"/>
      <c r="AG415" s="1378"/>
      <c r="AH415" s="1378"/>
      <c r="AI415" s="1378"/>
      <c r="AJ415" s="1378"/>
      <c r="AK415" s="1378"/>
      <c r="AL415" s="1378"/>
      <c r="AM415" s="1378"/>
      <c r="AN415" s="1378"/>
      <c r="AO415" s="1378"/>
      <c r="AP415" s="1378"/>
      <c r="AQ415" s="1378"/>
      <c r="AR415" s="1378"/>
      <c r="AS415" s="1378"/>
      <c r="AT415" s="1378"/>
      <c r="AU415" s="1378"/>
      <c r="AV415" s="1378"/>
      <c r="AW415" s="1378"/>
      <c r="AX415" s="1378"/>
      <c r="AY415" s="1378"/>
      <c r="AZ415" s="1378"/>
      <c r="BA415" s="1378"/>
      <c r="BB415" s="1378"/>
      <c r="BC415" s="1378"/>
      <c r="BD415"/>
    </row>
    <row r="416" spans="2:56" ht="12" customHeight="1" x14ac:dyDescent="0.25">
      <c r="B416" s="239"/>
      <c r="C416" s="239"/>
      <c r="E416" s="1378"/>
      <c r="F416" s="1378"/>
      <c r="G416" s="1378"/>
      <c r="H416" s="1378"/>
      <c r="I416" s="1378"/>
      <c r="J416" s="1378"/>
      <c r="K416" s="1378"/>
      <c r="L416" s="1378"/>
      <c r="M416" s="1378"/>
      <c r="N416" s="1378"/>
      <c r="O416" s="1378"/>
      <c r="P416" s="1378"/>
      <c r="Q416" s="1378"/>
      <c r="R416" s="1378"/>
      <c r="S416" s="1378"/>
      <c r="T416" s="1378"/>
      <c r="U416" s="1378"/>
      <c r="V416" s="1378"/>
      <c r="W416" s="1378"/>
      <c r="X416" s="1378"/>
      <c r="Y416" s="1378"/>
      <c r="Z416" s="1378"/>
      <c r="AA416" s="1378"/>
      <c r="AB416" s="1378"/>
      <c r="AC416" s="1378"/>
      <c r="AD416" s="1378"/>
      <c r="AE416" s="1378"/>
      <c r="AF416" s="1378"/>
      <c r="AG416" s="1378"/>
      <c r="AH416" s="1378"/>
      <c r="AI416" s="1378"/>
      <c r="AJ416" s="1378"/>
      <c r="AK416" s="1378"/>
      <c r="AL416" s="1378"/>
      <c r="AM416" s="1378"/>
      <c r="AN416" s="1378"/>
      <c r="AO416" s="1378"/>
      <c r="AP416" s="1378"/>
      <c r="AQ416" s="1378"/>
      <c r="AR416" s="1378"/>
      <c r="AS416" s="1378"/>
      <c r="AT416" s="1378"/>
      <c r="AU416" s="1378"/>
      <c r="AV416" s="1378"/>
      <c r="AW416" s="1378"/>
      <c r="AX416" s="1378"/>
      <c r="AY416" s="1378"/>
      <c r="AZ416" s="1378"/>
      <c r="BA416" s="1378"/>
      <c r="BB416" s="1378"/>
      <c r="BC416" s="1378"/>
      <c r="BD416"/>
    </row>
    <row r="417" spans="2:56" ht="12" customHeight="1" x14ac:dyDescent="0.25">
      <c r="B417" s="239"/>
      <c r="C417" s="239"/>
      <c r="E417" s="1378"/>
      <c r="F417" s="1378"/>
      <c r="G417" s="1378"/>
      <c r="H417" s="1378"/>
      <c r="I417" s="1378"/>
      <c r="J417" s="1378"/>
      <c r="K417" s="1378"/>
      <c r="L417" s="1378"/>
      <c r="M417" s="1378"/>
      <c r="N417" s="1378"/>
      <c r="O417" s="1378"/>
      <c r="P417" s="1378"/>
      <c r="Q417" s="1378"/>
      <c r="R417" s="1378"/>
      <c r="S417" s="1378"/>
      <c r="T417" s="1378"/>
      <c r="U417" s="1378"/>
      <c r="V417" s="1378"/>
      <c r="W417" s="1378"/>
      <c r="X417" s="1378"/>
      <c r="Y417" s="1378"/>
      <c r="Z417" s="1378"/>
      <c r="AA417" s="1378"/>
      <c r="AB417" s="1378"/>
      <c r="AC417" s="1378"/>
      <c r="AD417" s="1378"/>
      <c r="AE417" s="1378"/>
      <c r="AF417" s="1378"/>
      <c r="AG417" s="1378"/>
      <c r="AH417" s="1378"/>
      <c r="AI417" s="1378"/>
      <c r="AJ417" s="1378"/>
      <c r="AK417" s="1378"/>
      <c r="AL417" s="1378"/>
      <c r="AM417" s="1378"/>
      <c r="AN417" s="1378"/>
      <c r="AO417" s="1378"/>
      <c r="AP417" s="1378"/>
      <c r="AQ417" s="1378"/>
      <c r="AR417" s="1378"/>
      <c r="AS417" s="1378"/>
      <c r="AT417" s="1378"/>
      <c r="AU417" s="1378"/>
      <c r="AV417" s="1378"/>
      <c r="AW417" s="1378"/>
      <c r="AX417" s="1378"/>
      <c r="AY417" s="1378"/>
      <c r="AZ417" s="1378"/>
      <c r="BA417" s="1378"/>
      <c r="BB417" s="1378"/>
      <c r="BC417" s="1378"/>
      <c r="BD417"/>
    </row>
    <row r="418" spans="2:56" ht="12" customHeight="1" x14ac:dyDescent="0.25">
      <c r="B418" s="239"/>
      <c r="C418" s="239"/>
      <c r="E418" s="1378"/>
      <c r="F418" s="1378"/>
      <c r="G418" s="1378"/>
      <c r="H418" s="1378"/>
      <c r="I418" s="1378"/>
      <c r="J418" s="1378"/>
      <c r="K418" s="1378"/>
      <c r="L418" s="1378"/>
      <c r="M418" s="1378"/>
      <c r="N418" s="1378"/>
      <c r="O418" s="1378"/>
      <c r="P418" s="1378"/>
      <c r="Q418" s="1378"/>
      <c r="R418" s="1378"/>
      <c r="S418" s="1378"/>
      <c r="T418" s="1378"/>
      <c r="U418" s="1378"/>
      <c r="V418" s="1378"/>
      <c r="W418" s="1378"/>
      <c r="X418" s="1378"/>
      <c r="Y418" s="1378"/>
      <c r="Z418" s="1378"/>
      <c r="AA418" s="1378"/>
      <c r="AB418" s="1378"/>
      <c r="AC418" s="1378"/>
      <c r="AD418" s="1378"/>
      <c r="AE418" s="1378"/>
      <c r="AF418" s="1378"/>
      <c r="AG418" s="1378"/>
      <c r="AH418" s="1378"/>
      <c r="AI418" s="1378"/>
      <c r="AJ418" s="1378"/>
      <c r="AK418" s="1378"/>
      <c r="AL418" s="1378"/>
      <c r="AM418" s="1378"/>
      <c r="AN418" s="1378"/>
      <c r="AO418" s="1378"/>
      <c r="AP418" s="1378"/>
      <c r="AQ418" s="1378"/>
      <c r="AR418" s="1378"/>
      <c r="AS418" s="1378"/>
      <c r="AT418" s="1378"/>
      <c r="AU418" s="1378"/>
      <c r="AV418" s="1378"/>
      <c r="AW418" s="1378"/>
      <c r="AX418" s="1378"/>
      <c r="AY418" s="1378"/>
      <c r="AZ418" s="1378"/>
      <c r="BA418" s="1378"/>
      <c r="BB418" s="1378"/>
      <c r="BC418" s="1378"/>
      <c r="BD418"/>
    </row>
    <row r="419" spans="2:56" ht="12" customHeight="1" x14ac:dyDescent="0.25">
      <c r="B419" s="239"/>
      <c r="C419" s="239"/>
      <c r="E419" s="1378"/>
      <c r="F419" s="1378"/>
      <c r="G419" s="1378"/>
      <c r="H419" s="1378"/>
      <c r="I419" s="1378"/>
      <c r="J419" s="1378"/>
      <c r="K419" s="1378"/>
      <c r="L419" s="1378"/>
      <c r="M419" s="1378"/>
      <c r="N419" s="1378"/>
      <c r="O419" s="1378"/>
      <c r="P419" s="1378"/>
      <c r="Q419" s="1378"/>
      <c r="R419" s="1378"/>
      <c r="S419" s="1378"/>
      <c r="T419" s="1378"/>
      <c r="U419" s="1378"/>
      <c r="V419" s="1378"/>
      <c r="W419" s="1378"/>
      <c r="X419" s="1378"/>
      <c r="Y419" s="1378"/>
      <c r="Z419" s="1378"/>
      <c r="AA419" s="1378"/>
      <c r="AB419" s="1378"/>
      <c r="AC419" s="1378"/>
      <c r="AD419" s="1378"/>
      <c r="AE419" s="1378"/>
      <c r="AF419" s="1378"/>
      <c r="AG419" s="1378"/>
      <c r="AH419" s="1378"/>
      <c r="AI419" s="1378"/>
      <c r="AJ419" s="1378"/>
      <c r="AK419" s="1378"/>
      <c r="AL419" s="1378"/>
      <c r="AM419" s="1378"/>
      <c r="AN419" s="1378"/>
      <c r="AO419" s="1378"/>
      <c r="AP419" s="1378"/>
      <c r="AQ419" s="1378"/>
      <c r="AR419" s="1378"/>
      <c r="AS419" s="1378"/>
      <c r="AT419" s="1378"/>
      <c r="AU419" s="1378"/>
      <c r="AV419" s="1378"/>
      <c r="AW419" s="1378"/>
      <c r="AX419" s="1378"/>
      <c r="AY419" s="1378"/>
      <c r="AZ419" s="1378"/>
      <c r="BA419" s="1378"/>
      <c r="BB419" s="1378"/>
      <c r="BC419" s="1378"/>
      <c r="BD419"/>
    </row>
    <row r="420" spans="2:56" ht="12" customHeight="1" x14ac:dyDescent="0.25">
      <c r="B420" s="239"/>
      <c r="C420" s="239"/>
      <c r="E420" s="1378"/>
      <c r="F420" s="1378"/>
      <c r="G420" s="1378"/>
      <c r="H420" s="1378"/>
      <c r="I420" s="1378"/>
      <c r="J420" s="1378"/>
      <c r="K420" s="1378"/>
      <c r="L420" s="1378"/>
      <c r="M420" s="1378"/>
      <c r="N420" s="1378"/>
      <c r="O420" s="1378"/>
      <c r="P420" s="1378"/>
      <c r="Q420" s="1378"/>
      <c r="R420" s="1378"/>
      <c r="S420" s="1378"/>
      <c r="T420" s="1378"/>
      <c r="U420" s="1378"/>
      <c r="V420" s="1378"/>
      <c r="W420" s="1378"/>
      <c r="X420" s="1378"/>
      <c r="Y420" s="1378"/>
      <c r="Z420" s="1378"/>
      <c r="AA420" s="1378"/>
      <c r="AB420" s="1378"/>
      <c r="AC420" s="1378"/>
      <c r="AD420" s="1378"/>
      <c r="AE420" s="1378"/>
      <c r="AF420" s="1378"/>
      <c r="AG420" s="1378"/>
      <c r="AH420" s="1378"/>
      <c r="AI420" s="1378"/>
      <c r="AJ420" s="1378"/>
      <c r="AK420" s="1378"/>
      <c r="AL420" s="1378"/>
      <c r="AM420" s="1378"/>
      <c r="AN420" s="1378"/>
      <c r="AO420" s="1378"/>
      <c r="AP420" s="1378"/>
      <c r="AQ420" s="1378"/>
      <c r="AR420" s="1378"/>
      <c r="AS420" s="1378"/>
      <c r="AT420" s="1378"/>
      <c r="AU420" s="1378"/>
      <c r="AV420" s="1378"/>
      <c r="AW420" s="1378"/>
      <c r="AX420" s="1378"/>
      <c r="AY420" s="1378"/>
      <c r="AZ420" s="1378"/>
      <c r="BA420" s="1378"/>
      <c r="BB420" s="1378"/>
      <c r="BC420" s="1378"/>
      <c r="BD420"/>
    </row>
    <row r="421" spans="2:56" ht="12" customHeight="1" x14ac:dyDescent="0.25">
      <c r="B421" s="239"/>
      <c r="C421" s="239"/>
      <c r="E421" s="1379"/>
      <c r="F421" s="1379"/>
      <c r="G421" s="1379"/>
      <c r="H421" s="1379"/>
      <c r="I421" s="1379"/>
      <c r="J421" s="1379"/>
      <c r="K421" s="1379"/>
      <c r="L421" s="1379"/>
      <c r="M421" s="1379"/>
      <c r="N421" s="1379"/>
      <c r="O421" s="1379"/>
      <c r="P421" s="1379"/>
      <c r="Q421" s="1379"/>
      <c r="R421" s="1379"/>
      <c r="S421" s="1379"/>
      <c r="T421" s="1379"/>
      <c r="U421" s="1379"/>
      <c r="V421" s="1379"/>
      <c r="W421" s="1379"/>
      <c r="X421" s="1379"/>
      <c r="Y421" s="1379"/>
      <c r="Z421" s="1379"/>
      <c r="AA421" s="1379"/>
      <c r="AB421" s="1379"/>
      <c r="AC421" s="1379"/>
      <c r="AD421" s="1379"/>
      <c r="AE421" s="1379"/>
      <c r="AF421" s="1379"/>
      <c r="AG421" s="1379"/>
      <c r="AH421" s="1379"/>
      <c r="AI421" s="1379"/>
      <c r="AJ421" s="1379"/>
      <c r="AK421" s="1379"/>
      <c r="AL421" s="1379"/>
      <c r="AM421" s="1379"/>
      <c r="AN421" s="1379"/>
      <c r="AO421" s="1379"/>
      <c r="AP421" s="1379"/>
      <c r="AQ421" s="1379"/>
      <c r="AR421" s="1379"/>
      <c r="AS421" s="1379"/>
      <c r="AT421" s="1379"/>
      <c r="AU421" s="1379"/>
      <c r="AV421" s="1379"/>
      <c r="AW421" s="1379"/>
      <c r="AX421" s="1379"/>
      <c r="AY421" s="1379"/>
      <c r="AZ421" s="1379"/>
      <c r="BA421" s="1379"/>
      <c r="BB421" s="1379"/>
      <c r="BC421" s="1379"/>
    </row>
    <row r="422" spans="2:56" ht="12" customHeight="1" x14ac:dyDescent="0.25">
      <c r="B422" s="239"/>
      <c r="C422" s="239"/>
      <c r="E422" s="1379"/>
      <c r="F422" s="1379"/>
      <c r="G422" s="1379"/>
      <c r="H422" s="1379"/>
      <c r="I422" s="1379"/>
      <c r="J422" s="1379"/>
      <c r="K422" s="1379"/>
      <c r="L422" s="1379"/>
      <c r="M422" s="1379"/>
      <c r="N422" s="1379"/>
      <c r="O422" s="1379"/>
      <c r="P422" s="1379"/>
      <c r="Q422" s="1379"/>
      <c r="R422" s="1379"/>
      <c r="S422" s="1379"/>
      <c r="T422" s="1379"/>
      <c r="U422" s="1379"/>
      <c r="V422" s="1379"/>
      <c r="W422" s="1379"/>
      <c r="X422" s="1379"/>
      <c r="Y422" s="1379"/>
      <c r="Z422" s="1379"/>
      <c r="AA422" s="1379"/>
      <c r="AB422" s="1379"/>
      <c r="AC422" s="1379"/>
      <c r="AD422" s="1379"/>
      <c r="AE422" s="1379"/>
      <c r="AF422" s="1379"/>
      <c r="AG422" s="1379"/>
      <c r="AH422" s="1379"/>
      <c r="AI422" s="1379"/>
      <c r="AJ422" s="1379"/>
      <c r="AK422" s="1379"/>
      <c r="AL422" s="1379"/>
      <c r="AM422" s="1379"/>
      <c r="AN422" s="1379"/>
      <c r="AO422" s="1379"/>
      <c r="AP422" s="1379"/>
      <c r="AQ422" s="1379"/>
      <c r="AR422" s="1379"/>
      <c r="AS422" s="1379"/>
      <c r="AT422" s="1379"/>
      <c r="AU422" s="1379"/>
      <c r="AV422" s="1379"/>
      <c r="AW422" s="1379"/>
      <c r="AX422" s="1379"/>
      <c r="AY422" s="1379"/>
      <c r="AZ422" s="1379"/>
      <c r="BA422" s="1379"/>
      <c r="BB422" s="1379"/>
      <c r="BC422" s="1379"/>
    </row>
    <row r="423" spans="2:56" ht="12" customHeight="1" x14ac:dyDescent="0.25">
      <c r="B423" s="239"/>
      <c r="C423" s="239"/>
      <c r="E423" s="1379"/>
      <c r="F423" s="1379"/>
      <c r="G423" s="1379"/>
      <c r="H423" s="1379"/>
      <c r="I423" s="1379"/>
      <c r="J423" s="1379"/>
      <c r="K423" s="1379"/>
      <c r="L423" s="1379"/>
      <c r="M423" s="1379"/>
      <c r="N423" s="1379"/>
      <c r="O423" s="1379"/>
      <c r="P423" s="1379"/>
      <c r="Q423" s="1379"/>
      <c r="R423" s="1379"/>
      <c r="S423" s="1379"/>
      <c r="T423" s="1379"/>
      <c r="U423" s="1379"/>
      <c r="V423" s="1379"/>
      <c r="W423" s="1379"/>
      <c r="X423" s="1379"/>
      <c r="Y423" s="1379"/>
      <c r="Z423" s="1379"/>
      <c r="AA423" s="1379"/>
      <c r="AB423" s="1379"/>
      <c r="AC423" s="1379"/>
      <c r="AD423" s="1379"/>
      <c r="AE423" s="1379"/>
      <c r="AF423" s="1379"/>
      <c r="AG423" s="1379"/>
      <c r="AH423" s="1379"/>
      <c r="AI423" s="1379"/>
      <c r="AJ423" s="1379"/>
      <c r="AK423" s="1379"/>
      <c r="AL423" s="1379"/>
      <c r="AM423" s="1379"/>
      <c r="AN423" s="1379"/>
      <c r="AO423" s="1379"/>
      <c r="AP423" s="1379"/>
      <c r="AQ423" s="1379"/>
      <c r="AR423" s="1379"/>
      <c r="AS423" s="1379"/>
      <c r="AT423" s="1379"/>
      <c r="AU423" s="1379"/>
      <c r="AV423" s="1379"/>
      <c r="AW423" s="1379"/>
      <c r="AX423" s="1379"/>
      <c r="AY423" s="1379"/>
      <c r="AZ423" s="1379"/>
      <c r="BA423" s="1379"/>
      <c r="BB423" s="1379"/>
      <c r="BC423" s="1379"/>
    </row>
    <row r="424" spans="2:56" ht="12" customHeight="1" x14ac:dyDescent="0.25">
      <c r="B424" s="239"/>
      <c r="C424" s="239"/>
    </row>
    <row r="425" spans="2:56" ht="12" customHeight="1" x14ac:dyDescent="0.25">
      <c r="B425" s="239"/>
      <c r="C425" s="239"/>
    </row>
    <row r="426" spans="2:56" ht="12" customHeight="1" x14ac:dyDescent="0.25">
      <c r="B426" s="239"/>
      <c r="C426" s="239"/>
    </row>
    <row r="427" spans="2:56" ht="12" customHeight="1" x14ac:dyDescent="0.25">
      <c r="B427" s="239"/>
      <c r="C427" s="239"/>
    </row>
    <row r="428" spans="2:56" ht="12" customHeight="1" x14ac:dyDescent="0.25">
      <c r="B428" s="239"/>
      <c r="C428" s="239"/>
    </row>
    <row r="429" spans="2:56" ht="12" customHeight="1" x14ac:dyDescent="0.25">
      <c r="B429" s="239"/>
      <c r="C429" s="239"/>
    </row>
    <row r="430" spans="2:56" ht="12" customHeight="1" x14ac:dyDescent="0.25">
      <c r="B430" s="239"/>
      <c r="C430" s="239"/>
    </row>
    <row r="431" spans="2:56" ht="12" customHeight="1" x14ac:dyDescent="0.25">
      <c r="B431" s="239"/>
      <c r="C431" s="239"/>
    </row>
  </sheetData>
  <sheetProtection sheet="1" objects="1" scenarios="1"/>
  <mergeCells count="2">
    <mergeCell ref="E3:BC3"/>
    <mergeCell ref="D3:D4"/>
  </mergeCells>
  <phoneticPr fontId="20" type="noConversion"/>
  <printOptions gridLines="1"/>
  <pageMargins left="0.23" right="0.25" top="0.34" bottom="0.25" header="0.35" footer="0.33"/>
  <pageSetup paperSize="9" orientation="landscape" horizont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Line="0" autoPict="0">
                <anchor moveWithCells="1" sizeWithCells="1">
                  <from>
                    <xdr:col>2</xdr:col>
                    <xdr:colOff>1323975</xdr:colOff>
                    <xdr:row>0</xdr:row>
                    <xdr:rowOff>0</xdr:rowOff>
                  </from>
                  <to>
                    <xdr:col>2</xdr:col>
                    <xdr:colOff>3419475</xdr:colOff>
                    <xdr:row>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4">
    <tabColor indexed="42"/>
  </sheetPr>
  <dimension ref="A1:XFD431"/>
  <sheetViews>
    <sheetView workbookViewId="0">
      <pane xSplit="3" ySplit="4" topLeftCell="M5" activePane="bottomRight" state="frozenSplit"/>
      <selection activeCell="I304" sqref="I304"/>
      <selection pane="topRight" activeCell="I304" sqref="I304"/>
      <selection pane="bottomLeft" activeCell="I304" sqref="I304"/>
      <selection pane="bottomRight"/>
    </sheetView>
  </sheetViews>
  <sheetFormatPr baseColWidth="10" defaultColWidth="11.42578125" defaultRowHeight="13.5" outlineLevelRow="1" outlineLevelCol="1" x14ac:dyDescent="0.25"/>
  <cols>
    <col min="1" max="1" width="4.140625" style="192" customWidth="1"/>
    <col min="2" max="2" width="7" style="192" customWidth="1"/>
    <col min="3" max="3" width="56.7109375" style="192" customWidth="1"/>
    <col min="4" max="8" width="11.42578125" style="194" hidden="1" customWidth="1" outlineLevel="1"/>
    <col min="9" max="9" width="5.42578125" style="193" customWidth="1" collapsed="1"/>
    <col min="10" max="10" width="11.140625" style="143" customWidth="1"/>
    <col min="11" max="12" width="2.140625" style="143" customWidth="1"/>
    <col min="13" max="36" width="2.140625" style="1728" customWidth="1"/>
    <col min="37" max="47" width="2.28515625" style="1728" customWidth="1"/>
    <col min="48" max="50" width="2.140625" style="1728" customWidth="1"/>
    <col min="51" max="51" width="3.140625" style="1728" customWidth="1"/>
    <col min="52" max="52" width="3.28515625" style="1728" customWidth="1"/>
    <col min="53" max="61" width="4.85546875" style="143" customWidth="1"/>
    <col min="62" max="62" width="4.7109375" style="143" customWidth="1"/>
    <col min="63" max="99" width="3.7109375" style="143" hidden="1" customWidth="1"/>
    <col min="100" max="102" width="4.28515625" style="143" hidden="1" customWidth="1"/>
    <col min="103" max="16384" width="11.42578125" style="145"/>
  </cols>
  <sheetData>
    <row r="1" spans="1:102" s="121" customFormat="1" ht="23.25" customHeight="1" x14ac:dyDescent="0.25">
      <c r="A1" s="117" t="s">
        <v>6453</v>
      </c>
      <c r="B1" s="118"/>
      <c r="C1" s="119"/>
      <c r="D1" s="120"/>
      <c r="E1" s="120"/>
      <c r="F1" s="120"/>
      <c r="G1" s="120"/>
      <c r="H1" s="120"/>
      <c r="I1" s="2164" t="s">
        <v>7617</v>
      </c>
      <c r="J1" s="2165"/>
      <c r="K1" s="2165"/>
      <c r="L1" s="2165"/>
      <c r="M1" s="2165"/>
      <c r="N1" s="2165"/>
      <c r="O1" s="2165"/>
      <c r="P1" s="2165"/>
      <c r="Q1" s="2165"/>
      <c r="R1" s="2165"/>
      <c r="S1" s="2165"/>
      <c r="T1" s="2165"/>
      <c r="U1" s="2165"/>
      <c r="V1" s="2165"/>
      <c r="W1" s="2165"/>
      <c r="X1" s="2165"/>
      <c r="Y1" s="2165"/>
      <c r="Z1" s="2165"/>
      <c r="AA1" s="2165"/>
      <c r="AB1" s="2165"/>
      <c r="AC1" s="2165"/>
      <c r="AD1" s="2165"/>
      <c r="AE1" s="2165"/>
      <c r="AF1" s="2165"/>
      <c r="AG1" s="2165"/>
      <c r="AH1" s="2165"/>
      <c r="AI1" s="2165"/>
      <c r="AJ1" s="2165"/>
      <c r="AK1" s="2165"/>
      <c r="AL1" s="2165"/>
      <c r="AM1" s="2165"/>
      <c r="AN1" s="2165"/>
      <c r="AO1" s="2165"/>
      <c r="AP1" s="2165"/>
      <c r="AQ1" s="2165"/>
      <c r="AR1" s="2165"/>
      <c r="AS1" s="2165"/>
      <c r="AT1" s="2165"/>
      <c r="AU1" s="2165"/>
      <c r="AV1" s="2165"/>
      <c r="AW1" s="2165"/>
      <c r="AX1" s="2165"/>
      <c r="AY1" s="2159"/>
      <c r="AZ1" s="1704"/>
      <c r="BA1" s="122"/>
      <c r="BB1" s="122"/>
      <c r="BC1" s="122"/>
      <c r="BD1" s="122"/>
      <c r="BE1" s="122"/>
      <c r="BF1" s="122"/>
      <c r="BG1" s="122"/>
      <c r="BH1" s="122"/>
      <c r="BI1" s="122"/>
      <c r="BJ1" s="122"/>
      <c r="BK1" s="2155" t="s">
        <v>6319</v>
      </c>
      <c r="BL1" s="2156"/>
      <c r="BM1" s="2156"/>
      <c r="BN1" s="2156"/>
      <c r="BO1" s="2156"/>
      <c r="BP1" s="2156"/>
      <c r="BQ1" s="2156"/>
      <c r="BR1" s="2156"/>
      <c r="BS1" s="2156"/>
      <c r="BT1" s="2156"/>
      <c r="BU1" s="2156"/>
      <c r="BV1" s="2156"/>
      <c r="BW1" s="2156"/>
      <c r="BX1" s="2156"/>
      <c r="BY1" s="2156"/>
      <c r="BZ1" s="2156"/>
      <c r="CA1" s="2156"/>
      <c r="CB1" s="2156"/>
      <c r="CC1" s="2156"/>
      <c r="CD1" s="2156"/>
      <c r="CE1" s="2156"/>
      <c r="CF1" s="2156"/>
      <c r="CG1" s="2156"/>
      <c r="CH1" s="2156"/>
      <c r="CI1" s="2156"/>
      <c r="CJ1" s="2156"/>
      <c r="CK1" s="2156"/>
      <c r="CL1" s="2156"/>
      <c r="CM1" s="2156"/>
      <c r="CN1" s="2156"/>
      <c r="CO1" s="2156"/>
      <c r="CP1" s="2156"/>
      <c r="CQ1" s="2156"/>
      <c r="CR1" s="2156"/>
      <c r="CS1" s="2156"/>
      <c r="CT1" s="2156"/>
      <c r="CU1" s="2156"/>
      <c r="CV1" s="2156"/>
      <c r="CW1" s="2156"/>
      <c r="CX1" s="2156"/>
    </row>
    <row r="2" spans="1:102" s="121" customFormat="1" ht="18.75" customHeight="1" x14ac:dyDescent="0.25">
      <c r="A2" s="123" t="s">
        <v>4441</v>
      </c>
      <c r="B2" s="124"/>
      <c r="C2" s="125"/>
      <c r="D2" s="126"/>
      <c r="E2" s="126"/>
      <c r="F2" s="126"/>
      <c r="G2" s="126"/>
      <c r="H2" s="126"/>
      <c r="I2" s="127"/>
      <c r="J2" s="128"/>
      <c r="K2" s="2161" t="s">
        <v>7472</v>
      </c>
      <c r="L2" s="2161"/>
      <c r="M2" s="2161"/>
      <c r="N2" s="2161"/>
      <c r="O2" s="2161"/>
      <c r="P2" s="2161"/>
      <c r="Q2" s="2161"/>
      <c r="R2" s="2161"/>
      <c r="S2" s="2161"/>
      <c r="T2" s="2161"/>
      <c r="U2" s="2161"/>
      <c r="V2" s="2161"/>
      <c r="W2" s="2161"/>
      <c r="X2" s="2161"/>
      <c r="Y2" s="2161"/>
      <c r="Z2" s="2161"/>
      <c r="AA2" s="2161"/>
      <c r="AB2" s="2161"/>
      <c r="AC2" s="2161"/>
      <c r="AD2" s="2161"/>
      <c r="AE2" s="2161"/>
      <c r="AF2" s="2161"/>
      <c r="AG2" s="2161"/>
      <c r="AH2" s="2161"/>
      <c r="AI2" s="2161"/>
      <c r="AJ2" s="2161"/>
      <c r="AK2" s="2161"/>
      <c r="AL2" s="2161"/>
      <c r="AM2" s="2161"/>
      <c r="AN2" s="2161"/>
      <c r="AO2" s="2161"/>
      <c r="AP2" s="2161"/>
      <c r="AQ2" s="2161"/>
      <c r="AR2" s="2161"/>
      <c r="AS2" s="2161"/>
      <c r="AT2" s="2161"/>
      <c r="AU2" s="2161"/>
      <c r="AV2" s="2161"/>
      <c r="AW2" s="2161"/>
      <c r="AX2" s="2161"/>
      <c r="AY2" s="2160"/>
      <c r="AZ2" s="1704"/>
      <c r="BA2" s="122"/>
      <c r="BB2" s="122"/>
      <c r="BC2" s="122"/>
      <c r="BD2" s="122"/>
      <c r="BE2" s="122"/>
      <c r="BF2" s="122"/>
      <c r="BG2" s="122"/>
      <c r="BH2" s="122"/>
      <c r="BI2" s="122"/>
      <c r="BJ2" s="122"/>
      <c r="BK2" s="2156"/>
      <c r="BL2" s="2156"/>
      <c r="BM2" s="2156"/>
      <c r="BN2" s="2156"/>
      <c r="BO2" s="2156"/>
      <c r="BP2" s="2156"/>
      <c r="BQ2" s="2156"/>
      <c r="BR2" s="2156"/>
      <c r="BS2" s="2156"/>
      <c r="BT2" s="2156"/>
      <c r="BU2" s="2156"/>
      <c r="BV2" s="2156"/>
      <c r="BW2" s="2156"/>
      <c r="BX2" s="2156"/>
      <c r="BY2" s="2156"/>
      <c r="BZ2" s="2156"/>
      <c r="CA2" s="2156"/>
      <c r="CB2" s="2156"/>
      <c r="CC2" s="2156"/>
      <c r="CD2" s="2156"/>
      <c r="CE2" s="2156"/>
      <c r="CF2" s="2156"/>
      <c r="CG2" s="2156"/>
      <c r="CH2" s="2156"/>
      <c r="CI2" s="2156"/>
      <c r="CJ2" s="2156"/>
      <c r="CK2" s="2156"/>
      <c r="CL2" s="2156"/>
      <c r="CM2" s="2156"/>
      <c r="CN2" s="2156"/>
      <c r="CO2" s="2156"/>
      <c r="CP2" s="2156"/>
      <c r="CQ2" s="2156"/>
      <c r="CR2" s="2156"/>
      <c r="CS2" s="2156"/>
      <c r="CT2" s="2156"/>
      <c r="CU2" s="2156"/>
      <c r="CV2" s="2156"/>
      <c r="CW2" s="2156"/>
      <c r="CX2" s="2156"/>
    </row>
    <row r="3" spans="1:102" s="121" customFormat="1" ht="93" customHeight="1" x14ac:dyDescent="0.25">
      <c r="A3" s="129"/>
      <c r="B3" s="123" t="s">
        <v>4442</v>
      </c>
      <c r="C3" s="125"/>
      <c r="D3" s="1142"/>
      <c r="E3" s="1142"/>
      <c r="F3" s="126"/>
      <c r="G3" s="126"/>
      <c r="H3" s="126"/>
      <c r="I3" s="2157" t="s">
        <v>7498</v>
      </c>
      <c r="J3" s="1315" t="s">
        <v>7567</v>
      </c>
      <c r="K3" s="1649" t="s">
        <v>1804</v>
      </c>
      <c r="L3" s="1645" t="s">
        <v>1805</v>
      </c>
      <c r="M3" s="1705" t="s">
        <v>1806</v>
      </c>
      <c r="N3" s="1706" t="s">
        <v>1807</v>
      </c>
      <c r="O3" s="1705" t="s">
        <v>1808</v>
      </c>
      <c r="P3" s="1705" t="s">
        <v>1809</v>
      </c>
      <c r="Q3" s="1705" t="s">
        <v>1810</v>
      </c>
      <c r="R3" s="1705" t="s">
        <v>1811</v>
      </c>
      <c r="S3" s="1705" t="s">
        <v>1812</v>
      </c>
      <c r="T3" s="1705" t="s">
        <v>1813</v>
      </c>
      <c r="U3" s="1705" t="s">
        <v>1814</v>
      </c>
      <c r="V3" s="1705" t="s">
        <v>1815</v>
      </c>
      <c r="W3" s="1705" t="s">
        <v>1816</v>
      </c>
      <c r="X3" s="1705" t="s">
        <v>1817</v>
      </c>
      <c r="Y3" s="1705" t="s">
        <v>1818</v>
      </c>
      <c r="Z3" s="1705" t="s">
        <v>1819</v>
      </c>
      <c r="AA3" s="1705" t="s">
        <v>1820</v>
      </c>
      <c r="AB3" s="1705" t="s">
        <v>1821</v>
      </c>
      <c r="AC3" s="1705" t="s">
        <v>1822</v>
      </c>
      <c r="AD3" s="1705" t="s">
        <v>1823</v>
      </c>
      <c r="AE3" s="1705" t="s">
        <v>1824</v>
      </c>
      <c r="AF3" s="1705" t="s">
        <v>1825</v>
      </c>
      <c r="AG3" s="1705" t="s">
        <v>1826</v>
      </c>
      <c r="AH3" s="1705" t="s">
        <v>1827</v>
      </c>
      <c r="AI3" s="1705" t="s">
        <v>1828</v>
      </c>
      <c r="AJ3" s="1705" t="s">
        <v>1829</v>
      </c>
      <c r="AK3" s="1705" t="s">
        <v>1830</v>
      </c>
      <c r="AL3" s="1705" t="s">
        <v>1831</v>
      </c>
      <c r="AM3" s="1705" t="s">
        <v>1832</v>
      </c>
      <c r="AN3" s="1705" t="s">
        <v>1833</v>
      </c>
      <c r="AO3" s="1705" t="s">
        <v>1834</v>
      </c>
      <c r="AP3" s="1705" t="s">
        <v>1835</v>
      </c>
      <c r="AQ3" s="1705" t="s">
        <v>1836</v>
      </c>
      <c r="AR3" s="1705" t="s">
        <v>1837</v>
      </c>
      <c r="AS3" s="1705" t="s">
        <v>1838</v>
      </c>
      <c r="AT3" s="1705" t="s">
        <v>1839</v>
      </c>
      <c r="AU3" s="1705" t="s">
        <v>1840</v>
      </c>
      <c r="AV3" s="1705" t="s">
        <v>1757</v>
      </c>
      <c r="AW3" s="1705" t="s">
        <v>1758</v>
      </c>
      <c r="AX3" s="1707" t="s">
        <v>1759</v>
      </c>
      <c r="AY3" s="2162" t="s">
        <v>7618</v>
      </c>
      <c r="AZ3" s="2162" t="s">
        <v>7619</v>
      </c>
      <c r="BA3" s="122"/>
      <c r="BB3" s="122"/>
      <c r="BC3" s="122"/>
      <c r="BD3" s="122"/>
      <c r="BE3" s="122"/>
      <c r="BF3" s="122"/>
      <c r="BG3" s="122"/>
      <c r="BH3" s="122"/>
      <c r="BI3" s="122"/>
      <c r="BJ3" s="122"/>
      <c r="BK3" s="130" t="s">
        <v>1804</v>
      </c>
      <c r="BL3" s="130" t="s">
        <v>1805</v>
      </c>
      <c r="BM3" s="130" t="s">
        <v>1806</v>
      </c>
      <c r="BN3" s="130" t="s">
        <v>1807</v>
      </c>
      <c r="BO3" s="130" t="s">
        <v>1808</v>
      </c>
      <c r="BP3" s="130" t="s">
        <v>1809</v>
      </c>
      <c r="BQ3" s="130" t="s">
        <v>1810</v>
      </c>
      <c r="BR3" s="130" t="s">
        <v>1811</v>
      </c>
      <c r="BS3" s="130" t="s">
        <v>1812</v>
      </c>
      <c r="BT3" s="130" t="s">
        <v>1813</v>
      </c>
      <c r="BU3" s="130" t="s">
        <v>1814</v>
      </c>
      <c r="BV3" s="130" t="s">
        <v>1815</v>
      </c>
      <c r="BW3" s="130" t="s">
        <v>1816</v>
      </c>
      <c r="BX3" s="130" t="s">
        <v>1817</v>
      </c>
      <c r="BY3" s="130" t="s">
        <v>1818</v>
      </c>
      <c r="BZ3" s="130" t="s">
        <v>1819</v>
      </c>
      <c r="CA3" s="130" t="s">
        <v>1820</v>
      </c>
      <c r="CB3" s="130" t="s">
        <v>1821</v>
      </c>
      <c r="CC3" s="130" t="s">
        <v>1822</v>
      </c>
      <c r="CD3" s="130" t="s">
        <v>1823</v>
      </c>
      <c r="CE3" s="130" t="s">
        <v>1824</v>
      </c>
      <c r="CF3" s="130" t="s">
        <v>1825</v>
      </c>
      <c r="CG3" s="130" t="s">
        <v>1826</v>
      </c>
      <c r="CH3" s="130" t="s">
        <v>1827</v>
      </c>
      <c r="CI3" s="130" t="s">
        <v>1828</v>
      </c>
      <c r="CJ3" s="130" t="s">
        <v>1829</v>
      </c>
      <c r="CK3" s="130" t="s">
        <v>1830</v>
      </c>
      <c r="CL3" s="130" t="s">
        <v>1831</v>
      </c>
      <c r="CM3" s="130" t="s">
        <v>1832</v>
      </c>
      <c r="CN3" s="130" t="s">
        <v>1833</v>
      </c>
      <c r="CO3" s="130" t="s">
        <v>1834</v>
      </c>
      <c r="CP3" s="130" t="s">
        <v>1835</v>
      </c>
      <c r="CQ3" s="130" t="s">
        <v>1836</v>
      </c>
      <c r="CR3" s="130" t="s">
        <v>1837</v>
      </c>
      <c r="CS3" s="130" t="s">
        <v>1838</v>
      </c>
      <c r="CT3" s="130" t="s">
        <v>1839</v>
      </c>
      <c r="CU3" s="130" t="s">
        <v>1840</v>
      </c>
      <c r="CV3" s="130" t="s">
        <v>1757</v>
      </c>
      <c r="CW3" s="130" t="s">
        <v>1758</v>
      </c>
      <c r="CX3" s="130" t="s">
        <v>1759</v>
      </c>
    </row>
    <row r="4" spans="1:102" s="121" customFormat="1" ht="36.75" customHeight="1" x14ac:dyDescent="0.2">
      <c r="A4" s="131"/>
      <c r="B4" s="132"/>
      <c r="C4" s="133" t="s">
        <v>4443</v>
      </c>
      <c r="D4" s="1641" t="s">
        <v>7562</v>
      </c>
      <c r="E4" s="1641" t="s">
        <v>7563</v>
      </c>
      <c r="F4" s="1642" t="s">
        <v>7566</v>
      </c>
      <c r="G4" s="1642" t="s">
        <v>7565</v>
      </c>
      <c r="H4" s="1642" t="s">
        <v>7564</v>
      </c>
      <c r="I4" s="2158"/>
      <c r="J4" s="1646" t="s">
        <v>6450</v>
      </c>
      <c r="K4" s="1643" t="s">
        <v>7497</v>
      </c>
      <c r="L4" s="1643" t="s">
        <v>7497</v>
      </c>
      <c r="M4" s="1643" t="s">
        <v>7497</v>
      </c>
      <c r="N4" s="1643" t="s">
        <v>7497</v>
      </c>
      <c r="O4" s="1643" t="s">
        <v>7497</v>
      </c>
      <c r="P4" s="1643" t="s">
        <v>7497</v>
      </c>
      <c r="Q4" s="1643" t="s">
        <v>7497</v>
      </c>
      <c r="R4" s="1643" t="s">
        <v>7497</v>
      </c>
      <c r="S4" s="1643" t="s">
        <v>7497</v>
      </c>
      <c r="T4" s="1643" t="s">
        <v>7497</v>
      </c>
      <c r="U4" s="1643" t="s">
        <v>7497</v>
      </c>
      <c r="V4" s="1643" t="s">
        <v>7497</v>
      </c>
      <c r="W4" s="1643" t="s">
        <v>7497</v>
      </c>
      <c r="X4" s="1644" t="s">
        <v>7497</v>
      </c>
      <c r="Y4" s="1644" t="s">
        <v>7497</v>
      </c>
      <c r="Z4" s="1644" t="s">
        <v>7497</v>
      </c>
      <c r="AA4" s="1644" t="s">
        <v>7497</v>
      </c>
      <c r="AB4" s="1644" t="s">
        <v>7497</v>
      </c>
      <c r="AC4" s="1644" t="s">
        <v>7497</v>
      </c>
      <c r="AD4" s="1644" t="s">
        <v>7497</v>
      </c>
      <c r="AE4" s="1644" t="s">
        <v>7497</v>
      </c>
      <c r="AF4" s="1644" t="s">
        <v>7497</v>
      </c>
      <c r="AG4" s="1644" t="s">
        <v>7497</v>
      </c>
      <c r="AH4" s="1644" t="s">
        <v>7497</v>
      </c>
      <c r="AI4" s="1644" t="s">
        <v>7497</v>
      </c>
      <c r="AJ4" s="1644" t="s">
        <v>7497</v>
      </c>
      <c r="AK4" s="1644" t="s">
        <v>7497</v>
      </c>
      <c r="AL4" s="1644" t="s">
        <v>7497</v>
      </c>
      <c r="AM4" s="1644" t="s">
        <v>7497</v>
      </c>
      <c r="AN4" s="1644" t="s">
        <v>7497</v>
      </c>
      <c r="AO4" s="1644" t="s">
        <v>7497</v>
      </c>
      <c r="AP4" s="1644" t="s">
        <v>7497</v>
      </c>
      <c r="AQ4" s="1644" t="s">
        <v>7497</v>
      </c>
      <c r="AR4" s="1644" t="s">
        <v>7497</v>
      </c>
      <c r="AS4" s="1644" t="s">
        <v>7497</v>
      </c>
      <c r="AT4" s="1644" t="s">
        <v>7497</v>
      </c>
      <c r="AU4" s="1644" t="s">
        <v>7497</v>
      </c>
      <c r="AV4" s="1644" t="s">
        <v>7497</v>
      </c>
      <c r="AW4" s="1644" t="s">
        <v>7497</v>
      </c>
      <c r="AX4" s="1648" t="s">
        <v>7497</v>
      </c>
      <c r="AY4" s="2163"/>
      <c r="AZ4" s="2163"/>
      <c r="BA4" s="122"/>
      <c r="BB4" s="122"/>
      <c r="BC4" s="122"/>
      <c r="BD4" s="122"/>
      <c r="BE4" s="122"/>
      <c r="BF4" s="122"/>
      <c r="BG4" s="122"/>
      <c r="BH4" s="122"/>
      <c r="BI4" s="122"/>
      <c r="BJ4" s="122"/>
      <c r="BK4" s="134"/>
      <c r="BL4" s="134"/>
      <c r="BM4" s="134"/>
      <c r="BN4" s="134"/>
      <c r="BO4" s="134"/>
      <c r="BP4" s="134"/>
      <c r="BQ4" s="134"/>
      <c r="BR4" s="134"/>
      <c r="BS4" s="134"/>
      <c r="BT4" s="134"/>
      <c r="BU4" s="134"/>
      <c r="BV4" s="134"/>
      <c r="BW4" s="134"/>
      <c r="BX4" s="135"/>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row>
    <row r="5" spans="1:102" ht="15" x14ac:dyDescent="0.2">
      <c r="A5" s="136" t="str">
        <f>Services!A5</f>
        <v>01</v>
      </c>
      <c r="B5" s="137" t="str">
        <f>Services!B5</f>
        <v>Organisation de la sécurité (01 Org)</v>
      </c>
      <c r="C5" s="138"/>
      <c r="D5" s="1143"/>
      <c r="E5" s="1144"/>
      <c r="F5" s="139"/>
      <c r="G5" s="139"/>
      <c r="H5" s="139"/>
      <c r="I5" s="140" t="str">
        <f t="shared" ref="I5:I68" si="0">IF(SUM(D5:H5)=0,"",LOG(SUM(D5:H5),2))</f>
        <v/>
      </c>
      <c r="J5" s="141" t="str">
        <f t="shared" ref="J5:J68" si="1">IF(MAX(BK5:CX5)=0,"",MAX(BK5:CX5))</f>
        <v/>
      </c>
      <c r="K5" s="142"/>
      <c r="L5" s="142"/>
      <c r="M5" s="1708"/>
      <c r="N5" s="1708"/>
      <c r="O5" s="1708"/>
      <c r="P5" s="1708"/>
      <c r="Q5" s="1708"/>
      <c r="R5" s="1708"/>
      <c r="S5" s="1708"/>
      <c r="T5" s="1708"/>
      <c r="U5" s="1708"/>
      <c r="V5" s="1708"/>
      <c r="W5" s="1708"/>
      <c r="X5" s="1709"/>
      <c r="Y5" s="1709"/>
      <c r="Z5" s="1709"/>
      <c r="AA5" s="1709"/>
      <c r="AB5" s="1709"/>
      <c r="AC5" s="1709"/>
      <c r="AD5" s="1709"/>
      <c r="AE5" s="1709"/>
      <c r="AF5" s="1709"/>
      <c r="AG5" s="1709"/>
      <c r="AH5" s="1709"/>
      <c r="AI5" s="1709"/>
      <c r="AJ5" s="1709"/>
      <c r="AK5" s="1709"/>
      <c r="AL5" s="1709"/>
      <c r="AM5" s="1709"/>
      <c r="AN5" s="1709"/>
      <c r="AO5" s="1709"/>
      <c r="AP5" s="1709"/>
      <c r="AQ5" s="1709"/>
      <c r="AR5" s="1709"/>
      <c r="AS5" s="1709"/>
      <c r="AT5" s="1709"/>
      <c r="AU5" s="1709"/>
      <c r="AV5" s="1709"/>
      <c r="AW5" s="1709"/>
      <c r="AX5" s="1710"/>
      <c r="AY5" s="1711"/>
      <c r="AZ5" s="1711"/>
      <c r="BK5" s="144"/>
      <c r="BL5" s="144"/>
      <c r="BM5" s="144"/>
      <c r="BN5" s="144"/>
      <c r="BO5" s="144"/>
      <c r="BP5" s="144"/>
      <c r="BQ5" s="144"/>
      <c r="BR5" s="144"/>
      <c r="BS5" s="144"/>
      <c r="BT5" s="144"/>
      <c r="BU5" s="144"/>
      <c r="BV5" s="144"/>
      <c r="BW5" s="144"/>
    </row>
    <row r="6" spans="1:102" s="151" customFormat="1" ht="14.25" outlineLevel="1" x14ac:dyDescent="0.2">
      <c r="A6" s="146"/>
      <c r="B6" s="147" t="str">
        <f>Services!B6</f>
        <v>01A</v>
      </c>
      <c r="C6" s="148" t="str">
        <f>Services!C6</f>
        <v>Rôles et structures de la sécurité</v>
      </c>
      <c r="D6" s="1145"/>
      <c r="E6" s="1145"/>
      <c r="F6" s="149"/>
      <c r="G6" s="149"/>
      <c r="H6" s="149"/>
      <c r="I6" s="140" t="str">
        <f t="shared" si="0"/>
        <v/>
      </c>
      <c r="J6" s="141" t="str">
        <f t="shared" si="1"/>
        <v/>
      </c>
      <c r="K6" s="142"/>
      <c r="L6" s="142"/>
      <c r="M6" s="1708"/>
      <c r="N6" s="1708"/>
      <c r="O6" s="1708"/>
      <c r="P6" s="1708"/>
      <c r="Q6" s="1708"/>
      <c r="R6" s="1708"/>
      <c r="S6" s="1708"/>
      <c r="T6" s="1708"/>
      <c r="U6" s="1708"/>
      <c r="V6" s="1708"/>
      <c r="W6" s="1708"/>
      <c r="X6" s="1712"/>
      <c r="Y6" s="1712"/>
      <c r="Z6" s="1712"/>
      <c r="AA6" s="1712"/>
      <c r="AB6" s="1712"/>
      <c r="AC6" s="1712"/>
      <c r="AD6" s="1712"/>
      <c r="AE6" s="1712"/>
      <c r="AF6" s="1712"/>
      <c r="AG6" s="1712"/>
      <c r="AH6" s="1712"/>
      <c r="AI6" s="1712"/>
      <c r="AJ6" s="1712"/>
      <c r="AK6" s="1712"/>
      <c r="AL6" s="1712"/>
      <c r="AM6" s="1712"/>
      <c r="AN6" s="1712"/>
      <c r="AO6" s="1712"/>
      <c r="AP6" s="1712"/>
      <c r="AQ6" s="1712"/>
      <c r="AR6" s="1712"/>
      <c r="AS6" s="1712"/>
      <c r="AT6" s="1712"/>
      <c r="AU6" s="1712"/>
      <c r="AV6" s="1712"/>
      <c r="AW6" s="1712"/>
      <c r="AX6" s="1713"/>
      <c r="AY6" s="1714" t="str">
        <f>IF(MAX(K6:AX6)=0,"",MAX(K6:AX6))</f>
        <v/>
      </c>
      <c r="AZ6" s="1714" t="str">
        <f>IF(Obj_PA!D6="","",IF(AY6="","",Obj_PA!D6-AY6))</f>
        <v/>
      </c>
      <c r="BA6" s="150"/>
      <c r="BB6" s="150"/>
      <c r="BC6" s="150"/>
      <c r="BD6" s="150"/>
      <c r="BE6" s="150"/>
      <c r="BF6" s="150"/>
      <c r="BG6" s="150"/>
      <c r="BH6" s="150"/>
      <c r="BI6" s="150"/>
      <c r="BJ6" s="150"/>
      <c r="BK6" s="144"/>
      <c r="BL6" s="144"/>
      <c r="BM6" s="144"/>
      <c r="BN6" s="144"/>
      <c r="BO6" s="144"/>
      <c r="BP6" s="144"/>
      <c r="BQ6" s="144"/>
      <c r="BR6" s="144"/>
      <c r="BS6" s="144"/>
      <c r="BT6" s="144"/>
      <c r="BU6" s="144"/>
      <c r="BV6" s="144"/>
      <c r="BW6" s="144"/>
      <c r="BX6" s="150"/>
      <c r="BY6" s="150"/>
      <c r="BZ6" s="150"/>
      <c r="CA6" s="150"/>
      <c r="CB6" s="150"/>
      <c r="CC6" s="150"/>
      <c r="CD6" s="150"/>
      <c r="CE6" s="150"/>
      <c r="CF6" s="150"/>
      <c r="CG6" s="150"/>
      <c r="CH6" s="150"/>
      <c r="CI6" s="150"/>
      <c r="CJ6" s="150"/>
      <c r="CK6" s="150"/>
      <c r="CL6" s="150"/>
      <c r="CM6" s="150"/>
      <c r="CN6" s="150"/>
      <c r="CO6" s="150"/>
      <c r="CP6" s="150"/>
      <c r="CQ6" s="150"/>
      <c r="CR6" s="150"/>
      <c r="CS6" s="150"/>
      <c r="CT6" s="150"/>
      <c r="CU6" s="150"/>
      <c r="CV6" s="150"/>
      <c r="CW6" s="150"/>
      <c r="CX6" s="150"/>
    </row>
    <row r="7" spans="1:102" s="151" customFormat="1" ht="14.25" outlineLevel="1" x14ac:dyDescent="0.2">
      <c r="A7" s="146"/>
      <c r="B7" s="152" t="str">
        <f>Services!B7</f>
        <v>01A01</v>
      </c>
      <c r="C7" s="153" t="str">
        <f>Services!C7</f>
        <v>Organisation et pilotage de la sécurité générale</v>
      </c>
      <c r="D7" s="1145"/>
      <c r="E7" s="1145"/>
      <c r="F7" s="149"/>
      <c r="G7" s="149"/>
      <c r="H7" s="149"/>
      <c r="I7" s="140" t="str">
        <f t="shared" si="0"/>
        <v/>
      </c>
      <c r="J7" s="141" t="str">
        <f t="shared" si="1"/>
        <v/>
      </c>
      <c r="K7" s="142"/>
      <c r="L7" s="142"/>
      <c r="M7" s="1708"/>
      <c r="N7" s="1708"/>
      <c r="O7" s="1708"/>
      <c r="P7" s="1708"/>
      <c r="Q7" s="1708"/>
      <c r="R7" s="1708"/>
      <c r="S7" s="1708"/>
      <c r="T7" s="1708"/>
      <c r="U7" s="1708"/>
      <c r="V7" s="1708"/>
      <c r="W7" s="1708"/>
      <c r="X7" s="1712"/>
      <c r="Y7" s="1712"/>
      <c r="Z7" s="1712"/>
      <c r="AA7" s="1712"/>
      <c r="AB7" s="1712"/>
      <c r="AC7" s="1712"/>
      <c r="AD7" s="1712"/>
      <c r="AE7" s="1712"/>
      <c r="AF7" s="1712"/>
      <c r="AG7" s="1712"/>
      <c r="AH7" s="1712"/>
      <c r="AI7" s="1712"/>
      <c r="AJ7" s="1712"/>
      <c r="AK7" s="1712"/>
      <c r="AL7" s="1712"/>
      <c r="AM7" s="1712"/>
      <c r="AN7" s="1712"/>
      <c r="AO7" s="1712"/>
      <c r="AP7" s="1712"/>
      <c r="AQ7" s="1712"/>
      <c r="AR7" s="1712"/>
      <c r="AS7" s="1712"/>
      <c r="AT7" s="1712"/>
      <c r="AU7" s="1712"/>
      <c r="AV7" s="1712"/>
      <c r="AW7" s="1712"/>
      <c r="AX7" s="1713"/>
      <c r="AY7" s="1714" t="str">
        <f t="shared" ref="AY7:AY70" si="2">IF(MAX(K7:AX7)=0,"",MAX(K7:AX7))</f>
        <v/>
      </c>
      <c r="AZ7" s="1714" t="str">
        <f>IF(Obj_PA!D7="","",IF(AY7="","",Obj_PA!D7-AY7))</f>
        <v/>
      </c>
      <c r="BA7" s="150"/>
      <c r="BB7" s="150"/>
      <c r="BC7" s="150"/>
      <c r="BD7" s="150"/>
      <c r="BE7" s="150"/>
      <c r="BF7" s="150"/>
      <c r="BG7" s="150"/>
      <c r="BH7" s="150"/>
      <c r="BI7" s="150"/>
      <c r="BJ7" s="150"/>
      <c r="BK7" s="155" t="str">
        <f>IF(OR(K$4&gt;$J$4,K7=""),"",K7)</f>
        <v/>
      </c>
      <c r="BL7" s="155" t="str">
        <f t="shared" ref="BL7:CX7" si="3">IF(OR(L$4&gt;$J$4,L7=""),"",L7)</f>
        <v/>
      </c>
      <c r="BM7" s="155" t="str">
        <f t="shared" si="3"/>
        <v/>
      </c>
      <c r="BN7" s="155" t="str">
        <f t="shared" si="3"/>
        <v/>
      </c>
      <c r="BO7" s="155" t="str">
        <f t="shared" si="3"/>
        <v/>
      </c>
      <c r="BP7" s="155" t="str">
        <f t="shared" si="3"/>
        <v/>
      </c>
      <c r="BQ7" s="155" t="str">
        <f t="shared" si="3"/>
        <v/>
      </c>
      <c r="BR7" s="155" t="str">
        <f t="shared" si="3"/>
        <v/>
      </c>
      <c r="BS7" s="155" t="str">
        <f t="shared" si="3"/>
        <v/>
      </c>
      <c r="BT7" s="155" t="str">
        <f t="shared" si="3"/>
        <v/>
      </c>
      <c r="BU7" s="155" t="str">
        <f t="shared" si="3"/>
        <v/>
      </c>
      <c r="BV7" s="155" t="str">
        <f t="shared" si="3"/>
        <v/>
      </c>
      <c r="BW7" s="155" t="str">
        <f t="shared" si="3"/>
        <v/>
      </c>
      <c r="BX7" s="155" t="str">
        <f t="shared" si="3"/>
        <v/>
      </c>
      <c r="BY7" s="155" t="str">
        <f t="shared" si="3"/>
        <v/>
      </c>
      <c r="BZ7" s="155" t="str">
        <f t="shared" si="3"/>
        <v/>
      </c>
      <c r="CA7" s="155" t="str">
        <f t="shared" si="3"/>
        <v/>
      </c>
      <c r="CB7" s="155" t="str">
        <f t="shared" si="3"/>
        <v/>
      </c>
      <c r="CC7" s="155" t="str">
        <f t="shared" si="3"/>
        <v/>
      </c>
      <c r="CD7" s="155" t="str">
        <f t="shared" si="3"/>
        <v/>
      </c>
      <c r="CE7" s="155" t="str">
        <f t="shared" si="3"/>
        <v/>
      </c>
      <c r="CF7" s="155" t="str">
        <f t="shared" si="3"/>
        <v/>
      </c>
      <c r="CG7" s="155" t="str">
        <f t="shared" si="3"/>
        <v/>
      </c>
      <c r="CH7" s="155" t="str">
        <f t="shared" si="3"/>
        <v/>
      </c>
      <c r="CI7" s="155" t="str">
        <f t="shared" si="3"/>
        <v/>
      </c>
      <c r="CJ7" s="155" t="str">
        <f t="shared" si="3"/>
        <v/>
      </c>
      <c r="CK7" s="155" t="str">
        <f t="shared" si="3"/>
        <v/>
      </c>
      <c r="CL7" s="155" t="str">
        <f t="shared" si="3"/>
        <v/>
      </c>
      <c r="CM7" s="155" t="str">
        <f t="shared" si="3"/>
        <v/>
      </c>
      <c r="CN7" s="155" t="str">
        <f t="shared" si="3"/>
        <v/>
      </c>
      <c r="CO7" s="155" t="str">
        <f t="shared" si="3"/>
        <v/>
      </c>
      <c r="CP7" s="155" t="str">
        <f t="shared" si="3"/>
        <v/>
      </c>
      <c r="CQ7" s="155" t="str">
        <f t="shared" si="3"/>
        <v/>
      </c>
      <c r="CR7" s="155" t="str">
        <f t="shared" si="3"/>
        <v/>
      </c>
      <c r="CS7" s="155" t="str">
        <f t="shared" si="3"/>
        <v/>
      </c>
      <c r="CT7" s="155" t="str">
        <f t="shared" si="3"/>
        <v/>
      </c>
      <c r="CU7" s="155" t="str">
        <f t="shared" si="3"/>
        <v/>
      </c>
      <c r="CV7" s="155" t="str">
        <f t="shared" si="3"/>
        <v/>
      </c>
      <c r="CW7" s="155" t="str">
        <f t="shared" si="3"/>
        <v/>
      </c>
      <c r="CX7" s="155" t="str">
        <f t="shared" si="3"/>
        <v/>
      </c>
    </row>
    <row r="8" spans="1:102" s="151" customFormat="1" ht="14.25" outlineLevel="1" x14ac:dyDescent="0.2">
      <c r="A8" s="146"/>
      <c r="B8" s="152" t="str">
        <f>Services!B8</f>
        <v>01A02</v>
      </c>
      <c r="C8" s="153" t="str">
        <f>Services!C8</f>
        <v>Organisation et pilotage de la sécurité des systèmes d'information</v>
      </c>
      <c r="D8" s="1145"/>
      <c r="E8" s="1145"/>
      <c r="F8" s="149"/>
      <c r="G8" s="149"/>
      <c r="H8" s="149"/>
      <c r="I8" s="140" t="str">
        <f t="shared" si="0"/>
        <v/>
      </c>
      <c r="J8" s="141" t="str">
        <f t="shared" si="1"/>
        <v/>
      </c>
      <c r="K8" s="142"/>
      <c r="L8" s="142"/>
      <c r="M8" s="1708"/>
      <c r="N8" s="1708"/>
      <c r="O8" s="1708"/>
      <c r="P8" s="1708"/>
      <c r="Q8" s="1708"/>
      <c r="R8" s="1708"/>
      <c r="S8" s="1708"/>
      <c r="T8" s="1708"/>
      <c r="U8" s="1708"/>
      <c r="V8" s="1708"/>
      <c r="W8" s="1708"/>
      <c r="X8" s="1712"/>
      <c r="Y8" s="1712"/>
      <c r="Z8" s="1712"/>
      <c r="AA8" s="1712"/>
      <c r="AB8" s="1712"/>
      <c r="AC8" s="1712"/>
      <c r="AD8" s="1712"/>
      <c r="AE8" s="1712"/>
      <c r="AF8" s="1712"/>
      <c r="AG8" s="1712"/>
      <c r="AH8" s="1712"/>
      <c r="AI8" s="1712"/>
      <c r="AJ8" s="1712"/>
      <c r="AK8" s="1712"/>
      <c r="AL8" s="1712"/>
      <c r="AM8" s="1712"/>
      <c r="AN8" s="1712"/>
      <c r="AO8" s="1712"/>
      <c r="AP8" s="1712"/>
      <c r="AQ8" s="1712"/>
      <c r="AR8" s="1712"/>
      <c r="AS8" s="1712"/>
      <c r="AT8" s="1712"/>
      <c r="AU8" s="1712"/>
      <c r="AV8" s="1712"/>
      <c r="AW8" s="1712"/>
      <c r="AX8" s="1713"/>
      <c r="AY8" s="1714" t="str">
        <f t="shared" si="2"/>
        <v/>
      </c>
      <c r="AZ8" s="1714" t="str">
        <f>IF(Obj_PA!D8="","",IF(AY8="","",Obj_PA!D8-AY8))</f>
        <v/>
      </c>
      <c r="BA8" s="150"/>
      <c r="BB8" s="150"/>
      <c r="BC8" s="150"/>
      <c r="BD8" s="150"/>
      <c r="BE8" s="150"/>
      <c r="BF8" s="150"/>
      <c r="BG8" s="150"/>
      <c r="BH8" s="150"/>
      <c r="BI8" s="150"/>
      <c r="BJ8" s="150"/>
      <c r="BK8" s="155" t="str">
        <f t="shared" ref="BK8:BK71" si="4">IF(OR(K$4&gt;$J$4,K8=""),"",K8)</f>
        <v/>
      </c>
      <c r="BL8" s="155" t="str">
        <f t="shared" ref="BL8:BL71" si="5">IF(OR(L$4&gt;$J$4,L8=""),"",L8)</f>
        <v/>
      </c>
      <c r="BM8" s="155" t="str">
        <f t="shared" ref="BM8:BM71" si="6">IF(OR(M$4&gt;$J$4,M8=""),"",M8)</f>
        <v/>
      </c>
      <c r="BN8" s="155" t="str">
        <f t="shared" ref="BN8:BN71" si="7">IF(OR(N$4&gt;$J$4,N8=""),"",N8)</f>
        <v/>
      </c>
      <c r="BO8" s="155" t="str">
        <f t="shared" ref="BO8:BO71" si="8">IF(OR(O$4&gt;$J$4,O8=""),"",O8)</f>
        <v/>
      </c>
      <c r="BP8" s="155" t="str">
        <f t="shared" ref="BP8:BP71" si="9">IF(OR(P$4&gt;$J$4,P8=""),"",P8)</f>
        <v/>
      </c>
      <c r="BQ8" s="155" t="str">
        <f t="shared" ref="BQ8:BQ71" si="10">IF(OR(Q$4&gt;$J$4,Q8=""),"",Q8)</f>
        <v/>
      </c>
      <c r="BR8" s="155" t="str">
        <f t="shared" ref="BR8:BR71" si="11">IF(OR(R$4&gt;$J$4,R8=""),"",R8)</f>
        <v/>
      </c>
      <c r="BS8" s="155" t="str">
        <f t="shared" ref="BS8:BS71" si="12">IF(OR(S$4&gt;$J$4,S8=""),"",S8)</f>
        <v/>
      </c>
      <c r="BT8" s="155" t="str">
        <f t="shared" ref="BT8:BT71" si="13">IF(OR(T$4&gt;$J$4,T8=""),"",T8)</f>
        <v/>
      </c>
      <c r="BU8" s="155" t="str">
        <f t="shared" ref="BU8:BU71" si="14">IF(OR(U$4&gt;$J$4,U8=""),"",U8)</f>
        <v/>
      </c>
      <c r="BV8" s="155" t="str">
        <f t="shared" ref="BV8:BV71" si="15">IF(OR(V$4&gt;$J$4,V8=""),"",V8)</f>
        <v/>
      </c>
      <c r="BW8" s="155" t="str">
        <f t="shared" ref="BW8:BW71" si="16">IF(OR(W$4&gt;$J$4,W8=""),"",W8)</f>
        <v/>
      </c>
      <c r="BX8" s="155" t="str">
        <f t="shared" ref="BX8:BX71" si="17">IF(OR(X$4&gt;$J$4,X8=""),"",X8)</f>
        <v/>
      </c>
      <c r="BY8" s="155" t="str">
        <f t="shared" ref="BY8:BY71" si="18">IF(OR(Y$4&gt;$J$4,Y8=""),"",Y8)</f>
        <v/>
      </c>
      <c r="BZ8" s="155" t="str">
        <f t="shared" ref="BZ8:BZ71" si="19">IF(OR(Z$4&gt;$J$4,Z8=""),"",Z8)</f>
        <v/>
      </c>
      <c r="CA8" s="155" t="str">
        <f t="shared" ref="CA8:CA71" si="20">IF(OR(AA$4&gt;$J$4,AA8=""),"",AA8)</f>
        <v/>
      </c>
      <c r="CB8" s="155" t="str">
        <f t="shared" ref="CB8:CB71" si="21">IF(OR(AB$4&gt;$J$4,AB8=""),"",AB8)</f>
        <v/>
      </c>
      <c r="CC8" s="155" t="str">
        <f t="shared" ref="CC8:CC71" si="22">IF(OR(AC$4&gt;$J$4,AC8=""),"",AC8)</f>
        <v/>
      </c>
      <c r="CD8" s="155" t="str">
        <f t="shared" ref="CD8:CD71" si="23">IF(OR(AD$4&gt;$J$4,AD8=""),"",AD8)</f>
        <v/>
      </c>
      <c r="CE8" s="155" t="str">
        <f t="shared" ref="CE8:CE71" si="24">IF(OR(AE$4&gt;$J$4,AE8=""),"",AE8)</f>
        <v/>
      </c>
      <c r="CF8" s="155" t="str">
        <f t="shared" ref="CF8:CF71" si="25">IF(OR(AF$4&gt;$J$4,AF8=""),"",AF8)</f>
        <v/>
      </c>
      <c r="CG8" s="155" t="str">
        <f t="shared" ref="CG8:CG71" si="26">IF(OR(AG$4&gt;$J$4,AG8=""),"",AG8)</f>
        <v/>
      </c>
      <c r="CH8" s="155" t="str">
        <f t="shared" ref="CH8:CH71" si="27">IF(OR(AH$4&gt;$J$4,AH8=""),"",AH8)</f>
        <v/>
      </c>
      <c r="CI8" s="155" t="str">
        <f t="shared" ref="CI8:CI71" si="28">IF(OR(AI$4&gt;$J$4,AI8=""),"",AI8)</f>
        <v/>
      </c>
      <c r="CJ8" s="155" t="str">
        <f t="shared" ref="CJ8:CJ71" si="29">IF(OR(AJ$4&gt;$J$4,AJ8=""),"",AJ8)</f>
        <v/>
      </c>
      <c r="CK8" s="155" t="str">
        <f t="shared" ref="CK8:CK71" si="30">IF(OR(AK$4&gt;$J$4,AK8=""),"",AK8)</f>
        <v/>
      </c>
      <c r="CL8" s="155" t="str">
        <f t="shared" ref="CL8:CL71" si="31">IF(OR(AL$4&gt;$J$4,AL8=""),"",AL8)</f>
        <v/>
      </c>
      <c r="CM8" s="155" t="str">
        <f t="shared" ref="CM8:CM71" si="32">IF(OR(AM$4&gt;$J$4,AM8=""),"",AM8)</f>
        <v/>
      </c>
      <c r="CN8" s="155" t="str">
        <f t="shared" ref="CN8:CN71" si="33">IF(OR(AN$4&gt;$J$4,AN8=""),"",AN8)</f>
        <v/>
      </c>
      <c r="CO8" s="155" t="str">
        <f t="shared" ref="CO8:CO71" si="34">IF(OR(AO$4&gt;$J$4,AO8=""),"",AO8)</f>
        <v/>
      </c>
      <c r="CP8" s="155" t="str">
        <f t="shared" ref="CP8:CP71" si="35">IF(OR(AP$4&gt;$J$4,AP8=""),"",AP8)</f>
        <v/>
      </c>
      <c r="CQ8" s="155" t="str">
        <f t="shared" ref="CQ8:CQ71" si="36">IF(OR(AQ$4&gt;$J$4,AQ8=""),"",AQ8)</f>
        <v/>
      </c>
      <c r="CR8" s="155" t="str">
        <f t="shared" ref="CR8:CR71" si="37">IF(OR(AR$4&gt;$J$4,AR8=""),"",AR8)</f>
        <v/>
      </c>
      <c r="CS8" s="155" t="str">
        <f t="shared" ref="CS8:CS71" si="38">IF(OR(AS$4&gt;$J$4,AS8=""),"",AS8)</f>
        <v/>
      </c>
      <c r="CT8" s="155" t="str">
        <f t="shared" ref="CT8:CT71" si="39">IF(OR(AT$4&gt;$J$4,AT8=""),"",AT8)</f>
        <v/>
      </c>
      <c r="CU8" s="155" t="str">
        <f t="shared" ref="CU8:CU71" si="40">IF(OR(AU$4&gt;$J$4,AU8=""),"",AU8)</f>
        <v/>
      </c>
      <c r="CV8" s="155" t="str">
        <f t="shared" ref="CV8:CV71" si="41">IF(OR(AV$4&gt;$J$4,AV8=""),"",AV8)</f>
        <v/>
      </c>
      <c r="CW8" s="155" t="str">
        <f t="shared" ref="CW8:CW71" si="42">IF(OR(AW$4&gt;$J$4,AW8=""),"",AW8)</f>
        <v/>
      </c>
      <c r="CX8" s="155" t="str">
        <f t="shared" ref="CX8:CX71" si="43">IF(OR(AX$4&gt;$J$4,AX8=""),"",AX8)</f>
        <v/>
      </c>
    </row>
    <row r="9" spans="1:102" s="151" customFormat="1" ht="14.25" outlineLevel="1" x14ac:dyDescent="0.2">
      <c r="A9" s="146"/>
      <c r="B9" s="152" t="str">
        <f>Services!B9</f>
        <v>01A03</v>
      </c>
      <c r="C9" s="153" t="str">
        <f>Services!C9</f>
        <v>Système général de déclaration et de gestion des incidents</v>
      </c>
      <c r="D9" s="1145"/>
      <c r="E9" s="1145"/>
      <c r="F9" s="149"/>
      <c r="G9" s="149"/>
      <c r="H9" s="149"/>
      <c r="I9" s="140" t="str">
        <f t="shared" si="0"/>
        <v/>
      </c>
      <c r="J9" s="141" t="str">
        <f t="shared" si="1"/>
        <v/>
      </c>
      <c r="K9" s="142"/>
      <c r="L9" s="142"/>
      <c r="M9" s="1708"/>
      <c r="N9" s="1708"/>
      <c r="O9" s="1708"/>
      <c r="P9" s="1708"/>
      <c r="Q9" s="1708"/>
      <c r="R9" s="1708"/>
      <c r="S9" s="1708"/>
      <c r="T9" s="1708"/>
      <c r="U9" s="1708"/>
      <c r="V9" s="1708"/>
      <c r="W9" s="1708"/>
      <c r="X9" s="1712"/>
      <c r="Y9" s="1712"/>
      <c r="Z9" s="1712"/>
      <c r="AA9" s="1712"/>
      <c r="AB9" s="1712"/>
      <c r="AC9" s="1712"/>
      <c r="AD9" s="1712"/>
      <c r="AE9" s="1712"/>
      <c r="AF9" s="1712"/>
      <c r="AG9" s="1712"/>
      <c r="AH9" s="1712"/>
      <c r="AI9" s="1712"/>
      <c r="AJ9" s="1712"/>
      <c r="AK9" s="1712"/>
      <c r="AL9" s="1712"/>
      <c r="AM9" s="1712"/>
      <c r="AN9" s="1712"/>
      <c r="AO9" s="1712"/>
      <c r="AP9" s="1712"/>
      <c r="AQ9" s="1712"/>
      <c r="AR9" s="1712"/>
      <c r="AS9" s="1712"/>
      <c r="AT9" s="1712"/>
      <c r="AU9" s="1712"/>
      <c r="AV9" s="1712"/>
      <c r="AW9" s="1712"/>
      <c r="AX9" s="1713"/>
      <c r="AY9" s="1714" t="str">
        <f t="shared" si="2"/>
        <v/>
      </c>
      <c r="AZ9" s="1714" t="str">
        <f>IF(Obj_PA!D9="","",IF(AY9="","",Obj_PA!D9-AY9))</f>
        <v/>
      </c>
      <c r="BA9" s="150"/>
      <c r="BB9" s="150"/>
      <c r="BC9" s="150"/>
      <c r="BD9" s="150"/>
      <c r="BE9" s="150"/>
      <c r="BF9" s="150"/>
      <c r="BG9" s="150"/>
      <c r="BH9" s="150"/>
      <c r="BI9" s="150"/>
      <c r="BJ9" s="150"/>
      <c r="BK9" s="155" t="str">
        <f t="shared" si="4"/>
        <v/>
      </c>
      <c r="BL9" s="155" t="str">
        <f t="shared" si="5"/>
        <v/>
      </c>
      <c r="BM9" s="155" t="str">
        <f t="shared" si="6"/>
        <v/>
      </c>
      <c r="BN9" s="155" t="str">
        <f t="shared" si="7"/>
        <v/>
      </c>
      <c r="BO9" s="155" t="str">
        <f t="shared" si="8"/>
        <v/>
      </c>
      <c r="BP9" s="155" t="str">
        <f t="shared" si="9"/>
        <v/>
      </c>
      <c r="BQ9" s="155" t="str">
        <f t="shared" si="10"/>
        <v/>
      </c>
      <c r="BR9" s="155" t="str">
        <f t="shared" si="11"/>
        <v/>
      </c>
      <c r="BS9" s="155" t="str">
        <f t="shared" si="12"/>
        <v/>
      </c>
      <c r="BT9" s="155" t="str">
        <f t="shared" si="13"/>
        <v/>
      </c>
      <c r="BU9" s="155" t="str">
        <f t="shared" si="14"/>
        <v/>
      </c>
      <c r="BV9" s="155" t="str">
        <f t="shared" si="15"/>
        <v/>
      </c>
      <c r="BW9" s="155" t="str">
        <f t="shared" si="16"/>
        <v/>
      </c>
      <c r="BX9" s="155" t="str">
        <f t="shared" si="17"/>
        <v/>
      </c>
      <c r="BY9" s="155" t="str">
        <f t="shared" si="18"/>
        <v/>
      </c>
      <c r="BZ9" s="155" t="str">
        <f t="shared" si="19"/>
        <v/>
      </c>
      <c r="CA9" s="155" t="str">
        <f t="shared" si="20"/>
        <v/>
      </c>
      <c r="CB9" s="155" t="str">
        <f t="shared" si="21"/>
        <v/>
      </c>
      <c r="CC9" s="155" t="str">
        <f t="shared" si="22"/>
        <v/>
      </c>
      <c r="CD9" s="155" t="str">
        <f t="shared" si="23"/>
        <v/>
      </c>
      <c r="CE9" s="155" t="str">
        <f t="shared" si="24"/>
        <v/>
      </c>
      <c r="CF9" s="155" t="str">
        <f t="shared" si="25"/>
        <v/>
      </c>
      <c r="CG9" s="155" t="str">
        <f t="shared" si="26"/>
        <v/>
      </c>
      <c r="CH9" s="155" t="str">
        <f t="shared" si="27"/>
        <v/>
      </c>
      <c r="CI9" s="155" t="str">
        <f t="shared" si="28"/>
        <v/>
      </c>
      <c r="CJ9" s="155" t="str">
        <f t="shared" si="29"/>
        <v/>
      </c>
      <c r="CK9" s="155" t="str">
        <f t="shared" si="30"/>
        <v/>
      </c>
      <c r="CL9" s="155" t="str">
        <f t="shared" si="31"/>
        <v/>
      </c>
      <c r="CM9" s="155" t="str">
        <f t="shared" si="32"/>
        <v/>
      </c>
      <c r="CN9" s="155" t="str">
        <f t="shared" si="33"/>
        <v/>
      </c>
      <c r="CO9" s="155" t="str">
        <f t="shared" si="34"/>
        <v/>
      </c>
      <c r="CP9" s="155" t="str">
        <f t="shared" si="35"/>
        <v/>
      </c>
      <c r="CQ9" s="155" t="str">
        <f t="shared" si="36"/>
        <v/>
      </c>
      <c r="CR9" s="155" t="str">
        <f t="shared" si="37"/>
        <v/>
      </c>
      <c r="CS9" s="155" t="str">
        <f t="shared" si="38"/>
        <v/>
      </c>
      <c r="CT9" s="155" t="str">
        <f t="shared" si="39"/>
        <v/>
      </c>
      <c r="CU9" s="155" t="str">
        <f t="shared" si="40"/>
        <v/>
      </c>
      <c r="CV9" s="155" t="str">
        <f t="shared" si="41"/>
        <v/>
      </c>
      <c r="CW9" s="155" t="str">
        <f t="shared" si="42"/>
        <v/>
      </c>
      <c r="CX9" s="155" t="str">
        <f t="shared" si="43"/>
        <v/>
      </c>
    </row>
    <row r="10" spans="1:102" s="151" customFormat="1" ht="14.25" outlineLevel="1" x14ac:dyDescent="0.2">
      <c r="A10" s="156"/>
      <c r="B10" s="152" t="str">
        <f>Services!B10</f>
        <v>01A04</v>
      </c>
      <c r="C10" s="153" t="str">
        <f>Services!C10</f>
        <v>Organisation des audits et du programme d'audit</v>
      </c>
      <c r="D10" s="1145"/>
      <c r="E10" s="1145"/>
      <c r="F10" s="149"/>
      <c r="G10" s="149"/>
      <c r="H10" s="149"/>
      <c r="I10" s="140" t="str">
        <f t="shared" si="0"/>
        <v/>
      </c>
      <c r="J10" s="141" t="str">
        <f t="shared" si="1"/>
        <v/>
      </c>
      <c r="K10" s="142"/>
      <c r="L10" s="142"/>
      <c r="M10" s="1708"/>
      <c r="N10" s="1708"/>
      <c r="O10" s="1708"/>
      <c r="P10" s="1708"/>
      <c r="Q10" s="1708"/>
      <c r="R10" s="1708"/>
      <c r="S10" s="1708"/>
      <c r="T10" s="1708"/>
      <c r="U10" s="1708"/>
      <c r="V10" s="1708"/>
      <c r="W10" s="1708"/>
      <c r="X10" s="1712"/>
      <c r="Y10" s="1712"/>
      <c r="Z10" s="1712"/>
      <c r="AA10" s="1712"/>
      <c r="AB10" s="1712"/>
      <c r="AC10" s="1712"/>
      <c r="AD10" s="1712"/>
      <c r="AE10" s="1712"/>
      <c r="AF10" s="1712"/>
      <c r="AG10" s="1712"/>
      <c r="AH10" s="1712"/>
      <c r="AI10" s="1712"/>
      <c r="AJ10" s="1712"/>
      <c r="AK10" s="1712"/>
      <c r="AL10" s="1712"/>
      <c r="AM10" s="1712"/>
      <c r="AN10" s="1712"/>
      <c r="AO10" s="1712"/>
      <c r="AP10" s="1712"/>
      <c r="AQ10" s="1712"/>
      <c r="AR10" s="1712"/>
      <c r="AS10" s="1712"/>
      <c r="AT10" s="1712"/>
      <c r="AU10" s="1712"/>
      <c r="AV10" s="1712"/>
      <c r="AW10" s="1712"/>
      <c r="AX10" s="1713"/>
      <c r="AY10" s="1714" t="str">
        <f t="shared" si="2"/>
        <v/>
      </c>
      <c r="AZ10" s="1714" t="str">
        <f>IF(Obj_PA!D10="","",IF(AY10="","",Obj_PA!D10-AY10))</f>
        <v/>
      </c>
      <c r="BA10" s="150"/>
      <c r="BB10" s="150"/>
      <c r="BC10" s="150"/>
      <c r="BD10" s="150"/>
      <c r="BE10" s="150"/>
      <c r="BF10" s="150"/>
      <c r="BG10" s="150"/>
      <c r="BH10" s="150"/>
      <c r="BI10" s="150"/>
      <c r="BJ10" s="150"/>
      <c r="BK10" s="155" t="str">
        <f t="shared" si="4"/>
        <v/>
      </c>
      <c r="BL10" s="155" t="str">
        <f t="shared" si="5"/>
        <v/>
      </c>
      <c r="BM10" s="155" t="str">
        <f t="shared" si="6"/>
        <v/>
      </c>
      <c r="BN10" s="155" t="str">
        <f t="shared" si="7"/>
        <v/>
      </c>
      <c r="BO10" s="155" t="str">
        <f t="shared" si="8"/>
        <v/>
      </c>
      <c r="BP10" s="155" t="str">
        <f t="shared" si="9"/>
        <v/>
      </c>
      <c r="BQ10" s="155" t="str">
        <f t="shared" si="10"/>
        <v/>
      </c>
      <c r="BR10" s="155" t="str">
        <f t="shared" si="11"/>
        <v/>
      </c>
      <c r="BS10" s="155" t="str">
        <f t="shared" si="12"/>
        <v/>
      </c>
      <c r="BT10" s="155" t="str">
        <f t="shared" si="13"/>
        <v/>
      </c>
      <c r="BU10" s="155" t="str">
        <f t="shared" si="14"/>
        <v/>
      </c>
      <c r="BV10" s="155" t="str">
        <f t="shared" si="15"/>
        <v/>
      </c>
      <c r="BW10" s="155" t="str">
        <f t="shared" si="16"/>
        <v/>
      </c>
      <c r="BX10" s="155" t="str">
        <f t="shared" si="17"/>
        <v/>
      </c>
      <c r="BY10" s="155" t="str">
        <f t="shared" si="18"/>
        <v/>
      </c>
      <c r="BZ10" s="155" t="str">
        <f t="shared" si="19"/>
        <v/>
      </c>
      <c r="CA10" s="155" t="str">
        <f t="shared" si="20"/>
        <v/>
      </c>
      <c r="CB10" s="155" t="str">
        <f t="shared" si="21"/>
        <v/>
      </c>
      <c r="CC10" s="155" t="str">
        <f t="shared" si="22"/>
        <v/>
      </c>
      <c r="CD10" s="155" t="str">
        <f t="shared" si="23"/>
        <v/>
      </c>
      <c r="CE10" s="155" t="str">
        <f t="shared" si="24"/>
        <v/>
      </c>
      <c r="CF10" s="155" t="str">
        <f t="shared" si="25"/>
        <v/>
      </c>
      <c r="CG10" s="155" t="str">
        <f t="shared" si="26"/>
        <v/>
      </c>
      <c r="CH10" s="155" t="str">
        <f t="shared" si="27"/>
        <v/>
      </c>
      <c r="CI10" s="155" t="str">
        <f t="shared" si="28"/>
        <v/>
      </c>
      <c r="CJ10" s="155" t="str">
        <f t="shared" si="29"/>
        <v/>
      </c>
      <c r="CK10" s="155" t="str">
        <f t="shared" si="30"/>
        <v/>
      </c>
      <c r="CL10" s="155" t="str">
        <f t="shared" si="31"/>
        <v/>
      </c>
      <c r="CM10" s="155" t="str">
        <f t="shared" si="32"/>
        <v/>
      </c>
      <c r="CN10" s="155" t="str">
        <f t="shared" si="33"/>
        <v/>
      </c>
      <c r="CO10" s="155" t="str">
        <f t="shared" si="34"/>
        <v/>
      </c>
      <c r="CP10" s="155" t="str">
        <f t="shared" si="35"/>
        <v/>
      </c>
      <c r="CQ10" s="155" t="str">
        <f t="shared" si="36"/>
        <v/>
      </c>
      <c r="CR10" s="155" t="str">
        <f t="shared" si="37"/>
        <v/>
      </c>
      <c r="CS10" s="155" t="str">
        <f t="shared" si="38"/>
        <v/>
      </c>
      <c r="CT10" s="155" t="str">
        <f t="shared" si="39"/>
        <v/>
      </c>
      <c r="CU10" s="155" t="str">
        <f t="shared" si="40"/>
        <v/>
      </c>
      <c r="CV10" s="155" t="str">
        <f t="shared" si="41"/>
        <v/>
      </c>
      <c r="CW10" s="155" t="str">
        <f t="shared" si="42"/>
        <v/>
      </c>
      <c r="CX10" s="155" t="str">
        <f t="shared" si="43"/>
        <v/>
      </c>
    </row>
    <row r="11" spans="1:102" s="151" customFormat="1" ht="14.25" outlineLevel="1" x14ac:dyDescent="0.2">
      <c r="A11" s="156"/>
      <c r="B11" s="152" t="str">
        <f>Services!B11</f>
        <v>01A05</v>
      </c>
      <c r="C11" s="153" t="str">
        <f>Services!C11</f>
        <v>Gestion de crise liée à la sécurité de l'information</v>
      </c>
      <c r="D11" s="1145"/>
      <c r="E11" s="1145"/>
      <c r="F11" s="149"/>
      <c r="G11" s="149"/>
      <c r="H11" s="149"/>
      <c r="I11" s="140" t="str">
        <f t="shared" si="0"/>
        <v/>
      </c>
      <c r="J11" s="141" t="str">
        <f t="shared" si="1"/>
        <v/>
      </c>
      <c r="K11" s="142"/>
      <c r="L11" s="142"/>
      <c r="M11" s="1708"/>
      <c r="N11" s="1708"/>
      <c r="O11" s="1708"/>
      <c r="P11" s="1708"/>
      <c r="Q11" s="1708"/>
      <c r="R11" s="1708"/>
      <c r="S11" s="1708"/>
      <c r="T11" s="1708"/>
      <c r="U11" s="1708"/>
      <c r="V11" s="1708"/>
      <c r="W11" s="1708"/>
      <c r="X11" s="1712"/>
      <c r="Y11" s="1712"/>
      <c r="Z11" s="1712"/>
      <c r="AA11" s="1712"/>
      <c r="AB11" s="1712"/>
      <c r="AC11" s="1712"/>
      <c r="AD11" s="1712"/>
      <c r="AE11" s="1712"/>
      <c r="AF11" s="1712"/>
      <c r="AG11" s="1712"/>
      <c r="AH11" s="1712"/>
      <c r="AI11" s="1712"/>
      <c r="AJ11" s="1712"/>
      <c r="AK11" s="1712"/>
      <c r="AL11" s="1712"/>
      <c r="AM11" s="1712"/>
      <c r="AN11" s="1712"/>
      <c r="AO11" s="1712"/>
      <c r="AP11" s="1712"/>
      <c r="AQ11" s="1712"/>
      <c r="AR11" s="1712"/>
      <c r="AS11" s="1712"/>
      <c r="AT11" s="1712"/>
      <c r="AU11" s="1712"/>
      <c r="AV11" s="1712"/>
      <c r="AW11" s="1712"/>
      <c r="AX11" s="1713"/>
      <c r="AY11" s="1714" t="str">
        <f t="shared" si="2"/>
        <v/>
      </c>
      <c r="AZ11" s="1714" t="str">
        <f>IF(Obj_PA!D11="","",IF(AY11="","",Obj_PA!D11-AY11))</f>
        <v/>
      </c>
      <c r="BA11" s="150"/>
      <c r="BB11" s="150"/>
      <c r="BC11" s="150"/>
      <c r="BD11" s="150"/>
      <c r="BE11" s="150"/>
      <c r="BF11" s="150"/>
      <c r="BG11" s="150"/>
      <c r="BH11" s="150"/>
      <c r="BI11" s="150"/>
      <c r="BJ11" s="150"/>
      <c r="BK11" s="155" t="str">
        <f t="shared" si="4"/>
        <v/>
      </c>
      <c r="BL11" s="155" t="str">
        <f t="shared" si="5"/>
        <v/>
      </c>
      <c r="BM11" s="155" t="str">
        <f t="shared" si="6"/>
        <v/>
      </c>
      <c r="BN11" s="155" t="str">
        <f t="shared" si="7"/>
        <v/>
      </c>
      <c r="BO11" s="155" t="str">
        <f t="shared" si="8"/>
        <v/>
      </c>
      <c r="BP11" s="155" t="str">
        <f t="shared" si="9"/>
        <v/>
      </c>
      <c r="BQ11" s="155" t="str">
        <f t="shared" si="10"/>
        <v/>
      </c>
      <c r="BR11" s="155" t="str">
        <f t="shared" si="11"/>
        <v/>
      </c>
      <c r="BS11" s="155" t="str">
        <f t="shared" si="12"/>
        <v/>
      </c>
      <c r="BT11" s="155" t="str">
        <f t="shared" si="13"/>
        <v/>
      </c>
      <c r="BU11" s="155" t="str">
        <f t="shared" si="14"/>
        <v/>
      </c>
      <c r="BV11" s="155" t="str">
        <f t="shared" si="15"/>
        <v/>
      </c>
      <c r="BW11" s="155" t="str">
        <f t="shared" si="16"/>
        <v/>
      </c>
      <c r="BX11" s="155" t="str">
        <f t="shared" si="17"/>
        <v/>
      </c>
      <c r="BY11" s="155" t="str">
        <f t="shared" si="18"/>
        <v/>
      </c>
      <c r="BZ11" s="155" t="str">
        <f t="shared" si="19"/>
        <v/>
      </c>
      <c r="CA11" s="155" t="str">
        <f t="shared" si="20"/>
        <v/>
      </c>
      <c r="CB11" s="155" t="str">
        <f t="shared" si="21"/>
        <v/>
      </c>
      <c r="CC11" s="155" t="str">
        <f t="shared" si="22"/>
        <v/>
      </c>
      <c r="CD11" s="155" t="str">
        <f t="shared" si="23"/>
        <v/>
      </c>
      <c r="CE11" s="155" t="str">
        <f t="shared" si="24"/>
        <v/>
      </c>
      <c r="CF11" s="155" t="str">
        <f t="shared" si="25"/>
        <v/>
      </c>
      <c r="CG11" s="155" t="str">
        <f t="shared" si="26"/>
        <v/>
      </c>
      <c r="CH11" s="155" t="str">
        <f t="shared" si="27"/>
        <v/>
      </c>
      <c r="CI11" s="155" t="str">
        <f t="shared" si="28"/>
        <v/>
      </c>
      <c r="CJ11" s="155" t="str">
        <f t="shared" si="29"/>
        <v/>
      </c>
      <c r="CK11" s="155" t="str">
        <f t="shared" si="30"/>
        <v/>
      </c>
      <c r="CL11" s="155" t="str">
        <f t="shared" si="31"/>
        <v/>
      </c>
      <c r="CM11" s="155" t="str">
        <f t="shared" si="32"/>
        <v/>
      </c>
      <c r="CN11" s="155" t="str">
        <f t="shared" si="33"/>
        <v/>
      </c>
      <c r="CO11" s="155" t="str">
        <f t="shared" si="34"/>
        <v/>
      </c>
      <c r="CP11" s="155" t="str">
        <f t="shared" si="35"/>
        <v/>
      </c>
      <c r="CQ11" s="155" t="str">
        <f t="shared" si="36"/>
        <v/>
      </c>
      <c r="CR11" s="155" t="str">
        <f t="shared" si="37"/>
        <v/>
      </c>
      <c r="CS11" s="155" t="str">
        <f t="shared" si="38"/>
        <v/>
      </c>
      <c r="CT11" s="155" t="str">
        <f t="shared" si="39"/>
        <v/>
      </c>
      <c r="CU11" s="155" t="str">
        <f t="shared" si="40"/>
        <v/>
      </c>
      <c r="CV11" s="155" t="str">
        <f t="shared" si="41"/>
        <v/>
      </c>
      <c r="CW11" s="155" t="str">
        <f t="shared" si="42"/>
        <v/>
      </c>
      <c r="CX11" s="155" t="str">
        <f t="shared" si="43"/>
        <v/>
      </c>
    </row>
    <row r="12" spans="1:102" s="151" customFormat="1" ht="14.25" outlineLevel="1" x14ac:dyDescent="0.2">
      <c r="A12" s="146"/>
      <c r="B12" s="147" t="str">
        <f>Services!B12</f>
        <v>01B</v>
      </c>
      <c r="C12" s="148" t="str">
        <f>Services!C12</f>
        <v>Référentiel de sécurité</v>
      </c>
      <c r="D12" s="1145"/>
      <c r="E12" s="1145"/>
      <c r="F12" s="149"/>
      <c r="G12" s="149"/>
      <c r="H12" s="149"/>
      <c r="I12" s="140" t="str">
        <f t="shared" si="0"/>
        <v/>
      </c>
      <c r="J12" s="141" t="str">
        <f t="shared" si="1"/>
        <v/>
      </c>
      <c r="K12" s="142"/>
      <c r="L12" s="142"/>
      <c r="M12" s="1708"/>
      <c r="N12" s="1708"/>
      <c r="O12" s="1708"/>
      <c r="P12" s="1708"/>
      <c r="Q12" s="1708"/>
      <c r="R12" s="1708"/>
      <c r="S12" s="1708"/>
      <c r="T12" s="1708"/>
      <c r="U12" s="1708"/>
      <c r="V12" s="1708"/>
      <c r="W12" s="1708"/>
      <c r="X12" s="1712"/>
      <c r="Y12" s="1712"/>
      <c r="Z12" s="1712"/>
      <c r="AA12" s="1712"/>
      <c r="AB12" s="1712"/>
      <c r="AC12" s="1712"/>
      <c r="AD12" s="1712"/>
      <c r="AE12" s="1712"/>
      <c r="AF12" s="1712"/>
      <c r="AG12" s="1712"/>
      <c r="AH12" s="1712"/>
      <c r="AI12" s="1712"/>
      <c r="AJ12" s="1712"/>
      <c r="AK12" s="1712"/>
      <c r="AL12" s="1712"/>
      <c r="AM12" s="1712"/>
      <c r="AN12" s="1712"/>
      <c r="AO12" s="1712"/>
      <c r="AP12" s="1712"/>
      <c r="AQ12" s="1712"/>
      <c r="AR12" s="1712"/>
      <c r="AS12" s="1712"/>
      <c r="AT12" s="1712"/>
      <c r="AU12" s="1712"/>
      <c r="AV12" s="1712"/>
      <c r="AW12" s="1712"/>
      <c r="AX12" s="1713"/>
      <c r="AY12" s="1714" t="str">
        <f t="shared" si="2"/>
        <v/>
      </c>
      <c r="AZ12" s="1714" t="str">
        <f>IF(Obj_PA!D12="","",IF(AY12="","",Obj_PA!D12-AY12))</f>
        <v/>
      </c>
      <c r="BA12" s="150"/>
      <c r="BB12" s="150"/>
      <c r="BC12" s="150"/>
      <c r="BD12" s="150"/>
      <c r="BE12" s="150"/>
      <c r="BF12" s="150"/>
      <c r="BG12" s="150"/>
      <c r="BH12" s="150"/>
      <c r="BI12" s="150"/>
      <c r="BJ12" s="150"/>
      <c r="BK12" s="155" t="str">
        <f t="shared" si="4"/>
        <v/>
      </c>
      <c r="BL12" s="155" t="str">
        <f t="shared" si="5"/>
        <v/>
      </c>
      <c r="BM12" s="155" t="str">
        <f t="shared" si="6"/>
        <v/>
      </c>
      <c r="BN12" s="155" t="str">
        <f t="shared" si="7"/>
        <v/>
      </c>
      <c r="BO12" s="155" t="str">
        <f t="shared" si="8"/>
        <v/>
      </c>
      <c r="BP12" s="155" t="str">
        <f t="shared" si="9"/>
        <v/>
      </c>
      <c r="BQ12" s="155" t="str">
        <f t="shared" si="10"/>
        <v/>
      </c>
      <c r="BR12" s="155" t="str">
        <f t="shared" si="11"/>
        <v/>
      </c>
      <c r="BS12" s="155" t="str">
        <f t="shared" si="12"/>
        <v/>
      </c>
      <c r="BT12" s="155" t="str">
        <f t="shared" si="13"/>
        <v/>
      </c>
      <c r="BU12" s="155" t="str">
        <f t="shared" si="14"/>
        <v/>
      </c>
      <c r="BV12" s="155" t="str">
        <f t="shared" si="15"/>
        <v/>
      </c>
      <c r="BW12" s="155" t="str">
        <f t="shared" si="16"/>
        <v/>
      </c>
      <c r="BX12" s="155" t="str">
        <f t="shared" si="17"/>
        <v/>
      </c>
      <c r="BY12" s="155" t="str">
        <f t="shared" si="18"/>
        <v/>
      </c>
      <c r="BZ12" s="155" t="str">
        <f t="shared" si="19"/>
        <v/>
      </c>
      <c r="CA12" s="155" t="str">
        <f t="shared" si="20"/>
        <v/>
      </c>
      <c r="CB12" s="155" t="str">
        <f t="shared" si="21"/>
        <v/>
      </c>
      <c r="CC12" s="155" t="str">
        <f t="shared" si="22"/>
        <v/>
      </c>
      <c r="CD12" s="155" t="str">
        <f t="shared" si="23"/>
        <v/>
      </c>
      <c r="CE12" s="155" t="str">
        <f t="shared" si="24"/>
        <v/>
      </c>
      <c r="CF12" s="155" t="str">
        <f t="shared" si="25"/>
        <v/>
      </c>
      <c r="CG12" s="155" t="str">
        <f t="shared" si="26"/>
        <v/>
      </c>
      <c r="CH12" s="155" t="str">
        <f t="shared" si="27"/>
        <v/>
      </c>
      <c r="CI12" s="155" t="str">
        <f t="shared" si="28"/>
        <v/>
      </c>
      <c r="CJ12" s="155" t="str">
        <f t="shared" si="29"/>
        <v/>
      </c>
      <c r="CK12" s="155" t="str">
        <f t="shared" si="30"/>
        <v/>
      </c>
      <c r="CL12" s="155" t="str">
        <f t="shared" si="31"/>
        <v/>
      </c>
      <c r="CM12" s="155" t="str">
        <f t="shared" si="32"/>
        <v/>
      </c>
      <c r="CN12" s="155" t="str">
        <f t="shared" si="33"/>
        <v/>
      </c>
      <c r="CO12" s="155" t="str">
        <f t="shared" si="34"/>
        <v/>
      </c>
      <c r="CP12" s="155" t="str">
        <f t="shared" si="35"/>
        <v/>
      </c>
      <c r="CQ12" s="155" t="str">
        <f t="shared" si="36"/>
        <v/>
      </c>
      <c r="CR12" s="155" t="str">
        <f t="shared" si="37"/>
        <v/>
      </c>
      <c r="CS12" s="155" t="str">
        <f t="shared" si="38"/>
        <v/>
      </c>
      <c r="CT12" s="155" t="str">
        <f t="shared" si="39"/>
        <v/>
      </c>
      <c r="CU12" s="155" t="str">
        <f t="shared" si="40"/>
        <v/>
      </c>
      <c r="CV12" s="155" t="str">
        <f t="shared" si="41"/>
        <v/>
      </c>
      <c r="CW12" s="155" t="str">
        <f t="shared" si="42"/>
        <v/>
      </c>
      <c r="CX12" s="155" t="str">
        <f t="shared" si="43"/>
        <v/>
      </c>
    </row>
    <row r="13" spans="1:102" s="151" customFormat="1" ht="14.25" outlineLevel="1" x14ac:dyDescent="0.2">
      <c r="A13" s="146"/>
      <c r="B13" s="157" t="str">
        <f>Services!B13</f>
        <v>01B01</v>
      </c>
      <c r="C13" s="153" t="str">
        <f>Services!C13</f>
        <v>Devoirs et responsabilités du personnel et du management</v>
      </c>
      <c r="D13" s="1145"/>
      <c r="E13" s="1145"/>
      <c r="F13" s="149"/>
      <c r="G13" s="149"/>
      <c r="H13" s="149"/>
      <c r="I13" s="140" t="str">
        <f t="shared" si="0"/>
        <v/>
      </c>
      <c r="J13" s="141" t="str">
        <f t="shared" si="1"/>
        <v/>
      </c>
      <c r="K13" s="142"/>
      <c r="L13" s="142"/>
      <c r="M13" s="1708"/>
      <c r="N13" s="1708"/>
      <c r="O13" s="1708"/>
      <c r="P13" s="1708"/>
      <c r="Q13" s="1708"/>
      <c r="R13" s="1708"/>
      <c r="S13" s="1708"/>
      <c r="T13" s="1708"/>
      <c r="U13" s="1708"/>
      <c r="V13" s="1708"/>
      <c r="W13" s="1708"/>
      <c r="X13" s="1712"/>
      <c r="Y13" s="1712"/>
      <c r="Z13" s="1712"/>
      <c r="AA13" s="1712"/>
      <c r="AB13" s="1712"/>
      <c r="AC13" s="1712"/>
      <c r="AD13" s="1712"/>
      <c r="AE13" s="1712"/>
      <c r="AF13" s="1712"/>
      <c r="AG13" s="1712"/>
      <c r="AH13" s="1712"/>
      <c r="AI13" s="1712"/>
      <c r="AJ13" s="1712"/>
      <c r="AK13" s="1712"/>
      <c r="AL13" s="1712"/>
      <c r="AM13" s="1712"/>
      <c r="AN13" s="1712"/>
      <c r="AO13" s="1712"/>
      <c r="AP13" s="1712"/>
      <c r="AQ13" s="1712"/>
      <c r="AR13" s="1712"/>
      <c r="AS13" s="1712"/>
      <c r="AT13" s="1712"/>
      <c r="AU13" s="1712"/>
      <c r="AV13" s="1712"/>
      <c r="AW13" s="1712"/>
      <c r="AX13" s="1713"/>
      <c r="AY13" s="1714" t="str">
        <f t="shared" si="2"/>
        <v/>
      </c>
      <c r="AZ13" s="1714" t="str">
        <f>IF(Obj_PA!D13="","",IF(AY13="","",Obj_PA!D13-AY13))</f>
        <v/>
      </c>
      <c r="BA13" s="150"/>
      <c r="BB13" s="150"/>
      <c r="BC13" s="150"/>
      <c r="BD13" s="150"/>
      <c r="BE13" s="150"/>
      <c r="BF13" s="150"/>
      <c r="BG13" s="150"/>
      <c r="BH13" s="150"/>
      <c r="BI13" s="150"/>
      <c r="BJ13" s="150"/>
      <c r="BK13" s="155" t="str">
        <f t="shared" si="4"/>
        <v/>
      </c>
      <c r="BL13" s="155" t="str">
        <f t="shared" si="5"/>
        <v/>
      </c>
      <c r="BM13" s="155" t="str">
        <f t="shared" si="6"/>
        <v/>
      </c>
      <c r="BN13" s="155" t="str">
        <f t="shared" si="7"/>
        <v/>
      </c>
      <c r="BO13" s="155" t="str">
        <f t="shared" si="8"/>
        <v/>
      </c>
      <c r="BP13" s="155" t="str">
        <f t="shared" si="9"/>
        <v/>
      </c>
      <c r="BQ13" s="155" t="str">
        <f t="shared" si="10"/>
        <v/>
      </c>
      <c r="BR13" s="155" t="str">
        <f t="shared" si="11"/>
        <v/>
      </c>
      <c r="BS13" s="155" t="str">
        <f t="shared" si="12"/>
        <v/>
      </c>
      <c r="BT13" s="155" t="str">
        <f t="shared" si="13"/>
        <v/>
      </c>
      <c r="BU13" s="155" t="str">
        <f t="shared" si="14"/>
        <v/>
      </c>
      <c r="BV13" s="155" t="str">
        <f t="shared" si="15"/>
        <v/>
      </c>
      <c r="BW13" s="155" t="str">
        <f t="shared" si="16"/>
        <v/>
      </c>
      <c r="BX13" s="155" t="str">
        <f t="shared" si="17"/>
        <v/>
      </c>
      <c r="BY13" s="155" t="str">
        <f t="shared" si="18"/>
        <v/>
      </c>
      <c r="BZ13" s="155" t="str">
        <f t="shared" si="19"/>
        <v/>
      </c>
      <c r="CA13" s="155" t="str">
        <f t="shared" si="20"/>
        <v/>
      </c>
      <c r="CB13" s="155" t="str">
        <f t="shared" si="21"/>
        <v/>
      </c>
      <c r="CC13" s="155" t="str">
        <f t="shared" si="22"/>
        <v/>
      </c>
      <c r="CD13" s="155" t="str">
        <f t="shared" si="23"/>
        <v/>
      </c>
      <c r="CE13" s="155" t="str">
        <f t="shared" si="24"/>
        <v/>
      </c>
      <c r="CF13" s="155" t="str">
        <f t="shared" si="25"/>
        <v/>
      </c>
      <c r="CG13" s="155" t="str">
        <f t="shared" si="26"/>
        <v/>
      </c>
      <c r="CH13" s="155" t="str">
        <f t="shared" si="27"/>
        <v/>
      </c>
      <c r="CI13" s="155" t="str">
        <f t="shared" si="28"/>
        <v/>
      </c>
      <c r="CJ13" s="155" t="str">
        <f t="shared" si="29"/>
        <v/>
      </c>
      <c r="CK13" s="155" t="str">
        <f t="shared" si="30"/>
        <v/>
      </c>
      <c r="CL13" s="155" t="str">
        <f t="shared" si="31"/>
        <v/>
      </c>
      <c r="CM13" s="155" t="str">
        <f t="shared" si="32"/>
        <v/>
      </c>
      <c r="CN13" s="155" t="str">
        <f t="shared" si="33"/>
        <v/>
      </c>
      <c r="CO13" s="155" t="str">
        <f t="shared" si="34"/>
        <v/>
      </c>
      <c r="CP13" s="155" t="str">
        <f t="shared" si="35"/>
        <v/>
      </c>
      <c r="CQ13" s="155" t="str">
        <f t="shared" si="36"/>
        <v/>
      </c>
      <c r="CR13" s="155" t="str">
        <f t="shared" si="37"/>
        <v/>
      </c>
      <c r="CS13" s="155" t="str">
        <f t="shared" si="38"/>
        <v/>
      </c>
      <c r="CT13" s="155" t="str">
        <f t="shared" si="39"/>
        <v/>
      </c>
      <c r="CU13" s="155" t="str">
        <f t="shared" si="40"/>
        <v/>
      </c>
      <c r="CV13" s="155" t="str">
        <f t="shared" si="41"/>
        <v/>
      </c>
      <c r="CW13" s="155" t="str">
        <f t="shared" si="42"/>
        <v/>
      </c>
      <c r="CX13" s="155" t="str">
        <f t="shared" si="43"/>
        <v/>
      </c>
    </row>
    <row r="14" spans="1:102" s="151" customFormat="1" ht="14.25" outlineLevel="1" x14ac:dyDescent="0.2">
      <c r="A14" s="146"/>
      <c r="B14" s="157" t="str">
        <f>Services!B14</f>
        <v>01B02</v>
      </c>
      <c r="C14" s="153" t="str">
        <f>Services!C14</f>
        <v>Directives générales relatives à la protection de l'information</v>
      </c>
      <c r="D14" s="1145"/>
      <c r="E14" s="1145"/>
      <c r="F14" s="149"/>
      <c r="G14" s="149"/>
      <c r="H14" s="149"/>
      <c r="I14" s="140" t="str">
        <f t="shared" si="0"/>
        <v/>
      </c>
      <c r="J14" s="141" t="str">
        <f t="shared" si="1"/>
        <v/>
      </c>
      <c r="K14" s="142"/>
      <c r="L14" s="142"/>
      <c r="M14" s="1708"/>
      <c r="N14" s="1708"/>
      <c r="O14" s="1708"/>
      <c r="P14" s="1708"/>
      <c r="Q14" s="1708"/>
      <c r="R14" s="1708"/>
      <c r="S14" s="1708"/>
      <c r="T14" s="1708"/>
      <c r="U14" s="1708"/>
      <c r="V14" s="1708"/>
      <c r="W14" s="1708"/>
      <c r="X14" s="1712"/>
      <c r="Y14" s="1712"/>
      <c r="Z14" s="1712"/>
      <c r="AA14" s="1712"/>
      <c r="AB14" s="1712"/>
      <c r="AC14" s="1712"/>
      <c r="AD14" s="1712"/>
      <c r="AE14" s="1712"/>
      <c r="AF14" s="1712"/>
      <c r="AG14" s="1712"/>
      <c r="AH14" s="1712"/>
      <c r="AI14" s="1712"/>
      <c r="AJ14" s="1712"/>
      <c r="AK14" s="1712"/>
      <c r="AL14" s="1712"/>
      <c r="AM14" s="1712"/>
      <c r="AN14" s="1712"/>
      <c r="AO14" s="1712"/>
      <c r="AP14" s="1712"/>
      <c r="AQ14" s="1712"/>
      <c r="AR14" s="1712"/>
      <c r="AS14" s="1712"/>
      <c r="AT14" s="1712"/>
      <c r="AU14" s="1712"/>
      <c r="AV14" s="1712"/>
      <c r="AW14" s="1712"/>
      <c r="AX14" s="1713"/>
      <c r="AY14" s="1714" t="str">
        <f t="shared" si="2"/>
        <v/>
      </c>
      <c r="AZ14" s="1714" t="str">
        <f>IF(Obj_PA!D14="","",IF(AY14="","",Obj_PA!D14-AY14))</f>
        <v/>
      </c>
      <c r="BA14" s="150"/>
      <c r="BB14" s="150"/>
      <c r="BC14" s="150"/>
      <c r="BD14" s="150"/>
      <c r="BE14" s="150"/>
      <c r="BF14" s="150"/>
      <c r="BG14" s="150"/>
      <c r="BH14" s="150"/>
      <c r="BI14" s="150"/>
      <c r="BJ14" s="150"/>
      <c r="BK14" s="155" t="str">
        <f t="shared" si="4"/>
        <v/>
      </c>
      <c r="BL14" s="155" t="str">
        <f t="shared" si="5"/>
        <v/>
      </c>
      <c r="BM14" s="155" t="str">
        <f t="shared" si="6"/>
        <v/>
      </c>
      <c r="BN14" s="155" t="str">
        <f t="shared" si="7"/>
        <v/>
      </c>
      <c r="BO14" s="155" t="str">
        <f t="shared" si="8"/>
        <v/>
      </c>
      <c r="BP14" s="155" t="str">
        <f t="shared" si="9"/>
        <v/>
      </c>
      <c r="BQ14" s="155" t="str">
        <f t="shared" si="10"/>
        <v/>
      </c>
      <c r="BR14" s="155" t="str">
        <f t="shared" si="11"/>
        <v/>
      </c>
      <c r="BS14" s="155" t="str">
        <f t="shared" si="12"/>
        <v/>
      </c>
      <c r="BT14" s="155" t="str">
        <f t="shared" si="13"/>
        <v/>
      </c>
      <c r="BU14" s="155" t="str">
        <f t="shared" si="14"/>
        <v/>
      </c>
      <c r="BV14" s="155" t="str">
        <f t="shared" si="15"/>
        <v/>
      </c>
      <c r="BW14" s="155" t="str">
        <f t="shared" si="16"/>
        <v/>
      </c>
      <c r="BX14" s="155" t="str">
        <f t="shared" si="17"/>
        <v/>
      </c>
      <c r="BY14" s="155" t="str">
        <f t="shared" si="18"/>
        <v/>
      </c>
      <c r="BZ14" s="155" t="str">
        <f t="shared" si="19"/>
        <v/>
      </c>
      <c r="CA14" s="155" t="str">
        <f t="shared" si="20"/>
        <v/>
      </c>
      <c r="CB14" s="155" t="str">
        <f t="shared" si="21"/>
        <v/>
      </c>
      <c r="CC14" s="155" t="str">
        <f t="shared" si="22"/>
        <v/>
      </c>
      <c r="CD14" s="155" t="str">
        <f t="shared" si="23"/>
        <v/>
      </c>
      <c r="CE14" s="155" t="str">
        <f t="shared" si="24"/>
        <v/>
      </c>
      <c r="CF14" s="155" t="str">
        <f t="shared" si="25"/>
        <v/>
      </c>
      <c r="CG14" s="155" t="str">
        <f t="shared" si="26"/>
        <v/>
      </c>
      <c r="CH14" s="155" t="str">
        <f t="shared" si="27"/>
        <v/>
      </c>
      <c r="CI14" s="155" t="str">
        <f t="shared" si="28"/>
        <v/>
      </c>
      <c r="CJ14" s="155" t="str">
        <f t="shared" si="29"/>
        <v/>
      </c>
      <c r="CK14" s="155" t="str">
        <f t="shared" si="30"/>
        <v/>
      </c>
      <c r="CL14" s="155" t="str">
        <f t="shared" si="31"/>
        <v/>
      </c>
      <c r="CM14" s="155" t="str">
        <f t="shared" si="32"/>
        <v/>
      </c>
      <c r="CN14" s="155" t="str">
        <f t="shared" si="33"/>
        <v/>
      </c>
      <c r="CO14" s="155" t="str">
        <f t="shared" si="34"/>
        <v/>
      </c>
      <c r="CP14" s="155" t="str">
        <f t="shared" si="35"/>
        <v/>
      </c>
      <c r="CQ14" s="155" t="str">
        <f t="shared" si="36"/>
        <v/>
      </c>
      <c r="CR14" s="155" t="str">
        <f t="shared" si="37"/>
        <v/>
      </c>
      <c r="CS14" s="155" t="str">
        <f t="shared" si="38"/>
        <v/>
      </c>
      <c r="CT14" s="155" t="str">
        <f t="shared" si="39"/>
        <v/>
      </c>
      <c r="CU14" s="155" t="str">
        <f t="shared" si="40"/>
        <v/>
      </c>
      <c r="CV14" s="155" t="str">
        <f t="shared" si="41"/>
        <v/>
      </c>
      <c r="CW14" s="155" t="str">
        <f t="shared" si="42"/>
        <v/>
      </c>
      <c r="CX14" s="155" t="str">
        <f t="shared" si="43"/>
        <v/>
      </c>
    </row>
    <row r="15" spans="1:102" s="151" customFormat="1" ht="14.25" outlineLevel="1" x14ac:dyDescent="0.2">
      <c r="A15" s="146"/>
      <c r="B15" s="157" t="str">
        <f>Services!B15</f>
        <v>01B03</v>
      </c>
      <c r="C15" s="153" t="str">
        <f>Services!C15</f>
        <v>Classification les ressources</v>
      </c>
      <c r="D15" s="1145"/>
      <c r="E15" s="1145"/>
      <c r="F15" s="149"/>
      <c r="G15" s="149"/>
      <c r="H15" s="149"/>
      <c r="I15" s="140" t="str">
        <f t="shared" si="0"/>
        <v/>
      </c>
      <c r="J15" s="141" t="str">
        <f t="shared" si="1"/>
        <v/>
      </c>
      <c r="K15" s="142"/>
      <c r="L15" s="142"/>
      <c r="M15" s="1708"/>
      <c r="N15" s="1708"/>
      <c r="O15" s="1708"/>
      <c r="P15" s="1708"/>
      <c r="Q15" s="1708"/>
      <c r="R15" s="1708"/>
      <c r="S15" s="1708"/>
      <c r="T15" s="1708"/>
      <c r="U15" s="1708"/>
      <c r="V15" s="1708"/>
      <c r="W15" s="1708"/>
      <c r="X15" s="1712"/>
      <c r="Y15" s="1712"/>
      <c r="Z15" s="1712"/>
      <c r="AA15" s="1712"/>
      <c r="AB15" s="1712"/>
      <c r="AC15" s="1712"/>
      <c r="AD15" s="1712"/>
      <c r="AE15" s="1712"/>
      <c r="AF15" s="1712"/>
      <c r="AG15" s="1712"/>
      <c r="AH15" s="1712"/>
      <c r="AI15" s="1712"/>
      <c r="AJ15" s="1712"/>
      <c r="AK15" s="1712"/>
      <c r="AL15" s="1712"/>
      <c r="AM15" s="1712"/>
      <c r="AN15" s="1712"/>
      <c r="AO15" s="1712"/>
      <c r="AP15" s="1712"/>
      <c r="AQ15" s="1712"/>
      <c r="AR15" s="1712"/>
      <c r="AS15" s="1712"/>
      <c r="AT15" s="1712"/>
      <c r="AU15" s="1712"/>
      <c r="AV15" s="1712"/>
      <c r="AW15" s="1712"/>
      <c r="AX15" s="1713"/>
      <c r="AY15" s="1714" t="str">
        <f t="shared" si="2"/>
        <v/>
      </c>
      <c r="AZ15" s="1714" t="str">
        <f>IF(Obj_PA!D15="","",IF(AY15="","",Obj_PA!D15-AY15))</f>
        <v/>
      </c>
      <c r="BA15" s="150"/>
      <c r="BB15" s="150"/>
      <c r="BC15" s="150"/>
      <c r="BD15" s="150"/>
      <c r="BE15" s="150"/>
      <c r="BF15" s="150"/>
      <c r="BG15" s="150"/>
      <c r="BH15" s="150"/>
      <c r="BI15" s="150"/>
      <c r="BJ15" s="150"/>
      <c r="BK15" s="155" t="str">
        <f t="shared" si="4"/>
        <v/>
      </c>
      <c r="BL15" s="155" t="str">
        <f t="shared" si="5"/>
        <v/>
      </c>
      <c r="BM15" s="155" t="str">
        <f t="shared" si="6"/>
        <v/>
      </c>
      <c r="BN15" s="155" t="str">
        <f t="shared" si="7"/>
        <v/>
      </c>
      <c r="BO15" s="155" t="str">
        <f t="shared" si="8"/>
        <v/>
      </c>
      <c r="BP15" s="155" t="str">
        <f t="shared" si="9"/>
        <v/>
      </c>
      <c r="BQ15" s="155" t="str">
        <f t="shared" si="10"/>
        <v/>
      </c>
      <c r="BR15" s="155" t="str">
        <f t="shared" si="11"/>
        <v/>
      </c>
      <c r="BS15" s="155" t="str">
        <f t="shared" si="12"/>
        <v/>
      </c>
      <c r="BT15" s="155" t="str">
        <f t="shared" si="13"/>
        <v/>
      </c>
      <c r="BU15" s="155" t="str">
        <f t="shared" si="14"/>
        <v/>
      </c>
      <c r="BV15" s="155" t="str">
        <f t="shared" si="15"/>
        <v/>
      </c>
      <c r="BW15" s="155" t="str">
        <f t="shared" si="16"/>
        <v/>
      </c>
      <c r="BX15" s="155" t="str">
        <f t="shared" si="17"/>
        <v/>
      </c>
      <c r="BY15" s="155" t="str">
        <f t="shared" si="18"/>
        <v/>
      </c>
      <c r="BZ15" s="155" t="str">
        <f t="shared" si="19"/>
        <v/>
      </c>
      <c r="CA15" s="155" t="str">
        <f t="shared" si="20"/>
        <v/>
      </c>
      <c r="CB15" s="155" t="str">
        <f t="shared" si="21"/>
        <v/>
      </c>
      <c r="CC15" s="155" t="str">
        <f t="shared" si="22"/>
        <v/>
      </c>
      <c r="CD15" s="155" t="str">
        <f t="shared" si="23"/>
        <v/>
      </c>
      <c r="CE15" s="155" t="str">
        <f t="shared" si="24"/>
        <v/>
      </c>
      <c r="CF15" s="155" t="str">
        <f t="shared" si="25"/>
        <v/>
      </c>
      <c r="CG15" s="155" t="str">
        <f t="shared" si="26"/>
        <v/>
      </c>
      <c r="CH15" s="155" t="str">
        <f t="shared" si="27"/>
        <v/>
      </c>
      <c r="CI15" s="155" t="str">
        <f t="shared" si="28"/>
        <v/>
      </c>
      <c r="CJ15" s="155" t="str">
        <f t="shared" si="29"/>
        <v/>
      </c>
      <c r="CK15" s="155" t="str">
        <f t="shared" si="30"/>
        <v/>
      </c>
      <c r="CL15" s="155" t="str">
        <f t="shared" si="31"/>
        <v/>
      </c>
      <c r="CM15" s="155" t="str">
        <f t="shared" si="32"/>
        <v/>
      </c>
      <c r="CN15" s="155" t="str">
        <f t="shared" si="33"/>
        <v/>
      </c>
      <c r="CO15" s="155" t="str">
        <f t="shared" si="34"/>
        <v/>
      </c>
      <c r="CP15" s="155" t="str">
        <f t="shared" si="35"/>
        <v/>
      </c>
      <c r="CQ15" s="155" t="str">
        <f t="shared" si="36"/>
        <v/>
      </c>
      <c r="CR15" s="155" t="str">
        <f t="shared" si="37"/>
        <v/>
      </c>
      <c r="CS15" s="155" t="str">
        <f t="shared" si="38"/>
        <v/>
      </c>
      <c r="CT15" s="155" t="str">
        <f t="shared" si="39"/>
        <v/>
      </c>
      <c r="CU15" s="155" t="str">
        <f t="shared" si="40"/>
        <v/>
      </c>
      <c r="CV15" s="155" t="str">
        <f t="shared" si="41"/>
        <v/>
      </c>
      <c r="CW15" s="155" t="str">
        <f t="shared" si="42"/>
        <v/>
      </c>
      <c r="CX15" s="155" t="str">
        <f t="shared" si="43"/>
        <v/>
      </c>
    </row>
    <row r="16" spans="1:102" s="151" customFormat="1" ht="14.25" outlineLevel="1" x14ac:dyDescent="0.2">
      <c r="A16" s="146"/>
      <c r="B16" s="157" t="str">
        <f>Services!B16</f>
        <v>01B04</v>
      </c>
      <c r="C16" s="153" t="str">
        <f>Services!C16</f>
        <v>Gestion des actifs</v>
      </c>
      <c r="D16" s="1145"/>
      <c r="E16" s="1145"/>
      <c r="F16" s="149"/>
      <c r="G16" s="149"/>
      <c r="H16" s="149"/>
      <c r="I16" s="140" t="str">
        <f t="shared" si="0"/>
        <v/>
      </c>
      <c r="J16" s="141" t="str">
        <f t="shared" si="1"/>
        <v/>
      </c>
      <c r="K16" s="142"/>
      <c r="L16" s="142"/>
      <c r="M16" s="1708"/>
      <c r="N16" s="1708"/>
      <c r="O16" s="1708"/>
      <c r="P16" s="1708"/>
      <c r="Q16" s="1708"/>
      <c r="R16" s="1708"/>
      <c r="S16" s="1708"/>
      <c r="T16" s="1708"/>
      <c r="U16" s="1708"/>
      <c r="V16" s="1708"/>
      <c r="W16" s="1708"/>
      <c r="X16" s="1712"/>
      <c r="Y16" s="1712"/>
      <c r="Z16" s="1712"/>
      <c r="AA16" s="1712"/>
      <c r="AB16" s="1712"/>
      <c r="AC16" s="1712"/>
      <c r="AD16" s="1712"/>
      <c r="AE16" s="1712"/>
      <c r="AF16" s="1712"/>
      <c r="AG16" s="1712"/>
      <c r="AH16" s="1712"/>
      <c r="AI16" s="1712"/>
      <c r="AJ16" s="1712"/>
      <c r="AK16" s="1712"/>
      <c r="AL16" s="1712"/>
      <c r="AM16" s="1712"/>
      <c r="AN16" s="1712"/>
      <c r="AO16" s="1712"/>
      <c r="AP16" s="1712"/>
      <c r="AQ16" s="1712"/>
      <c r="AR16" s="1712"/>
      <c r="AS16" s="1712"/>
      <c r="AT16" s="1712"/>
      <c r="AU16" s="1712"/>
      <c r="AV16" s="1712"/>
      <c r="AW16" s="1712"/>
      <c r="AX16" s="1713"/>
      <c r="AY16" s="1714" t="str">
        <f t="shared" si="2"/>
        <v/>
      </c>
      <c r="AZ16" s="1714" t="str">
        <f>IF(Obj_PA!D16="","",IF(AY16="","",Obj_PA!D16-AY16))</f>
        <v/>
      </c>
      <c r="BA16" s="150"/>
      <c r="BB16" s="150"/>
      <c r="BC16" s="150"/>
      <c r="BD16" s="150"/>
      <c r="BE16" s="150"/>
      <c r="BF16" s="150"/>
      <c r="BG16" s="150"/>
      <c r="BH16" s="150"/>
      <c r="BI16" s="150"/>
      <c r="BJ16" s="150"/>
      <c r="BK16" s="155" t="str">
        <f t="shared" si="4"/>
        <v/>
      </c>
      <c r="BL16" s="155" t="str">
        <f t="shared" si="5"/>
        <v/>
      </c>
      <c r="BM16" s="155" t="str">
        <f t="shared" si="6"/>
        <v/>
      </c>
      <c r="BN16" s="155" t="str">
        <f t="shared" si="7"/>
        <v/>
      </c>
      <c r="BO16" s="155" t="str">
        <f t="shared" si="8"/>
        <v/>
      </c>
      <c r="BP16" s="155" t="str">
        <f t="shared" si="9"/>
        <v/>
      </c>
      <c r="BQ16" s="155" t="str">
        <f t="shared" si="10"/>
        <v/>
      </c>
      <c r="BR16" s="155" t="str">
        <f t="shared" si="11"/>
        <v/>
      </c>
      <c r="BS16" s="155" t="str">
        <f t="shared" si="12"/>
        <v/>
      </c>
      <c r="BT16" s="155" t="str">
        <f t="shared" si="13"/>
        <v/>
      </c>
      <c r="BU16" s="155" t="str">
        <f t="shared" si="14"/>
        <v/>
      </c>
      <c r="BV16" s="155" t="str">
        <f t="shared" si="15"/>
        <v/>
      </c>
      <c r="BW16" s="155" t="str">
        <f t="shared" si="16"/>
        <v/>
      </c>
      <c r="BX16" s="155" t="str">
        <f t="shared" si="17"/>
        <v/>
      </c>
      <c r="BY16" s="155" t="str">
        <f t="shared" si="18"/>
        <v/>
      </c>
      <c r="BZ16" s="155" t="str">
        <f t="shared" si="19"/>
        <v/>
      </c>
      <c r="CA16" s="155" t="str">
        <f t="shared" si="20"/>
        <v/>
      </c>
      <c r="CB16" s="155" t="str">
        <f t="shared" si="21"/>
        <v/>
      </c>
      <c r="CC16" s="155" t="str">
        <f t="shared" si="22"/>
        <v/>
      </c>
      <c r="CD16" s="155" t="str">
        <f t="shared" si="23"/>
        <v/>
      </c>
      <c r="CE16" s="155" t="str">
        <f t="shared" si="24"/>
        <v/>
      </c>
      <c r="CF16" s="155" t="str">
        <f t="shared" si="25"/>
        <v/>
      </c>
      <c r="CG16" s="155" t="str">
        <f t="shared" si="26"/>
        <v/>
      </c>
      <c r="CH16" s="155" t="str">
        <f t="shared" si="27"/>
        <v/>
      </c>
      <c r="CI16" s="155" t="str">
        <f t="shared" si="28"/>
        <v/>
      </c>
      <c r="CJ16" s="155" t="str">
        <f t="shared" si="29"/>
        <v/>
      </c>
      <c r="CK16" s="155" t="str">
        <f t="shared" si="30"/>
        <v/>
      </c>
      <c r="CL16" s="155" t="str">
        <f t="shared" si="31"/>
        <v/>
      </c>
      <c r="CM16" s="155" t="str">
        <f t="shared" si="32"/>
        <v/>
      </c>
      <c r="CN16" s="155" t="str">
        <f t="shared" si="33"/>
        <v/>
      </c>
      <c r="CO16" s="155" t="str">
        <f t="shared" si="34"/>
        <v/>
      </c>
      <c r="CP16" s="155" t="str">
        <f t="shared" si="35"/>
        <v/>
      </c>
      <c r="CQ16" s="155" t="str">
        <f t="shared" si="36"/>
        <v/>
      </c>
      <c r="CR16" s="155" t="str">
        <f t="shared" si="37"/>
        <v/>
      </c>
      <c r="CS16" s="155" t="str">
        <f t="shared" si="38"/>
        <v/>
      </c>
      <c r="CT16" s="155" t="str">
        <f t="shared" si="39"/>
        <v/>
      </c>
      <c r="CU16" s="155" t="str">
        <f t="shared" si="40"/>
        <v/>
      </c>
      <c r="CV16" s="155" t="str">
        <f t="shared" si="41"/>
        <v/>
      </c>
      <c r="CW16" s="155" t="str">
        <f t="shared" si="42"/>
        <v/>
      </c>
      <c r="CX16" s="155" t="str">
        <f t="shared" si="43"/>
        <v/>
      </c>
    </row>
    <row r="17" spans="1:102" s="151" customFormat="1" ht="14.25" outlineLevel="1" x14ac:dyDescent="0.2">
      <c r="A17" s="146"/>
      <c r="B17" s="157" t="str">
        <f>Services!B17</f>
        <v>01B05</v>
      </c>
      <c r="C17" s="153" t="str">
        <f>Services!C17</f>
        <v>Protection des actifs ayant valeur de preuve</v>
      </c>
      <c r="D17" s="1145"/>
      <c r="E17" s="1145"/>
      <c r="F17" s="149"/>
      <c r="G17" s="149"/>
      <c r="H17" s="149"/>
      <c r="I17" s="140" t="str">
        <f t="shared" si="0"/>
        <v/>
      </c>
      <c r="J17" s="141" t="str">
        <f t="shared" si="1"/>
        <v/>
      </c>
      <c r="K17" s="142"/>
      <c r="L17" s="142"/>
      <c r="M17" s="1708"/>
      <c r="N17" s="1708"/>
      <c r="O17" s="1708"/>
      <c r="P17" s="1708"/>
      <c r="Q17" s="1708"/>
      <c r="R17" s="1708"/>
      <c r="S17" s="1708"/>
      <c r="T17" s="1708"/>
      <c r="U17" s="1708"/>
      <c r="V17" s="1708"/>
      <c r="W17" s="1708"/>
      <c r="X17" s="1712"/>
      <c r="Y17" s="1712"/>
      <c r="Z17" s="1712"/>
      <c r="AA17" s="1712"/>
      <c r="AB17" s="1712"/>
      <c r="AC17" s="1712"/>
      <c r="AD17" s="1712"/>
      <c r="AE17" s="1712"/>
      <c r="AF17" s="1712"/>
      <c r="AG17" s="1712"/>
      <c r="AH17" s="1712"/>
      <c r="AI17" s="1712"/>
      <c r="AJ17" s="1712"/>
      <c r="AK17" s="1712"/>
      <c r="AL17" s="1712"/>
      <c r="AM17" s="1712"/>
      <c r="AN17" s="1712"/>
      <c r="AO17" s="1712"/>
      <c r="AP17" s="1712"/>
      <c r="AQ17" s="1712"/>
      <c r="AR17" s="1712"/>
      <c r="AS17" s="1712"/>
      <c r="AT17" s="1712"/>
      <c r="AU17" s="1712"/>
      <c r="AV17" s="1712"/>
      <c r="AW17" s="1712"/>
      <c r="AX17" s="1713"/>
      <c r="AY17" s="1714" t="str">
        <f t="shared" si="2"/>
        <v/>
      </c>
      <c r="AZ17" s="1714" t="str">
        <f>IF(Obj_PA!D17="","",IF(AY17="","",Obj_PA!D17-AY17))</f>
        <v/>
      </c>
      <c r="BA17" s="150"/>
      <c r="BB17" s="150"/>
      <c r="BC17" s="150"/>
      <c r="BD17" s="150"/>
      <c r="BE17" s="150"/>
      <c r="BF17" s="150"/>
      <c r="BG17" s="150"/>
      <c r="BH17" s="150"/>
      <c r="BI17" s="150"/>
      <c r="BJ17" s="150"/>
      <c r="BK17" s="155" t="str">
        <f t="shared" si="4"/>
        <v/>
      </c>
      <c r="BL17" s="155" t="str">
        <f t="shared" si="5"/>
        <v/>
      </c>
      <c r="BM17" s="155" t="str">
        <f t="shared" si="6"/>
        <v/>
      </c>
      <c r="BN17" s="155" t="str">
        <f t="shared" si="7"/>
        <v/>
      </c>
      <c r="BO17" s="155" t="str">
        <f t="shared" si="8"/>
        <v/>
      </c>
      <c r="BP17" s="155" t="str">
        <f t="shared" si="9"/>
        <v/>
      </c>
      <c r="BQ17" s="155" t="str">
        <f t="shared" si="10"/>
        <v/>
      </c>
      <c r="BR17" s="155" t="str">
        <f t="shared" si="11"/>
        <v/>
      </c>
      <c r="BS17" s="155" t="str">
        <f t="shared" si="12"/>
        <v/>
      </c>
      <c r="BT17" s="155" t="str">
        <f t="shared" si="13"/>
        <v/>
      </c>
      <c r="BU17" s="155" t="str">
        <f t="shared" si="14"/>
        <v/>
      </c>
      <c r="BV17" s="155" t="str">
        <f t="shared" si="15"/>
        <v/>
      </c>
      <c r="BW17" s="155" t="str">
        <f t="shared" si="16"/>
        <v/>
      </c>
      <c r="BX17" s="155" t="str">
        <f t="shared" si="17"/>
        <v/>
      </c>
      <c r="BY17" s="155" t="str">
        <f t="shared" si="18"/>
        <v/>
      </c>
      <c r="BZ17" s="155" t="str">
        <f t="shared" si="19"/>
        <v/>
      </c>
      <c r="CA17" s="155" t="str">
        <f t="shared" si="20"/>
        <v/>
      </c>
      <c r="CB17" s="155" t="str">
        <f t="shared" si="21"/>
        <v/>
      </c>
      <c r="CC17" s="155" t="str">
        <f t="shared" si="22"/>
        <v/>
      </c>
      <c r="CD17" s="155" t="str">
        <f t="shared" si="23"/>
        <v/>
      </c>
      <c r="CE17" s="155" t="str">
        <f t="shared" si="24"/>
        <v/>
      </c>
      <c r="CF17" s="155" t="str">
        <f t="shared" si="25"/>
        <v/>
      </c>
      <c r="CG17" s="155" t="str">
        <f t="shared" si="26"/>
        <v/>
      </c>
      <c r="CH17" s="155" t="str">
        <f t="shared" si="27"/>
        <v/>
      </c>
      <c r="CI17" s="155" t="str">
        <f t="shared" si="28"/>
        <v/>
      </c>
      <c r="CJ17" s="155" t="str">
        <f t="shared" si="29"/>
        <v/>
      </c>
      <c r="CK17" s="155" t="str">
        <f t="shared" si="30"/>
        <v/>
      </c>
      <c r="CL17" s="155" t="str">
        <f t="shared" si="31"/>
        <v/>
      </c>
      <c r="CM17" s="155" t="str">
        <f t="shared" si="32"/>
        <v/>
      </c>
      <c r="CN17" s="155" t="str">
        <f t="shared" si="33"/>
        <v/>
      </c>
      <c r="CO17" s="155" t="str">
        <f t="shared" si="34"/>
        <v/>
      </c>
      <c r="CP17" s="155" t="str">
        <f t="shared" si="35"/>
        <v/>
      </c>
      <c r="CQ17" s="155" t="str">
        <f t="shared" si="36"/>
        <v/>
      </c>
      <c r="CR17" s="155" t="str">
        <f t="shared" si="37"/>
        <v/>
      </c>
      <c r="CS17" s="155" t="str">
        <f t="shared" si="38"/>
        <v/>
      </c>
      <c r="CT17" s="155" t="str">
        <f t="shared" si="39"/>
        <v/>
      </c>
      <c r="CU17" s="155" t="str">
        <f t="shared" si="40"/>
        <v/>
      </c>
      <c r="CV17" s="155" t="str">
        <f t="shared" si="41"/>
        <v/>
      </c>
      <c r="CW17" s="155" t="str">
        <f t="shared" si="42"/>
        <v/>
      </c>
      <c r="CX17" s="155" t="str">
        <f t="shared" si="43"/>
        <v/>
      </c>
    </row>
    <row r="18" spans="1:102" s="151" customFormat="1" ht="14.25" outlineLevel="1" x14ac:dyDescent="0.2">
      <c r="A18" s="146"/>
      <c r="B18" s="147" t="str">
        <f>Services!B18</f>
        <v>01C</v>
      </c>
      <c r="C18" s="148" t="str">
        <f>Services!C18</f>
        <v xml:space="preserve">Gestion des ressources humaines </v>
      </c>
      <c r="D18" s="1145"/>
      <c r="E18" s="1145"/>
      <c r="F18" s="149"/>
      <c r="G18" s="149"/>
      <c r="H18" s="149"/>
      <c r="I18" s="140" t="str">
        <f t="shared" si="0"/>
        <v/>
      </c>
      <c r="J18" s="141" t="str">
        <f t="shared" si="1"/>
        <v/>
      </c>
      <c r="K18" s="142"/>
      <c r="L18" s="142"/>
      <c r="M18" s="1708"/>
      <c r="N18" s="1708"/>
      <c r="O18" s="1708"/>
      <c r="P18" s="1708"/>
      <c r="Q18" s="1708"/>
      <c r="R18" s="1708"/>
      <c r="S18" s="1708"/>
      <c r="T18" s="1708"/>
      <c r="U18" s="1708"/>
      <c r="V18" s="1708"/>
      <c r="W18" s="1708"/>
      <c r="X18" s="1712"/>
      <c r="Y18" s="1712"/>
      <c r="Z18" s="1712"/>
      <c r="AA18" s="1712"/>
      <c r="AB18" s="1712"/>
      <c r="AC18" s="1712"/>
      <c r="AD18" s="1712"/>
      <c r="AE18" s="1712"/>
      <c r="AF18" s="1712"/>
      <c r="AG18" s="1712"/>
      <c r="AH18" s="1712"/>
      <c r="AI18" s="1712"/>
      <c r="AJ18" s="1712"/>
      <c r="AK18" s="1712"/>
      <c r="AL18" s="1712"/>
      <c r="AM18" s="1712"/>
      <c r="AN18" s="1712"/>
      <c r="AO18" s="1712"/>
      <c r="AP18" s="1712"/>
      <c r="AQ18" s="1712"/>
      <c r="AR18" s="1712"/>
      <c r="AS18" s="1712"/>
      <c r="AT18" s="1712"/>
      <c r="AU18" s="1712"/>
      <c r="AV18" s="1712"/>
      <c r="AW18" s="1712"/>
      <c r="AX18" s="1713"/>
      <c r="AY18" s="1714" t="str">
        <f t="shared" si="2"/>
        <v/>
      </c>
      <c r="AZ18" s="1714" t="str">
        <f>IF(Obj_PA!D18="","",IF(AY18="","",Obj_PA!D18-AY18))</f>
        <v/>
      </c>
      <c r="BA18" s="150"/>
      <c r="BB18" s="150"/>
      <c r="BC18" s="150"/>
      <c r="BD18" s="150"/>
      <c r="BE18" s="150"/>
      <c r="BF18" s="150"/>
      <c r="BG18" s="150"/>
      <c r="BH18" s="150"/>
      <c r="BI18" s="150"/>
      <c r="BJ18" s="150"/>
      <c r="BK18" s="155" t="str">
        <f t="shared" si="4"/>
        <v/>
      </c>
      <c r="BL18" s="155" t="str">
        <f t="shared" si="5"/>
        <v/>
      </c>
      <c r="BM18" s="155" t="str">
        <f t="shared" si="6"/>
        <v/>
      </c>
      <c r="BN18" s="155" t="str">
        <f t="shared" si="7"/>
        <v/>
      </c>
      <c r="BO18" s="155" t="str">
        <f t="shared" si="8"/>
        <v/>
      </c>
      <c r="BP18" s="155" t="str">
        <f t="shared" si="9"/>
        <v/>
      </c>
      <c r="BQ18" s="155" t="str">
        <f t="shared" si="10"/>
        <v/>
      </c>
      <c r="BR18" s="155" t="str">
        <f t="shared" si="11"/>
        <v/>
      </c>
      <c r="BS18" s="155" t="str">
        <f t="shared" si="12"/>
        <v/>
      </c>
      <c r="BT18" s="155" t="str">
        <f t="shared" si="13"/>
        <v/>
      </c>
      <c r="BU18" s="155" t="str">
        <f t="shared" si="14"/>
        <v/>
      </c>
      <c r="BV18" s="155" t="str">
        <f t="shared" si="15"/>
        <v/>
      </c>
      <c r="BW18" s="155" t="str">
        <f t="shared" si="16"/>
        <v/>
      </c>
      <c r="BX18" s="155" t="str">
        <f t="shared" si="17"/>
        <v/>
      </c>
      <c r="BY18" s="155" t="str">
        <f t="shared" si="18"/>
        <v/>
      </c>
      <c r="BZ18" s="155" t="str">
        <f t="shared" si="19"/>
        <v/>
      </c>
      <c r="CA18" s="155" t="str">
        <f t="shared" si="20"/>
        <v/>
      </c>
      <c r="CB18" s="155" t="str">
        <f t="shared" si="21"/>
        <v/>
      </c>
      <c r="CC18" s="155" t="str">
        <f t="shared" si="22"/>
        <v/>
      </c>
      <c r="CD18" s="155" t="str">
        <f t="shared" si="23"/>
        <v/>
      </c>
      <c r="CE18" s="155" t="str">
        <f t="shared" si="24"/>
        <v/>
      </c>
      <c r="CF18" s="155" t="str">
        <f t="shared" si="25"/>
        <v/>
      </c>
      <c r="CG18" s="155" t="str">
        <f t="shared" si="26"/>
        <v/>
      </c>
      <c r="CH18" s="155" t="str">
        <f t="shared" si="27"/>
        <v/>
      </c>
      <c r="CI18" s="155" t="str">
        <f t="shared" si="28"/>
        <v/>
      </c>
      <c r="CJ18" s="155" t="str">
        <f t="shared" si="29"/>
        <v/>
      </c>
      <c r="CK18" s="155" t="str">
        <f t="shared" si="30"/>
        <v/>
      </c>
      <c r="CL18" s="155" t="str">
        <f t="shared" si="31"/>
        <v/>
      </c>
      <c r="CM18" s="155" t="str">
        <f t="shared" si="32"/>
        <v/>
      </c>
      <c r="CN18" s="155" t="str">
        <f t="shared" si="33"/>
        <v/>
      </c>
      <c r="CO18" s="155" t="str">
        <f t="shared" si="34"/>
        <v/>
      </c>
      <c r="CP18" s="155" t="str">
        <f t="shared" si="35"/>
        <v/>
      </c>
      <c r="CQ18" s="155" t="str">
        <f t="shared" si="36"/>
        <v/>
      </c>
      <c r="CR18" s="155" t="str">
        <f t="shared" si="37"/>
        <v/>
      </c>
      <c r="CS18" s="155" t="str">
        <f t="shared" si="38"/>
        <v/>
      </c>
      <c r="CT18" s="155" t="str">
        <f t="shared" si="39"/>
        <v/>
      </c>
      <c r="CU18" s="155" t="str">
        <f t="shared" si="40"/>
        <v/>
      </c>
      <c r="CV18" s="155" t="str">
        <f t="shared" si="41"/>
        <v/>
      </c>
      <c r="CW18" s="155" t="str">
        <f t="shared" si="42"/>
        <v/>
      </c>
      <c r="CX18" s="155" t="str">
        <f t="shared" si="43"/>
        <v/>
      </c>
    </row>
    <row r="19" spans="1:102" s="151" customFormat="1" ht="14.25" outlineLevel="1" x14ac:dyDescent="0.2">
      <c r="A19" s="146"/>
      <c r="B19" s="157" t="str">
        <f>Services!B19</f>
        <v>01C01</v>
      </c>
      <c r="C19" s="153" t="str">
        <f>Services!C19</f>
        <v>Engagement du personnel - clauses contractuelles</v>
      </c>
      <c r="D19" s="1145"/>
      <c r="E19" s="1145"/>
      <c r="F19" s="149"/>
      <c r="G19" s="149"/>
      <c r="H19" s="149"/>
      <c r="I19" s="140" t="str">
        <f t="shared" si="0"/>
        <v/>
      </c>
      <c r="J19" s="141" t="str">
        <f t="shared" si="1"/>
        <v/>
      </c>
      <c r="K19" s="142"/>
      <c r="L19" s="142"/>
      <c r="M19" s="1708"/>
      <c r="N19" s="1708"/>
      <c r="O19" s="1708"/>
      <c r="P19" s="1708"/>
      <c r="Q19" s="1708"/>
      <c r="R19" s="1708"/>
      <c r="S19" s="1708"/>
      <c r="T19" s="1708"/>
      <c r="U19" s="1708"/>
      <c r="V19" s="1708"/>
      <c r="W19" s="1708"/>
      <c r="X19" s="1712"/>
      <c r="Y19" s="1712"/>
      <c r="Z19" s="1712"/>
      <c r="AA19" s="1712"/>
      <c r="AB19" s="1712"/>
      <c r="AC19" s="1712"/>
      <c r="AD19" s="1712"/>
      <c r="AE19" s="1712"/>
      <c r="AF19" s="1712"/>
      <c r="AG19" s="1712"/>
      <c r="AH19" s="1712"/>
      <c r="AI19" s="1712"/>
      <c r="AJ19" s="1712"/>
      <c r="AK19" s="1712"/>
      <c r="AL19" s="1712"/>
      <c r="AM19" s="1712"/>
      <c r="AN19" s="1712"/>
      <c r="AO19" s="1712"/>
      <c r="AP19" s="1712"/>
      <c r="AQ19" s="1712"/>
      <c r="AR19" s="1712"/>
      <c r="AS19" s="1712"/>
      <c r="AT19" s="1712"/>
      <c r="AU19" s="1712"/>
      <c r="AV19" s="1712"/>
      <c r="AW19" s="1712"/>
      <c r="AX19" s="1713"/>
      <c r="AY19" s="1714" t="str">
        <f t="shared" si="2"/>
        <v/>
      </c>
      <c r="AZ19" s="1714" t="str">
        <f>IF(Obj_PA!D19="","",IF(AY19="","",Obj_PA!D19-AY19))</f>
        <v/>
      </c>
      <c r="BA19" s="150"/>
      <c r="BB19" s="150"/>
      <c r="BC19" s="150"/>
      <c r="BD19" s="150"/>
      <c r="BE19" s="150"/>
      <c r="BF19" s="150"/>
      <c r="BG19" s="150"/>
      <c r="BH19" s="150"/>
      <c r="BI19" s="150"/>
      <c r="BJ19" s="150"/>
      <c r="BK19" s="155" t="str">
        <f t="shared" si="4"/>
        <v/>
      </c>
      <c r="BL19" s="155" t="str">
        <f t="shared" si="5"/>
        <v/>
      </c>
      <c r="BM19" s="155" t="str">
        <f t="shared" si="6"/>
        <v/>
      </c>
      <c r="BN19" s="155" t="str">
        <f t="shared" si="7"/>
        <v/>
      </c>
      <c r="BO19" s="155" t="str">
        <f t="shared" si="8"/>
        <v/>
      </c>
      <c r="BP19" s="155" t="str">
        <f t="shared" si="9"/>
        <v/>
      </c>
      <c r="BQ19" s="155" t="str">
        <f t="shared" si="10"/>
        <v/>
      </c>
      <c r="BR19" s="155" t="str">
        <f t="shared" si="11"/>
        <v/>
      </c>
      <c r="BS19" s="155" t="str">
        <f t="shared" si="12"/>
        <v/>
      </c>
      <c r="BT19" s="155" t="str">
        <f t="shared" si="13"/>
        <v/>
      </c>
      <c r="BU19" s="155" t="str">
        <f t="shared" si="14"/>
        <v/>
      </c>
      <c r="BV19" s="155" t="str">
        <f t="shared" si="15"/>
        <v/>
      </c>
      <c r="BW19" s="155" t="str">
        <f t="shared" si="16"/>
        <v/>
      </c>
      <c r="BX19" s="155" t="str">
        <f t="shared" si="17"/>
        <v/>
      </c>
      <c r="BY19" s="155" t="str">
        <f t="shared" si="18"/>
        <v/>
      </c>
      <c r="BZ19" s="155" t="str">
        <f t="shared" si="19"/>
        <v/>
      </c>
      <c r="CA19" s="155" t="str">
        <f t="shared" si="20"/>
        <v/>
      </c>
      <c r="CB19" s="155" t="str">
        <f t="shared" si="21"/>
        <v/>
      </c>
      <c r="CC19" s="155" t="str">
        <f t="shared" si="22"/>
        <v/>
      </c>
      <c r="CD19" s="155" t="str">
        <f t="shared" si="23"/>
        <v/>
      </c>
      <c r="CE19" s="155" t="str">
        <f t="shared" si="24"/>
        <v/>
      </c>
      <c r="CF19" s="155" t="str">
        <f t="shared" si="25"/>
        <v/>
      </c>
      <c r="CG19" s="155" t="str">
        <f t="shared" si="26"/>
        <v/>
      </c>
      <c r="CH19" s="155" t="str">
        <f t="shared" si="27"/>
        <v/>
      </c>
      <c r="CI19" s="155" t="str">
        <f t="shared" si="28"/>
        <v/>
      </c>
      <c r="CJ19" s="155" t="str">
        <f t="shared" si="29"/>
        <v/>
      </c>
      <c r="CK19" s="155" t="str">
        <f t="shared" si="30"/>
        <v/>
      </c>
      <c r="CL19" s="155" t="str">
        <f t="shared" si="31"/>
        <v/>
      </c>
      <c r="CM19" s="155" t="str">
        <f t="shared" si="32"/>
        <v/>
      </c>
      <c r="CN19" s="155" t="str">
        <f t="shared" si="33"/>
        <v/>
      </c>
      <c r="CO19" s="155" t="str">
        <f t="shared" si="34"/>
        <v/>
      </c>
      <c r="CP19" s="155" t="str">
        <f t="shared" si="35"/>
        <v/>
      </c>
      <c r="CQ19" s="155" t="str">
        <f t="shared" si="36"/>
        <v/>
      </c>
      <c r="CR19" s="155" t="str">
        <f t="shared" si="37"/>
        <v/>
      </c>
      <c r="CS19" s="155" t="str">
        <f t="shared" si="38"/>
        <v/>
      </c>
      <c r="CT19" s="155" t="str">
        <f t="shared" si="39"/>
        <v/>
      </c>
      <c r="CU19" s="155" t="str">
        <f t="shared" si="40"/>
        <v/>
      </c>
      <c r="CV19" s="155" t="str">
        <f t="shared" si="41"/>
        <v/>
      </c>
      <c r="CW19" s="155" t="str">
        <f t="shared" si="42"/>
        <v/>
      </c>
      <c r="CX19" s="155" t="str">
        <f t="shared" si="43"/>
        <v/>
      </c>
    </row>
    <row r="20" spans="1:102" s="151" customFormat="1" ht="25.5" outlineLevel="1" x14ac:dyDescent="0.2">
      <c r="A20" s="146"/>
      <c r="B20" s="157" t="str">
        <f>Services!B20</f>
        <v>01C02</v>
      </c>
      <c r="C20" s="153" t="str">
        <f>Services!C20</f>
        <v>Gestion du personnel et des partenaires ou prestataires stratégiques</v>
      </c>
      <c r="D20" s="1145">
        <f>1*(8*Plans_action!E224+Plans_action!D224)+1*(8*Plans_action!E249+Plans_action!D249)</f>
        <v>0</v>
      </c>
      <c r="E20" s="1145">
        <f>2*(8*Plans_action!E215+Plans_action!D215)+2*(8*Plans_action!E240+Plans_action!D240)</f>
        <v>0</v>
      </c>
      <c r="F20" s="149"/>
      <c r="G20" s="149"/>
      <c r="H20" s="149">
        <f>5*(8*Plans_action!E200+Plans_action!D200)+5*(8*Plans_action!E207+Plans_action!D207)</f>
        <v>0</v>
      </c>
      <c r="I20" s="140" t="str">
        <f t="shared" si="0"/>
        <v/>
      </c>
      <c r="J20" s="141" t="str">
        <f t="shared" si="1"/>
        <v/>
      </c>
      <c r="K20" s="142"/>
      <c r="L20" s="142"/>
      <c r="M20" s="1708"/>
      <c r="N20" s="1708"/>
      <c r="O20" s="1708"/>
      <c r="P20" s="1708"/>
      <c r="Q20" s="1708"/>
      <c r="R20" s="1708"/>
      <c r="S20" s="1708"/>
      <c r="T20" s="1708"/>
      <c r="U20" s="1708"/>
      <c r="V20" s="1708"/>
      <c r="W20" s="1708"/>
      <c r="X20" s="1712"/>
      <c r="Y20" s="1712"/>
      <c r="Z20" s="1712"/>
      <c r="AA20" s="1712"/>
      <c r="AB20" s="1712"/>
      <c r="AC20" s="1712"/>
      <c r="AD20" s="1712"/>
      <c r="AE20" s="1712"/>
      <c r="AF20" s="1712"/>
      <c r="AG20" s="1712"/>
      <c r="AH20" s="1712"/>
      <c r="AI20" s="1712"/>
      <c r="AJ20" s="1712"/>
      <c r="AK20" s="1712"/>
      <c r="AL20" s="1712"/>
      <c r="AM20" s="1712"/>
      <c r="AN20" s="1712"/>
      <c r="AO20" s="1712"/>
      <c r="AP20" s="1712"/>
      <c r="AQ20" s="1712"/>
      <c r="AR20" s="1712"/>
      <c r="AS20" s="1712"/>
      <c r="AT20" s="1712"/>
      <c r="AU20" s="1712"/>
      <c r="AV20" s="1712"/>
      <c r="AW20" s="1712"/>
      <c r="AX20" s="1713"/>
      <c r="AY20" s="1714" t="str">
        <f t="shared" si="2"/>
        <v/>
      </c>
      <c r="AZ20" s="1714" t="str">
        <f>IF(Obj_PA!D20="","",IF(AY20="","",Obj_PA!D20-AY20))</f>
        <v/>
      </c>
      <c r="BA20" s="150"/>
      <c r="BB20" s="150"/>
      <c r="BC20" s="150"/>
      <c r="BD20" s="150"/>
      <c r="BE20" s="150"/>
      <c r="BF20" s="150"/>
      <c r="BG20" s="150"/>
      <c r="BH20" s="150"/>
      <c r="BI20" s="150"/>
      <c r="BJ20" s="150"/>
      <c r="BK20" s="155" t="str">
        <f t="shared" si="4"/>
        <v/>
      </c>
      <c r="BL20" s="155" t="str">
        <f t="shared" si="5"/>
        <v/>
      </c>
      <c r="BM20" s="155" t="str">
        <f t="shared" si="6"/>
        <v/>
      </c>
      <c r="BN20" s="155" t="str">
        <f t="shared" si="7"/>
        <v/>
      </c>
      <c r="BO20" s="155" t="str">
        <f t="shared" si="8"/>
        <v/>
      </c>
      <c r="BP20" s="155" t="str">
        <f t="shared" si="9"/>
        <v/>
      </c>
      <c r="BQ20" s="155" t="str">
        <f t="shared" si="10"/>
        <v/>
      </c>
      <c r="BR20" s="155" t="str">
        <f t="shared" si="11"/>
        <v/>
      </c>
      <c r="BS20" s="155" t="str">
        <f t="shared" si="12"/>
        <v/>
      </c>
      <c r="BT20" s="155" t="str">
        <f t="shared" si="13"/>
        <v/>
      </c>
      <c r="BU20" s="155" t="str">
        <f t="shared" si="14"/>
        <v/>
      </c>
      <c r="BV20" s="155" t="str">
        <f t="shared" si="15"/>
        <v/>
      </c>
      <c r="BW20" s="155" t="str">
        <f t="shared" si="16"/>
        <v/>
      </c>
      <c r="BX20" s="155" t="str">
        <f t="shared" si="17"/>
        <v/>
      </c>
      <c r="BY20" s="155" t="str">
        <f t="shared" si="18"/>
        <v/>
      </c>
      <c r="BZ20" s="155" t="str">
        <f t="shared" si="19"/>
        <v/>
      </c>
      <c r="CA20" s="155" t="str">
        <f t="shared" si="20"/>
        <v/>
      </c>
      <c r="CB20" s="155" t="str">
        <f t="shared" si="21"/>
        <v/>
      </c>
      <c r="CC20" s="155" t="str">
        <f t="shared" si="22"/>
        <v/>
      </c>
      <c r="CD20" s="155" t="str">
        <f t="shared" si="23"/>
        <v/>
      </c>
      <c r="CE20" s="155" t="str">
        <f t="shared" si="24"/>
        <v/>
      </c>
      <c r="CF20" s="155" t="str">
        <f t="shared" si="25"/>
        <v/>
      </c>
      <c r="CG20" s="155" t="str">
        <f t="shared" si="26"/>
        <v/>
      </c>
      <c r="CH20" s="155" t="str">
        <f t="shared" si="27"/>
        <v/>
      </c>
      <c r="CI20" s="155" t="str">
        <f t="shared" si="28"/>
        <v/>
      </c>
      <c r="CJ20" s="155" t="str">
        <f t="shared" si="29"/>
        <v/>
      </c>
      <c r="CK20" s="155" t="str">
        <f t="shared" si="30"/>
        <v/>
      </c>
      <c r="CL20" s="155" t="str">
        <f t="shared" si="31"/>
        <v/>
      </c>
      <c r="CM20" s="155" t="str">
        <f t="shared" si="32"/>
        <v/>
      </c>
      <c r="CN20" s="155" t="str">
        <f t="shared" si="33"/>
        <v/>
      </c>
      <c r="CO20" s="155" t="str">
        <f t="shared" si="34"/>
        <v/>
      </c>
      <c r="CP20" s="155" t="str">
        <f t="shared" si="35"/>
        <v/>
      </c>
      <c r="CQ20" s="155" t="str">
        <f t="shared" si="36"/>
        <v/>
      </c>
      <c r="CR20" s="155" t="str">
        <f t="shared" si="37"/>
        <v/>
      </c>
      <c r="CS20" s="155" t="str">
        <f t="shared" si="38"/>
        <v/>
      </c>
      <c r="CT20" s="155" t="str">
        <f t="shared" si="39"/>
        <v/>
      </c>
      <c r="CU20" s="155" t="str">
        <f t="shared" si="40"/>
        <v/>
      </c>
      <c r="CV20" s="155" t="str">
        <f t="shared" si="41"/>
        <v/>
      </c>
      <c r="CW20" s="155" t="str">
        <f t="shared" si="42"/>
        <v/>
      </c>
      <c r="CX20" s="155" t="str">
        <f t="shared" si="43"/>
        <v/>
      </c>
    </row>
    <row r="21" spans="1:102" s="151" customFormat="1" ht="14.25" outlineLevel="1" x14ac:dyDescent="0.2">
      <c r="A21" s="146"/>
      <c r="B21" s="157" t="str">
        <f>Services!B21</f>
        <v>01C03</v>
      </c>
      <c r="C21" s="153" t="str">
        <f>Services!C21</f>
        <v>Procédure d'habilitation du personnel</v>
      </c>
      <c r="D21" s="1145"/>
      <c r="E21" s="1145"/>
      <c r="F21" s="149"/>
      <c r="G21" s="149"/>
      <c r="H21" s="149"/>
      <c r="I21" s="140" t="str">
        <f t="shared" si="0"/>
        <v/>
      </c>
      <c r="J21" s="141" t="str">
        <f t="shared" si="1"/>
        <v/>
      </c>
      <c r="K21" s="142"/>
      <c r="L21" s="142"/>
      <c r="M21" s="1708"/>
      <c r="N21" s="1708"/>
      <c r="O21" s="1708"/>
      <c r="P21" s="1708"/>
      <c r="Q21" s="1708"/>
      <c r="R21" s="1708"/>
      <c r="S21" s="1708"/>
      <c r="T21" s="1708"/>
      <c r="U21" s="1708"/>
      <c r="V21" s="1708"/>
      <c r="W21" s="1708"/>
      <c r="X21" s="1712"/>
      <c r="Y21" s="1712"/>
      <c r="Z21" s="1712"/>
      <c r="AA21" s="1712"/>
      <c r="AB21" s="1712"/>
      <c r="AC21" s="1712"/>
      <c r="AD21" s="1712"/>
      <c r="AE21" s="1712"/>
      <c r="AF21" s="1712"/>
      <c r="AG21" s="1712"/>
      <c r="AH21" s="1712"/>
      <c r="AI21" s="1712"/>
      <c r="AJ21" s="1712"/>
      <c r="AK21" s="1712"/>
      <c r="AL21" s="1712"/>
      <c r="AM21" s="1712"/>
      <c r="AN21" s="1712"/>
      <c r="AO21" s="1712"/>
      <c r="AP21" s="1712"/>
      <c r="AQ21" s="1712"/>
      <c r="AR21" s="1712"/>
      <c r="AS21" s="1712"/>
      <c r="AT21" s="1712"/>
      <c r="AU21" s="1712"/>
      <c r="AV21" s="1712"/>
      <c r="AW21" s="1712"/>
      <c r="AX21" s="1713"/>
      <c r="AY21" s="1714" t="str">
        <f t="shared" si="2"/>
        <v/>
      </c>
      <c r="AZ21" s="1714" t="str">
        <f>IF(Obj_PA!D21="","",IF(AY21="","",Obj_PA!D21-AY21))</f>
        <v/>
      </c>
      <c r="BA21" s="150"/>
      <c r="BB21" s="150"/>
      <c r="BC21" s="150"/>
      <c r="BD21" s="150"/>
      <c r="BE21" s="150"/>
      <c r="BF21" s="150"/>
      <c r="BG21" s="150"/>
      <c r="BH21" s="150"/>
      <c r="BI21" s="150"/>
      <c r="BJ21" s="150"/>
      <c r="BK21" s="155" t="str">
        <f t="shared" si="4"/>
        <v/>
      </c>
      <c r="BL21" s="155" t="str">
        <f t="shared" si="5"/>
        <v/>
      </c>
      <c r="BM21" s="155" t="str">
        <f t="shared" si="6"/>
        <v/>
      </c>
      <c r="BN21" s="155" t="str">
        <f t="shared" si="7"/>
        <v/>
      </c>
      <c r="BO21" s="155" t="str">
        <f t="shared" si="8"/>
        <v/>
      </c>
      <c r="BP21" s="155" t="str">
        <f t="shared" si="9"/>
        <v/>
      </c>
      <c r="BQ21" s="155" t="str">
        <f t="shared" si="10"/>
        <v/>
      </c>
      <c r="BR21" s="155" t="str">
        <f t="shared" si="11"/>
        <v/>
      </c>
      <c r="BS21" s="155" t="str">
        <f t="shared" si="12"/>
        <v/>
      </c>
      <c r="BT21" s="155" t="str">
        <f t="shared" si="13"/>
        <v/>
      </c>
      <c r="BU21" s="155" t="str">
        <f t="shared" si="14"/>
        <v/>
      </c>
      <c r="BV21" s="155" t="str">
        <f t="shared" si="15"/>
        <v/>
      </c>
      <c r="BW21" s="155" t="str">
        <f t="shared" si="16"/>
        <v/>
      </c>
      <c r="BX21" s="155" t="str">
        <f t="shared" si="17"/>
        <v/>
      </c>
      <c r="BY21" s="155" t="str">
        <f t="shared" si="18"/>
        <v/>
      </c>
      <c r="BZ21" s="155" t="str">
        <f t="shared" si="19"/>
        <v/>
      </c>
      <c r="CA21" s="155" t="str">
        <f t="shared" si="20"/>
        <v/>
      </c>
      <c r="CB21" s="155" t="str">
        <f t="shared" si="21"/>
        <v/>
      </c>
      <c r="CC21" s="155" t="str">
        <f t="shared" si="22"/>
        <v/>
      </c>
      <c r="CD21" s="155" t="str">
        <f t="shared" si="23"/>
        <v/>
      </c>
      <c r="CE21" s="155" t="str">
        <f t="shared" si="24"/>
        <v/>
      </c>
      <c r="CF21" s="155" t="str">
        <f t="shared" si="25"/>
        <v/>
      </c>
      <c r="CG21" s="155" t="str">
        <f t="shared" si="26"/>
        <v/>
      </c>
      <c r="CH21" s="155" t="str">
        <f t="shared" si="27"/>
        <v/>
      </c>
      <c r="CI21" s="155" t="str">
        <f t="shared" si="28"/>
        <v/>
      </c>
      <c r="CJ21" s="155" t="str">
        <f t="shared" si="29"/>
        <v/>
      </c>
      <c r="CK21" s="155" t="str">
        <f t="shared" si="30"/>
        <v/>
      </c>
      <c r="CL21" s="155" t="str">
        <f t="shared" si="31"/>
        <v/>
      </c>
      <c r="CM21" s="155" t="str">
        <f t="shared" si="32"/>
        <v/>
      </c>
      <c r="CN21" s="155" t="str">
        <f t="shared" si="33"/>
        <v/>
      </c>
      <c r="CO21" s="155" t="str">
        <f t="shared" si="34"/>
        <v/>
      </c>
      <c r="CP21" s="155" t="str">
        <f t="shared" si="35"/>
        <v/>
      </c>
      <c r="CQ21" s="155" t="str">
        <f t="shared" si="36"/>
        <v/>
      </c>
      <c r="CR21" s="155" t="str">
        <f t="shared" si="37"/>
        <v/>
      </c>
      <c r="CS21" s="155" t="str">
        <f t="shared" si="38"/>
        <v/>
      </c>
      <c r="CT21" s="155" t="str">
        <f t="shared" si="39"/>
        <v/>
      </c>
      <c r="CU21" s="155" t="str">
        <f t="shared" si="40"/>
        <v/>
      </c>
      <c r="CV21" s="155" t="str">
        <f t="shared" si="41"/>
        <v/>
      </c>
      <c r="CW21" s="155" t="str">
        <f t="shared" si="42"/>
        <v/>
      </c>
      <c r="CX21" s="155" t="str">
        <f t="shared" si="43"/>
        <v/>
      </c>
    </row>
    <row r="22" spans="1:102" s="151" customFormat="1" ht="14.25" outlineLevel="1" x14ac:dyDescent="0.2">
      <c r="A22" s="146"/>
      <c r="B22" s="157" t="str">
        <f>Services!B22</f>
        <v>01C04</v>
      </c>
      <c r="C22" s="153" t="str">
        <f>Services!C22</f>
        <v>Sensibilisation et formation à la sécurité</v>
      </c>
      <c r="D22" s="149"/>
      <c r="E22" s="149"/>
      <c r="F22" s="149"/>
      <c r="G22" s="149"/>
      <c r="H22" s="149"/>
      <c r="I22" s="140" t="str">
        <f t="shared" si="0"/>
        <v/>
      </c>
      <c r="J22" s="141" t="str">
        <f t="shared" si="1"/>
        <v/>
      </c>
      <c r="K22" s="142"/>
      <c r="L22" s="142"/>
      <c r="M22" s="1708"/>
      <c r="N22" s="1708"/>
      <c r="O22" s="1708"/>
      <c r="P22" s="1708"/>
      <c r="Q22" s="1708"/>
      <c r="R22" s="1708"/>
      <c r="S22" s="1708"/>
      <c r="T22" s="1708"/>
      <c r="U22" s="1708"/>
      <c r="V22" s="1708"/>
      <c r="W22" s="1708"/>
      <c r="X22" s="1712"/>
      <c r="Y22" s="1712"/>
      <c r="Z22" s="1712"/>
      <c r="AA22" s="1712"/>
      <c r="AB22" s="1712"/>
      <c r="AC22" s="1712"/>
      <c r="AD22" s="1712"/>
      <c r="AE22" s="1712"/>
      <c r="AF22" s="1712"/>
      <c r="AG22" s="1712"/>
      <c r="AH22" s="1712"/>
      <c r="AI22" s="1712"/>
      <c r="AJ22" s="1712"/>
      <c r="AK22" s="1712"/>
      <c r="AL22" s="1712"/>
      <c r="AM22" s="1712"/>
      <c r="AN22" s="1712"/>
      <c r="AO22" s="1712"/>
      <c r="AP22" s="1712"/>
      <c r="AQ22" s="1712"/>
      <c r="AR22" s="1712"/>
      <c r="AS22" s="1712"/>
      <c r="AT22" s="1712"/>
      <c r="AU22" s="1712"/>
      <c r="AV22" s="1712"/>
      <c r="AW22" s="1712"/>
      <c r="AX22" s="1713"/>
      <c r="AY22" s="1714" t="str">
        <f t="shared" si="2"/>
        <v/>
      </c>
      <c r="AZ22" s="1714" t="str">
        <f>IF(Obj_PA!D22="","",IF(AY22="","",Obj_PA!D22-AY22))</f>
        <v/>
      </c>
      <c r="BA22" s="150"/>
      <c r="BB22" s="150"/>
      <c r="BC22" s="150"/>
      <c r="BD22" s="150"/>
      <c r="BE22" s="150"/>
      <c r="BF22" s="150"/>
      <c r="BG22" s="150"/>
      <c r="BH22" s="150"/>
      <c r="BI22" s="150"/>
      <c r="BJ22" s="150"/>
      <c r="BK22" s="155" t="str">
        <f t="shared" si="4"/>
        <v/>
      </c>
      <c r="BL22" s="155" t="str">
        <f t="shared" si="5"/>
        <v/>
      </c>
      <c r="BM22" s="155" t="str">
        <f t="shared" si="6"/>
        <v/>
      </c>
      <c r="BN22" s="155" t="str">
        <f t="shared" si="7"/>
        <v/>
      </c>
      <c r="BO22" s="155" t="str">
        <f t="shared" si="8"/>
        <v/>
      </c>
      <c r="BP22" s="155" t="str">
        <f t="shared" si="9"/>
        <v/>
      </c>
      <c r="BQ22" s="155" t="str">
        <f t="shared" si="10"/>
        <v/>
      </c>
      <c r="BR22" s="155" t="str">
        <f t="shared" si="11"/>
        <v/>
      </c>
      <c r="BS22" s="155" t="str">
        <f t="shared" si="12"/>
        <v/>
      </c>
      <c r="BT22" s="155" t="str">
        <f t="shared" si="13"/>
        <v/>
      </c>
      <c r="BU22" s="155" t="str">
        <f t="shared" si="14"/>
        <v/>
      </c>
      <c r="BV22" s="155" t="str">
        <f t="shared" si="15"/>
        <v/>
      </c>
      <c r="BW22" s="155" t="str">
        <f t="shared" si="16"/>
        <v/>
      </c>
      <c r="BX22" s="155" t="str">
        <f t="shared" si="17"/>
        <v/>
      </c>
      <c r="BY22" s="155" t="str">
        <f t="shared" si="18"/>
        <v/>
      </c>
      <c r="BZ22" s="155" t="str">
        <f t="shared" si="19"/>
        <v/>
      </c>
      <c r="CA22" s="155" t="str">
        <f t="shared" si="20"/>
        <v/>
      </c>
      <c r="CB22" s="155" t="str">
        <f t="shared" si="21"/>
        <v/>
      </c>
      <c r="CC22" s="155" t="str">
        <f t="shared" si="22"/>
        <v/>
      </c>
      <c r="CD22" s="155" t="str">
        <f t="shared" si="23"/>
        <v/>
      </c>
      <c r="CE22" s="155" t="str">
        <f t="shared" si="24"/>
        <v/>
      </c>
      <c r="CF22" s="155" t="str">
        <f t="shared" si="25"/>
        <v/>
      </c>
      <c r="CG22" s="155" t="str">
        <f t="shared" si="26"/>
        <v/>
      </c>
      <c r="CH22" s="155" t="str">
        <f t="shared" si="27"/>
        <v/>
      </c>
      <c r="CI22" s="155" t="str">
        <f t="shared" si="28"/>
        <v/>
      </c>
      <c r="CJ22" s="155" t="str">
        <f t="shared" si="29"/>
        <v/>
      </c>
      <c r="CK22" s="155" t="str">
        <f t="shared" si="30"/>
        <v/>
      </c>
      <c r="CL22" s="155" t="str">
        <f t="shared" si="31"/>
        <v/>
      </c>
      <c r="CM22" s="155" t="str">
        <f t="shared" si="32"/>
        <v/>
      </c>
      <c r="CN22" s="155" t="str">
        <f t="shared" si="33"/>
        <v/>
      </c>
      <c r="CO22" s="155" t="str">
        <f t="shared" si="34"/>
        <v/>
      </c>
      <c r="CP22" s="155" t="str">
        <f t="shared" si="35"/>
        <v/>
      </c>
      <c r="CQ22" s="155" t="str">
        <f t="shared" si="36"/>
        <v/>
      </c>
      <c r="CR22" s="155" t="str">
        <f t="shared" si="37"/>
        <v/>
      </c>
      <c r="CS22" s="155" t="str">
        <f t="shared" si="38"/>
        <v/>
      </c>
      <c r="CT22" s="155" t="str">
        <f t="shared" si="39"/>
        <v/>
      </c>
      <c r="CU22" s="155" t="str">
        <f t="shared" si="40"/>
        <v/>
      </c>
      <c r="CV22" s="155" t="str">
        <f t="shared" si="41"/>
        <v/>
      </c>
      <c r="CW22" s="155" t="str">
        <f t="shared" si="42"/>
        <v/>
      </c>
      <c r="CX22" s="155" t="str">
        <f t="shared" si="43"/>
        <v/>
      </c>
    </row>
    <row r="23" spans="1:102" s="151" customFormat="1" ht="14.25" outlineLevel="1" x14ac:dyDescent="0.2">
      <c r="A23" s="146"/>
      <c r="B23" s="157" t="str">
        <f>Services!B23</f>
        <v>01C05</v>
      </c>
      <c r="C23" s="153" t="str">
        <f>Services!C23</f>
        <v>Gestion des tierces parties</v>
      </c>
      <c r="D23" s="149"/>
      <c r="E23" s="149"/>
      <c r="F23" s="149"/>
      <c r="G23" s="149"/>
      <c r="H23" s="149"/>
      <c r="I23" s="140" t="str">
        <f t="shared" si="0"/>
        <v/>
      </c>
      <c r="J23" s="141" t="str">
        <f t="shared" si="1"/>
        <v/>
      </c>
      <c r="K23" s="142"/>
      <c r="L23" s="142"/>
      <c r="M23" s="1708"/>
      <c r="N23" s="1708"/>
      <c r="O23" s="1708"/>
      <c r="P23" s="1708"/>
      <c r="Q23" s="1708"/>
      <c r="R23" s="1708"/>
      <c r="S23" s="1708"/>
      <c r="T23" s="1708"/>
      <c r="U23" s="1708"/>
      <c r="V23" s="1708"/>
      <c r="W23" s="1708"/>
      <c r="X23" s="1712"/>
      <c r="Y23" s="1712"/>
      <c r="Z23" s="1712"/>
      <c r="AA23" s="1712"/>
      <c r="AB23" s="1712"/>
      <c r="AC23" s="1712"/>
      <c r="AD23" s="1712"/>
      <c r="AE23" s="1712"/>
      <c r="AF23" s="1712"/>
      <c r="AG23" s="1712"/>
      <c r="AH23" s="1712"/>
      <c r="AI23" s="1712"/>
      <c r="AJ23" s="1712"/>
      <c r="AK23" s="1712"/>
      <c r="AL23" s="1712"/>
      <c r="AM23" s="1712"/>
      <c r="AN23" s="1712"/>
      <c r="AO23" s="1712"/>
      <c r="AP23" s="1712"/>
      <c r="AQ23" s="1712"/>
      <c r="AR23" s="1712"/>
      <c r="AS23" s="1712"/>
      <c r="AT23" s="1712"/>
      <c r="AU23" s="1712"/>
      <c r="AV23" s="1712"/>
      <c r="AW23" s="1712"/>
      <c r="AX23" s="1713"/>
      <c r="AY23" s="1714" t="str">
        <f t="shared" si="2"/>
        <v/>
      </c>
      <c r="AZ23" s="1714" t="str">
        <f>IF(Obj_PA!D23="","",IF(AY23="","",Obj_PA!D23-AY23))</f>
        <v/>
      </c>
      <c r="BA23" s="150"/>
      <c r="BB23" s="150"/>
      <c r="BC23" s="150"/>
      <c r="BD23" s="150"/>
      <c r="BE23" s="150"/>
      <c r="BF23" s="150"/>
      <c r="BG23" s="150"/>
      <c r="BH23" s="150"/>
      <c r="BI23" s="150"/>
      <c r="BJ23" s="150"/>
      <c r="BK23" s="155" t="str">
        <f t="shared" si="4"/>
        <v/>
      </c>
      <c r="BL23" s="155" t="str">
        <f t="shared" si="5"/>
        <v/>
      </c>
      <c r="BM23" s="155" t="str">
        <f t="shared" si="6"/>
        <v/>
      </c>
      <c r="BN23" s="155" t="str">
        <f t="shared" si="7"/>
        <v/>
      </c>
      <c r="BO23" s="155" t="str">
        <f t="shared" si="8"/>
        <v/>
      </c>
      <c r="BP23" s="155" t="str">
        <f t="shared" si="9"/>
        <v/>
      </c>
      <c r="BQ23" s="155" t="str">
        <f t="shared" si="10"/>
        <v/>
      </c>
      <c r="BR23" s="155" t="str">
        <f t="shared" si="11"/>
        <v/>
      </c>
      <c r="BS23" s="155" t="str">
        <f t="shared" si="12"/>
        <v/>
      </c>
      <c r="BT23" s="155" t="str">
        <f t="shared" si="13"/>
        <v/>
      </c>
      <c r="BU23" s="155" t="str">
        <f t="shared" si="14"/>
        <v/>
      </c>
      <c r="BV23" s="155" t="str">
        <f t="shared" si="15"/>
        <v/>
      </c>
      <c r="BW23" s="155" t="str">
        <f t="shared" si="16"/>
        <v/>
      </c>
      <c r="BX23" s="155" t="str">
        <f t="shared" si="17"/>
        <v/>
      </c>
      <c r="BY23" s="155" t="str">
        <f t="shared" si="18"/>
        <v/>
      </c>
      <c r="BZ23" s="155" t="str">
        <f t="shared" si="19"/>
        <v/>
      </c>
      <c r="CA23" s="155" t="str">
        <f t="shared" si="20"/>
        <v/>
      </c>
      <c r="CB23" s="155" t="str">
        <f t="shared" si="21"/>
        <v/>
      </c>
      <c r="CC23" s="155" t="str">
        <f t="shared" si="22"/>
        <v/>
      </c>
      <c r="CD23" s="155" t="str">
        <f t="shared" si="23"/>
        <v/>
      </c>
      <c r="CE23" s="155" t="str">
        <f t="shared" si="24"/>
        <v/>
      </c>
      <c r="CF23" s="155" t="str">
        <f t="shared" si="25"/>
        <v/>
      </c>
      <c r="CG23" s="155" t="str">
        <f t="shared" si="26"/>
        <v/>
      </c>
      <c r="CH23" s="155" t="str">
        <f t="shared" si="27"/>
        <v/>
      </c>
      <c r="CI23" s="155" t="str">
        <f t="shared" si="28"/>
        <v/>
      </c>
      <c r="CJ23" s="155" t="str">
        <f t="shared" si="29"/>
        <v/>
      </c>
      <c r="CK23" s="155" t="str">
        <f t="shared" si="30"/>
        <v/>
      </c>
      <c r="CL23" s="155" t="str">
        <f t="shared" si="31"/>
        <v/>
      </c>
      <c r="CM23" s="155" t="str">
        <f t="shared" si="32"/>
        <v/>
      </c>
      <c r="CN23" s="155" t="str">
        <f t="shared" si="33"/>
        <v/>
      </c>
      <c r="CO23" s="155" t="str">
        <f t="shared" si="34"/>
        <v/>
      </c>
      <c r="CP23" s="155" t="str">
        <f t="shared" si="35"/>
        <v/>
      </c>
      <c r="CQ23" s="155" t="str">
        <f t="shared" si="36"/>
        <v/>
      </c>
      <c r="CR23" s="155" t="str">
        <f t="shared" si="37"/>
        <v/>
      </c>
      <c r="CS23" s="155" t="str">
        <f t="shared" si="38"/>
        <v/>
      </c>
      <c r="CT23" s="155" t="str">
        <f t="shared" si="39"/>
        <v/>
      </c>
      <c r="CU23" s="155" t="str">
        <f t="shared" si="40"/>
        <v/>
      </c>
      <c r="CV23" s="155" t="str">
        <f t="shared" si="41"/>
        <v/>
      </c>
      <c r="CW23" s="155" t="str">
        <f t="shared" si="42"/>
        <v/>
      </c>
      <c r="CX23" s="155" t="str">
        <f t="shared" si="43"/>
        <v/>
      </c>
    </row>
    <row r="24" spans="1:102" s="151" customFormat="1" ht="14.25" outlineLevel="1" x14ac:dyDescent="0.2">
      <c r="A24" s="146"/>
      <c r="B24" s="157" t="str">
        <f>Services!B24</f>
        <v>01C06</v>
      </c>
      <c r="C24" s="153" t="str">
        <f>Services!C24</f>
        <v>Enregistrement des personnes</v>
      </c>
      <c r="D24" s="149"/>
      <c r="E24" s="149"/>
      <c r="F24" s="149"/>
      <c r="G24" s="149"/>
      <c r="H24" s="149"/>
      <c r="I24" s="140" t="str">
        <f t="shared" si="0"/>
        <v/>
      </c>
      <c r="J24" s="141" t="str">
        <f t="shared" si="1"/>
        <v/>
      </c>
      <c r="K24" s="142"/>
      <c r="L24" s="142"/>
      <c r="M24" s="1708"/>
      <c r="N24" s="1708"/>
      <c r="O24" s="1708"/>
      <c r="P24" s="1708"/>
      <c r="Q24" s="1708"/>
      <c r="R24" s="1708"/>
      <c r="S24" s="1708"/>
      <c r="T24" s="1708"/>
      <c r="U24" s="1708"/>
      <c r="V24" s="1708"/>
      <c r="W24" s="1708"/>
      <c r="X24" s="1712"/>
      <c r="Y24" s="1712"/>
      <c r="Z24" s="1712"/>
      <c r="AA24" s="1712"/>
      <c r="AB24" s="1712"/>
      <c r="AC24" s="1712"/>
      <c r="AD24" s="1712"/>
      <c r="AE24" s="1712"/>
      <c r="AF24" s="1712"/>
      <c r="AG24" s="1712"/>
      <c r="AH24" s="1712"/>
      <c r="AI24" s="1712"/>
      <c r="AJ24" s="1712"/>
      <c r="AK24" s="1712"/>
      <c r="AL24" s="1712"/>
      <c r="AM24" s="1712"/>
      <c r="AN24" s="1712"/>
      <c r="AO24" s="1712"/>
      <c r="AP24" s="1712"/>
      <c r="AQ24" s="1712"/>
      <c r="AR24" s="1712"/>
      <c r="AS24" s="1712"/>
      <c r="AT24" s="1712"/>
      <c r="AU24" s="1712"/>
      <c r="AV24" s="1712"/>
      <c r="AW24" s="1712"/>
      <c r="AX24" s="1713"/>
      <c r="AY24" s="1714" t="str">
        <f t="shared" si="2"/>
        <v/>
      </c>
      <c r="AZ24" s="1714" t="str">
        <f>IF(Obj_PA!D24="","",IF(AY24="","",Obj_PA!D24-AY24))</f>
        <v/>
      </c>
      <c r="BA24" s="150"/>
      <c r="BB24" s="150"/>
      <c r="BC24" s="150"/>
      <c r="BD24" s="150"/>
      <c r="BE24" s="150"/>
      <c r="BF24" s="150"/>
      <c r="BG24" s="150"/>
      <c r="BH24" s="150"/>
      <c r="BI24" s="150"/>
      <c r="BJ24" s="150"/>
      <c r="BK24" s="155" t="str">
        <f t="shared" si="4"/>
        <v/>
      </c>
      <c r="BL24" s="155" t="str">
        <f t="shared" si="5"/>
        <v/>
      </c>
      <c r="BM24" s="155" t="str">
        <f t="shared" si="6"/>
        <v/>
      </c>
      <c r="BN24" s="155" t="str">
        <f t="shared" si="7"/>
        <v/>
      </c>
      <c r="BO24" s="155" t="str">
        <f t="shared" si="8"/>
        <v/>
      </c>
      <c r="BP24" s="155" t="str">
        <f t="shared" si="9"/>
        <v/>
      </c>
      <c r="BQ24" s="155" t="str">
        <f t="shared" si="10"/>
        <v/>
      </c>
      <c r="BR24" s="155" t="str">
        <f t="shared" si="11"/>
        <v/>
      </c>
      <c r="BS24" s="155" t="str">
        <f t="shared" si="12"/>
        <v/>
      </c>
      <c r="BT24" s="155" t="str">
        <f t="shared" si="13"/>
        <v/>
      </c>
      <c r="BU24" s="155" t="str">
        <f t="shared" si="14"/>
        <v/>
      </c>
      <c r="BV24" s="155" t="str">
        <f t="shared" si="15"/>
        <v/>
      </c>
      <c r="BW24" s="155" t="str">
        <f t="shared" si="16"/>
        <v/>
      </c>
      <c r="BX24" s="155" t="str">
        <f t="shared" si="17"/>
        <v/>
      </c>
      <c r="BY24" s="155" t="str">
        <f t="shared" si="18"/>
        <v/>
      </c>
      <c r="BZ24" s="155" t="str">
        <f t="shared" si="19"/>
        <v/>
      </c>
      <c r="CA24" s="155" t="str">
        <f t="shared" si="20"/>
        <v/>
      </c>
      <c r="CB24" s="155" t="str">
        <f t="shared" si="21"/>
        <v/>
      </c>
      <c r="CC24" s="155" t="str">
        <f t="shared" si="22"/>
        <v/>
      </c>
      <c r="CD24" s="155" t="str">
        <f t="shared" si="23"/>
        <v/>
      </c>
      <c r="CE24" s="155" t="str">
        <f t="shared" si="24"/>
        <v/>
      </c>
      <c r="CF24" s="155" t="str">
        <f t="shared" si="25"/>
        <v/>
      </c>
      <c r="CG24" s="155" t="str">
        <f t="shared" si="26"/>
        <v/>
      </c>
      <c r="CH24" s="155" t="str">
        <f t="shared" si="27"/>
        <v/>
      </c>
      <c r="CI24" s="155" t="str">
        <f t="shared" si="28"/>
        <v/>
      </c>
      <c r="CJ24" s="155" t="str">
        <f t="shared" si="29"/>
        <v/>
      </c>
      <c r="CK24" s="155" t="str">
        <f t="shared" si="30"/>
        <v/>
      </c>
      <c r="CL24" s="155" t="str">
        <f t="shared" si="31"/>
        <v/>
      </c>
      <c r="CM24" s="155" t="str">
        <f t="shared" si="32"/>
        <v/>
      </c>
      <c r="CN24" s="155" t="str">
        <f t="shared" si="33"/>
        <v/>
      </c>
      <c r="CO24" s="155" t="str">
        <f t="shared" si="34"/>
        <v/>
      </c>
      <c r="CP24" s="155" t="str">
        <f t="shared" si="35"/>
        <v/>
      </c>
      <c r="CQ24" s="155" t="str">
        <f t="shared" si="36"/>
        <v/>
      </c>
      <c r="CR24" s="155" t="str">
        <f t="shared" si="37"/>
        <v/>
      </c>
      <c r="CS24" s="155" t="str">
        <f t="shared" si="38"/>
        <v/>
      </c>
      <c r="CT24" s="155" t="str">
        <f t="shared" si="39"/>
        <v/>
      </c>
      <c r="CU24" s="155" t="str">
        <f t="shared" si="40"/>
        <v/>
      </c>
      <c r="CV24" s="155" t="str">
        <f t="shared" si="41"/>
        <v/>
      </c>
      <c r="CW24" s="155" t="str">
        <f t="shared" si="42"/>
        <v/>
      </c>
      <c r="CX24" s="155" t="str">
        <f t="shared" si="43"/>
        <v/>
      </c>
    </row>
    <row r="25" spans="1:102" s="151" customFormat="1" ht="14.25" outlineLevel="1" x14ac:dyDescent="0.2">
      <c r="A25" s="146"/>
      <c r="B25" s="147" t="str">
        <f>Services!B25</f>
        <v>01D</v>
      </c>
      <c r="C25" s="148" t="str">
        <f>Services!C25</f>
        <v xml:space="preserve">Assurances </v>
      </c>
      <c r="D25" s="149"/>
      <c r="E25" s="149"/>
      <c r="F25" s="149"/>
      <c r="G25" s="149"/>
      <c r="H25" s="149"/>
      <c r="I25" s="140" t="str">
        <f t="shared" si="0"/>
        <v/>
      </c>
      <c r="J25" s="141" t="str">
        <f t="shared" si="1"/>
        <v/>
      </c>
      <c r="K25" s="142"/>
      <c r="L25" s="142"/>
      <c r="M25" s="1708"/>
      <c r="N25" s="1708"/>
      <c r="O25" s="1708"/>
      <c r="P25" s="1708"/>
      <c r="Q25" s="1708"/>
      <c r="R25" s="1708"/>
      <c r="S25" s="1708"/>
      <c r="T25" s="1708"/>
      <c r="U25" s="1708"/>
      <c r="V25" s="1708"/>
      <c r="W25" s="1708"/>
      <c r="X25" s="1712"/>
      <c r="Y25" s="1712"/>
      <c r="Z25" s="1712"/>
      <c r="AA25" s="1712"/>
      <c r="AB25" s="1712"/>
      <c r="AC25" s="1712"/>
      <c r="AD25" s="1712"/>
      <c r="AE25" s="1712"/>
      <c r="AF25" s="1712"/>
      <c r="AG25" s="1712"/>
      <c r="AH25" s="1712"/>
      <c r="AI25" s="1712"/>
      <c r="AJ25" s="1712"/>
      <c r="AK25" s="1712"/>
      <c r="AL25" s="1712"/>
      <c r="AM25" s="1712"/>
      <c r="AN25" s="1712"/>
      <c r="AO25" s="1712"/>
      <c r="AP25" s="1712"/>
      <c r="AQ25" s="1712"/>
      <c r="AR25" s="1712"/>
      <c r="AS25" s="1712"/>
      <c r="AT25" s="1712"/>
      <c r="AU25" s="1712"/>
      <c r="AV25" s="1712"/>
      <c r="AW25" s="1712"/>
      <c r="AX25" s="1713"/>
      <c r="AY25" s="1714" t="str">
        <f t="shared" si="2"/>
        <v/>
      </c>
      <c r="AZ25" s="1714" t="str">
        <f>IF(Obj_PA!D25="","",IF(AY25="","",Obj_PA!D25-AY25))</f>
        <v/>
      </c>
      <c r="BA25" s="150"/>
      <c r="BB25" s="150"/>
      <c r="BC25" s="150"/>
      <c r="BD25" s="150"/>
      <c r="BE25" s="150"/>
      <c r="BF25" s="150"/>
      <c r="BG25" s="150"/>
      <c r="BH25" s="150"/>
      <c r="BI25" s="150"/>
      <c r="BJ25" s="150"/>
      <c r="BK25" s="155" t="str">
        <f t="shared" si="4"/>
        <v/>
      </c>
      <c r="BL25" s="155" t="str">
        <f t="shared" si="5"/>
        <v/>
      </c>
      <c r="BM25" s="155" t="str">
        <f t="shared" si="6"/>
        <v/>
      </c>
      <c r="BN25" s="155" t="str">
        <f t="shared" si="7"/>
        <v/>
      </c>
      <c r="BO25" s="155" t="str">
        <f t="shared" si="8"/>
        <v/>
      </c>
      <c r="BP25" s="155" t="str">
        <f t="shared" si="9"/>
        <v/>
      </c>
      <c r="BQ25" s="155" t="str">
        <f t="shared" si="10"/>
        <v/>
      </c>
      <c r="BR25" s="155" t="str">
        <f t="shared" si="11"/>
        <v/>
      </c>
      <c r="BS25" s="155" t="str">
        <f t="shared" si="12"/>
        <v/>
      </c>
      <c r="BT25" s="155" t="str">
        <f t="shared" si="13"/>
        <v/>
      </c>
      <c r="BU25" s="155" t="str">
        <f t="shared" si="14"/>
        <v/>
      </c>
      <c r="BV25" s="155" t="str">
        <f t="shared" si="15"/>
        <v/>
      </c>
      <c r="BW25" s="155" t="str">
        <f t="shared" si="16"/>
        <v/>
      </c>
      <c r="BX25" s="155" t="str">
        <f t="shared" si="17"/>
        <v/>
      </c>
      <c r="BY25" s="155" t="str">
        <f t="shared" si="18"/>
        <v/>
      </c>
      <c r="BZ25" s="155" t="str">
        <f t="shared" si="19"/>
        <v/>
      </c>
      <c r="CA25" s="155" t="str">
        <f t="shared" si="20"/>
        <v/>
      </c>
      <c r="CB25" s="155" t="str">
        <f t="shared" si="21"/>
        <v/>
      </c>
      <c r="CC25" s="155" t="str">
        <f t="shared" si="22"/>
        <v/>
      </c>
      <c r="CD25" s="155" t="str">
        <f t="shared" si="23"/>
        <v/>
      </c>
      <c r="CE25" s="155" t="str">
        <f t="shared" si="24"/>
        <v/>
      </c>
      <c r="CF25" s="155" t="str">
        <f t="shared" si="25"/>
        <v/>
      </c>
      <c r="CG25" s="155" t="str">
        <f t="shared" si="26"/>
        <v/>
      </c>
      <c r="CH25" s="155" t="str">
        <f t="shared" si="27"/>
        <v/>
      </c>
      <c r="CI25" s="155" t="str">
        <f t="shared" si="28"/>
        <v/>
      </c>
      <c r="CJ25" s="155" t="str">
        <f t="shared" si="29"/>
        <v/>
      </c>
      <c r="CK25" s="155" t="str">
        <f t="shared" si="30"/>
        <v/>
      </c>
      <c r="CL25" s="155" t="str">
        <f t="shared" si="31"/>
        <v/>
      </c>
      <c r="CM25" s="155" t="str">
        <f t="shared" si="32"/>
        <v/>
      </c>
      <c r="CN25" s="155" t="str">
        <f t="shared" si="33"/>
        <v/>
      </c>
      <c r="CO25" s="155" t="str">
        <f t="shared" si="34"/>
        <v/>
      </c>
      <c r="CP25" s="155" t="str">
        <f t="shared" si="35"/>
        <v/>
      </c>
      <c r="CQ25" s="155" t="str">
        <f t="shared" si="36"/>
        <v/>
      </c>
      <c r="CR25" s="155" t="str">
        <f t="shared" si="37"/>
        <v/>
      </c>
      <c r="CS25" s="155" t="str">
        <f t="shared" si="38"/>
        <v/>
      </c>
      <c r="CT25" s="155" t="str">
        <f t="shared" si="39"/>
        <v/>
      </c>
      <c r="CU25" s="155" t="str">
        <f t="shared" si="40"/>
        <v/>
      </c>
      <c r="CV25" s="155" t="str">
        <f t="shared" si="41"/>
        <v/>
      </c>
      <c r="CW25" s="155" t="str">
        <f t="shared" si="42"/>
        <v/>
      </c>
      <c r="CX25" s="155" t="str">
        <f t="shared" si="43"/>
        <v/>
      </c>
    </row>
    <row r="26" spans="1:102" s="151" customFormat="1" ht="14.25" outlineLevel="1" x14ac:dyDescent="0.2">
      <c r="A26" s="146"/>
      <c r="B26" s="157" t="str">
        <f>Services!B26</f>
        <v>01D01</v>
      </c>
      <c r="C26" s="153" t="str">
        <f>Services!C26</f>
        <v>Assurance des dommages matériels</v>
      </c>
      <c r="D26" s="149"/>
      <c r="E26" s="149"/>
      <c r="F26" s="149"/>
      <c r="G26" s="149"/>
      <c r="H26" s="149"/>
      <c r="I26" s="140" t="str">
        <f t="shared" si="0"/>
        <v/>
      </c>
      <c r="J26" s="141" t="str">
        <f t="shared" si="1"/>
        <v/>
      </c>
      <c r="K26" s="142"/>
      <c r="L26" s="142"/>
      <c r="M26" s="1708"/>
      <c r="N26" s="1708"/>
      <c r="O26" s="1708"/>
      <c r="P26" s="1708"/>
      <c r="Q26" s="1708"/>
      <c r="R26" s="1708"/>
      <c r="S26" s="1708"/>
      <c r="T26" s="1708"/>
      <c r="U26" s="1708"/>
      <c r="V26" s="1708"/>
      <c r="W26" s="1708"/>
      <c r="X26" s="1712"/>
      <c r="Y26" s="1712"/>
      <c r="Z26" s="1712"/>
      <c r="AA26" s="1712"/>
      <c r="AB26" s="1712"/>
      <c r="AC26" s="1712"/>
      <c r="AD26" s="1712"/>
      <c r="AE26" s="1712"/>
      <c r="AF26" s="1712"/>
      <c r="AG26" s="1712"/>
      <c r="AH26" s="1712"/>
      <c r="AI26" s="1712"/>
      <c r="AJ26" s="1712"/>
      <c r="AK26" s="1712"/>
      <c r="AL26" s="1712"/>
      <c r="AM26" s="1712"/>
      <c r="AN26" s="1712"/>
      <c r="AO26" s="1712"/>
      <c r="AP26" s="1712"/>
      <c r="AQ26" s="1712"/>
      <c r="AR26" s="1712"/>
      <c r="AS26" s="1712"/>
      <c r="AT26" s="1712"/>
      <c r="AU26" s="1712"/>
      <c r="AV26" s="1712"/>
      <c r="AW26" s="1712"/>
      <c r="AX26" s="1713"/>
      <c r="AY26" s="1714" t="str">
        <f t="shared" si="2"/>
        <v/>
      </c>
      <c r="AZ26" s="1714" t="str">
        <f>IF(Obj_PA!D26="","",IF(AY26="","",Obj_PA!D26-AY26))</f>
        <v/>
      </c>
      <c r="BA26" s="150"/>
      <c r="BB26" s="150"/>
      <c r="BC26" s="150"/>
      <c r="BD26" s="150"/>
      <c r="BE26" s="150"/>
      <c r="BF26" s="150"/>
      <c r="BG26" s="150"/>
      <c r="BH26" s="150"/>
      <c r="BI26" s="150"/>
      <c r="BJ26" s="150"/>
      <c r="BK26" s="155" t="str">
        <f t="shared" si="4"/>
        <v/>
      </c>
      <c r="BL26" s="155" t="str">
        <f t="shared" si="5"/>
        <v/>
      </c>
      <c r="BM26" s="155" t="str">
        <f t="shared" si="6"/>
        <v/>
      </c>
      <c r="BN26" s="155" t="str">
        <f t="shared" si="7"/>
        <v/>
      </c>
      <c r="BO26" s="155" t="str">
        <f t="shared" si="8"/>
        <v/>
      </c>
      <c r="BP26" s="155" t="str">
        <f t="shared" si="9"/>
        <v/>
      </c>
      <c r="BQ26" s="155" t="str">
        <f t="shared" si="10"/>
        <v/>
      </c>
      <c r="BR26" s="155" t="str">
        <f t="shared" si="11"/>
        <v/>
      </c>
      <c r="BS26" s="155" t="str">
        <f t="shared" si="12"/>
        <v/>
      </c>
      <c r="BT26" s="155" t="str">
        <f t="shared" si="13"/>
        <v/>
      </c>
      <c r="BU26" s="155" t="str">
        <f t="shared" si="14"/>
        <v/>
      </c>
      <c r="BV26" s="155" t="str">
        <f t="shared" si="15"/>
        <v/>
      </c>
      <c r="BW26" s="155" t="str">
        <f t="shared" si="16"/>
        <v/>
      </c>
      <c r="BX26" s="155" t="str">
        <f t="shared" si="17"/>
        <v/>
      </c>
      <c r="BY26" s="155" t="str">
        <f t="shared" si="18"/>
        <v/>
      </c>
      <c r="BZ26" s="155" t="str">
        <f t="shared" si="19"/>
        <v/>
      </c>
      <c r="CA26" s="155" t="str">
        <f t="shared" si="20"/>
        <v/>
      </c>
      <c r="CB26" s="155" t="str">
        <f t="shared" si="21"/>
        <v/>
      </c>
      <c r="CC26" s="155" t="str">
        <f t="shared" si="22"/>
        <v/>
      </c>
      <c r="CD26" s="155" t="str">
        <f t="shared" si="23"/>
        <v/>
      </c>
      <c r="CE26" s="155" t="str">
        <f t="shared" si="24"/>
        <v/>
      </c>
      <c r="CF26" s="155" t="str">
        <f t="shared" si="25"/>
        <v/>
      </c>
      <c r="CG26" s="155" t="str">
        <f t="shared" si="26"/>
        <v/>
      </c>
      <c r="CH26" s="155" t="str">
        <f t="shared" si="27"/>
        <v/>
      </c>
      <c r="CI26" s="155" t="str">
        <f t="shared" si="28"/>
        <v/>
      </c>
      <c r="CJ26" s="155" t="str">
        <f t="shared" si="29"/>
        <v/>
      </c>
      <c r="CK26" s="155" t="str">
        <f t="shared" si="30"/>
        <v/>
      </c>
      <c r="CL26" s="155" t="str">
        <f t="shared" si="31"/>
        <v/>
      </c>
      <c r="CM26" s="155" t="str">
        <f t="shared" si="32"/>
        <v/>
      </c>
      <c r="CN26" s="155" t="str">
        <f t="shared" si="33"/>
        <v/>
      </c>
      <c r="CO26" s="155" t="str">
        <f t="shared" si="34"/>
        <v/>
      </c>
      <c r="CP26" s="155" t="str">
        <f t="shared" si="35"/>
        <v/>
      </c>
      <c r="CQ26" s="155" t="str">
        <f t="shared" si="36"/>
        <v/>
      </c>
      <c r="CR26" s="155" t="str">
        <f t="shared" si="37"/>
        <v/>
      </c>
      <c r="CS26" s="155" t="str">
        <f t="shared" si="38"/>
        <v/>
      </c>
      <c r="CT26" s="155" t="str">
        <f t="shared" si="39"/>
        <v/>
      </c>
      <c r="CU26" s="155" t="str">
        <f t="shared" si="40"/>
        <v/>
      </c>
      <c r="CV26" s="155" t="str">
        <f t="shared" si="41"/>
        <v/>
      </c>
      <c r="CW26" s="155" t="str">
        <f t="shared" si="42"/>
        <v/>
      </c>
      <c r="CX26" s="155" t="str">
        <f t="shared" si="43"/>
        <v/>
      </c>
    </row>
    <row r="27" spans="1:102" s="151" customFormat="1" ht="14.25" outlineLevel="1" x14ac:dyDescent="0.2">
      <c r="A27" s="146"/>
      <c r="B27" s="157" t="str">
        <f>Services!B27</f>
        <v>01D02</v>
      </c>
      <c r="C27" s="153" t="str">
        <f>Services!C27</f>
        <v>Assurance des dommages immatériels</v>
      </c>
      <c r="D27" s="149"/>
      <c r="E27" s="149"/>
      <c r="F27" s="149"/>
      <c r="G27" s="149"/>
      <c r="H27" s="149"/>
      <c r="I27" s="140" t="str">
        <f t="shared" si="0"/>
        <v/>
      </c>
      <c r="J27" s="141" t="str">
        <f t="shared" si="1"/>
        <v/>
      </c>
      <c r="K27" s="142"/>
      <c r="L27" s="142"/>
      <c r="M27" s="1708"/>
      <c r="N27" s="1708"/>
      <c r="O27" s="1708"/>
      <c r="P27" s="1708"/>
      <c r="Q27" s="1708"/>
      <c r="R27" s="1708"/>
      <c r="S27" s="1708"/>
      <c r="T27" s="1708"/>
      <c r="U27" s="1708"/>
      <c r="V27" s="1708"/>
      <c r="W27" s="1708"/>
      <c r="X27" s="1712"/>
      <c r="Y27" s="1712"/>
      <c r="Z27" s="1712"/>
      <c r="AA27" s="1712"/>
      <c r="AB27" s="1712"/>
      <c r="AC27" s="1712"/>
      <c r="AD27" s="1712"/>
      <c r="AE27" s="1712"/>
      <c r="AF27" s="1712"/>
      <c r="AG27" s="1712"/>
      <c r="AH27" s="1712"/>
      <c r="AI27" s="1712"/>
      <c r="AJ27" s="1712"/>
      <c r="AK27" s="1712"/>
      <c r="AL27" s="1712"/>
      <c r="AM27" s="1712"/>
      <c r="AN27" s="1712"/>
      <c r="AO27" s="1712"/>
      <c r="AP27" s="1712"/>
      <c r="AQ27" s="1712"/>
      <c r="AR27" s="1712"/>
      <c r="AS27" s="1712"/>
      <c r="AT27" s="1712"/>
      <c r="AU27" s="1712"/>
      <c r="AV27" s="1712"/>
      <c r="AW27" s="1712"/>
      <c r="AX27" s="1713"/>
      <c r="AY27" s="1714" t="str">
        <f t="shared" si="2"/>
        <v/>
      </c>
      <c r="AZ27" s="1714" t="str">
        <f>IF(Obj_PA!D27="","",IF(AY27="","",Obj_PA!D27-AY27))</f>
        <v/>
      </c>
      <c r="BA27" s="150"/>
      <c r="BB27" s="150"/>
      <c r="BC27" s="150"/>
      <c r="BD27" s="150"/>
      <c r="BE27" s="150"/>
      <c r="BF27" s="150"/>
      <c r="BG27" s="150"/>
      <c r="BH27" s="150"/>
      <c r="BI27" s="150"/>
      <c r="BJ27" s="150"/>
      <c r="BK27" s="155" t="str">
        <f t="shared" si="4"/>
        <v/>
      </c>
      <c r="BL27" s="155" t="str">
        <f t="shared" si="5"/>
        <v/>
      </c>
      <c r="BM27" s="155" t="str">
        <f t="shared" si="6"/>
        <v/>
      </c>
      <c r="BN27" s="155" t="str">
        <f t="shared" si="7"/>
        <v/>
      </c>
      <c r="BO27" s="155" t="str">
        <f t="shared" si="8"/>
        <v/>
      </c>
      <c r="BP27" s="155" t="str">
        <f t="shared" si="9"/>
        <v/>
      </c>
      <c r="BQ27" s="155" t="str">
        <f t="shared" si="10"/>
        <v/>
      </c>
      <c r="BR27" s="155" t="str">
        <f t="shared" si="11"/>
        <v/>
      </c>
      <c r="BS27" s="155" t="str">
        <f t="shared" si="12"/>
        <v/>
      </c>
      <c r="BT27" s="155" t="str">
        <f t="shared" si="13"/>
        <v/>
      </c>
      <c r="BU27" s="155" t="str">
        <f t="shared" si="14"/>
        <v/>
      </c>
      <c r="BV27" s="155" t="str">
        <f t="shared" si="15"/>
        <v/>
      </c>
      <c r="BW27" s="155" t="str">
        <f t="shared" si="16"/>
        <v/>
      </c>
      <c r="BX27" s="155" t="str">
        <f t="shared" si="17"/>
        <v/>
      </c>
      <c r="BY27" s="155" t="str">
        <f t="shared" si="18"/>
        <v/>
      </c>
      <c r="BZ27" s="155" t="str">
        <f t="shared" si="19"/>
        <v/>
      </c>
      <c r="CA27" s="155" t="str">
        <f t="shared" si="20"/>
        <v/>
      </c>
      <c r="CB27" s="155" t="str">
        <f t="shared" si="21"/>
        <v/>
      </c>
      <c r="CC27" s="155" t="str">
        <f t="shared" si="22"/>
        <v/>
      </c>
      <c r="CD27" s="155" t="str">
        <f t="shared" si="23"/>
        <v/>
      </c>
      <c r="CE27" s="155" t="str">
        <f t="shared" si="24"/>
        <v/>
      </c>
      <c r="CF27" s="155" t="str">
        <f t="shared" si="25"/>
        <v/>
      </c>
      <c r="CG27" s="155" t="str">
        <f t="shared" si="26"/>
        <v/>
      </c>
      <c r="CH27" s="155" t="str">
        <f t="shared" si="27"/>
        <v/>
      </c>
      <c r="CI27" s="155" t="str">
        <f t="shared" si="28"/>
        <v/>
      </c>
      <c r="CJ27" s="155" t="str">
        <f t="shared" si="29"/>
        <v/>
      </c>
      <c r="CK27" s="155" t="str">
        <f t="shared" si="30"/>
        <v/>
      </c>
      <c r="CL27" s="155" t="str">
        <f t="shared" si="31"/>
        <v/>
      </c>
      <c r="CM27" s="155" t="str">
        <f t="shared" si="32"/>
        <v/>
      </c>
      <c r="CN27" s="155" t="str">
        <f t="shared" si="33"/>
        <v/>
      </c>
      <c r="CO27" s="155" t="str">
        <f t="shared" si="34"/>
        <v/>
      </c>
      <c r="CP27" s="155" t="str">
        <f t="shared" si="35"/>
        <v/>
      </c>
      <c r="CQ27" s="155" t="str">
        <f t="shared" si="36"/>
        <v/>
      </c>
      <c r="CR27" s="155" t="str">
        <f t="shared" si="37"/>
        <v/>
      </c>
      <c r="CS27" s="155" t="str">
        <f t="shared" si="38"/>
        <v/>
      </c>
      <c r="CT27" s="155" t="str">
        <f t="shared" si="39"/>
        <v/>
      </c>
      <c r="CU27" s="155" t="str">
        <f t="shared" si="40"/>
        <v/>
      </c>
      <c r="CV27" s="155" t="str">
        <f t="shared" si="41"/>
        <v/>
      </c>
      <c r="CW27" s="155" t="str">
        <f t="shared" si="42"/>
        <v/>
      </c>
      <c r="CX27" s="155" t="str">
        <f t="shared" si="43"/>
        <v/>
      </c>
    </row>
    <row r="28" spans="1:102" s="151" customFormat="1" ht="14.25" outlineLevel="1" x14ac:dyDescent="0.2">
      <c r="A28" s="146"/>
      <c r="B28" s="157" t="str">
        <f>Services!B28</f>
        <v>01D03</v>
      </c>
      <c r="C28" s="153" t="str">
        <f>Services!C28</f>
        <v>Assurance Responsabilité Civile (RC)</v>
      </c>
      <c r="D28" s="149"/>
      <c r="E28" s="149"/>
      <c r="F28" s="149"/>
      <c r="G28" s="149"/>
      <c r="H28" s="149"/>
      <c r="I28" s="140" t="str">
        <f t="shared" si="0"/>
        <v/>
      </c>
      <c r="J28" s="141" t="str">
        <f t="shared" si="1"/>
        <v/>
      </c>
      <c r="K28" s="142"/>
      <c r="L28" s="142"/>
      <c r="M28" s="1708"/>
      <c r="N28" s="1708"/>
      <c r="O28" s="1708"/>
      <c r="P28" s="1708"/>
      <c r="Q28" s="1708"/>
      <c r="R28" s="1708"/>
      <c r="S28" s="1708"/>
      <c r="T28" s="1708"/>
      <c r="U28" s="1708"/>
      <c r="V28" s="1708"/>
      <c r="W28" s="1708"/>
      <c r="X28" s="1712"/>
      <c r="Y28" s="1712"/>
      <c r="Z28" s="1712"/>
      <c r="AA28" s="1712"/>
      <c r="AB28" s="1712"/>
      <c r="AC28" s="1712"/>
      <c r="AD28" s="1712"/>
      <c r="AE28" s="1712"/>
      <c r="AF28" s="1712"/>
      <c r="AG28" s="1712"/>
      <c r="AH28" s="1712"/>
      <c r="AI28" s="1712"/>
      <c r="AJ28" s="1712"/>
      <c r="AK28" s="1712"/>
      <c r="AL28" s="1712"/>
      <c r="AM28" s="1712"/>
      <c r="AN28" s="1712"/>
      <c r="AO28" s="1712"/>
      <c r="AP28" s="1712"/>
      <c r="AQ28" s="1712"/>
      <c r="AR28" s="1712"/>
      <c r="AS28" s="1712"/>
      <c r="AT28" s="1712"/>
      <c r="AU28" s="1712"/>
      <c r="AV28" s="1712"/>
      <c r="AW28" s="1712"/>
      <c r="AX28" s="1713"/>
      <c r="AY28" s="1714" t="str">
        <f t="shared" si="2"/>
        <v/>
      </c>
      <c r="AZ28" s="1714" t="str">
        <f>IF(Obj_PA!D28="","",IF(AY28="","",Obj_PA!D28-AY28))</f>
        <v/>
      </c>
      <c r="BA28" s="150"/>
      <c r="BB28" s="150"/>
      <c r="BC28" s="150"/>
      <c r="BD28" s="150"/>
      <c r="BE28" s="150"/>
      <c r="BF28" s="150"/>
      <c r="BG28" s="150"/>
      <c r="BH28" s="150"/>
      <c r="BI28" s="150"/>
      <c r="BJ28" s="150"/>
      <c r="BK28" s="155" t="str">
        <f t="shared" si="4"/>
        <v/>
      </c>
      <c r="BL28" s="155" t="str">
        <f t="shared" si="5"/>
        <v/>
      </c>
      <c r="BM28" s="155" t="str">
        <f t="shared" si="6"/>
        <v/>
      </c>
      <c r="BN28" s="155" t="str">
        <f t="shared" si="7"/>
        <v/>
      </c>
      <c r="BO28" s="155" t="str">
        <f t="shared" si="8"/>
        <v/>
      </c>
      <c r="BP28" s="155" t="str">
        <f t="shared" si="9"/>
        <v/>
      </c>
      <c r="BQ28" s="155" t="str">
        <f t="shared" si="10"/>
        <v/>
      </c>
      <c r="BR28" s="155" t="str">
        <f t="shared" si="11"/>
        <v/>
      </c>
      <c r="BS28" s="155" t="str">
        <f t="shared" si="12"/>
        <v/>
      </c>
      <c r="BT28" s="155" t="str">
        <f t="shared" si="13"/>
        <v/>
      </c>
      <c r="BU28" s="155" t="str">
        <f t="shared" si="14"/>
        <v/>
      </c>
      <c r="BV28" s="155" t="str">
        <f t="shared" si="15"/>
        <v/>
      </c>
      <c r="BW28" s="155" t="str">
        <f t="shared" si="16"/>
        <v/>
      </c>
      <c r="BX28" s="155" t="str">
        <f t="shared" si="17"/>
        <v/>
      </c>
      <c r="BY28" s="155" t="str">
        <f t="shared" si="18"/>
        <v/>
      </c>
      <c r="BZ28" s="155" t="str">
        <f t="shared" si="19"/>
        <v/>
      </c>
      <c r="CA28" s="155" t="str">
        <f t="shared" si="20"/>
        <v/>
      </c>
      <c r="CB28" s="155" t="str">
        <f t="shared" si="21"/>
        <v/>
      </c>
      <c r="CC28" s="155" t="str">
        <f t="shared" si="22"/>
        <v/>
      </c>
      <c r="CD28" s="155" t="str">
        <f t="shared" si="23"/>
        <v/>
      </c>
      <c r="CE28" s="155" t="str">
        <f t="shared" si="24"/>
        <v/>
      </c>
      <c r="CF28" s="155" t="str">
        <f t="shared" si="25"/>
        <v/>
      </c>
      <c r="CG28" s="155" t="str">
        <f t="shared" si="26"/>
        <v/>
      </c>
      <c r="CH28" s="155" t="str">
        <f t="shared" si="27"/>
        <v/>
      </c>
      <c r="CI28" s="155" t="str">
        <f t="shared" si="28"/>
        <v/>
      </c>
      <c r="CJ28" s="155" t="str">
        <f t="shared" si="29"/>
        <v/>
      </c>
      <c r="CK28" s="155" t="str">
        <f t="shared" si="30"/>
        <v/>
      </c>
      <c r="CL28" s="155" t="str">
        <f t="shared" si="31"/>
        <v/>
      </c>
      <c r="CM28" s="155" t="str">
        <f t="shared" si="32"/>
        <v/>
      </c>
      <c r="CN28" s="155" t="str">
        <f t="shared" si="33"/>
        <v/>
      </c>
      <c r="CO28" s="155" t="str">
        <f t="shared" si="34"/>
        <v/>
      </c>
      <c r="CP28" s="155" t="str">
        <f t="shared" si="35"/>
        <v/>
      </c>
      <c r="CQ28" s="155" t="str">
        <f t="shared" si="36"/>
        <v/>
      </c>
      <c r="CR28" s="155" t="str">
        <f t="shared" si="37"/>
        <v/>
      </c>
      <c r="CS28" s="155" t="str">
        <f t="shared" si="38"/>
        <v/>
      </c>
      <c r="CT28" s="155" t="str">
        <f t="shared" si="39"/>
        <v/>
      </c>
      <c r="CU28" s="155" t="str">
        <f t="shared" si="40"/>
        <v/>
      </c>
      <c r="CV28" s="155" t="str">
        <f t="shared" si="41"/>
        <v/>
      </c>
      <c r="CW28" s="155" t="str">
        <f t="shared" si="42"/>
        <v/>
      </c>
      <c r="CX28" s="155" t="str">
        <f t="shared" si="43"/>
        <v/>
      </c>
    </row>
    <row r="29" spans="1:102" s="151" customFormat="1" ht="14.25" outlineLevel="1" x14ac:dyDescent="0.2">
      <c r="A29" s="146"/>
      <c r="B29" s="157" t="str">
        <f>Services!B29</f>
        <v>01D04</v>
      </c>
      <c r="C29" s="153" t="str">
        <f>Services!C29</f>
        <v>Assurance Perte de Personnages clés</v>
      </c>
      <c r="D29" s="149"/>
      <c r="E29" s="149"/>
      <c r="F29" s="149"/>
      <c r="G29" s="149"/>
      <c r="H29" s="149"/>
      <c r="I29" s="140" t="str">
        <f t="shared" si="0"/>
        <v/>
      </c>
      <c r="J29" s="141" t="str">
        <f t="shared" si="1"/>
        <v/>
      </c>
      <c r="K29" s="142"/>
      <c r="L29" s="142"/>
      <c r="M29" s="1708"/>
      <c r="N29" s="1708"/>
      <c r="O29" s="1708"/>
      <c r="P29" s="1708"/>
      <c r="Q29" s="1708"/>
      <c r="R29" s="1708"/>
      <c r="S29" s="1708"/>
      <c r="T29" s="1708"/>
      <c r="U29" s="1708"/>
      <c r="V29" s="1708"/>
      <c r="W29" s="1708"/>
      <c r="X29" s="1712"/>
      <c r="Y29" s="1712"/>
      <c r="Z29" s="1712"/>
      <c r="AA29" s="1712"/>
      <c r="AB29" s="1712"/>
      <c r="AC29" s="1712"/>
      <c r="AD29" s="1712"/>
      <c r="AE29" s="1712"/>
      <c r="AF29" s="1712"/>
      <c r="AG29" s="1712"/>
      <c r="AH29" s="1712"/>
      <c r="AI29" s="1712"/>
      <c r="AJ29" s="1712"/>
      <c r="AK29" s="1712"/>
      <c r="AL29" s="1712"/>
      <c r="AM29" s="1712"/>
      <c r="AN29" s="1712"/>
      <c r="AO29" s="1712"/>
      <c r="AP29" s="1712"/>
      <c r="AQ29" s="1712"/>
      <c r="AR29" s="1712"/>
      <c r="AS29" s="1712"/>
      <c r="AT29" s="1712"/>
      <c r="AU29" s="1712"/>
      <c r="AV29" s="1712"/>
      <c r="AW29" s="1712"/>
      <c r="AX29" s="1713"/>
      <c r="AY29" s="1714" t="str">
        <f t="shared" si="2"/>
        <v/>
      </c>
      <c r="AZ29" s="1714" t="str">
        <f>IF(Obj_PA!D29="","",IF(AY29="","",Obj_PA!D29-AY29))</f>
        <v/>
      </c>
      <c r="BA29" s="150"/>
      <c r="BB29" s="150"/>
      <c r="BC29" s="150"/>
      <c r="BD29" s="150"/>
      <c r="BE29" s="150"/>
      <c r="BF29" s="150"/>
      <c r="BG29" s="150"/>
      <c r="BH29" s="150"/>
      <c r="BI29" s="150"/>
      <c r="BJ29" s="150"/>
      <c r="BK29" s="155" t="str">
        <f t="shared" si="4"/>
        <v/>
      </c>
      <c r="BL29" s="155" t="str">
        <f t="shared" si="5"/>
        <v/>
      </c>
      <c r="BM29" s="155" t="str">
        <f t="shared" si="6"/>
        <v/>
      </c>
      <c r="BN29" s="155" t="str">
        <f t="shared" si="7"/>
        <v/>
      </c>
      <c r="BO29" s="155" t="str">
        <f t="shared" si="8"/>
        <v/>
      </c>
      <c r="BP29" s="155" t="str">
        <f t="shared" si="9"/>
        <v/>
      </c>
      <c r="BQ29" s="155" t="str">
        <f t="shared" si="10"/>
        <v/>
      </c>
      <c r="BR29" s="155" t="str">
        <f t="shared" si="11"/>
        <v/>
      </c>
      <c r="BS29" s="155" t="str">
        <f t="shared" si="12"/>
        <v/>
      </c>
      <c r="BT29" s="155" t="str">
        <f t="shared" si="13"/>
        <v/>
      </c>
      <c r="BU29" s="155" t="str">
        <f t="shared" si="14"/>
        <v/>
      </c>
      <c r="BV29" s="155" t="str">
        <f t="shared" si="15"/>
        <v/>
      </c>
      <c r="BW29" s="155" t="str">
        <f t="shared" si="16"/>
        <v/>
      </c>
      <c r="BX29" s="155" t="str">
        <f t="shared" si="17"/>
        <v/>
      </c>
      <c r="BY29" s="155" t="str">
        <f t="shared" si="18"/>
        <v/>
      </c>
      <c r="BZ29" s="155" t="str">
        <f t="shared" si="19"/>
        <v/>
      </c>
      <c r="CA29" s="155" t="str">
        <f t="shared" si="20"/>
        <v/>
      </c>
      <c r="CB29" s="155" t="str">
        <f t="shared" si="21"/>
        <v/>
      </c>
      <c r="CC29" s="155" t="str">
        <f t="shared" si="22"/>
        <v/>
      </c>
      <c r="CD29" s="155" t="str">
        <f t="shared" si="23"/>
        <v/>
      </c>
      <c r="CE29" s="155" t="str">
        <f t="shared" si="24"/>
        <v/>
      </c>
      <c r="CF29" s="155" t="str">
        <f t="shared" si="25"/>
        <v/>
      </c>
      <c r="CG29" s="155" t="str">
        <f t="shared" si="26"/>
        <v/>
      </c>
      <c r="CH29" s="155" t="str">
        <f t="shared" si="27"/>
        <v/>
      </c>
      <c r="CI29" s="155" t="str">
        <f t="shared" si="28"/>
        <v/>
      </c>
      <c r="CJ29" s="155" t="str">
        <f t="shared" si="29"/>
        <v/>
      </c>
      <c r="CK29" s="155" t="str">
        <f t="shared" si="30"/>
        <v/>
      </c>
      <c r="CL29" s="155" t="str">
        <f t="shared" si="31"/>
        <v/>
      </c>
      <c r="CM29" s="155" t="str">
        <f t="shared" si="32"/>
        <v/>
      </c>
      <c r="CN29" s="155" t="str">
        <f t="shared" si="33"/>
        <v/>
      </c>
      <c r="CO29" s="155" t="str">
        <f t="shared" si="34"/>
        <v/>
      </c>
      <c r="CP29" s="155" t="str">
        <f t="shared" si="35"/>
        <v/>
      </c>
      <c r="CQ29" s="155" t="str">
        <f t="shared" si="36"/>
        <v/>
      </c>
      <c r="CR29" s="155" t="str">
        <f t="shared" si="37"/>
        <v/>
      </c>
      <c r="CS29" s="155" t="str">
        <f t="shared" si="38"/>
        <v/>
      </c>
      <c r="CT29" s="155" t="str">
        <f t="shared" si="39"/>
        <v/>
      </c>
      <c r="CU29" s="155" t="str">
        <f t="shared" si="40"/>
        <v/>
      </c>
      <c r="CV29" s="155" t="str">
        <f t="shared" si="41"/>
        <v/>
      </c>
      <c r="CW29" s="155" t="str">
        <f t="shared" si="42"/>
        <v/>
      </c>
      <c r="CX29" s="155" t="str">
        <f t="shared" si="43"/>
        <v/>
      </c>
    </row>
    <row r="30" spans="1:102" s="151" customFormat="1" ht="14.25" outlineLevel="1" x14ac:dyDescent="0.2">
      <c r="A30" s="146"/>
      <c r="B30" s="157" t="str">
        <f>Services!B30</f>
        <v>01D05</v>
      </c>
      <c r="C30" s="153" t="str">
        <f>Services!C30</f>
        <v>Gestion des contrats d'assurance</v>
      </c>
      <c r="D30" s="149"/>
      <c r="E30" s="149"/>
      <c r="F30" s="149"/>
      <c r="G30" s="149"/>
      <c r="H30" s="149"/>
      <c r="I30" s="140" t="str">
        <f t="shared" si="0"/>
        <v/>
      </c>
      <c r="J30" s="141" t="str">
        <f t="shared" si="1"/>
        <v/>
      </c>
      <c r="K30" s="142"/>
      <c r="L30" s="142"/>
      <c r="M30" s="1708"/>
      <c r="N30" s="1708"/>
      <c r="O30" s="1708"/>
      <c r="P30" s="1708"/>
      <c r="Q30" s="1708"/>
      <c r="R30" s="1708"/>
      <c r="S30" s="1708"/>
      <c r="T30" s="1708"/>
      <c r="U30" s="1708"/>
      <c r="V30" s="1708"/>
      <c r="W30" s="1708"/>
      <c r="X30" s="1712"/>
      <c r="Y30" s="1712"/>
      <c r="Z30" s="1712"/>
      <c r="AA30" s="1712"/>
      <c r="AB30" s="1712"/>
      <c r="AC30" s="1712"/>
      <c r="AD30" s="1712"/>
      <c r="AE30" s="1712"/>
      <c r="AF30" s="1712"/>
      <c r="AG30" s="1712"/>
      <c r="AH30" s="1712"/>
      <c r="AI30" s="1712"/>
      <c r="AJ30" s="1712"/>
      <c r="AK30" s="1712"/>
      <c r="AL30" s="1712"/>
      <c r="AM30" s="1712"/>
      <c r="AN30" s="1712"/>
      <c r="AO30" s="1712"/>
      <c r="AP30" s="1712"/>
      <c r="AQ30" s="1712"/>
      <c r="AR30" s="1712"/>
      <c r="AS30" s="1712"/>
      <c r="AT30" s="1712"/>
      <c r="AU30" s="1712"/>
      <c r="AV30" s="1712"/>
      <c r="AW30" s="1712"/>
      <c r="AX30" s="1713"/>
      <c r="AY30" s="1714" t="str">
        <f t="shared" si="2"/>
        <v/>
      </c>
      <c r="AZ30" s="1714" t="str">
        <f>IF(Obj_PA!D30="","",IF(AY30="","",Obj_PA!D30-AY30))</f>
        <v/>
      </c>
      <c r="BA30" s="150"/>
      <c r="BB30" s="150"/>
      <c r="BC30" s="150"/>
      <c r="BD30" s="150"/>
      <c r="BE30" s="150"/>
      <c r="BF30" s="150"/>
      <c r="BG30" s="150"/>
      <c r="BH30" s="150"/>
      <c r="BI30" s="150"/>
      <c r="BJ30" s="150"/>
      <c r="BK30" s="155" t="str">
        <f t="shared" si="4"/>
        <v/>
      </c>
      <c r="BL30" s="155" t="str">
        <f t="shared" si="5"/>
        <v/>
      </c>
      <c r="BM30" s="155" t="str">
        <f t="shared" si="6"/>
        <v/>
      </c>
      <c r="BN30" s="155" t="str">
        <f t="shared" si="7"/>
        <v/>
      </c>
      <c r="BO30" s="155" t="str">
        <f t="shared" si="8"/>
        <v/>
      </c>
      <c r="BP30" s="155" t="str">
        <f t="shared" si="9"/>
        <v/>
      </c>
      <c r="BQ30" s="155" t="str">
        <f t="shared" si="10"/>
        <v/>
      </c>
      <c r="BR30" s="155" t="str">
        <f t="shared" si="11"/>
        <v/>
      </c>
      <c r="BS30" s="155" t="str">
        <f t="shared" si="12"/>
        <v/>
      </c>
      <c r="BT30" s="155" t="str">
        <f t="shared" si="13"/>
        <v/>
      </c>
      <c r="BU30" s="155" t="str">
        <f t="shared" si="14"/>
        <v/>
      </c>
      <c r="BV30" s="155" t="str">
        <f t="shared" si="15"/>
        <v/>
      </c>
      <c r="BW30" s="155" t="str">
        <f t="shared" si="16"/>
        <v/>
      </c>
      <c r="BX30" s="155" t="str">
        <f t="shared" si="17"/>
        <v/>
      </c>
      <c r="BY30" s="155" t="str">
        <f t="shared" si="18"/>
        <v/>
      </c>
      <c r="BZ30" s="155" t="str">
        <f t="shared" si="19"/>
        <v/>
      </c>
      <c r="CA30" s="155" t="str">
        <f t="shared" si="20"/>
        <v/>
      </c>
      <c r="CB30" s="155" t="str">
        <f t="shared" si="21"/>
        <v/>
      </c>
      <c r="CC30" s="155" t="str">
        <f t="shared" si="22"/>
        <v/>
      </c>
      <c r="CD30" s="155" t="str">
        <f t="shared" si="23"/>
        <v/>
      </c>
      <c r="CE30" s="155" t="str">
        <f t="shared" si="24"/>
        <v/>
      </c>
      <c r="CF30" s="155" t="str">
        <f t="shared" si="25"/>
        <v/>
      </c>
      <c r="CG30" s="155" t="str">
        <f t="shared" si="26"/>
        <v/>
      </c>
      <c r="CH30" s="155" t="str">
        <f t="shared" si="27"/>
        <v/>
      </c>
      <c r="CI30" s="155" t="str">
        <f t="shared" si="28"/>
        <v/>
      </c>
      <c r="CJ30" s="155" t="str">
        <f t="shared" si="29"/>
        <v/>
      </c>
      <c r="CK30" s="155" t="str">
        <f t="shared" si="30"/>
        <v/>
      </c>
      <c r="CL30" s="155" t="str">
        <f t="shared" si="31"/>
        <v/>
      </c>
      <c r="CM30" s="155" t="str">
        <f t="shared" si="32"/>
        <v/>
      </c>
      <c r="CN30" s="155" t="str">
        <f t="shared" si="33"/>
        <v/>
      </c>
      <c r="CO30" s="155" t="str">
        <f t="shared" si="34"/>
        <v/>
      </c>
      <c r="CP30" s="155" t="str">
        <f t="shared" si="35"/>
        <v/>
      </c>
      <c r="CQ30" s="155" t="str">
        <f t="shared" si="36"/>
        <v/>
      </c>
      <c r="CR30" s="155" t="str">
        <f t="shared" si="37"/>
        <v/>
      </c>
      <c r="CS30" s="155" t="str">
        <f t="shared" si="38"/>
        <v/>
      </c>
      <c r="CT30" s="155" t="str">
        <f t="shared" si="39"/>
        <v/>
      </c>
      <c r="CU30" s="155" t="str">
        <f t="shared" si="40"/>
        <v/>
      </c>
      <c r="CV30" s="155" t="str">
        <f t="shared" si="41"/>
        <v/>
      </c>
      <c r="CW30" s="155" t="str">
        <f t="shared" si="42"/>
        <v/>
      </c>
      <c r="CX30" s="155" t="str">
        <f t="shared" si="43"/>
        <v/>
      </c>
    </row>
    <row r="31" spans="1:102" s="151" customFormat="1" ht="14.25" outlineLevel="1" x14ac:dyDescent="0.2">
      <c r="A31" s="146"/>
      <c r="B31" s="147" t="str">
        <f>Services!B31</f>
        <v>01E</v>
      </c>
      <c r="C31" s="148" t="str">
        <f>Services!C31</f>
        <v>Continuité de l'activité</v>
      </c>
      <c r="D31" s="149"/>
      <c r="E31" s="149"/>
      <c r="F31" s="149"/>
      <c r="G31" s="149"/>
      <c r="H31" s="149"/>
      <c r="I31" s="140" t="str">
        <f t="shared" si="0"/>
        <v/>
      </c>
      <c r="J31" s="141" t="str">
        <f t="shared" si="1"/>
        <v/>
      </c>
      <c r="K31" s="142"/>
      <c r="L31" s="142"/>
      <c r="M31" s="1708"/>
      <c r="N31" s="1708"/>
      <c r="O31" s="1708"/>
      <c r="P31" s="1708"/>
      <c r="Q31" s="1708"/>
      <c r="R31" s="1708"/>
      <c r="S31" s="1708"/>
      <c r="T31" s="1708"/>
      <c r="U31" s="1708"/>
      <c r="V31" s="1708"/>
      <c r="W31" s="1708"/>
      <c r="X31" s="1712"/>
      <c r="Y31" s="1712"/>
      <c r="Z31" s="1712"/>
      <c r="AA31" s="1712"/>
      <c r="AB31" s="1712"/>
      <c r="AC31" s="1712"/>
      <c r="AD31" s="1712"/>
      <c r="AE31" s="1712"/>
      <c r="AF31" s="1712"/>
      <c r="AG31" s="1712"/>
      <c r="AH31" s="1712"/>
      <c r="AI31" s="1712"/>
      <c r="AJ31" s="1712"/>
      <c r="AK31" s="1712"/>
      <c r="AL31" s="1712"/>
      <c r="AM31" s="1712"/>
      <c r="AN31" s="1712"/>
      <c r="AO31" s="1712"/>
      <c r="AP31" s="1712"/>
      <c r="AQ31" s="1712"/>
      <c r="AR31" s="1712"/>
      <c r="AS31" s="1712"/>
      <c r="AT31" s="1712"/>
      <c r="AU31" s="1712"/>
      <c r="AV31" s="1712"/>
      <c r="AW31" s="1712"/>
      <c r="AX31" s="1713"/>
      <c r="AY31" s="1714" t="str">
        <f t="shared" si="2"/>
        <v/>
      </c>
      <c r="AZ31" s="1714" t="str">
        <f>IF(Obj_PA!D31="","",IF(AY31="","",Obj_PA!D31-AY31))</f>
        <v/>
      </c>
      <c r="BA31" s="150"/>
      <c r="BB31" s="150"/>
      <c r="BC31" s="150"/>
      <c r="BD31" s="150"/>
      <c r="BE31" s="150"/>
      <c r="BF31" s="150"/>
      <c r="BG31" s="150"/>
      <c r="BH31" s="150"/>
      <c r="BI31" s="150"/>
      <c r="BJ31" s="150"/>
      <c r="BK31" s="155" t="str">
        <f t="shared" si="4"/>
        <v/>
      </c>
      <c r="BL31" s="155" t="str">
        <f t="shared" si="5"/>
        <v/>
      </c>
      <c r="BM31" s="155" t="str">
        <f t="shared" si="6"/>
        <v/>
      </c>
      <c r="BN31" s="155" t="str">
        <f t="shared" si="7"/>
        <v/>
      </c>
      <c r="BO31" s="155" t="str">
        <f t="shared" si="8"/>
        <v/>
      </c>
      <c r="BP31" s="155" t="str">
        <f t="shared" si="9"/>
        <v/>
      </c>
      <c r="BQ31" s="155" t="str">
        <f t="shared" si="10"/>
        <v/>
      </c>
      <c r="BR31" s="155" t="str">
        <f t="shared" si="11"/>
        <v/>
      </c>
      <c r="BS31" s="155" t="str">
        <f t="shared" si="12"/>
        <v/>
      </c>
      <c r="BT31" s="155" t="str">
        <f t="shared" si="13"/>
        <v/>
      </c>
      <c r="BU31" s="155" t="str">
        <f t="shared" si="14"/>
        <v/>
      </c>
      <c r="BV31" s="155" t="str">
        <f t="shared" si="15"/>
        <v/>
      </c>
      <c r="BW31" s="155" t="str">
        <f t="shared" si="16"/>
        <v/>
      </c>
      <c r="BX31" s="155" t="str">
        <f t="shared" si="17"/>
        <v/>
      </c>
      <c r="BY31" s="155" t="str">
        <f t="shared" si="18"/>
        <v/>
      </c>
      <c r="BZ31" s="155" t="str">
        <f t="shared" si="19"/>
        <v/>
      </c>
      <c r="CA31" s="155" t="str">
        <f t="shared" si="20"/>
        <v/>
      </c>
      <c r="CB31" s="155" t="str">
        <f t="shared" si="21"/>
        <v/>
      </c>
      <c r="CC31" s="155" t="str">
        <f t="shared" si="22"/>
        <v/>
      </c>
      <c r="CD31" s="155" t="str">
        <f t="shared" si="23"/>
        <v/>
      </c>
      <c r="CE31" s="155" t="str">
        <f t="shared" si="24"/>
        <v/>
      </c>
      <c r="CF31" s="155" t="str">
        <f t="shared" si="25"/>
        <v/>
      </c>
      <c r="CG31" s="155" t="str">
        <f t="shared" si="26"/>
        <v/>
      </c>
      <c r="CH31" s="155" t="str">
        <f t="shared" si="27"/>
        <v/>
      </c>
      <c r="CI31" s="155" t="str">
        <f t="shared" si="28"/>
        <v/>
      </c>
      <c r="CJ31" s="155" t="str">
        <f t="shared" si="29"/>
        <v/>
      </c>
      <c r="CK31" s="155" t="str">
        <f t="shared" si="30"/>
        <v/>
      </c>
      <c r="CL31" s="155" t="str">
        <f t="shared" si="31"/>
        <v/>
      </c>
      <c r="CM31" s="155" t="str">
        <f t="shared" si="32"/>
        <v/>
      </c>
      <c r="CN31" s="155" t="str">
        <f t="shared" si="33"/>
        <v/>
      </c>
      <c r="CO31" s="155" t="str">
        <f t="shared" si="34"/>
        <v/>
      </c>
      <c r="CP31" s="155" t="str">
        <f t="shared" si="35"/>
        <v/>
      </c>
      <c r="CQ31" s="155" t="str">
        <f t="shared" si="36"/>
        <v/>
      </c>
      <c r="CR31" s="155" t="str">
        <f t="shared" si="37"/>
        <v/>
      </c>
      <c r="CS31" s="155" t="str">
        <f t="shared" si="38"/>
        <v/>
      </c>
      <c r="CT31" s="155" t="str">
        <f t="shared" si="39"/>
        <v/>
      </c>
      <c r="CU31" s="155" t="str">
        <f t="shared" si="40"/>
        <v/>
      </c>
      <c r="CV31" s="155" t="str">
        <f t="shared" si="41"/>
        <v/>
      </c>
      <c r="CW31" s="155" t="str">
        <f t="shared" si="42"/>
        <v/>
      </c>
      <c r="CX31" s="155" t="str">
        <f t="shared" si="43"/>
        <v/>
      </c>
    </row>
    <row r="32" spans="1:102" s="151" customFormat="1" ht="14.25" outlineLevel="1" x14ac:dyDescent="0.2">
      <c r="A32" s="146"/>
      <c r="B32" s="157" t="str">
        <f>Services!B32</f>
        <v>01E01</v>
      </c>
      <c r="C32" s="153" t="str">
        <f>Services!C32</f>
        <v>Prise en compte des besoins de continuité de l'activité</v>
      </c>
      <c r="D32" s="149"/>
      <c r="E32" s="149"/>
      <c r="F32" s="149"/>
      <c r="G32" s="149">
        <f>4*(8*Plans_action!E215+Plans_action!D215)+4*(8*Plans_action!E240+Plans_action!D240)+4*(8*Plans_action!E249+Plans_action!D249)</f>
        <v>0</v>
      </c>
      <c r="H32" s="149">
        <f>5*(8*Plans_action!E207+Plans_action!D207)+5*(8*Plans_action!E224+Plans_action!D224)</f>
        <v>0</v>
      </c>
      <c r="I32" s="140" t="str">
        <f t="shared" si="0"/>
        <v/>
      </c>
      <c r="J32" s="141" t="str">
        <f t="shared" si="1"/>
        <v/>
      </c>
      <c r="K32" s="142"/>
      <c r="L32" s="142"/>
      <c r="M32" s="1708"/>
      <c r="N32" s="1708"/>
      <c r="O32" s="1708"/>
      <c r="P32" s="1708"/>
      <c r="Q32" s="1708"/>
      <c r="R32" s="1708"/>
      <c r="S32" s="1708"/>
      <c r="T32" s="1708"/>
      <c r="U32" s="1708"/>
      <c r="V32" s="1708"/>
      <c r="W32" s="1708"/>
      <c r="X32" s="1712"/>
      <c r="Y32" s="1712"/>
      <c r="Z32" s="1712"/>
      <c r="AA32" s="1712"/>
      <c r="AB32" s="1712"/>
      <c r="AC32" s="1712"/>
      <c r="AD32" s="1712"/>
      <c r="AE32" s="1712"/>
      <c r="AF32" s="1712"/>
      <c r="AG32" s="1712"/>
      <c r="AH32" s="1712"/>
      <c r="AI32" s="1712"/>
      <c r="AJ32" s="1712"/>
      <c r="AK32" s="1712"/>
      <c r="AL32" s="1712"/>
      <c r="AM32" s="1712"/>
      <c r="AN32" s="1712"/>
      <c r="AO32" s="1712"/>
      <c r="AP32" s="1712"/>
      <c r="AQ32" s="1712"/>
      <c r="AR32" s="1712"/>
      <c r="AS32" s="1712"/>
      <c r="AT32" s="1712"/>
      <c r="AU32" s="1712"/>
      <c r="AV32" s="1712"/>
      <c r="AW32" s="1712"/>
      <c r="AX32" s="1713"/>
      <c r="AY32" s="1714" t="str">
        <f t="shared" si="2"/>
        <v/>
      </c>
      <c r="AZ32" s="1714" t="str">
        <f>IF(Obj_PA!D32="","",IF(AY32="","",Obj_PA!D32-AY32))</f>
        <v/>
      </c>
      <c r="BA32" s="150"/>
      <c r="BB32" s="150"/>
      <c r="BC32" s="150"/>
      <c r="BD32" s="150"/>
      <c r="BE32" s="150"/>
      <c r="BF32" s="150"/>
      <c r="BG32" s="150"/>
      <c r="BH32" s="150"/>
      <c r="BI32" s="150"/>
      <c r="BJ32" s="150"/>
      <c r="BK32" s="155" t="str">
        <f t="shared" si="4"/>
        <v/>
      </c>
      <c r="BL32" s="155" t="str">
        <f t="shared" si="5"/>
        <v/>
      </c>
      <c r="BM32" s="155" t="str">
        <f t="shared" si="6"/>
        <v/>
      </c>
      <c r="BN32" s="155" t="str">
        <f t="shared" si="7"/>
        <v/>
      </c>
      <c r="BO32" s="155" t="str">
        <f t="shared" si="8"/>
        <v/>
      </c>
      <c r="BP32" s="155" t="str">
        <f t="shared" si="9"/>
        <v/>
      </c>
      <c r="BQ32" s="155" t="str">
        <f t="shared" si="10"/>
        <v/>
      </c>
      <c r="BR32" s="155" t="str">
        <f t="shared" si="11"/>
        <v/>
      </c>
      <c r="BS32" s="155" t="str">
        <f t="shared" si="12"/>
        <v/>
      </c>
      <c r="BT32" s="155" t="str">
        <f t="shared" si="13"/>
        <v/>
      </c>
      <c r="BU32" s="155" t="str">
        <f t="shared" si="14"/>
        <v/>
      </c>
      <c r="BV32" s="155" t="str">
        <f t="shared" si="15"/>
        <v/>
      </c>
      <c r="BW32" s="155" t="str">
        <f t="shared" si="16"/>
        <v/>
      </c>
      <c r="BX32" s="155" t="str">
        <f t="shared" si="17"/>
        <v/>
      </c>
      <c r="BY32" s="155" t="str">
        <f t="shared" si="18"/>
        <v/>
      </c>
      <c r="BZ32" s="155" t="str">
        <f t="shared" si="19"/>
        <v/>
      </c>
      <c r="CA32" s="155" t="str">
        <f t="shared" si="20"/>
        <v/>
      </c>
      <c r="CB32" s="155" t="str">
        <f t="shared" si="21"/>
        <v/>
      </c>
      <c r="CC32" s="155" t="str">
        <f t="shared" si="22"/>
        <v/>
      </c>
      <c r="CD32" s="155" t="str">
        <f t="shared" si="23"/>
        <v/>
      </c>
      <c r="CE32" s="155" t="str">
        <f t="shared" si="24"/>
        <v/>
      </c>
      <c r="CF32" s="155" t="str">
        <f t="shared" si="25"/>
        <v/>
      </c>
      <c r="CG32" s="155" t="str">
        <f t="shared" si="26"/>
        <v/>
      </c>
      <c r="CH32" s="155" t="str">
        <f t="shared" si="27"/>
        <v/>
      </c>
      <c r="CI32" s="155" t="str">
        <f t="shared" si="28"/>
        <v/>
      </c>
      <c r="CJ32" s="155" t="str">
        <f t="shared" si="29"/>
        <v/>
      </c>
      <c r="CK32" s="155" t="str">
        <f t="shared" si="30"/>
        <v/>
      </c>
      <c r="CL32" s="155" t="str">
        <f t="shared" si="31"/>
        <v/>
      </c>
      <c r="CM32" s="155" t="str">
        <f t="shared" si="32"/>
        <v/>
      </c>
      <c r="CN32" s="155" t="str">
        <f t="shared" si="33"/>
        <v/>
      </c>
      <c r="CO32" s="155" t="str">
        <f t="shared" si="34"/>
        <v/>
      </c>
      <c r="CP32" s="155" t="str">
        <f t="shared" si="35"/>
        <v/>
      </c>
      <c r="CQ32" s="155" t="str">
        <f t="shared" si="36"/>
        <v/>
      </c>
      <c r="CR32" s="155" t="str">
        <f t="shared" si="37"/>
        <v/>
      </c>
      <c r="CS32" s="155" t="str">
        <f t="shared" si="38"/>
        <v/>
      </c>
      <c r="CT32" s="155" t="str">
        <f t="shared" si="39"/>
        <v/>
      </c>
      <c r="CU32" s="155" t="str">
        <f t="shared" si="40"/>
        <v/>
      </c>
      <c r="CV32" s="155" t="str">
        <f t="shared" si="41"/>
        <v/>
      </c>
      <c r="CW32" s="155" t="str">
        <f t="shared" si="42"/>
        <v/>
      </c>
      <c r="CX32" s="155" t="str">
        <f t="shared" si="43"/>
        <v/>
      </c>
    </row>
    <row r="33" spans="1:102" s="151" customFormat="1" ht="14.25" outlineLevel="1" x14ac:dyDescent="0.2">
      <c r="A33" s="146"/>
      <c r="B33" s="157" t="str">
        <f>Services!B33</f>
        <v>01E02</v>
      </c>
      <c r="C33" s="153" t="str">
        <f>Services!C33</f>
        <v>Plans de continuité de l'activité</v>
      </c>
      <c r="D33" s="149"/>
      <c r="E33" s="149"/>
      <c r="F33" s="149"/>
      <c r="G33" s="149">
        <f>4*(8*Plans_action!E215+Plans_action!D215)+4*(8*Plans_action!E240+Plans_action!D240)+4*(8*Plans_action!E249+Plans_action!D249)</f>
        <v>0</v>
      </c>
      <c r="H33" s="149">
        <f>5*(8*Plans_action!E200+Plans_action!D200)+5*(8*Plans_action!E207+Plans_action!D207)+5*(8*Plans_action!E224+Plans_action!D224)</f>
        <v>0</v>
      </c>
      <c r="I33" s="140" t="str">
        <f t="shared" si="0"/>
        <v/>
      </c>
      <c r="J33" s="141" t="str">
        <f t="shared" si="1"/>
        <v/>
      </c>
      <c r="K33" s="142"/>
      <c r="L33" s="142"/>
      <c r="M33" s="1708"/>
      <c r="N33" s="1708"/>
      <c r="O33" s="1708"/>
      <c r="P33" s="1708"/>
      <c r="Q33" s="1708"/>
      <c r="R33" s="1708"/>
      <c r="S33" s="1708"/>
      <c r="T33" s="1708"/>
      <c r="U33" s="1708"/>
      <c r="V33" s="1708"/>
      <c r="W33" s="1708"/>
      <c r="X33" s="1712"/>
      <c r="Y33" s="1712"/>
      <c r="Z33" s="1712"/>
      <c r="AA33" s="1712"/>
      <c r="AB33" s="1712"/>
      <c r="AC33" s="1712"/>
      <c r="AD33" s="1712"/>
      <c r="AE33" s="1712"/>
      <c r="AF33" s="1712"/>
      <c r="AG33" s="1712"/>
      <c r="AH33" s="1712"/>
      <c r="AI33" s="1712"/>
      <c r="AJ33" s="1712"/>
      <c r="AK33" s="1712"/>
      <c r="AL33" s="1712"/>
      <c r="AM33" s="1712"/>
      <c r="AN33" s="1712"/>
      <c r="AO33" s="1712"/>
      <c r="AP33" s="1712"/>
      <c r="AQ33" s="1712"/>
      <c r="AR33" s="1712"/>
      <c r="AS33" s="1712"/>
      <c r="AT33" s="1712"/>
      <c r="AU33" s="1712"/>
      <c r="AV33" s="1712"/>
      <c r="AW33" s="1712"/>
      <c r="AX33" s="1713"/>
      <c r="AY33" s="1714" t="str">
        <f t="shared" si="2"/>
        <v/>
      </c>
      <c r="AZ33" s="1714" t="str">
        <f>IF(Obj_PA!D33="","",IF(AY33="","",Obj_PA!D33-AY33))</f>
        <v/>
      </c>
      <c r="BA33" s="150"/>
      <c r="BB33" s="150"/>
      <c r="BC33" s="150"/>
      <c r="BD33" s="150"/>
      <c r="BE33" s="150"/>
      <c r="BF33" s="150"/>
      <c r="BG33" s="150"/>
      <c r="BH33" s="150"/>
      <c r="BI33" s="150"/>
      <c r="BJ33" s="150"/>
      <c r="BK33" s="155" t="str">
        <f t="shared" si="4"/>
        <v/>
      </c>
      <c r="BL33" s="155" t="str">
        <f t="shared" si="5"/>
        <v/>
      </c>
      <c r="BM33" s="155" t="str">
        <f t="shared" si="6"/>
        <v/>
      </c>
      <c r="BN33" s="155" t="str">
        <f t="shared" si="7"/>
        <v/>
      </c>
      <c r="BO33" s="155" t="str">
        <f t="shared" si="8"/>
        <v/>
      </c>
      <c r="BP33" s="155" t="str">
        <f t="shared" si="9"/>
        <v/>
      </c>
      <c r="BQ33" s="155" t="str">
        <f t="shared" si="10"/>
        <v/>
      </c>
      <c r="BR33" s="155" t="str">
        <f t="shared" si="11"/>
        <v/>
      </c>
      <c r="BS33" s="155" t="str">
        <f t="shared" si="12"/>
        <v/>
      </c>
      <c r="BT33" s="155" t="str">
        <f t="shared" si="13"/>
        <v/>
      </c>
      <c r="BU33" s="155" t="str">
        <f t="shared" si="14"/>
        <v/>
      </c>
      <c r="BV33" s="155" t="str">
        <f t="shared" si="15"/>
        <v/>
      </c>
      <c r="BW33" s="155" t="str">
        <f t="shared" si="16"/>
        <v/>
      </c>
      <c r="BX33" s="155" t="str">
        <f t="shared" si="17"/>
        <v/>
      </c>
      <c r="BY33" s="155" t="str">
        <f t="shared" si="18"/>
        <v/>
      </c>
      <c r="BZ33" s="155" t="str">
        <f t="shared" si="19"/>
        <v/>
      </c>
      <c r="CA33" s="155" t="str">
        <f t="shared" si="20"/>
        <v/>
      </c>
      <c r="CB33" s="155" t="str">
        <f t="shared" si="21"/>
        <v/>
      </c>
      <c r="CC33" s="155" t="str">
        <f t="shared" si="22"/>
        <v/>
      </c>
      <c r="CD33" s="155" t="str">
        <f t="shared" si="23"/>
        <v/>
      </c>
      <c r="CE33" s="155" t="str">
        <f t="shared" si="24"/>
        <v/>
      </c>
      <c r="CF33" s="155" t="str">
        <f t="shared" si="25"/>
        <v/>
      </c>
      <c r="CG33" s="155" t="str">
        <f t="shared" si="26"/>
        <v/>
      </c>
      <c r="CH33" s="155" t="str">
        <f t="shared" si="27"/>
        <v/>
      </c>
      <c r="CI33" s="155" t="str">
        <f t="shared" si="28"/>
        <v/>
      </c>
      <c r="CJ33" s="155" t="str">
        <f t="shared" si="29"/>
        <v/>
      </c>
      <c r="CK33" s="155" t="str">
        <f t="shared" si="30"/>
        <v/>
      </c>
      <c r="CL33" s="155" t="str">
        <f t="shared" si="31"/>
        <v/>
      </c>
      <c r="CM33" s="155" t="str">
        <f t="shared" si="32"/>
        <v/>
      </c>
      <c r="CN33" s="155" t="str">
        <f t="shared" si="33"/>
        <v/>
      </c>
      <c r="CO33" s="155" t="str">
        <f t="shared" si="34"/>
        <v/>
      </c>
      <c r="CP33" s="155" t="str">
        <f t="shared" si="35"/>
        <v/>
      </c>
      <c r="CQ33" s="155" t="str">
        <f t="shared" si="36"/>
        <v/>
      </c>
      <c r="CR33" s="155" t="str">
        <f t="shared" si="37"/>
        <v/>
      </c>
      <c r="CS33" s="155" t="str">
        <f t="shared" si="38"/>
        <v/>
      </c>
      <c r="CT33" s="155" t="str">
        <f t="shared" si="39"/>
        <v/>
      </c>
      <c r="CU33" s="155" t="str">
        <f t="shared" si="40"/>
        <v/>
      </c>
      <c r="CV33" s="155" t="str">
        <f t="shared" si="41"/>
        <v/>
      </c>
      <c r="CW33" s="155" t="str">
        <f t="shared" si="42"/>
        <v/>
      </c>
      <c r="CX33" s="155" t="str">
        <f t="shared" si="43"/>
        <v/>
      </c>
    </row>
    <row r="34" spans="1:102" s="151" customFormat="1" ht="14.25" outlineLevel="1" x14ac:dyDescent="0.2">
      <c r="A34" s="158"/>
      <c r="B34" s="157" t="str">
        <f>Services!B34</f>
        <v>01E03</v>
      </c>
      <c r="C34" s="153" t="str">
        <f>Services!C34</f>
        <v>Plans de Reprise de l'Environnement de Travail (PRET)</v>
      </c>
      <c r="D34" s="149"/>
      <c r="E34" s="149"/>
      <c r="F34" s="149"/>
      <c r="G34" s="149"/>
      <c r="H34" s="149">
        <f>5*(8*Plans_action!E188+Plans_action!D188)+5*(8*Plans_action!E233+Plans_action!D233)</f>
        <v>0</v>
      </c>
      <c r="I34" s="140" t="str">
        <f t="shared" si="0"/>
        <v/>
      </c>
      <c r="J34" s="141" t="str">
        <f t="shared" si="1"/>
        <v/>
      </c>
      <c r="K34" s="142"/>
      <c r="L34" s="142"/>
      <c r="M34" s="1708"/>
      <c r="N34" s="1708"/>
      <c r="O34" s="1708"/>
      <c r="P34" s="1708"/>
      <c r="Q34" s="1708"/>
      <c r="R34" s="1708"/>
      <c r="S34" s="1708"/>
      <c r="T34" s="1708"/>
      <c r="U34" s="1708"/>
      <c r="V34" s="1708"/>
      <c r="W34" s="1708"/>
      <c r="X34" s="1712"/>
      <c r="Y34" s="1712"/>
      <c r="Z34" s="1712"/>
      <c r="AA34" s="1712"/>
      <c r="AB34" s="1712"/>
      <c r="AC34" s="1712"/>
      <c r="AD34" s="1712"/>
      <c r="AE34" s="1712"/>
      <c r="AF34" s="1712"/>
      <c r="AG34" s="1712"/>
      <c r="AH34" s="1712"/>
      <c r="AI34" s="1712"/>
      <c r="AJ34" s="1712"/>
      <c r="AK34" s="1712"/>
      <c r="AL34" s="1712"/>
      <c r="AM34" s="1712"/>
      <c r="AN34" s="1712"/>
      <c r="AO34" s="1712"/>
      <c r="AP34" s="1712"/>
      <c r="AQ34" s="1712"/>
      <c r="AR34" s="1712"/>
      <c r="AS34" s="1712"/>
      <c r="AT34" s="1712"/>
      <c r="AU34" s="1712"/>
      <c r="AV34" s="1712"/>
      <c r="AW34" s="1712"/>
      <c r="AX34" s="1713"/>
      <c r="AY34" s="1714" t="str">
        <f t="shared" si="2"/>
        <v/>
      </c>
      <c r="AZ34" s="1714" t="str">
        <f>IF(Obj_PA!D34="","",IF(AY34="","",Obj_PA!D34-AY34))</f>
        <v/>
      </c>
      <c r="BA34" s="150"/>
      <c r="BB34" s="150"/>
      <c r="BC34" s="150"/>
      <c r="BD34" s="150"/>
      <c r="BE34" s="150"/>
      <c r="BF34" s="150"/>
      <c r="BG34" s="150"/>
      <c r="BH34" s="150"/>
      <c r="BI34" s="150"/>
      <c r="BJ34" s="150"/>
      <c r="BK34" s="155" t="str">
        <f t="shared" si="4"/>
        <v/>
      </c>
      <c r="BL34" s="155" t="str">
        <f t="shared" si="5"/>
        <v/>
      </c>
      <c r="BM34" s="155" t="str">
        <f t="shared" si="6"/>
        <v/>
      </c>
      <c r="BN34" s="155" t="str">
        <f t="shared" si="7"/>
        <v/>
      </c>
      <c r="BO34" s="155" t="str">
        <f t="shared" si="8"/>
        <v/>
      </c>
      <c r="BP34" s="155" t="str">
        <f t="shared" si="9"/>
        <v/>
      </c>
      <c r="BQ34" s="155" t="str">
        <f t="shared" si="10"/>
        <v/>
      </c>
      <c r="BR34" s="155" t="str">
        <f t="shared" si="11"/>
        <v/>
      </c>
      <c r="BS34" s="155" t="str">
        <f t="shared" si="12"/>
        <v/>
      </c>
      <c r="BT34" s="155" t="str">
        <f t="shared" si="13"/>
        <v/>
      </c>
      <c r="BU34" s="155" t="str">
        <f t="shared" si="14"/>
        <v/>
      </c>
      <c r="BV34" s="155" t="str">
        <f t="shared" si="15"/>
        <v/>
      </c>
      <c r="BW34" s="155" t="str">
        <f t="shared" si="16"/>
        <v/>
      </c>
      <c r="BX34" s="155" t="str">
        <f t="shared" si="17"/>
        <v/>
      </c>
      <c r="BY34" s="155" t="str">
        <f t="shared" si="18"/>
        <v/>
      </c>
      <c r="BZ34" s="155" t="str">
        <f t="shared" si="19"/>
        <v/>
      </c>
      <c r="CA34" s="155" t="str">
        <f t="shared" si="20"/>
        <v/>
      </c>
      <c r="CB34" s="155" t="str">
        <f t="shared" si="21"/>
        <v/>
      </c>
      <c r="CC34" s="155" t="str">
        <f t="shared" si="22"/>
        <v/>
      </c>
      <c r="CD34" s="155" t="str">
        <f t="shared" si="23"/>
        <v/>
      </c>
      <c r="CE34" s="155" t="str">
        <f t="shared" si="24"/>
        <v/>
      </c>
      <c r="CF34" s="155" t="str">
        <f t="shared" si="25"/>
        <v/>
      </c>
      <c r="CG34" s="155" t="str">
        <f t="shared" si="26"/>
        <v/>
      </c>
      <c r="CH34" s="155" t="str">
        <f t="shared" si="27"/>
        <v/>
      </c>
      <c r="CI34" s="155" t="str">
        <f t="shared" si="28"/>
        <v/>
      </c>
      <c r="CJ34" s="155" t="str">
        <f t="shared" si="29"/>
        <v/>
      </c>
      <c r="CK34" s="155" t="str">
        <f t="shared" si="30"/>
        <v/>
      </c>
      <c r="CL34" s="155" t="str">
        <f t="shared" si="31"/>
        <v/>
      </c>
      <c r="CM34" s="155" t="str">
        <f t="shared" si="32"/>
        <v/>
      </c>
      <c r="CN34" s="155" t="str">
        <f t="shared" si="33"/>
        <v/>
      </c>
      <c r="CO34" s="155" t="str">
        <f t="shared" si="34"/>
        <v/>
      </c>
      <c r="CP34" s="155" t="str">
        <f t="shared" si="35"/>
        <v/>
      </c>
      <c r="CQ34" s="155" t="str">
        <f t="shared" si="36"/>
        <v/>
      </c>
      <c r="CR34" s="155" t="str">
        <f t="shared" si="37"/>
        <v/>
      </c>
      <c r="CS34" s="155" t="str">
        <f t="shared" si="38"/>
        <v/>
      </c>
      <c r="CT34" s="155" t="str">
        <f t="shared" si="39"/>
        <v/>
      </c>
      <c r="CU34" s="155" t="str">
        <f t="shared" si="40"/>
        <v/>
      </c>
      <c r="CV34" s="155" t="str">
        <f t="shared" si="41"/>
        <v/>
      </c>
      <c r="CW34" s="155" t="str">
        <f t="shared" si="42"/>
        <v/>
      </c>
      <c r="CX34" s="155" t="str">
        <f t="shared" si="43"/>
        <v/>
      </c>
    </row>
    <row r="35" spans="1:102" ht="15" x14ac:dyDescent="0.2">
      <c r="A35" s="136" t="s">
        <v>3024</v>
      </c>
      <c r="B35" s="2153" t="str">
        <f>Services!B35</f>
        <v>Sécurité des sites (02 Sit)</v>
      </c>
      <c r="C35" s="2154">
        <v>0</v>
      </c>
      <c r="D35" s="149"/>
      <c r="E35" s="149"/>
      <c r="F35" s="149"/>
      <c r="G35" s="149"/>
      <c r="H35" s="149"/>
      <c r="I35" s="140" t="str">
        <f t="shared" si="0"/>
        <v/>
      </c>
      <c r="J35" s="141" t="str">
        <f t="shared" si="1"/>
        <v/>
      </c>
      <c r="K35" s="142"/>
      <c r="L35" s="142"/>
      <c r="M35" s="1708"/>
      <c r="N35" s="1708"/>
      <c r="O35" s="1708"/>
      <c r="P35" s="1708"/>
      <c r="Q35" s="1708"/>
      <c r="R35" s="1708"/>
      <c r="S35" s="1708"/>
      <c r="T35" s="1708"/>
      <c r="U35" s="1708"/>
      <c r="V35" s="1708"/>
      <c r="W35" s="1708"/>
      <c r="X35" s="1709"/>
      <c r="Y35" s="1709"/>
      <c r="Z35" s="1709"/>
      <c r="AA35" s="1709"/>
      <c r="AB35" s="1709"/>
      <c r="AC35" s="1709"/>
      <c r="AD35" s="1709"/>
      <c r="AE35" s="1709"/>
      <c r="AF35" s="1709"/>
      <c r="AG35" s="1709"/>
      <c r="AH35" s="1709"/>
      <c r="AI35" s="1709"/>
      <c r="AJ35" s="1709"/>
      <c r="AK35" s="1709"/>
      <c r="AL35" s="1709"/>
      <c r="AM35" s="1709"/>
      <c r="AN35" s="1709"/>
      <c r="AO35" s="1709"/>
      <c r="AP35" s="1709"/>
      <c r="AQ35" s="1709"/>
      <c r="AR35" s="1709"/>
      <c r="AS35" s="1709"/>
      <c r="AT35" s="1709"/>
      <c r="AU35" s="1709"/>
      <c r="AV35" s="1709"/>
      <c r="AW35" s="1709"/>
      <c r="AX35" s="1710"/>
      <c r="AY35" s="1714" t="str">
        <f t="shared" si="2"/>
        <v/>
      </c>
      <c r="AZ35" s="1714" t="str">
        <f>IF(Obj_PA!D35="","",IF(AY35="","",Obj_PA!D35-AY35))</f>
        <v/>
      </c>
      <c r="BK35" s="155" t="str">
        <f t="shared" si="4"/>
        <v/>
      </c>
      <c r="BL35" s="155" t="str">
        <f t="shared" si="5"/>
        <v/>
      </c>
      <c r="BM35" s="155" t="str">
        <f t="shared" si="6"/>
        <v/>
      </c>
      <c r="BN35" s="155" t="str">
        <f t="shared" si="7"/>
        <v/>
      </c>
      <c r="BO35" s="155" t="str">
        <f t="shared" si="8"/>
        <v/>
      </c>
      <c r="BP35" s="155" t="str">
        <f t="shared" si="9"/>
        <v/>
      </c>
      <c r="BQ35" s="155" t="str">
        <f t="shared" si="10"/>
        <v/>
      </c>
      <c r="BR35" s="155" t="str">
        <f t="shared" si="11"/>
        <v/>
      </c>
      <c r="BS35" s="155" t="str">
        <f t="shared" si="12"/>
        <v/>
      </c>
      <c r="BT35" s="155" t="str">
        <f t="shared" si="13"/>
        <v/>
      </c>
      <c r="BU35" s="155" t="str">
        <f t="shared" si="14"/>
        <v/>
      </c>
      <c r="BV35" s="155" t="str">
        <f t="shared" si="15"/>
        <v/>
      </c>
      <c r="BW35" s="155" t="str">
        <f t="shared" si="16"/>
        <v/>
      </c>
      <c r="BX35" s="155" t="str">
        <f t="shared" si="17"/>
        <v/>
      </c>
      <c r="BY35" s="155" t="str">
        <f t="shared" si="18"/>
        <v/>
      </c>
      <c r="BZ35" s="155" t="str">
        <f t="shared" si="19"/>
        <v/>
      </c>
      <c r="CA35" s="155" t="str">
        <f t="shared" si="20"/>
        <v/>
      </c>
      <c r="CB35" s="155" t="str">
        <f t="shared" si="21"/>
        <v/>
      </c>
      <c r="CC35" s="155" t="str">
        <f t="shared" si="22"/>
        <v/>
      </c>
      <c r="CD35" s="155" t="str">
        <f t="shared" si="23"/>
        <v/>
      </c>
      <c r="CE35" s="155" t="str">
        <f t="shared" si="24"/>
        <v/>
      </c>
      <c r="CF35" s="155" t="str">
        <f t="shared" si="25"/>
        <v/>
      </c>
      <c r="CG35" s="155" t="str">
        <f t="shared" si="26"/>
        <v/>
      </c>
      <c r="CH35" s="155" t="str">
        <f t="shared" si="27"/>
        <v/>
      </c>
      <c r="CI35" s="155" t="str">
        <f t="shared" si="28"/>
        <v/>
      </c>
      <c r="CJ35" s="155" t="str">
        <f t="shared" si="29"/>
        <v/>
      </c>
      <c r="CK35" s="155" t="str">
        <f t="shared" si="30"/>
        <v/>
      </c>
      <c r="CL35" s="155" t="str">
        <f t="shared" si="31"/>
        <v/>
      </c>
      <c r="CM35" s="155" t="str">
        <f t="shared" si="32"/>
        <v/>
      </c>
      <c r="CN35" s="155" t="str">
        <f t="shared" si="33"/>
        <v/>
      </c>
      <c r="CO35" s="155" t="str">
        <f t="shared" si="34"/>
        <v/>
      </c>
      <c r="CP35" s="155" t="str">
        <f t="shared" si="35"/>
        <v/>
      </c>
      <c r="CQ35" s="155" t="str">
        <f t="shared" si="36"/>
        <v/>
      </c>
      <c r="CR35" s="155" t="str">
        <f t="shared" si="37"/>
        <v/>
      </c>
      <c r="CS35" s="155" t="str">
        <f t="shared" si="38"/>
        <v/>
      </c>
      <c r="CT35" s="155" t="str">
        <f t="shared" si="39"/>
        <v/>
      </c>
      <c r="CU35" s="155" t="str">
        <f t="shared" si="40"/>
        <v/>
      </c>
      <c r="CV35" s="155" t="str">
        <f t="shared" si="41"/>
        <v/>
      </c>
      <c r="CW35" s="155" t="str">
        <f t="shared" si="42"/>
        <v/>
      </c>
      <c r="CX35" s="155" t="str">
        <f t="shared" si="43"/>
        <v/>
      </c>
    </row>
    <row r="36" spans="1:102" ht="14.25" outlineLevel="1" x14ac:dyDescent="0.2">
      <c r="A36" s="159"/>
      <c r="B36" s="147" t="str">
        <f>Services!B36</f>
        <v>02A</v>
      </c>
      <c r="C36" s="148" t="str">
        <f>Services!C36</f>
        <v>Contrôle d'accès physique au site et aux bâtiments</v>
      </c>
      <c r="D36" s="149"/>
      <c r="E36" s="149"/>
      <c r="F36" s="149"/>
      <c r="G36" s="149"/>
      <c r="H36" s="149"/>
      <c r="I36" s="140" t="str">
        <f t="shared" si="0"/>
        <v/>
      </c>
      <c r="J36" s="141" t="str">
        <f t="shared" si="1"/>
        <v/>
      </c>
      <c r="K36" s="142"/>
      <c r="L36" s="142"/>
      <c r="M36" s="1708"/>
      <c r="N36" s="1708"/>
      <c r="O36" s="1708"/>
      <c r="P36" s="1708"/>
      <c r="Q36" s="1708"/>
      <c r="R36" s="1708"/>
      <c r="S36" s="1708"/>
      <c r="T36" s="1708"/>
      <c r="U36" s="1708"/>
      <c r="V36" s="1708"/>
      <c r="W36" s="1708"/>
      <c r="X36" s="1709"/>
      <c r="Y36" s="1709"/>
      <c r="Z36" s="1709"/>
      <c r="AA36" s="1709"/>
      <c r="AB36" s="1709"/>
      <c r="AC36" s="1709"/>
      <c r="AD36" s="1709"/>
      <c r="AE36" s="1709"/>
      <c r="AF36" s="1709"/>
      <c r="AG36" s="1709"/>
      <c r="AH36" s="1709"/>
      <c r="AI36" s="1709"/>
      <c r="AJ36" s="1709"/>
      <c r="AK36" s="1709"/>
      <c r="AL36" s="1709"/>
      <c r="AM36" s="1709"/>
      <c r="AN36" s="1709"/>
      <c r="AO36" s="1709"/>
      <c r="AP36" s="1709"/>
      <c r="AQ36" s="1709"/>
      <c r="AR36" s="1709"/>
      <c r="AS36" s="1709"/>
      <c r="AT36" s="1709"/>
      <c r="AU36" s="1709"/>
      <c r="AV36" s="1709"/>
      <c r="AW36" s="1709"/>
      <c r="AX36" s="1710"/>
      <c r="AY36" s="1714" t="str">
        <f t="shared" si="2"/>
        <v/>
      </c>
      <c r="AZ36" s="1714" t="str">
        <f>IF(Obj_PA!D36="","",IF(AY36="","",Obj_PA!D36-AY36))</f>
        <v/>
      </c>
      <c r="BK36" s="155" t="str">
        <f t="shared" si="4"/>
        <v/>
      </c>
      <c r="BL36" s="155" t="str">
        <f t="shared" si="5"/>
        <v/>
      </c>
      <c r="BM36" s="155" t="str">
        <f t="shared" si="6"/>
        <v/>
      </c>
      <c r="BN36" s="155" t="str">
        <f t="shared" si="7"/>
        <v/>
      </c>
      <c r="BO36" s="155" t="str">
        <f t="shared" si="8"/>
        <v/>
      </c>
      <c r="BP36" s="155" t="str">
        <f t="shared" si="9"/>
        <v/>
      </c>
      <c r="BQ36" s="155" t="str">
        <f t="shared" si="10"/>
        <v/>
      </c>
      <c r="BR36" s="155" t="str">
        <f t="shared" si="11"/>
        <v/>
      </c>
      <c r="BS36" s="155" t="str">
        <f t="shared" si="12"/>
        <v/>
      </c>
      <c r="BT36" s="155" t="str">
        <f t="shared" si="13"/>
        <v/>
      </c>
      <c r="BU36" s="155" t="str">
        <f t="shared" si="14"/>
        <v/>
      </c>
      <c r="BV36" s="155" t="str">
        <f t="shared" si="15"/>
        <v/>
      </c>
      <c r="BW36" s="155" t="str">
        <f t="shared" si="16"/>
        <v/>
      </c>
      <c r="BX36" s="155" t="str">
        <f t="shared" si="17"/>
        <v/>
      </c>
      <c r="BY36" s="155" t="str">
        <f t="shared" si="18"/>
        <v/>
      </c>
      <c r="BZ36" s="155" t="str">
        <f t="shared" si="19"/>
        <v/>
      </c>
      <c r="CA36" s="155" t="str">
        <f t="shared" si="20"/>
        <v/>
      </c>
      <c r="CB36" s="155" t="str">
        <f t="shared" si="21"/>
        <v/>
      </c>
      <c r="CC36" s="155" t="str">
        <f t="shared" si="22"/>
        <v/>
      </c>
      <c r="CD36" s="155" t="str">
        <f t="shared" si="23"/>
        <v/>
      </c>
      <c r="CE36" s="155" t="str">
        <f t="shared" si="24"/>
        <v/>
      </c>
      <c r="CF36" s="155" t="str">
        <f t="shared" si="25"/>
        <v/>
      </c>
      <c r="CG36" s="155" t="str">
        <f t="shared" si="26"/>
        <v/>
      </c>
      <c r="CH36" s="155" t="str">
        <f t="shared" si="27"/>
        <v/>
      </c>
      <c r="CI36" s="155" t="str">
        <f t="shared" si="28"/>
        <v/>
      </c>
      <c r="CJ36" s="155" t="str">
        <f t="shared" si="29"/>
        <v/>
      </c>
      <c r="CK36" s="155" t="str">
        <f t="shared" si="30"/>
        <v/>
      </c>
      <c r="CL36" s="155" t="str">
        <f t="shared" si="31"/>
        <v/>
      </c>
      <c r="CM36" s="155" t="str">
        <f t="shared" si="32"/>
        <v/>
      </c>
      <c r="CN36" s="155" t="str">
        <f t="shared" si="33"/>
        <v/>
      </c>
      <c r="CO36" s="155" t="str">
        <f t="shared" si="34"/>
        <v/>
      </c>
      <c r="CP36" s="155" t="str">
        <f t="shared" si="35"/>
        <v/>
      </c>
      <c r="CQ36" s="155" t="str">
        <f t="shared" si="36"/>
        <v/>
      </c>
      <c r="CR36" s="155" t="str">
        <f t="shared" si="37"/>
        <v/>
      </c>
      <c r="CS36" s="155" t="str">
        <f t="shared" si="38"/>
        <v/>
      </c>
      <c r="CT36" s="155" t="str">
        <f t="shared" si="39"/>
        <v/>
      </c>
      <c r="CU36" s="155" t="str">
        <f t="shared" si="40"/>
        <v/>
      </c>
      <c r="CV36" s="155" t="str">
        <f t="shared" si="41"/>
        <v/>
      </c>
      <c r="CW36" s="155" t="str">
        <f t="shared" si="42"/>
        <v/>
      </c>
      <c r="CX36" s="155" t="str">
        <f t="shared" si="43"/>
        <v/>
      </c>
    </row>
    <row r="37" spans="1:102" ht="14.25" outlineLevel="1" x14ac:dyDescent="0.2">
      <c r="A37" s="160"/>
      <c r="B37" s="157" t="str">
        <f>Services!B37</f>
        <v>02A01</v>
      </c>
      <c r="C37" s="153" t="str">
        <f>Services!C37</f>
        <v>Gestion des droits d'accès au site ou à l'immeuble</v>
      </c>
      <c r="D37" s="149">
        <f>1*(8*Plans_action!E193+Plans_action!D193)+1*(8*Plans_action!E200+Plans_action!D200)+1*(8*Plans_action!E207+Plans_action!D207)+1*(8*Plans_action!E215+Plans_action!D215)+1*(8*Plans_action!E224+Plans_action!D224)+1*(8*Plans_action!E240+Plans_action!D240)+1*(8*Plans_action!E249+Plans_action!D249)</f>
        <v>0</v>
      </c>
      <c r="E37" s="149"/>
      <c r="F37" s="149"/>
      <c r="G37" s="149"/>
      <c r="H37" s="149"/>
      <c r="I37" s="140" t="str">
        <f t="shared" si="0"/>
        <v/>
      </c>
      <c r="J37" s="141" t="str">
        <f t="shared" si="1"/>
        <v/>
      </c>
      <c r="K37" s="142"/>
      <c r="L37" s="142"/>
      <c r="M37" s="1708"/>
      <c r="N37" s="1708"/>
      <c r="O37" s="1708"/>
      <c r="P37" s="1708"/>
      <c r="Q37" s="1708"/>
      <c r="R37" s="1708"/>
      <c r="S37" s="1708"/>
      <c r="T37" s="1708"/>
      <c r="U37" s="1708"/>
      <c r="V37" s="1708"/>
      <c r="W37" s="1708"/>
      <c r="X37" s="1709"/>
      <c r="Y37" s="1709"/>
      <c r="Z37" s="1709"/>
      <c r="AA37" s="1709"/>
      <c r="AB37" s="1709"/>
      <c r="AC37" s="1709"/>
      <c r="AD37" s="1709"/>
      <c r="AE37" s="1709"/>
      <c r="AF37" s="1709"/>
      <c r="AG37" s="1709"/>
      <c r="AH37" s="1709"/>
      <c r="AI37" s="1709"/>
      <c r="AJ37" s="1709"/>
      <c r="AK37" s="1709"/>
      <c r="AL37" s="1709"/>
      <c r="AM37" s="1709"/>
      <c r="AN37" s="1709"/>
      <c r="AO37" s="1709"/>
      <c r="AP37" s="1709"/>
      <c r="AQ37" s="1709"/>
      <c r="AR37" s="1709"/>
      <c r="AS37" s="1709"/>
      <c r="AT37" s="1709"/>
      <c r="AU37" s="1709"/>
      <c r="AV37" s="1709"/>
      <c r="AW37" s="1709"/>
      <c r="AX37" s="1710"/>
      <c r="AY37" s="1714" t="str">
        <f t="shared" si="2"/>
        <v/>
      </c>
      <c r="AZ37" s="1714" t="str">
        <f>IF(Obj_PA!D37="","",IF(AY37="","",Obj_PA!D37-AY37))</f>
        <v/>
      </c>
      <c r="BK37" s="155" t="str">
        <f t="shared" si="4"/>
        <v/>
      </c>
      <c r="BL37" s="155" t="str">
        <f t="shared" si="5"/>
        <v/>
      </c>
      <c r="BM37" s="155" t="str">
        <f t="shared" si="6"/>
        <v/>
      </c>
      <c r="BN37" s="155" t="str">
        <f t="shared" si="7"/>
        <v/>
      </c>
      <c r="BO37" s="155" t="str">
        <f t="shared" si="8"/>
        <v/>
      </c>
      <c r="BP37" s="155" t="str">
        <f t="shared" si="9"/>
        <v/>
      </c>
      <c r="BQ37" s="155" t="str">
        <f t="shared" si="10"/>
        <v/>
      </c>
      <c r="BR37" s="155" t="str">
        <f t="shared" si="11"/>
        <v/>
      </c>
      <c r="BS37" s="155" t="str">
        <f t="shared" si="12"/>
        <v/>
      </c>
      <c r="BT37" s="155" t="str">
        <f t="shared" si="13"/>
        <v/>
      </c>
      <c r="BU37" s="155" t="str">
        <f t="shared" si="14"/>
        <v/>
      </c>
      <c r="BV37" s="155" t="str">
        <f t="shared" si="15"/>
        <v/>
      </c>
      <c r="BW37" s="155" t="str">
        <f t="shared" si="16"/>
        <v/>
      </c>
      <c r="BX37" s="155" t="str">
        <f t="shared" si="17"/>
        <v/>
      </c>
      <c r="BY37" s="155" t="str">
        <f t="shared" si="18"/>
        <v/>
      </c>
      <c r="BZ37" s="155" t="str">
        <f t="shared" si="19"/>
        <v/>
      </c>
      <c r="CA37" s="155" t="str">
        <f t="shared" si="20"/>
        <v/>
      </c>
      <c r="CB37" s="155" t="str">
        <f t="shared" si="21"/>
        <v/>
      </c>
      <c r="CC37" s="155" t="str">
        <f t="shared" si="22"/>
        <v/>
      </c>
      <c r="CD37" s="155" t="str">
        <f t="shared" si="23"/>
        <v/>
      </c>
      <c r="CE37" s="155" t="str">
        <f t="shared" si="24"/>
        <v/>
      </c>
      <c r="CF37" s="155" t="str">
        <f t="shared" si="25"/>
        <v/>
      </c>
      <c r="CG37" s="155" t="str">
        <f t="shared" si="26"/>
        <v/>
      </c>
      <c r="CH37" s="155" t="str">
        <f t="shared" si="27"/>
        <v/>
      </c>
      <c r="CI37" s="155" t="str">
        <f t="shared" si="28"/>
        <v/>
      </c>
      <c r="CJ37" s="155" t="str">
        <f t="shared" si="29"/>
        <v/>
      </c>
      <c r="CK37" s="155" t="str">
        <f t="shared" si="30"/>
        <v/>
      </c>
      <c r="CL37" s="155" t="str">
        <f t="shared" si="31"/>
        <v/>
      </c>
      <c r="CM37" s="155" t="str">
        <f t="shared" si="32"/>
        <v/>
      </c>
      <c r="CN37" s="155" t="str">
        <f t="shared" si="33"/>
        <v/>
      </c>
      <c r="CO37" s="155" t="str">
        <f t="shared" si="34"/>
        <v/>
      </c>
      <c r="CP37" s="155" t="str">
        <f t="shared" si="35"/>
        <v/>
      </c>
      <c r="CQ37" s="155" t="str">
        <f t="shared" si="36"/>
        <v/>
      </c>
      <c r="CR37" s="155" t="str">
        <f t="shared" si="37"/>
        <v/>
      </c>
      <c r="CS37" s="155" t="str">
        <f t="shared" si="38"/>
        <v/>
      </c>
      <c r="CT37" s="155" t="str">
        <f t="shared" si="39"/>
        <v/>
      </c>
      <c r="CU37" s="155" t="str">
        <f t="shared" si="40"/>
        <v/>
      </c>
      <c r="CV37" s="155" t="str">
        <f t="shared" si="41"/>
        <v/>
      </c>
      <c r="CW37" s="155" t="str">
        <f t="shared" si="42"/>
        <v/>
      </c>
      <c r="CX37" s="155" t="str">
        <f t="shared" si="43"/>
        <v/>
      </c>
    </row>
    <row r="38" spans="1:102" ht="14.25" outlineLevel="1" x14ac:dyDescent="0.2">
      <c r="A38" s="160"/>
      <c r="B38" s="157" t="str">
        <f>Services!B38</f>
        <v>02A02</v>
      </c>
      <c r="C38" s="153" t="str">
        <f>Services!C38</f>
        <v>Gestion des autorisations d'accès au site ou à l'immeuble</v>
      </c>
      <c r="D38" s="149">
        <f>1*(8*Plans_action!E193+Plans_action!D193)+1*(8*Plans_action!E200+Plans_action!D200)+1*(8*Plans_action!E207+Plans_action!D207)+1*(8*Plans_action!E215+Plans_action!D215)+1*(8*Plans_action!E224+Plans_action!D224)+1*(8*Plans_action!E240+Plans_action!D240)+1*(8*Plans_action!E249+Plans_action!D249)</f>
        <v>0</v>
      </c>
      <c r="E38" s="149"/>
      <c r="F38" s="149"/>
      <c r="G38" s="149"/>
      <c r="H38" s="149"/>
      <c r="I38" s="140" t="str">
        <f t="shared" si="0"/>
        <v/>
      </c>
      <c r="J38" s="141" t="str">
        <f t="shared" si="1"/>
        <v/>
      </c>
      <c r="K38" s="142"/>
      <c r="L38" s="142"/>
      <c r="M38" s="1708"/>
      <c r="N38" s="1708"/>
      <c r="O38" s="1708"/>
      <c r="P38" s="1708"/>
      <c r="Q38" s="1708"/>
      <c r="R38" s="1708"/>
      <c r="S38" s="1708"/>
      <c r="T38" s="1708"/>
      <c r="U38" s="1708"/>
      <c r="V38" s="1708"/>
      <c r="W38" s="1708"/>
      <c r="X38" s="1709"/>
      <c r="Y38" s="1709"/>
      <c r="Z38" s="1709"/>
      <c r="AA38" s="1709"/>
      <c r="AB38" s="1709"/>
      <c r="AC38" s="1709"/>
      <c r="AD38" s="1709"/>
      <c r="AE38" s="1709"/>
      <c r="AF38" s="1709"/>
      <c r="AG38" s="1709"/>
      <c r="AH38" s="1709"/>
      <c r="AI38" s="1709"/>
      <c r="AJ38" s="1709"/>
      <c r="AK38" s="1709"/>
      <c r="AL38" s="1709"/>
      <c r="AM38" s="1709"/>
      <c r="AN38" s="1709"/>
      <c r="AO38" s="1709"/>
      <c r="AP38" s="1709"/>
      <c r="AQ38" s="1709"/>
      <c r="AR38" s="1709"/>
      <c r="AS38" s="1709"/>
      <c r="AT38" s="1709"/>
      <c r="AU38" s="1709"/>
      <c r="AV38" s="1709"/>
      <c r="AW38" s="1709"/>
      <c r="AX38" s="1710"/>
      <c r="AY38" s="1714" t="str">
        <f t="shared" si="2"/>
        <v/>
      </c>
      <c r="AZ38" s="1714" t="str">
        <f>IF(Obj_PA!D38="","",IF(AY38="","",Obj_PA!D38-AY38))</f>
        <v/>
      </c>
      <c r="BK38" s="155" t="str">
        <f t="shared" si="4"/>
        <v/>
      </c>
      <c r="BL38" s="155" t="str">
        <f t="shared" si="5"/>
        <v/>
      </c>
      <c r="BM38" s="155" t="str">
        <f t="shared" si="6"/>
        <v/>
      </c>
      <c r="BN38" s="155" t="str">
        <f t="shared" si="7"/>
        <v/>
      </c>
      <c r="BO38" s="155" t="str">
        <f t="shared" si="8"/>
        <v/>
      </c>
      <c r="BP38" s="155" t="str">
        <f t="shared" si="9"/>
        <v/>
      </c>
      <c r="BQ38" s="155" t="str">
        <f t="shared" si="10"/>
        <v/>
      </c>
      <c r="BR38" s="155" t="str">
        <f t="shared" si="11"/>
        <v/>
      </c>
      <c r="BS38" s="155" t="str">
        <f t="shared" si="12"/>
        <v/>
      </c>
      <c r="BT38" s="155" t="str">
        <f t="shared" si="13"/>
        <v/>
      </c>
      <c r="BU38" s="155" t="str">
        <f t="shared" si="14"/>
        <v/>
      </c>
      <c r="BV38" s="155" t="str">
        <f t="shared" si="15"/>
        <v/>
      </c>
      <c r="BW38" s="155" t="str">
        <f t="shared" si="16"/>
        <v/>
      </c>
      <c r="BX38" s="155" t="str">
        <f t="shared" si="17"/>
        <v/>
      </c>
      <c r="BY38" s="155" t="str">
        <f t="shared" si="18"/>
        <v/>
      </c>
      <c r="BZ38" s="155" t="str">
        <f t="shared" si="19"/>
        <v/>
      </c>
      <c r="CA38" s="155" t="str">
        <f t="shared" si="20"/>
        <v/>
      </c>
      <c r="CB38" s="155" t="str">
        <f t="shared" si="21"/>
        <v/>
      </c>
      <c r="CC38" s="155" t="str">
        <f t="shared" si="22"/>
        <v/>
      </c>
      <c r="CD38" s="155" t="str">
        <f t="shared" si="23"/>
        <v/>
      </c>
      <c r="CE38" s="155" t="str">
        <f t="shared" si="24"/>
        <v/>
      </c>
      <c r="CF38" s="155" t="str">
        <f t="shared" si="25"/>
        <v/>
      </c>
      <c r="CG38" s="155" t="str">
        <f t="shared" si="26"/>
        <v/>
      </c>
      <c r="CH38" s="155" t="str">
        <f t="shared" si="27"/>
        <v/>
      </c>
      <c r="CI38" s="155" t="str">
        <f t="shared" si="28"/>
        <v/>
      </c>
      <c r="CJ38" s="155" t="str">
        <f t="shared" si="29"/>
        <v/>
      </c>
      <c r="CK38" s="155" t="str">
        <f t="shared" si="30"/>
        <v/>
      </c>
      <c r="CL38" s="155" t="str">
        <f t="shared" si="31"/>
        <v/>
      </c>
      <c r="CM38" s="155" t="str">
        <f t="shared" si="32"/>
        <v/>
      </c>
      <c r="CN38" s="155" t="str">
        <f t="shared" si="33"/>
        <v/>
      </c>
      <c r="CO38" s="155" t="str">
        <f t="shared" si="34"/>
        <v/>
      </c>
      <c r="CP38" s="155" t="str">
        <f t="shared" si="35"/>
        <v/>
      </c>
      <c r="CQ38" s="155" t="str">
        <f t="shared" si="36"/>
        <v/>
      </c>
      <c r="CR38" s="155" t="str">
        <f t="shared" si="37"/>
        <v/>
      </c>
      <c r="CS38" s="155" t="str">
        <f t="shared" si="38"/>
        <v/>
      </c>
      <c r="CT38" s="155" t="str">
        <f t="shared" si="39"/>
        <v/>
      </c>
      <c r="CU38" s="155" t="str">
        <f t="shared" si="40"/>
        <v/>
      </c>
      <c r="CV38" s="155" t="str">
        <f t="shared" si="41"/>
        <v/>
      </c>
      <c r="CW38" s="155" t="str">
        <f t="shared" si="42"/>
        <v/>
      </c>
      <c r="CX38" s="155" t="str">
        <f t="shared" si="43"/>
        <v/>
      </c>
    </row>
    <row r="39" spans="1:102" ht="14.25" outlineLevel="1" x14ac:dyDescent="0.2">
      <c r="A39" s="160"/>
      <c r="B39" s="157" t="str">
        <f>Services!B39</f>
        <v>02A03</v>
      </c>
      <c r="C39" s="153" t="str">
        <f>Services!C39</f>
        <v>Contrôle d'accès au site ou à l'immeuble</v>
      </c>
      <c r="D39" s="149">
        <f>1*(8*Plans_action!E193+Plans_action!D193)+1*(8*Plans_action!E200+Plans_action!D200)+1*(8*Plans_action!E207+Plans_action!D207)+1*(8*Plans_action!E215+Plans_action!D215)+1*(8*Plans_action!E224+Plans_action!D224)+1*(8*Plans_action!E240+Plans_action!D240)+1*(8*Plans_action!E249+Plans_action!D249)</f>
        <v>0</v>
      </c>
      <c r="E39" s="149"/>
      <c r="F39" s="149"/>
      <c r="G39" s="149"/>
      <c r="H39" s="149"/>
      <c r="I39" s="140" t="str">
        <f t="shared" si="0"/>
        <v/>
      </c>
      <c r="J39" s="141" t="str">
        <f t="shared" si="1"/>
        <v/>
      </c>
      <c r="K39" s="142"/>
      <c r="L39" s="142"/>
      <c r="M39" s="1708"/>
      <c r="N39" s="1708"/>
      <c r="O39" s="1708"/>
      <c r="P39" s="1708"/>
      <c r="Q39" s="1708"/>
      <c r="R39" s="1708"/>
      <c r="S39" s="1708"/>
      <c r="T39" s="1708"/>
      <c r="U39" s="1708"/>
      <c r="V39" s="1708"/>
      <c r="W39" s="1708"/>
      <c r="X39" s="1709"/>
      <c r="Y39" s="1709"/>
      <c r="Z39" s="1709"/>
      <c r="AA39" s="1709"/>
      <c r="AB39" s="1709"/>
      <c r="AC39" s="1709"/>
      <c r="AD39" s="1709"/>
      <c r="AE39" s="1709"/>
      <c r="AF39" s="1709"/>
      <c r="AG39" s="1709"/>
      <c r="AH39" s="1709"/>
      <c r="AI39" s="1709"/>
      <c r="AJ39" s="1709"/>
      <c r="AK39" s="1709"/>
      <c r="AL39" s="1709"/>
      <c r="AM39" s="1709"/>
      <c r="AN39" s="1709"/>
      <c r="AO39" s="1709"/>
      <c r="AP39" s="1709"/>
      <c r="AQ39" s="1709"/>
      <c r="AR39" s="1709"/>
      <c r="AS39" s="1709"/>
      <c r="AT39" s="1709"/>
      <c r="AU39" s="1709"/>
      <c r="AV39" s="1709"/>
      <c r="AW39" s="1709"/>
      <c r="AX39" s="1710"/>
      <c r="AY39" s="1714" t="str">
        <f t="shared" si="2"/>
        <v/>
      </c>
      <c r="AZ39" s="1714" t="str">
        <f>IF(Obj_PA!D39="","",IF(AY39="","",Obj_PA!D39-AY39))</f>
        <v/>
      </c>
      <c r="BK39" s="155" t="str">
        <f t="shared" si="4"/>
        <v/>
      </c>
      <c r="BL39" s="155" t="str">
        <f t="shared" si="5"/>
        <v/>
      </c>
      <c r="BM39" s="155" t="str">
        <f t="shared" si="6"/>
        <v/>
      </c>
      <c r="BN39" s="155" t="str">
        <f t="shared" si="7"/>
        <v/>
      </c>
      <c r="BO39" s="155" t="str">
        <f t="shared" si="8"/>
        <v/>
      </c>
      <c r="BP39" s="155" t="str">
        <f t="shared" si="9"/>
        <v/>
      </c>
      <c r="BQ39" s="155" t="str">
        <f t="shared" si="10"/>
        <v/>
      </c>
      <c r="BR39" s="155" t="str">
        <f t="shared" si="11"/>
        <v/>
      </c>
      <c r="BS39" s="155" t="str">
        <f t="shared" si="12"/>
        <v/>
      </c>
      <c r="BT39" s="155" t="str">
        <f t="shared" si="13"/>
        <v/>
      </c>
      <c r="BU39" s="155" t="str">
        <f t="shared" si="14"/>
        <v/>
      </c>
      <c r="BV39" s="155" t="str">
        <f t="shared" si="15"/>
        <v/>
      </c>
      <c r="BW39" s="155" t="str">
        <f t="shared" si="16"/>
        <v/>
      </c>
      <c r="BX39" s="155" t="str">
        <f t="shared" si="17"/>
        <v/>
      </c>
      <c r="BY39" s="155" t="str">
        <f t="shared" si="18"/>
        <v/>
      </c>
      <c r="BZ39" s="155" t="str">
        <f t="shared" si="19"/>
        <v/>
      </c>
      <c r="CA39" s="155" t="str">
        <f t="shared" si="20"/>
        <v/>
      </c>
      <c r="CB39" s="155" t="str">
        <f t="shared" si="21"/>
        <v/>
      </c>
      <c r="CC39" s="155" t="str">
        <f t="shared" si="22"/>
        <v/>
      </c>
      <c r="CD39" s="155" t="str">
        <f t="shared" si="23"/>
        <v/>
      </c>
      <c r="CE39" s="155" t="str">
        <f t="shared" si="24"/>
        <v/>
      </c>
      <c r="CF39" s="155" t="str">
        <f t="shared" si="25"/>
        <v/>
      </c>
      <c r="CG39" s="155" t="str">
        <f t="shared" si="26"/>
        <v/>
      </c>
      <c r="CH39" s="155" t="str">
        <f t="shared" si="27"/>
        <v/>
      </c>
      <c r="CI39" s="155" t="str">
        <f t="shared" si="28"/>
        <v/>
      </c>
      <c r="CJ39" s="155" t="str">
        <f t="shared" si="29"/>
        <v/>
      </c>
      <c r="CK39" s="155" t="str">
        <f t="shared" si="30"/>
        <v/>
      </c>
      <c r="CL39" s="155" t="str">
        <f t="shared" si="31"/>
        <v/>
      </c>
      <c r="CM39" s="155" t="str">
        <f t="shared" si="32"/>
        <v/>
      </c>
      <c r="CN39" s="155" t="str">
        <f t="shared" si="33"/>
        <v/>
      </c>
      <c r="CO39" s="155" t="str">
        <f t="shared" si="34"/>
        <v/>
      </c>
      <c r="CP39" s="155" t="str">
        <f t="shared" si="35"/>
        <v/>
      </c>
      <c r="CQ39" s="155" t="str">
        <f t="shared" si="36"/>
        <v/>
      </c>
      <c r="CR39" s="155" t="str">
        <f t="shared" si="37"/>
        <v/>
      </c>
      <c r="CS39" s="155" t="str">
        <f t="shared" si="38"/>
        <v/>
      </c>
      <c r="CT39" s="155" t="str">
        <f t="shared" si="39"/>
        <v/>
      </c>
      <c r="CU39" s="155" t="str">
        <f t="shared" si="40"/>
        <v/>
      </c>
      <c r="CV39" s="155" t="str">
        <f t="shared" si="41"/>
        <v/>
      </c>
      <c r="CW39" s="155" t="str">
        <f t="shared" si="42"/>
        <v/>
      </c>
      <c r="CX39" s="155" t="str">
        <f t="shared" si="43"/>
        <v/>
      </c>
    </row>
    <row r="40" spans="1:102" ht="14.25" outlineLevel="1" x14ac:dyDescent="0.2">
      <c r="A40" s="160"/>
      <c r="B40" s="157" t="str">
        <f>Services!B40</f>
        <v>02A04</v>
      </c>
      <c r="C40" s="153" t="str">
        <f>Services!C40</f>
        <v>Détection des intrusions sur le site ou dans l'immeuble</v>
      </c>
      <c r="D40" s="149">
        <f>1*(8*Plans_action!E215+Plans_action!D215)+1*(8*Plans_action!E224+Plans_action!D224)+1*(8*Plans_action!E240+Plans_action!D240)+1*(8*Plans_action!E249+Plans_action!D249)</f>
        <v>0</v>
      </c>
      <c r="E40" s="149">
        <f>2*(8*Plans_action!E193+Plans_action!D193)+2*(8*Plans_action!E200+Plans_action!D200)+2*(8*Plans_action!E207+Plans_action!D207)</f>
        <v>0</v>
      </c>
      <c r="F40" s="149"/>
      <c r="G40" s="149"/>
      <c r="H40" s="149"/>
      <c r="I40" s="140" t="str">
        <f t="shared" si="0"/>
        <v/>
      </c>
      <c r="J40" s="141" t="str">
        <f t="shared" si="1"/>
        <v/>
      </c>
      <c r="K40" s="142"/>
      <c r="L40" s="142"/>
      <c r="M40" s="1708"/>
      <c r="N40" s="1708"/>
      <c r="O40" s="1708"/>
      <c r="P40" s="1708"/>
      <c r="Q40" s="1708"/>
      <c r="R40" s="1708"/>
      <c r="S40" s="1708"/>
      <c r="T40" s="1708"/>
      <c r="U40" s="1708"/>
      <c r="V40" s="1708"/>
      <c r="W40" s="1708"/>
      <c r="X40" s="1709"/>
      <c r="Y40" s="1709"/>
      <c r="Z40" s="1709"/>
      <c r="AA40" s="1709"/>
      <c r="AB40" s="1709"/>
      <c r="AC40" s="1709"/>
      <c r="AD40" s="1709"/>
      <c r="AE40" s="1709"/>
      <c r="AF40" s="1709"/>
      <c r="AG40" s="1709"/>
      <c r="AH40" s="1709"/>
      <c r="AI40" s="1709"/>
      <c r="AJ40" s="1709"/>
      <c r="AK40" s="1709"/>
      <c r="AL40" s="1709"/>
      <c r="AM40" s="1709"/>
      <c r="AN40" s="1709"/>
      <c r="AO40" s="1709"/>
      <c r="AP40" s="1709"/>
      <c r="AQ40" s="1709"/>
      <c r="AR40" s="1709"/>
      <c r="AS40" s="1709"/>
      <c r="AT40" s="1709"/>
      <c r="AU40" s="1709"/>
      <c r="AV40" s="1709"/>
      <c r="AW40" s="1709"/>
      <c r="AX40" s="1710"/>
      <c r="AY40" s="1714" t="str">
        <f t="shared" si="2"/>
        <v/>
      </c>
      <c r="AZ40" s="1714" t="str">
        <f>IF(Obj_PA!D40="","",IF(AY40="","",Obj_PA!D40-AY40))</f>
        <v/>
      </c>
      <c r="BK40" s="155" t="str">
        <f t="shared" si="4"/>
        <v/>
      </c>
      <c r="BL40" s="155" t="str">
        <f t="shared" si="5"/>
        <v/>
      </c>
      <c r="BM40" s="155" t="str">
        <f t="shared" si="6"/>
        <v/>
      </c>
      <c r="BN40" s="155" t="str">
        <f t="shared" si="7"/>
        <v/>
      </c>
      <c r="BO40" s="155" t="str">
        <f t="shared" si="8"/>
        <v/>
      </c>
      <c r="BP40" s="155" t="str">
        <f t="shared" si="9"/>
        <v/>
      </c>
      <c r="BQ40" s="155" t="str">
        <f t="shared" si="10"/>
        <v/>
      </c>
      <c r="BR40" s="155" t="str">
        <f t="shared" si="11"/>
        <v/>
      </c>
      <c r="BS40" s="155" t="str">
        <f t="shared" si="12"/>
        <v/>
      </c>
      <c r="BT40" s="155" t="str">
        <f t="shared" si="13"/>
        <v/>
      </c>
      <c r="BU40" s="155" t="str">
        <f t="shared" si="14"/>
        <v/>
      </c>
      <c r="BV40" s="155" t="str">
        <f t="shared" si="15"/>
        <v/>
      </c>
      <c r="BW40" s="155" t="str">
        <f t="shared" si="16"/>
        <v/>
      </c>
      <c r="BX40" s="155" t="str">
        <f t="shared" si="17"/>
        <v/>
      </c>
      <c r="BY40" s="155" t="str">
        <f t="shared" si="18"/>
        <v/>
      </c>
      <c r="BZ40" s="155" t="str">
        <f t="shared" si="19"/>
        <v/>
      </c>
      <c r="CA40" s="155" t="str">
        <f t="shared" si="20"/>
        <v/>
      </c>
      <c r="CB40" s="155" t="str">
        <f t="shared" si="21"/>
        <v/>
      </c>
      <c r="CC40" s="155" t="str">
        <f t="shared" si="22"/>
        <v/>
      </c>
      <c r="CD40" s="155" t="str">
        <f t="shared" si="23"/>
        <v/>
      </c>
      <c r="CE40" s="155" t="str">
        <f t="shared" si="24"/>
        <v/>
      </c>
      <c r="CF40" s="155" t="str">
        <f t="shared" si="25"/>
        <v/>
      </c>
      <c r="CG40" s="155" t="str">
        <f t="shared" si="26"/>
        <v/>
      </c>
      <c r="CH40" s="155" t="str">
        <f t="shared" si="27"/>
        <v/>
      </c>
      <c r="CI40" s="155" t="str">
        <f t="shared" si="28"/>
        <v/>
      </c>
      <c r="CJ40" s="155" t="str">
        <f t="shared" si="29"/>
        <v/>
      </c>
      <c r="CK40" s="155" t="str">
        <f t="shared" si="30"/>
        <v/>
      </c>
      <c r="CL40" s="155" t="str">
        <f t="shared" si="31"/>
        <v/>
      </c>
      <c r="CM40" s="155" t="str">
        <f t="shared" si="32"/>
        <v/>
      </c>
      <c r="CN40" s="155" t="str">
        <f t="shared" si="33"/>
        <v/>
      </c>
      <c r="CO40" s="155" t="str">
        <f t="shared" si="34"/>
        <v/>
      </c>
      <c r="CP40" s="155" t="str">
        <f t="shared" si="35"/>
        <v/>
      </c>
      <c r="CQ40" s="155" t="str">
        <f t="shared" si="36"/>
        <v/>
      </c>
      <c r="CR40" s="155" t="str">
        <f t="shared" si="37"/>
        <v/>
      </c>
      <c r="CS40" s="155" t="str">
        <f t="shared" si="38"/>
        <v/>
      </c>
      <c r="CT40" s="155" t="str">
        <f t="shared" si="39"/>
        <v/>
      </c>
      <c r="CU40" s="155" t="str">
        <f t="shared" si="40"/>
        <v/>
      </c>
      <c r="CV40" s="155" t="str">
        <f t="shared" si="41"/>
        <v/>
      </c>
      <c r="CW40" s="155" t="str">
        <f t="shared" si="42"/>
        <v/>
      </c>
      <c r="CX40" s="155" t="str">
        <f t="shared" si="43"/>
        <v/>
      </c>
    </row>
    <row r="41" spans="1:102" s="151" customFormat="1" ht="25.5" outlineLevel="1" x14ac:dyDescent="0.2">
      <c r="A41" s="146"/>
      <c r="B41" s="157" t="str">
        <f>Services!B41</f>
        <v>02A05</v>
      </c>
      <c r="C41" s="153" t="str">
        <f>Services!C41</f>
        <v>Accès aux zones de transfert (livraison ou chargement)  ou aux zones accessibles au public</v>
      </c>
      <c r="D41" s="149">
        <f>1*(8*Plans_action!E193+Plans_action!D193)+1*(8*Plans_action!E200+Plans_action!D200)+1*(8*Plans_action!E207+Plans_action!D207)+1*(8*Plans_action!E215+Plans_action!D215)+1*(8*Plans_action!E224+Plans_action!D224)+1*(8*Plans_action!E240+Plans_action!D240)+1*(8*Plans_action!E249+Plans_action!D249)</f>
        <v>0</v>
      </c>
      <c r="E41" s="149"/>
      <c r="F41" s="149"/>
      <c r="G41" s="149"/>
      <c r="H41" s="149"/>
      <c r="I41" s="140" t="str">
        <f t="shared" si="0"/>
        <v/>
      </c>
      <c r="J41" s="141" t="str">
        <f t="shared" si="1"/>
        <v/>
      </c>
      <c r="K41" s="142"/>
      <c r="L41" s="142"/>
      <c r="M41" s="1708"/>
      <c r="N41" s="1708"/>
      <c r="O41" s="1708"/>
      <c r="P41" s="1708"/>
      <c r="Q41" s="1708"/>
      <c r="R41" s="1708"/>
      <c r="S41" s="1708"/>
      <c r="T41" s="1708"/>
      <c r="U41" s="1708"/>
      <c r="V41" s="1708"/>
      <c r="W41" s="1708"/>
      <c r="X41" s="1712"/>
      <c r="Y41" s="1712"/>
      <c r="Z41" s="1712"/>
      <c r="AA41" s="1712"/>
      <c r="AB41" s="1712"/>
      <c r="AC41" s="1712"/>
      <c r="AD41" s="1712"/>
      <c r="AE41" s="1712"/>
      <c r="AF41" s="1712"/>
      <c r="AG41" s="1712"/>
      <c r="AH41" s="1712"/>
      <c r="AI41" s="1712"/>
      <c r="AJ41" s="1712"/>
      <c r="AK41" s="1712"/>
      <c r="AL41" s="1712"/>
      <c r="AM41" s="1712"/>
      <c r="AN41" s="1712"/>
      <c r="AO41" s="1712"/>
      <c r="AP41" s="1712"/>
      <c r="AQ41" s="1712"/>
      <c r="AR41" s="1712"/>
      <c r="AS41" s="1712"/>
      <c r="AT41" s="1712"/>
      <c r="AU41" s="1712"/>
      <c r="AV41" s="1712"/>
      <c r="AW41" s="1712"/>
      <c r="AX41" s="1713"/>
      <c r="AY41" s="1714" t="str">
        <f t="shared" si="2"/>
        <v/>
      </c>
      <c r="AZ41" s="1714" t="str">
        <f>IF(Obj_PA!D41="","",IF(AY41="","",Obj_PA!D41-AY41))</f>
        <v/>
      </c>
      <c r="BA41" s="150"/>
      <c r="BB41" s="150"/>
      <c r="BC41" s="150"/>
      <c r="BD41" s="150"/>
      <c r="BE41" s="150"/>
      <c r="BF41" s="150"/>
      <c r="BG41" s="150"/>
      <c r="BH41" s="150"/>
      <c r="BI41" s="150"/>
      <c r="BJ41" s="150"/>
      <c r="BK41" s="155" t="str">
        <f t="shared" si="4"/>
        <v/>
      </c>
      <c r="BL41" s="155" t="str">
        <f t="shared" si="5"/>
        <v/>
      </c>
      <c r="BM41" s="155" t="str">
        <f t="shared" si="6"/>
        <v/>
      </c>
      <c r="BN41" s="155" t="str">
        <f t="shared" si="7"/>
        <v/>
      </c>
      <c r="BO41" s="155" t="str">
        <f t="shared" si="8"/>
        <v/>
      </c>
      <c r="BP41" s="155" t="str">
        <f t="shared" si="9"/>
        <v/>
      </c>
      <c r="BQ41" s="155" t="str">
        <f t="shared" si="10"/>
        <v/>
      </c>
      <c r="BR41" s="155" t="str">
        <f t="shared" si="11"/>
        <v/>
      </c>
      <c r="BS41" s="155" t="str">
        <f t="shared" si="12"/>
        <v/>
      </c>
      <c r="BT41" s="155" t="str">
        <f t="shared" si="13"/>
        <v/>
      </c>
      <c r="BU41" s="155" t="str">
        <f t="shared" si="14"/>
        <v/>
      </c>
      <c r="BV41" s="155" t="str">
        <f t="shared" si="15"/>
        <v/>
      </c>
      <c r="BW41" s="155" t="str">
        <f t="shared" si="16"/>
        <v/>
      </c>
      <c r="BX41" s="155" t="str">
        <f t="shared" si="17"/>
        <v/>
      </c>
      <c r="BY41" s="155" t="str">
        <f t="shared" si="18"/>
        <v/>
      </c>
      <c r="BZ41" s="155" t="str">
        <f t="shared" si="19"/>
        <v/>
      </c>
      <c r="CA41" s="155" t="str">
        <f t="shared" si="20"/>
        <v/>
      </c>
      <c r="CB41" s="155" t="str">
        <f t="shared" si="21"/>
        <v/>
      </c>
      <c r="CC41" s="155" t="str">
        <f t="shared" si="22"/>
        <v/>
      </c>
      <c r="CD41" s="155" t="str">
        <f t="shared" si="23"/>
        <v/>
      </c>
      <c r="CE41" s="155" t="str">
        <f t="shared" si="24"/>
        <v/>
      </c>
      <c r="CF41" s="155" t="str">
        <f t="shared" si="25"/>
        <v/>
      </c>
      <c r="CG41" s="155" t="str">
        <f t="shared" si="26"/>
        <v/>
      </c>
      <c r="CH41" s="155" t="str">
        <f t="shared" si="27"/>
        <v/>
      </c>
      <c r="CI41" s="155" t="str">
        <f t="shared" si="28"/>
        <v/>
      </c>
      <c r="CJ41" s="155" t="str">
        <f t="shared" si="29"/>
        <v/>
      </c>
      <c r="CK41" s="155" t="str">
        <f t="shared" si="30"/>
        <v/>
      </c>
      <c r="CL41" s="155" t="str">
        <f t="shared" si="31"/>
        <v/>
      </c>
      <c r="CM41" s="155" t="str">
        <f t="shared" si="32"/>
        <v/>
      </c>
      <c r="CN41" s="155" t="str">
        <f t="shared" si="33"/>
        <v/>
      </c>
      <c r="CO41" s="155" t="str">
        <f t="shared" si="34"/>
        <v/>
      </c>
      <c r="CP41" s="155" t="str">
        <f t="shared" si="35"/>
        <v/>
      </c>
      <c r="CQ41" s="155" t="str">
        <f t="shared" si="36"/>
        <v/>
      </c>
      <c r="CR41" s="155" t="str">
        <f t="shared" si="37"/>
        <v/>
      </c>
      <c r="CS41" s="155" t="str">
        <f t="shared" si="38"/>
        <v/>
      </c>
      <c r="CT41" s="155" t="str">
        <f t="shared" si="39"/>
        <v/>
      </c>
      <c r="CU41" s="155" t="str">
        <f t="shared" si="40"/>
        <v/>
      </c>
      <c r="CV41" s="155" t="str">
        <f t="shared" si="41"/>
        <v/>
      </c>
      <c r="CW41" s="155" t="str">
        <f t="shared" si="42"/>
        <v/>
      </c>
      <c r="CX41" s="155" t="str">
        <f t="shared" si="43"/>
        <v/>
      </c>
    </row>
    <row r="42" spans="1:102" s="151" customFormat="1" ht="14.25" outlineLevel="1" x14ac:dyDescent="0.2">
      <c r="A42" s="156"/>
      <c r="B42" s="147" t="str">
        <f>Services!B42</f>
        <v>02B</v>
      </c>
      <c r="C42" s="148" t="str">
        <f>Services!C42</f>
        <v>Protection contre les risques environnementaux divers</v>
      </c>
      <c r="D42" s="149"/>
      <c r="E42" s="149"/>
      <c r="F42" s="149"/>
      <c r="G42" s="149"/>
      <c r="H42" s="149"/>
      <c r="I42" s="140" t="str">
        <f t="shared" si="0"/>
        <v/>
      </c>
      <c r="J42" s="141" t="str">
        <f t="shared" si="1"/>
        <v/>
      </c>
      <c r="K42" s="142"/>
      <c r="L42" s="142"/>
      <c r="M42" s="1708"/>
      <c r="N42" s="1708"/>
      <c r="O42" s="1708"/>
      <c r="P42" s="1708"/>
      <c r="Q42" s="1708"/>
      <c r="R42" s="1708"/>
      <c r="S42" s="1708"/>
      <c r="T42" s="1708"/>
      <c r="U42" s="1708"/>
      <c r="V42" s="1708"/>
      <c r="W42" s="1708"/>
      <c r="X42" s="1712"/>
      <c r="Y42" s="1712"/>
      <c r="Z42" s="1712"/>
      <c r="AA42" s="1712"/>
      <c r="AB42" s="1712"/>
      <c r="AC42" s="1712"/>
      <c r="AD42" s="1712"/>
      <c r="AE42" s="1712"/>
      <c r="AF42" s="1712"/>
      <c r="AG42" s="1712"/>
      <c r="AH42" s="1712"/>
      <c r="AI42" s="1712"/>
      <c r="AJ42" s="1712"/>
      <c r="AK42" s="1712"/>
      <c r="AL42" s="1712"/>
      <c r="AM42" s="1712"/>
      <c r="AN42" s="1712"/>
      <c r="AO42" s="1712"/>
      <c r="AP42" s="1712"/>
      <c r="AQ42" s="1712"/>
      <c r="AR42" s="1712"/>
      <c r="AS42" s="1712"/>
      <c r="AT42" s="1712"/>
      <c r="AU42" s="1712"/>
      <c r="AV42" s="1712"/>
      <c r="AW42" s="1712"/>
      <c r="AX42" s="1713"/>
      <c r="AY42" s="1714" t="str">
        <f t="shared" si="2"/>
        <v/>
      </c>
      <c r="AZ42" s="1714" t="str">
        <f>IF(Obj_PA!D42="","",IF(AY42="","",Obj_PA!D42-AY42))</f>
        <v/>
      </c>
      <c r="BA42" s="150"/>
      <c r="BB42" s="150"/>
      <c r="BC42" s="150"/>
      <c r="BD42" s="150"/>
      <c r="BE42" s="150"/>
      <c r="BF42" s="150"/>
      <c r="BG42" s="150"/>
      <c r="BH42" s="150"/>
      <c r="BI42" s="150"/>
      <c r="BJ42" s="150"/>
      <c r="BK42" s="155" t="str">
        <f t="shared" si="4"/>
        <v/>
      </c>
      <c r="BL42" s="155" t="str">
        <f t="shared" si="5"/>
        <v/>
      </c>
      <c r="BM42" s="155" t="str">
        <f t="shared" si="6"/>
        <v/>
      </c>
      <c r="BN42" s="155" t="str">
        <f t="shared" si="7"/>
        <v/>
      </c>
      <c r="BO42" s="155" t="str">
        <f t="shared" si="8"/>
        <v/>
      </c>
      <c r="BP42" s="155" t="str">
        <f t="shared" si="9"/>
        <v/>
      </c>
      <c r="BQ42" s="155" t="str">
        <f t="shared" si="10"/>
        <v/>
      </c>
      <c r="BR42" s="155" t="str">
        <f t="shared" si="11"/>
        <v/>
      </c>
      <c r="BS42" s="155" t="str">
        <f t="shared" si="12"/>
        <v/>
      </c>
      <c r="BT42" s="155" t="str">
        <f t="shared" si="13"/>
        <v/>
      </c>
      <c r="BU42" s="155" t="str">
        <f t="shared" si="14"/>
        <v/>
      </c>
      <c r="BV42" s="155" t="str">
        <f t="shared" si="15"/>
        <v/>
      </c>
      <c r="BW42" s="155" t="str">
        <f t="shared" si="16"/>
        <v/>
      </c>
      <c r="BX42" s="155" t="str">
        <f t="shared" si="17"/>
        <v/>
      </c>
      <c r="BY42" s="155" t="str">
        <f t="shared" si="18"/>
        <v/>
      </c>
      <c r="BZ42" s="155" t="str">
        <f t="shared" si="19"/>
        <v/>
      </c>
      <c r="CA42" s="155" t="str">
        <f t="shared" si="20"/>
        <v/>
      </c>
      <c r="CB42" s="155" t="str">
        <f t="shared" si="21"/>
        <v/>
      </c>
      <c r="CC42" s="155" t="str">
        <f t="shared" si="22"/>
        <v/>
      </c>
      <c r="CD42" s="155" t="str">
        <f t="shared" si="23"/>
        <v/>
      </c>
      <c r="CE42" s="155" t="str">
        <f t="shared" si="24"/>
        <v/>
      </c>
      <c r="CF42" s="155" t="str">
        <f t="shared" si="25"/>
        <v/>
      </c>
      <c r="CG42" s="155" t="str">
        <f t="shared" si="26"/>
        <v/>
      </c>
      <c r="CH42" s="155" t="str">
        <f t="shared" si="27"/>
        <v/>
      </c>
      <c r="CI42" s="155" t="str">
        <f t="shared" si="28"/>
        <v/>
      </c>
      <c r="CJ42" s="155" t="str">
        <f t="shared" si="29"/>
        <v/>
      </c>
      <c r="CK42" s="155" t="str">
        <f t="shared" si="30"/>
        <v/>
      </c>
      <c r="CL42" s="155" t="str">
        <f t="shared" si="31"/>
        <v/>
      </c>
      <c r="CM42" s="155" t="str">
        <f t="shared" si="32"/>
        <v/>
      </c>
      <c r="CN42" s="155" t="str">
        <f t="shared" si="33"/>
        <v/>
      </c>
      <c r="CO42" s="155" t="str">
        <f t="shared" si="34"/>
        <v/>
      </c>
      <c r="CP42" s="155" t="str">
        <f t="shared" si="35"/>
        <v/>
      </c>
      <c r="CQ42" s="155" t="str">
        <f t="shared" si="36"/>
        <v/>
      </c>
      <c r="CR42" s="155" t="str">
        <f t="shared" si="37"/>
        <v/>
      </c>
      <c r="CS42" s="155" t="str">
        <f t="shared" si="38"/>
        <v/>
      </c>
      <c r="CT42" s="155" t="str">
        <f t="shared" si="39"/>
        <v/>
      </c>
      <c r="CU42" s="155" t="str">
        <f t="shared" si="40"/>
        <v/>
      </c>
      <c r="CV42" s="155" t="str">
        <f t="shared" si="41"/>
        <v/>
      </c>
      <c r="CW42" s="155" t="str">
        <f t="shared" si="42"/>
        <v/>
      </c>
      <c r="CX42" s="155" t="str">
        <f t="shared" si="43"/>
        <v/>
      </c>
    </row>
    <row r="43" spans="1:102" s="151" customFormat="1" ht="14.25" outlineLevel="1" x14ac:dyDescent="0.2">
      <c r="A43" s="146"/>
      <c r="B43" s="157" t="str">
        <f>Services!B43</f>
        <v>02B01</v>
      </c>
      <c r="C43" s="153" t="str">
        <f>Services!C43</f>
        <v>Analyse des risques environnementaux divers</v>
      </c>
      <c r="D43" s="149"/>
      <c r="E43" s="149"/>
      <c r="F43" s="149"/>
      <c r="G43" s="149"/>
      <c r="H43" s="149"/>
      <c r="I43" s="140" t="str">
        <f t="shared" si="0"/>
        <v/>
      </c>
      <c r="J43" s="141" t="str">
        <f t="shared" si="1"/>
        <v/>
      </c>
      <c r="K43" s="142"/>
      <c r="L43" s="142"/>
      <c r="M43" s="1708"/>
      <c r="N43" s="1708"/>
      <c r="O43" s="1708"/>
      <c r="P43" s="1708"/>
      <c r="Q43" s="1708"/>
      <c r="R43" s="1708"/>
      <c r="S43" s="1708"/>
      <c r="T43" s="1708"/>
      <c r="U43" s="1708"/>
      <c r="V43" s="1708"/>
      <c r="W43" s="1708"/>
      <c r="X43" s="1712"/>
      <c r="Y43" s="1712"/>
      <c r="Z43" s="1712"/>
      <c r="AA43" s="1712"/>
      <c r="AB43" s="1712"/>
      <c r="AC43" s="1712"/>
      <c r="AD43" s="1712"/>
      <c r="AE43" s="1712"/>
      <c r="AF43" s="1712"/>
      <c r="AG43" s="1712"/>
      <c r="AH43" s="1712"/>
      <c r="AI43" s="1712"/>
      <c r="AJ43" s="1712"/>
      <c r="AK43" s="1712"/>
      <c r="AL43" s="1712"/>
      <c r="AM43" s="1712"/>
      <c r="AN43" s="1712"/>
      <c r="AO43" s="1712"/>
      <c r="AP43" s="1712"/>
      <c r="AQ43" s="1712"/>
      <c r="AR43" s="1712"/>
      <c r="AS43" s="1712"/>
      <c r="AT43" s="1712"/>
      <c r="AU43" s="1712"/>
      <c r="AV43" s="1712"/>
      <c r="AW43" s="1712"/>
      <c r="AX43" s="1713"/>
      <c r="AY43" s="1714" t="str">
        <f t="shared" si="2"/>
        <v/>
      </c>
      <c r="AZ43" s="1714" t="str">
        <f>IF(Obj_PA!D43="","",IF(AY43="","",Obj_PA!D43-AY43))</f>
        <v/>
      </c>
      <c r="BA43" s="150"/>
      <c r="BB43" s="150"/>
      <c r="BC43" s="150"/>
      <c r="BD43" s="150"/>
      <c r="BE43" s="150"/>
      <c r="BF43" s="150"/>
      <c r="BG43" s="150"/>
      <c r="BH43" s="150"/>
      <c r="BI43" s="150"/>
      <c r="BJ43" s="150"/>
      <c r="BK43" s="155" t="str">
        <f t="shared" si="4"/>
        <v/>
      </c>
      <c r="BL43" s="155" t="str">
        <f t="shared" si="5"/>
        <v/>
      </c>
      <c r="BM43" s="155" t="str">
        <f t="shared" si="6"/>
        <v/>
      </c>
      <c r="BN43" s="155" t="str">
        <f t="shared" si="7"/>
        <v/>
      </c>
      <c r="BO43" s="155" t="str">
        <f t="shared" si="8"/>
        <v/>
      </c>
      <c r="BP43" s="155" t="str">
        <f t="shared" si="9"/>
        <v/>
      </c>
      <c r="BQ43" s="155" t="str">
        <f t="shared" si="10"/>
        <v/>
      </c>
      <c r="BR43" s="155" t="str">
        <f t="shared" si="11"/>
        <v/>
      </c>
      <c r="BS43" s="155" t="str">
        <f t="shared" si="12"/>
        <v/>
      </c>
      <c r="BT43" s="155" t="str">
        <f t="shared" si="13"/>
        <v/>
      </c>
      <c r="BU43" s="155" t="str">
        <f t="shared" si="14"/>
        <v/>
      </c>
      <c r="BV43" s="155" t="str">
        <f t="shared" si="15"/>
        <v/>
      </c>
      <c r="BW43" s="155" t="str">
        <f t="shared" si="16"/>
        <v/>
      </c>
      <c r="BX43" s="155" t="str">
        <f t="shared" si="17"/>
        <v/>
      </c>
      <c r="BY43" s="155" t="str">
        <f t="shared" si="18"/>
        <v/>
      </c>
      <c r="BZ43" s="155" t="str">
        <f t="shared" si="19"/>
        <v/>
      </c>
      <c r="CA43" s="155" t="str">
        <f t="shared" si="20"/>
        <v/>
      </c>
      <c r="CB43" s="155" t="str">
        <f t="shared" si="21"/>
        <v/>
      </c>
      <c r="CC43" s="155" t="str">
        <f t="shared" si="22"/>
        <v/>
      </c>
      <c r="CD43" s="155" t="str">
        <f t="shared" si="23"/>
        <v/>
      </c>
      <c r="CE43" s="155" t="str">
        <f t="shared" si="24"/>
        <v/>
      </c>
      <c r="CF43" s="155" t="str">
        <f t="shared" si="25"/>
        <v/>
      </c>
      <c r="CG43" s="155" t="str">
        <f t="shared" si="26"/>
        <v/>
      </c>
      <c r="CH43" s="155" t="str">
        <f t="shared" si="27"/>
        <v/>
      </c>
      <c r="CI43" s="155" t="str">
        <f t="shared" si="28"/>
        <v/>
      </c>
      <c r="CJ43" s="155" t="str">
        <f t="shared" si="29"/>
        <v/>
      </c>
      <c r="CK43" s="155" t="str">
        <f t="shared" si="30"/>
        <v/>
      </c>
      <c r="CL43" s="155" t="str">
        <f t="shared" si="31"/>
        <v/>
      </c>
      <c r="CM43" s="155" t="str">
        <f t="shared" si="32"/>
        <v/>
      </c>
      <c r="CN43" s="155" t="str">
        <f t="shared" si="33"/>
        <v/>
      </c>
      <c r="CO43" s="155" t="str">
        <f t="shared" si="34"/>
        <v/>
      </c>
      <c r="CP43" s="155" t="str">
        <f t="shared" si="35"/>
        <v/>
      </c>
      <c r="CQ43" s="155" t="str">
        <f t="shared" si="36"/>
        <v/>
      </c>
      <c r="CR43" s="155" t="str">
        <f t="shared" si="37"/>
        <v/>
      </c>
      <c r="CS43" s="155" t="str">
        <f t="shared" si="38"/>
        <v/>
      </c>
      <c r="CT43" s="155" t="str">
        <f t="shared" si="39"/>
        <v/>
      </c>
      <c r="CU43" s="155" t="str">
        <f t="shared" si="40"/>
        <v/>
      </c>
      <c r="CV43" s="155" t="str">
        <f t="shared" si="41"/>
        <v/>
      </c>
      <c r="CW43" s="155" t="str">
        <f t="shared" si="42"/>
        <v/>
      </c>
      <c r="CX43" s="155" t="str">
        <f t="shared" si="43"/>
        <v/>
      </c>
    </row>
    <row r="44" spans="1:102" s="151" customFormat="1" ht="14.25" outlineLevel="1" x14ac:dyDescent="0.2">
      <c r="A44" s="158"/>
      <c r="B44" s="147" t="str">
        <f>Services!B44</f>
        <v>02C</v>
      </c>
      <c r="C44" s="148" t="str">
        <f>Services!C44</f>
        <v>Contrôle  des accès aux zones de bureaux</v>
      </c>
      <c r="D44" s="149"/>
      <c r="E44" s="149"/>
      <c r="F44" s="149"/>
      <c r="G44" s="149"/>
      <c r="H44" s="149"/>
      <c r="I44" s="140" t="str">
        <f t="shared" si="0"/>
        <v/>
      </c>
      <c r="J44" s="141" t="str">
        <f t="shared" si="1"/>
        <v/>
      </c>
      <c r="K44" s="142"/>
      <c r="L44" s="142"/>
      <c r="M44" s="1708"/>
      <c r="N44" s="1708"/>
      <c r="O44" s="1708"/>
      <c r="P44" s="1708"/>
      <c r="Q44" s="1708"/>
      <c r="R44" s="1708"/>
      <c r="S44" s="1708"/>
      <c r="T44" s="1708"/>
      <c r="U44" s="1708"/>
      <c r="V44" s="1708"/>
      <c r="W44" s="1708"/>
      <c r="X44" s="1712"/>
      <c r="Y44" s="1712"/>
      <c r="Z44" s="1712"/>
      <c r="AA44" s="1712"/>
      <c r="AB44" s="1712"/>
      <c r="AC44" s="1712"/>
      <c r="AD44" s="1712"/>
      <c r="AE44" s="1712"/>
      <c r="AF44" s="1712"/>
      <c r="AG44" s="1712"/>
      <c r="AH44" s="1712"/>
      <c r="AI44" s="1712"/>
      <c r="AJ44" s="1712"/>
      <c r="AK44" s="1712"/>
      <c r="AL44" s="1712"/>
      <c r="AM44" s="1712"/>
      <c r="AN44" s="1712"/>
      <c r="AO44" s="1712"/>
      <c r="AP44" s="1712"/>
      <c r="AQ44" s="1712"/>
      <c r="AR44" s="1712"/>
      <c r="AS44" s="1712"/>
      <c r="AT44" s="1712"/>
      <c r="AU44" s="1712"/>
      <c r="AV44" s="1712"/>
      <c r="AW44" s="1712"/>
      <c r="AX44" s="1713"/>
      <c r="AY44" s="1714" t="str">
        <f t="shared" si="2"/>
        <v/>
      </c>
      <c r="AZ44" s="1714" t="str">
        <f>IF(Obj_PA!D44="","",IF(AY44="","",Obj_PA!D44-AY44))</f>
        <v/>
      </c>
      <c r="BA44" s="150"/>
      <c r="BB44" s="150"/>
      <c r="BC44" s="150"/>
      <c r="BD44" s="150"/>
      <c r="BE44" s="150"/>
      <c r="BF44" s="150"/>
      <c r="BG44" s="150"/>
      <c r="BH44" s="150"/>
      <c r="BI44" s="150"/>
      <c r="BJ44" s="150"/>
      <c r="BK44" s="155" t="str">
        <f t="shared" si="4"/>
        <v/>
      </c>
      <c r="BL44" s="155" t="str">
        <f t="shared" si="5"/>
        <v/>
      </c>
      <c r="BM44" s="155" t="str">
        <f t="shared" si="6"/>
        <v/>
      </c>
      <c r="BN44" s="155" t="str">
        <f t="shared" si="7"/>
        <v/>
      </c>
      <c r="BO44" s="155" t="str">
        <f t="shared" si="8"/>
        <v/>
      </c>
      <c r="BP44" s="155" t="str">
        <f t="shared" si="9"/>
        <v/>
      </c>
      <c r="BQ44" s="155" t="str">
        <f t="shared" si="10"/>
        <v/>
      </c>
      <c r="BR44" s="155" t="str">
        <f t="shared" si="11"/>
        <v/>
      </c>
      <c r="BS44" s="155" t="str">
        <f t="shared" si="12"/>
        <v/>
      </c>
      <c r="BT44" s="155" t="str">
        <f t="shared" si="13"/>
        <v/>
      </c>
      <c r="BU44" s="155" t="str">
        <f t="shared" si="14"/>
        <v/>
      </c>
      <c r="BV44" s="155" t="str">
        <f t="shared" si="15"/>
        <v/>
      </c>
      <c r="BW44" s="155" t="str">
        <f t="shared" si="16"/>
        <v/>
      </c>
      <c r="BX44" s="155" t="str">
        <f t="shared" si="17"/>
        <v/>
      </c>
      <c r="BY44" s="155" t="str">
        <f t="shared" si="18"/>
        <v/>
      </c>
      <c r="BZ44" s="155" t="str">
        <f t="shared" si="19"/>
        <v/>
      </c>
      <c r="CA44" s="155" t="str">
        <f t="shared" si="20"/>
        <v/>
      </c>
      <c r="CB44" s="155" t="str">
        <f t="shared" si="21"/>
        <v/>
      </c>
      <c r="CC44" s="155" t="str">
        <f t="shared" si="22"/>
        <v/>
      </c>
      <c r="CD44" s="155" t="str">
        <f t="shared" si="23"/>
        <v/>
      </c>
      <c r="CE44" s="155" t="str">
        <f t="shared" si="24"/>
        <v/>
      </c>
      <c r="CF44" s="155" t="str">
        <f t="shared" si="25"/>
        <v/>
      </c>
      <c r="CG44" s="155" t="str">
        <f t="shared" si="26"/>
        <v/>
      </c>
      <c r="CH44" s="155" t="str">
        <f t="shared" si="27"/>
        <v/>
      </c>
      <c r="CI44" s="155" t="str">
        <f t="shared" si="28"/>
        <v/>
      </c>
      <c r="CJ44" s="155" t="str">
        <f t="shared" si="29"/>
        <v/>
      </c>
      <c r="CK44" s="155" t="str">
        <f t="shared" si="30"/>
        <v/>
      </c>
      <c r="CL44" s="155" t="str">
        <f t="shared" si="31"/>
        <v/>
      </c>
      <c r="CM44" s="155" t="str">
        <f t="shared" si="32"/>
        <v/>
      </c>
      <c r="CN44" s="155" t="str">
        <f t="shared" si="33"/>
        <v/>
      </c>
      <c r="CO44" s="155" t="str">
        <f t="shared" si="34"/>
        <v/>
      </c>
      <c r="CP44" s="155" t="str">
        <f t="shared" si="35"/>
        <v/>
      </c>
      <c r="CQ44" s="155" t="str">
        <f t="shared" si="36"/>
        <v/>
      </c>
      <c r="CR44" s="155" t="str">
        <f t="shared" si="37"/>
        <v/>
      </c>
      <c r="CS44" s="155" t="str">
        <f t="shared" si="38"/>
        <v/>
      </c>
      <c r="CT44" s="155" t="str">
        <f t="shared" si="39"/>
        <v/>
      </c>
      <c r="CU44" s="155" t="str">
        <f t="shared" si="40"/>
        <v/>
      </c>
      <c r="CV44" s="155" t="str">
        <f t="shared" si="41"/>
        <v/>
      </c>
      <c r="CW44" s="155" t="str">
        <f t="shared" si="42"/>
        <v/>
      </c>
      <c r="CX44" s="155" t="str">
        <f t="shared" si="43"/>
        <v/>
      </c>
    </row>
    <row r="45" spans="1:102" s="151" customFormat="1" ht="14.25" outlineLevel="1" x14ac:dyDescent="0.2">
      <c r="A45" s="158"/>
      <c r="B45" s="157" t="str">
        <f>Services!B45</f>
        <v>02C01</v>
      </c>
      <c r="C45" s="153" t="str">
        <f>Services!C45</f>
        <v>Partitionnement des zones de bureaux en zones protégées</v>
      </c>
      <c r="D45" s="149"/>
      <c r="E45" s="149">
        <f>2*(8*Plans_action!E140+Plans_action!D140)+2*(8*Plans_action!E147+Plans_action!D147)</f>
        <v>0</v>
      </c>
      <c r="F45" s="149"/>
      <c r="G45" s="149"/>
      <c r="H45" s="149"/>
      <c r="I45" s="140" t="str">
        <f t="shared" si="0"/>
        <v/>
      </c>
      <c r="J45" s="141" t="str">
        <f t="shared" si="1"/>
        <v/>
      </c>
      <c r="K45" s="142"/>
      <c r="L45" s="142"/>
      <c r="M45" s="1708"/>
      <c r="N45" s="1708"/>
      <c r="O45" s="1708"/>
      <c r="P45" s="1708"/>
      <c r="Q45" s="1708"/>
      <c r="R45" s="1708"/>
      <c r="S45" s="1708"/>
      <c r="T45" s="1708"/>
      <c r="U45" s="1708"/>
      <c r="V45" s="1708"/>
      <c r="W45" s="1708"/>
      <c r="X45" s="1712"/>
      <c r="Y45" s="1712"/>
      <c r="Z45" s="1712"/>
      <c r="AA45" s="1712"/>
      <c r="AB45" s="1712"/>
      <c r="AC45" s="1712"/>
      <c r="AD45" s="1712"/>
      <c r="AE45" s="1712"/>
      <c r="AF45" s="1712"/>
      <c r="AG45" s="1712"/>
      <c r="AH45" s="1712"/>
      <c r="AI45" s="1712"/>
      <c r="AJ45" s="1712"/>
      <c r="AK45" s="1712"/>
      <c r="AL45" s="1712"/>
      <c r="AM45" s="1712"/>
      <c r="AN45" s="1712"/>
      <c r="AO45" s="1712"/>
      <c r="AP45" s="1712"/>
      <c r="AQ45" s="1712"/>
      <c r="AR45" s="1712"/>
      <c r="AS45" s="1712"/>
      <c r="AT45" s="1712"/>
      <c r="AU45" s="1712"/>
      <c r="AV45" s="1712"/>
      <c r="AW45" s="1712"/>
      <c r="AX45" s="1713"/>
      <c r="AY45" s="1714" t="str">
        <f t="shared" si="2"/>
        <v/>
      </c>
      <c r="AZ45" s="1714" t="str">
        <f>IF(Obj_PA!D45="","",IF(AY45="","",Obj_PA!D45-AY45))</f>
        <v/>
      </c>
      <c r="BA45" s="150"/>
      <c r="BB45" s="150"/>
      <c r="BC45" s="150"/>
      <c r="BD45" s="150"/>
      <c r="BE45" s="150"/>
      <c r="BF45" s="150"/>
      <c r="BG45" s="150"/>
      <c r="BH45" s="150"/>
      <c r="BI45" s="150"/>
      <c r="BJ45" s="150"/>
      <c r="BK45" s="155" t="str">
        <f t="shared" si="4"/>
        <v/>
      </c>
      <c r="BL45" s="155" t="str">
        <f t="shared" si="5"/>
        <v/>
      </c>
      <c r="BM45" s="155" t="str">
        <f t="shared" si="6"/>
        <v/>
      </c>
      <c r="BN45" s="155" t="str">
        <f t="shared" si="7"/>
        <v/>
      </c>
      <c r="BO45" s="155" t="str">
        <f t="shared" si="8"/>
        <v/>
      </c>
      <c r="BP45" s="155" t="str">
        <f t="shared" si="9"/>
        <v/>
      </c>
      <c r="BQ45" s="155" t="str">
        <f t="shared" si="10"/>
        <v/>
      </c>
      <c r="BR45" s="155" t="str">
        <f t="shared" si="11"/>
        <v/>
      </c>
      <c r="BS45" s="155" t="str">
        <f t="shared" si="12"/>
        <v/>
      </c>
      <c r="BT45" s="155" t="str">
        <f t="shared" si="13"/>
        <v/>
      </c>
      <c r="BU45" s="155" t="str">
        <f t="shared" si="14"/>
        <v/>
      </c>
      <c r="BV45" s="155" t="str">
        <f t="shared" si="15"/>
        <v/>
      </c>
      <c r="BW45" s="155" t="str">
        <f t="shared" si="16"/>
        <v/>
      </c>
      <c r="BX45" s="155" t="str">
        <f t="shared" si="17"/>
        <v/>
      </c>
      <c r="BY45" s="155" t="str">
        <f t="shared" si="18"/>
        <v/>
      </c>
      <c r="BZ45" s="155" t="str">
        <f t="shared" si="19"/>
        <v/>
      </c>
      <c r="CA45" s="155" t="str">
        <f t="shared" si="20"/>
        <v/>
      </c>
      <c r="CB45" s="155" t="str">
        <f t="shared" si="21"/>
        <v/>
      </c>
      <c r="CC45" s="155" t="str">
        <f t="shared" si="22"/>
        <v/>
      </c>
      <c r="CD45" s="155" t="str">
        <f t="shared" si="23"/>
        <v/>
      </c>
      <c r="CE45" s="155" t="str">
        <f t="shared" si="24"/>
        <v/>
      </c>
      <c r="CF45" s="155" t="str">
        <f t="shared" si="25"/>
        <v/>
      </c>
      <c r="CG45" s="155" t="str">
        <f t="shared" si="26"/>
        <v/>
      </c>
      <c r="CH45" s="155" t="str">
        <f t="shared" si="27"/>
        <v/>
      </c>
      <c r="CI45" s="155" t="str">
        <f t="shared" si="28"/>
        <v/>
      </c>
      <c r="CJ45" s="155" t="str">
        <f t="shared" si="29"/>
        <v/>
      </c>
      <c r="CK45" s="155" t="str">
        <f t="shared" si="30"/>
        <v/>
      </c>
      <c r="CL45" s="155" t="str">
        <f t="shared" si="31"/>
        <v/>
      </c>
      <c r="CM45" s="155" t="str">
        <f t="shared" si="32"/>
        <v/>
      </c>
      <c r="CN45" s="155" t="str">
        <f t="shared" si="33"/>
        <v/>
      </c>
      <c r="CO45" s="155" t="str">
        <f t="shared" si="34"/>
        <v/>
      </c>
      <c r="CP45" s="155" t="str">
        <f t="shared" si="35"/>
        <v/>
      </c>
      <c r="CQ45" s="155" t="str">
        <f t="shared" si="36"/>
        <v/>
      </c>
      <c r="CR45" s="155" t="str">
        <f t="shared" si="37"/>
        <v/>
      </c>
      <c r="CS45" s="155" t="str">
        <f t="shared" si="38"/>
        <v/>
      </c>
      <c r="CT45" s="155" t="str">
        <f t="shared" si="39"/>
        <v/>
      </c>
      <c r="CU45" s="155" t="str">
        <f t="shared" si="40"/>
        <v/>
      </c>
      <c r="CV45" s="155" t="str">
        <f t="shared" si="41"/>
        <v/>
      </c>
      <c r="CW45" s="155" t="str">
        <f t="shared" si="42"/>
        <v/>
      </c>
      <c r="CX45" s="155" t="str">
        <f t="shared" si="43"/>
        <v/>
      </c>
    </row>
    <row r="46" spans="1:102" s="151" customFormat="1" ht="14.25" outlineLevel="1" x14ac:dyDescent="0.2">
      <c r="A46" s="158"/>
      <c r="B46" s="157" t="str">
        <f>Services!B46</f>
        <v>02C02</v>
      </c>
      <c r="C46" s="153" t="str">
        <f>Services!C46</f>
        <v>Contrôle d'accès physique aux zones de bureaux protégées</v>
      </c>
      <c r="D46" s="149"/>
      <c r="E46" s="149">
        <f>2*(8*Plans_action!E140+Plans_action!D140)+2*(8*Plans_action!E147+Plans_action!D147)</f>
        <v>0</v>
      </c>
      <c r="F46" s="149"/>
      <c r="G46" s="149"/>
      <c r="H46" s="149"/>
      <c r="I46" s="140" t="str">
        <f t="shared" si="0"/>
        <v/>
      </c>
      <c r="J46" s="141" t="str">
        <f t="shared" si="1"/>
        <v/>
      </c>
      <c r="K46" s="142"/>
      <c r="L46" s="142"/>
      <c r="M46" s="1708"/>
      <c r="N46" s="1708"/>
      <c r="O46" s="1708"/>
      <c r="P46" s="1708"/>
      <c r="Q46" s="1708"/>
      <c r="R46" s="1708"/>
      <c r="S46" s="1708"/>
      <c r="T46" s="1708"/>
      <c r="U46" s="1708"/>
      <c r="V46" s="1708"/>
      <c r="W46" s="1708"/>
      <c r="X46" s="1712"/>
      <c r="Y46" s="1712"/>
      <c r="Z46" s="1712"/>
      <c r="AA46" s="1712"/>
      <c r="AB46" s="1712"/>
      <c r="AC46" s="1712"/>
      <c r="AD46" s="1712"/>
      <c r="AE46" s="1712"/>
      <c r="AF46" s="1712"/>
      <c r="AG46" s="1712"/>
      <c r="AH46" s="1712"/>
      <c r="AI46" s="1712"/>
      <c r="AJ46" s="1712"/>
      <c r="AK46" s="1712"/>
      <c r="AL46" s="1712"/>
      <c r="AM46" s="1712"/>
      <c r="AN46" s="1712"/>
      <c r="AO46" s="1712"/>
      <c r="AP46" s="1712"/>
      <c r="AQ46" s="1712"/>
      <c r="AR46" s="1712"/>
      <c r="AS46" s="1712"/>
      <c r="AT46" s="1712"/>
      <c r="AU46" s="1712"/>
      <c r="AV46" s="1712"/>
      <c r="AW46" s="1712"/>
      <c r="AX46" s="1713"/>
      <c r="AY46" s="1714" t="str">
        <f t="shared" si="2"/>
        <v/>
      </c>
      <c r="AZ46" s="1714" t="str">
        <f>IF(Obj_PA!D46="","",IF(AY46="","",Obj_PA!D46-AY46))</f>
        <v/>
      </c>
      <c r="BA46" s="150"/>
      <c r="BB46" s="150"/>
      <c r="BC46" s="150"/>
      <c r="BD46" s="150"/>
      <c r="BE46" s="150"/>
      <c r="BF46" s="150"/>
      <c r="BG46" s="150"/>
      <c r="BH46" s="150"/>
      <c r="BI46" s="150"/>
      <c r="BJ46" s="150"/>
      <c r="BK46" s="155" t="str">
        <f t="shared" si="4"/>
        <v/>
      </c>
      <c r="BL46" s="155" t="str">
        <f t="shared" si="5"/>
        <v/>
      </c>
      <c r="BM46" s="155" t="str">
        <f t="shared" si="6"/>
        <v/>
      </c>
      <c r="BN46" s="155" t="str">
        <f t="shared" si="7"/>
        <v/>
      </c>
      <c r="BO46" s="155" t="str">
        <f t="shared" si="8"/>
        <v/>
      </c>
      <c r="BP46" s="155" t="str">
        <f t="shared" si="9"/>
        <v/>
      </c>
      <c r="BQ46" s="155" t="str">
        <f t="shared" si="10"/>
        <v/>
      </c>
      <c r="BR46" s="155" t="str">
        <f t="shared" si="11"/>
        <v/>
      </c>
      <c r="BS46" s="155" t="str">
        <f t="shared" si="12"/>
        <v/>
      </c>
      <c r="BT46" s="155" t="str">
        <f t="shared" si="13"/>
        <v/>
      </c>
      <c r="BU46" s="155" t="str">
        <f t="shared" si="14"/>
        <v/>
      </c>
      <c r="BV46" s="155" t="str">
        <f t="shared" si="15"/>
        <v/>
      </c>
      <c r="BW46" s="155" t="str">
        <f t="shared" si="16"/>
        <v/>
      </c>
      <c r="BX46" s="155" t="str">
        <f t="shared" si="17"/>
        <v/>
      </c>
      <c r="BY46" s="155" t="str">
        <f t="shared" si="18"/>
        <v/>
      </c>
      <c r="BZ46" s="155" t="str">
        <f t="shared" si="19"/>
        <v/>
      </c>
      <c r="CA46" s="155" t="str">
        <f t="shared" si="20"/>
        <v/>
      </c>
      <c r="CB46" s="155" t="str">
        <f t="shared" si="21"/>
        <v/>
      </c>
      <c r="CC46" s="155" t="str">
        <f t="shared" si="22"/>
        <v/>
      </c>
      <c r="CD46" s="155" t="str">
        <f t="shared" si="23"/>
        <v/>
      </c>
      <c r="CE46" s="155" t="str">
        <f t="shared" si="24"/>
        <v/>
      </c>
      <c r="CF46" s="155" t="str">
        <f t="shared" si="25"/>
        <v/>
      </c>
      <c r="CG46" s="155" t="str">
        <f t="shared" si="26"/>
        <v/>
      </c>
      <c r="CH46" s="155" t="str">
        <f t="shared" si="27"/>
        <v/>
      </c>
      <c r="CI46" s="155" t="str">
        <f t="shared" si="28"/>
        <v/>
      </c>
      <c r="CJ46" s="155" t="str">
        <f t="shared" si="29"/>
        <v/>
      </c>
      <c r="CK46" s="155" t="str">
        <f t="shared" si="30"/>
        <v/>
      </c>
      <c r="CL46" s="155" t="str">
        <f t="shared" si="31"/>
        <v/>
      </c>
      <c r="CM46" s="155" t="str">
        <f t="shared" si="32"/>
        <v/>
      </c>
      <c r="CN46" s="155" t="str">
        <f t="shared" si="33"/>
        <v/>
      </c>
      <c r="CO46" s="155" t="str">
        <f t="shared" si="34"/>
        <v/>
      </c>
      <c r="CP46" s="155" t="str">
        <f t="shared" si="35"/>
        <v/>
      </c>
      <c r="CQ46" s="155" t="str">
        <f t="shared" si="36"/>
        <v/>
      </c>
      <c r="CR46" s="155" t="str">
        <f t="shared" si="37"/>
        <v/>
      </c>
      <c r="CS46" s="155" t="str">
        <f t="shared" si="38"/>
        <v/>
      </c>
      <c r="CT46" s="155" t="str">
        <f t="shared" si="39"/>
        <v/>
      </c>
      <c r="CU46" s="155" t="str">
        <f t="shared" si="40"/>
        <v/>
      </c>
      <c r="CV46" s="155" t="str">
        <f t="shared" si="41"/>
        <v/>
      </c>
      <c r="CW46" s="155" t="str">
        <f t="shared" si="42"/>
        <v/>
      </c>
      <c r="CX46" s="155" t="str">
        <f t="shared" si="43"/>
        <v/>
      </c>
    </row>
    <row r="47" spans="1:102" s="151" customFormat="1" ht="25.5" outlineLevel="1" x14ac:dyDescent="0.2">
      <c r="A47" s="158"/>
      <c r="B47" s="157" t="str">
        <f>Services!B47</f>
        <v>02C03</v>
      </c>
      <c r="C47" s="153" t="str">
        <f>Services!C47</f>
        <v>Gestion des autorisations d'accès aux zones de bureaux protégées</v>
      </c>
      <c r="D47" s="149"/>
      <c r="E47" s="149">
        <f>2*(8*Plans_action!E21+Plans_action!D21)+2*(8*Plans_action!E140+Plans_action!D140)+2*(8*Plans_action!E147+Plans_action!D147)</f>
        <v>0</v>
      </c>
      <c r="F47" s="149"/>
      <c r="G47" s="149"/>
      <c r="H47" s="149"/>
      <c r="I47" s="140" t="str">
        <f t="shared" si="0"/>
        <v/>
      </c>
      <c r="J47" s="141" t="str">
        <f t="shared" si="1"/>
        <v/>
      </c>
      <c r="K47" s="142"/>
      <c r="L47" s="142"/>
      <c r="M47" s="1708"/>
      <c r="N47" s="1708"/>
      <c r="O47" s="1708"/>
      <c r="P47" s="1708"/>
      <c r="Q47" s="1708"/>
      <c r="R47" s="1708"/>
      <c r="S47" s="1708"/>
      <c r="T47" s="1708"/>
      <c r="U47" s="1708"/>
      <c r="V47" s="1708"/>
      <c r="W47" s="1708"/>
      <c r="X47" s="1712"/>
      <c r="Y47" s="1712"/>
      <c r="Z47" s="1712"/>
      <c r="AA47" s="1712"/>
      <c r="AB47" s="1712"/>
      <c r="AC47" s="1712"/>
      <c r="AD47" s="1712"/>
      <c r="AE47" s="1712"/>
      <c r="AF47" s="1712"/>
      <c r="AG47" s="1712"/>
      <c r="AH47" s="1712"/>
      <c r="AI47" s="1712"/>
      <c r="AJ47" s="1712"/>
      <c r="AK47" s="1712"/>
      <c r="AL47" s="1712"/>
      <c r="AM47" s="1712"/>
      <c r="AN47" s="1712"/>
      <c r="AO47" s="1712"/>
      <c r="AP47" s="1712"/>
      <c r="AQ47" s="1712"/>
      <c r="AR47" s="1712"/>
      <c r="AS47" s="1712"/>
      <c r="AT47" s="1712"/>
      <c r="AU47" s="1712"/>
      <c r="AV47" s="1712"/>
      <c r="AW47" s="1712"/>
      <c r="AX47" s="1713"/>
      <c r="AY47" s="1714" t="str">
        <f t="shared" si="2"/>
        <v/>
      </c>
      <c r="AZ47" s="1714" t="str">
        <f>IF(Obj_PA!D47="","",IF(AY47="","",Obj_PA!D47-AY47))</f>
        <v/>
      </c>
      <c r="BA47" s="150"/>
      <c r="BB47" s="150"/>
      <c r="BC47" s="150"/>
      <c r="BD47" s="150"/>
      <c r="BE47" s="150"/>
      <c r="BF47" s="150"/>
      <c r="BG47" s="150"/>
      <c r="BH47" s="150"/>
      <c r="BI47" s="150"/>
      <c r="BJ47" s="150"/>
      <c r="BK47" s="155" t="str">
        <f t="shared" si="4"/>
        <v/>
      </c>
      <c r="BL47" s="155" t="str">
        <f t="shared" si="5"/>
        <v/>
      </c>
      <c r="BM47" s="155" t="str">
        <f t="shared" si="6"/>
        <v/>
      </c>
      <c r="BN47" s="155" t="str">
        <f t="shared" si="7"/>
        <v/>
      </c>
      <c r="BO47" s="155" t="str">
        <f t="shared" si="8"/>
        <v/>
      </c>
      <c r="BP47" s="155" t="str">
        <f t="shared" si="9"/>
        <v/>
      </c>
      <c r="BQ47" s="155" t="str">
        <f t="shared" si="10"/>
        <v/>
      </c>
      <c r="BR47" s="155" t="str">
        <f t="shared" si="11"/>
        <v/>
      </c>
      <c r="BS47" s="155" t="str">
        <f t="shared" si="12"/>
        <v/>
      </c>
      <c r="BT47" s="155" t="str">
        <f t="shared" si="13"/>
        <v/>
      </c>
      <c r="BU47" s="155" t="str">
        <f t="shared" si="14"/>
        <v/>
      </c>
      <c r="BV47" s="155" t="str">
        <f t="shared" si="15"/>
        <v/>
      </c>
      <c r="BW47" s="155" t="str">
        <f t="shared" si="16"/>
        <v/>
      </c>
      <c r="BX47" s="155" t="str">
        <f t="shared" si="17"/>
        <v/>
      </c>
      <c r="BY47" s="155" t="str">
        <f t="shared" si="18"/>
        <v/>
      </c>
      <c r="BZ47" s="155" t="str">
        <f t="shared" si="19"/>
        <v/>
      </c>
      <c r="CA47" s="155" t="str">
        <f t="shared" si="20"/>
        <v/>
      </c>
      <c r="CB47" s="155" t="str">
        <f t="shared" si="21"/>
        <v/>
      </c>
      <c r="CC47" s="155" t="str">
        <f t="shared" si="22"/>
        <v/>
      </c>
      <c r="CD47" s="155" t="str">
        <f t="shared" si="23"/>
        <v/>
      </c>
      <c r="CE47" s="155" t="str">
        <f t="shared" si="24"/>
        <v/>
      </c>
      <c r="CF47" s="155" t="str">
        <f t="shared" si="25"/>
        <v/>
      </c>
      <c r="CG47" s="155" t="str">
        <f t="shared" si="26"/>
        <v/>
      </c>
      <c r="CH47" s="155" t="str">
        <f t="shared" si="27"/>
        <v/>
      </c>
      <c r="CI47" s="155" t="str">
        <f t="shared" si="28"/>
        <v/>
      </c>
      <c r="CJ47" s="155" t="str">
        <f t="shared" si="29"/>
        <v/>
      </c>
      <c r="CK47" s="155" t="str">
        <f t="shared" si="30"/>
        <v/>
      </c>
      <c r="CL47" s="155" t="str">
        <f t="shared" si="31"/>
        <v/>
      </c>
      <c r="CM47" s="155" t="str">
        <f t="shared" si="32"/>
        <v/>
      </c>
      <c r="CN47" s="155" t="str">
        <f t="shared" si="33"/>
        <v/>
      </c>
      <c r="CO47" s="155" t="str">
        <f t="shared" si="34"/>
        <v/>
      </c>
      <c r="CP47" s="155" t="str">
        <f t="shared" si="35"/>
        <v/>
      </c>
      <c r="CQ47" s="155" t="str">
        <f t="shared" si="36"/>
        <v/>
      </c>
      <c r="CR47" s="155" t="str">
        <f t="shared" si="37"/>
        <v/>
      </c>
      <c r="CS47" s="155" t="str">
        <f t="shared" si="38"/>
        <v/>
      </c>
      <c r="CT47" s="155" t="str">
        <f t="shared" si="39"/>
        <v/>
      </c>
      <c r="CU47" s="155" t="str">
        <f t="shared" si="40"/>
        <v/>
      </c>
      <c r="CV47" s="155" t="str">
        <f t="shared" si="41"/>
        <v/>
      </c>
      <c r="CW47" s="155" t="str">
        <f t="shared" si="42"/>
        <v/>
      </c>
      <c r="CX47" s="155" t="str">
        <f t="shared" si="43"/>
        <v/>
      </c>
    </row>
    <row r="48" spans="1:102" s="151" customFormat="1" ht="14.25" outlineLevel="1" x14ac:dyDescent="0.2">
      <c r="A48" s="158"/>
      <c r="B48" s="157" t="str">
        <f>Services!B48</f>
        <v>02C04</v>
      </c>
      <c r="C48" s="153" t="str">
        <f>Services!C48</f>
        <v>Détection des intrusions dans les zones de bureaux protégées</v>
      </c>
      <c r="D48" s="149"/>
      <c r="E48" s="149">
        <f>2*(8*Plans_action!E140+Plans_action!D140)</f>
        <v>0</v>
      </c>
      <c r="F48" s="149">
        <f>3*(8*Plans_action!E140+Plans_action!D140)</f>
        <v>0</v>
      </c>
      <c r="G48" s="149"/>
      <c r="H48" s="149"/>
      <c r="I48" s="140" t="str">
        <f t="shared" si="0"/>
        <v/>
      </c>
      <c r="J48" s="141" t="str">
        <f t="shared" si="1"/>
        <v/>
      </c>
      <c r="K48" s="142"/>
      <c r="L48" s="142"/>
      <c r="M48" s="1708"/>
      <c r="N48" s="1708"/>
      <c r="O48" s="1708"/>
      <c r="P48" s="1708"/>
      <c r="Q48" s="1708"/>
      <c r="R48" s="1708"/>
      <c r="S48" s="1708"/>
      <c r="T48" s="1708"/>
      <c r="U48" s="1708"/>
      <c r="V48" s="1708"/>
      <c r="W48" s="1708"/>
      <c r="X48" s="1712"/>
      <c r="Y48" s="1712"/>
      <c r="Z48" s="1712"/>
      <c r="AA48" s="1712"/>
      <c r="AB48" s="1712"/>
      <c r="AC48" s="1712"/>
      <c r="AD48" s="1712"/>
      <c r="AE48" s="1712"/>
      <c r="AF48" s="1712"/>
      <c r="AG48" s="1712"/>
      <c r="AH48" s="1712"/>
      <c r="AI48" s="1712"/>
      <c r="AJ48" s="1712"/>
      <c r="AK48" s="1712"/>
      <c r="AL48" s="1712"/>
      <c r="AM48" s="1712"/>
      <c r="AN48" s="1712"/>
      <c r="AO48" s="1712"/>
      <c r="AP48" s="1712"/>
      <c r="AQ48" s="1712"/>
      <c r="AR48" s="1712"/>
      <c r="AS48" s="1712"/>
      <c r="AT48" s="1712"/>
      <c r="AU48" s="1712"/>
      <c r="AV48" s="1712"/>
      <c r="AW48" s="1712"/>
      <c r="AX48" s="1713"/>
      <c r="AY48" s="1714" t="str">
        <f t="shared" si="2"/>
        <v/>
      </c>
      <c r="AZ48" s="1714" t="str">
        <f>IF(Obj_PA!D48="","",IF(AY48="","",Obj_PA!D48-AY48))</f>
        <v/>
      </c>
      <c r="BA48" s="150"/>
      <c r="BB48" s="150"/>
      <c r="BC48" s="150"/>
      <c r="BD48" s="150"/>
      <c r="BE48" s="150"/>
      <c r="BF48" s="150"/>
      <c r="BG48" s="150"/>
      <c r="BH48" s="150"/>
      <c r="BI48" s="150"/>
      <c r="BJ48" s="150"/>
      <c r="BK48" s="155" t="str">
        <f t="shared" si="4"/>
        <v/>
      </c>
      <c r="BL48" s="155" t="str">
        <f t="shared" si="5"/>
        <v/>
      </c>
      <c r="BM48" s="155" t="str">
        <f t="shared" si="6"/>
        <v/>
      </c>
      <c r="BN48" s="155" t="str">
        <f t="shared" si="7"/>
        <v/>
      </c>
      <c r="BO48" s="155" t="str">
        <f t="shared" si="8"/>
        <v/>
      </c>
      <c r="BP48" s="155" t="str">
        <f t="shared" si="9"/>
        <v/>
      </c>
      <c r="BQ48" s="155" t="str">
        <f t="shared" si="10"/>
        <v/>
      </c>
      <c r="BR48" s="155" t="str">
        <f t="shared" si="11"/>
        <v/>
      </c>
      <c r="BS48" s="155" t="str">
        <f t="shared" si="12"/>
        <v/>
      </c>
      <c r="BT48" s="155" t="str">
        <f t="shared" si="13"/>
        <v/>
      </c>
      <c r="BU48" s="155" t="str">
        <f t="shared" si="14"/>
        <v/>
      </c>
      <c r="BV48" s="155" t="str">
        <f t="shared" si="15"/>
        <v/>
      </c>
      <c r="BW48" s="155" t="str">
        <f t="shared" si="16"/>
        <v/>
      </c>
      <c r="BX48" s="155" t="str">
        <f t="shared" si="17"/>
        <v/>
      </c>
      <c r="BY48" s="155" t="str">
        <f t="shared" si="18"/>
        <v/>
      </c>
      <c r="BZ48" s="155" t="str">
        <f t="shared" si="19"/>
        <v/>
      </c>
      <c r="CA48" s="155" t="str">
        <f t="shared" si="20"/>
        <v/>
      </c>
      <c r="CB48" s="155" t="str">
        <f t="shared" si="21"/>
        <v/>
      </c>
      <c r="CC48" s="155" t="str">
        <f t="shared" si="22"/>
        <v/>
      </c>
      <c r="CD48" s="155" t="str">
        <f t="shared" si="23"/>
        <v/>
      </c>
      <c r="CE48" s="155" t="str">
        <f t="shared" si="24"/>
        <v/>
      </c>
      <c r="CF48" s="155" t="str">
        <f t="shared" si="25"/>
        <v/>
      </c>
      <c r="CG48" s="155" t="str">
        <f t="shared" si="26"/>
        <v/>
      </c>
      <c r="CH48" s="155" t="str">
        <f t="shared" si="27"/>
        <v/>
      </c>
      <c r="CI48" s="155" t="str">
        <f t="shared" si="28"/>
        <v/>
      </c>
      <c r="CJ48" s="155" t="str">
        <f t="shared" si="29"/>
        <v/>
      </c>
      <c r="CK48" s="155" t="str">
        <f t="shared" si="30"/>
        <v/>
      </c>
      <c r="CL48" s="155" t="str">
        <f t="shared" si="31"/>
        <v/>
      </c>
      <c r="CM48" s="155" t="str">
        <f t="shared" si="32"/>
        <v/>
      </c>
      <c r="CN48" s="155" t="str">
        <f t="shared" si="33"/>
        <v/>
      </c>
      <c r="CO48" s="155" t="str">
        <f t="shared" si="34"/>
        <v/>
      </c>
      <c r="CP48" s="155" t="str">
        <f t="shared" si="35"/>
        <v/>
      </c>
      <c r="CQ48" s="155" t="str">
        <f t="shared" si="36"/>
        <v/>
      </c>
      <c r="CR48" s="155" t="str">
        <f t="shared" si="37"/>
        <v/>
      </c>
      <c r="CS48" s="155" t="str">
        <f t="shared" si="38"/>
        <v/>
      </c>
      <c r="CT48" s="155" t="str">
        <f t="shared" si="39"/>
        <v/>
      </c>
      <c r="CU48" s="155" t="str">
        <f t="shared" si="40"/>
        <v/>
      </c>
      <c r="CV48" s="155" t="str">
        <f t="shared" si="41"/>
        <v/>
      </c>
      <c r="CW48" s="155" t="str">
        <f t="shared" si="42"/>
        <v/>
      </c>
      <c r="CX48" s="155" t="str">
        <f t="shared" si="43"/>
        <v/>
      </c>
    </row>
    <row r="49" spans="1:128" s="151" customFormat="1" ht="14.25" outlineLevel="1" x14ac:dyDescent="0.2">
      <c r="A49" s="158"/>
      <c r="B49" s="157" t="str">
        <f>Services!B49</f>
        <v>02C05</v>
      </c>
      <c r="C49" s="153" t="str">
        <f>Services!C49</f>
        <v>Surveillance des zones de bureaux protégées</v>
      </c>
      <c r="D49" s="149"/>
      <c r="E49" s="149">
        <f>2*(8*Plans_action!E21+Plans_action!D21)+2*(8*Plans_action!E28+Plans_action!D28)+2*(8*Plans_action!E132+Plans_action!D132)+2*(8*Plans_action!E147+Plans_action!D147)</f>
        <v>0</v>
      </c>
      <c r="F49" s="149">
        <f>3*(8*Plans_action!E140+Plans_action!D140)</f>
        <v>0</v>
      </c>
      <c r="G49" s="149"/>
      <c r="H49" s="149"/>
      <c r="I49" s="140" t="str">
        <f t="shared" si="0"/>
        <v/>
      </c>
      <c r="J49" s="141" t="str">
        <f t="shared" si="1"/>
        <v/>
      </c>
      <c r="K49" s="142"/>
      <c r="L49" s="142"/>
      <c r="M49" s="1708"/>
      <c r="N49" s="1708"/>
      <c r="O49" s="1708"/>
      <c r="P49" s="1708"/>
      <c r="Q49" s="1708"/>
      <c r="R49" s="1708"/>
      <c r="S49" s="1708"/>
      <c r="T49" s="1708"/>
      <c r="U49" s="1708"/>
      <c r="V49" s="1708"/>
      <c r="W49" s="1708"/>
      <c r="X49" s="1712"/>
      <c r="Y49" s="1712"/>
      <c r="Z49" s="1712"/>
      <c r="AA49" s="1712"/>
      <c r="AB49" s="1712"/>
      <c r="AC49" s="1712"/>
      <c r="AD49" s="1712"/>
      <c r="AE49" s="1712"/>
      <c r="AF49" s="1712"/>
      <c r="AG49" s="1712"/>
      <c r="AH49" s="1712"/>
      <c r="AI49" s="1712"/>
      <c r="AJ49" s="1712"/>
      <c r="AK49" s="1712"/>
      <c r="AL49" s="1712"/>
      <c r="AM49" s="1712"/>
      <c r="AN49" s="1712"/>
      <c r="AO49" s="1712"/>
      <c r="AP49" s="1712"/>
      <c r="AQ49" s="1712"/>
      <c r="AR49" s="1712"/>
      <c r="AS49" s="1712"/>
      <c r="AT49" s="1712"/>
      <c r="AU49" s="1712"/>
      <c r="AV49" s="1712"/>
      <c r="AW49" s="1712"/>
      <c r="AX49" s="1713"/>
      <c r="AY49" s="1714" t="str">
        <f t="shared" si="2"/>
        <v/>
      </c>
      <c r="AZ49" s="1714" t="str">
        <f>IF(Obj_PA!D49="","",IF(AY49="","",Obj_PA!D49-AY49))</f>
        <v/>
      </c>
      <c r="BA49" s="150"/>
      <c r="BB49" s="150"/>
      <c r="BC49" s="150"/>
      <c r="BD49" s="150"/>
      <c r="BE49" s="150"/>
      <c r="BF49" s="150"/>
      <c r="BG49" s="150"/>
      <c r="BH49" s="150"/>
      <c r="BI49" s="150"/>
      <c r="BJ49" s="150"/>
      <c r="BK49" s="155" t="str">
        <f t="shared" si="4"/>
        <v/>
      </c>
      <c r="BL49" s="155" t="str">
        <f t="shared" si="5"/>
        <v/>
      </c>
      <c r="BM49" s="155" t="str">
        <f t="shared" si="6"/>
        <v/>
      </c>
      <c r="BN49" s="155" t="str">
        <f t="shared" si="7"/>
        <v/>
      </c>
      <c r="BO49" s="155" t="str">
        <f t="shared" si="8"/>
        <v/>
      </c>
      <c r="BP49" s="155" t="str">
        <f t="shared" si="9"/>
        <v/>
      </c>
      <c r="BQ49" s="155" t="str">
        <f t="shared" si="10"/>
        <v/>
      </c>
      <c r="BR49" s="155" t="str">
        <f t="shared" si="11"/>
        <v/>
      </c>
      <c r="BS49" s="155" t="str">
        <f t="shared" si="12"/>
        <v/>
      </c>
      <c r="BT49" s="155" t="str">
        <f t="shared" si="13"/>
        <v/>
      </c>
      <c r="BU49" s="155" t="str">
        <f t="shared" si="14"/>
        <v/>
      </c>
      <c r="BV49" s="155" t="str">
        <f t="shared" si="15"/>
        <v/>
      </c>
      <c r="BW49" s="155" t="str">
        <f t="shared" si="16"/>
        <v/>
      </c>
      <c r="BX49" s="155" t="str">
        <f t="shared" si="17"/>
        <v/>
      </c>
      <c r="BY49" s="155" t="str">
        <f t="shared" si="18"/>
        <v/>
      </c>
      <c r="BZ49" s="155" t="str">
        <f t="shared" si="19"/>
        <v/>
      </c>
      <c r="CA49" s="155" t="str">
        <f t="shared" si="20"/>
        <v/>
      </c>
      <c r="CB49" s="155" t="str">
        <f t="shared" si="21"/>
        <v/>
      </c>
      <c r="CC49" s="155" t="str">
        <f t="shared" si="22"/>
        <v/>
      </c>
      <c r="CD49" s="155" t="str">
        <f t="shared" si="23"/>
        <v/>
      </c>
      <c r="CE49" s="155" t="str">
        <f t="shared" si="24"/>
        <v/>
      </c>
      <c r="CF49" s="155" t="str">
        <f t="shared" si="25"/>
        <v/>
      </c>
      <c r="CG49" s="155" t="str">
        <f t="shared" si="26"/>
        <v/>
      </c>
      <c r="CH49" s="155" t="str">
        <f t="shared" si="27"/>
        <v/>
      </c>
      <c r="CI49" s="155" t="str">
        <f t="shared" si="28"/>
        <v/>
      </c>
      <c r="CJ49" s="155" t="str">
        <f t="shared" si="29"/>
        <v/>
      </c>
      <c r="CK49" s="155" t="str">
        <f t="shared" si="30"/>
        <v/>
      </c>
      <c r="CL49" s="155" t="str">
        <f t="shared" si="31"/>
        <v/>
      </c>
      <c r="CM49" s="155" t="str">
        <f t="shared" si="32"/>
        <v/>
      </c>
      <c r="CN49" s="155" t="str">
        <f t="shared" si="33"/>
        <v/>
      </c>
      <c r="CO49" s="155" t="str">
        <f t="shared" si="34"/>
        <v/>
      </c>
      <c r="CP49" s="155" t="str">
        <f t="shared" si="35"/>
        <v/>
      </c>
      <c r="CQ49" s="155" t="str">
        <f t="shared" si="36"/>
        <v/>
      </c>
      <c r="CR49" s="155" t="str">
        <f t="shared" si="37"/>
        <v/>
      </c>
      <c r="CS49" s="155" t="str">
        <f t="shared" si="38"/>
        <v/>
      </c>
      <c r="CT49" s="155" t="str">
        <f t="shared" si="39"/>
        <v/>
      </c>
      <c r="CU49" s="155" t="str">
        <f t="shared" si="40"/>
        <v/>
      </c>
      <c r="CV49" s="155" t="str">
        <f t="shared" si="41"/>
        <v/>
      </c>
      <c r="CW49" s="155" t="str">
        <f t="shared" si="42"/>
        <v/>
      </c>
      <c r="CX49" s="155" t="str">
        <f t="shared" si="43"/>
        <v/>
      </c>
      <c r="DU49" s="151">
        <f>IF(INDEX(Tab_actions,95,1)=1,INDEX(Tab_actions,95,4),0)</f>
        <v>0</v>
      </c>
      <c r="DV49" s="151">
        <f>IF(INDEX(Tab_actions,34,1)=1,INDEX(Tab_actions,34,8),0)</f>
        <v>0</v>
      </c>
    </row>
    <row r="50" spans="1:128" s="151" customFormat="1" ht="25.5" outlineLevel="1" x14ac:dyDescent="0.2">
      <c r="A50" s="158"/>
      <c r="B50" s="157" t="str">
        <f>Services!B50</f>
        <v>02C06</v>
      </c>
      <c r="C50" s="153" t="str">
        <f>Services!C50</f>
        <v>Contrôle de la circulation des visiteurs et des prestataires occasionnels amenés à intervenir dans les bureaux</v>
      </c>
      <c r="D50" s="149"/>
      <c r="E50" s="149">
        <f>2*(8*Plans_action!E140+Plans_action!D140)+2*(8*Plans_action!E147+Plans_action!D147)</f>
        <v>0</v>
      </c>
      <c r="F50" s="149"/>
      <c r="G50" s="149"/>
      <c r="H50" s="149"/>
      <c r="I50" s="140" t="str">
        <f t="shared" si="0"/>
        <v/>
      </c>
      <c r="J50" s="141" t="str">
        <f t="shared" si="1"/>
        <v/>
      </c>
      <c r="K50" s="142"/>
      <c r="L50" s="142"/>
      <c r="M50" s="1708"/>
      <c r="N50" s="1708"/>
      <c r="O50" s="1708"/>
      <c r="P50" s="1708"/>
      <c r="Q50" s="1708"/>
      <c r="R50" s="1708"/>
      <c r="S50" s="1708"/>
      <c r="T50" s="1708"/>
      <c r="U50" s="1708"/>
      <c r="V50" s="1708"/>
      <c r="W50" s="1708"/>
      <c r="X50" s="1712"/>
      <c r="Y50" s="1712"/>
      <c r="Z50" s="1712"/>
      <c r="AA50" s="1712"/>
      <c r="AB50" s="1712"/>
      <c r="AC50" s="1712"/>
      <c r="AD50" s="1712"/>
      <c r="AE50" s="1712"/>
      <c r="AF50" s="1712"/>
      <c r="AG50" s="1712"/>
      <c r="AH50" s="1712"/>
      <c r="AI50" s="1712"/>
      <c r="AJ50" s="1712"/>
      <c r="AK50" s="1712"/>
      <c r="AL50" s="1712"/>
      <c r="AM50" s="1712"/>
      <c r="AN50" s="1712"/>
      <c r="AO50" s="1712"/>
      <c r="AP50" s="1712"/>
      <c r="AQ50" s="1712"/>
      <c r="AR50" s="1712"/>
      <c r="AS50" s="1712"/>
      <c r="AT50" s="1712"/>
      <c r="AU50" s="1712"/>
      <c r="AV50" s="1712"/>
      <c r="AW50" s="1712"/>
      <c r="AX50" s="1713"/>
      <c r="AY50" s="1714" t="str">
        <f t="shared" si="2"/>
        <v/>
      </c>
      <c r="AZ50" s="1714" t="str">
        <f>IF(Obj_PA!D50="","",IF(AY50="","",Obj_PA!D50-AY50))</f>
        <v/>
      </c>
      <c r="BA50" s="150"/>
      <c r="BB50" s="150"/>
      <c r="BC50" s="150"/>
      <c r="BD50" s="150"/>
      <c r="BE50" s="150"/>
      <c r="BF50" s="150"/>
      <c r="BG50" s="150"/>
      <c r="BH50" s="150"/>
      <c r="BI50" s="150"/>
      <c r="BJ50" s="150"/>
      <c r="BK50" s="155" t="str">
        <f t="shared" si="4"/>
        <v/>
      </c>
      <c r="BL50" s="155" t="str">
        <f t="shared" si="5"/>
        <v/>
      </c>
      <c r="BM50" s="155" t="str">
        <f t="shared" si="6"/>
        <v/>
      </c>
      <c r="BN50" s="155" t="str">
        <f t="shared" si="7"/>
        <v/>
      </c>
      <c r="BO50" s="155" t="str">
        <f t="shared" si="8"/>
        <v/>
      </c>
      <c r="BP50" s="155" t="str">
        <f t="shared" si="9"/>
        <v/>
      </c>
      <c r="BQ50" s="155" t="str">
        <f t="shared" si="10"/>
        <v/>
      </c>
      <c r="BR50" s="155" t="str">
        <f t="shared" si="11"/>
        <v/>
      </c>
      <c r="BS50" s="155" t="str">
        <f t="shared" si="12"/>
        <v/>
      </c>
      <c r="BT50" s="155" t="str">
        <f t="shared" si="13"/>
        <v/>
      </c>
      <c r="BU50" s="155" t="str">
        <f t="shared" si="14"/>
        <v/>
      </c>
      <c r="BV50" s="155" t="str">
        <f t="shared" si="15"/>
        <v/>
      </c>
      <c r="BW50" s="155" t="str">
        <f t="shared" si="16"/>
        <v/>
      </c>
      <c r="BX50" s="155" t="str">
        <f t="shared" si="17"/>
        <v/>
      </c>
      <c r="BY50" s="155" t="str">
        <f t="shared" si="18"/>
        <v/>
      </c>
      <c r="BZ50" s="155" t="str">
        <f t="shared" si="19"/>
        <v/>
      </c>
      <c r="CA50" s="155" t="str">
        <f t="shared" si="20"/>
        <v/>
      </c>
      <c r="CB50" s="155" t="str">
        <f t="shared" si="21"/>
        <v/>
      </c>
      <c r="CC50" s="155" t="str">
        <f t="shared" si="22"/>
        <v/>
      </c>
      <c r="CD50" s="155" t="str">
        <f t="shared" si="23"/>
        <v/>
      </c>
      <c r="CE50" s="155" t="str">
        <f t="shared" si="24"/>
        <v/>
      </c>
      <c r="CF50" s="155" t="str">
        <f t="shared" si="25"/>
        <v/>
      </c>
      <c r="CG50" s="155" t="str">
        <f t="shared" si="26"/>
        <v/>
      </c>
      <c r="CH50" s="155" t="str">
        <f t="shared" si="27"/>
        <v/>
      </c>
      <c r="CI50" s="155" t="str">
        <f t="shared" si="28"/>
        <v/>
      </c>
      <c r="CJ50" s="155" t="str">
        <f t="shared" si="29"/>
        <v/>
      </c>
      <c r="CK50" s="155" t="str">
        <f t="shared" si="30"/>
        <v/>
      </c>
      <c r="CL50" s="155" t="str">
        <f t="shared" si="31"/>
        <v/>
      </c>
      <c r="CM50" s="155" t="str">
        <f t="shared" si="32"/>
        <v/>
      </c>
      <c r="CN50" s="155" t="str">
        <f t="shared" si="33"/>
        <v/>
      </c>
      <c r="CO50" s="155" t="str">
        <f t="shared" si="34"/>
        <v/>
      </c>
      <c r="CP50" s="155" t="str">
        <f t="shared" si="35"/>
        <v/>
      </c>
      <c r="CQ50" s="155" t="str">
        <f t="shared" si="36"/>
        <v/>
      </c>
      <c r="CR50" s="155" t="str">
        <f t="shared" si="37"/>
        <v/>
      </c>
      <c r="CS50" s="155" t="str">
        <f t="shared" si="38"/>
        <v/>
      </c>
      <c r="CT50" s="155" t="str">
        <f t="shared" si="39"/>
        <v/>
      </c>
      <c r="CU50" s="155" t="str">
        <f t="shared" si="40"/>
        <v/>
      </c>
      <c r="CV50" s="155" t="str">
        <f t="shared" si="41"/>
        <v/>
      </c>
      <c r="CW50" s="155" t="str">
        <f t="shared" si="42"/>
        <v/>
      </c>
      <c r="CX50" s="155" t="str">
        <f t="shared" si="43"/>
        <v/>
      </c>
    </row>
    <row r="51" spans="1:128" s="151" customFormat="1" ht="14.25" outlineLevel="1" x14ac:dyDescent="0.2">
      <c r="A51" s="158"/>
      <c r="B51" s="147" t="str">
        <f>Services!B51</f>
        <v>02D</v>
      </c>
      <c r="C51" s="148" t="str">
        <f>Services!C51</f>
        <v>Protection de l'information écrite</v>
      </c>
      <c r="D51" s="149"/>
      <c r="E51" s="149"/>
      <c r="F51" s="149"/>
      <c r="G51" s="149"/>
      <c r="H51" s="149"/>
      <c r="I51" s="140" t="str">
        <f t="shared" si="0"/>
        <v/>
      </c>
      <c r="J51" s="141" t="str">
        <f t="shared" si="1"/>
        <v/>
      </c>
      <c r="K51" s="142"/>
      <c r="L51" s="142"/>
      <c r="M51" s="1708"/>
      <c r="N51" s="1708"/>
      <c r="O51" s="1708"/>
      <c r="P51" s="1708"/>
      <c r="Q51" s="1708"/>
      <c r="R51" s="1708"/>
      <c r="S51" s="1708"/>
      <c r="T51" s="1708"/>
      <c r="U51" s="1708"/>
      <c r="V51" s="1708"/>
      <c r="W51" s="1708"/>
      <c r="X51" s="1712"/>
      <c r="Y51" s="1712"/>
      <c r="Z51" s="1712"/>
      <c r="AA51" s="1712"/>
      <c r="AB51" s="1712"/>
      <c r="AC51" s="1712"/>
      <c r="AD51" s="1712"/>
      <c r="AE51" s="1712"/>
      <c r="AF51" s="1712"/>
      <c r="AG51" s="1712"/>
      <c r="AH51" s="1712"/>
      <c r="AI51" s="1712"/>
      <c r="AJ51" s="1712"/>
      <c r="AK51" s="1712"/>
      <c r="AL51" s="1712"/>
      <c r="AM51" s="1712"/>
      <c r="AN51" s="1712"/>
      <c r="AO51" s="1712"/>
      <c r="AP51" s="1712"/>
      <c r="AQ51" s="1712"/>
      <c r="AR51" s="1712"/>
      <c r="AS51" s="1712"/>
      <c r="AT51" s="1712"/>
      <c r="AU51" s="1712"/>
      <c r="AV51" s="1712"/>
      <c r="AW51" s="1712"/>
      <c r="AX51" s="1713"/>
      <c r="AY51" s="1714" t="str">
        <f t="shared" si="2"/>
        <v/>
      </c>
      <c r="AZ51" s="1714" t="str">
        <f>IF(Obj_PA!D51="","",IF(AY51="","",Obj_PA!D51-AY51))</f>
        <v/>
      </c>
      <c r="BA51" s="150"/>
      <c r="BB51" s="150"/>
      <c r="BC51" s="150"/>
      <c r="BD51" s="150"/>
      <c r="BE51" s="150"/>
      <c r="BF51" s="150"/>
      <c r="BG51" s="150"/>
      <c r="BH51" s="150"/>
      <c r="BI51" s="150"/>
      <c r="BJ51" s="150"/>
      <c r="BK51" s="155" t="str">
        <f t="shared" si="4"/>
        <v/>
      </c>
      <c r="BL51" s="155" t="str">
        <f t="shared" si="5"/>
        <v/>
      </c>
      <c r="BM51" s="155" t="str">
        <f t="shared" si="6"/>
        <v/>
      </c>
      <c r="BN51" s="155" t="str">
        <f t="shared" si="7"/>
        <v/>
      </c>
      <c r="BO51" s="155" t="str">
        <f t="shared" si="8"/>
        <v/>
      </c>
      <c r="BP51" s="155" t="str">
        <f t="shared" si="9"/>
        <v/>
      </c>
      <c r="BQ51" s="155" t="str">
        <f t="shared" si="10"/>
        <v/>
      </c>
      <c r="BR51" s="155" t="str">
        <f t="shared" si="11"/>
        <v/>
      </c>
      <c r="BS51" s="155" t="str">
        <f t="shared" si="12"/>
        <v/>
      </c>
      <c r="BT51" s="155" t="str">
        <f t="shared" si="13"/>
        <v/>
      </c>
      <c r="BU51" s="155" t="str">
        <f t="shared" si="14"/>
        <v/>
      </c>
      <c r="BV51" s="155" t="str">
        <f t="shared" si="15"/>
        <v/>
      </c>
      <c r="BW51" s="155" t="str">
        <f t="shared" si="16"/>
        <v/>
      </c>
      <c r="BX51" s="155" t="str">
        <f t="shared" si="17"/>
        <v/>
      </c>
      <c r="BY51" s="155" t="str">
        <f t="shared" si="18"/>
        <v/>
      </c>
      <c r="BZ51" s="155" t="str">
        <f t="shared" si="19"/>
        <v/>
      </c>
      <c r="CA51" s="155" t="str">
        <f t="shared" si="20"/>
        <v/>
      </c>
      <c r="CB51" s="155" t="str">
        <f t="shared" si="21"/>
        <v/>
      </c>
      <c r="CC51" s="155" t="str">
        <f t="shared" si="22"/>
        <v/>
      </c>
      <c r="CD51" s="155" t="str">
        <f t="shared" si="23"/>
        <v/>
      </c>
      <c r="CE51" s="155" t="str">
        <f t="shared" si="24"/>
        <v/>
      </c>
      <c r="CF51" s="155" t="str">
        <f t="shared" si="25"/>
        <v/>
      </c>
      <c r="CG51" s="155" t="str">
        <f t="shared" si="26"/>
        <v/>
      </c>
      <c r="CH51" s="155" t="str">
        <f t="shared" si="27"/>
        <v/>
      </c>
      <c r="CI51" s="155" t="str">
        <f t="shared" si="28"/>
        <v/>
      </c>
      <c r="CJ51" s="155" t="str">
        <f t="shared" si="29"/>
        <v/>
      </c>
      <c r="CK51" s="155" t="str">
        <f t="shared" si="30"/>
        <v/>
      </c>
      <c r="CL51" s="155" t="str">
        <f t="shared" si="31"/>
        <v/>
      </c>
      <c r="CM51" s="155" t="str">
        <f t="shared" si="32"/>
        <v/>
      </c>
      <c r="CN51" s="155" t="str">
        <f t="shared" si="33"/>
        <v/>
      </c>
      <c r="CO51" s="155" t="str">
        <f t="shared" si="34"/>
        <v/>
      </c>
      <c r="CP51" s="155" t="str">
        <f t="shared" si="35"/>
        <v/>
      </c>
      <c r="CQ51" s="155" t="str">
        <f t="shared" si="36"/>
        <v/>
      </c>
      <c r="CR51" s="155" t="str">
        <f t="shared" si="37"/>
        <v/>
      </c>
      <c r="CS51" s="155" t="str">
        <f t="shared" si="38"/>
        <v/>
      </c>
      <c r="CT51" s="155" t="str">
        <f t="shared" si="39"/>
        <v/>
      </c>
      <c r="CU51" s="155" t="str">
        <f t="shared" si="40"/>
        <v/>
      </c>
      <c r="CV51" s="155" t="str">
        <f t="shared" si="41"/>
        <v/>
      </c>
      <c r="CW51" s="155" t="str">
        <f t="shared" si="42"/>
        <v/>
      </c>
      <c r="CX51" s="155" t="str">
        <f t="shared" si="43"/>
        <v/>
      </c>
    </row>
    <row r="52" spans="1:128" s="151" customFormat="1" ht="14.25" outlineLevel="1" x14ac:dyDescent="0.2">
      <c r="A52" s="158"/>
      <c r="B52" s="157" t="str">
        <f>Services!B52</f>
        <v>02D01</v>
      </c>
      <c r="C52" s="153" t="str">
        <f>Services!C52</f>
        <v>Conservation et protection des documents courants importants</v>
      </c>
      <c r="D52" s="149"/>
      <c r="E52" s="149"/>
      <c r="F52" s="149"/>
      <c r="G52" s="149"/>
      <c r="H52" s="149">
        <f>5*(8*Plans_action!E28+Plans_action!D28)</f>
        <v>0</v>
      </c>
      <c r="I52" s="140" t="str">
        <f t="shared" si="0"/>
        <v/>
      </c>
      <c r="J52" s="141" t="str">
        <f t="shared" si="1"/>
        <v/>
      </c>
      <c r="K52" s="142"/>
      <c r="L52" s="142"/>
      <c r="M52" s="1708"/>
      <c r="N52" s="1708"/>
      <c r="O52" s="1708"/>
      <c r="P52" s="1708"/>
      <c r="Q52" s="1708"/>
      <c r="R52" s="1708"/>
      <c r="S52" s="1708"/>
      <c r="T52" s="1708"/>
      <c r="U52" s="1708"/>
      <c r="V52" s="1708"/>
      <c r="W52" s="1708"/>
      <c r="X52" s="1712"/>
      <c r="Y52" s="1712"/>
      <c r="Z52" s="1712"/>
      <c r="AA52" s="1712"/>
      <c r="AB52" s="1712"/>
      <c r="AC52" s="1712"/>
      <c r="AD52" s="1712"/>
      <c r="AE52" s="1712"/>
      <c r="AF52" s="1712"/>
      <c r="AG52" s="1712"/>
      <c r="AH52" s="1712"/>
      <c r="AI52" s="1712"/>
      <c r="AJ52" s="1712"/>
      <c r="AK52" s="1712"/>
      <c r="AL52" s="1712"/>
      <c r="AM52" s="1712"/>
      <c r="AN52" s="1712"/>
      <c r="AO52" s="1712"/>
      <c r="AP52" s="1712"/>
      <c r="AQ52" s="1712"/>
      <c r="AR52" s="1712"/>
      <c r="AS52" s="1712"/>
      <c r="AT52" s="1712"/>
      <c r="AU52" s="1712"/>
      <c r="AV52" s="1712"/>
      <c r="AW52" s="1712"/>
      <c r="AX52" s="1713"/>
      <c r="AY52" s="1714" t="str">
        <f t="shared" si="2"/>
        <v/>
      </c>
      <c r="AZ52" s="1714" t="str">
        <f>IF(Obj_PA!D52="","",IF(AY52="","",Obj_PA!D52-AY52))</f>
        <v/>
      </c>
      <c r="BA52" s="150"/>
      <c r="BB52" s="150"/>
      <c r="BC52" s="150"/>
      <c r="BD52" s="150"/>
      <c r="BE52" s="150"/>
      <c r="BF52" s="150"/>
      <c r="BG52" s="150"/>
      <c r="BH52" s="150"/>
      <c r="BI52" s="150"/>
      <c r="BJ52" s="150"/>
      <c r="BK52" s="155" t="str">
        <f t="shared" si="4"/>
        <v/>
      </c>
      <c r="BL52" s="155" t="str">
        <f t="shared" si="5"/>
        <v/>
      </c>
      <c r="BM52" s="155" t="str">
        <f t="shared" si="6"/>
        <v/>
      </c>
      <c r="BN52" s="155" t="str">
        <f t="shared" si="7"/>
        <v/>
      </c>
      <c r="BO52" s="155" t="str">
        <f t="shared" si="8"/>
        <v/>
      </c>
      <c r="BP52" s="155" t="str">
        <f t="shared" si="9"/>
        <v/>
      </c>
      <c r="BQ52" s="155" t="str">
        <f t="shared" si="10"/>
        <v/>
      </c>
      <c r="BR52" s="155" t="str">
        <f t="shared" si="11"/>
        <v/>
      </c>
      <c r="BS52" s="155" t="str">
        <f t="shared" si="12"/>
        <v/>
      </c>
      <c r="BT52" s="155" t="str">
        <f t="shared" si="13"/>
        <v/>
      </c>
      <c r="BU52" s="155" t="str">
        <f t="shared" si="14"/>
        <v/>
      </c>
      <c r="BV52" s="155" t="str">
        <f t="shared" si="15"/>
        <v/>
      </c>
      <c r="BW52" s="155" t="str">
        <f t="shared" si="16"/>
        <v/>
      </c>
      <c r="BX52" s="155" t="str">
        <f t="shared" si="17"/>
        <v/>
      </c>
      <c r="BY52" s="155" t="str">
        <f t="shared" si="18"/>
        <v/>
      </c>
      <c r="BZ52" s="155" t="str">
        <f t="shared" si="19"/>
        <v/>
      </c>
      <c r="CA52" s="155" t="str">
        <f t="shared" si="20"/>
        <v/>
      </c>
      <c r="CB52" s="155" t="str">
        <f t="shared" si="21"/>
        <v/>
      </c>
      <c r="CC52" s="155" t="str">
        <f t="shared" si="22"/>
        <v/>
      </c>
      <c r="CD52" s="155" t="str">
        <f t="shared" si="23"/>
        <v/>
      </c>
      <c r="CE52" s="155" t="str">
        <f t="shared" si="24"/>
        <v/>
      </c>
      <c r="CF52" s="155" t="str">
        <f t="shared" si="25"/>
        <v/>
      </c>
      <c r="CG52" s="155" t="str">
        <f t="shared" si="26"/>
        <v/>
      </c>
      <c r="CH52" s="155" t="str">
        <f t="shared" si="27"/>
        <v/>
      </c>
      <c r="CI52" s="155" t="str">
        <f t="shared" si="28"/>
        <v/>
      </c>
      <c r="CJ52" s="155" t="str">
        <f t="shared" si="29"/>
        <v/>
      </c>
      <c r="CK52" s="155" t="str">
        <f t="shared" si="30"/>
        <v/>
      </c>
      <c r="CL52" s="155" t="str">
        <f t="shared" si="31"/>
        <v/>
      </c>
      <c r="CM52" s="155" t="str">
        <f t="shared" si="32"/>
        <v/>
      </c>
      <c r="CN52" s="155" t="str">
        <f t="shared" si="33"/>
        <v/>
      </c>
      <c r="CO52" s="155" t="str">
        <f t="shared" si="34"/>
        <v/>
      </c>
      <c r="CP52" s="155" t="str">
        <f t="shared" si="35"/>
        <v/>
      </c>
      <c r="CQ52" s="155" t="str">
        <f t="shared" si="36"/>
        <v/>
      </c>
      <c r="CR52" s="155" t="str">
        <f t="shared" si="37"/>
        <v/>
      </c>
      <c r="CS52" s="155" t="str">
        <f t="shared" si="38"/>
        <v/>
      </c>
      <c r="CT52" s="155" t="str">
        <f t="shared" si="39"/>
        <v/>
      </c>
      <c r="CU52" s="155" t="str">
        <f t="shared" si="40"/>
        <v/>
      </c>
      <c r="CV52" s="155" t="str">
        <f t="shared" si="41"/>
        <v/>
      </c>
      <c r="CW52" s="155" t="str">
        <f t="shared" si="42"/>
        <v/>
      </c>
      <c r="CX52" s="155" t="str">
        <f t="shared" si="43"/>
        <v/>
      </c>
      <c r="DV52" s="151">
        <f>IF(INDEX(Tab_actions,86,1)=1,INDEX(Tab_actions,86,4),0)</f>
        <v>0</v>
      </c>
    </row>
    <row r="53" spans="1:128" s="151" customFormat="1" ht="14.25" outlineLevel="1" x14ac:dyDescent="0.2">
      <c r="A53" s="158"/>
      <c r="B53" s="157" t="str">
        <f>Services!B53</f>
        <v>02D02</v>
      </c>
      <c r="C53" s="153" t="str">
        <f>Services!C53</f>
        <v>Protection des documents et supports amovibles</v>
      </c>
      <c r="D53" s="149"/>
      <c r="E53" s="149">
        <f>2*(8*Plans_action!E21+Plans_action!D21)</f>
        <v>0</v>
      </c>
      <c r="F53" s="149"/>
      <c r="G53" s="149"/>
      <c r="H53" s="149">
        <f>5*(8*Plans_action!E147+Plans_action!D147)</f>
        <v>0</v>
      </c>
      <c r="I53" s="140" t="str">
        <f t="shared" si="0"/>
        <v/>
      </c>
      <c r="J53" s="141" t="str">
        <f t="shared" si="1"/>
        <v/>
      </c>
      <c r="K53" s="142"/>
      <c r="L53" s="142"/>
      <c r="M53" s="1708"/>
      <c r="N53" s="1708"/>
      <c r="O53" s="1708"/>
      <c r="P53" s="1708"/>
      <c r="Q53" s="1708"/>
      <c r="R53" s="1708"/>
      <c r="S53" s="1708"/>
      <c r="T53" s="1708"/>
      <c r="U53" s="1708"/>
      <c r="V53" s="1708"/>
      <c r="W53" s="1708"/>
      <c r="X53" s="1712"/>
      <c r="Y53" s="1712"/>
      <c r="Z53" s="1712"/>
      <c r="AA53" s="1712"/>
      <c r="AB53" s="1712"/>
      <c r="AC53" s="1712"/>
      <c r="AD53" s="1712"/>
      <c r="AE53" s="1712"/>
      <c r="AF53" s="1712"/>
      <c r="AG53" s="1712"/>
      <c r="AH53" s="1712"/>
      <c r="AI53" s="1712"/>
      <c r="AJ53" s="1712"/>
      <c r="AK53" s="1712"/>
      <c r="AL53" s="1712"/>
      <c r="AM53" s="1712"/>
      <c r="AN53" s="1712"/>
      <c r="AO53" s="1712"/>
      <c r="AP53" s="1712"/>
      <c r="AQ53" s="1712"/>
      <c r="AR53" s="1712"/>
      <c r="AS53" s="1712"/>
      <c r="AT53" s="1712"/>
      <c r="AU53" s="1712"/>
      <c r="AV53" s="1712"/>
      <c r="AW53" s="1712"/>
      <c r="AX53" s="1713"/>
      <c r="AY53" s="1714" t="str">
        <f t="shared" si="2"/>
        <v/>
      </c>
      <c r="AZ53" s="1714" t="str">
        <f>IF(Obj_PA!D53="","",IF(AY53="","",Obj_PA!D53-AY53))</f>
        <v/>
      </c>
      <c r="BA53" s="150"/>
      <c r="BB53" s="150"/>
      <c r="BC53" s="150"/>
      <c r="BD53" s="150"/>
      <c r="BE53" s="150"/>
      <c r="BF53" s="150"/>
      <c r="BG53" s="150"/>
      <c r="BH53" s="150"/>
      <c r="BI53" s="150"/>
      <c r="BJ53" s="150"/>
      <c r="BK53" s="155" t="str">
        <f t="shared" si="4"/>
        <v/>
      </c>
      <c r="BL53" s="155" t="str">
        <f t="shared" si="5"/>
        <v/>
      </c>
      <c r="BM53" s="155" t="str">
        <f t="shared" si="6"/>
        <v/>
      </c>
      <c r="BN53" s="155" t="str">
        <f t="shared" si="7"/>
        <v/>
      </c>
      <c r="BO53" s="155" t="str">
        <f t="shared" si="8"/>
        <v/>
      </c>
      <c r="BP53" s="155" t="str">
        <f t="shared" si="9"/>
        <v/>
      </c>
      <c r="BQ53" s="155" t="str">
        <f t="shared" si="10"/>
        <v/>
      </c>
      <c r="BR53" s="155" t="str">
        <f t="shared" si="11"/>
        <v/>
      </c>
      <c r="BS53" s="155" t="str">
        <f t="shared" si="12"/>
        <v/>
      </c>
      <c r="BT53" s="155" t="str">
        <f t="shared" si="13"/>
        <v/>
      </c>
      <c r="BU53" s="155" t="str">
        <f t="shared" si="14"/>
        <v/>
      </c>
      <c r="BV53" s="155" t="str">
        <f t="shared" si="15"/>
        <v/>
      </c>
      <c r="BW53" s="155" t="str">
        <f t="shared" si="16"/>
        <v/>
      </c>
      <c r="BX53" s="155" t="str">
        <f t="shared" si="17"/>
        <v/>
      </c>
      <c r="BY53" s="155" t="str">
        <f t="shared" si="18"/>
        <v/>
      </c>
      <c r="BZ53" s="155" t="str">
        <f t="shared" si="19"/>
        <v/>
      </c>
      <c r="CA53" s="155" t="str">
        <f t="shared" si="20"/>
        <v/>
      </c>
      <c r="CB53" s="155" t="str">
        <f t="shared" si="21"/>
        <v/>
      </c>
      <c r="CC53" s="155" t="str">
        <f t="shared" si="22"/>
        <v/>
      </c>
      <c r="CD53" s="155" t="str">
        <f t="shared" si="23"/>
        <v/>
      </c>
      <c r="CE53" s="155" t="str">
        <f t="shared" si="24"/>
        <v/>
      </c>
      <c r="CF53" s="155" t="str">
        <f t="shared" si="25"/>
        <v/>
      </c>
      <c r="CG53" s="155" t="str">
        <f t="shared" si="26"/>
        <v/>
      </c>
      <c r="CH53" s="155" t="str">
        <f t="shared" si="27"/>
        <v/>
      </c>
      <c r="CI53" s="155" t="str">
        <f t="shared" si="28"/>
        <v/>
      </c>
      <c r="CJ53" s="155" t="str">
        <f t="shared" si="29"/>
        <v/>
      </c>
      <c r="CK53" s="155" t="str">
        <f t="shared" si="30"/>
        <v/>
      </c>
      <c r="CL53" s="155" t="str">
        <f t="shared" si="31"/>
        <v/>
      </c>
      <c r="CM53" s="155" t="str">
        <f t="shared" si="32"/>
        <v/>
      </c>
      <c r="CN53" s="155" t="str">
        <f t="shared" si="33"/>
        <v/>
      </c>
      <c r="CO53" s="155" t="str">
        <f t="shared" si="34"/>
        <v/>
      </c>
      <c r="CP53" s="155" t="str">
        <f t="shared" si="35"/>
        <v/>
      </c>
      <c r="CQ53" s="155" t="str">
        <f t="shared" si="36"/>
        <v/>
      </c>
      <c r="CR53" s="155" t="str">
        <f t="shared" si="37"/>
        <v/>
      </c>
      <c r="CS53" s="155" t="str">
        <f t="shared" si="38"/>
        <v/>
      </c>
      <c r="CT53" s="155" t="str">
        <f t="shared" si="39"/>
        <v/>
      </c>
      <c r="CU53" s="155" t="str">
        <f t="shared" si="40"/>
        <v/>
      </c>
      <c r="CV53" s="155" t="str">
        <f t="shared" si="41"/>
        <v/>
      </c>
      <c r="CW53" s="155" t="str">
        <f t="shared" si="42"/>
        <v/>
      </c>
      <c r="CX53" s="155" t="str">
        <f t="shared" si="43"/>
        <v/>
      </c>
      <c r="DU53" s="151">
        <f>IF(INDEX(Tab_actions,33,1)=1,INDEX(Tab_actions,33,10),0)</f>
        <v>0</v>
      </c>
      <c r="DV53" s="151">
        <f>IF(INDEX(Tab_actions,96,1)=1,INDEX(Tab_actions,96,4),0)</f>
        <v>0</v>
      </c>
    </row>
    <row r="54" spans="1:128" s="151" customFormat="1" ht="14.25" outlineLevel="1" x14ac:dyDescent="0.2">
      <c r="A54" s="158"/>
      <c r="B54" s="157" t="str">
        <f>Services!B54</f>
        <v>02D03</v>
      </c>
      <c r="C54" s="153" t="str">
        <f>Services!C54</f>
        <v>Ramassage des corbeilles à papier et destruction des documents</v>
      </c>
      <c r="D54" s="149"/>
      <c r="E54" s="149"/>
      <c r="F54" s="149"/>
      <c r="G54" s="149"/>
      <c r="H54" s="149">
        <f>5*(8*Plans_action!E147+Plans_action!D147)</f>
        <v>0</v>
      </c>
      <c r="I54" s="140" t="str">
        <f t="shared" si="0"/>
        <v/>
      </c>
      <c r="J54" s="141" t="str">
        <f t="shared" si="1"/>
        <v/>
      </c>
      <c r="K54" s="142"/>
      <c r="L54" s="142"/>
      <c r="M54" s="1708"/>
      <c r="N54" s="1708"/>
      <c r="O54" s="1708"/>
      <c r="P54" s="1708"/>
      <c r="Q54" s="1708"/>
      <c r="R54" s="1708"/>
      <c r="S54" s="1708"/>
      <c r="T54" s="1708"/>
      <c r="U54" s="1708"/>
      <c r="V54" s="1708"/>
      <c r="W54" s="1708"/>
      <c r="X54" s="1712"/>
      <c r="Y54" s="1712"/>
      <c r="Z54" s="1712"/>
      <c r="AA54" s="1712"/>
      <c r="AB54" s="1712"/>
      <c r="AC54" s="1712"/>
      <c r="AD54" s="1712"/>
      <c r="AE54" s="1712"/>
      <c r="AF54" s="1712"/>
      <c r="AG54" s="1712"/>
      <c r="AH54" s="1712"/>
      <c r="AI54" s="1712"/>
      <c r="AJ54" s="1712"/>
      <c r="AK54" s="1712"/>
      <c r="AL54" s="1712"/>
      <c r="AM54" s="1712"/>
      <c r="AN54" s="1712"/>
      <c r="AO54" s="1712"/>
      <c r="AP54" s="1712"/>
      <c r="AQ54" s="1712"/>
      <c r="AR54" s="1712"/>
      <c r="AS54" s="1712"/>
      <c r="AT54" s="1712"/>
      <c r="AU54" s="1712"/>
      <c r="AV54" s="1712"/>
      <c r="AW54" s="1712"/>
      <c r="AX54" s="1713"/>
      <c r="AY54" s="1714" t="str">
        <f t="shared" si="2"/>
        <v/>
      </c>
      <c r="AZ54" s="1714" t="str">
        <f>IF(Obj_PA!D54="","",IF(AY54="","",Obj_PA!D54-AY54))</f>
        <v/>
      </c>
      <c r="BA54" s="150"/>
      <c r="BB54" s="150"/>
      <c r="BC54" s="150"/>
      <c r="BD54" s="150"/>
      <c r="BE54" s="150"/>
      <c r="BF54" s="150"/>
      <c r="BG54" s="150"/>
      <c r="BH54" s="150"/>
      <c r="BI54" s="150"/>
      <c r="BJ54" s="150"/>
      <c r="BK54" s="155" t="str">
        <f t="shared" si="4"/>
        <v/>
      </c>
      <c r="BL54" s="155" t="str">
        <f t="shared" si="5"/>
        <v/>
      </c>
      <c r="BM54" s="155" t="str">
        <f t="shared" si="6"/>
        <v/>
      </c>
      <c r="BN54" s="155" t="str">
        <f t="shared" si="7"/>
        <v/>
      </c>
      <c r="BO54" s="155" t="str">
        <f t="shared" si="8"/>
        <v/>
      </c>
      <c r="BP54" s="155" t="str">
        <f t="shared" si="9"/>
        <v/>
      </c>
      <c r="BQ54" s="155" t="str">
        <f t="shared" si="10"/>
        <v/>
      </c>
      <c r="BR54" s="155" t="str">
        <f t="shared" si="11"/>
        <v/>
      </c>
      <c r="BS54" s="155" t="str">
        <f t="shared" si="12"/>
        <v/>
      </c>
      <c r="BT54" s="155" t="str">
        <f t="shared" si="13"/>
        <v/>
      </c>
      <c r="BU54" s="155" t="str">
        <f t="shared" si="14"/>
        <v/>
      </c>
      <c r="BV54" s="155" t="str">
        <f t="shared" si="15"/>
        <v/>
      </c>
      <c r="BW54" s="155" t="str">
        <f t="shared" si="16"/>
        <v/>
      </c>
      <c r="BX54" s="155" t="str">
        <f t="shared" si="17"/>
        <v/>
      </c>
      <c r="BY54" s="155" t="str">
        <f t="shared" si="18"/>
        <v/>
      </c>
      <c r="BZ54" s="155" t="str">
        <f t="shared" si="19"/>
        <v/>
      </c>
      <c r="CA54" s="155" t="str">
        <f t="shared" si="20"/>
        <v/>
      </c>
      <c r="CB54" s="155" t="str">
        <f t="shared" si="21"/>
        <v/>
      </c>
      <c r="CC54" s="155" t="str">
        <f t="shared" si="22"/>
        <v/>
      </c>
      <c r="CD54" s="155" t="str">
        <f t="shared" si="23"/>
        <v/>
      </c>
      <c r="CE54" s="155" t="str">
        <f t="shared" si="24"/>
        <v/>
      </c>
      <c r="CF54" s="155" t="str">
        <f t="shared" si="25"/>
        <v/>
      </c>
      <c r="CG54" s="155" t="str">
        <f t="shared" si="26"/>
        <v/>
      </c>
      <c r="CH54" s="155" t="str">
        <f t="shared" si="27"/>
        <v/>
      </c>
      <c r="CI54" s="155" t="str">
        <f t="shared" si="28"/>
        <v/>
      </c>
      <c r="CJ54" s="155" t="str">
        <f t="shared" si="29"/>
        <v/>
      </c>
      <c r="CK54" s="155" t="str">
        <f t="shared" si="30"/>
        <v/>
      </c>
      <c r="CL54" s="155" t="str">
        <f t="shared" si="31"/>
        <v/>
      </c>
      <c r="CM54" s="155" t="str">
        <f t="shared" si="32"/>
        <v/>
      </c>
      <c r="CN54" s="155" t="str">
        <f t="shared" si="33"/>
        <v/>
      </c>
      <c r="CO54" s="155" t="str">
        <f t="shared" si="34"/>
        <v/>
      </c>
      <c r="CP54" s="155" t="str">
        <f t="shared" si="35"/>
        <v/>
      </c>
      <c r="CQ54" s="155" t="str">
        <f t="shared" si="36"/>
        <v/>
      </c>
      <c r="CR54" s="155" t="str">
        <f t="shared" si="37"/>
        <v/>
      </c>
      <c r="CS54" s="155" t="str">
        <f t="shared" si="38"/>
        <v/>
      </c>
      <c r="CT54" s="155" t="str">
        <f t="shared" si="39"/>
        <v/>
      </c>
      <c r="CU54" s="155" t="str">
        <f t="shared" si="40"/>
        <v/>
      </c>
      <c r="CV54" s="155" t="str">
        <f t="shared" si="41"/>
        <v/>
      </c>
      <c r="CW54" s="155" t="str">
        <f t="shared" si="42"/>
        <v/>
      </c>
      <c r="CX54" s="155" t="str">
        <f t="shared" si="43"/>
        <v/>
      </c>
    </row>
    <row r="55" spans="1:128" s="151" customFormat="1" ht="14.25" outlineLevel="1" x14ac:dyDescent="0.2">
      <c r="A55" s="158"/>
      <c r="B55" s="157" t="str">
        <f>Services!B55</f>
        <v>02D04</v>
      </c>
      <c r="C55" s="153" t="str">
        <f>Services!C55</f>
        <v>Sécurité du courrier</v>
      </c>
      <c r="D55" s="149"/>
      <c r="E55" s="149"/>
      <c r="F55" s="149"/>
      <c r="G55" s="149"/>
      <c r="H55" s="149">
        <f>5*(8*Plans_action!E43+Plans_action!D43)+5*(8*Plans_action!E173+Plans_action!D173)</f>
        <v>0</v>
      </c>
      <c r="I55" s="140" t="str">
        <f t="shared" si="0"/>
        <v/>
      </c>
      <c r="J55" s="141" t="str">
        <f t="shared" si="1"/>
        <v/>
      </c>
      <c r="K55" s="142"/>
      <c r="L55" s="142"/>
      <c r="M55" s="1708"/>
      <c r="N55" s="1708"/>
      <c r="O55" s="1708"/>
      <c r="P55" s="1708"/>
      <c r="Q55" s="1708"/>
      <c r="R55" s="1708"/>
      <c r="S55" s="1708"/>
      <c r="T55" s="1708"/>
      <c r="U55" s="1708"/>
      <c r="V55" s="1708"/>
      <c r="W55" s="1708"/>
      <c r="X55" s="1712"/>
      <c r="Y55" s="1712"/>
      <c r="Z55" s="1712"/>
      <c r="AA55" s="1712"/>
      <c r="AB55" s="1712"/>
      <c r="AC55" s="1712"/>
      <c r="AD55" s="1712"/>
      <c r="AE55" s="1712"/>
      <c r="AF55" s="1712"/>
      <c r="AG55" s="1712"/>
      <c r="AH55" s="1712"/>
      <c r="AI55" s="1712"/>
      <c r="AJ55" s="1712"/>
      <c r="AK55" s="1712"/>
      <c r="AL55" s="1712"/>
      <c r="AM55" s="1712"/>
      <c r="AN55" s="1712"/>
      <c r="AO55" s="1712"/>
      <c r="AP55" s="1712"/>
      <c r="AQ55" s="1712"/>
      <c r="AR55" s="1712"/>
      <c r="AS55" s="1712"/>
      <c r="AT55" s="1712"/>
      <c r="AU55" s="1712"/>
      <c r="AV55" s="1712"/>
      <c r="AW55" s="1712"/>
      <c r="AX55" s="1713"/>
      <c r="AY55" s="1714" t="str">
        <f t="shared" si="2"/>
        <v/>
      </c>
      <c r="AZ55" s="1714" t="str">
        <f>IF(Obj_PA!D55="","",IF(AY55="","",Obj_PA!D55-AY55))</f>
        <v/>
      </c>
      <c r="BA55" s="150"/>
      <c r="BB55" s="150"/>
      <c r="BC55" s="150"/>
      <c r="BD55" s="150"/>
      <c r="BE55" s="150"/>
      <c r="BF55" s="150"/>
      <c r="BG55" s="150"/>
      <c r="BH55" s="150"/>
      <c r="BI55" s="150"/>
      <c r="BJ55" s="150"/>
      <c r="BK55" s="155" t="str">
        <f t="shared" si="4"/>
        <v/>
      </c>
      <c r="BL55" s="155" t="str">
        <f t="shared" si="5"/>
        <v/>
      </c>
      <c r="BM55" s="155" t="str">
        <f t="shared" si="6"/>
        <v/>
      </c>
      <c r="BN55" s="155" t="str">
        <f t="shared" si="7"/>
        <v/>
      </c>
      <c r="BO55" s="155" t="str">
        <f t="shared" si="8"/>
        <v/>
      </c>
      <c r="BP55" s="155" t="str">
        <f t="shared" si="9"/>
        <v/>
      </c>
      <c r="BQ55" s="155" t="str">
        <f t="shared" si="10"/>
        <v/>
      </c>
      <c r="BR55" s="155" t="str">
        <f t="shared" si="11"/>
        <v/>
      </c>
      <c r="BS55" s="155" t="str">
        <f t="shared" si="12"/>
        <v/>
      </c>
      <c r="BT55" s="155" t="str">
        <f t="shared" si="13"/>
        <v/>
      </c>
      <c r="BU55" s="155" t="str">
        <f t="shared" si="14"/>
        <v/>
      </c>
      <c r="BV55" s="155" t="str">
        <f t="shared" si="15"/>
        <v/>
      </c>
      <c r="BW55" s="155" t="str">
        <f t="shared" si="16"/>
        <v/>
      </c>
      <c r="BX55" s="155" t="str">
        <f t="shared" si="17"/>
        <v/>
      </c>
      <c r="BY55" s="155" t="str">
        <f t="shared" si="18"/>
        <v/>
      </c>
      <c r="BZ55" s="155" t="str">
        <f t="shared" si="19"/>
        <v/>
      </c>
      <c r="CA55" s="155" t="str">
        <f t="shared" si="20"/>
        <v/>
      </c>
      <c r="CB55" s="155" t="str">
        <f t="shared" si="21"/>
        <v/>
      </c>
      <c r="CC55" s="155" t="str">
        <f t="shared" si="22"/>
        <v/>
      </c>
      <c r="CD55" s="155" t="str">
        <f t="shared" si="23"/>
        <v/>
      </c>
      <c r="CE55" s="155" t="str">
        <f t="shared" si="24"/>
        <v/>
      </c>
      <c r="CF55" s="155" t="str">
        <f t="shared" si="25"/>
        <v/>
      </c>
      <c r="CG55" s="155" t="str">
        <f t="shared" si="26"/>
        <v/>
      </c>
      <c r="CH55" s="155" t="str">
        <f t="shared" si="27"/>
        <v/>
      </c>
      <c r="CI55" s="155" t="str">
        <f t="shared" si="28"/>
        <v/>
      </c>
      <c r="CJ55" s="155" t="str">
        <f t="shared" si="29"/>
        <v/>
      </c>
      <c r="CK55" s="155" t="str">
        <f t="shared" si="30"/>
        <v/>
      </c>
      <c r="CL55" s="155" t="str">
        <f t="shared" si="31"/>
        <v/>
      </c>
      <c r="CM55" s="155" t="str">
        <f t="shared" si="32"/>
        <v/>
      </c>
      <c r="CN55" s="155" t="str">
        <f t="shared" si="33"/>
        <v/>
      </c>
      <c r="CO55" s="155" t="str">
        <f t="shared" si="34"/>
        <v/>
      </c>
      <c r="CP55" s="155" t="str">
        <f t="shared" si="35"/>
        <v/>
      </c>
      <c r="CQ55" s="155" t="str">
        <f t="shared" si="36"/>
        <v/>
      </c>
      <c r="CR55" s="155" t="str">
        <f t="shared" si="37"/>
        <v/>
      </c>
      <c r="CS55" s="155" t="str">
        <f t="shared" si="38"/>
        <v/>
      </c>
      <c r="CT55" s="155" t="str">
        <f t="shared" si="39"/>
        <v/>
      </c>
      <c r="CU55" s="155" t="str">
        <f t="shared" si="40"/>
        <v/>
      </c>
      <c r="CV55" s="155" t="str">
        <f t="shared" si="41"/>
        <v/>
      </c>
      <c r="CW55" s="155" t="str">
        <f t="shared" si="42"/>
        <v/>
      </c>
      <c r="CX55" s="155" t="str">
        <f t="shared" si="43"/>
        <v/>
      </c>
      <c r="DX55" s="151">
        <f>IF(INDEX(Tab_actions,82,1)=1,INDEX(Tab_actions,82,6),0)</f>
        <v>0</v>
      </c>
    </row>
    <row r="56" spans="1:128" s="151" customFormat="1" ht="14.25" outlineLevel="1" x14ac:dyDescent="0.2">
      <c r="A56" s="158"/>
      <c r="B56" s="157" t="str">
        <f>Services!B56</f>
        <v>02D05</v>
      </c>
      <c r="C56" s="153" t="str">
        <f>Services!C56</f>
        <v xml:space="preserve">Sécurité des télécopies </v>
      </c>
      <c r="D56" s="149"/>
      <c r="E56" s="149"/>
      <c r="F56" s="149"/>
      <c r="G56" s="149"/>
      <c r="H56" s="149">
        <f>5*(8*Plans_action!E43+Plans_action!D43)+5*(8*Plans_action!E103+Plans_action!D103)+5*(8*Plans_action!E173+Plans_action!D173)</f>
        <v>0</v>
      </c>
      <c r="I56" s="140" t="str">
        <f t="shared" si="0"/>
        <v/>
      </c>
      <c r="J56" s="141" t="str">
        <f t="shared" si="1"/>
        <v/>
      </c>
      <c r="K56" s="142"/>
      <c r="L56" s="142"/>
      <c r="M56" s="1708"/>
      <c r="N56" s="1708"/>
      <c r="O56" s="1708"/>
      <c r="P56" s="1708"/>
      <c r="Q56" s="1708"/>
      <c r="R56" s="1708"/>
      <c r="S56" s="1708"/>
      <c r="T56" s="1708"/>
      <c r="U56" s="1708"/>
      <c r="V56" s="1708"/>
      <c r="W56" s="1708"/>
      <c r="X56" s="1712"/>
      <c r="Y56" s="1712"/>
      <c r="Z56" s="1712"/>
      <c r="AA56" s="1712"/>
      <c r="AB56" s="1712"/>
      <c r="AC56" s="1712"/>
      <c r="AD56" s="1712"/>
      <c r="AE56" s="1712"/>
      <c r="AF56" s="1712"/>
      <c r="AG56" s="1712"/>
      <c r="AH56" s="1712"/>
      <c r="AI56" s="1712"/>
      <c r="AJ56" s="1712"/>
      <c r="AK56" s="1712"/>
      <c r="AL56" s="1712"/>
      <c r="AM56" s="1712"/>
      <c r="AN56" s="1712"/>
      <c r="AO56" s="1712"/>
      <c r="AP56" s="1712"/>
      <c r="AQ56" s="1712"/>
      <c r="AR56" s="1712"/>
      <c r="AS56" s="1712"/>
      <c r="AT56" s="1712"/>
      <c r="AU56" s="1712"/>
      <c r="AV56" s="1712"/>
      <c r="AW56" s="1712"/>
      <c r="AX56" s="1713"/>
      <c r="AY56" s="1714" t="str">
        <f t="shared" si="2"/>
        <v/>
      </c>
      <c r="AZ56" s="1714" t="str">
        <f>IF(Obj_PA!D56="","",IF(AY56="","",Obj_PA!D56-AY56))</f>
        <v/>
      </c>
      <c r="BA56" s="150"/>
      <c r="BB56" s="150"/>
      <c r="BC56" s="150"/>
      <c r="BD56" s="150"/>
      <c r="BE56" s="150"/>
      <c r="BF56" s="150"/>
      <c r="BG56" s="150"/>
      <c r="BH56" s="150"/>
      <c r="BI56" s="150"/>
      <c r="BJ56" s="150"/>
      <c r="BK56" s="155" t="str">
        <f t="shared" si="4"/>
        <v/>
      </c>
      <c r="BL56" s="155" t="str">
        <f t="shared" si="5"/>
        <v/>
      </c>
      <c r="BM56" s="155" t="str">
        <f t="shared" si="6"/>
        <v/>
      </c>
      <c r="BN56" s="155" t="str">
        <f t="shared" si="7"/>
        <v/>
      </c>
      <c r="BO56" s="155" t="str">
        <f t="shared" si="8"/>
        <v/>
      </c>
      <c r="BP56" s="155" t="str">
        <f t="shared" si="9"/>
        <v/>
      </c>
      <c r="BQ56" s="155" t="str">
        <f t="shared" si="10"/>
        <v/>
      </c>
      <c r="BR56" s="155" t="str">
        <f t="shared" si="11"/>
        <v/>
      </c>
      <c r="BS56" s="155" t="str">
        <f t="shared" si="12"/>
        <v/>
      </c>
      <c r="BT56" s="155" t="str">
        <f t="shared" si="13"/>
        <v/>
      </c>
      <c r="BU56" s="155" t="str">
        <f t="shared" si="14"/>
        <v/>
      </c>
      <c r="BV56" s="155" t="str">
        <f t="shared" si="15"/>
        <v/>
      </c>
      <c r="BW56" s="155" t="str">
        <f t="shared" si="16"/>
        <v/>
      </c>
      <c r="BX56" s="155" t="str">
        <f t="shared" si="17"/>
        <v/>
      </c>
      <c r="BY56" s="155" t="str">
        <f t="shared" si="18"/>
        <v/>
      </c>
      <c r="BZ56" s="155" t="str">
        <f t="shared" si="19"/>
        <v/>
      </c>
      <c r="CA56" s="155" t="str">
        <f t="shared" si="20"/>
        <v/>
      </c>
      <c r="CB56" s="155" t="str">
        <f t="shared" si="21"/>
        <v/>
      </c>
      <c r="CC56" s="155" t="str">
        <f t="shared" si="22"/>
        <v/>
      </c>
      <c r="CD56" s="155" t="str">
        <f t="shared" si="23"/>
        <v/>
      </c>
      <c r="CE56" s="155" t="str">
        <f t="shared" si="24"/>
        <v/>
      </c>
      <c r="CF56" s="155" t="str">
        <f t="shared" si="25"/>
        <v/>
      </c>
      <c r="CG56" s="155" t="str">
        <f t="shared" si="26"/>
        <v/>
      </c>
      <c r="CH56" s="155" t="str">
        <f t="shared" si="27"/>
        <v/>
      </c>
      <c r="CI56" s="155" t="str">
        <f t="shared" si="28"/>
        <v/>
      </c>
      <c r="CJ56" s="155" t="str">
        <f t="shared" si="29"/>
        <v/>
      </c>
      <c r="CK56" s="155" t="str">
        <f t="shared" si="30"/>
        <v/>
      </c>
      <c r="CL56" s="155" t="str">
        <f t="shared" si="31"/>
        <v/>
      </c>
      <c r="CM56" s="155" t="str">
        <f t="shared" si="32"/>
        <v/>
      </c>
      <c r="CN56" s="155" t="str">
        <f t="shared" si="33"/>
        <v/>
      </c>
      <c r="CO56" s="155" t="str">
        <f t="shared" si="34"/>
        <v/>
      </c>
      <c r="CP56" s="155" t="str">
        <f t="shared" si="35"/>
        <v/>
      </c>
      <c r="CQ56" s="155" t="str">
        <f t="shared" si="36"/>
        <v/>
      </c>
      <c r="CR56" s="155" t="str">
        <f t="shared" si="37"/>
        <v/>
      </c>
      <c r="CS56" s="155" t="str">
        <f t="shared" si="38"/>
        <v/>
      </c>
      <c r="CT56" s="155" t="str">
        <f t="shared" si="39"/>
        <v/>
      </c>
      <c r="CU56" s="155" t="str">
        <f t="shared" si="40"/>
        <v/>
      </c>
      <c r="CV56" s="155" t="str">
        <f t="shared" si="41"/>
        <v/>
      </c>
      <c r="CW56" s="155" t="str">
        <f t="shared" si="42"/>
        <v/>
      </c>
      <c r="CX56" s="155" t="str">
        <f t="shared" si="43"/>
        <v/>
      </c>
      <c r="DX56" s="151">
        <f>IF(INDEX(Tab_actions,82,1)=1,INDEX(Tab_actions,82,8),0)</f>
        <v>0</v>
      </c>
    </row>
    <row r="57" spans="1:128" s="151" customFormat="1" ht="25.5" outlineLevel="1" x14ac:dyDescent="0.2">
      <c r="A57" s="158"/>
      <c r="B57" s="157" t="str">
        <f>Services!B57</f>
        <v>02D06</v>
      </c>
      <c r="C57" s="153" t="str">
        <f>Services!C57</f>
        <v>Conservation et protection des documents importants à conserver sur une longue période</v>
      </c>
      <c r="D57" s="149"/>
      <c r="E57" s="149"/>
      <c r="F57" s="149"/>
      <c r="G57" s="149">
        <f>4*(8*Plans_action!E48+Plans_action!D48)</f>
        <v>0</v>
      </c>
      <c r="H57" s="149">
        <f>5*(8*Plans_action!E28+Plans_action!D28)+5*(8*Plans_action!E48+Plans_action!D48)</f>
        <v>0</v>
      </c>
      <c r="I57" s="140" t="str">
        <f t="shared" si="0"/>
        <v/>
      </c>
      <c r="J57" s="141" t="str">
        <f t="shared" si="1"/>
        <v/>
      </c>
      <c r="K57" s="142"/>
      <c r="L57" s="142"/>
      <c r="M57" s="1708"/>
      <c r="N57" s="1708"/>
      <c r="O57" s="1708"/>
      <c r="P57" s="1708"/>
      <c r="Q57" s="1708"/>
      <c r="R57" s="1708"/>
      <c r="S57" s="1708"/>
      <c r="T57" s="1708"/>
      <c r="U57" s="1708"/>
      <c r="V57" s="1708"/>
      <c r="W57" s="1708"/>
      <c r="X57" s="1712"/>
      <c r="Y57" s="1712"/>
      <c r="Z57" s="1712"/>
      <c r="AA57" s="1712"/>
      <c r="AB57" s="1712"/>
      <c r="AC57" s="1712"/>
      <c r="AD57" s="1712"/>
      <c r="AE57" s="1712"/>
      <c r="AF57" s="1712"/>
      <c r="AG57" s="1712"/>
      <c r="AH57" s="1712"/>
      <c r="AI57" s="1712"/>
      <c r="AJ57" s="1712"/>
      <c r="AK57" s="1712"/>
      <c r="AL57" s="1712"/>
      <c r="AM57" s="1712"/>
      <c r="AN57" s="1712"/>
      <c r="AO57" s="1712"/>
      <c r="AP57" s="1712"/>
      <c r="AQ57" s="1712"/>
      <c r="AR57" s="1712"/>
      <c r="AS57" s="1712"/>
      <c r="AT57" s="1712"/>
      <c r="AU57" s="1712"/>
      <c r="AV57" s="1712"/>
      <c r="AW57" s="1712"/>
      <c r="AX57" s="1713"/>
      <c r="AY57" s="1714" t="str">
        <f t="shared" si="2"/>
        <v/>
      </c>
      <c r="AZ57" s="1714" t="str">
        <f>IF(Obj_PA!D57="","",IF(AY57="","",Obj_PA!D57-AY57))</f>
        <v/>
      </c>
      <c r="BA57" s="150"/>
      <c r="BB57" s="150"/>
      <c r="BC57" s="150"/>
      <c r="BD57" s="150"/>
      <c r="BE57" s="150"/>
      <c r="BF57" s="150"/>
      <c r="BG57" s="150"/>
      <c r="BH57" s="150"/>
      <c r="BI57" s="150"/>
      <c r="BJ57" s="150"/>
      <c r="BK57" s="155" t="str">
        <f t="shared" si="4"/>
        <v/>
      </c>
      <c r="BL57" s="155" t="str">
        <f t="shared" si="5"/>
        <v/>
      </c>
      <c r="BM57" s="155" t="str">
        <f t="shared" si="6"/>
        <v/>
      </c>
      <c r="BN57" s="155" t="str">
        <f t="shared" si="7"/>
        <v/>
      </c>
      <c r="BO57" s="155" t="str">
        <f t="shared" si="8"/>
        <v/>
      </c>
      <c r="BP57" s="155" t="str">
        <f t="shared" si="9"/>
        <v/>
      </c>
      <c r="BQ57" s="155" t="str">
        <f t="shared" si="10"/>
        <v/>
      </c>
      <c r="BR57" s="155" t="str">
        <f t="shared" si="11"/>
        <v/>
      </c>
      <c r="BS57" s="155" t="str">
        <f t="shared" si="12"/>
        <v/>
      </c>
      <c r="BT57" s="155" t="str">
        <f t="shared" si="13"/>
        <v/>
      </c>
      <c r="BU57" s="155" t="str">
        <f t="shared" si="14"/>
        <v/>
      </c>
      <c r="BV57" s="155" t="str">
        <f t="shared" si="15"/>
        <v/>
      </c>
      <c r="BW57" s="155" t="str">
        <f t="shared" si="16"/>
        <v/>
      </c>
      <c r="BX57" s="155" t="str">
        <f t="shared" si="17"/>
        <v/>
      </c>
      <c r="BY57" s="155" t="str">
        <f t="shared" si="18"/>
        <v/>
      </c>
      <c r="BZ57" s="155" t="str">
        <f t="shared" si="19"/>
        <v/>
      </c>
      <c r="CA57" s="155" t="str">
        <f t="shared" si="20"/>
        <v/>
      </c>
      <c r="CB57" s="155" t="str">
        <f t="shared" si="21"/>
        <v/>
      </c>
      <c r="CC57" s="155" t="str">
        <f t="shared" si="22"/>
        <v/>
      </c>
      <c r="CD57" s="155" t="str">
        <f t="shared" si="23"/>
        <v/>
      </c>
      <c r="CE57" s="155" t="str">
        <f t="shared" si="24"/>
        <v/>
      </c>
      <c r="CF57" s="155" t="str">
        <f t="shared" si="25"/>
        <v/>
      </c>
      <c r="CG57" s="155" t="str">
        <f t="shared" si="26"/>
        <v/>
      </c>
      <c r="CH57" s="155" t="str">
        <f t="shared" si="27"/>
        <v/>
      </c>
      <c r="CI57" s="155" t="str">
        <f t="shared" si="28"/>
        <v/>
      </c>
      <c r="CJ57" s="155" t="str">
        <f t="shared" si="29"/>
        <v/>
      </c>
      <c r="CK57" s="155" t="str">
        <f t="shared" si="30"/>
        <v/>
      </c>
      <c r="CL57" s="155" t="str">
        <f t="shared" si="31"/>
        <v/>
      </c>
      <c r="CM57" s="155" t="str">
        <f t="shared" si="32"/>
        <v/>
      </c>
      <c r="CN57" s="155" t="str">
        <f t="shared" si="33"/>
        <v/>
      </c>
      <c r="CO57" s="155" t="str">
        <f t="shared" si="34"/>
        <v/>
      </c>
      <c r="CP57" s="155" t="str">
        <f t="shared" si="35"/>
        <v/>
      </c>
      <c r="CQ57" s="155" t="str">
        <f t="shared" si="36"/>
        <v/>
      </c>
      <c r="CR57" s="155" t="str">
        <f t="shared" si="37"/>
        <v/>
      </c>
      <c r="CS57" s="155" t="str">
        <f t="shared" si="38"/>
        <v/>
      </c>
      <c r="CT57" s="155" t="str">
        <f t="shared" si="39"/>
        <v/>
      </c>
      <c r="CU57" s="155" t="str">
        <f t="shared" si="40"/>
        <v/>
      </c>
      <c r="CV57" s="155" t="str">
        <f t="shared" si="41"/>
        <v/>
      </c>
      <c r="CW57" s="155" t="str">
        <f t="shared" si="42"/>
        <v/>
      </c>
      <c r="CX57" s="155" t="str">
        <f t="shared" si="43"/>
        <v/>
      </c>
    </row>
    <row r="58" spans="1:128" s="151" customFormat="1" ht="14.25" outlineLevel="1" x14ac:dyDescent="0.2">
      <c r="A58" s="158"/>
      <c r="B58" s="157" t="str">
        <f>Services!B58</f>
        <v>02D07</v>
      </c>
      <c r="C58" s="153" t="str">
        <f>Services!C58</f>
        <v>Gestion des archives documentaires</v>
      </c>
      <c r="D58" s="149"/>
      <c r="E58" s="149"/>
      <c r="F58" s="149">
        <f>3*(8*Plans_action!E178+Plans_action!D178)</f>
        <v>0</v>
      </c>
      <c r="G58" s="149">
        <f>4*(8*Plans_action!E48+Plans_action!D48)+4*(8*Plans_action!E178+Plans_action!D178)</f>
        <v>0</v>
      </c>
      <c r="H58" s="149">
        <f>5*(8*Plans_action!E48+Plans_action!D48)</f>
        <v>0</v>
      </c>
      <c r="I58" s="140" t="str">
        <f t="shared" si="0"/>
        <v/>
      </c>
      <c r="J58" s="141" t="str">
        <f t="shared" si="1"/>
        <v/>
      </c>
      <c r="K58" s="142"/>
      <c r="L58" s="142"/>
      <c r="M58" s="1708"/>
      <c r="N58" s="1708"/>
      <c r="O58" s="1708"/>
      <c r="P58" s="1708"/>
      <c r="Q58" s="1708"/>
      <c r="R58" s="1708"/>
      <c r="S58" s="1708"/>
      <c r="T58" s="1708"/>
      <c r="U58" s="1708"/>
      <c r="V58" s="1708"/>
      <c r="W58" s="1708"/>
      <c r="X58" s="1712"/>
      <c r="Y58" s="1712"/>
      <c r="Z58" s="1712"/>
      <c r="AA58" s="1712"/>
      <c r="AB58" s="1712"/>
      <c r="AC58" s="1712"/>
      <c r="AD58" s="1712"/>
      <c r="AE58" s="1712"/>
      <c r="AF58" s="1712"/>
      <c r="AG58" s="1712"/>
      <c r="AH58" s="1712"/>
      <c r="AI58" s="1712"/>
      <c r="AJ58" s="1712"/>
      <c r="AK58" s="1712"/>
      <c r="AL58" s="1712"/>
      <c r="AM58" s="1712"/>
      <c r="AN58" s="1712"/>
      <c r="AO58" s="1712"/>
      <c r="AP58" s="1712"/>
      <c r="AQ58" s="1712"/>
      <c r="AR58" s="1712"/>
      <c r="AS58" s="1712"/>
      <c r="AT58" s="1712"/>
      <c r="AU58" s="1712"/>
      <c r="AV58" s="1712"/>
      <c r="AW58" s="1712"/>
      <c r="AX58" s="1713"/>
      <c r="AY58" s="1714" t="str">
        <f t="shared" si="2"/>
        <v/>
      </c>
      <c r="AZ58" s="1714" t="str">
        <f>IF(Obj_PA!D58="","",IF(AY58="","",Obj_PA!D58-AY58))</f>
        <v/>
      </c>
      <c r="BA58" s="150"/>
      <c r="BB58" s="150"/>
      <c r="BC58" s="150"/>
      <c r="BD58" s="150"/>
      <c r="BE58" s="150"/>
      <c r="BF58" s="150"/>
      <c r="BG58" s="150"/>
      <c r="BH58" s="150"/>
      <c r="BI58" s="150"/>
      <c r="BJ58" s="150"/>
      <c r="BK58" s="155" t="str">
        <f t="shared" si="4"/>
        <v/>
      </c>
      <c r="BL58" s="155" t="str">
        <f t="shared" si="5"/>
        <v/>
      </c>
      <c r="BM58" s="155" t="str">
        <f t="shared" si="6"/>
        <v/>
      </c>
      <c r="BN58" s="155" t="str">
        <f t="shared" si="7"/>
        <v/>
      </c>
      <c r="BO58" s="155" t="str">
        <f t="shared" si="8"/>
        <v/>
      </c>
      <c r="BP58" s="155" t="str">
        <f t="shared" si="9"/>
        <v/>
      </c>
      <c r="BQ58" s="155" t="str">
        <f t="shared" si="10"/>
        <v/>
      </c>
      <c r="BR58" s="155" t="str">
        <f t="shared" si="11"/>
        <v/>
      </c>
      <c r="BS58" s="155" t="str">
        <f t="shared" si="12"/>
        <v/>
      </c>
      <c r="BT58" s="155" t="str">
        <f t="shared" si="13"/>
        <v/>
      </c>
      <c r="BU58" s="155" t="str">
        <f t="shared" si="14"/>
        <v/>
      </c>
      <c r="BV58" s="155" t="str">
        <f t="shared" si="15"/>
        <v/>
      </c>
      <c r="BW58" s="155" t="str">
        <f t="shared" si="16"/>
        <v/>
      </c>
      <c r="BX58" s="155" t="str">
        <f t="shared" si="17"/>
        <v/>
      </c>
      <c r="BY58" s="155" t="str">
        <f t="shared" si="18"/>
        <v/>
      </c>
      <c r="BZ58" s="155" t="str">
        <f t="shared" si="19"/>
        <v/>
      </c>
      <c r="CA58" s="155" t="str">
        <f t="shared" si="20"/>
        <v/>
      </c>
      <c r="CB58" s="155" t="str">
        <f t="shared" si="21"/>
        <v/>
      </c>
      <c r="CC58" s="155" t="str">
        <f t="shared" si="22"/>
        <v/>
      </c>
      <c r="CD58" s="155" t="str">
        <f t="shared" si="23"/>
        <v/>
      </c>
      <c r="CE58" s="155" t="str">
        <f t="shared" si="24"/>
        <v/>
      </c>
      <c r="CF58" s="155" t="str">
        <f t="shared" si="25"/>
        <v/>
      </c>
      <c r="CG58" s="155" t="str">
        <f t="shared" si="26"/>
        <v/>
      </c>
      <c r="CH58" s="155" t="str">
        <f t="shared" si="27"/>
        <v/>
      </c>
      <c r="CI58" s="155" t="str">
        <f t="shared" si="28"/>
        <v/>
      </c>
      <c r="CJ58" s="155" t="str">
        <f t="shared" si="29"/>
        <v/>
      </c>
      <c r="CK58" s="155" t="str">
        <f t="shared" si="30"/>
        <v/>
      </c>
      <c r="CL58" s="155" t="str">
        <f t="shared" si="31"/>
        <v/>
      </c>
      <c r="CM58" s="155" t="str">
        <f t="shared" si="32"/>
        <v/>
      </c>
      <c r="CN58" s="155" t="str">
        <f t="shared" si="33"/>
        <v/>
      </c>
      <c r="CO58" s="155" t="str">
        <f t="shared" si="34"/>
        <v/>
      </c>
      <c r="CP58" s="155" t="str">
        <f t="shared" si="35"/>
        <v/>
      </c>
      <c r="CQ58" s="155" t="str">
        <f t="shared" si="36"/>
        <v/>
      </c>
      <c r="CR58" s="155" t="str">
        <f t="shared" si="37"/>
        <v/>
      </c>
      <c r="CS58" s="155" t="str">
        <f t="shared" si="38"/>
        <v/>
      </c>
      <c r="CT58" s="155" t="str">
        <f t="shared" si="39"/>
        <v/>
      </c>
      <c r="CU58" s="155" t="str">
        <f t="shared" si="40"/>
        <v/>
      </c>
      <c r="CV58" s="155" t="str">
        <f t="shared" si="41"/>
        <v/>
      </c>
      <c r="CW58" s="155" t="str">
        <f t="shared" si="42"/>
        <v/>
      </c>
      <c r="CX58" s="155" t="str">
        <f t="shared" si="43"/>
        <v/>
      </c>
      <c r="DV58" s="151">
        <f>IF(INDEX(Tab_actions,96,1)=1,INDEX(Tab_actions,96,8),0)</f>
        <v>0</v>
      </c>
    </row>
    <row r="59" spans="1:128" ht="15" x14ac:dyDescent="0.2">
      <c r="A59" s="136" t="s">
        <v>3025</v>
      </c>
      <c r="B59" s="2153" t="str">
        <f>Services!B59</f>
        <v>Sécurité des locaux (03 Loc)</v>
      </c>
      <c r="C59" s="2154">
        <v>0</v>
      </c>
      <c r="D59" s="149"/>
      <c r="E59" s="149"/>
      <c r="F59" s="149"/>
      <c r="G59" s="149"/>
      <c r="H59" s="149"/>
      <c r="I59" s="140" t="str">
        <f t="shared" si="0"/>
        <v/>
      </c>
      <c r="J59" s="141" t="str">
        <f t="shared" si="1"/>
        <v/>
      </c>
      <c r="K59" s="142"/>
      <c r="L59" s="142"/>
      <c r="M59" s="1708"/>
      <c r="N59" s="1708"/>
      <c r="O59" s="1708"/>
      <c r="P59" s="1708"/>
      <c r="Q59" s="1708"/>
      <c r="R59" s="1708"/>
      <c r="S59" s="1708"/>
      <c r="T59" s="1708"/>
      <c r="U59" s="1708"/>
      <c r="V59" s="1708"/>
      <c r="W59" s="1708"/>
      <c r="X59" s="1709"/>
      <c r="Y59" s="1709"/>
      <c r="Z59" s="1709"/>
      <c r="AA59" s="1709"/>
      <c r="AB59" s="1709"/>
      <c r="AC59" s="1709"/>
      <c r="AD59" s="1709"/>
      <c r="AE59" s="1709"/>
      <c r="AF59" s="1709"/>
      <c r="AG59" s="1709"/>
      <c r="AH59" s="1709"/>
      <c r="AI59" s="1709"/>
      <c r="AJ59" s="1709"/>
      <c r="AK59" s="1709"/>
      <c r="AL59" s="1709"/>
      <c r="AM59" s="1709"/>
      <c r="AN59" s="1709"/>
      <c r="AO59" s="1709"/>
      <c r="AP59" s="1709"/>
      <c r="AQ59" s="1709"/>
      <c r="AR59" s="1709"/>
      <c r="AS59" s="1709"/>
      <c r="AT59" s="1709"/>
      <c r="AU59" s="1709"/>
      <c r="AV59" s="1709"/>
      <c r="AW59" s="1709"/>
      <c r="AX59" s="1710"/>
      <c r="AY59" s="1714" t="str">
        <f t="shared" si="2"/>
        <v/>
      </c>
      <c r="AZ59" s="1714" t="str">
        <f>IF(Obj_PA!D59="","",IF(AY59="","",Obj_PA!D59-AY59))</f>
        <v/>
      </c>
      <c r="BK59" s="155" t="str">
        <f t="shared" si="4"/>
        <v/>
      </c>
      <c r="BL59" s="155" t="str">
        <f t="shared" si="5"/>
        <v/>
      </c>
      <c r="BM59" s="155" t="str">
        <f t="shared" si="6"/>
        <v/>
      </c>
      <c r="BN59" s="155" t="str">
        <f t="shared" si="7"/>
        <v/>
      </c>
      <c r="BO59" s="155" t="str">
        <f t="shared" si="8"/>
        <v/>
      </c>
      <c r="BP59" s="155" t="str">
        <f t="shared" si="9"/>
        <v/>
      </c>
      <c r="BQ59" s="155" t="str">
        <f t="shared" si="10"/>
        <v/>
      </c>
      <c r="BR59" s="155" t="str">
        <f t="shared" si="11"/>
        <v/>
      </c>
      <c r="BS59" s="155" t="str">
        <f t="shared" si="12"/>
        <v/>
      </c>
      <c r="BT59" s="155" t="str">
        <f t="shared" si="13"/>
        <v/>
      </c>
      <c r="BU59" s="155" t="str">
        <f t="shared" si="14"/>
        <v/>
      </c>
      <c r="BV59" s="155" t="str">
        <f t="shared" si="15"/>
        <v/>
      </c>
      <c r="BW59" s="155" t="str">
        <f t="shared" si="16"/>
        <v/>
      </c>
      <c r="BX59" s="155" t="str">
        <f t="shared" si="17"/>
        <v/>
      </c>
      <c r="BY59" s="155" t="str">
        <f t="shared" si="18"/>
        <v/>
      </c>
      <c r="BZ59" s="155" t="str">
        <f t="shared" si="19"/>
        <v/>
      </c>
      <c r="CA59" s="155" t="str">
        <f t="shared" si="20"/>
        <v/>
      </c>
      <c r="CB59" s="155" t="str">
        <f t="shared" si="21"/>
        <v/>
      </c>
      <c r="CC59" s="155" t="str">
        <f t="shared" si="22"/>
        <v/>
      </c>
      <c r="CD59" s="155" t="str">
        <f t="shared" si="23"/>
        <v/>
      </c>
      <c r="CE59" s="155" t="str">
        <f t="shared" si="24"/>
        <v/>
      </c>
      <c r="CF59" s="155" t="str">
        <f t="shared" si="25"/>
        <v/>
      </c>
      <c r="CG59" s="155" t="str">
        <f t="shared" si="26"/>
        <v/>
      </c>
      <c r="CH59" s="155" t="str">
        <f t="shared" si="27"/>
        <v/>
      </c>
      <c r="CI59" s="155" t="str">
        <f t="shared" si="28"/>
        <v/>
      </c>
      <c r="CJ59" s="155" t="str">
        <f t="shared" si="29"/>
        <v/>
      </c>
      <c r="CK59" s="155" t="str">
        <f t="shared" si="30"/>
        <v/>
      </c>
      <c r="CL59" s="155" t="str">
        <f t="shared" si="31"/>
        <v/>
      </c>
      <c r="CM59" s="155" t="str">
        <f t="shared" si="32"/>
        <v/>
      </c>
      <c r="CN59" s="155" t="str">
        <f t="shared" si="33"/>
        <v/>
      </c>
      <c r="CO59" s="155" t="str">
        <f t="shared" si="34"/>
        <v/>
      </c>
      <c r="CP59" s="155" t="str">
        <f t="shared" si="35"/>
        <v/>
      </c>
      <c r="CQ59" s="155" t="str">
        <f t="shared" si="36"/>
        <v/>
      </c>
      <c r="CR59" s="155" t="str">
        <f t="shared" si="37"/>
        <v/>
      </c>
      <c r="CS59" s="155" t="str">
        <f t="shared" si="38"/>
        <v/>
      </c>
      <c r="CT59" s="155" t="str">
        <f t="shared" si="39"/>
        <v/>
      </c>
      <c r="CU59" s="155" t="str">
        <f t="shared" si="40"/>
        <v/>
      </c>
      <c r="CV59" s="155" t="str">
        <f t="shared" si="41"/>
        <v/>
      </c>
      <c r="CW59" s="155" t="str">
        <f t="shared" si="42"/>
        <v/>
      </c>
      <c r="CX59" s="155" t="str">
        <f t="shared" si="43"/>
        <v/>
      </c>
    </row>
    <row r="60" spans="1:128" s="151" customFormat="1" ht="14.25" outlineLevel="1" x14ac:dyDescent="0.2">
      <c r="A60" s="146"/>
      <c r="B60" s="147" t="str">
        <f>Services!B60</f>
        <v>03A</v>
      </c>
      <c r="C60" s="148" t="str">
        <f>Services!C60</f>
        <v>Services techniques</v>
      </c>
      <c r="D60" s="149"/>
      <c r="E60" s="149"/>
      <c r="F60" s="149"/>
      <c r="G60" s="149"/>
      <c r="H60" s="149"/>
      <c r="I60" s="140" t="str">
        <f t="shared" si="0"/>
        <v/>
      </c>
      <c r="J60" s="141" t="str">
        <f t="shared" si="1"/>
        <v/>
      </c>
      <c r="K60" s="142"/>
      <c r="L60" s="142"/>
      <c r="M60" s="1708"/>
      <c r="N60" s="1708"/>
      <c r="O60" s="1708"/>
      <c r="P60" s="1708"/>
      <c r="Q60" s="1708"/>
      <c r="R60" s="1708"/>
      <c r="S60" s="1708"/>
      <c r="T60" s="1708"/>
      <c r="U60" s="1708"/>
      <c r="V60" s="1708"/>
      <c r="W60" s="1708"/>
      <c r="X60" s="1712"/>
      <c r="Y60" s="1712"/>
      <c r="Z60" s="1712"/>
      <c r="AA60" s="1712"/>
      <c r="AB60" s="1712"/>
      <c r="AC60" s="1712"/>
      <c r="AD60" s="1712"/>
      <c r="AE60" s="1712"/>
      <c r="AF60" s="1712"/>
      <c r="AG60" s="1712"/>
      <c r="AH60" s="1712"/>
      <c r="AI60" s="1712"/>
      <c r="AJ60" s="1712"/>
      <c r="AK60" s="1712"/>
      <c r="AL60" s="1712"/>
      <c r="AM60" s="1712"/>
      <c r="AN60" s="1712"/>
      <c r="AO60" s="1712"/>
      <c r="AP60" s="1712"/>
      <c r="AQ60" s="1712"/>
      <c r="AR60" s="1712"/>
      <c r="AS60" s="1712"/>
      <c r="AT60" s="1712"/>
      <c r="AU60" s="1712"/>
      <c r="AV60" s="1712"/>
      <c r="AW60" s="1712"/>
      <c r="AX60" s="1713"/>
      <c r="AY60" s="1714" t="str">
        <f t="shared" si="2"/>
        <v/>
      </c>
      <c r="AZ60" s="1714" t="str">
        <f>IF(Obj_PA!D60="","",IF(AY60="","",Obj_PA!D60-AY60))</f>
        <v/>
      </c>
      <c r="BA60" s="150"/>
      <c r="BB60" s="150"/>
      <c r="BC60" s="150"/>
      <c r="BD60" s="150"/>
      <c r="BE60" s="150"/>
      <c r="BF60" s="150"/>
      <c r="BG60" s="150"/>
      <c r="BH60" s="150"/>
      <c r="BI60" s="150"/>
      <c r="BJ60" s="150"/>
      <c r="BK60" s="155" t="str">
        <f t="shared" si="4"/>
        <v/>
      </c>
      <c r="BL60" s="155" t="str">
        <f t="shared" si="5"/>
        <v/>
      </c>
      <c r="BM60" s="155" t="str">
        <f t="shared" si="6"/>
        <v/>
      </c>
      <c r="BN60" s="155" t="str">
        <f t="shared" si="7"/>
        <v/>
      </c>
      <c r="BO60" s="155" t="str">
        <f t="shared" si="8"/>
        <v/>
      </c>
      <c r="BP60" s="155" t="str">
        <f t="shared" si="9"/>
        <v/>
      </c>
      <c r="BQ60" s="155" t="str">
        <f t="shared" si="10"/>
        <v/>
      </c>
      <c r="BR60" s="155" t="str">
        <f t="shared" si="11"/>
        <v/>
      </c>
      <c r="BS60" s="155" t="str">
        <f t="shared" si="12"/>
        <v/>
      </c>
      <c r="BT60" s="155" t="str">
        <f t="shared" si="13"/>
        <v/>
      </c>
      <c r="BU60" s="155" t="str">
        <f t="shared" si="14"/>
        <v/>
      </c>
      <c r="BV60" s="155" t="str">
        <f t="shared" si="15"/>
        <v/>
      </c>
      <c r="BW60" s="155" t="str">
        <f t="shared" si="16"/>
        <v/>
      </c>
      <c r="BX60" s="155" t="str">
        <f t="shared" si="17"/>
        <v/>
      </c>
      <c r="BY60" s="155" t="str">
        <f t="shared" si="18"/>
        <v/>
      </c>
      <c r="BZ60" s="155" t="str">
        <f t="shared" si="19"/>
        <v/>
      </c>
      <c r="CA60" s="155" t="str">
        <f t="shared" si="20"/>
        <v/>
      </c>
      <c r="CB60" s="155" t="str">
        <f t="shared" si="21"/>
        <v/>
      </c>
      <c r="CC60" s="155" t="str">
        <f t="shared" si="22"/>
        <v/>
      </c>
      <c r="CD60" s="155" t="str">
        <f t="shared" si="23"/>
        <v/>
      </c>
      <c r="CE60" s="155" t="str">
        <f t="shared" si="24"/>
        <v/>
      </c>
      <c r="CF60" s="155" t="str">
        <f t="shared" si="25"/>
        <v/>
      </c>
      <c r="CG60" s="155" t="str">
        <f t="shared" si="26"/>
        <v/>
      </c>
      <c r="CH60" s="155" t="str">
        <f t="shared" si="27"/>
        <v/>
      </c>
      <c r="CI60" s="155" t="str">
        <f t="shared" si="28"/>
        <v/>
      </c>
      <c r="CJ60" s="155" t="str">
        <f t="shared" si="29"/>
        <v/>
      </c>
      <c r="CK60" s="155" t="str">
        <f t="shared" si="30"/>
        <v/>
      </c>
      <c r="CL60" s="155" t="str">
        <f t="shared" si="31"/>
        <v/>
      </c>
      <c r="CM60" s="155" t="str">
        <f t="shared" si="32"/>
        <v/>
      </c>
      <c r="CN60" s="155" t="str">
        <f t="shared" si="33"/>
        <v/>
      </c>
      <c r="CO60" s="155" t="str">
        <f t="shared" si="34"/>
        <v/>
      </c>
      <c r="CP60" s="155" t="str">
        <f t="shared" si="35"/>
        <v/>
      </c>
      <c r="CQ60" s="155" t="str">
        <f t="shared" si="36"/>
        <v/>
      </c>
      <c r="CR60" s="155" t="str">
        <f t="shared" si="37"/>
        <v/>
      </c>
      <c r="CS60" s="155" t="str">
        <f t="shared" si="38"/>
        <v/>
      </c>
      <c r="CT60" s="155" t="str">
        <f t="shared" si="39"/>
        <v/>
      </c>
      <c r="CU60" s="155" t="str">
        <f t="shared" si="40"/>
        <v/>
      </c>
      <c r="CV60" s="155" t="str">
        <f t="shared" si="41"/>
        <v/>
      </c>
      <c r="CW60" s="155" t="str">
        <f t="shared" si="42"/>
        <v/>
      </c>
      <c r="CX60" s="155" t="str">
        <f t="shared" si="43"/>
        <v/>
      </c>
    </row>
    <row r="61" spans="1:128" s="151" customFormat="1" ht="14.25" outlineLevel="1" x14ac:dyDescent="0.2">
      <c r="A61" s="146"/>
      <c r="B61" s="157" t="str">
        <f>Services!B61</f>
        <v>03A01</v>
      </c>
      <c r="C61" s="153" t="str">
        <f>Services!C61</f>
        <v xml:space="preserve">Qualité de la fourniture de l'énergie </v>
      </c>
      <c r="D61" s="149">
        <f>1*(8*Plans_action!E5+Plans_action!D5)+1*(8*Plans_action!E13+Plans_action!D13)+1*(8*Plans_action!E200+Plans_action!D200)+1*(8*Plans_action!E207+Plans_action!D207)+1*(8*Plans_action!E215+Plans_action!D215)+1*(8*Plans_action!E224+Plans_action!D224)+1*(8*Plans_action!E240+Plans_action!D240)+1*(8*Plans_action!E249+Plans_action!D249)</f>
        <v>0</v>
      </c>
      <c r="E61" s="149">
        <f>2*(8*Plans_action!E21+Plans_action!D21)+2*(8*Plans_action!E193+Plans_action!D193)</f>
        <v>0</v>
      </c>
      <c r="F61" s="149"/>
      <c r="G61" s="149"/>
      <c r="H61" s="149"/>
      <c r="I61" s="140" t="str">
        <f t="shared" si="0"/>
        <v/>
      </c>
      <c r="J61" s="141" t="str">
        <f t="shared" si="1"/>
        <v/>
      </c>
      <c r="K61" s="142"/>
      <c r="L61" s="142"/>
      <c r="M61" s="1708"/>
      <c r="N61" s="1708"/>
      <c r="O61" s="1708"/>
      <c r="P61" s="1708"/>
      <c r="Q61" s="1708"/>
      <c r="R61" s="1708"/>
      <c r="S61" s="1708"/>
      <c r="T61" s="1708"/>
      <c r="U61" s="1708"/>
      <c r="V61" s="1708"/>
      <c r="W61" s="1708"/>
      <c r="X61" s="1712"/>
      <c r="Y61" s="1712"/>
      <c r="Z61" s="1712"/>
      <c r="AA61" s="1712"/>
      <c r="AB61" s="1712"/>
      <c r="AC61" s="1712"/>
      <c r="AD61" s="1712"/>
      <c r="AE61" s="1712"/>
      <c r="AF61" s="1712"/>
      <c r="AG61" s="1712"/>
      <c r="AH61" s="1712"/>
      <c r="AI61" s="1712"/>
      <c r="AJ61" s="1712"/>
      <c r="AK61" s="1712"/>
      <c r="AL61" s="1712"/>
      <c r="AM61" s="1712"/>
      <c r="AN61" s="1712"/>
      <c r="AO61" s="1712"/>
      <c r="AP61" s="1712"/>
      <c r="AQ61" s="1712"/>
      <c r="AR61" s="1712"/>
      <c r="AS61" s="1712"/>
      <c r="AT61" s="1712"/>
      <c r="AU61" s="1712"/>
      <c r="AV61" s="1712"/>
      <c r="AW61" s="1712"/>
      <c r="AX61" s="1713"/>
      <c r="AY61" s="1714" t="str">
        <f t="shared" si="2"/>
        <v/>
      </c>
      <c r="AZ61" s="1714" t="str">
        <f>IF(Obj_PA!D61="","",IF(AY61="","",Obj_PA!D61-AY61))</f>
        <v/>
      </c>
      <c r="BA61" s="150"/>
      <c r="BB61" s="150"/>
      <c r="BC61" s="150"/>
      <c r="BD61" s="150"/>
      <c r="BE61" s="150"/>
      <c r="BF61" s="150"/>
      <c r="BG61" s="150"/>
      <c r="BH61" s="150"/>
      <c r="BI61" s="150"/>
      <c r="BJ61" s="150"/>
      <c r="BK61" s="155" t="str">
        <f t="shared" si="4"/>
        <v/>
      </c>
      <c r="BL61" s="155" t="str">
        <f t="shared" si="5"/>
        <v/>
      </c>
      <c r="BM61" s="155" t="str">
        <f t="shared" si="6"/>
        <v/>
      </c>
      <c r="BN61" s="155" t="str">
        <f t="shared" si="7"/>
        <v/>
      </c>
      <c r="BO61" s="155" t="str">
        <f t="shared" si="8"/>
        <v/>
      </c>
      <c r="BP61" s="155" t="str">
        <f t="shared" si="9"/>
        <v/>
      </c>
      <c r="BQ61" s="155" t="str">
        <f t="shared" si="10"/>
        <v/>
      </c>
      <c r="BR61" s="155" t="str">
        <f t="shared" si="11"/>
        <v/>
      </c>
      <c r="BS61" s="155" t="str">
        <f t="shared" si="12"/>
        <v/>
      </c>
      <c r="BT61" s="155" t="str">
        <f t="shared" si="13"/>
        <v/>
      </c>
      <c r="BU61" s="155" t="str">
        <f t="shared" si="14"/>
        <v/>
      </c>
      <c r="BV61" s="155" t="str">
        <f t="shared" si="15"/>
        <v/>
      </c>
      <c r="BW61" s="155" t="str">
        <f t="shared" si="16"/>
        <v/>
      </c>
      <c r="BX61" s="155" t="str">
        <f t="shared" si="17"/>
        <v/>
      </c>
      <c r="BY61" s="155" t="str">
        <f t="shared" si="18"/>
        <v/>
      </c>
      <c r="BZ61" s="155" t="str">
        <f t="shared" si="19"/>
        <v/>
      </c>
      <c r="CA61" s="155" t="str">
        <f t="shared" si="20"/>
        <v/>
      </c>
      <c r="CB61" s="155" t="str">
        <f t="shared" si="21"/>
        <v/>
      </c>
      <c r="CC61" s="155" t="str">
        <f t="shared" si="22"/>
        <v/>
      </c>
      <c r="CD61" s="155" t="str">
        <f t="shared" si="23"/>
        <v/>
      </c>
      <c r="CE61" s="155" t="str">
        <f t="shared" si="24"/>
        <v/>
      </c>
      <c r="CF61" s="155" t="str">
        <f t="shared" si="25"/>
        <v/>
      </c>
      <c r="CG61" s="155" t="str">
        <f t="shared" si="26"/>
        <v/>
      </c>
      <c r="CH61" s="155" t="str">
        <f t="shared" si="27"/>
        <v/>
      </c>
      <c r="CI61" s="155" t="str">
        <f t="shared" si="28"/>
        <v/>
      </c>
      <c r="CJ61" s="155" t="str">
        <f t="shared" si="29"/>
        <v/>
      </c>
      <c r="CK61" s="155" t="str">
        <f t="shared" si="30"/>
        <v/>
      </c>
      <c r="CL61" s="155" t="str">
        <f t="shared" si="31"/>
        <v/>
      </c>
      <c r="CM61" s="155" t="str">
        <f t="shared" si="32"/>
        <v/>
      </c>
      <c r="CN61" s="155" t="str">
        <f t="shared" si="33"/>
        <v/>
      </c>
      <c r="CO61" s="155" t="str">
        <f t="shared" si="34"/>
        <v/>
      </c>
      <c r="CP61" s="155" t="str">
        <f t="shared" si="35"/>
        <v/>
      </c>
      <c r="CQ61" s="155" t="str">
        <f t="shared" si="36"/>
        <v/>
      </c>
      <c r="CR61" s="155" t="str">
        <f t="shared" si="37"/>
        <v/>
      </c>
      <c r="CS61" s="155" t="str">
        <f t="shared" si="38"/>
        <v/>
      </c>
      <c r="CT61" s="155" t="str">
        <f t="shared" si="39"/>
        <v/>
      </c>
      <c r="CU61" s="155" t="str">
        <f t="shared" si="40"/>
        <v/>
      </c>
      <c r="CV61" s="155" t="str">
        <f t="shared" si="41"/>
        <v/>
      </c>
      <c r="CW61" s="155" t="str">
        <f t="shared" si="42"/>
        <v/>
      </c>
      <c r="CX61" s="155" t="str">
        <f t="shared" si="43"/>
        <v/>
      </c>
      <c r="DV61" s="151">
        <f>IF(INDEX(Tab_actions,40,1)=1,INDEX(Tab_actions,40,4),0)</f>
        <v>0</v>
      </c>
    </row>
    <row r="62" spans="1:128" s="151" customFormat="1" ht="14.25" outlineLevel="1" x14ac:dyDescent="0.2">
      <c r="A62" s="146"/>
      <c r="B62" s="157" t="str">
        <f>Services!B62</f>
        <v>03A02</v>
      </c>
      <c r="C62" s="153" t="str">
        <f>Services!C62</f>
        <v xml:space="preserve">Continuité de la fourniture de l'énergie </v>
      </c>
      <c r="D62" s="149">
        <f>1*(8*Plans_action!E200+Plans_action!D200)+1*(8*Plans_action!E207+Plans_action!D207)+1*(8*Plans_action!E207+Plans_action!D207)</f>
        <v>0</v>
      </c>
      <c r="E62" s="149">
        <f>2*(8*Plans_action!E193+Plans_action!D193)+2*(8*Plans_action!E233+Plans_action!D233)</f>
        <v>0</v>
      </c>
      <c r="F62" s="149"/>
      <c r="G62" s="149">
        <f>4*(8*Plans_action!E188+Plans_action!D188)+4*(8*Plans_action!E215+Plans_action!D215)+4*(8*Plans_action!E240+Plans_action!D240)+4*(8*Plans_action!E249+Plans_action!D249)</f>
        <v>0</v>
      </c>
      <c r="H62" s="149">
        <f>5*(8*Plans_action!E193+Plans_action!D193)+5*(8*Plans_action!E200+Plans_action!D200)+5*(8*Plans_action!E224+Plans_action!D224)</f>
        <v>0</v>
      </c>
      <c r="I62" s="140" t="str">
        <f t="shared" si="0"/>
        <v/>
      </c>
      <c r="J62" s="141" t="str">
        <f t="shared" si="1"/>
        <v/>
      </c>
      <c r="K62" s="142"/>
      <c r="L62" s="142"/>
      <c r="M62" s="1708"/>
      <c r="N62" s="1708"/>
      <c r="O62" s="1708"/>
      <c r="P62" s="1708"/>
      <c r="Q62" s="1708"/>
      <c r="R62" s="1708"/>
      <c r="S62" s="1708"/>
      <c r="T62" s="1708"/>
      <c r="U62" s="1708"/>
      <c r="V62" s="1708"/>
      <c r="W62" s="1708"/>
      <c r="X62" s="1712"/>
      <c r="Y62" s="1712"/>
      <c r="Z62" s="1712"/>
      <c r="AA62" s="1712"/>
      <c r="AB62" s="1712"/>
      <c r="AC62" s="1712"/>
      <c r="AD62" s="1712"/>
      <c r="AE62" s="1712"/>
      <c r="AF62" s="1712"/>
      <c r="AG62" s="1712"/>
      <c r="AH62" s="1712"/>
      <c r="AI62" s="1712"/>
      <c r="AJ62" s="1712"/>
      <c r="AK62" s="1712"/>
      <c r="AL62" s="1712"/>
      <c r="AM62" s="1712"/>
      <c r="AN62" s="1712"/>
      <c r="AO62" s="1712"/>
      <c r="AP62" s="1712"/>
      <c r="AQ62" s="1712"/>
      <c r="AR62" s="1712"/>
      <c r="AS62" s="1712"/>
      <c r="AT62" s="1712"/>
      <c r="AU62" s="1712"/>
      <c r="AV62" s="1712"/>
      <c r="AW62" s="1712"/>
      <c r="AX62" s="1713"/>
      <c r="AY62" s="1714" t="str">
        <f t="shared" si="2"/>
        <v/>
      </c>
      <c r="AZ62" s="1714" t="str">
        <f>IF(Obj_PA!D62="","",IF(AY62="","",Obj_PA!D62-AY62))</f>
        <v/>
      </c>
      <c r="BA62" s="150"/>
      <c r="BB62" s="150"/>
      <c r="BC62" s="150"/>
      <c r="BD62" s="150"/>
      <c r="BE62" s="150"/>
      <c r="BF62" s="150"/>
      <c r="BG62" s="150"/>
      <c r="BH62" s="150"/>
      <c r="BI62" s="150"/>
      <c r="BJ62" s="150"/>
      <c r="BK62" s="155" t="str">
        <f t="shared" si="4"/>
        <v/>
      </c>
      <c r="BL62" s="155" t="str">
        <f t="shared" si="5"/>
        <v/>
      </c>
      <c r="BM62" s="155" t="str">
        <f t="shared" si="6"/>
        <v/>
      </c>
      <c r="BN62" s="155" t="str">
        <f t="shared" si="7"/>
        <v/>
      </c>
      <c r="BO62" s="155" t="str">
        <f t="shared" si="8"/>
        <v/>
      </c>
      <c r="BP62" s="155" t="str">
        <f t="shared" si="9"/>
        <v/>
      </c>
      <c r="BQ62" s="155" t="str">
        <f t="shared" si="10"/>
        <v/>
      </c>
      <c r="BR62" s="155" t="str">
        <f t="shared" si="11"/>
        <v/>
      </c>
      <c r="BS62" s="155" t="str">
        <f t="shared" si="12"/>
        <v/>
      </c>
      <c r="BT62" s="155" t="str">
        <f t="shared" si="13"/>
        <v/>
      </c>
      <c r="BU62" s="155" t="str">
        <f t="shared" si="14"/>
        <v/>
      </c>
      <c r="BV62" s="155" t="str">
        <f t="shared" si="15"/>
        <v/>
      </c>
      <c r="BW62" s="155" t="str">
        <f t="shared" si="16"/>
        <v/>
      </c>
      <c r="BX62" s="155" t="str">
        <f t="shared" si="17"/>
        <v/>
      </c>
      <c r="BY62" s="155" t="str">
        <f t="shared" si="18"/>
        <v/>
      </c>
      <c r="BZ62" s="155" t="str">
        <f t="shared" si="19"/>
        <v/>
      </c>
      <c r="CA62" s="155" t="str">
        <f t="shared" si="20"/>
        <v/>
      </c>
      <c r="CB62" s="155" t="str">
        <f t="shared" si="21"/>
        <v/>
      </c>
      <c r="CC62" s="155" t="str">
        <f t="shared" si="22"/>
        <v/>
      </c>
      <c r="CD62" s="155" t="str">
        <f t="shared" si="23"/>
        <v/>
      </c>
      <c r="CE62" s="155" t="str">
        <f t="shared" si="24"/>
        <v/>
      </c>
      <c r="CF62" s="155" t="str">
        <f t="shared" si="25"/>
        <v/>
      </c>
      <c r="CG62" s="155" t="str">
        <f t="shared" si="26"/>
        <v/>
      </c>
      <c r="CH62" s="155" t="str">
        <f t="shared" si="27"/>
        <v/>
      </c>
      <c r="CI62" s="155" t="str">
        <f t="shared" si="28"/>
        <v/>
      </c>
      <c r="CJ62" s="155" t="str">
        <f t="shared" si="29"/>
        <v/>
      </c>
      <c r="CK62" s="155" t="str">
        <f t="shared" si="30"/>
        <v/>
      </c>
      <c r="CL62" s="155" t="str">
        <f t="shared" si="31"/>
        <v/>
      </c>
      <c r="CM62" s="155" t="str">
        <f t="shared" si="32"/>
        <v/>
      </c>
      <c r="CN62" s="155" t="str">
        <f t="shared" si="33"/>
        <v/>
      </c>
      <c r="CO62" s="155" t="str">
        <f t="shared" si="34"/>
        <v/>
      </c>
      <c r="CP62" s="155" t="str">
        <f t="shared" si="35"/>
        <v/>
      </c>
      <c r="CQ62" s="155" t="str">
        <f t="shared" si="36"/>
        <v/>
      </c>
      <c r="CR62" s="155" t="str">
        <f t="shared" si="37"/>
        <v/>
      </c>
      <c r="CS62" s="155" t="str">
        <f t="shared" si="38"/>
        <v/>
      </c>
      <c r="CT62" s="155" t="str">
        <f t="shared" si="39"/>
        <v/>
      </c>
      <c r="CU62" s="155" t="str">
        <f t="shared" si="40"/>
        <v/>
      </c>
      <c r="CV62" s="155" t="str">
        <f t="shared" si="41"/>
        <v/>
      </c>
      <c r="CW62" s="155" t="str">
        <f t="shared" si="42"/>
        <v/>
      </c>
      <c r="CX62" s="155" t="str">
        <f t="shared" si="43"/>
        <v/>
      </c>
    </row>
    <row r="63" spans="1:128" s="151" customFormat="1" ht="14.25" outlineLevel="1" x14ac:dyDescent="0.2">
      <c r="A63" s="146"/>
      <c r="B63" s="157" t="str">
        <f>Services!B63</f>
        <v>03A03</v>
      </c>
      <c r="C63" s="153" t="str">
        <f>Services!C63</f>
        <v>Sécurité de la climatisation</v>
      </c>
      <c r="D63" s="149"/>
      <c r="E63" s="149"/>
      <c r="F63" s="149"/>
      <c r="G63" s="149">
        <f>4*(8*Plans_action!E215+Plans_action!D215)+4*(8*Plans_action!E240+Plans_action!D240)</f>
        <v>0</v>
      </c>
      <c r="H63" s="149"/>
      <c r="I63" s="140" t="str">
        <f t="shared" si="0"/>
        <v/>
      </c>
      <c r="J63" s="141" t="str">
        <f t="shared" si="1"/>
        <v/>
      </c>
      <c r="K63" s="142"/>
      <c r="L63" s="142"/>
      <c r="M63" s="1708"/>
      <c r="N63" s="1708"/>
      <c r="O63" s="1708"/>
      <c r="P63" s="1708"/>
      <c r="Q63" s="1708"/>
      <c r="R63" s="1708"/>
      <c r="S63" s="1708"/>
      <c r="T63" s="1708"/>
      <c r="U63" s="1708"/>
      <c r="V63" s="1708"/>
      <c r="W63" s="1708"/>
      <c r="X63" s="1712"/>
      <c r="Y63" s="1712"/>
      <c r="Z63" s="1712"/>
      <c r="AA63" s="1712"/>
      <c r="AB63" s="1712"/>
      <c r="AC63" s="1712"/>
      <c r="AD63" s="1712"/>
      <c r="AE63" s="1712"/>
      <c r="AF63" s="1712"/>
      <c r="AG63" s="1712"/>
      <c r="AH63" s="1712"/>
      <c r="AI63" s="1712"/>
      <c r="AJ63" s="1712"/>
      <c r="AK63" s="1712"/>
      <c r="AL63" s="1712"/>
      <c r="AM63" s="1712"/>
      <c r="AN63" s="1712"/>
      <c r="AO63" s="1712"/>
      <c r="AP63" s="1712"/>
      <c r="AQ63" s="1712"/>
      <c r="AR63" s="1712"/>
      <c r="AS63" s="1712"/>
      <c r="AT63" s="1712"/>
      <c r="AU63" s="1712"/>
      <c r="AV63" s="1712"/>
      <c r="AW63" s="1712"/>
      <c r="AX63" s="1713"/>
      <c r="AY63" s="1714" t="str">
        <f t="shared" si="2"/>
        <v/>
      </c>
      <c r="AZ63" s="1714" t="str">
        <f>IF(Obj_PA!D63="","",IF(AY63="","",Obj_PA!D63-AY63))</f>
        <v/>
      </c>
      <c r="BA63" s="150"/>
      <c r="BB63" s="150"/>
      <c r="BC63" s="150"/>
      <c r="BD63" s="150"/>
      <c r="BE63" s="150"/>
      <c r="BF63" s="150"/>
      <c r="BG63" s="150"/>
      <c r="BH63" s="150"/>
      <c r="BI63" s="150"/>
      <c r="BJ63" s="150"/>
      <c r="BK63" s="155" t="str">
        <f t="shared" si="4"/>
        <v/>
      </c>
      <c r="BL63" s="155" t="str">
        <f t="shared" si="5"/>
        <v/>
      </c>
      <c r="BM63" s="155" t="str">
        <f t="shared" si="6"/>
        <v/>
      </c>
      <c r="BN63" s="155" t="str">
        <f t="shared" si="7"/>
        <v/>
      </c>
      <c r="BO63" s="155" t="str">
        <f t="shared" si="8"/>
        <v/>
      </c>
      <c r="BP63" s="155" t="str">
        <f t="shared" si="9"/>
        <v/>
      </c>
      <c r="BQ63" s="155" t="str">
        <f t="shared" si="10"/>
        <v/>
      </c>
      <c r="BR63" s="155" t="str">
        <f t="shared" si="11"/>
        <v/>
      </c>
      <c r="BS63" s="155" t="str">
        <f t="shared" si="12"/>
        <v/>
      </c>
      <c r="BT63" s="155" t="str">
        <f t="shared" si="13"/>
        <v/>
      </c>
      <c r="BU63" s="155" t="str">
        <f t="shared" si="14"/>
        <v/>
      </c>
      <c r="BV63" s="155" t="str">
        <f t="shared" si="15"/>
        <v/>
      </c>
      <c r="BW63" s="155" t="str">
        <f t="shared" si="16"/>
        <v/>
      </c>
      <c r="BX63" s="155" t="str">
        <f t="shared" si="17"/>
        <v/>
      </c>
      <c r="BY63" s="155" t="str">
        <f t="shared" si="18"/>
        <v/>
      </c>
      <c r="BZ63" s="155" t="str">
        <f t="shared" si="19"/>
        <v/>
      </c>
      <c r="CA63" s="155" t="str">
        <f t="shared" si="20"/>
        <v/>
      </c>
      <c r="CB63" s="155" t="str">
        <f t="shared" si="21"/>
        <v/>
      </c>
      <c r="CC63" s="155" t="str">
        <f t="shared" si="22"/>
        <v/>
      </c>
      <c r="CD63" s="155" t="str">
        <f t="shared" si="23"/>
        <v/>
      </c>
      <c r="CE63" s="155" t="str">
        <f t="shared" si="24"/>
        <v/>
      </c>
      <c r="CF63" s="155" t="str">
        <f t="shared" si="25"/>
        <v/>
      </c>
      <c r="CG63" s="155" t="str">
        <f t="shared" si="26"/>
        <v/>
      </c>
      <c r="CH63" s="155" t="str">
        <f t="shared" si="27"/>
        <v/>
      </c>
      <c r="CI63" s="155" t="str">
        <f t="shared" si="28"/>
        <v/>
      </c>
      <c r="CJ63" s="155" t="str">
        <f t="shared" si="29"/>
        <v/>
      </c>
      <c r="CK63" s="155" t="str">
        <f t="shared" si="30"/>
        <v/>
      </c>
      <c r="CL63" s="155" t="str">
        <f t="shared" si="31"/>
        <v/>
      </c>
      <c r="CM63" s="155" t="str">
        <f t="shared" si="32"/>
        <v/>
      </c>
      <c r="CN63" s="155" t="str">
        <f t="shared" si="33"/>
        <v/>
      </c>
      <c r="CO63" s="155" t="str">
        <f t="shared" si="34"/>
        <v/>
      </c>
      <c r="CP63" s="155" t="str">
        <f t="shared" si="35"/>
        <v/>
      </c>
      <c r="CQ63" s="155" t="str">
        <f t="shared" si="36"/>
        <v/>
      </c>
      <c r="CR63" s="155" t="str">
        <f t="shared" si="37"/>
        <v/>
      </c>
      <c r="CS63" s="155" t="str">
        <f t="shared" si="38"/>
        <v/>
      </c>
      <c r="CT63" s="155" t="str">
        <f t="shared" si="39"/>
        <v/>
      </c>
      <c r="CU63" s="155" t="str">
        <f t="shared" si="40"/>
        <v/>
      </c>
      <c r="CV63" s="155" t="str">
        <f t="shared" si="41"/>
        <v/>
      </c>
      <c r="CW63" s="155" t="str">
        <f t="shared" si="42"/>
        <v/>
      </c>
      <c r="CX63" s="155" t="str">
        <f t="shared" si="43"/>
        <v/>
      </c>
    </row>
    <row r="64" spans="1:128" s="151" customFormat="1" ht="14.25" outlineLevel="1" x14ac:dyDescent="0.2">
      <c r="A64" s="146"/>
      <c r="B64" s="157" t="str">
        <f>Services!B64</f>
        <v>03A04</v>
      </c>
      <c r="C64" s="153" t="str">
        <f>Services!C64</f>
        <v>Qualité du câblage</v>
      </c>
      <c r="D64" s="149">
        <f>1*(8*Plans_action!E5+Plans_action!D5)+1*(8*Plans_action!E13+Plans_action!D13)+1*(8*Plans_action!E200+Plans_action!D200)+1*(8*Plans_action!E207+Plans_action!D207)+1*(8*Plans_action!E215+Plans_action!D215)+1*(8*Plans_action!E224+Plans_action!D224)+1*(8*Plans_action!E240+Plans_action!D240)+1*(8*Plans_action!E249+Plans_action!D249)</f>
        <v>0</v>
      </c>
      <c r="E64" s="149">
        <f>2*(8*Plans_action!E21+Plans_action!D21)+2*(8*Plans_action!E193+Plans_action!D193)</f>
        <v>0</v>
      </c>
      <c r="F64" s="149"/>
      <c r="G64" s="149"/>
      <c r="H64" s="149"/>
      <c r="I64" s="140" t="str">
        <f t="shared" si="0"/>
        <v/>
      </c>
      <c r="J64" s="141" t="str">
        <f t="shared" si="1"/>
        <v/>
      </c>
      <c r="K64" s="142"/>
      <c r="L64" s="142"/>
      <c r="M64" s="1708"/>
      <c r="N64" s="1708"/>
      <c r="O64" s="1708"/>
      <c r="P64" s="1708"/>
      <c r="Q64" s="1708"/>
      <c r="R64" s="1708"/>
      <c r="S64" s="1708"/>
      <c r="T64" s="1708"/>
      <c r="U64" s="1708"/>
      <c r="V64" s="1708"/>
      <c r="W64" s="1708"/>
      <c r="X64" s="1712"/>
      <c r="Y64" s="1712"/>
      <c r="Z64" s="1712"/>
      <c r="AA64" s="1712"/>
      <c r="AB64" s="1712"/>
      <c r="AC64" s="1712"/>
      <c r="AD64" s="1712"/>
      <c r="AE64" s="1712"/>
      <c r="AF64" s="1712"/>
      <c r="AG64" s="1712"/>
      <c r="AH64" s="1712"/>
      <c r="AI64" s="1712"/>
      <c r="AJ64" s="1712"/>
      <c r="AK64" s="1712"/>
      <c r="AL64" s="1712"/>
      <c r="AM64" s="1712"/>
      <c r="AN64" s="1712"/>
      <c r="AO64" s="1712"/>
      <c r="AP64" s="1712"/>
      <c r="AQ64" s="1712"/>
      <c r="AR64" s="1712"/>
      <c r="AS64" s="1712"/>
      <c r="AT64" s="1712"/>
      <c r="AU64" s="1712"/>
      <c r="AV64" s="1712"/>
      <c r="AW64" s="1712"/>
      <c r="AX64" s="1713"/>
      <c r="AY64" s="1714" t="str">
        <f t="shared" si="2"/>
        <v/>
      </c>
      <c r="AZ64" s="1714" t="str">
        <f>IF(Obj_PA!D64="","",IF(AY64="","",Obj_PA!D64-AY64))</f>
        <v/>
      </c>
      <c r="BA64" s="150"/>
      <c r="BB64" s="150"/>
      <c r="BC64" s="150"/>
      <c r="BD64" s="150"/>
      <c r="BE64" s="150"/>
      <c r="BF64" s="150"/>
      <c r="BG64" s="150"/>
      <c r="BH64" s="150"/>
      <c r="BI64" s="150"/>
      <c r="BJ64" s="150"/>
      <c r="BK64" s="155" t="str">
        <f t="shared" si="4"/>
        <v/>
      </c>
      <c r="BL64" s="155" t="str">
        <f t="shared" si="5"/>
        <v/>
      </c>
      <c r="BM64" s="155" t="str">
        <f t="shared" si="6"/>
        <v/>
      </c>
      <c r="BN64" s="155" t="str">
        <f t="shared" si="7"/>
        <v/>
      </c>
      <c r="BO64" s="155" t="str">
        <f t="shared" si="8"/>
        <v/>
      </c>
      <c r="BP64" s="155" t="str">
        <f t="shared" si="9"/>
        <v/>
      </c>
      <c r="BQ64" s="155" t="str">
        <f t="shared" si="10"/>
        <v/>
      </c>
      <c r="BR64" s="155" t="str">
        <f t="shared" si="11"/>
        <v/>
      </c>
      <c r="BS64" s="155" t="str">
        <f t="shared" si="12"/>
        <v/>
      </c>
      <c r="BT64" s="155" t="str">
        <f t="shared" si="13"/>
        <v/>
      </c>
      <c r="BU64" s="155" t="str">
        <f t="shared" si="14"/>
        <v/>
      </c>
      <c r="BV64" s="155" t="str">
        <f t="shared" si="15"/>
        <v/>
      </c>
      <c r="BW64" s="155" t="str">
        <f t="shared" si="16"/>
        <v/>
      </c>
      <c r="BX64" s="155" t="str">
        <f t="shared" si="17"/>
        <v/>
      </c>
      <c r="BY64" s="155" t="str">
        <f t="shared" si="18"/>
        <v/>
      </c>
      <c r="BZ64" s="155" t="str">
        <f t="shared" si="19"/>
        <v/>
      </c>
      <c r="CA64" s="155" t="str">
        <f t="shared" si="20"/>
        <v/>
      </c>
      <c r="CB64" s="155" t="str">
        <f t="shared" si="21"/>
        <v/>
      </c>
      <c r="CC64" s="155" t="str">
        <f t="shared" si="22"/>
        <v/>
      </c>
      <c r="CD64" s="155" t="str">
        <f t="shared" si="23"/>
        <v/>
      </c>
      <c r="CE64" s="155" t="str">
        <f t="shared" si="24"/>
        <v/>
      </c>
      <c r="CF64" s="155" t="str">
        <f t="shared" si="25"/>
        <v/>
      </c>
      <c r="CG64" s="155" t="str">
        <f t="shared" si="26"/>
        <v/>
      </c>
      <c r="CH64" s="155" t="str">
        <f t="shared" si="27"/>
        <v/>
      </c>
      <c r="CI64" s="155" t="str">
        <f t="shared" si="28"/>
        <v/>
      </c>
      <c r="CJ64" s="155" t="str">
        <f t="shared" si="29"/>
        <v/>
      </c>
      <c r="CK64" s="155" t="str">
        <f t="shared" si="30"/>
        <v/>
      </c>
      <c r="CL64" s="155" t="str">
        <f t="shared" si="31"/>
        <v/>
      </c>
      <c r="CM64" s="155" t="str">
        <f t="shared" si="32"/>
        <v/>
      </c>
      <c r="CN64" s="155" t="str">
        <f t="shared" si="33"/>
        <v/>
      </c>
      <c r="CO64" s="155" t="str">
        <f t="shared" si="34"/>
        <v/>
      </c>
      <c r="CP64" s="155" t="str">
        <f t="shared" si="35"/>
        <v/>
      </c>
      <c r="CQ64" s="155" t="str">
        <f t="shared" si="36"/>
        <v/>
      </c>
      <c r="CR64" s="155" t="str">
        <f t="shared" si="37"/>
        <v/>
      </c>
      <c r="CS64" s="155" t="str">
        <f t="shared" si="38"/>
        <v/>
      </c>
      <c r="CT64" s="155" t="str">
        <f t="shared" si="39"/>
        <v/>
      </c>
      <c r="CU64" s="155" t="str">
        <f t="shared" si="40"/>
        <v/>
      </c>
      <c r="CV64" s="155" t="str">
        <f t="shared" si="41"/>
        <v/>
      </c>
      <c r="CW64" s="155" t="str">
        <f t="shared" si="42"/>
        <v/>
      </c>
      <c r="CX64" s="155" t="str">
        <f t="shared" si="43"/>
        <v/>
      </c>
      <c r="DV64" s="151">
        <f>IF(INDEX(Tab_actions,40,1)=1,INDEX(Tab_actions,40,6),0)</f>
        <v>0</v>
      </c>
    </row>
    <row r="65" spans="1:126" s="151" customFormat="1" ht="14.25" outlineLevel="1" x14ac:dyDescent="0.2">
      <c r="A65" s="146"/>
      <c r="B65" s="157" t="str">
        <f>Services!B65</f>
        <v>03A05</v>
      </c>
      <c r="C65" s="153" t="str">
        <f>Services!C65</f>
        <v>Protection contre la foudre</v>
      </c>
      <c r="D65" s="149">
        <f>1*(8*Plans_action!E200+Plans_action!D200)+1*(8*Plans_action!E207+Plans_action!D207)+1*(8*Plans_action!E215+Plans_action!D215)+1*(8*Plans_action!E224+Plans_action!D224)+1*(8*Plans_action!E240+Plans_action!D240)+1*(8*Plans_action!E249+Plans_action!D249)</f>
        <v>0</v>
      </c>
      <c r="E65" s="149">
        <f>2*(8*Plans_action!E193+Plans_action!D193)+2*(8*Plans_action!E233+Plans_action!D233)</f>
        <v>0</v>
      </c>
      <c r="F65" s="149"/>
      <c r="G65" s="149"/>
      <c r="H65" s="149"/>
      <c r="I65" s="140" t="str">
        <f t="shared" si="0"/>
        <v/>
      </c>
      <c r="J65" s="141" t="str">
        <f t="shared" si="1"/>
        <v/>
      </c>
      <c r="K65" s="142"/>
      <c r="L65" s="142"/>
      <c r="M65" s="1708"/>
      <c r="N65" s="1708"/>
      <c r="O65" s="1708"/>
      <c r="P65" s="1708"/>
      <c r="Q65" s="1708"/>
      <c r="R65" s="1708"/>
      <c r="S65" s="1708"/>
      <c r="T65" s="1708"/>
      <c r="U65" s="1708"/>
      <c r="V65" s="1708"/>
      <c r="W65" s="1708"/>
      <c r="X65" s="1712"/>
      <c r="Y65" s="1712"/>
      <c r="Z65" s="1712"/>
      <c r="AA65" s="1712"/>
      <c r="AB65" s="1712"/>
      <c r="AC65" s="1712"/>
      <c r="AD65" s="1712"/>
      <c r="AE65" s="1712"/>
      <c r="AF65" s="1712"/>
      <c r="AG65" s="1712"/>
      <c r="AH65" s="1712"/>
      <c r="AI65" s="1712"/>
      <c r="AJ65" s="1712"/>
      <c r="AK65" s="1712"/>
      <c r="AL65" s="1712"/>
      <c r="AM65" s="1712"/>
      <c r="AN65" s="1712"/>
      <c r="AO65" s="1712"/>
      <c r="AP65" s="1712"/>
      <c r="AQ65" s="1712"/>
      <c r="AR65" s="1712"/>
      <c r="AS65" s="1712"/>
      <c r="AT65" s="1712"/>
      <c r="AU65" s="1712"/>
      <c r="AV65" s="1712"/>
      <c r="AW65" s="1712"/>
      <c r="AX65" s="1713"/>
      <c r="AY65" s="1714" t="str">
        <f t="shared" si="2"/>
        <v/>
      </c>
      <c r="AZ65" s="1714" t="str">
        <f>IF(Obj_PA!D65="","",IF(AY65="","",Obj_PA!D65-AY65))</f>
        <v/>
      </c>
      <c r="BA65" s="150"/>
      <c r="BB65" s="150"/>
      <c r="BC65" s="150"/>
      <c r="BD65" s="150"/>
      <c r="BE65" s="150"/>
      <c r="BF65" s="150"/>
      <c r="BG65" s="150"/>
      <c r="BH65" s="150"/>
      <c r="BI65" s="150"/>
      <c r="BJ65" s="150"/>
      <c r="BK65" s="155" t="str">
        <f t="shared" si="4"/>
        <v/>
      </c>
      <c r="BL65" s="155" t="str">
        <f t="shared" si="5"/>
        <v/>
      </c>
      <c r="BM65" s="155" t="str">
        <f t="shared" si="6"/>
        <v/>
      </c>
      <c r="BN65" s="155" t="str">
        <f t="shared" si="7"/>
        <v/>
      </c>
      <c r="BO65" s="155" t="str">
        <f t="shared" si="8"/>
        <v/>
      </c>
      <c r="BP65" s="155" t="str">
        <f t="shared" si="9"/>
        <v/>
      </c>
      <c r="BQ65" s="155" t="str">
        <f t="shared" si="10"/>
        <v/>
      </c>
      <c r="BR65" s="155" t="str">
        <f t="shared" si="11"/>
        <v/>
      </c>
      <c r="BS65" s="155" t="str">
        <f t="shared" si="12"/>
        <v/>
      </c>
      <c r="BT65" s="155" t="str">
        <f t="shared" si="13"/>
        <v/>
      </c>
      <c r="BU65" s="155" t="str">
        <f t="shared" si="14"/>
        <v/>
      </c>
      <c r="BV65" s="155" t="str">
        <f t="shared" si="15"/>
        <v/>
      </c>
      <c r="BW65" s="155" t="str">
        <f t="shared" si="16"/>
        <v/>
      </c>
      <c r="BX65" s="155" t="str">
        <f t="shared" si="17"/>
        <v/>
      </c>
      <c r="BY65" s="155" t="str">
        <f t="shared" si="18"/>
        <v/>
      </c>
      <c r="BZ65" s="155" t="str">
        <f t="shared" si="19"/>
        <v/>
      </c>
      <c r="CA65" s="155" t="str">
        <f t="shared" si="20"/>
        <v/>
      </c>
      <c r="CB65" s="155" t="str">
        <f t="shared" si="21"/>
        <v/>
      </c>
      <c r="CC65" s="155" t="str">
        <f t="shared" si="22"/>
        <v/>
      </c>
      <c r="CD65" s="155" t="str">
        <f t="shared" si="23"/>
        <v/>
      </c>
      <c r="CE65" s="155" t="str">
        <f t="shared" si="24"/>
        <v/>
      </c>
      <c r="CF65" s="155" t="str">
        <f t="shared" si="25"/>
        <v/>
      </c>
      <c r="CG65" s="155" t="str">
        <f t="shared" si="26"/>
        <v/>
      </c>
      <c r="CH65" s="155" t="str">
        <f t="shared" si="27"/>
        <v/>
      </c>
      <c r="CI65" s="155" t="str">
        <f t="shared" si="28"/>
        <v/>
      </c>
      <c r="CJ65" s="155" t="str">
        <f t="shared" si="29"/>
        <v/>
      </c>
      <c r="CK65" s="155" t="str">
        <f t="shared" si="30"/>
        <v/>
      </c>
      <c r="CL65" s="155" t="str">
        <f t="shared" si="31"/>
        <v/>
      </c>
      <c r="CM65" s="155" t="str">
        <f t="shared" si="32"/>
        <v/>
      </c>
      <c r="CN65" s="155" t="str">
        <f t="shared" si="33"/>
        <v/>
      </c>
      <c r="CO65" s="155" t="str">
        <f t="shared" si="34"/>
        <v/>
      </c>
      <c r="CP65" s="155" t="str">
        <f t="shared" si="35"/>
        <v/>
      </c>
      <c r="CQ65" s="155" t="str">
        <f t="shared" si="36"/>
        <v/>
      </c>
      <c r="CR65" s="155" t="str">
        <f t="shared" si="37"/>
        <v/>
      </c>
      <c r="CS65" s="155" t="str">
        <f t="shared" si="38"/>
        <v/>
      </c>
      <c r="CT65" s="155" t="str">
        <f t="shared" si="39"/>
        <v/>
      </c>
      <c r="CU65" s="155" t="str">
        <f t="shared" si="40"/>
        <v/>
      </c>
      <c r="CV65" s="155" t="str">
        <f t="shared" si="41"/>
        <v/>
      </c>
      <c r="CW65" s="155" t="str">
        <f t="shared" si="42"/>
        <v/>
      </c>
      <c r="CX65" s="155" t="str">
        <f t="shared" si="43"/>
        <v/>
      </c>
    </row>
    <row r="66" spans="1:126" s="151" customFormat="1" ht="14.25" outlineLevel="1" x14ac:dyDescent="0.2">
      <c r="A66" s="146"/>
      <c r="B66" s="157" t="str">
        <f>Services!B66</f>
        <v>03A06</v>
      </c>
      <c r="C66" s="153" t="str">
        <f>Services!C66</f>
        <v>Sécurité des équipements de servitude</v>
      </c>
      <c r="D66" s="149">
        <f>1*(8*Plans_action!E207+Plans_action!D207)</f>
        <v>0</v>
      </c>
      <c r="E66" s="149"/>
      <c r="F66" s="149"/>
      <c r="G66" s="149">
        <f>4*(8*Plans_action!E215+Plans_action!D215)+4*(8*Plans_action!E240+Plans_action!D240)+4*(8*Plans_action!E249+Plans_action!D249)</f>
        <v>0</v>
      </c>
      <c r="H66" s="149">
        <f>5*(8*Plans_action!E193+Plans_action!D193)+5*(8*Plans_action!E200+Plans_action!D200)+5*(8*Plans_action!E224+Plans_action!D224)</f>
        <v>0</v>
      </c>
      <c r="I66" s="140" t="str">
        <f t="shared" si="0"/>
        <v/>
      </c>
      <c r="J66" s="141" t="str">
        <f t="shared" si="1"/>
        <v/>
      </c>
      <c r="K66" s="142"/>
      <c r="L66" s="142"/>
      <c r="M66" s="1708"/>
      <c r="N66" s="1708"/>
      <c r="O66" s="1708"/>
      <c r="P66" s="1708"/>
      <c r="Q66" s="1708"/>
      <c r="R66" s="1708"/>
      <c r="S66" s="1708"/>
      <c r="T66" s="1708"/>
      <c r="U66" s="1708"/>
      <c r="V66" s="1708"/>
      <c r="W66" s="1708"/>
      <c r="X66" s="1712"/>
      <c r="Y66" s="1712"/>
      <c r="Z66" s="1712"/>
      <c r="AA66" s="1712"/>
      <c r="AB66" s="1712"/>
      <c r="AC66" s="1712"/>
      <c r="AD66" s="1712"/>
      <c r="AE66" s="1712"/>
      <c r="AF66" s="1712"/>
      <c r="AG66" s="1712"/>
      <c r="AH66" s="1712"/>
      <c r="AI66" s="1712"/>
      <c r="AJ66" s="1712"/>
      <c r="AK66" s="1712"/>
      <c r="AL66" s="1712"/>
      <c r="AM66" s="1712"/>
      <c r="AN66" s="1712"/>
      <c r="AO66" s="1712"/>
      <c r="AP66" s="1712"/>
      <c r="AQ66" s="1712"/>
      <c r="AR66" s="1712"/>
      <c r="AS66" s="1712"/>
      <c r="AT66" s="1712"/>
      <c r="AU66" s="1712"/>
      <c r="AV66" s="1712"/>
      <c r="AW66" s="1712"/>
      <c r="AX66" s="1713"/>
      <c r="AY66" s="1714" t="str">
        <f t="shared" si="2"/>
        <v/>
      </c>
      <c r="AZ66" s="1714" t="str">
        <f>IF(Obj_PA!D66="","",IF(AY66="","",Obj_PA!D66-AY66))</f>
        <v/>
      </c>
      <c r="BA66" s="150"/>
      <c r="BB66" s="150"/>
      <c r="BC66" s="150"/>
      <c r="BD66" s="150"/>
      <c r="BE66" s="150"/>
      <c r="BF66" s="150"/>
      <c r="BG66" s="150"/>
      <c r="BH66" s="150"/>
      <c r="BI66" s="150"/>
      <c r="BJ66" s="150"/>
      <c r="BK66" s="155" t="str">
        <f t="shared" si="4"/>
        <v/>
      </c>
      <c r="BL66" s="155" t="str">
        <f t="shared" si="5"/>
        <v/>
      </c>
      <c r="BM66" s="155" t="str">
        <f t="shared" si="6"/>
        <v/>
      </c>
      <c r="BN66" s="155" t="str">
        <f t="shared" si="7"/>
        <v/>
      </c>
      <c r="BO66" s="155" t="str">
        <f t="shared" si="8"/>
        <v/>
      </c>
      <c r="BP66" s="155" t="str">
        <f t="shared" si="9"/>
        <v/>
      </c>
      <c r="BQ66" s="155" t="str">
        <f t="shared" si="10"/>
        <v/>
      </c>
      <c r="BR66" s="155" t="str">
        <f t="shared" si="11"/>
        <v/>
      </c>
      <c r="BS66" s="155" t="str">
        <f t="shared" si="12"/>
        <v/>
      </c>
      <c r="BT66" s="155" t="str">
        <f t="shared" si="13"/>
        <v/>
      </c>
      <c r="BU66" s="155" t="str">
        <f t="shared" si="14"/>
        <v/>
      </c>
      <c r="BV66" s="155" t="str">
        <f t="shared" si="15"/>
        <v/>
      </c>
      <c r="BW66" s="155" t="str">
        <f t="shared" si="16"/>
        <v/>
      </c>
      <c r="BX66" s="155" t="str">
        <f t="shared" si="17"/>
        <v/>
      </c>
      <c r="BY66" s="155" t="str">
        <f t="shared" si="18"/>
        <v/>
      </c>
      <c r="BZ66" s="155" t="str">
        <f t="shared" si="19"/>
        <v/>
      </c>
      <c r="CA66" s="155" t="str">
        <f t="shared" si="20"/>
        <v/>
      </c>
      <c r="CB66" s="155" t="str">
        <f t="shared" si="21"/>
        <v/>
      </c>
      <c r="CC66" s="155" t="str">
        <f t="shared" si="22"/>
        <v/>
      </c>
      <c r="CD66" s="155" t="str">
        <f t="shared" si="23"/>
        <v/>
      </c>
      <c r="CE66" s="155" t="str">
        <f t="shared" si="24"/>
        <v/>
      </c>
      <c r="CF66" s="155" t="str">
        <f t="shared" si="25"/>
        <v/>
      </c>
      <c r="CG66" s="155" t="str">
        <f t="shared" si="26"/>
        <v/>
      </c>
      <c r="CH66" s="155" t="str">
        <f t="shared" si="27"/>
        <v/>
      </c>
      <c r="CI66" s="155" t="str">
        <f t="shared" si="28"/>
        <v/>
      </c>
      <c r="CJ66" s="155" t="str">
        <f t="shared" si="29"/>
        <v/>
      </c>
      <c r="CK66" s="155" t="str">
        <f t="shared" si="30"/>
        <v/>
      </c>
      <c r="CL66" s="155" t="str">
        <f t="shared" si="31"/>
        <v/>
      </c>
      <c r="CM66" s="155" t="str">
        <f t="shared" si="32"/>
        <v/>
      </c>
      <c r="CN66" s="155" t="str">
        <f t="shared" si="33"/>
        <v/>
      </c>
      <c r="CO66" s="155" t="str">
        <f t="shared" si="34"/>
        <v/>
      </c>
      <c r="CP66" s="155" t="str">
        <f t="shared" si="35"/>
        <v/>
      </c>
      <c r="CQ66" s="155" t="str">
        <f t="shared" si="36"/>
        <v/>
      </c>
      <c r="CR66" s="155" t="str">
        <f t="shared" si="37"/>
        <v/>
      </c>
      <c r="CS66" s="155" t="str">
        <f t="shared" si="38"/>
        <v/>
      </c>
      <c r="CT66" s="155" t="str">
        <f t="shared" si="39"/>
        <v/>
      </c>
      <c r="CU66" s="155" t="str">
        <f t="shared" si="40"/>
        <v/>
      </c>
      <c r="CV66" s="155" t="str">
        <f t="shared" si="41"/>
        <v/>
      </c>
      <c r="CW66" s="155" t="str">
        <f t="shared" si="42"/>
        <v/>
      </c>
      <c r="CX66" s="155" t="str">
        <f t="shared" si="43"/>
        <v/>
      </c>
    </row>
    <row r="67" spans="1:126" s="151" customFormat="1" ht="25.5" outlineLevel="1" x14ac:dyDescent="0.2">
      <c r="A67" s="146"/>
      <c r="B67" s="147" t="str">
        <f>Services!B67</f>
        <v>03B</v>
      </c>
      <c r="C67" s="148" t="str">
        <f>Services!C67</f>
        <v>Contrôle d'accès aux locaux sensibles (hors zones de bureaux)</v>
      </c>
      <c r="D67" s="149"/>
      <c r="E67" s="149"/>
      <c r="F67" s="149"/>
      <c r="G67" s="149"/>
      <c r="H67" s="149"/>
      <c r="I67" s="140" t="str">
        <f t="shared" si="0"/>
        <v/>
      </c>
      <c r="J67" s="141" t="str">
        <f t="shared" si="1"/>
        <v/>
      </c>
      <c r="K67" s="142"/>
      <c r="L67" s="142"/>
      <c r="M67" s="1708"/>
      <c r="N67" s="1708"/>
      <c r="O67" s="1708"/>
      <c r="P67" s="1708"/>
      <c r="Q67" s="1708"/>
      <c r="R67" s="1708"/>
      <c r="S67" s="1708"/>
      <c r="T67" s="1708"/>
      <c r="U67" s="1708"/>
      <c r="V67" s="1708"/>
      <c r="W67" s="1708"/>
      <c r="X67" s="1712"/>
      <c r="Y67" s="1712"/>
      <c r="Z67" s="1712"/>
      <c r="AA67" s="1712"/>
      <c r="AB67" s="1712"/>
      <c r="AC67" s="1712"/>
      <c r="AD67" s="1712"/>
      <c r="AE67" s="1712"/>
      <c r="AF67" s="1712"/>
      <c r="AG67" s="1712"/>
      <c r="AH67" s="1712"/>
      <c r="AI67" s="1712"/>
      <c r="AJ67" s="1712"/>
      <c r="AK67" s="1712"/>
      <c r="AL67" s="1712"/>
      <c r="AM67" s="1712"/>
      <c r="AN67" s="1712"/>
      <c r="AO67" s="1712"/>
      <c r="AP67" s="1712"/>
      <c r="AQ67" s="1712"/>
      <c r="AR67" s="1712"/>
      <c r="AS67" s="1712"/>
      <c r="AT67" s="1712"/>
      <c r="AU67" s="1712"/>
      <c r="AV67" s="1712"/>
      <c r="AW67" s="1712"/>
      <c r="AX67" s="1713"/>
      <c r="AY67" s="1714" t="str">
        <f t="shared" si="2"/>
        <v/>
      </c>
      <c r="AZ67" s="1714" t="str">
        <f>IF(Obj_PA!D67="","",IF(AY67="","",Obj_PA!D67-AY67))</f>
        <v/>
      </c>
      <c r="BA67" s="150"/>
      <c r="BB67" s="150"/>
      <c r="BC67" s="150"/>
      <c r="BD67" s="150"/>
      <c r="BE67" s="150"/>
      <c r="BF67" s="150"/>
      <c r="BG67" s="150"/>
      <c r="BH67" s="150"/>
      <c r="BI67" s="150"/>
      <c r="BJ67" s="150"/>
      <c r="BK67" s="155" t="str">
        <f t="shared" si="4"/>
        <v/>
      </c>
      <c r="BL67" s="155" t="str">
        <f t="shared" si="5"/>
        <v/>
      </c>
      <c r="BM67" s="155" t="str">
        <f t="shared" si="6"/>
        <v/>
      </c>
      <c r="BN67" s="155" t="str">
        <f t="shared" si="7"/>
        <v/>
      </c>
      <c r="BO67" s="155" t="str">
        <f t="shared" si="8"/>
        <v/>
      </c>
      <c r="BP67" s="155" t="str">
        <f t="shared" si="9"/>
        <v/>
      </c>
      <c r="BQ67" s="155" t="str">
        <f t="shared" si="10"/>
        <v/>
      </c>
      <c r="BR67" s="155" t="str">
        <f t="shared" si="11"/>
        <v/>
      </c>
      <c r="BS67" s="155" t="str">
        <f t="shared" si="12"/>
        <v/>
      </c>
      <c r="BT67" s="155" t="str">
        <f t="shared" si="13"/>
        <v/>
      </c>
      <c r="BU67" s="155" t="str">
        <f t="shared" si="14"/>
        <v/>
      </c>
      <c r="BV67" s="155" t="str">
        <f t="shared" si="15"/>
        <v/>
      </c>
      <c r="BW67" s="155" t="str">
        <f t="shared" si="16"/>
        <v/>
      </c>
      <c r="BX67" s="155" t="str">
        <f t="shared" si="17"/>
        <v/>
      </c>
      <c r="BY67" s="155" t="str">
        <f t="shared" si="18"/>
        <v/>
      </c>
      <c r="BZ67" s="155" t="str">
        <f t="shared" si="19"/>
        <v/>
      </c>
      <c r="CA67" s="155" t="str">
        <f t="shared" si="20"/>
        <v/>
      </c>
      <c r="CB67" s="155" t="str">
        <f t="shared" si="21"/>
        <v/>
      </c>
      <c r="CC67" s="155" t="str">
        <f t="shared" si="22"/>
        <v/>
      </c>
      <c r="CD67" s="155" t="str">
        <f t="shared" si="23"/>
        <v/>
      </c>
      <c r="CE67" s="155" t="str">
        <f t="shared" si="24"/>
        <v/>
      </c>
      <c r="CF67" s="155" t="str">
        <f t="shared" si="25"/>
        <v/>
      </c>
      <c r="CG67" s="155" t="str">
        <f t="shared" si="26"/>
        <v/>
      </c>
      <c r="CH67" s="155" t="str">
        <f t="shared" si="27"/>
        <v/>
      </c>
      <c r="CI67" s="155" t="str">
        <f t="shared" si="28"/>
        <v/>
      </c>
      <c r="CJ67" s="155" t="str">
        <f t="shared" si="29"/>
        <v/>
      </c>
      <c r="CK67" s="155" t="str">
        <f t="shared" si="30"/>
        <v/>
      </c>
      <c r="CL67" s="155" t="str">
        <f t="shared" si="31"/>
        <v/>
      </c>
      <c r="CM67" s="155" t="str">
        <f t="shared" si="32"/>
        <v/>
      </c>
      <c r="CN67" s="155" t="str">
        <f t="shared" si="33"/>
        <v/>
      </c>
      <c r="CO67" s="155" t="str">
        <f t="shared" si="34"/>
        <v/>
      </c>
      <c r="CP67" s="155" t="str">
        <f t="shared" si="35"/>
        <v/>
      </c>
      <c r="CQ67" s="155" t="str">
        <f t="shared" si="36"/>
        <v/>
      </c>
      <c r="CR67" s="155" t="str">
        <f t="shared" si="37"/>
        <v/>
      </c>
      <c r="CS67" s="155" t="str">
        <f t="shared" si="38"/>
        <v/>
      </c>
      <c r="CT67" s="155" t="str">
        <f t="shared" si="39"/>
        <v/>
      </c>
      <c r="CU67" s="155" t="str">
        <f t="shared" si="40"/>
        <v/>
      </c>
      <c r="CV67" s="155" t="str">
        <f t="shared" si="41"/>
        <v/>
      </c>
      <c r="CW67" s="155" t="str">
        <f t="shared" si="42"/>
        <v/>
      </c>
      <c r="CX67" s="155" t="str">
        <f t="shared" si="43"/>
        <v/>
      </c>
    </row>
    <row r="68" spans="1:126" s="151" customFormat="1" ht="14.25" outlineLevel="1" x14ac:dyDescent="0.2">
      <c r="A68" s="146"/>
      <c r="B68" s="157" t="str">
        <f>Services!B68</f>
        <v>03B01</v>
      </c>
      <c r="C68" s="153" t="str">
        <f>Services!C68</f>
        <v>Gestion des droits d'accès aux locaux sensibles</v>
      </c>
      <c r="D68" s="149">
        <f>1*(8*Plans_action!E193+Plans_action!D193)+1*(8*Plans_action!E200+Plans_action!D200)+1*(8*Plans_action!E207+Plans_action!D207)+1*(8*Plans_action!E215+Plans_action!D215)+1*(8*Plans_action!E224+Plans_action!D224)+1*(8*Plans_action!E233+Plans_action!D233)+1*(8*Plans_action!E240+Plans_action!D240)+1*(8*Plans_action!E249+Plans_action!D249)</f>
        <v>0</v>
      </c>
      <c r="E68" s="149">
        <f>2*(8*Plans_action!E273+Plans_action!D273)+2*(8*Plans_action!E290+Plans_action!D290)</f>
        <v>0</v>
      </c>
      <c r="F68" s="149"/>
      <c r="G68" s="149"/>
      <c r="H68" s="149"/>
      <c r="I68" s="140" t="str">
        <f t="shared" si="0"/>
        <v/>
      </c>
      <c r="J68" s="141" t="str">
        <f t="shared" si="1"/>
        <v/>
      </c>
      <c r="K68" s="142"/>
      <c r="L68" s="142"/>
      <c r="M68" s="1708"/>
      <c r="N68" s="1708"/>
      <c r="O68" s="1708"/>
      <c r="P68" s="1708"/>
      <c r="Q68" s="1708"/>
      <c r="R68" s="1708"/>
      <c r="S68" s="1708"/>
      <c r="T68" s="1708"/>
      <c r="U68" s="1708"/>
      <c r="V68" s="1708"/>
      <c r="W68" s="1708"/>
      <c r="X68" s="1712"/>
      <c r="Y68" s="1712"/>
      <c r="Z68" s="1712"/>
      <c r="AA68" s="1712"/>
      <c r="AB68" s="1712"/>
      <c r="AC68" s="1712"/>
      <c r="AD68" s="1712"/>
      <c r="AE68" s="1712"/>
      <c r="AF68" s="1712"/>
      <c r="AG68" s="1712"/>
      <c r="AH68" s="1712"/>
      <c r="AI68" s="1712"/>
      <c r="AJ68" s="1712"/>
      <c r="AK68" s="1712"/>
      <c r="AL68" s="1712"/>
      <c r="AM68" s="1712"/>
      <c r="AN68" s="1712"/>
      <c r="AO68" s="1712"/>
      <c r="AP68" s="1712"/>
      <c r="AQ68" s="1712"/>
      <c r="AR68" s="1712"/>
      <c r="AS68" s="1712"/>
      <c r="AT68" s="1712"/>
      <c r="AU68" s="1712"/>
      <c r="AV68" s="1712"/>
      <c r="AW68" s="1712"/>
      <c r="AX68" s="1713"/>
      <c r="AY68" s="1714" t="str">
        <f t="shared" si="2"/>
        <v/>
      </c>
      <c r="AZ68" s="1714" t="str">
        <f>IF(Obj_PA!D68="","",IF(AY68="","",Obj_PA!D68-AY68))</f>
        <v/>
      </c>
      <c r="BA68" s="150"/>
      <c r="BB68" s="150"/>
      <c r="BC68" s="150"/>
      <c r="BD68" s="150"/>
      <c r="BE68" s="150"/>
      <c r="BF68" s="150"/>
      <c r="BG68" s="150"/>
      <c r="BH68" s="150"/>
      <c r="BI68" s="150"/>
      <c r="BJ68" s="150"/>
      <c r="BK68" s="155" t="str">
        <f t="shared" si="4"/>
        <v/>
      </c>
      <c r="BL68" s="155" t="str">
        <f t="shared" si="5"/>
        <v/>
      </c>
      <c r="BM68" s="155" t="str">
        <f t="shared" si="6"/>
        <v/>
      </c>
      <c r="BN68" s="155" t="str">
        <f t="shared" si="7"/>
        <v/>
      </c>
      <c r="BO68" s="155" t="str">
        <f t="shared" si="8"/>
        <v/>
      </c>
      <c r="BP68" s="155" t="str">
        <f t="shared" si="9"/>
        <v/>
      </c>
      <c r="BQ68" s="155" t="str">
        <f t="shared" si="10"/>
        <v/>
      </c>
      <c r="BR68" s="155" t="str">
        <f t="shared" si="11"/>
        <v/>
      </c>
      <c r="BS68" s="155" t="str">
        <f t="shared" si="12"/>
        <v/>
      </c>
      <c r="BT68" s="155" t="str">
        <f t="shared" si="13"/>
        <v/>
      </c>
      <c r="BU68" s="155" t="str">
        <f t="shared" si="14"/>
        <v/>
      </c>
      <c r="BV68" s="155" t="str">
        <f t="shared" si="15"/>
        <v/>
      </c>
      <c r="BW68" s="155" t="str">
        <f t="shared" si="16"/>
        <v/>
      </c>
      <c r="BX68" s="155" t="str">
        <f t="shared" si="17"/>
        <v/>
      </c>
      <c r="BY68" s="155" t="str">
        <f t="shared" si="18"/>
        <v/>
      </c>
      <c r="BZ68" s="155" t="str">
        <f t="shared" si="19"/>
        <v/>
      </c>
      <c r="CA68" s="155" t="str">
        <f t="shared" si="20"/>
        <v/>
      </c>
      <c r="CB68" s="155" t="str">
        <f t="shared" si="21"/>
        <v/>
      </c>
      <c r="CC68" s="155" t="str">
        <f t="shared" si="22"/>
        <v/>
      </c>
      <c r="CD68" s="155" t="str">
        <f t="shared" si="23"/>
        <v/>
      </c>
      <c r="CE68" s="155" t="str">
        <f t="shared" si="24"/>
        <v/>
      </c>
      <c r="CF68" s="155" t="str">
        <f t="shared" si="25"/>
        <v/>
      </c>
      <c r="CG68" s="155" t="str">
        <f t="shared" si="26"/>
        <v/>
      </c>
      <c r="CH68" s="155" t="str">
        <f t="shared" si="27"/>
        <v/>
      </c>
      <c r="CI68" s="155" t="str">
        <f t="shared" si="28"/>
        <v/>
      </c>
      <c r="CJ68" s="155" t="str">
        <f t="shared" si="29"/>
        <v/>
      </c>
      <c r="CK68" s="155" t="str">
        <f t="shared" si="30"/>
        <v/>
      </c>
      <c r="CL68" s="155" t="str">
        <f t="shared" si="31"/>
        <v/>
      </c>
      <c r="CM68" s="155" t="str">
        <f t="shared" si="32"/>
        <v/>
      </c>
      <c r="CN68" s="155" t="str">
        <f t="shared" si="33"/>
        <v/>
      </c>
      <c r="CO68" s="155" t="str">
        <f t="shared" si="34"/>
        <v/>
      </c>
      <c r="CP68" s="155" t="str">
        <f t="shared" si="35"/>
        <v/>
      </c>
      <c r="CQ68" s="155" t="str">
        <f t="shared" si="36"/>
        <v/>
      </c>
      <c r="CR68" s="155" t="str">
        <f t="shared" si="37"/>
        <v/>
      </c>
      <c r="CS68" s="155" t="str">
        <f t="shared" si="38"/>
        <v/>
      </c>
      <c r="CT68" s="155" t="str">
        <f t="shared" si="39"/>
        <v/>
      </c>
      <c r="CU68" s="155" t="str">
        <f t="shared" si="40"/>
        <v/>
      </c>
      <c r="CV68" s="155" t="str">
        <f t="shared" si="41"/>
        <v/>
      </c>
      <c r="CW68" s="155" t="str">
        <f t="shared" si="42"/>
        <v/>
      </c>
      <c r="CX68" s="155" t="str">
        <f t="shared" si="43"/>
        <v/>
      </c>
    </row>
    <row r="69" spans="1:126" s="151" customFormat="1" ht="14.25" outlineLevel="1" x14ac:dyDescent="0.2">
      <c r="A69" s="146"/>
      <c r="B69" s="157" t="str">
        <f>Services!B69</f>
        <v>03B02</v>
      </c>
      <c r="C69" s="153" t="str">
        <f>Services!C69</f>
        <v>Gestion des autorisations d'accès aux locaux sensibles</v>
      </c>
      <c r="D69" s="149">
        <f>1*(8*Plans_action!E193+Plans_action!D193)+1*(8*Plans_action!E200+Plans_action!D200)+1*(8*Plans_action!E207+Plans_action!D207)+1*(8*Plans_action!E215+Plans_action!D215)+1*(8*Plans_action!E224+Plans_action!D224)+1*(8*Plans_action!E233+Plans_action!D233)+1*(8*Plans_action!E240+Plans_action!D240)+1*(8*Plans_action!E249+Plans_action!D249)</f>
        <v>0</v>
      </c>
      <c r="E69" s="149">
        <f>2*(8*Plans_action!E273+Plans_action!D273)+2*(8*Plans_action!E290+Plans_action!D290)</f>
        <v>0</v>
      </c>
      <c r="F69" s="149"/>
      <c r="G69" s="149"/>
      <c r="H69" s="149"/>
      <c r="I69" s="140" t="str">
        <f t="shared" ref="I69:I132" si="44">IF(SUM(D69:H69)=0,"",LOG(SUM(D69:H69),2))</f>
        <v/>
      </c>
      <c r="J69" s="141" t="str">
        <f t="shared" ref="J69:J132" si="45">IF(MAX(BK69:CX69)=0,"",MAX(BK69:CX69))</f>
        <v/>
      </c>
      <c r="K69" s="142"/>
      <c r="L69" s="142"/>
      <c r="M69" s="1708"/>
      <c r="N69" s="1708"/>
      <c r="O69" s="1708"/>
      <c r="P69" s="1708"/>
      <c r="Q69" s="1708"/>
      <c r="R69" s="1708"/>
      <c r="S69" s="1708"/>
      <c r="T69" s="1708"/>
      <c r="U69" s="1708"/>
      <c r="V69" s="1708"/>
      <c r="W69" s="1708"/>
      <c r="X69" s="1712"/>
      <c r="Y69" s="1712"/>
      <c r="Z69" s="1712"/>
      <c r="AA69" s="1712"/>
      <c r="AB69" s="1712"/>
      <c r="AC69" s="1712"/>
      <c r="AD69" s="1712"/>
      <c r="AE69" s="1712"/>
      <c r="AF69" s="1712"/>
      <c r="AG69" s="1712"/>
      <c r="AH69" s="1712"/>
      <c r="AI69" s="1712"/>
      <c r="AJ69" s="1712"/>
      <c r="AK69" s="1712"/>
      <c r="AL69" s="1712"/>
      <c r="AM69" s="1712"/>
      <c r="AN69" s="1712"/>
      <c r="AO69" s="1712"/>
      <c r="AP69" s="1712"/>
      <c r="AQ69" s="1712"/>
      <c r="AR69" s="1712"/>
      <c r="AS69" s="1712"/>
      <c r="AT69" s="1712"/>
      <c r="AU69" s="1712"/>
      <c r="AV69" s="1712"/>
      <c r="AW69" s="1712"/>
      <c r="AX69" s="1713"/>
      <c r="AY69" s="1714" t="str">
        <f t="shared" si="2"/>
        <v/>
      </c>
      <c r="AZ69" s="1714" t="str">
        <f>IF(Obj_PA!D69="","",IF(AY69="","",Obj_PA!D69-AY69))</f>
        <v/>
      </c>
      <c r="BA69" s="150"/>
      <c r="BB69" s="150"/>
      <c r="BC69" s="150"/>
      <c r="BD69" s="150"/>
      <c r="BE69" s="150"/>
      <c r="BF69" s="150"/>
      <c r="BG69" s="150"/>
      <c r="BH69" s="150"/>
      <c r="BI69" s="150"/>
      <c r="BJ69" s="150"/>
      <c r="BK69" s="155" t="str">
        <f t="shared" si="4"/>
        <v/>
      </c>
      <c r="BL69" s="155" t="str">
        <f t="shared" si="5"/>
        <v/>
      </c>
      <c r="BM69" s="155" t="str">
        <f t="shared" si="6"/>
        <v/>
      </c>
      <c r="BN69" s="155" t="str">
        <f t="shared" si="7"/>
        <v/>
      </c>
      <c r="BO69" s="155" t="str">
        <f t="shared" si="8"/>
        <v/>
      </c>
      <c r="BP69" s="155" t="str">
        <f t="shared" si="9"/>
        <v/>
      </c>
      <c r="BQ69" s="155" t="str">
        <f t="shared" si="10"/>
        <v/>
      </c>
      <c r="BR69" s="155" t="str">
        <f t="shared" si="11"/>
        <v/>
      </c>
      <c r="BS69" s="155" t="str">
        <f t="shared" si="12"/>
        <v/>
      </c>
      <c r="BT69" s="155" t="str">
        <f t="shared" si="13"/>
        <v/>
      </c>
      <c r="BU69" s="155" t="str">
        <f t="shared" si="14"/>
        <v/>
      </c>
      <c r="BV69" s="155" t="str">
        <f t="shared" si="15"/>
        <v/>
      </c>
      <c r="BW69" s="155" t="str">
        <f t="shared" si="16"/>
        <v/>
      </c>
      <c r="BX69" s="155" t="str">
        <f t="shared" si="17"/>
        <v/>
      </c>
      <c r="BY69" s="155" t="str">
        <f t="shared" si="18"/>
        <v/>
      </c>
      <c r="BZ69" s="155" t="str">
        <f t="shared" si="19"/>
        <v/>
      </c>
      <c r="CA69" s="155" t="str">
        <f t="shared" si="20"/>
        <v/>
      </c>
      <c r="CB69" s="155" t="str">
        <f t="shared" si="21"/>
        <v/>
      </c>
      <c r="CC69" s="155" t="str">
        <f t="shared" si="22"/>
        <v/>
      </c>
      <c r="CD69" s="155" t="str">
        <f t="shared" si="23"/>
        <v/>
      </c>
      <c r="CE69" s="155" t="str">
        <f t="shared" si="24"/>
        <v/>
      </c>
      <c r="CF69" s="155" t="str">
        <f t="shared" si="25"/>
        <v/>
      </c>
      <c r="CG69" s="155" t="str">
        <f t="shared" si="26"/>
        <v/>
      </c>
      <c r="CH69" s="155" t="str">
        <f t="shared" si="27"/>
        <v/>
      </c>
      <c r="CI69" s="155" t="str">
        <f t="shared" si="28"/>
        <v/>
      </c>
      <c r="CJ69" s="155" t="str">
        <f t="shared" si="29"/>
        <v/>
      </c>
      <c r="CK69" s="155" t="str">
        <f t="shared" si="30"/>
        <v/>
      </c>
      <c r="CL69" s="155" t="str">
        <f t="shared" si="31"/>
        <v/>
      </c>
      <c r="CM69" s="155" t="str">
        <f t="shared" si="32"/>
        <v/>
      </c>
      <c r="CN69" s="155" t="str">
        <f t="shared" si="33"/>
        <v/>
      </c>
      <c r="CO69" s="155" t="str">
        <f t="shared" si="34"/>
        <v/>
      </c>
      <c r="CP69" s="155" t="str">
        <f t="shared" si="35"/>
        <v/>
      </c>
      <c r="CQ69" s="155" t="str">
        <f t="shared" si="36"/>
        <v/>
      </c>
      <c r="CR69" s="155" t="str">
        <f t="shared" si="37"/>
        <v/>
      </c>
      <c r="CS69" s="155" t="str">
        <f t="shared" si="38"/>
        <v/>
      </c>
      <c r="CT69" s="155" t="str">
        <f t="shared" si="39"/>
        <v/>
      </c>
      <c r="CU69" s="155" t="str">
        <f t="shared" si="40"/>
        <v/>
      </c>
      <c r="CV69" s="155" t="str">
        <f t="shared" si="41"/>
        <v/>
      </c>
      <c r="CW69" s="155" t="str">
        <f t="shared" si="42"/>
        <v/>
      </c>
      <c r="CX69" s="155" t="str">
        <f t="shared" si="43"/>
        <v/>
      </c>
    </row>
    <row r="70" spans="1:126" s="151" customFormat="1" ht="14.25" outlineLevel="1" x14ac:dyDescent="0.2">
      <c r="A70" s="146"/>
      <c r="B70" s="157" t="str">
        <f>Services!B70</f>
        <v>03B03</v>
      </c>
      <c r="C70" s="153" t="str">
        <f>Services!C70</f>
        <v>Contrôle des accès aux locaux sensibles</v>
      </c>
      <c r="D70" s="149">
        <f>1*(8*Plans_action!E5+Plans_action!D5)+1*(8*Plans_action!E13+Plans_action!D13)+1*(8*Plans_action!E193+Plans_action!D193)+1*(8*Plans_action!E200+Plans_action!D200)+1*(8*Plans_action!E207+Plans_action!D207)+1*(8*Plans_action!E215+Plans_action!D215)+1*(8*Plans_action!E224+Plans_action!D224)+1*(8*Plans_action!E233+Plans_action!D233)+1*(8*Plans_action!E240+Plans_action!D240)+1*(8*Plans_action!E249+Plans_action!D249)</f>
        <v>0</v>
      </c>
      <c r="E70" s="149">
        <f>2*(8*Plans_action!E122+Plans_action!D122)+2*(8*Plans_action!E132+Plans_action!D132)+2*(8*Plans_action!E273+Plans_action!D273)+2*(8*Plans_action!E290+Plans_action!D290)</f>
        <v>0</v>
      </c>
      <c r="F70" s="149"/>
      <c r="G70" s="149"/>
      <c r="H70" s="149"/>
      <c r="I70" s="140" t="str">
        <f t="shared" si="44"/>
        <v/>
      </c>
      <c r="J70" s="141" t="str">
        <f t="shared" si="45"/>
        <v/>
      </c>
      <c r="K70" s="142"/>
      <c r="L70" s="142"/>
      <c r="M70" s="1708"/>
      <c r="N70" s="1708"/>
      <c r="O70" s="1708"/>
      <c r="P70" s="1708"/>
      <c r="Q70" s="1708"/>
      <c r="R70" s="1708"/>
      <c r="S70" s="1708"/>
      <c r="T70" s="1708"/>
      <c r="U70" s="1708"/>
      <c r="V70" s="1708"/>
      <c r="W70" s="1708"/>
      <c r="X70" s="1712"/>
      <c r="Y70" s="1712"/>
      <c r="Z70" s="1712"/>
      <c r="AA70" s="1712"/>
      <c r="AB70" s="1712"/>
      <c r="AC70" s="1712"/>
      <c r="AD70" s="1712"/>
      <c r="AE70" s="1712"/>
      <c r="AF70" s="1712"/>
      <c r="AG70" s="1712"/>
      <c r="AH70" s="1712"/>
      <c r="AI70" s="1712"/>
      <c r="AJ70" s="1712"/>
      <c r="AK70" s="1712"/>
      <c r="AL70" s="1712"/>
      <c r="AM70" s="1712"/>
      <c r="AN70" s="1712"/>
      <c r="AO70" s="1712"/>
      <c r="AP70" s="1712"/>
      <c r="AQ70" s="1712"/>
      <c r="AR70" s="1712"/>
      <c r="AS70" s="1712"/>
      <c r="AT70" s="1712"/>
      <c r="AU70" s="1712"/>
      <c r="AV70" s="1712"/>
      <c r="AW70" s="1712"/>
      <c r="AX70" s="1713"/>
      <c r="AY70" s="1714" t="str">
        <f t="shared" si="2"/>
        <v/>
      </c>
      <c r="AZ70" s="1714" t="str">
        <f>IF(Obj_PA!D70="","",IF(AY70="","",Obj_PA!D70-AY70))</f>
        <v/>
      </c>
      <c r="BA70" s="150"/>
      <c r="BB70" s="150"/>
      <c r="BC70" s="150"/>
      <c r="BD70" s="150"/>
      <c r="BE70" s="150"/>
      <c r="BF70" s="150"/>
      <c r="BG70" s="150"/>
      <c r="BH70" s="150"/>
      <c r="BI70" s="150"/>
      <c r="BJ70" s="150"/>
      <c r="BK70" s="155" t="str">
        <f t="shared" si="4"/>
        <v/>
      </c>
      <c r="BL70" s="155" t="str">
        <f t="shared" si="5"/>
        <v/>
      </c>
      <c r="BM70" s="155" t="str">
        <f t="shared" si="6"/>
        <v/>
      </c>
      <c r="BN70" s="155" t="str">
        <f t="shared" si="7"/>
        <v/>
      </c>
      <c r="BO70" s="155" t="str">
        <f t="shared" si="8"/>
        <v/>
      </c>
      <c r="BP70" s="155" t="str">
        <f t="shared" si="9"/>
        <v/>
      </c>
      <c r="BQ70" s="155" t="str">
        <f t="shared" si="10"/>
        <v/>
      </c>
      <c r="BR70" s="155" t="str">
        <f t="shared" si="11"/>
        <v/>
      </c>
      <c r="BS70" s="155" t="str">
        <f t="shared" si="12"/>
        <v/>
      </c>
      <c r="BT70" s="155" t="str">
        <f t="shared" si="13"/>
        <v/>
      </c>
      <c r="BU70" s="155" t="str">
        <f t="shared" si="14"/>
        <v/>
      </c>
      <c r="BV70" s="155" t="str">
        <f t="shared" si="15"/>
        <v/>
      </c>
      <c r="BW70" s="155" t="str">
        <f t="shared" si="16"/>
        <v/>
      </c>
      <c r="BX70" s="155" t="str">
        <f t="shared" si="17"/>
        <v/>
      </c>
      <c r="BY70" s="155" t="str">
        <f t="shared" si="18"/>
        <v/>
      </c>
      <c r="BZ70" s="155" t="str">
        <f t="shared" si="19"/>
        <v/>
      </c>
      <c r="CA70" s="155" t="str">
        <f t="shared" si="20"/>
        <v/>
      </c>
      <c r="CB70" s="155" t="str">
        <f t="shared" si="21"/>
        <v/>
      </c>
      <c r="CC70" s="155" t="str">
        <f t="shared" si="22"/>
        <v/>
      </c>
      <c r="CD70" s="155" t="str">
        <f t="shared" si="23"/>
        <v/>
      </c>
      <c r="CE70" s="155" t="str">
        <f t="shared" si="24"/>
        <v/>
      </c>
      <c r="CF70" s="155" t="str">
        <f t="shared" si="25"/>
        <v/>
      </c>
      <c r="CG70" s="155" t="str">
        <f t="shared" si="26"/>
        <v/>
      </c>
      <c r="CH70" s="155" t="str">
        <f t="shared" si="27"/>
        <v/>
      </c>
      <c r="CI70" s="155" t="str">
        <f t="shared" si="28"/>
        <v/>
      </c>
      <c r="CJ70" s="155" t="str">
        <f t="shared" si="29"/>
        <v/>
      </c>
      <c r="CK70" s="155" t="str">
        <f t="shared" si="30"/>
        <v/>
      </c>
      <c r="CL70" s="155" t="str">
        <f t="shared" si="31"/>
        <v/>
      </c>
      <c r="CM70" s="155" t="str">
        <f t="shared" si="32"/>
        <v/>
      </c>
      <c r="CN70" s="155" t="str">
        <f t="shared" si="33"/>
        <v/>
      </c>
      <c r="CO70" s="155" t="str">
        <f t="shared" si="34"/>
        <v/>
      </c>
      <c r="CP70" s="155" t="str">
        <f t="shared" si="35"/>
        <v/>
      </c>
      <c r="CQ70" s="155" t="str">
        <f t="shared" si="36"/>
        <v/>
      </c>
      <c r="CR70" s="155" t="str">
        <f t="shared" si="37"/>
        <v/>
      </c>
      <c r="CS70" s="155" t="str">
        <f t="shared" si="38"/>
        <v/>
      </c>
      <c r="CT70" s="155" t="str">
        <f t="shared" si="39"/>
        <v/>
      </c>
      <c r="CU70" s="155" t="str">
        <f t="shared" si="40"/>
        <v/>
      </c>
      <c r="CV70" s="155" t="str">
        <f t="shared" si="41"/>
        <v/>
      </c>
      <c r="CW70" s="155" t="str">
        <f t="shared" si="42"/>
        <v/>
      </c>
      <c r="CX70" s="155" t="str">
        <f t="shared" si="43"/>
        <v/>
      </c>
      <c r="DU70" s="151">
        <f>IF(INDEX(Tab_actions,33,1)=1,INDEX(Tab_actions,33,4),0)</f>
        <v>0</v>
      </c>
    </row>
    <row r="71" spans="1:126" s="151" customFormat="1" ht="14.25" outlineLevel="1" x14ac:dyDescent="0.2">
      <c r="A71" s="146"/>
      <c r="B71" s="157" t="str">
        <f>Services!B71</f>
        <v>03B04</v>
      </c>
      <c r="C71" s="153" t="str">
        <f>Services!C71</f>
        <v xml:space="preserve">Détection des intrusions dans les locaux sensibles </v>
      </c>
      <c r="D71" s="149">
        <f>1*(8*Plans_action!E5+Plans_action!D5)+1*(8*Plans_action!E13+Plans_action!D13)+1*(8*Plans_action!E193+Plans_action!D193)+1*(8*Plans_action!E200+Plans_action!D200)+1*(8*Plans_action!E207+Plans_action!D207)+1*(8*Plans_action!E215+Plans_action!D215)+1*(8*Plans_action!E215+Plans_action!D215)+1*(8*Plans_action!E224+Plans_action!D224)+1*(8*Plans_action!E224+Plans_action!D224)+1*(8*Plans_action!E233+Plans_action!D233)+1*(8*Plans_action!E240+Plans_action!D240)+1*(8*Plans_action!E240+Plans_action!D240)+1*(8*Plans_action!E249+Plans_action!D249)+1*(8*Plans_action!E249+Plans_action!D249)</f>
        <v>0</v>
      </c>
      <c r="E71" s="149">
        <f>2*(8*Plans_action!E122+Plans_action!D122)+2*(8*Plans_action!E132+Plans_action!D132)+2*(8*Plans_action!E193+Plans_action!D193)+2*(8*Plans_action!E200+Plans_action!D200)+2*(8*Plans_action!E207+Plans_action!D207)+2*(8*Plans_action!E233+Plans_action!D233)</f>
        <v>0</v>
      </c>
      <c r="F71" s="149">
        <f>3*(8*Plans_action!E273+Plans_action!D273)+3*(8*Plans_action!E290+Plans_action!D290)</f>
        <v>0</v>
      </c>
      <c r="G71" s="149"/>
      <c r="H71" s="149"/>
      <c r="I71" s="140" t="str">
        <f t="shared" si="44"/>
        <v/>
      </c>
      <c r="J71" s="141" t="str">
        <f t="shared" si="45"/>
        <v/>
      </c>
      <c r="K71" s="142"/>
      <c r="L71" s="142"/>
      <c r="M71" s="1708"/>
      <c r="N71" s="1708"/>
      <c r="O71" s="1708"/>
      <c r="P71" s="1708"/>
      <c r="Q71" s="1708"/>
      <c r="R71" s="1708"/>
      <c r="S71" s="1708"/>
      <c r="T71" s="1708"/>
      <c r="U71" s="1708"/>
      <c r="V71" s="1708"/>
      <c r="W71" s="1708"/>
      <c r="X71" s="1712"/>
      <c r="Y71" s="1712"/>
      <c r="Z71" s="1712"/>
      <c r="AA71" s="1712"/>
      <c r="AB71" s="1712"/>
      <c r="AC71" s="1712"/>
      <c r="AD71" s="1712"/>
      <c r="AE71" s="1712"/>
      <c r="AF71" s="1712"/>
      <c r="AG71" s="1712"/>
      <c r="AH71" s="1712"/>
      <c r="AI71" s="1712"/>
      <c r="AJ71" s="1712"/>
      <c r="AK71" s="1712"/>
      <c r="AL71" s="1712"/>
      <c r="AM71" s="1712"/>
      <c r="AN71" s="1712"/>
      <c r="AO71" s="1712"/>
      <c r="AP71" s="1712"/>
      <c r="AQ71" s="1712"/>
      <c r="AR71" s="1712"/>
      <c r="AS71" s="1712"/>
      <c r="AT71" s="1712"/>
      <c r="AU71" s="1712"/>
      <c r="AV71" s="1712"/>
      <c r="AW71" s="1712"/>
      <c r="AX71" s="1713"/>
      <c r="AY71" s="1714" t="str">
        <f t="shared" ref="AY71:AY134" si="46">IF(MAX(K71:AX71)=0,"",MAX(K71:AX71))</f>
        <v/>
      </c>
      <c r="AZ71" s="1714" t="str">
        <f>IF(Obj_PA!D71="","",IF(AY71="","",Obj_PA!D71-AY71))</f>
        <v/>
      </c>
      <c r="BA71" s="150"/>
      <c r="BB71" s="150"/>
      <c r="BC71" s="150"/>
      <c r="BD71" s="150"/>
      <c r="BE71" s="150"/>
      <c r="BF71" s="150"/>
      <c r="BG71" s="150"/>
      <c r="BH71" s="150"/>
      <c r="BI71" s="150"/>
      <c r="BJ71" s="150"/>
      <c r="BK71" s="155" t="str">
        <f t="shared" si="4"/>
        <v/>
      </c>
      <c r="BL71" s="155" t="str">
        <f t="shared" si="5"/>
        <v/>
      </c>
      <c r="BM71" s="155" t="str">
        <f t="shared" si="6"/>
        <v/>
      </c>
      <c r="BN71" s="155" t="str">
        <f t="shared" si="7"/>
        <v/>
      </c>
      <c r="BO71" s="155" t="str">
        <f t="shared" si="8"/>
        <v/>
      </c>
      <c r="BP71" s="155" t="str">
        <f t="shared" si="9"/>
        <v/>
      </c>
      <c r="BQ71" s="155" t="str">
        <f t="shared" si="10"/>
        <v/>
      </c>
      <c r="BR71" s="155" t="str">
        <f t="shared" si="11"/>
        <v/>
      </c>
      <c r="BS71" s="155" t="str">
        <f t="shared" si="12"/>
        <v/>
      </c>
      <c r="BT71" s="155" t="str">
        <f t="shared" si="13"/>
        <v/>
      </c>
      <c r="BU71" s="155" t="str">
        <f t="shared" si="14"/>
        <v/>
      </c>
      <c r="BV71" s="155" t="str">
        <f t="shared" si="15"/>
        <v/>
      </c>
      <c r="BW71" s="155" t="str">
        <f t="shared" si="16"/>
        <v/>
      </c>
      <c r="BX71" s="155" t="str">
        <f t="shared" si="17"/>
        <v/>
      </c>
      <c r="BY71" s="155" t="str">
        <f t="shared" si="18"/>
        <v/>
      </c>
      <c r="BZ71" s="155" t="str">
        <f t="shared" si="19"/>
        <v/>
      </c>
      <c r="CA71" s="155" t="str">
        <f t="shared" si="20"/>
        <v/>
      </c>
      <c r="CB71" s="155" t="str">
        <f t="shared" si="21"/>
        <v/>
      </c>
      <c r="CC71" s="155" t="str">
        <f t="shared" si="22"/>
        <v/>
      </c>
      <c r="CD71" s="155" t="str">
        <f t="shared" si="23"/>
        <v/>
      </c>
      <c r="CE71" s="155" t="str">
        <f t="shared" si="24"/>
        <v/>
      </c>
      <c r="CF71" s="155" t="str">
        <f t="shared" si="25"/>
        <v/>
      </c>
      <c r="CG71" s="155" t="str">
        <f t="shared" si="26"/>
        <v/>
      </c>
      <c r="CH71" s="155" t="str">
        <f t="shared" si="27"/>
        <v/>
      </c>
      <c r="CI71" s="155" t="str">
        <f t="shared" si="28"/>
        <v/>
      </c>
      <c r="CJ71" s="155" t="str">
        <f t="shared" si="29"/>
        <v/>
      </c>
      <c r="CK71" s="155" t="str">
        <f t="shared" si="30"/>
        <v/>
      </c>
      <c r="CL71" s="155" t="str">
        <f t="shared" si="31"/>
        <v/>
      </c>
      <c r="CM71" s="155" t="str">
        <f t="shared" si="32"/>
        <v/>
      </c>
      <c r="CN71" s="155" t="str">
        <f t="shared" si="33"/>
        <v/>
      </c>
      <c r="CO71" s="155" t="str">
        <f t="shared" si="34"/>
        <v/>
      </c>
      <c r="CP71" s="155" t="str">
        <f t="shared" si="35"/>
        <v/>
      </c>
      <c r="CQ71" s="155" t="str">
        <f t="shared" si="36"/>
        <v/>
      </c>
      <c r="CR71" s="155" t="str">
        <f t="shared" si="37"/>
        <v/>
      </c>
      <c r="CS71" s="155" t="str">
        <f t="shared" si="38"/>
        <v/>
      </c>
      <c r="CT71" s="155" t="str">
        <f t="shared" si="39"/>
        <v/>
      </c>
      <c r="CU71" s="155" t="str">
        <f t="shared" si="40"/>
        <v/>
      </c>
      <c r="CV71" s="155" t="str">
        <f t="shared" si="41"/>
        <v/>
      </c>
      <c r="CW71" s="155" t="str">
        <f t="shared" si="42"/>
        <v/>
      </c>
      <c r="CX71" s="155" t="str">
        <f t="shared" si="43"/>
        <v/>
      </c>
      <c r="DU71" s="151">
        <f>IF(INDEX(Tab_actions,33,1)=1,INDEX(Tab_actions,33,6),0)</f>
        <v>0</v>
      </c>
    </row>
    <row r="72" spans="1:126" s="151" customFormat="1" ht="15.75" customHeight="1" outlineLevel="1" x14ac:dyDescent="0.2">
      <c r="A72" s="146"/>
      <c r="B72" s="157" t="str">
        <f>Services!B72</f>
        <v>03B05</v>
      </c>
      <c r="C72" s="153" t="str">
        <f>Services!C72</f>
        <v>Surveillance périmétrique (surveillance des issues et des abords immédiats des locaux sensibles)</v>
      </c>
      <c r="D72" s="149"/>
      <c r="E72" s="149"/>
      <c r="F72" s="149">
        <f>3*(8*Plans_action!E273+Plans_action!D273)+3*(8*Plans_action!E290+Plans_action!D290)</f>
        <v>0</v>
      </c>
      <c r="G72" s="149"/>
      <c r="H72" s="149"/>
      <c r="I72" s="140" t="str">
        <f t="shared" si="44"/>
        <v/>
      </c>
      <c r="J72" s="141" t="str">
        <f t="shared" si="45"/>
        <v/>
      </c>
      <c r="K72" s="142"/>
      <c r="L72" s="142"/>
      <c r="M72" s="1708"/>
      <c r="N72" s="1708"/>
      <c r="O72" s="1708"/>
      <c r="P72" s="1708"/>
      <c r="Q72" s="1708"/>
      <c r="R72" s="1708"/>
      <c r="S72" s="1708"/>
      <c r="T72" s="1708"/>
      <c r="U72" s="1708"/>
      <c r="V72" s="1708"/>
      <c r="W72" s="1708"/>
      <c r="X72" s="1712"/>
      <c r="Y72" s="1712"/>
      <c r="Z72" s="1712"/>
      <c r="AA72" s="1712"/>
      <c r="AB72" s="1712"/>
      <c r="AC72" s="1712"/>
      <c r="AD72" s="1712"/>
      <c r="AE72" s="1712"/>
      <c r="AF72" s="1712"/>
      <c r="AG72" s="1712"/>
      <c r="AH72" s="1712"/>
      <c r="AI72" s="1712"/>
      <c r="AJ72" s="1712"/>
      <c r="AK72" s="1712"/>
      <c r="AL72" s="1712"/>
      <c r="AM72" s="1712"/>
      <c r="AN72" s="1712"/>
      <c r="AO72" s="1712"/>
      <c r="AP72" s="1712"/>
      <c r="AQ72" s="1712"/>
      <c r="AR72" s="1712"/>
      <c r="AS72" s="1712"/>
      <c r="AT72" s="1712"/>
      <c r="AU72" s="1712"/>
      <c r="AV72" s="1712"/>
      <c r="AW72" s="1712"/>
      <c r="AX72" s="1713"/>
      <c r="AY72" s="1714" t="str">
        <f t="shared" si="46"/>
        <v/>
      </c>
      <c r="AZ72" s="1714" t="str">
        <f>IF(Obj_PA!D72="","",IF(AY72="","",Obj_PA!D72-AY72))</f>
        <v/>
      </c>
      <c r="BA72" s="150"/>
      <c r="BB72" s="150"/>
      <c r="BC72" s="150"/>
      <c r="BD72" s="150"/>
      <c r="BE72" s="150"/>
      <c r="BF72" s="150"/>
      <c r="BG72" s="150"/>
      <c r="BH72" s="150"/>
      <c r="BI72" s="150"/>
      <c r="BJ72" s="150"/>
      <c r="BK72" s="155" t="str">
        <f t="shared" ref="BK72:BK135" si="47">IF(OR(K$4&gt;$J$4,K72=""),"",K72)</f>
        <v/>
      </c>
      <c r="BL72" s="155" t="str">
        <f t="shared" ref="BL72:BL135" si="48">IF(OR(L$4&gt;$J$4,L72=""),"",L72)</f>
        <v/>
      </c>
      <c r="BM72" s="155" t="str">
        <f t="shared" ref="BM72:BM135" si="49">IF(OR(M$4&gt;$J$4,M72=""),"",M72)</f>
        <v/>
      </c>
      <c r="BN72" s="155" t="str">
        <f t="shared" ref="BN72:BN135" si="50">IF(OR(N$4&gt;$J$4,N72=""),"",N72)</f>
        <v/>
      </c>
      <c r="BO72" s="155" t="str">
        <f t="shared" ref="BO72:BO135" si="51">IF(OR(O$4&gt;$J$4,O72=""),"",O72)</f>
        <v/>
      </c>
      <c r="BP72" s="155" t="str">
        <f t="shared" ref="BP72:BP135" si="52">IF(OR(P$4&gt;$J$4,P72=""),"",P72)</f>
        <v/>
      </c>
      <c r="BQ72" s="155" t="str">
        <f t="shared" ref="BQ72:BQ135" si="53">IF(OR(Q$4&gt;$J$4,Q72=""),"",Q72)</f>
        <v/>
      </c>
      <c r="BR72" s="155" t="str">
        <f t="shared" ref="BR72:BR135" si="54">IF(OR(R$4&gt;$J$4,R72=""),"",R72)</f>
        <v/>
      </c>
      <c r="BS72" s="155" t="str">
        <f t="shared" ref="BS72:BS135" si="55">IF(OR(S$4&gt;$J$4,S72=""),"",S72)</f>
        <v/>
      </c>
      <c r="BT72" s="155" t="str">
        <f t="shared" ref="BT72:BT135" si="56">IF(OR(T$4&gt;$J$4,T72=""),"",T72)</f>
        <v/>
      </c>
      <c r="BU72" s="155" t="str">
        <f t="shared" ref="BU72:BU135" si="57">IF(OR(U$4&gt;$J$4,U72=""),"",U72)</f>
        <v/>
      </c>
      <c r="BV72" s="155" t="str">
        <f t="shared" ref="BV72:BV135" si="58">IF(OR(V$4&gt;$J$4,V72=""),"",V72)</f>
        <v/>
      </c>
      <c r="BW72" s="155" t="str">
        <f t="shared" ref="BW72:BW135" si="59">IF(OR(W$4&gt;$J$4,W72=""),"",W72)</f>
        <v/>
      </c>
      <c r="BX72" s="155" t="str">
        <f t="shared" ref="BX72:BX135" si="60">IF(OR(X$4&gt;$J$4,X72=""),"",X72)</f>
        <v/>
      </c>
      <c r="BY72" s="155" t="str">
        <f t="shared" ref="BY72:BY135" si="61">IF(OR(Y$4&gt;$J$4,Y72=""),"",Y72)</f>
        <v/>
      </c>
      <c r="BZ72" s="155" t="str">
        <f t="shared" ref="BZ72:BZ135" si="62">IF(OR(Z$4&gt;$J$4,Z72=""),"",Z72)</f>
        <v/>
      </c>
      <c r="CA72" s="155" t="str">
        <f t="shared" ref="CA72:CA135" si="63">IF(OR(AA$4&gt;$J$4,AA72=""),"",AA72)</f>
        <v/>
      </c>
      <c r="CB72" s="155" t="str">
        <f t="shared" ref="CB72:CB135" si="64">IF(OR(AB$4&gt;$J$4,AB72=""),"",AB72)</f>
        <v/>
      </c>
      <c r="CC72" s="155" t="str">
        <f t="shared" ref="CC72:CC135" si="65">IF(OR(AC$4&gt;$J$4,AC72=""),"",AC72)</f>
        <v/>
      </c>
      <c r="CD72" s="155" t="str">
        <f t="shared" ref="CD72:CD135" si="66">IF(OR(AD$4&gt;$J$4,AD72=""),"",AD72)</f>
        <v/>
      </c>
      <c r="CE72" s="155" t="str">
        <f t="shared" ref="CE72:CE135" si="67">IF(OR(AE$4&gt;$J$4,AE72=""),"",AE72)</f>
        <v/>
      </c>
      <c r="CF72" s="155" t="str">
        <f t="shared" ref="CF72:CF135" si="68">IF(OR(AF$4&gt;$J$4,AF72=""),"",AF72)</f>
        <v/>
      </c>
      <c r="CG72" s="155" t="str">
        <f t="shared" ref="CG72:CG135" si="69">IF(OR(AG$4&gt;$J$4,AG72=""),"",AG72)</f>
        <v/>
      </c>
      <c r="CH72" s="155" t="str">
        <f t="shared" ref="CH72:CH135" si="70">IF(OR(AH$4&gt;$J$4,AH72=""),"",AH72)</f>
        <v/>
      </c>
      <c r="CI72" s="155" t="str">
        <f t="shared" ref="CI72:CI135" si="71">IF(OR(AI$4&gt;$J$4,AI72=""),"",AI72)</f>
        <v/>
      </c>
      <c r="CJ72" s="155" t="str">
        <f t="shared" ref="CJ72:CJ135" si="72">IF(OR(AJ$4&gt;$J$4,AJ72=""),"",AJ72)</f>
        <v/>
      </c>
      <c r="CK72" s="155" t="str">
        <f t="shared" ref="CK72:CK135" si="73">IF(OR(AK$4&gt;$J$4,AK72=""),"",AK72)</f>
        <v/>
      </c>
      <c r="CL72" s="155" t="str">
        <f t="shared" ref="CL72:CL135" si="74">IF(OR(AL$4&gt;$J$4,AL72=""),"",AL72)</f>
        <v/>
      </c>
      <c r="CM72" s="155" t="str">
        <f t="shared" ref="CM72:CM135" si="75">IF(OR(AM$4&gt;$J$4,AM72=""),"",AM72)</f>
        <v/>
      </c>
      <c r="CN72" s="155" t="str">
        <f t="shared" ref="CN72:CN135" si="76">IF(OR(AN$4&gt;$J$4,AN72=""),"",AN72)</f>
        <v/>
      </c>
      <c r="CO72" s="155" t="str">
        <f t="shared" ref="CO72:CO135" si="77">IF(OR(AO$4&gt;$J$4,AO72=""),"",AO72)</f>
        <v/>
      </c>
      <c r="CP72" s="155" t="str">
        <f t="shared" ref="CP72:CP135" si="78">IF(OR(AP$4&gt;$J$4,AP72=""),"",AP72)</f>
        <v/>
      </c>
      <c r="CQ72" s="155" t="str">
        <f t="shared" ref="CQ72:CQ135" si="79">IF(OR(AQ$4&gt;$J$4,AQ72=""),"",AQ72)</f>
        <v/>
      </c>
      <c r="CR72" s="155" t="str">
        <f t="shared" ref="CR72:CR135" si="80">IF(OR(AR$4&gt;$J$4,AR72=""),"",AR72)</f>
        <v/>
      </c>
      <c r="CS72" s="155" t="str">
        <f t="shared" ref="CS72:CS135" si="81">IF(OR(AS$4&gt;$J$4,AS72=""),"",AS72)</f>
        <v/>
      </c>
      <c r="CT72" s="155" t="str">
        <f t="shared" ref="CT72:CT135" si="82">IF(OR(AT$4&gt;$J$4,AT72=""),"",AT72)</f>
        <v/>
      </c>
      <c r="CU72" s="155" t="str">
        <f t="shared" ref="CU72:CU135" si="83">IF(OR(AU$4&gt;$J$4,AU72=""),"",AU72)</f>
        <v/>
      </c>
      <c r="CV72" s="155" t="str">
        <f t="shared" ref="CV72:CV135" si="84">IF(OR(AV$4&gt;$J$4,AV72=""),"",AV72)</f>
        <v/>
      </c>
      <c r="CW72" s="155" t="str">
        <f t="shared" ref="CW72:CW135" si="85">IF(OR(AW$4&gt;$J$4,AW72=""),"",AW72)</f>
        <v/>
      </c>
      <c r="CX72" s="155" t="str">
        <f t="shared" ref="CX72:CX135" si="86">IF(OR(AX$4&gt;$J$4,AX72=""),"",AX72)</f>
        <v/>
      </c>
    </row>
    <row r="73" spans="1:126" s="151" customFormat="1" ht="14.25" outlineLevel="1" x14ac:dyDescent="0.2">
      <c r="A73" s="156"/>
      <c r="B73" s="157" t="str">
        <f>Services!B73</f>
        <v>03B06</v>
      </c>
      <c r="C73" s="153" t="str">
        <f>Services!C73</f>
        <v>Surveillance des locaux sensibles</v>
      </c>
      <c r="D73" s="149">
        <f>1*(8*Plans_action!E5+Plans_action!D5)+1*(8*Plans_action!E13+Plans_action!D13)+1*(8*Plans_action!E193+Plans_action!D193)+1*(8*Plans_action!E193+Plans_action!D193)+1*(8*Plans_action!E200+Plans_action!D200)+1*(8*Plans_action!E200+Plans_action!D200)+1*(8*Plans_action!E207+Plans_action!D207)+1*(8*Plans_action!E207+Plans_action!D207)+1*(8*Plans_action!E215+Plans_action!D215)+1*(8*Plans_action!E224+Plans_action!D224)+1*(8*Plans_action!E233+Plans_action!D233)+1*(8*Plans_action!E233+Plans_action!D233)+1*(8*Plans_action!E240+Plans_action!D240)+1*(8*Plans_action!E249+Plans_action!D249)</f>
        <v>0</v>
      </c>
      <c r="E73" s="149">
        <f>2*(8*Plans_action!E122+Plans_action!D122)+2*(8*Plans_action!E215+Plans_action!D215)+2*(8*Plans_action!E224+Plans_action!D224)+2*(8*Plans_action!E240+Plans_action!D240)+2*(8*Plans_action!E249+Plans_action!D249)+2*(8*Plans_action!E296+Plans_action!D296)</f>
        <v>0</v>
      </c>
      <c r="F73" s="149">
        <f>3*(8*Plans_action!E153+Plans_action!D153)+3*(8*Plans_action!E273+Plans_action!D273)+3*(8*Plans_action!E290+Plans_action!D290)</f>
        <v>0</v>
      </c>
      <c r="G73" s="149"/>
      <c r="H73" s="149"/>
      <c r="I73" s="140" t="str">
        <f t="shared" si="44"/>
        <v/>
      </c>
      <c r="J73" s="141" t="str">
        <f t="shared" si="45"/>
        <v/>
      </c>
      <c r="K73" s="142"/>
      <c r="L73" s="142"/>
      <c r="M73" s="1708"/>
      <c r="N73" s="1708"/>
      <c r="O73" s="1708"/>
      <c r="P73" s="1708"/>
      <c r="Q73" s="1708"/>
      <c r="R73" s="1708"/>
      <c r="S73" s="1708"/>
      <c r="T73" s="1708"/>
      <c r="U73" s="1708"/>
      <c r="V73" s="1708"/>
      <c r="W73" s="1708"/>
      <c r="X73" s="1712"/>
      <c r="Y73" s="1712"/>
      <c r="Z73" s="1712"/>
      <c r="AA73" s="1712"/>
      <c r="AB73" s="1712"/>
      <c r="AC73" s="1712"/>
      <c r="AD73" s="1712"/>
      <c r="AE73" s="1712"/>
      <c r="AF73" s="1712"/>
      <c r="AG73" s="1712"/>
      <c r="AH73" s="1712"/>
      <c r="AI73" s="1712"/>
      <c r="AJ73" s="1712"/>
      <c r="AK73" s="1712"/>
      <c r="AL73" s="1712"/>
      <c r="AM73" s="1712"/>
      <c r="AN73" s="1712"/>
      <c r="AO73" s="1712"/>
      <c r="AP73" s="1712"/>
      <c r="AQ73" s="1712"/>
      <c r="AR73" s="1712"/>
      <c r="AS73" s="1712"/>
      <c r="AT73" s="1712"/>
      <c r="AU73" s="1712"/>
      <c r="AV73" s="1712"/>
      <c r="AW73" s="1712"/>
      <c r="AX73" s="1713"/>
      <c r="AY73" s="1714" t="str">
        <f t="shared" si="46"/>
        <v/>
      </c>
      <c r="AZ73" s="1714" t="str">
        <f>IF(Obj_PA!D73="","",IF(AY73="","",Obj_PA!D73-AY73))</f>
        <v/>
      </c>
      <c r="BA73" s="150"/>
      <c r="BB73" s="150"/>
      <c r="BC73" s="150"/>
      <c r="BD73" s="150"/>
      <c r="BE73" s="150"/>
      <c r="BF73" s="150"/>
      <c r="BG73" s="150"/>
      <c r="BH73" s="150"/>
      <c r="BI73" s="150"/>
      <c r="BJ73" s="150"/>
      <c r="BK73" s="155" t="str">
        <f t="shared" si="47"/>
        <v/>
      </c>
      <c r="BL73" s="155" t="str">
        <f t="shared" si="48"/>
        <v/>
      </c>
      <c r="BM73" s="155" t="str">
        <f t="shared" si="49"/>
        <v/>
      </c>
      <c r="BN73" s="155" t="str">
        <f t="shared" si="50"/>
        <v/>
      </c>
      <c r="BO73" s="155" t="str">
        <f t="shared" si="51"/>
        <v/>
      </c>
      <c r="BP73" s="155" t="str">
        <f t="shared" si="52"/>
        <v/>
      </c>
      <c r="BQ73" s="155" t="str">
        <f t="shared" si="53"/>
        <v/>
      </c>
      <c r="BR73" s="155" t="str">
        <f t="shared" si="54"/>
        <v/>
      </c>
      <c r="BS73" s="155" t="str">
        <f t="shared" si="55"/>
        <v/>
      </c>
      <c r="BT73" s="155" t="str">
        <f t="shared" si="56"/>
        <v/>
      </c>
      <c r="BU73" s="155" t="str">
        <f t="shared" si="57"/>
        <v/>
      </c>
      <c r="BV73" s="155" t="str">
        <f t="shared" si="58"/>
        <v/>
      </c>
      <c r="BW73" s="155" t="str">
        <f t="shared" si="59"/>
        <v/>
      </c>
      <c r="BX73" s="155" t="str">
        <f t="shared" si="60"/>
        <v/>
      </c>
      <c r="BY73" s="155" t="str">
        <f t="shared" si="61"/>
        <v/>
      </c>
      <c r="BZ73" s="155" t="str">
        <f t="shared" si="62"/>
        <v/>
      </c>
      <c r="CA73" s="155" t="str">
        <f t="shared" si="63"/>
        <v/>
      </c>
      <c r="CB73" s="155" t="str">
        <f t="shared" si="64"/>
        <v/>
      </c>
      <c r="CC73" s="155" t="str">
        <f t="shared" si="65"/>
        <v/>
      </c>
      <c r="CD73" s="155" t="str">
        <f t="shared" si="66"/>
        <v/>
      </c>
      <c r="CE73" s="155" t="str">
        <f t="shared" si="67"/>
        <v/>
      </c>
      <c r="CF73" s="155" t="str">
        <f t="shared" si="68"/>
        <v/>
      </c>
      <c r="CG73" s="155" t="str">
        <f t="shared" si="69"/>
        <v/>
      </c>
      <c r="CH73" s="155" t="str">
        <f t="shared" si="70"/>
        <v/>
      </c>
      <c r="CI73" s="155" t="str">
        <f t="shared" si="71"/>
        <v/>
      </c>
      <c r="CJ73" s="155" t="str">
        <f t="shared" si="72"/>
        <v/>
      </c>
      <c r="CK73" s="155" t="str">
        <f t="shared" si="73"/>
        <v/>
      </c>
      <c r="CL73" s="155" t="str">
        <f t="shared" si="74"/>
        <v/>
      </c>
      <c r="CM73" s="155" t="str">
        <f t="shared" si="75"/>
        <v/>
      </c>
      <c r="CN73" s="155" t="str">
        <f t="shared" si="76"/>
        <v/>
      </c>
      <c r="CO73" s="155" t="str">
        <f t="shared" si="77"/>
        <v/>
      </c>
      <c r="CP73" s="155" t="str">
        <f t="shared" si="78"/>
        <v/>
      </c>
      <c r="CQ73" s="155" t="str">
        <f t="shared" si="79"/>
        <v/>
      </c>
      <c r="CR73" s="155" t="str">
        <f t="shared" si="80"/>
        <v/>
      </c>
      <c r="CS73" s="155" t="str">
        <f t="shared" si="81"/>
        <v/>
      </c>
      <c r="CT73" s="155" t="str">
        <f t="shared" si="82"/>
        <v/>
      </c>
      <c r="CU73" s="155" t="str">
        <f t="shared" si="83"/>
        <v/>
      </c>
      <c r="CV73" s="155" t="str">
        <f t="shared" si="84"/>
        <v/>
      </c>
      <c r="CW73" s="155" t="str">
        <f t="shared" si="85"/>
        <v/>
      </c>
      <c r="CX73" s="155" t="str">
        <f t="shared" si="86"/>
        <v/>
      </c>
      <c r="DV73" s="151">
        <f>IF(INDEX(Tab_actions,34,1)=1,INDEX(Tab_actions,34,4),0)</f>
        <v>0</v>
      </c>
    </row>
    <row r="74" spans="1:126" s="151" customFormat="1" ht="14.25" outlineLevel="1" x14ac:dyDescent="0.2">
      <c r="A74" s="156"/>
      <c r="B74" s="157" t="str">
        <f>Services!B74</f>
        <v>03B07</v>
      </c>
      <c r="C74" s="153" t="str">
        <f>Services!C74</f>
        <v>Contrôle d'accès au câblage</v>
      </c>
      <c r="D74" s="149"/>
      <c r="E74" s="149">
        <f>2*(8*Plans_action!E158+Plans_action!D158)</f>
        <v>0</v>
      </c>
      <c r="F74" s="149"/>
      <c r="G74" s="149"/>
      <c r="H74" s="149"/>
      <c r="I74" s="140" t="str">
        <f t="shared" si="44"/>
        <v/>
      </c>
      <c r="J74" s="141" t="str">
        <f t="shared" si="45"/>
        <v/>
      </c>
      <c r="K74" s="142"/>
      <c r="L74" s="142"/>
      <c r="M74" s="1708"/>
      <c r="N74" s="1708"/>
      <c r="O74" s="1708"/>
      <c r="P74" s="1708"/>
      <c r="Q74" s="1708"/>
      <c r="R74" s="1708"/>
      <c r="S74" s="1708"/>
      <c r="T74" s="1708"/>
      <c r="U74" s="1708"/>
      <c r="V74" s="1708"/>
      <c r="W74" s="1708"/>
      <c r="X74" s="1712"/>
      <c r="Y74" s="1712"/>
      <c r="Z74" s="1712"/>
      <c r="AA74" s="1712"/>
      <c r="AB74" s="1712"/>
      <c r="AC74" s="1712"/>
      <c r="AD74" s="1712"/>
      <c r="AE74" s="1712"/>
      <c r="AF74" s="1712"/>
      <c r="AG74" s="1712"/>
      <c r="AH74" s="1712"/>
      <c r="AI74" s="1712"/>
      <c r="AJ74" s="1712"/>
      <c r="AK74" s="1712"/>
      <c r="AL74" s="1712"/>
      <c r="AM74" s="1712"/>
      <c r="AN74" s="1712"/>
      <c r="AO74" s="1712"/>
      <c r="AP74" s="1712"/>
      <c r="AQ74" s="1712"/>
      <c r="AR74" s="1712"/>
      <c r="AS74" s="1712"/>
      <c r="AT74" s="1712"/>
      <c r="AU74" s="1712"/>
      <c r="AV74" s="1712"/>
      <c r="AW74" s="1712"/>
      <c r="AX74" s="1713"/>
      <c r="AY74" s="1714" t="str">
        <f t="shared" si="46"/>
        <v/>
      </c>
      <c r="AZ74" s="1714" t="str">
        <f>IF(Obj_PA!D74="","",IF(AY74="","",Obj_PA!D74-AY74))</f>
        <v/>
      </c>
      <c r="BA74" s="150"/>
      <c r="BB74" s="150"/>
      <c r="BC74" s="150"/>
      <c r="BD74" s="150"/>
      <c r="BE74" s="150"/>
      <c r="BF74" s="150"/>
      <c r="BG74" s="150"/>
      <c r="BH74" s="150"/>
      <c r="BI74" s="150"/>
      <c r="BJ74" s="150"/>
      <c r="BK74" s="155" t="str">
        <f t="shared" si="47"/>
        <v/>
      </c>
      <c r="BL74" s="155" t="str">
        <f t="shared" si="48"/>
        <v/>
      </c>
      <c r="BM74" s="155" t="str">
        <f t="shared" si="49"/>
        <v/>
      </c>
      <c r="BN74" s="155" t="str">
        <f t="shared" si="50"/>
        <v/>
      </c>
      <c r="BO74" s="155" t="str">
        <f t="shared" si="51"/>
        <v/>
      </c>
      <c r="BP74" s="155" t="str">
        <f t="shared" si="52"/>
        <v/>
      </c>
      <c r="BQ74" s="155" t="str">
        <f t="shared" si="53"/>
        <v/>
      </c>
      <c r="BR74" s="155" t="str">
        <f t="shared" si="54"/>
        <v/>
      </c>
      <c r="BS74" s="155" t="str">
        <f t="shared" si="55"/>
        <v/>
      </c>
      <c r="BT74" s="155" t="str">
        <f t="shared" si="56"/>
        <v/>
      </c>
      <c r="BU74" s="155" t="str">
        <f t="shared" si="57"/>
        <v/>
      </c>
      <c r="BV74" s="155" t="str">
        <f t="shared" si="58"/>
        <v/>
      </c>
      <c r="BW74" s="155" t="str">
        <f t="shared" si="59"/>
        <v/>
      </c>
      <c r="BX74" s="155" t="str">
        <f t="shared" si="60"/>
        <v/>
      </c>
      <c r="BY74" s="155" t="str">
        <f t="shared" si="61"/>
        <v/>
      </c>
      <c r="BZ74" s="155" t="str">
        <f t="shared" si="62"/>
        <v/>
      </c>
      <c r="CA74" s="155" t="str">
        <f t="shared" si="63"/>
        <v/>
      </c>
      <c r="CB74" s="155" t="str">
        <f t="shared" si="64"/>
        <v/>
      </c>
      <c r="CC74" s="155" t="str">
        <f t="shared" si="65"/>
        <v/>
      </c>
      <c r="CD74" s="155" t="str">
        <f t="shared" si="66"/>
        <v/>
      </c>
      <c r="CE74" s="155" t="str">
        <f t="shared" si="67"/>
        <v/>
      </c>
      <c r="CF74" s="155" t="str">
        <f t="shared" si="68"/>
        <v/>
      </c>
      <c r="CG74" s="155" t="str">
        <f t="shared" si="69"/>
        <v/>
      </c>
      <c r="CH74" s="155" t="str">
        <f t="shared" si="70"/>
        <v/>
      </c>
      <c r="CI74" s="155" t="str">
        <f t="shared" si="71"/>
        <v/>
      </c>
      <c r="CJ74" s="155" t="str">
        <f t="shared" si="72"/>
        <v/>
      </c>
      <c r="CK74" s="155" t="str">
        <f t="shared" si="73"/>
        <v/>
      </c>
      <c r="CL74" s="155" t="str">
        <f t="shared" si="74"/>
        <v/>
      </c>
      <c r="CM74" s="155" t="str">
        <f t="shared" si="75"/>
        <v/>
      </c>
      <c r="CN74" s="155" t="str">
        <f t="shared" si="76"/>
        <v/>
      </c>
      <c r="CO74" s="155" t="str">
        <f t="shared" si="77"/>
        <v/>
      </c>
      <c r="CP74" s="155" t="str">
        <f t="shared" si="78"/>
        <v/>
      </c>
      <c r="CQ74" s="155" t="str">
        <f t="shared" si="79"/>
        <v/>
      </c>
      <c r="CR74" s="155" t="str">
        <f t="shared" si="80"/>
        <v/>
      </c>
      <c r="CS74" s="155" t="str">
        <f t="shared" si="81"/>
        <v/>
      </c>
      <c r="CT74" s="155" t="str">
        <f t="shared" si="82"/>
        <v/>
      </c>
      <c r="CU74" s="155" t="str">
        <f t="shared" si="83"/>
        <v/>
      </c>
      <c r="CV74" s="155" t="str">
        <f t="shared" si="84"/>
        <v/>
      </c>
      <c r="CW74" s="155" t="str">
        <f t="shared" si="85"/>
        <v/>
      </c>
      <c r="CX74" s="155" t="str">
        <f t="shared" si="86"/>
        <v/>
      </c>
    </row>
    <row r="75" spans="1:126" s="151" customFormat="1" ht="14.25" outlineLevel="1" x14ac:dyDescent="0.2">
      <c r="A75" s="156"/>
      <c r="B75" s="157" t="str">
        <f>Services!B75</f>
        <v>03B08</v>
      </c>
      <c r="C75" s="153" t="str">
        <f>Services!C75</f>
        <v>Localisation des locaux sensibles</v>
      </c>
      <c r="D75" s="149"/>
      <c r="E75" s="149"/>
      <c r="F75" s="149"/>
      <c r="G75" s="149"/>
      <c r="H75" s="149"/>
      <c r="I75" s="140" t="str">
        <f t="shared" si="44"/>
        <v/>
      </c>
      <c r="J75" s="141" t="str">
        <f t="shared" si="45"/>
        <v/>
      </c>
      <c r="K75" s="142"/>
      <c r="L75" s="142"/>
      <c r="M75" s="1708"/>
      <c r="N75" s="1708"/>
      <c r="O75" s="1708"/>
      <c r="P75" s="1708"/>
      <c r="Q75" s="1708"/>
      <c r="R75" s="1708"/>
      <c r="S75" s="1708"/>
      <c r="T75" s="1708"/>
      <c r="U75" s="1708"/>
      <c r="V75" s="1708"/>
      <c r="W75" s="1708"/>
      <c r="X75" s="1712"/>
      <c r="Y75" s="1712"/>
      <c r="Z75" s="1712"/>
      <c r="AA75" s="1712"/>
      <c r="AB75" s="1712"/>
      <c r="AC75" s="1712"/>
      <c r="AD75" s="1712"/>
      <c r="AE75" s="1712"/>
      <c r="AF75" s="1712"/>
      <c r="AG75" s="1712"/>
      <c r="AH75" s="1712"/>
      <c r="AI75" s="1712"/>
      <c r="AJ75" s="1712"/>
      <c r="AK75" s="1712"/>
      <c r="AL75" s="1712"/>
      <c r="AM75" s="1712"/>
      <c r="AN75" s="1712"/>
      <c r="AO75" s="1712"/>
      <c r="AP75" s="1712"/>
      <c r="AQ75" s="1712"/>
      <c r="AR75" s="1712"/>
      <c r="AS75" s="1712"/>
      <c r="AT75" s="1712"/>
      <c r="AU75" s="1712"/>
      <c r="AV75" s="1712"/>
      <c r="AW75" s="1712"/>
      <c r="AX75" s="1713"/>
      <c r="AY75" s="1714" t="str">
        <f t="shared" si="46"/>
        <v/>
      </c>
      <c r="AZ75" s="1714" t="str">
        <f>IF(Obj_PA!D75="","",IF(AY75="","",Obj_PA!D75-AY75))</f>
        <v/>
      </c>
      <c r="BA75" s="150"/>
      <c r="BB75" s="150"/>
      <c r="BC75" s="150"/>
      <c r="BD75" s="150"/>
      <c r="BE75" s="150"/>
      <c r="BF75" s="150"/>
      <c r="BG75" s="150"/>
      <c r="BH75" s="150"/>
      <c r="BI75" s="150"/>
      <c r="BJ75" s="150"/>
      <c r="BK75" s="155" t="str">
        <f t="shared" si="47"/>
        <v/>
      </c>
      <c r="BL75" s="155" t="str">
        <f t="shared" si="48"/>
        <v/>
      </c>
      <c r="BM75" s="155" t="str">
        <f t="shared" si="49"/>
        <v/>
      </c>
      <c r="BN75" s="155" t="str">
        <f t="shared" si="50"/>
        <v/>
      </c>
      <c r="BO75" s="155" t="str">
        <f t="shared" si="51"/>
        <v/>
      </c>
      <c r="BP75" s="155" t="str">
        <f t="shared" si="52"/>
        <v/>
      </c>
      <c r="BQ75" s="155" t="str">
        <f t="shared" si="53"/>
        <v/>
      </c>
      <c r="BR75" s="155" t="str">
        <f t="shared" si="54"/>
        <v/>
      </c>
      <c r="BS75" s="155" t="str">
        <f t="shared" si="55"/>
        <v/>
      </c>
      <c r="BT75" s="155" t="str">
        <f t="shared" si="56"/>
        <v/>
      </c>
      <c r="BU75" s="155" t="str">
        <f t="shared" si="57"/>
        <v/>
      </c>
      <c r="BV75" s="155" t="str">
        <f t="shared" si="58"/>
        <v/>
      </c>
      <c r="BW75" s="155" t="str">
        <f t="shared" si="59"/>
        <v/>
      </c>
      <c r="BX75" s="155" t="str">
        <f t="shared" si="60"/>
        <v/>
      </c>
      <c r="BY75" s="155" t="str">
        <f t="shared" si="61"/>
        <v/>
      </c>
      <c r="BZ75" s="155" t="str">
        <f t="shared" si="62"/>
        <v/>
      </c>
      <c r="CA75" s="155" t="str">
        <f t="shared" si="63"/>
        <v/>
      </c>
      <c r="CB75" s="155" t="str">
        <f t="shared" si="64"/>
        <v/>
      </c>
      <c r="CC75" s="155" t="str">
        <f t="shared" si="65"/>
        <v/>
      </c>
      <c r="CD75" s="155" t="str">
        <f t="shared" si="66"/>
        <v/>
      </c>
      <c r="CE75" s="155" t="str">
        <f t="shared" si="67"/>
        <v/>
      </c>
      <c r="CF75" s="155" t="str">
        <f t="shared" si="68"/>
        <v/>
      </c>
      <c r="CG75" s="155" t="str">
        <f t="shared" si="69"/>
        <v/>
      </c>
      <c r="CH75" s="155" t="str">
        <f t="shared" si="70"/>
        <v/>
      </c>
      <c r="CI75" s="155" t="str">
        <f t="shared" si="71"/>
        <v/>
      </c>
      <c r="CJ75" s="155" t="str">
        <f t="shared" si="72"/>
        <v/>
      </c>
      <c r="CK75" s="155" t="str">
        <f t="shared" si="73"/>
        <v/>
      </c>
      <c r="CL75" s="155" t="str">
        <f t="shared" si="74"/>
        <v/>
      </c>
      <c r="CM75" s="155" t="str">
        <f t="shared" si="75"/>
        <v/>
      </c>
      <c r="CN75" s="155" t="str">
        <f t="shared" si="76"/>
        <v/>
      </c>
      <c r="CO75" s="155" t="str">
        <f t="shared" si="77"/>
        <v/>
      </c>
      <c r="CP75" s="155" t="str">
        <f t="shared" si="78"/>
        <v/>
      </c>
      <c r="CQ75" s="155" t="str">
        <f t="shared" si="79"/>
        <v/>
      </c>
      <c r="CR75" s="155" t="str">
        <f t="shared" si="80"/>
        <v/>
      </c>
      <c r="CS75" s="155" t="str">
        <f t="shared" si="81"/>
        <v/>
      </c>
      <c r="CT75" s="155" t="str">
        <f t="shared" si="82"/>
        <v/>
      </c>
      <c r="CU75" s="155" t="str">
        <f t="shared" si="83"/>
        <v/>
      </c>
      <c r="CV75" s="155" t="str">
        <f t="shared" si="84"/>
        <v/>
      </c>
      <c r="CW75" s="155" t="str">
        <f t="shared" si="85"/>
        <v/>
      </c>
      <c r="CX75" s="155" t="str">
        <f t="shared" si="86"/>
        <v/>
      </c>
    </row>
    <row r="76" spans="1:126" s="151" customFormat="1" ht="14.25" outlineLevel="1" x14ac:dyDescent="0.2">
      <c r="A76" s="146"/>
      <c r="B76" s="147" t="str">
        <f>Services!B76</f>
        <v>03C</v>
      </c>
      <c r="C76" s="148" t="str">
        <f>Services!C76</f>
        <v>Sécurité contre les dégâts des eaux</v>
      </c>
      <c r="D76" s="149"/>
      <c r="E76" s="149"/>
      <c r="F76" s="149"/>
      <c r="G76" s="149"/>
      <c r="H76" s="149"/>
      <c r="I76" s="140" t="str">
        <f t="shared" si="44"/>
        <v/>
      </c>
      <c r="J76" s="141" t="str">
        <f t="shared" si="45"/>
        <v/>
      </c>
      <c r="K76" s="142"/>
      <c r="L76" s="142"/>
      <c r="M76" s="1708"/>
      <c r="N76" s="1708"/>
      <c r="O76" s="1708"/>
      <c r="P76" s="1708"/>
      <c r="Q76" s="1708"/>
      <c r="R76" s="1708"/>
      <c r="S76" s="1708"/>
      <c r="T76" s="1708"/>
      <c r="U76" s="1708"/>
      <c r="V76" s="1708"/>
      <c r="W76" s="1708"/>
      <c r="X76" s="1712"/>
      <c r="Y76" s="1712"/>
      <c r="Z76" s="1712"/>
      <c r="AA76" s="1712"/>
      <c r="AB76" s="1712"/>
      <c r="AC76" s="1712"/>
      <c r="AD76" s="1712"/>
      <c r="AE76" s="1712"/>
      <c r="AF76" s="1712"/>
      <c r="AG76" s="1712"/>
      <c r="AH76" s="1712"/>
      <c r="AI76" s="1712"/>
      <c r="AJ76" s="1712"/>
      <c r="AK76" s="1712"/>
      <c r="AL76" s="1712"/>
      <c r="AM76" s="1712"/>
      <c r="AN76" s="1712"/>
      <c r="AO76" s="1712"/>
      <c r="AP76" s="1712"/>
      <c r="AQ76" s="1712"/>
      <c r="AR76" s="1712"/>
      <c r="AS76" s="1712"/>
      <c r="AT76" s="1712"/>
      <c r="AU76" s="1712"/>
      <c r="AV76" s="1712"/>
      <c r="AW76" s="1712"/>
      <c r="AX76" s="1713"/>
      <c r="AY76" s="1714" t="str">
        <f t="shared" si="46"/>
        <v/>
      </c>
      <c r="AZ76" s="1714" t="str">
        <f>IF(Obj_PA!D76="","",IF(AY76="","",Obj_PA!D76-AY76))</f>
        <v/>
      </c>
      <c r="BA76" s="150"/>
      <c r="BB76" s="150"/>
      <c r="BC76" s="150"/>
      <c r="BD76" s="150"/>
      <c r="BE76" s="150"/>
      <c r="BF76" s="150"/>
      <c r="BG76" s="150"/>
      <c r="BH76" s="150"/>
      <c r="BI76" s="150"/>
      <c r="BJ76" s="150"/>
      <c r="BK76" s="155" t="str">
        <f t="shared" si="47"/>
        <v/>
      </c>
      <c r="BL76" s="155" t="str">
        <f t="shared" si="48"/>
        <v/>
      </c>
      <c r="BM76" s="155" t="str">
        <f t="shared" si="49"/>
        <v/>
      </c>
      <c r="BN76" s="155" t="str">
        <f t="shared" si="50"/>
        <v/>
      </c>
      <c r="BO76" s="155" t="str">
        <f t="shared" si="51"/>
        <v/>
      </c>
      <c r="BP76" s="155" t="str">
        <f t="shared" si="52"/>
        <v/>
      </c>
      <c r="BQ76" s="155" t="str">
        <f t="shared" si="53"/>
        <v/>
      </c>
      <c r="BR76" s="155" t="str">
        <f t="shared" si="54"/>
        <v/>
      </c>
      <c r="BS76" s="155" t="str">
        <f t="shared" si="55"/>
        <v/>
      </c>
      <c r="BT76" s="155" t="str">
        <f t="shared" si="56"/>
        <v/>
      </c>
      <c r="BU76" s="155" t="str">
        <f t="shared" si="57"/>
        <v/>
      </c>
      <c r="BV76" s="155" t="str">
        <f t="shared" si="58"/>
        <v/>
      </c>
      <c r="BW76" s="155" t="str">
        <f t="shared" si="59"/>
        <v/>
      </c>
      <c r="BX76" s="155" t="str">
        <f t="shared" si="60"/>
        <v/>
      </c>
      <c r="BY76" s="155" t="str">
        <f t="shared" si="61"/>
        <v/>
      </c>
      <c r="BZ76" s="155" t="str">
        <f t="shared" si="62"/>
        <v/>
      </c>
      <c r="CA76" s="155" t="str">
        <f t="shared" si="63"/>
        <v/>
      </c>
      <c r="CB76" s="155" t="str">
        <f t="shared" si="64"/>
        <v/>
      </c>
      <c r="CC76" s="155" t="str">
        <f t="shared" si="65"/>
        <v/>
      </c>
      <c r="CD76" s="155" t="str">
        <f t="shared" si="66"/>
        <v/>
      </c>
      <c r="CE76" s="155" t="str">
        <f t="shared" si="67"/>
        <v/>
      </c>
      <c r="CF76" s="155" t="str">
        <f t="shared" si="68"/>
        <v/>
      </c>
      <c r="CG76" s="155" t="str">
        <f t="shared" si="69"/>
        <v/>
      </c>
      <c r="CH76" s="155" t="str">
        <f t="shared" si="70"/>
        <v/>
      </c>
      <c r="CI76" s="155" t="str">
        <f t="shared" si="71"/>
        <v/>
      </c>
      <c r="CJ76" s="155" t="str">
        <f t="shared" si="72"/>
        <v/>
      </c>
      <c r="CK76" s="155" t="str">
        <f t="shared" si="73"/>
        <v/>
      </c>
      <c r="CL76" s="155" t="str">
        <f t="shared" si="74"/>
        <v/>
      </c>
      <c r="CM76" s="155" t="str">
        <f t="shared" si="75"/>
        <v/>
      </c>
      <c r="CN76" s="155" t="str">
        <f t="shared" si="76"/>
        <v/>
      </c>
      <c r="CO76" s="155" t="str">
        <f t="shared" si="77"/>
        <v/>
      </c>
      <c r="CP76" s="155" t="str">
        <f t="shared" si="78"/>
        <v/>
      </c>
      <c r="CQ76" s="155" t="str">
        <f t="shared" si="79"/>
        <v/>
      </c>
      <c r="CR76" s="155" t="str">
        <f t="shared" si="80"/>
        <v/>
      </c>
      <c r="CS76" s="155" t="str">
        <f t="shared" si="81"/>
        <v/>
      </c>
      <c r="CT76" s="155" t="str">
        <f t="shared" si="82"/>
        <v/>
      </c>
      <c r="CU76" s="155" t="str">
        <f t="shared" si="83"/>
        <v/>
      </c>
      <c r="CV76" s="155" t="str">
        <f t="shared" si="84"/>
        <v/>
      </c>
      <c r="CW76" s="155" t="str">
        <f t="shared" si="85"/>
        <v/>
      </c>
      <c r="CX76" s="155" t="str">
        <f t="shared" si="86"/>
        <v/>
      </c>
    </row>
    <row r="77" spans="1:126" s="151" customFormat="1" ht="14.25" outlineLevel="1" x14ac:dyDescent="0.2">
      <c r="A77" s="146"/>
      <c r="B77" s="157" t="str">
        <f>Services!B77</f>
        <v>03C01</v>
      </c>
      <c r="C77" s="153" t="str">
        <f>Services!C77</f>
        <v>Prévention des risques de dégâts des eaux</v>
      </c>
      <c r="D77" s="149">
        <f>1*(8*Plans_action!E5+Plans_action!D5)+1*(8*Plans_action!E13+Plans_action!D13)+1*(8*Plans_action!E200+Plans_action!D200)+1*(8*Plans_action!E207+Plans_action!D207)+1*(8*Plans_action!E215+Plans_action!D215)+1*(8*Plans_action!E224+Plans_action!D224)+1*(8*Plans_action!E240+Plans_action!D240)+1*(8*Plans_action!E249+Plans_action!D249)</f>
        <v>0</v>
      </c>
      <c r="E77" s="149">
        <f>2*(8*Plans_action!E21+Plans_action!D21)+2*(8*Plans_action!E193+Plans_action!D193)+2*(8*Plans_action!E233+Plans_action!D233)</f>
        <v>0</v>
      </c>
      <c r="F77" s="149">
        <f>3*(8*Plans_action!E38+Plans_action!D38)</f>
        <v>0</v>
      </c>
      <c r="G77" s="149">
        <f>4*(8*Plans_action!E33+Plans_action!D33)+4*(8*Plans_action!E188+Plans_action!D188)</f>
        <v>0</v>
      </c>
      <c r="H77" s="149"/>
      <c r="I77" s="140" t="str">
        <f t="shared" si="44"/>
        <v/>
      </c>
      <c r="J77" s="141" t="str">
        <f t="shared" si="45"/>
        <v/>
      </c>
      <c r="K77" s="142"/>
      <c r="L77" s="142"/>
      <c r="M77" s="1708"/>
      <c r="N77" s="1708"/>
      <c r="O77" s="1708"/>
      <c r="P77" s="1708"/>
      <c r="Q77" s="1708"/>
      <c r="R77" s="1708"/>
      <c r="S77" s="1708"/>
      <c r="T77" s="1708"/>
      <c r="U77" s="1708"/>
      <c r="V77" s="1708"/>
      <c r="W77" s="1708"/>
      <c r="X77" s="1712"/>
      <c r="Y77" s="1712"/>
      <c r="Z77" s="1712"/>
      <c r="AA77" s="1712"/>
      <c r="AB77" s="1712"/>
      <c r="AC77" s="1712"/>
      <c r="AD77" s="1712"/>
      <c r="AE77" s="1712"/>
      <c r="AF77" s="1712"/>
      <c r="AG77" s="1712"/>
      <c r="AH77" s="1712"/>
      <c r="AI77" s="1712"/>
      <c r="AJ77" s="1712"/>
      <c r="AK77" s="1712"/>
      <c r="AL77" s="1712"/>
      <c r="AM77" s="1712"/>
      <c r="AN77" s="1712"/>
      <c r="AO77" s="1712"/>
      <c r="AP77" s="1712"/>
      <c r="AQ77" s="1712"/>
      <c r="AR77" s="1712"/>
      <c r="AS77" s="1712"/>
      <c r="AT77" s="1712"/>
      <c r="AU77" s="1712"/>
      <c r="AV77" s="1712"/>
      <c r="AW77" s="1712"/>
      <c r="AX77" s="1713"/>
      <c r="AY77" s="1714" t="str">
        <f t="shared" si="46"/>
        <v/>
      </c>
      <c r="AZ77" s="1714" t="str">
        <f>IF(Obj_PA!D77="","",IF(AY77="","",Obj_PA!D77-AY77))</f>
        <v/>
      </c>
      <c r="BA77" s="150"/>
      <c r="BB77" s="150"/>
      <c r="BC77" s="150"/>
      <c r="BD77" s="150"/>
      <c r="BE77" s="150"/>
      <c r="BF77" s="150"/>
      <c r="BG77" s="150"/>
      <c r="BH77" s="150"/>
      <c r="BI77" s="150"/>
      <c r="BJ77" s="150"/>
      <c r="BK77" s="155" t="str">
        <f t="shared" si="47"/>
        <v/>
      </c>
      <c r="BL77" s="155" t="str">
        <f t="shared" si="48"/>
        <v/>
      </c>
      <c r="BM77" s="155" t="str">
        <f t="shared" si="49"/>
        <v/>
      </c>
      <c r="BN77" s="155" t="str">
        <f t="shared" si="50"/>
        <v/>
      </c>
      <c r="BO77" s="155" t="str">
        <f t="shared" si="51"/>
        <v/>
      </c>
      <c r="BP77" s="155" t="str">
        <f t="shared" si="52"/>
        <v/>
      </c>
      <c r="BQ77" s="155" t="str">
        <f t="shared" si="53"/>
        <v/>
      </c>
      <c r="BR77" s="155" t="str">
        <f t="shared" si="54"/>
        <v/>
      </c>
      <c r="BS77" s="155" t="str">
        <f t="shared" si="55"/>
        <v/>
      </c>
      <c r="BT77" s="155" t="str">
        <f t="shared" si="56"/>
        <v/>
      </c>
      <c r="BU77" s="155" t="str">
        <f t="shared" si="57"/>
        <v/>
      </c>
      <c r="BV77" s="155" t="str">
        <f t="shared" si="58"/>
        <v/>
      </c>
      <c r="BW77" s="155" t="str">
        <f t="shared" si="59"/>
        <v/>
      </c>
      <c r="BX77" s="155" t="str">
        <f t="shared" si="60"/>
        <v/>
      </c>
      <c r="BY77" s="155" t="str">
        <f t="shared" si="61"/>
        <v/>
      </c>
      <c r="BZ77" s="155" t="str">
        <f t="shared" si="62"/>
        <v/>
      </c>
      <c r="CA77" s="155" t="str">
        <f t="shared" si="63"/>
        <v/>
      </c>
      <c r="CB77" s="155" t="str">
        <f t="shared" si="64"/>
        <v/>
      </c>
      <c r="CC77" s="155" t="str">
        <f t="shared" si="65"/>
        <v/>
      </c>
      <c r="CD77" s="155" t="str">
        <f t="shared" si="66"/>
        <v/>
      </c>
      <c r="CE77" s="155" t="str">
        <f t="shared" si="67"/>
        <v/>
      </c>
      <c r="CF77" s="155" t="str">
        <f t="shared" si="68"/>
        <v/>
      </c>
      <c r="CG77" s="155" t="str">
        <f t="shared" si="69"/>
        <v/>
      </c>
      <c r="CH77" s="155" t="str">
        <f t="shared" si="70"/>
        <v/>
      </c>
      <c r="CI77" s="155" t="str">
        <f t="shared" si="71"/>
        <v/>
      </c>
      <c r="CJ77" s="155" t="str">
        <f t="shared" si="72"/>
        <v/>
      </c>
      <c r="CK77" s="155" t="str">
        <f t="shared" si="73"/>
        <v/>
      </c>
      <c r="CL77" s="155" t="str">
        <f t="shared" si="74"/>
        <v/>
      </c>
      <c r="CM77" s="155" t="str">
        <f t="shared" si="75"/>
        <v/>
      </c>
      <c r="CN77" s="155" t="str">
        <f t="shared" si="76"/>
        <v/>
      </c>
      <c r="CO77" s="155" t="str">
        <f t="shared" si="77"/>
        <v/>
      </c>
      <c r="CP77" s="155" t="str">
        <f t="shared" si="78"/>
        <v/>
      </c>
      <c r="CQ77" s="155" t="str">
        <f t="shared" si="79"/>
        <v/>
      </c>
      <c r="CR77" s="155" t="str">
        <f t="shared" si="80"/>
        <v/>
      </c>
      <c r="CS77" s="155" t="str">
        <f t="shared" si="81"/>
        <v/>
      </c>
      <c r="CT77" s="155" t="str">
        <f t="shared" si="82"/>
        <v/>
      </c>
      <c r="CU77" s="155" t="str">
        <f t="shared" si="83"/>
        <v/>
      </c>
      <c r="CV77" s="155" t="str">
        <f t="shared" si="84"/>
        <v/>
      </c>
      <c r="CW77" s="155" t="str">
        <f t="shared" si="85"/>
        <v/>
      </c>
      <c r="CX77" s="155" t="str">
        <f t="shared" si="86"/>
        <v/>
      </c>
      <c r="DV77" s="151">
        <f>IF(INDEX(Tab_actions,70,1)=1,INDEX(Tab_actions,70,4),0)</f>
        <v>0</v>
      </c>
    </row>
    <row r="78" spans="1:126" s="151" customFormat="1" ht="14.25" outlineLevel="1" x14ac:dyDescent="0.2">
      <c r="A78" s="146"/>
      <c r="B78" s="157" t="str">
        <f>Services!B78</f>
        <v>03C02</v>
      </c>
      <c r="C78" s="153" t="str">
        <f>Services!C78</f>
        <v>Détection des dégâts des eaux</v>
      </c>
      <c r="D78" s="149">
        <f>1*(8*Plans_action!E215+Plans_action!D215)+1*(8*Plans_action!E224+Plans_action!D224)+1*(8*Plans_action!E240+Plans_action!D240)+1*(8*Plans_action!E249+Plans_action!D249)</f>
        <v>0</v>
      </c>
      <c r="E78" s="149">
        <f>2*(8*Plans_action!E193+Plans_action!D193)+2*(8*Plans_action!E200+Plans_action!D200)+2*(8*Plans_action!E207+Plans_action!D207)+2*(8*Plans_action!E233+Plans_action!D233)</f>
        <v>0</v>
      </c>
      <c r="F78" s="149">
        <f>3*(8*Plans_action!E188+Plans_action!D188)</f>
        <v>0</v>
      </c>
      <c r="G78" s="149"/>
      <c r="H78" s="149"/>
      <c r="I78" s="140" t="str">
        <f t="shared" si="44"/>
        <v/>
      </c>
      <c r="J78" s="141" t="str">
        <f t="shared" si="45"/>
        <v/>
      </c>
      <c r="K78" s="142"/>
      <c r="L78" s="142"/>
      <c r="M78" s="1708"/>
      <c r="N78" s="1708"/>
      <c r="O78" s="1708"/>
      <c r="P78" s="1708"/>
      <c r="Q78" s="1708"/>
      <c r="R78" s="1708"/>
      <c r="S78" s="1708"/>
      <c r="T78" s="1708"/>
      <c r="U78" s="1708"/>
      <c r="V78" s="1708"/>
      <c r="W78" s="1708"/>
      <c r="X78" s="1712"/>
      <c r="Y78" s="1712"/>
      <c r="Z78" s="1712"/>
      <c r="AA78" s="1712"/>
      <c r="AB78" s="1712"/>
      <c r="AC78" s="1712"/>
      <c r="AD78" s="1712"/>
      <c r="AE78" s="1712"/>
      <c r="AF78" s="1712"/>
      <c r="AG78" s="1712"/>
      <c r="AH78" s="1712"/>
      <c r="AI78" s="1712"/>
      <c r="AJ78" s="1712"/>
      <c r="AK78" s="1712"/>
      <c r="AL78" s="1712"/>
      <c r="AM78" s="1712"/>
      <c r="AN78" s="1712"/>
      <c r="AO78" s="1712"/>
      <c r="AP78" s="1712"/>
      <c r="AQ78" s="1712"/>
      <c r="AR78" s="1712"/>
      <c r="AS78" s="1712"/>
      <c r="AT78" s="1712"/>
      <c r="AU78" s="1712"/>
      <c r="AV78" s="1712"/>
      <c r="AW78" s="1712"/>
      <c r="AX78" s="1713"/>
      <c r="AY78" s="1714" t="str">
        <f t="shared" si="46"/>
        <v/>
      </c>
      <c r="AZ78" s="1714" t="str">
        <f>IF(Obj_PA!D78="","",IF(AY78="","",Obj_PA!D78-AY78))</f>
        <v/>
      </c>
      <c r="BA78" s="150"/>
      <c r="BB78" s="150"/>
      <c r="BC78" s="150"/>
      <c r="BD78" s="150"/>
      <c r="BE78" s="150"/>
      <c r="BF78" s="150"/>
      <c r="BG78" s="150"/>
      <c r="BH78" s="150"/>
      <c r="BI78" s="150"/>
      <c r="BJ78" s="150"/>
      <c r="BK78" s="155" t="str">
        <f t="shared" si="47"/>
        <v/>
      </c>
      <c r="BL78" s="155" t="str">
        <f t="shared" si="48"/>
        <v/>
      </c>
      <c r="BM78" s="155" t="str">
        <f t="shared" si="49"/>
        <v/>
      </c>
      <c r="BN78" s="155" t="str">
        <f t="shared" si="50"/>
        <v/>
      </c>
      <c r="BO78" s="155" t="str">
        <f t="shared" si="51"/>
        <v/>
      </c>
      <c r="BP78" s="155" t="str">
        <f t="shared" si="52"/>
        <v/>
      </c>
      <c r="BQ78" s="155" t="str">
        <f t="shared" si="53"/>
        <v/>
      </c>
      <c r="BR78" s="155" t="str">
        <f t="shared" si="54"/>
        <v/>
      </c>
      <c r="BS78" s="155" t="str">
        <f t="shared" si="55"/>
        <v/>
      </c>
      <c r="BT78" s="155" t="str">
        <f t="shared" si="56"/>
        <v/>
      </c>
      <c r="BU78" s="155" t="str">
        <f t="shared" si="57"/>
        <v/>
      </c>
      <c r="BV78" s="155" t="str">
        <f t="shared" si="58"/>
        <v/>
      </c>
      <c r="BW78" s="155" t="str">
        <f t="shared" si="59"/>
        <v/>
      </c>
      <c r="BX78" s="155" t="str">
        <f t="shared" si="60"/>
        <v/>
      </c>
      <c r="BY78" s="155" t="str">
        <f t="shared" si="61"/>
        <v/>
      </c>
      <c r="BZ78" s="155" t="str">
        <f t="shared" si="62"/>
        <v/>
      </c>
      <c r="CA78" s="155" t="str">
        <f t="shared" si="63"/>
        <v/>
      </c>
      <c r="CB78" s="155" t="str">
        <f t="shared" si="64"/>
        <v/>
      </c>
      <c r="CC78" s="155" t="str">
        <f t="shared" si="65"/>
        <v/>
      </c>
      <c r="CD78" s="155" t="str">
        <f t="shared" si="66"/>
        <v/>
      </c>
      <c r="CE78" s="155" t="str">
        <f t="shared" si="67"/>
        <v/>
      </c>
      <c r="CF78" s="155" t="str">
        <f t="shared" si="68"/>
        <v/>
      </c>
      <c r="CG78" s="155" t="str">
        <f t="shared" si="69"/>
        <v/>
      </c>
      <c r="CH78" s="155" t="str">
        <f t="shared" si="70"/>
        <v/>
      </c>
      <c r="CI78" s="155" t="str">
        <f t="shared" si="71"/>
        <v/>
      </c>
      <c r="CJ78" s="155" t="str">
        <f t="shared" si="72"/>
        <v/>
      </c>
      <c r="CK78" s="155" t="str">
        <f t="shared" si="73"/>
        <v/>
      </c>
      <c r="CL78" s="155" t="str">
        <f t="shared" si="74"/>
        <v/>
      </c>
      <c r="CM78" s="155" t="str">
        <f t="shared" si="75"/>
        <v/>
      </c>
      <c r="CN78" s="155" t="str">
        <f t="shared" si="76"/>
        <v/>
      </c>
      <c r="CO78" s="155" t="str">
        <f t="shared" si="77"/>
        <v/>
      </c>
      <c r="CP78" s="155" t="str">
        <f t="shared" si="78"/>
        <v/>
      </c>
      <c r="CQ78" s="155" t="str">
        <f t="shared" si="79"/>
        <v/>
      </c>
      <c r="CR78" s="155" t="str">
        <f t="shared" si="80"/>
        <v/>
      </c>
      <c r="CS78" s="155" t="str">
        <f t="shared" si="81"/>
        <v/>
      </c>
      <c r="CT78" s="155" t="str">
        <f t="shared" si="82"/>
        <v/>
      </c>
      <c r="CU78" s="155" t="str">
        <f t="shared" si="83"/>
        <v/>
      </c>
      <c r="CV78" s="155" t="str">
        <f t="shared" si="84"/>
        <v/>
      </c>
      <c r="CW78" s="155" t="str">
        <f t="shared" si="85"/>
        <v/>
      </c>
      <c r="CX78" s="155" t="str">
        <f t="shared" si="86"/>
        <v/>
      </c>
    </row>
    <row r="79" spans="1:126" s="151" customFormat="1" ht="14.25" outlineLevel="1" x14ac:dyDescent="0.2">
      <c r="A79" s="146"/>
      <c r="B79" s="157" t="str">
        <f>Services!B79</f>
        <v>03C03</v>
      </c>
      <c r="C79" s="153" t="str">
        <f>Services!C79</f>
        <v>Évacuation de l'eau</v>
      </c>
      <c r="D79" s="149">
        <f>1*(8*Plans_action!E215+Plans_action!D215)+1*(8*Plans_action!E224+Plans_action!D224)+1*(8*Plans_action!E240+Plans_action!D240)+1*(8*Plans_action!E249+Plans_action!D249)</f>
        <v>0</v>
      </c>
      <c r="E79" s="149">
        <f>2*(8*Plans_action!E193+Plans_action!D193)+2*(8*Plans_action!E200+Plans_action!D200)+2*(8*Plans_action!E207+Plans_action!D207)+2*(8*Plans_action!E233+Plans_action!D233)</f>
        <v>0</v>
      </c>
      <c r="F79" s="149">
        <f>3*(8*Plans_action!E188+Plans_action!D188)</f>
        <v>0</v>
      </c>
      <c r="G79" s="149"/>
      <c r="H79" s="149"/>
      <c r="I79" s="140" t="str">
        <f t="shared" si="44"/>
        <v/>
      </c>
      <c r="J79" s="141" t="str">
        <f t="shared" si="45"/>
        <v/>
      </c>
      <c r="K79" s="142"/>
      <c r="L79" s="142"/>
      <c r="M79" s="1708"/>
      <c r="N79" s="1708"/>
      <c r="O79" s="1708"/>
      <c r="P79" s="1708"/>
      <c r="Q79" s="1708"/>
      <c r="R79" s="1708"/>
      <c r="S79" s="1708"/>
      <c r="T79" s="1708"/>
      <c r="U79" s="1708"/>
      <c r="V79" s="1708"/>
      <c r="W79" s="1708"/>
      <c r="X79" s="1712"/>
      <c r="Y79" s="1712"/>
      <c r="Z79" s="1712"/>
      <c r="AA79" s="1712"/>
      <c r="AB79" s="1712"/>
      <c r="AC79" s="1712"/>
      <c r="AD79" s="1712"/>
      <c r="AE79" s="1712"/>
      <c r="AF79" s="1712"/>
      <c r="AG79" s="1712"/>
      <c r="AH79" s="1712"/>
      <c r="AI79" s="1712"/>
      <c r="AJ79" s="1712"/>
      <c r="AK79" s="1712"/>
      <c r="AL79" s="1712"/>
      <c r="AM79" s="1712"/>
      <c r="AN79" s="1712"/>
      <c r="AO79" s="1712"/>
      <c r="AP79" s="1712"/>
      <c r="AQ79" s="1712"/>
      <c r="AR79" s="1712"/>
      <c r="AS79" s="1712"/>
      <c r="AT79" s="1712"/>
      <c r="AU79" s="1712"/>
      <c r="AV79" s="1712"/>
      <c r="AW79" s="1712"/>
      <c r="AX79" s="1713"/>
      <c r="AY79" s="1714" t="str">
        <f t="shared" si="46"/>
        <v/>
      </c>
      <c r="AZ79" s="1714" t="str">
        <f>IF(Obj_PA!D79="","",IF(AY79="","",Obj_PA!D79-AY79))</f>
        <v/>
      </c>
      <c r="BA79" s="150"/>
      <c r="BB79" s="150"/>
      <c r="BC79" s="150"/>
      <c r="BD79" s="150"/>
      <c r="BE79" s="150"/>
      <c r="BF79" s="150"/>
      <c r="BG79" s="150"/>
      <c r="BH79" s="150"/>
      <c r="BI79" s="150"/>
      <c r="BJ79" s="150"/>
      <c r="BK79" s="155" t="str">
        <f t="shared" si="47"/>
        <v/>
      </c>
      <c r="BL79" s="155" t="str">
        <f t="shared" si="48"/>
        <v/>
      </c>
      <c r="BM79" s="155" t="str">
        <f t="shared" si="49"/>
        <v/>
      </c>
      <c r="BN79" s="155" t="str">
        <f t="shared" si="50"/>
        <v/>
      </c>
      <c r="BO79" s="155" t="str">
        <f t="shared" si="51"/>
        <v/>
      </c>
      <c r="BP79" s="155" t="str">
        <f t="shared" si="52"/>
        <v/>
      </c>
      <c r="BQ79" s="155" t="str">
        <f t="shared" si="53"/>
        <v/>
      </c>
      <c r="BR79" s="155" t="str">
        <f t="shared" si="54"/>
        <v/>
      </c>
      <c r="BS79" s="155" t="str">
        <f t="shared" si="55"/>
        <v/>
      </c>
      <c r="BT79" s="155" t="str">
        <f t="shared" si="56"/>
        <v/>
      </c>
      <c r="BU79" s="155" t="str">
        <f t="shared" si="57"/>
        <v/>
      </c>
      <c r="BV79" s="155" t="str">
        <f t="shared" si="58"/>
        <v/>
      </c>
      <c r="BW79" s="155" t="str">
        <f t="shared" si="59"/>
        <v/>
      </c>
      <c r="BX79" s="155" t="str">
        <f t="shared" si="60"/>
        <v/>
      </c>
      <c r="BY79" s="155" t="str">
        <f t="shared" si="61"/>
        <v/>
      </c>
      <c r="BZ79" s="155" t="str">
        <f t="shared" si="62"/>
        <v/>
      </c>
      <c r="CA79" s="155" t="str">
        <f t="shared" si="63"/>
        <v/>
      </c>
      <c r="CB79" s="155" t="str">
        <f t="shared" si="64"/>
        <v/>
      </c>
      <c r="CC79" s="155" t="str">
        <f t="shared" si="65"/>
        <v/>
      </c>
      <c r="CD79" s="155" t="str">
        <f t="shared" si="66"/>
        <v/>
      </c>
      <c r="CE79" s="155" t="str">
        <f t="shared" si="67"/>
        <v/>
      </c>
      <c r="CF79" s="155" t="str">
        <f t="shared" si="68"/>
        <v/>
      </c>
      <c r="CG79" s="155" t="str">
        <f t="shared" si="69"/>
        <v/>
      </c>
      <c r="CH79" s="155" t="str">
        <f t="shared" si="70"/>
        <v/>
      </c>
      <c r="CI79" s="155" t="str">
        <f t="shared" si="71"/>
        <v/>
      </c>
      <c r="CJ79" s="155" t="str">
        <f t="shared" si="72"/>
        <v/>
      </c>
      <c r="CK79" s="155" t="str">
        <f t="shared" si="73"/>
        <v/>
      </c>
      <c r="CL79" s="155" t="str">
        <f t="shared" si="74"/>
        <v/>
      </c>
      <c r="CM79" s="155" t="str">
        <f t="shared" si="75"/>
        <v/>
      </c>
      <c r="CN79" s="155" t="str">
        <f t="shared" si="76"/>
        <v/>
      </c>
      <c r="CO79" s="155" t="str">
        <f t="shared" si="77"/>
        <v/>
      </c>
      <c r="CP79" s="155" t="str">
        <f t="shared" si="78"/>
        <v/>
      </c>
      <c r="CQ79" s="155" t="str">
        <f t="shared" si="79"/>
        <v/>
      </c>
      <c r="CR79" s="155" t="str">
        <f t="shared" si="80"/>
        <v/>
      </c>
      <c r="CS79" s="155" t="str">
        <f t="shared" si="81"/>
        <v/>
      </c>
      <c r="CT79" s="155" t="str">
        <f t="shared" si="82"/>
        <v/>
      </c>
      <c r="CU79" s="155" t="str">
        <f t="shared" si="83"/>
        <v/>
      </c>
      <c r="CV79" s="155" t="str">
        <f t="shared" si="84"/>
        <v/>
      </c>
      <c r="CW79" s="155" t="str">
        <f t="shared" si="85"/>
        <v/>
      </c>
      <c r="CX79" s="155" t="str">
        <f t="shared" si="86"/>
        <v/>
      </c>
    </row>
    <row r="80" spans="1:126" s="151" customFormat="1" ht="14.25" outlineLevel="1" x14ac:dyDescent="0.2">
      <c r="A80" s="156"/>
      <c r="B80" s="147" t="str">
        <f>Services!B80</f>
        <v>03D</v>
      </c>
      <c r="C80" s="148" t="str">
        <f>Services!C80</f>
        <v>Sécurité incendie</v>
      </c>
      <c r="D80" s="149"/>
      <c r="E80" s="149"/>
      <c r="F80" s="149"/>
      <c r="G80" s="149"/>
      <c r="H80" s="149"/>
      <c r="I80" s="140" t="str">
        <f t="shared" si="44"/>
        <v/>
      </c>
      <c r="J80" s="141" t="str">
        <f t="shared" si="45"/>
        <v/>
      </c>
      <c r="K80" s="142"/>
      <c r="L80" s="142"/>
      <c r="M80" s="1708"/>
      <c r="N80" s="1708"/>
      <c r="O80" s="1708"/>
      <c r="P80" s="1708"/>
      <c r="Q80" s="1708"/>
      <c r="R80" s="1708"/>
      <c r="S80" s="1708"/>
      <c r="T80" s="1708"/>
      <c r="U80" s="1708"/>
      <c r="V80" s="1708"/>
      <c r="W80" s="1708"/>
      <c r="X80" s="1712"/>
      <c r="Y80" s="1712"/>
      <c r="Z80" s="1712"/>
      <c r="AA80" s="1712"/>
      <c r="AB80" s="1712"/>
      <c r="AC80" s="1712"/>
      <c r="AD80" s="1712"/>
      <c r="AE80" s="1712"/>
      <c r="AF80" s="1712"/>
      <c r="AG80" s="1712"/>
      <c r="AH80" s="1712"/>
      <c r="AI80" s="1712"/>
      <c r="AJ80" s="1712"/>
      <c r="AK80" s="1712"/>
      <c r="AL80" s="1712"/>
      <c r="AM80" s="1712"/>
      <c r="AN80" s="1712"/>
      <c r="AO80" s="1712"/>
      <c r="AP80" s="1712"/>
      <c r="AQ80" s="1712"/>
      <c r="AR80" s="1712"/>
      <c r="AS80" s="1712"/>
      <c r="AT80" s="1712"/>
      <c r="AU80" s="1712"/>
      <c r="AV80" s="1712"/>
      <c r="AW80" s="1712"/>
      <c r="AX80" s="1713"/>
      <c r="AY80" s="1714" t="str">
        <f t="shared" si="46"/>
        <v/>
      </c>
      <c r="AZ80" s="1714" t="str">
        <f>IF(Obj_PA!D80="","",IF(AY80="","",Obj_PA!D80-AY80))</f>
        <v/>
      </c>
      <c r="BA80" s="150"/>
      <c r="BB80" s="150"/>
      <c r="BC80" s="150"/>
      <c r="BD80" s="150"/>
      <c r="BE80" s="150"/>
      <c r="BF80" s="150"/>
      <c r="BG80" s="150"/>
      <c r="BH80" s="150"/>
      <c r="BI80" s="150"/>
      <c r="BJ80" s="150"/>
      <c r="BK80" s="155" t="str">
        <f t="shared" si="47"/>
        <v/>
      </c>
      <c r="BL80" s="155" t="str">
        <f t="shared" si="48"/>
        <v/>
      </c>
      <c r="BM80" s="155" t="str">
        <f t="shared" si="49"/>
        <v/>
      </c>
      <c r="BN80" s="155" t="str">
        <f t="shared" si="50"/>
        <v/>
      </c>
      <c r="BO80" s="155" t="str">
        <f t="shared" si="51"/>
        <v/>
      </c>
      <c r="BP80" s="155" t="str">
        <f t="shared" si="52"/>
        <v/>
      </c>
      <c r="BQ80" s="155" t="str">
        <f t="shared" si="53"/>
        <v/>
      </c>
      <c r="BR80" s="155" t="str">
        <f t="shared" si="54"/>
        <v/>
      </c>
      <c r="BS80" s="155" t="str">
        <f t="shared" si="55"/>
        <v/>
      </c>
      <c r="BT80" s="155" t="str">
        <f t="shared" si="56"/>
        <v/>
      </c>
      <c r="BU80" s="155" t="str">
        <f t="shared" si="57"/>
        <v/>
      </c>
      <c r="BV80" s="155" t="str">
        <f t="shared" si="58"/>
        <v/>
      </c>
      <c r="BW80" s="155" t="str">
        <f t="shared" si="59"/>
        <v/>
      </c>
      <c r="BX80" s="155" t="str">
        <f t="shared" si="60"/>
        <v/>
      </c>
      <c r="BY80" s="155" t="str">
        <f t="shared" si="61"/>
        <v/>
      </c>
      <c r="BZ80" s="155" t="str">
        <f t="shared" si="62"/>
        <v/>
      </c>
      <c r="CA80" s="155" t="str">
        <f t="shared" si="63"/>
        <v/>
      </c>
      <c r="CB80" s="155" t="str">
        <f t="shared" si="64"/>
        <v/>
      </c>
      <c r="CC80" s="155" t="str">
        <f t="shared" si="65"/>
        <v/>
      </c>
      <c r="CD80" s="155" t="str">
        <f t="shared" si="66"/>
        <v/>
      </c>
      <c r="CE80" s="155" t="str">
        <f t="shared" si="67"/>
        <v/>
      </c>
      <c r="CF80" s="155" t="str">
        <f t="shared" si="68"/>
        <v/>
      </c>
      <c r="CG80" s="155" t="str">
        <f t="shared" si="69"/>
        <v/>
      </c>
      <c r="CH80" s="155" t="str">
        <f t="shared" si="70"/>
        <v/>
      </c>
      <c r="CI80" s="155" t="str">
        <f t="shared" si="71"/>
        <v/>
      </c>
      <c r="CJ80" s="155" t="str">
        <f t="shared" si="72"/>
        <v/>
      </c>
      <c r="CK80" s="155" t="str">
        <f t="shared" si="73"/>
        <v/>
      </c>
      <c r="CL80" s="155" t="str">
        <f t="shared" si="74"/>
        <v/>
      </c>
      <c r="CM80" s="155" t="str">
        <f t="shared" si="75"/>
        <v/>
      </c>
      <c r="CN80" s="155" t="str">
        <f t="shared" si="76"/>
        <v/>
      </c>
      <c r="CO80" s="155" t="str">
        <f t="shared" si="77"/>
        <v/>
      </c>
      <c r="CP80" s="155" t="str">
        <f t="shared" si="78"/>
        <v/>
      </c>
      <c r="CQ80" s="155" t="str">
        <f t="shared" si="79"/>
        <v/>
      </c>
      <c r="CR80" s="155" t="str">
        <f t="shared" si="80"/>
        <v/>
      </c>
      <c r="CS80" s="155" t="str">
        <f t="shared" si="81"/>
        <v/>
      </c>
      <c r="CT80" s="155" t="str">
        <f t="shared" si="82"/>
        <v/>
      </c>
      <c r="CU80" s="155" t="str">
        <f t="shared" si="83"/>
        <v/>
      </c>
      <c r="CV80" s="155" t="str">
        <f t="shared" si="84"/>
        <v/>
      </c>
      <c r="CW80" s="155" t="str">
        <f t="shared" si="85"/>
        <v/>
      </c>
      <c r="CX80" s="155" t="str">
        <f t="shared" si="86"/>
        <v/>
      </c>
    </row>
    <row r="81" spans="1:126" s="151" customFormat="1" ht="14.25" outlineLevel="1" x14ac:dyDescent="0.2">
      <c r="A81" s="156"/>
      <c r="B81" s="157" t="str">
        <f>Services!B81</f>
        <v>03D01</v>
      </c>
      <c r="C81" s="153" t="str">
        <f>Services!C81</f>
        <v>Prévention des risques d'incendie</v>
      </c>
      <c r="D81" s="149">
        <f>1*(8*Plans_action!E5+Plans_action!D5)+1*(8*Plans_action!E13+Plans_action!D13)+1*(8*Plans_action!E200+Plans_action!D200)+1*(8*Plans_action!E207+Plans_action!D207)+1*(8*Plans_action!E215+Plans_action!D215)+1*(8*Plans_action!E224+Plans_action!D224)+1*(8*Plans_action!E240+Plans_action!D240)+1*(8*Plans_action!E249+Plans_action!D249)</f>
        <v>0</v>
      </c>
      <c r="E81" s="149">
        <f>2*(8*Plans_action!E21+Plans_action!D21)+2*(8*Plans_action!E193+Plans_action!D193)+2*(8*Plans_action!E233+Plans_action!D233)</f>
        <v>0</v>
      </c>
      <c r="F81" s="149">
        <f>3*(8*Plans_action!E38+Plans_action!D38)</f>
        <v>0</v>
      </c>
      <c r="G81" s="149">
        <f>4*(8*Plans_action!E33+Plans_action!D33)+4*(8*Plans_action!E188+Plans_action!D188)</f>
        <v>0</v>
      </c>
      <c r="H81" s="149"/>
      <c r="I81" s="140" t="str">
        <f t="shared" si="44"/>
        <v/>
      </c>
      <c r="J81" s="141" t="str">
        <f t="shared" si="45"/>
        <v/>
      </c>
      <c r="K81" s="142"/>
      <c r="L81" s="142"/>
      <c r="M81" s="1708"/>
      <c r="N81" s="1708"/>
      <c r="O81" s="1708"/>
      <c r="P81" s="1708"/>
      <c r="Q81" s="1708"/>
      <c r="R81" s="1708"/>
      <c r="S81" s="1708"/>
      <c r="T81" s="1708"/>
      <c r="U81" s="1708"/>
      <c r="V81" s="1708"/>
      <c r="W81" s="1708"/>
      <c r="X81" s="1712"/>
      <c r="Y81" s="1712"/>
      <c r="Z81" s="1712"/>
      <c r="AA81" s="1712"/>
      <c r="AB81" s="1712"/>
      <c r="AC81" s="1712"/>
      <c r="AD81" s="1712"/>
      <c r="AE81" s="1712"/>
      <c r="AF81" s="1712"/>
      <c r="AG81" s="1712"/>
      <c r="AH81" s="1712"/>
      <c r="AI81" s="1712"/>
      <c r="AJ81" s="1712"/>
      <c r="AK81" s="1712"/>
      <c r="AL81" s="1712"/>
      <c r="AM81" s="1712"/>
      <c r="AN81" s="1712"/>
      <c r="AO81" s="1712"/>
      <c r="AP81" s="1712"/>
      <c r="AQ81" s="1712"/>
      <c r="AR81" s="1712"/>
      <c r="AS81" s="1712"/>
      <c r="AT81" s="1712"/>
      <c r="AU81" s="1712"/>
      <c r="AV81" s="1712"/>
      <c r="AW81" s="1712"/>
      <c r="AX81" s="1713"/>
      <c r="AY81" s="1714" t="str">
        <f t="shared" si="46"/>
        <v/>
      </c>
      <c r="AZ81" s="1714" t="str">
        <f>IF(Obj_PA!D81="","",IF(AY81="","",Obj_PA!D81-AY81))</f>
        <v/>
      </c>
      <c r="BA81" s="150"/>
      <c r="BB81" s="150"/>
      <c r="BC81" s="150"/>
      <c r="BD81" s="150"/>
      <c r="BE81" s="150"/>
      <c r="BF81" s="150"/>
      <c r="BG81" s="150"/>
      <c r="BH81" s="150"/>
      <c r="BI81" s="150"/>
      <c r="BJ81" s="150"/>
      <c r="BK81" s="155" t="str">
        <f t="shared" si="47"/>
        <v/>
      </c>
      <c r="BL81" s="155" t="str">
        <f t="shared" si="48"/>
        <v/>
      </c>
      <c r="BM81" s="155" t="str">
        <f t="shared" si="49"/>
        <v/>
      </c>
      <c r="BN81" s="155" t="str">
        <f t="shared" si="50"/>
        <v/>
      </c>
      <c r="BO81" s="155" t="str">
        <f t="shared" si="51"/>
        <v/>
      </c>
      <c r="BP81" s="155" t="str">
        <f t="shared" si="52"/>
        <v/>
      </c>
      <c r="BQ81" s="155" t="str">
        <f t="shared" si="53"/>
        <v/>
      </c>
      <c r="BR81" s="155" t="str">
        <f t="shared" si="54"/>
        <v/>
      </c>
      <c r="BS81" s="155" t="str">
        <f t="shared" si="55"/>
        <v/>
      </c>
      <c r="BT81" s="155" t="str">
        <f t="shared" si="56"/>
        <v/>
      </c>
      <c r="BU81" s="155" t="str">
        <f t="shared" si="57"/>
        <v/>
      </c>
      <c r="BV81" s="155" t="str">
        <f t="shared" si="58"/>
        <v/>
      </c>
      <c r="BW81" s="155" t="str">
        <f t="shared" si="59"/>
        <v/>
      </c>
      <c r="BX81" s="155" t="str">
        <f t="shared" si="60"/>
        <v/>
      </c>
      <c r="BY81" s="155" t="str">
        <f t="shared" si="61"/>
        <v/>
      </c>
      <c r="BZ81" s="155" t="str">
        <f t="shared" si="62"/>
        <v/>
      </c>
      <c r="CA81" s="155" t="str">
        <f t="shared" si="63"/>
        <v/>
      </c>
      <c r="CB81" s="155" t="str">
        <f t="shared" si="64"/>
        <v/>
      </c>
      <c r="CC81" s="155" t="str">
        <f t="shared" si="65"/>
        <v/>
      </c>
      <c r="CD81" s="155" t="str">
        <f t="shared" si="66"/>
        <v/>
      </c>
      <c r="CE81" s="155" t="str">
        <f t="shared" si="67"/>
        <v/>
      </c>
      <c r="CF81" s="155" t="str">
        <f t="shared" si="68"/>
        <v/>
      </c>
      <c r="CG81" s="155" t="str">
        <f t="shared" si="69"/>
        <v/>
      </c>
      <c r="CH81" s="155" t="str">
        <f t="shared" si="70"/>
        <v/>
      </c>
      <c r="CI81" s="155" t="str">
        <f t="shared" si="71"/>
        <v/>
      </c>
      <c r="CJ81" s="155" t="str">
        <f t="shared" si="72"/>
        <v/>
      </c>
      <c r="CK81" s="155" t="str">
        <f t="shared" si="73"/>
        <v/>
      </c>
      <c r="CL81" s="155" t="str">
        <f t="shared" si="74"/>
        <v/>
      </c>
      <c r="CM81" s="155" t="str">
        <f t="shared" si="75"/>
        <v/>
      </c>
      <c r="CN81" s="155" t="str">
        <f t="shared" si="76"/>
        <v/>
      </c>
      <c r="CO81" s="155" t="str">
        <f t="shared" si="77"/>
        <v/>
      </c>
      <c r="CP81" s="155" t="str">
        <f t="shared" si="78"/>
        <v/>
      </c>
      <c r="CQ81" s="155" t="str">
        <f t="shared" si="79"/>
        <v/>
      </c>
      <c r="CR81" s="155" t="str">
        <f t="shared" si="80"/>
        <v/>
      </c>
      <c r="CS81" s="155" t="str">
        <f t="shared" si="81"/>
        <v/>
      </c>
      <c r="CT81" s="155" t="str">
        <f t="shared" si="82"/>
        <v/>
      </c>
      <c r="CU81" s="155" t="str">
        <f t="shared" si="83"/>
        <v/>
      </c>
      <c r="CV81" s="155" t="str">
        <f t="shared" si="84"/>
        <v/>
      </c>
      <c r="CW81" s="155" t="str">
        <f t="shared" si="85"/>
        <v/>
      </c>
      <c r="CX81" s="155" t="str">
        <f t="shared" si="86"/>
        <v/>
      </c>
      <c r="DV81" s="151">
        <f>IF(INDEX(Tab_actions,70,1)=1,INDEX(Tab_actions,70,6),0)</f>
        <v>0</v>
      </c>
    </row>
    <row r="82" spans="1:126" s="151" customFormat="1" ht="14.25" outlineLevel="1" x14ac:dyDescent="0.2">
      <c r="A82" s="146"/>
      <c r="B82" s="157" t="str">
        <f>Services!B82</f>
        <v>03D02</v>
      </c>
      <c r="C82" s="153" t="str">
        <f>Services!C82</f>
        <v>Détection d'incendie</v>
      </c>
      <c r="D82" s="149">
        <f>1*(8*Plans_action!E215+Plans_action!D215)+1*(8*Plans_action!E224+Plans_action!D224)+1*(8*Plans_action!E240+Plans_action!D240)+1*(8*Plans_action!E249+Plans_action!D249)</f>
        <v>0</v>
      </c>
      <c r="E82" s="149">
        <f>2*(8*Plans_action!E193+Plans_action!D193)+2*(8*Plans_action!E200+Plans_action!D200)+2*(8*Plans_action!E207+Plans_action!D207)+2*(8*Plans_action!E233+Plans_action!D233)</f>
        <v>0</v>
      </c>
      <c r="F82" s="149">
        <f>3*(8*Plans_action!E188+Plans_action!D188)</f>
        <v>0</v>
      </c>
      <c r="G82" s="149"/>
      <c r="H82" s="149"/>
      <c r="I82" s="140" t="str">
        <f t="shared" si="44"/>
        <v/>
      </c>
      <c r="J82" s="141" t="str">
        <f t="shared" si="45"/>
        <v/>
      </c>
      <c r="K82" s="142"/>
      <c r="L82" s="142"/>
      <c r="M82" s="1708"/>
      <c r="N82" s="1708"/>
      <c r="O82" s="1708"/>
      <c r="P82" s="1708"/>
      <c r="Q82" s="1708"/>
      <c r="R82" s="1708"/>
      <c r="S82" s="1708"/>
      <c r="T82" s="1708"/>
      <c r="U82" s="1708"/>
      <c r="V82" s="1708"/>
      <c r="W82" s="1708"/>
      <c r="X82" s="1712"/>
      <c r="Y82" s="1712"/>
      <c r="Z82" s="1712"/>
      <c r="AA82" s="1712"/>
      <c r="AB82" s="1712"/>
      <c r="AC82" s="1712"/>
      <c r="AD82" s="1712"/>
      <c r="AE82" s="1712"/>
      <c r="AF82" s="1712"/>
      <c r="AG82" s="1712"/>
      <c r="AH82" s="1712"/>
      <c r="AI82" s="1712"/>
      <c r="AJ82" s="1712"/>
      <c r="AK82" s="1712"/>
      <c r="AL82" s="1712"/>
      <c r="AM82" s="1712"/>
      <c r="AN82" s="1712"/>
      <c r="AO82" s="1712"/>
      <c r="AP82" s="1712"/>
      <c r="AQ82" s="1712"/>
      <c r="AR82" s="1712"/>
      <c r="AS82" s="1712"/>
      <c r="AT82" s="1712"/>
      <c r="AU82" s="1712"/>
      <c r="AV82" s="1712"/>
      <c r="AW82" s="1712"/>
      <c r="AX82" s="1713"/>
      <c r="AY82" s="1714" t="str">
        <f t="shared" si="46"/>
        <v/>
      </c>
      <c r="AZ82" s="1714" t="str">
        <f>IF(Obj_PA!D82="","",IF(AY82="","",Obj_PA!D82-AY82))</f>
        <v/>
      </c>
      <c r="BA82" s="150"/>
      <c r="BB82" s="150"/>
      <c r="BC82" s="150"/>
      <c r="BD82" s="150"/>
      <c r="BE82" s="150"/>
      <c r="BF82" s="150"/>
      <c r="BG82" s="150"/>
      <c r="BH82" s="150"/>
      <c r="BI82" s="150"/>
      <c r="BJ82" s="150"/>
      <c r="BK82" s="155" t="str">
        <f t="shared" si="47"/>
        <v/>
      </c>
      <c r="BL82" s="155" t="str">
        <f t="shared" si="48"/>
        <v/>
      </c>
      <c r="BM82" s="155" t="str">
        <f t="shared" si="49"/>
        <v/>
      </c>
      <c r="BN82" s="155" t="str">
        <f t="shared" si="50"/>
        <v/>
      </c>
      <c r="BO82" s="155" t="str">
        <f t="shared" si="51"/>
        <v/>
      </c>
      <c r="BP82" s="155" t="str">
        <f t="shared" si="52"/>
        <v/>
      </c>
      <c r="BQ82" s="155" t="str">
        <f t="shared" si="53"/>
        <v/>
      </c>
      <c r="BR82" s="155" t="str">
        <f t="shared" si="54"/>
        <v/>
      </c>
      <c r="BS82" s="155" t="str">
        <f t="shared" si="55"/>
        <v/>
      </c>
      <c r="BT82" s="155" t="str">
        <f t="shared" si="56"/>
        <v/>
      </c>
      <c r="BU82" s="155" t="str">
        <f t="shared" si="57"/>
        <v/>
      </c>
      <c r="BV82" s="155" t="str">
        <f t="shared" si="58"/>
        <v/>
      </c>
      <c r="BW82" s="155" t="str">
        <f t="shared" si="59"/>
        <v/>
      </c>
      <c r="BX82" s="155" t="str">
        <f t="shared" si="60"/>
        <v/>
      </c>
      <c r="BY82" s="155" t="str">
        <f t="shared" si="61"/>
        <v/>
      </c>
      <c r="BZ82" s="155" t="str">
        <f t="shared" si="62"/>
        <v/>
      </c>
      <c r="CA82" s="155" t="str">
        <f t="shared" si="63"/>
        <v/>
      </c>
      <c r="CB82" s="155" t="str">
        <f t="shared" si="64"/>
        <v/>
      </c>
      <c r="CC82" s="155" t="str">
        <f t="shared" si="65"/>
        <v/>
      </c>
      <c r="CD82" s="155" t="str">
        <f t="shared" si="66"/>
        <v/>
      </c>
      <c r="CE82" s="155" t="str">
        <f t="shared" si="67"/>
        <v/>
      </c>
      <c r="CF82" s="155" t="str">
        <f t="shared" si="68"/>
        <v/>
      </c>
      <c r="CG82" s="155" t="str">
        <f t="shared" si="69"/>
        <v/>
      </c>
      <c r="CH82" s="155" t="str">
        <f t="shared" si="70"/>
        <v/>
      </c>
      <c r="CI82" s="155" t="str">
        <f t="shared" si="71"/>
        <v/>
      </c>
      <c r="CJ82" s="155" t="str">
        <f t="shared" si="72"/>
        <v/>
      </c>
      <c r="CK82" s="155" t="str">
        <f t="shared" si="73"/>
        <v/>
      </c>
      <c r="CL82" s="155" t="str">
        <f t="shared" si="74"/>
        <v/>
      </c>
      <c r="CM82" s="155" t="str">
        <f t="shared" si="75"/>
        <v/>
      </c>
      <c r="CN82" s="155" t="str">
        <f t="shared" si="76"/>
        <v/>
      </c>
      <c r="CO82" s="155" t="str">
        <f t="shared" si="77"/>
        <v/>
      </c>
      <c r="CP82" s="155" t="str">
        <f t="shared" si="78"/>
        <v/>
      </c>
      <c r="CQ82" s="155" t="str">
        <f t="shared" si="79"/>
        <v/>
      </c>
      <c r="CR82" s="155" t="str">
        <f t="shared" si="80"/>
        <v/>
      </c>
      <c r="CS82" s="155" t="str">
        <f t="shared" si="81"/>
        <v/>
      </c>
      <c r="CT82" s="155" t="str">
        <f t="shared" si="82"/>
        <v/>
      </c>
      <c r="CU82" s="155" t="str">
        <f t="shared" si="83"/>
        <v/>
      </c>
      <c r="CV82" s="155" t="str">
        <f t="shared" si="84"/>
        <v/>
      </c>
      <c r="CW82" s="155" t="str">
        <f t="shared" si="85"/>
        <v/>
      </c>
      <c r="CX82" s="155" t="str">
        <f t="shared" si="86"/>
        <v/>
      </c>
    </row>
    <row r="83" spans="1:126" s="151" customFormat="1" ht="14.25" outlineLevel="1" x14ac:dyDescent="0.2">
      <c r="A83" s="146"/>
      <c r="B83" s="157" t="str">
        <f>Services!B83</f>
        <v>03D03</v>
      </c>
      <c r="C83" s="153" t="str">
        <f>Services!C83</f>
        <v>Extinction d'incendie</v>
      </c>
      <c r="D83" s="149">
        <f>1*(8*Plans_action!E215+Plans_action!D215)+1*(8*Plans_action!E224+Plans_action!D224)+1*(8*Plans_action!E240+Plans_action!D240)+1*(8*Plans_action!E249+Plans_action!D249)</f>
        <v>0</v>
      </c>
      <c r="E83" s="149">
        <f>2*(8*Plans_action!E193+Plans_action!D193)+2*(8*Plans_action!E200+Plans_action!D200)+2*(8*Plans_action!E207+Plans_action!D207)+2*(8*Plans_action!E233+Plans_action!D233)</f>
        <v>0</v>
      </c>
      <c r="F83" s="149">
        <f>3*(8*Plans_action!E188+Plans_action!D188)</f>
        <v>0</v>
      </c>
      <c r="G83" s="149"/>
      <c r="H83" s="149"/>
      <c r="I83" s="140" t="str">
        <f t="shared" si="44"/>
        <v/>
      </c>
      <c r="J83" s="141" t="str">
        <f t="shared" si="45"/>
        <v/>
      </c>
      <c r="K83" s="142"/>
      <c r="L83" s="142"/>
      <c r="M83" s="1708"/>
      <c r="N83" s="1708"/>
      <c r="O83" s="1708"/>
      <c r="P83" s="1708"/>
      <c r="Q83" s="1708"/>
      <c r="R83" s="1708"/>
      <c r="S83" s="1708"/>
      <c r="T83" s="1708"/>
      <c r="U83" s="1708"/>
      <c r="V83" s="1708"/>
      <c r="W83" s="1708"/>
      <c r="X83" s="1712"/>
      <c r="Y83" s="1712"/>
      <c r="Z83" s="1712"/>
      <c r="AA83" s="1712"/>
      <c r="AB83" s="1712"/>
      <c r="AC83" s="1712"/>
      <c r="AD83" s="1712"/>
      <c r="AE83" s="1712"/>
      <c r="AF83" s="1712"/>
      <c r="AG83" s="1712"/>
      <c r="AH83" s="1712"/>
      <c r="AI83" s="1712"/>
      <c r="AJ83" s="1712"/>
      <c r="AK83" s="1712"/>
      <c r="AL83" s="1712"/>
      <c r="AM83" s="1712"/>
      <c r="AN83" s="1712"/>
      <c r="AO83" s="1712"/>
      <c r="AP83" s="1712"/>
      <c r="AQ83" s="1712"/>
      <c r="AR83" s="1712"/>
      <c r="AS83" s="1712"/>
      <c r="AT83" s="1712"/>
      <c r="AU83" s="1712"/>
      <c r="AV83" s="1712"/>
      <c r="AW83" s="1712"/>
      <c r="AX83" s="1713"/>
      <c r="AY83" s="1714" t="str">
        <f t="shared" si="46"/>
        <v/>
      </c>
      <c r="AZ83" s="1714" t="str">
        <f>IF(Obj_PA!D83="","",IF(AY83="","",Obj_PA!D83-AY83))</f>
        <v/>
      </c>
      <c r="BA83" s="150"/>
      <c r="BB83" s="150"/>
      <c r="BC83" s="150"/>
      <c r="BD83" s="150"/>
      <c r="BE83" s="150"/>
      <c r="BF83" s="150"/>
      <c r="BG83" s="150"/>
      <c r="BH83" s="150"/>
      <c r="BI83" s="150"/>
      <c r="BJ83" s="150"/>
      <c r="BK83" s="155" t="str">
        <f t="shared" si="47"/>
        <v/>
      </c>
      <c r="BL83" s="155" t="str">
        <f t="shared" si="48"/>
        <v/>
      </c>
      <c r="BM83" s="155" t="str">
        <f t="shared" si="49"/>
        <v/>
      </c>
      <c r="BN83" s="155" t="str">
        <f t="shared" si="50"/>
        <v/>
      </c>
      <c r="BO83" s="155" t="str">
        <f t="shared" si="51"/>
        <v/>
      </c>
      <c r="BP83" s="155" t="str">
        <f t="shared" si="52"/>
        <v/>
      </c>
      <c r="BQ83" s="155" t="str">
        <f t="shared" si="53"/>
        <v/>
      </c>
      <c r="BR83" s="155" t="str">
        <f t="shared" si="54"/>
        <v/>
      </c>
      <c r="BS83" s="155" t="str">
        <f t="shared" si="55"/>
        <v/>
      </c>
      <c r="BT83" s="155" t="str">
        <f t="shared" si="56"/>
        <v/>
      </c>
      <c r="BU83" s="155" t="str">
        <f t="shared" si="57"/>
        <v/>
      </c>
      <c r="BV83" s="155" t="str">
        <f t="shared" si="58"/>
        <v/>
      </c>
      <c r="BW83" s="155" t="str">
        <f t="shared" si="59"/>
        <v/>
      </c>
      <c r="BX83" s="155" t="str">
        <f t="shared" si="60"/>
        <v/>
      </c>
      <c r="BY83" s="155" t="str">
        <f t="shared" si="61"/>
        <v/>
      </c>
      <c r="BZ83" s="155" t="str">
        <f t="shared" si="62"/>
        <v/>
      </c>
      <c r="CA83" s="155" t="str">
        <f t="shared" si="63"/>
        <v/>
      </c>
      <c r="CB83" s="155" t="str">
        <f t="shared" si="64"/>
        <v/>
      </c>
      <c r="CC83" s="155" t="str">
        <f t="shared" si="65"/>
        <v/>
      </c>
      <c r="CD83" s="155" t="str">
        <f t="shared" si="66"/>
        <v/>
      </c>
      <c r="CE83" s="155" t="str">
        <f t="shared" si="67"/>
        <v/>
      </c>
      <c r="CF83" s="155" t="str">
        <f t="shared" si="68"/>
        <v/>
      </c>
      <c r="CG83" s="155" t="str">
        <f t="shared" si="69"/>
        <v/>
      </c>
      <c r="CH83" s="155" t="str">
        <f t="shared" si="70"/>
        <v/>
      </c>
      <c r="CI83" s="155" t="str">
        <f t="shared" si="71"/>
        <v/>
      </c>
      <c r="CJ83" s="155" t="str">
        <f t="shared" si="72"/>
        <v/>
      </c>
      <c r="CK83" s="155" t="str">
        <f t="shared" si="73"/>
        <v/>
      </c>
      <c r="CL83" s="155" t="str">
        <f t="shared" si="74"/>
        <v/>
      </c>
      <c r="CM83" s="155" t="str">
        <f t="shared" si="75"/>
        <v/>
      </c>
      <c r="CN83" s="155" t="str">
        <f t="shared" si="76"/>
        <v/>
      </c>
      <c r="CO83" s="155" t="str">
        <f t="shared" si="77"/>
        <v/>
      </c>
      <c r="CP83" s="155" t="str">
        <f t="shared" si="78"/>
        <v/>
      </c>
      <c r="CQ83" s="155" t="str">
        <f t="shared" si="79"/>
        <v/>
      </c>
      <c r="CR83" s="155" t="str">
        <f t="shared" si="80"/>
        <v/>
      </c>
      <c r="CS83" s="155" t="str">
        <f t="shared" si="81"/>
        <v/>
      </c>
      <c r="CT83" s="155" t="str">
        <f t="shared" si="82"/>
        <v/>
      </c>
      <c r="CU83" s="155" t="str">
        <f t="shared" si="83"/>
        <v/>
      </c>
      <c r="CV83" s="155" t="str">
        <f t="shared" si="84"/>
        <v/>
      </c>
      <c r="CW83" s="155" t="str">
        <f t="shared" si="85"/>
        <v/>
      </c>
      <c r="CX83" s="155" t="str">
        <f t="shared" si="86"/>
        <v/>
      </c>
    </row>
    <row r="84" spans="1:126" ht="15" x14ac:dyDescent="0.2">
      <c r="A84" s="136" t="s">
        <v>2246</v>
      </c>
      <c r="B84" s="2153" t="str">
        <f>Services!B84</f>
        <v>Réseau étendu intersites (04 Wan)</v>
      </c>
      <c r="C84" s="2154">
        <v>0</v>
      </c>
      <c r="D84" s="149"/>
      <c r="E84" s="149"/>
      <c r="F84" s="149"/>
      <c r="G84" s="149"/>
      <c r="H84" s="149"/>
      <c r="I84" s="140" t="str">
        <f t="shared" si="44"/>
        <v/>
      </c>
      <c r="J84" s="141" t="str">
        <f t="shared" si="45"/>
        <v/>
      </c>
      <c r="K84" s="142"/>
      <c r="L84" s="142"/>
      <c r="M84" s="1708"/>
      <c r="N84" s="1708"/>
      <c r="O84" s="1708"/>
      <c r="P84" s="1708"/>
      <c r="Q84" s="1708"/>
      <c r="R84" s="1708"/>
      <c r="S84" s="1708"/>
      <c r="T84" s="1708"/>
      <c r="U84" s="1708"/>
      <c r="V84" s="1708"/>
      <c r="W84" s="1708"/>
      <c r="X84" s="1709"/>
      <c r="Y84" s="1709"/>
      <c r="Z84" s="1709"/>
      <c r="AA84" s="1709"/>
      <c r="AB84" s="1709"/>
      <c r="AC84" s="1709"/>
      <c r="AD84" s="1709"/>
      <c r="AE84" s="1709"/>
      <c r="AF84" s="1709"/>
      <c r="AG84" s="1709"/>
      <c r="AH84" s="1709"/>
      <c r="AI84" s="1709"/>
      <c r="AJ84" s="1709"/>
      <c r="AK84" s="1709"/>
      <c r="AL84" s="1709"/>
      <c r="AM84" s="1709"/>
      <c r="AN84" s="1709"/>
      <c r="AO84" s="1709"/>
      <c r="AP84" s="1709"/>
      <c r="AQ84" s="1709"/>
      <c r="AR84" s="1709"/>
      <c r="AS84" s="1709"/>
      <c r="AT84" s="1709"/>
      <c r="AU84" s="1709"/>
      <c r="AV84" s="1709"/>
      <c r="AW84" s="1709"/>
      <c r="AX84" s="1710"/>
      <c r="AY84" s="1714" t="str">
        <f t="shared" si="46"/>
        <v/>
      </c>
      <c r="AZ84" s="1714" t="str">
        <f>IF(Obj_PA!D84="","",IF(AY84="","",Obj_PA!D84-AY84))</f>
        <v/>
      </c>
      <c r="BK84" s="155" t="str">
        <f t="shared" si="47"/>
        <v/>
      </c>
      <c r="BL84" s="155" t="str">
        <f t="shared" si="48"/>
        <v/>
      </c>
      <c r="BM84" s="155" t="str">
        <f t="shared" si="49"/>
        <v/>
      </c>
      <c r="BN84" s="155" t="str">
        <f t="shared" si="50"/>
        <v/>
      </c>
      <c r="BO84" s="155" t="str">
        <f t="shared" si="51"/>
        <v/>
      </c>
      <c r="BP84" s="155" t="str">
        <f t="shared" si="52"/>
        <v/>
      </c>
      <c r="BQ84" s="155" t="str">
        <f t="shared" si="53"/>
        <v/>
      </c>
      <c r="BR84" s="155" t="str">
        <f t="shared" si="54"/>
        <v/>
      </c>
      <c r="BS84" s="155" t="str">
        <f t="shared" si="55"/>
        <v/>
      </c>
      <c r="BT84" s="155" t="str">
        <f t="shared" si="56"/>
        <v/>
      </c>
      <c r="BU84" s="155" t="str">
        <f t="shared" si="57"/>
        <v/>
      </c>
      <c r="BV84" s="155" t="str">
        <f t="shared" si="58"/>
        <v/>
      </c>
      <c r="BW84" s="155" t="str">
        <f t="shared" si="59"/>
        <v/>
      </c>
      <c r="BX84" s="155" t="str">
        <f t="shared" si="60"/>
        <v/>
      </c>
      <c r="BY84" s="155" t="str">
        <f t="shared" si="61"/>
        <v/>
      </c>
      <c r="BZ84" s="155" t="str">
        <f t="shared" si="62"/>
        <v/>
      </c>
      <c r="CA84" s="155" t="str">
        <f t="shared" si="63"/>
        <v/>
      </c>
      <c r="CB84" s="155" t="str">
        <f t="shared" si="64"/>
        <v/>
      </c>
      <c r="CC84" s="155" t="str">
        <f t="shared" si="65"/>
        <v/>
      </c>
      <c r="CD84" s="155" t="str">
        <f t="shared" si="66"/>
        <v/>
      </c>
      <c r="CE84" s="155" t="str">
        <f t="shared" si="67"/>
        <v/>
      </c>
      <c r="CF84" s="155" t="str">
        <f t="shared" si="68"/>
        <v/>
      </c>
      <c r="CG84" s="155" t="str">
        <f t="shared" si="69"/>
        <v/>
      </c>
      <c r="CH84" s="155" t="str">
        <f t="shared" si="70"/>
        <v/>
      </c>
      <c r="CI84" s="155" t="str">
        <f t="shared" si="71"/>
        <v/>
      </c>
      <c r="CJ84" s="155" t="str">
        <f t="shared" si="72"/>
        <v/>
      </c>
      <c r="CK84" s="155" t="str">
        <f t="shared" si="73"/>
        <v/>
      </c>
      <c r="CL84" s="155" t="str">
        <f t="shared" si="74"/>
        <v/>
      </c>
      <c r="CM84" s="155" t="str">
        <f t="shared" si="75"/>
        <v/>
      </c>
      <c r="CN84" s="155" t="str">
        <f t="shared" si="76"/>
        <v/>
      </c>
      <c r="CO84" s="155" t="str">
        <f t="shared" si="77"/>
        <v/>
      </c>
      <c r="CP84" s="155" t="str">
        <f t="shared" si="78"/>
        <v/>
      </c>
      <c r="CQ84" s="155" t="str">
        <f t="shared" si="79"/>
        <v/>
      </c>
      <c r="CR84" s="155" t="str">
        <f t="shared" si="80"/>
        <v/>
      </c>
      <c r="CS84" s="155" t="str">
        <f t="shared" si="81"/>
        <v/>
      </c>
      <c r="CT84" s="155" t="str">
        <f t="shared" si="82"/>
        <v/>
      </c>
      <c r="CU84" s="155" t="str">
        <f t="shared" si="83"/>
        <v/>
      </c>
      <c r="CV84" s="155" t="str">
        <f t="shared" si="84"/>
        <v/>
      </c>
      <c r="CW84" s="155" t="str">
        <f t="shared" si="85"/>
        <v/>
      </c>
      <c r="CX84" s="155" t="str">
        <f t="shared" si="86"/>
        <v/>
      </c>
    </row>
    <row r="85" spans="1:126" s="151" customFormat="1" ht="25.5" outlineLevel="1" x14ac:dyDescent="0.2">
      <c r="A85" s="146"/>
      <c r="B85" s="147" t="str">
        <f>Services!B85</f>
        <v>04A</v>
      </c>
      <c r="C85" s="148" t="str">
        <f>Services!C85</f>
        <v>Sécurité de l'architecture du réseau étendu et continuité du service</v>
      </c>
      <c r="D85" s="149"/>
      <c r="E85" s="149"/>
      <c r="F85" s="149"/>
      <c r="G85" s="149"/>
      <c r="H85" s="149"/>
      <c r="I85" s="140" t="str">
        <f t="shared" si="44"/>
        <v/>
      </c>
      <c r="J85" s="141" t="str">
        <f t="shared" si="45"/>
        <v/>
      </c>
      <c r="K85" s="142"/>
      <c r="L85" s="142"/>
      <c r="M85" s="1708"/>
      <c r="N85" s="1708"/>
      <c r="O85" s="1708"/>
      <c r="P85" s="1708"/>
      <c r="Q85" s="1708"/>
      <c r="R85" s="1708"/>
      <c r="S85" s="1708"/>
      <c r="T85" s="1708"/>
      <c r="U85" s="1708"/>
      <c r="V85" s="1708"/>
      <c r="W85" s="1708"/>
      <c r="X85" s="1712"/>
      <c r="Y85" s="1712"/>
      <c r="Z85" s="1712"/>
      <c r="AA85" s="1712"/>
      <c r="AB85" s="1712"/>
      <c r="AC85" s="1712"/>
      <c r="AD85" s="1712"/>
      <c r="AE85" s="1712"/>
      <c r="AF85" s="1712"/>
      <c r="AG85" s="1712"/>
      <c r="AH85" s="1712"/>
      <c r="AI85" s="1712"/>
      <c r="AJ85" s="1712"/>
      <c r="AK85" s="1712"/>
      <c r="AL85" s="1712"/>
      <c r="AM85" s="1712"/>
      <c r="AN85" s="1712"/>
      <c r="AO85" s="1712"/>
      <c r="AP85" s="1712"/>
      <c r="AQ85" s="1712"/>
      <c r="AR85" s="1712"/>
      <c r="AS85" s="1712"/>
      <c r="AT85" s="1712"/>
      <c r="AU85" s="1712"/>
      <c r="AV85" s="1712"/>
      <c r="AW85" s="1712"/>
      <c r="AX85" s="1713"/>
      <c r="AY85" s="1714" t="str">
        <f t="shared" si="46"/>
        <v/>
      </c>
      <c r="AZ85" s="1714" t="str">
        <f>IF(Obj_PA!D85="","",IF(AY85="","",Obj_PA!D85-AY85))</f>
        <v/>
      </c>
      <c r="BA85" s="150"/>
      <c r="BB85" s="150"/>
      <c r="BC85" s="150"/>
      <c r="BD85" s="150"/>
      <c r="BE85" s="150"/>
      <c r="BF85" s="150"/>
      <c r="BG85" s="150"/>
      <c r="BH85" s="150"/>
      <c r="BI85" s="150"/>
      <c r="BJ85" s="150"/>
      <c r="BK85" s="155" t="str">
        <f t="shared" si="47"/>
        <v/>
      </c>
      <c r="BL85" s="155" t="str">
        <f t="shared" si="48"/>
        <v/>
      </c>
      <c r="BM85" s="155" t="str">
        <f t="shared" si="49"/>
        <v/>
      </c>
      <c r="BN85" s="155" t="str">
        <f t="shared" si="50"/>
        <v/>
      </c>
      <c r="BO85" s="155" t="str">
        <f t="shared" si="51"/>
        <v/>
      </c>
      <c r="BP85" s="155" t="str">
        <f t="shared" si="52"/>
        <v/>
      </c>
      <c r="BQ85" s="155" t="str">
        <f t="shared" si="53"/>
        <v/>
      </c>
      <c r="BR85" s="155" t="str">
        <f t="shared" si="54"/>
        <v/>
      </c>
      <c r="BS85" s="155" t="str">
        <f t="shared" si="55"/>
        <v/>
      </c>
      <c r="BT85" s="155" t="str">
        <f t="shared" si="56"/>
        <v/>
      </c>
      <c r="BU85" s="155" t="str">
        <f t="shared" si="57"/>
        <v/>
      </c>
      <c r="BV85" s="155" t="str">
        <f t="shared" si="58"/>
        <v/>
      </c>
      <c r="BW85" s="155" t="str">
        <f t="shared" si="59"/>
        <v/>
      </c>
      <c r="BX85" s="155" t="str">
        <f t="shared" si="60"/>
        <v/>
      </c>
      <c r="BY85" s="155" t="str">
        <f t="shared" si="61"/>
        <v/>
      </c>
      <c r="BZ85" s="155" t="str">
        <f t="shared" si="62"/>
        <v/>
      </c>
      <c r="CA85" s="155" t="str">
        <f t="shared" si="63"/>
        <v/>
      </c>
      <c r="CB85" s="155" t="str">
        <f t="shared" si="64"/>
        <v/>
      </c>
      <c r="CC85" s="155" t="str">
        <f t="shared" si="65"/>
        <v/>
      </c>
      <c r="CD85" s="155" t="str">
        <f t="shared" si="66"/>
        <v/>
      </c>
      <c r="CE85" s="155" t="str">
        <f t="shared" si="67"/>
        <v/>
      </c>
      <c r="CF85" s="155" t="str">
        <f t="shared" si="68"/>
        <v/>
      </c>
      <c r="CG85" s="155" t="str">
        <f t="shared" si="69"/>
        <v/>
      </c>
      <c r="CH85" s="155" t="str">
        <f t="shared" si="70"/>
        <v/>
      </c>
      <c r="CI85" s="155" t="str">
        <f t="shared" si="71"/>
        <v/>
      </c>
      <c r="CJ85" s="155" t="str">
        <f t="shared" si="72"/>
        <v/>
      </c>
      <c r="CK85" s="155" t="str">
        <f t="shared" si="73"/>
        <v/>
      </c>
      <c r="CL85" s="155" t="str">
        <f t="shared" si="74"/>
        <v/>
      </c>
      <c r="CM85" s="155" t="str">
        <f t="shared" si="75"/>
        <v/>
      </c>
      <c r="CN85" s="155" t="str">
        <f t="shared" si="76"/>
        <v/>
      </c>
      <c r="CO85" s="155" t="str">
        <f t="shared" si="77"/>
        <v/>
      </c>
      <c r="CP85" s="155" t="str">
        <f t="shared" si="78"/>
        <v/>
      </c>
      <c r="CQ85" s="155" t="str">
        <f t="shared" si="79"/>
        <v/>
      </c>
      <c r="CR85" s="155" t="str">
        <f t="shared" si="80"/>
        <v/>
      </c>
      <c r="CS85" s="155" t="str">
        <f t="shared" si="81"/>
        <v/>
      </c>
      <c r="CT85" s="155" t="str">
        <f t="shared" si="82"/>
        <v/>
      </c>
      <c r="CU85" s="155" t="str">
        <f t="shared" si="83"/>
        <v/>
      </c>
      <c r="CV85" s="155" t="str">
        <f t="shared" si="84"/>
        <v/>
      </c>
      <c r="CW85" s="155" t="str">
        <f t="shared" si="85"/>
        <v/>
      </c>
      <c r="CX85" s="155" t="str">
        <f t="shared" si="86"/>
        <v/>
      </c>
    </row>
    <row r="86" spans="1:126" s="151" customFormat="1" ht="25.5" outlineLevel="1" x14ac:dyDescent="0.2">
      <c r="A86" s="156"/>
      <c r="B86" s="157" t="str">
        <f>Services!B86</f>
        <v>04A01</v>
      </c>
      <c r="C86" s="153" t="str">
        <f>Services!C86</f>
        <v xml:space="preserve">Sûreté de fonctionnement des éléments d'architecture du réseau étendu </v>
      </c>
      <c r="D86" s="149"/>
      <c r="E86" s="149"/>
      <c r="F86" s="149"/>
      <c r="G86" s="149"/>
      <c r="H86" s="149">
        <f>5*(8*Plans_action!E200+Plans_action!D200)</f>
        <v>0</v>
      </c>
      <c r="I86" s="140" t="str">
        <f t="shared" si="44"/>
        <v/>
      </c>
      <c r="J86" s="141" t="str">
        <f t="shared" si="45"/>
        <v/>
      </c>
      <c r="K86" s="142"/>
      <c r="L86" s="142"/>
      <c r="M86" s="1708"/>
      <c r="N86" s="1708"/>
      <c r="O86" s="1708"/>
      <c r="P86" s="1708"/>
      <c r="Q86" s="1708"/>
      <c r="R86" s="1708"/>
      <c r="S86" s="1708"/>
      <c r="T86" s="1708"/>
      <c r="U86" s="1708"/>
      <c r="V86" s="1708"/>
      <c r="W86" s="1708"/>
      <c r="X86" s="1712"/>
      <c r="Y86" s="1712"/>
      <c r="Z86" s="1712"/>
      <c r="AA86" s="1712"/>
      <c r="AB86" s="1712"/>
      <c r="AC86" s="1712"/>
      <c r="AD86" s="1712"/>
      <c r="AE86" s="1712"/>
      <c r="AF86" s="1712"/>
      <c r="AG86" s="1712"/>
      <c r="AH86" s="1712"/>
      <c r="AI86" s="1712"/>
      <c r="AJ86" s="1712"/>
      <c r="AK86" s="1712"/>
      <c r="AL86" s="1712"/>
      <c r="AM86" s="1712"/>
      <c r="AN86" s="1712"/>
      <c r="AO86" s="1712"/>
      <c r="AP86" s="1712"/>
      <c r="AQ86" s="1712"/>
      <c r="AR86" s="1712"/>
      <c r="AS86" s="1712"/>
      <c r="AT86" s="1712"/>
      <c r="AU86" s="1712"/>
      <c r="AV86" s="1712"/>
      <c r="AW86" s="1712"/>
      <c r="AX86" s="1713"/>
      <c r="AY86" s="1714" t="str">
        <f t="shared" si="46"/>
        <v/>
      </c>
      <c r="AZ86" s="1714" t="str">
        <f>IF(Obj_PA!D86="","",IF(AY86="","",Obj_PA!D86-AY86))</f>
        <v/>
      </c>
      <c r="BA86" s="150"/>
      <c r="BB86" s="150"/>
      <c r="BC86" s="150"/>
      <c r="BD86" s="150"/>
      <c r="BE86" s="150"/>
      <c r="BF86" s="150"/>
      <c r="BG86" s="150"/>
      <c r="BH86" s="150"/>
      <c r="BI86" s="150"/>
      <c r="BJ86" s="150"/>
      <c r="BK86" s="155" t="str">
        <f t="shared" si="47"/>
        <v/>
      </c>
      <c r="BL86" s="155" t="str">
        <f t="shared" si="48"/>
        <v/>
      </c>
      <c r="BM86" s="155" t="str">
        <f t="shared" si="49"/>
        <v/>
      </c>
      <c r="BN86" s="155" t="str">
        <f t="shared" si="50"/>
        <v/>
      </c>
      <c r="BO86" s="155" t="str">
        <f t="shared" si="51"/>
        <v/>
      </c>
      <c r="BP86" s="155" t="str">
        <f t="shared" si="52"/>
        <v/>
      </c>
      <c r="BQ86" s="155" t="str">
        <f t="shared" si="53"/>
        <v/>
      </c>
      <c r="BR86" s="155" t="str">
        <f t="shared" si="54"/>
        <v/>
      </c>
      <c r="BS86" s="155" t="str">
        <f t="shared" si="55"/>
        <v/>
      </c>
      <c r="BT86" s="155" t="str">
        <f t="shared" si="56"/>
        <v/>
      </c>
      <c r="BU86" s="155" t="str">
        <f t="shared" si="57"/>
        <v/>
      </c>
      <c r="BV86" s="155" t="str">
        <f t="shared" si="58"/>
        <v/>
      </c>
      <c r="BW86" s="155" t="str">
        <f t="shared" si="59"/>
        <v/>
      </c>
      <c r="BX86" s="155" t="str">
        <f t="shared" si="60"/>
        <v/>
      </c>
      <c r="BY86" s="155" t="str">
        <f t="shared" si="61"/>
        <v/>
      </c>
      <c r="BZ86" s="155" t="str">
        <f t="shared" si="62"/>
        <v/>
      </c>
      <c r="CA86" s="155" t="str">
        <f t="shared" si="63"/>
        <v/>
      </c>
      <c r="CB86" s="155" t="str">
        <f t="shared" si="64"/>
        <v/>
      </c>
      <c r="CC86" s="155" t="str">
        <f t="shared" si="65"/>
        <v/>
      </c>
      <c r="CD86" s="155" t="str">
        <f t="shared" si="66"/>
        <v/>
      </c>
      <c r="CE86" s="155" t="str">
        <f t="shared" si="67"/>
        <v/>
      </c>
      <c r="CF86" s="155" t="str">
        <f t="shared" si="68"/>
        <v/>
      </c>
      <c r="CG86" s="155" t="str">
        <f t="shared" si="69"/>
        <v/>
      </c>
      <c r="CH86" s="155" t="str">
        <f t="shared" si="70"/>
        <v/>
      </c>
      <c r="CI86" s="155" t="str">
        <f t="shared" si="71"/>
        <v/>
      </c>
      <c r="CJ86" s="155" t="str">
        <f t="shared" si="72"/>
        <v/>
      </c>
      <c r="CK86" s="155" t="str">
        <f t="shared" si="73"/>
        <v/>
      </c>
      <c r="CL86" s="155" t="str">
        <f t="shared" si="74"/>
        <v/>
      </c>
      <c r="CM86" s="155" t="str">
        <f t="shared" si="75"/>
        <v/>
      </c>
      <c r="CN86" s="155" t="str">
        <f t="shared" si="76"/>
        <v/>
      </c>
      <c r="CO86" s="155" t="str">
        <f t="shared" si="77"/>
        <v/>
      </c>
      <c r="CP86" s="155" t="str">
        <f t="shared" si="78"/>
        <v/>
      </c>
      <c r="CQ86" s="155" t="str">
        <f t="shared" si="79"/>
        <v/>
      </c>
      <c r="CR86" s="155" t="str">
        <f t="shared" si="80"/>
        <v/>
      </c>
      <c r="CS86" s="155" t="str">
        <f t="shared" si="81"/>
        <v/>
      </c>
      <c r="CT86" s="155" t="str">
        <f t="shared" si="82"/>
        <v/>
      </c>
      <c r="CU86" s="155" t="str">
        <f t="shared" si="83"/>
        <v/>
      </c>
      <c r="CV86" s="155" t="str">
        <f t="shared" si="84"/>
        <v/>
      </c>
      <c r="CW86" s="155" t="str">
        <f t="shared" si="85"/>
        <v/>
      </c>
      <c r="CX86" s="155" t="str">
        <f t="shared" si="86"/>
        <v/>
      </c>
    </row>
    <row r="87" spans="1:126" s="151" customFormat="1" ht="25.5" outlineLevel="1" x14ac:dyDescent="0.2">
      <c r="A87" s="156"/>
      <c r="B87" s="157" t="str">
        <f>Services!B87</f>
        <v>04A02</v>
      </c>
      <c r="C87" s="153" t="str">
        <f>Services!C87</f>
        <v>Organisation de la maintenance des équipements du réseau étendu</v>
      </c>
      <c r="D87" s="149"/>
      <c r="E87" s="149"/>
      <c r="F87" s="149"/>
      <c r="G87" s="149"/>
      <c r="H87" s="149">
        <f>5*(8*Plans_action!E200+Plans_action!D200)</f>
        <v>0</v>
      </c>
      <c r="I87" s="140" t="str">
        <f t="shared" si="44"/>
        <v/>
      </c>
      <c r="J87" s="141" t="str">
        <f t="shared" si="45"/>
        <v/>
      </c>
      <c r="K87" s="142"/>
      <c r="L87" s="142"/>
      <c r="M87" s="1708"/>
      <c r="N87" s="1708"/>
      <c r="O87" s="1708"/>
      <c r="P87" s="1708"/>
      <c r="Q87" s="1708"/>
      <c r="R87" s="1708"/>
      <c r="S87" s="1708"/>
      <c r="T87" s="1708"/>
      <c r="U87" s="1708"/>
      <c r="V87" s="1708"/>
      <c r="W87" s="1708"/>
      <c r="X87" s="1712"/>
      <c r="Y87" s="1712"/>
      <c r="Z87" s="1712"/>
      <c r="AA87" s="1712"/>
      <c r="AB87" s="1712"/>
      <c r="AC87" s="1712"/>
      <c r="AD87" s="1712"/>
      <c r="AE87" s="1712"/>
      <c r="AF87" s="1712"/>
      <c r="AG87" s="1712"/>
      <c r="AH87" s="1712"/>
      <c r="AI87" s="1712"/>
      <c r="AJ87" s="1712"/>
      <c r="AK87" s="1712"/>
      <c r="AL87" s="1712"/>
      <c r="AM87" s="1712"/>
      <c r="AN87" s="1712"/>
      <c r="AO87" s="1712"/>
      <c r="AP87" s="1712"/>
      <c r="AQ87" s="1712"/>
      <c r="AR87" s="1712"/>
      <c r="AS87" s="1712"/>
      <c r="AT87" s="1712"/>
      <c r="AU87" s="1712"/>
      <c r="AV87" s="1712"/>
      <c r="AW87" s="1712"/>
      <c r="AX87" s="1713"/>
      <c r="AY87" s="1714" t="str">
        <f t="shared" si="46"/>
        <v/>
      </c>
      <c r="AZ87" s="1714" t="str">
        <f>IF(Obj_PA!D87="","",IF(AY87="","",Obj_PA!D87-AY87))</f>
        <v/>
      </c>
      <c r="BA87" s="150"/>
      <c r="BB87" s="150"/>
      <c r="BC87" s="150"/>
      <c r="BD87" s="150"/>
      <c r="BE87" s="150"/>
      <c r="BF87" s="150"/>
      <c r="BG87" s="150"/>
      <c r="BH87" s="150"/>
      <c r="BI87" s="150"/>
      <c r="BJ87" s="150"/>
      <c r="BK87" s="155" t="str">
        <f t="shared" si="47"/>
        <v/>
      </c>
      <c r="BL87" s="155" t="str">
        <f t="shared" si="48"/>
        <v/>
      </c>
      <c r="BM87" s="155" t="str">
        <f t="shared" si="49"/>
        <v/>
      </c>
      <c r="BN87" s="155" t="str">
        <f t="shared" si="50"/>
        <v/>
      </c>
      <c r="BO87" s="155" t="str">
        <f t="shared" si="51"/>
        <v/>
      </c>
      <c r="BP87" s="155" t="str">
        <f t="shared" si="52"/>
        <v/>
      </c>
      <c r="BQ87" s="155" t="str">
        <f t="shared" si="53"/>
        <v/>
      </c>
      <c r="BR87" s="155" t="str">
        <f t="shared" si="54"/>
        <v/>
      </c>
      <c r="BS87" s="155" t="str">
        <f t="shared" si="55"/>
        <v/>
      </c>
      <c r="BT87" s="155" t="str">
        <f t="shared" si="56"/>
        <v/>
      </c>
      <c r="BU87" s="155" t="str">
        <f t="shared" si="57"/>
        <v/>
      </c>
      <c r="BV87" s="155" t="str">
        <f t="shared" si="58"/>
        <v/>
      </c>
      <c r="BW87" s="155" t="str">
        <f t="shared" si="59"/>
        <v/>
      </c>
      <c r="BX87" s="155" t="str">
        <f t="shared" si="60"/>
        <v/>
      </c>
      <c r="BY87" s="155" t="str">
        <f t="shared" si="61"/>
        <v/>
      </c>
      <c r="BZ87" s="155" t="str">
        <f t="shared" si="62"/>
        <v/>
      </c>
      <c r="CA87" s="155" t="str">
        <f t="shared" si="63"/>
        <v/>
      </c>
      <c r="CB87" s="155" t="str">
        <f t="shared" si="64"/>
        <v/>
      </c>
      <c r="CC87" s="155" t="str">
        <f t="shared" si="65"/>
        <v/>
      </c>
      <c r="CD87" s="155" t="str">
        <f t="shared" si="66"/>
        <v/>
      </c>
      <c r="CE87" s="155" t="str">
        <f t="shared" si="67"/>
        <v/>
      </c>
      <c r="CF87" s="155" t="str">
        <f t="shared" si="68"/>
        <v/>
      </c>
      <c r="CG87" s="155" t="str">
        <f t="shared" si="69"/>
        <v/>
      </c>
      <c r="CH87" s="155" t="str">
        <f t="shared" si="70"/>
        <v/>
      </c>
      <c r="CI87" s="155" t="str">
        <f t="shared" si="71"/>
        <v/>
      </c>
      <c r="CJ87" s="155" t="str">
        <f t="shared" si="72"/>
        <v/>
      </c>
      <c r="CK87" s="155" t="str">
        <f t="shared" si="73"/>
        <v/>
      </c>
      <c r="CL87" s="155" t="str">
        <f t="shared" si="74"/>
        <v/>
      </c>
      <c r="CM87" s="155" t="str">
        <f t="shared" si="75"/>
        <v/>
      </c>
      <c r="CN87" s="155" t="str">
        <f t="shared" si="76"/>
        <v/>
      </c>
      <c r="CO87" s="155" t="str">
        <f t="shared" si="77"/>
        <v/>
      </c>
      <c r="CP87" s="155" t="str">
        <f t="shared" si="78"/>
        <v/>
      </c>
      <c r="CQ87" s="155" t="str">
        <f t="shared" si="79"/>
        <v/>
      </c>
      <c r="CR87" s="155" t="str">
        <f t="shared" si="80"/>
        <v/>
      </c>
      <c r="CS87" s="155" t="str">
        <f t="shared" si="81"/>
        <v/>
      </c>
      <c r="CT87" s="155" t="str">
        <f t="shared" si="82"/>
        <v/>
      </c>
      <c r="CU87" s="155" t="str">
        <f t="shared" si="83"/>
        <v/>
      </c>
      <c r="CV87" s="155" t="str">
        <f t="shared" si="84"/>
        <v/>
      </c>
      <c r="CW87" s="155" t="str">
        <f t="shared" si="85"/>
        <v/>
      </c>
      <c r="CX87" s="155" t="str">
        <f t="shared" si="86"/>
        <v/>
      </c>
    </row>
    <row r="88" spans="1:126" s="151" customFormat="1" ht="14.25" outlineLevel="1" x14ac:dyDescent="0.2">
      <c r="A88" s="156"/>
      <c r="B88" s="157" t="str">
        <f>Services!B88</f>
        <v>04A03</v>
      </c>
      <c r="C88" s="153" t="str">
        <f>Services!C88</f>
        <v>Procédures et plans de reprise du réseau étendu sur incidents</v>
      </c>
      <c r="D88" s="149"/>
      <c r="E88" s="149"/>
      <c r="F88" s="149"/>
      <c r="G88" s="149"/>
      <c r="H88" s="149">
        <f>5*(8*Plans_action!E200+Plans_action!D200)</f>
        <v>0</v>
      </c>
      <c r="I88" s="140" t="str">
        <f t="shared" si="44"/>
        <v/>
      </c>
      <c r="J88" s="141" t="str">
        <f t="shared" si="45"/>
        <v/>
      </c>
      <c r="K88" s="142"/>
      <c r="L88" s="142"/>
      <c r="M88" s="1708"/>
      <c r="N88" s="1708"/>
      <c r="O88" s="1708"/>
      <c r="P88" s="1708"/>
      <c r="Q88" s="1708"/>
      <c r="R88" s="1708"/>
      <c r="S88" s="1708"/>
      <c r="T88" s="1708"/>
      <c r="U88" s="1708"/>
      <c r="V88" s="1708"/>
      <c r="W88" s="1708"/>
      <c r="X88" s="1712"/>
      <c r="Y88" s="1712"/>
      <c r="Z88" s="1712"/>
      <c r="AA88" s="1712"/>
      <c r="AB88" s="1712"/>
      <c r="AC88" s="1712"/>
      <c r="AD88" s="1712"/>
      <c r="AE88" s="1712"/>
      <c r="AF88" s="1712"/>
      <c r="AG88" s="1712"/>
      <c r="AH88" s="1712"/>
      <c r="AI88" s="1712"/>
      <c r="AJ88" s="1712"/>
      <c r="AK88" s="1712"/>
      <c r="AL88" s="1712"/>
      <c r="AM88" s="1712"/>
      <c r="AN88" s="1712"/>
      <c r="AO88" s="1712"/>
      <c r="AP88" s="1712"/>
      <c r="AQ88" s="1712"/>
      <c r="AR88" s="1712"/>
      <c r="AS88" s="1712"/>
      <c r="AT88" s="1712"/>
      <c r="AU88" s="1712"/>
      <c r="AV88" s="1712"/>
      <c r="AW88" s="1712"/>
      <c r="AX88" s="1713"/>
      <c r="AY88" s="1714" t="str">
        <f t="shared" si="46"/>
        <v/>
      </c>
      <c r="AZ88" s="1714" t="str">
        <f>IF(Obj_PA!D88="","",IF(AY88="","",Obj_PA!D88-AY88))</f>
        <v/>
      </c>
      <c r="BA88" s="150"/>
      <c r="BB88" s="150"/>
      <c r="BC88" s="150"/>
      <c r="BD88" s="150"/>
      <c r="BE88" s="150"/>
      <c r="BF88" s="150"/>
      <c r="BG88" s="150"/>
      <c r="BH88" s="150"/>
      <c r="BI88" s="150"/>
      <c r="BJ88" s="150"/>
      <c r="BK88" s="155" t="str">
        <f t="shared" si="47"/>
        <v/>
      </c>
      <c r="BL88" s="155" t="str">
        <f t="shared" si="48"/>
        <v/>
      </c>
      <c r="BM88" s="155" t="str">
        <f t="shared" si="49"/>
        <v/>
      </c>
      <c r="BN88" s="155" t="str">
        <f t="shared" si="50"/>
        <v/>
      </c>
      <c r="BO88" s="155" t="str">
        <f t="shared" si="51"/>
        <v/>
      </c>
      <c r="BP88" s="155" t="str">
        <f t="shared" si="52"/>
        <v/>
      </c>
      <c r="BQ88" s="155" t="str">
        <f t="shared" si="53"/>
        <v/>
      </c>
      <c r="BR88" s="155" t="str">
        <f t="shared" si="54"/>
        <v/>
      </c>
      <c r="BS88" s="155" t="str">
        <f t="shared" si="55"/>
        <v/>
      </c>
      <c r="BT88" s="155" t="str">
        <f t="shared" si="56"/>
        <v/>
      </c>
      <c r="BU88" s="155" t="str">
        <f t="shared" si="57"/>
        <v/>
      </c>
      <c r="BV88" s="155" t="str">
        <f t="shared" si="58"/>
        <v/>
      </c>
      <c r="BW88" s="155" t="str">
        <f t="shared" si="59"/>
        <v/>
      </c>
      <c r="BX88" s="155" t="str">
        <f t="shared" si="60"/>
        <v/>
      </c>
      <c r="BY88" s="155" t="str">
        <f t="shared" si="61"/>
        <v/>
      </c>
      <c r="BZ88" s="155" t="str">
        <f t="shared" si="62"/>
        <v/>
      </c>
      <c r="CA88" s="155" t="str">
        <f t="shared" si="63"/>
        <v/>
      </c>
      <c r="CB88" s="155" t="str">
        <f t="shared" si="64"/>
        <v/>
      </c>
      <c r="CC88" s="155" t="str">
        <f t="shared" si="65"/>
        <v/>
      </c>
      <c r="CD88" s="155" t="str">
        <f t="shared" si="66"/>
        <v/>
      </c>
      <c r="CE88" s="155" t="str">
        <f t="shared" si="67"/>
        <v/>
      </c>
      <c r="CF88" s="155" t="str">
        <f t="shared" si="68"/>
        <v/>
      </c>
      <c r="CG88" s="155" t="str">
        <f t="shared" si="69"/>
        <v/>
      </c>
      <c r="CH88" s="155" t="str">
        <f t="shared" si="70"/>
        <v/>
      </c>
      <c r="CI88" s="155" t="str">
        <f t="shared" si="71"/>
        <v/>
      </c>
      <c r="CJ88" s="155" t="str">
        <f t="shared" si="72"/>
        <v/>
      </c>
      <c r="CK88" s="155" t="str">
        <f t="shared" si="73"/>
        <v/>
      </c>
      <c r="CL88" s="155" t="str">
        <f t="shared" si="74"/>
        <v/>
      </c>
      <c r="CM88" s="155" t="str">
        <f t="shared" si="75"/>
        <v/>
      </c>
      <c r="CN88" s="155" t="str">
        <f t="shared" si="76"/>
        <v/>
      </c>
      <c r="CO88" s="155" t="str">
        <f t="shared" si="77"/>
        <v/>
      </c>
      <c r="CP88" s="155" t="str">
        <f t="shared" si="78"/>
        <v/>
      </c>
      <c r="CQ88" s="155" t="str">
        <f t="shared" si="79"/>
        <v/>
      </c>
      <c r="CR88" s="155" t="str">
        <f t="shared" si="80"/>
        <v/>
      </c>
      <c r="CS88" s="155" t="str">
        <f t="shared" si="81"/>
        <v/>
      </c>
      <c r="CT88" s="155" t="str">
        <f t="shared" si="82"/>
        <v/>
      </c>
      <c r="CU88" s="155" t="str">
        <f t="shared" si="83"/>
        <v/>
      </c>
      <c r="CV88" s="155" t="str">
        <f t="shared" si="84"/>
        <v/>
      </c>
      <c r="CW88" s="155" t="str">
        <f t="shared" si="85"/>
        <v/>
      </c>
      <c r="CX88" s="155" t="str">
        <f t="shared" si="86"/>
        <v/>
      </c>
    </row>
    <row r="89" spans="1:126" s="151" customFormat="1" ht="14.25" outlineLevel="1" x14ac:dyDescent="0.2">
      <c r="A89" s="156"/>
      <c r="B89" s="157" t="str">
        <f>Services!B89</f>
        <v>04A04</v>
      </c>
      <c r="C89" s="153" t="str">
        <f>Services!C89</f>
        <v xml:space="preserve">Plan de sauvegarde des configurations du réseau étendu </v>
      </c>
      <c r="D89" s="149"/>
      <c r="E89" s="149"/>
      <c r="F89" s="149"/>
      <c r="G89" s="149"/>
      <c r="H89" s="149">
        <f>5*(8*Plans_action!E200+Plans_action!D200)</f>
        <v>0</v>
      </c>
      <c r="I89" s="140" t="str">
        <f t="shared" si="44"/>
        <v/>
      </c>
      <c r="J89" s="141" t="str">
        <f t="shared" si="45"/>
        <v/>
      </c>
      <c r="K89" s="142"/>
      <c r="L89" s="142"/>
      <c r="M89" s="1708"/>
      <c r="N89" s="1708"/>
      <c r="O89" s="1708"/>
      <c r="P89" s="1708"/>
      <c r="Q89" s="1708"/>
      <c r="R89" s="1708"/>
      <c r="S89" s="1708"/>
      <c r="T89" s="1708"/>
      <c r="U89" s="1708"/>
      <c r="V89" s="1708"/>
      <c r="W89" s="1708"/>
      <c r="X89" s="1712"/>
      <c r="Y89" s="1712"/>
      <c r="Z89" s="1712"/>
      <c r="AA89" s="1712"/>
      <c r="AB89" s="1712"/>
      <c r="AC89" s="1712"/>
      <c r="AD89" s="1712"/>
      <c r="AE89" s="1712"/>
      <c r="AF89" s="1712"/>
      <c r="AG89" s="1712"/>
      <c r="AH89" s="1712"/>
      <c r="AI89" s="1712"/>
      <c r="AJ89" s="1712"/>
      <c r="AK89" s="1712"/>
      <c r="AL89" s="1712"/>
      <c r="AM89" s="1712"/>
      <c r="AN89" s="1712"/>
      <c r="AO89" s="1712"/>
      <c r="AP89" s="1712"/>
      <c r="AQ89" s="1712"/>
      <c r="AR89" s="1712"/>
      <c r="AS89" s="1712"/>
      <c r="AT89" s="1712"/>
      <c r="AU89" s="1712"/>
      <c r="AV89" s="1712"/>
      <c r="AW89" s="1712"/>
      <c r="AX89" s="1713"/>
      <c r="AY89" s="1714" t="str">
        <f t="shared" si="46"/>
        <v/>
      </c>
      <c r="AZ89" s="1714" t="str">
        <f>IF(Obj_PA!D89="","",IF(AY89="","",Obj_PA!D89-AY89))</f>
        <v/>
      </c>
      <c r="BA89" s="150"/>
      <c r="BB89" s="150"/>
      <c r="BC89" s="150"/>
      <c r="BD89" s="150"/>
      <c r="BE89" s="150"/>
      <c r="BF89" s="150"/>
      <c r="BG89" s="150"/>
      <c r="BH89" s="150"/>
      <c r="BI89" s="150"/>
      <c r="BJ89" s="150"/>
      <c r="BK89" s="155" t="str">
        <f t="shared" si="47"/>
        <v/>
      </c>
      <c r="BL89" s="155" t="str">
        <f t="shared" si="48"/>
        <v/>
      </c>
      <c r="BM89" s="155" t="str">
        <f t="shared" si="49"/>
        <v/>
      </c>
      <c r="BN89" s="155" t="str">
        <f t="shared" si="50"/>
        <v/>
      </c>
      <c r="BO89" s="155" t="str">
        <f t="shared" si="51"/>
        <v/>
      </c>
      <c r="BP89" s="155" t="str">
        <f t="shared" si="52"/>
        <v/>
      </c>
      <c r="BQ89" s="155" t="str">
        <f t="shared" si="53"/>
        <v/>
      </c>
      <c r="BR89" s="155" t="str">
        <f t="shared" si="54"/>
        <v/>
      </c>
      <c r="BS89" s="155" t="str">
        <f t="shared" si="55"/>
        <v/>
      </c>
      <c r="BT89" s="155" t="str">
        <f t="shared" si="56"/>
        <v/>
      </c>
      <c r="BU89" s="155" t="str">
        <f t="shared" si="57"/>
        <v/>
      </c>
      <c r="BV89" s="155" t="str">
        <f t="shared" si="58"/>
        <v/>
      </c>
      <c r="BW89" s="155" t="str">
        <f t="shared" si="59"/>
        <v/>
      </c>
      <c r="BX89" s="155" t="str">
        <f t="shared" si="60"/>
        <v/>
      </c>
      <c r="BY89" s="155" t="str">
        <f t="shared" si="61"/>
        <v/>
      </c>
      <c r="BZ89" s="155" t="str">
        <f t="shared" si="62"/>
        <v/>
      </c>
      <c r="CA89" s="155" t="str">
        <f t="shared" si="63"/>
        <v/>
      </c>
      <c r="CB89" s="155" t="str">
        <f t="shared" si="64"/>
        <v/>
      </c>
      <c r="CC89" s="155" t="str">
        <f t="shared" si="65"/>
        <v/>
      </c>
      <c r="CD89" s="155" t="str">
        <f t="shared" si="66"/>
        <v/>
      </c>
      <c r="CE89" s="155" t="str">
        <f t="shared" si="67"/>
        <v/>
      </c>
      <c r="CF89" s="155" t="str">
        <f t="shared" si="68"/>
        <v/>
      </c>
      <c r="CG89" s="155" t="str">
        <f t="shared" si="69"/>
        <v/>
      </c>
      <c r="CH89" s="155" t="str">
        <f t="shared" si="70"/>
        <v/>
      </c>
      <c r="CI89" s="155" t="str">
        <f t="shared" si="71"/>
        <v/>
      </c>
      <c r="CJ89" s="155" t="str">
        <f t="shared" si="72"/>
        <v/>
      </c>
      <c r="CK89" s="155" t="str">
        <f t="shared" si="73"/>
        <v/>
      </c>
      <c r="CL89" s="155" t="str">
        <f t="shared" si="74"/>
        <v/>
      </c>
      <c r="CM89" s="155" t="str">
        <f t="shared" si="75"/>
        <v/>
      </c>
      <c r="CN89" s="155" t="str">
        <f t="shared" si="76"/>
        <v/>
      </c>
      <c r="CO89" s="155" t="str">
        <f t="shared" si="77"/>
        <v/>
      </c>
      <c r="CP89" s="155" t="str">
        <f t="shared" si="78"/>
        <v/>
      </c>
      <c r="CQ89" s="155" t="str">
        <f t="shared" si="79"/>
        <v/>
      </c>
      <c r="CR89" s="155" t="str">
        <f t="shared" si="80"/>
        <v/>
      </c>
      <c r="CS89" s="155" t="str">
        <f t="shared" si="81"/>
        <v/>
      </c>
      <c r="CT89" s="155" t="str">
        <f t="shared" si="82"/>
        <v/>
      </c>
      <c r="CU89" s="155" t="str">
        <f t="shared" si="83"/>
        <v/>
      </c>
      <c r="CV89" s="155" t="str">
        <f t="shared" si="84"/>
        <v/>
      </c>
      <c r="CW89" s="155" t="str">
        <f t="shared" si="85"/>
        <v/>
      </c>
      <c r="CX89" s="155" t="str">
        <f t="shared" si="86"/>
        <v/>
      </c>
    </row>
    <row r="90" spans="1:126" s="151" customFormat="1" ht="14.25" outlineLevel="1" x14ac:dyDescent="0.2">
      <c r="A90" s="156"/>
      <c r="B90" s="157" t="str">
        <f>Services!B90</f>
        <v>04A05</v>
      </c>
      <c r="C90" s="153" t="str">
        <f>Services!C90</f>
        <v>Plan de Reprise d'Activité (PRA) du réseau étendu</v>
      </c>
      <c r="D90" s="149"/>
      <c r="E90" s="149"/>
      <c r="F90" s="149"/>
      <c r="G90" s="149"/>
      <c r="H90" s="149">
        <f>5*(8*Plans_action!E200+Plans_action!D200)</f>
        <v>0</v>
      </c>
      <c r="I90" s="140" t="str">
        <f t="shared" si="44"/>
        <v/>
      </c>
      <c r="J90" s="141" t="str">
        <f t="shared" si="45"/>
        <v/>
      </c>
      <c r="K90" s="142"/>
      <c r="L90" s="142"/>
      <c r="M90" s="1708"/>
      <c r="N90" s="1708"/>
      <c r="O90" s="1708"/>
      <c r="P90" s="1708"/>
      <c r="Q90" s="1708"/>
      <c r="R90" s="1708"/>
      <c r="S90" s="1708"/>
      <c r="T90" s="1708"/>
      <c r="U90" s="1708"/>
      <c r="V90" s="1708"/>
      <c r="W90" s="1708"/>
      <c r="X90" s="1712"/>
      <c r="Y90" s="1712"/>
      <c r="Z90" s="1712"/>
      <c r="AA90" s="1712"/>
      <c r="AB90" s="1712"/>
      <c r="AC90" s="1712"/>
      <c r="AD90" s="1712"/>
      <c r="AE90" s="1712"/>
      <c r="AF90" s="1712"/>
      <c r="AG90" s="1712"/>
      <c r="AH90" s="1712"/>
      <c r="AI90" s="1712"/>
      <c r="AJ90" s="1712"/>
      <c r="AK90" s="1712"/>
      <c r="AL90" s="1712"/>
      <c r="AM90" s="1712"/>
      <c r="AN90" s="1712"/>
      <c r="AO90" s="1712"/>
      <c r="AP90" s="1712"/>
      <c r="AQ90" s="1712"/>
      <c r="AR90" s="1712"/>
      <c r="AS90" s="1712"/>
      <c r="AT90" s="1712"/>
      <c r="AU90" s="1712"/>
      <c r="AV90" s="1712"/>
      <c r="AW90" s="1712"/>
      <c r="AX90" s="1713"/>
      <c r="AY90" s="1714" t="str">
        <f t="shared" si="46"/>
        <v/>
      </c>
      <c r="AZ90" s="1714" t="str">
        <f>IF(Obj_PA!D90="","",IF(AY90="","",Obj_PA!D90-AY90))</f>
        <v/>
      </c>
      <c r="BA90" s="150"/>
      <c r="BB90" s="150"/>
      <c r="BC90" s="150"/>
      <c r="BD90" s="150"/>
      <c r="BE90" s="150"/>
      <c r="BF90" s="150"/>
      <c r="BG90" s="150"/>
      <c r="BH90" s="150"/>
      <c r="BI90" s="150"/>
      <c r="BJ90" s="150"/>
      <c r="BK90" s="155" t="str">
        <f t="shared" si="47"/>
        <v/>
      </c>
      <c r="BL90" s="155" t="str">
        <f t="shared" si="48"/>
        <v/>
      </c>
      <c r="BM90" s="155" t="str">
        <f t="shared" si="49"/>
        <v/>
      </c>
      <c r="BN90" s="155" t="str">
        <f t="shared" si="50"/>
        <v/>
      </c>
      <c r="BO90" s="155" t="str">
        <f t="shared" si="51"/>
        <v/>
      </c>
      <c r="BP90" s="155" t="str">
        <f t="shared" si="52"/>
        <v/>
      </c>
      <c r="BQ90" s="155" t="str">
        <f t="shared" si="53"/>
        <v/>
      </c>
      <c r="BR90" s="155" t="str">
        <f t="shared" si="54"/>
        <v/>
      </c>
      <c r="BS90" s="155" t="str">
        <f t="shared" si="55"/>
        <v/>
      </c>
      <c r="BT90" s="155" t="str">
        <f t="shared" si="56"/>
        <v/>
      </c>
      <c r="BU90" s="155" t="str">
        <f t="shared" si="57"/>
        <v/>
      </c>
      <c r="BV90" s="155" t="str">
        <f t="shared" si="58"/>
        <v/>
      </c>
      <c r="BW90" s="155" t="str">
        <f t="shared" si="59"/>
        <v/>
      </c>
      <c r="BX90" s="155" t="str">
        <f t="shared" si="60"/>
        <v/>
      </c>
      <c r="BY90" s="155" t="str">
        <f t="shared" si="61"/>
        <v/>
      </c>
      <c r="BZ90" s="155" t="str">
        <f t="shared" si="62"/>
        <v/>
      </c>
      <c r="CA90" s="155" t="str">
        <f t="shared" si="63"/>
        <v/>
      </c>
      <c r="CB90" s="155" t="str">
        <f t="shared" si="64"/>
        <v/>
      </c>
      <c r="CC90" s="155" t="str">
        <f t="shared" si="65"/>
        <v/>
      </c>
      <c r="CD90" s="155" t="str">
        <f t="shared" si="66"/>
        <v/>
      </c>
      <c r="CE90" s="155" t="str">
        <f t="shared" si="67"/>
        <v/>
      </c>
      <c r="CF90" s="155" t="str">
        <f t="shared" si="68"/>
        <v/>
      </c>
      <c r="CG90" s="155" t="str">
        <f t="shared" si="69"/>
        <v/>
      </c>
      <c r="CH90" s="155" t="str">
        <f t="shared" si="70"/>
        <v/>
      </c>
      <c r="CI90" s="155" t="str">
        <f t="shared" si="71"/>
        <v/>
      </c>
      <c r="CJ90" s="155" t="str">
        <f t="shared" si="72"/>
        <v/>
      </c>
      <c r="CK90" s="155" t="str">
        <f t="shared" si="73"/>
        <v/>
      </c>
      <c r="CL90" s="155" t="str">
        <f t="shared" si="74"/>
        <v/>
      </c>
      <c r="CM90" s="155" t="str">
        <f t="shared" si="75"/>
        <v/>
      </c>
      <c r="CN90" s="155" t="str">
        <f t="shared" si="76"/>
        <v/>
      </c>
      <c r="CO90" s="155" t="str">
        <f t="shared" si="77"/>
        <v/>
      </c>
      <c r="CP90" s="155" t="str">
        <f t="shared" si="78"/>
        <v/>
      </c>
      <c r="CQ90" s="155" t="str">
        <f t="shared" si="79"/>
        <v/>
      </c>
      <c r="CR90" s="155" t="str">
        <f t="shared" si="80"/>
        <v/>
      </c>
      <c r="CS90" s="155" t="str">
        <f t="shared" si="81"/>
        <v/>
      </c>
      <c r="CT90" s="155" t="str">
        <f t="shared" si="82"/>
        <v/>
      </c>
      <c r="CU90" s="155" t="str">
        <f t="shared" si="83"/>
        <v/>
      </c>
      <c r="CV90" s="155" t="str">
        <f t="shared" si="84"/>
        <v/>
      </c>
      <c r="CW90" s="155" t="str">
        <f t="shared" si="85"/>
        <v/>
      </c>
      <c r="CX90" s="155" t="str">
        <f t="shared" si="86"/>
        <v/>
      </c>
    </row>
    <row r="91" spans="1:126" s="151" customFormat="1" ht="25.5" outlineLevel="1" x14ac:dyDescent="0.2">
      <c r="A91" s="156"/>
      <c r="B91" s="157" t="str">
        <f>Services!B91</f>
        <v>04A06</v>
      </c>
      <c r="C91" s="153" t="str">
        <f>Services!C91</f>
        <v>Gestion des fournisseurs critiques vis-à-vis de la permanence de la maintenance</v>
      </c>
      <c r="D91" s="149"/>
      <c r="E91" s="149"/>
      <c r="F91" s="149"/>
      <c r="G91" s="149"/>
      <c r="H91" s="149">
        <f>5*(8*Plans_action!E200+Plans_action!D200)</f>
        <v>0</v>
      </c>
      <c r="I91" s="140" t="str">
        <f t="shared" si="44"/>
        <v/>
      </c>
      <c r="J91" s="141" t="str">
        <f t="shared" si="45"/>
        <v/>
      </c>
      <c r="K91" s="142"/>
      <c r="L91" s="142"/>
      <c r="M91" s="1708"/>
      <c r="N91" s="1708"/>
      <c r="O91" s="1708"/>
      <c r="P91" s="1708"/>
      <c r="Q91" s="1708"/>
      <c r="R91" s="1708"/>
      <c r="S91" s="1708"/>
      <c r="T91" s="1708"/>
      <c r="U91" s="1708"/>
      <c r="V91" s="1708"/>
      <c r="W91" s="1708"/>
      <c r="X91" s="1712"/>
      <c r="Y91" s="1712"/>
      <c r="Z91" s="1712"/>
      <c r="AA91" s="1712"/>
      <c r="AB91" s="1712"/>
      <c r="AC91" s="1712"/>
      <c r="AD91" s="1712"/>
      <c r="AE91" s="1712"/>
      <c r="AF91" s="1712"/>
      <c r="AG91" s="1712"/>
      <c r="AH91" s="1712"/>
      <c r="AI91" s="1712"/>
      <c r="AJ91" s="1712"/>
      <c r="AK91" s="1712"/>
      <c r="AL91" s="1712"/>
      <c r="AM91" s="1712"/>
      <c r="AN91" s="1712"/>
      <c r="AO91" s="1712"/>
      <c r="AP91" s="1712"/>
      <c r="AQ91" s="1712"/>
      <c r="AR91" s="1712"/>
      <c r="AS91" s="1712"/>
      <c r="AT91" s="1712"/>
      <c r="AU91" s="1712"/>
      <c r="AV91" s="1712"/>
      <c r="AW91" s="1712"/>
      <c r="AX91" s="1713"/>
      <c r="AY91" s="1714" t="str">
        <f t="shared" si="46"/>
        <v/>
      </c>
      <c r="AZ91" s="1714" t="str">
        <f>IF(Obj_PA!D91="","",IF(AY91="","",Obj_PA!D91-AY91))</f>
        <v/>
      </c>
      <c r="BA91" s="150"/>
      <c r="BB91" s="150"/>
      <c r="BC91" s="150"/>
      <c r="BD91" s="150"/>
      <c r="BE91" s="150"/>
      <c r="BF91" s="150"/>
      <c r="BG91" s="150"/>
      <c r="BH91" s="150"/>
      <c r="BI91" s="150"/>
      <c r="BJ91" s="150"/>
      <c r="BK91" s="155" t="str">
        <f t="shared" si="47"/>
        <v/>
      </c>
      <c r="BL91" s="155" t="str">
        <f t="shared" si="48"/>
        <v/>
      </c>
      <c r="BM91" s="155" t="str">
        <f t="shared" si="49"/>
        <v/>
      </c>
      <c r="BN91" s="155" t="str">
        <f t="shared" si="50"/>
        <v/>
      </c>
      <c r="BO91" s="155" t="str">
        <f t="shared" si="51"/>
        <v/>
      </c>
      <c r="BP91" s="155" t="str">
        <f t="shared" si="52"/>
        <v/>
      </c>
      <c r="BQ91" s="155" t="str">
        <f t="shared" si="53"/>
        <v/>
      </c>
      <c r="BR91" s="155" t="str">
        <f t="shared" si="54"/>
        <v/>
      </c>
      <c r="BS91" s="155" t="str">
        <f t="shared" si="55"/>
        <v/>
      </c>
      <c r="BT91" s="155" t="str">
        <f t="shared" si="56"/>
        <v/>
      </c>
      <c r="BU91" s="155" t="str">
        <f t="shared" si="57"/>
        <v/>
      </c>
      <c r="BV91" s="155" t="str">
        <f t="shared" si="58"/>
        <v/>
      </c>
      <c r="BW91" s="155" t="str">
        <f t="shared" si="59"/>
        <v/>
      </c>
      <c r="BX91" s="155" t="str">
        <f t="shared" si="60"/>
        <v/>
      </c>
      <c r="BY91" s="155" t="str">
        <f t="shared" si="61"/>
        <v/>
      </c>
      <c r="BZ91" s="155" t="str">
        <f t="shared" si="62"/>
        <v/>
      </c>
      <c r="CA91" s="155" t="str">
        <f t="shared" si="63"/>
        <v/>
      </c>
      <c r="CB91" s="155" t="str">
        <f t="shared" si="64"/>
        <v/>
      </c>
      <c r="CC91" s="155" t="str">
        <f t="shared" si="65"/>
        <v/>
      </c>
      <c r="CD91" s="155" t="str">
        <f t="shared" si="66"/>
        <v/>
      </c>
      <c r="CE91" s="155" t="str">
        <f t="shared" si="67"/>
        <v/>
      </c>
      <c r="CF91" s="155" t="str">
        <f t="shared" si="68"/>
        <v/>
      </c>
      <c r="CG91" s="155" t="str">
        <f t="shared" si="69"/>
        <v/>
      </c>
      <c r="CH91" s="155" t="str">
        <f t="shared" si="70"/>
        <v/>
      </c>
      <c r="CI91" s="155" t="str">
        <f t="shared" si="71"/>
        <v/>
      </c>
      <c r="CJ91" s="155" t="str">
        <f t="shared" si="72"/>
        <v/>
      </c>
      <c r="CK91" s="155" t="str">
        <f t="shared" si="73"/>
        <v/>
      </c>
      <c r="CL91" s="155" t="str">
        <f t="shared" si="74"/>
        <v/>
      </c>
      <c r="CM91" s="155" t="str">
        <f t="shared" si="75"/>
        <v/>
      </c>
      <c r="CN91" s="155" t="str">
        <f t="shared" si="76"/>
        <v/>
      </c>
      <c r="CO91" s="155" t="str">
        <f t="shared" si="77"/>
        <v/>
      </c>
      <c r="CP91" s="155" t="str">
        <f t="shared" si="78"/>
        <v/>
      </c>
      <c r="CQ91" s="155" t="str">
        <f t="shared" si="79"/>
        <v/>
      </c>
      <c r="CR91" s="155" t="str">
        <f t="shared" si="80"/>
        <v/>
      </c>
      <c r="CS91" s="155" t="str">
        <f t="shared" si="81"/>
        <v/>
      </c>
      <c r="CT91" s="155" t="str">
        <f t="shared" si="82"/>
        <v/>
      </c>
      <c r="CU91" s="155" t="str">
        <f t="shared" si="83"/>
        <v/>
      </c>
      <c r="CV91" s="155" t="str">
        <f t="shared" si="84"/>
        <v/>
      </c>
      <c r="CW91" s="155" t="str">
        <f t="shared" si="85"/>
        <v/>
      </c>
      <c r="CX91" s="155" t="str">
        <f t="shared" si="86"/>
        <v/>
      </c>
    </row>
    <row r="92" spans="1:126" s="151" customFormat="1" ht="14.25" outlineLevel="1" x14ac:dyDescent="0.2">
      <c r="A92" s="156"/>
      <c r="B92" s="147" t="str">
        <f>Services!B92</f>
        <v>04B</v>
      </c>
      <c r="C92" s="148" t="str">
        <f>Services!C92</f>
        <v>Contrôle des connexions sur le réseau étendu</v>
      </c>
      <c r="D92" s="149"/>
      <c r="E92" s="149"/>
      <c r="F92" s="149"/>
      <c r="G92" s="149"/>
      <c r="H92" s="149"/>
      <c r="I92" s="140" t="str">
        <f t="shared" si="44"/>
        <v/>
      </c>
      <c r="J92" s="141" t="str">
        <f t="shared" si="45"/>
        <v/>
      </c>
      <c r="K92" s="142"/>
      <c r="L92" s="142"/>
      <c r="M92" s="1708"/>
      <c r="N92" s="1708"/>
      <c r="O92" s="1708"/>
      <c r="P92" s="1708"/>
      <c r="Q92" s="1708"/>
      <c r="R92" s="1708"/>
      <c r="S92" s="1708"/>
      <c r="T92" s="1708"/>
      <c r="U92" s="1708"/>
      <c r="V92" s="1708"/>
      <c r="W92" s="1708"/>
      <c r="X92" s="1712"/>
      <c r="Y92" s="1712"/>
      <c r="Z92" s="1712"/>
      <c r="AA92" s="1712"/>
      <c r="AB92" s="1712"/>
      <c r="AC92" s="1712"/>
      <c r="AD92" s="1712"/>
      <c r="AE92" s="1712"/>
      <c r="AF92" s="1712"/>
      <c r="AG92" s="1712"/>
      <c r="AH92" s="1712"/>
      <c r="AI92" s="1712"/>
      <c r="AJ92" s="1712"/>
      <c r="AK92" s="1712"/>
      <c r="AL92" s="1712"/>
      <c r="AM92" s="1712"/>
      <c r="AN92" s="1712"/>
      <c r="AO92" s="1712"/>
      <c r="AP92" s="1712"/>
      <c r="AQ92" s="1712"/>
      <c r="AR92" s="1712"/>
      <c r="AS92" s="1712"/>
      <c r="AT92" s="1712"/>
      <c r="AU92" s="1712"/>
      <c r="AV92" s="1712"/>
      <c r="AW92" s="1712"/>
      <c r="AX92" s="1713"/>
      <c r="AY92" s="1714" t="str">
        <f t="shared" si="46"/>
        <v/>
      </c>
      <c r="AZ92" s="1714" t="str">
        <f>IF(Obj_PA!D92="","",IF(AY92="","",Obj_PA!D92-AY92))</f>
        <v/>
      </c>
      <c r="BA92" s="150"/>
      <c r="BB92" s="150"/>
      <c r="BC92" s="150"/>
      <c r="BD92" s="150"/>
      <c r="BE92" s="150"/>
      <c r="BF92" s="150"/>
      <c r="BG92" s="150"/>
      <c r="BH92" s="150"/>
      <c r="BI92" s="150"/>
      <c r="BJ92" s="150"/>
      <c r="BK92" s="155" t="str">
        <f t="shared" si="47"/>
        <v/>
      </c>
      <c r="BL92" s="155" t="str">
        <f t="shared" si="48"/>
        <v/>
      </c>
      <c r="BM92" s="155" t="str">
        <f t="shared" si="49"/>
        <v/>
      </c>
      <c r="BN92" s="155" t="str">
        <f t="shared" si="50"/>
        <v/>
      </c>
      <c r="BO92" s="155" t="str">
        <f t="shared" si="51"/>
        <v/>
      </c>
      <c r="BP92" s="155" t="str">
        <f t="shared" si="52"/>
        <v/>
      </c>
      <c r="BQ92" s="155" t="str">
        <f t="shared" si="53"/>
        <v/>
      </c>
      <c r="BR92" s="155" t="str">
        <f t="shared" si="54"/>
        <v/>
      </c>
      <c r="BS92" s="155" t="str">
        <f t="shared" si="55"/>
        <v/>
      </c>
      <c r="BT92" s="155" t="str">
        <f t="shared" si="56"/>
        <v/>
      </c>
      <c r="BU92" s="155" t="str">
        <f t="shared" si="57"/>
        <v/>
      </c>
      <c r="BV92" s="155" t="str">
        <f t="shared" si="58"/>
        <v/>
      </c>
      <c r="BW92" s="155" t="str">
        <f t="shared" si="59"/>
        <v/>
      </c>
      <c r="BX92" s="155" t="str">
        <f t="shared" si="60"/>
        <v/>
      </c>
      <c r="BY92" s="155" t="str">
        <f t="shared" si="61"/>
        <v/>
      </c>
      <c r="BZ92" s="155" t="str">
        <f t="shared" si="62"/>
        <v/>
      </c>
      <c r="CA92" s="155" t="str">
        <f t="shared" si="63"/>
        <v/>
      </c>
      <c r="CB92" s="155" t="str">
        <f t="shared" si="64"/>
        <v/>
      </c>
      <c r="CC92" s="155" t="str">
        <f t="shared" si="65"/>
        <v/>
      </c>
      <c r="CD92" s="155" t="str">
        <f t="shared" si="66"/>
        <v/>
      </c>
      <c r="CE92" s="155" t="str">
        <f t="shared" si="67"/>
        <v/>
      </c>
      <c r="CF92" s="155" t="str">
        <f t="shared" si="68"/>
        <v/>
      </c>
      <c r="CG92" s="155" t="str">
        <f t="shared" si="69"/>
        <v/>
      </c>
      <c r="CH92" s="155" t="str">
        <f t="shared" si="70"/>
        <v/>
      </c>
      <c r="CI92" s="155" t="str">
        <f t="shared" si="71"/>
        <v/>
      </c>
      <c r="CJ92" s="155" t="str">
        <f t="shared" si="72"/>
        <v/>
      </c>
      <c r="CK92" s="155" t="str">
        <f t="shared" si="73"/>
        <v/>
      </c>
      <c r="CL92" s="155" t="str">
        <f t="shared" si="74"/>
        <v/>
      </c>
      <c r="CM92" s="155" t="str">
        <f t="shared" si="75"/>
        <v/>
      </c>
      <c r="CN92" s="155" t="str">
        <f t="shared" si="76"/>
        <v/>
      </c>
      <c r="CO92" s="155" t="str">
        <f t="shared" si="77"/>
        <v/>
      </c>
      <c r="CP92" s="155" t="str">
        <f t="shared" si="78"/>
        <v/>
      </c>
      <c r="CQ92" s="155" t="str">
        <f t="shared" si="79"/>
        <v/>
      </c>
      <c r="CR92" s="155" t="str">
        <f t="shared" si="80"/>
        <v/>
      </c>
      <c r="CS92" s="155" t="str">
        <f t="shared" si="81"/>
        <v/>
      </c>
      <c r="CT92" s="155" t="str">
        <f t="shared" si="82"/>
        <v/>
      </c>
      <c r="CU92" s="155" t="str">
        <f t="shared" si="83"/>
        <v/>
      </c>
      <c r="CV92" s="155" t="str">
        <f t="shared" si="84"/>
        <v/>
      </c>
      <c r="CW92" s="155" t="str">
        <f t="shared" si="85"/>
        <v/>
      </c>
      <c r="CX92" s="155" t="str">
        <f t="shared" si="86"/>
        <v/>
      </c>
    </row>
    <row r="93" spans="1:126" s="151" customFormat="1" ht="14.25" outlineLevel="1" x14ac:dyDescent="0.2">
      <c r="A93" s="156"/>
      <c r="B93" s="157" t="str">
        <f>Services!B93</f>
        <v>04B01</v>
      </c>
      <c r="C93" s="153" t="str">
        <f>Services!C93</f>
        <v>Profils de sécurité des entités connectées au réseau étendu</v>
      </c>
      <c r="D93" s="149"/>
      <c r="E93" s="149"/>
      <c r="F93" s="149"/>
      <c r="G93" s="149"/>
      <c r="H93" s="149"/>
      <c r="I93" s="140" t="str">
        <f t="shared" si="44"/>
        <v/>
      </c>
      <c r="J93" s="141" t="str">
        <f t="shared" si="45"/>
        <v/>
      </c>
      <c r="K93" s="142"/>
      <c r="L93" s="142"/>
      <c r="M93" s="1708"/>
      <c r="N93" s="1708"/>
      <c r="O93" s="1708"/>
      <c r="P93" s="1708"/>
      <c r="Q93" s="1708"/>
      <c r="R93" s="1708"/>
      <c r="S93" s="1708"/>
      <c r="T93" s="1708"/>
      <c r="U93" s="1708"/>
      <c r="V93" s="1708"/>
      <c r="W93" s="1708"/>
      <c r="X93" s="1712"/>
      <c r="Y93" s="1712"/>
      <c r="Z93" s="1712"/>
      <c r="AA93" s="1712"/>
      <c r="AB93" s="1712"/>
      <c r="AC93" s="1712"/>
      <c r="AD93" s="1712"/>
      <c r="AE93" s="1712"/>
      <c r="AF93" s="1712"/>
      <c r="AG93" s="1712"/>
      <c r="AH93" s="1712"/>
      <c r="AI93" s="1712"/>
      <c r="AJ93" s="1712"/>
      <c r="AK93" s="1712"/>
      <c r="AL93" s="1712"/>
      <c r="AM93" s="1712"/>
      <c r="AN93" s="1712"/>
      <c r="AO93" s="1712"/>
      <c r="AP93" s="1712"/>
      <c r="AQ93" s="1712"/>
      <c r="AR93" s="1712"/>
      <c r="AS93" s="1712"/>
      <c r="AT93" s="1712"/>
      <c r="AU93" s="1712"/>
      <c r="AV93" s="1712"/>
      <c r="AW93" s="1712"/>
      <c r="AX93" s="1713"/>
      <c r="AY93" s="1714" t="str">
        <f t="shared" si="46"/>
        <v/>
      </c>
      <c r="AZ93" s="1714" t="str">
        <f>IF(Obj_PA!D93="","",IF(AY93="","",Obj_PA!D93-AY93))</f>
        <v/>
      </c>
      <c r="BA93" s="150"/>
      <c r="BB93" s="150"/>
      <c r="BC93" s="150"/>
      <c r="BD93" s="150"/>
      <c r="BE93" s="150"/>
      <c r="BF93" s="150"/>
      <c r="BG93" s="150"/>
      <c r="BH93" s="150"/>
      <c r="BI93" s="150"/>
      <c r="BJ93" s="150"/>
      <c r="BK93" s="155" t="str">
        <f t="shared" si="47"/>
        <v/>
      </c>
      <c r="BL93" s="155" t="str">
        <f t="shared" si="48"/>
        <v/>
      </c>
      <c r="BM93" s="155" t="str">
        <f t="shared" si="49"/>
        <v/>
      </c>
      <c r="BN93" s="155" t="str">
        <f t="shared" si="50"/>
        <v/>
      </c>
      <c r="BO93" s="155" t="str">
        <f t="shared" si="51"/>
        <v/>
      </c>
      <c r="BP93" s="155" t="str">
        <f t="shared" si="52"/>
        <v/>
      </c>
      <c r="BQ93" s="155" t="str">
        <f t="shared" si="53"/>
        <v/>
      </c>
      <c r="BR93" s="155" t="str">
        <f t="shared" si="54"/>
        <v/>
      </c>
      <c r="BS93" s="155" t="str">
        <f t="shared" si="55"/>
        <v/>
      </c>
      <c r="BT93" s="155" t="str">
        <f t="shared" si="56"/>
        <v/>
      </c>
      <c r="BU93" s="155" t="str">
        <f t="shared" si="57"/>
        <v/>
      </c>
      <c r="BV93" s="155" t="str">
        <f t="shared" si="58"/>
        <v/>
      </c>
      <c r="BW93" s="155" t="str">
        <f t="shared" si="59"/>
        <v/>
      </c>
      <c r="BX93" s="155" t="str">
        <f t="shared" si="60"/>
        <v/>
      </c>
      <c r="BY93" s="155" t="str">
        <f t="shared" si="61"/>
        <v/>
      </c>
      <c r="BZ93" s="155" t="str">
        <f t="shared" si="62"/>
        <v/>
      </c>
      <c r="CA93" s="155" t="str">
        <f t="shared" si="63"/>
        <v/>
      </c>
      <c r="CB93" s="155" t="str">
        <f t="shared" si="64"/>
        <v/>
      </c>
      <c r="CC93" s="155" t="str">
        <f t="shared" si="65"/>
        <v/>
      </c>
      <c r="CD93" s="155" t="str">
        <f t="shared" si="66"/>
        <v/>
      </c>
      <c r="CE93" s="155" t="str">
        <f t="shared" si="67"/>
        <v/>
      </c>
      <c r="CF93" s="155" t="str">
        <f t="shared" si="68"/>
        <v/>
      </c>
      <c r="CG93" s="155" t="str">
        <f t="shared" si="69"/>
        <v/>
      </c>
      <c r="CH93" s="155" t="str">
        <f t="shared" si="70"/>
        <v/>
      </c>
      <c r="CI93" s="155" t="str">
        <f t="shared" si="71"/>
        <v/>
      </c>
      <c r="CJ93" s="155" t="str">
        <f t="shared" si="72"/>
        <v/>
      </c>
      <c r="CK93" s="155" t="str">
        <f t="shared" si="73"/>
        <v/>
      </c>
      <c r="CL93" s="155" t="str">
        <f t="shared" si="74"/>
        <v/>
      </c>
      <c r="CM93" s="155" t="str">
        <f t="shared" si="75"/>
        <v/>
      </c>
      <c r="CN93" s="155" t="str">
        <f t="shared" si="76"/>
        <v/>
      </c>
      <c r="CO93" s="155" t="str">
        <f t="shared" si="77"/>
        <v/>
      </c>
      <c r="CP93" s="155" t="str">
        <f t="shared" si="78"/>
        <v/>
      </c>
      <c r="CQ93" s="155" t="str">
        <f t="shared" si="79"/>
        <v/>
      </c>
      <c r="CR93" s="155" t="str">
        <f t="shared" si="80"/>
        <v/>
      </c>
      <c r="CS93" s="155" t="str">
        <f t="shared" si="81"/>
        <v/>
      </c>
      <c r="CT93" s="155" t="str">
        <f t="shared" si="82"/>
        <v/>
      </c>
      <c r="CU93" s="155" t="str">
        <f t="shared" si="83"/>
        <v/>
      </c>
      <c r="CV93" s="155" t="str">
        <f t="shared" si="84"/>
        <v/>
      </c>
      <c r="CW93" s="155" t="str">
        <f t="shared" si="85"/>
        <v/>
      </c>
      <c r="CX93" s="155" t="str">
        <f t="shared" si="86"/>
        <v/>
      </c>
    </row>
    <row r="94" spans="1:126" s="151" customFormat="1" ht="25.5" outlineLevel="1" x14ac:dyDescent="0.2">
      <c r="A94" s="156"/>
      <c r="B94" s="157" t="str">
        <f>Services!B94</f>
        <v>04B02</v>
      </c>
      <c r="C94" s="153" t="str">
        <f>Services!C94</f>
        <v>Authentification de l'entité accédante lors des accès entrants depuis le réseau étendu</v>
      </c>
      <c r="D94" s="149"/>
      <c r="E94" s="149">
        <f>2*(8*Plans_action!E158+Plans_action!D158)</f>
        <v>0</v>
      </c>
      <c r="F94" s="149"/>
      <c r="G94" s="149"/>
      <c r="H94" s="149"/>
      <c r="I94" s="140" t="str">
        <f t="shared" si="44"/>
        <v/>
      </c>
      <c r="J94" s="141" t="str">
        <f t="shared" si="45"/>
        <v/>
      </c>
      <c r="K94" s="142"/>
      <c r="L94" s="142"/>
      <c r="M94" s="1708"/>
      <c r="N94" s="1708"/>
      <c r="O94" s="1708"/>
      <c r="P94" s="1708"/>
      <c r="Q94" s="1708"/>
      <c r="R94" s="1708"/>
      <c r="S94" s="1708"/>
      <c r="T94" s="1708"/>
      <c r="U94" s="1708"/>
      <c r="V94" s="1708"/>
      <c r="W94" s="1708"/>
      <c r="X94" s="1712"/>
      <c r="Y94" s="1712"/>
      <c r="Z94" s="1712"/>
      <c r="AA94" s="1712"/>
      <c r="AB94" s="1712"/>
      <c r="AC94" s="1712"/>
      <c r="AD94" s="1712"/>
      <c r="AE94" s="1712"/>
      <c r="AF94" s="1712"/>
      <c r="AG94" s="1712"/>
      <c r="AH94" s="1712"/>
      <c r="AI94" s="1712"/>
      <c r="AJ94" s="1712"/>
      <c r="AK94" s="1712"/>
      <c r="AL94" s="1712"/>
      <c r="AM94" s="1712"/>
      <c r="AN94" s="1712"/>
      <c r="AO94" s="1712"/>
      <c r="AP94" s="1712"/>
      <c r="AQ94" s="1712"/>
      <c r="AR94" s="1712"/>
      <c r="AS94" s="1712"/>
      <c r="AT94" s="1712"/>
      <c r="AU94" s="1712"/>
      <c r="AV94" s="1712"/>
      <c r="AW94" s="1712"/>
      <c r="AX94" s="1713"/>
      <c r="AY94" s="1714" t="str">
        <f t="shared" si="46"/>
        <v/>
      </c>
      <c r="AZ94" s="1714" t="str">
        <f>IF(Obj_PA!D94="","",IF(AY94="","",Obj_PA!D94-AY94))</f>
        <v/>
      </c>
      <c r="BA94" s="150"/>
      <c r="BB94" s="150"/>
      <c r="BC94" s="150"/>
      <c r="BD94" s="150"/>
      <c r="BE94" s="150"/>
      <c r="BF94" s="150"/>
      <c r="BG94" s="150"/>
      <c r="BH94" s="150"/>
      <c r="BI94" s="150"/>
      <c r="BJ94" s="150"/>
      <c r="BK94" s="155" t="str">
        <f t="shared" si="47"/>
        <v/>
      </c>
      <c r="BL94" s="155" t="str">
        <f t="shared" si="48"/>
        <v/>
      </c>
      <c r="BM94" s="155" t="str">
        <f t="shared" si="49"/>
        <v/>
      </c>
      <c r="BN94" s="155" t="str">
        <f t="shared" si="50"/>
        <v/>
      </c>
      <c r="BO94" s="155" t="str">
        <f t="shared" si="51"/>
        <v/>
      </c>
      <c r="BP94" s="155" t="str">
        <f t="shared" si="52"/>
        <v/>
      </c>
      <c r="BQ94" s="155" t="str">
        <f t="shared" si="53"/>
        <v/>
      </c>
      <c r="BR94" s="155" t="str">
        <f t="shared" si="54"/>
        <v/>
      </c>
      <c r="BS94" s="155" t="str">
        <f t="shared" si="55"/>
        <v/>
      </c>
      <c r="BT94" s="155" t="str">
        <f t="shared" si="56"/>
        <v/>
      </c>
      <c r="BU94" s="155" t="str">
        <f t="shared" si="57"/>
        <v/>
      </c>
      <c r="BV94" s="155" t="str">
        <f t="shared" si="58"/>
        <v/>
      </c>
      <c r="BW94" s="155" t="str">
        <f t="shared" si="59"/>
        <v/>
      </c>
      <c r="BX94" s="155" t="str">
        <f t="shared" si="60"/>
        <v/>
      </c>
      <c r="BY94" s="155" t="str">
        <f t="shared" si="61"/>
        <v/>
      </c>
      <c r="BZ94" s="155" t="str">
        <f t="shared" si="62"/>
        <v/>
      </c>
      <c r="CA94" s="155" t="str">
        <f t="shared" si="63"/>
        <v/>
      </c>
      <c r="CB94" s="155" t="str">
        <f t="shared" si="64"/>
        <v/>
      </c>
      <c r="CC94" s="155" t="str">
        <f t="shared" si="65"/>
        <v/>
      </c>
      <c r="CD94" s="155" t="str">
        <f t="shared" si="66"/>
        <v/>
      </c>
      <c r="CE94" s="155" t="str">
        <f t="shared" si="67"/>
        <v/>
      </c>
      <c r="CF94" s="155" t="str">
        <f t="shared" si="68"/>
        <v/>
      </c>
      <c r="CG94" s="155" t="str">
        <f t="shared" si="69"/>
        <v/>
      </c>
      <c r="CH94" s="155" t="str">
        <f t="shared" si="70"/>
        <v/>
      </c>
      <c r="CI94" s="155" t="str">
        <f t="shared" si="71"/>
        <v/>
      </c>
      <c r="CJ94" s="155" t="str">
        <f t="shared" si="72"/>
        <v/>
      </c>
      <c r="CK94" s="155" t="str">
        <f t="shared" si="73"/>
        <v/>
      </c>
      <c r="CL94" s="155" t="str">
        <f t="shared" si="74"/>
        <v/>
      </c>
      <c r="CM94" s="155" t="str">
        <f t="shared" si="75"/>
        <v/>
      </c>
      <c r="CN94" s="155" t="str">
        <f t="shared" si="76"/>
        <v/>
      </c>
      <c r="CO94" s="155" t="str">
        <f t="shared" si="77"/>
        <v/>
      </c>
      <c r="CP94" s="155" t="str">
        <f t="shared" si="78"/>
        <v/>
      </c>
      <c r="CQ94" s="155" t="str">
        <f t="shared" si="79"/>
        <v/>
      </c>
      <c r="CR94" s="155" t="str">
        <f t="shared" si="80"/>
        <v/>
      </c>
      <c r="CS94" s="155" t="str">
        <f t="shared" si="81"/>
        <v/>
      </c>
      <c r="CT94" s="155" t="str">
        <f t="shared" si="82"/>
        <v/>
      </c>
      <c r="CU94" s="155" t="str">
        <f t="shared" si="83"/>
        <v/>
      </c>
      <c r="CV94" s="155" t="str">
        <f t="shared" si="84"/>
        <v/>
      </c>
      <c r="CW94" s="155" t="str">
        <f t="shared" si="85"/>
        <v/>
      </c>
      <c r="CX94" s="155" t="str">
        <f t="shared" si="86"/>
        <v/>
      </c>
    </row>
    <row r="95" spans="1:126" s="151" customFormat="1" ht="25.5" outlineLevel="1" x14ac:dyDescent="0.2">
      <c r="A95" s="156"/>
      <c r="B95" s="157" t="str">
        <f>Services!B95</f>
        <v>04B03</v>
      </c>
      <c r="C95" s="153" t="str">
        <f>Services!C95</f>
        <v>Authentification de l'entité accédée lors des accès sortants vers d'autres entités par le réseau étendu</v>
      </c>
      <c r="D95" s="149"/>
      <c r="E95" s="149">
        <f>2*(8*Plans_action!E158+Plans_action!D158)</f>
        <v>0</v>
      </c>
      <c r="F95" s="149"/>
      <c r="G95" s="149"/>
      <c r="H95" s="149"/>
      <c r="I95" s="140" t="str">
        <f t="shared" si="44"/>
        <v/>
      </c>
      <c r="J95" s="141" t="str">
        <f t="shared" si="45"/>
        <v/>
      </c>
      <c r="K95" s="142"/>
      <c r="L95" s="142"/>
      <c r="M95" s="1708"/>
      <c r="N95" s="1708"/>
      <c r="O95" s="1708"/>
      <c r="P95" s="1708"/>
      <c r="Q95" s="1708"/>
      <c r="R95" s="1708"/>
      <c r="S95" s="1708"/>
      <c r="T95" s="1708"/>
      <c r="U95" s="1708"/>
      <c r="V95" s="1708"/>
      <c r="W95" s="1708"/>
      <c r="X95" s="1712"/>
      <c r="Y95" s="1712"/>
      <c r="Z95" s="1712"/>
      <c r="AA95" s="1712"/>
      <c r="AB95" s="1712"/>
      <c r="AC95" s="1712"/>
      <c r="AD95" s="1712"/>
      <c r="AE95" s="1712"/>
      <c r="AF95" s="1712"/>
      <c r="AG95" s="1712"/>
      <c r="AH95" s="1712"/>
      <c r="AI95" s="1712"/>
      <c r="AJ95" s="1712"/>
      <c r="AK95" s="1712"/>
      <c r="AL95" s="1712"/>
      <c r="AM95" s="1712"/>
      <c r="AN95" s="1712"/>
      <c r="AO95" s="1712"/>
      <c r="AP95" s="1712"/>
      <c r="AQ95" s="1712"/>
      <c r="AR95" s="1712"/>
      <c r="AS95" s="1712"/>
      <c r="AT95" s="1712"/>
      <c r="AU95" s="1712"/>
      <c r="AV95" s="1712"/>
      <c r="AW95" s="1712"/>
      <c r="AX95" s="1713"/>
      <c r="AY95" s="1714" t="str">
        <f t="shared" si="46"/>
        <v/>
      </c>
      <c r="AZ95" s="1714" t="str">
        <f>IF(Obj_PA!D95="","",IF(AY95="","",Obj_PA!D95-AY95))</f>
        <v/>
      </c>
      <c r="BA95" s="150"/>
      <c r="BB95" s="150"/>
      <c r="BC95" s="150"/>
      <c r="BD95" s="150"/>
      <c r="BE95" s="150"/>
      <c r="BF95" s="150"/>
      <c r="BG95" s="150"/>
      <c r="BH95" s="150"/>
      <c r="BI95" s="150"/>
      <c r="BJ95" s="150"/>
      <c r="BK95" s="155" t="str">
        <f t="shared" si="47"/>
        <v/>
      </c>
      <c r="BL95" s="155" t="str">
        <f t="shared" si="48"/>
        <v/>
      </c>
      <c r="BM95" s="155" t="str">
        <f t="shared" si="49"/>
        <v/>
      </c>
      <c r="BN95" s="155" t="str">
        <f t="shared" si="50"/>
        <v/>
      </c>
      <c r="BO95" s="155" t="str">
        <f t="shared" si="51"/>
        <v/>
      </c>
      <c r="BP95" s="155" t="str">
        <f t="shared" si="52"/>
        <v/>
      </c>
      <c r="BQ95" s="155" t="str">
        <f t="shared" si="53"/>
        <v/>
      </c>
      <c r="BR95" s="155" t="str">
        <f t="shared" si="54"/>
        <v/>
      </c>
      <c r="BS95" s="155" t="str">
        <f t="shared" si="55"/>
        <v/>
      </c>
      <c r="BT95" s="155" t="str">
        <f t="shared" si="56"/>
        <v/>
      </c>
      <c r="BU95" s="155" t="str">
        <f t="shared" si="57"/>
        <v/>
      </c>
      <c r="BV95" s="155" t="str">
        <f t="shared" si="58"/>
        <v/>
      </c>
      <c r="BW95" s="155" t="str">
        <f t="shared" si="59"/>
        <v/>
      </c>
      <c r="BX95" s="155" t="str">
        <f t="shared" si="60"/>
        <v/>
      </c>
      <c r="BY95" s="155" t="str">
        <f t="shared" si="61"/>
        <v/>
      </c>
      <c r="BZ95" s="155" t="str">
        <f t="shared" si="62"/>
        <v/>
      </c>
      <c r="CA95" s="155" t="str">
        <f t="shared" si="63"/>
        <v/>
      </c>
      <c r="CB95" s="155" t="str">
        <f t="shared" si="64"/>
        <v/>
      </c>
      <c r="CC95" s="155" t="str">
        <f t="shared" si="65"/>
        <v/>
      </c>
      <c r="CD95" s="155" t="str">
        <f t="shared" si="66"/>
        <v/>
      </c>
      <c r="CE95" s="155" t="str">
        <f t="shared" si="67"/>
        <v/>
      </c>
      <c r="CF95" s="155" t="str">
        <f t="shared" si="68"/>
        <v/>
      </c>
      <c r="CG95" s="155" t="str">
        <f t="shared" si="69"/>
        <v/>
      </c>
      <c r="CH95" s="155" t="str">
        <f t="shared" si="70"/>
        <v/>
      </c>
      <c r="CI95" s="155" t="str">
        <f t="shared" si="71"/>
        <v/>
      </c>
      <c r="CJ95" s="155" t="str">
        <f t="shared" si="72"/>
        <v/>
      </c>
      <c r="CK95" s="155" t="str">
        <f t="shared" si="73"/>
        <v/>
      </c>
      <c r="CL95" s="155" t="str">
        <f t="shared" si="74"/>
        <v/>
      </c>
      <c r="CM95" s="155" t="str">
        <f t="shared" si="75"/>
        <v/>
      </c>
      <c r="CN95" s="155" t="str">
        <f t="shared" si="76"/>
        <v/>
      </c>
      <c r="CO95" s="155" t="str">
        <f t="shared" si="77"/>
        <v/>
      </c>
      <c r="CP95" s="155" t="str">
        <f t="shared" si="78"/>
        <v/>
      </c>
      <c r="CQ95" s="155" t="str">
        <f t="shared" si="79"/>
        <v/>
      </c>
      <c r="CR95" s="155" t="str">
        <f t="shared" si="80"/>
        <v/>
      </c>
      <c r="CS95" s="155" t="str">
        <f t="shared" si="81"/>
        <v/>
      </c>
      <c r="CT95" s="155" t="str">
        <f t="shared" si="82"/>
        <v/>
      </c>
      <c r="CU95" s="155" t="str">
        <f t="shared" si="83"/>
        <v/>
      </c>
      <c r="CV95" s="155" t="str">
        <f t="shared" si="84"/>
        <v/>
      </c>
      <c r="CW95" s="155" t="str">
        <f t="shared" si="85"/>
        <v/>
      </c>
      <c r="CX95" s="155" t="str">
        <f t="shared" si="86"/>
        <v/>
      </c>
    </row>
    <row r="96" spans="1:126" s="151" customFormat="1" ht="25.5" outlineLevel="1" x14ac:dyDescent="0.2">
      <c r="A96" s="156"/>
      <c r="B96" s="147" t="str">
        <f>Services!B96</f>
        <v>04C</v>
      </c>
      <c r="C96" s="148" t="str">
        <f>Services!C96</f>
        <v>Sécurité des données lors des échanges et des communications</v>
      </c>
      <c r="D96" s="149"/>
      <c r="E96" s="149"/>
      <c r="F96" s="149"/>
      <c r="G96" s="149"/>
      <c r="H96" s="149"/>
      <c r="I96" s="140" t="str">
        <f t="shared" si="44"/>
        <v/>
      </c>
      <c r="J96" s="141" t="str">
        <f t="shared" si="45"/>
        <v/>
      </c>
      <c r="K96" s="142"/>
      <c r="L96" s="142"/>
      <c r="M96" s="1708"/>
      <c r="N96" s="1708"/>
      <c r="O96" s="1708"/>
      <c r="P96" s="1708"/>
      <c r="Q96" s="1708"/>
      <c r="R96" s="1708"/>
      <c r="S96" s="1708"/>
      <c r="T96" s="1708"/>
      <c r="U96" s="1708"/>
      <c r="V96" s="1708"/>
      <c r="W96" s="1708"/>
      <c r="X96" s="1712"/>
      <c r="Y96" s="1712"/>
      <c r="Z96" s="1712"/>
      <c r="AA96" s="1712"/>
      <c r="AB96" s="1712"/>
      <c r="AC96" s="1712"/>
      <c r="AD96" s="1712"/>
      <c r="AE96" s="1712"/>
      <c r="AF96" s="1712"/>
      <c r="AG96" s="1712"/>
      <c r="AH96" s="1712"/>
      <c r="AI96" s="1712"/>
      <c r="AJ96" s="1712"/>
      <c r="AK96" s="1712"/>
      <c r="AL96" s="1712"/>
      <c r="AM96" s="1712"/>
      <c r="AN96" s="1712"/>
      <c r="AO96" s="1712"/>
      <c r="AP96" s="1712"/>
      <c r="AQ96" s="1712"/>
      <c r="AR96" s="1712"/>
      <c r="AS96" s="1712"/>
      <c r="AT96" s="1712"/>
      <c r="AU96" s="1712"/>
      <c r="AV96" s="1712"/>
      <c r="AW96" s="1712"/>
      <c r="AX96" s="1713"/>
      <c r="AY96" s="1714" t="str">
        <f t="shared" si="46"/>
        <v/>
      </c>
      <c r="AZ96" s="1714" t="str">
        <f>IF(Obj_PA!D96="","",IF(AY96="","",Obj_PA!D96-AY96))</f>
        <v/>
      </c>
      <c r="BA96" s="150"/>
      <c r="BB96" s="150"/>
      <c r="BC96" s="150"/>
      <c r="BD96" s="150"/>
      <c r="BE96" s="150"/>
      <c r="BF96" s="150"/>
      <c r="BG96" s="150"/>
      <c r="BH96" s="150"/>
      <c r="BI96" s="150"/>
      <c r="BJ96" s="150"/>
      <c r="BK96" s="155" t="str">
        <f t="shared" si="47"/>
        <v/>
      </c>
      <c r="BL96" s="155" t="str">
        <f t="shared" si="48"/>
        <v/>
      </c>
      <c r="BM96" s="155" t="str">
        <f t="shared" si="49"/>
        <v/>
      </c>
      <c r="BN96" s="155" t="str">
        <f t="shared" si="50"/>
        <v/>
      </c>
      <c r="BO96" s="155" t="str">
        <f t="shared" si="51"/>
        <v/>
      </c>
      <c r="BP96" s="155" t="str">
        <f t="shared" si="52"/>
        <v/>
      </c>
      <c r="BQ96" s="155" t="str">
        <f t="shared" si="53"/>
        <v/>
      </c>
      <c r="BR96" s="155" t="str">
        <f t="shared" si="54"/>
        <v/>
      </c>
      <c r="BS96" s="155" t="str">
        <f t="shared" si="55"/>
        <v/>
      </c>
      <c r="BT96" s="155" t="str">
        <f t="shared" si="56"/>
        <v/>
      </c>
      <c r="BU96" s="155" t="str">
        <f t="shared" si="57"/>
        <v/>
      </c>
      <c r="BV96" s="155" t="str">
        <f t="shared" si="58"/>
        <v/>
      </c>
      <c r="BW96" s="155" t="str">
        <f t="shared" si="59"/>
        <v/>
      </c>
      <c r="BX96" s="155" t="str">
        <f t="shared" si="60"/>
        <v/>
      </c>
      <c r="BY96" s="155" t="str">
        <f t="shared" si="61"/>
        <v/>
      </c>
      <c r="BZ96" s="155" t="str">
        <f t="shared" si="62"/>
        <v/>
      </c>
      <c r="CA96" s="155" t="str">
        <f t="shared" si="63"/>
        <v/>
      </c>
      <c r="CB96" s="155" t="str">
        <f t="shared" si="64"/>
        <v/>
      </c>
      <c r="CC96" s="155" t="str">
        <f t="shared" si="65"/>
        <v/>
      </c>
      <c r="CD96" s="155" t="str">
        <f t="shared" si="66"/>
        <v/>
      </c>
      <c r="CE96" s="155" t="str">
        <f t="shared" si="67"/>
        <v/>
      </c>
      <c r="CF96" s="155" t="str">
        <f t="shared" si="68"/>
        <v/>
      </c>
      <c r="CG96" s="155" t="str">
        <f t="shared" si="69"/>
        <v/>
      </c>
      <c r="CH96" s="155" t="str">
        <f t="shared" si="70"/>
        <v/>
      </c>
      <c r="CI96" s="155" t="str">
        <f t="shared" si="71"/>
        <v/>
      </c>
      <c r="CJ96" s="155" t="str">
        <f t="shared" si="72"/>
        <v/>
      </c>
      <c r="CK96" s="155" t="str">
        <f t="shared" si="73"/>
        <v/>
      </c>
      <c r="CL96" s="155" t="str">
        <f t="shared" si="74"/>
        <v/>
      </c>
      <c r="CM96" s="155" t="str">
        <f t="shared" si="75"/>
        <v/>
      </c>
      <c r="CN96" s="155" t="str">
        <f t="shared" si="76"/>
        <v/>
      </c>
      <c r="CO96" s="155" t="str">
        <f t="shared" si="77"/>
        <v/>
      </c>
      <c r="CP96" s="155" t="str">
        <f t="shared" si="78"/>
        <v/>
      </c>
      <c r="CQ96" s="155" t="str">
        <f t="shared" si="79"/>
        <v/>
      </c>
      <c r="CR96" s="155" t="str">
        <f t="shared" si="80"/>
        <v/>
      </c>
      <c r="CS96" s="155" t="str">
        <f t="shared" si="81"/>
        <v/>
      </c>
      <c r="CT96" s="155" t="str">
        <f t="shared" si="82"/>
        <v/>
      </c>
      <c r="CU96" s="155" t="str">
        <f t="shared" si="83"/>
        <v/>
      </c>
      <c r="CV96" s="155" t="str">
        <f t="shared" si="84"/>
        <v/>
      </c>
      <c r="CW96" s="155" t="str">
        <f t="shared" si="85"/>
        <v/>
      </c>
      <c r="CX96" s="155" t="str">
        <f t="shared" si="86"/>
        <v/>
      </c>
    </row>
    <row r="97" spans="1:102" s="151" customFormat="1" ht="14.25" outlineLevel="1" x14ac:dyDescent="0.2">
      <c r="A97" s="146"/>
      <c r="B97" s="157" t="str">
        <f>Services!B97</f>
        <v>04C01</v>
      </c>
      <c r="C97" s="153" t="str">
        <f>Services!C97</f>
        <v>Chiffrement des échanges sur le réseau étendu</v>
      </c>
      <c r="D97" s="149"/>
      <c r="E97" s="149"/>
      <c r="F97" s="149">
        <f>3*(8*Plans_action!E88+Plans_action!D88)</f>
        <v>0</v>
      </c>
      <c r="G97" s="149"/>
      <c r="H97" s="149"/>
      <c r="I97" s="140" t="str">
        <f t="shared" si="44"/>
        <v/>
      </c>
      <c r="J97" s="141" t="str">
        <f t="shared" si="45"/>
        <v/>
      </c>
      <c r="K97" s="142"/>
      <c r="L97" s="142"/>
      <c r="M97" s="1708"/>
      <c r="N97" s="1708"/>
      <c r="O97" s="1708"/>
      <c r="P97" s="1708"/>
      <c r="Q97" s="1708"/>
      <c r="R97" s="1708"/>
      <c r="S97" s="1708"/>
      <c r="T97" s="1708"/>
      <c r="U97" s="1708"/>
      <c r="V97" s="1708"/>
      <c r="W97" s="1708"/>
      <c r="X97" s="1712"/>
      <c r="Y97" s="1712"/>
      <c r="Z97" s="1712"/>
      <c r="AA97" s="1712"/>
      <c r="AB97" s="1712"/>
      <c r="AC97" s="1712"/>
      <c r="AD97" s="1712"/>
      <c r="AE97" s="1712"/>
      <c r="AF97" s="1712"/>
      <c r="AG97" s="1712"/>
      <c r="AH97" s="1712"/>
      <c r="AI97" s="1712"/>
      <c r="AJ97" s="1712"/>
      <c r="AK97" s="1712"/>
      <c r="AL97" s="1712"/>
      <c r="AM97" s="1712"/>
      <c r="AN97" s="1712"/>
      <c r="AO97" s="1712"/>
      <c r="AP97" s="1712"/>
      <c r="AQ97" s="1712"/>
      <c r="AR97" s="1712"/>
      <c r="AS97" s="1712"/>
      <c r="AT97" s="1712"/>
      <c r="AU97" s="1712"/>
      <c r="AV97" s="1712"/>
      <c r="AW97" s="1712"/>
      <c r="AX97" s="1713"/>
      <c r="AY97" s="1714" t="str">
        <f t="shared" si="46"/>
        <v/>
      </c>
      <c r="AZ97" s="1714" t="str">
        <f>IF(Obj_PA!D97="","",IF(AY97="","",Obj_PA!D97-AY97))</f>
        <v/>
      </c>
      <c r="BA97" s="150"/>
      <c r="BB97" s="150"/>
      <c r="BC97" s="150"/>
      <c r="BD97" s="150"/>
      <c r="BE97" s="150"/>
      <c r="BF97" s="150"/>
      <c r="BG97" s="150"/>
      <c r="BH97" s="150"/>
      <c r="BI97" s="150"/>
      <c r="BJ97" s="150"/>
      <c r="BK97" s="155" t="str">
        <f t="shared" si="47"/>
        <v/>
      </c>
      <c r="BL97" s="155" t="str">
        <f t="shared" si="48"/>
        <v/>
      </c>
      <c r="BM97" s="155" t="str">
        <f t="shared" si="49"/>
        <v/>
      </c>
      <c r="BN97" s="155" t="str">
        <f t="shared" si="50"/>
        <v/>
      </c>
      <c r="BO97" s="155" t="str">
        <f t="shared" si="51"/>
        <v/>
      </c>
      <c r="BP97" s="155" t="str">
        <f t="shared" si="52"/>
        <v/>
      </c>
      <c r="BQ97" s="155" t="str">
        <f t="shared" si="53"/>
        <v/>
      </c>
      <c r="BR97" s="155" t="str">
        <f t="shared" si="54"/>
        <v/>
      </c>
      <c r="BS97" s="155" t="str">
        <f t="shared" si="55"/>
        <v/>
      </c>
      <c r="BT97" s="155" t="str">
        <f t="shared" si="56"/>
        <v/>
      </c>
      <c r="BU97" s="155" t="str">
        <f t="shared" si="57"/>
        <v/>
      </c>
      <c r="BV97" s="155" t="str">
        <f t="shared" si="58"/>
        <v/>
      </c>
      <c r="BW97" s="155" t="str">
        <f t="shared" si="59"/>
        <v/>
      </c>
      <c r="BX97" s="155" t="str">
        <f t="shared" si="60"/>
        <v/>
      </c>
      <c r="BY97" s="155" t="str">
        <f t="shared" si="61"/>
        <v/>
      </c>
      <c r="BZ97" s="155" t="str">
        <f t="shared" si="62"/>
        <v/>
      </c>
      <c r="CA97" s="155" t="str">
        <f t="shared" si="63"/>
        <v/>
      </c>
      <c r="CB97" s="155" t="str">
        <f t="shared" si="64"/>
        <v/>
      </c>
      <c r="CC97" s="155" t="str">
        <f t="shared" si="65"/>
        <v/>
      </c>
      <c r="CD97" s="155" t="str">
        <f t="shared" si="66"/>
        <v/>
      </c>
      <c r="CE97" s="155" t="str">
        <f t="shared" si="67"/>
        <v/>
      </c>
      <c r="CF97" s="155" t="str">
        <f t="shared" si="68"/>
        <v/>
      </c>
      <c r="CG97" s="155" t="str">
        <f t="shared" si="69"/>
        <v/>
      </c>
      <c r="CH97" s="155" t="str">
        <f t="shared" si="70"/>
        <v/>
      </c>
      <c r="CI97" s="155" t="str">
        <f t="shared" si="71"/>
        <v/>
      </c>
      <c r="CJ97" s="155" t="str">
        <f t="shared" si="72"/>
        <v/>
      </c>
      <c r="CK97" s="155" t="str">
        <f t="shared" si="73"/>
        <v/>
      </c>
      <c r="CL97" s="155" t="str">
        <f t="shared" si="74"/>
        <v/>
      </c>
      <c r="CM97" s="155" t="str">
        <f t="shared" si="75"/>
        <v/>
      </c>
      <c r="CN97" s="155" t="str">
        <f t="shared" si="76"/>
        <v/>
      </c>
      <c r="CO97" s="155" t="str">
        <f t="shared" si="77"/>
        <v/>
      </c>
      <c r="CP97" s="155" t="str">
        <f t="shared" si="78"/>
        <v/>
      </c>
      <c r="CQ97" s="155" t="str">
        <f t="shared" si="79"/>
        <v/>
      </c>
      <c r="CR97" s="155" t="str">
        <f t="shared" si="80"/>
        <v/>
      </c>
      <c r="CS97" s="155" t="str">
        <f t="shared" si="81"/>
        <v/>
      </c>
      <c r="CT97" s="155" t="str">
        <f t="shared" si="82"/>
        <v/>
      </c>
      <c r="CU97" s="155" t="str">
        <f t="shared" si="83"/>
        <v/>
      </c>
      <c r="CV97" s="155" t="str">
        <f t="shared" si="84"/>
        <v/>
      </c>
      <c r="CW97" s="155" t="str">
        <f t="shared" si="85"/>
        <v/>
      </c>
      <c r="CX97" s="155" t="str">
        <f t="shared" si="86"/>
        <v/>
      </c>
    </row>
    <row r="98" spans="1:102" s="151" customFormat="1" ht="14.25" outlineLevel="1" x14ac:dyDescent="0.2">
      <c r="A98" s="146"/>
      <c r="B98" s="157" t="str">
        <f>Services!B98</f>
        <v>04C02</v>
      </c>
      <c r="C98" s="153" t="str">
        <f>Services!C98</f>
        <v>Contrôle de l'intégrité des échanges sur le réseau étendu</v>
      </c>
      <c r="D98" s="149"/>
      <c r="E98" s="149"/>
      <c r="F98" s="149">
        <f>3*(8*Plans_action!E88+Plans_action!D88)</f>
        <v>0</v>
      </c>
      <c r="G98" s="149"/>
      <c r="H98" s="149"/>
      <c r="I98" s="140" t="str">
        <f t="shared" si="44"/>
        <v/>
      </c>
      <c r="J98" s="141" t="str">
        <f t="shared" si="45"/>
        <v/>
      </c>
      <c r="K98" s="142"/>
      <c r="L98" s="142"/>
      <c r="M98" s="1708"/>
      <c r="N98" s="1708"/>
      <c r="O98" s="1708"/>
      <c r="P98" s="1708"/>
      <c r="Q98" s="1708"/>
      <c r="R98" s="1708"/>
      <c r="S98" s="1708"/>
      <c r="T98" s="1708"/>
      <c r="U98" s="1708"/>
      <c r="V98" s="1708"/>
      <c r="W98" s="1708"/>
      <c r="X98" s="1712"/>
      <c r="Y98" s="1712"/>
      <c r="Z98" s="1712"/>
      <c r="AA98" s="1712"/>
      <c r="AB98" s="1712"/>
      <c r="AC98" s="1712"/>
      <c r="AD98" s="1712"/>
      <c r="AE98" s="1712"/>
      <c r="AF98" s="1712"/>
      <c r="AG98" s="1712"/>
      <c r="AH98" s="1712"/>
      <c r="AI98" s="1712"/>
      <c r="AJ98" s="1712"/>
      <c r="AK98" s="1712"/>
      <c r="AL98" s="1712"/>
      <c r="AM98" s="1712"/>
      <c r="AN98" s="1712"/>
      <c r="AO98" s="1712"/>
      <c r="AP98" s="1712"/>
      <c r="AQ98" s="1712"/>
      <c r="AR98" s="1712"/>
      <c r="AS98" s="1712"/>
      <c r="AT98" s="1712"/>
      <c r="AU98" s="1712"/>
      <c r="AV98" s="1712"/>
      <c r="AW98" s="1712"/>
      <c r="AX98" s="1713"/>
      <c r="AY98" s="1714" t="str">
        <f t="shared" si="46"/>
        <v/>
      </c>
      <c r="AZ98" s="1714" t="str">
        <f>IF(Obj_PA!D98="","",IF(AY98="","",Obj_PA!D98-AY98))</f>
        <v/>
      </c>
      <c r="BA98" s="150"/>
      <c r="BB98" s="150"/>
      <c r="BC98" s="150"/>
      <c r="BD98" s="150"/>
      <c r="BE98" s="150"/>
      <c r="BF98" s="150"/>
      <c r="BG98" s="150"/>
      <c r="BH98" s="150"/>
      <c r="BI98" s="150"/>
      <c r="BJ98" s="150"/>
      <c r="BK98" s="155" t="str">
        <f t="shared" si="47"/>
        <v/>
      </c>
      <c r="BL98" s="155" t="str">
        <f t="shared" si="48"/>
        <v/>
      </c>
      <c r="BM98" s="155" t="str">
        <f t="shared" si="49"/>
        <v/>
      </c>
      <c r="BN98" s="155" t="str">
        <f t="shared" si="50"/>
        <v/>
      </c>
      <c r="BO98" s="155" t="str">
        <f t="shared" si="51"/>
        <v/>
      </c>
      <c r="BP98" s="155" t="str">
        <f t="shared" si="52"/>
        <v/>
      </c>
      <c r="BQ98" s="155" t="str">
        <f t="shared" si="53"/>
        <v/>
      </c>
      <c r="BR98" s="155" t="str">
        <f t="shared" si="54"/>
        <v/>
      </c>
      <c r="BS98" s="155" t="str">
        <f t="shared" si="55"/>
        <v/>
      </c>
      <c r="BT98" s="155" t="str">
        <f t="shared" si="56"/>
        <v/>
      </c>
      <c r="BU98" s="155" t="str">
        <f t="shared" si="57"/>
        <v/>
      </c>
      <c r="BV98" s="155" t="str">
        <f t="shared" si="58"/>
        <v/>
      </c>
      <c r="BW98" s="155" t="str">
        <f t="shared" si="59"/>
        <v/>
      </c>
      <c r="BX98" s="155" t="str">
        <f t="shared" si="60"/>
        <v/>
      </c>
      <c r="BY98" s="155" t="str">
        <f t="shared" si="61"/>
        <v/>
      </c>
      <c r="BZ98" s="155" t="str">
        <f t="shared" si="62"/>
        <v/>
      </c>
      <c r="CA98" s="155" t="str">
        <f t="shared" si="63"/>
        <v/>
      </c>
      <c r="CB98" s="155" t="str">
        <f t="shared" si="64"/>
        <v/>
      </c>
      <c r="CC98" s="155" t="str">
        <f t="shared" si="65"/>
        <v/>
      </c>
      <c r="CD98" s="155" t="str">
        <f t="shared" si="66"/>
        <v/>
      </c>
      <c r="CE98" s="155" t="str">
        <f t="shared" si="67"/>
        <v/>
      </c>
      <c r="CF98" s="155" t="str">
        <f t="shared" si="68"/>
        <v/>
      </c>
      <c r="CG98" s="155" t="str">
        <f t="shared" si="69"/>
        <v/>
      </c>
      <c r="CH98" s="155" t="str">
        <f t="shared" si="70"/>
        <v/>
      </c>
      <c r="CI98" s="155" t="str">
        <f t="shared" si="71"/>
        <v/>
      </c>
      <c r="CJ98" s="155" t="str">
        <f t="shared" si="72"/>
        <v/>
      </c>
      <c r="CK98" s="155" t="str">
        <f t="shared" si="73"/>
        <v/>
      </c>
      <c r="CL98" s="155" t="str">
        <f t="shared" si="74"/>
        <v/>
      </c>
      <c r="CM98" s="155" t="str">
        <f t="shared" si="75"/>
        <v/>
      </c>
      <c r="CN98" s="155" t="str">
        <f t="shared" si="76"/>
        <v/>
      </c>
      <c r="CO98" s="155" t="str">
        <f t="shared" si="77"/>
        <v/>
      </c>
      <c r="CP98" s="155" t="str">
        <f t="shared" si="78"/>
        <v/>
      </c>
      <c r="CQ98" s="155" t="str">
        <f t="shared" si="79"/>
        <v/>
      </c>
      <c r="CR98" s="155" t="str">
        <f t="shared" si="80"/>
        <v/>
      </c>
      <c r="CS98" s="155" t="str">
        <f t="shared" si="81"/>
        <v/>
      </c>
      <c r="CT98" s="155" t="str">
        <f t="shared" si="82"/>
        <v/>
      </c>
      <c r="CU98" s="155" t="str">
        <f t="shared" si="83"/>
        <v/>
      </c>
      <c r="CV98" s="155" t="str">
        <f t="shared" si="84"/>
        <v/>
      </c>
      <c r="CW98" s="155" t="str">
        <f t="shared" si="85"/>
        <v/>
      </c>
      <c r="CX98" s="155" t="str">
        <f t="shared" si="86"/>
        <v/>
      </c>
    </row>
    <row r="99" spans="1:102" s="151" customFormat="1" ht="25.5" outlineLevel="1" x14ac:dyDescent="0.2">
      <c r="A99" s="146"/>
      <c r="B99" s="157" t="str">
        <f>Services!B99</f>
        <v>04D</v>
      </c>
      <c r="C99" s="153" t="str">
        <f>Services!C99</f>
        <v>Contrôle, détection et traitement des incidents sur le réseau étendu</v>
      </c>
      <c r="D99" s="149"/>
      <c r="E99" s="149"/>
      <c r="F99" s="149"/>
      <c r="G99" s="149"/>
      <c r="H99" s="149"/>
      <c r="I99" s="140" t="str">
        <f t="shared" si="44"/>
        <v/>
      </c>
      <c r="J99" s="141" t="str">
        <f t="shared" si="45"/>
        <v/>
      </c>
      <c r="K99" s="142"/>
      <c r="L99" s="142"/>
      <c r="M99" s="1708"/>
      <c r="N99" s="1708"/>
      <c r="O99" s="1708"/>
      <c r="P99" s="1708"/>
      <c r="Q99" s="1708"/>
      <c r="R99" s="1708"/>
      <c r="S99" s="1708"/>
      <c r="T99" s="1708"/>
      <c r="U99" s="1708"/>
      <c r="V99" s="1708"/>
      <c r="W99" s="1708"/>
      <c r="X99" s="1712"/>
      <c r="Y99" s="1712"/>
      <c r="Z99" s="1712"/>
      <c r="AA99" s="1712"/>
      <c r="AB99" s="1712"/>
      <c r="AC99" s="1712"/>
      <c r="AD99" s="1712"/>
      <c r="AE99" s="1712"/>
      <c r="AF99" s="1712"/>
      <c r="AG99" s="1712"/>
      <c r="AH99" s="1712"/>
      <c r="AI99" s="1712"/>
      <c r="AJ99" s="1712"/>
      <c r="AK99" s="1712"/>
      <c r="AL99" s="1712"/>
      <c r="AM99" s="1712"/>
      <c r="AN99" s="1712"/>
      <c r="AO99" s="1712"/>
      <c r="AP99" s="1712"/>
      <c r="AQ99" s="1712"/>
      <c r="AR99" s="1712"/>
      <c r="AS99" s="1712"/>
      <c r="AT99" s="1712"/>
      <c r="AU99" s="1712"/>
      <c r="AV99" s="1712"/>
      <c r="AW99" s="1712"/>
      <c r="AX99" s="1713"/>
      <c r="AY99" s="1714" t="str">
        <f t="shared" si="46"/>
        <v/>
      </c>
      <c r="AZ99" s="1714" t="str">
        <f>IF(Obj_PA!D99="","",IF(AY99="","",Obj_PA!D99-AY99))</f>
        <v/>
      </c>
      <c r="BA99" s="150"/>
      <c r="BB99" s="150"/>
      <c r="BC99" s="150"/>
      <c r="BD99" s="150"/>
      <c r="BE99" s="150"/>
      <c r="BF99" s="150"/>
      <c r="BG99" s="150"/>
      <c r="BH99" s="150"/>
      <c r="BI99" s="150"/>
      <c r="BJ99" s="150"/>
      <c r="BK99" s="155" t="str">
        <f t="shared" si="47"/>
        <v/>
      </c>
      <c r="BL99" s="155" t="str">
        <f t="shared" si="48"/>
        <v/>
      </c>
      <c r="BM99" s="155" t="str">
        <f t="shared" si="49"/>
        <v/>
      </c>
      <c r="BN99" s="155" t="str">
        <f t="shared" si="50"/>
        <v/>
      </c>
      <c r="BO99" s="155" t="str">
        <f t="shared" si="51"/>
        <v/>
      </c>
      <c r="BP99" s="155" t="str">
        <f t="shared" si="52"/>
        <v/>
      </c>
      <c r="BQ99" s="155" t="str">
        <f t="shared" si="53"/>
        <v/>
      </c>
      <c r="BR99" s="155" t="str">
        <f t="shared" si="54"/>
        <v/>
      </c>
      <c r="BS99" s="155" t="str">
        <f t="shared" si="55"/>
        <v/>
      </c>
      <c r="BT99" s="155" t="str">
        <f t="shared" si="56"/>
        <v/>
      </c>
      <c r="BU99" s="155" t="str">
        <f t="shared" si="57"/>
        <v/>
      </c>
      <c r="BV99" s="155" t="str">
        <f t="shared" si="58"/>
        <v/>
      </c>
      <c r="BW99" s="155" t="str">
        <f t="shared" si="59"/>
        <v/>
      </c>
      <c r="BX99" s="155" t="str">
        <f t="shared" si="60"/>
        <v/>
      </c>
      <c r="BY99" s="155" t="str">
        <f t="shared" si="61"/>
        <v/>
      </c>
      <c r="BZ99" s="155" t="str">
        <f t="shared" si="62"/>
        <v/>
      </c>
      <c r="CA99" s="155" t="str">
        <f t="shared" si="63"/>
        <v/>
      </c>
      <c r="CB99" s="155" t="str">
        <f t="shared" si="64"/>
        <v/>
      </c>
      <c r="CC99" s="155" t="str">
        <f t="shared" si="65"/>
        <v/>
      </c>
      <c r="CD99" s="155" t="str">
        <f t="shared" si="66"/>
        <v/>
      </c>
      <c r="CE99" s="155" t="str">
        <f t="shared" si="67"/>
        <v/>
      </c>
      <c r="CF99" s="155" t="str">
        <f t="shared" si="68"/>
        <v/>
      </c>
      <c r="CG99" s="155" t="str">
        <f t="shared" si="69"/>
        <v/>
      </c>
      <c r="CH99" s="155" t="str">
        <f t="shared" si="70"/>
        <v/>
      </c>
      <c r="CI99" s="155" t="str">
        <f t="shared" si="71"/>
        <v/>
      </c>
      <c r="CJ99" s="155" t="str">
        <f t="shared" si="72"/>
        <v/>
      </c>
      <c r="CK99" s="155" t="str">
        <f t="shared" si="73"/>
        <v/>
      </c>
      <c r="CL99" s="155" t="str">
        <f t="shared" si="74"/>
        <v/>
      </c>
      <c r="CM99" s="155" t="str">
        <f t="shared" si="75"/>
        <v/>
      </c>
      <c r="CN99" s="155" t="str">
        <f t="shared" si="76"/>
        <v/>
      </c>
      <c r="CO99" s="155" t="str">
        <f t="shared" si="77"/>
        <v/>
      </c>
      <c r="CP99" s="155" t="str">
        <f t="shared" si="78"/>
        <v/>
      </c>
      <c r="CQ99" s="155" t="str">
        <f t="shared" si="79"/>
        <v/>
      </c>
      <c r="CR99" s="155" t="str">
        <f t="shared" si="80"/>
        <v/>
      </c>
      <c r="CS99" s="155" t="str">
        <f t="shared" si="81"/>
        <v/>
      </c>
      <c r="CT99" s="155" t="str">
        <f t="shared" si="82"/>
        <v/>
      </c>
      <c r="CU99" s="155" t="str">
        <f t="shared" si="83"/>
        <v/>
      </c>
      <c r="CV99" s="155" t="str">
        <f t="shared" si="84"/>
        <v/>
      </c>
      <c r="CW99" s="155" t="str">
        <f t="shared" si="85"/>
        <v/>
      </c>
      <c r="CX99" s="155" t="str">
        <f t="shared" si="86"/>
        <v/>
      </c>
    </row>
    <row r="100" spans="1:102" s="151" customFormat="1" ht="14.25" outlineLevel="1" x14ac:dyDescent="0.2">
      <c r="A100" s="156"/>
      <c r="B100" s="157" t="str">
        <f>Services!B100</f>
        <v>04D01</v>
      </c>
      <c r="C100" s="153" t="str">
        <f>Services!C100</f>
        <v>Surveillance (en temps réel) du réseau étendu</v>
      </c>
      <c r="D100" s="149">
        <f>1*(8*Plans_action!E200+Plans_action!D200)</f>
        <v>0</v>
      </c>
      <c r="E100" s="149"/>
      <c r="F100" s="149"/>
      <c r="G100" s="149"/>
      <c r="H100" s="149"/>
      <c r="I100" s="140" t="str">
        <f t="shared" si="44"/>
        <v/>
      </c>
      <c r="J100" s="141" t="str">
        <f t="shared" si="45"/>
        <v/>
      </c>
      <c r="K100" s="142"/>
      <c r="L100" s="142"/>
      <c r="M100" s="1708"/>
      <c r="N100" s="1708"/>
      <c r="O100" s="1708"/>
      <c r="P100" s="1708"/>
      <c r="Q100" s="1708"/>
      <c r="R100" s="1708"/>
      <c r="S100" s="1708"/>
      <c r="T100" s="1708"/>
      <c r="U100" s="1708"/>
      <c r="V100" s="1708"/>
      <c r="W100" s="1708"/>
      <c r="X100" s="1712"/>
      <c r="Y100" s="1712"/>
      <c r="Z100" s="1712"/>
      <c r="AA100" s="1712"/>
      <c r="AB100" s="1712"/>
      <c r="AC100" s="1712"/>
      <c r="AD100" s="1712"/>
      <c r="AE100" s="1712"/>
      <c r="AF100" s="1712"/>
      <c r="AG100" s="1712"/>
      <c r="AH100" s="1712"/>
      <c r="AI100" s="1712"/>
      <c r="AJ100" s="1712"/>
      <c r="AK100" s="1712"/>
      <c r="AL100" s="1712"/>
      <c r="AM100" s="1712"/>
      <c r="AN100" s="1712"/>
      <c r="AO100" s="1712"/>
      <c r="AP100" s="1712"/>
      <c r="AQ100" s="1712"/>
      <c r="AR100" s="1712"/>
      <c r="AS100" s="1712"/>
      <c r="AT100" s="1712"/>
      <c r="AU100" s="1712"/>
      <c r="AV100" s="1712"/>
      <c r="AW100" s="1712"/>
      <c r="AX100" s="1713"/>
      <c r="AY100" s="1714" t="str">
        <f t="shared" si="46"/>
        <v/>
      </c>
      <c r="AZ100" s="1714" t="str">
        <f>IF(Obj_PA!D100="","",IF(AY100="","",Obj_PA!D100-AY100))</f>
        <v/>
      </c>
      <c r="BA100" s="150"/>
      <c r="BB100" s="150"/>
      <c r="BC100" s="150"/>
      <c r="BD100" s="150"/>
      <c r="BE100" s="150"/>
      <c r="BF100" s="150"/>
      <c r="BG100" s="150"/>
      <c r="BH100" s="150"/>
      <c r="BI100" s="150"/>
      <c r="BJ100" s="150"/>
      <c r="BK100" s="155" t="str">
        <f t="shared" si="47"/>
        <v/>
      </c>
      <c r="BL100" s="155" t="str">
        <f t="shared" si="48"/>
        <v/>
      </c>
      <c r="BM100" s="155" t="str">
        <f t="shared" si="49"/>
        <v/>
      </c>
      <c r="BN100" s="155" t="str">
        <f t="shared" si="50"/>
        <v/>
      </c>
      <c r="BO100" s="155" t="str">
        <f t="shared" si="51"/>
        <v/>
      </c>
      <c r="BP100" s="155" t="str">
        <f t="shared" si="52"/>
        <v/>
      </c>
      <c r="BQ100" s="155" t="str">
        <f t="shared" si="53"/>
        <v/>
      </c>
      <c r="BR100" s="155" t="str">
        <f t="shared" si="54"/>
        <v/>
      </c>
      <c r="BS100" s="155" t="str">
        <f t="shared" si="55"/>
        <v/>
      </c>
      <c r="BT100" s="155" t="str">
        <f t="shared" si="56"/>
        <v/>
      </c>
      <c r="BU100" s="155" t="str">
        <f t="shared" si="57"/>
        <v/>
      </c>
      <c r="BV100" s="155" t="str">
        <f t="shared" si="58"/>
        <v/>
      </c>
      <c r="BW100" s="155" t="str">
        <f t="shared" si="59"/>
        <v/>
      </c>
      <c r="BX100" s="155" t="str">
        <f t="shared" si="60"/>
        <v/>
      </c>
      <c r="BY100" s="155" t="str">
        <f t="shared" si="61"/>
        <v/>
      </c>
      <c r="BZ100" s="155" t="str">
        <f t="shared" si="62"/>
        <v/>
      </c>
      <c r="CA100" s="155" t="str">
        <f t="shared" si="63"/>
        <v/>
      </c>
      <c r="CB100" s="155" t="str">
        <f t="shared" si="64"/>
        <v/>
      </c>
      <c r="CC100" s="155" t="str">
        <f t="shared" si="65"/>
        <v/>
      </c>
      <c r="CD100" s="155" t="str">
        <f t="shared" si="66"/>
        <v/>
      </c>
      <c r="CE100" s="155" t="str">
        <f t="shared" si="67"/>
        <v/>
      </c>
      <c r="CF100" s="155" t="str">
        <f t="shared" si="68"/>
        <v/>
      </c>
      <c r="CG100" s="155" t="str">
        <f t="shared" si="69"/>
        <v/>
      </c>
      <c r="CH100" s="155" t="str">
        <f t="shared" si="70"/>
        <v/>
      </c>
      <c r="CI100" s="155" t="str">
        <f t="shared" si="71"/>
        <v/>
      </c>
      <c r="CJ100" s="155" t="str">
        <f t="shared" si="72"/>
        <v/>
      </c>
      <c r="CK100" s="155" t="str">
        <f t="shared" si="73"/>
        <v/>
      </c>
      <c r="CL100" s="155" t="str">
        <f t="shared" si="74"/>
        <v/>
      </c>
      <c r="CM100" s="155" t="str">
        <f t="shared" si="75"/>
        <v/>
      </c>
      <c r="CN100" s="155" t="str">
        <f t="shared" si="76"/>
        <v/>
      </c>
      <c r="CO100" s="155" t="str">
        <f t="shared" si="77"/>
        <v/>
      </c>
      <c r="CP100" s="155" t="str">
        <f t="shared" si="78"/>
        <v/>
      </c>
      <c r="CQ100" s="155" t="str">
        <f t="shared" si="79"/>
        <v/>
      </c>
      <c r="CR100" s="155" t="str">
        <f t="shared" si="80"/>
        <v/>
      </c>
      <c r="CS100" s="155" t="str">
        <f t="shared" si="81"/>
        <v/>
      </c>
      <c r="CT100" s="155" t="str">
        <f t="shared" si="82"/>
        <v/>
      </c>
      <c r="CU100" s="155" t="str">
        <f t="shared" si="83"/>
        <v/>
      </c>
      <c r="CV100" s="155" t="str">
        <f t="shared" si="84"/>
        <v/>
      </c>
      <c r="CW100" s="155" t="str">
        <f t="shared" si="85"/>
        <v/>
      </c>
      <c r="CX100" s="155" t="str">
        <f t="shared" si="86"/>
        <v/>
      </c>
    </row>
    <row r="101" spans="1:102" s="151" customFormat="1" ht="25.5" outlineLevel="1" x14ac:dyDescent="0.2">
      <c r="A101" s="146"/>
      <c r="B101" s="157" t="str">
        <f>Services!B101</f>
        <v>04D02</v>
      </c>
      <c r="C101" s="153" t="str">
        <f>Services!C101</f>
        <v>Analyse (en temps différé) des traces, logs et journaux d'événements sur le réseau étendu</v>
      </c>
      <c r="D101" s="149"/>
      <c r="E101" s="149">
        <f>2*(8*Plans_action!E200+Plans_action!D200)</f>
        <v>0</v>
      </c>
      <c r="F101" s="149"/>
      <c r="G101" s="149"/>
      <c r="H101" s="149"/>
      <c r="I101" s="140" t="str">
        <f t="shared" si="44"/>
        <v/>
      </c>
      <c r="J101" s="141" t="str">
        <f t="shared" si="45"/>
        <v/>
      </c>
      <c r="K101" s="142"/>
      <c r="L101" s="142"/>
      <c r="M101" s="1708"/>
      <c r="N101" s="1708"/>
      <c r="O101" s="1708"/>
      <c r="P101" s="1708"/>
      <c r="Q101" s="1708"/>
      <c r="R101" s="1708"/>
      <c r="S101" s="1708"/>
      <c r="T101" s="1708"/>
      <c r="U101" s="1708"/>
      <c r="V101" s="1708"/>
      <c r="W101" s="1708"/>
      <c r="X101" s="1712"/>
      <c r="Y101" s="1712"/>
      <c r="Z101" s="1712"/>
      <c r="AA101" s="1712"/>
      <c r="AB101" s="1712"/>
      <c r="AC101" s="1712"/>
      <c r="AD101" s="1712"/>
      <c r="AE101" s="1712"/>
      <c r="AF101" s="1712"/>
      <c r="AG101" s="1712"/>
      <c r="AH101" s="1712"/>
      <c r="AI101" s="1712"/>
      <c r="AJ101" s="1712"/>
      <c r="AK101" s="1712"/>
      <c r="AL101" s="1712"/>
      <c r="AM101" s="1712"/>
      <c r="AN101" s="1712"/>
      <c r="AO101" s="1712"/>
      <c r="AP101" s="1712"/>
      <c r="AQ101" s="1712"/>
      <c r="AR101" s="1712"/>
      <c r="AS101" s="1712"/>
      <c r="AT101" s="1712"/>
      <c r="AU101" s="1712"/>
      <c r="AV101" s="1712"/>
      <c r="AW101" s="1712"/>
      <c r="AX101" s="1713"/>
      <c r="AY101" s="1714" t="str">
        <f t="shared" si="46"/>
        <v/>
      </c>
      <c r="AZ101" s="1714" t="str">
        <f>IF(Obj_PA!D101="","",IF(AY101="","",Obj_PA!D101-AY101))</f>
        <v/>
      </c>
      <c r="BA101" s="150"/>
      <c r="BB101" s="150"/>
      <c r="BC101" s="150"/>
      <c r="BD101" s="150"/>
      <c r="BE101" s="150"/>
      <c r="BF101" s="150"/>
      <c r="BG101" s="150"/>
      <c r="BH101" s="150"/>
      <c r="BI101" s="150"/>
      <c r="BJ101" s="150"/>
      <c r="BK101" s="155" t="str">
        <f t="shared" si="47"/>
        <v/>
      </c>
      <c r="BL101" s="155" t="str">
        <f t="shared" si="48"/>
        <v/>
      </c>
      <c r="BM101" s="155" t="str">
        <f t="shared" si="49"/>
        <v/>
      </c>
      <c r="BN101" s="155" t="str">
        <f t="shared" si="50"/>
        <v/>
      </c>
      <c r="BO101" s="155" t="str">
        <f t="shared" si="51"/>
        <v/>
      </c>
      <c r="BP101" s="155" t="str">
        <f t="shared" si="52"/>
        <v/>
      </c>
      <c r="BQ101" s="155" t="str">
        <f t="shared" si="53"/>
        <v/>
      </c>
      <c r="BR101" s="155" t="str">
        <f t="shared" si="54"/>
        <v/>
      </c>
      <c r="BS101" s="155" t="str">
        <f t="shared" si="55"/>
        <v/>
      </c>
      <c r="BT101" s="155" t="str">
        <f t="shared" si="56"/>
        <v/>
      </c>
      <c r="BU101" s="155" t="str">
        <f t="shared" si="57"/>
        <v/>
      </c>
      <c r="BV101" s="155" t="str">
        <f t="shared" si="58"/>
        <v/>
      </c>
      <c r="BW101" s="155" t="str">
        <f t="shared" si="59"/>
        <v/>
      </c>
      <c r="BX101" s="155" t="str">
        <f t="shared" si="60"/>
        <v/>
      </c>
      <c r="BY101" s="155" t="str">
        <f t="shared" si="61"/>
        <v/>
      </c>
      <c r="BZ101" s="155" t="str">
        <f t="shared" si="62"/>
        <v/>
      </c>
      <c r="CA101" s="155" t="str">
        <f t="shared" si="63"/>
        <v/>
      </c>
      <c r="CB101" s="155" t="str">
        <f t="shared" si="64"/>
        <v/>
      </c>
      <c r="CC101" s="155" t="str">
        <f t="shared" si="65"/>
        <v/>
      </c>
      <c r="CD101" s="155" t="str">
        <f t="shared" si="66"/>
        <v/>
      </c>
      <c r="CE101" s="155" t="str">
        <f t="shared" si="67"/>
        <v/>
      </c>
      <c r="CF101" s="155" t="str">
        <f t="shared" si="68"/>
        <v/>
      </c>
      <c r="CG101" s="155" t="str">
        <f t="shared" si="69"/>
        <v/>
      </c>
      <c r="CH101" s="155" t="str">
        <f t="shared" si="70"/>
        <v/>
      </c>
      <c r="CI101" s="155" t="str">
        <f t="shared" si="71"/>
        <v/>
      </c>
      <c r="CJ101" s="155" t="str">
        <f t="shared" si="72"/>
        <v/>
      </c>
      <c r="CK101" s="155" t="str">
        <f t="shared" si="73"/>
        <v/>
      </c>
      <c r="CL101" s="155" t="str">
        <f t="shared" si="74"/>
        <v/>
      </c>
      <c r="CM101" s="155" t="str">
        <f t="shared" si="75"/>
        <v/>
      </c>
      <c r="CN101" s="155" t="str">
        <f t="shared" si="76"/>
        <v/>
      </c>
      <c r="CO101" s="155" t="str">
        <f t="shared" si="77"/>
        <v/>
      </c>
      <c r="CP101" s="155" t="str">
        <f t="shared" si="78"/>
        <v/>
      </c>
      <c r="CQ101" s="155" t="str">
        <f t="shared" si="79"/>
        <v/>
      </c>
      <c r="CR101" s="155" t="str">
        <f t="shared" si="80"/>
        <v/>
      </c>
      <c r="CS101" s="155" t="str">
        <f t="shared" si="81"/>
        <v/>
      </c>
      <c r="CT101" s="155" t="str">
        <f t="shared" si="82"/>
        <v/>
      </c>
      <c r="CU101" s="155" t="str">
        <f t="shared" si="83"/>
        <v/>
      </c>
      <c r="CV101" s="155" t="str">
        <f t="shared" si="84"/>
        <v/>
      </c>
      <c r="CW101" s="155" t="str">
        <f t="shared" si="85"/>
        <v/>
      </c>
      <c r="CX101" s="155" t="str">
        <f t="shared" si="86"/>
        <v/>
      </c>
    </row>
    <row r="102" spans="1:102" s="151" customFormat="1" ht="14.25" outlineLevel="1" x14ac:dyDescent="0.2">
      <c r="A102" s="146"/>
      <c r="B102" s="157" t="str">
        <f>Services!B102</f>
        <v>04D03</v>
      </c>
      <c r="C102" s="153" t="str">
        <f>Services!C102</f>
        <v>Traitement des incidents du réseau étendu</v>
      </c>
      <c r="D102" s="149"/>
      <c r="E102" s="149">
        <f>2*(8*Plans_action!E200+Plans_action!D200)</f>
        <v>0</v>
      </c>
      <c r="F102" s="149"/>
      <c r="G102" s="149"/>
      <c r="H102" s="149"/>
      <c r="I102" s="140" t="str">
        <f t="shared" si="44"/>
        <v/>
      </c>
      <c r="J102" s="141" t="str">
        <f t="shared" si="45"/>
        <v/>
      </c>
      <c r="K102" s="142"/>
      <c r="L102" s="142"/>
      <c r="M102" s="1708"/>
      <c r="N102" s="1708"/>
      <c r="O102" s="1708"/>
      <c r="P102" s="1708"/>
      <c r="Q102" s="1708"/>
      <c r="R102" s="1708"/>
      <c r="S102" s="1708"/>
      <c r="T102" s="1708"/>
      <c r="U102" s="1708"/>
      <c r="V102" s="1708"/>
      <c r="W102" s="1708"/>
      <c r="X102" s="1712"/>
      <c r="Y102" s="1712"/>
      <c r="Z102" s="1712"/>
      <c r="AA102" s="1712"/>
      <c r="AB102" s="1712"/>
      <c r="AC102" s="1712"/>
      <c r="AD102" s="1712"/>
      <c r="AE102" s="1712"/>
      <c r="AF102" s="1712"/>
      <c r="AG102" s="1712"/>
      <c r="AH102" s="1712"/>
      <c r="AI102" s="1712"/>
      <c r="AJ102" s="1712"/>
      <c r="AK102" s="1712"/>
      <c r="AL102" s="1712"/>
      <c r="AM102" s="1712"/>
      <c r="AN102" s="1712"/>
      <c r="AO102" s="1712"/>
      <c r="AP102" s="1712"/>
      <c r="AQ102" s="1712"/>
      <c r="AR102" s="1712"/>
      <c r="AS102" s="1712"/>
      <c r="AT102" s="1712"/>
      <c r="AU102" s="1712"/>
      <c r="AV102" s="1712"/>
      <c r="AW102" s="1712"/>
      <c r="AX102" s="1713"/>
      <c r="AY102" s="1714" t="str">
        <f t="shared" si="46"/>
        <v/>
      </c>
      <c r="AZ102" s="1714" t="str">
        <f>IF(Obj_PA!D102="","",IF(AY102="","",Obj_PA!D102-AY102))</f>
        <v/>
      </c>
      <c r="BA102" s="150"/>
      <c r="BB102" s="150"/>
      <c r="BC102" s="150"/>
      <c r="BD102" s="150"/>
      <c r="BE102" s="150"/>
      <c r="BF102" s="150"/>
      <c r="BG102" s="150"/>
      <c r="BH102" s="150"/>
      <c r="BI102" s="150"/>
      <c r="BJ102" s="150"/>
      <c r="BK102" s="155" t="str">
        <f t="shared" si="47"/>
        <v/>
      </c>
      <c r="BL102" s="155" t="str">
        <f t="shared" si="48"/>
        <v/>
      </c>
      <c r="BM102" s="155" t="str">
        <f t="shared" si="49"/>
        <v/>
      </c>
      <c r="BN102" s="155" t="str">
        <f t="shared" si="50"/>
        <v/>
      </c>
      <c r="BO102" s="155" t="str">
        <f t="shared" si="51"/>
        <v/>
      </c>
      <c r="BP102" s="155" t="str">
        <f t="shared" si="52"/>
        <v/>
      </c>
      <c r="BQ102" s="155" t="str">
        <f t="shared" si="53"/>
        <v/>
      </c>
      <c r="BR102" s="155" t="str">
        <f t="shared" si="54"/>
        <v/>
      </c>
      <c r="BS102" s="155" t="str">
        <f t="shared" si="55"/>
        <v/>
      </c>
      <c r="BT102" s="155" t="str">
        <f t="shared" si="56"/>
        <v/>
      </c>
      <c r="BU102" s="155" t="str">
        <f t="shared" si="57"/>
        <v/>
      </c>
      <c r="BV102" s="155" t="str">
        <f t="shared" si="58"/>
        <v/>
      </c>
      <c r="BW102" s="155" t="str">
        <f t="shared" si="59"/>
        <v/>
      </c>
      <c r="BX102" s="155" t="str">
        <f t="shared" si="60"/>
        <v/>
      </c>
      <c r="BY102" s="155" t="str">
        <f t="shared" si="61"/>
        <v/>
      </c>
      <c r="BZ102" s="155" t="str">
        <f t="shared" si="62"/>
        <v/>
      </c>
      <c r="CA102" s="155" t="str">
        <f t="shared" si="63"/>
        <v/>
      </c>
      <c r="CB102" s="155" t="str">
        <f t="shared" si="64"/>
        <v/>
      </c>
      <c r="CC102" s="155" t="str">
        <f t="shared" si="65"/>
        <v/>
      </c>
      <c r="CD102" s="155" t="str">
        <f t="shared" si="66"/>
        <v/>
      </c>
      <c r="CE102" s="155" t="str">
        <f t="shared" si="67"/>
        <v/>
      </c>
      <c r="CF102" s="155" t="str">
        <f t="shared" si="68"/>
        <v/>
      </c>
      <c r="CG102" s="155" t="str">
        <f t="shared" si="69"/>
        <v/>
      </c>
      <c r="CH102" s="155" t="str">
        <f t="shared" si="70"/>
        <v/>
      </c>
      <c r="CI102" s="155" t="str">
        <f t="shared" si="71"/>
        <v/>
      </c>
      <c r="CJ102" s="155" t="str">
        <f t="shared" si="72"/>
        <v/>
      </c>
      <c r="CK102" s="155" t="str">
        <f t="shared" si="73"/>
        <v/>
      </c>
      <c r="CL102" s="155" t="str">
        <f t="shared" si="74"/>
        <v/>
      </c>
      <c r="CM102" s="155" t="str">
        <f t="shared" si="75"/>
        <v/>
      </c>
      <c r="CN102" s="155" t="str">
        <f t="shared" si="76"/>
        <v/>
      </c>
      <c r="CO102" s="155" t="str">
        <f t="shared" si="77"/>
        <v/>
      </c>
      <c r="CP102" s="155" t="str">
        <f t="shared" si="78"/>
        <v/>
      </c>
      <c r="CQ102" s="155" t="str">
        <f t="shared" si="79"/>
        <v/>
      </c>
      <c r="CR102" s="155" t="str">
        <f t="shared" si="80"/>
        <v/>
      </c>
      <c r="CS102" s="155" t="str">
        <f t="shared" si="81"/>
        <v/>
      </c>
      <c r="CT102" s="155" t="str">
        <f t="shared" si="82"/>
        <v/>
      </c>
      <c r="CU102" s="155" t="str">
        <f t="shared" si="83"/>
        <v/>
      </c>
      <c r="CV102" s="155" t="str">
        <f t="shared" si="84"/>
        <v/>
      </c>
      <c r="CW102" s="155" t="str">
        <f t="shared" si="85"/>
        <v/>
      </c>
      <c r="CX102" s="155" t="str">
        <f t="shared" si="86"/>
        <v/>
      </c>
    </row>
    <row r="103" spans="1:102" ht="15" x14ac:dyDescent="0.2">
      <c r="A103" s="136" t="s">
        <v>2247</v>
      </c>
      <c r="B103" s="136" t="str">
        <f>Services!B103</f>
        <v>Réseau local (05 Lan)</v>
      </c>
      <c r="C103" s="161"/>
      <c r="D103" s="149"/>
      <c r="E103" s="149"/>
      <c r="F103" s="149"/>
      <c r="G103" s="149"/>
      <c r="H103" s="149"/>
      <c r="I103" s="140" t="str">
        <f t="shared" si="44"/>
        <v/>
      </c>
      <c r="J103" s="141" t="str">
        <f t="shared" si="45"/>
        <v/>
      </c>
      <c r="K103" s="142"/>
      <c r="L103" s="142"/>
      <c r="M103" s="1708"/>
      <c r="N103" s="1708"/>
      <c r="O103" s="1708"/>
      <c r="P103" s="1708"/>
      <c r="Q103" s="1708"/>
      <c r="R103" s="1708"/>
      <c r="S103" s="1708"/>
      <c r="T103" s="1708"/>
      <c r="U103" s="1708"/>
      <c r="V103" s="1708"/>
      <c r="W103" s="1708"/>
      <c r="X103" s="1709"/>
      <c r="Y103" s="1709"/>
      <c r="Z103" s="1709"/>
      <c r="AA103" s="1709"/>
      <c r="AB103" s="1709"/>
      <c r="AC103" s="1709"/>
      <c r="AD103" s="1709"/>
      <c r="AE103" s="1709"/>
      <c r="AF103" s="1709"/>
      <c r="AG103" s="1709"/>
      <c r="AH103" s="1709"/>
      <c r="AI103" s="1709"/>
      <c r="AJ103" s="1709"/>
      <c r="AK103" s="1709"/>
      <c r="AL103" s="1709"/>
      <c r="AM103" s="1709"/>
      <c r="AN103" s="1709"/>
      <c r="AO103" s="1709"/>
      <c r="AP103" s="1709"/>
      <c r="AQ103" s="1709"/>
      <c r="AR103" s="1709"/>
      <c r="AS103" s="1709"/>
      <c r="AT103" s="1709"/>
      <c r="AU103" s="1709"/>
      <c r="AV103" s="1709"/>
      <c r="AW103" s="1709"/>
      <c r="AX103" s="1710"/>
      <c r="AY103" s="1714" t="str">
        <f t="shared" si="46"/>
        <v/>
      </c>
      <c r="AZ103" s="1714" t="str">
        <f>IF(Obj_PA!D103="","",IF(AY103="","",Obj_PA!D103-AY103))</f>
        <v/>
      </c>
      <c r="BK103" s="155" t="str">
        <f t="shared" si="47"/>
        <v/>
      </c>
      <c r="BL103" s="155" t="str">
        <f t="shared" si="48"/>
        <v/>
      </c>
      <c r="BM103" s="155" t="str">
        <f t="shared" si="49"/>
        <v/>
      </c>
      <c r="BN103" s="155" t="str">
        <f t="shared" si="50"/>
        <v/>
      </c>
      <c r="BO103" s="155" t="str">
        <f t="shared" si="51"/>
        <v/>
      </c>
      <c r="BP103" s="155" t="str">
        <f t="shared" si="52"/>
        <v/>
      </c>
      <c r="BQ103" s="155" t="str">
        <f t="shared" si="53"/>
        <v/>
      </c>
      <c r="BR103" s="155" t="str">
        <f t="shared" si="54"/>
        <v/>
      </c>
      <c r="BS103" s="155" t="str">
        <f t="shared" si="55"/>
        <v/>
      </c>
      <c r="BT103" s="155" t="str">
        <f t="shared" si="56"/>
        <v/>
      </c>
      <c r="BU103" s="155" t="str">
        <f t="shared" si="57"/>
        <v/>
      </c>
      <c r="BV103" s="155" t="str">
        <f t="shared" si="58"/>
        <v/>
      </c>
      <c r="BW103" s="155" t="str">
        <f t="shared" si="59"/>
        <v/>
      </c>
      <c r="BX103" s="155" t="str">
        <f t="shared" si="60"/>
        <v/>
      </c>
      <c r="BY103" s="155" t="str">
        <f t="shared" si="61"/>
        <v/>
      </c>
      <c r="BZ103" s="155" t="str">
        <f t="shared" si="62"/>
        <v/>
      </c>
      <c r="CA103" s="155" t="str">
        <f t="shared" si="63"/>
        <v/>
      </c>
      <c r="CB103" s="155" t="str">
        <f t="shared" si="64"/>
        <v/>
      </c>
      <c r="CC103" s="155" t="str">
        <f t="shared" si="65"/>
        <v/>
      </c>
      <c r="CD103" s="155" t="str">
        <f t="shared" si="66"/>
        <v/>
      </c>
      <c r="CE103" s="155" t="str">
        <f t="shared" si="67"/>
        <v/>
      </c>
      <c r="CF103" s="155" t="str">
        <f t="shared" si="68"/>
        <v/>
      </c>
      <c r="CG103" s="155" t="str">
        <f t="shared" si="69"/>
        <v/>
      </c>
      <c r="CH103" s="155" t="str">
        <f t="shared" si="70"/>
        <v/>
      </c>
      <c r="CI103" s="155" t="str">
        <f t="shared" si="71"/>
        <v/>
      </c>
      <c r="CJ103" s="155" t="str">
        <f t="shared" si="72"/>
        <v/>
      </c>
      <c r="CK103" s="155" t="str">
        <f t="shared" si="73"/>
        <v/>
      </c>
      <c r="CL103" s="155" t="str">
        <f t="shared" si="74"/>
        <v/>
      </c>
      <c r="CM103" s="155" t="str">
        <f t="shared" si="75"/>
        <v/>
      </c>
      <c r="CN103" s="155" t="str">
        <f t="shared" si="76"/>
        <v/>
      </c>
      <c r="CO103" s="155" t="str">
        <f t="shared" si="77"/>
        <v/>
      </c>
      <c r="CP103" s="155" t="str">
        <f t="shared" si="78"/>
        <v/>
      </c>
      <c r="CQ103" s="155" t="str">
        <f t="shared" si="79"/>
        <v/>
      </c>
      <c r="CR103" s="155" t="str">
        <f t="shared" si="80"/>
        <v/>
      </c>
      <c r="CS103" s="155" t="str">
        <f t="shared" si="81"/>
        <v/>
      </c>
      <c r="CT103" s="155" t="str">
        <f t="shared" si="82"/>
        <v/>
      </c>
      <c r="CU103" s="155" t="str">
        <f t="shared" si="83"/>
        <v/>
      </c>
      <c r="CV103" s="155" t="str">
        <f t="shared" si="84"/>
        <v/>
      </c>
      <c r="CW103" s="155" t="str">
        <f t="shared" si="85"/>
        <v/>
      </c>
      <c r="CX103" s="155" t="str">
        <f t="shared" si="86"/>
        <v/>
      </c>
    </row>
    <row r="104" spans="1:102" s="151" customFormat="1" ht="14.25" outlineLevel="1" x14ac:dyDescent="0.2">
      <c r="A104" s="162"/>
      <c r="B104" s="147" t="str">
        <f>Services!B104</f>
        <v>05A</v>
      </c>
      <c r="C104" s="148" t="str">
        <f>Services!C104</f>
        <v>Sécurité de l'architecture du réseau local</v>
      </c>
      <c r="D104" s="149"/>
      <c r="E104" s="149"/>
      <c r="F104" s="149"/>
      <c r="G104" s="149"/>
      <c r="H104" s="149"/>
      <c r="I104" s="140" t="str">
        <f t="shared" si="44"/>
        <v/>
      </c>
      <c r="J104" s="141" t="str">
        <f t="shared" si="45"/>
        <v/>
      </c>
      <c r="K104" s="142"/>
      <c r="L104" s="142"/>
      <c r="M104" s="1708"/>
      <c r="N104" s="1708"/>
      <c r="O104" s="1708"/>
      <c r="P104" s="1708"/>
      <c r="Q104" s="1708"/>
      <c r="R104" s="1708"/>
      <c r="S104" s="1708"/>
      <c r="T104" s="1708"/>
      <c r="U104" s="1708"/>
      <c r="V104" s="1708"/>
      <c r="W104" s="1708"/>
      <c r="X104" s="1712"/>
      <c r="Y104" s="1712"/>
      <c r="Z104" s="1712"/>
      <c r="AA104" s="1712"/>
      <c r="AB104" s="1712"/>
      <c r="AC104" s="1712"/>
      <c r="AD104" s="1712"/>
      <c r="AE104" s="1712"/>
      <c r="AF104" s="1712"/>
      <c r="AG104" s="1712"/>
      <c r="AH104" s="1712"/>
      <c r="AI104" s="1712"/>
      <c r="AJ104" s="1712"/>
      <c r="AK104" s="1712"/>
      <c r="AL104" s="1712"/>
      <c r="AM104" s="1712"/>
      <c r="AN104" s="1712"/>
      <c r="AO104" s="1712"/>
      <c r="AP104" s="1712"/>
      <c r="AQ104" s="1712"/>
      <c r="AR104" s="1712"/>
      <c r="AS104" s="1712"/>
      <c r="AT104" s="1712"/>
      <c r="AU104" s="1712"/>
      <c r="AV104" s="1712"/>
      <c r="AW104" s="1712"/>
      <c r="AX104" s="1713"/>
      <c r="AY104" s="1714" t="str">
        <f t="shared" si="46"/>
        <v/>
      </c>
      <c r="AZ104" s="1714" t="str">
        <f>IF(Obj_PA!D104="","",IF(AY104="","",Obj_PA!D104-AY104))</f>
        <v/>
      </c>
      <c r="BA104" s="150"/>
      <c r="BB104" s="150"/>
      <c r="BC104" s="150"/>
      <c r="BD104" s="150"/>
      <c r="BE104" s="150"/>
      <c r="BF104" s="150"/>
      <c r="BG104" s="150"/>
      <c r="BH104" s="150"/>
      <c r="BI104" s="150"/>
      <c r="BJ104" s="150"/>
      <c r="BK104" s="155" t="str">
        <f t="shared" si="47"/>
        <v/>
      </c>
      <c r="BL104" s="155" t="str">
        <f t="shared" si="48"/>
        <v/>
      </c>
      <c r="BM104" s="155" t="str">
        <f t="shared" si="49"/>
        <v/>
      </c>
      <c r="BN104" s="155" t="str">
        <f t="shared" si="50"/>
        <v/>
      </c>
      <c r="BO104" s="155" t="str">
        <f t="shared" si="51"/>
        <v/>
      </c>
      <c r="BP104" s="155" t="str">
        <f t="shared" si="52"/>
        <v/>
      </c>
      <c r="BQ104" s="155" t="str">
        <f t="shared" si="53"/>
        <v/>
      </c>
      <c r="BR104" s="155" t="str">
        <f t="shared" si="54"/>
        <v/>
      </c>
      <c r="BS104" s="155" t="str">
        <f t="shared" si="55"/>
        <v/>
      </c>
      <c r="BT104" s="155" t="str">
        <f t="shared" si="56"/>
        <v/>
      </c>
      <c r="BU104" s="155" t="str">
        <f t="shared" si="57"/>
        <v/>
      </c>
      <c r="BV104" s="155" t="str">
        <f t="shared" si="58"/>
        <v/>
      </c>
      <c r="BW104" s="155" t="str">
        <f t="shared" si="59"/>
        <v/>
      </c>
      <c r="BX104" s="155" t="str">
        <f t="shared" si="60"/>
        <v/>
      </c>
      <c r="BY104" s="155" t="str">
        <f t="shared" si="61"/>
        <v/>
      </c>
      <c r="BZ104" s="155" t="str">
        <f t="shared" si="62"/>
        <v/>
      </c>
      <c r="CA104" s="155" t="str">
        <f t="shared" si="63"/>
        <v/>
      </c>
      <c r="CB104" s="155" t="str">
        <f t="shared" si="64"/>
        <v/>
      </c>
      <c r="CC104" s="155" t="str">
        <f t="shared" si="65"/>
        <v/>
      </c>
      <c r="CD104" s="155" t="str">
        <f t="shared" si="66"/>
        <v/>
      </c>
      <c r="CE104" s="155" t="str">
        <f t="shared" si="67"/>
        <v/>
      </c>
      <c r="CF104" s="155" t="str">
        <f t="shared" si="68"/>
        <v/>
      </c>
      <c r="CG104" s="155" t="str">
        <f t="shared" si="69"/>
        <v/>
      </c>
      <c r="CH104" s="155" t="str">
        <f t="shared" si="70"/>
        <v/>
      </c>
      <c r="CI104" s="155" t="str">
        <f t="shared" si="71"/>
        <v/>
      </c>
      <c r="CJ104" s="155" t="str">
        <f t="shared" si="72"/>
        <v/>
      </c>
      <c r="CK104" s="155" t="str">
        <f t="shared" si="73"/>
        <v/>
      </c>
      <c r="CL104" s="155" t="str">
        <f t="shared" si="74"/>
        <v/>
      </c>
      <c r="CM104" s="155" t="str">
        <f t="shared" si="75"/>
        <v/>
      </c>
      <c r="CN104" s="155" t="str">
        <f t="shared" si="76"/>
        <v/>
      </c>
      <c r="CO104" s="155" t="str">
        <f t="shared" si="77"/>
        <v/>
      </c>
      <c r="CP104" s="155" t="str">
        <f t="shared" si="78"/>
        <v/>
      </c>
      <c r="CQ104" s="155" t="str">
        <f t="shared" si="79"/>
        <v/>
      </c>
      <c r="CR104" s="155" t="str">
        <f t="shared" si="80"/>
        <v/>
      </c>
      <c r="CS104" s="155" t="str">
        <f t="shared" si="81"/>
        <v/>
      </c>
      <c r="CT104" s="155" t="str">
        <f t="shared" si="82"/>
        <v/>
      </c>
      <c r="CU104" s="155" t="str">
        <f t="shared" si="83"/>
        <v/>
      </c>
      <c r="CV104" s="155" t="str">
        <f t="shared" si="84"/>
        <v/>
      </c>
      <c r="CW104" s="155" t="str">
        <f t="shared" si="85"/>
        <v/>
      </c>
      <c r="CX104" s="155" t="str">
        <f t="shared" si="86"/>
        <v/>
      </c>
    </row>
    <row r="105" spans="1:102" s="151" customFormat="1" ht="14.25" outlineLevel="1" x14ac:dyDescent="0.2">
      <c r="A105" s="162"/>
      <c r="B105" s="157" t="str">
        <f>Services!B105</f>
        <v>05A01</v>
      </c>
      <c r="C105" s="153" t="str">
        <f>Services!C105</f>
        <v>Partitionnement du réseau local en domaines de sécurité</v>
      </c>
      <c r="D105" s="149"/>
      <c r="E105" s="149"/>
      <c r="F105" s="149"/>
      <c r="G105" s="149"/>
      <c r="H105" s="149"/>
      <c r="I105" s="140" t="str">
        <f t="shared" si="44"/>
        <v/>
      </c>
      <c r="J105" s="141" t="str">
        <f t="shared" si="45"/>
        <v/>
      </c>
      <c r="K105" s="142"/>
      <c r="L105" s="142"/>
      <c r="M105" s="1708"/>
      <c r="N105" s="1708"/>
      <c r="O105" s="1708"/>
      <c r="P105" s="1708"/>
      <c r="Q105" s="1708"/>
      <c r="R105" s="1708"/>
      <c r="S105" s="1708"/>
      <c r="T105" s="1708"/>
      <c r="U105" s="1708"/>
      <c r="V105" s="1708"/>
      <c r="W105" s="1708"/>
      <c r="X105" s="1712"/>
      <c r="Y105" s="1712"/>
      <c r="Z105" s="1712"/>
      <c r="AA105" s="1712"/>
      <c r="AB105" s="1712"/>
      <c r="AC105" s="1712"/>
      <c r="AD105" s="1712"/>
      <c r="AE105" s="1712"/>
      <c r="AF105" s="1712"/>
      <c r="AG105" s="1712"/>
      <c r="AH105" s="1712"/>
      <c r="AI105" s="1712"/>
      <c r="AJ105" s="1712"/>
      <c r="AK105" s="1712"/>
      <c r="AL105" s="1712"/>
      <c r="AM105" s="1712"/>
      <c r="AN105" s="1712"/>
      <c r="AO105" s="1712"/>
      <c r="AP105" s="1712"/>
      <c r="AQ105" s="1712"/>
      <c r="AR105" s="1712"/>
      <c r="AS105" s="1712"/>
      <c r="AT105" s="1712"/>
      <c r="AU105" s="1712"/>
      <c r="AV105" s="1712"/>
      <c r="AW105" s="1712"/>
      <c r="AX105" s="1713"/>
      <c r="AY105" s="1714" t="str">
        <f t="shared" si="46"/>
        <v/>
      </c>
      <c r="AZ105" s="1714" t="str">
        <f>IF(Obj_PA!D105="","",IF(AY105="","",Obj_PA!D105-AY105))</f>
        <v/>
      </c>
      <c r="BA105" s="150"/>
      <c r="BB105" s="150"/>
      <c r="BC105" s="150"/>
      <c r="BD105" s="150"/>
      <c r="BE105" s="150"/>
      <c r="BF105" s="150"/>
      <c r="BG105" s="150"/>
      <c r="BH105" s="150"/>
      <c r="BI105" s="150"/>
      <c r="BJ105" s="150"/>
      <c r="BK105" s="155" t="str">
        <f t="shared" si="47"/>
        <v/>
      </c>
      <c r="BL105" s="155" t="str">
        <f t="shared" si="48"/>
        <v/>
      </c>
      <c r="BM105" s="155" t="str">
        <f t="shared" si="49"/>
        <v/>
      </c>
      <c r="BN105" s="155" t="str">
        <f t="shared" si="50"/>
        <v/>
      </c>
      <c r="BO105" s="155" t="str">
        <f t="shared" si="51"/>
        <v/>
      </c>
      <c r="BP105" s="155" t="str">
        <f t="shared" si="52"/>
        <v/>
      </c>
      <c r="BQ105" s="155" t="str">
        <f t="shared" si="53"/>
        <v/>
      </c>
      <c r="BR105" s="155" t="str">
        <f t="shared" si="54"/>
        <v/>
      </c>
      <c r="BS105" s="155" t="str">
        <f t="shared" si="55"/>
        <v/>
      </c>
      <c r="BT105" s="155" t="str">
        <f t="shared" si="56"/>
        <v/>
      </c>
      <c r="BU105" s="155" t="str">
        <f t="shared" si="57"/>
        <v/>
      </c>
      <c r="BV105" s="155" t="str">
        <f t="shared" si="58"/>
        <v/>
      </c>
      <c r="BW105" s="155" t="str">
        <f t="shared" si="59"/>
        <v/>
      </c>
      <c r="BX105" s="155" t="str">
        <f t="shared" si="60"/>
        <v/>
      </c>
      <c r="BY105" s="155" t="str">
        <f t="shared" si="61"/>
        <v/>
      </c>
      <c r="BZ105" s="155" t="str">
        <f t="shared" si="62"/>
        <v/>
      </c>
      <c r="CA105" s="155" t="str">
        <f t="shared" si="63"/>
        <v/>
      </c>
      <c r="CB105" s="155" t="str">
        <f t="shared" si="64"/>
        <v/>
      </c>
      <c r="CC105" s="155" t="str">
        <f t="shared" si="65"/>
        <v/>
      </c>
      <c r="CD105" s="155" t="str">
        <f t="shared" si="66"/>
        <v/>
      </c>
      <c r="CE105" s="155" t="str">
        <f t="shared" si="67"/>
        <v/>
      </c>
      <c r="CF105" s="155" t="str">
        <f t="shared" si="68"/>
        <v/>
      </c>
      <c r="CG105" s="155" t="str">
        <f t="shared" si="69"/>
        <v/>
      </c>
      <c r="CH105" s="155" t="str">
        <f t="shared" si="70"/>
        <v/>
      </c>
      <c r="CI105" s="155" t="str">
        <f t="shared" si="71"/>
        <v/>
      </c>
      <c r="CJ105" s="155" t="str">
        <f t="shared" si="72"/>
        <v/>
      </c>
      <c r="CK105" s="155" t="str">
        <f t="shared" si="73"/>
        <v/>
      </c>
      <c r="CL105" s="155" t="str">
        <f t="shared" si="74"/>
        <v/>
      </c>
      <c r="CM105" s="155" t="str">
        <f t="shared" si="75"/>
        <v/>
      </c>
      <c r="CN105" s="155" t="str">
        <f t="shared" si="76"/>
        <v/>
      </c>
      <c r="CO105" s="155" t="str">
        <f t="shared" si="77"/>
        <v/>
      </c>
      <c r="CP105" s="155" t="str">
        <f t="shared" si="78"/>
        <v/>
      </c>
      <c r="CQ105" s="155" t="str">
        <f t="shared" si="79"/>
        <v/>
      </c>
      <c r="CR105" s="155" t="str">
        <f t="shared" si="80"/>
        <v/>
      </c>
      <c r="CS105" s="155" t="str">
        <f t="shared" si="81"/>
        <v/>
      </c>
      <c r="CT105" s="155" t="str">
        <f t="shared" si="82"/>
        <v/>
      </c>
      <c r="CU105" s="155" t="str">
        <f t="shared" si="83"/>
        <v/>
      </c>
      <c r="CV105" s="155" t="str">
        <f t="shared" si="84"/>
        <v/>
      </c>
      <c r="CW105" s="155" t="str">
        <f t="shared" si="85"/>
        <v/>
      </c>
      <c r="CX105" s="155" t="str">
        <f t="shared" si="86"/>
        <v/>
      </c>
    </row>
    <row r="106" spans="1:102" s="151" customFormat="1" ht="25.5" outlineLevel="1" x14ac:dyDescent="0.2">
      <c r="A106" s="162"/>
      <c r="B106" s="157" t="str">
        <f>Services!B106</f>
        <v>05A02</v>
      </c>
      <c r="C106" s="153" t="str">
        <f>Services!C106</f>
        <v>Sûreté de fonctionnement des éléments d'architecture du réseau local</v>
      </c>
      <c r="D106" s="149">
        <f>1*(8*Plans_action!E207+Plans_action!D207)</f>
        <v>0</v>
      </c>
      <c r="E106" s="149"/>
      <c r="F106" s="149"/>
      <c r="G106" s="149"/>
      <c r="H106" s="149"/>
      <c r="I106" s="140" t="str">
        <f t="shared" si="44"/>
        <v/>
      </c>
      <c r="J106" s="141" t="str">
        <f t="shared" si="45"/>
        <v/>
      </c>
      <c r="K106" s="142"/>
      <c r="L106" s="142"/>
      <c r="M106" s="1708"/>
      <c r="N106" s="1708"/>
      <c r="O106" s="1708"/>
      <c r="P106" s="1708"/>
      <c r="Q106" s="1708"/>
      <c r="R106" s="1708"/>
      <c r="S106" s="1708"/>
      <c r="T106" s="1708"/>
      <c r="U106" s="1708"/>
      <c r="V106" s="1708"/>
      <c r="W106" s="1708"/>
      <c r="X106" s="1712"/>
      <c r="Y106" s="1712"/>
      <c r="Z106" s="1712"/>
      <c r="AA106" s="1712"/>
      <c r="AB106" s="1712"/>
      <c r="AC106" s="1712"/>
      <c r="AD106" s="1712"/>
      <c r="AE106" s="1712"/>
      <c r="AF106" s="1712"/>
      <c r="AG106" s="1712"/>
      <c r="AH106" s="1712"/>
      <c r="AI106" s="1712"/>
      <c r="AJ106" s="1712"/>
      <c r="AK106" s="1712"/>
      <c r="AL106" s="1712"/>
      <c r="AM106" s="1712"/>
      <c r="AN106" s="1712"/>
      <c r="AO106" s="1712"/>
      <c r="AP106" s="1712"/>
      <c r="AQ106" s="1712"/>
      <c r="AR106" s="1712"/>
      <c r="AS106" s="1712"/>
      <c r="AT106" s="1712"/>
      <c r="AU106" s="1712"/>
      <c r="AV106" s="1712"/>
      <c r="AW106" s="1712"/>
      <c r="AX106" s="1713"/>
      <c r="AY106" s="1714" t="str">
        <f t="shared" si="46"/>
        <v/>
      </c>
      <c r="AZ106" s="1714" t="str">
        <f>IF(Obj_PA!D106="","",IF(AY106="","",Obj_PA!D106-AY106))</f>
        <v/>
      </c>
      <c r="BA106" s="150"/>
      <c r="BB106" s="150"/>
      <c r="BC106" s="150"/>
      <c r="BD106" s="150"/>
      <c r="BE106" s="150"/>
      <c r="BF106" s="150"/>
      <c r="BG106" s="150"/>
      <c r="BH106" s="150"/>
      <c r="BI106" s="150"/>
      <c r="BJ106" s="150"/>
      <c r="BK106" s="155" t="str">
        <f t="shared" si="47"/>
        <v/>
      </c>
      <c r="BL106" s="155" t="str">
        <f t="shared" si="48"/>
        <v/>
      </c>
      <c r="BM106" s="155" t="str">
        <f t="shared" si="49"/>
        <v/>
      </c>
      <c r="BN106" s="155" t="str">
        <f t="shared" si="50"/>
        <v/>
      </c>
      <c r="BO106" s="155" t="str">
        <f t="shared" si="51"/>
        <v/>
      </c>
      <c r="BP106" s="155" t="str">
        <f t="shared" si="52"/>
        <v/>
      </c>
      <c r="BQ106" s="155" t="str">
        <f t="shared" si="53"/>
        <v/>
      </c>
      <c r="BR106" s="155" t="str">
        <f t="shared" si="54"/>
        <v/>
      </c>
      <c r="BS106" s="155" t="str">
        <f t="shared" si="55"/>
        <v/>
      </c>
      <c r="BT106" s="155" t="str">
        <f t="shared" si="56"/>
        <v/>
      </c>
      <c r="BU106" s="155" t="str">
        <f t="shared" si="57"/>
        <v/>
      </c>
      <c r="BV106" s="155" t="str">
        <f t="shared" si="58"/>
        <v/>
      </c>
      <c r="BW106" s="155" t="str">
        <f t="shared" si="59"/>
        <v/>
      </c>
      <c r="BX106" s="155" t="str">
        <f t="shared" si="60"/>
        <v/>
      </c>
      <c r="BY106" s="155" t="str">
        <f t="shared" si="61"/>
        <v/>
      </c>
      <c r="BZ106" s="155" t="str">
        <f t="shared" si="62"/>
        <v/>
      </c>
      <c r="CA106" s="155" t="str">
        <f t="shared" si="63"/>
        <v/>
      </c>
      <c r="CB106" s="155" t="str">
        <f t="shared" si="64"/>
        <v/>
      </c>
      <c r="CC106" s="155" t="str">
        <f t="shared" si="65"/>
        <v/>
      </c>
      <c r="CD106" s="155" t="str">
        <f t="shared" si="66"/>
        <v/>
      </c>
      <c r="CE106" s="155" t="str">
        <f t="shared" si="67"/>
        <v/>
      </c>
      <c r="CF106" s="155" t="str">
        <f t="shared" si="68"/>
        <v/>
      </c>
      <c r="CG106" s="155" t="str">
        <f t="shared" si="69"/>
        <v/>
      </c>
      <c r="CH106" s="155" t="str">
        <f t="shared" si="70"/>
        <v/>
      </c>
      <c r="CI106" s="155" t="str">
        <f t="shared" si="71"/>
        <v/>
      </c>
      <c r="CJ106" s="155" t="str">
        <f t="shared" si="72"/>
        <v/>
      </c>
      <c r="CK106" s="155" t="str">
        <f t="shared" si="73"/>
        <v/>
      </c>
      <c r="CL106" s="155" t="str">
        <f t="shared" si="74"/>
        <v/>
      </c>
      <c r="CM106" s="155" t="str">
        <f t="shared" si="75"/>
        <v/>
      </c>
      <c r="CN106" s="155" t="str">
        <f t="shared" si="76"/>
        <v/>
      </c>
      <c r="CO106" s="155" t="str">
        <f t="shared" si="77"/>
        <v/>
      </c>
      <c r="CP106" s="155" t="str">
        <f t="shared" si="78"/>
        <v/>
      </c>
      <c r="CQ106" s="155" t="str">
        <f t="shared" si="79"/>
        <v/>
      </c>
      <c r="CR106" s="155" t="str">
        <f t="shared" si="80"/>
        <v/>
      </c>
      <c r="CS106" s="155" t="str">
        <f t="shared" si="81"/>
        <v/>
      </c>
      <c r="CT106" s="155" t="str">
        <f t="shared" si="82"/>
        <v/>
      </c>
      <c r="CU106" s="155" t="str">
        <f t="shared" si="83"/>
        <v/>
      </c>
      <c r="CV106" s="155" t="str">
        <f t="shared" si="84"/>
        <v/>
      </c>
      <c r="CW106" s="155" t="str">
        <f t="shared" si="85"/>
        <v/>
      </c>
      <c r="CX106" s="155" t="str">
        <f t="shared" si="86"/>
        <v/>
      </c>
    </row>
    <row r="107" spans="1:102" s="151" customFormat="1" ht="14.25" outlineLevel="1" x14ac:dyDescent="0.2">
      <c r="A107" s="162"/>
      <c r="B107" s="157" t="str">
        <f>Services!B107</f>
        <v>05A03</v>
      </c>
      <c r="C107" s="153" t="str">
        <f>Services!C107</f>
        <v>Organisation de la maintenance des équipements du réseau local</v>
      </c>
      <c r="D107" s="149"/>
      <c r="E107" s="149"/>
      <c r="F107" s="149"/>
      <c r="G107" s="149"/>
      <c r="H107" s="149">
        <f>5*(8*Plans_action!E207+Plans_action!D207)</f>
        <v>0</v>
      </c>
      <c r="I107" s="140" t="str">
        <f t="shared" si="44"/>
        <v/>
      </c>
      <c r="J107" s="141" t="str">
        <f t="shared" si="45"/>
        <v/>
      </c>
      <c r="K107" s="142"/>
      <c r="L107" s="142"/>
      <c r="M107" s="1708"/>
      <c r="N107" s="1708"/>
      <c r="O107" s="1708"/>
      <c r="P107" s="1708"/>
      <c r="Q107" s="1708"/>
      <c r="R107" s="1708"/>
      <c r="S107" s="1708"/>
      <c r="T107" s="1708"/>
      <c r="U107" s="1708"/>
      <c r="V107" s="1708"/>
      <c r="W107" s="1708"/>
      <c r="X107" s="1712"/>
      <c r="Y107" s="1712"/>
      <c r="Z107" s="1712"/>
      <c r="AA107" s="1712"/>
      <c r="AB107" s="1712"/>
      <c r="AC107" s="1712"/>
      <c r="AD107" s="1712"/>
      <c r="AE107" s="1712"/>
      <c r="AF107" s="1712"/>
      <c r="AG107" s="1712"/>
      <c r="AH107" s="1712"/>
      <c r="AI107" s="1712"/>
      <c r="AJ107" s="1712"/>
      <c r="AK107" s="1712"/>
      <c r="AL107" s="1712"/>
      <c r="AM107" s="1712"/>
      <c r="AN107" s="1712"/>
      <c r="AO107" s="1712"/>
      <c r="AP107" s="1712"/>
      <c r="AQ107" s="1712"/>
      <c r="AR107" s="1712"/>
      <c r="AS107" s="1712"/>
      <c r="AT107" s="1712"/>
      <c r="AU107" s="1712"/>
      <c r="AV107" s="1712"/>
      <c r="AW107" s="1712"/>
      <c r="AX107" s="1713"/>
      <c r="AY107" s="1714" t="str">
        <f t="shared" si="46"/>
        <v/>
      </c>
      <c r="AZ107" s="1714" t="str">
        <f>IF(Obj_PA!D107="","",IF(AY107="","",Obj_PA!D107-AY107))</f>
        <v/>
      </c>
      <c r="BA107" s="150"/>
      <c r="BB107" s="150"/>
      <c r="BC107" s="150"/>
      <c r="BD107" s="150"/>
      <c r="BE107" s="150"/>
      <c r="BF107" s="150"/>
      <c r="BG107" s="150"/>
      <c r="BH107" s="150"/>
      <c r="BI107" s="150"/>
      <c r="BJ107" s="150"/>
      <c r="BK107" s="155" t="str">
        <f t="shared" si="47"/>
        <v/>
      </c>
      <c r="BL107" s="155" t="str">
        <f t="shared" si="48"/>
        <v/>
      </c>
      <c r="BM107" s="155" t="str">
        <f t="shared" si="49"/>
        <v/>
      </c>
      <c r="BN107" s="155" t="str">
        <f t="shared" si="50"/>
        <v/>
      </c>
      <c r="BO107" s="155" t="str">
        <f t="shared" si="51"/>
        <v/>
      </c>
      <c r="BP107" s="155" t="str">
        <f t="shared" si="52"/>
        <v/>
      </c>
      <c r="BQ107" s="155" t="str">
        <f t="shared" si="53"/>
        <v/>
      </c>
      <c r="BR107" s="155" t="str">
        <f t="shared" si="54"/>
        <v/>
      </c>
      <c r="BS107" s="155" t="str">
        <f t="shared" si="55"/>
        <v/>
      </c>
      <c r="BT107" s="155" t="str">
        <f t="shared" si="56"/>
        <v/>
      </c>
      <c r="BU107" s="155" t="str">
        <f t="shared" si="57"/>
        <v/>
      </c>
      <c r="BV107" s="155" t="str">
        <f t="shared" si="58"/>
        <v/>
      </c>
      <c r="BW107" s="155" t="str">
        <f t="shared" si="59"/>
        <v/>
      </c>
      <c r="BX107" s="155" t="str">
        <f t="shared" si="60"/>
        <v/>
      </c>
      <c r="BY107" s="155" t="str">
        <f t="shared" si="61"/>
        <v/>
      </c>
      <c r="BZ107" s="155" t="str">
        <f t="shared" si="62"/>
        <v/>
      </c>
      <c r="CA107" s="155" t="str">
        <f t="shared" si="63"/>
        <v/>
      </c>
      <c r="CB107" s="155" t="str">
        <f t="shared" si="64"/>
        <v/>
      </c>
      <c r="CC107" s="155" t="str">
        <f t="shared" si="65"/>
        <v/>
      </c>
      <c r="CD107" s="155" t="str">
        <f t="shared" si="66"/>
        <v/>
      </c>
      <c r="CE107" s="155" t="str">
        <f t="shared" si="67"/>
        <v/>
      </c>
      <c r="CF107" s="155" t="str">
        <f t="shared" si="68"/>
        <v/>
      </c>
      <c r="CG107" s="155" t="str">
        <f t="shared" si="69"/>
        <v/>
      </c>
      <c r="CH107" s="155" t="str">
        <f t="shared" si="70"/>
        <v/>
      </c>
      <c r="CI107" s="155" t="str">
        <f t="shared" si="71"/>
        <v/>
      </c>
      <c r="CJ107" s="155" t="str">
        <f t="shared" si="72"/>
        <v/>
      </c>
      <c r="CK107" s="155" t="str">
        <f t="shared" si="73"/>
        <v/>
      </c>
      <c r="CL107" s="155" t="str">
        <f t="shared" si="74"/>
        <v/>
      </c>
      <c r="CM107" s="155" t="str">
        <f t="shared" si="75"/>
        <v/>
      </c>
      <c r="CN107" s="155" t="str">
        <f t="shared" si="76"/>
        <v/>
      </c>
      <c r="CO107" s="155" t="str">
        <f t="shared" si="77"/>
        <v/>
      </c>
      <c r="CP107" s="155" t="str">
        <f t="shared" si="78"/>
        <v/>
      </c>
      <c r="CQ107" s="155" t="str">
        <f t="shared" si="79"/>
        <v/>
      </c>
      <c r="CR107" s="155" t="str">
        <f t="shared" si="80"/>
        <v/>
      </c>
      <c r="CS107" s="155" t="str">
        <f t="shared" si="81"/>
        <v/>
      </c>
      <c r="CT107" s="155" t="str">
        <f t="shared" si="82"/>
        <v/>
      </c>
      <c r="CU107" s="155" t="str">
        <f t="shared" si="83"/>
        <v/>
      </c>
      <c r="CV107" s="155" t="str">
        <f t="shared" si="84"/>
        <v/>
      </c>
      <c r="CW107" s="155" t="str">
        <f t="shared" si="85"/>
        <v/>
      </c>
      <c r="CX107" s="155" t="str">
        <f t="shared" si="86"/>
        <v/>
      </c>
    </row>
    <row r="108" spans="1:102" s="151" customFormat="1" ht="14.25" outlineLevel="1" x14ac:dyDescent="0.2">
      <c r="A108" s="162"/>
      <c r="B108" s="157" t="str">
        <f>Services!B108</f>
        <v>05A04</v>
      </c>
      <c r="C108" s="153" t="str">
        <f>Services!C108</f>
        <v>Procédures et plans de reprise du réseau local sur incidents</v>
      </c>
      <c r="D108" s="149"/>
      <c r="E108" s="149"/>
      <c r="F108" s="149"/>
      <c r="G108" s="149"/>
      <c r="H108" s="149">
        <f>5*(8*Plans_action!E207+Plans_action!D207)</f>
        <v>0</v>
      </c>
      <c r="I108" s="140" t="str">
        <f t="shared" si="44"/>
        <v/>
      </c>
      <c r="J108" s="141" t="str">
        <f t="shared" si="45"/>
        <v/>
      </c>
      <c r="K108" s="142"/>
      <c r="L108" s="142"/>
      <c r="M108" s="1708"/>
      <c r="N108" s="1708"/>
      <c r="O108" s="1708"/>
      <c r="P108" s="1708"/>
      <c r="Q108" s="1708"/>
      <c r="R108" s="1708"/>
      <c r="S108" s="1708"/>
      <c r="T108" s="1708"/>
      <c r="U108" s="1708"/>
      <c r="V108" s="1708"/>
      <c r="W108" s="1708"/>
      <c r="X108" s="1712"/>
      <c r="Y108" s="1712"/>
      <c r="Z108" s="1712"/>
      <c r="AA108" s="1712"/>
      <c r="AB108" s="1712"/>
      <c r="AC108" s="1712"/>
      <c r="AD108" s="1712"/>
      <c r="AE108" s="1712"/>
      <c r="AF108" s="1712"/>
      <c r="AG108" s="1712"/>
      <c r="AH108" s="1712"/>
      <c r="AI108" s="1712"/>
      <c r="AJ108" s="1712"/>
      <c r="AK108" s="1712"/>
      <c r="AL108" s="1712"/>
      <c r="AM108" s="1712"/>
      <c r="AN108" s="1712"/>
      <c r="AO108" s="1712"/>
      <c r="AP108" s="1712"/>
      <c r="AQ108" s="1712"/>
      <c r="AR108" s="1712"/>
      <c r="AS108" s="1712"/>
      <c r="AT108" s="1712"/>
      <c r="AU108" s="1712"/>
      <c r="AV108" s="1712"/>
      <c r="AW108" s="1712"/>
      <c r="AX108" s="1713"/>
      <c r="AY108" s="1714" t="str">
        <f t="shared" si="46"/>
        <v/>
      </c>
      <c r="AZ108" s="1714" t="str">
        <f>IF(Obj_PA!D108="","",IF(AY108="","",Obj_PA!D108-AY108))</f>
        <v/>
      </c>
      <c r="BA108" s="150"/>
      <c r="BB108" s="150"/>
      <c r="BC108" s="150"/>
      <c r="BD108" s="150"/>
      <c r="BE108" s="150"/>
      <c r="BF108" s="150"/>
      <c r="BG108" s="150"/>
      <c r="BH108" s="150"/>
      <c r="BI108" s="150"/>
      <c r="BJ108" s="150"/>
      <c r="BK108" s="155" t="str">
        <f t="shared" si="47"/>
        <v/>
      </c>
      <c r="BL108" s="155" t="str">
        <f t="shared" si="48"/>
        <v/>
      </c>
      <c r="BM108" s="155" t="str">
        <f t="shared" si="49"/>
        <v/>
      </c>
      <c r="BN108" s="155" t="str">
        <f t="shared" si="50"/>
        <v/>
      </c>
      <c r="BO108" s="155" t="str">
        <f t="shared" si="51"/>
        <v/>
      </c>
      <c r="BP108" s="155" t="str">
        <f t="shared" si="52"/>
        <v/>
      </c>
      <c r="BQ108" s="155" t="str">
        <f t="shared" si="53"/>
        <v/>
      </c>
      <c r="BR108" s="155" t="str">
        <f t="shared" si="54"/>
        <v/>
      </c>
      <c r="BS108" s="155" t="str">
        <f t="shared" si="55"/>
        <v/>
      </c>
      <c r="BT108" s="155" t="str">
        <f t="shared" si="56"/>
        <v/>
      </c>
      <c r="BU108" s="155" t="str">
        <f t="shared" si="57"/>
        <v/>
      </c>
      <c r="BV108" s="155" t="str">
        <f t="shared" si="58"/>
        <v/>
      </c>
      <c r="BW108" s="155" t="str">
        <f t="shared" si="59"/>
        <v/>
      </c>
      <c r="BX108" s="155" t="str">
        <f t="shared" si="60"/>
        <v/>
      </c>
      <c r="BY108" s="155" t="str">
        <f t="shared" si="61"/>
        <v/>
      </c>
      <c r="BZ108" s="155" t="str">
        <f t="shared" si="62"/>
        <v/>
      </c>
      <c r="CA108" s="155" t="str">
        <f t="shared" si="63"/>
        <v/>
      </c>
      <c r="CB108" s="155" t="str">
        <f t="shared" si="64"/>
        <v/>
      </c>
      <c r="CC108" s="155" t="str">
        <f t="shared" si="65"/>
        <v/>
      </c>
      <c r="CD108" s="155" t="str">
        <f t="shared" si="66"/>
        <v/>
      </c>
      <c r="CE108" s="155" t="str">
        <f t="shared" si="67"/>
        <v/>
      </c>
      <c r="CF108" s="155" t="str">
        <f t="shared" si="68"/>
        <v/>
      </c>
      <c r="CG108" s="155" t="str">
        <f t="shared" si="69"/>
        <v/>
      </c>
      <c r="CH108" s="155" t="str">
        <f t="shared" si="70"/>
        <v/>
      </c>
      <c r="CI108" s="155" t="str">
        <f t="shared" si="71"/>
        <v/>
      </c>
      <c r="CJ108" s="155" t="str">
        <f t="shared" si="72"/>
        <v/>
      </c>
      <c r="CK108" s="155" t="str">
        <f t="shared" si="73"/>
        <v/>
      </c>
      <c r="CL108" s="155" t="str">
        <f t="shared" si="74"/>
        <v/>
      </c>
      <c r="CM108" s="155" t="str">
        <f t="shared" si="75"/>
        <v/>
      </c>
      <c r="CN108" s="155" t="str">
        <f t="shared" si="76"/>
        <v/>
      </c>
      <c r="CO108" s="155" t="str">
        <f t="shared" si="77"/>
        <v/>
      </c>
      <c r="CP108" s="155" t="str">
        <f t="shared" si="78"/>
        <v/>
      </c>
      <c r="CQ108" s="155" t="str">
        <f t="shared" si="79"/>
        <v/>
      </c>
      <c r="CR108" s="155" t="str">
        <f t="shared" si="80"/>
        <v/>
      </c>
      <c r="CS108" s="155" t="str">
        <f t="shared" si="81"/>
        <v/>
      </c>
      <c r="CT108" s="155" t="str">
        <f t="shared" si="82"/>
        <v/>
      </c>
      <c r="CU108" s="155" t="str">
        <f t="shared" si="83"/>
        <v/>
      </c>
      <c r="CV108" s="155" t="str">
        <f t="shared" si="84"/>
        <v/>
      </c>
      <c r="CW108" s="155" t="str">
        <f t="shared" si="85"/>
        <v/>
      </c>
      <c r="CX108" s="155" t="str">
        <f t="shared" si="86"/>
        <v/>
      </c>
    </row>
    <row r="109" spans="1:102" s="151" customFormat="1" ht="14.25" outlineLevel="1" x14ac:dyDescent="0.2">
      <c r="A109" s="162"/>
      <c r="B109" s="157" t="str">
        <f>Services!B109</f>
        <v>05A05</v>
      </c>
      <c r="C109" s="153" t="str">
        <f>Services!C109</f>
        <v>Plan de sauvegarde des configurations du réseau local</v>
      </c>
      <c r="D109" s="149"/>
      <c r="E109" s="149"/>
      <c r="F109" s="149"/>
      <c r="G109" s="149"/>
      <c r="H109" s="149">
        <f>5*(8*Plans_action!E207+Plans_action!D207)</f>
        <v>0</v>
      </c>
      <c r="I109" s="140" t="str">
        <f t="shared" si="44"/>
        <v/>
      </c>
      <c r="J109" s="141" t="str">
        <f t="shared" si="45"/>
        <v/>
      </c>
      <c r="K109" s="142"/>
      <c r="L109" s="142"/>
      <c r="M109" s="1708"/>
      <c r="N109" s="1708"/>
      <c r="O109" s="1708"/>
      <c r="P109" s="1708"/>
      <c r="Q109" s="1708"/>
      <c r="R109" s="1708"/>
      <c r="S109" s="1708"/>
      <c r="T109" s="1708"/>
      <c r="U109" s="1708"/>
      <c r="V109" s="1708"/>
      <c r="W109" s="1708"/>
      <c r="X109" s="1712"/>
      <c r="Y109" s="1712"/>
      <c r="Z109" s="1712"/>
      <c r="AA109" s="1712"/>
      <c r="AB109" s="1712"/>
      <c r="AC109" s="1712"/>
      <c r="AD109" s="1712"/>
      <c r="AE109" s="1712"/>
      <c r="AF109" s="1712"/>
      <c r="AG109" s="1712"/>
      <c r="AH109" s="1712"/>
      <c r="AI109" s="1712"/>
      <c r="AJ109" s="1712"/>
      <c r="AK109" s="1712"/>
      <c r="AL109" s="1712"/>
      <c r="AM109" s="1712"/>
      <c r="AN109" s="1712"/>
      <c r="AO109" s="1712"/>
      <c r="AP109" s="1712"/>
      <c r="AQ109" s="1712"/>
      <c r="AR109" s="1712"/>
      <c r="AS109" s="1712"/>
      <c r="AT109" s="1712"/>
      <c r="AU109" s="1712"/>
      <c r="AV109" s="1712"/>
      <c r="AW109" s="1712"/>
      <c r="AX109" s="1713"/>
      <c r="AY109" s="1714" t="str">
        <f t="shared" si="46"/>
        <v/>
      </c>
      <c r="AZ109" s="1714" t="str">
        <f>IF(Obj_PA!D109="","",IF(AY109="","",Obj_PA!D109-AY109))</f>
        <v/>
      </c>
      <c r="BA109" s="150"/>
      <c r="BB109" s="150"/>
      <c r="BC109" s="150"/>
      <c r="BD109" s="150"/>
      <c r="BE109" s="150"/>
      <c r="BF109" s="150"/>
      <c r="BG109" s="150"/>
      <c r="BH109" s="150"/>
      <c r="BI109" s="150"/>
      <c r="BJ109" s="150"/>
      <c r="BK109" s="155" t="str">
        <f t="shared" si="47"/>
        <v/>
      </c>
      <c r="BL109" s="155" t="str">
        <f t="shared" si="48"/>
        <v/>
      </c>
      <c r="BM109" s="155" t="str">
        <f t="shared" si="49"/>
        <v/>
      </c>
      <c r="BN109" s="155" t="str">
        <f t="shared" si="50"/>
        <v/>
      </c>
      <c r="BO109" s="155" t="str">
        <f t="shared" si="51"/>
        <v/>
      </c>
      <c r="BP109" s="155" t="str">
        <f t="shared" si="52"/>
        <v/>
      </c>
      <c r="BQ109" s="155" t="str">
        <f t="shared" si="53"/>
        <v/>
      </c>
      <c r="BR109" s="155" t="str">
        <f t="shared" si="54"/>
        <v/>
      </c>
      <c r="BS109" s="155" t="str">
        <f t="shared" si="55"/>
        <v/>
      </c>
      <c r="BT109" s="155" t="str">
        <f t="shared" si="56"/>
        <v/>
      </c>
      <c r="BU109" s="155" t="str">
        <f t="shared" si="57"/>
        <v/>
      </c>
      <c r="BV109" s="155" t="str">
        <f t="shared" si="58"/>
        <v/>
      </c>
      <c r="BW109" s="155" t="str">
        <f t="shared" si="59"/>
        <v/>
      </c>
      <c r="BX109" s="155" t="str">
        <f t="shared" si="60"/>
        <v/>
      </c>
      <c r="BY109" s="155" t="str">
        <f t="shared" si="61"/>
        <v/>
      </c>
      <c r="BZ109" s="155" t="str">
        <f t="shared" si="62"/>
        <v/>
      </c>
      <c r="CA109" s="155" t="str">
        <f t="shared" si="63"/>
        <v/>
      </c>
      <c r="CB109" s="155" t="str">
        <f t="shared" si="64"/>
        <v/>
      </c>
      <c r="CC109" s="155" t="str">
        <f t="shared" si="65"/>
        <v/>
      </c>
      <c r="CD109" s="155" t="str">
        <f t="shared" si="66"/>
        <v/>
      </c>
      <c r="CE109" s="155" t="str">
        <f t="shared" si="67"/>
        <v/>
      </c>
      <c r="CF109" s="155" t="str">
        <f t="shared" si="68"/>
        <v/>
      </c>
      <c r="CG109" s="155" t="str">
        <f t="shared" si="69"/>
        <v/>
      </c>
      <c r="CH109" s="155" t="str">
        <f t="shared" si="70"/>
        <v/>
      </c>
      <c r="CI109" s="155" t="str">
        <f t="shared" si="71"/>
        <v/>
      </c>
      <c r="CJ109" s="155" t="str">
        <f t="shared" si="72"/>
        <v/>
      </c>
      <c r="CK109" s="155" t="str">
        <f t="shared" si="73"/>
        <v/>
      </c>
      <c r="CL109" s="155" t="str">
        <f t="shared" si="74"/>
        <v/>
      </c>
      <c r="CM109" s="155" t="str">
        <f t="shared" si="75"/>
        <v/>
      </c>
      <c r="CN109" s="155" t="str">
        <f t="shared" si="76"/>
        <v/>
      </c>
      <c r="CO109" s="155" t="str">
        <f t="shared" si="77"/>
        <v/>
      </c>
      <c r="CP109" s="155" t="str">
        <f t="shared" si="78"/>
        <v/>
      </c>
      <c r="CQ109" s="155" t="str">
        <f t="shared" si="79"/>
        <v/>
      </c>
      <c r="CR109" s="155" t="str">
        <f t="shared" si="80"/>
        <v/>
      </c>
      <c r="CS109" s="155" t="str">
        <f t="shared" si="81"/>
        <v/>
      </c>
      <c r="CT109" s="155" t="str">
        <f t="shared" si="82"/>
        <v/>
      </c>
      <c r="CU109" s="155" t="str">
        <f t="shared" si="83"/>
        <v/>
      </c>
      <c r="CV109" s="155" t="str">
        <f t="shared" si="84"/>
        <v/>
      </c>
      <c r="CW109" s="155" t="str">
        <f t="shared" si="85"/>
        <v/>
      </c>
      <c r="CX109" s="155" t="str">
        <f t="shared" si="86"/>
        <v/>
      </c>
    </row>
    <row r="110" spans="1:102" s="151" customFormat="1" ht="14.25" outlineLevel="1" x14ac:dyDescent="0.2">
      <c r="A110" s="162"/>
      <c r="B110" s="157" t="str">
        <f>Services!B110</f>
        <v>05A06</v>
      </c>
      <c r="C110" s="153" t="str">
        <f>Services!C110</f>
        <v>Plan de Reprise d'Activité (PRA) du réseau local</v>
      </c>
      <c r="D110" s="149"/>
      <c r="E110" s="149"/>
      <c r="F110" s="149"/>
      <c r="G110" s="149"/>
      <c r="H110" s="149">
        <f>5*(8*Plans_action!E207+Plans_action!D207)</f>
        <v>0</v>
      </c>
      <c r="I110" s="140" t="str">
        <f t="shared" si="44"/>
        <v/>
      </c>
      <c r="J110" s="141" t="str">
        <f t="shared" si="45"/>
        <v/>
      </c>
      <c r="K110" s="142"/>
      <c r="L110" s="142"/>
      <c r="M110" s="1708"/>
      <c r="N110" s="1708"/>
      <c r="O110" s="1708"/>
      <c r="P110" s="1708"/>
      <c r="Q110" s="1708"/>
      <c r="R110" s="1708"/>
      <c r="S110" s="1708"/>
      <c r="T110" s="1708"/>
      <c r="U110" s="1708"/>
      <c r="V110" s="1708"/>
      <c r="W110" s="1708"/>
      <c r="X110" s="1712"/>
      <c r="Y110" s="1712"/>
      <c r="Z110" s="1712"/>
      <c r="AA110" s="1712"/>
      <c r="AB110" s="1712"/>
      <c r="AC110" s="1712"/>
      <c r="AD110" s="1712"/>
      <c r="AE110" s="1712"/>
      <c r="AF110" s="1712"/>
      <c r="AG110" s="1712"/>
      <c r="AH110" s="1712"/>
      <c r="AI110" s="1712"/>
      <c r="AJ110" s="1712"/>
      <c r="AK110" s="1712"/>
      <c r="AL110" s="1712"/>
      <c r="AM110" s="1712"/>
      <c r="AN110" s="1712"/>
      <c r="AO110" s="1712"/>
      <c r="AP110" s="1712"/>
      <c r="AQ110" s="1712"/>
      <c r="AR110" s="1712"/>
      <c r="AS110" s="1712"/>
      <c r="AT110" s="1712"/>
      <c r="AU110" s="1712"/>
      <c r="AV110" s="1712"/>
      <c r="AW110" s="1712"/>
      <c r="AX110" s="1713"/>
      <c r="AY110" s="1714" t="str">
        <f t="shared" si="46"/>
        <v/>
      </c>
      <c r="AZ110" s="1714" t="str">
        <f>IF(Obj_PA!D110="","",IF(AY110="","",Obj_PA!D110-AY110))</f>
        <v/>
      </c>
      <c r="BA110" s="150"/>
      <c r="BB110" s="150"/>
      <c r="BC110" s="150"/>
      <c r="BD110" s="150"/>
      <c r="BE110" s="150"/>
      <c r="BF110" s="150"/>
      <c r="BG110" s="150"/>
      <c r="BH110" s="150"/>
      <c r="BI110" s="150"/>
      <c r="BJ110" s="150"/>
      <c r="BK110" s="155" t="str">
        <f t="shared" si="47"/>
        <v/>
      </c>
      <c r="BL110" s="155" t="str">
        <f t="shared" si="48"/>
        <v/>
      </c>
      <c r="BM110" s="155" t="str">
        <f t="shared" si="49"/>
        <v/>
      </c>
      <c r="BN110" s="155" t="str">
        <f t="shared" si="50"/>
        <v/>
      </c>
      <c r="BO110" s="155" t="str">
        <f t="shared" si="51"/>
        <v/>
      </c>
      <c r="BP110" s="155" t="str">
        <f t="shared" si="52"/>
        <v/>
      </c>
      <c r="BQ110" s="155" t="str">
        <f t="shared" si="53"/>
        <v/>
      </c>
      <c r="BR110" s="155" t="str">
        <f t="shared" si="54"/>
        <v/>
      </c>
      <c r="BS110" s="155" t="str">
        <f t="shared" si="55"/>
        <v/>
      </c>
      <c r="BT110" s="155" t="str">
        <f t="shared" si="56"/>
        <v/>
      </c>
      <c r="BU110" s="155" t="str">
        <f t="shared" si="57"/>
        <v/>
      </c>
      <c r="BV110" s="155" t="str">
        <f t="shared" si="58"/>
        <v/>
      </c>
      <c r="BW110" s="155" t="str">
        <f t="shared" si="59"/>
        <v/>
      </c>
      <c r="BX110" s="155" t="str">
        <f t="shared" si="60"/>
        <v/>
      </c>
      <c r="BY110" s="155" t="str">
        <f t="shared" si="61"/>
        <v/>
      </c>
      <c r="BZ110" s="155" t="str">
        <f t="shared" si="62"/>
        <v/>
      </c>
      <c r="CA110" s="155" t="str">
        <f t="shared" si="63"/>
        <v/>
      </c>
      <c r="CB110" s="155" t="str">
        <f t="shared" si="64"/>
        <v/>
      </c>
      <c r="CC110" s="155" t="str">
        <f t="shared" si="65"/>
        <v/>
      </c>
      <c r="CD110" s="155" t="str">
        <f t="shared" si="66"/>
        <v/>
      </c>
      <c r="CE110" s="155" t="str">
        <f t="shared" si="67"/>
        <v/>
      </c>
      <c r="CF110" s="155" t="str">
        <f t="shared" si="68"/>
        <v/>
      </c>
      <c r="CG110" s="155" t="str">
        <f t="shared" si="69"/>
        <v/>
      </c>
      <c r="CH110" s="155" t="str">
        <f t="shared" si="70"/>
        <v/>
      </c>
      <c r="CI110" s="155" t="str">
        <f t="shared" si="71"/>
        <v/>
      </c>
      <c r="CJ110" s="155" t="str">
        <f t="shared" si="72"/>
        <v/>
      </c>
      <c r="CK110" s="155" t="str">
        <f t="shared" si="73"/>
        <v/>
      </c>
      <c r="CL110" s="155" t="str">
        <f t="shared" si="74"/>
        <v/>
      </c>
      <c r="CM110" s="155" t="str">
        <f t="shared" si="75"/>
        <v/>
      </c>
      <c r="CN110" s="155" t="str">
        <f t="shared" si="76"/>
        <v/>
      </c>
      <c r="CO110" s="155" t="str">
        <f t="shared" si="77"/>
        <v/>
      </c>
      <c r="CP110" s="155" t="str">
        <f t="shared" si="78"/>
        <v/>
      </c>
      <c r="CQ110" s="155" t="str">
        <f t="shared" si="79"/>
        <v/>
      </c>
      <c r="CR110" s="155" t="str">
        <f t="shared" si="80"/>
        <v/>
      </c>
      <c r="CS110" s="155" t="str">
        <f t="shared" si="81"/>
        <v/>
      </c>
      <c r="CT110" s="155" t="str">
        <f t="shared" si="82"/>
        <v/>
      </c>
      <c r="CU110" s="155" t="str">
        <f t="shared" si="83"/>
        <v/>
      </c>
      <c r="CV110" s="155" t="str">
        <f t="shared" si="84"/>
        <v/>
      </c>
      <c r="CW110" s="155" t="str">
        <f t="shared" si="85"/>
        <v/>
      </c>
      <c r="CX110" s="155" t="str">
        <f t="shared" si="86"/>
        <v/>
      </c>
    </row>
    <row r="111" spans="1:102" s="151" customFormat="1" ht="25.5" outlineLevel="1" x14ac:dyDescent="0.2">
      <c r="A111" s="162"/>
      <c r="B111" s="157" t="str">
        <f>Services!B111</f>
        <v>05A07</v>
      </c>
      <c r="C111" s="153" t="str">
        <f>Services!C111</f>
        <v>Gestion des fournisseurs critiques vis-à-vis de la permanence de la maintenance</v>
      </c>
      <c r="D111" s="149"/>
      <c r="E111" s="149"/>
      <c r="F111" s="149"/>
      <c r="G111" s="149"/>
      <c r="H111" s="149">
        <f>5*(8*Plans_action!E207+Plans_action!D207)</f>
        <v>0</v>
      </c>
      <c r="I111" s="140" t="str">
        <f t="shared" si="44"/>
        <v/>
      </c>
      <c r="J111" s="141" t="str">
        <f t="shared" si="45"/>
        <v/>
      </c>
      <c r="K111" s="142"/>
      <c r="L111" s="142"/>
      <c r="M111" s="1708"/>
      <c r="N111" s="1708"/>
      <c r="O111" s="1708"/>
      <c r="P111" s="1708"/>
      <c r="Q111" s="1708"/>
      <c r="R111" s="1708"/>
      <c r="S111" s="1708"/>
      <c r="T111" s="1708"/>
      <c r="U111" s="1708"/>
      <c r="V111" s="1708"/>
      <c r="W111" s="1708"/>
      <c r="X111" s="1712"/>
      <c r="Y111" s="1712"/>
      <c r="Z111" s="1712"/>
      <c r="AA111" s="1712"/>
      <c r="AB111" s="1712"/>
      <c r="AC111" s="1712"/>
      <c r="AD111" s="1712"/>
      <c r="AE111" s="1712"/>
      <c r="AF111" s="1712"/>
      <c r="AG111" s="1712"/>
      <c r="AH111" s="1712"/>
      <c r="AI111" s="1712"/>
      <c r="AJ111" s="1712"/>
      <c r="AK111" s="1712"/>
      <c r="AL111" s="1712"/>
      <c r="AM111" s="1712"/>
      <c r="AN111" s="1712"/>
      <c r="AO111" s="1712"/>
      <c r="AP111" s="1712"/>
      <c r="AQ111" s="1712"/>
      <c r="AR111" s="1712"/>
      <c r="AS111" s="1712"/>
      <c r="AT111" s="1712"/>
      <c r="AU111" s="1712"/>
      <c r="AV111" s="1712"/>
      <c r="AW111" s="1712"/>
      <c r="AX111" s="1713"/>
      <c r="AY111" s="1714" t="str">
        <f t="shared" si="46"/>
        <v/>
      </c>
      <c r="AZ111" s="1714" t="str">
        <f>IF(Obj_PA!D111="","",IF(AY111="","",Obj_PA!D111-AY111))</f>
        <v/>
      </c>
      <c r="BA111" s="150"/>
      <c r="BB111" s="150"/>
      <c r="BC111" s="150"/>
      <c r="BD111" s="150"/>
      <c r="BE111" s="150"/>
      <c r="BF111" s="150"/>
      <c r="BG111" s="150"/>
      <c r="BH111" s="150"/>
      <c r="BI111" s="150"/>
      <c r="BJ111" s="150"/>
      <c r="BK111" s="155" t="str">
        <f t="shared" si="47"/>
        <v/>
      </c>
      <c r="BL111" s="155" t="str">
        <f t="shared" si="48"/>
        <v/>
      </c>
      <c r="BM111" s="155" t="str">
        <f t="shared" si="49"/>
        <v/>
      </c>
      <c r="BN111" s="155" t="str">
        <f t="shared" si="50"/>
        <v/>
      </c>
      <c r="BO111" s="155" t="str">
        <f t="shared" si="51"/>
        <v/>
      </c>
      <c r="BP111" s="155" t="str">
        <f t="shared" si="52"/>
        <v/>
      </c>
      <c r="BQ111" s="155" t="str">
        <f t="shared" si="53"/>
        <v/>
      </c>
      <c r="BR111" s="155" t="str">
        <f t="shared" si="54"/>
        <v/>
      </c>
      <c r="BS111" s="155" t="str">
        <f t="shared" si="55"/>
        <v/>
      </c>
      <c r="BT111" s="155" t="str">
        <f t="shared" si="56"/>
        <v/>
      </c>
      <c r="BU111" s="155" t="str">
        <f t="shared" si="57"/>
        <v/>
      </c>
      <c r="BV111" s="155" t="str">
        <f t="shared" si="58"/>
        <v/>
      </c>
      <c r="BW111" s="155" t="str">
        <f t="shared" si="59"/>
        <v/>
      </c>
      <c r="BX111" s="155" t="str">
        <f t="shared" si="60"/>
        <v/>
      </c>
      <c r="BY111" s="155" t="str">
        <f t="shared" si="61"/>
        <v/>
      </c>
      <c r="BZ111" s="155" t="str">
        <f t="shared" si="62"/>
        <v/>
      </c>
      <c r="CA111" s="155" t="str">
        <f t="shared" si="63"/>
        <v/>
      </c>
      <c r="CB111" s="155" t="str">
        <f t="shared" si="64"/>
        <v/>
      </c>
      <c r="CC111" s="155" t="str">
        <f t="shared" si="65"/>
        <v/>
      </c>
      <c r="CD111" s="155" t="str">
        <f t="shared" si="66"/>
        <v/>
      </c>
      <c r="CE111" s="155" t="str">
        <f t="shared" si="67"/>
        <v/>
      </c>
      <c r="CF111" s="155" t="str">
        <f t="shared" si="68"/>
        <v/>
      </c>
      <c r="CG111" s="155" t="str">
        <f t="shared" si="69"/>
        <v/>
      </c>
      <c r="CH111" s="155" t="str">
        <f t="shared" si="70"/>
        <v/>
      </c>
      <c r="CI111" s="155" t="str">
        <f t="shared" si="71"/>
        <v/>
      </c>
      <c r="CJ111" s="155" t="str">
        <f t="shared" si="72"/>
        <v/>
      </c>
      <c r="CK111" s="155" t="str">
        <f t="shared" si="73"/>
        <v/>
      </c>
      <c r="CL111" s="155" t="str">
        <f t="shared" si="74"/>
        <v/>
      </c>
      <c r="CM111" s="155" t="str">
        <f t="shared" si="75"/>
        <v/>
      </c>
      <c r="CN111" s="155" t="str">
        <f t="shared" si="76"/>
        <v/>
      </c>
      <c r="CO111" s="155" t="str">
        <f t="shared" si="77"/>
        <v/>
      </c>
      <c r="CP111" s="155" t="str">
        <f t="shared" si="78"/>
        <v/>
      </c>
      <c r="CQ111" s="155" t="str">
        <f t="shared" si="79"/>
        <v/>
      </c>
      <c r="CR111" s="155" t="str">
        <f t="shared" si="80"/>
        <v/>
      </c>
      <c r="CS111" s="155" t="str">
        <f t="shared" si="81"/>
        <v/>
      </c>
      <c r="CT111" s="155" t="str">
        <f t="shared" si="82"/>
        <v/>
      </c>
      <c r="CU111" s="155" t="str">
        <f t="shared" si="83"/>
        <v/>
      </c>
      <c r="CV111" s="155" t="str">
        <f t="shared" si="84"/>
        <v/>
      </c>
      <c r="CW111" s="155" t="str">
        <f t="shared" si="85"/>
        <v/>
      </c>
      <c r="CX111" s="155" t="str">
        <f t="shared" si="86"/>
        <v/>
      </c>
    </row>
    <row r="112" spans="1:102" s="151" customFormat="1" ht="14.25" outlineLevel="1" x14ac:dyDescent="0.2">
      <c r="A112" s="162"/>
      <c r="B112" s="147" t="str">
        <f>Services!B112</f>
        <v>05B</v>
      </c>
      <c r="C112" s="148" t="str">
        <f>Services!C112</f>
        <v>Contrôles d'accès sur le réseau local de "données"</v>
      </c>
      <c r="D112" s="149"/>
      <c r="E112" s="149"/>
      <c r="F112" s="149"/>
      <c r="G112" s="149"/>
      <c r="H112" s="149"/>
      <c r="I112" s="140" t="str">
        <f t="shared" si="44"/>
        <v/>
      </c>
      <c r="J112" s="141" t="str">
        <f t="shared" si="45"/>
        <v/>
      </c>
      <c r="K112" s="142"/>
      <c r="L112" s="142"/>
      <c r="M112" s="1708"/>
      <c r="N112" s="1708"/>
      <c r="O112" s="1708"/>
      <c r="P112" s="1708"/>
      <c r="Q112" s="1708"/>
      <c r="R112" s="1708"/>
      <c r="S112" s="1708"/>
      <c r="T112" s="1708"/>
      <c r="U112" s="1708"/>
      <c r="V112" s="1708"/>
      <c r="W112" s="1708"/>
      <c r="X112" s="1712"/>
      <c r="Y112" s="1712"/>
      <c r="Z112" s="1712"/>
      <c r="AA112" s="1712"/>
      <c r="AB112" s="1712"/>
      <c r="AC112" s="1712"/>
      <c r="AD112" s="1712"/>
      <c r="AE112" s="1712"/>
      <c r="AF112" s="1712"/>
      <c r="AG112" s="1712"/>
      <c r="AH112" s="1712"/>
      <c r="AI112" s="1712"/>
      <c r="AJ112" s="1712"/>
      <c r="AK112" s="1712"/>
      <c r="AL112" s="1712"/>
      <c r="AM112" s="1712"/>
      <c r="AN112" s="1712"/>
      <c r="AO112" s="1712"/>
      <c r="AP112" s="1712"/>
      <c r="AQ112" s="1712"/>
      <c r="AR112" s="1712"/>
      <c r="AS112" s="1712"/>
      <c r="AT112" s="1712"/>
      <c r="AU112" s="1712"/>
      <c r="AV112" s="1712"/>
      <c r="AW112" s="1712"/>
      <c r="AX112" s="1713"/>
      <c r="AY112" s="1714" t="str">
        <f t="shared" si="46"/>
        <v/>
      </c>
      <c r="AZ112" s="1714" t="str">
        <f>IF(Obj_PA!D112="","",IF(AY112="","",Obj_PA!D112-AY112))</f>
        <v/>
      </c>
      <c r="BA112" s="150"/>
      <c r="BB112" s="150"/>
      <c r="BC112" s="150"/>
      <c r="BD112" s="150"/>
      <c r="BE112" s="150"/>
      <c r="BF112" s="150"/>
      <c r="BG112" s="150"/>
      <c r="BH112" s="150"/>
      <c r="BI112" s="150"/>
      <c r="BJ112" s="150"/>
      <c r="BK112" s="155" t="str">
        <f t="shared" si="47"/>
        <v/>
      </c>
      <c r="BL112" s="155" t="str">
        <f t="shared" si="48"/>
        <v/>
      </c>
      <c r="BM112" s="155" t="str">
        <f t="shared" si="49"/>
        <v/>
      </c>
      <c r="BN112" s="155" t="str">
        <f t="shared" si="50"/>
        <v/>
      </c>
      <c r="BO112" s="155" t="str">
        <f t="shared" si="51"/>
        <v/>
      </c>
      <c r="BP112" s="155" t="str">
        <f t="shared" si="52"/>
        <v/>
      </c>
      <c r="BQ112" s="155" t="str">
        <f t="shared" si="53"/>
        <v/>
      </c>
      <c r="BR112" s="155" t="str">
        <f t="shared" si="54"/>
        <v/>
      </c>
      <c r="BS112" s="155" t="str">
        <f t="shared" si="55"/>
        <v/>
      </c>
      <c r="BT112" s="155" t="str">
        <f t="shared" si="56"/>
        <v/>
      </c>
      <c r="BU112" s="155" t="str">
        <f t="shared" si="57"/>
        <v/>
      </c>
      <c r="BV112" s="155" t="str">
        <f t="shared" si="58"/>
        <v/>
      </c>
      <c r="BW112" s="155" t="str">
        <f t="shared" si="59"/>
        <v/>
      </c>
      <c r="BX112" s="155" t="str">
        <f t="shared" si="60"/>
        <v/>
      </c>
      <c r="BY112" s="155" t="str">
        <f t="shared" si="61"/>
        <v/>
      </c>
      <c r="BZ112" s="155" t="str">
        <f t="shared" si="62"/>
        <v/>
      </c>
      <c r="CA112" s="155" t="str">
        <f t="shared" si="63"/>
        <v/>
      </c>
      <c r="CB112" s="155" t="str">
        <f t="shared" si="64"/>
        <v/>
      </c>
      <c r="CC112" s="155" t="str">
        <f t="shared" si="65"/>
        <v/>
      </c>
      <c r="CD112" s="155" t="str">
        <f t="shared" si="66"/>
        <v/>
      </c>
      <c r="CE112" s="155" t="str">
        <f t="shared" si="67"/>
        <v/>
      </c>
      <c r="CF112" s="155" t="str">
        <f t="shared" si="68"/>
        <v/>
      </c>
      <c r="CG112" s="155" t="str">
        <f t="shared" si="69"/>
        <v/>
      </c>
      <c r="CH112" s="155" t="str">
        <f t="shared" si="70"/>
        <v/>
      </c>
      <c r="CI112" s="155" t="str">
        <f t="shared" si="71"/>
        <v/>
      </c>
      <c r="CJ112" s="155" t="str">
        <f t="shared" si="72"/>
        <v/>
      </c>
      <c r="CK112" s="155" t="str">
        <f t="shared" si="73"/>
        <v/>
      </c>
      <c r="CL112" s="155" t="str">
        <f t="shared" si="74"/>
        <v/>
      </c>
      <c r="CM112" s="155" t="str">
        <f t="shared" si="75"/>
        <v/>
      </c>
      <c r="CN112" s="155" t="str">
        <f t="shared" si="76"/>
        <v/>
      </c>
      <c r="CO112" s="155" t="str">
        <f t="shared" si="77"/>
        <v/>
      </c>
      <c r="CP112" s="155" t="str">
        <f t="shared" si="78"/>
        <v/>
      </c>
      <c r="CQ112" s="155" t="str">
        <f t="shared" si="79"/>
        <v/>
      </c>
      <c r="CR112" s="155" t="str">
        <f t="shared" si="80"/>
        <v/>
      </c>
      <c r="CS112" s="155" t="str">
        <f t="shared" si="81"/>
        <v/>
      </c>
      <c r="CT112" s="155" t="str">
        <f t="shared" si="82"/>
        <v/>
      </c>
      <c r="CU112" s="155" t="str">
        <f t="shared" si="83"/>
        <v/>
      </c>
      <c r="CV112" s="155" t="str">
        <f t="shared" si="84"/>
        <v/>
      </c>
      <c r="CW112" s="155" t="str">
        <f t="shared" si="85"/>
        <v/>
      </c>
      <c r="CX112" s="155" t="str">
        <f t="shared" si="86"/>
        <v/>
      </c>
    </row>
    <row r="113" spans="1:102" s="151" customFormat="1" ht="14.25" outlineLevel="1" x14ac:dyDescent="0.2">
      <c r="A113" s="162"/>
      <c r="B113" s="157" t="str">
        <f>Services!B113</f>
        <v>05B01</v>
      </c>
      <c r="C113" s="153" t="str">
        <f>Services!C113</f>
        <v>Gestion des profils d'accès au réseau local de données</v>
      </c>
      <c r="D113" s="149"/>
      <c r="E113" s="149">
        <f>2*(8*Plans_action!E158+Plans_action!D158)</f>
        <v>0</v>
      </c>
      <c r="F113" s="149"/>
      <c r="G113" s="149"/>
      <c r="H113" s="149"/>
      <c r="I113" s="140" t="str">
        <f t="shared" si="44"/>
        <v/>
      </c>
      <c r="J113" s="141" t="str">
        <f t="shared" si="45"/>
        <v/>
      </c>
      <c r="K113" s="142"/>
      <c r="L113" s="142"/>
      <c r="M113" s="1708"/>
      <c r="N113" s="1708"/>
      <c r="O113" s="1708"/>
      <c r="P113" s="1708"/>
      <c r="Q113" s="1708"/>
      <c r="R113" s="1708"/>
      <c r="S113" s="1708"/>
      <c r="T113" s="1708"/>
      <c r="U113" s="1708"/>
      <c r="V113" s="1708"/>
      <c r="W113" s="1708"/>
      <c r="X113" s="1712"/>
      <c r="Y113" s="1712"/>
      <c r="Z113" s="1712"/>
      <c r="AA113" s="1712"/>
      <c r="AB113" s="1712"/>
      <c r="AC113" s="1712"/>
      <c r="AD113" s="1712"/>
      <c r="AE113" s="1712"/>
      <c r="AF113" s="1712"/>
      <c r="AG113" s="1712"/>
      <c r="AH113" s="1712"/>
      <c r="AI113" s="1712"/>
      <c r="AJ113" s="1712"/>
      <c r="AK113" s="1712"/>
      <c r="AL113" s="1712"/>
      <c r="AM113" s="1712"/>
      <c r="AN113" s="1712"/>
      <c r="AO113" s="1712"/>
      <c r="AP113" s="1712"/>
      <c r="AQ113" s="1712"/>
      <c r="AR113" s="1712"/>
      <c r="AS113" s="1712"/>
      <c r="AT113" s="1712"/>
      <c r="AU113" s="1712"/>
      <c r="AV113" s="1712"/>
      <c r="AW113" s="1712"/>
      <c r="AX113" s="1713"/>
      <c r="AY113" s="1714" t="str">
        <f t="shared" si="46"/>
        <v/>
      </c>
      <c r="AZ113" s="1714" t="str">
        <f>IF(Obj_PA!D113="","",IF(AY113="","",Obj_PA!D113-AY113))</f>
        <v/>
      </c>
      <c r="BA113" s="150"/>
      <c r="BB113" s="150"/>
      <c r="BC113" s="150"/>
      <c r="BD113" s="150"/>
      <c r="BE113" s="150"/>
      <c r="BF113" s="150"/>
      <c r="BG113" s="150"/>
      <c r="BH113" s="150"/>
      <c r="BI113" s="150"/>
      <c r="BJ113" s="150"/>
      <c r="BK113" s="155" t="str">
        <f t="shared" si="47"/>
        <v/>
      </c>
      <c r="BL113" s="155" t="str">
        <f t="shared" si="48"/>
        <v/>
      </c>
      <c r="BM113" s="155" t="str">
        <f t="shared" si="49"/>
        <v/>
      </c>
      <c r="BN113" s="155" t="str">
        <f t="shared" si="50"/>
        <v/>
      </c>
      <c r="BO113" s="155" t="str">
        <f t="shared" si="51"/>
        <v/>
      </c>
      <c r="BP113" s="155" t="str">
        <f t="shared" si="52"/>
        <v/>
      </c>
      <c r="BQ113" s="155" t="str">
        <f t="shared" si="53"/>
        <v/>
      </c>
      <c r="BR113" s="155" t="str">
        <f t="shared" si="54"/>
        <v/>
      </c>
      <c r="BS113" s="155" t="str">
        <f t="shared" si="55"/>
        <v/>
      </c>
      <c r="BT113" s="155" t="str">
        <f t="shared" si="56"/>
        <v/>
      </c>
      <c r="BU113" s="155" t="str">
        <f t="shared" si="57"/>
        <v/>
      </c>
      <c r="BV113" s="155" t="str">
        <f t="shared" si="58"/>
        <v/>
      </c>
      <c r="BW113" s="155" t="str">
        <f t="shared" si="59"/>
        <v/>
      </c>
      <c r="BX113" s="155" t="str">
        <f t="shared" si="60"/>
        <v/>
      </c>
      <c r="BY113" s="155" t="str">
        <f t="shared" si="61"/>
        <v/>
      </c>
      <c r="BZ113" s="155" t="str">
        <f t="shared" si="62"/>
        <v/>
      </c>
      <c r="CA113" s="155" t="str">
        <f t="shared" si="63"/>
        <v/>
      </c>
      <c r="CB113" s="155" t="str">
        <f t="shared" si="64"/>
        <v/>
      </c>
      <c r="CC113" s="155" t="str">
        <f t="shared" si="65"/>
        <v/>
      </c>
      <c r="CD113" s="155" t="str">
        <f t="shared" si="66"/>
        <v/>
      </c>
      <c r="CE113" s="155" t="str">
        <f t="shared" si="67"/>
        <v/>
      </c>
      <c r="CF113" s="155" t="str">
        <f t="shared" si="68"/>
        <v/>
      </c>
      <c r="CG113" s="155" t="str">
        <f t="shared" si="69"/>
        <v/>
      </c>
      <c r="CH113" s="155" t="str">
        <f t="shared" si="70"/>
        <v/>
      </c>
      <c r="CI113" s="155" t="str">
        <f t="shared" si="71"/>
        <v/>
      </c>
      <c r="CJ113" s="155" t="str">
        <f t="shared" si="72"/>
        <v/>
      </c>
      <c r="CK113" s="155" t="str">
        <f t="shared" si="73"/>
        <v/>
      </c>
      <c r="CL113" s="155" t="str">
        <f t="shared" si="74"/>
        <v/>
      </c>
      <c r="CM113" s="155" t="str">
        <f t="shared" si="75"/>
        <v/>
      </c>
      <c r="CN113" s="155" t="str">
        <f t="shared" si="76"/>
        <v/>
      </c>
      <c r="CO113" s="155" t="str">
        <f t="shared" si="77"/>
        <v/>
      </c>
      <c r="CP113" s="155" t="str">
        <f t="shared" si="78"/>
        <v/>
      </c>
      <c r="CQ113" s="155" t="str">
        <f t="shared" si="79"/>
        <v/>
      </c>
      <c r="CR113" s="155" t="str">
        <f t="shared" si="80"/>
        <v/>
      </c>
      <c r="CS113" s="155" t="str">
        <f t="shared" si="81"/>
        <v/>
      </c>
      <c r="CT113" s="155" t="str">
        <f t="shared" si="82"/>
        <v/>
      </c>
      <c r="CU113" s="155" t="str">
        <f t="shared" si="83"/>
        <v/>
      </c>
      <c r="CV113" s="155" t="str">
        <f t="shared" si="84"/>
        <v/>
      </c>
      <c r="CW113" s="155" t="str">
        <f t="shared" si="85"/>
        <v/>
      </c>
      <c r="CX113" s="155" t="str">
        <f t="shared" si="86"/>
        <v/>
      </c>
    </row>
    <row r="114" spans="1:102" s="151" customFormat="1" ht="25.5" outlineLevel="1" x14ac:dyDescent="0.2">
      <c r="A114" s="162"/>
      <c r="B114" s="157" t="str">
        <f>Services!B114</f>
        <v>05B02</v>
      </c>
      <c r="C114" s="153" t="str">
        <f>Services!C114</f>
        <v>Gestion des autorisations d'accès et privilèges (attribution, délégation, retrait)</v>
      </c>
      <c r="D114" s="149"/>
      <c r="E114" s="149">
        <f>2*(8*Plans_action!E158+Plans_action!D158)</f>
        <v>0</v>
      </c>
      <c r="F114" s="149"/>
      <c r="G114" s="149"/>
      <c r="H114" s="149"/>
      <c r="I114" s="140" t="str">
        <f t="shared" si="44"/>
        <v/>
      </c>
      <c r="J114" s="141" t="str">
        <f t="shared" si="45"/>
        <v/>
      </c>
      <c r="K114" s="142"/>
      <c r="L114" s="142"/>
      <c r="M114" s="1708"/>
      <c r="N114" s="1708"/>
      <c r="O114" s="1708"/>
      <c r="P114" s="1708"/>
      <c r="Q114" s="1708"/>
      <c r="R114" s="1708"/>
      <c r="S114" s="1708"/>
      <c r="T114" s="1708"/>
      <c r="U114" s="1708"/>
      <c r="V114" s="1708"/>
      <c r="W114" s="1708"/>
      <c r="X114" s="1712"/>
      <c r="Y114" s="1712"/>
      <c r="Z114" s="1712"/>
      <c r="AA114" s="1712"/>
      <c r="AB114" s="1712"/>
      <c r="AC114" s="1712"/>
      <c r="AD114" s="1712"/>
      <c r="AE114" s="1712"/>
      <c r="AF114" s="1712"/>
      <c r="AG114" s="1712"/>
      <c r="AH114" s="1712"/>
      <c r="AI114" s="1712"/>
      <c r="AJ114" s="1712"/>
      <c r="AK114" s="1712"/>
      <c r="AL114" s="1712"/>
      <c r="AM114" s="1712"/>
      <c r="AN114" s="1712"/>
      <c r="AO114" s="1712"/>
      <c r="AP114" s="1712"/>
      <c r="AQ114" s="1712"/>
      <c r="AR114" s="1712"/>
      <c r="AS114" s="1712"/>
      <c r="AT114" s="1712"/>
      <c r="AU114" s="1712"/>
      <c r="AV114" s="1712"/>
      <c r="AW114" s="1712"/>
      <c r="AX114" s="1713"/>
      <c r="AY114" s="1714" t="str">
        <f t="shared" si="46"/>
        <v/>
      </c>
      <c r="AZ114" s="1714" t="str">
        <f>IF(Obj_PA!D114="","",IF(AY114="","",Obj_PA!D114-AY114))</f>
        <v/>
      </c>
      <c r="BA114" s="150"/>
      <c r="BB114" s="150"/>
      <c r="BC114" s="150"/>
      <c r="BD114" s="150"/>
      <c r="BE114" s="150"/>
      <c r="BF114" s="150"/>
      <c r="BG114" s="150"/>
      <c r="BH114" s="150"/>
      <c r="BI114" s="150"/>
      <c r="BJ114" s="150"/>
      <c r="BK114" s="155" t="str">
        <f t="shared" si="47"/>
        <v/>
      </c>
      <c r="BL114" s="155" t="str">
        <f t="shared" si="48"/>
        <v/>
      </c>
      <c r="BM114" s="155" t="str">
        <f t="shared" si="49"/>
        <v/>
      </c>
      <c r="BN114" s="155" t="str">
        <f t="shared" si="50"/>
        <v/>
      </c>
      <c r="BO114" s="155" t="str">
        <f t="shared" si="51"/>
        <v/>
      </c>
      <c r="BP114" s="155" t="str">
        <f t="shared" si="52"/>
        <v/>
      </c>
      <c r="BQ114" s="155" t="str">
        <f t="shared" si="53"/>
        <v/>
      </c>
      <c r="BR114" s="155" t="str">
        <f t="shared" si="54"/>
        <v/>
      </c>
      <c r="BS114" s="155" t="str">
        <f t="shared" si="55"/>
        <v/>
      </c>
      <c r="BT114" s="155" t="str">
        <f t="shared" si="56"/>
        <v/>
      </c>
      <c r="BU114" s="155" t="str">
        <f t="shared" si="57"/>
        <v/>
      </c>
      <c r="BV114" s="155" t="str">
        <f t="shared" si="58"/>
        <v/>
      </c>
      <c r="BW114" s="155" t="str">
        <f t="shared" si="59"/>
        <v/>
      </c>
      <c r="BX114" s="155" t="str">
        <f t="shared" si="60"/>
        <v/>
      </c>
      <c r="BY114" s="155" t="str">
        <f t="shared" si="61"/>
        <v/>
      </c>
      <c r="BZ114" s="155" t="str">
        <f t="shared" si="62"/>
        <v/>
      </c>
      <c r="CA114" s="155" t="str">
        <f t="shared" si="63"/>
        <v/>
      </c>
      <c r="CB114" s="155" t="str">
        <f t="shared" si="64"/>
        <v/>
      </c>
      <c r="CC114" s="155" t="str">
        <f t="shared" si="65"/>
        <v/>
      </c>
      <c r="CD114" s="155" t="str">
        <f t="shared" si="66"/>
        <v/>
      </c>
      <c r="CE114" s="155" t="str">
        <f t="shared" si="67"/>
        <v/>
      </c>
      <c r="CF114" s="155" t="str">
        <f t="shared" si="68"/>
        <v/>
      </c>
      <c r="CG114" s="155" t="str">
        <f t="shared" si="69"/>
        <v/>
      </c>
      <c r="CH114" s="155" t="str">
        <f t="shared" si="70"/>
        <v/>
      </c>
      <c r="CI114" s="155" t="str">
        <f t="shared" si="71"/>
        <v/>
      </c>
      <c r="CJ114" s="155" t="str">
        <f t="shared" si="72"/>
        <v/>
      </c>
      <c r="CK114" s="155" t="str">
        <f t="shared" si="73"/>
        <v/>
      </c>
      <c r="CL114" s="155" t="str">
        <f t="shared" si="74"/>
        <v/>
      </c>
      <c r="CM114" s="155" t="str">
        <f t="shared" si="75"/>
        <v/>
      </c>
      <c r="CN114" s="155" t="str">
        <f t="shared" si="76"/>
        <v/>
      </c>
      <c r="CO114" s="155" t="str">
        <f t="shared" si="77"/>
        <v/>
      </c>
      <c r="CP114" s="155" t="str">
        <f t="shared" si="78"/>
        <v/>
      </c>
      <c r="CQ114" s="155" t="str">
        <f t="shared" si="79"/>
        <v/>
      </c>
      <c r="CR114" s="155" t="str">
        <f t="shared" si="80"/>
        <v/>
      </c>
      <c r="CS114" s="155" t="str">
        <f t="shared" si="81"/>
        <v/>
      </c>
      <c r="CT114" s="155" t="str">
        <f t="shared" si="82"/>
        <v/>
      </c>
      <c r="CU114" s="155" t="str">
        <f t="shared" si="83"/>
        <v/>
      </c>
      <c r="CV114" s="155" t="str">
        <f t="shared" si="84"/>
        <v/>
      </c>
      <c r="CW114" s="155" t="str">
        <f t="shared" si="85"/>
        <v/>
      </c>
      <c r="CX114" s="155" t="str">
        <f t="shared" si="86"/>
        <v/>
      </c>
    </row>
    <row r="115" spans="1:102" s="151" customFormat="1" ht="51" outlineLevel="1" x14ac:dyDescent="0.2">
      <c r="A115" s="162"/>
      <c r="B115" s="157" t="str">
        <f>Services!B115</f>
        <v>05B03</v>
      </c>
      <c r="C115" s="153" t="str">
        <f>Services!C115</f>
        <v xml:space="preserve">Authentification de l'utilisateur ou de l'entité demandant un accès au réseau local depuis un point d'accès interne 
Ce mécanisme correspond à l'authentification réalisée sous Windows par un contrôleur de domaine </v>
      </c>
      <c r="D115" s="149">
        <f>1*(8*Plans_action!E122+Plans_action!D122)+1*(8*Plans_action!E132+Plans_action!D132)</f>
        <v>0</v>
      </c>
      <c r="E115" s="149">
        <f>2*(8*Plans_action!E158+Plans_action!D158)</f>
        <v>0</v>
      </c>
      <c r="F115" s="149"/>
      <c r="G115" s="149"/>
      <c r="H115" s="149"/>
      <c r="I115" s="140" t="str">
        <f t="shared" si="44"/>
        <v/>
      </c>
      <c r="J115" s="141" t="str">
        <f t="shared" si="45"/>
        <v/>
      </c>
      <c r="K115" s="142"/>
      <c r="L115" s="142"/>
      <c r="M115" s="1708"/>
      <c r="N115" s="1708"/>
      <c r="O115" s="1708"/>
      <c r="P115" s="1708"/>
      <c r="Q115" s="1708"/>
      <c r="R115" s="1708"/>
      <c r="S115" s="1708"/>
      <c r="T115" s="1708"/>
      <c r="U115" s="1708"/>
      <c r="V115" s="1708"/>
      <c r="W115" s="1708"/>
      <c r="X115" s="1712"/>
      <c r="Y115" s="1712"/>
      <c r="Z115" s="1712"/>
      <c r="AA115" s="1712"/>
      <c r="AB115" s="1712"/>
      <c r="AC115" s="1712"/>
      <c r="AD115" s="1712"/>
      <c r="AE115" s="1712"/>
      <c r="AF115" s="1712"/>
      <c r="AG115" s="1712"/>
      <c r="AH115" s="1712"/>
      <c r="AI115" s="1712"/>
      <c r="AJ115" s="1712"/>
      <c r="AK115" s="1712"/>
      <c r="AL115" s="1712"/>
      <c r="AM115" s="1712"/>
      <c r="AN115" s="1712"/>
      <c r="AO115" s="1712"/>
      <c r="AP115" s="1712"/>
      <c r="AQ115" s="1712"/>
      <c r="AR115" s="1712"/>
      <c r="AS115" s="1712"/>
      <c r="AT115" s="1712"/>
      <c r="AU115" s="1712"/>
      <c r="AV115" s="1712"/>
      <c r="AW115" s="1712"/>
      <c r="AX115" s="1713"/>
      <c r="AY115" s="1714" t="str">
        <f t="shared" si="46"/>
        <v/>
      </c>
      <c r="AZ115" s="1714" t="str">
        <f>IF(Obj_PA!D115="","",IF(AY115="","",Obj_PA!D115-AY115))</f>
        <v/>
      </c>
      <c r="BA115" s="150"/>
      <c r="BB115" s="150"/>
      <c r="BC115" s="150"/>
      <c r="BD115" s="150"/>
      <c r="BE115" s="150"/>
      <c r="BF115" s="150"/>
      <c r="BG115" s="150"/>
      <c r="BH115" s="150"/>
      <c r="BI115" s="150"/>
      <c r="BJ115" s="150"/>
      <c r="BK115" s="155" t="str">
        <f t="shared" si="47"/>
        <v/>
      </c>
      <c r="BL115" s="155" t="str">
        <f t="shared" si="48"/>
        <v/>
      </c>
      <c r="BM115" s="155" t="str">
        <f t="shared" si="49"/>
        <v/>
      </c>
      <c r="BN115" s="155" t="str">
        <f t="shared" si="50"/>
        <v/>
      </c>
      <c r="BO115" s="155" t="str">
        <f t="shared" si="51"/>
        <v/>
      </c>
      <c r="BP115" s="155" t="str">
        <f t="shared" si="52"/>
        <v/>
      </c>
      <c r="BQ115" s="155" t="str">
        <f t="shared" si="53"/>
        <v/>
      </c>
      <c r="BR115" s="155" t="str">
        <f t="shared" si="54"/>
        <v/>
      </c>
      <c r="BS115" s="155" t="str">
        <f t="shared" si="55"/>
        <v/>
      </c>
      <c r="BT115" s="155" t="str">
        <f t="shared" si="56"/>
        <v/>
      </c>
      <c r="BU115" s="155" t="str">
        <f t="shared" si="57"/>
        <v/>
      </c>
      <c r="BV115" s="155" t="str">
        <f t="shared" si="58"/>
        <v/>
      </c>
      <c r="BW115" s="155" t="str">
        <f t="shared" si="59"/>
        <v/>
      </c>
      <c r="BX115" s="155" t="str">
        <f t="shared" si="60"/>
        <v/>
      </c>
      <c r="BY115" s="155" t="str">
        <f t="shared" si="61"/>
        <v/>
      </c>
      <c r="BZ115" s="155" t="str">
        <f t="shared" si="62"/>
        <v/>
      </c>
      <c r="CA115" s="155" t="str">
        <f t="shared" si="63"/>
        <v/>
      </c>
      <c r="CB115" s="155" t="str">
        <f t="shared" si="64"/>
        <v/>
      </c>
      <c r="CC115" s="155" t="str">
        <f t="shared" si="65"/>
        <v/>
      </c>
      <c r="CD115" s="155" t="str">
        <f t="shared" si="66"/>
        <v/>
      </c>
      <c r="CE115" s="155" t="str">
        <f t="shared" si="67"/>
        <v/>
      </c>
      <c r="CF115" s="155" t="str">
        <f t="shared" si="68"/>
        <v/>
      </c>
      <c r="CG115" s="155" t="str">
        <f t="shared" si="69"/>
        <v/>
      </c>
      <c r="CH115" s="155" t="str">
        <f t="shared" si="70"/>
        <v/>
      </c>
      <c r="CI115" s="155" t="str">
        <f t="shared" si="71"/>
        <v/>
      </c>
      <c r="CJ115" s="155" t="str">
        <f t="shared" si="72"/>
        <v/>
      </c>
      <c r="CK115" s="155" t="str">
        <f t="shared" si="73"/>
        <v/>
      </c>
      <c r="CL115" s="155" t="str">
        <f t="shared" si="74"/>
        <v/>
      </c>
      <c r="CM115" s="155" t="str">
        <f t="shared" si="75"/>
        <v/>
      </c>
      <c r="CN115" s="155" t="str">
        <f t="shared" si="76"/>
        <v/>
      </c>
      <c r="CO115" s="155" t="str">
        <f t="shared" si="77"/>
        <v/>
      </c>
      <c r="CP115" s="155" t="str">
        <f t="shared" si="78"/>
        <v/>
      </c>
      <c r="CQ115" s="155" t="str">
        <f t="shared" si="79"/>
        <v/>
      </c>
      <c r="CR115" s="155" t="str">
        <f t="shared" si="80"/>
        <v/>
      </c>
      <c r="CS115" s="155" t="str">
        <f t="shared" si="81"/>
        <v/>
      </c>
      <c r="CT115" s="155" t="str">
        <f t="shared" si="82"/>
        <v/>
      </c>
      <c r="CU115" s="155" t="str">
        <f t="shared" si="83"/>
        <v/>
      </c>
      <c r="CV115" s="155" t="str">
        <f t="shared" si="84"/>
        <v/>
      </c>
      <c r="CW115" s="155" t="str">
        <f t="shared" si="85"/>
        <v/>
      </c>
      <c r="CX115" s="155" t="str">
        <f t="shared" si="86"/>
        <v/>
      </c>
    </row>
    <row r="116" spans="1:102" s="151" customFormat="1" ht="25.5" outlineLevel="1" x14ac:dyDescent="0.2">
      <c r="A116" s="162"/>
      <c r="B116" s="157" t="str">
        <f>Services!B116</f>
        <v>05B04</v>
      </c>
      <c r="C116" s="153" t="str">
        <f>Services!C116</f>
        <v>Authentification de l'utilisateur ou de l'entité demandant un accès au réseau local depuis un site distant via le réseau étendu</v>
      </c>
      <c r="D116" s="149">
        <f>1*(8*Plans_action!E122+Plans_action!D122)+1*(8*Plans_action!E132+Plans_action!D132)</f>
        <v>0</v>
      </c>
      <c r="E116" s="149">
        <f>2*(8*Plans_action!E158+Plans_action!D158)</f>
        <v>0</v>
      </c>
      <c r="F116" s="149"/>
      <c r="G116" s="149"/>
      <c r="H116" s="149"/>
      <c r="I116" s="140" t="str">
        <f t="shared" si="44"/>
        <v/>
      </c>
      <c r="J116" s="141" t="str">
        <f t="shared" si="45"/>
        <v/>
      </c>
      <c r="K116" s="142"/>
      <c r="L116" s="142"/>
      <c r="M116" s="1708"/>
      <c r="N116" s="1708"/>
      <c r="O116" s="1708"/>
      <c r="P116" s="1708"/>
      <c r="Q116" s="1708"/>
      <c r="R116" s="1708"/>
      <c r="S116" s="1708"/>
      <c r="T116" s="1708"/>
      <c r="U116" s="1708"/>
      <c r="V116" s="1708"/>
      <c r="W116" s="1708"/>
      <c r="X116" s="1712"/>
      <c r="Y116" s="1712"/>
      <c r="Z116" s="1712"/>
      <c r="AA116" s="1712"/>
      <c r="AB116" s="1712"/>
      <c r="AC116" s="1712"/>
      <c r="AD116" s="1712"/>
      <c r="AE116" s="1712"/>
      <c r="AF116" s="1712"/>
      <c r="AG116" s="1712"/>
      <c r="AH116" s="1712"/>
      <c r="AI116" s="1712"/>
      <c r="AJ116" s="1712"/>
      <c r="AK116" s="1712"/>
      <c r="AL116" s="1712"/>
      <c r="AM116" s="1712"/>
      <c r="AN116" s="1712"/>
      <c r="AO116" s="1712"/>
      <c r="AP116" s="1712"/>
      <c r="AQ116" s="1712"/>
      <c r="AR116" s="1712"/>
      <c r="AS116" s="1712"/>
      <c r="AT116" s="1712"/>
      <c r="AU116" s="1712"/>
      <c r="AV116" s="1712"/>
      <c r="AW116" s="1712"/>
      <c r="AX116" s="1713"/>
      <c r="AY116" s="1714" t="str">
        <f t="shared" si="46"/>
        <v/>
      </c>
      <c r="AZ116" s="1714" t="str">
        <f>IF(Obj_PA!D116="","",IF(AY116="","",Obj_PA!D116-AY116))</f>
        <v/>
      </c>
      <c r="BA116" s="150"/>
      <c r="BB116" s="150"/>
      <c r="BC116" s="150"/>
      <c r="BD116" s="150"/>
      <c r="BE116" s="150"/>
      <c r="BF116" s="150"/>
      <c r="BG116" s="150"/>
      <c r="BH116" s="150"/>
      <c r="BI116" s="150"/>
      <c r="BJ116" s="150"/>
      <c r="BK116" s="155" t="str">
        <f t="shared" si="47"/>
        <v/>
      </c>
      <c r="BL116" s="155" t="str">
        <f t="shared" si="48"/>
        <v/>
      </c>
      <c r="BM116" s="155" t="str">
        <f t="shared" si="49"/>
        <v/>
      </c>
      <c r="BN116" s="155" t="str">
        <f t="shared" si="50"/>
        <v/>
      </c>
      <c r="BO116" s="155" t="str">
        <f t="shared" si="51"/>
        <v/>
      </c>
      <c r="BP116" s="155" t="str">
        <f t="shared" si="52"/>
        <v/>
      </c>
      <c r="BQ116" s="155" t="str">
        <f t="shared" si="53"/>
        <v/>
      </c>
      <c r="BR116" s="155" t="str">
        <f t="shared" si="54"/>
        <v/>
      </c>
      <c r="BS116" s="155" t="str">
        <f t="shared" si="55"/>
        <v/>
      </c>
      <c r="BT116" s="155" t="str">
        <f t="shared" si="56"/>
        <v/>
      </c>
      <c r="BU116" s="155" t="str">
        <f t="shared" si="57"/>
        <v/>
      </c>
      <c r="BV116" s="155" t="str">
        <f t="shared" si="58"/>
        <v/>
      </c>
      <c r="BW116" s="155" t="str">
        <f t="shared" si="59"/>
        <v/>
      </c>
      <c r="BX116" s="155" t="str">
        <f t="shared" si="60"/>
        <v/>
      </c>
      <c r="BY116" s="155" t="str">
        <f t="shared" si="61"/>
        <v/>
      </c>
      <c r="BZ116" s="155" t="str">
        <f t="shared" si="62"/>
        <v/>
      </c>
      <c r="CA116" s="155" t="str">
        <f t="shared" si="63"/>
        <v/>
      </c>
      <c r="CB116" s="155" t="str">
        <f t="shared" si="64"/>
        <v/>
      </c>
      <c r="CC116" s="155" t="str">
        <f t="shared" si="65"/>
        <v/>
      </c>
      <c r="CD116" s="155" t="str">
        <f t="shared" si="66"/>
        <v/>
      </c>
      <c r="CE116" s="155" t="str">
        <f t="shared" si="67"/>
        <v/>
      </c>
      <c r="CF116" s="155" t="str">
        <f t="shared" si="68"/>
        <v/>
      </c>
      <c r="CG116" s="155" t="str">
        <f t="shared" si="69"/>
        <v/>
      </c>
      <c r="CH116" s="155" t="str">
        <f t="shared" si="70"/>
        <v/>
      </c>
      <c r="CI116" s="155" t="str">
        <f t="shared" si="71"/>
        <v/>
      </c>
      <c r="CJ116" s="155" t="str">
        <f t="shared" si="72"/>
        <v/>
      </c>
      <c r="CK116" s="155" t="str">
        <f t="shared" si="73"/>
        <v/>
      </c>
      <c r="CL116" s="155" t="str">
        <f t="shared" si="74"/>
        <v/>
      </c>
      <c r="CM116" s="155" t="str">
        <f t="shared" si="75"/>
        <v/>
      </c>
      <c r="CN116" s="155" t="str">
        <f t="shared" si="76"/>
        <v/>
      </c>
      <c r="CO116" s="155" t="str">
        <f t="shared" si="77"/>
        <v/>
      </c>
      <c r="CP116" s="155" t="str">
        <f t="shared" si="78"/>
        <v/>
      </c>
      <c r="CQ116" s="155" t="str">
        <f t="shared" si="79"/>
        <v/>
      </c>
      <c r="CR116" s="155" t="str">
        <f t="shared" si="80"/>
        <v/>
      </c>
      <c r="CS116" s="155" t="str">
        <f t="shared" si="81"/>
        <v/>
      </c>
      <c r="CT116" s="155" t="str">
        <f t="shared" si="82"/>
        <v/>
      </c>
      <c r="CU116" s="155" t="str">
        <f t="shared" si="83"/>
        <v/>
      </c>
      <c r="CV116" s="155" t="str">
        <f t="shared" si="84"/>
        <v/>
      </c>
      <c r="CW116" s="155" t="str">
        <f t="shared" si="85"/>
        <v/>
      </c>
      <c r="CX116" s="155" t="str">
        <f t="shared" si="86"/>
        <v/>
      </c>
    </row>
    <row r="117" spans="1:102" s="151" customFormat="1" ht="24.75" customHeight="1" outlineLevel="1" x14ac:dyDescent="0.2">
      <c r="A117" s="162"/>
      <c r="B117" s="157" t="str">
        <f>Services!B117</f>
        <v>05B05</v>
      </c>
      <c r="C117" s="153" t="str">
        <f>Services!C117</f>
        <v xml:space="preserve">Authentification de l'utilisateur ou de l'entité demandant un accès au réseau local depuis l'extérieur
(depuis le Réseau Téléphonique Commuté, X25, RNIS, ADSL, Internet, etc.) </v>
      </c>
      <c r="D117" s="149">
        <f>1*(8*Plans_action!E122+Plans_action!D122)+1*(8*Plans_action!E132+Plans_action!D132)</f>
        <v>0</v>
      </c>
      <c r="E117" s="149">
        <f>2*(8*Plans_action!E158+Plans_action!D158)</f>
        <v>0</v>
      </c>
      <c r="F117" s="149"/>
      <c r="G117" s="149"/>
      <c r="H117" s="149"/>
      <c r="I117" s="140" t="str">
        <f t="shared" si="44"/>
        <v/>
      </c>
      <c r="J117" s="141" t="str">
        <f t="shared" si="45"/>
        <v/>
      </c>
      <c r="K117" s="142"/>
      <c r="L117" s="142"/>
      <c r="M117" s="1708"/>
      <c r="N117" s="1708"/>
      <c r="O117" s="1708"/>
      <c r="P117" s="1708"/>
      <c r="Q117" s="1708"/>
      <c r="R117" s="1708"/>
      <c r="S117" s="1708"/>
      <c r="T117" s="1708"/>
      <c r="U117" s="1708"/>
      <c r="V117" s="1708"/>
      <c r="W117" s="1708"/>
      <c r="X117" s="1712"/>
      <c r="Y117" s="1712"/>
      <c r="Z117" s="1712"/>
      <c r="AA117" s="1712"/>
      <c r="AB117" s="1712"/>
      <c r="AC117" s="1712"/>
      <c r="AD117" s="1712"/>
      <c r="AE117" s="1712"/>
      <c r="AF117" s="1712"/>
      <c r="AG117" s="1712"/>
      <c r="AH117" s="1712"/>
      <c r="AI117" s="1712"/>
      <c r="AJ117" s="1712"/>
      <c r="AK117" s="1712"/>
      <c r="AL117" s="1712"/>
      <c r="AM117" s="1712"/>
      <c r="AN117" s="1712"/>
      <c r="AO117" s="1712"/>
      <c r="AP117" s="1712"/>
      <c r="AQ117" s="1712"/>
      <c r="AR117" s="1712"/>
      <c r="AS117" s="1712"/>
      <c r="AT117" s="1712"/>
      <c r="AU117" s="1712"/>
      <c r="AV117" s="1712"/>
      <c r="AW117" s="1712"/>
      <c r="AX117" s="1713"/>
      <c r="AY117" s="1714" t="str">
        <f t="shared" si="46"/>
        <v/>
      </c>
      <c r="AZ117" s="1714" t="str">
        <f>IF(Obj_PA!D117="","",IF(AY117="","",Obj_PA!D117-AY117))</f>
        <v/>
      </c>
      <c r="BA117" s="150"/>
      <c r="BB117" s="150"/>
      <c r="BC117" s="150"/>
      <c r="BD117" s="150"/>
      <c r="BE117" s="150"/>
      <c r="BF117" s="150"/>
      <c r="BG117" s="150"/>
      <c r="BH117" s="150"/>
      <c r="BI117" s="150"/>
      <c r="BJ117" s="150"/>
      <c r="BK117" s="155" t="str">
        <f t="shared" si="47"/>
        <v/>
      </c>
      <c r="BL117" s="155" t="str">
        <f t="shared" si="48"/>
        <v/>
      </c>
      <c r="BM117" s="155" t="str">
        <f t="shared" si="49"/>
        <v/>
      </c>
      <c r="BN117" s="155" t="str">
        <f t="shared" si="50"/>
        <v/>
      </c>
      <c r="BO117" s="155" t="str">
        <f t="shared" si="51"/>
        <v/>
      </c>
      <c r="BP117" s="155" t="str">
        <f t="shared" si="52"/>
        <v/>
      </c>
      <c r="BQ117" s="155" t="str">
        <f t="shared" si="53"/>
        <v/>
      </c>
      <c r="BR117" s="155" t="str">
        <f t="shared" si="54"/>
        <v/>
      </c>
      <c r="BS117" s="155" t="str">
        <f t="shared" si="55"/>
        <v/>
      </c>
      <c r="BT117" s="155" t="str">
        <f t="shared" si="56"/>
        <v/>
      </c>
      <c r="BU117" s="155" t="str">
        <f t="shared" si="57"/>
        <v/>
      </c>
      <c r="BV117" s="155" t="str">
        <f t="shared" si="58"/>
        <v/>
      </c>
      <c r="BW117" s="155" t="str">
        <f t="shared" si="59"/>
        <v/>
      </c>
      <c r="BX117" s="155" t="str">
        <f t="shared" si="60"/>
        <v/>
      </c>
      <c r="BY117" s="155" t="str">
        <f t="shared" si="61"/>
        <v/>
      </c>
      <c r="BZ117" s="155" t="str">
        <f t="shared" si="62"/>
        <v/>
      </c>
      <c r="CA117" s="155" t="str">
        <f t="shared" si="63"/>
        <v/>
      </c>
      <c r="CB117" s="155" t="str">
        <f t="shared" si="64"/>
        <v/>
      </c>
      <c r="CC117" s="155" t="str">
        <f t="shared" si="65"/>
        <v/>
      </c>
      <c r="CD117" s="155" t="str">
        <f t="shared" si="66"/>
        <v/>
      </c>
      <c r="CE117" s="155" t="str">
        <f t="shared" si="67"/>
        <v/>
      </c>
      <c r="CF117" s="155" t="str">
        <f t="shared" si="68"/>
        <v/>
      </c>
      <c r="CG117" s="155" t="str">
        <f t="shared" si="69"/>
        <v/>
      </c>
      <c r="CH117" s="155" t="str">
        <f t="shared" si="70"/>
        <v/>
      </c>
      <c r="CI117" s="155" t="str">
        <f t="shared" si="71"/>
        <v/>
      </c>
      <c r="CJ117" s="155" t="str">
        <f t="shared" si="72"/>
        <v/>
      </c>
      <c r="CK117" s="155" t="str">
        <f t="shared" si="73"/>
        <v/>
      </c>
      <c r="CL117" s="155" t="str">
        <f t="shared" si="74"/>
        <v/>
      </c>
      <c r="CM117" s="155" t="str">
        <f t="shared" si="75"/>
        <v/>
      </c>
      <c r="CN117" s="155" t="str">
        <f t="shared" si="76"/>
        <v/>
      </c>
      <c r="CO117" s="155" t="str">
        <f t="shared" si="77"/>
        <v/>
      </c>
      <c r="CP117" s="155" t="str">
        <f t="shared" si="78"/>
        <v/>
      </c>
      <c r="CQ117" s="155" t="str">
        <f t="shared" si="79"/>
        <v/>
      </c>
      <c r="CR117" s="155" t="str">
        <f t="shared" si="80"/>
        <v/>
      </c>
      <c r="CS117" s="155" t="str">
        <f t="shared" si="81"/>
        <v/>
      </c>
      <c r="CT117" s="155" t="str">
        <f t="shared" si="82"/>
        <v/>
      </c>
      <c r="CU117" s="155" t="str">
        <f t="shared" si="83"/>
        <v/>
      </c>
      <c r="CV117" s="155" t="str">
        <f t="shared" si="84"/>
        <v/>
      </c>
      <c r="CW117" s="155" t="str">
        <f t="shared" si="85"/>
        <v/>
      </c>
      <c r="CX117" s="155" t="str">
        <f t="shared" si="86"/>
        <v/>
      </c>
    </row>
    <row r="118" spans="1:102" s="151" customFormat="1" ht="25.5" outlineLevel="1" x14ac:dyDescent="0.2">
      <c r="A118" s="162"/>
      <c r="B118" s="157" t="str">
        <f>Services!B118</f>
        <v>05B06</v>
      </c>
      <c r="C118" s="153" t="str">
        <f>Services!C118</f>
        <v>Authentification de l'utilisateur ou de l'entité demandant un accès au réseau local depuis un sous-réseau WiFi</v>
      </c>
      <c r="D118" s="149">
        <f>1*(8*Plans_action!E122+Plans_action!D122)+1*(8*Plans_action!E132+Plans_action!D132)</f>
        <v>0</v>
      </c>
      <c r="E118" s="149">
        <f>2*(8*Plans_action!E158+Plans_action!D158)</f>
        <v>0</v>
      </c>
      <c r="F118" s="149"/>
      <c r="G118" s="149"/>
      <c r="H118" s="149"/>
      <c r="I118" s="140" t="str">
        <f t="shared" si="44"/>
        <v/>
      </c>
      <c r="J118" s="141" t="str">
        <f t="shared" si="45"/>
        <v/>
      </c>
      <c r="K118" s="142"/>
      <c r="L118" s="142"/>
      <c r="M118" s="1708"/>
      <c r="N118" s="1708"/>
      <c r="O118" s="1708"/>
      <c r="P118" s="1708"/>
      <c r="Q118" s="1708"/>
      <c r="R118" s="1708"/>
      <c r="S118" s="1708"/>
      <c r="T118" s="1708"/>
      <c r="U118" s="1708"/>
      <c r="V118" s="1708"/>
      <c r="W118" s="1708"/>
      <c r="X118" s="1712"/>
      <c r="Y118" s="1712"/>
      <c r="Z118" s="1712"/>
      <c r="AA118" s="1712"/>
      <c r="AB118" s="1712"/>
      <c r="AC118" s="1712"/>
      <c r="AD118" s="1712"/>
      <c r="AE118" s="1712"/>
      <c r="AF118" s="1712"/>
      <c r="AG118" s="1712"/>
      <c r="AH118" s="1712"/>
      <c r="AI118" s="1712"/>
      <c r="AJ118" s="1712"/>
      <c r="AK118" s="1712"/>
      <c r="AL118" s="1712"/>
      <c r="AM118" s="1712"/>
      <c r="AN118" s="1712"/>
      <c r="AO118" s="1712"/>
      <c r="AP118" s="1712"/>
      <c r="AQ118" s="1712"/>
      <c r="AR118" s="1712"/>
      <c r="AS118" s="1712"/>
      <c r="AT118" s="1712"/>
      <c r="AU118" s="1712"/>
      <c r="AV118" s="1712"/>
      <c r="AW118" s="1712"/>
      <c r="AX118" s="1713"/>
      <c r="AY118" s="1714" t="str">
        <f t="shared" si="46"/>
        <v/>
      </c>
      <c r="AZ118" s="1714" t="str">
        <f>IF(Obj_PA!D118="","",IF(AY118="","",Obj_PA!D118-AY118))</f>
        <v/>
      </c>
      <c r="BA118" s="150"/>
      <c r="BB118" s="150"/>
      <c r="BC118" s="150"/>
      <c r="BD118" s="150"/>
      <c r="BE118" s="150"/>
      <c r="BF118" s="150"/>
      <c r="BG118" s="150"/>
      <c r="BH118" s="150"/>
      <c r="BI118" s="150"/>
      <c r="BJ118" s="150"/>
      <c r="BK118" s="155" t="str">
        <f t="shared" si="47"/>
        <v/>
      </c>
      <c r="BL118" s="155" t="str">
        <f t="shared" si="48"/>
        <v/>
      </c>
      <c r="BM118" s="155" t="str">
        <f t="shared" si="49"/>
        <v/>
      </c>
      <c r="BN118" s="155" t="str">
        <f t="shared" si="50"/>
        <v/>
      </c>
      <c r="BO118" s="155" t="str">
        <f t="shared" si="51"/>
        <v/>
      </c>
      <c r="BP118" s="155" t="str">
        <f t="shared" si="52"/>
        <v/>
      </c>
      <c r="BQ118" s="155" t="str">
        <f t="shared" si="53"/>
        <v/>
      </c>
      <c r="BR118" s="155" t="str">
        <f t="shared" si="54"/>
        <v/>
      </c>
      <c r="BS118" s="155" t="str">
        <f t="shared" si="55"/>
        <v/>
      </c>
      <c r="BT118" s="155" t="str">
        <f t="shared" si="56"/>
        <v/>
      </c>
      <c r="BU118" s="155" t="str">
        <f t="shared" si="57"/>
        <v/>
      </c>
      <c r="BV118" s="155" t="str">
        <f t="shared" si="58"/>
        <v/>
      </c>
      <c r="BW118" s="155" t="str">
        <f t="shared" si="59"/>
        <v/>
      </c>
      <c r="BX118" s="155" t="str">
        <f t="shared" si="60"/>
        <v/>
      </c>
      <c r="BY118" s="155" t="str">
        <f t="shared" si="61"/>
        <v/>
      </c>
      <c r="BZ118" s="155" t="str">
        <f t="shared" si="62"/>
        <v/>
      </c>
      <c r="CA118" s="155" t="str">
        <f t="shared" si="63"/>
        <v/>
      </c>
      <c r="CB118" s="155" t="str">
        <f t="shared" si="64"/>
        <v/>
      </c>
      <c r="CC118" s="155" t="str">
        <f t="shared" si="65"/>
        <v/>
      </c>
      <c r="CD118" s="155" t="str">
        <f t="shared" si="66"/>
        <v/>
      </c>
      <c r="CE118" s="155" t="str">
        <f t="shared" si="67"/>
        <v/>
      </c>
      <c r="CF118" s="155" t="str">
        <f t="shared" si="68"/>
        <v/>
      </c>
      <c r="CG118" s="155" t="str">
        <f t="shared" si="69"/>
        <v/>
      </c>
      <c r="CH118" s="155" t="str">
        <f t="shared" si="70"/>
        <v/>
      </c>
      <c r="CI118" s="155" t="str">
        <f t="shared" si="71"/>
        <v/>
      </c>
      <c r="CJ118" s="155" t="str">
        <f t="shared" si="72"/>
        <v/>
      </c>
      <c r="CK118" s="155" t="str">
        <f t="shared" si="73"/>
        <v/>
      </c>
      <c r="CL118" s="155" t="str">
        <f t="shared" si="74"/>
        <v/>
      </c>
      <c r="CM118" s="155" t="str">
        <f t="shared" si="75"/>
        <v/>
      </c>
      <c r="CN118" s="155" t="str">
        <f t="shared" si="76"/>
        <v/>
      </c>
      <c r="CO118" s="155" t="str">
        <f t="shared" si="77"/>
        <v/>
      </c>
      <c r="CP118" s="155" t="str">
        <f t="shared" si="78"/>
        <v/>
      </c>
      <c r="CQ118" s="155" t="str">
        <f t="shared" si="79"/>
        <v/>
      </c>
      <c r="CR118" s="155" t="str">
        <f t="shared" si="80"/>
        <v/>
      </c>
      <c r="CS118" s="155" t="str">
        <f t="shared" si="81"/>
        <v/>
      </c>
      <c r="CT118" s="155" t="str">
        <f t="shared" si="82"/>
        <v/>
      </c>
      <c r="CU118" s="155" t="str">
        <f t="shared" si="83"/>
        <v/>
      </c>
      <c r="CV118" s="155" t="str">
        <f t="shared" si="84"/>
        <v/>
      </c>
      <c r="CW118" s="155" t="str">
        <f t="shared" si="85"/>
        <v/>
      </c>
      <c r="CX118" s="155" t="str">
        <f t="shared" si="86"/>
        <v/>
      </c>
    </row>
    <row r="119" spans="1:102" s="151" customFormat="1" ht="14.25" outlineLevel="1" x14ac:dyDescent="0.2">
      <c r="A119" s="162"/>
      <c r="B119" s="157" t="str">
        <f>Services!B119</f>
        <v>05B07</v>
      </c>
      <c r="C119" s="153" t="str">
        <f>Services!C119</f>
        <v>Filtrage général des accès au réseau local</v>
      </c>
      <c r="D119" s="149">
        <f>1*(8*Plans_action!E122+Plans_action!D122)+1*(8*Plans_action!E132+Plans_action!D132)</f>
        <v>0</v>
      </c>
      <c r="E119" s="149">
        <f>2*(8*Plans_action!E158+Plans_action!D158)</f>
        <v>0</v>
      </c>
      <c r="F119" s="149"/>
      <c r="G119" s="149"/>
      <c r="H119" s="149"/>
      <c r="I119" s="140" t="str">
        <f t="shared" si="44"/>
        <v/>
      </c>
      <c r="J119" s="141" t="str">
        <f t="shared" si="45"/>
        <v/>
      </c>
      <c r="K119" s="142"/>
      <c r="L119" s="142"/>
      <c r="M119" s="1708"/>
      <c r="N119" s="1708"/>
      <c r="O119" s="1708"/>
      <c r="P119" s="1708"/>
      <c r="Q119" s="1708"/>
      <c r="R119" s="1708"/>
      <c r="S119" s="1708"/>
      <c r="T119" s="1708"/>
      <c r="U119" s="1708"/>
      <c r="V119" s="1708"/>
      <c r="W119" s="1708"/>
      <c r="X119" s="1712"/>
      <c r="Y119" s="1712"/>
      <c r="Z119" s="1712"/>
      <c r="AA119" s="1712"/>
      <c r="AB119" s="1712"/>
      <c r="AC119" s="1712"/>
      <c r="AD119" s="1712"/>
      <c r="AE119" s="1712"/>
      <c r="AF119" s="1712"/>
      <c r="AG119" s="1712"/>
      <c r="AH119" s="1712"/>
      <c r="AI119" s="1712"/>
      <c r="AJ119" s="1712"/>
      <c r="AK119" s="1712"/>
      <c r="AL119" s="1712"/>
      <c r="AM119" s="1712"/>
      <c r="AN119" s="1712"/>
      <c r="AO119" s="1712"/>
      <c r="AP119" s="1712"/>
      <c r="AQ119" s="1712"/>
      <c r="AR119" s="1712"/>
      <c r="AS119" s="1712"/>
      <c r="AT119" s="1712"/>
      <c r="AU119" s="1712"/>
      <c r="AV119" s="1712"/>
      <c r="AW119" s="1712"/>
      <c r="AX119" s="1713"/>
      <c r="AY119" s="1714" t="str">
        <f t="shared" si="46"/>
        <v/>
      </c>
      <c r="AZ119" s="1714" t="str">
        <f>IF(Obj_PA!D119="","",IF(AY119="","",Obj_PA!D119-AY119))</f>
        <v/>
      </c>
      <c r="BA119" s="150"/>
      <c r="BB119" s="150"/>
      <c r="BC119" s="150"/>
      <c r="BD119" s="150"/>
      <c r="BE119" s="150"/>
      <c r="BF119" s="150"/>
      <c r="BG119" s="150"/>
      <c r="BH119" s="150"/>
      <c r="BI119" s="150"/>
      <c r="BJ119" s="150"/>
      <c r="BK119" s="155" t="str">
        <f t="shared" si="47"/>
        <v/>
      </c>
      <c r="BL119" s="155" t="str">
        <f t="shared" si="48"/>
        <v/>
      </c>
      <c r="BM119" s="155" t="str">
        <f t="shared" si="49"/>
        <v/>
      </c>
      <c r="BN119" s="155" t="str">
        <f t="shared" si="50"/>
        <v/>
      </c>
      <c r="BO119" s="155" t="str">
        <f t="shared" si="51"/>
        <v/>
      </c>
      <c r="BP119" s="155" t="str">
        <f t="shared" si="52"/>
        <v/>
      </c>
      <c r="BQ119" s="155" t="str">
        <f t="shared" si="53"/>
        <v/>
      </c>
      <c r="BR119" s="155" t="str">
        <f t="shared" si="54"/>
        <v/>
      </c>
      <c r="BS119" s="155" t="str">
        <f t="shared" si="55"/>
        <v/>
      </c>
      <c r="BT119" s="155" t="str">
        <f t="shared" si="56"/>
        <v/>
      </c>
      <c r="BU119" s="155" t="str">
        <f t="shared" si="57"/>
        <v/>
      </c>
      <c r="BV119" s="155" t="str">
        <f t="shared" si="58"/>
        <v/>
      </c>
      <c r="BW119" s="155" t="str">
        <f t="shared" si="59"/>
        <v/>
      </c>
      <c r="BX119" s="155" t="str">
        <f t="shared" si="60"/>
        <v/>
      </c>
      <c r="BY119" s="155" t="str">
        <f t="shared" si="61"/>
        <v/>
      </c>
      <c r="BZ119" s="155" t="str">
        <f t="shared" si="62"/>
        <v/>
      </c>
      <c r="CA119" s="155" t="str">
        <f t="shared" si="63"/>
        <v/>
      </c>
      <c r="CB119" s="155" t="str">
        <f t="shared" si="64"/>
        <v/>
      </c>
      <c r="CC119" s="155" t="str">
        <f t="shared" si="65"/>
        <v/>
      </c>
      <c r="CD119" s="155" t="str">
        <f t="shared" si="66"/>
        <v/>
      </c>
      <c r="CE119" s="155" t="str">
        <f t="shared" si="67"/>
        <v/>
      </c>
      <c r="CF119" s="155" t="str">
        <f t="shared" si="68"/>
        <v/>
      </c>
      <c r="CG119" s="155" t="str">
        <f t="shared" si="69"/>
        <v/>
      </c>
      <c r="CH119" s="155" t="str">
        <f t="shared" si="70"/>
        <v/>
      </c>
      <c r="CI119" s="155" t="str">
        <f t="shared" si="71"/>
        <v/>
      </c>
      <c r="CJ119" s="155" t="str">
        <f t="shared" si="72"/>
        <v/>
      </c>
      <c r="CK119" s="155" t="str">
        <f t="shared" si="73"/>
        <v/>
      </c>
      <c r="CL119" s="155" t="str">
        <f t="shared" si="74"/>
        <v/>
      </c>
      <c r="CM119" s="155" t="str">
        <f t="shared" si="75"/>
        <v/>
      </c>
      <c r="CN119" s="155" t="str">
        <f t="shared" si="76"/>
        <v/>
      </c>
      <c r="CO119" s="155" t="str">
        <f t="shared" si="77"/>
        <v/>
      </c>
      <c r="CP119" s="155" t="str">
        <f t="shared" si="78"/>
        <v/>
      </c>
      <c r="CQ119" s="155" t="str">
        <f t="shared" si="79"/>
        <v/>
      </c>
      <c r="CR119" s="155" t="str">
        <f t="shared" si="80"/>
        <v/>
      </c>
      <c r="CS119" s="155" t="str">
        <f t="shared" si="81"/>
        <v/>
      </c>
      <c r="CT119" s="155" t="str">
        <f t="shared" si="82"/>
        <v/>
      </c>
      <c r="CU119" s="155" t="str">
        <f t="shared" si="83"/>
        <v/>
      </c>
      <c r="CV119" s="155" t="str">
        <f t="shared" si="84"/>
        <v/>
      </c>
      <c r="CW119" s="155" t="str">
        <f t="shared" si="85"/>
        <v/>
      </c>
      <c r="CX119" s="155" t="str">
        <f t="shared" si="86"/>
        <v/>
      </c>
    </row>
    <row r="120" spans="1:102" s="151" customFormat="1" ht="14.25" outlineLevel="1" x14ac:dyDescent="0.2">
      <c r="A120" s="162"/>
      <c r="B120" s="157" t="str">
        <f>Services!B120</f>
        <v>05B08</v>
      </c>
      <c r="C120" s="153" t="str">
        <f>Services!C120</f>
        <v>Contrôle du routage des accès sortants</v>
      </c>
      <c r="D120" s="149">
        <f>1*(8*Plans_action!E122+Plans_action!D122)+1*(8*Plans_action!E132+Plans_action!D132)</f>
        <v>0</v>
      </c>
      <c r="E120" s="149"/>
      <c r="F120" s="149"/>
      <c r="G120" s="149"/>
      <c r="H120" s="149"/>
      <c r="I120" s="140" t="str">
        <f t="shared" si="44"/>
        <v/>
      </c>
      <c r="J120" s="141" t="str">
        <f t="shared" si="45"/>
        <v/>
      </c>
      <c r="K120" s="142"/>
      <c r="L120" s="142"/>
      <c r="M120" s="1708"/>
      <c r="N120" s="1708"/>
      <c r="O120" s="1708"/>
      <c r="P120" s="1708"/>
      <c r="Q120" s="1708"/>
      <c r="R120" s="1708"/>
      <c r="S120" s="1708"/>
      <c r="T120" s="1708"/>
      <c r="U120" s="1708"/>
      <c r="V120" s="1708"/>
      <c r="W120" s="1708"/>
      <c r="X120" s="1712"/>
      <c r="Y120" s="1712"/>
      <c r="Z120" s="1712"/>
      <c r="AA120" s="1712"/>
      <c r="AB120" s="1712"/>
      <c r="AC120" s="1712"/>
      <c r="AD120" s="1712"/>
      <c r="AE120" s="1712"/>
      <c r="AF120" s="1712"/>
      <c r="AG120" s="1712"/>
      <c r="AH120" s="1712"/>
      <c r="AI120" s="1712"/>
      <c r="AJ120" s="1712"/>
      <c r="AK120" s="1712"/>
      <c r="AL120" s="1712"/>
      <c r="AM120" s="1712"/>
      <c r="AN120" s="1712"/>
      <c r="AO120" s="1712"/>
      <c r="AP120" s="1712"/>
      <c r="AQ120" s="1712"/>
      <c r="AR120" s="1712"/>
      <c r="AS120" s="1712"/>
      <c r="AT120" s="1712"/>
      <c r="AU120" s="1712"/>
      <c r="AV120" s="1712"/>
      <c r="AW120" s="1712"/>
      <c r="AX120" s="1713"/>
      <c r="AY120" s="1714" t="str">
        <f t="shared" si="46"/>
        <v/>
      </c>
      <c r="AZ120" s="1714" t="str">
        <f>IF(Obj_PA!D120="","",IF(AY120="","",Obj_PA!D120-AY120))</f>
        <v/>
      </c>
      <c r="BA120" s="150"/>
      <c r="BB120" s="150"/>
      <c r="BC120" s="150"/>
      <c r="BD120" s="150"/>
      <c r="BE120" s="150"/>
      <c r="BF120" s="150"/>
      <c r="BG120" s="150"/>
      <c r="BH120" s="150"/>
      <c r="BI120" s="150"/>
      <c r="BJ120" s="150"/>
      <c r="BK120" s="155" t="str">
        <f t="shared" si="47"/>
        <v/>
      </c>
      <c r="BL120" s="155" t="str">
        <f t="shared" si="48"/>
        <v/>
      </c>
      <c r="BM120" s="155" t="str">
        <f t="shared" si="49"/>
        <v/>
      </c>
      <c r="BN120" s="155" t="str">
        <f t="shared" si="50"/>
        <v/>
      </c>
      <c r="BO120" s="155" t="str">
        <f t="shared" si="51"/>
        <v/>
      </c>
      <c r="BP120" s="155" t="str">
        <f t="shared" si="52"/>
        <v/>
      </c>
      <c r="BQ120" s="155" t="str">
        <f t="shared" si="53"/>
        <v/>
      </c>
      <c r="BR120" s="155" t="str">
        <f t="shared" si="54"/>
        <v/>
      </c>
      <c r="BS120" s="155" t="str">
        <f t="shared" si="55"/>
        <v/>
      </c>
      <c r="BT120" s="155" t="str">
        <f t="shared" si="56"/>
        <v/>
      </c>
      <c r="BU120" s="155" t="str">
        <f t="shared" si="57"/>
        <v/>
      </c>
      <c r="BV120" s="155" t="str">
        <f t="shared" si="58"/>
        <v/>
      </c>
      <c r="BW120" s="155" t="str">
        <f t="shared" si="59"/>
        <v/>
      </c>
      <c r="BX120" s="155" t="str">
        <f t="shared" si="60"/>
        <v/>
      </c>
      <c r="BY120" s="155" t="str">
        <f t="shared" si="61"/>
        <v/>
      </c>
      <c r="BZ120" s="155" t="str">
        <f t="shared" si="62"/>
        <v/>
      </c>
      <c r="CA120" s="155" t="str">
        <f t="shared" si="63"/>
        <v/>
      </c>
      <c r="CB120" s="155" t="str">
        <f t="shared" si="64"/>
        <v/>
      </c>
      <c r="CC120" s="155" t="str">
        <f t="shared" si="65"/>
        <v/>
      </c>
      <c r="CD120" s="155" t="str">
        <f t="shared" si="66"/>
        <v/>
      </c>
      <c r="CE120" s="155" t="str">
        <f t="shared" si="67"/>
        <v/>
      </c>
      <c r="CF120" s="155" t="str">
        <f t="shared" si="68"/>
        <v/>
      </c>
      <c r="CG120" s="155" t="str">
        <f t="shared" si="69"/>
        <v/>
      </c>
      <c r="CH120" s="155" t="str">
        <f t="shared" si="70"/>
        <v/>
      </c>
      <c r="CI120" s="155" t="str">
        <f t="shared" si="71"/>
        <v/>
      </c>
      <c r="CJ120" s="155" t="str">
        <f t="shared" si="72"/>
        <v/>
      </c>
      <c r="CK120" s="155" t="str">
        <f t="shared" si="73"/>
        <v/>
      </c>
      <c r="CL120" s="155" t="str">
        <f t="shared" si="74"/>
        <v/>
      </c>
      <c r="CM120" s="155" t="str">
        <f t="shared" si="75"/>
        <v/>
      </c>
      <c r="CN120" s="155" t="str">
        <f t="shared" si="76"/>
        <v/>
      </c>
      <c r="CO120" s="155" t="str">
        <f t="shared" si="77"/>
        <v/>
      </c>
      <c r="CP120" s="155" t="str">
        <f t="shared" si="78"/>
        <v/>
      </c>
      <c r="CQ120" s="155" t="str">
        <f t="shared" si="79"/>
        <v/>
      </c>
      <c r="CR120" s="155" t="str">
        <f t="shared" si="80"/>
        <v/>
      </c>
      <c r="CS120" s="155" t="str">
        <f t="shared" si="81"/>
        <v/>
      </c>
      <c r="CT120" s="155" t="str">
        <f t="shared" si="82"/>
        <v/>
      </c>
      <c r="CU120" s="155" t="str">
        <f t="shared" si="83"/>
        <v/>
      </c>
      <c r="CV120" s="155" t="str">
        <f t="shared" si="84"/>
        <v/>
      </c>
      <c r="CW120" s="155" t="str">
        <f t="shared" si="85"/>
        <v/>
      </c>
      <c r="CX120" s="155" t="str">
        <f t="shared" si="86"/>
        <v/>
      </c>
    </row>
    <row r="121" spans="1:102" s="151" customFormat="1" ht="25.5" outlineLevel="1" x14ac:dyDescent="0.2">
      <c r="A121" s="162"/>
      <c r="B121" s="157" t="str">
        <f>Services!B121</f>
        <v>05B09</v>
      </c>
      <c r="C121" s="153" t="str">
        <f>Services!C121</f>
        <v>Authentification de l'entité accédée lors des accès sortants vers des sites sensibles</v>
      </c>
      <c r="D121" s="149">
        <f>1*(8*Plans_action!E122+Plans_action!D122)+1*(8*Plans_action!E132+Plans_action!D132)</f>
        <v>0</v>
      </c>
      <c r="E121" s="149"/>
      <c r="F121" s="149"/>
      <c r="G121" s="149"/>
      <c r="H121" s="149"/>
      <c r="I121" s="140" t="str">
        <f t="shared" si="44"/>
        <v/>
      </c>
      <c r="J121" s="141" t="str">
        <f t="shared" si="45"/>
        <v/>
      </c>
      <c r="K121" s="142"/>
      <c r="L121" s="142"/>
      <c r="M121" s="1708"/>
      <c r="N121" s="1708"/>
      <c r="O121" s="1708"/>
      <c r="P121" s="1708"/>
      <c r="Q121" s="1708"/>
      <c r="R121" s="1708"/>
      <c r="S121" s="1708"/>
      <c r="T121" s="1708"/>
      <c r="U121" s="1708"/>
      <c r="V121" s="1708"/>
      <c r="W121" s="1708"/>
      <c r="X121" s="1712"/>
      <c r="Y121" s="1712"/>
      <c r="Z121" s="1712"/>
      <c r="AA121" s="1712"/>
      <c r="AB121" s="1712"/>
      <c r="AC121" s="1712"/>
      <c r="AD121" s="1712"/>
      <c r="AE121" s="1712"/>
      <c r="AF121" s="1712"/>
      <c r="AG121" s="1712"/>
      <c r="AH121" s="1712"/>
      <c r="AI121" s="1712"/>
      <c r="AJ121" s="1712"/>
      <c r="AK121" s="1712"/>
      <c r="AL121" s="1712"/>
      <c r="AM121" s="1712"/>
      <c r="AN121" s="1712"/>
      <c r="AO121" s="1712"/>
      <c r="AP121" s="1712"/>
      <c r="AQ121" s="1712"/>
      <c r="AR121" s="1712"/>
      <c r="AS121" s="1712"/>
      <c r="AT121" s="1712"/>
      <c r="AU121" s="1712"/>
      <c r="AV121" s="1712"/>
      <c r="AW121" s="1712"/>
      <c r="AX121" s="1713"/>
      <c r="AY121" s="1714" t="str">
        <f t="shared" si="46"/>
        <v/>
      </c>
      <c r="AZ121" s="1714" t="str">
        <f>IF(Obj_PA!D121="","",IF(AY121="","",Obj_PA!D121-AY121))</f>
        <v/>
      </c>
      <c r="BA121" s="150"/>
      <c r="BB121" s="150"/>
      <c r="BC121" s="150"/>
      <c r="BD121" s="150"/>
      <c r="BE121" s="150"/>
      <c r="BF121" s="150"/>
      <c r="BG121" s="150"/>
      <c r="BH121" s="150"/>
      <c r="BI121" s="150"/>
      <c r="BJ121" s="150"/>
      <c r="BK121" s="155" t="str">
        <f t="shared" si="47"/>
        <v/>
      </c>
      <c r="BL121" s="155" t="str">
        <f t="shared" si="48"/>
        <v/>
      </c>
      <c r="BM121" s="155" t="str">
        <f t="shared" si="49"/>
        <v/>
      </c>
      <c r="BN121" s="155" t="str">
        <f t="shared" si="50"/>
        <v/>
      </c>
      <c r="BO121" s="155" t="str">
        <f t="shared" si="51"/>
        <v/>
      </c>
      <c r="BP121" s="155" t="str">
        <f t="shared" si="52"/>
        <v/>
      </c>
      <c r="BQ121" s="155" t="str">
        <f t="shared" si="53"/>
        <v/>
      </c>
      <c r="BR121" s="155" t="str">
        <f t="shared" si="54"/>
        <v/>
      </c>
      <c r="BS121" s="155" t="str">
        <f t="shared" si="55"/>
        <v/>
      </c>
      <c r="BT121" s="155" t="str">
        <f t="shared" si="56"/>
        <v/>
      </c>
      <c r="BU121" s="155" t="str">
        <f t="shared" si="57"/>
        <v/>
      </c>
      <c r="BV121" s="155" t="str">
        <f t="shared" si="58"/>
        <v/>
      </c>
      <c r="BW121" s="155" t="str">
        <f t="shared" si="59"/>
        <v/>
      </c>
      <c r="BX121" s="155" t="str">
        <f t="shared" si="60"/>
        <v/>
      </c>
      <c r="BY121" s="155" t="str">
        <f t="shared" si="61"/>
        <v/>
      </c>
      <c r="BZ121" s="155" t="str">
        <f t="shared" si="62"/>
        <v/>
      </c>
      <c r="CA121" s="155" t="str">
        <f t="shared" si="63"/>
        <v/>
      </c>
      <c r="CB121" s="155" t="str">
        <f t="shared" si="64"/>
        <v/>
      </c>
      <c r="CC121" s="155" t="str">
        <f t="shared" si="65"/>
        <v/>
      </c>
      <c r="CD121" s="155" t="str">
        <f t="shared" si="66"/>
        <v/>
      </c>
      <c r="CE121" s="155" t="str">
        <f t="shared" si="67"/>
        <v/>
      </c>
      <c r="CF121" s="155" t="str">
        <f t="shared" si="68"/>
        <v/>
      </c>
      <c r="CG121" s="155" t="str">
        <f t="shared" si="69"/>
        <v/>
      </c>
      <c r="CH121" s="155" t="str">
        <f t="shared" si="70"/>
        <v/>
      </c>
      <c r="CI121" s="155" t="str">
        <f t="shared" si="71"/>
        <v/>
      </c>
      <c r="CJ121" s="155" t="str">
        <f t="shared" si="72"/>
        <v/>
      </c>
      <c r="CK121" s="155" t="str">
        <f t="shared" si="73"/>
        <v/>
      </c>
      <c r="CL121" s="155" t="str">
        <f t="shared" si="74"/>
        <v/>
      </c>
      <c r="CM121" s="155" t="str">
        <f t="shared" si="75"/>
        <v/>
      </c>
      <c r="CN121" s="155" t="str">
        <f t="shared" si="76"/>
        <v/>
      </c>
      <c r="CO121" s="155" t="str">
        <f t="shared" si="77"/>
        <v/>
      </c>
      <c r="CP121" s="155" t="str">
        <f t="shared" si="78"/>
        <v/>
      </c>
      <c r="CQ121" s="155" t="str">
        <f t="shared" si="79"/>
        <v/>
      </c>
      <c r="CR121" s="155" t="str">
        <f t="shared" si="80"/>
        <v/>
      </c>
      <c r="CS121" s="155" t="str">
        <f t="shared" si="81"/>
        <v/>
      </c>
      <c r="CT121" s="155" t="str">
        <f t="shared" si="82"/>
        <v/>
      </c>
      <c r="CU121" s="155" t="str">
        <f t="shared" si="83"/>
        <v/>
      </c>
      <c r="CV121" s="155" t="str">
        <f t="shared" si="84"/>
        <v/>
      </c>
      <c r="CW121" s="155" t="str">
        <f t="shared" si="85"/>
        <v/>
      </c>
      <c r="CX121" s="155" t="str">
        <f t="shared" si="86"/>
        <v/>
      </c>
    </row>
    <row r="122" spans="1:102" s="151" customFormat="1" ht="25.5" outlineLevel="1" x14ac:dyDescent="0.2">
      <c r="A122" s="146"/>
      <c r="B122" s="147" t="str">
        <f>Services!B122</f>
        <v>05C</v>
      </c>
      <c r="C122" s="148" t="str">
        <f>Services!C122</f>
        <v>Sécurité des données lors des échanges et des communications sur le réseau local</v>
      </c>
      <c r="D122" s="149"/>
      <c r="E122" s="149"/>
      <c r="F122" s="149"/>
      <c r="G122" s="149"/>
      <c r="H122" s="149"/>
      <c r="I122" s="140" t="str">
        <f t="shared" si="44"/>
        <v/>
      </c>
      <c r="J122" s="141" t="str">
        <f t="shared" si="45"/>
        <v/>
      </c>
      <c r="K122" s="142"/>
      <c r="L122" s="142"/>
      <c r="M122" s="1708"/>
      <c r="N122" s="1708"/>
      <c r="O122" s="1708"/>
      <c r="P122" s="1708"/>
      <c r="Q122" s="1708"/>
      <c r="R122" s="1708"/>
      <c r="S122" s="1708"/>
      <c r="T122" s="1708"/>
      <c r="U122" s="1708"/>
      <c r="V122" s="1708"/>
      <c r="W122" s="1708"/>
      <c r="X122" s="1712"/>
      <c r="Y122" s="1712"/>
      <c r="Z122" s="1712"/>
      <c r="AA122" s="1712"/>
      <c r="AB122" s="1712"/>
      <c r="AC122" s="1712"/>
      <c r="AD122" s="1712"/>
      <c r="AE122" s="1712"/>
      <c r="AF122" s="1712"/>
      <c r="AG122" s="1712"/>
      <c r="AH122" s="1712"/>
      <c r="AI122" s="1712"/>
      <c r="AJ122" s="1712"/>
      <c r="AK122" s="1712"/>
      <c r="AL122" s="1712"/>
      <c r="AM122" s="1712"/>
      <c r="AN122" s="1712"/>
      <c r="AO122" s="1712"/>
      <c r="AP122" s="1712"/>
      <c r="AQ122" s="1712"/>
      <c r="AR122" s="1712"/>
      <c r="AS122" s="1712"/>
      <c r="AT122" s="1712"/>
      <c r="AU122" s="1712"/>
      <c r="AV122" s="1712"/>
      <c r="AW122" s="1712"/>
      <c r="AX122" s="1713"/>
      <c r="AY122" s="1714" t="str">
        <f t="shared" si="46"/>
        <v/>
      </c>
      <c r="AZ122" s="1714" t="str">
        <f>IF(Obj_PA!D122="","",IF(AY122="","",Obj_PA!D122-AY122))</f>
        <v/>
      </c>
      <c r="BA122" s="150"/>
      <c r="BB122" s="150"/>
      <c r="BC122" s="150"/>
      <c r="BD122" s="150"/>
      <c r="BE122" s="150"/>
      <c r="BF122" s="150"/>
      <c r="BG122" s="150"/>
      <c r="BH122" s="150"/>
      <c r="BI122" s="150"/>
      <c r="BJ122" s="150"/>
      <c r="BK122" s="155" t="str">
        <f t="shared" si="47"/>
        <v/>
      </c>
      <c r="BL122" s="155" t="str">
        <f t="shared" si="48"/>
        <v/>
      </c>
      <c r="BM122" s="155" t="str">
        <f t="shared" si="49"/>
        <v/>
      </c>
      <c r="BN122" s="155" t="str">
        <f t="shared" si="50"/>
        <v/>
      </c>
      <c r="BO122" s="155" t="str">
        <f t="shared" si="51"/>
        <v/>
      </c>
      <c r="BP122" s="155" t="str">
        <f t="shared" si="52"/>
        <v/>
      </c>
      <c r="BQ122" s="155" t="str">
        <f t="shared" si="53"/>
        <v/>
      </c>
      <c r="BR122" s="155" t="str">
        <f t="shared" si="54"/>
        <v/>
      </c>
      <c r="BS122" s="155" t="str">
        <f t="shared" si="55"/>
        <v/>
      </c>
      <c r="BT122" s="155" t="str">
        <f t="shared" si="56"/>
        <v/>
      </c>
      <c r="BU122" s="155" t="str">
        <f t="shared" si="57"/>
        <v/>
      </c>
      <c r="BV122" s="155" t="str">
        <f t="shared" si="58"/>
        <v/>
      </c>
      <c r="BW122" s="155" t="str">
        <f t="shared" si="59"/>
        <v/>
      </c>
      <c r="BX122" s="155" t="str">
        <f t="shared" si="60"/>
        <v/>
      </c>
      <c r="BY122" s="155" t="str">
        <f t="shared" si="61"/>
        <v/>
      </c>
      <c r="BZ122" s="155" t="str">
        <f t="shared" si="62"/>
        <v/>
      </c>
      <c r="CA122" s="155" t="str">
        <f t="shared" si="63"/>
        <v/>
      </c>
      <c r="CB122" s="155" t="str">
        <f t="shared" si="64"/>
        <v/>
      </c>
      <c r="CC122" s="155" t="str">
        <f t="shared" si="65"/>
        <v/>
      </c>
      <c r="CD122" s="155" t="str">
        <f t="shared" si="66"/>
        <v/>
      </c>
      <c r="CE122" s="155" t="str">
        <f t="shared" si="67"/>
        <v/>
      </c>
      <c r="CF122" s="155" t="str">
        <f t="shared" si="68"/>
        <v/>
      </c>
      <c r="CG122" s="155" t="str">
        <f t="shared" si="69"/>
        <v/>
      </c>
      <c r="CH122" s="155" t="str">
        <f t="shared" si="70"/>
        <v/>
      </c>
      <c r="CI122" s="155" t="str">
        <f t="shared" si="71"/>
        <v/>
      </c>
      <c r="CJ122" s="155" t="str">
        <f t="shared" si="72"/>
        <v/>
      </c>
      <c r="CK122" s="155" t="str">
        <f t="shared" si="73"/>
        <v/>
      </c>
      <c r="CL122" s="155" t="str">
        <f t="shared" si="74"/>
        <v/>
      </c>
      <c r="CM122" s="155" t="str">
        <f t="shared" si="75"/>
        <v/>
      </c>
      <c r="CN122" s="155" t="str">
        <f t="shared" si="76"/>
        <v/>
      </c>
      <c r="CO122" s="155" t="str">
        <f t="shared" si="77"/>
        <v/>
      </c>
      <c r="CP122" s="155" t="str">
        <f t="shared" si="78"/>
        <v/>
      </c>
      <c r="CQ122" s="155" t="str">
        <f t="shared" si="79"/>
        <v/>
      </c>
      <c r="CR122" s="155" t="str">
        <f t="shared" si="80"/>
        <v/>
      </c>
      <c r="CS122" s="155" t="str">
        <f t="shared" si="81"/>
        <v/>
      </c>
      <c r="CT122" s="155" t="str">
        <f t="shared" si="82"/>
        <v/>
      </c>
      <c r="CU122" s="155" t="str">
        <f t="shared" si="83"/>
        <v/>
      </c>
      <c r="CV122" s="155" t="str">
        <f t="shared" si="84"/>
        <v/>
      </c>
      <c r="CW122" s="155" t="str">
        <f t="shared" si="85"/>
        <v/>
      </c>
      <c r="CX122" s="155" t="str">
        <f t="shared" si="86"/>
        <v/>
      </c>
    </row>
    <row r="123" spans="1:102" s="151" customFormat="1" ht="14.25" outlineLevel="1" x14ac:dyDescent="0.2">
      <c r="A123" s="156"/>
      <c r="B123" s="157" t="str">
        <f>Services!B123</f>
        <v>05C01</v>
      </c>
      <c r="C123" s="153" t="str">
        <f>Services!C123</f>
        <v>Chiffrement des échanges sur le réseau local</v>
      </c>
      <c r="D123" s="149"/>
      <c r="E123" s="149"/>
      <c r="F123" s="149">
        <f>3*(8*Plans_action!E88+Plans_action!D88)+3*(8*Plans_action!E158+Plans_action!D158)</f>
        <v>0</v>
      </c>
      <c r="G123" s="149"/>
      <c r="H123" s="149"/>
      <c r="I123" s="140" t="str">
        <f t="shared" si="44"/>
        <v/>
      </c>
      <c r="J123" s="141" t="str">
        <f t="shared" si="45"/>
        <v/>
      </c>
      <c r="K123" s="142"/>
      <c r="L123" s="142"/>
      <c r="M123" s="1708"/>
      <c r="N123" s="1708"/>
      <c r="O123" s="1708"/>
      <c r="P123" s="1708"/>
      <c r="Q123" s="1708"/>
      <c r="R123" s="1708"/>
      <c r="S123" s="1708"/>
      <c r="T123" s="1708"/>
      <c r="U123" s="1708"/>
      <c r="V123" s="1708"/>
      <c r="W123" s="1708"/>
      <c r="X123" s="1712"/>
      <c r="Y123" s="1712"/>
      <c r="Z123" s="1712"/>
      <c r="AA123" s="1712"/>
      <c r="AB123" s="1712"/>
      <c r="AC123" s="1712"/>
      <c r="AD123" s="1712"/>
      <c r="AE123" s="1712"/>
      <c r="AF123" s="1712"/>
      <c r="AG123" s="1712"/>
      <c r="AH123" s="1712"/>
      <c r="AI123" s="1712"/>
      <c r="AJ123" s="1712"/>
      <c r="AK123" s="1712"/>
      <c r="AL123" s="1712"/>
      <c r="AM123" s="1712"/>
      <c r="AN123" s="1712"/>
      <c r="AO123" s="1712"/>
      <c r="AP123" s="1712"/>
      <c r="AQ123" s="1712"/>
      <c r="AR123" s="1712"/>
      <c r="AS123" s="1712"/>
      <c r="AT123" s="1712"/>
      <c r="AU123" s="1712"/>
      <c r="AV123" s="1712"/>
      <c r="AW123" s="1712"/>
      <c r="AX123" s="1713"/>
      <c r="AY123" s="1714" t="str">
        <f t="shared" si="46"/>
        <v/>
      </c>
      <c r="AZ123" s="1714" t="str">
        <f>IF(Obj_PA!D123="","",IF(AY123="","",Obj_PA!D123-AY123))</f>
        <v/>
      </c>
      <c r="BA123" s="150"/>
      <c r="BB123" s="150"/>
      <c r="BC123" s="150"/>
      <c r="BD123" s="150"/>
      <c r="BE123" s="150"/>
      <c r="BF123" s="150"/>
      <c r="BG123" s="150"/>
      <c r="BH123" s="150"/>
      <c r="BI123" s="150"/>
      <c r="BJ123" s="150"/>
      <c r="BK123" s="155" t="str">
        <f t="shared" si="47"/>
        <v/>
      </c>
      <c r="BL123" s="155" t="str">
        <f t="shared" si="48"/>
        <v/>
      </c>
      <c r="BM123" s="155" t="str">
        <f t="shared" si="49"/>
        <v/>
      </c>
      <c r="BN123" s="155" t="str">
        <f t="shared" si="50"/>
        <v/>
      </c>
      <c r="BO123" s="155" t="str">
        <f t="shared" si="51"/>
        <v/>
      </c>
      <c r="BP123" s="155" t="str">
        <f t="shared" si="52"/>
        <v/>
      </c>
      <c r="BQ123" s="155" t="str">
        <f t="shared" si="53"/>
        <v/>
      </c>
      <c r="BR123" s="155" t="str">
        <f t="shared" si="54"/>
        <v/>
      </c>
      <c r="BS123" s="155" t="str">
        <f t="shared" si="55"/>
        <v/>
      </c>
      <c r="BT123" s="155" t="str">
        <f t="shared" si="56"/>
        <v/>
      </c>
      <c r="BU123" s="155" t="str">
        <f t="shared" si="57"/>
        <v/>
      </c>
      <c r="BV123" s="155" t="str">
        <f t="shared" si="58"/>
        <v/>
      </c>
      <c r="BW123" s="155" t="str">
        <f t="shared" si="59"/>
        <v/>
      </c>
      <c r="BX123" s="155" t="str">
        <f t="shared" si="60"/>
        <v/>
      </c>
      <c r="BY123" s="155" t="str">
        <f t="shared" si="61"/>
        <v/>
      </c>
      <c r="BZ123" s="155" t="str">
        <f t="shared" si="62"/>
        <v/>
      </c>
      <c r="CA123" s="155" t="str">
        <f t="shared" si="63"/>
        <v/>
      </c>
      <c r="CB123" s="155" t="str">
        <f t="shared" si="64"/>
        <v/>
      </c>
      <c r="CC123" s="155" t="str">
        <f t="shared" si="65"/>
        <v/>
      </c>
      <c r="CD123" s="155" t="str">
        <f t="shared" si="66"/>
        <v/>
      </c>
      <c r="CE123" s="155" t="str">
        <f t="shared" si="67"/>
        <v/>
      </c>
      <c r="CF123" s="155" t="str">
        <f t="shared" si="68"/>
        <v/>
      </c>
      <c r="CG123" s="155" t="str">
        <f t="shared" si="69"/>
        <v/>
      </c>
      <c r="CH123" s="155" t="str">
        <f t="shared" si="70"/>
        <v/>
      </c>
      <c r="CI123" s="155" t="str">
        <f t="shared" si="71"/>
        <v/>
      </c>
      <c r="CJ123" s="155" t="str">
        <f t="shared" si="72"/>
        <v/>
      </c>
      <c r="CK123" s="155" t="str">
        <f t="shared" si="73"/>
        <v/>
      </c>
      <c r="CL123" s="155" t="str">
        <f t="shared" si="74"/>
        <v/>
      </c>
      <c r="CM123" s="155" t="str">
        <f t="shared" si="75"/>
        <v/>
      </c>
      <c r="CN123" s="155" t="str">
        <f t="shared" si="76"/>
        <v/>
      </c>
      <c r="CO123" s="155" t="str">
        <f t="shared" si="77"/>
        <v/>
      </c>
      <c r="CP123" s="155" t="str">
        <f t="shared" si="78"/>
        <v/>
      </c>
      <c r="CQ123" s="155" t="str">
        <f t="shared" si="79"/>
        <v/>
      </c>
      <c r="CR123" s="155" t="str">
        <f t="shared" si="80"/>
        <v/>
      </c>
      <c r="CS123" s="155" t="str">
        <f t="shared" si="81"/>
        <v/>
      </c>
      <c r="CT123" s="155" t="str">
        <f t="shared" si="82"/>
        <v/>
      </c>
      <c r="CU123" s="155" t="str">
        <f t="shared" si="83"/>
        <v/>
      </c>
      <c r="CV123" s="155" t="str">
        <f t="shared" si="84"/>
        <v/>
      </c>
      <c r="CW123" s="155" t="str">
        <f t="shared" si="85"/>
        <v/>
      </c>
      <c r="CX123" s="155" t="str">
        <f t="shared" si="86"/>
        <v/>
      </c>
    </row>
    <row r="124" spans="1:102" s="151" customFormat="1" ht="14.25" outlineLevel="1" x14ac:dyDescent="0.2">
      <c r="A124" s="156"/>
      <c r="B124" s="157" t="str">
        <f>Services!B124</f>
        <v>05C02</v>
      </c>
      <c r="C124" s="153" t="str">
        <f>Services!C124</f>
        <v>Protection de l'intégrité des échanges sur le réseau local</v>
      </c>
      <c r="D124" s="149"/>
      <c r="E124" s="149"/>
      <c r="F124" s="149">
        <f>3*(8*Plans_action!E88+Plans_action!D88)</f>
        <v>0</v>
      </c>
      <c r="G124" s="149"/>
      <c r="H124" s="149"/>
      <c r="I124" s="140" t="str">
        <f t="shared" si="44"/>
        <v/>
      </c>
      <c r="J124" s="141" t="str">
        <f t="shared" si="45"/>
        <v/>
      </c>
      <c r="K124" s="142"/>
      <c r="L124" s="142"/>
      <c r="M124" s="1708"/>
      <c r="N124" s="1708"/>
      <c r="O124" s="1708"/>
      <c r="P124" s="1708"/>
      <c r="Q124" s="1708"/>
      <c r="R124" s="1708"/>
      <c r="S124" s="1708"/>
      <c r="T124" s="1708"/>
      <c r="U124" s="1708"/>
      <c r="V124" s="1708"/>
      <c r="W124" s="1708"/>
      <c r="X124" s="1712"/>
      <c r="Y124" s="1712"/>
      <c r="Z124" s="1712"/>
      <c r="AA124" s="1712"/>
      <c r="AB124" s="1712"/>
      <c r="AC124" s="1712"/>
      <c r="AD124" s="1712"/>
      <c r="AE124" s="1712"/>
      <c r="AF124" s="1712"/>
      <c r="AG124" s="1712"/>
      <c r="AH124" s="1712"/>
      <c r="AI124" s="1712"/>
      <c r="AJ124" s="1712"/>
      <c r="AK124" s="1712"/>
      <c r="AL124" s="1712"/>
      <c r="AM124" s="1712"/>
      <c r="AN124" s="1712"/>
      <c r="AO124" s="1712"/>
      <c r="AP124" s="1712"/>
      <c r="AQ124" s="1712"/>
      <c r="AR124" s="1712"/>
      <c r="AS124" s="1712"/>
      <c r="AT124" s="1712"/>
      <c r="AU124" s="1712"/>
      <c r="AV124" s="1712"/>
      <c r="AW124" s="1712"/>
      <c r="AX124" s="1713"/>
      <c r="AY124" s="1714" t="str">
        <f t="shared" si="46"/>
        <v/>
      </c>
      <c r="AZ124" s="1714" t="str">
        <f>IF(Obj_PA!D124="","",IF(AY124="","",Obj_PA!D124-AY124))</f>
        <v/>
      </c>
      <c r="BA124" s="150"/>
      <c r="BB124" s="150"/>
      <c r="BC124" s="150"/>
      <c r="BD124" s="150"/>
      <c r="BE124" s="150"/>
      <c r="BF124" s="150"/>
      <c r="BG124" s="150"/>
      <c r="BH124" s="150"/>
      <c r="BI124" s="150"/>
      <c r="BJ124" s="150"/>
      <c r="BK124" s="155" t="str">
        <f t="shared" si="47"/>
        <v/>
      </c>
      <c r="BL124" s="155" t="str">
        <f t="shared" si="48"/>
        <v/>
      </c>
      <c r="BM124" s="155" t="str">
        <f t="shared" si="49"/>
        <v/>
      </c>
      <c r="BN124" s="155" t="str">
        <f t="shared" si="50"/>
        <v/>
      </c>
      <c r="BO124" s="155" t="str">
        <f t="shared" si="51"/>
        <v/>
      </c>
      <c r="BP124" s="155" t="str">
        <f t="shared" si="52"/>
        <v/>
      </c>
      <c r="BQ124" s="155" t="str">
        <f t="shared" si="53"/>
        <v/>
      </c>
      <c r="BR124" s="155" t="str">
        <f t="shared" si="54"/>
        <v/>
      </c>
      <c r="BS124" s="155" t="str">
        <f t="shared" si="55"/>
        <v/>
      </c>
      <c r="BT124" s="155" t="str">
        <f t="shared" si="56"/>
        <v/>
      </c>
      <c r="BU124" s="155" t="str">
        <f t="shared" si="57"/>
        <v/>
      </c>
      <c r="BV124" s="155" t="str">
        <f t="shared" si="58"/>
        <v/>
      </c>
      <c r="BW124" s="155" t="str">
        <f t="shared" si="59"/>
        <v/>
      </c>
      <c r="BX124" s="155" t="str">
        <f t="shared" si="60"/>
        <v/>
      </c>
      <c r="BY124" s="155" t="str">
        <f t="shared" si="61"/>
        <v/>
      </c>
      <c r="BZ124" s="155" t="str">
        <f t="shared" si="62"/>
        <v/>
      </c>
      <c r="CA124" s="155" t="str">
        <f t="shared" si="63"/>
        <v/>
      </c>
      <c r="CB124" s="155" t="str">
        <f t="shared" si="64"/>
        <v/>
      </c>
      <c r="CC124" s="155" t="str">
        <f t="shared" si="65"/>
        <v/>
      </c>
      <c r="CD124" s="155" t="str">
        <f t="shared" si="66"/>
        <v/>
      </c>
      <c r="CE124" s="155" t="str">
        <f t="shared" si="67"/>
        <v/>
      </c>
      <c r="CF124" s="155" t="str">
        <f t="shared" si="68"/>
        <v/>
      </c>
      <c r="CG124" s="155" t="str">
        <f t="shared" si="69"/>
        <v/>
      </c>
      <c r="CH124" s="155" t="str">
        <f t="shared" si="70"/>
        <v/>
      </c>
      <c r="CI124" s="155" t="str">
        <f t="shared" si="71"/>
        <v/>
      </c>
      <c r="CJ124" s="155" t="str">
        <f t="shared" si="72"/>
        <v/>
      </c>
      <c r="CK124" s="155" t="str">
        <f t="shared" si="73"/>
        <v/>
      </c>
      <c r="CL124" s="155" t="str">
        <f t="shared" si="74"/>
        <v/>
      </c>
      <c r="CM124" s="155" t="str">
        <f t="shared" si="75"/>
        <v/>
      </c>
      <c r="CN124" s="155" t="str">
        <f t="shared" si="76"/>
        <v/>
      </c>
      <c r="CO124" s="155" t="str">
        <f t="shared" si="77"/>
        <v/>
      </c>
      <c r="CP124" s="155" t="str">
        <f t="shared" si="78"/>
        <v/>
      </c>
      <c r="CQ124" s="155" t="str">
        <f t="shared" si="79"/>
        <v/>
      </c>
      <c r="CR124" s="155" t="str">
        <f t="shared" si="80"/>
        <v/>
      </c>
      <c r="CS124" s="155" t="str">
        <f t="shared" si="81"/>
        <v/>
      </c>
      <c r="CT124" s="155" t="str">
        <f t="shared" si="82"/>
        <v/>
      </c>
      <c r="CU124" s="155" t="str">
        <f t="shared" si="83"/>
        <v/>
      </c>
      <c r="CV124" s="155" t="str">
        <f t="shared" si="84"/>
        <v/>
      </c>
      <c r="CW124" s="155" t="str">
        <f t="shared" si="85"/>
        <v/>
      </c>
      <c r="CX124" s="155" t="str">
        <f t="shared" si="86"/>
        <v/>
      </c>
    </row>
    <row r="125" spans="1:102" s="151" customFormat="1" ht="15.75" customHeight="1" outlineLevel="1" x14ac:dyDescent="0.2">
      <c r="A125" s="146"/>
      <c r="B125" s="157" t="str">
        <f>Services!B125</f>
        <v>05C03</v>
      </c>
      <c r="C125" s="153" t="str">
        <f>Services!C125</f>
        <v xml:space="preserve">Chiffrement des échanges lors des accès distants au réseau local
</v>
      </c>
      <c r="D125" s="149"/>
      <c r="E125" s="149"/>
      <c r="F125" s="149">
        <f>3*(8*Plans_action!E88+Plans_action!D88)+3*(8*Plans_action!E158+Plans_action!D158)</f>
        <v>0</v>
      </c>
      <c r="G125" s="149"/>
      <c r="H125" s="149"/>
      <c r="I125" s="140" t="str">
        <f t="shared" si="44"/>
        <v/>
      </c>
      <c r="J125" s="141" t="str">
        <f t="shared" si="45"/>
        <v/>
      </c>
      <c r="K125" s="142"/>
      <c r="L125" s="142"/>
      <c r="M125" s="1708"/>
      <c r="N125" s="1708"/>
      <c r="O125" s="1708"/>
      <c r="P125" s="1708"/>
      <c r="Q125" s="1708"/>
      <c r="R125" s="1708"/>
      <c r="S125" s="1708"/>
      <c r="T125" s="1708"/>
      <c r="U125" s="1708"/>
      <c r="V125" s="1708"/>
      <c r="W125" s="1708"/>
      <c r="X125" s="1712"/>
      <c r="Y125" s="1712"/>
      <c r="Z125" s="1712"/>
      <c r="AA125" s="1712"/>
      <c r="AB125" s="1712"/>
      <c r="AC125" s="1712"/>
      <c r="AD125" s="1712"/>
      <c r="AE125" s="1712"/>
      <c r="AF125" s="1712"/>
      <c r="AG125" s="1712"/>
      <c r="AH125" s="1712"/>
      <c r="AI125" s="1712"/>
      <c r="AJ125" s="1712"/>
      <c r="AK125" s="1712"/>
      <c r="AL125" s="1712"/>
      <c r="AM125" s="1712"/>
      <c r="AN125" s="1712"/>
      <c r="AO125" s="1712"/>
      <c r="AP125" s="1712"/>
      <c r="AQ125" s="1712"/>
      <c r="AR125" s="1712"/>
      <c r="AS125" s="1712"/>
      <c r="AT125" s="1712"/>
      <c r="AU125" s="1712"/>
      <c r="AV125" s="1712"/>
      <c r="AW125" s="1712"/>
      <c r="AX125" s="1713"/>
      <c r="AY125" s="1714" t="str">
        <f t="shared" si="46"/>
        <v/>
      </c>
      <c r="AZ125" s="1714" t="str">
        <f>IF(Obj_PA!D125="","",IF(AY125="","",Obj_PA!D125-AY125))</f>
        <v/>
      </c>
      <c r="BA125" s="150"/>
      <c r="BB125" s="150"/>
      <c r="BC125" s="150"/>
      <c r="BD125" s="150"/>
      <c r="BE125" s="150"/>
      <c r="BF125" s="150"/>
      <c r="BG125" s="150"/>
      <c r="BH125" s="150"/>
      <c r="BI125" s="150"/>
      <c r="BJ125" s="150"/>
      <c r="BK125" s="155" t="str">
        <f t="shared" si="47"/>
        <v/>
      </c>
      <c r="BL125" s="155" t="str">
        <f t="shared" si="48"/>
        <v/>
      </c>
      <c r="BM125" s="155" t="str">
        <f t="shared" si="49"/>
        <v/>
      </c>
      <c r="BN125" s="155" t="str">
        <f t="shared" si="50"/>
        <v/>
      </c>
      <c r="BO125" s="155" t="str">
        <f t="shared" si="51"/>
        <v/>
      </c>
      <c r="BP125" s="155" t="str">
        <f t="shared" si="52"/>
        <v/>
      </c>
      <c r="BQ125" s="155" t="str">
        <f t="shared" si="53"/>
        <v/>
      </c>
      <c r="BR125" s="155" t="str">
        <f t="shared" si="54"/>
        <v/>
      </c>
      <c r="BS125" s="155" t="str">
        <f t="shared" si="55"/>
        <v/>
      </c>
      <c r="BT125" s="155" t="str">
        <f t="shared" si="56"/>
        <v/>
      </c>
      <c r="BU125" s="155" t="str">
        <f t="shared" si="57"/>
        <v/>
      </c>
      <c r="BV125" s="155" t="str">
        <f t="shared" si="58"/>
        <v/>
      </c>
      <c r="BW125" s="155" t="str">
        <f t="shared" si="59"/>
        <v/>
      </c>
      <c r="BX125" s="155" t="str">
        <f t="shared" si="60"/>
        <v/>
      </c>
      <c r="BY125" s="155" t="str">
        <f t="shared" si="61"/>
        <v/>
      </c>
      <c r="BZ125" s="155" t="str">
        <f t="shared" si="62"/>
        <v/>
      </c>
      <c r="CA125" s="155" t="str">
        <f t="shared" si="63"/>
        <v/>
      </c>
      <c r="CB125" s="155" t="str">
        <f t="shared" si="64"/>
        <v/>
      </c>
      <c r="CC125" s="155" t="str">
        <f t="shared" si="65"/>
        <v/>
      </c>
      <c r="CD125" s="155" t="str">
        <f t="shared" si="66"/>
        <v/>
      </c>
      <c r="CE125" s="155" t="str">
        <f t="shared" si="67"/>
        <v/>
      </c>
      <c r="CF125" s="155" t="str">
        <f t="shared" si="68"/>
        <v/>
      </c>
      <c r="CG125" s="155" t="str">
        <f t="shared" si="69"/>
        <v/>
      </c>
      <c r="CH125" s="155" t="str">
        <f t="shared" si="70"/>
        <v/>
      </c>
      <c r="CI125" s="155" t="str">
        <f t="shared" si="71"/>
        <v/>
      </c>
      <c r="CJ125" s="155" t="str">
        <f t="shared" si="72"/>
        <v/>
      </c>
      <c r="CK125" s="155" t="str">
        <f t="shared" si="73"/>
        <v/>
      </c>
      <c r="CL125" s="155" t="str">
        <f t="shared" si="74"/>
        <v/>
      </c>
      <c r="CM125" s="155" t="str">
        <f t="shared" si="75"/>
        <v/>
      </c>
      <c r="CN125" s="155" t="str">
        <f t="shared" si="76"/>
        <v/>
      </c>
      <c r="CO125" s="155" t="str">
        <f t="shared" si="77"/>
        <v/>
      </c>
      <c r="CP125" s="155" t="str">
        <f t="shared" si="78"/>
        <v/>
      </c>
      <c r="CQ125" s="155" t="str">
        <f t="shared" si="79"/>
        <v/>
      </c>
      <c r="CR125" s="155" t="str">
        <f t="shared" si="80"/>
        <v/>
      </c>
      <c r="CS125" s="155" t="str">
        <f t="shared" si="81"/>
        <v/>
      </c>
      <c r="CT125" s="155" t="str">
        <f t="shared" si="82"/>
        <v/>
      </c>
      <c r="CU125" s="155" t="str">
        <f t="shared" si="83"/>
        <v/>
      </c>
      <c r="CV125" s="155" t="str">
        <f t="shared" si="84"/>
        <v/>
      </c>
      <c r="CW125" s="155" t="str">
        <f t="shared" si="85"/>
        <v/>
      </c>
      <c r="CX125" s="155" t="str">
        <f t="shared" si="86"/>
        <v/>
      </c>
    </row>
    <row r="126" spans="1:102" s="151" customFormat="1" ht="25.5" outlineLevel="1" x14ac:dyDescent="0.2">
      <c r="A126" s="146"/>
      <c r="B126" s="157" t="str">
        <f>Services!B126</f>
        <v>05C04</v>
      </c>
      <c r="C126" s="153" t="str">
        <f>Services!C126</f>
        <v>Protection de l'intégrité des échanges lors des accès distants au réseau local</v>
      </c>
      <c r="D126" s="149"/>
      <c r="E126" s="149"/>
      <c r="F126" s="149">
        <f>3*(8*Plans_action!E88+Plans_action!D88)</f>
        <v>0</v>
      </c>
      <c r="G126" s="149"/>
      <c r="H126" s="149"/>
      <c r="I126" s="140" t="str">
        <f t="shared" si="44"/>
        <v/>
      </c>
      <c r="J126" s="141" t="str">
        <f t="shared" si="45"/>
        <v/>
      </c>
      <c r="K126" s="142"/>
      <c r="L126" s="142"/>
      <c r="M126" s="1708"/>
      <c r="N126" s="1708"/>
      <c r="O126" s="1708"/>
      <c r="P126" s="1708"/>
      <c r="Q126" s="1708"/>
      <c r="R126" s="1708"/>
      <c r="S126" s="1708"/>
      <c r="T126" s="1708"/>
      <c r="U126" s="1708"/>
      <c r="V126" s="1708"/>
      <c r="W126" s="1708"/>
      <c r="X126" s="1712"/>
      <c r="Y126" s="1712"/>
      <c r="Z126" s="1712"/>
      <c r="AA126" s="1712"/>
      <c r="AB126" s="1712"/>
      <c r="AC126" s="1712"/>
      <c r="AD126" s="1712"/>
      <c r="AE126" s="1712"/>
      <c r="AF126" s="1712"/>
      <c r="AG126" s="1712"/>
      <c r="AH126" s="1712"/>
      <c r="AI126" s="1712"/>
      <c r="AJ126" s="1712"/>
      <c r="AK126" s="1712"/>
      <c r="AL126" s="1712"/>
      <c r="AM126" s="1712"/>
      <c r="AN126" s="1712"/>
      <c r="AO126" s="1712"/>
      <c r="AP126" s="1712"/>
      <c r="AQ126" s="1712"/>
      <c r="AR126" s="1712"/>
      <c r="AS126" s="1712"/>
      <c r="AT126" s="1712"/>
      <c r="AU126" s="1712"/>
      <c r="AV126" s="1712"/>
      <c r="AW126" s="1712"/>
      <c r="AX126" s="1713"/>
      <c r="AY126" s="1714" t="str">
        <f t="shared" si="46"/>
        <v/>
      </c>
      <c r="AZ126" s="1714" t="str">
        <f>IF(Obj_PA!D126="","",IF(AY126="","",Obj_PA!D126-AY126))</f>
        <v/>
      </c>
      <c r="BA126" s="150"/>
      <c r="BB126" s="150"/>
      <c r="BC126" s="150"/>
      <c r="BD126" s="150"/>
      <c r="BE126" s="150"/>
      <c r="BF126" s="150"/>
      <c r="BG126" s="150"/>
      <c r="BH126" s="150"/>
      <c r="BI126" s="150"/>
      <c r="BJ126" s="150"/>
      <c r="BK126" s="155" t="str">
        <f t="shared" si="47"/>
        <v/>
      </c>
      <c r="BL126" s="155" t="str">
        <f t="shared" si="48"/>
        <v/>
      </c>
      <c r="BM126" s="155" t="str">
        <f t="shared" si="49"/>
        <v/>
      </c>
      <c r="BN126" s="155" t="str">
        <f t="shared" si="50"/>
        <v/>
      </c>
      <c r="BO126" s="155" t="str">
        <f t="shared" si="51"/>
        <v/>
      </c>
      <c r="BP126" s="155" t="str">
        <f t="shared" si="52"/>
        <v/>
      </c>
      <c r="BQ126" s="155" t="str">
        <f t="shared" si="53"/>
        <v/>
      </c>
      <c r="BR126" s="155" t="str">
        <f t="shared" si="54"/>
        <v/>
      </c>
      <c r="BS126" s="155" t="str">
        <f t="shared" si="55"/>
        <v/>
      </c>
      <c r="BT126" s="155" t="str">
        <f t="shared" si="56"/>
        <v/>
      </c>
      <c r="BU126" s="155" t="str">
        <f t="shared" si="57"/>
        <v/>
      </c>
      <c r="BV126" s="155" t="str">
        <f t="shared" si="58"/>
        <v/>
      </c>
      <c r="BW126" s="155" t="str">
        <f t="shared" si="59"/>
        <v/>
      </c>
      <c r="BX126" s="155" t="str">
        <f t="shared" si="60"/>
        <v/>
      </c>
      <c r="BY126" s="155" t="str">
        <f t="shared" si="61"/>
        <v/>
      </c>
      <c r="BZ126" s="155" t="str">
        <f t="shared" si="62"/>
        <v/>
      </c>
      <c r="CA126" s="155" t="str">
        <f t="shared" si="63"/>
        <v/>
      </c>
      <c r="CB126" s="155" t="str">
        <f t="shared" si="64"/>
        <v/>
      </c>
      <c r="CC126" s="155" t="str">
        <f t="shared" si="65"/>
        <v/>
      </c>
      <c r="CD126" s="155" t="str">
        <f t="shared" si="66"/>
        <v/>
      </c>
      <c r="CE126" s="155" t="str">
        <f t="shared" si="67"/>
        <v/>
      </c>
      <c r="CF126" s="155" t="str">
        <f t="shared" si="68"/>
        <v/>
      </c>
      <c r="CG126" s="155" t="str">
        <f t="shared" si="69"/>
        <v/>
      </c>
      <c r="CH126" s="155" t="str">
        <f t="shared" si="70"/>
        <v/>
      </c>
      <c r="CI126" s="155" t="str">
        <f t="shared" si="71"/>
        <v/>
      </c>
      <c r="CJ126" s="155" t="str">
        <f t="shared" si="72"/>
        <v/>
      </c>
      <c r="CK126" s="155" t="str">
        <f t="shared" si="73"/>
        <v/>
      </c>
      <c r="CL126" s="155" t="str">
        <f t="shared" si="74"/>
        <v/>
      </c>
      <c r="CM126" s="155" t="str">
        <f t="shared" si="75"/>
        <v/>
      </c>
      <c r="CN126" s="155" t="str">
        <f t="shared" si="76"/>
        <v/>
      </c>
      <c r="CO126" s="155" t="str">
        <f t="shared" si="77"/>
        <v/>
      </c>
      <c r="CP126" s="155" t="str">
        <f t="shared" si="78"/>
        <v/>
      </c>
      <c r="CQ126" s="155" t="str">
        <f t="shared" si="79"/>
        <v/>
      </c>
      <c r="CR126" s="155" t="str">
        <f t="shared" si="80"/>
        <v/>
      </c>
      <c r="CS126" s="155" t="str">
        <f t="shared" si="81"/>
        <v/>
      </c>
      <c r="CT126" s="155" t="str">
        <f t="shared" si="82"/>
        <v/>
      </c>
      <c r="CU126" s="155" t="str">
        <f t="shared" si="83"/>
        <v/>
      </c>
      <c r="CV126" s="155" t="str">
        <f t="shared" si="84"/>
        <v/>
      </c>
      <c r="CW126" s="155" t="str">
        <f t="shared" si="85"/>
        <v/>
      </c>
      <c r="CX126" s="155" t="str">
        <f t="shared" si="86"/>
        <v/>
      </c>
    </row>
    <row r="127" spans="1:102" s="151" customFormat="1" ht="25.5" outlineLevel="1" x14ac:dyDescent="0.2">
      <c r="A127" s="146"/>
      <c r="B127" s="147" t="str">
        <f>Services!B127</f>
        <v>05D</v>
      </c>
      <c r="C127" s="148" t="str">
        <f>Services!C127</f>
        <v>Contrôle, détection et traitement des incidents du réseau local</v>
      </c>
      <c r="D127" s="149"/>
      <c r="E127" s="149"/>
      <c r="F127" s="149"/>
      <c r="G127" s="149"/>
      <c r="H127" s="149"/>
      <c r="I127" s="140" t="str">
        <f t="shared" si="44"/>
        <v/>
      </c>
      <c r="J127" s="141" t="str">
        <f t="shared" si="45"/>
        <v/>
      </c>
      <c r="K127" s="142"/>
      <c r="L127" s="142"/>
      <c r="M127" s="1708"/>
      <c r="N127" s="1708"/>
      <c r="O127" s="1708"/>
      <c r="P127" s="1708"/>
      <c r="Q127" s="1708"/>
      <c r="R127" s="1708"/>
      <c r="S127" s="1708"/>
      <c r="T127" s="1708"/>
      <c r="U127" s="1708"/>
      <c r="V127" s="1708"/>
      <c r="W127" s="1708"/>
      <c r="X127" s="1712"/>
      <c r="Y127" s="1712"/>
      <c r="Z127" s="1712"/>
      <c r="AA127" s="1712"/>
      <c r="AB127" s="1712"/>
      <c r="AC127" s="1712"/>
      <c r="AD127" s="1712"/>
      <c r="AE127" s="1712"/>
      <c r="AF127" s="1712"/>
      <c r="AG127" s="1712"/>
      <c r="AH127" s="1712"/>
      <c r="AI127" s="1712"/>
      <c r="AJ127" s="1712"/>
      <c r="AK127" s="1712"/>
      <c r="AL127" s="1712"/>
      <c r="AM127" s="1712"/>
      <c r="AN127" s="1712"/>
      <c r="AO127" s="1712"/>
      <c r="AP127" s="1712"/>
      <c r="AQ127" s="1712"/>
      <c r="AR127" s="1712"/>
      <c r="AS127" s="1712"/>
      <c r="AT127" s="1712"/>
      <c r="AU127" s="1712"/>
      <c r="AV127" s="1712"/>
      <c r="AW127" s="1712"/>
      <c r="AX127" s="1713"/>
      <c r="AY127" s="1714" t="str">
        <f t="shared" si="46"/>
        <v/>
      </c>
      <c r="AZ127" s="1714" t="str">
        <f>IF(Obj_PA!D127="","",IF(AY127="","",Obj_PA!D127-AY127))</f>
        <v/>
      </c>
      <c r="BA127" s="150"/>
      <c r="BB127" s="150"/>
      <c r="BC127" s="150"/>
      <c r="BD127" s="150"/>
      <c r="BE127" s="150"/>
      <c r="BF127" s="150"/>
      <c r="BG127" s="150"/>
      <c r="BH127" s="150"/>
      <c r="BI127" s="150"/>
      <c r="BJ127" s="150"/>
      <c r="BK127" s="155" t="str">
        <f t="shared" si="47"/>
        <v/>
      </c>
      <c r="BL127" s="155" t="str">
        <f t="shared" si="48"/>
        <v/>
      </c>
      <c r="BM127" s="155" t="str">
        <f t="shared" si="49"/>
        <v/>
      </c>
      <c r="BN127" s="155" t="str">
        <f t="shared" si="50"/>
        <v/>
      </c>
      <c r="BO127" s="155" t="str">
        <f t="shared" si="51"/>
        <v/>
      </c>
      <c r="BP127" s="155" t="str">
        <f t="shared" si="52"/>
        <v/>
      </c>
      <c r="BQ127" s="155" t="str">
        <f t="shared" si="53"/>
        <v/>
      </c>
      <c r="BR127" s="155" t="str">
        <f t="shared" si="54"/>
        <v/>
      </c>
      <c r="BS127" s="155" t="str">
        <f t="shared" si="55"/>
        <v/>
      </c>
      <c r="BT127" s="155" t="str">
        <f t="shared" si="56"/>
        <v/>
      </c>
      <c r="BU127" s="155" t="str">
        <f t="shared" si="57"/>
        <v/>
      </c>
      <c r="BV127" s="155" t="str">
        <f t="shared" si="58"/>
        <v/>
      </c>
      <c r="BW127" s="155" t="str">
        <f t="shared" si="59"/>
        <v/>
      </c>
      <c r="BX127" s="155" t="str">
        <f t="shared" si="60"/>
        <v/>
      </c>
      <c r="BY127" s="155" t="str">
        <f t="shared" si="61"/>
        <v/>
      </c>
      <c r="BZ127" s="155" t="str">
        <f t="shared" si="62"/>
        <v/>
      </c>
      <c r="CA127" s="155" t="str">
        <f t="shared" si="63"/>
        <v/>
      </c>
      <c r="CB127" s="155" t="str">
        <f t="shared" si="64"/>
        <v/>
      </c>
      <c r="CC127" s="155" t="str">
        <f t="shared" si="65"/>
        <v/>
      </c>
      <c r="CD127" s="155" t="str">
        <f t="shared" si="66"/>
        <v/>
      </c>
      <c r="CE127" s="155" t="str">
        <f t="shared" si="67"/>
        <v/>
      </c>
      <c r="CF127" s="155" t="str">
        <f t="shared" si="68"/>
        <v/>
      </c>
      <c r="CG127" s="155" t="str">
        <f t="shared" si="69"/>
        <v/>
      </c>
      <c r="CH127" s="155" t="str">
        <f t="shared" si="70"/>
        <v/>
      </c>
      <c r="CI127" s="155" t="str">
        <f t="shared" si="71"/>
        <v/>
      </c>
      <c r="CJ127" s="155" t="str">
        <f t="shared" si="72"/>
        <v/>
      </c>
      <c r="CK127" s="155" t="str">
        <f t="shared" si="73"/>
        <v/>
      </c>
      <c r="CL127" s="155" t="str">
        <f t="shared" si="74"/>
        <v/>
      </c>
      <c r="CM127" s="155" t="str">
        <f t="shared" si="75"/>
        <v/>
      </c>
      <c r="CN127" s="155" t="str">
        <f t="shared" si="76"/>
        <v/>
      </c>
      <c r="CO127" s="155" t="str">
        <f t="shared" si="77"/>
        <v/>
      </c>
      <c r="CP127" s="155" t="str">
        <f t="shared" si="78"/>
        <v/>
      </c>
      <c r="CQ127" s="155" t="str">
        <f t="shared" si="79"/>
        <v/>
      </c>
      <c r="CR127" s="155" t="str">
        <f t="shared" si="80"/>
        <v/>
      </c>
      <c r="CS127" s="155" t="str">
        <f t="shared" si="81"/>
        <v/>
      </c>
      <c r="CT127" s="155" t="str">
        <f t="shared" si="82"/>
        <v/>
      </c>
      <c r="CU127" s="155" t="str">
        <f t="shared" si="83"/>
        <v/>
      </c>
      <c r="CV127" s="155" t="str">
        <f t="shared" si="84"/>
        <v/>
      </c>
      <c r="CW127" s="155" t="str">
        <f t="shared" si="85"/>
        <v/>
      </c>
      <c r="CX127" s="155" t="str">
        <f t="shared" si="86"/>
        <v/>
      </c>
    </row>
    <row r="128" spans="1:102" s="151" customFormat="1" ht="14.25" outlineLevel="1" x14ac:dyDescent="0.2">
      <c r="A128" s="156"/>
      <c r="B128" s="157" t="str">
        <f>Services!B128</f>
        <v>05D01</v>
      </c>
      <c r="C128" s="153" t="str">
        <f>Services!C128</f>
        <v>Surveillance (en temps réel) du réseau local</v>
      </c>
      <c r="D128" s="149">
        <f>1*(8*Plans_action!E207+Plans_action!D207)</f>
        <v>0</v>
      </c>
      <c r="E128" s="149"/>
      <c r="F128" s="149"/>
      <c r="G128" s="149"/>
      <c r="H128" s="149"/>
      <c r="I128" s="140" t="str">
        <f t="shared" si="44"/>
        <v/>
      </c>
      <c r="J128" s="141" t="str">
        <f t="shared" si="45"/>
        <v/>
      </c>
      <c r="K128" s="142"/>
      <c r="L128" s="142"/>
      <c r="M128" s="1708"/>
      <c r="N128" s="1708"/>
      <c r="O128" s="1708"/>
      <c r="P128" s="1708"/>
      <c r="Q128" s="1708"/>
      <c r="R128" s="1708"/>
      <c r="S128" s="1708"/>
      <c r="T128" s="1708"/>
      <c r="U128" s="1708"/>
      <c r="V128" s="1708"/>
      <c r="W128" s="1708"/>
      <c r="X128" s="1712"/>
      <c r="Y128" s="1712"/>
      <c r="Z128" s="1712"/>
      <c r="AA128" s="1712"/>
      <c r="AB128" s="1712"/>
      <c r="AC128" s="1712"/>
      <c r="AD128" s="1712"/>
      <c r="AE128" s="1712"/>
      <c r="AF128" s="1712"/>
      <c r="AG128" s="1712"/>
      <c r="AH128" s="1712"/>
      <c r="AI128" s="1712"/>
      <c r="AJ128" s="1712"/>
      <c r="AK128" s="1712"/>
      <c r="AL128" s="1712"/>
      <c r="AM128" s="1712"/>
      <c r="AN128" s="1712"/>
      <c r="AO128" s="1712"/>
      <c r="AP128" s="1712"/>
      <c r="AQ128" s="1712"/>
      <c r="AR128" s="1712"/>
      <c r="AS128" s="1712"/>
      <c r="AT128" s="1712"/>
      <c r="AU128" s="1712"/>
      <c r="AV128" s="1712"/>
      <c r="AW128" s="1712"/>
      <c r="AX128" s="1713"/>
      <c r="AY128" s="1714" t="str">
        <f t="shared" si="46"/>
        <v/>
      </c>
      <c r="AZ128" s="1714" t="str">
        <f>IF(Obj_PA!D128="","",IF(AY128="","",Obj_PA!D128-AY128))</f>
        <v/>
      </c>
      <c r="BA128" s="150"/>
      <c r="BB128" s="150"/>
      <c r="BC128" s="150"/>
      <c r="BD128" s="150"/>
      <c r="BE128" s="150"/>
      <c r="BF128" s="150"/>
      <c r="BG128" s="150"/>
      <c r="BH128" s="150"/>
      <c r="BI128" s="150"/>
      <c r="BJ128" s="150"/>
      <c r="BK128" s="155" t="str">
        <f t="shared" si="47"/>
        <v/>
      </c>
      <c r="BL128" s="155" t="str">
        <f t="shared" si="48"/>
        <v/>
      </c>
      <c r="BM128" s="155" t="str">
        <f t="shared" si="49"/>
        <v/>
      </c>
      <c r="BN128" s="155" t="str">
        <f t="shared" si="50"/>
        <v/>
      </c>
      <c r="BO128" s="155" t="str">
        <f t="shared" si="51"/>
        <v/>
      </c>
      <c r="BP128" s="155" t="str">
        <f t="shared" si="52"/>
        <v/>
      </c>
      <c r="BQ128" s="155" t="str">
        <f t="shared" si="53"/>
        <v/>
      </c>
      <c r="BR128" s="155" t="str">
        <f t="shared" si="54"/>
        <v/>
      </c>
      <c r="BS128" s="155" t="str">
        <f t="shared" si="55"/>
        <v/>
      </c>
      <c r="BT128" s="155" t="str">
        <f t="shared" si="56"/>
        <v/>
      </c>
      <c r="BU128" s="155" t="str">
        <f t="shared" si="57"/>
        <v/>
      </c>
      <c r="BV128" s="155" t="str">
        <f t="shared" si="58"/>
        <v/>
      </c>
      <c r="BW128" s="155" t="str">
        <f t="shared" si="59"/>
        <v/>
      </c>
      <c r="BX128" s="155" t="str">
        <f t="shared" si="60"/>
        <v/>
      </c>
      <c r="BY128" s="155" t="str">
        <f t="shared" si="61"/>
        <v/>
      </c>
      <c r="BZ128" s="155" t="str">
        <f t="shared" si="62"/>
        <v/>
      </c>
      <c r="CA128" s="155" t="str">
        <f t="shared" si="63"/>
        <v/>
      </c>
      <c r="CB128" s="155" t="str">
        <f t="shared" si="64"/>
        <v/>
      </c>
      <c r="CC128" s="155" t="str">
        <f t="shared" si="65"/>
        <v/>
      </c>
      <c r="CD128" s="155" t="str">
        <f t="shared" si="66"/>
        <v/>
      </c>
      <c r="CE128" s="155" t="str">
        <f t="shared" si="67"/>
        <v/>
      </c>
      <c r="CF128" s="155" t="str">
        <f t="shared" si="68"/>
        <v/>
      </c>
      <c r="CG128" s="155" t="str">
        <f t="shared" si="69"/>
        <v/>
      </c>
      <c r="CH128" s="155" t="str">
        <f t="shared" si="70"/>
        <v/>
      </c>
      <c r="CI128" s="155" t="str">
        <f t="shared" si="71"/>
        <v/>
      </c>
      <c r="CJ128" s="155" t="str">
        <f t="shared" si="72"/>
        <v/>
      </c>
      <c r="CK128" s="155" t="str">
        <f t="shared" si="73"/>
        <v/>
      </c>
      <c r="CL128" s="155" t="str">
        <f t="shared" si="74"/>
        <v/>
      </c>
      <c r="CM128" s="155" t="str">
        <f t="shared" si="75"/>
        <v/>
      </c>
      <c r="CN128" s="155" t="str">
        <f t="shared" si="76"/>
        <v/>
      </c>
      <c r="CO128" s="155" t="str">
        <f t="shared" si="77"/>
        <v/>
      </c>
      <c r="CP128" s="155" t="str">
        <f t="shared" si="78"/>
        <v/>
      </c>
      <c r="CQ128" s="155" t="str">
        <f t="shared" si="79"/>
        <v/>
      </c>
      <c r="CR128" s="155" t="str">
        <f t="shared" si="80"/>
        <v/>
      </c>
      <c r="CS128" s="155" t="str">
        <f t="shared" si="81"/>
        <v/>
      </c>
      <c r="CT128" s="155" t="str">
        <f t="shared" si="82"/>
        <v/>
      </c>
      <c r="CU128" s="155" t="str">
        <f t="shared" si="83"/>
        <v/>
      </c>
      <c r="CV128" s="155" t="str">
        <f t="shared" si="84"/>
        <v/>
      </c>
      <c r="CW128" s="155" t="str">
        <f t="shared" si="85"/>
        <v/>
      </c>
      <c r="CX128" s="155" t="str">
        <f t="shared" si="86"/>
        <v/>
      </c>
    </row>
    <row r="129" spans="1:102" s="151" customFormat="1" ht="25.5" outlineLevel="1" x14ac:dyDescent="0.2">
      <c r="A129" s="146"/>
      <c r="B129" s="157" t="str">
        <f>Services!B129</f>
        <v>05D02</v>
      </c>
      <c r="C129" s="153" t="str">
        <f>Services!C129</f>
        <v>Analyse (en temps différé) des traces, logs et journaux d'événements sur le réseau local</v>
      </c>
      <c r="D129" s="149"/>
      <c r="E129" s="149">
        <f>2*(8*Plans_action!E207+Plans_action!D207)</f>
        <v>0</v>
      </c>
      <c r="F129" s="149"/>
      <c r="G129" s="149"/>
      <c r="H129" s="149"/>
      <c r="I129" s="140" t="str">
        <f t="shared" si="44"/>
        <v/>
      </c>
      <c r="J129" s="141" t="str">
        <f t="shared" si="45"/>
        <v/>
      </c>
      <c r="K129" s="142"/>
      <c r="L129" s="142"/>
      <c r="M129" s="1708"/>
      <c r="N129" s="1708"/>
      <c r="O129" s="1708"/>
      <c r="P129" s="1708"/>
      <c r="Q129" s="1708"/>
      <c r="R129" s="1708"/>
      <c r="S129" s="1708"/>
      <c r="T129" s="1708"/>
      <c r="U129" s="1708"/>
      <c r="V129" s="1708"/>
      <c r="W129" s="1708"/>
      <c r="X129" s="1712"/>
      <c r="Y129" s="1712"/>
      <c r="Z129" s="1712"/>
      <c r="AA129" s="1712"/>
      <c r="AB129" s="1712"/>
      <c r="AC129" s="1712"/>
      <c r="AD129" s="1712"/>
      <c r="AE129" s="1712"/>
      <c r="AF129" s="1712"/>
      <c r="AG129" s="1712"/>
      <c r="AH129" s="1712"/>
      <c r="AI129" s="1712"/>
      <c r="AJ129" s="1712"/>
      <c r="AK129" s="1712"/>
      <c r="AL129" s="1712"/>
      <c r="AM129" s="1712"/>
      <c r="AN129" s="1712"/>
      <c r="AO129" s="1712"/>
      <c r="AP129" s="1712"/>
      <c r="AQ129" s="1712"/>
      <c r="AR129" s="1712"/>
      <c r="AS129" s="1712"/>
      <c r="AT129" s="1712"/>
      <c r="AU129" s="1712"/>
      <c r="AV129" s="1712"/>
      <c r="AW129" s="1712"/>
      <c r="AX129" s="1713"/>
      <c r="AY129" s="1714" t="str">
        <f t="shared" si="46"/>
        <v/>
      </c>
      <c r="AZ129" s="1714" t="str">
        <f>IF(Obj_PA!D129="","",IF(AY129="","",Obj_PA!D129-AY129))</f>
        <v/>
      </c>
      <c r="BA129" s="150"/>
      <c r="BB129" s="150"/>
      <c r="BC129" s="150"/>
      <c r="BD129" s="150"/>
      <c r="BE129" s="150"/>
      <c r="BF129" s="150"/>
      <c r="BG129" s="150"/>
      <c r="BH129" s="150"/>
      <c r="BI129" s="150"/>
      <c r="BJ129" s="150"/>
      <c r="BK129" s="155" t="str">
        <f t="shared" si="47"/>
        <v/>
      </c>
      <c r="BL129" s="155" t="str">
        <f t="shared" si="48"/>
        <v/>
      </c>
      <c r="BM129" s="155" t="str">
        <f t="shared" si="49"/>
        <v/>
      </c>
      <c r="BN129" s="155" t="str">
        <f t="shared" si="50"/>
        <v/>
      </c>
      <c r="BO129" s="155" t="str">
        <f t="shared" si="51"/>
        <v/>
      </c>
      <c r="BP129" s="155" t="str">
        <f t="shared" si="52"/>
        <v/>
      </c>
      <c r="BQ129" s="155" t="str">
        <f t="shared" si="53"/>
        <v/>
      </c>
      <c r="BR129" s="155" t="str">
        <f t="shared" si="54"/>
        <v/>
      </c>
      <c r="BS129" s="155" t="str">
        <f t="shared" si="55"/>
        <v/>
      </c>
      <c r="BT129" s="155" t="str">
        <f t="shared" si="56"/>
        <v/>
      </c>
      <c r="BU129" s="155" t="str">
        <f t="shared" si="57"/>
        <v/>
      </c>
      <c r="BV129" s="155" t="str">
        <f t="shared" si="58"/>
        <v/>
      </c>
      <c r="BW129" s="155" t="str">
        <f t="shared" si="59"/>
        <v/>
      </c>
      <c r="BX129" s="155" t="str">
        <f t="shared" si="60"/>
        <v/>
      </c>
      <c r="BY129" s="155" t="str">
        <f t="shared" si="61"/>
        <v/>
      </c>
      <c r="BZ129" s="155" t="str">
        <f t="shared" si="62"/>
        <v/>
      </c>
      <c r="CA129" s="155" t="str">
        <f t="shared" si="63"/>
        <v/>
      </c>
      <c r="CB129" s="155" t="str">
        <f t="shared" si="64"/>
        <v/>
      </c>
      <c r="CC129" s="155" t="str">
        <f t="shared" si="65"/>
        <v/>
      </c>
      <c r="CD129" s="155" t="str">
        <f t="shared" si="66"/>
        <v/>
      </c>
      <c r="CE129" s="155" t="str">
        <f t="shared" si="67"/>
        <v/>
      </c>
      <c r="CF129" s="155" t="str">
        <f t="shared" si="68"/>
        <v/>
      </c>
      <c r="CG129" s="155" t="str">
        <f t="shared" si="69"/>
        <v/>
      </c>
      <c r="CH129" s="155" t="str">
        <f t="shared" si="70"/>
        <v/>
      </c>
      <c r="CI129" s="155" t="str">
        <f t="shared" si="71"/>
        <v/>
      </c>
      <c r="CJ129" s="155" t="str">
        <f t="shared" si="72"/>
        <v/>
      </c>
      <c r="CK129" s="155" t="str">
        <f t="shared" si="73"/>
        <v/>
      </c>
      <c r="CL129" s="155" t="str">
        <f t="shared" si="74"/>
        <v/>
      </c>
      <c r="CM129" s="155" t="str">
        <f t="shared" si="75"/>
        <v/>
      </c>
      <c r="CN129" s="155" t="str">
        <f t="shared" si="76"/>
        <v/>
      </c>
      <c r="CO129" s="155" t="str">
        <f t="shared" si="77"/>
        <v/>
      </c>
      <c r="CP129" s="155" t="str">
        <f t="shared" si="78"/>
        <v/>
      </c>
      <c r="CQ129" s="155" t="str">
        <f t="shared" si="79"/>
        <v/>
      </c>
      <c r="CR129" s="155" t="str">
        <f t="shared" si="80"/>
        <v/>
      </c>
      <c r="CS129" s="155" t="str">
        <f t="shared" si="81"/>
        <v/>
      </c>
      <c r="CT129" s="155" t="str">
        <f t="shared" si="82"/>
        <v/>
      </c>
      <c r="CU129" s="155" t="str">
        <f t="shared" si="83"/>
        <v/>
      </c>
      <c r="CV129" s="155" t="str">
        <f t="shared" si="84"/>
        <v/>
      </c>
      <c r="CW129" s="155" t="str">
        <f t="shared" si="85"/>
        <v/>
      </c>
      <c r="CX129" s="155" t="str">
        <f t="shared" si="86"/>
        <v/>
      </c>
    </row>
    <row r="130" spans="1:102" s="151" customFormat="1" ht="14.25" outlineLevel="1" x14ac:dyDescent="0.2">
      <c r="A130" s="146"/>
      <c r="B130" s="157" t="str">
        <f>Services!B130</f>
        <v>05D03</v>
      </c>
      <c r="C130" s="153" t="str">
        <f>Services!C130</f>
        <v>Traitement des incidents du réseau local</v>
      </c>
      <c r="D130" s="149"/>
      <c r="E130" s="149">
        <f>2*(8*Plans_action!E207+Plans_action!D207)</f>
        <v>0</v>
      </c>
      <c r="F130" s="149"/>
      <c r="G130" s="149"/>
      <c r="H130" s="149"/>
      <c r="I130" s="140" t="str">
        <f t="shared" si="44"/>
        <v/>
      </c>
      <c r="J130" s="141" t="str">
        <f t="shared" si="45"/>
        <v/>
      </c>
      <c r="K130" s="142"/>
      <c r="L130" s="142"/>
      <c r="M130" s="1708"/>
      <c r="N130" s="1708"/>
      <c r="O130" s="1708"/>
      <c r="P130" s="1708"/>
      <c r="Q130" s="1708"/>
      <c r="R130" s="1708"/>
      <c r="S130" s="1708"/>
      <c r="T130" s="1708"/>
      <c r="U130" s="1708"/>
      <c r="V130" s="1708"/>
      <c r="W130" s="1708"/>
      <c r="X130" s="1712"/>
      <c r="Y130" s="1712"/>
      <c r="Z130" s="1712"/>
      <c r="AA130" s="1712"/>
      <c r="AB130" s="1712"/>
      <c r="AC130" s="1712"/>
      <c r="AD130" s="1712"/>
      <c r="AE130" s="1712"/>
      <c r="AF130" s="1712"/>
      <c r="AG130" s="1712"/>
      <c r="AH130" s="1712"/>
      <c r="AI130" s="1712"/>
      <c r="AJ130" s="1712"/>
      <c r="AK130" s="1712"/>
      <c r="AL130" s="1712"/>
      <c r="AM130" s="1712"/>
      <c r="AN130" s="1712"/>
      <c r="AO130" s="1712"/>
      <c r="AP130" s="1712"/>
      <c r="AQ130" s="1712"/>
      <c r="AR130" s="1712"/>
      <c r="AS130" s="1712"/>
      <c r="AT130" s="1712"/>
      <c r="AU130" s="1712"/>
      <c r="AV130" s="1712"/>
      <c r="AW130" s="1712"/>
      <c r="AX130" s="1713"/>
      <c r="AY130" s="1714" t="str">
        <f t="shared" si="46"/>
        <v/>
      </c>
      <c r="AZ130" s="1714" t="str">
        <f>IF(Obj_PA!D130="","",IF(AY130="","",Obj_PA!D130-AY130))</f>
        <v/>
      </c>
      <c r="BA130" s="150"/>
      <c r="BB130" s="150"/>
      <c r="BC130" s="150"/>
      <c r="BD130" s="150"/>
      <c r="BE130" s="150"/>
      <c r="BF130" s="150"/>
      <c r="BG130" s="150"/>
      <c r="BH130" s="150"/>
      <c r="BI130" s="150"/>
      <c r="BJ130" s="150"/>
      <c r="BK130" s="155" t="str">
        <f t="shared" si="47"/>
        <v/>
      </c>
      <c r="BL130" s="155" t="str">
        <f t="shared" si="48"/>
        <v/>
      </c>
      <c r="BM130" s="155" t="str">
        <f t="shared" si="49"/>
        <v/>
      </c>
      <c r="BN130" s="155" t="str">
        <f t="shared" si="50"/>
        <v/>
      </c>
      <c r="BO130" s="155" t="str">
        <f t="shared" si="51"/>
        <v/>
      </c>
      <c r="BP130" s="155" t="str">
        <f t="shared" si="52"/>
        <v/>
      </c>
      <c r="BQ130" s="155" t="str">
        <f t="shared" si="53"/>
        <v/>
      </c>
      <c r="BR130" s="155" t="str">
        <f t="shared" si="54"/>
        <v/>
      </c>
      <c r="BS130" s="155" t="str">
        <f t="shared" si="55"/>
        <v/>
      </c>
      <c r="BT130" s="155" t="str">
        <f t="shared" si="56"/>
        <v/>
      </c>
      <c r="BU130" s="155" t="str">
        <f t="shared" si="57"/>
        <v/>
      </c>
      <c r="BV130" s="155" t="str">
        <f t="shared" si="58"/>
        <v/>
      </c>
      <c r="BW130" s="155" t="str">
        <f t="shared" si="59"/>
        <v/>
      </c>
      <c r="BX130" s="155" t="str">
        <f t="shared" si="60"/>
        <v/>
      </c>
      <c r="BY130" s="155" t="str">
        <f t="shared" si="61"/>
        <v/>
      </c>
      <c r="BZ130" s="155" t="str">
        <f t="shared" si="62"/>
        <v/>
      </c>
      <c r="CA130" s="155" t="str">
        <f t="shared" si="63"/>
        <v/>
      </c>
      <c r="CB130" s="155" t="str">
        <f t="shared" si="64"/>
        <v/>
      </c>
      <c r="CC130" s="155" t="str">
        <f t="shared" si="65"/>
        <v/>
      </c>
      <c r="CD130" s="155" t="str">
        <f t="shared" si="66"/>
        <v/>
      </c>
      <c r="CE130" s="155" t="str">
        <f t="shared" si="67"/>
        <v/>
      </c>
      <c r="CF130" s="155" t="str">
        <f t="shared" si="68"/>
        <v/>
      </c>
      <c r="CG130" s="155" t="str">
        <f t="shared" si="69"/>
        <v/>
      </c>
      <c r="CH130" s="155" t="str">
        <f t="shared" si="70"/>
        <v/>
      </c>
      <c r="CI130" s="155" t="str">
        <f t="shared" si="71"/>
        <v/>
      </c>
      <c r="CJ130" s="155" t="str">
        <f t="shared" si="72"/>
        <v/>
      </c>
      <c r="CK130" s="155" t="str">
        <f t="shared" si="73"/>
        <v/>
      </c>
      <c r="CL130" s="155" t="str">
        <f t="shared" si="74"/>
        <v/>
      </c>
      <c r="CM130" s="155" t="str">
        <f t="shared" si="75"/>
        <v/>
      </c>
      <c r="CN130" s="155" t="str">
        <f t="shared" si="76"/>
        <v/>
      </c>
      <c r="CO130" s="155" t="str">
        <f t="shared" si="77"/>
        <v/>
      </c>
      <c r="CP130" s="155" t="str">
        <f t="shared" si="78"/>
        <v/>
      </c>
      <c r="CQ130" s="155" t="str">
        <f t="shared" si="79"/>
        <v/>
      </c>
      <c r="CR130" s="155" t="str">
        <f t="shared" si="80"/>
        <v/>
      </c>
      <c r="CS130" s="155" t="str">
        <f t="shared" si="81"/>
        <v/>
      </c>
      <c r="CT130" s="155" t="str">
        <f t="shared" si="82"/>
        <v/>
      </c>
      <c r="CU130" s="155" t="str">
        <f t="shared" si="83"/>
        <v/>
      </c>
      <c r="CV130" s="155" t="str">
        <f t="shared" si="84"/>
        <v/>
      </c>
      <c r="CW130" s="155" t="str">
        <f t="shared" si="85"/>
        <v/>
      </c>
      <c r="CX130" s="155" t="str">
        <f t="shared" si="86"/>
        <v/>
      </c>
    </row>
    <row r="131" spans="1:102" ht="15" x14ac:dyDescent="0.2">
      <c r="A131" s="136" t="s">
        <v>2248</v>
      </c>
      <c r="B131" s="136" t="str">
        <f>Services!B131</f>
        <v>Exploitation des réseaux (06 Exr)</v>
      </c>
      <c r="C131" s="161"/>
      <c r="D131" s="149"/>
      <c r="E131" s="149"/>
      <c r="F131" s="149"/>
      <c r="G131" s="149"/>
      <c r="H131" s="149"/>
      <c r="I131" s="140" t="str">
        <f t="shared" si="44"/>
        <v/>
      </c>
      <c r="J131" s="141" t="str">
        <f t="shared" si="45"/>
        <v/>
      </c>
      <c r="K131" s="142"/>
      <c r="L131" s="142"/>
      <c r="M131" s="1708"/>
      <c r="N131" s="1708"/>
      <c r="O131" s="1708"/>
      <c r="P131" s="1708"/>
      <c r="Q131" s="1708"/>
      <c r="R131" s="1708"/>
      <c r="S131" s="1708"/>
      <c r="T131" s="1708"/>
      <c r="U131" s="1708"/>
      <c r="V131" s="1708"/>
      <c r="W131" s="1708"/>
      <c r="X131" s="1709"/>
      <c r="Y131" s="1709"/>
      <c r="Z131" s="1709"/>
      <c r="AA131" s="1709"/>
      <c r="AB131" s="1709"/>
      <c r="AC131" s="1709"/>
      <c r="AD131" s="1709"/>
      <c r="AE131" s="1709"/>
      <c r="AF131" s="1709"/>
      <c r="AG131" s="1709"/>
      <c r="AH131" s="1709"/>
      <c r="AI131" s="1709"/>
      <c r="AJ131" s="1709"/>
      <c r="AK131" s="1709"/>
      <c r="AL131" s="1709"/>
      <c r="AM131" s="1709"/>
      <c r="AN131" s="1709"/>
      <c r="AO131" s="1709"/>
      <c r="AP131" s="1709"/>
      <c r="AQ131" s="1709"/>
      <c r="AR131" s="1709"/>
      <c r="AS131" s="1709"/>
      <c r="AT131" s="1709"/>
      <c r="AU131" s="1709"/>
      <c r="AV131" s="1709"/>
      <c r="AW131" s="1709"/>
      <c r="AX131" s="1710"/>
      <c r="AY131" s="1714" t="str">
        <f t="shared" si="46"/>
        <v/>
      </c>
      <c r="AZ131" s="1714" t="str">
        <f>IF(Obj_PA!D131="","",IF(AY131="","",Obj_PA!D131-AY131))</f>
        <v/>
      </c>
      <c r="BK131" s="155" t="str">
        <f t="shared" si="47"/>
        <v/>
      </c>
      <c r="BL131" s="155" t="str">
        <f t="shared" si="48"/>
        <v/>
      </c>
      <c r="BM131" s="155" t="str">
        <f t="shared" si="49"/>
        <v/>
      </c>
      <c r="BN131" s="155" t="str">
        <f t="shared" si="50"/>
        <v/>
      </c>
      <c r="BO131" s="155" t="str">
        <f t="shared" si="51"/>
        <v/>
      </c>
      <c r="BP131" s="155" t="str">
        <f t="shared" si="52"/>
        <v/>
      </c>
      <c r="BQ131" s="155" t="str">
        <f t="shared" si="53"/>
        <v/>
      </c>
      <c r="BR131" s="155" t="str">
        <f t="shared" si="54"/>
        <v/>
      </c>
      <c r="BS131" s="155" t="str">
        <f t="shared" si="55"/>
        <v/>
      </c>
      <c r="BT131" s="155" t="str">
        <f t="shared" si="56"/>
        <v/>
      </c>
      <c r="BU131" s="155" t="str">
        <f t="shared" si="57"/>
        <v/>
      </c>
      <c r="BV131" s="155" t="str">
        <f t="shared" si="58"/>
        <v/>
      </c>
      <c r="BW131" s="155" t="str">
        <f t="shared" si="59"/>
        <v/>
      </c>
      <c r="BX131" s="155" t="str">
        <f t="shared" si="60"/>
        <v/>
      </c>
      <c r="BY131" s="155" t="str">
        <f t="shared" si="61"/>
        <v/>
      </c>
      <c r="BZ131" s="155" t="str">
        <f t="shared" si="62"/>
        <v/>
      </c>
      <c r="CA131" s="155" t="str">
        <f t="shared" si="63"/>
        <v/>
      </c>
      <c r="CB131" s="155" t="str">
        <f t="shared" si="64"/>
        <v/>
      </c>
      <c r="CC131" s="155" t="str">
        <f t="shared" si="65"/>
        <v/>
      </c>
      <c r="CD131" s="155" t="str">
        <f t="shared" si="66"/>
        <v/>
      </c>
      <c r="CE131" s="155" t="str">
        <f t="shared" si="67"/>
        <v/>
      </c>
      <c r="CF131" s="155" t="str">
        <f t="shared" si="68"/>
        <v/>
      </c>
      <c r="CG131" s="155" t="str">
        <f t="shared" si="69"/>
        <v/>
      </c>
      <c r="CH131" s="155" t="str">
        <f t="shared" si="70"/>
        <v/>
      </c>
      <c r="CI131" s="155" t="str">
        <f t="shared" si="71"/>
        <v/>
      </c>
      <c r="CJ131" s="155" t="str">
        <f t="shared" si="72"/>
        <v/>
      </c>
      <c r="CK131" s="155" t="str">
        <f t="shared" si="73"/>
        <v/>
      </c>
      <c r="CL131" s="155" t="str">
        <f t="shared" si="74"/>
        <v/>
      </c>
      <c r="CM131" s="155" t="str">
        <f t="shared" si="75"/>
        <v/>
      </c>
      <c r="CN131" s="155" t="str">
        <f t="shared" si="76"/>
        <v/>
      </c>
      <c r="CO131" s="155" t="str">
        <f t="shared" si="77"/>
        <v/>
      </c>
      <c r="CP131" s="155" t="str">
        <f t="shared" si="78"/>
        <v/>
      </c>
      <c r="CQ131" s="155" t="str">
        <f t="shared" si="79"/>
        <v/>
      </c>
      <c r="CR131" s="155" t="str">
        <f t="shared" si="80"/>
        <v/>
      </c>
      <c r="CS131" s="155" t="str">
        <f t="shared" si="81"/>
        <v/>
      </c>
      <c r="CT131" s="155" t="str">
        <f t="shared" si="82"/>
        <v/>
      </c>
      <c r="CU131" s="155" t="str">
        <f t="shared" si="83"/>
        <v/>
      </c>
      <c r="CV131" s="155" t="str">
        <f t="shared" si="84"/>
        <v/>
      </c>
      <c r="CW131" s="155" t="str">
        <f t="shared" si="85"/>
        <v/>
      </c>
      <c r="CX131" s="155" t="str">
        <f t="shared" si="86"/>
        <v/>
      </c>
    </row>
    <row r="132" spans="1:102" s="151" customFormat="1" ht="14.25" outlineLevel="1" x14ac:dyDescent="0.2">
      <c r="A132" s="146"/>
      <c r="B132" s="147" t="str">
        <f>Services!B132</f>
        <v>06A</v>
      </c>
      <c r="C132" s="148" t="str">
        <f>Services!C132</f>
        <v>Sécurité des procédures d'exploitation</v>
      </c>
      <c r="D132" s="149"/>
      <c r="E132" s="149"/>
      <c r="F132" s="149"/>
      <c r="G132" s="149"/>
      <c r="H132" s="149"/>
      <c r="I132" s="140" t="str">
        <f t="shared" si="44"/>
        <v/>
      </c>
      <c r="J132" s="141" t="str">
        <f t="shared" si="45"/>
        <v/>
      </c>
      <c r="K132" s="142"/>
      <c r="L132" s="142"/>
      <c r="M132" s="1708"/>
      <c r="N132" s="1708"/>
      <c r="O132" s="1708"/>
      <c r="P132" s="1708"/>
      <c r="Q132" s="1708"/>
      <c r="R132" s="1708"/>
      <c r="S132" s="1708"/>
      <c r="T132" s="1708"/>
      <c r="U132" s="1708"/>
      <c r="V132" s="1708"/>
      <c r="W132" s="1708"/>
      <c r="X132" s="1712"/>
      <c r="Y132" s="1712"/>
      <c r="Z132" s="1712"/>
      <c r="AA132" s="1712"/>
      <c r="AB132" s="1712"/>
      <c r="AC132" s="1712"/>
      <c r="AD132" s="1712"/>
      <c r="AE132" s="1712"/>
      <c r="AF132" s="1712"/>
      <c r="AG132" s="1712"/>
      <c r="AH132" s="1712"/>
      <c r="AI132" s="1712"/>
      <c r="AJ132" s="1712"/>
      <c r="AK132" s="1712"/>
      <c r="AL132" s="1712"/>
      <c r="AM132" s="1712"/>
      <c r="AN132" s="1712"/>
      <c r="AO132" s="1712"/>
      <c r="AP132" s="1712"/>
      <c r="AQ132" s="1712"/>
      <c r="AR132" s="1712"/>
      <c r="AS132" s="1712"/>
      <c r="AT132" s="1712"/>
      <c r="AU132" s="1712"/>
      <c r="AV132" s="1712"/>
      <c r="AW132" s="1712"/>
      <c r="AX132" s="1713"/>
      <c r="AY132" s="1714" t="str">
        <f t="shared" si="46"/>
        <v/>
      </c>
      <c r="AZ132" s="1714" t="str">
        <f>IF(Obj_PA!D132="","",IF(AY132="","",Obj_PA!D132-AY132))</f>
        <v/>
      </c>
      <c r="BA132" s="150"/>
      <c r="BB132" s="150"/>
      <c r="BC132" s="150"/>
      <c r="BD132" s="150"/>
      <c r="BE132" s="150"/>
      <c r="BF132" s="150"/>
      <c r="BG132" s="150"/>
      <c r="BH132" s="150"/>
      <c r="BI132" s="150"/>
      <c r="BJ132" s="150"/>
      <c r="BK132" s="155" t="str">
        <f t="shared" si="47"/>
        <v/>
      </c>
      <c r="BL132" s="155" t="str">
        <f t="shared" si="48"/>
        <v/>
      </c>
      <c r="BM132" s="155" t="str">
        <f t="shared" si="49"/>
        <v/>
      </c>
      <c r="BN132" s="155" t="str">
        <f t="shared" si="50"/>
        <v/>
      </c>
      <c r="BO132" s="155" t="str">
        <f t="shared" si="51"/>
        <v/>
      </c>
      <c r="BP132" s="155" t="str">
        <f t="shared" si="52"/>
        <v/>
      </c>
      <c r="BQ132" s="155" t="str">
        <f t="shared" si="53"/>
        <v/>
      </c>
      <c r="BR132" s="155" t="str">
        <f t="shared" si="54"/>
        <v/>
      </c>
      <c r="BS132" s="155" t="str">
        <f t="shared" si="55"/>
        <v/>
      </c>
      <c r="BT132" s="155" t="str">
        <f t="shared" si="56"/>
        <v/>
      </c>
      <c r="BU132" s="155" t="str">
        <f t="shared" si="57"/>
        <v/>
      </c>
      <c r="BV132" s="155" t="str">
        <f t="shared" si="58"/>
        <v/>
      </c>
      <c r="BW132" s="155" t="str">
        <f t="shared" si="59"/>
        <v/>
      </c>
      <c r="BX132" s="155" t="str">
        <f t="shared" si="60"/>
        <v/>
      </c>
      <c r="BY132" s="155" t="str">
        <f t="shared" si="61"/>
        <v/>
      </c>
      <c r="BZ132" s="155" t="str">
        <f t="shared" si="62"/>
        <v/>
      </c>
      <c r="CA132" s="155" t="str">
        <f t="shared" si="63"/>
        <v/>
      </c>
      <c r="CB132" s="155" t="str">
        <f t="shared" si="64"/>
        <v/>
      </c>
      <c r="CC132" s="155" t="str">
        <f t="shared" si="65"/>
        <v/>
      </c>
      <c r="CD132" s="155" t="str">
        <f t="shared" si="66"/>
        <v/>
      </c>
      <c r="CE132" s="155" t="str">
        <f t="shared" si="67"/>
        <v/>
      </c>
      <c r="CF132" s="155" t="str">
        <f t="shared" si="68"/>
        <v/>
      </c>
      <c r="CG132" s="155" t="str">
        <f t="shared" si="69"/>
        <v/>
      </c>
      <c r="CH132" s="155" t="str">
        <f t="shared" si="70"/>
        <v/>
      </c>
      <c r="CI132" s="155" t="str">
        <f t="shared" si="71"/>
        <v/>
      </c>
      <c r="CJ132" s="155" t="str">
        <f t="shared" si="72"/>
        <v/>
      </c>
      <c r="CK132" s="155" t="str">
        <f t="shared" si="73"/>
        <v/>
      </c>
      <c r="CL132" s="155" t="str">
        <f t="shared" si="74"/>
        <v/>
      </c>
      <c r="CM132" s="155" t="str">
        <f t="shared" si="75"/>
        <v/>
      </c>
      <c r="CN132" s="155" t="str">
        <f t="shared" si="76"/>
        <v/>
      </c>
      <c r="CO132" s="155" t="str">
        <f t="shared" si="77"/>
        <v/>
      </c>
      <c r="CP132" s="155" t="str">
        <f t="shared" si="78"/>
        <v/>
      </c>
      <c r="CQ132" s="155" t="str">
        <f t="shared" si="79"/>
        <v/>
      </c>
      <c r="CR132" s="155" t="str">
        <f t="shared" si="80"/>
        <v/>
      </c>
      <c r="CS132" s="155" t="str">
        <f t="shared" si="81"/>
        <v/>
      </c>
      <c r="CT132" s="155" t="str">
        <f t="shared" si="82"/>
        <v/>
      </c>
      <c r="CU132" s="155" t="str">
        <f t="shared" si="83"/>
        <v/>
      </c>
      <c r="CV132" s="155" t="str">
        <f t="shared" si="84"/>
        <v/>
      </c>
      <c r="CW132" s="155" t="str">
        <f t="shared" si="85"/>
        <v/>
      </c>
      <c r="CX132" s="155" t="str">
        <f t="shared" si="86"/>
        <v/>
      </c>
    </row>
    <row r="133" spans="1:102" s="151" customFormat="1" ht="25.5" outlineLevel="1" x14ac:dyDescent="0.2">
      <c r="A133" s="156"/>
      <c r="B133" s="157" t="str">
        <f>Services!B133</f>
        <v>06A01</v>
      </c>
      <c r="C133" s="153" t="str">
        <f>Services!C133</f>
        <v>Prise en compte de la sécurité dans les relations avec le personnel d'exploitation (salariés et prestataires)</v>
      </c>
      <c r="D133" s="149"/>
      <c r="E133" s="149">
        <f>2*(8*Plans_action!E158+Plans_action!D158)</f>
        <v>0</v>
      </c>
      <c r="F133" s="149"/>
      <c r="G133" s="149"/>
      <c r="H133" s="149"/>
      <c r="I133" s="140" t="str">
        <f t="shared" ref="I133:I196" si="87">IF(SUM(D133:H133)=0,"",LOG(SUM(D133:H133),2))</f>
        <v/>
      </c>
      <c r="J133" s="141" t="str">
        <f t="shared" ref="J133:J196" si="88">IF(MAX(BK133:CX133)=0,"",MAX(BK133:CX133))</f>
        <v/>
      </c>
      <c r="K133" s="142"/>
      <c r="L133" s="142"/>
      <c r="M133" s="1708"/>
      <c r="N133" s="1708"/>
      <c r="O133" s="1708"/>
      <c r="P133" s="1708"/>
      <c r="Q133" s="1708"/>
      <c r="R133" s="1708"/>
      <c r="S133" s="1708"/>
      <c r="T133" s="1708"/>
      <c r="U133" s="1708"/>
      <c r="V133" s="1708"/>
      <c r="W133" s="1708"/>
      <c r="X133" s="1712"/>
      <c r="Y133" s="1712"/>
      <c r="Z133" s="1712"/>
      <c r="AA133" s="1712"/>
      <c r="AB133" s="1712"/>
      <c r="AC133" s="1712"/>
      <c r="AD133" s="1712"/>
      <c r="AE133" s="1712"/>
      <c r="AF133" s="1712"/>
      <c r="AG133" s="1712"/>
      <c r="AH133" s="1712"/>
      <c r="AI133" s="1712"/>
      <c r="AJ133" s="1712"/>
      <c r="AK133" s="1712"/>
      <c r="AL133" s="1712"/>
      <c r="AM133" s="1712"/>
      <c r="AN133" s="1712"/>
      <c r="AO133" s="1712"/>
      <c r="AP133" s="1712"/>
      <c r="AQ133" s="1712"/>
      <c r="AR133" s="1712"/>
      <c r="AS133" s="1712"/>
      <c r="AT133" s="1712"/>
      <c r="AU133" s="1712"/>
      <c r="AV133" s="1712"/>
      <c r="AW133" s="1712"/>
      <c r="AX133" s="1713"/>
      <c r="AY133" s="1714" t="str">
        <f t="shared" si="46"/>
        <v/>
      </c>
      <c r="AZ133" s="1714" t="str">
        <f>IF(Obj_PA!D133="","",IF(AY133="","",Obj_PA!D133-AY133))</f>
        <v/>
      </c>
      <c r="BA133" s="150"/>
      <c r="BB133" s="150"/>
      <c r="BC133" s="150"/>
      <c r="BD133" s="150"/>
      <c r="BE133" s="150"/>
      <c r="BF133" s="150"/>
      <c r="BG133" s="150"/>
      <c r="BH133" s="150"/>
      <c r="BI133" s="150"/>
      <c r="BJ133" s="150"/>
      <c r="BK133" s="155" t="str">
        <f t="shared" si="47"/>
        <v/>
      </c>
      <c r="BL133" s="155" t="str">
        <f t="shared" si="48"/>
        <v/>
      </c>
      <c r="BM133" s="155" t="str">
        <f t="shared" si="49"/>
        <v/>
      </c>
      <c r="BN133" s="155" t="str">
        <f t="shared" si="50"/>
        <v/>
      </c>
      <c r="BO133" s="155" t="str">
        <f t="shared" si="51"/>
        <v/>
      </c>
      <c r="BP133" s="155" t="str">
        <f t="shared" si="52"/>
        <v/>
      </c>
      <c r="BQ133" s="155" t="str">
        <f t="shared" si="53"/>
        <v/>
      </c>
      <c r="BR133" s="155" t="str">
        <f t="shared" si="54"/>
        <v/>
      </c>
      <c r="BS133" s="155" t="str">
        <f t="shared" si="55"/>
        <v/>
      </c>
      <c r="BT133" s="155" t="str">
        <f t="shared" si="56"/>
        <v/>
      </c>
      <c r="BU133" s="155" t="str">
        <f t="shared" si="57"/>
        <v/>
      </c>
      <c r="BV133" s="155" t="str">
        <f t="shared" si="58"/>
        <v/>
      </c>
      <c r="BW133" s="155" t="str">
        <f t="shared" si="59"/>
        <v/>
      </c>
      <c r="BX133" s="155" t="str">
        <f t="shared" si="60"/>
        <v/>
      </c>
      <c r="BY133" s="155" t="str">
        <f t="shared" si="61"/>
        <v/>
      </c>
      <c r="BZ133" s="155" t="str">
        <f t="shared" si="62"/>
        <v/>
      </c>
      <c r="CA133" s="155" t="str">
        <f t="shared" si="63"/>
        <v/>
      </c>
      <c r="CB133" s="155" t="str">
        <f t="shared" si="64"/>
        <v/>
      </c>
      <c r="CC133" s="155" t="str">
        <f t="shared" si="65"/>
        <v/>
      </c>
      <c r="CD133" s="155" t="str">
        <f t="shared" si="66"/>
        <v/>
      </c>
      <c r="CE133" s="155" t="str">
        <f t="shared" si="67"/>
        <v/>
      </c>
      <c r="CF133" s="155" t="str">
        <f t="shared" si="68"/>
        <v/>
      </c>
      <c r="CG133" s="155" t="str">
        <f t="shared" si="69"/>
        <v/>
      </c>
      <c r="CH133" s="155" t="str">
        <f t="shared" si="70"/>
        <v/>
      </c>
      <c r="CI133" s="155" t="str">
        <f t="shared" si="71"/>
        <v/>
      </c>
      <c r="CJ133" s="155" t="str">
        <f t="shared" si="72"/>
        <v/>
      </c>
      <c r="CK133" s="155" t="str">
        <f t="shared" si="73"/>
        <v/>
      </c>
      <c r="CL133" s="155" t="str">
        <f t="shared" si="74"/>
        <v/>
      </c>
      <c r="CM133" s="155" t="str">
        <f t="shared" si="75"/>
        <v/>
      </c>
      <c r="CN133" s="155" t="str">
        <f t="shared" si="76"/>
        <v/>
      </c>
      <c r="CO133" s="155" t="str">
        <f t="shared" si="77"/>
        <v/>
      </c>
      <c r="CP133" s="155" t="str">
        <f t="shared" si="78"/>
        <v/>
      </c>
      <c r="CQ133" s="155" t="str">
        <f t="shared" si="79"/>
        <v/>
      </c>
      <c r="CR133" s="155" t="str">
        <f t="shared" si="80"/>
        <v/>
      </c>
      <c r="CS133" s="155" t="str">
        <f t="shared" si="81"/>
        <v/>
      </c>
      <c r="CT133" s="155" t="str">
        <f t="shared" si="82"/>
        <v/>
      </c>
      <c r="CU133" s="155" t="str">
        <f t="shared" si="83"/>
        <v/>
      </c>
      <c r="CV133" s="155" t="str">
        <f t="shared" si="84"/>
        <v/>
      </c>
      <c r="CW133" s="155" t="str">
        <f t="shared" si="85"/>
        <v/>
      </c>
      <c r="CX133" s="155" t="str">
        <f t="shared" si="86"/>
        <v/>
      </c>
    </row>
    <row r="134" spans="1:102" s="151" customFormat="1" ht="25.5" outlineLevel="1" x14ac:dyDescent="0.2">
      <c r="A134" s="156"/>
      <c r="B134" s="157" t="str">
        <f>Services!B134</f>
        <v>06A02</v>
      </c>
      <c r="C134" s="153" t="str">
        <f>Services!C134</f>
        <v>Contrôle de la mise en production de nouveaux logiciels ou matériels ou d'évolutions de logiciels ou matériels</v>
      </c>
      <c r="D134" s="149">
        <f>1*(8*Plans_action!E200+Plans_action!D200)+1*(8*Plans_action!E207+Plans_action!D207)</f>
        <v>0</v>
      </c>
      <c r="E134" s="149">
        <f>2*(8*Plans_action!E158+Plans_action!D158)</f>
        <v>0</v>
      </c>
      <c r="F134" s="149"/>
      <c r="G134" s="149"/>
      <c r="H134" s="149">
        <f>5*(8*Plans_action!E263+Plans_action!D263)+5*(8*Plans_action!E268+Plans_action!D268)</f>
        <v>0</v>
      </c>
      <c r="I134" s="140" t="str">
        <f t="shared" si="87"/>
        <v/>
      </c>
      <c r="J134" s="141" t="str">
        <f t="shared" si="88"/>
        <v/>
      </c>
      <c r="K134" s="142"/>
      <c r="L134" s="142"/>
      <c r="M134" s="1708"/>
      <c r="N134" s="1708"/>
      <c r="O134" s="1708"/>
      <c r="P134" s="1708"/>
      <c r="Q134" s="1708"/>
      <c r="R134" s="1708"/>
      <c r="S134" s="1708"/>
      <c r="T134" s="1708"/>
      <c r="U134" s="1708"/>
      <c r="V134" s="1708"/>
      <c r="W134" s="1708"/>
      <c r="X134" s="1712"/>
      <c r="Y134" s="1712"/>
      <c r="Z134" s="1712"/>
      <c r="AA134" s="1712"/>
      <c r="AB134" s="1712"/>
      <c r="AC134" s="1712"/>
      <c r="AD134" s="1712"/>
      <c r="AE134" s="1712"/>
      <c r="AF134" s="1712"/>
      <c r="AG134" s="1712"/>
      <c r="AH134" s="1712"/>
      <c r="AI134" s="1712"/>
      <c r="AJ134" s="1712"/>
      <c r="AK134" s="1712"/>
      <c r="AL134" s="1712"/>
      <c r="AM134" s="1712"/>
      <c r="AN134" s="1712"/>
      <c r="AO134" s="1712"/>
      <c r="AP134" s="1712"/>
      <c r="AQ134" s="1712"/>
      <c r="AR134" s="1712"/>
      <c r="AS134" s="1712"/>
      <c r="AT134" s="1712"/>
      <c r="AU134" s="1712"/>
      <c r="AV134" s="1712"/>
      <c r="AW134" s="1712"/>
      <c r="AX134" s="1713"/>
      <c r="AY134" s="1714" t="str">
        <f t="shared" si="46"/>
        <v/>
      </c>
      <c r="AZ134" s="1714" t="str">
        <f>IF(Obj_PA!D134="","",IF(AY134="","",Obj_PA!D134-AY134))</f>
        <v/>
      </c>
      <c r="BA134" s="150"/>
      <c r="BB134" s="150"/>
      <c r="BC134" s="150"/>
      <c r="BD134" s="150"/>
      <c r="BE134" s="150"/>
      <c r="BF134" s="150"/>
      <c r="BG134" s="150"/>
      <c r="BH134" s="150"/>
      <c r="BI134" s="150"/>
      <c r="BJ134" s="150"/>
      <c r="BK134" s="155" t="str">
        <f t="shared" si="47"/>
        <v/>
      </c>
      <c r="BL134" s="155" t="str">
        <f t="shared" si="48"/>
        <v/>
      </c>
      <c r="BM134" s="155" t="str">
        <f t="shared" si="49"/>
        <v/>
      </c>
      <c r="BN134" s="155" t="str">
        <f t="shared" si="50"/>
        <v/>
      </c>
      <c r="BO134" s="155" t="str">
        <f t="shared" si="51"/>
        <v/>
      </c>
      <c r="BP134" s="155" t="str">
        <f t="shared" si="52"/>
        <v/>
      </c>
      <c r="BQ134" s="155" t="str">
        <f t="shared" si="53"/>
        <v/>
      </c>
      <c r="BR134" s="155" t="str">
        <f t="shared" si="54"/>
        <v/>
      </c>
      <c r="BS134" s="155" t="str">
        <f t="shared" si="55"/>
        <v/>
      </c>
      <c r="BT134" s="155" t="str">
        <f t="shared" si="56"/>
        <v/>
      </c>
      <c r="BU134" s="155" t="str">
        <f t="shared" si="57"/>
        <v/>
      </c>
      <c r="BV134" s="155" t="str">
        <f t="shared" si="58"/>
        <v/>
      </c>
      <c r="BW134" s="155" t="str">
        <f t="shared" si="59"/>
        <v/>
      </c>
      <c r="BX134" s="155" t="str">
        <f t="shared" si="60"/>
        <v/>
      </c>
      <c r="BY134" s="155" t="str">
        <f t="shared" si="61"/>
        <v/>
      </c>
      <c r="BZ134" s="155" t="str">
        <f t="shared" si="62"/>
        <v/>
      </c>
      <c r="CA134" s="155" t="str">
        <f t="shared" si="63"/>
        <v/>
      </c>
      <c r="CB134" s="155" t="str">
        <f t="shared" si="64"/>
        <v/>
      </c>
      <c r="CC134" s="155" t="str">
        <f t="shared" si="65"/>
        <v/>
      </c>
      <c r="CD134" s="155" t="str">
        <f t="shared" si="66"/>
        <v/>
      </c>
      <c r="CE134" s="155" t="str">
        <f t="shared" si="67"/>
        <v/>
      </c>
      <c r="CF134" s="155" t="str">
        <f t="shared" si="68"/>
        <v/>
      </c>
      <c r="CG134" s="155" t="str">
        <f t="shared" si="69"/>
        <v/>
      </c>
      <c r="CH134" s="155" t="str">
        <f t="shared" si="70"/>
        <v/>
      </c>
      <c r="CI134" s="155" t="str">
        <f t="shared" si="71"/>
        <v/>
      </c>
      <c r="CJ134" s="155" t="str">
        <f t="shared" si="72"/>
        <v/>
      </c>
      <c r="CK134" s="155" t="str">
        <f t="shared" si="73"/>
        <v/>
      </c>
      <c r="CL134" s="155" t="str">
        <f t="shared" si="74"/>
        <v/>
      </c>
      <c r="CM134" s="155" t="str">
        <f t="shared" si="75"/>
        <v/>
      </c>
      <c r="CN134" s="155" t="str">
        <f t="shared" si="76"/>
        <v/>
      </c>
      <c r="CO134" s="155" t="str">
        <f t="shared" si="77"/>
        <v/>
      </c>
      <c r="CP134" s="155" t="str">
        <f t="shared" si="78"/>
        <v/>
      </c>
      <c r="CQ134" s="155" t="str">
        <f t="shared" si="79"/>
        <v/>
      </c>
      <c r="CR134" s="155" t="str">
        <f t="shared" si="80"/>
        <v/>
      </c>
      <c r="CS134" s="155" t="str">
        <f t="shared" si="81"/>
        <v/>
      </c>
      <c r="CT134" s="155" t="str">
        <f t="shared" si="82"/>
        <v/>
      </c>
      <c r="CU134" s="155" t="str">
        <f t="shared" si="83"/>
        <v/>
      </c>
      <c r="CV134" s="155" t="str">
        <f t="shared" si="84"/>
        <v/>
      </c>
      <c r="CW134" s="155" t="str">
        <f t="shared" si="85"/>
        <v/>
      </c>
      <c r="CX134" s="155" t="str">
        <f t="shared" si="86"/>
        <v/>
      </c>
    </row>
    <row r="135" spans="1:102" s="151" customFormat="1" ht="14.25" outlineLevel="1" x14ac:dyDescent="0.2">
      <c r="A135" s="146"/>
      <c r="B135" s="157" t="str">
        <f>Services!B135</f>
        <v>06A03</v>
      </c>
      <c r="C135" s="153" t="str">
        <f>Services!C135</f>
        <v xml:space="preserve">Contrôle des opérations de maintenance </v>
      </c>
      <c r="D135" s="149"/>
      <c r="E135" s="149"/>
      <c r="F135" s="149">
        <f>3*(8*Plans_action!E263+Plans_action!D263)+3*(8*Plans_action!E268+Plans_action!D268)</f>
        <v>0</v>
      </c>
      <c r="G135" s="149"/>
      <c r="H135" s="149"/>
      <c r="I135" s="140" t="str">
        <f t="shared" si="87"/>
        <v/>
      </c>
      <c r="J135" s="141" t="str">
        <f t="shared" si="88"/>
        <v/>
      </c>
      <c r="K135" s="142"/>
      <c r="L135" s="142"/>
      <c r="M135" s="1708"/>
      <c r="N135" s="1708"/>
      <c r="O135" s="1708"/>
      <c r="P135" s="1708"/>
      <c r="Q135" s="1708"/>
      <c r="R135" s="1708"/>
      <c r="S135" s="1708"/>
      <c r="T135" s="1708"/>
      <c r="U135" s="1708"/>
      <c r="V135" s="1708"/>
      <c r="W135" s="1708"/>
      <c r="X135" s="1712"/>
      <c r="Y135" s="1712"/>
      <c r="Z135" s="1712"/>
      <c r="AA135" s="1712"/>
      <c r="AB135" s="1712"/>
      <c r="AC135" s="1712"/>
      <c r="AD135" s="1712"/>
      <c r="AE135" s="1712"/>
      <c r="AF135" s="1712"/>
      <c r="AG135" s="1712"/>
      <c r="AH135" s="1712"/>
      <c r="AI135" s="1712"/>
      <c r="AJ135" s="1712"/>
      <c r="AK135" s="1712"/>
      <c r="AL135" s="1712"/>
      <c r="AM135" s="1712"/>
      <c r="AN135" s="1712"/>
      <c r="AO135" s="1712"/>
      <c r="AP135" s="1712"/>
      <c r="AQ135" s="1712"/>
      <c r="AR135" s="1712"/>
      <c r="AS135" s="1712"/>
      <c r="AT135" s="1712"/>
      <c r="AU135" s="1712"/>
      <c r="AV135" s="1712"/>
      <c r="AW135" s="1712"/>
      <c r="AX135" s="1713"/>
      <c r="AY135" s="1714" t="str">
        <f t="shared" ref="AY135:AY198" si="89">IF(MAX(K135:AX135)=0,"",MAX(K135:AX135))</f>
        <v/>
      </c>
      <c r="AZ135" s="1714" t="str">
        <f>IF(Obj_PA!D135="","",IF(AY135="","",Obj_PA!D135-AY135))</f>
        <v/>
      </c>
      <c r="BA135" s="150"/>
      <c r="BB135" s="150"/>
      <c r="BC135" s="150"/>
      <c r="BD135" s="150"/>
      <c r="BE135" s="150"/>
      <c r="BF135" s="150"/>
      <c r="BG135" s="150"/>
      <c r="BH135" s="150"/>
      <c r="BI135" s="150"/>
      <c r="BJ135" s="150"/>
      <c r="BK135" s="155" t="str">
        <f t="shared" si="47"/>
        <v/>
      </c>
      <c r="BL135" s="155" t="str">
        <f t="shared" si="48"/>
        <v/>
      </c>
      <c r="BM135" s="155" t="str">
        <f t="shared" si="49"/>
        <v/>
      </c>
      <c r="BN135" s="155" t="str">
        <f t="shared" si="50"/>
        <v/>
      </c>
      <c r="BO135" s="155" t="str">
        <f t="shared" si="51"/>
        <v/>
      </c>
      <c r="BP135" s="155" t="str">
        <f t="shared" si="52"/>
        <v/>
      </c>
      <c r="BQ135" s="155" t="str">
        <f t="shared" si="53"/>
        <v/>
      </c>
      <c r="BR135" s="155" t="str">
        <f t="shared" si="54"/>
        <v/>
      </c>
      <c r="BS135" s="155" t="str">
        <f t="shared" si="55"/>
        <v/>
      </c>
      <c r="BT135" s="155" t="str">
        <f t="shared" si="56"/>
        <v/>
      </c>
      <c r="BU135" s="155" t="str">
        <f t="shared" si="57"/>
        <v/>
      </c>
      <c r="BV135" s="155" t="str">
        <f t="shared" si="58"/>
        <v/>
      </c>
      <c r="BW135" s="155" t="str">
        <f t="shared" si="59"/>
        <v/>
      </c>
      <c r="BX135" s="155" t="str">
        <f t="shared" si="60"/>
        <v/>
      </c>
      <c r="BY135" s="155" t="str">
        <f t="shared" si="61"/>
        <v/>
      </c>
      <c r="BZ135" s="155" t="str">
        <f t="shared" si="62"/>
        <v/>
      </c>
      <c r="CA135" s="155" t="str">
        <f t="shared" si="63"/>
        <v/>
      </c>
      <c r="CB135" s="155" t="str">
        <f t="shared" si="64"/>
        <v/>
      </c>
      <c r="CC135" s="155" t="str">
        <f t="shared" si="65"/>
        <v/>
      </c>
      <c r="CD135" s="155" t="str">
        <f t="shared" si="66"/>
        <v/>
      </c>
      <c r="CE135" s="155" t="str">
        <f t="shared" si="67"/>
        <v/>
      </c>
      <c r="CF135" s="155" t="str">
        <f t="shared" si="68"/>
        <v/>
      </c>
      <c r="CG135" s="155" t="str">
        <f t="shared" si="69"/>
        <v/>
      </c>
      <c r="CH135" s="155" t="str">
        <f t="shared" si="70"/>
        <v/>
      </c>
      <c r="CI135" s="155" t="str">
        <f t="shared" si="71"/>
        <v/>
      </c>
      <c r="CJ135" s="155" t="str">
        <f t="shared" si="72"/>
        <v/>
      </c>
      <c r="CK135" s="155" t="str">
        <f t="shared" si="73"/>
        <v/>
      </c>
      <c r="CL135" s="155" t="str">
        <f t="shared" si="74"/>
        <v/>
      </c>
      <c r="CM135" s="155" t="str">
        <f t="shared" si="75"/>
        <v/>
      </c>
      <c r="CN135" s="155" t="str">
        <f t="shared" si="76"/>
        <v/>
      </c>
      <c r="CO135" s="155" t="str">
        <f t="shared" si="77"/>
        <v/>
      </c>
      <c r="CP135" s="155" t="str">
        <f t="shared" si="78"/>
        <v/>
      </c>
      <c r="CQ135" s="155" t="str">
        <f t="shared" si="79"/>
        <v/>
      </c>
      <c r="CR135" s="155" t="str">
        <f t="shared" si="80"/>
        <v/>
      </c>
      <c r="CS135" s="155" t="str">
        <f t="shared" si="81"/>
        <v/>
      </c>
      <c r="CT135" s="155" t="str">
        <f t="shared" si="82"/>
        <v/>
      </c>
      <c r="CU135" s="155" t="str">
        <f t="shared" si="83"/>
        <v/>
      </c>
      <c r="CV135" s="155" t="str">
        <f t="shared" si="84"/>
        <v/>
      </c>
      <c r="CW135" s="155" t="str">
        <f t="shared" si="85"/>
        <v/>
      </c>
      <c r="CX135" s="155" t="str">
        <f t="shared" si="86"/>
        <v/>
      </c>
    </row>
    <row r="136" spans="1:102" s="151" customFormat="1" ht="14.25" outlineLevel="1" x14ac:dyDescent="0.2">
      <c r="A136" s="146"/>
      <c r="B136" s="157" t="str">
        <f>Services!B136</f>
        <v>06A04</v>
      </c>
      <c r="C136" s="153" t="str">
        <f>Services!C136</f>
        <v xml:space="preserve">Contrôle de la télémaintenance </v>
      </c>
      <c r="D136" s="149"/>
      <c r="E136" s="149">
        <f>2*(8*Plans_action!E158+Plans_action!D158)</f>
        <v>0</v>
      </c>
      <c r="F136" s="149"/>
      <c r="G136" s="149"/>
      <c r="H136" s="149"/>
      <c r="I136" s="140" t="str">
        <f t="shared" si="87"/>
        <v/>
      </c>
      <c r="J136" s="141" t="str">
        <f t="shared" si="88"/>
        <v/>
      </c>
      <c r="K136" s="142"/>
      <c r="L136" s="142"/>
      <c r="M136" s="1708"/>
      <c r="N136" s="1708"/>
      <c r="O136" s="1708"/>
      <c r="P136" s="1708"/>
      <c r="Q136" s="1708"/>
      <c r="R136" s="1708"/>
      <c r="S136" s="1708"/>
      <c r="T136" s="1708"/>
      <c r="U136" s="1708"/>
      <c r="V136" s="1708"/>
      <c r="W136" s="1708"/>
      <c r="X136" s="1712"/>
      <c r="Y136" s="1712"/>
      <c r="Z136" s="1712"/>
      <c r="AA136" s="1712"/>
      <c r="AB136" s="1712"/>
      <c r="AC136" s="1712"/>
      <c r="AD136" s="1712"/>
      <c r="AE136" s="1712"/>
      <c r="AF136" s="1712"/>
      <c r="AG136" s="1712"/>
      <c r="AH136" s="1712"/>
      <c r="AI136" s="1712"/>
      <c r="AJ136" s="1712"/>
      <c r="AK136" s="1712"/>
      <c r="AL136" s="1712"/>
      <c r="AM136" s="1712"/>
      <c r="AN136" s="1712"/>
      <c r="AO136" s="1712"/>
      <c r="AP136" s="1712"/>
      <c r="AQ136" s="1712"/>
      <c r="AR136" s="1712"/>
      <c r="AS136" s="1712"/>
      <c r="AT136" s="1712"/>
      <c r="AU136" s="1712"/>
      <c r="AV136" s="1712"/>
      <c r="AW136" s="1712"/>
      <c r="AX136" s="1713"/>
      <c r="AY136" s="1714" t="str">
        <f t="shared" si="89"/>
        <v/>
      </c>
      <c r="AZ136" s="1714" t="str">
        <f>IF(Obj_PA!D136="","",IF(AY136="","",Obj_PA!D136-AY136))</f>
        <v/>
      </c>
      <c r="BA136" s="150"/>
      <c r="BB136" s="150"/>
      <c r="BC136" s="150"/>
      <c r="BD136" s="150"/>
      <c r="BE136" s="150"/>
      <c r="BF136" s="150"/>
      <c r="BG136" s="150"/>
      <c r="BH136" s="150"/>
      <c r="BI136" s="150"/>
      <c r="BJ136" s="150"/>
      <c r="BK136" s="155" t="str">
        <f t="shared" ref="BK136:BK199" si="90">IF(OR(K$4&gt;$J$4,K136=""),"",K136)</f>
        <v/>
      </c>
      <c r="BL136" s="155" t="str">
        <f t="shared" ref="BL136:BL199" si="91">IF(OR(L$4&gt;$J$4,L136=""),"",L136)</f>
        <v/>
      </c>
      <c r="BM136" s="155" t="str">
        <f t="shared" ref="BM136:BM199" si="92">IF(OR(M$4&gt;$J$4,M136=""),"",M136)</f>
        <v/>
      </c>
      <c r="BN136" s="155" t="str">
        <f t="shared" ref="BN136:BN199" si="93">IF(OR(N$4&gt;$J$4,N136=""),"",N136)</f>
        <v/>
      </c>
      <c r="BO136" s="155" t="str">
        <f t="shared" ref="BO136:BO199" si="94">IF(OR(O$4&gt;$J$4,O136=""),"",O136)</f>
        <v/>
      </c>
      <c r="BP136" s="155" t="str">
        <f t="shared" ref="BP136:BP199" si="95">IF(OR(P$4&gt;$J$4,P136=""),"",P136)</f>
        <v/>
      </c>
      <c r="BQ136" s="155" t="str">
        <f t="shared" ref="BQ136:BQ199" si="96">IF(OR(Q$4&gt;$J$4,Q136=""),"",Q136)</f>
        <v/>
      </c>
      <c r="BR136" s="155" t="str">
        <f t="shared" ref="BR136:BR199" si="97">IF(OR(R$4&gt;$J$4,R136=""),"",R136)</f>
        <v/>
      </c>
      <c r="BS136" s="155" t="str">
        <f t="shared" ref="BS136:BS199" si="98">IF(OR(S$4&gt;$J$4,S136=""),"",S136)</f>
        <v/>
      </c>
      <c r="BT136" s="155" t="str">
        <f t="shared" ref="BT136:BT199" si="99">IF(OR(T$4&gt;$J$4,T136=""),"",T136)</f>
        <v/>
      </c>
      <c r="BU136" s="155" t="str">
        <f t="shared" ref="BU136:BU199" si="100">IF(OR(U$4&gt;$J$4,U136=""),"",U136)</f>
        <v/>
      </c>
      <c r="BV136" s="155" t="str">
        <f t="shared" ref="BV136:BV199" si="101">IF(OR(V$4&gt;$J$4,V136=""),"",V136)</f>
        <v/>
      </c>
      <c r="BW136" s="155" t="str">
        <f t="shared" ref="BW136:BW199" si="102">IF(OR(W$4&gt;$J$4,W136=""),"",W136)</f>
        <v/>
      </c>
      <c r="BX136" s="155" t="str">
        <f t="shared" ref="BX136:BX199" si="103">IF(OR(X$4&gt;$J$4,X136=""),"",X136)</f>
        <v/>
      </c>
      <c r="BY136" s="155" t="str">
        <f t="shared" ref="BY136:BY199" si="104">IF(OR(Y$4&gt;$J$4,Y136=""),"",Y136)</f>
        <v/>
      </c>
      <c r="BZ136" s="155" t="str">
        <f t="shared" ref="BZ136:BZ199" si="105">IF(OR(Z$4&gt;$J$4,Z136=""),"",Z136)</f>
        <v/>
      </c>
      <c r="CA136" s="155" t="str">
        <f t="shared" ref="CA136:CA199" si="106">IF(OR(AA$4&gt;$J$4,AA136=""),"",AA136)</f>
        <v/>
      </c>
      <c r="CB136" s="155" t="str">
        <f t="shared" ref="CB136:CB199" si="107">IF(OR(AB$4&gt;$J$4,AB136=""),"",AB136)</f>
        <v/>
      </c>
      <c r="CC136" s="155" t="str">
        <f t="shared" ref="CC136:CC199" si="108">IF(OR(AC$4&gt;$J$4,AC136=""),"",AC136)</f>
        <v/>
      </c>
      <c r="CD136" s="155" t="str">
        <f t="shared" ref="CD136:CD199" si="109">IF(OR(AD$4&gt;$J$4,AD136=""),"",AD136)</f>
        <v/>
      </c>
      <c r="CE136" s="155" t="str">
        <f t="shared" ref="CE136:CE199" si="110">IF(OR(AE$4&gt;$J$4,AE136=""),"",AE136)</f>
        <v/>
      </c>
      <c r="CF136" s="155" t="str">
        <f t="shared" ref="CF136:CF199" si="111">IF(OR(AF$4&gt;$J$4,AF136=""),"",AF136)</f>
        <v/>
      </c>
      <c r="CG136" s="155" t="str">
        <f t="shared" ref="CG136:CG199" si="112">IF(OR(AG$4&gt;$J$4,AG136=""),"",AG136)</f>
        <v/>
      </c>
      <c r="CH136" s="155" t="str">
        <f t="shared" ref="CH136:CH199" si="113">IF(OR(AH$4&gt;$J$4,AH136=""),"",AH136)</f>
        <v/>
      </c>
      <c r="CI136" s="155" t="str">
        <f t="shared" ref="CI136:CI199" si="114">IF(OR(AI$4&gt;$J$4,AI136=""),"",AI136)</f>
        <v/>
      </c>
      <c r="CJ136" s="155" t="str">
        <f t="shared" ref="CJ136:CJ199" si="115">IF(OR(AJ$4&gt;$J$4,AJ136=""),"",AJ136)</f>
        <v/>
      </c>
      <c r="CK136" s="155" t="str">
        <f t="shared" ref="CK136:CK199" si="116">IF(OR(AK$4&gt;$J$4,AK136=""),"",AK136)</f>
        <v/>
      </c>
      <c r="CL136" s="155" t="str">
        <f t="shared" ref="CL136:CL199" si="117">IF(OR(AL$4&gt;$J$4,AL136=""),"",AL136)</f>
        <v/>
      </c>
      <c r="CM136" s="155" t="str">
        <f t="shared" ref="CM136:CM199" si="118">IF(OR(AM$4&gt;$J$4,AM136=""),"",AM136)</f>
        <v/>
      </c>
      <c r="CN136" s="155" t="str">
        <f t="shared" ref="CN136:CN199" si="119">IF(OR(AN$4&gt;$J$4,AN136=""),"",AN136)</f>
        <v/>
      </c>
      <c r="CO136" s="155" t="str">
        <f t="shared" ref="CO136:CO199" si="120">IF(OR(AO$4&gt;$J$4,AO136=""),"",AO136)</f>
        <v/>
      </c>
      <c r="CP136" s="155" t="str">
        <f t="shared" ref="CP136:CP199" si="121">IF(OR(AP$4&gt;$J$4,AP136=""),"",AP136)</f>
        <v/>
      </c>
      <c r="CQ136" s="155" t="str">
        <f t="shared" ref="CQ136:CQ199" si="122">IF(OR(AQ$4&gt;$J$4,AQ136=""),"",AQ136)</f>
        <v/>
      </c>
      <c r="CR136" s="155" t="str">
        <f t="shared" ref="CR136:CR199" si="123">IF(OR(AR$4&gt;$J$4,AR136=""),"",AR136)</f>
        <v/>
      </c>
      <c r="CS136" s="155" t="str">
        <f t="shared" ref="CS136:CS199" si="124">IF(OR(AS$4&gt;$J$4,AS136=""),"",AS136)</f>
        <v/>
      </c>
      <c r="CT136" s="155" t="str">
        <f t="shared" ref="CT136:CT199" si="125">IF(OR(AT$4&gt;$J$4,AT136=""),"",AT136)</f>
        <v/>
      </c>
      <c r="CU136" s="155" t="str">
        <f t="shared" ref="CU136:CU199" si="126">IF(OR(AU$4&gt;$J$4,AU136=""),"",AU136)</f>
        <v/>
      </c>
      <c r="CV136" s="155" t="str">
        <f t="shared" ref="CV136:CV199" si="127">IF(OR(AV$4&gt;$J$4,AV136=""),"",AV136)</f>
        <v/>
      </c>
      <c r="CW136" s="155" t="str">
        <f t="shared" ref="CW136:CW199" si="128">IF(OR(AW$4&gt;$J$4,AW136=""),"",AW136)</f>
        <v/>
      </c>
      <c r="CX136" s="155" t="str">
        <f t="shared" ref="CX136:CX199" si="129">IF(OR(AX$4&gt;$J$4,AX136=""),"",AX136)</f>
        <v/>
      </c>
    </row>
    <row r="137" spans="1:102" s="151" customFormat="1" ht="25.5" outlineLevel="1" x14ac:dyDescent="0.2">
      <c r="A137" s="146"/>
      <c r="B137" s="157" t="str">
        <f>Services!B137</f>
        <v>06A05</v>
      </c>
      <c r="C137" s="153" t="str">
        <f>Services!C137</f>
        <v>Gestion des procédures opérationnelles d'exploitation des réseaux</v>
      </c>
      <c r="D137" s="149"/>
      <c r="E137" s="149"/>
      <c r="F137" s="149"/>
      <c r="G137" s="149"/>
      <c r="H137" s="149"/>
      <c r="I137" s="140" t="str">
        <f t="shared" si="87"/>
        <v/>
      </c>
      <c r="J137" s="141" t="str">
        <f t="shared" si="88"/>
        <v/>
      </c>
      <c r="K137" s="142"/>
      <c r="L137" s="142"/>
      <c r="M137" s="1708"/>
      <c r="N137" s="1708"/>
      <c r="O137" s="1708"/>
      <c r="P137" s="1708"/>
      <c r="Q137" s="1708"/>
      <c r="R137" s="1708"/>
      <c r="S137" s="1708"/>
      <c r="T137" s="1708"/>
      <c r="U137" s="1708"/>
      <c r="V137" s="1708"/>
      <c r="W137" s="1708"/>
      <c r="X137" s="1712"/>
      <c r="Y137" s="1712"/>
      <c r="Z137" s="1712"/>
      <c r="AA137" s="1712"/>
      <c r="AB137" s="1712"/>
      <c r="AC137" s="1712"/>
      <c r="AD137" s="1712"/>
      <c r="AE137" s="1712"/>
      <c r="AF137" s="1712"/>
      <c r="AG137" s="1712"/>
      <c r="AH137" s="1712"/>
      <c r="AI137" s="1712"/>
      <c r="AJ137" s="1712"/>
      <c r="AK137" s="1712"/>
      <c r="AL137" s="1712"/>
      <c r="AM137" s="1712"/>
      <c r="AN137" s="1712"/>
      <c r="AO137" s="1712"/>
      <c r="AP137" s="1712"/>
      <c r="AQ137" s="1712"/>
      <c r="AR137" s="1712"/>
      <c r="AS137" s="1712"/>
      <c r="AT137" s="1712"/>
      <c r="AU137" s="1712"/>
      <c r="AV137" s="1712"/>
      <c r="AW137" s="1712"/>
      <c r="AX137" s="1713"/>
      <c r="AY137" s="1714" t="str">
        <f t="shared" si="89"/>
        <v/>
      </c>
      <c r="AZ137" s="1714" t="str">
        <f>IF(Obj_PA!D137="","",IF(AY137="","",Obj_PA!D137-AY137))</f>
        <v/>
      </c>
      <c r="BA137" s="150"/>
      <c r="BB137" s="150"/>
      <c r="BC137" s="150"/>
      <c r="BD137" s="150"/>
      <c r="BE137" s="150"/>
      <c r="BF137" s="150"/>
      <c r="BG137" s="150"/>
      <c r="BH137" s="150"/>
      <c r="BI137" s="150"/>
      <c r="BJ137" s="150"/>
      <c r="BK137" s="155" t="str">
        <f t="shared" si="90"/>
        <v/>
      </c>
      <c r="BL137" s="155" t="str">
        <f t="shared" si="91"/>
        <v/>
      </c>
      <c r="BM137" s="155" t="str">
        <f t="shared" si="92"/>
        <v/>
      </c>
      <c r="BN137" s="155" t="str">
        <f t="shared" si="93"/>
        <v/>
      </c>
      <c r="BO137" s="155" t="str">
        <f t="shared" si="94"/>
        <v/>
      </c>
      <c r="BP137" s="155" t="str">
        <f t="shared" si="95"/>
        <v/>
      </c>
      <c r="BQ137" s="155" t="str">
        <f t="shared" si="96"/>
        <v/>
      </c>
      <c r="BR137" s="155" t="str">
        <f t="shared" si="97"/>
        <v/>
      </c>
      <c r="BS137" s="155" t="str">
        <f t="shared" si="98"/>
        <v/>
      </c>
      <c r="BT137" s="155" t="str">
        <f t="shared" si="99"/>
        <v/>
      </c>
      <c r="BU137" s="155" t="str">
        <f t="shared" si="100"/>
        <v/>
      </c>
      <c r="BV137" s="155" t="str">
        <f t="shared" si="101"/>
        <v/>
      </c>
      <c r="BW137" s="155" t="str">
        <f t="shared" si="102"/>
        <v/>
      </c>
      <c r="BX137" s="155" t="str">
        <f t="shared" si="103"/>
        <v/>
      </c>
      <c r="BY137" s="155" t="str">
        <f t="shared" si="104"/>
        <v/>
      </c>
      <c r="BZ137" s="155" t="str">
        <f t="shared" si="105"/>
        <v/>
      </c>
      <c r="CA137" s="155" t="str">
        <f t="shared" si="106"/>
        <v/>
      </c>
      <c r="CB137" s="155" t="str">
        <f t="shared" si="107"/>
        <v/>
      </c>
      <c r="CC137" s="155" t="str">
        <f t="shared" si="108"/>
        <v/>
      </c>
      <c r="CD137" s="155" t="str">
        <f t="shared" si="109"/>
        <v/>
      </c>
      <c r="CE137" s="155" t="str">
        <f t="shared" si="110"/>
        <v/>
      </c>
      <c r="CF137" s="155" t="str">
        <f t="shared" si="111"/>
        <v/>
      </c>
      <c r="CG137" s="155" t="str">
        <f t="shared" si="112"/>
        <v/>
      </c>
      <c r="CH137" s="155" t="str">
        <f t="shared" si="113"/>
        <v/>
      </c>
      <c r="CI137" s="155" t="str">
        <f t="shared" si="114"/>
        <v/>
      </c>
      <c r="CJ137" s="155" t="str">
        <f t="shared" si="115"/>
        <v/>
      </c>
      <c r="CK137" s="155" t="str">
        <f t="shared" si="116"/>
        <v/>
      </c>
      <c r="CL137" s="155" t="str">
        <f t="shared" si="117"/>
        <v/>
      </c>
      <c r="CM137" s="155" t="str">
        <f t="shared" si="118"/>
        <v/>
      </c>
      <c r="CN137" s="155" t="str">
        <f t="shared" si="119"/>
        <v/>
      </c>
      <c r="CO137" s="155" t="str">
        <f t="shared" si="120"/>
        <v/>
      </c>
      <c r="CP137" s="155" t="str">
        <f t="shared" si="121"/>
        <v/>
      </c>
      <c r="CQ137" s="155" t="str">
        <f t="shared" si="122"/>
        <v/>
      </c>
      <c r="CR137" s="155" t="str">
        <f t="shared" si="123"/>
        <v/>
      </c>
      <c r="CS137" s="155" t="str">
        <f t="shared" si="124"/>
        <v/>
      </c>
      <c r="CT137" s="155" t="str">
        <f t="shared" si="125"/>
        <v/>
      </c>
      <c r="CU137" s="155" t="str">
        <f t="shared" si="126"/>
        <v/>
      </c>
      <c r="CV137" s="155" t="str">
        <f t="shared" si="127"/>
        <v/>
      </c>
      <c r="CW137" s="155" t="str">
        <f t="shared" si="128"/>
        <v/>
      </c>
      <c r="CX137" s="155" t="str">
        <f t="shared" si="129"/>
        <v/>
      </c>
    </row>
    <row r="138" spans="1:102" s="151" customFormat="1" ht="25.5" outlineLevel="1" x14ac:dyDescent="0.2">
      <c r="A138" s="146"/>
      <c r="B138" s="157" t="str">
        <f>Services!B138</f>
        <v>06A06</v>
      </c>
      <c r="C138" s="153" t="str">
        <f>Services!C138</f>
        <v>Gestion des prestataires ou fournisseurs de services liés aux réseaux</v>
      </c>
      <c r="D138" s="149"/>
      <c r="E138" s="149"/>
      <c r="F138" s="149"/>
      <c r="G138" s="149"/>
      <c r="H138" s="149"/>
      <c r="I138" s="140" t="str">
        <f t="shared" si="87"/>
        <v/>
      </c>
      <c r="J138" s="141" t="str">
        <f t="shared" si="88"/>
        <v/>
      </c>
      <c r="K138" s="142"/>
      <c r="L138" s="142"/>
      <c r="M138" s="1708"/>
      <c r="N138" s="1708"/>
      <c r="O138" s="1708"/>
      <c r="P138" s="1708"/>
      <c r="Q138" s="1708"/>
      <c r="R138" s="1708"/>
      <c r="S138" s="1708"/>
      <c r="T138" s="1708"/>
      <c r="U138" s="1708"/>
      <c r="V138" s="1708"/>
      <c r="W138" s="1708"/>
      <c r="X138" s="1712"/>
      <c r="Y138" s="1712"/>
      <c r="Z138" s="1712"/>
      <c r="AA138" s="1712"/>
      <c r="AB138" s="1712"/>
      <c r="AC138" s="1712"/>
      <c r="AD138" s="1712"/>
      <c r="AE138" s="1712"/>
      <c r="AF138" s="1712"/>
      <c r="AG138" s="1712"/>
      <c r="AH138" s="1712"/>
      <c r="AI138" s="1712"/>
      <c r="AJ138" s="1712"/>
      <c r="AK138" s="1712"/>
      <c r="AL138" s="1712"/>
      <c r="AM138" s="1712"/>
      <c r="AN138" s="1712"/>
      <c r="AO138" s="1712"/>
      <c r="AP138" s="1712"/>
      <c r="AQ138" s="1712"/>
      <c r="AR138" s="1712"/>
      <c r="AS138" s="1712"/>
      <c r="AT138" s="1712"/>
      <c r="AU138" s="1712"/>
      <c r="AV138" s="1712"/>
      <c r="AW138" s="1712"/>
      <c r="AX138" s="1713"/>
      <c r="AY138" s="1714" t="str">
        <f t="shared" si="89"/>
        <v/>
      </c>
      <c r="AZ138" s="1714" t="str">
        <f>IF(Obj_PA!D138="","",IF(AY138="","",Obj_PA!D138-AY138))</f>
        <v/>
      </c>
      <c r="BA138" s="150"/>
      <c r="BB138" s="150"/>
      <c r="BC138" s="150"/>
      <c r="BD138" s="150"/>
      <c r="BE138" s="150"/>
      <c r="BF138" s="150"/>
      <c r="BG138" s="150"/>
      <c r="BH138" s="150"/>
      <c r="BI138" s="150"/>
      <c r="BJ138" s="150"/>
      <c r="BK138" s="155" t="str">
        <f t="shared" si="90"/>
        <v/>
      </c>
      <c r="BL138" s="155" t="str">
        <f t="shared" si="91"/>
        <v/>
      </c>
      <c r="BM138" s="155" t="str">
        <f t="shared" si="92"/>
        <v/>
      </c>
      <c r="BN138" s="155" t="str">
        <f t="shared" si="93"/>
        <v/>
      </c>
      <c r="BO138" s="155" t="str">
        <f t="shared" si="94"/>
        <v/>
      </c>
      <c r="BP138" s="155" t="str">
        <f t="shared" si="95"/>
        <v/>
      </c>
      <c r="BQ138" s="155" t="str">
        <f t="shared" si="96"/>
        <v/>
      </c>
      <c r="BR138" s="155" t="str">
        <f t="shared" si="97"/>
        <v/>
      </c>
      <c r="BS138" s="155" t="str">
        <f t="shared" si="98"/>
        <v/>
      </c>
      <c r="BT138" s="155" t="str">
        <f t="shared" si="99"/>
        <v/>
      </c>
      <c r="BU138" s="155" t="str">
        <f t="shared" si="100"/>
        <v/>
      </c>
      <c r="BV138" s="155" t="str">
        <f t="shared" si="101"/>
        <v/>
      </c>
      <c r="BW138" s="155" t="str">
        <f t="shared" si="102"/>
        <v/>
      </c>
      <c r="BX138" s="155" t="str">
        <f t="shared" si="103"/>
        <v/>
      </c>
      <c r="BY138" s="155" t="str">
        <f t="shared" si="104"/>
        <v/>
      </c>
      <c r="BZ138" s="155" t="str">
        <f t="shared" si="105"/>
        <v/>
      </c>
      <c r="CA138" s="155" t="str">
        <f t="shared" si="106"/>
        <v/>
      </c>
      <c r="CB138" s="155" t="str">
        <f t="shared" si="107"/>
        <v/>
      </c>
      <c r="CC138" s="155" t="str">
        <f t="shared" si="108"/>
        <v/>
      </c>
      <c r="CD138" s="155" t="str">
        <f t="shared" si="109"/>
        <v/>
      </c>
      <c r="CE138" s="155" t="str">
        <f t="shared" si="110"/>
        <v/>
      </c>
      <c r="CF138" s="155" t="str">
        <f t="shared" si="111"/>
        <v/>
      </c>
      <c r="CG138" s="155" t="str">
        <f t="shared" si="112"/>
        <v/>
      </c>
      <c r="CH138" s="155" t="str">
        <f t="shared" si="113"/>
        <v/>
      </c>
      <c r="CI138" s="155" t="str">
        <f t="shared" si="114"/>
        <v/>
      </c>
      <c r="CJ138" s="155" t="str">
        <f t="shared" si="115"/>
        <v/>
      </c>
      <c r="CK138" s="155" t="str">
        <f t="shared" si="116"/>
        <v/>
      </c>
      <c r="CL138" s="155" t="str">
        <f t="shared" si="117"/>
        <v/>
      </c>
      <c r="CM138" s="155" t="str">
        <f t="shared" si="118"/>
        <v/>
      </c>
      <c r="CN138" s="155" t="str">
        <f t="shared" si="119"/>
        <v/>
      </c>
      <c r="CO138" s="155" t="str">
        <f t="shared" si="120"/>
        <v/>
      </c>
      <c r="CP138" s="155" t="str">
        <f t="shared" si="121"/>
        <v/>
      </c>
      <c r="CQ138" s="155" t="str">
        <f t="shared" si="122"/>
        <v/>
      </c>
      <c r="CR138" s="155" t="str">
        <f t="shared" si="123"/>
        <v/>
      </c>
      <c r="CS138" s="155" t="str">
        <f t="shared" si="124"/>
        <v/>
      </c>
      <c r="CT138" s="155" t="str">
        <f t="shared" si="125"/>
        <v/>
      </c>
      <c r="CU138" s="155" t="str">
        <f t="shared" si="126"/>
        <v/>
      </c>
      <c r="CV138" s="155" t="str">
        <f t="shared" si="127"/>
        <v/>
      </c>
      <c r="CW138" s="155" t="str">
        <f t="shared" si="128"/>
        <v/>
      </c>
      <c r="CX138" s="155" t="str">
        <f t="shared" si="129"/>
        <v/>
      </c>
    </row>
    <row r="139" spans="1:102" s="151" customFormat="1" ht="25.5" outlineLevel="1" x14ac:dyDescent="0.2">
      <c r="A139" s="146"/>
      <c r="B139" s="157" t="str">
        <f>Services!B139</f>
        <v>06A07</v>
      </c>
      <c r="C139" s="153" t="str">
        <f>Services!C139</f>
        <v>Prise en compte de la confidentialité lors des opérations de maintenance sur les équipements de réseau</v>
      </c>
      <c r="D139" s="149"/>
      <c r="E139" s="149"/>
      <c r="F139" s="149"/>
      <c r="G139" s="149"/>
      <c r="H139" s="149"/>
      <c r="I139" s="140" t="str">
        <f t="shared" si="87"/>
        <v/>
      </c>
      <c r="J139" s="141" t="str">
        <f t="shared" si="88"/>
        <v/>
      </c>
      <c r="K139" s="142"/>
      <c r="L139" s="142"/>
      <c r="M139" s="1708"/>
      <c r="N139" s="1708"/>
      <c r="O139" s="1708"/>
      <c r="P139" s="1708"/>
      <c r="Q139" s="1708"/>
      <c r="R139" s="1708"/>
      <c r="S139" s="1708"/>
      <c r="T139" s="1708"/>
      <c r="U139" s="1708"/>
      <c r="V139" s="1708"/>
      <c r="W139" s="1708"/>
      <c r="X139" s="1712"/>
      <c r="Y139" s="1712"/>
      <c r="Z139" s="1712"/>
      <c r="AA139" s="1712"/>
      <c r="AB139" s="1712"/>
      <c r="AC139" s="1712"/>
      <c r="AD139" s="1712"/>
      <c r="AE139" s="1712"/>
      <c r="AF139" s="1712"/>
      <c r="AG139" s="1712"/>
      <c r="AH139" s="1712"/>
      <c r="AI139" s="1712"/>
      <c r="AJ139" s="1712"/>
      <c r="AK139" s="1712"/>
      <c r="AL139" s="1712"/>
      <c r="AM139" s="1712"/>
      <c r="AN139" s="1712"/>
      <c r="AO139" s="1712"/>
      <c r="AP139" s="1712"/>
      <c r="AQ139" s="1712"/>
      <c r="AR139" s="1712"/>
      <c r="AS139" s="1712"/>
      <c r="AT139" s="1712"/>
      <c r="AU139" s="1712"/>
      <c r="AV139" s="1712"/>
      <c r="AW139" s="1712"/>
      <c r="AX139" s="1713"/>
      <c r="AY139" s="1714" t="str">
        <f t="shared" si="89"/>
        <v/>
      </c>
      <c r="AZ139" s="1714" t="str">
        <f>IF(Obj_PA!D139="","",IF(AY139="","",Obj_PA!D139-AY139))</f>
        <v/>
      </c>
      <c r="BA139" s="150"/>
      <c r="BB139" s="150"/>
      <c r="BC139" s="150"/>
      <c r="BD139" s="150"/>
      <c r="BE139" s="150"/>
      <c r="BF139" s="150"/>
      <c r="BG139" s="150"/>
      <c r="BH139" s="150"/>
      <c r="BI139" s="150"/>
      <c r="BJ139" s="150"/>
      <c r="BK139" s="155" t="str">
        <f t="shared" si="90"/>
        <v/>
      </c>
      <c r="BL139" s="155" t="str">
        <f t="shared" si="91"/>
        <v/>
      </c>
      <c r="BM139" s="155" t="str">
        <f t="shared" si="92"/>
        <v/>
      </c>
      <c r="BN139" s="155" t="str">
        <f t="shared" si="93"/>
        <v/>
      </c>
      <c r="BO139" s="155" t="str">
        <f t="shared" si="94"/>
        <v/>
      </c>
      <c r="BP139" s="155" t="str">
        <f t="shared" si="95"/>
        <v/>
      </c>
      <c r="BQ139" s="155" t="str">
        <f t="shared" si="96"/>
        <v/>
      </c>
      <c r="BR139" s="155" t="str">
        <f t="shared" si="97"/>
        <v/>
      </c>
      <c r="BS139" s="155" t="str">
        <f t="shared" si="98"/>
        <v/>
      </c>
      <c r="BT139" s="155" t="str">
        <f t="shared" si="99"/>
        <v/>
      </c>
      <c r="BU139" s="155" t="str">
        <f t="shared" si="100"/>
        <v/>
      </c>
      <c r="BV139" s="155" t="str">
        <f t="shared" si="101"/>
        <v/>
      </c>
      <c r="BW139" s="155" t="str">
        <f t="shared" si="102"/>
        <v/>
      </c>
      <c r="BX139" s="155" t="str">
        <f t="shared" si="103"/>
        <v/>
      </c>
      <c r="BY139" s="155" t="str">
        <f t="shared" si="104"/>
        <v/>
      </c>
      <c r="BZ139" s="155" t="str">
        <f t="shared" si="105"/>
        <v/>
      </c>
      <c r="CA139" s="155" t="str">
        <f t="shared" si="106"/>
        <v/>
      </c>
      <c r="CB139" s="155" t="str">
        <f t="shared" si="107"/>
        <v/>
      </c>
      <c r="CC139" s="155" t="str">
        <f t="shared" si="108"/>
        <v/>
      </c>
      <c r="CD139" s="155" t="str">
        <f t="shared" si="109"/>
        <v/>
      </c>
      <c r="CE139" s="155" t="str">
        <f t="shared" si="110"/>
        <v/>
      </c>
      <c r="CF139" s="155" t="str">
        <f t="shared" si="111"/>
        <v/>
      </c>
      <c r="CG139" s="155" t="str">
        <f t="shared" si="112"/>
        <v/>
      </c>
      <c r="CH139" s="155" t="str">
        <f t="shared" si="113"/>
        <v/>
      </c>
      <c r="CI139" s="155" t="str">
        <f t="shared" si="114"/>
        <v/>
      </c>
      <c r="CJ139" s="155" t="str">
        <f t="shared" si="115"/>
        <v/>
      </c>
      <c r="CK139" s="155" t="str">
        <f t="shared" si="116"/>
        <v/>
      </c>
      <c r="CL139" s="155" t="str">
        <f t="shared" si="117"/>
        <v/>
      </c>
      <c r="CM139" s="155" t="str">
        <f t="shared" si="118"/>
        <v/>
      </c>
      <c r="CN139" s="155" t="str">
        <f t="shared" si="119"/>
        <v/>
      </c>
      <c r="CO139" s="155" t="str">
        <f t="shared" si="120"/>
        <v/>
      </c>
      <c r="CP139" s="155" t="str">
        <f t="shared" si="121"/>
        <v/>
      </c>
      <c r="CQ139" s="155" t="str">
        <f t="shared" si="122"/>
        <v/>
      </c>
      <c r="CR139" s="155" t="str">
        <f t="shared" si="123"/>
        <v/>
      </c>
      <c r="CS139" s="155" t="str">
        <f t="shared" si="124"/>
        <v/>
      </c>
      <c r="CT139" s="155" t="str">
        <f t="shared" si="125"/>
        <v/>
      </c>
      <c r="CU139" s="155" t="str">
        <f t="shared" si="126"/>
        <v/>
      </c>
      <c r="CV139" s="155" t="str">
        <f t="shared" si="127"/>
        <v/>
      </c>
      <c r="CW139" s="155" t="str">
        <f t="shared" si="128"/>
        <v/>
      </c>
      <c r="CX139" s="155" t="str">
        <f t="shared" si="129"/>
        <v/>
      </c>
    </row>
    <row r="140" spans="1:102" s="151" customFormat="1" ht="14.25" outlineLevel="1" x14ac:dyDescent="0.2">
      <c r="A140" s="146"/>
      <c r="B140" s="157" t="str">
        <f>Services!B140</f>
        <v>06A08</v>
      </c>
      <c r="C140" s="153" t="str">
        <f>Services!C140</f>
        <v>Gestion des contrats de services réseaux</v>
      </c>
      <c r="D140" s="149"/>
      <c r="E140" s="149"/>
      <c r="F140" s="149"/>
      <c r="G140" s="149"/>
      <c r="H140" s="149"/>
      <c r="I140" s="140" t="str">
        <f t="shared" si="87"/>
        <v/>
      </c>
      <c r="J140" s="141" t="str">
        <f t="shared" si="88"/>
        <v/>
      </c>
      <c r="K140" s="142"/>
      <c r="L140" s="142"/>
      <c r="M140" s="1708"/>
      <c r="N140" s="1708"/>
      <c r="O140" s="1708"/>
      <c r="P140" s="1708"/>
      <c r="Q140" s="1708"/>
      <c r="R140" s="1708"/>
      <c r="S140" s="1708"/>
      <c r="T140" s="1708"/>
      <c r="U140" s="1708"/>
      <c r="V140" s="1708"/>
      <c r="W140" s="1708"/>
      <c r="X140" s="1712"/>
      <c r="Y140" s="1712"/>
      <c r="Z140" s="1712"/>
      <c r="AA140" s="1712"/>
      <c r="AB140" s="1712"/>
      <c r="AC140" s="1712"/>
      <c r="AD140" s="1712"/>
      <c r="AE140" s="1712"/>
      <c r="AF140" s="1712"/>
      <c r="AG140" s="1712"/>
      <c r="AH140" s="1712"/>
      <c r="AI140" s="1712"/>
      <c r="AJ140" s="1712"/>
      <c r="AK140" s="1712"/>
      <c r="AL140" s="1712"/>
      <c r="AM140" s="1712"/>
      <c r="AN140" s="1712"/>
      <c r="AO140" s="1712"/>
      <c r="AP140" s="1712"/>
      <c r="AQ140" s="1712"/>
      <c r="AR140" s="1712"/>
      <c r="AS140" s="1712"/>
      <c r="AT140" s="1712"/>
      <c r="AU140" s="1712"/>
      <c r="AV140" s="1712"/>
      <c r="AW140" s="1712"/>
      <c r="AX140" s="1713"/>
      <c r="AY140" s="1714" t="str">
        <f t="shared" si="89"/>
        <v/>
      </c>
      <c r="AZ140" s="1714" t="str">
        <f>IF(Obj_PA!D140="","",IF(AY140="","",Obj_PA!D140-AY140))</f>
        <v/>
      </c>
      <c r="BA140" s="150"/>
      <c r="BB140" s="150"/>
      <c r="BC140" s="150"/>
      <c r="BD140" s="150"/>
      <c r="BE140" s="150"/>
      <c r="BF140" s="150"/>
      <c r="BG140" s="150"/>
      <c r="BH140" s="150"/>
      <c r="BI140" s="150"/>
      <c r="BJ140" s="150"/>
      <c r="BK140" s="155" t="str">
        <f t="shared" si="90"/>
        <v/>
      </c>
      <c r="BL140" s="155" t="str">
        <f t="shared" si="91"/>
        <v/>
      </c>
      <c r="BM140" s="155" t="str">
        <f t="shared" si="92"/>
        <v/>
      </c>
      <c r="BN140" s="155" t="str">
        <f t="shared" si="93"/>
        <v/>
      </c>
      <c r="BO140" s="155" t="str">
        <f t="shared" si="94"/>
        <v/>
      </c>
      <c r="BP140" s="155" t="str">
        <f t="shared" si="95"/>
        <v/>
      </c>
      <c r="BQ140" s="155" t="str">
        <f t="shared" si="96"/>
        <v/>
      </c>
      <c r="BR140" s="155" t="str">
        <f t="shared" si="97"/>
        <v/>
      </c>
      <c r="BS140" s="155" t="str">
        <f t="shared" si="98"/>
        <v/>
      </c>
      <c r="BT140" s="155" t="str">
        <f t="shared" si="99"/>
        <v/>
      </c>
      <c r="BU140" s="155" t="str">
        <f t="shared" si="100"/>
        <v/>
      </c>
      <c r="BV140" s="155" t="str">
        <f t="shared" si="101"/>
        <v/>
      </c>
      <c r="BW140" s="155" t="str">
        <f t="shared" si="102"/>
        <v/>
      </c>
      <c r="BX140" s="155" t="str">
        <f t="shared" si="103"/>
        <v/>
      </c>
      <c r="BY140" s="155" t="str">
        <f t="shared" si="104"/>
        <v/>
      </c>
      <c r="BZ140" s="155" t="str">
        <f t="shared" si="105"/>
        <v/>
      </c>
      <c r="CA140" s="155" t="str">
        <f t="shared" si="106"/>
        <v/>
      </c>
      <c r="CB140" s="155" t="str">
        <f t="shared" si="107"/>
        <v/>
      </c>
      <c r="CC140" s="155" t="str">
        <f t="shared" si="108"/>
        <v/>
      </c>
      <c r="CD140" s="155" t="str">
        <f t="shared" si="109"/>
        <v/>
      </c>
      <c r="CE140" s="155" t="str">
        <f t="shared" si="110"/>
        <v/>
      </c>
      <c r="CF140" s="155" t="str">
        <f t="shared" si="111"/>
        <v/>
      </c>
      <c r="CG140" s="155" t="str">
        <f t="shared" si="112"/>
        <v/>
      </c>
      <c r="CH140" s="155" t="str">
        <f t="shared" si="113"/>
        <v/>
      </c>
      <c r="CI140" s="155" t="str">
        <f t="shared" si="114"/>
        <v/>
      </c>
      <c r="CJ140" s="155" t="str">
        <f t="shared" si="115"/>
        <v/>
      </c>
      <c r="CK140" s="155" t="str">
        <f t="shared" si="116"/>
        <v/>
      </c>
      <c r="CL140" s="155" t="str">
        <f t="shared" si="117"/>
        <v/>
      </c>
      <c r="CM140" s="155" t="str">
        <f t="shared" si="118"/>
        <v/>
      </c>
      <c r="CN140" s="155" t="str">
        <f t="shared" si="119"/>
        <v/>
      </c>
      <c r="CO140" s="155" t="str">
        <f t="shared" si="120"/>
        <v/>
      </c>
      <c r="CP140" s="155" t="str">
        <f t="shared" si="121"/>
        <v/>
      </c>
      <c r="CQ140" s="155" t="str">
        <f t="shared" si="122"/>
        <v/>
      </c>
      <c r="CR140" s="155" t="str">
        <f t="shared" si="123"/>
        <v/>
      </c>
      <c r="CS140" s="155" t="str">
        <f t="shared" si="124"/>
        <v/>
      </c>
      <c r="CT140" s="155" t="str">
        <f t="shared" si="125"/>
        <v/>
      </c>
      <c r="CU140" s="155" t="str">
        <f t="shared" si="126"/>
        <v/>
      </c>
      <c r="CV140" s="155" t="str">
        <f t="shared" si="127"/>
        <v/>
      </c>
      <c r="CW140" s="155" t="str">
        <f t="shared" si="128"/>
        <v/>
      </c>
      <c r="CX140" s="155" t="str">
        <f t="shared" si="129"/>
        <v/>
      </c>
    </row>
    <row r="141" spans="1:102" s="151" customFormat="1" ht="25.5" outlineLevel="1" x14ac:dyDescent="0.2">
      <c r="A141" s="146"/>
      <c r="B141" s="147" t="str">
        <f>Services!B141</f>
        <v>06B</v>
      </c>
      <c r="C141" s="148" t="str">
        <f>Services!C141</f>
        <v>Paramétrage et contrôle des configurations matérielles et logicielles</v>
      </c>
      <c r="D141" s="149"/>
      <c r="E141" s="149"/>
      <c r="F141" s="149"/>
      <c r="G141" s="149"/>
      <c r="H141" s="149"/>
      <c r="I141" s="140" t="str">
        <f t="shared" si="87"/>
        <v/>
      </c>
      <c r="J141" s="141" t="str">
        <f t="shared" si="88"/>
        <v/>
      </c>
      <c r="K141" s="142"/>
      <c r="L141" s="142"/>
      <c r="M141" s="1708"/>
      <c r="N141" s="1708"/>
      <c r="O141" s="1708"/>
      <c r="P141" s="1708"/>
      <c r="Q141" s="1708"/>
      <c r="R141" s="1708"/>
      <c r="S141" s="1708"/>
      <c r="T141" s="1708"/>
      <c r="U141" s="1708"/>
      <c r="V141" s="1708"/>
      <c r="W141" s="1708"/>
      <c r="X141" s="1712"/>
      <c r="Y141" s="1712"/>
      <c r="Z141" s="1712"/>
      <c r="AA141" s="1712"/>
      <c r="AB141" s="1712"/>
      <c r="AC141" s="1712"/>
      <c r="AD141" s="1712"/>
      <c r="AE141" s="1712"/>
      <c r="AF141" s="1712"/>
      <c r="AG141" s="1712"/>
      <c r="AH141" s="1712"/>
      <c r="AI141" s="1712"/>
      <c r="AJ141" s="1712"/>
      <c r="AK141" s="1712"/>
      <c r="AL141" s="1712"/>
      <c r="AM141" s="1712"/>
      <c r="AN141" s="1712"/>
      <c r="AO141" s="1712"/>
      <c r="AP141" s="1712"/>
      <c r="AQ141" s="1712"/>
      <c r="AR141" s="1712"/>
      <c r="AS141" s="1712"/>
      <c r="AT141" s="1712"/>
      <c r="AU141" s="1712"/>
      <c r="AV141" s="1712"/>
      <c r="AW141" s="1712"/>
      <c r="AX141" s="1713"/>
      <c r="AY141" s="1714" t="str">
        <f t="shared" si="89"/>
        <v/>
      </c>
      <c r="AZ141" s="1714" t="str">
        <f>IF(Obj_PA!D141="","",IF(AY141="","",Obj_PA!D141-AY141))</f>
        <v/>
      </c>
      <c r="BA141" s="150"/>
      <c r="BB141" s="150"/>
      <c r="BC141" s="150"/>
      <c r="BD141" s="150"/>
      <c r="BE141" s="150"/>
      <c r="BF141" s="150"/>
      <c r="BG141" s="150"/>
      <c r="BH141" s="150"/>
      <c r="BI141" s="150"/>
      <c r="BJ141" s="150"/>
      <c r="BK141" s="155" t="str">
        <f t="shared" si="90"/>
        <v/>
      </c>
      <c r="BL141" s="155" t="str">
        <f t="shared" si="91"/>
        <v/>
      </c>
      <c r="BM141" s="155" t="str">
        <f t="shared" si="92"/>
        <v/>
      </c>
      <c r="BN141" s="155" t="str">
        <f t="shared" si="93"/>
        <v/>
      </c>
      <c r="BO141" s="155" t="str">
        <f t="shared" si="94"/>
        <v/>
      </c>
      <c r="BP141" s="155" t="str">
        <f t="shared" si="95"/>
        <v/>
      </c>
      <c r="BQ141" s="155" t="str">
        <f t="shared" si="96"/>
        <v/>
      </c>
      <c r="BR141" s="155" t="str">
        <f t="shared" si="97"/>
        <v/>
      </c>
      <c r="BS141" s="155" t="str">
        <f t="shared" si="98"/>
        <v/>
      </c>
      <c r="BT141" s="155" t="str">
        <f t="shared" si="99"/>
        <v/>
      </c>
      <c r="BU141" s="155" t="str">
        <f t="shared" si="100"/>
        <v/>
      </c>
      <c r="BV141" s="155" t="str">
        <f t="shared" si="101"/>
        <v/>
      </c>
      <c r="BW141" s="155" t="str">
        <f t="shared" si="102"/>
        <v/>
      </c>
      <c r="BX141" s="155" t="str">
        <f t="shared" si="103"/>
        <v/>
      </c>
      <c r="BY141" s="155" t="str">
        <f t="shared" si="104"/>
        <v/>
      </c>
      <c r="BZ141" s="155" t="str">
        <f t="shared" si="105"/>
        <v/>
      </c>
      <c r="CA141" s="155" t="str">
        <f t="shared" si="106"/>
        <v/>
      </c>
      <c r="CB141" s="155" t="str">
        <f t="shared" si="107"/>
        <v/>
      </c>
      <c r="CC141" s="155" t="str">
        <f t="shared" si="108"/>
        <v/>
      </c>
      <c r="CD141" s="155" t="str">
        <f t="shared" si="109"/>
        <v/>
      </c>
      <c r="CE141" s="155" t="str">
        <f t="shared" si="110"/>
        <v/>
      </c>
      <c r="CF141" s="155" t="str">
        <f t="shared" si="111"/>
        <v/>
      </c>
      <c r="CG141" s="155" t="str">
        <f t="shared" si="112"/>
        <v/>
      </c>
      <c r="CH141" s="155" t="str">
        <f t="shared" si="113"/>
        <v/>
      </c>
      <c r="CI141" s="155" t="str">
        <f t="shared" si="114"/>
        <v/>
      </c>
      <c r="CJ141" s="155" t="str">
        <f t="shared" si="115"/>
        <v/>
      </c>
      <c r="CK141" s="155" t="str">
        <f t="shared" si="116"/>
        <v/>
      </c>
      <c r="CL141" s="155" t="str">
        <f t="shared" si="117"/>
        <v/>
      </c>
      <c r="CM141" s="155" t="str">
        <f t="shared" si="118"/>
        <v/>
      </c>
      <c r="CN141" s="155" t="str">
        <f t="shared" si="119"/>
        <v/>
      </c>
      <c r="CO141" s="155" t="str">
        <f t="shared" si="120"/>
        <v/>
      </c>
      <c r="CP141" s="155" t="str">
        <f t="shared" si="121"/>
        <v/>
      </c>
      <c r="CQ141" s="155" t="str">
        <f t="shared" si="122"/>
        <v/>
      </c>
      <c r="CR141" s="155" t="str">
        <f t="shared" si="123"/>
        <v/>
      </c>
      <c r="CS141" s="155" t="str">
        <f t="shared" si="124"/>
        <v/>
      </c>
      <c r="CT141" s="155" t="str">
        <f t="shared" si="125"/>
        <v/>
      </c>
      <c r="CU141" s="155" t="str">
        <f t="shared" si="126"/>
        <v/>
      </c>
      <c r="CV141" s="155" t="str">
        <f t="shared" si="127"/>
        <v/>
      </c>
      <c r="CW141" s="155" t="str">
        <f t="shared" si="128"/>
        <v/>
      </c>
      <c r="CX141" s="155" t="str">
        <f t="shared" si="129"/>
        <v/>
      </c>
    </row>
    <row r="142" spans="1:102" s="151" customFormat="1" ht="25.5" outlineLevel="1" x14ac:dyDescent="0.2">
      <c r="A142" s="146"/>
      <c r="B142" s="157" t="str">
        <f>Services!B142</f>
        <v>06B01</v>
      </c>
      <c r="C142" s="153" t="str">
        <f>Services!C142</f>
        <v xml:space="preserve">Paramétrage des équipements de réseau et contrôle de la conformité des configurations </v>
      </c>
      <c r="D142" s="149"/>
      <c r="E142" s="149"/>
      <c r="F142" s="149"/>
      <c r="G142" s="149"/>
      <c r="H142" s="149">
        <f>5*(8*Plans_action!E263+Plans_action!D263)+5*(8*Plans_action!E268+Plans_action!D268)</f>
        <v>0</v>
      </c>
      <c r="I142" s="140" t="str">
        <f t="shared" si="87"/>
        <v/>
      </c>
      <c r="J142" s="141" t="str">
        <f t="shared" si="88"/>
        <v/>
      </c>
      <c r="K142" s="142"/>
      <c r="L142" s="142"/>
      <c r="M142" s="1708"/>
      <c r="N142" s="1708"/>
      <c r="O142" s="1708"/>
      <c r="P142" s="1708"/>
      <c r="Q142" s="1708"/>
      <c r="R142" s="1708"/>
      <c r="S142" s="1708"/>
      <c r="T142" s="1708"/>
      <c r="U142" s="1708"/>
      <c r="V142" s="1708"/>
      <c r="W142" s="1708"/>
      <c r="X142" s="1712"/>
      <c r="Y142" s="1712"/>
      <c r="Z142" s="1712"/>
      <c r="AA142" s="1712"/>
      <c r="AB142" s="1712"/>
      <c r="AC142" s="1712"/>
      <c r="AD142" s="1712"/>
      <c r="AE142" s="1712"/>
      <c r="AF142" s="1712"/>
      <c r="AG142" s="1712"/>
      <c r="AH142" s="1712"/>
      <c r="AI142" s="1712"/>
      <c r="AJ142" s="1712"/>
      <c r="AK142" s="1712"/>
      <c r="AL142" s="1712"/>
      <c r="AM142" s="1712"/>
      <c r="AN142" s="1712"/>
      <c r="AO142" s="1712"/>
      <c r="AP142" s="1712"/>
      <c r="AQ142" s="1712"/>
      <c r="AR142" s="1712"/>
      <c r="AS142" s="1712"/>
      <c r="AT142" s="1712"/>
      <c r="AU142" s="1712"/>
      <c r="AV142" s="1712"/>
      <c r="AW142" s="1712"/>
      <c r="AX142" s="1713"/>
      <c r="AY142" s="1714" t="str">
        <f t="shared" si="89"/>
        <v/>
      </c>
      <c r="AZ142" s="1714" t="str">
        <f>IF(Obj_PA!D142="","",IF(AY142="","",Obj_PA!D142-AY142))</f>
        <v/>
      </c>
      <c r="BA142" s="150"/>
      <c r="BB142" s="150"/>
      <c r="BC142" s="150"/>
      <c r="BD142" s="150"/>
      <c r="BE142" s="150"/>
      <c r="BF142" s="150"/>
      <c r="BG142" s="150"/>
      <c r="BH142" s="150"/>
      <c r="BI142" s="150"/>
      <c r="BJ142" s="150"/>
      <c r="BK142" s="155" t="str">
        <f t="shared" si="90"/>
        <v/>
      </c>
      <c r="BL142" s="155" t="str">
        <f t="shared" si="91"/>
        <v/>
      </c>
      <c r="BM142" s="155" t="str">
        <f t="shared" si="92"/>
        <v/>
      </c>
      <c r="BN142" s="155" t="str">
        <f t="shared" si="93"/>
        <v/>
      </c>
      <c r="BO142" s="155" t="str">
        <f t="shared" si="94"/>
        <v/>
      </c>
      <c r="BP142" s="155" t="str">
        <f t="shared" si="95"/>
        <v/>
      </c>
      <c r="BQ142" s="155" t="str">
        <f t="shared" si="96"/>
        <v/>
      </c>
      <c r="BR142" s="155" t="str">
        <f t="shared" si="97"/>
        <v/>
      </c>
      <c r="BS142" s="155" t="str">
        <f t="shared" si="98"/>
        <v/>
      </c>
      <c r="BT142" s="155" t="str">
        <f t="shared" si="99"/>
        <v/>
      </c>
      <c r="BU142" s="155" t="str">
        <f t="shared" si="100"/>
        <v/>
      </c>
      <c r="BV142" s="155" t="str">
        <f t="shared" si="101"/>
        <v/>
      </c>
      <c r="BW142" s="155" t="str">
        <f t="shared" si="102"/>
        <v/>
      </c>
      <c r="BX142" s="155" t="str">
        <f t="shared" si="103"/>
        <v/>
      </c>
      <c r="BY142" s="155" t="str">
        <f t="shared" si="104"/>
        <v/>
      </c>
      <c r="BZ142" s="155" t="str">
        <f t="shared" si="105"/>
        <v/>
      </c>
      <c r="CA142" s="155" t="str">
        <f t="shared" si="106"/>
        <v/>
      </c>
      <c r="CB142" s="155" t="str">
        <f t="shared" si="107"/>
        <v/>
      </c>
      <c r="CC142" s="155" t="str">
        <f t="shared" si="108"/>
        <v/>
      </c>
      <c r="CD142" s="155" t="str">
        <f t="shared" si="109"/>
        <v/>
      </c>
      <c r="CE142" s="155" t="str">
        <f t="shared" si="110"/>
        <v/>
      </c>
      <c r="CF142" s="155" t="str">
        <f t="shared" si="111"/>
        <v/>
      </c>
      <c r="CG142" s="155" t="str">
        <f t="shared" si="112"/>
        <v/>
      </c>
      <c r="CH142" s="155" t="str">
        <f t="shared" si="113"/>
        <v/>
      </c>
      <c r="CI142" s="155" t="str">
        <f t="shared" si="114"/>
        <v/>
      </c>
      <c r="CJ142" s="155" t="str">
        <f t="shared" si="115"/>
        <v/>
      </c>
      <c r="CK142" s="155" t="str">
        <f t="shared" si="116"/>
        <v/>
      </c>
      <c r="CL142" s="155" t="str">
        <f t="shared" si="117"/>
        <v/>
      </c>
      <c r="CM142" s="155" t="str">
        <f t="shared" si="118"/>
        <v/>
      </c>
      <c r="CN142" s="155" t="str">
        <f t="shared" si="119"/>
        <v/>
      </c>
      <c r="CO142" s="155" t="str">
        <f t="shared" si="120"/>
        <v/>
      </c>
      <c r="CP142" s="155" t="str">
        <f t="shared" si="121"/>
        <v/>
      </c>
      <c r="CQ142" s="155" t="str">
        <f t="shared" si="122"/>
        <v/>
      </c>
      <c r="CR142" s="155" t="str">
        <f t="shared" si="123"/>
        <v/>
      </c>
      <c r="CS142" s="155" t="str">
        <f t="shared" si="124"/>
        <v/>
      </c>
      <c r="CT142" s="155" t="str">
        <f t="shared" si="125"/>
        <v/>
      </c>
      <c r="CU142" s="155" t="str">
        <f t="shared" si="126"/>
        <v/>
      </c>
      <c r="CV142" s="155" t="str">
        <f t="shared" si="127"/>
        <v/>
      </c>
      <c r="CW142" s="155" t="str">
        <f t="shared" si="128"/>
        <v/>
      </c>
      <c r="CX142" s="155" t="str">
        <f t="shared" si="129"/>
        <v/>
      </c>
    </row>
    <row r="143" spans="1:102" s="151" customFormat="1" ht="25.5" outlineLevel="1" x14ac:dyDescent="0.2">
      <c r="A143" s="156"/>
      <c r="B143" s="157" t="str">
        <f>Services!B143</f>
        <v>06B02</v>
      </c>
      <c r="C143" s="153" t="str">
        <f>Services!C143</f>
        <v>Contrôle des configurations des accès réseaux des postes utilisateurs</v>
      </c>
      <c r="D143" s="149">
        <f>1*(8*Plans_action!E122+Plans_action!D122)+1*(8*Plans_action!E132+Plans_action!D132)</f>
        <v>0</v>
      </c>
      <c r="E143" s="149"/>
      <c r="F143" s="149"/>
      <c r="G143" s="149"/>
      <c r="H143" s="149"/>
      <c r="I143" s="140" t="str">
        <f t="shared" si="87"/>
        <v/>
      </c>
      <c r="J143" s="141" t="str">
        <f t="shared" si="88"/>
        <v/>
      </c>
      <c r="K143" s="142"/>
      <c r="L143" s="142"/>
      <c r="M143" s="1708"/>
      <c r="N143" s="1708"/>
      <c r="O143" s="1708"/>
      <c r="P143" s="1708"/>
      <c r="Q143" s="1708"/>
      <c r="R143" s="1708"/>
      <c r="S143" s="1708"/>
      <c r="T143" s="1708"/>
      <c r="U143" s="1708"/>
      <c r="V143" s="1708"/>
      <c r="W143" s="1708"/>
      <c r="X143" s="1712"/>
      <c r="Y143" s="1712"/>
      <c r="Z143" s="1712"/>
      <c r="AA143" s="1712"/>
      <c r="AB143" s="1712"/>
      <c r="AC143" s="1712"/>
      <c r="AD143" s="1712"/>
      <c r="AE143" s="1712"/>
      <c r="AF143" s="1712"/>
      <c r="AG143" s="1712"/>
      <c r="AH143" s="1712"/>
      <c r="AI143" s="1712"/>
      <c r="AJ143" s="1712"/>
      <c r="AK143" s="1712"/>
      <c r="AL143" s="1712"/>
      <c r="AM143" s="1712"/>
      <c r="AN143" s="1712"/>
      <c r="AO143" s="1712"/>
      <c r="AP143" s="1712"/>
      <c r="AQ143" s="1712"/>
      <c r="AR143" s="1712"/>
      <c r="AS143" s="1712"/>
      <c r="AT143" s="1712"/>
      <c r="AU143" s="1712"/>
      <c r="AV143" s="1712"/>
      <c r="AW143" s="1712"/>
      <c r="AX143" s="1713"/>
      <c r="AY143" s="1714" t="str">
        <f t="shared" si="89"/>
        <v/>
      </c>
      <c r="AZ143" s="1714" t="str">
        <f>IF(Obj_PA!D143="","",IF(AY143="","",Obj_PA!D143-AY143))</f>
        <v/>
      </c>
      <c r="BA143" s="150"/>
      <c r="BB143" s="150"/>
      <c r="BC143" s="150"/>
      <c r="BD143" s="150"/>
      <c r="BE143" s="150"/>
      <c r="BF143" s="150"/>
      <c r="BG143" s="150"/>
      <c r="BH143" s="150"/>
      <c r="BI143" s="150"/>
      <c r="BJ143" s="150"/>
      <c r="BK143" s="155" t="str">
        <f t="shared" si="90"/>
        <v/>
      </c>
      <c r="BL143" s="155" t="str">
        <f t="shared" si="91"/>
        <v/>
      </c>
      <c r="BM143" s="155" t="str">
        <f t="shared" si="92"/>
        <v/>
      </c>
      <c r="BN143" s="155" t="str">
        <f t="shared" si="93"/>
        <v/>
      </c>
      <c r="BO143" s="155" t="str">
        <f t="shared" si="94"/>
        <v/>
      </c>
      <c r="BP143" s="155" t="str">
        <f t="shared" si="95"/>
        <v/>
      </c>
      <c r="BQ143" s="155" t="str">
        <f t="shared" si="96"/>
        <v/>
      </c>
      <c r="BR143" s="155" t="str">
        <f t="shared" si="97"/>
        <v/>
      </c>
      <c r="BS143" s="155" t="str">
        <f t="shared" si="98"/>
        <v/>
      </c>
      <c r="BT143" s="155" t="str">
        <f t="shared" si="99"/>
        <v/>
      </c>
      <c r="BU143" s="155" t="str">
        <f t="shared" si="100"/>
        <v/>
      </c>
      <c r="BV143" s="155" t="str">
        <f t="shared" si="101"/>
        <v/>
      </c>
      <c r="BW143" s="155" t="str">
        <f t="shared" si="102"/>
        <v/>
      </c>
      <c r="BX143" s="155" t="str">
        <f t="shared" si="103"/>
        <v/>
      </c>
      <c r="BY143" s="155" t="str">
        <f t="shared" si="104"/>
        <v/>
      </c>
      <c r="BZ143" s="155" t="str">
        <f t="shared" si="105"/>
        <v/>
      </c>
      <c r="CA143" s="155" t="str">
        <f t="shared" si="106"/>
        <v/>
      </c>
      <c r="CB143" s="155" t="str">
        <f t="shared" si="107"/>
        <v/>
      </c>
      <c r="CC143" s="155" t="str">
        <f t="shared" si="108"/>
        <v/>
      </c>
      <c r="CD143" s="155" t="str">
        <f t="shared" si="109"/>
        <v/>
      </c>
      <c r="CE143" s="155" t="str">
        <f t="shared" si="110"/>
        <v/>
      </c>
      <c r="CF143" s="155" t="str">
        <f t="shared" si="111"/>
        <v/>
      </c>
      <c r="CG143" s="155" t="str">
        <f t="shared" si="112"/>
        <v/>
      </c>
      <c r="CH143" s="155" t="str">
        <f t="shared" si="113"/>
        <v/>
      </c>
      <c r="CI143" s="155" t="str">
        <f t="shared" si="114"/>
        <v/>
      </c>
      <c r="CJ143" s="155" t="str">
        <f t="shared" si="115"/>
        <v/>
      </c>
      <c r="CK143" s="155" t="str">
        <f t="shared" si="116"/>
        <v/>
      </c>
      <c r="CL143" s="155" t="str">
        <f t="shared" si="117"/>
        <v/>
      </c>
      <c r="CM143" s="155" t="str">
        <f t="shared" si="118"/>
        <v/>
      </c>
      <c r="CN143" s="155" t="str">
        <f t="shared" si="119"/>
        <v/>
      </c>
      <c r="CO143" s="155" t="str">
        <f t="shared" si="120"/>
        <v/>
      </c>
      <c r="CP143" s="155" t="str">
        <f t="shared" si="121"/>
        <v/>
      </c>
      <c r="CQ143" s="155" t="str">
        <f t="shared" si="122"/>
        <v/>
      </c>
      <c r="CR143" s="155" t="str">
        <f t="shared" si="123"/>
        <v/>
      </c>
      <c r="CS143" s="155" t="str">
        <f t="shared" si="124"/>
        <v/>
      </c>
      <c r="CT143" s="155" t="str">
        <f t="shared" si="125"/>
        <v/>
      </c>
      <c r="CU143" s="155" t="str">
        <f t="shared" si="126"/>
        <v/>
      </c>
      <c r="CV143" s="155" t="str">
        <f t="shared" si="127"/>
        <v/>
      </c>
      <c r="CW143" s="155" t="str">
        <f t="shared" si="128"/>
        <v/>
      </c>
      <c r="CX143" s="155" t="str">
        <f t="shared" si="129"/>
        <v/>
      </c>
    </row>
    <row r="144" spans="1:102" s="151" customFormat="1" ht="14.25" outlineLevel="1" x14ac:dyDescent="0.2">
      <c r="A144" s="156"/>
      <c r="B144" s="147" t="str">
        <f>Services!B144</f>
        <v>06C</v>
      </c>
      <c r="C144" s="148" t="str">
        <f>Services!C144</f>
        <v>Contrôle des droits d'administration</v>
      </c>
      <c r="D144" s="149"/>
      <c r="E144" s="149"/>
      <c r="F144" s="149"/>
      <c r="G144" s="149"/>
      <c r="H144" s="149"/>
      <c r="I144" s="140" t="str">
        <f t="shared" si="87"/>
        <v/>
      </c>
      <c r="J144" s="141" t="str">
        <f t="shared" si="88"/>
        <v/>
      </c>
      <c r="K144" s="142"/>
      <c r="L144" s="142"/>
      <c r="M144" s="1708"/>
      <c r="N144" s="1708"/>
      <c r="O144" s="1708"/>
      <c r="P144" s="1708"/>
      <c r="Q144" s="1708"/>
      <c r="R144" s="1708"/>
      <c r="S144" s="1708"/>
      <c r="T144" s="1708"/>
      <c r="U144" s="1708"/>
      <c r="V144" s="1708"/>
      <c r="W144" s="1708"/>
      <c r="X144" s="1712"/>
      <c r="Y144" s="1712"/>
      <c r="Z144" s="1712"/>
      <c r="AA144" s="1712"/>
      <c r="AB144" s="1712"/>
      <c r="AC144" s="1712"/>
      <c r="AD144" s="1712"/>
      <c r="AE144" s="1712"/>
      <c r="AF144" s="1712"/>
      <c r="AG144" s="1712"/>
      <c r="AH144" s="1712"/>
      <c r="AI144" s="1712"/>
      <c r="AJ144" s="1712"/>
      <c r="AK144" s="1712"/>
      <c r="AL144" s="1712"/>
      <c r="AM144" s="1712"/>
      <c r="AN144" s="1712"/>
      <c r="AO144" s="1712"/>
      <c r="AP144" s="1712"/>
      <c r="AQ144" s="1712"/>
      <c r="AR144" s="1712"/>
      <c r="AS144" s="1712"/>
      <c r="AT144" s="1712"/>
      <c r="AU144" s="1712"/>
      <c r="AV144" s="1712"/>
      <c r="AW144" s="1712"/>
      <c r="AX144" s="1713"/>
      <c r="AY144" s="1714" t="str">
        <f t="shared" si="89"/>
        <v/>
      </c>
      <c r="AZ144" s="1714" t="str">
        <f>IF(Obj_PA!D144="","",IF(AY144="","",Obj_PA!D144-AY144))</f>
        <v/>
      </c>
      <c r="BA144" s="150"/>
      <c r="BB144" s="150"/>
      <c r="BC144" s="150"/>
      <c r="BD144" s="150"/>
      <c r="BE144" s="150"/>
      <c r="BF144" s="150"/>
      <c r="BG144" s="150"/>
      <c r="BH144" s="150"/>
      <c r="BI144" s="150"/>
      <c r="BJ144" s="150"/>
      <c r="BK144" s="155" t="str">
        <f t="shared" si="90"/>
        <v/>
      </c>
      <c r="BL144" s="155" t="str">
        <f t="shared" si="91"/>
        <v/>
      </c>
      <c r="BM144" s="155" t="str">
        <f t="shared" si="92"/>
        <v/>
      </c>
      <c r="BN144" s="155" t="str">
        <f t="shared" si="93"/>
        <v/>
      </c>
      <c r="BO144" s="155" t="str">
        <f t="shared" si="94"/>
        <v/>
      </c>
      <c r="BP144" s="155" t="str">
        <f t="shared" si="95"/>
        <v/>
      </c>
      <c r="BQ144" s="155" t="str">
        <f t="shared" si="96"/>
        <v/>
      </c>
      <c r="BR144" s="155" t="str">
        <f t="shared" si="97"/>
        <v/>
      </c>
      <c r="BS144" s="155" t="str">
        <f t="shared" si="98"/>
        <v/>
      </c>
      <c r="BT144" s="155" t="str">
        <f t="shared" si="99"/>
        <v/>
      </c>
      <c r="BU144" s="155" t="str">
        <f t="shared" si="100"/>
        <v/>
      </c>
      <c r="BV144" s="155" t="str">
        <f t="shared" si="101"/>
        <v/>
      </c>
      <c r="BW144" s="155" t="str">
        <f t="shared" si="102"/>
        <v/>
      </c>
      <c r="BX144" s="155" t="str">
        <f t="shared" si="103"/>
        <v/>
      </c>
      <c r="BY144" s="155" t="str">
        <f t="shared" si="104"/>
        <v/>
      </c>
      <c r="BZ144" s="155" t="str">
        <f t="shared" si="105"/>
        <v/>
      </c>
      <c r="CA144" s="155" t="str">
        <f t="shared" si="106"/>
        <v/>
      </c>
      <c r="CB144" s="155" t="str">
        <f t="shared" si="107"/>
        <v/>
      </c>
      <c r="CC144" s="155" t="str">
        <f t="shared" si="108"/>
        <v/>
      </c>
      <c r="CD144" s="155" t="str">
        <f t="shared" si="109"/>
        <v/>
      </c>
      <c r="CE144" s="155" t="str">
        <f t="shared" si="110"/>
        <v/>
      </c>
      <c r="CF144" s="155" t="str">
        <f t="shared" si="111"/>
        <v/>
      </c>
      <c r="CG144" s="155" t="str">
        <f t="shared" si="112"/>
        <v/>
      </c>
      <c r="CH144" s="155" t="str">
        <f t="shared" si="113"/>
        <v/>
      </c>
      <c r="CI144" s="155" t="str">
        <f t="shared" si="114"/>
        <v/>
      </c>
      <c r="CJ144" s="155" t="str">
        <f t="shared" si="115"/>
        <v/>
      </c>
      <c r="CK144" s="155" t="str">
        <f t="shared" si="116"/>
        <v/>
      </c>
      <c r="CL144" s="155" t="str">
        <f t="shared" si="117"/>
        <v/>
      </c>
      <c r="CM144" s="155" t="str">
        <f t="shared" si="118"/>
        <v/>
      </c>
      <c r="CN144" s="155" t="str">
        <f t="shared" si="119"/>
        <v/>
      </c>
      <c r="CO144" s="155" t="str">
        <f t="shared" si="120"/>
        <v/>
      </c>
      <c r="CP144" s="155" t="str">
        <f t="shared" si="121"/>
        <v/>
      </c>
      <c r="CQ144" s="155" t="str">
        <f t="shared" si="122"/>
        <v/>
      </c>
      <c r="CR144" s="155" t="str">
        <f t="shared" si="123"/>
        <v/>
      </c>
      <c r="CS144" s="155" t="str">
        <f t="shared" si="124"/>
        <v/>
      </c>
      <c r="CT144" s="155" t="str">
        <f t="shared" si="125"/>
        <v/>
      </c>
      <c r="CU144" s="155" t="str">
        <f t="shared" si="126"/>
        <v/>
      </c>
      <c r="CV144" s="155" t="str">
        <f t="shared" si="127"/>
        <v/>
      </c>
      <c r="CW144" s="155" t="str">
        <f t="shared" si="128"/>
        <v/>
      </c>
      <c r="CX144" s="155" t="str">
        <f t="shared" si="129"/>
        <v/>
      </c>
    </row>
    <row r="145" spans="1:126" s="151" customFormat="1" ht="14.25" outlineLevel="1" x14ac:dyDescent="0.2">
      <c r="A145" s="146"/>
      <c r="B145" s="157" t="str">
        <f>Services!B145</f>
        <v>06C01</v>
      </c>
      <c r="C145" s="153" t="str">
        <f>Services!C145</f>
        <v xml:space="preserve">Gestion des droits privilégiés sur les équipements de réseau </v>
      </c>
      <c r="D145" s="149"/>
      <c r="E145" s="149">
        <f>2*(8*Plans_action!E158+Plans_action!D158)</f>
        <v>0</v>
      </c>
      <c r="F145" s="149"/>
      <c r="G145" s="149"/>
      <c r="H145" s="149">
        <f>5*(8*Plans_action!E263+Plans_action!D263)+5*(8*Plans_action!E268+Plans_action!D268)</f>
        <v>0</v>
      </c>
      <c r="I145" s="140" t="str">
        <f t="shared" si="87"/>
        <v/>
      </c>
      <c r="J145" s="141" t="str">
        <f t="shared" si="88"/>
        <v/>
      </c>
      <c r="K145" s="142"/>
      <c r="L145" s="142"/>
      <c r="M145" s="1708"/>
      <c r="N145" s="1708"/>
      <c r="O145" s="1708"/>
      <c r="P145" s="1708"/>
      <c r="Q145" s="1708"/>
      <c r="R145" s="1708"/>
      <c r="S145" s="1708"/>
      <c r="T145" s="1708"/>
      <c r="U145" s="1708"/>
      <c r="V145" s="1708"/>
      <c r="W145" s="1708"/>
      <c r="X145" s="1712"/>
      <c r="Y145" s="1712"/>
      <c r="Z145" s="1712"/>
      <c r="AA145" s="1712"/>
      <c r="AB145" s="1712"/>
      <c r="AC145" s="1712"/>
      <c r="AD145" s="1712"/>
      <c r="AE145" s="1712"/>
      <c r="AF145" s="1712"/>
      <c r="AG145" s="1712"/>
      <c r="AH145" s="1712"/>
      <c r="AI145" s="1712"/>
      <c r="AJ145" s="1712"/>
      <c r="AK145" s="1712"/>
      <c r="AL145" s="1712"/>
      <c r="AM145" s="1712"/>
      <c r="AN145" s="1712"/>
      <c r="AO145" s="1712"/>
      <c r="AP145" s="1712"/>
      <c r="AQ145" s="1712"/>
      <c r="AR145" s="1712"/>
      <c r="AS145" s="1712"/>
      <c r="AT145" s="1712"/>
      <c r="AU145" s="1712"/>
      <c r="AV145" s="1712"/>
      <c r="AW145" s="1712"/>
      <c r="AX145" s="1713"/>
      <c r="AY145" s="1714" t="str">
        <f t="shared" si="89"/>
        <v/>
      </c>
      <c r="AZ145" s="1714" t="str">
        <f>IF(Obj_PA!D145="","",IF(AY145="","",Obj_PA!D145-AY145))</f>
        <v/>
      </c>
      <c r="BA145" s="150"/>
      <c r="BB145" s="150"/>
      <c r="BC145" s="150"/>
      <c r="BD145" s="150"/>
      <c r="BE145" s="150"/>
      <c r="BF145" s="150"/>
      <c r="BG145" s="150"/>
      <c r="BH145" s="150"/>
      <c r="BI145" s="150"/>
      <c r="BJ145" s="150"/>
      <c r="BK145" s="155" t="str">
        <f t="shared" si="90"/>
        <v/>
      </c>
      <c r="BL145" s="155" t="str">
        <f t="shared" si="91"/>
        <v/>
      </c>
      <c r="BM145" s="155" t="str">
        <f t="shared" si="92"/>
        <v/>
      </c>
      <c r="BN145" s="155" t="str">
        <f t="shared" si="93"/>
        <v/>
      </c>
      <c r="BO145" s="155" t="str">
        <f t="shared" si="94"/>
        <v/>
      </c>
      <c r="BP145" s="155" t="str">
        <f t="shared" si="95"/>
        <v/>
      </c>
      <c r="BQ145" s="155" t="str">
        <f t="shared" si="96"/>
        <v/>
      </c>
      <c r="BR145" s="155" t="str">
        <f t="shared" si="97"/>
        <v/>
      </c>
      <c r="BS145" s="155" t="str">
        <f t="shared" si="98"/>
        <v/>
      </c>
      <c r="BT145" s="155" t="str">
        <f t="shared" si="99"/>
        <v/>
      </c>
      <c r="BU145" s="155" t="str">
        <f t="shared" si="100"/>
        <v/>
      </c>
      <c r="BV145" s="155" t="str">
        <f t="shared" si="101"/>
        <v/>
      </c>
      <c r="BW145" s="155" t="str">
        <f t="shared" si="102"/>
        <v/>
      </c>
      <c r="BX145" s="155" t="str">
        <f t="shared" si="103"/>
        <v/>
      </c>
      <c r="BY145" s="155" t="str">
        <f t="shared" si="104"/>
        <v/>
      </c>
      <c r="BZ145" s="155" t="str">
        <f t="shared" si="105"/>
        <v/>
      </c>
      <c r="CA145" s="155" t="str">
        <f t="shared" si="106"/>
        <v/>
      </c>
      <c r="CB145" s="155" t="str">
        <f t="shared" si="107"/>
        <v/>
      </c>
      <c r="CC145" s="155" t="str">
        <f t="shared" si="108"/>
        <v/>
      </c>
      <c r="CD145" s="155" t="str">
        <f t="shared" si="109"/>
        <v/>
      </c>
      <c r="CE145" s="155" t="str">
        <f t="shared" si="110"/>
        <v/>
      </c>
      <c r="CF145" s="155" t="str">
        <f t="shared" si="111"/>
        <v/>
      </c>
      <c r="CG145" s="155" t="str">
        <f t="shared" si="112"/>
        <v/>
      </c>
      <c r="CH145" s="155" t="str">
        <f t="shared" si="113"/>
        <v/>
      </c>
      <c r="CI145" s="155" t="str">
        <f t="shared" si="114"/>
        <v/>
      </c>
      <c r="CJ145" s="155" t="str">
        <f t="shared" si="115"/>
        <v/>
      </c>
      <c r="CK145" s="155" t="str">
        <f t="shared" si="116"/>
        <v/>
      </c>
      <c r="CL145" s="155" t="str">
        <f t="shared" si="117"/>
        <v/>
      </c>
      <c r="CM145" s="155" t="str">
        <f t="shared" si="118"/>
        <v/>
      </c>
      <c r="CN145" s="155" t="str">
        <f t="shared" si="119"/>
        <v/>
      </c>
      <c r="CO145" s="155" t="str">
        <f t="shared" si="120"/>
        <v/>
      </c>
      <c r="CP145" s="155" t="str">
        <f t="shared" si="121"/>
        <v/>
      </c>
      <c r="CQ145" s="155" t="str">
        <f t="shared" si="122"/>
        <v/>
      </c>
      <c r="CR145" s="155" t="str">
        <f t="shared" si="123"/>
        <v/>
      </c>
      <c r="CS145" s="155" t="str">
        <f t="shared" si="124"/>
        <v/>
      </c>
      <c r="CT145" s="155" t="str">
        <f t="shared" si="125"/>
        <v/>
      </c>
      <c r="CU145" s="155" t="str">
        <f t="shared" si="126"/>
        <v/>
      </c>
      <c r="CV145" s="155" t="str">
        <f t="shared" si="127"/>
        <v/>
      </c>
      <c r="CW145" s="155" t="str">
        <f t="shared" si="128"/>
        <v/>
      </c>
      <c r="CX145" s="155" t="str">
        <f t="shared" si="129"/>
        <v/>
      </c>
    </row>
    <row r="146" spans="1:126" s="151" customFormat="1" ht="25.5" outlineLevel="1" x14ac:dyDescent="0.2">
      <c r="A146" s="146"/>
      <c r="B146" s="157" t="str">
        <f>Services!B146</f>
        <v>06C02</v>
      </c>
      <c r="C146" s="153" t="str">
        <f>Services!C146</f>
        <v>Authentification et contrôle des droits d'accès des administrateurs et personnels d'exploitation des réseaux</v>
      </c>
      <c r="D146" s="149">
        <f>1*(8*Plans_action!E200+Plans_action!D200)+1*(8*Plans_action!E200+Plans_action!D200)+1*(8*Plans_action!E207+Plans_action!D207)+1*(8*Plans_action!E207+Plans_action!D207)</f>
        <v>0</v>
      </c>
      <c r="E146" s="149">
        <f>2*(8*Plans_action!E158+Plans_action!D158)</f>
        <v>0</v>
      </c>
      <c r="F146" s="149">
        <f>3*(8*Plans_action!E263+Plans_action!D263)+3*(8*Plans_action!E268+Plans_action!D268)</f>
        <v>0</v>
      </c>
      <c r="G146" s="149"/>
      <c r="H146" s="149">
        <f>5*(8*Plans_action!E263+Plans_action!D263)+5*(8*Plans_action!E268+Plans_action!D268)</f>
        <v>0</v>
      </c>
      <c r="I146" s="140" t="str">
        <f t="shared" si="87"/>
        <v/>
      </c>
      <c r="J146" s="141" t="str">
        <f t="shared" si="88"/>
        <v/>
      </c>
      <c r="K146" s="142"/>
      <c r="L146" s="142"/>
      <c r="M146" s="1708"/>
      <c r="N146" s="1708"/>
      <c r="O146" s="1708"/>
      <c r="P146" s="1708"/>
      <c r="Q146" s="1708"/>
      <c r="R146" s="1708"/>
      <c r="S146" s="1708"/>
      <c r="T146" s="1708"/>
      <c r="U146" s="1708"/>
      <c r="V146" s="1708"/>
      <c r="W146" s="1708"/>
      <c r="X146" s="1712"/>
      <c r="Y146" s="1712"/>
      <c r="Z146" s="1712"/>
      <c r="AA146" s="1712"/>
      <c r="AB146" s="1712"/>
      <c r="AC146" s="1712"/>
      <c r="AD146" s="1712"/>
      <c r="AE146" s="1712"/>
      <c r="AF146" s="1712"/>
      <c r="AG146" s="1712"/>
      <c r="AH146" s="1712"/>
      <c r="AI146" s="1712"/>
      <c r="AJ146" s="1712"/>
      <c r="AK146" s="1712"/>
      <c r="AL146" s="1712"/>
      <c r="AM146" s="1712"/>
      <c r="AN146" s="1712"/>
      <c r="AO146" s="1712"/>
      <c r="AP146" s="1712"/>
      <c r="AQ146" s="1712"/>
      <c r="AR146" s="1712"/>
      <c r="AS146" s="1712"/>
      <c r="AT146" s="1712"/>
      <c r="AU146" s="1712"/>
      <c r="AV146" s="1712"/>
      <c r="AW146" s="1712"/>
      <c r="AX146" s="1713"/>
      <c r="AY146" s="1714" t="str">
        <f t="shared" si="89"/>
        <v/>
      </c>
      <c r="AZ146" s="1714" t="str">
        <f>IF(Obj_PA!D146="","",IF(AY146="","",Obj_PA!D146-AY146))</f>
        <v/>
      </c>
      <c r="BA146" s="150"/>
      <c r="BB146" s="150"/>
      <c r="BC146" s="150"/>
      <c r="BD146" s="150"/>
      <c r="BE146" s="150"/>
      <c r="BF146" s="150"/>
      <c r="BG146" s="150"/>
      <c r="BH146" s="150"/>
      <c r="BI146" s="150"/>
      <c r="BJ146" s="150"/>
      <c r="BK146" s="155" t="str">
        <f t="shared" si="90"/>
        <v/>
      </c>
      <c r="BL146" s="155" t="str">
        <f t="shared" si="91"/>
        <v/>
      </c>
      <c r="BM146" s="155" t="str">
        <f t="shared" si="92"/>
        <v/>
      </c>
      <c r="BN146" s="155" t="str">
        <f t="shared" si="93"/>
        <v/>
      </c>
      <c r="BO146" s="155" t="str">
        <f t="shared" si="94"/>
        <v/>
      </c>
      <c r="BP146" s="155" t="str">
        <f t="shared" si="95"/>
        <v/>
      </c>
      <c r="BQ146" s="155" t="str">
        <f t="shared" si="96"/>
        <v/>
      </c>
      <c r="BR146" s="155" t="str">
        <f t="shared" si="97"/>
        <v/>
      </c>
      <c r="BS146" s="155" t="str">
        <f t="shared" si="98"/>
        <v/>
      </c>
      <c r="BT146" s="155" t="str">
        <f t="shared" si="99"/>
        <v/>
      </c>
      <c r="BU146" s="155" t="str">
        <f t="shared" si="100"/>
        <v/>
      </c>
      <c r="BV146" s="155" t="str">
        <f t="shared" si="101"/>
        <v/>
      </c>
      <c r="BW146" s="155" t="str">
        <f t="shared" si="102"/>
        <v/>
      </c>
      <c r="BX146" s="155" t="str">
        <f t="shared" si="103"/>
        <v/>
      </c>
      <c r="BY146" s="155" t="str">
        <f t="shared" si="104"/>
        <v/>
      </c>
      <c r="BZ146" s="155" t="str">
        <f t="shared" si="105"/>
        <v/>
      </c>
      <c r="CA146" s="155" t="str">
        <f t="shared" si="106"/>
        <v/>
      </c>
      <c r="CB146" s="155" t="str">
        <f t="shared" si="107"/>
        <v/>
      </c>
      <c r="CC146" s="155" t="str">
        <f t="shared" si="108"/>
        <v/>
      </c>
      <c r="CD146" s="155" t="str">
        <f t="shared" si="109"/>
        <v/>
      </c>
      <c r="CE146" s="155" t="str">
        <f t="shared" si="110"/>
        <v/>
      </c>
      <c r="CF146" s="155" t="str">
        <f t="shared" si="111"/>
        <v/>
      </c>
      <c r="CG146" s="155" t="str">
        <f t="shared" si="112"/>
        <v/>
      </c>
      <c r="CH146" s="155" t="str">
        <f t="shared" si="113"/>
        <v/>
      </c>
      <c r="CI146" s="155" t="str">
        <f t="shared" si="114"/>
        <v/>
      </c>
      <c r="CJ146" s="155" t="str">
        <f t="shared" si="115"/>
        <v/>
      </c>
      <c r="CK146" s="155" t="str">
        <f t="shared" si="116"/>
        <v/>
      </c>
      <c r="CL146" s="155" t="str">
        <f t="shared" si="117"/>
        <v/>
      </c>
      <c r="CM146" s="155" t="str">
        <f t="shared" si="118"/>
        <v/>
      </c>
      <c r="CN146" s="155" t="str">
        <f t="shared" si="119"/>
        <v/>
      </c>
      <c r="CO146" s="155" t="str">
        <f t="shared" si="120"/>
        <v/>
      </c>
      <c r="CP146" s="155" t="str">
        <f t="shared" si="121"/>
        <v/>
      </c>
      <c r="CQ146" s="155" t="str">
        <f t="shared" si="122"/>
        <v/>
      </c>
      <c r="CR146" s="155" t="str">
        <f t="shared" si="123"/>
        <v/>
      </c>
      <c r="CS146" s="155" t="str">
        <f t="shared" si="124"/>
        <v/>
      </c>
      <c r="CT146" s="155" t="str">
        <f t="shared" si="125"/>
        <v/>
      </c>
      <c r="CU146" s="155" t="str">
        <f t="shared" si="126"/>
        <v/>
      </c>
      <c r="CV146" s="155" t="str">
        <f t="shared" si="127"/>
        <v/>
      </c>
      <c r="CW146" s="155" t="str">
        <f t="shared" si="128"/>
        <v/>
      </c>
      <c r="CX146" s="155" t="str">
        <f t="shared" si="129"/>
        <v/>
      </c>
    </row>
    <row r="147" spans="1:126" s="151" customFormat="1" ht="14.25" outlineLevel="1" x14ac:dyDescent="0.2">
      <c r="A147" s="146"/>
      <c r="B147" s="157" t="str">
        <f>Services!B147</f>
        <v>06C03</v>
      </c>
      <c r="C147" s="153" t="str">
        <f>Services!C147</f>
        <v>Surveillance des actions d'administration des réseaux</v>
      </c>
      <c r="D147" s="149">
        <f>1*(8*Plans_action!E200+Plans_action!D200)+1*(8*Plans_action!E207+Plans_action!D207)</f>
        <v>0</v>
      </c>
      <c r="E147" s="149">
        <f>2*(8*Plans_action!E158+Plans_action!D158)</f>
        <v>0</v>
      </c>
      <c r="F147" s="149">
        <f>3*(8*Plans_action!E263+Plans_action!D263)+3*(8*Plans_action!E268+Plans_action!D268)</f>
        <v>0</v>
      </c>
      <c r="G147" s="149"/>
      <c r="H147" s="149"/>
      <c r="I147" s="140" t="str">
        <f t="shared" si="87"/>
        <v/>
      </c>
      <c r="J147" s="141" t="str">
        <f t="shared" si="88"/>
        <v/>
      </c>
      <c r="K147" s="142"/>
      <c r="L147" s="142"/>
      <c r="M147" s="1708"/>
      <c r="N147" s="1708"/>
      <c r="O147" s="1708"/>
      <c r="P147" s="1708"/>
      <c r="Q147" s="1708"/>
      <c r="R147" s="1708"/>
      <c r="S147" s="1708"/>
      <c r="T147" s="1708"/>
      <c r="U147" s="1708"/>
      <c r="V147" s="1708"/>
      <c r="W147" s="1708"/>
      <c r="X147" s="1712"/>
      <c r="Y147" s="1712"/>
      <c r="Z147" s="1712"/>
      <c r="AA147" s="1712"/>
      <c r="AB147" s="1712"/>
      <c r="AC147" s="1712"/>
      <c r="AD147" s="1712"/>
      <c r="AE147" s="1712"/>
      <c r="AF147" s="1712"/>
      <c r="AG147" s="1712"/>
      <c r="AH147" s="1712"/>
      <c r="AI147" s="1712"/>
      <c r="AJ147" s="1712"/>
      <c r="AK147" s="1712"/>
      <c r="AL147" s="1712"/>
      <c r="AM147" s="1712"/>
      <c r="AN147" s="1712"/>
      <c r="AO147" s="1712"/>
      <c r="AP147" s="1712"/>
      <c r="AQ147" s="1712"/>
      <c r="AR147" s="1712"/>
      <c r="AS147" s="1712"/>
      <c r="AT147" s="1712"/>
      <c r="AU147" s="1712"/>
      <c r="AV147" s="1712"/>
      <c r="AW147" s="1712"/>
      <c r="AX147" s="1713"/>
      <c r="AY147" s="1714" t="str">
        <f t="shared" si="89"/>
        <v/>
      </c>
      <c r="AZ147" s="1714" t="str">
        <f>IF(Obj_PA!D147="","",IF(AY147="","",Obj_PA!D147-AY147))</f>
        <v/>
      </c>
      <c r="BA147" s="150"/>
      <c r="BB147" s="150"/>
      <c r="BC147" s="150"/>
      <c r="BD147" s="150"/>
      <c r="BE147" s="150"/>
      <c r="BF147" s="150"/>
      <c r="BG147" s="150"/>
      <c r="BH147" s="150"/>
      <c r="BI147" s="150"/>
      <c r="BJ147" s="150"/>
      <c r="BK147" s="155" t="str">
        <f t="shared" si="90"/>
        <v/>
      </c>
      <c r="BL147" s="155" t="str">
        <f t="shared" si="91"/>
        <v/>
      </c>
      <c r="BM147" s="155" t="str">
        <f t="shared" si="92"/>
        <v/>
      </c>
      <c r="BN147" s="155" t="str">
        <f t="shared" si="93"/>
        <v/>
      </c>
      <c r="BO147" s="155" t="str">
        <f t="shared" si="94"/>
        <v/>
      </c>
      <c r="BP147" s="155" t="str">
        <f t="shared" si="95"/>
        <v/>
      </c>
      <c r="BQ147" s="155" t="str">
        <f t="shared" si="96"/>
        <v/>
      </c>
      <c r="BR147" s="155" t="str">
        <f t="shared" si="97"/>
        <v/>
      </c>
      <c r="BS147" s="155" t="str">
        <f t="shared" si="98"/>
        <v/>
      </c>
      <c r="BT147" s="155" t="str">
        <f t="shared" si="99"/>
        <v/>
      </c>
      <c r="BU147" s="155" t="str">
        <f t="shared" si="100"/>
        <v/>
      </c>
      <c r="BV147" s="155" t="str">
        <f t="shared" si="101"/>
        <v/>
      </c>
      <c r="BW147" s="155" t="str">
        <f t="shared" si="102"/>
        <v/>
      </c>
      <c r="BX147" s="155" t="str">
        <f t="shared" si="103"/>
        <v/>
      </c>
      <c r="BY147" s="155" t="str">
        <f t="shared" si="104"/>
        <v/>
      </c>
      <c r="BZ147" s="155" t="str">
        <f t="shared" si="105"/>
        <v/>
      </c>
      <c r="CA147" s="155" t="str">
        <f t="shared" si="106"/>
        <v/>
      </c>
      <c r="CB147" s="155" t="str">
        <f t="shared" si="107"/>
        <v/>
      </c>
      <c r="CC147" s="155" t="str">
        <f t="shared" si="108"/>
        <v/>
      </c>
      <c r="CD147" s="155" t="str">
        <f t="shared" si="109"/>
        <v/>
      </c>
      <c r="CE147" s="155" t="str">
        <f t="shared" si="110"/>
        <v/>
      </c>
      <c r="CF147" s="155" t="str">
        <f t="shared" si="111"/>
        <v/>
      </c>
      <c r="CG147" s="155" t="str">
        <f t="shared" si="112"/>
        <v/>
      </c>
      <c r="CH147" s="155" t="str">
        <f t="shared" si="113"/>
        <v/>
      </c>
      <c r="CI147" s="155" t="str">
        <f t="shared" si="114"/>
        <v/>
      </c>
      <c r="CJ147" s="155" t="str">
        <f t="shared" si="115"/>
        <v/>
      </c>
      <c r="CK147" s="155" t="str">
        <f t="shared" si="116"/>
        <v/>
      </c>
      <c r="CL147" s="155" t="str">
        <f t="shared" si="117"/>
        <v/>
      </c>
      <c r="CM147" s="155" t="str">
        <f t="shared" si="118"/>
        <v/>
      </c>
      <c r="CN147" s="155" t="str">
        <f t="shared" si="119"/>
        <v/>
      </c>
      <c r="CO147" s="155" t="str">
        <f t="shared" si="120"/>
        <v/>
      </c>
      <c r="CP147" s="155" t="str">
        <f t="shared" si="121"/>
        <v/>
      </c>
      <c r="CQ147" s="155" t="str">
        <f t="shared" si="122"/>
        <v/>
      </c>
      <c r="CR147" s="155" t="str">
        <f t="shared" si="123"/>
        <v/>
      </c>
      <c r="CS147" s="155" t="str">
        <f t="shared" si="124"/>
        <v/>
      </c>
      <c r="CT147" s="155" t="str">
        <f t="shared" si="125"/>
        <v/>
      </c>
      <c r="CU147" s="155" t="str">
        <f t="shared" si="126"/>
        <v/>
      </c>
      <c r="CV147" s="155" t="str">
        <f t="shared" si="127"/>
        <v/>
      </c>
      <c r="CW147" s="155" t="str">
        <f t="shared" si="128"/>
        <v/>
      </c>
      <c r="CX147" s="155" t="str">
        <f t="shared" si="129"/>
        <v/>
      </c>
    </row>
    <row r="148" spans="1:126" s="151" customFormat="1" ht="14.25" outlineLevel="1" x14ac:dyDescent="0.2">
      <c r="A148" s="146"/>
      <c r="B148" s="157" t="str">
        <f>Services!B148</f>
        <v>06C04</v>
      </c>
      <c r="C148" s="153" t="str">
        <f>Services!C148</f>
        <v>Contrôle des outils et utilitaires de l'exploitation du réseau</v>
      </c>
      <c r="D148" s="149"/>
      <c r="E148" s="149"/>
      <c r="F148" s="149"/>
      <c r="G148" s="149"/>
      <c r="H148" s="149"/>
      <c r="I148" s="140" t="str">
        <f t="shared" si="87"/>
        <v/>
      </c>
      <c r="J148" s="141" t="str">
        <f t="shared" si="88"/>
        <v/>
      </c>
      <c r="K148" s="142"/>
      <c r="L148" s="142"/>
      <c r="M148" s="1708"/>
      <c r="N148" s="1708"/>
      <c r="O148" s="1708"/>
      <c r="P148" s="1708"/>
      <c r="Q148" s="1708"/>
      <c r="R148" s="1708"/>
      <c r="S148" s="1708"/>
      <c r="T148" s="1708"/>
      <c r="U148" s="1708"/>
      <c r="V148" s="1708"/>
      <c r="W148" s="1708"/>
      <c r="X148" s="1712"/>
      <c r="Y148" s="1712"/>
      <c r="Z148" s="1712"/>
      <c r="AA148" s="1712"/>
      <c r="AB148" s="1712"/>
      <c r="AC148" s="1712"/>
      <c r="AD148" s="1712"/>
      <c r="AE148" s="1712"/>
      <c r="AF148" s="1712"/>
      <c r="AG148" s="1712"/>
      <c r="AH148" s="1712"/>
      <c r="AI148" s="1712"/>
      <c r="AJ148" s="1712"/>
      <c r="AK148" s="1712"/>
      <c r="AL148" s="1712"/>
      <c r="AM148" s="1712"/>
      <c r="AN148" s="1712"/>
      <c r="AO148" s="1712"/>
      <c r="AP148" s="1712"/>
      <c r="AQ148" s="1712"/>
      <c r="AR148" s="1712"/>
      <c r="AS148" s="1712"/>
      <c r="AT148" s="1712"/>
      <c r="AU148" s="1712"/>
      <c r="AV148" s="1712"/>
      <c r="AW148" s="1712"/>
      <c r="AX148" s="1713"/>
      <c r="AY148" s="1714" t="str">
        <f t="shared" si="89"/>
        <v/>
      </c>
      <c r="AZ148" s="1714" t="str">
        <f>IF(Obj_PA!D148="","",IF(AY148="","",Obj_PA!D148-AY148))</f>
        <v/>
      </c>
      <c r="BA148" s="150"/>
      <c r="BB148" s="150"/>
      <c r="BC148" s="150"/>
      <c r="BD148" s="150"/>
      <c r="BE148" s="150"/>
      <c r="BF148" s="150"/>
      <c r="BG148" s="150"/>
      <c r="BH148" s="150"/>
      <c r="BI148" s="150"/>
      <c r="BJ148" s="150"/>
      <c r="BK148" s="155" t="str">
        <f t="shared" si="90"/>
        <v/>
      </c>
      <c r="BL148" s="155" t="str">
        <f t="shared" si="91"/>
        <v/>
      </c>
      <c r="BM148" s="155" t="str">
        <f t="shared" si="92"/>
        <v/>
      </c>
      <c r="BN148" s="155" t="str">
        <f t="shared" si="93"/>
        <v/>
      </c>
      <c r="BO148" s="155" t="str">
        <f t="shared" si="94"/>
        <v/>
      </c>
      <c r="BP148" s="155" t="str">
        <f t="shared" si="95"/>
        <v/>
      </c>
      <c r="BQ148" s="155" t="str">
        <f t="shared" si="96"/>
        <v/>
      </c>
      <c r="BR148" s="155" t="str">
        <f t="shared" si="97"/>
        <v/>
      </c>
      <c r="BS148" s="155" t="str">
        <f t="shared" si="98"/>
        <v/>
      </c>
      <c r="BT148" s="155" t="str">
        <f t="shared" si="99"/>
        <v/>
      </c>
      <c r="BU148" s="155" t="str">
        <f t="shared" si="100"/>
        <v/>
      </c>
      <c r="BV148" s="155" t="str">
        <f t="shared" si="101"/>
        <v/>
      </c>
      <c r="BW148" s="155" t="str">
        <f t="shared" si="102"/>
        <v/>
      </c>
      <c r="BX148" s="155" t="str">
        <f t="shared" si="103"/>
        <v/>
      </c>
      <c r="BY148" s="155" t="str">
        <f t="shared" si="104"/>
        <v/>
      </c>
      <c r="BZ148" s="155" t="str">
        <f t="shared" si="105"/>
        <v/>
      </c>
      <c r="CA148" s="155" t="str">
        <f t="shared" si="106"/>
        <v/>
      </c>
      <c r="CB148" s="155" t="str">
        <f t="shared" si="107"/>
        <v/>
      </c>
      <c r="CC148" s="155" t="str">
        <f t="shared" si="108"/>
        <v/>
      </c>
      <c r="CD148" s="155" t="str">
        <f t="shared" si="109"/>
        <v/>
      </c>
      <c r="CE148" s="155" t="str">
        <f t="shared" si="110"/>
        <v/>
      </c>
      <c r="CF148" s="155" t="str">
        <f t="shared" si="111"/>
        <v/>
      </c>
      <c r="CG148" s="155" t="str">
        <f t="shared" si="112"/>
        <v/>
      </c>
      <c r="CH148" s="155" t="str">
        <f t="shared" si="113"/>
        <v/>
      </c>
      <c r="CI148" s="155" t="str">
        <f t="shared" si="114"/>
        <v/>
      </c>
      <c r="CJ148" s="155" t="str">
        <f t="shared" si="115"/>
        <v/>
      </c>
      <c r="CK148" s="155" t="str">
        <f t="shared" si="116"/>
        <v/>
      </c>
      <c r="CL148" s="155" t="str">
        <f t="shared" si="117"/>
        <v/>
      </c>
      <c r="CM148" s="155" t="str">
        <f t="shared" si="118"/>
        <v/>
      </c>
      <c r="CN148" s="155" t="str">
        <f t="shared" si="119"/>
        <v/>
      </c>
      <c r="CO148" s="155" t="str">
        <f t="shared" si="120"/>
        <v/>
      </c>
      <c r="CP148" s="155" t="str">
        <f t="shared" si="121"/>
        <v/>
      </c>
      <c r="CQ148" s="155" t="str">
        <f t="shared" si="122"/>
        <v/>
      </c>
      <c r="CR148" s="155" t="str">
        <f t="shared" si="123"/>
        <v/>
      </c>
      <c r="CS148" s="155" t="str">
        <f t="shared" si="124"/>
        <v/>
      </c>
      <c r="CT148" s="155" t="str">
        <f t="shared" si="125"/>
        <v/>
      </c>
      <c r="CU148" s="155" t="str">
        <f t="shared" si="126"/>
        <v/>
      </c>
      <c r="CV148" s="155" t="str">
        <f t="shared" si="127"/>
        <v/>
      </c>
      <c r="CW148" s="155" t="str">
        <f t="shared" si="128"/>
        <v/>
      </c>
      <c r="CX148" s="155" t="str">
        <f t="shared" si="129"/>
        <v/>
      </c>
    </row>
    <row r="149" spans="1:126" s="151" customFormat="1" ht="14.25" outlineLevel="1" x14ac:dyDescent="0.2">
      <c r="A149" s="146"/>
      <c r="B149" s="147" t="str">
        <f>Services!B149</f>
        <v>06D</v>
      </c>
      <c r="C149" s="148" t="str">
        <f>Services!C149</f>
        <v>Procédures d'audit et de contrôle des réseaux</v>
      </c>
      <c r="D149" s="149"/>
      <c r="E149" s="149"/>
      <c r="F149" s="149"/>
      <c r="G149" s="149"/>
      <c r="H149" s="149"/>
      <c r="I149" s="140" t="str">
        <f t="shared" si="87"/>
        <v/>
      </c>
      <c r="J149" s="141" t="str">
        <f t="shared" si="88"/>
        <v/>
      </c>
      <c r="K149" s="142"/>
      <c r="L149" s="142"/>
      <c r="M149" s="1708"/>
      <c r="N149" s="1708"/>
      <c r="O149" s="1708"/>
      <c r="P149" s="1708"/>
      <c r="Q149" s="1708"/>
      <c r="R149" s="1708"/>
      <c r="S149" s="1708"/>
      <c r="T149" s="1708"/>
      <c r="U149" s="1708"/>
      <c r="V149" s="1708"/>
      <c r="W149" s="1708"/>
      <c r="X149" s="1712"/>
      <c r="Y149" s="1712"/>
      <c r="Z149" s="1712"/>
      <c r="AA149" s="1712"/>
      <c r="AB149" s="1712"/>
      <c r="AC149" s="1712"/>
      <c r="AD149" s="1712"/>
      <c r="AE149" s="1712"/>
      <c r="AF149" s="1712"/>
      <c r="AG149" s="1712"/>
      <c r="AH149" s="1712"/>
      <c r="AI149" s="1712"/>
      <c r="AJ149" s="1712"/>
      <c r="AK149" s="1712"/>
      <c r="AL149" s="1712"/>
      <c r="AM149" s="1712"/>
      <c r="AN149" s="1712"/>
      <c r="AO149" s="1712"/>
      <c r="AP149" s="1712"/>
      <c r="AQ149" s="1712"/>
      <c r="AR149" s="1712"/>
      <c r="AS149" s="1712"/>
      <c r="AT149" s="1712"/>
      <c r="AU149" s="1712"/>
      <c r="AV149" s="1712"/>
      <c r="AW149" s="1712"/>
      <c r="AX149" s="1713"/>
      <c r="AY149" s="1714" t="str">
        <f t="shared" si="89"/>
        <v/>
      </c>
      <c r="AZ149" s="1714" t="str">
        <f>IF(Obj_PA!D149="","",IF(AY149="","",Obj_PA!D149-AY149))</f>
        <v/>
      </c>
      <c r="BA149" s="150"/>
      <c r="BB149" s="150"/>
      <c r="BC149" s="150"/>
      <c r="BD149" s="150"/>
      <c r="BE149" s="150"/>
      <c r="BF149" s="150"/>
      <c r="BG149" s="150"/>
      <c r="BH149" s="150"/>
      <c r="BI149" s="150"/>
      <c r="BJ149" s="150"/>
      <c r="BK149" s="155" t="str">
        <f t="shared" si="90"/>
        <v/>
      </c>
      <c r="BL149" s="155" t="str">
        <f t="shared" si="91"/>
        <v/>
      </c>
      <c r="BM149" s="155" t="str">
        <f t="shared" si="92"/>
        <v/>
      </c>
      <c r="BN149" s="155" t="str">
        <f t="shared" si="93"/>
        <v/>
      </c>
      <c r="BO149" s="155" t="str">
        <f t="shared" si="94"/>
        <v/>
      </c>
      <c r="BP149" s="155" t="str">
        <f t="shared" si="95"/>
        <v/>
      </c>
      <c r="BQ149" s="155" t="str">
        <f t="shared" si="96"/>
        <v/>
      </c>
      <c r="BR149" s="155" t="str">
        <f t="shared" si="97"/>
        <v/>
      </c>
      <c r="BS149" s="155" t="str">
        <f t="shared" si="98"/>
        <v/>
      </c>
      <c r="BT149" s="155" t="str">
        <f t="shared" si="99"/>
        <v/>
      </c>
      <c r="BU149" s="155" t="str">
        <f t="shared" si="100"/>
        <v/>
      </c>
      <c r="BV149" s="155" t="str">
        <f t="shared" si="101"/>
        <v/>
      </c>
      <c r="BW149" s="155" t="str">
        <f t="shared" si="102"/>
        <v/>
      </c>
      <c r="BX149" s="155" t="str">
        <f t="shared" si="103"/>
        <v/>
      </c>
      <c r="BY149" s="155" t="str">
        <f t="shared" si="104"/>
        <v/>
      </c>
      <c r="BZ149" s="155" t="str">
        <f t="shared" si="105"/>
        <v/>
      </c>
      <c r="CA149" s="155" t="str">
        <f t="shared" si="106"/>
        <v/>
      </c>
      <c r="CB149" s="155" t="str">
        <f t="shared" si="107"/>
        <v/>
      </c>
      <c r="CC149" s="155" t="str">
        <f t="shared" si="108"/>
        <v/>
      </c>
      <c r="CD149" s="155" t="str">
        <f t="shared" si="109"/>
        <v/>
      </c>
      <c r="CE149" s="155" t="str">
        <f t="shared" si="110"/>
        <v/>
      </c>
      <c r="CF149" s="155" t="str">
        <f t="shared" si="111"/>
        <v/>
      </c>
      <c r="CG149" s="155" t="str">
        <f t="shared" si="112"/>
        <v/>
      </c>
      <c r="CH149" s="155" t="str">
        <f t="shared" si="113"/>
        <v/>
      </c>
      <c r="CI149" s="155" t="str">
        <f t="shared" si="114"/>
        <v/>
      </c>
      <c r="CJ149" s="155" t="str">
        <f t="shared" si="115"/>
        <v/>
      </c>
      <c r="CK149" s="155" t="str">
        <f t="shared" si="116"/>
        <v/>
      </c>
      <c r="CL149" s="155" t="str">
        <f t="shared" si="117"/>
        <v/>
      </c>
      <c r="CM149" s="155" t="str">
        <f t="shared" si="118"/>
        <v/>
      </c>
      <c r="CN149" s="155" t="str">
        <f t="shared" si="119"/>
        <v/>
      </c>
      <c r="CO149" s="155" t="str">
        <f t="shared" si="120"/>
        <v/>
      </c>
      <c r="CP149" s="155" t="str">
        <f t="shared" si="121"/>
        <v/>
      </c>
      <c r="CQ149" s="155" t="str">
        <f t="shared" si="122"/>
        <v/>
      </c>
      <c r="CR149" s="155" t="str">
        <f t="shared" si="123"/>
        <v/>
      </c>
      <c r="CS149" s="155" t="str">
        <f t="shared" si="124"/>
        <v/>
      </c>
      <c r="CT149" s="155" t="str">
        <f t="shared" si="125"/>
        <v/>
      </c>
      <c r="CU149" s="155" t="str">
        <f t="shared" si="126"/>
        <v/>
      </c>
      <c r="CV149" s="155" t="str">
        <f t="shared" si="127"/>
        <v/>
      </c>
      <c r="CW149" s="155" t="str">
        <f t="shared" si="128"/>
        <v/>
      </c>
      <c r="CX149" s="155" t="str">
        <f t="shared" si="129"/>
        <v/>
      </c>
    </row>
    <row r="150" spans="1:126" s="151" customFormat="1" ht="14.25" outlineLevel="1" x14ac:dyDescent="0.2">
      <c r="A150" s="156"/>
      <c r="B150" s="157" t="str">
        <f>Services!B150</f>
        <v>06D01</v>
      </c>
      <c r="C150" s="153" t="str">
        <f>Services!C150</f>
        <v>Fonctionnement des contrôles d'audit</v>
      </c>
      <c r="D150" s="149"/>
      <c r="E150" s="149"/>
      <c r="F150" s="149"/>
      <c r="G150" s="149"/>
      <c r="H150" s="149"/>
      <c r="I150" s="140" t="str">
        <f t="shared" si="87"/>
        <v/>
      </c>
      <c r="J150" s="141" t="str">
        <f t="shared" si="88"/>
        <v/>
      </c>
      <c r="K150" s="142"/>
      <c r="L150" s="142"/>
      <c r="M150" s="1708"/>
      <c r="N150" s="1708"/>
      <c r="O150" s="1708"/>
      <c r="P150" s="1708"/>
      <c r="Q150" s="1708"/>
      <c r="R150" s="1708"/>
      <c r="S150" s="1708"/>
      <c r="T150" s="1708"/>
      <c r="U150" s="1708"/>
      <c r="V150" s="1708"/>
      <c r="W150" s="1708"/>
      <c r="X150" s="1712"/>
      <c r="Y150" s="1712"/>
      <c r="Z150" s="1712"/>
      <c r="AA150" s="1712"/>
      <c r="AB150" s="1712"/>
      <c r="AC150" s="1712"/>
      <c r="AD150" s="1712"/>
      <c r="AE150" s="1712"/>
      <c r="AF150" s="1712"/>
      <c r="AG150" s="1712"/>
      <c r="AH150" s="1712"/>
      <c r="AI150" s="1712"/>
      <c r="AJ150" s="1712"/>
      <c r="AK150" s="1712"/>
      <c r="AL150" s="1712"/>
      <c r="AM150" s="1712"/>
      <c r="AN150" s="1712"/>
      <c r="AO150" s="1712"/>
      <c r="AP150" s="1712"/>
      <c r="AQ150" s="1712"/>
      <c r="AR150" s="1712"/>
      <c r="AS150" s="1712"/>
      <c r="AT150" s="1712"/>
      <c r="AU150" s="1712"/>
      <c r="AV150" s="1712"/>
      <c r="AW150" s="1712"/>
      <c r="AX150" s="1713"/>
      <c r="AY150" s="1714" t="str">
        <f t="shared" si="89"/>
        <v/>
      </c>
      <c r="AZ150" s="1714" t="str">
        <f>IF(Obj_PA!D150="","",IF(AY150="","",Obj_PA!D150-AY150))</f>
        <v/>
      </c>
      <c r="BA150" s="150"/>
      <c r="BB150" s="150"/>
      <c r="BC150" s="150"/>
      <c r="BD150" s="150"/>
      <c r="BE150" s="150"/>
      <c r="BF150" s="150"/>
      <c r="BG150" s="150"/>
      <c r="BH150" s="150"/>
      <c r="BI150" s="150"/>
      <c r="BJ150" s="150"/>
      <c r="BK150" s="155" t="str">
        <f t="shared" si="90"/>
        <v/>
      </c>
      <c r="BL150" s="155" t="str">
        <f t="shared" si="91"/>
        <v/>
      </c>
      <c r="BM150" s="155" t="str">
        <f t="shared" si="92"/>
        <v/>
      </c>
      <c r="BN150" s="155" t="str">
        <f t="shared" si="93"/>
        <v/>
      </c>
      <c r="BO150" s="155" t="str">
        <f t="shared" si="94"/>
        <v/>
      </c>
      <c r="BP150" s="155" t="str">
        <f t="shared" si="95"/>
        <v/>
      </c>
      <c r="BQ150" s="155" t="str">
        <f t="shared" si="96"/>
        <v/>
      </c>
      <c r="BR150" s="155" t="str">
        <f t="shared" si="97"/>
        <v/>
      </c>
      <c r="BS150" s="155" t="str">
        <f t="shared" si="98"/>
        <v/>
      </c>
      <c r="BT150" s="155" t="str">
        <f t="shared" si="99"/>
        <v/>
      </c>
      <c r="BU150" s="155" t="str">
        <f t="shared" si="100"/>
        <v/>
      </c>
      <c r="BV150" s="155" t="str">
        <f t="shared" si="101"/>
        <v/>
      </c>
      <c r="BW150" s="155" t="str">
        <f t="shared" si="102"/>
        <v/>
      </c>
      <c r="BX150" s="155" t="str">
        <f t="shared" si="103"/>
        <v/>
      </c>
      <c r="BY150" s="155" t="str">
        <f t="shared" si="104"/>
        <v/>
      </c>
      <c r="BZ150" s="155" t="str">
        <f t="shared" si="105"/>
        <v/>
      </c>
      <c r="CA150" s="155" t="str">
        <f t="shared" si="106"/>
        <v/>
      </c>
      <c r="CB150" s="155" t="str">
        <f t="shared" si="107"/>
        <v/>
      </c>
      <c r="CC150" s="155" t="str">
        <f t="shared" si="108"/>
        <v/>
      </c>
      <c r="CD150" s="155" t="str">
        <f t="shared" si="109"/>
        <v/>
      </c>
      <c r="CE150" s="155" t="str">
        <f t="shared" si="110"/>
        <v/>
      </c>
      <c r="CF150" s="155" t="str">
        <f t="shared" si="111"/>
        <v/>
      </c>
      <c r="CG150" s="155" t="str">
        <f t="shared" si="112"/>
        <v/>
      </c>
      <c r="CH150" s="155" t="str">
        <f t="shared" si="113"/>
        <v/>
      </c>
      <c r="CI150" s="155" t="str">
        <f t="shared" si="114"/>
        <v/>
      </c>
      <c r="CJ150" s="155" t="str">
        <f t="shared" si="115"/>
        <v/>
      </c>
      <c r="CK150" s="155" t="str">
        <f t="shared" si="116"/>
        <v/>
      </c>
      <c r="CL150" s="155" t="str">
        <f t="shared" si="117"/>
        <v/>
      </c>
      <c r="CM150" s="155" t="str">
        <f t="shared" si="118"/>
        <v/>
      </c>
      <c r="CN150" s="155" t="str">
        <f t="shared" si="119"/>
        <v/>
      </c>
      <c r="CO150" s="155" t="str">
        <f t="shared" si="120"/>
        <v/>
      </c>
      <c r="CP150" s="155" t="str">
        <f t="shared" si="121"/>
        <v/>
      </c>
      <c r="CQ150" s="155" t="str">
        <f t="shared" si="122"/>
        <v/>
      </c>
      <c r="CR150" s="155" t="str">
        <f t="shared" si="123"/>
        <v/>
      </c>
      <c r="CS150" s="155" t="str">
        <f t="shared" si="124"/>
        <v/>
      </c>
      <c r="CT150" s="155" t="str">
        <f t="shared" si="125"/>
        <v/>
      </c>
      <c r="CU150" s="155" t="str">
        <f t="shared" si="126"/>
        <v/>
      </c>
      <c r="CV150" s="155" t="str">
        <f t="shared" si="127"/>
        <v/>
      </c>
      <c r="CW150" s="155" t="str">
        <f t="shared" si="128"/>
        <v/>
      </c>
      <c r="CX150" s="155" t="str">
        <f t="shared" si="129"/>
        <v/>
      </c>
    </row>
    <row r="151" spans="1:126" s="151" customFormat="1" ht="14.25" outlineLevel="1" x14ac:dyDescent="0.2">
      <c r="A151" s="156"/>
      <c r="B151" s="157" t="str">
        <f>Services!B151</f>
        <v>06D02</v>
      </c>
      <c r="C151" s="153" t="str">
        <f>Services!C151</f>
        <v>Protection des outils et résultats d'audit</v>
      </c>
      <c r="D151" s="149"/>
      <c r="E151" s="149"/>
      <c r="F151" s="149"/>
      <c r="G151" s="149"/>
      <c r="H151" s="149"/>
      <c r="I151" s="140" t="str">
        <f t="shared" si="87"/>
        <v/>
      </c>
      <c r="J151" s="141" t="str">
        <f t="shared" si="88"/>
        <v/>
      </c>
      <c r="K151" s="142"/>
      <c r="L151" s="142"/>
      <c r="M151" s="1708"/>
      <c r="N151" s="1708"/>
      <c r="O151" s="1708"/>
      <c r="P151" s="1708"/>
      <c r="Q151" s="1708"/>
      <c r="R151" s="1708"/>
      <c r="S151" s="1708"/>
      <c r="T151" s="1708"/>
      <c r="U151" s="1708"/>
      <c r="V151" s="1708"/>
      <c r="W151" s="1708"/>
      <c r="X151" s="1712"/>
      <c r="Y151" s="1712"/>
      <c r="Z151" s="1712"/>
      <c r="AA151" s="1712"/>
      <c r="AB151" s="1712"/>
      <c r="AC151" s="1712"/>
      <c r="AD151" s="1712"/>
      <c r="AE151" s="1712"/>
      <c r="AF151" s="1712"/>
      <c r="AG151" s="1712"/>
      <c r="AH151" s="1712"/>
      <c r="AI151" s="1712"/>
      <c r="AJ151" s="1712"/>
      <c r="AK151" s="1712"/>
      <c r="AL151" s="1712"/>
      <c r="AM151" s="1712"/>
      <c r="AN151" s="1712"/>
      <c r="AO151" s="1712"/>
      <c r="AP151" s="1712"/>
      <c r="AQ151" s="1712"/>
      <c r="AR151" s="1712"/>
      <c r="AS151" s="1712"/>
      <c r="AT151" s="1712"/>
      <c r="AU151" s="1712"/>
      <c r="AV151" s="1712"/>
      <c r="AW151" s="1712"/>
      <c r="AX151" s="1713"/>
      <c r="AY151" s="1714" t="str">
        <f t="shared" si="89"/>
        <v/>
      </c>
      <c r="AZ151" s="1714" t="str">
        <f>IF(Obj_PA!D151="","",IF(AY151="","",Obj_PA!D151-AY151))</f>
        <v/>
      </c>
      <c r="BA151" s="150"/>
      <c r="BB151" s="150"/>
      <c r="BC151" s="150"/>
      <c r="BD151" s="150"/>
      <c r="BE151" s="150"/>
      <c r="BF151" s="150"/>
      <c r="BG151" s="150"/>
      <c r="BH151" s="150"/>
      <c r="BI151" s="150"/>
      <c r="BJ151" s="150"/>
      <c r="BK151" s="155" t="str">
        <f t="shared" si="90"/>
        <v/>
      </c>
      <c r="BL151" s="155" t="str">
        <f t="shared" si="91"/>
        <v/>
      </c>
      <c r="BM151" s="155" t="str">
        <f t="shared" si="92"/>
        <v/>
      </c>
      <c r="BN151" s="155" t="str">
        <f t="shared" si="93"/>
        <v/>
      </c>
      <c r="BO151" s="155" t="str">
        <f t="shared" si="94"/>
        <v/>
      </c>
      <c r="BP151" s="155" t="str">
        <f t="shared" si="95"/>
        <v/>
      </c>
      <c r="BQ151" s="155" t="str">
        <f t="shared" si="96"/>
        <v/>
      </c>
      <c r="BR151" s="155" t="str">
        <f t="shared" si="97"/>
        <v/>
      </c>
      <c r="BS151" s="155" t="str">
        <f t="shared" si="98"/>
        <v/>
      </c>
      <c r="BT151" s="155" t="str">
        <f t="shared" si="99"/>
        <v/>
      </c>
      <c r="BU151" s="155" t="str">
        <f t="shared" si="100"/>
        <v/>
      </c>
      <c r="BV151" s="155" t="str">
        <f t="shared" si="101"/>
        <v/>
      </c>
      <c r="BW151" s="155" t="str">
        <f t="shared" si="102"/>
        <v/>
      </c>
      <c r="BX151" s="155" t="str">
        <f t="shared" si="103"/>
        <v/>
      </c>
      <c r="BY151" s="155" t="str">
        <f t="shared" si="104"/>
        <v/>
      </c>
      <c r="BZ151" s="155" t="str">
        <f t="shared" si="105"/>
        <v/>
      </c>
      <c r="CA151" s="155" t="str">
        <f t="shared" si="106"/>
        <v/>
      </c>
      <c r="CB151" s="155" t="str">
        <f t="shared" si="107"/>
        <v/>
      </c>
      <c r="CC151" s="155" t="str">
        <f t="shared" si="108"/>
        <v/>
      </c>
      <c r="CD151" s="155" t="str">
        <f t="shared" si="109"/>
        <v/>
      </c>
      <c r="CE151" s="155" t="str">
        <f t="shared" si="110"/>
        <v/>
      </c>
      <c r="CF151" s="155" t="str">
        <f t="shared" si="111"/>
        <v/>
      </c>
      <c r="CG151" s="155" t="str">
        <f t="shared" si="112"/>
        <v/>
      </c>
      <c r="CH151" s="155" t="str">
        <f t="shared" si="113"/>
        <v/>
      </c>
      <c r="CI151" s="155" t="str">
        <f t="shared" si="114"/>
        <v/>
      </c>
      <c r="CJ151" s="155" t="str">
        <f t="shared" si="115"/>
        <v/>
      </c>
      <c r="CK151" s="155" t="str">
        <f t="shared" si="116"/>
        <v/>
      </c>
      <c r="CL151" s="155" t="str">
        <f t="shared" si="117"/>
        <v/>
      </c>
      <c r="CM151" s="155" t="str">
        <f t="shared" si="118"/>
        <v/>
      </c>
      <c r="CN151" s="155" t="str">
        <f t="shared" si="119"/>
        <v/>
      </c>
      <c r="CO151" s="155" t="str">
        <f t="shared" si="120"/>
        <v/>
      </c>
      <c r="CP151" s="155" t="str">
        <f t="shared" si="121"/>
        <v/>
      </c>
      <c r="CQ151" s="155" t="str">
        <f t="shared" si="122"/>
        <v/>
      </c>
      <c r="CR151" s="155" t="str">
        <f t="shared" si="123"/>
        <v/>
      </c>
      <c r="CS151" s="155" t="str">
        <f t="shared" si="124"/>
        <v/>
      </c>
      <c r="CT151" s="155" t="str">
        <f t="shared" si="125"/>
        <v/>
      </c>
      <c r="CU151" s="155" t="str">
        <f t="shared" si="126"/>
        <v/>
      </c>
      <c r="CV151" s="155" t="str">
        <f t="shared" si="127"/>
        <v/>
      </c>
      <c r="CW151" s="155" t="str">
        <f t="shared" si="128"/>
        <v/>
      </c>
      <c r="CX151" s="155" t="str">
        <f t="shared" si="129"/>
        <v/>
      </c>
    </row>
    <row r="152" spans="1:126" ht="15" x14ac:dyDescent="0.2">
      <c r="A152" s="136" t="s">
        <v>61</v>
      </c>
      <c r="B152" s="136" t="str">
        <f>Services!B152</f>
        <v>Sécurité des systèmes et de leur architecture (07 Sys)</v>
      </c>
      <c r="C152" s="161"/>
      <c r="D152" s="149"/>
      <c r="E152" s="149"/>
      <c r="F152" s="149"/>
      <c r="G152" s="149"/>
      <c r="H152" s="149"/>
      <c r="I152" s="140" t="str">
        <f t="shared" si="87"/>
        <v/>
      </c>
      <c r="J152" s="141" t="str">
        <f t="shared" si="88"/>
        <v/>
      </c>
      <c r="K152" s="142"/>
      <c r="L152" s="142"/>
      <c r="M152" s="1708"/>
      <c r="N152" s="1708"/>
      <c r="O152" s="1708"/>
      <c r="P152" s="1708"/>
      <c r="Q152" s="1708"/>
      <c r="R152" s="1708"/>
      <c r="S152" s="1708"/>
      <c r="T152" s="1708"/>
      <c r="U152" s="1708"/>
      <c r="V152" s="1708"/>
      <c r="W152" s="1708"/>
      <c r="X152" s="1709"/>
      <c r="Y152" s="1709"/>
      <c r="Z152" s="1709"/>
      <c r="AA152" s="1709"/>
      <c r="AB152" s="1709"/>
      <c r="AC152" s="1709"/>
      <c r="AD152" s="1709"/>
      <c r="AE152" s="1709"/>
      <c r="AF152" s="1709"/>
      <c r="AG152" s="1709"/>
      <c r="AH152" s="1709"/>
      <c r="AI152" s="1709"/>
      <c r="AJ152" s="1709"/>
      <c r="AK152" s="1709"/>
      <c r="AL152" s="1709"/>
      <c r="AM152" s="1709"/>
      <c r="AN152" s="1709"/>
      <c r="AO152" s="1709"/>
      <c r="AP152" s="1709"/>
      <c r="AQ152" s="1709"/>
      <c r="AR152" s="1709"/>
      <c r="AS152" s="1709"/>
      <c r="AT152" s="1709"/>
      <c r="AU152" s="1709"/>
      <c r="AV152" s="1709"/>
      <c r="AW152" s="1709"/>
      <c r="AX152" s="1710"/>
      <c r="AY152" s="1714" t="str">
        <f t="shared" si="89"/>
        <v/>
      </c>
      <c r="AZ152" s="1714" t="str">
        <f>IF(Obj_PA!D152="","",IF(AY152="","",Obj_PA!D152-AY152))</f>
        <v/>
      </c>
      <c r="BK152" s="155" t="str">
        <f t="shared" si="90"/>
        <v/>
      </c>
      <c r="BL152" s="155" t="str">
        <f t="shared" si="91"/>
        <v/>
      </c>
      <c r="BM152" s="155" t="str">
        <f t="shared" si="92"/>
        <v/>
      </c>
      <c r="BN152" s="155" t="str">
        <f t="shared" si="93"/>
        <v/>
      </c>
      <c r="BO152" s="155" t="str">
        <f t="shared" si="94"/>
        <v/>
      </c>
      <c r="BP152" s="155" t="str">
        <f t="shared" si="95"/>
        <v/>
      </c>
      <c r="BQ152" s="155" t="str">
        <f t="shared" si="96"/>
        <v/>
      </c>
      <c r="BR152" s="155" t="str">
        <f t="shared" si="97"/>
        <v/>
      </c>
      <c r="BS152" s="155" t="str">
        <f t="shared" si="98"/>
        <v/>
      </c>
      <c r="BT152" s="155" t="str">
        <f t="shared" si="99"/>
        <v/>
      </c>
      <c r="BU152" s="155" t="str">
        <f t="shared" si="100"/>
        <v/>
      </c>
      <c r="BV152" s="155" t="str">
        <f t="shared" si="101"/>
        <v/>
      </c>
      <c r="BW152" s="155" t="str">
        <f t="shared" si="102"/>
        <v/>
      </c>
      <c r="BX152" s="155" t="str">
        <f t="shared" si="103"/>
        <v/>
      </c>
      <c r="BY152" s="155" t="str">
        <f t="shared" si="104"/>
        <v/>
      </c>
      <c r="BZ152" s="155" t="str">
        <f t="shared" si="105"/>
        <v/>
      </c>
      <c r="CA152" s="155" t="str">
        <f t="shared" si="106"/>
        <v/>
      </c>
      <c r="CB152" s="155" t="str">
        <f t="shared" si="107"/>
        <v/>
      </c>
      <c r="CC152" s="155" t="str">
        <f t="shared" si="108"/>
        <v/>
      </c>
      <c r="CD152" s="155" t="str">
        <f t="shared" si="109"/>
        <v/>
      </c>
      <c r="CE152" s="155" t="str">
        <f t="shared" si="110"/>
        <v/>
      </c>
      <c r="CF152" s="155" t="str">
        <f t="shared" si="111"/>
        <v/>
      </c>
      <c r="CG152" s="155" t="str">
        <f t="shared" si="112"/>
        <v/>
      </c>
      <c r="CH152" s="155" t="str">
        <f t="shared" si="113"/>
        <v/>
      </c>
      <c r="CI152" s="155" t="str">
        <f t="shared" si="114"/>
        <v/>
      </c>
      <c r="CJ152" s="155" t="str">
        <f t="shared" si="115"/>
        <v/>
      </c>
      <c r="CK152" s="155" t="str">
        <f t="shared" si="116"/>
        <v/>
      </c>
      <c r="CL152" s="155" t="str">
        <f t="shared" si="117"/>
        <v/>
      </c>
      <c r="CM152" s="155" t="str">
        <f t="shared" si="118"/>
        <v/>
      </c>
      <c r="CN152" s="155" t="str">
        <f t="shared" si="119"/>
        <v/>
      </c>
      <c r="CO152" s="155" t="str">
        <f t="shared" si="120"/>
        <v/>
      </c>
      <c r="CP152" s="155" t="str">
        <f t="shared" si="121"/>
        <v/>
      </c>
      <c r="CQ152" s="155" t="str">
        <f t="shared" si="122"/>
        <v/>
      </c>
      <c r="CR152" s="155" t="str">
        <f t="shared" si="123"/>
        <v/>
      </c>
      <c r="CS152" s="155" t="str">
        <f t="shared" si="124"/>
        <v/>
      </c>
      <c r="CT152" s="155" t="str">
        <f t="shared" si="125"/>
        <v/>
      </c>
      <c r="CU152" s="155" t="str">
        <f t="shared" si="126"/>
        <v/>
      </c>
      <c r="CV152" s="155" t="str">
        <f t="shared" si="127"/>
        <v/>
      </c>
      <c r="CW152" s="155" t="str">
        <f t="shared" si="128"/>
        <v/>
      </c>
      <c r="CX152" s="155" t="str">
        <f t="shared" si="129"/>
        <v/>
      </c>
    </row>
    <row r="153" spans="1:126" ht="14.25" outlineLevel="1" x14ac:dyDescent="0.2">
      <c r="A153" s="160"/>
      <c r="B153" s="147" t="str">
        <f>Services!B153</f>
        <v>07A</v>
      </c>
      <c r="C153" s="148" t="str">
        <f>Services!C153</f>
        <v xml:space="preserve">Contrôle d'accès aux systèmes </v>
      </c>
      <c r="D153" s="149"/>
      <c r="E153" s="149"/>
      <c r="F153" s="149"/>
      <c r="G153" s="149"/>
      <c r="H153" s="149"/>
      <c r="I153" s="140" t="str">
        <f t="shared" si="87"/>
        <v/>
      </c>
      <c r="J153" s="141" t="str">
        <f t="shared" si="88"/>
        <v/>
      </c>
      <c r="K153" s="142"/>
      <c r="L153" s="142"/>
      <c r="M153" s="1708"/>
      <c r="N153" s="1708"/>
      <c r="O153" s="1708"/>
      <c r="P153" s="1708"/>
      <c r="Q153" s="1708"/>
      <c r="R153" s="1708"/>
      <c r="S153" s="1708"/>
      <c r="T153" s="1708"/>
      <c r="U153" s="1708"/>
      <c r="V153" s="1708"/>
      <c r="W153" s="1708"/>
      <c r="X153" s="1709"/>
      <c r="Y153" s="1709"/>
      <c r="Z153" s="1709"/>
      <c r="AA153" s="1709"/>
      <c r="AB153" s="1709"/>
      <c r="AC153" s="1709"/>
      <c r="AD153" s="1709"/>
      <c r="AE153" s="1709"/>
      <c r="AF153" s="1709"/>
      <c r="AG153" s="1709"/>
      <c r="AH153" s="1709"/>
      <c r="AI153" s="1709"/>
      <c r="AJ153" s="1709"/>
      <c r="AK153" s="1709"/>
      <c r="AL153" s="1709"/>
      <c r="AM153" s="1709"/>
      <c r="AN153" s="1709"/>
      <c r="AO153" s="1709"/>
      <c r="AP153" s="1709"/>
      <c r="AQ153" s="1709"/>
      <c r="AR153" s="1709"/>
      <c r="AS153" s="1709"/>
      <c r="AT153" s="1709"/>
      <c r="AU153" s="1709"/>
      <c r="AV153" s="1709"/>
      <c r="AW153" s="1709"/>
      <c r="AX153" s="1710"/>
      <c r="AY153" s="1714" t="str">
        <f t="shared" si="89"/>
        <v/>
      </c>
      <c r="AZ153" s="1714" t="str">
        <f>IF(Obj_PA!D153="","",IF(AY153="","",Obj_PA!D153-AY153))</f>
        <v/>
      </c>
      <c r="BK153" s="155" t="str">
        <f t="shared" si="90"/>
        <v/>
      </c>
      <c r="BL153" s="155" t="str">
        <f t="shared" si="91"/>
        <v/>
      </c>
      <c r="BM153" s="155" t="str">
        <f t="shared" si="92"/>
        <v/>
      </c>
      <c r="BN153" s="155" t="str">
        <f t="shared" si="93"/>
        <v/>
      </c>
      <c r="BO153" s="155" t="str">
        <f t="shared" si="94"/>
        <v/>
      </c>
      <c r="BP153" s="155" t="str">
        <f t="shared" si="95"/>
        <v/>
      </c>
      <c r="BQ153" s="155" t="str">
        <f t="shared" si="96"/>
        <v/>
      </c>
      <c r="BR153" s="155" t="str">
        <f t="shared" si="97"/>
        <v/>
      </c>
      <c r="BS153" s="155" t="str">
        <f t="shared" si="98"/>
        <v/>
      </c>
      <c r="BT153" s="155" t="str">
        <f t="shared" si="99"/>
        <v/>
      </c>
      <c r="BU153" s="155" t="str">
        <f t="shared" si="100"/>
        <v/>
      </c>
      <c r="BV153" s="155" t="str">
        <f t="shared" si="101"/>
        <v/>
      </c>
      <c r="BW153" s="155" t="str">
        <f t="shared" si="102"/>
        <v/>
      </c>
      <c r="BX153" s="155" t="str">
        <f t="shared" si="103"/>
        <v/>
      </c>
      <c r="BY153" s="155" t="str">
        <f t="shared" si="104"/>
        <v/>
      </c>
      <c r="BZ153" s="155" t="str">
        <f t="shared" si="105"/>
        <v/>
      </c>
      <c r="CA153" s="155" t="str">
        <f t="shared" si="106"/>
        <v/>
      </c>
      <c r="CB153" s="155" t="str">
        <f t="shared" si="107"/>
        <v/>
      </c>
      <c r="CC153" s="155" t="str">
        <f t="shared" si="108"/>
        <v/>
      </c>
      <c r="CD153" s="155" t="str">
        <f t="shared" si="109"/>
        <v/>
      </c>
      <c r="CE153" s="155" t="str">
        <f t="shared" si="110"/>
        <v/>
      </c>
      <c r="CF153" s="155" t="str">
        <f t="shared" si="111"/>
        <v/>
      </c>
      <c r="CG153" s="155" t="str">
        <f t="shared" si="112"/>
        <v/>
      </c>
      <c r="CH153" s="155" t="str">
        <f t="shared" si="113"/>
        <v/>
      </c>
      <c r="CI153" s="155" t="str">
        <f t="shared" si="114"/>
        <v/>
      </c>
      <c r="CJ153" s="155" t="str">
        <f t="shared" si="115"/>
        <v/>
      </c>
      <c r="CK153" s="155" t="str">
        <f t="shared" si="116"/>
        <v/>
      </c>
      <c r="CL153" s="155" t="str">
        <f t="shared" si="117"/>
        <v/>
      </c>
      <c r="CM153" s="155" t="str">
        <f t="shared" si="118"/>
        <v/>
      </c>
      <c r="CN153" s="155" t="str">
        <f t="shared" si="119"/>
        <v/>
      </c>
      <c r="CO153" s="155" t="str">
        <f t="shared" si="120"/>
        <v/>
      </c>
      <c r="CP153" s="155" t="str">
        <f t="shared" si="121"/>
        <v/>
      </c>
      <c r="CQ153" s="155" t="str">
        <f t="shared" si="122"/>
        <v/>
      </c>
      <c r="CR153" s="155" t="str">
        <f t="shared" si="123"/>
        <v/>
      </c>
      <c r="CS153" s="155" t="str">
        <f t="shared" si="124"/>
        <v/>
      </c>
      <c r="CT153" s="155" t="str">
        <f t="shared" si="125"/>
        <v/>
      </c>
      <c r="CU153" s="155" t="str">
        <f t="shared" si="126"/>
        <v/>
      </c>
      <c r="CV153" s="155" t="str">
        <f t="shared" si="127"/>
        <v/>
      </c>
      <c r="CW153" s="155" t="str">
        <f t="shared" si="128"/>
        <v/>
      </c>
      <c r="CX153" s="155" t="str">
        <f t="shared" si="129"/>
        <v/>
      </c>
    </row>
    <row r="154" spans="1:126" ht="25.5" outlineLevel="1" x14ac:dyDescent="0.25">
      <c r="A154" s="163"/>
      <c r="B154" s="157" t="str">
        <f>Services!B154</f>
        <v>07A01</v>
      </c>
      <c r="C154" s="153" t="str">
        <f>Services!C154</f>
        <v>Gestion des profils d'accès (droits et privilèges accordés en fonction des profils de fonction)</v>
      </c>
      <c r="D154" s="149">
        <f>1*(8*Plans_action!E5+Plans_action!D5)+1*(8*Plans_action!E88+Plans_action!D88)+1*(8*Plans_action!E215+Plans_action!D215)+1*(8*Plans_action!E224+Plans_action!D224)+1*(8*Plans_action!E240+Plans_action!D240)+1*(8*Plans_action!E249+Plans_action!D249)+1*(8*Plans_action!E296+Plans_action!D296)</f>
        <v>0</v>
      </c>
      <c r="E154" s="149">
        <f>2*(8*Plans_action!E63+Plans_action!D63)+2*(8*Plans_action!E122+Plans_action!D122)+2*(8*Plans_action!E132+Plans_action!D132)+2*(8*Plans_action!E158+Plans_action!D158)+2*(8*Plans_action!E273+Plans_action!D273)+2*(8*Plans_action!E290+Plans_action!D290)</f>
        <v>0</v>
      </c>
      <c r="F154" s="149">
        <f>3*(8*Plans_action!E72+Plans_action!D72)+3*(8*Plans_action!E113+Plans_action!D113)</f>
        <v>0</v>
      </c>
      <c r="G154" s="149">
        <f>4*(8*Plans_action!E279+Plans_action!D279)+4*(8*Plans_action!E285+Plans_action!D285)</f>
        <v>0</v>
      </c>
      <c r="H154" s="149"/>
      <c r="I154" s="140" t="str">
        <f t="shared" si="87"/>
        <v/>
      </c>
      <c r="J154" s="141" t="str">
        <f t="shared" si="88"/>
        <v/>
      </c>
      <c r="K154" s="142"/>
      <c r="L154" s="142"/>
      <c r="M154" s="1708"/>
      <c r="N154" s="1708"/>
      <c r="O154" s="1708"/>
      <c r="P154" s="1708"/>
      <c r="Q154" s="1708"/>
      <c r="R154" s="1708"/>
      <c r="S154" s="1708"/>
      <c r="T154" s="1708"/>
      <c r="U154" s="1708"/>
      <c r="V154" s="1708"/>
      <c r="W154" s="1708"/>
      <c r="X154" s="1709"/>
      <c r="Y154" s="1709"/>
      <c r="Z154" s="1709"/>
      <c r="AA154" s="1709"/>
      <c r="AB154" s="1709"/>
      <c r="AC154" s="1709"/>
      <c r="AD154" s="1709"/>
      <c r="AE154" s="1709"/>
      <c r="AF154" s="1709"/>
      <c r="AG154" s="1709"/>
      <c r="AH154" s="1709"/>
      <c r="AI154" s="1709"/>
      <c r="AJ154" s="1709"/>
      <c r="AK154" s="1709"/>
      <c r="AL154" s="1709"/>
      <c r="AM154" s="1709"/>
      <c r="AN154" s="1709"/>
      <c r="AO154" s="1709"/>
      <c r="AP154" s="1709"/>
      <c r="AQ154" s="1709"/>
      <c r="AR154" s="1709"/>
      <c r="AS154" s="1709"/>
      <c r="AT154" s="1709"/>
      <c r="AU154" s="1709"/>
      <c r="AV154" s="1709"/>
      <c r="AW154" s="1709"/>
      <c r="AX154" s="1710"/>
      <c r="AY154" s="1714" t="str">
        <f t="shared" si="89"/>
        <v/>
      </c>
      <c r="AZ154" s="1714" t="str">
        <f>IF(Obj_PA!D154="","",IF(AY154="","",Obj_PA!D154-AY154))</f>
        <v/>
      </c>
      <c r="BK154" s="155" t="str">
        <f t="shared" si="90"/>
        <v/>
      </c>
      <c r="BL154" s="155" t="str">
        <f t="shared" si="91"/>
        <v/>
      </c>
      <c r="BM154" s="155" t="str">
        <f t="shared" si="92"/>
        <v/>
      </c>
      <c r="BN154" s="155" t="str">
        <f t="shared" si="93"/>
        <v/>
      </c>
      <c r="BO154" s="155" t="str">
        <f t="shared" si="94"/>
        <v/>
      </c>
      <c r="BP154" s="155" t="str">
        <f t="shared" si="95"/>
        <v/>
      </c>
      <c r="BQ154" s="155" t="str">
        <f t="shared" si="96"/>
        <v/>
      </c>
      <c r="BR154" s="155" t="str">
        <f t="shared" si="97"/>
        <v/>
      </c>
      <c r="BS154" s="155" t="str">
        <f t="shared" si="98"/>
        <v/>
      </c>
      <c r="BT154" s="155" t="str">
        <f t="shared" si="99"/>
        <v/>
      </c>
      <c r="BU154" s="155" t="str">
        <f t="shared" si="100"/>
        <v/>
      </c>
      <c r="BV154" s="155" t="str">
        <f t="shared" si="101"/>
        <v/>
      </c>
      <c r="BW154" s="155" t="str">
        <f t="shared" si="102"/>
        <v/>
      </c>
      <c r="BX154" s="155" t="str">
        <f t="shared" si="103"/>
        <v/>
      </c>
      <c r="BY154" s="155" t="str">
        <f t="shared" si="104"/>
        <v/>
      </c>
      <c r="BZ154" s="155" t="str">
        <f t="shared" si="105"/>
        <v/>
      </c>
      <c r="CA154" s="155" t="str">
        <f t="shared" si="106"/>
        <v/>
      </c>
      <c r="CB154" s="155" t="str">
        <f t="shared" si="107"/>
        <v/>
      </c>
      <c r="CC154" s="155" t="str">
        <f t="shared" si="108"/>
        <v/>
      </c>
      <c r="CD154" s="155" t="str">
        <f t="shared" si="109"/>
        <v/>
      </c>
      <c r="CE154" s="155" t="str">
        <f t="shared" si="110"/>
        <v/>
      </c>
      <c r="CF154" s="155" t="str">
        <f t="shared" si="111"/>
        <v/>
      </c>
      <c r="CG154" s="155" t="str">
        <f t="shared" si="112"/>
        <v/>
      </c>
      <c r="CH154" s="155" t="str">
        <f t="shared" si="113"/>
        <v/>
      </c>
      <c r="CI154" s="155" t="str">
        <f t="shared" si="114"/>
        <v/>
      </c>
      <c r="CJ154" s="155" t="str">
        <f t="shared" si="115"/>
        <v/>
      </c>
      <c r="CK154" s="155" t="str">
        <f t="shared" si="116"/>
        <v/>
      </c>
      <c r="CL154" s="155" t="str">
        <f t="shared" si="117"/>
        <v/>
      </c>
      <c r="CM154" s="155" t="str">
        <f t="shared" si="118"/>
        <v/>
      </c>
      <c r="CN154" s="155" t="str">
        <f t="shared" si="119"/>
        <v/>
      </c>
      <c r="CO154" s="155" t="str">
        <f t="shared" si="120"/>
        <v/>
      </c>
      <c r="CP154" s="155" t="str">
        <f t="shared" si="121"/>
        <v/>
      </c>
      <c r="CQ154" s="155" t="str">
        <f t="shared" si="122"/>
        <v/>
      </c>
      <c r="CR154" s="155" t="str">
        <f t="shared" si="123"/>
        <v/>
      </c>
      <c r="CS154" s="155" t="str">
        <f t="shared" si="124"/>
        <v/>
      </c>
      <c r="CT154" s="155" t="str">
        <f t="shared" si="125"/>
        <v/>
      </c>
      <c r="CU154" s="155" t="str">
        <f t="shared" si="126"/>
        <v/>
      </c>
      <c r="CV154" s="155" t="str">
        <f t="shared" si="127"/>
        <v/>
      </c>
      <c r="CW154" s="155" t="str">
        <f t="shared" si="128"/>
        <v/>
      </c>
      <c r="CX154" s="155" t="str">
        <f t="shared" si="129"/>
        <v/>
      </c>
    </row>
    <row r="155" spans="1:126" ht="25.5" outlineLevel="1" x14ac:dyDescent="0.2">
      <c r="A155" s="159"/>
      <c r="B155" s="157" t="str">
        <f>Services!B155</f>
        <v>07A02</v>
      </c>
      <c r="C155" s="153" t="str">
        <f>Services!C155</f>
        <v>Gestion des autorisations d'accès et privilèges (attribution, délégation, retrait)</v>
      </c>
      <c r="D155" s="149">
        <f>1*(8*Plans_action!E5+Plans_action!D5)+1*(8*Plans_action!E13+Plans_action!D13)+1*(8*Plans_action!E88+Plans_action!D88)+1*(8*Plans_action!E215+Plans_action!D215)+1*(8*Plans_action!E224+Plans_action!D224)+1*(8*Plans_action!E240+Plans_action!D240)+1*(8*Plans_action!E249+Plans_action!D249)+1*(8*Plans_action!E296+Plans_action!D296)</f>
        <v>0</v>
      </c>
      <c r="E155" s="149">
        <f>2*(8*Plans_action!E63+Plans_action!D63)+2*(8*Plans_action!E122+Plans_action!D122)+2*(8*Plans_action!E132+Plans_action!D132)+2*(8*Plans_action!E158+Plans_action!D158)+2*(8*Plans_action!E273+Plans_action!D273)+2*(8*Plans_action!E290+Plans_action!D290)</f>
        <v>0</v>
      </c>
      <c r="F155" s="149">
        <f>3*(8*Plans_action!E72+Plans_action!D72)+3*(8*Plans_action!E113+Plans_action!D113)</f>
        <v>0</v>
      </c>
      <c r="G155" s="149">
        <f>4*(8*Plans_action!E279+Plans_action!D279)+4*(8*Plans_action!E285+Plans_action!D285)</f>
        <v>0</v>
      </c>
      <c r="H155" s="149"/>
      <c r="I155" s="140" t="str">
        <f t="shared" si="87"/>
        <v/>
      </c>
      <c r="J155" s="141" t="str">
        <f t="shared" si="88"/>
        <v/>
      </c>
      <c r="K155" s="142"/>
      <c r="L155" s="142"/>
      <c r="M155" s="1708"/>
      <c r="N155" s="1708"/>
      <c r="O155" s="1708"/>
      <c r="P155" s="1708"/>
      <c r="Q155" s="1708"/>
      <c r="R155" s="1708"/>
      <c r="S155" s="1708"/>
      <c r="T155" s="1708"/>
      <c r="U155" s="1708"/>
      <c r="V155" s="1708"/>
      <c r="W155" s="1708"/>
      <c r="X155" s="1709"/>
      <c r="Y155" s="1709"/>
      <c r="Z155" s="1709"/>
      <c r="AA155" s="1709"/>
      <c r="AB155" s="1709"/>
      <c r="AC155" s="1709"/>
      <c r="AD155" s="1709"/>
      <c r="AE155" s="1709"/>
      <c r="AF155" s="1709"/>
      <c r="AG155" s="1709"/>
      <c r="AH155" s="1709"/>
      <c r="AI155" s="1709"/>
      <c r="AJ155" s="1709"/>
      <c r="AK155" s="1709"/>
      <c r="AL155" s="1709"/>
      <c r="AM155" s="1709"/>
      <c r="AN155" s="1709"/>
      <c r="AO155" s="1709"/>
      <c r="AP155" s="1709"/>
      <c r="AQ155" s="1709"/>
      <c r="AR155" s="1709"/>
      <c r="AS155" s="1709"/>
      <c r="AT155" s="1709"/>
      <c r="AU155" s="1709"/>
      <c r="AV155" s="1709"/>
      <c r="AW155" s="1709"/>
      <c r="AX155" s="1710"/>
      <c r="AY155" s="1714" t="str">
        <f t="shared" si="89"/>
        <v/>
      </c>
      <c r="AZ155" s="1714" t="str">
        <f>IF(Obj_PA!D155="","",IF(AY155="","",Obj_PA!D155-AY155))</f>
        <v/>
      </c>
      <c r="BK155" s="155" t="str">
        <f t="shared" si="90"/>
        <v/>
      </c>
      <c r="BL155" s="155" t="str">
        <f t="shared" si="91"/>
        <v/>
      </c>
      <c r="BM155" s="155" t="str">
        <f t="shared" si="92"/>
        <v/>
      </c>
      <c r="BN155" s="155" t="str">
        <f t="shared" si="93"/>
        <v/>
      </c>
      <c r="BO155" s="155" t="str">
        <f t="shared" si="94"/>
        <v/>
      </c>
      <c r="BP155" s="155" t="str">
        <f t="shared" si="95"/>
        <v/>
      </c>
      <c r="BQ155" s="155" t="str">
        <f t="shared" si="96"/>
        <v/>
      </c>
      <c r="BR155" s="155" t="str">
        <f t="shared" si="97"/>
        <v/>
      </c>
      <c r="BS155" s="155" t="str">
        <f t="shared" si="98"/>
        <v/>
      </c>
      <c r="BT155" s="155" t="str">
        <f t="shared" si="99"/>
        <v/>
      </c>
      <c r="BU155" s="155" t="str">
        <f t="shared" si="100"/>
        <v/>
      </c>
      <c r="BV155" s="155" t="str">
        <f t="shared" si="101"/>
        <v/>
      </c>
      <c r="BW155" s="155" t="str">
        <f t="shared" si="102"/>
        <v/>
      </c>
      <c r="BX155" s="155" t="str">
        <f t="shared" si="103"/>
        <v/>
      </c>
      <c r="BY155" s="155" t="str">
        <f t="shared" si="104"/>
        <v/>
      </c>
      <c r="BZ155" s="155" t="str">
        <f t="shared" si="105"/>
        <v/>
      </c>
      <c r="CA155" s="155" t="str">
        <f t="shared" si="106"/>
        <v/>
      </c>
      <c r="CB155" s="155" t="str">
        <f t="shared" si="107"/>
        <v/>
      </c>
      <c r="CC155" s="155" t="str">
        <f t="shared" si="108"/>
        <v/>
      </c>
      <c r="CD155" s="155" t="str">
        <f t="shared" si="109"/>
        <v/>
      </c>
      <c r="CE155" s="155" t="str">
        <f t="shared" si="110"/>
        <v/>
      </c>
      <c r="CF155" s="155" t="str">
        <f t="shared" si="111"/>
        <v/>
      </c>
      <c r="CG155" s="155" t="str">
        <f t="shared" si="112"/>
        <v/>
      </c>
      <c r="CH155" s="155" t="str">
        <f t="shared" si="113"/>
        <v/>
      </c>
      <c r="CI155" s="155" t="str">
        <f t="shared" si="114"/>
        <v/>
      </c>
      <c r="CJ155" s="155" t="str">
        <f t="shared" si="115"/>
        <v/>
      </c>
      <c r="CK155" s="155" t="str">
        <f t="shared" si="116"/>
        <v/>
      </c>
      <c r="CL155" s="155" t="str">
        <f t="shared" si="117"/>
        <v/>
      </c>
      <c r="CM155" s="155" t="str">
        <f t="shared" si="118"/>
        <v/>
      </c>
      <c r="CN155" s="155" t="str">
        <f t="shared" si="119"/>
        <v/>
      </c>
      <c r="CO155" s="155" t="str">
        <f t="shared" si="120"/>
        <v/>
      </c>
      <c r="CP155" s="155" t="str">
        <f t="shared" si="121"/>
        <v/>
      </c>
      <c r="CQ155" s="155" t="str">
        <f t="shared" si="122"/>
        <v/>
      </c>
      <c r="CR155" s="155" t="str">
        <f t="shared" si="123"/>
        <v/>
      </c>
      <c r="CS155" s="155" t="str">
        <f t="shared" si="124"/>
        <v/>
      </c>
      <c r="CT155" s="155" t="str">
        <f t="shared" si="125"/>
        <v/>
      </c>
      <c r="CU155" s="155" t="str">
        <f t="shared" si="126"/>
        <v/>
      </c>
      <c r="CV155" s="155" t="str">
        <f t="shared" si="127"/>
        <v/>
      </c>
      <c r="CW155" s="155" t="str">
        <f t="shared" si="128"/>
        <v/>
      </c>
      <c r="CX155" s="155" t="str">
        <f t="shared" si="129"/>
        <v/>
      </c>
      <c r="DV155" s="145">
        <f>IF(INDEX(Tab_actions,17,1)=1,INDEX(Tab_actions,17,4),0)</f>
        <v>0</v>
      </c>
    </row>
    <row r="156" spans="1:126" ht="15.75" customHeight="1" outlineLevel="1" x14ac:dyDescent="0.2">
      <c r="A156" s="160"/>
      <c r="B156" s="157" t="str">
        <f>Services!B156</f>
        <v>07A03</v>
      </c>
      <c r="C156" s="153" t="str">
        <f>Services!C156</f>
        <v>Authentification de l'utilisateur ou de l'entité demandant un accès</v>
      </c>
      <c r="D156" s="149">
        <f>1*(8*Plans_action!E5+Plans_action!D5)+1*(8*Plans_action!E13+Plans_action!D13)+1*(8*Plans_action!E88+Plans_action!D88)+1*(8*Plans_action!E215+Plans_action!D215)+1*(8*Plans_action!E224+Plans_action!D224)+1*(8*Plans_action!E240+Plans_action!D240)+1*(8*Plans_action!E249+Plans_action!D249)+1*(8*Plans_action!E296+Plans_action!D296)</f>
        <v>0</v>
      </c>
      <c r="E156" s="149">
        <f>2*(8*Plans_action!E63+Plans_action!D63)+2*(8*Plans_action!E122+Plans_action!D122)+2*(8*Plans_action!E132+Plans_action!D132)+2*(8*Plans_action!E158+Plans_action!D158)+2*(8*Plans_action!E273+Plans_action!D273)+2*(8*Plans_action!E290+Plans_action!D290)</f>
        <v>0</v>
      </c>
      <c r="F156" s="149">
        <f>3*(8*Plans_action!E38+Plans_action!D38)+3*(8*Plans_action!E72+Plans_action!D72)+3*(8*Plans_action!E113+Plans_action!D113)</f>
        <v>0</v>
      </c>
      <c r="G156" s="149">
        <f>4*(8*Plans_action!E33+Plans_action!D33)+4*(8*Plans_action!E279+Plans_action!D279)+4*(8*Plans_action!E285+Plans_action!D285)</f>
        <v>0</v>
      </c>
      <c r="H156" s="149"/>
      <c r="I156" s="140" t="str">
        <f t="shared" si="87"/>
        <v/>
      </c>
      <c r="J156" s="141" t="str">
        <f t="shared" si="88"/>
        <v/>
      </c>
      <c r="K156" s="142"/>
      <c r="L156" s="142"/>
      <c r="M156" s="1708"/>
      <c r="N156" s="1708"/>
      <c r="O156" s="1708"/>
      <c r="P156" s="1708"/>
      <c r="Q156" s="1708"/>
      <c r="R156" s="1708"/>
      <c r="S156" s="1708"/>
      <c r="T156" s="1708"/>
      <c r="U156" s="1708"/>
      <c r="V156" s="1708"/>
      <c r="W156" s="1708"/>
      <c r="X156" s="1709"/>
      <c r="Y156" s="1709"/>
      <c r="Z156" s="1709"/>
      <c r="AA156" s="1709"/>
      <c r="AB156" s="1709"/>
      <c r="AC156" s="1709"/>
      <c r="AD156" s="1709"/>
      <c r="AE156" s="1709"/>
      <c r="AF156" s="1709"/>
      <c r="AG156" s="1709"/>
      <c r="AH156" s="1709"/>
      <c r="AI156" s="1709"/>
      <c r="AJ156" s="1709"/>
      <c r="AK156" s="1709"/>
      <c r="AL156" s="1709"/>
      <c r="AM156" s="1709"/>
      <c r="AN156" s="1709"/>
      <c r="AO156" s="1709"/>
      <c r="AP156" s="1709"/>
      <c r="AQ156" s="1709"/>
      <c r="AR156" s="1709"/>
      <c r="AS156" s="1709"/>
      <c r="AT156" s="1709"/>
      <c r="AU156" s="1709"/>
      <c r="AV156" s="1709"/>
      <c r="AW156" s="1709"/>
      <c r="AX156" s="1710"/>
      <c r="AY156" s="1714" t="str">
        <f t="shared" si="89"/>
        <v/>
      </c>
      <c r="AZ156" s="1714" t="str">
        <f>IF(Obj_PA!D156="","",IF(AY156="","",Obj_PA!D156-AY156))</f>
        <v/>
      </c>
      <c r="BK156" s="155" t="str">
        <f t="shared" si="90"/>
        <v/>
      </c>
      <c r="BL156" s="155" t="str">
        <f t="shared" si="91"/>
        <v/>
      </c>
      <c r="BM156" s="155" t="str">
        <f t="shared" si="92"/>
        <v/>
      </c>
      <c r="BN156" s="155" t="str">
        <f t="shared" si="93"/>
        <v/>
      </c>
      <c r="BO156" s="155" t="str">
        <f t="shared" si="94"/>
        <v/>
      </c>
      <c r="BP156" s="155" t="str">
        <f t="shared" si="95"/>
        <v/>
      </c>
      <c r="BQ156" s="155" t="str">
        <f t="shared" si="96"/>
        <v/>
      </c>
      <c r="BR156" s="155" t="str">
        <f t="shared" si="97"/>
        <v/>
      </c>
      <c r="BS156" s="155" t="str">
        <f t="shared" si="98"/>
        <v/>
      </c>
      <c r="BT156" s="155" t="str">
        <f t="shared" si="99"/>
        <v/>
      </c>
      <c r="BU156" s="155" t="str">
        <f t="shared" si="100"/>
        <v/>
      </c>
      <c r="BV156" s="155" t="str">
        <f t="shared" si="101"/>
        <v/>
      </c>
      <c r="BW156" s="155" t="str">
        <f t="shared" si="102"/>
        <v/>
      </c>
      <c r="BX156" s="155" t="str">
        <f t="shared" si="103"/>
        <v/>
      </c>
      <c r="BY156" s="155" t="str">
        <f t="shared" si="104"/>
        <v/>
      </c>
      <c r="BZ156" s="155" t="str">
        <f t="shared" si="105"/>
        <v/>
      </c>
      <c r="CA156" s="155" t="str">
        <f t="shared" si="106"/>
        <v/>
      </c>
      <c r="CB156" s="155" t="str">
        <f t="shared" si="107"/>
        <v/>
      </c>
      <c r="CC156" s="155" t="str">
        <f t="shared" si="108"/>
        <v/>
      </c>
      <c r="CD156" s="155" t="str">
        <f t="shared" si="109"/>
        <v/>
      </c>
      <c r="CE156" s="155" t="str">
        <f t="shared" si="110"/>
        <v/>
      </c>
      <c r="CF156" s="155" t="str">
        <f t="shared" si="111"/>
        <v/>
      </c>
      <c r="CG156" s="155" t="str">
        <f t="shared" si="112"/>
        <v/>
      </c>
      <c r="CH156" s="155" t="str">
        <f t="shared" si="113"/>
        <v/>
      </c>
      <c r="CI156" s="155" t="str">
        <f t="shared" si="114"/>
        <v/>
      </c>
      <c r="CJ156" s="155" t="str">
        <f t="shared" si="115"/>
        <v/>
      </c>
      <c r="CK156" s="155" t="str">
        <f t="shared" si="116"/>
        <v/>
      </c>
      <c r="CL156" s="155" t="str">
        <f t="shared" si="117"/>
        <v/>
      </c>
      <c r="CM156" s="155" t="str">
        <f t="shared" si="118"/>
        <v/>
      </c>
      <c r="CN156" s="155" t="str">
        <f t="shared" si="119"/>
        <v/>
      </c>
      <c r="CO156" s="155" t="str">
        <f t="shared" si="120"/>
        <v/>
      </c>
      <c r="CP156" s="155" t="str">
        <f t="shared" si="121"/>
        <v/>
      </c>
      <c r="CQ156" s="155" t="str">
        <f t="shared" si="122"/>
        <v/>
      </c>
      <c r="CR156" s="155" t="str">
        <f t="shared" si="123"/>
        <v/>
      </c>
      <c r="CS156" s="155" t="str">
        <f t="shared" si="124"/>
        <v/>
      </c>
      <c r="CT156" s="155" t="str">
        <f t="shared" si="125"/>
        <v/>
      </c>
      <c r="CU156" s="155" t="str">
        <f t="shared" si="126"/>
        <v/>
      </c>
      <c r="CV156" s="155" t="str">
        <f t="shared" si="127"/>
        <v/>
      </c>
      <c r="CW156" s="155" t="str">
        <f t="shared" si="128"/>
        <v/>
      </c>
      <c r="CX156" s="155" t="str">
        <f t="shared" si="129"/>
        <v/>
      </c>
      <c r="DV156" s="145">
        <f>IF(INDEX(Tab_actions,80,1)=1,INDEX(Tab_actions,80,8),0)</f>
        <v>0</v>
      </c>
    </row>
    <row r="157" spans="1:126" ht="14.25" outlineLevel="1" x14ac:dyDescent="0.2">
      <c r="A157" s="164"/>
      <c r="B157" s="157" t="str">
        <f>Services!B157</f>
        <v>07A04</v>
      </c>
      <c r="C157" s="153" t="str">
        <f>Services!C157</f>
        <v>Filtrage des accès et gestion des associations</v>
      </c>
      <c r="D157" s="149">
        <f>1*(8*Plans_action!E5+Plans_action!D5)+1*(8*Plans_action!E13+Plans_action!D13)+1*(8*Plans_action!E88+Plans_action!D88)+1*(8*Plans_action!E215+Plans_action!D215)+1*(8*Plans_action!E224+Plans_action!D224)+1*(8*Plans_action!E240+Plans_action!D240)+1*(8*Plans_action!E249+Plans_action!D249)+1*(8*Plans_action!E296+Plans_action!D296)</f>
        <v>0</v>
      </c>
      <c r="E157" s="149">
        <f>2*(8*Plans_action!E63+Plans_action!D63)+2*(8*Plans_action!E122+Plans_action!D122)+2*(8*Plans_action!E132+Plans_action!D132)+2*(8*Plans_action!E158+Plans_action!D158)+2*(8*Plans_action!E273+Plans_action!D273)+2*(8*Plans_action!E290+Plans_action!D290)</f>
        <v>0</v>
      </c>
      <c r="F157" s="149">
        <f>3*(8*Plans_action!E38+Plans_action!D38)+3*(8*Plans_action!E72+Plans_action!D72)+3*(8*Plans_action!E113+Plans_action!D113)</f>
        <v>0</v>
      </c>
      <c r="G157" s="149">
        <f>4*(8*Plans_action!E33+Plans_action!D33)+4*(8*Plans_action!E279+Plans_action!D279)+4*(8*Plans_action!E285+Plans_action!D285)</f>
        <v>0</v>
      </c>
      <c r="H157" s="149"/>
      <c r="I157" s="140" t="str">
        <f t="shared" si="87"/>
        <v/>
      </c>
      <c r="J157" s="141" t="str">
        <f t="shared" si="88"/>
        <v/>
      </c>
      <c r="K157" s="142"/>
      <c r="L157" s="142"/>
      <c r="M157" s="1708"/>
      <c r="N157" s="1708"/>
      <c r="O157" s="1708"/>
      <c r="P157" s="1708"/>
      <c r="Q157" s="1708"/>
      <c r="R157" s="1708"/>
      <c r="S157" s="1708"/>
      <c r="T157" s="1708"/>
      <c r="U157" s="1708"/>
      <c r="V157" s="1708"/>
      <c r="W157" s="1708"/>
      <c r="X157" s="1709"/>
      <c r="Y157" s="1709"/>
      <c r="Z157" s="1709"/>
      <c r="AA157" s="1709"/>
      <c r="AB157" s="1709"/>
      <c r="AC157" s="1709"/>
      <c r="AD157" s="1709"/>
      <c r="AE157" s="1709"/>
      <c r="AF157" s="1709"/>
      <c r="AG157" s="1709"/>
      <c r="AH157" s="1709"/>
      <c r="AI157" s="1709"/>
      <c r="AJ157" s="1709"/>
      <c r="AK157" s="1709"/>
      <c r="AL157" s="1709"/>
      <c r="AM157" s="1709"/>
      <c r="AN157" s="1709"/>
      <c r="AO157" s="1709"/>
      <c r="AP157" s="1709"/>
      <c r="AQ157" s="1709"/>
      <c r="AR157" s="1709"/>
      <c r="AS157" s="1709"/>
      <c r="AT157" s="1709"/>
      <c r="AU157" s="1709"/>
      <c r="AV157" s="1709"/>
      <c r="AW157" s="1709"/>
      <c r="AX157" s="1710"/>
      <c r="AY157" s="1714" t="str">
        <f t="shared" si="89"/>
        <v/>
      </c>
      <c r="AZ157" s="1714" t="str">
        <f>IF(Obj_PA!D157="","",IF(AY157="","",Obj_PA!D157-AY157))</f>
        <v/>
      </c>
      <c r="BK157" s="155" t="str">
        <f t="shared" si="90"/>
        <v/>
      </c>
      <c r="BL157" s="155" t="str">
        <f t="shared" si="91"/>
        <v/>
      </c>
      <c r="BM157" s="155" t="str">
        <f t="shared" si="92"/>
        <v/>
      </c>
      <c r="BN157" s="155" t="str">
        <f t="shared" si="93"/>
        <v/>
      </c>
      <c r="BO157" s="155" t="str">
        <f t="shared" si="94"/>
        <v/>
      </c>
      <c r="BP157" s="155" t="str">
        <f t="shared" si="95"/>
        <v/>
      </c>
      <c r="BQ157" s="155" t="str">
        <f t="shared" si="96"/>
        <v/>
      </c>
      <c r="BR157" s="155" t="str">
        <f t="shared" si="97"/>
        <v/>
      </c>
      <c r="BS157" s="155" t="str">
        <f t="shared" si="98"/>
        <v/>
      </c>
      <c r="BT157" s="155" t="str">
        <f t="shared" si="99"/>
        <v/>
      </c>
      <c r="BU157" s="155" t="str">
        <f t="shared" si="100"/>
        <v/>
      </c>
      <c r="BV157" s="155" t="str">
        <f t="shared" si="101"/>
        <v/>
      </c>
      <c r="BW157" s="155" t="str">
        <f t="shared" si="102"/>
        <v/>
      </c>
      <c r="BX157" s="155" t="str">
        <f t="shared" si="103"/>
        <v/>
      </c>
      <c r="BY157" s="155" t="str">
        <f t="shared" si="104"/>
        <v/>
      </c>
      <c r="BZ157" s="155" t="str">
        <f t="shared" si="105"/>
        <v/>
      </c>
      <c r="CA157" s="155" t="str">
        <f t="shared" si="106"/>
        <v/>
      </c>
      <c r="CB157" s="155" t="str">
        <f t="shared" si="107"/>
        <v/>
      </c>
      <c r="CC157" s="155" t="str">
        <f t="shared" si="108"/>
        <v/>
      </c>
      <c r="CD157" s="155" t="str">
        <f t="shared" si="109"/>
        <v/>
      </c>
      <c r="CE157" s="155" t="str">
        <f t="shared" si="110"/>
        <v/>
      </c>
      <c r="CF157" s="155" t="str">
        <f t="shared" si="111"/>
        <v/>
      </c>
      <c r="CG157" s="155" t="str">
        <f t="shared" si="112"/>
        <v/>
      </c>
      <c r="CH157" s="155" t="str">
        <f t="shared" si="113"/>
        <v/>
      </c>
      <c r="CI157" s="155" t="str">
        <f t="shared" si="114"/>
        <v/>
      </c>
      <c r="CJ157" s="155" t="str">
        <f t="shared" si="115"/>
        <v/>
      </c>
      <c r="CK157" s="155" t="str">
        <f t="shared" si="116"/>
        <v/>
      </c>
      <c r="CL157" s="155" t="str">
        <f t="shared" si="117"/>
        <v/>
      </c>
      <c r="CM157" s="155" t="str">
        <f t="shared" si="118"/>
        <v/>
      </c>
      <c r="CN157" s="155" t="str">
        <f t="shared" si="119"/>
        <v/>
      </c>
      <c r="CO157" s="155" t="str">
        <f t="shared" si="120"/>
        <v/>
      </c>
      <c r="CP157" s="155" t="str">
        <f t="shared" si="121"/>
        <v/>
      </c>
      <c r="CQ157" s="155" t="str">
        <f t="shared" si="122"/>
        <v/>
      </c>
      <c r="CR157" s="155" t="str">
        <f t="shared" si="123"/>
        <v/>
      </c>
      <c r="CS157" s="155" t="str">
        <f t="shared" si="124"/>
        <v/>
      </c>
      <c r="CT157" s="155" t="str">
        <f t="shared" si="125"/>
        <v/>
      </c>
      <c r="CU157" s="155" t="str">
        <f t="shared" si="126"/>
        <v/>
      </c>
      <c r="CV157" s="155" t="str">
        <f t="shared" si="127"/>
        <v/>
      </c>
      <c r="CW157" s="155" t="str">
        <f t="shared" si="128"/>
        <v/>
      </c>
      <c r="CX157" s="155" t="str">
        <f t="shared" si="129"/>
        <v/>
      </c>
      <c r="DV157" s="145">
        <f>IF(INDEX(Tab_actions,80,1)=1,INDEX(Tab_actions,80,10),0)</f>
        <v>0</v>
      </c>
    </row>
    <row r="158" spans="1:126" ht="25.5" outlineLevel="1" x14ac:dyDescent="0.2">
      <c r="A158" s="164"/>
      <c r="B158" s="157" t="str">
        <f>Services!B158</f>
        <v>07A05</v>
      </c>
      <c r="C158" s="153" t="str">
        <f>Services!C158</f>
        <v>Authentification du serveur lors des accès à des serveurs sensibles</v>
      </c>
      <c r="D158" s="149"/>
      <c r="E158" s="149">
        <f>2*(8*Plans_action!E273+Plans_action!D273)+2*(8*Plans_action!E290+Plans_action!D290)</f>
        <v>0</v>
      </c>
      <c r="F158" s="149"/>
      <c r="G158" s="149"/>
      <c r="H158" s="149"/>
      <c r="I158" s="140" t="str">
        <f t="shared" si="87"/>
        <v/>
      </c>
      <c r="J158" s="141" t="str">
        <f t="shared" si="88"/>
        <v/>
      </c>
      <c r="K158" s="142"/>
      <c r="L158" s="142"/>
      <c r="M158" s="1708"/>
      <c r="N158" s="1708"/>
      <c r="O158" s="1708"/>
      <c r="P158" s="1708"/>
      <c r="Q158" s="1708"/>
      <c r="R158" s="1708"/>
      <c r="S158" s="1708"/>
      <c r="T158" s="1708"/>
      <c r="U158" s="1708"/>
      <c r="V158" s="1708"/>
      <c r="W158" s="1708"/>
      <c r="X158" s="1709"/>
      <c r="Y158" s="1709"/>
      <c r="Z158" s="1709"/>
      <c r="AA158" s="1709"/>
      <c r="AB158" s="1709"/>
      <c r="AC158" s="1709"/>
      <c r="AD158" s="1709"/>
      <c r="AE158" s="1709"/>
      <c r="AF158" s="1709"/>
      <c r="AG158" s="1709"/>
      <c r="AH158" s="1709"/>
      <c r="AI158" s="1709"/>
      <c r="AJ158" s="1709"/>
      <c r="AK158" s="1709"/>
      <c r="AL158" s="1709"/>
      <c r="AM158" s="1709"/>
      <c r="AN158" s="1709"/>
      <c r="AO158" s="1709"/>
      <c r="AP158" s="1709"/>
      <c r="AQ158" s="1709"/>
      <c r="AR158" s="1709"/>
      <c r="AS158" s="1709"/>
      <c r="AT158" s="1709"/>
      <c r="AU158" s="1709"/>
      <c r="AV158" s="1709"/>
      <c r="AW158" s="1709"/>
      <c r="AX158" s="1710"/>
      <c r="AY158" s="1714" t="str">
        <f t="shared" si="89"/>
        <v/>
      </c>
      <c r="AZ158" s="1714" t="str">
        <f>IF(Obj_PA!D158="","",IF(AY158="","",Obj_PA!D158-AY158))</f>
        <v/>
      </c>
      <c r="BK158" s="155" t="str">
        <f t="shared" si="90"/>
        <v/>
      </c>
      <c r="BL158" s="155" t="str">
        <f t="shared" si="91"/>
        <v/>
      </c>
      <c r="BM158" s="155" t="str">
        <f t="shared" si="92"/>
        <v/>
      </c>
      <c r="BN158" s="155" t="str">
        <f t="shared" si="93"/>
        <v/>
      </c>
      <c r="BO158" s="155" t="str">
        <f t="shared" si="94"/>
        <v/>
      </c>
      <c r="BP158" s="155" t="str">
        <f t="shared" si="95"/>
        <v/>
      </c>
      <c r="BQ158" s="155" t="str">
        <f t="shared" si="96"/>
        <v/>
      </c>
      <c r="BR158" s="155" t="str">
        <f t="shared" si="97"/>
        <v/>
      </c>
      <c r="BS158" s="155" t="str">
        <f t="shared" si="98"/>
        <v/>
      </c>
      <c r="BT158" s="155" t="str">
        <f t="shared" si="99"/>
        <v/>
      </c>
      <c r="BU158" s="155" t="str">
        <f t="shared" si="100"/>
        <v/>
      </c>
      <c r="BV158" s="155" t="str">
        <f t="shared" si="101"/>
        <v/>
      </c>
      <c r="BW158" s="155" t="str">
        <f t="shared" si="102"/>
        <v/>
      </c>
      <c r="BX158" s="155" t="str">
        <f t="shared" si="103"/>
        <v/>
      </c>
      <c r="BY158" s="155" t="str">
        <f t="shared" si="104"/>
        <v/>
      </c>
      <c r="BZ158" s="155" t="str">
        <f t="shared" si="105"/>
        <v/>
      </c>
      <c r="CA158" s="155" t="str">
        <f t="shared" si="106"/>
        <v/>
      </c>
      <c r="CB158" s="155" t="str">
        <f t="shared" si="107"/>
        <v/>
      </c>
      <c r="CC158" s="155" t="str">
        <f t="shared" si="108"/>
        <v/>
      </c>
      <c r="CD158" s="155" t="str">
        <f t="shared" si="109"/>
        <v/>
      </c>
      <c r="CE158" s="155" t="str">
        <f t="shared" si="110"/>
        <v/>
      </c>
      <c r="CF158" s="155" t="str">
        <f t="shared" si="111"/>
        <v/>
      </c>
      <c r="CG158" s="155" t="str">
        <f t="shared" si="112"/>
        <v/>
      </c>
      <c r="CH158" s="155" t="str">
        <f t="shared" si="113"/>
        <v/>
      </c>
      <c r="CI158" s="155" t="str">
        <f t="shared" si="114"/>
        <v/>
      </c>
      <c r="CJ158" s="155" t="str">
        <f t="shared" si="115"/>
        <v/>
      </c>
      <c r="CK158" s="155" t="str">
        <f t="shared" si="116"/>
        <v/>
      </c>
      <c r="CL158" s="155" t="str">
        <f t="shared" si="117"/>
        <v/>
      </c>
      <c r="CM158" s="155" t="str">
        <f t="shared" si="118"/>
        <v/>
      </c>
      <c r="CN158" s="155" t="str">
        <f t="shared" si="119"/>
        <v/>
      </c>
      <c r="CO158" s="155" t="str">
        <f t="shared" si="120"/>
        <v/>
      </c>
      <c r="CP158" s="155" t="str">
        <f t="shared" si="121"/>
        <v/>
      </c>
      <c r="CQ158" s="155" t="str">
        <f t="shared" si="122"/>
        <v/>
      </c>
      <c r="CR158" s="155" t="str">
        <f t="shared" si="123"/>
        <v/>
      </c>
      <c r="CS158" s="155" t="str">
        <f t="shared" si="124"/>
        <v/>
      </c>
      <c r="CT158" s="155" t="str">
        <f t="shared" si="125"/>
        <v/>
      </c>
      <c r="CU158" s="155" t="str">
        <f t="shared" si="126"/>
        <v/>
      </c>
      <c r="CV158" s="155" t="str">
        <f t="shared" si="127"/>
        <v/>
      </c>
      <c r="CW158" s="155" t="str">
        <f t="shared" si="128"/>
        <v/>
      </c>
      <c r="CX158" s="155" t="str">
        <f t="shared" si="129"/>
        <v/>
      </c>
      <c r="DV158" s="145">
        <f>IF(INDEX(Tab_actions,80,1)=1,INDEX(Tab_actions,80,10),0)</f>
        <v>0</v>
      </c>
    </row>
    <row r="159" spans="1:126" ht="14.25" outlineLevel="1" x14ac:dyDescent="0.2">
      <c r="A159" s="160"/>
      <c r="B159" s="147" t="str">
        <f>Services!B159</f>
        <v>07B</v>
      </c>
      <c r="C159" s="148" t="str">
        <f>Services!C159</f>
        <v>Confinement des environnements</v>
      </c>
      <c r="D159" s="149"/>
      <c r="E159" s="149"/>
      <c r="F159" s="149"/>
      <c r="G159" s="149"/>
      <c r="H159" s="149"/>
      <c r="I159" s="140" t="str">
        <f t="shared" si="87"/>
        <v/>
      </c>
      <c r="J159" s="141" t="str">
        <f t="shared" si="88"/>
        <v/>
      </c>
      <c r="K159" s="142"/>
      <c r="L159" s="142"/>
      <c r="M159" s="1708"/>
      <c r="N159" s="1708"/>
      <c r="O159" s="1708"/>
      <c r="P159" s="1708"/>
      <c r="Q159" s="1708"/>
      <c r="R159" s="1708"/>
      <c r="S159" s="1708"/>
      <c r="T159" s="1708"/>
      <c r="U159" s="1708"/>
      <c r="V159" s="1708"/>
      <c r="W159" s="1708"/>
      <c r="X159" s="1709"/>
      <c r="Y159" s="1709"/>
      <c r="Z159" s="1709"/>
      <c r="AA159" s="1709"/>
      <c r="AB159" s="1709"/>
      <c r="AC159" s="1709"/>
      <c r="AD159" s="1709"/>
      <c r="AE159" s="1709"/>
      <c r="AF159" s="1709"/>
      <c r="AG159" s="1709"/>
      <c r="AH159" s="1709"/>
      <c r="AI159" s="1709"/>
      <c r="AJ159" s="1709"/>
      <c r="AK159" s="1709"/>
      <c r="AL159" s="1709"/>
      <c r="AM159" s="1709"/>
      <c r="AN159" s="1709"/>
      <c r="AO159" s="1709"/>
      <c r="AP159" s="1709"/>
      <c r="AQ159" s="1709"/>
      <c r="AR159" s="1709"/>
      <c r="AS159" s="1709"/>
      <c r="AT159" s="1709"/>
      <c r="AU159" s="1709"/>
      <c r="AV159" s="1709"/>
      <c r="AW159" s="1709"/>
      <c r="AX159" s="1710"/>
      <c r="AY159" s="1714" t="str">
        <f t="shared" si="89"/>
        <v/>
      </c>
      <c r="AZ159" s="1714" t="str">
        <f>IF(Obj_PA!D159="","",IF(AY159="","",Obj_PA!D159-AY159))</f>
        <v/>
      </c>
      <c r="BK159" s="155" t="str">
        <f t="shared" si="90"/>
        <v/>
      </c>
      <c r="BL159" s="155" t="str">
        <f t="shared" si="91"/>
        <v/>
      </c>
      <c r="BM159" s="155" t="str">
        <f t="shared" si="92"/>
        <v/>
      </c>
      <c r="BN159" s="155" t="str">
        <f t="shared" si="93"/>
        <v/>
      </c>
      <c r="BO159" s="155" t="str">
        <f t="shared" si="94"/>
        <v/>
      </c>
      <c r="BP159" s="155" t="str">
        <f t="shared" si="95"/>
        <v/>
      </c>
      <c r="BQ159" s="155" t="str">
        <f t="shared" si="96"/>
        <v/>
      </c>
      <c r="BR159" s="155" t="str">
        <f t="shared" si="97"/>
        <v/>
      </c>
      <c r="BS159" s="155" t="str">
        <f t="shared" si="98"/>
        <v/>
      </c>
      <c r="BT159" s="155" t="str">
        <f t="shared" si="99"/>
        <v/>
      </c>
      <c r="BU159" s="155" t="str">
        <f t="shared" si="100"/>
        <v/>
      </c>
      <c r="BV159" s="155" t="str">
        <f t="shared" si="101"/>
        <v/>
      </c>
      <c r="BW159" s="155" t="str">
        <f t="shared" si="102"/>
        <v/>
      </c>
      <c r="BX159" s="155" t="str">
        <f t="shared" si="103"/>
        <v/>
      </c>
      <c r="BY159" s="155" t="str">
        <f t="shared" si="104"/>
        <v/>
      </c>
      <c r="BZ159" s="155" t="str">
        <f t="shared" si="105"/>
        <v/>
      </c>
      <c r="CA159" s="155" t="str">
        <f t="shared" si="106"/>
        <v/>
      </c>
      <c r="CB159" s="155" t="str">
        <f t="shared" si="107"/>
        <v/>
      </c>
      <c r="CC159" s="155" t="str">
        <f t="shared" si="108"/>
        <v/>
      </c>
      <c r="CD159" s="155" t="str">
        <f t="shared" si="109"/>
        <v/>
      </c>
      <c r="CE159" s="155" t="str">
        <f t="shared" si="110"/>
        <v/>
      </c>
      <c r="CF159" s="155" t="str">
        <f t="shared" si="111"/>
        <v/>
      </c>
      <c r="CG159" s="155" t="str">
        <f t="shared" si="112"/>
        <v/>
      </c>
      <c r="CH159" s="155" t="str">
        <f t="shared" si="113"/>
        <v/>
      </c>
      <c r="CI159" s="155" t="str">
        <f t="shared" si="114"/>
        <v/>
      </c>
      <c r="CJ159" s="155" t="str">
        <f t="shared" si="115"/>
        <v/>
      </c>
      <c r="CK159" s="155" t="str">
        <f t="shared" si="116"/>
        <v/>
      </c>
      <c r="CL159" s="155" t="str">
        <f t="shared" si="117"/>
        <v/>
      </c>
      <c r="CM159" s="155" t="str">
        <f t="shared" si="118"/>
        <v/>
      </c>
      <c r="CN159" s="155" t="str">
        <f t="shared" si="119"/>
        <v/>
      </c>
      <c r="CO159" s="155" t="str">
        <f t="shared" si="120"/>
        <v/>
      </c>
      <c r="CP159" s="155" t="str">
        <f t="shared" si="121"/>
        <v/>
      </c>
      <c r="CQ159" s="155" t="str">
        <f t="shared" si="122"/>
        <v/>
      </c>
      <c r="CR159" s="155" t="str">
        <f t="shared" si="123"/>
        <v/>
      </c>
      <c r="CS159" s="155" t="str">
        <f t="shared" si="124"/>
        <v/>
      </c>
      <c r="CT159" s="155" t="str">
        <f t="shared" si="125"/>
        <v/>
      </c>
      <c r="CU159" s="155" t="str">
        <f t="shared" si="126"/>
        <v/>
      </c>
      <c r="CV159" s="155" t="str">
        <f t="shared" si="127"/>
        <v/>
      </c>
      <c r="CW159" s="155" t="str">
        <f t="shared" si="128"/>
        <v/>
      </c>
      <c r="CX159" s="155" t="str">
        <f t="shared" si="129"/>
        <v/>
      </c>
    </row>
    <row r="160" spans="1:126" ht="15" outlineLevel="1" x14ac:dyDescent="0.25">
      <c r="A160" s="163"/>
      <c r="B160" s="157" t="str">
        <f>Services!B160</f>
        <v>07B01</v>
      </c>
      <c r="C160" s="153" t="str">
        <f>Services!C160</f>
        <v>Contrôle des accès aux résidus</v>
      </c>
      <c r="D160" s="149"/>
      <c r="E160" s="149">
        <f>2*(8*Plans_action!E122+Plans_action!D122)</f>
        <v>0</v>
      </c>
      <c r="F160" s="149"/>
      <c r="G160" s="149"/>
      <c r="H160" s="149"/>
      <c r="I160" s="140" t="str">
        <f t="shared" si="87"/>
        <v/>
      </c>
      <c r="J160" s="141" t="str">
        <f t="shared" si="88"/>
        <v/>
      </c>
      <c r="K160" s="142"/>
      <c r="L160" s="142"/>
      <c r="M160" s="1708"/>
      <c r="N160" s="1708"/>
      <c r="O160" s="1708"/>
      <c r="P160" s="1708"/>
      <c r="Q160" s="1708"/>
      <c r="R160" s="1708"/>
      <c r="S160" s="1708"/>
      <c r="T160" s="1708"/>
      <c r="U160" s="1708"/>
      <c r="V160" s="1708"/>
      <c r="W160" s="1708"/>
      <c r="X160" s="1709"/>
      <c r="Y160" s="1709"/>
      <c r="Z160" s="1709"/>
      <c r="AA160" s="1709"/>
      <c r="AB160" s="1709"/>
      <c r="AC160" s="1709"/>
      <c r="AD160" s="1709"/>
      <c r="AE160" s="1709"/>
      <c r="AF160" s="1709"/>
      <c r="AG160" s="1709"/>
      <c r="AH160" s="1709"/>
      <c r="AI160" s="1709"/>
      <c r="AJ160" s="1709"/>
      <c r="AK160" s="1709"/>
      <c r="AL160" s="1709"/>
      <c r="AM160" s="1709"/>
      <c r="AN160" s="1709"/>
      <c r="AO160" s="1709"/>
      <c r="AP160" s="1709"/>
      <c r="AQ160" s="1709"/>
      <c r="AR160" s="1709"/>
      <c r="AS160" s="1709"/>
      <c r="AT160" s="1709"/>
      <c r="AU160" s="1709"/>
      <c r="AV160" s="1709"/>
      <c r="AW160" s="1709"/>
      <c r="AX160" s="1710"/>
      <c r="AY160" s="1714" t="str">
        <f t="shared" si="89"/>
        <v/>
      </c>
      <c r="AZ160" s="1714" t="str">
        <f>IF(Obj_PA!D160="","",IF(AY160="","",Obj_PA!D160-AY160))</f>
        <v/>
      </c>
      <c r="BK160" s="155" t="str">
        <f t="shared" si="90"/>
        <v/>
      </c>
      <c r="BL160" s="155" t="str">
        <f t="shared" si="91"/>
        <v/>
      </c>
      <c r="BM160" s="155" t="str">
        <f t="shared" si="92"/>
        <v/>
      </c>
      <c r="BN160" s="155" t="str">
        <f t="shared" si="93"/>
        <v/>
      </c>
      <c r="BO160" s="155" t="str">
        <f t="shared" si="94"/>
        <v/>
      </c>
      <c r="BP160" s="155" t="str">
        <f t="shared" si="95"/>
        <v/>
      </c>
      <c r="BQ160" s="155" t="str">
        <f t="shared" si="96"/>
        <v/>
      </c>
      <c r="BR160" s="155" t="str">
        <f t="shared" si="97"/>
        <v/>
      </c>
      <c r="BS160" s="155" t="str">
        <f t="shared" si="98"/>
        <v/>
      </c>
      <c r="BT160" s="155" t="str">
        <f t="shared" si="99"/>
        <v/>
      </c>
      <c r="BU160" s="155" t="str">
        <f t="shared" si="100"/>
        <v/>
      </c>
      <c r="BV160" s="155" t="str">
        <f t="shared" si="101"/>
        <v/>
      </c>
      <c r="BW160" s="155" t="str">
        <f t="shared" si="102"/>
        <v/>
      </c>
      <c r="BX160" s="155" t="str">
        <f t="shared" si="103"/>
        <v/>
      </c>
      <c r="BY160" s="155" t="str">
        <f t="shared" si="104"/>
        <v/>
      </c>
      <c r="BZ160" s="155" t="str">
        <f t="shared" si="105"/>
        <v/>
      </c>
      <c r="CA160" s="155" t="str">
        <f t="shared" si="106"/>
        <v/>
      </c>
      <c r="CB160" s="155" t="str">
        <f t="shared" si="107"/>
        <v/>
      </c>
      <c r="CC160" s="155" t="str">
        <f t="shared" si="108"/>
        <v/>
      </c>
      <c r="CD160" s="155" t="str">
        <f t="shared" si="109"/>
        <v/>
      </c>
      <c r="CE160" s="155" t="str">
        <f t="shared" si="110"/>
        <v/>
      </c>
      <c r="CF160" s="155" t="str">
        <f t="shared" si="111"/>
        <v/>
      </c>
      <c r="CG160" s="155" t="str">
        <f t="shared" si="112"/>
        <v/>
      </c>
      <c r="CH160" s="155" t="str">
        <f t="shared" si="113"/>
        <v/>
      </c>
      <c r="CI160" s="155" t="str">
        <f t="shared" si="114"/>
        <v/>
      </c>
      <c r="CJ160" s="155" t="str">
        <f t="shared" si="115"/>
        <v/>
      </c>
      <c r="CK160" s="155" t="str">
        <f t="shared" si="116"/>
        <v/>
      </c>
      <c r="CL160" s="155" t="str">
        <f t="shared" si="117"/>
        <v/>
      </c>
      <c r="CM160" s="155" t="str">
        <f t="shared" si="118"/>
        <v/>
      </c>
      <c r="CN160" s="155" t="str">
        <f t="shared" si="119"/>
        <v/>
      </c>
      <c r="CO160" s="155" t="str">
        <f t="shared" si="120"/>
        <v/>
      </c>
      <c r="CP160" s="155" t="str">
        <f t="shared" si="121"/>
        <v/>
      </c>
      <c r="CQ160" s="155" t="str">
        <f t="shared" si="122"/>
        <v/>
      </c>
      <c r="CR160" s="155" t="str">
        <f t="shared" si="123"/>
        <v/>
      </c>
      <c r="CS160" s="155" t="str">
        <f t="shared" si="124"/>
        <v/>
      </c>
      <c r="CT160" s="155" t="str">
        <f t="shared" si="125"/>
        <v/>
      </c>
      <c r="CU160" s="155" t="str">
        <f t="shared" si="126"/>
        <v/>
      </c>
      <c r="CV160" s="155" t="str">
        <f t="shared" si="127"/>
        <v/>
      </c>
      <c r="CW160" s="155" t="str">
        <f t="shared" si="128"/>
        <v/>
      </c>
      <c r="CX160" s="155" t="str">
        <f t="shared" si="129"/>
        <v/>
      </c>
    </row>
    <row r="161" spans="1:126" ht="14.25" outlineLevel="1" x14ac:dyDescent="0.2">
      <c r="A161" s="160"/>
      <c r="B161" s="147" t="str">
        <f>Services!B161</f>
        <v>07C</v>
      </c>
      <c r="C161" s="148" t="str">
        <f>Services!C161</f>
        <v>Gestion et enregistrement des traces</v>
      </c>
      <c r="D161" s="149"/>
      <c r="E161" s="149"/>
      <c r="F161" s="149"/>
      <c r="G161" s="149"/>
      <c r="H161" s="149"/>
      <c r="I161" s="140" t="str">
        <f t="shared" si="87"/>
        <v/>
      </c>
      <c r="J161" s="141" t="str">
        <f t="shared" si="88"/>
        <v/>
      </c>
      <c r="K161" s="142"/>
      <c r="L161" s="142"/>
      <c r="M161" s="1708"/>
      <c r="N161" s="1708"/>
      <c r="O161" s="1708"/>
      <c r="P161" s="1708"/>
      <c r="Q161" s="1708"/>
      <c r="R161" s="1708"/>
      <c r="S161" s="1708"/>
      <c r="T161" s="1708"/>
      <c r="U161" s="1708"/>
      <c r="V161" s="1708"/>
      <c r="W161" s="1708"/>
      <c r="X161" s="1709"/>
      <c r="Y161" s="1709"/>
      <c r="Z161" s="1709"/>
      <c r="AA161" s="1709"/>
      <c r="AB161" s="1709"/>
      <c r="AC161" s="1709"/>
      <c r="AD161" s="1709"/>
      <c r="AE161" s="1709"/>
      <c r="AF161" s="1709"/>
      <c r="AG161" s="1709"/>
      <c r="AH161" s="1709"/>
      <c r="AI161" s="1709"/>
      <c r="AJ161" s="1709"/>
      <c r="AK161" s="1709"/>
      <c r="AL161" s="1709"/>
      <c r="AM161" s="1709"/>
      <c r="AN161" s="1709"/>
      <c r="AO161" s="1709"/>
      <c r="AP161" s="1709"/>
      <c r="AQ161" s="1709"/>
      <c r="AR161" s="1709"/>
      <c r="AS161" s="1709"/>
      <c r="AT161" s="1709"/>
      <c r="AU161" s="1709"/>
      <c r="AV161" s="1709"/>
      <c r="AW161" s="1709"/>
      <c r="AX161" s="1710"/>
      <c r="AY161" s="1714" t="str">
        <f t="shared" si="89"/>
        <v/>
      </c>
      <c r="AZ161" s="1714" t="str">
        <f>IF(Obj_PA!D161="","",IF(AY161="","",Obj_PA!D161-AY161))</f>
        <v/>
      </c>
      <c r="BK161" s="155" t="str">
        <f t="shared" si="90"/>
        <v/>
      </c>
      <c r="BL161" s="155" t="str">
        <f t="shared" si="91"/>
        <v/>
      </c>
      <c r="BM161" s="155" t="str">
        <f t="shared" si="92"/>
        <v/>
      </c>
      <c r="BN161" s="155" t="str">
        <f t="shared" si="93"/>
        <v/>
      </c>
      <c r="BO161" s="155" t="str">
        <f t="shared" si="94"/>
        <v/>
      </c>
      <c r="BP161" s="155" t="str">
        <f t="shared" si="95"/>
        <v/>
      </c>
      <c r="BQ161" s="155" t="str">
        <f t="shared" si="96"/>
        <v/>
      </c>
      <c r="BR161" s="155" t="str">
        <f t="shared" si="97"/>
        <v/>
      </c>
      <c r="BS161" s="155" t="str">
        <f t="shared" si="98"/>
        <v/>
      </c>
      <c r="BT161" s="155" t="str">
        <f t="shared" si="99"/>
        <v/>
      </c>
      <c r="BU161" s="155" t="str">
        <f t="shared" si="100"/>
        <v/>
      </c>
      <c r="BV161" s="155" t="str">
        <f t="shared" si="101"/>
        <v/>
      </c>
      <c r="BW161" s="155" t="str">
        <f t="shared" si="102"/>
        <v/>
      </c>
      <c r="BX161" s="155" t="str">
        <f t="shared" si="103"/>
        <v/>
      </c>
      <c r="BY161" s="155" t="str">
        <f t="shared" si="104"/>
        <v/>
      </c>
      <c r="BZ161" s="155" t="str">
        <f t="shared" si="105"/>
        <v/>
      </c>
      <c r="CA161" s="155" t="str">
        <f t="shared" si="106"/>
        <v/>
      </c>
      <c r="CB161" s="155" t="str">
        <f t="shared" si="107"/>
        <v/>
      </c>
      <c r="CC161" s="155" t="str">
        <f t="shared" si="108"/>
        <v/>
      </c>
      <c r="CD161" s="155" t="str">
        <f t="shared" si="109"/>
        <v/>
      </c>
      <c r="CE161" s="155" t="str">
        <f t="shared" si="110"/>
        <v/>
      </c>
      <c r="CF161" s="155" t="str">
        <f t="shared" si="111"/>
        <v/>
      </c>
      <c r="CG161" s="155" t="str">
        <f t="shared" si="112"/>
        <v/>
      </c>
      <c r="CH161" s="155" t="str">
        <f t="shared" si="113"/>
        <v/>
      </c>
      <c r="CI161" s="155" t="str">
        <f t="shared" si="114"/>
        <v/>
      </c>
      <c r="CJ161" s="155" t="str">
        <f t="shared" si="115"/>
        <v/>
      </c>
      <c r="CK161" s="155" t="str">
        <f t="shared" si="116"/>
        <v/>
      </c>
      <c r="CL161" s="155" t="str">
        <f t="shared" si="117"/>
        <v/>
      </c>
      <c r="CM161" s="155" t="str">
        <f t="shared" si="118"/>
        <v/>
      </c>
      <c r="CN161" s="155" t="str">
        <f t="shared" si="119"/>
        <v/>
      </c>
      <c r="CO161" s="155" t="str">
        <f t="shared" si="120"/>
        <v/>
      </c>
      <c r="CP161" s="155" t="str">
        <f t="shared" si="121"/>
        <v/>
      </c>
      <c r="CQ161" s="155" t="str">
        <f t="shared" si="122"/>
        <v/>
      </c>
      <c r="CR161" s="155" t="str">
        <f t="shared" si="123"/>
        <v/>
      </c>
      <c r="CS161" s="155" t="str">
        <f t="shared" si="124"/>
        <v/>
      </c>
      <c r="CT161" s="155" t="str">
        <f t="shared" si="125"/>
        <v/>
      </c>
      <c r="CU161" s="155" t="str">
        <f t="shared" si="126"/>
        <v/>
      </c>
      <c r="CV161" s="155" t="str">
        <f t="shared" si="127"/>
        <v/>
      </c>
      <c r="CW161" s="155" t="str">
        <f t="shared" si="128"/>
        <v/>
      </c>
      <c r="CX161" s="155" t="str">
        <f t="shared" si="129"/>
        <v/>
      </c>
    </row>
    <row r="162" spans="1:126" ht="15" outlineLevel="1" x14ac:dyDescent="0.25">
      <c r="A162" s="163"/>
      <c r="B162" s="157" t="str">
        <f>Services!B162</f>
        <v>07C01</v>
      </c>
      <c r="C162" s="153" t="str">
        <f>Services!C162</f>
        <v>Enregistrement des accès aux ressources sensibles</v>
      </c>
      <c r="D162" s="149">
        <f>1*(8*Plans_action!E5+Plans_action!D5)+1*(8*Plans_action!E122+Plans_action!D122)</f>
        <v>0</v>
      </c>
      <c r="E162" s="149">
        <f>2*(8*Plans_action!E215+Plans_action!D215)+2*(8*Plans_action!E224+Plans_action!D224)+2*(8*Plans_action!E240+Plans_action!D240)+2*(8*Plans_action!E249+Plans_action!D249)</f>
        <v>0</v>
      </c>
      <c r="F162" s="149"/>
      <c r="G162" s="149"/>
      <c r="H162" s="149"/>
      <c r="I162" s="140" t="str">
        <f t="shared" si="87"/>
        <v/>
      </c>
      <c r="J162" s="141" t="str">
        <f t="shared" si="88"/>
        <v/>
      </c>
      <c r="K162" s="142"/>
      <c r="L162" s="142"/>
      <c r="M162" s="1708"/>
      <c r="N162" s="1708"/>
      <c r="O162" s="1708"/>
      <c r="P162" s="1708"/>
      <c r="Q162" s="1708"/>
      <c r="R162" s="1708"/>
      <c r="S162" s="1708"/>
      <c r="T162" s="1708"/>
      <c r="U162" s="1708"/>
      <c r="V162" s="1708"/>
      <c r="W162" s="1708"/>
      <c r="X162" s="1709"/>
      <c r="Y162" s="1709"/>
      <c r="Z162" s="1709"/>
      <c r="AA162" s="1709"/>
      <c r="AB162" s="1709"/>
      <c r="AC162" s="1709"/>
      <c r="AD162" s="1709"/>
      <c r="AE162" s="1709"/>
      <c r="AF162" s="1709"/>
      <c r="AG162" s="1709"/>
      <c r="AH162" s="1709"/>
      <c r="AI162" s="1709"/>
      <c r="AJ162" s="1709"/>
      <c r="AK162" s="1709"/>
      <c r="AL162" s="1709"/>
      <c r="AM162" s="1709"/>
      <c r="AN162" s="1709"/>
      <c r="AO162" s="1709"/>
      <c r="AP162" s="1709"/>
      <c r="AQ162" s="1709"/>
      <c r="AR162" s="1709"/>
      <c r="AS162" s="1709"/>
      <c r="AT162" s="1709"/>
      <c r="AU162" s="1709"/>
      <c r="AV162" s="1709"/>
      <c r="AW162" s="1709"/>
      <c r="AX162" s="1710"/>
      <c r="AY162" s="1714" t="str">
        <f t="shared" si="89"/>
        <v/>
      </c>
      <c r="AZ162" s="1714" t="str">
        <f>IF(Obj_PA!D162="","",IF(AY162="","",Obj_PA!D162-AY162))</f>
        <v/>
      </c>
      <c r="BK162" s="155" t="str">
        <f t="shared" si="90"/>
        <v/>
      </c>
      <c r="BL162" s="155" t="str">
        <f t="shared" si="91"/>
        <v/>
      </c>
      <c r="BM162" s="155" t="str">
        <f t="shared" si="92"/>
        <v/>
      </c>
      <c r="BN162" s="155" t="str">
        <f t="shared" si="93"/>
        <v/>
      </c>
      <c r="BO162" s="155" t="str">
        <f t="shared" si="94"/>
        <v/>
      </c>
      <c r="BP162" s="155" t="str">
        <f t="shared" si="95"/>
        <v/>
      </c>
      <c r="BQ162" s="155" t="str">
        <f t="shared" si="96"/>
        <v/>
      </c>
      <c r="BR162" s="155" t="str">
        <f t="shared" si="97"/>
        <v/>
      </c>
      <c r="BS162" s="155" t="str">
        <f t="shared" si="98"/>
        <v/>
      </c>
      <c r="BT162" s="155" t="str">
        <f t="shared" si="99"/>
        <v/>
      </c>
      <c r="BU162" s="155" t="str">
        <f t="shared" si="100"/>
        <v/>
      </c>
      <c r="BV162" s="155" t="str">
        <f t="shared" si="101"/>
        <v/>
      </c>
      <c r="BW162" s="155" t="str">
        <f t="shared" si="102"/>
        <v/>
      </c>
      <c r="BX162" s="155" t="str">
        <f t="shared" si="103"/>
        <v/>
      </c>
      <c r="BY162" s="155" t="str">
        <f t="shared" si="104"/>
        <v/>
      </c>
      <c r="BZ162" s="155" t="str">
        <f t="shared" si="105"/>
        <v/>
      </c>
      <c r="CA162" s="155" t="str">
        <f t="shared" si="106"/>
        <v/>
      </c>
      <c r="CB162" s="155" t="str">
        <f t="shared" si="107"/>
        <v/>
      </c>
      <c r="CC162" s="155" t="str">
        <f t="shared" si="108"/>
        <v/>
      </c>
      <c r="CD162" s="155" t="str">
        <f t="shared" si="109"/>
        <v/>
      </c>
      <c r="CE162" s="155" t="str">
        <f t="shared" si="110"/>
        <v/>
      </c>
      <c r="CF162" s="155" t="str">
        <f t="shared" si="111"/>
        <v/>
      </c>
      <c r="CG162" s="155" t="str">
        <f t="shared" si="112"/>
        <v/>
      </c>
      <c r="CH162" s="155" t="str">
        <f t="shared" si="113"/>
        <v/>
      </c>
      <c r="CI162" s="155" t="str">
        <f t="shared" si="114"/>
        <v/>
      </c>
      <c r="CJ162" s="155" t="str">
        <f t="shared" si="115"/>
        <v/>
      </c>
      <c r="CK162" s="155" t="str">
        <f t="shared" si="116"/>
        <v/>
      </c>
      <c r="CL162" s="155" t="str">
        <f t="shared" si="117"/>
        <v/>
      </c>
      <c r="CM162" s="155" t="str">
        <f t="shared" si="118"/>
        <v/>
      </c>
      <c r="CN162" s="155" t="str">
        <f t="shared" si="119"/>
        <v/>
      </c>
      <c r="CO162" s="155" t="str">
        <f t="shared" si="120"/>
        <v/>
      </c>
      <c r="CP162" s="155" t="str">
        <f t="shared" si="121"/>
        <v/>
      </c>
      <c r="CQ162" s="155" t="str">
        <f t="shared" si="122"/>
        <v/>
      </c>
      <c r="CR162" s="155" t="str">
        <f t="shared" si="123"/>
        <v/>
      </c>
      <c r="CS162" s="155" t="str">
        <f t="shared" si="124"/>
        <v/>
      </c>
      <c r="CT162" s="155" t="str">
        <f t="shared" si="125"/>
        <v/>
      </c>
      <c r="CU162" s="155" t="str">
        <f t="shared" si="126"/>
        <v/>
      </c>
      <c r="CV162" s="155" t="str">
        <f t="shared" si="127"/>
        <v/>
      </c>
      <c r="CW162" s="155" t="str">
        <f t="shared" si="128"/>
        <v/>
      </c>
      <c r="CX162" s="155" t="str">
        <f t="shared" si="129"/>
        <v/>
      </c>
      <c r="DU162" s="145">
        <f>IF(INDEX(Tab_actions,16,1)=1,INDEX(Tab_actions,16,4),0)</f>
        <v>0</v>
      </c>
    </row>
    <row r="163" spans="1:126" ht="14.25" outlineLevel="1" x14ac:dyDescent="0.2">
      <c r="A163" s="159"/>
      <c r="B163" s="157" t="str">
        <f>Services!B163</f>
        <v>07C02</v>
      </c>
      <c r="C163" s="153" t="str">
        <f>Services!C163</f>
        <v xml:space="preserve">Enregistrement des appels aux procédures privilégiées </v>
      </c>
      <c r="D163" s="149">
        <f>1*(8*Plans_action!E5+Plans_action!D5)</f>
        <v>0</v>
      </c>
      <c r="E163" s="149">
        <f>2*(8*Plans_action!E215+Plans_action!D215)+2*(8*Plans_action!E224+Plans_action!D224)+2*(8*Plans_action!E240+Plans_action!D240)+2*(8*Plans_action!E249+Plans_action!D249)+2*(8*Plans_action!E279+Plans_action!D279)+2*(8*Plans_action!E285+Plans_action!D285)</f>
        <v>0</v>
      </c>
      <c r="F163" s="149">
        <f>3*(8*Plans_action!E273+Plans_action!D273)+3*(8*Plans_action!E290+Plans_action!D290)</f>
        <v>0</v>
      </c>
      <c r="G163" s="149"/>
      <c r="H163" s="149"/>
      <c r="I163" s="140" t="str">
        <f t="shared" si="87"/>
        <v/>
      </c>
      <c r="J163" s="141" t="str">
        <f t="shared" si="88"/>
        <v/>
      </c>
      <c r="K163" s="142"/>
      <c r="L163" s="142"/>
      <c r="M163" s="1708"/>
      <c r="N163" s="1708"/>
      <c r="O163" s="1708"/>
      <c r="P163" s="1708"/>
      <c r="Q163" s="1708"/>
      <c r="R163" s="1708"/>
      <c r="S163" s="1708"/>
      <c r="T163" s="1708"/>
      <c r="U163" s="1708"/>
      <c r="V163" s="1708"/>
      <c r="W163" s="1708"/>
      <c r="X163" s="1709"/>
      <c r="Y163" s="1709"/>
      <c r="Z163" s="1709"/>
      <c r="AA163" s="1709"/>
      <c r="AB163" s="1709"/>
      <c r="AC163" s="1709"/>
      <c r="AD163" s="1709"/>
      <c r="AE163" s="1709"/>
      <c r="AF163" s="1709"/>
      <c r="AG163" s="1709"/>
      <c r="AH163" s="1709"/>
      <c r="AI163" s="1709"/>
      <c r="AJ163" s="1709"/>
      <c r="AK163" s="1709"/>
      <c r="AL163" s="1709"/>
      <c r="AM163" s="1709"/>
      <c r="AN163" s="1709"/>
      <c r="AO163" s="1709"/>
      <c r="AP163" s="1709"/>
      <c r="AQ163" s="1709"/>
      <c r="AR163" s="1709"/>
      <c r="AS163" s="1709"/>
      <c r="AT163" s="1709"/>
      <c r="AU163" s="1709"/>
      <c r="AV163" s="1709"/>
      <c r="AW163" s="1709"/>
      <c r="AX163" s="1710"/>
      <c r="AY163" s="1714" t="str">
        <f t="shared" si="89"/>
        <v/>
      </c>
      <c r="AZ163" s="1714" t="str">
        <f>IF(Obj_PA!D163="","",IF(AY163="","",Obj_PA!D163-AY163))</f>
        <v/>
      </c>
      <c r="BK163" s="155" t="str">
        <f t="shared" si="90"/>
        <v/>
      </c>
      <c r="BL163" s="155" t="str">
        <f t="shared" si="91"/>
        <v/>
      </c>
      <c r="BM163" s="155" t="str">
        <f t="shared" si="92"/>
        <v/>
      </c>
      <c r="BN163" s="155" t="str">
        <f t="shared" si="93"/>
        <v/>
      </c>
      <c r="BO163" s="155" t="str">
        <f t="shared" si="94"/>
        <v/>
      </c>
      <c r="BP163" s="155" t="str">
        <f t="shared" si="95"/>
        <v/>
      </c>
      <c r="BQ163" s="155" t="str">
        <f t="shared" si="96"/>
        <v/>
      </c>
      <c r="BR163" s="155" t="str">
        <f t="shared" si="97"/>
        <v/>
      </c>
      <c r="BS163" s="155" t="str">
        <f t="shared" si="98"/>
        <v/>
      </c>
      <c r="BT163" s="155" t="str">
        <f t="shared" si="99"/>
        <v/>
      </c>
      <c r="BU163" s="155" t="str">
        <f t="shared" si="100"/>
        <v/>
      </c>
      <c r="BV163" s="155" t="str">
        <f t="shared" si="101"/>
        <v/>
      </c>
      <c r="BW163" s="155" t="str">
        <f t="shared" si="102"/>
        <v/>
      </c>
      <c r="BX163" s="155" t="str">
        <f t="shared" si="103"/>
        <v/>
      </c>
      <c r="BY163" s="155" t="str">
        <f t="shared" si="104"/>
        <v/>
      </c>
      <c r="BZ163" s="155" t="str">
        <f t="shared" si="105"/>
        <v/>
      </c>
      <c r="CA163" s="155" t="str">
        <f t="shared" si="106"/>
        <v/>
      </c>
      <c r="CB163" s="155" t="str">
        <f t="shared" si="107"/>
        <v/>
      </c>
      <c r="CC163" s="155" t="str">
        <f t="shared" si="108"/>
        <v/>
      </c>
      <c r="CD163" s="155" t="str">
        <f t="shared" si="109"/>
        <v/>
      </c>
      <c r="CE163" s="155" t="str">
        <f t="shared" si="110"/>
        <v/>
      </c>
      <c r="CF163" s="155" t="str">
        <f t="shared" si="111"/>
        <v/>
      </c>
      <c r="CG163" s="155" t="str">
        <f t="shared" si="112"/>
        <v/>
      </c>
      <c r="CH163" s="155" t="str">
        <f t="shared" si="113"/>
        <v/>
      </c>
      <c r="CI163" s="155" t="str">
        <f t="shared" si="114"/>
        <v/>
      </c>
      <c r="CJ163" s="155" t="str">
        <f t="shared" si="115"/>
        <v/>
      </c>
      <c r="CK163" s="155" t="str">
        <f t="shared" si="116"/>
        <v/>
      </c>
      <c r="CL163" s="155" t="str">
        <f t="shared" si="117"/>
        <v/>
      </c>
      <c r="CM163" s="155" t="str">
        <f t="shared" si="118"/>
        <v/>
      </c>
      <c r="CN163" s="155" t="str">
        <f t="shared" si="119"/>
        <v/>
      </c>
      <c r="CO163" s="155" t="str">
        <f t="shared" si="120"/>
        <v/>
      </c>
      <c r="CP163" s="155" t="str">
        <f t="shared" si="121"/>
        <v/>
      </c>
      <c r="CQ163" s="155" t="str">
        <f t="shared" si="122"/>
        <v/>
      </c>
      <c r="CR163" s="155" t="str">
        <f t="shared" si="123"/>
        <v/>
      </c>
      <c r="CS163" s="155" t="str">
        <f t="shared" si="124"/>
        <v/>
      </c>
      <c r="CT163" s="155" t="str">
        <f t="shared" si="125"/>
        <v/>
      </c>
      <c r="CU163" s="155" t="str">
        <f t="shared" si="126"/>
        <v/>
      </c>
      <c r="CV163" s="155" t="str">
        <f t="shared" si="127"/>
        <v/>
      </c>
      <c r="CW163" s="155" t="str">
        <f t="shared" si="128"/>
        <v/>
      </c>
      <c r="CX163" s="155" t="str">
        <f t="shared" si="129"/>
        <v/>
      </c>
      <c r="DU163" s="145">
        <f>IF(INDEX(Tab_actions,16,1)=1,INDEX(Tab_actions,16,6),0)</f>
        <v>0</v>
      </c>
    </row>
    <row r="164" spans="1:126" ht="14.25" outlineLevel="1" x14ac:dyDescent="0.2">
      <c r="A164" s="160"/>
      <c r="B164" s="147" t="str">
        <f>Services!B164</f>
        <v>07D</v>
      </c>
      <c r="C164" s="148" t="str">
        <f>Services!C164</f>
        <v xml:space="preserve">Sécurité de l'architecture </v>
      </c>
      <c r="D164" s="149"/>
      <c r="E164" s="149"/>
      <c r="F164" s="149"/>
      <c r="G164" s="149"/>
      <c r="H164" s="149"/>
      <c r="I164" s="140" t="str">
        <f t="shared" si="87"/>
        <v/>
      </c>
      <c r="J164" s="141" t="str">
        <f t="shared" si="88"/>
        <v/>
      </c>
      <c r="K164" s="142"/>
      <c r="L164" s="142"/>
      <c r="M164" s="1708"/>
      <c r="N164" s="1708"/>
      <c r="O164" s="1708"/>
      <c r="P164" s="1708"/>
      <c r="Q164" s="1708"/>
      <c r="R164" s="1708"/>
      <c r="S164" s="1708"/>
      <c r="T164" s="1708"/>
      <c r="U164" s="1708"/>
      <c r="V164" s="1708"/>
      <c r="W164" s="1708"/>
      <c r="X164" s="1709"/>
      <c r="Y164" s="1709"/>
      <c r="Z164" s="1709"/>
      <c r="AA164" s="1709"/>
      <c r="AB164" s="1709"/>
      <c r="AC164" s="1709"/>
      <c r="AD164" s="1709"/>
      <c r="AE164" s="1709"/>
      <c r="AF164" s="1709"/>
      <c r="AG164" s="1709"/>
      <c r="AH164" s="1709"/>
      <c r="AI164" s="1709"/>
      <c r="AJ164" s="1709"/>
      <c r="AK164" s="1709"/>
      <c r="AL164" s="1709"/>
      <c r="AM164" s="1709"/>
      <c r="AN164" s="1709"/>
      <c r="AO164" s="1709"/>
      <c r="AP164" s="1709"/>
      <c r="AQ164" s="1709"/>
      <c r="AR164" s="1709"/>
      <c r="AS164" s="1709"/>
      <c r="AT164" s="1709"/>
      <c r="AU164" s="1709"/>
      <c r="AV164" s="1709"/>
      <c r="AW164" s="1709"/>
      <c r="AX164" s="1710"/>
      <c r="AY164" s="1714" t="str">
        <f t="shared" si="89"/>
        <v/>
      </c>
      <c r="AZ164" s="1714" t="str">
        <f>IF(Obj_PA!D164="","",IF(AY164="","",Obj_PA!D164-AY164))</f>
        <v/>
      </c>
      <c r="BK164" s="155" t="str">
        <f t="shared" si="90"/>
        <v/>
      </c>
      <c r="BL164" s="155" t="str">
        <f t="shared" si="91"/>
        <v/>
      </c>
      <c r="BM164" s="155" t="str">
        <f t="shared" si="92"/>
        <v/>
      </c>
      <c r="BN164" s="155" t="str">
        <f t="shared" si="93"/>
        <v/>
      </c>
      <c r="BO164" s="155" t="str">
        <f t="shared" si="94"/>
        <v/>
      </c>
      <c r="BP164" s="155" t="str">
        <f t="shared" si="95"/>
        <v/>
      </c>
      <c r="BQ164" s="155" t="str">
        <f t="shared" si="96"/>
        <v/>
      </c>
      <c r="BR164" s="155" t="str">
        <f t="shared" si="97"/>
        <v/>
      </c>
      <c r="BS164" s="155" t="str">
        <f t="shared" si="98"/>
        <v/>
      </c>
      <c r="BT164" s="155" t="str">
        <f t="shared" si="99"/>
        <v/>
      </c>
      <c r="BU164" s="155" t="str">
        <f t="shared" si="100"/>
        <v/>
      </c>
      <c r="BV164" s="155" t="str">
        <f t="shared" si="101"/>
        <v/>
      </c>
      <c r="BW164" s="155" t="str">
        <f t="shared" si="102"/>
        <v/>
      </c>
      <c r="BX164" s="155" t="str">
        <f t="shared" si="103"/>
        <v/>
      </c>
      <c r="BY164" s="155" t="str">
        <f t="shared" si="104"/>
        <v/>
      </c>
      <c r="BZ164" s="155" t="str">
        <f t="shared" si="105"/>
        <v/>
      </c>
      <c r="CA164" s="155" t="str">
        <f t="shared" si="106"/>
        <v/>
      </c>
      <c r="CB164" s="155" t="str">
        <f t="shared" si="107"/>
        <v/>
      </c>
      <c r="CC164" s="155" t="str">
        <f t="shared" si="108"/>
        <v/>
      </c>
      <c r="CD164" s="155" t="str">
        <f t="shared" si="109"/>
        <v/>
      </c>
      <c r="CE164" s="155" t="str">
        <f t="shared" si="110"/>
        <v/>
      </c>
      <c r="CF164" s="155" t="str">
        <f t="shared" si="111"/>
        <v/>
      </c>
      <c r="CG164" s="155" t="str">
        <f t="shared" si="112"/>
        <v/>
      </c>
      <c r="CH164" s="155" t="str">
        <f t="shared" si="113"/>
        <v/>
      </c>
      <c r="CI164" s="155" t="str">
        <f t="shared" si="114"/>
        <v/>
      </c>
      <c r="CJ164" s="155" t="str">
        <f t="shared" si="115"/>
        <v/>
      </c>
      <c r="CK164" s="155" t="str">
        <f t="shared" si="116"/>
        <v/>
      </c>
      <c r="CL164" s="155" t="str">
        <f t="shared" si="117"/>
        <v/>
      </c>
      <c r="CM164" s="155" t="str">
        <f t="shared" si="118"/>
        <v/>
      </c>
      <c r="CN164" s="155" t="str">
        <f t="shared" si="119"/>
        <v/>
      </c>
      <c r="CO164" s="155" t="str">
        <f t="shared" si="120"/>
        <v/>
      </c>
      <c r="CP164" s="155" t="str">
        <f t="shared" si="121"/>
        <v/>
      </c>
      <c r="CQ164" s="155" t="str">
        <f t="shared" si="122"/>
        <v/>
      </c>
      <c r="CR164" s="155" t="str">
        <f t="shared" si="123"/>
        <v/>
      </c>
      <c r="CS164" s="155" t="str">
        <f t="shared" si="124"/>
        <v/>
      </c>
      <c r="CT164" s="155" t="str">
        <f t="shared" si="125"/>
        <v/>
      </c>
      <c r="CU164" s="155" t="str">
        <f t="shared" si="126"/>
        <v/>
      </c>
      <c r="CV164" s="155" t="str">
        <f t="shared" si="127"/>
        <v/>
      </c>
      <c r="CW164" s="155" t="str">
        <f t="shared" si="128"/>
        <v/>
      </c>
      <c r="CX164" s="155" t="str">
        <f t="shared" si="129"/>
        <v/>
      </c>
    </row>
    <row r="165" spans="1:126" ht="15" outlineLevel="1" x14ac:dyDescent="0.25">
      <c r="A165" s="163"/>
      <c r="B165" s="157" t="str">
        <f>Services!B165</f>
        <v>07D01</v>
      </c>
      <c r="C165" s="153" t="str">
        <f>Services!C165</f>
        <v>Sûreté de fonctionnement des éléments d'architecture</v>
      </c>
      <c r="D165" s="149">
        <f>1*(8*Plans_action!E215+Plans_action!D215)+1*(8*Plans_action!E224+Plans_action!D224)+1*(8*Plans_action!E240+Plans_action!D240)+1*(8*Plans_action!E249+Plans_action!D249)</f>
        <v>0</v>
      </c>
      <c r="E165" s="149"/>
      <c r="F165" s="149"/>
      <c r="G165" s="149">
        <f>4*(8*Plans_action!E215+Plans_action!D215)+4*(8*Plans_action!E240+Plans_action!D240)+4*(8*Plans_action!E249+Plans_action!D249)</f>
        <v>0</v>
      </c>
      <c r="H165" s="149">
        <f>5*(8*Plans_action!E224+Plans_action!D224)</f>
        <v>0</v>
      </c>
      <c r="I165" s="140" t="str">
        <f t="shared" si="87"/>
        <v/>
      </c>
      <c r="J165" s="141" t="str">
        <f t="shared" si="88"/>
        <v/>
      </c>
      <c r="K165" s="142"/>
      <c r="L165" s="142"/>
      <c r="M165" s="1708"/>
      <c r="N165" s="1708"/>
      <c r="O165" s="1708"/>
      <c r="P165" s="1708"/>
      <c r="Q165" s="1708"/>
      <c r="R165" s="1708"/>
      <c r="S165" s="1708"/>
      <c r="T165" s="1708"/>
      <c r="U165" s="1708"/>
      <c r="V165" s="1708"/>
      <c r="W165" s="1708"/>
      <c r="X165" s="1709"/>
      <c r="Y165" s="1709"/>
      <c r="Z165" s="1709"/>
      <c r="AA165" s="1709"/>
      <c r="AB165" s="1709"/>
      <c r="AC165" s="1709"/>
      <c r="AD165" s="1709"/>
      <c r="AE165" s="1709"/>
      <c r="AF165" s="1709"/>
      <c r="AG165" s="1709"/>
      <c r="AH165" s="1709"/>
      <c r="AI165" s="1709"/>
      <c r="AJ165" s="1709"/>
      <c r="AK165" s="1709"/>
      <c r="AL165" s="1709"/>
      <c r="AM165" s="1709"/>
      <c r="AN165" s="1709"/>
      <c r="AO165" s="1709"/>
      <c r="AP165" s="1709"/>
      <c r="AQ165" s="1709"/>
      <c r="AR165" s="1709"/>
      <c r="AS165" s="1709"/>
      <c r="AT165" s="1709"/>
      <c r="AU165" s="1709"/>
      <c r="AV165" s="1709"/>
      <c r="AW165" s="1709"/>
      <c r="AX165" s="1710"/>
      <c r="AY165" s="1714" t="str">
        <f t="shared" si="89"/>
        <v/>
      </c>
      <c r="AZ165" s="1714" t="str">
        <f>IF(Obj_PA!D165="","",IF(AY165="","",Obj_PA!D165-AY165))</f>
        <v/>
      </c>
      <c r="BK165" s="155" t="str">
        <f t="shared" si="90"/>
        <v/>
      </c>
      <c r="BL165" s="155" t="str">
        <f t="shared" si="91"/>
        <v/>
      </c>
      <c r="BM165" s="155" t="str">
        <f t="shared" si="92"/>
        <v/>
      </c>
      <c r="BN165" s="155" t="str">
        <f t="shared" si="93"/>
        <v/>
      </c>
      <c r="BO165" s="155" t="str">
        <f t="shared" si="94"/>
        <v/>
      </c>
      <c r="BP165" s="155" t="str">
        <f t="shared" si="95"/>
        <v/>
      </c>
      <c r="BQ165" s="155" t="str">
        <f t="shared" si="96"/>
        <v/>
      </c>
      <c r="BR165" s="155" t="str">
        <f t="shared" si="97"/>
        <v/>
      </c>
      <c r="BS165" s="155" t="str">
        <f t="shared" si="98"/>
        <v/>
      </c>
      <c r="BT165" s="155" t="str">
        <f t="shared" si="99"/>
        <v/>
      </c>
      <c r="BU165" s="155" t="str">
        <f t="shared" si="100"/>
        <v/>
      </c>
      <c r="BV165" s="155" t="str">
        <f t="shared" si="101"/>
        <v/>
      </c>
      <c r="BW165" s="155" t="str">
        <f t="shared" si="102"/>
        <v/>
      </c>
      <c r="BX165" s="155" t="str">
        <f t="shared" si="103"/>
        <v/>
      </c>
      <c r="BY165" s="155" t="str">
        <f t="shared" si="104"/>
        <v/>
      </c>
      <c r="BZ165" s="155" t="str">
        <f t="shared" si="105"/>
        <v/>
      </c>
      <c r="CA165" s="155" t="str">
        <f t="shared" si="106"/>
        <v/>
      </c>
      <c r="CB165" s="155" t="str">
        <f t="shared" si="107"/>
        <v/>
      </c>
      <c r="CC165" s="155" t="str">
        <f t="shared" si="108"/>
        <v/>
      </c>
      <c r="CD165" s="155" t="str">
        <f t="shared" si="109"/>
        <v/>
      </c>
      <c r="CE165" s="155" t="str">
        <f t="shared" si="110"/>
        <v/>
      </c>
      <c r="CF165" s="155" t="str">
        <f t="shared" si="111"/>
        <v/>
      </c>
      <c r="CG165" s="155" t="str">
        <f t="shared" si="112"/>
        <v/>
      </c>
      <c r="CH165" s="155" t="str">
        <f t="shared" si="113"/>
        <v/>
      </c>
      <c r="CI165" s="155" t="str">
        <f t="shared" si="114"/>
        <v/>
      </c>
      <c r="CJ165" s="155" t="str">
        <f t="shared" si="115"/>
        <v/>
      </c>
      <c r="CK165" s="155" t="str">
        <f t="shared" si="116"/>
        <v/>
      </c>
      <c r="CL165" s="155" t="str">
        <f t="shared" si="117"/>
        <v/>
      </c>
      <c r="CM165" s="155" t="str">
        <f t="shared" si="118"/>
        <v/>
      </c>
      <c r="CN165" s="155" t="str">
        <f t="shared" si="119"/>
        <v/>
      </c>
      <c r="CO165" s="155" t="str">
        <f t="shared" si="120"/>
        <v/>
      </c>
      <c r="CP165" s="155" t="str">
        <f t="shared" si="121"/>
        <v/>
      </c>
      <c r="CQ165" s="155" t="str">
        <f t="shared" si="122"/>
        <v/>
      </c>
      <c r="CR165" s="155" t="str">
        <f t="shared" si="123"/>
        <v/>
      </c>
      <c r="CS165" s="155" t="str">
        <f t="shared" si="124"/>
        <v/>
      </c>
      <c r="CT165" s="155" t="str">
        <f t="shared" si="125"/>
        <v/>
      </c>
      <c r="CU165" s="155" t="str">
        <f t="shared" si="126"/>
        <v/>
      </c>
      <c r="CV165" s="155" t="str">
        <f t="shared" si="127"/>
        <v/>
      </c>
      <c r="CW165" s="155" t="str">
        <f t="shared" si="128"/>
        <v/>
      </c>
      <c r="CX165" s="155" t="str">
        <f t="shared" si="129"/>
        <v/>
      </c>
    </row>
    <row r="166" spans="1:126" s="151" customFormat="1" ht="15" outlineLevel="1" x14ac:dyDescent="0.25">
      <c r="A166" s="165"/>
      <c r="B166" s="157" t="str">
        <f>Services!B166</f>
        <v>07D02</v>
      </c>
      <c r="C166" s="153" t="str">
        <f>Services!C166</f>
        <v>Isolement des systèmes sensibles</v>
      </c>
      <c r="D166" s="149"/>
      <c r="E166" s="149"/>
      <c r="F166" s="149"/>
      <c r="G166" s="149"/>
      <c r="H166" s="149"/>
      <c r="I166" s="140" t="str">
        <f t="shared" si="87"/>
        <v/>
      </c>
      <c r="J166" s="141" t="str">
        <f t="shared" si="88"/>
        <v/>
      </c>
      <c r="K166" s="142"/>
      <c r="L166" s="142"/>
      <c r="M166" s="1708"/>
      <c r="N166" s="1708"/>
      <c r="O166" s="1708"/>
      <c r="P166" s="1708"/>
      <c r="Q166" s="1708"/>
      <c r="R166" s="1708"/>
      <c r="S166" s="1708"/>
      <c r="T166" s="1708"/>
      <c r="U166" s="1708"/>
      <c r="V166" s="1708"/>
      <c r="W166" s="1708"/>
      <c r="X166" s="1712"/>
      <c r="Y166" s="1712"/>
      <c r="Z166" s="1712"/>
      <c r="AA166" s="1712"/>
      <c r="AB166" s="1712"/>
      <c r="AC166" s="1712"/>
      <c r="AD166" s="1712"/>
      <c r="AE166" s="1712"/>
      <c r="AF166" s="1712"/>
      <c r="AG166" s="1712"/>
      <c r="AH166" s="1712"/>
      <c r="AI166" s="1712"/>
      <c r="AJ166" s="1712"/>
      <c r="AK166" s="1712"/>
      <c r="AL166" s="1712"/>
      <c r="AM166" s="1712"/>
      <c r="AN166" s="1712"/>
      <c r="AO166" s="1712"/>
      <c r="AP166" s="1712"/>
      <c r="AQ166" s="1712"/>
      <c r="AR166" s="1712"/>
      <c r="AS166" s="1712"/>
      <c r="AT166" s="1712"/>
      <c r="AU166" s="1712"/>
      <c r="AV166" s="1712"/>
      <c r="AW166" s="1712"/>
      <c r="AX166" s="1713"/>
      <c r="AY166" s="1714" t="str">
        <f t="shared" si="89"/>
        <v/>
      </c>
      <c r="AZ166" s="1714" t="str">
        <f>IF(Obj_PA!D166="","",IF(AY166="","",Obj_PA!D166-AY166))</f>
        <v/>
      </c>
      <c r="BA166" s="150"/>
      <c r="BB166" s="150"/>
      <c r="BC166" s="150"/>
      <c r="BD166" s="150"/>
      <c r="BE166" s="150"/>
      <c r="BF166" s="150"/>
      <c r="BG166" s="150"/>
      <c r="BH166" s="150"/>
      <c r="BI166" s="150"/>
      <c r="BJ166" s="150"/>
      <c r="BK166" s="155" t="str">
        <f t="shared" si="90"/>
        <v/>
      </c>
      <c r="BL166" s="155" t="str">
        <f t="shared" si="91"/>
        <v/>
      </c>
      <c r="BM166" s="155" t="str">
        <f t="shared" si="92"/>
        <v/>
      </c>
      <c r="BN166" s="155" t="str">
        <f t="shared" si="93"/>
        <v/>
      </c>
      <c r="BO166" s="155" t="str">
        <f t="shared" si="94"/>
        <v/>
      </c>
      <c r="BP166" s="155" t="str">
        <f t="shared" si="95"/>
        <v/>
      </c>
      <c r="BQ166" s="155" t="str">
        <f t="shared" si="96"/>
        <v/>
      </c>
      <c r="BR166" s="155" t="str">
        <f t="shared" si="97"/>
        <v/>
      </c>
      <c r="BS166" s="155" t="str">
        <f t="shared" si="98"/>
        <v/>
      </c>
      <c r="BT166" s="155" t="str">
        <f t="shared" si="99"/>
        <v/>
      </c>
      <c r="BU166" s="155" t="str">
        <f t="shared" si="100"/>
        <v/>
      </c>
      <c r="BV166" s="155" t="str">
        <f t="shared" si="101"/>
        <v/>
      </c>
      <c r="BW166" s="155" t="str">
        <f t="shared" si="102"/>
        <v/>
      </c>
      <c r="BX166" s="155" t="str">
        <f t="shared" si="103"/>
        <v/>
      </c>
      <c r="BY166" s="155" t="str">
        <f t="shared" si="104"/>
        <v/>
      </c>
      <c r="BZ166" s="155" t="str">
        <f t="shared" si="105"/>
        <v/>
      </c>
      <c r="CA166" s="155" t="str">
        <f t="shared" si="106"/>
        <v/>
      </c>
      <c r="CB166" s="155" t="str">
        <f t="shared" si="107"/>
        <v/>
      </c>
      <c r="CC166" s="155" t="str">
        <f t="shared" si="108"/>
        <v/>
      </c>
      <c r="CD166" s="155" t="str">
        <f t="shared" si="109"/>
        <v/>
      </c>
      <c r="CE166" s="155" t="str">
        <f t="shared" si="110"/>
        <v/>
      </c>
      <c r="CF166" s="155" t="str">
        <f t="shared" si="111"/>
        <v/>
      </c>
      <c r="CG166" s="155" t="str">
        <f t="shared" si="112"/>
        <v/>
      </c>
      <c r="CH166" s="155" t="str">
        <f t="shared" si="113"/>
        <v/>
      </c>
      <c r="CI166" s="155" t="str">
        <f t="shared" si="114"/>
        <v/>
      </c>
      <c r="CJ166" s="155" t="str">
        <f t="shared" si="115"/>
        <v/>
      </c>
      <c r="CK166" s="155" t="str">
        <f t="shared" si="116"/>
        <v/>
      </c>
      <c r="CL166" s="155" t="str">
        <f t="shared" si="117"/>
        <v/>
      </c>
      <c r="CM166" s="155" t="str">
        <f t="shared" si="118"/>
        <v/>
      </c>
      <c r="CN166" s="155" t="str">
        <f t="shared" si="119"/>
        <v/>
      </c>
      <c r="CO166" s="155" t="str">
        <f t="shared" si="120"/>
        <v/>
      </c>
      <c r="CP166" s="155" t="str">
        <f t="shared" si="121"/>
        <v/>
      </c>
      <c r="CQ166" s="155" t="str">
        <f t="shared" si="122"/>
        <v/>
      </c>
      <c r="CR166" s="155" t="str">
        <f t="shared" si="123"/>
        <v/>
      </c>
      <c r="CS166" s="155" t="str">
        <f t="shared" si="124"/>
        <v/>
      </c>
      <c r="CT166" s="155" t="str">
        <f t="shared" si="125"/>
        <v/>
      </c>
      <c r="CU166" s="155" t="str">
        <f t="shared" si="126"/>
        <v/>
      </c>
      <c r="CV166" s="155" t="str">
        <f t="shared" si="127"/>
        <v/>
      </c>
      <c r="CW166" s="155" t="str">
        <f t="shared" si="128"/>
        <v/>
      </c>
      <c r="CX166" s="155" t="str">
        <f t="shared" si="129"/>
        <v/>
      </c>
    </row>
    <row r="167" spans="1:126" ht="15" x14ac:dyDescent="0.2">
      <c r="A167" s="136" t="s">
        <v>4268</v>
      </c>
      <c r="B167" s="136" t="str">
        <f>Services!B167</f>
        <v>Production informatique (08 Exs)</v>
      </c>
      <c r="C167" s="166"/>
      <c r="D167" s="149"/>
      <c r="E167" s="149"/>
      <c r="F167" s="149"/>
      <c r="G167" s="149"/>
      <c r="H167" s="149"/>
      <c r="I167" s="140" t="str">
        <f t="shared" si="87"/>
        <v/>
      </c>
      <c r="J167" s="141" t="str">
        <f t="shared" si="88"/>
        <v/>
      </c>
      <c r="K167" s="142"/>
      <c r="L167" s="142"/>
      <c r="M167" s="1708"/>
      <c r="N167" s="1708"/>
      <c r="O167" s="1708"/>
      <c r="P167" s="1708"/>
      <c r="Q167" s="1708"/>
      <c r="R167" s="1708"/>
      <c r="S167" s="1708"/>
      <c r="T167" s="1708"/>
      <c r="U167" s="1708"/>
      <c r="V167" s="1708"/>
      <c r="W167" s="1708"/>
      <c r="X167" s="1709"/>
      <c r="Y167" s="1709"/>
      <c r="Z167" s="1709"/>
      <c r="AA167" s="1709"/>
      <c r="AB167" s="1709"/>
      <c r="AC167" s="1709"/>
      <c r="AD167" s="1709"/>
      <c r="AE167" s="1709"/>
      <c r="AF167" s="1709"/>
      <c r="AG167" s="1709"/>
      <c r="AH167" s="1709"/>
      <c r="AI167" s="1709"/>
      <c r="AJ167" s="1709"/>
      <c r="AK167" s="1709"/>
      <c r="AL167" s="1709"/>
      <c r="AM167" s="1709"/>
      <c r="AN167" s="1709"/>
      <c r="AO167" s="1709"/>
      <c r="AP167" s="1709"/>
      <c r="AQ167" s="1709"/>
      <c r="AR167" s="1709"/>
      <c r="AS167" s="1709"/>
      <c r="AT167" s="1709"/>
      <c r="AU167" s="1709"/>
      <c r="AV167" s="1709"/>
      <c r="AW167" s="1709"/>
      <c r="AX167" s="1710"/>
      <c r="AY167" s="1714" t="str">
        <f t="shared" si="89"/>
        <v/>
      </c>
      <c r="AZ167" s="1714" t="str">
        <f>IF(Obj_PA!D167="","",IF(AY167="","",Obj_PA!D167-AY167))</f>
        <v/>
      </c>
      <c r="BK167" s="155" t="str">
        <f t="shared" si="90"/>
        <v/>
      </c>
      <c r="BL167" s="155" t="str">
        <f t="shared" si="91"/>
        <v/>
      </c>
      <c r="BM167" s="155" t="str">
        <f t="shared" si="92"/>
        <v/>
      </c>
      <c r="BN167" s="155" t="str">
        <f t="shared" si="93"/>
        <v/>
      </c>
      <c r="BO167" s="155" t="str">
        <f t="shared" si="94"/>
        <v/>
      </c>
      <c r="BP167" s="155" t="str">
        <f t="shared" si="95"/>
        <v/>
      </c>
      <c r="BQ167" s="155" t="str">
        <f t="shared" si="96"/>
        <v/>
      </c>
      <c r="BR167" s="155" t="str">
        <f t="shared" si="97"/>
        <v/>
      </c>
      <c r="BS167" s="155" t="str">
        <f t="shared" si="98"/>
        <v/>
      </c>
      <c r="BT167" s="155" t="str">
        <f t="shared" si="99"/>
        <v/>
      </c>
      <c r="BU167" s="155" t="str">
        <f t="shared" si="100"/>
        <v/>
      </c>
      <c r="BV167" s="155" t="str">
        <f t="shared" si="101"/>
        <v/>
      </c>
      <c r="BW167" s="155" t="str">
        <f t="shared" si="102"/>
        <v/>
      </c>
      <c r="BX167" s="155" t="str">
        <f t="shared" si="103"/>
        <v/>
      </c>
      <c r="BY167" s="155" t="str">
        <f t="shared" si="104"/>
        <v/>
      </c>
      <c r="BZ167" s="155" t="str">
        <f t="shared" si="105"/>
        <v/>
      </c>
      <c r="CA167" s="155" t="str">
        <f t="shared" si="106"/>
        <v/>
      </c>
      <c r="CB167" s="155" t="str">
        <f t="shared" si="107"/>
        <v/>
      </c>
      <c r="CC167" s="155" t="str">
        <f t="shared" si="108"/>
        <v/>
      </c>
      <c r="CD167" s="155" t="str">
        <f t="shared" si="109"/>
        <v/>
      </c>
      <c r="CE167" s="155" t="str">
        <f t="shared" si="110"/>
        <v/>
      </c>
      <c r="CF167" s="155" t="str">
        <f t="shared" si="111"/>
        <v/>
      </c>
      <c r="CG167" s="155" t="str">
        <f t="shared" si="112"/>
        <v/>
      </c>
      <c r="CH167" s="155" t="str">
        <f t="shared" si="113"/>
        <v/>
      </c>
      <c r="CI167" s="155" t="str">
        <f t="shared" si="114"/>
        <v/>
      </c>
      <c r="CJ167" s="155" t="str">
        <f t="shared" si="115"/>
        <v/>
      </c>
      <c r="CK167" s="155" t="str">
        <f t="shared" si="116"/>
        <v/>
      </c>
      <c r="CL167" s="155" t="str">
        <f t="shared" si="117"/>
        <v/>
      </c>
      <c r="CM167" s="155" t="str">
        <f t="shared" si="118"/>
        <v/>
      </c>
      <c r="CN167" s="155" t="str">
        <f t="shared" si="119"/>
        <v/>
      </c>
      <c r="CO167" s="155" t="str">
        <f t="shared" si="120"/>
        <v/>
      </c>
      <c r="CP167" s="155" t="str">
        <f t="shared" si="121"/>
        <v/>
      </c>
      <c r="CQ167" s="155" t="str">
        <f t="shared" si="122"/>
        <v/>
      </c>
      <c r="CR167" s="155" t="str">
        <f t="shared" si="123"/>
        <v/>
      </c>
      <c r="CS167" s="155" t="str">
        <f t="shared" si="124"/>
        <v/>
      </c>
      <c r="CT167" s="155" t="str">
        <f t="shared" si="125"/>
        <v/>
      </c>
      <c r="CU167" s="155" t="str">
        <f t="shared" si="126"/>
        <v/>
      </c>
      <c r="CV167" s="155" t="str">
        <f t="shared" si="127"/>
        <v/>
      </c>
      <c r="CW167" s="155" t="str">
        <f t="shared" si="128"/>
        <v/>
      </c>
      <c r="CX167" s="155" t="str">
        <f t="shared" si="129"/>
        <v/>
      </c>
    </row>
    <row r="168" spans="1:126" s="151" customFormat="1" ht="14.25" outlineLevel="1" x14ac:dyDescent="0.2">
      <c r="A168" s="146"/>
      <c r="B168" s="147" t="str">
        <f>Services!B168</f>
        <v>08A</v>
      </c>
      <c r="C168" s="148" t="str">
        <f>Services!C168</f>
        <v>Sécurité des procédures d'exploitation</v>
      </c>
      <c r="D168" s="149"/>
      <c r="E168" s="149"/>
      <c r="F168" s="149"/>
      <c r="G168" s="149"/>
      <c r="H168" s="149"/>
      <c r="I168" s="140" t="str">
        <f t="shared" si="87"/>
        <v/>
      </c>
      <c r="J168" s="141" t="str">
        <f t="shared" si="88"/>
        <v/>
      </c>
      <c r="K168" s="142"/>
      <c r="L168" s="142"/>
      <c r="M168" s="1708"/>
      <c r="N168" s="1708"/>
      <c r="O168" s="1708"/>
      <c r="P168" s="1708"/>
      <c r="Q168" s="1708"/>
      <c r="R168" s="1708"/>
      <c r="S168" s="1708"/>
      <c r="T168" s="1708"/>
      <c r="U168" s="1708"/>
      <c r="V168" s="1708"/>
      <c r="W168" s="1708"/>
      <c r="X168" s="1712"/>
      <c r="Y168" s="1712"/>
      <c r="Z168" s="1712"/>
      <c r="AA168" s="1712"/>
      <c r="AB168" s="1712"/>
      <c r="AC168" s="1712"/>
      <c r="AD168" s="1712"/>
      <c r="AE168" s="1712"/>
      <c r="AF168" s="1712"/>
      <c r="AG168" s="1712"/>
      <c r="AH168" s="1712"/>
      <c r="AI168" s="1712"/>
      <c r="AJ168" s="1712"/>
      <c r="AK168" s="1712"/>
      <c r="AL168" s="1712"/>
      <c r="AM168" s="1712"/>
      <c r="AN168" s="1712"/>
      <c r="AO168" s="1712"/>
      <c r="AP168" s="1712"/>
      <c r="AQ168" s="1712"/>
      <c r="AR168" s="1712"/>
      <c r="AS168" s="1712"/>
      <c r="AT168" s="1712"/>
      <c r="AU168" s="1712"/>
      <c r="AV168" s="1712"/>
      <c r="AW168" s="1712"/>
      <c r="AX168" s="1713"/>
      <c r="AY168" s="1714" t="str">
        <f t="shared" si="89"/>
        <v/>
      </c>
      <c r="AZ168" s="1714" t="str">
        <f>IF(Obj_PA!D168="","",IF(AY168="","",Obj_PA!D168-AY168))</f>
        <v/>
      </c>
      <c r="BA168" s="150"/>
      <c r="BB168" s="150"/>
      <c r="BC168" s="150"/>
      <c r="BD168" s="150"/>
      <c r="BE168" s="150"/>
      <c r="BF168" s="150"/>
      <c r="BG168" s="150"/>
      <c r="BH168" s="150"/>
      <c r="BI168" s="150"/>
      <c r="BJ168" s="150"/>
      <c r="BK168" s="155" t="str">
        <f t="shared" si="90"/>
        <v/>
      </c>
      <c r="BL168" s="155" t="str">
        <f t="shared" si="91"/>
        <v/>
      </c>
      <c r="BM168" s="155" t="str">
        <f t="shared" si="92"/>
        <v/>
      </c>
      <c r="BN168" s="155" t="str">
        <f t="shared" si="93"/>
        <v/>
      </c>
      <c r="BO168" s="155" t="str">
        <f t="shared" si="94"/>
        <v/>
      </c>
      <c r="BP168" s="155" t="str">
        <f t="shared" si="95"/>
        <v/>
      </c>
      <c r="BQ168" s="155" t="str">
        <f t="shared" si="96"/>
        <v/>
      </c>
      <c r="BR168" s="155" t="str">
        <f t="shared" si="97"/>
        <v/>
      </c>
      <c r="BS168" s="155" t="str">
        <f t="shared" si="98"/>
        <v/>
      </c>
      <c r="BT168" s="155" t="str">
        <f t="shared" si="99"/>
        <v/>
      </c>
      <c r="BU168" s="155" t="str">
        <f t="shared" si="100"/>
        <v/>
      </c>
      <c r="BV168" s="155" t="str">
        <f t="shared" si="101"/>
        <v/>
      </c>
      <c r="BW168" s="155" t="str">
        <f t="shared" si="102"/>
        <v/>
      </c>
      <c r="BX168" s="155" t="str">
        <f t="shared" si="103"/>
        <v/>
      </c>
      <c r="BY168" s="155" t="str">
        <f t="shared" si="104"/>
        <v/>
      </c>
      <c r="BZ168" s="155" t="str">
        <f t="shared" si="105"/>
        <v/>
      </c>
      <c r="CA168" s="155" t="str">
        <f t="shared" si="106"/>
        <v/>
      </c>
      <c r="CB168" s="155" t="str">
        <f t="shared" si="107"/>
        <v/>
      </c>
      <c r="CC168" s="155" t="str">
        <f t="shared" si="108"/>
        <v/>
      </c>
      <c r="CD168" s="155" t="str">
        <f t="shared" si="109"/>
        <v/>
      </c>
      <c r="CE168" s="155" t="str">
        <f t="shared" si="110"/>
        <v/>
      </c>
      <c r="CF168" s="155" t="str">
        <f t="shared" si="111"/>
        <v/>
      </c>
      <c r="CG168" s="155" t="str">
        <f t="shared" si="112"/>
        <v/>
      </c>
      <c r="CH168" s="155" t="str">
        <f t="shared" si="113"/>
        <v/>
      </c>
      <c r="CI168" s="155" t="str">
        <f t="shared" si="114"/>
        <v/>
      </c>
      <c r="CJ168" s="155" t="str">
        <f t="shared" si="115"/>
        <v/>
      </c>
      <c r="CK168" s="155" t="str">
        <f t="shared" si="116"/>
        <v/>
      </c>
      <c r="CL168" s="155" t="str">
        <f t="shared" si="117"/>
        <v/>
      </c>
      <c r="CM168" s="155" t="str">
        <f t="shared" si="118"/>
        <v/>
      </c>
      <c r="CN168" s="155" t="str">
        <f t="shared" si="119"/>
        <v/>
      </c>
      <c r="CO168" s="155" t="str">
        <f t="shared" si="120"/>
        <v/>
      </c>
      <c r="CP168" s="155" t="str">
        <f t="shared" si="121"/>
        <v/>
      </c>
      <c r="CQ168" s="155" t="str">
        <f t="shared" si="122"/>
        <v/>
      </c>
      <c r="CR168" s="155" t="str">
        <f t="shared" si="123"/>
        <v/>
      </c>
      <c r="CS168" s="155" t="str">
        <f t="shared" si="124"/>
        <v/>
      </c>
      <c r="CT168" s="155" t="str">
        <f t="shared" si="125"/>
        <v/>
      </c>
      <c r="CU168" s="155" t="str">
        <f t="shared" si="126"/>
        <v/>
      </c>
      <c r="CV168" s="155" t="str">
        <f t="shared" si="127"/>
        <v/>
      </c>
      <c r="CW168" s="155" t="str">
        <f t="shared" si="128"/>
        <v/>
      </c>
      <c r="CX168" s="155" t="str">
        <f t="shared" si="129"/>
        <v/>
      </c>
    </row>
    <row r="169" spans="1:126" s="151" customFormat="1" ht="25.5" outlineLevel="1" x14ac:dyDescent="0.2">
      <c r="A169" s="156"/>
      <c r="B169" s="157" t="str">
        <f>Services!B169</f>
        <v>08A01</v>
      </c>
      <c r="C169" s="153" t="str">
        <f>Services!C169</f>
        <v>Prise en compte de la sécurité dans les relations avec le personnel d'exploitation (salariés et prestataires)</v>
      </c>
      <c r="D169" s="149"/>
      <c r="E169" s="149"/>
      <c r="F169" s="149"/>
      <c r="G169" s="149"/>
      <c r="H169" s="149"/>
      <c r="I169" s="140" t="str">
        <f t="shared" si="87"/>
        <v/>
      </c>
      <c r="J169" s="141" t="str">
        <f t="shared" si="88"/>
        <v/>
      </c>
      <c r="K169" s="142"/>
      <c r="L169" s="142"/>
      <c r="M169" s="1708"/>
      <c r="N169" s="1708"/>
      <c r="O169" s="1708"/>
      <c r="P169" s="1708"/>
      <c r="Q169" s="1708"/>
      <c r="R169" s="1708"/>
      <c r="S169" s="1708"/>
      <c r="T169" s="1708"/>
      <c r="U169" s="1708"/>
      <c r="V169" s="1708"/>
      <c r="W169" s="1708"/>
      <c r="X169" s="1712"/>
      <c r="Y169" s="1712"/>
      <c r="Z169" s="1712"/>
      <c r="AA169" s="1712"/>
      <c r="AB169" s="1712"/>
      <c r="AC169" s="1712"/>
      <c r="AD169" s="1712"/>
      <c r="AE169" s="1712"/>
      <c r="AF169" s="1712"/>
      <c r="AG169" s="1712"/>
      <c r="AH169" s="1712"/>
      <c r="AI169" s="1712"/>
      <c r="AJ169" s="1712"/>
      <c r="AK169" s="1712"/>
      <c r="AL169" s="1712"/>
      <c r="AM169" s="1712"/>
      <c r="AN169" s="1712"/>
      <c r="AO169" s="1712"/>
      <c r="AP169" s="1712"/>
      <c r="AQ169" s="1712"/>
      <c r="AR169" s="1712"/>
      <c r="AS169" s="1712"/>
      <c r="AT169" s="1712"/>
      <c r="AU169" s="1712"/>
      <c r="AV169" s="1712"/>
      <c r="AW169" s="1712"/>
      <c r="AX169" s="1713"/>
      <c r="AY169" s="1714" t="str">
        <f t="shared" si="89"/>
        <v/>
      </c>
      <c r="AZ169" s="1714" t="str">
        <f>IF(Obj_PA!D169="","",IF(AY169="","",Obj_PA!D169-AY169))</f>
        <v/>
      </c>
      <c r="BA169" s="150"/>
      <c r="BB169" s="150"/>
      <c r="BC169" s="150"/>
      <c r="BD169" s="150"/>
      <c r="BE169" s="150"/>
      <c r="BF169" s="150"/>
      <c r="BG169" s="150"/>
      <c r="BH169" s="150"/>
      <c r="BI169" s="150"/>
      <c r="BJ169" s="150"/>
      <c r="BK169" s="155" t="str">
        <f t="shared" si="90"/>
        <v/>
      </c>
      <c r="BL169" s="155" t="str">
        <f t="shared" si="91"/>
        <v/>
      </c>
      <c r="BM169" s="155" t="str">
        <f t="shared" si="92"/>
        <v/>
      </c>
      <c r="BN169" s="155" t="str">
        <f t="shared" si="93"/>
        <v/>
      </c>
      <c r="BO169" s="155" t="str">
        <f t="shared" si="94"/>
        <v/>
      </c>
      <c r="BP169" s="155" t="str">
        <f t="shared" si="95"/>
        <v/>
      </c>
      <c r="BQ169" s="155" t="str">
        <f t="shared" si="96"/>
        <v/>
      </c>
      <c r="BR169" s="155" t="str">
        <f t="shared" si="97"/>
        <v/>
      </c>
      <c r="BS169" s="155" t="str">
        <f t="shared" si="98"/>
        <v/>
      </c>
      <c r="BT169" s="155" t="str">
        <f t="shared" si="99"/>
        <v/>
      </c>
      <c r="BU169" s="155" t="str">
        <f t="shared" si="100"/>
        <v/>
      </c>
      <c r="BV169" s="155" t="str">
        <f t="shared" si="101"/>
        <v/>
      </c>
      <c r="BW169" s="155" t="str">
        <f t="shared" si="102"/>
        <v/>
      </c>
      <c r="BX169" s="155" t="str">
        <f t="shared" si="103"/>
        <v/>
      </c>
      <c r="BY169" s="155" t="str">
        <f t="shared" si="104"/>
        <v/>
      </c>
      <c r="BZ169" s="155" t="str">
        <f t="shared" si="105"/>
        <v/>
      </c>
      <c r="CA169" s="155" t="str">
        <f t="shared" si="106"/>
        <v/>
      </c>
      <c r="CB169" s="155" t="str">
        <f t="shared" si="107"/>
        <v/>
      </c>
      <c r="CC169" s="155" t="str">
        <f t="shared" si="108"/>
        <v/>
      </c>
      <c r="CD169" s="155" t="str">
        <f t="shared" si="109"/>
        <v/>
      </c>
      <c r="CE169" s="155" t="str">
        <f t="shared" si="110"/>
        <v/>
      </c>
      <c r="CF169" s="155" t="str">
        <f t="shared" si="111"/>
        <v/>
      </c>
      <c r="CG169" s="155" t="str">
        <f t="shared" si="112"/>
        <v/>
      </c>
      <c r="CH169" s="155" t="str">
        <f t="shared" si="113"/>
        <v/>
      </c>
      <c r="CI169" s="155" t="str">
        <f t="shared" si="114"/>
        <v/>
      </c>
      <c r="CJ169" s="155" t="str">
        <f t="shared" si="115"/>
        <v/>
      </c>
      <c r="CK169" s="155" t="str">
        <f t="shared" si="116"/>
        <v/>
      </c>
      <c r="CL169" s="155" t="str">
        <f t="shared" si="117"/>
        <v/>
      </c>
      <c r="CM169" s="155" t="str">
        <f t="shared" si="118"/>
        <v/>
      </c>
      <c r="CN169" s="155" t="str">
        <f t="shared" si="119"/>
        <v/>
      </c>
      <c r="CO169" s="155" t="str">
        <f t="shared" si="120"/>
        <v/>
      </c>
      <c r="CP169" s="155" t="str">
        <f t="shared" si="121"/>
        <v/>
      </c>
      <c r="CQ169" s="155" t="str">
        <f t="shared" si="122"/>
        <v/>
      </c>
      <c r="CR169" s="155" t="str">
        <f t="shared" si="123"/>
        <v/>
      </c>
      <c r="CS169" s="155" t="str">
        <f t="shared" si="124"/>
        <v/>
      </c>
      <c r="CT169" s="155" t="str">
        <f t="shared" si="125"/>
        <v/>
      </c>
      <c r="CU169" s="155" t="str">
        <f t="shared" si="126"/>
        <v/>
      </c>
      <c r="CV169" s="155" t="str">
        <f t="shared" si="127"/>
        <v/>
      </c>
      <c r="CW169" s="155" t="str">
        <f t="shared" si="128"/>
        <v/>
      </c>
      <c r="CX169" s="155" t="str">
        <f t="shared" si="129"/>
        <v/>
      </c>
    </row>
    <row r="170" spans="1:126" s="151" customFormat="1" ht="14.25" outlineLevel="1" x14ac:dyDescent="0.2">
      <c r="A170" s="156"/>
      <c r="B170" s="157" t="str">
        <f>Services!B170</f>
        <v>08A02</v>
      </c>
      <c r="C170" s="153" t="str">
        <f>Services!C170</f>
        <v>Contrôle des outils et utilitaires de l'exploitation</v>
      </c>
      <c r="D170" s="149"/>
      <c r="E170" s="149"/>
      <c r="F170" s="149"/>
      <c r="G170" s="149"/>
      <c r="H170" s="149"/>
      <c r="I170" s="140" t="str">
        <f t="shared" si="87"/>
        <v/>
      </c>
      <c r="J170" s="141" t="str">
        <f t="shared" si="88"/>
        <v/>
      </c>
      <c r="K170" s="142"/>
      <c r="L170" s="142"/>
      <c r="M170" s="1708"/>
      <c r="N170" s="1708"/>
      <c r="O170" s="1708"/>
      <c r="P170" s="1708"/>
      <c r="Q170" s="1708"/>
      <c r="R170" s="1708"/>
      <c r="S170" s="1708"/>
      <c r="T170" s="1708"/>
      <c r="U170" s="1708"/>
      <c r="V170" s="1708"/>
      <c r="W170" s="1708"/>
      <c r="X170" s="1712"/>
      <c r="Y170" s="1712"/>
      <c r="Z170" s="1712"/>
      <c r="AA170" s="1712"/>
      <c r="AB170" s="1712"/>
      <c r="AC170" s="1712"/>
      <c r="AD170" s="1712"/>
      <c r="AE170" s="1712"/>
      <c r="AF170" s="1712"/>
      <c r="AG170" s="1712"/>
      <c r="AH170" s="1712"/>
      <c r="AI170" s="1712"/>
      <c r="AJ170" s="1712"/>
      <c r="AK170" s="1712"/>
      <c r="AL170" s="1712"/>
      <c r="AM170" s="1712"/>
      <c r="AN170" s="1712"/>
      <c r="AO170" s="1712"/>
      <c r="AP170" s="1712"/>
      <c r="AQ170" s="1712"/>
      <c r="AR170" s="1712"/>
      <c r="AS170" s="1712"/>
      <c r="AT170" s="1712"/>
      <c r="AU170" s="1712"/>
      <c r="AV170" s="1712"/>
      <c r="AW170" s="1712"/>
      <c r="AX170" s="1713"/>
      <c r="AY170" s="1714" t="str">
        <f t="shared" si="89"/>
        <v/>
      </c>
      <c r="AZ170" s="1714" t="str">
        <f>IF(Obj_PA!D170="","",IF(AY170="","",Obj_PA!D170-AY170))</f>
        <v/>
      </c>
      <c r="BA170" s="150"/>
      <c r="BB170" s="150"/>
      <c r="BC170" s="150"/>
      <c r="BD170" s="150"/>
      <c r="BE170" s="150"/>
      <c r="BF170" s="150"/>
      <c r="BG170" s="150"/>
      <c r="BH170" s="150"/>
      <c r="BI170" s="150"/>
      <c r="BJ170" s="150"/>
      <c r="BK170" s="155" t="str">
        <f t="shared" si="90"/>
        <v/>
      </c>
      <c r="BL170" s="155" t="str">
        <f t="shared" si="91"/>
        <v/>
      </c>
      <c r="BM170" s="155" t="str">
        <f t="shared" si="92"/>
        <v/>
      </c>
      <c r="BN170" s="155" t="str">
        <f t="shared" si="93"/>
        <v/>
      </c>
      <c r="BO170" s="155" t="str">
        <f t="shared" si="94"/>
        <v/>
      </c>
      <c r="BP170" s="155" t="str">
        <f t="shared" si="95"/>
        <v/>
      </c>
      <c r="BQ170" s="155" t="str">
        <f t="shared" si="96"/>
        <v/>
      </c>
      <c r="BR170" s="155" t="str">
        <f t="shared" si="97"/>
        <v/>
      </c>
      <c r="BS170" s="155" t="str">
        <f t="shared" si="98"/>
        <v/>
      </c>
      <c r="BT170" s="155" t="str">
        <f t="shared" si="99"/>
        <v/>
      </c>
      <c r="BU170" s="155" t="str">
        <f t="shared" si="100"/>
        <v/>
      </c>
      <c r="BV170" s="155" t="str">
        <f t="shared" si="101"/>
        <v/>
      </c>
      <c r="BW170" s="155" t="str">
        <f t="shared" si="102"/>
        <v/>
      </c>
      <c r="BX170" s="155" t="str">
        <f t="shared" si="103"/>
        <v/>
      </c>
      <c r="BY170" s="155" t="str">
        <f t="shared" si="104"/>
        <v/>
      </c>
      <c r="BZ170" s="155" t="str">
        <f t="shared" si="105"/>
        <v/>
      </c>
      <c r="CA170" s="155" t="str">
        <f t="shared" si="106"/>
        <v/>
      </c>
      <c r="CB170" s="155" t="str">
        <f t="shared" si="107"/>
        <v/>
      </c>
      <c r="CC170" s="155" t="str">
        <f t="shared" si="108"/>
        <v/>
      </c>
      <c r="CD170" s="155" t="str">
        <f t="shared" si="109"/>
        <v/>
      </c>
      <c r="CE170" s="155" t="str">
        <f t="shared" si="110"/>
        <v/>
      </c>
      <c r="CF170" s="155" t="str">
        <f t="shared" si="111"/>
        <v/>
      </c>
      <c r="CG170" s="155" t="str">
        <f t="shared" si="112"/>
        <v/>
      </c>
      <c r="CH170" s="155" t="str">
        <f t="shared" si="113"/>
        <v/>
      </c>
      <c r="CI170" s="155" t="str">
        <f t="shared" si="114"/>
        <v/>
      </c>
      <c r="CJ170" s="155" t="str">
        <f t="shared" si="115"/>
        <v/>
      </c>
      <c r="CK170" s="155" t="str">
        <f t="shared" si="116"/>
        <v/>
      </c>
      <c r="CL170" s="155" t="str">
        <f t="shared" si="117"/>
        <v/>
      </c>
      <c r="CM170" s="155" t="str">
        <f t="shared" si="118"/>
        <v/>
      </c>
      <c r="CN170" s="155" t="str">
        <f t="shared" si="119"/>
        <v/>
      </c>
      <c r="CO170" s="155" t="str">
        <f t="shared" si="120"/>
        <v/>
      </c>
      <c r="CP170" s="155" t="str">
        <f t="shared" si="121"/>
        <v/>
      </c>
      <c r="CQ170" s="155" t="str">
        <f t="shared" si="122"/>
        <v/>
      </c>
      <c r="CR170" s="155" t="str">
        <f t="shared" si="123"/>
        <v/>
      </c>
      <c r="CS170" s="155" t="str">
        <f t="shared" si="124"/>
        <v/>
      </c>
      <c r="CT170" s="155" t="str">
        <f t="shared" si="125"/>
        <v/>
      </c>
      <c r="CU170" s="155" t="str">
        <f t="shared" si="126"/>
        <v/>
      </c>
      <c r="CV170" s="155" t="str">
        <f t="shared" si="127"/>
        <v/>
      </c>
      <c r="CW170" s="155" t="str">
        <f t="shared" si="128"/>
        <v/>
      </c>
      <c r="CX170" s="155" t="str">
        <f t="shared" si="129"/>
        <v/>
      </c>
      <c r="DV170" s="151">
        <f>IF(INDEX(Tab_actions,17,1)=1,INDEX(Tab_actions,17,10),0)</f>
        <v>0</v>
      </c>
    </row>
    <row r="171" spans="1:126" s="1673" customFormat="1" ht="27" customHeight="1" outlineLevel="1" x14ac:dyDescent="0.2">
      <c r="A171" s="1669"/>
      <c r="B171" s="152" t="str">
        <f>Services!B171</f>
        <v>08A03</v>
      </c>
      <c r="C171" s="153" t="str">
        <f>Services!C171</f>
        <v>Contrôle de la mise en production de nouveaux systèmes ou d'évolutions de systèmes existants</v>
      </c>
      <c r="D171" s="1670">
        <f>1*(8*Plans_action!E13+Plans_action!D13)+1*(8*Plans_action!E215+Plans_action!D215)+1*(8*Plans_action!E224+Plans_action!D224)+1*(8*Plans_action!E240+Plans_action!D240)+1*(8*Plans_action!E249+Plans_action!D249)</f>
        <v>0</v>
      </c>
      <c r="E171" s="1670">
        <f>2*(8*Plans_action!E5+Plans_action!D5)</f>
        <v>0</v>
      </c>
      <c r="F171" s="1670">
        <f>3*(8*Plans_action!E38+Plans_action!D38)</f>
        <v>0</v>
      </c>
      <c r="G171" s="1670">
        <f>4*(8*Plans_action!E33+Plans_action!D33)</f>
        <v>0</v>
      </c>
      <c r="H171" s="1670">
        <f>5*(8*Plans_action!E273+Plans_action!D273)+5*(8*Plans_action!E290+Plans_action!D290)</f>
        <v>0</v>
      </c>
      <c r="I171" s="140" t="str">
        <f t="shared" si="87"/>
        <v/>
      </c>
      <c r="J171" s="140" t="str">
        <f t="shared" si="88"/>
        <v/>
      </c>
      <c r="K171" s="1671"/>
      <c r="L171" s="1671"/>
      <c r="M171" s="1708"/>
      <c r="N171" s="1708"/>
      <c r="O171" s="1708"/>
      <c r="P171" s="1708"/>
      <c r="Q171" s="1708"/>
      <c r="R171" s="1708"/>
      <c r="S171" s="1708"/>
      <c r="T171" s="1708"/>
      <c r="U171" s="1708"/>
      <c r="V171" s="1708"/>
      <c r="W171" s="1708"/>
      <c r="X171" s="1715"/>
      <c r="Y171" s="1715"/>
      <c r="Z171" s="1715"/>
      <c r="AA171" s="1715"/>
      <c r="AB171" s="1715"/>
      <c r="AC171" s="1715"/>
      <c r="AD171" s="1715"/>
      <c r="AE171" s="1715"/>
      <c r="AF171" s="1715"/>
      <c r="AG171" s="1715"/>
      <c r="AH171" s="1715"/>
      <c r="AI171" s="1715"/>
      <c r="AJ171" s="1715"/>
      <c r="AK171" s="1715"/>
      <c r="AL171" s="1715"/>
      <c r="AM171" s="1715"/>
      <c r="AN171" s="1715"/>
      <c r="AO171" s="1715"/>
      <c r="AP171" s="1715"/>
      <c r="AQ171" s="1715"/>
      <c r="AR171" s="1715"/>
      <c r="AS171" s="1715"/>
      <c r="AT171" s="1715"/>
      <c r="AU171" s="1715"/>
      <c r="AV171" s="1715"/>
      <c r="AW171" s="1715"/>
      <c r="AX171" s="1716"/>
      <c r="AY171" s="1717" t="str">
        <f t="shared" si="89"/>
        <v/>
      </c>
      <c r="AZ171" s="1714" t="str">
        <f>IF(Obj_PA!D171="","",IF(AY171="","",Obj_PA!D171-AY171))</f>
        <v/>
      </c>
      <c r="BA171" s="1672"/>
      <c r="BB171" s="1672"/>
      <c r="BC171" s="1672"/>
      <c r="BD171" s="1672"/>
      <c r="BE171" s="1672"/>
      <c r="BF171" s="1672"/>
      <c r="BG171" s="1672"/>
      <c r="BH171" s="1672"/>
      <c r="BI171" s="1672"/>
      <c r="BJ171" s="1672"/>
      <c r="BK171" s="1663" t="str">
        <f t="shared" si="90"/>
        <v/>
      </c>
      <c r="BL171" s="1663" t="str">
        <f t="shared" si="91"/>
        <v/>
      </c>
      <c r="BM171" s="1663" t="str">
        <f t="shared" si="92"/>
        <v/>
      </c>
      <c r="BN171" s="1663" t="str">
        <f t="shared" si="93"/>
        <v/>
      </c>
      <c r="BO171" s="1663" t="str">
        <f t="shared" si="94"/>
        <v/>
      </c>
      <c r="BP171" s="1663" t="str">
        <f t="shared" si="95"/>
        <v/>
      </c>
      <c r="BQ171" s="1663" t="str">
        <f t="shared" si="96"/>
        <v/>
      </c>
      <c r="BR171" s="1663" t="str">
        <f t="shared" si="97"/>
        <v/>
      </c>
      <c r="BS171" s="1663" t="str">
        <f t="shared" si="98"/>
        <v/>
      </c>
      <c r="BT171" s="1663" t="str">
        <f t="shared" si="99"/>
        <v/>
      </c>
      <c r="BU171" s="1663" t="str">
        <f t="shared" si="100"/>
        <v/>
      </c>
      <c r="BV171" s="1663" t="str">
        <f t="shared" si="101"/>
        <v/>
      </c>
      <c r="BW171" s="1663" t="str">
        <f t="shared" si="102"/>
        <v/>
      </c>
      <c r="BX171" s="1663" t="str">
        <f t="shared" si="103"/>
        <v/>
      </c>
      <c r="BY171" s="1663" t="str">
        <f t="shared" si="104"/>
        <v/>
      </c>
      <c r="BZ171" s="1663" t="str">
        <f t="shared" si="105"/>
        <v/>
      </c>
      <c r="CA171" s="1663" t="str">
        <f t="shared" si="106"/>
        <v/>
      </c>
      <c r="CB171" s="1663" t="str">
        <f t="shared" si="107"/>
        <v/>
      </c>
      <c r="CC171" s="1663" t="str">
        <f t="shared" si="108"/>
        <v/>
      </c>
      <c r="CD171" s="1663" t="str">
        <f t="shared" si="109"/>
        <v/>
      </c>
      <c r="CE171" s="1663" t="str">
        <f t="shared" si="110"/>
        <v/>
      </c>
      <c r="CF171" s="1663" t="str">
        <f t="shared" si="111"/>
        <v/>
      </c>
      <c r="CG171" s="1663" t="str">
        <f t="shared" si="112"/>
        <v/>
      </c>
      <c r="CH171" s="1663" t="str">
        <f t="shared" si="113"/>
        <v/>
      </c>
      <c r="CI171" s="1663" t="str">
        <f t="shared" si="114"/>
        <v/>
      </c>
      <c r="CJ171" s="1663" t="str">
        <f t="shared" si="115"/>
        <v/>
      </c>
      <c r="CK171" s="1663" t="str">
        <f t="shared" si="116"/>
        <v/>
      </c>
      <c r="CL171" s="1663" t="str">
        <f t="shared" si="117"/>
        <v/>
      </c>
      <c r="CM171" s="1663" t="str">
        <f t="shared" si="118"/>
        <v/>
      </c>
      <c r="CN171" s="1663" t="str">
        <f t="shared" si="119"/>
        <v/>
      </c>
      <c r="CO171" s="1663" t="str">
        <f t="shared" si="120"/>
        <v/>
      </c>
      <c r="CP171" s="1663" t="str">
        <f t="shared" si="121"/>
        <v/>
      </c>
      <c r="CQ171" s="1663" t="str">
        <f t="shared" si="122"/>
        <v/>
      </c>
      <c r="CR171" s="1663" t="str">
        <f t="shared" si="123"/>
        <v/>
      </c>
      <c r="CS171" s="1663" t="str">
        <f t="shared" si="124"/>
        <v/>
      </c>
      <c r="CT171" s="1663" t="str">
        <f t="shared" si="125"/>
        <v/>
      </c>
      <c r="CU171" s="1663" t="str">
        <f t="shared" si="126"/>
        <v/>
      </c>
      <c r="CV171" s="1663" t="str">
        <f t="shared" si="127"/>
        <v/>
      </c>
      <c r="CW171" s="1663" t="str">
        <f t="shared" si="128"/>
        <v/>
      </c>
      <c r="CX171" s="1663" t="str">
        <f t="shared" si="129"/>
        <v/>
      </c>
      <c r="DV171" s="1673">
        <f>IF(INDEX(Tab_actions,70,1)=1,INDEX(Tab_actions,70,8),0)</f>
        <v>0</v>
      </c>
    </row>
    <row r="172" spans="1:126" s="151" customFormat="1" ht="14.25" outlineLevel="1" x14ac:dyDescent="0.2">
      <c r="A172" s="146"/>
      <c r="B172" s="157" t="str">
        <f>Services!B172</f>
        <v>08A04</v>
      </c>
      <c r="C172" s="153" t="str">
        <f>Services!C172</f>
        <v xml:space="preserve">Contrôle des opérations de maintenance </v>
      </c>
      <c r="D172" s="149"/>
      <c r="E172" s="149">
        <f>2*(8*Plans_action!E279+Plans_action!D279)+2*(8*Plans_action!E285+Plans_action!D285)</f>
        <v>0</v>
      </c>
      <c r="F172" s="149"/>
      <c r="G172" s="149"/>
      <c r="H172" s="149">
        <f>5*(8*Plans_action!E273+Plans_action!D273)+5*(8*Plans_action!E290+Plans_action!D290)</f>
        <v>0</v>
      </c>
      <c r="I172" s="140" t="str">
        <f t="shared" si="87"/>
        <v/>
      </c>
      <c r="J172" s="141" t="str">
        <f t="shared" si="88"/>
        <v/>
      </c>
      <c r="K172" s="142"/>
      <c r="L172" s="142"/>
      <c r="M172" s="1708"/>
      <c r="N172" s="1708"/>
      <c r="O172" s="1708"/>
      <c r="P172" s="1708"/>
      <c r="Q172" s="1708"/>
      <c r="R172" s="1708"/>
      <c r="S172" s="1708"/>
      <c r="T172" s="1708"/>
      <c r="U172" s="1708"/>
      <c r="V172" s="1708"/>
      <c r="W172" s="1708"/>
      <c r="X172" s="1712"/>
      <c r="Y172" s="1712"/>
      <c r="Z172" s="1712"/>
      <c r="AA172" s="1712"/>
      <c r="AB172" s="1712"/>
      <c r="AC172" s="1712"/>
      <c r="AD172" s="1712"/>
      <c r="AE172" s="1712"/>
      <c r="AF172" s="1712"/>
      <c r="AG172" s="1712"/>
      <c r="AH172" s="1712"/>
      <c r="AI172" s="1712"/>
      <c r="AJ172" s="1712"/>
      <c r="AK172" s="1712"/>
      <c r="AL172" s="1712"/>
      <c r="AM172" s="1712"/>
      <c r="AN172" s="1712"/>
      <c r="AO172" s="1712"/>
      <c r="AP172" s="1712"/>
      <c r="AQ172" s="1712"/>
      <c r="AR172" s="1712"/>
      <c r="AS172" s="1712"/>
      <c r="AT172" s="1712"/>
      <c r="AU172" s="1712"/>
      <c r="AV172" s="1712"/>
      <c r="AW172" s="1712"/>
      <c r="AX172" s="1713"/>
      <c r="AY172" s="1714" t="str">
        <f t="shared" si="89"/>
        <v/>
      </c>
      <c r="AZ172" s="1714" t="str">
        <f>IF(Obj_PA!D172="","",IF(AY172="","",Obj_PA!D172-AY172))</f>
        <v/>
      </c>
      <c r="BA172" s="150"/>
      <c r="BB172" s="150"/>
      <c r="BC172" s="150"/>
      <c r="BD172" s="150"/>
      <c r="BE172" s="150"/>
      <c r="BF172" s="150"/>
      <c r="BG172" s="150"/>
      <c r="BH172" s="150"/>
      <c r="BI172" s="150"/>
      <c r="BJ172" s="150"/>
      <c r="BK172" s="155" t="str">
        <f t="shared" si="90"/>
        <v/>
      </c>
      <c r="BL172" s="155" t="str">
        <f t="shared" si="91"/>
        <v/>
      </c>
      <c r="BM172" s="155" t="str">
        <f t="shared" si="92"/>
        <v/>
      </c>
      <c r="BN172" s="155" t="str">
        <f t="shared" si="93"/>
        <v/>
      </c>
      <c r="BO172" s="155" t="str">
        <f t="shared" si="94"/>
        <v/>
      </c>
      <c r="BP172" s="155" t="str">
        <f t="shared" si="95"/>
        <v/>
      </c>
      <c r="BQ172" s="155" t="str">
        <f t="shared" si="96"/>
        <v/>
      </c>
      <c r="BR172" s="155" t="str">
        <f t="shared" si="97"/>
        <v/>
      </c>
      <c r="BS172" s="155" t="str">
        <f t="shared" si="98"/>
        <v/>
      </c>
      <c r="BT172" s="155" t="str">
        <f t="shared" si="99"/>
        <v/>
      </c>
      <c r="BU172" s="155" t="str">
        <f t="shared" si="100"/>
        <v/>
      </c>
      <c r="BV172" s="155" t="str">
        <f t="shared" si="101"/>
        <v/>
      </c>
      <c r="BW172" s="155" t="str">
        <f t="shared" si="102"/>
        <v/>
      </c>
      <c r="BX172" s="155" t="str">
        <f t="shared" si="103"/>
        <v/>
      </c>
      <c r="BY172" s="155" t="str">
        <f t="shared" si="104"/>
        <v/>
      </c>
      <c r="BZ172" s="155" t="str">
        <f t="shared" si="105"/>
        <v/>
      </c>
      <c r="CA172" s="155" t="str">
        <f t="shared" si="106"/>
        <v/>
      </c>
      <c r="CB172" s="155" t="str">
        <f t="shared" si="107"/>
        <v/>
      </c>
      <c r="CC172" s="155" t="str">
        <f t="shared" si="108"/>
        <v/>
      </c>
      <c r="CD172" s="155" t="str">
        <f t="shared" si="109"/>
        <v/>
      </c>
      <c r="CE172" s="155" t="str">
        <f t="shared" si="110"/>
        <v/>
      </c>
      <c r="CF172" s="155" t="str">
        <f t="shared" si="111"/>
        <v/>
      </c>
      <c r="CG172" s="155" t="str">
        <f t="shared" si="112"/>
        <v/>
      </c>
      <c r="CH172" s="155" t="str">
        <f t="shared" si="113"/>
        <v/>
      </c>
      <c r="CI172" s="155" t="str">
        <f t="shared" si="114"/>
        <v/>
      </c>
      <c r="CJ172" s="155" t="str">
        <f t="shared" si="115"/>
        <v/>
      </c>
      <c r="CK172" s="155" t="str">
        <f t="shared" si="116"/>
        <v/>
      </c>
      <c r="CL172" s="155" t="str">
        <f t="shared" si="117"/>
        <v/>
      </c>
      <c r="CM172" s="155" t="str">
        <f t="shared" si="118"/>
        <v/>
      </c>
      <c r="CN172" s="155" t="str">
        <f t="shared" si="119"/>
        <v/>
      </c>
      <c r="CO172" s="155" t="str">
        <f t="shared" si="120"/>
        <v/>
      </c>
      <c r="CP172" s="155" t="str">
        <f t="shared" si="121"/>
        <v/>
      </c>
      <c r="CQ172" s="155" t="str">
        <f t="shared" si="122"/>
        <v/>
      </c>
      <c r="CR172" s="155" t="str">
        <f t="shared" si="123"/>
        <v/>
      </c>
      <c r="CS172" s="155" t="str">
        <f t="shared" si="124"/>
        <v/>
      </c>
      <c r="CT172" s="155" t="str">
        <f t="shared" si="125"/>
        <v/>
      </c>
      <c r="CU172" s="155" t="str">
        <f t="shared" si="126"/>
        <v/>
      </c>
      <c r="CV172" s="155" t="str">
        <f t="shared" si="127"/>
        <v/>
      </c>
      <c r="CW172" s="155" t="str">
        <f t="shared" si="128"/>
        <v/>
      </c>
      <c r="CX172" s="155" t="str">
        <f t="shared" si="129"/>
        <v/>
      </c>
    </row>
    <row r="173" spans="1:126" s="151" customFormat="1" ht="25.5" outlineLevel="1" x14ac:dyDescent="0.2">
      <c r="A173" s="146"/>
      <c r="B173" s="157" t="str">
        <f>Services!B173</f>
        <v>08A05</v>
      </c>
      <c r="C173" s="153" t="str">
        <f>Services!C173</f>
        <v>Prise en compte de la confidentialité lors des opérations de maintenance sur les systèmes en production</v>
      </c>
      <c r="D173" s="149"/>
      <c r="E173" s="149">
        <f>2*(8*Plans_action!E122+Plans_action!D122)</f>
        <v>0</v>
      </c>
      <c r="F173" s="149"/>
      <c r="G173" s="149"/>
      <c r="H173" s="149"/>
      <c r="I173" s="140" t="str">
        <f t="shared" si="87"/>
        <v/>
      </c>
      <c r="J173" s="141" t="str">
        <f t="shared" si="88"/>
        <v/>
      </c>
      <c r="K173" s="142"/>
      <c r="L173" s="142"/>
      <c r="M173" s="1708"/>
      <c r="N173" s="1708"/>
      <c r="O173" s="1708"/>
      <c r="P173" s="1708"/>
      <c r="Q173" s="1708"/>
      <c r="R173" s="1708"/>
      <c r="S173" s="1708"/>
      <c r="T173" s="1708"/>
      <c r="U173" s="1708"/>
      <c r="V173" s="1708"/>
      <c r="W173" s="1708"/>
      <c r="X173" s="1712"/>
      <c r="Y173" s="1712"/>
      <c r="Z173" s="1712"/>
      <c r="AA173" s="1712"/>
      <c r="AB173" s="1712"/>
      <c r="AC173" s="1712"/>
      <c r="AD173" s="1712"/>
      <c r="AE173" s="1712"/>
      <c r="AF173" s="1712"/>
      <c r="AG173" s="1712"/>
      <c r="AH173" s="1712"/>
      <c r="AI173" s="1712"/>
      <c r="AJ173" s="1712"/>
      <c r="AK173" s="1712"/>
      <c r="AL173" s="1712"/>
      <c r="AM173" s="1712"/>
      <c r="AN173" s="1712"/>
      <c r="AO173" s="1712"/>
      <c r="AP173" s="1712"/>
      <c r="AQ173" s="1712"/>
      <c r="AR173" s="1712"/>
      <c r="AS173" s="1712"/>
      <c r="AT173" s="1712"/>
      <c r="AU173" s="1712"/>
      <c r="AV173" s="1712"/>
      <c r="AW173" s="1712"/>
      <c r="AX173" s="1713"/>
      <c r="AY173" s="1714" t="str">
        <f t="shared" si="89"/>
        <v/>
      </c>
      <c r="AZ173" s="1714" t="str">
        <f>IF(Obj_PA!D173="","",IF(AY173="","",Obj_PA!D173-AY173))</f>
        <v/>
      </c>
      <c r="BA173" s="150"/>
      <c r="BB173" s="150"/>
      <c r="BC173" s="150"/>
      <c r="BD173" s="150"/>
      <c r="BE173" s="150"/>
      <c r="BF173" s="150"/>
      <c r="BG173" s="150"/>
      <c r="BH173" s="150"/>
      <c r="BI173" s="150"/>
      <c r="BJ173" s="150"/>
      <c r="BK173" s="155" t="str">
        <f t="shared" si="90"/>
        <v/>
      </c>
      <c r="BL173" s="155" t="str">
        <f t="shared" si="91"/>
        <v/>
      </c>
      <c r="BM173" s="155" t="str">
        <f t="shared" si="92"/>
        <v/>
      </c>
      <c r="BN173" s="155" t="str">
        <f t="shared" si="93"/>
        <v/>
      </c>
      <c r="BO173" s="155" t="str">
        <f t="shared" si="94"/>
        <v/>
      </c>
      <c r="BP173" s="155" t="str">
        <f t="shared" si="95"/>
        <v/>
      </c>
      <c r="BQ173" s="155" t="str">
        <f t="shared" si="96"/>
        <v/>
      </c>
      <c r="BR173" s="155" t="str">
        <f t="shared" si="97"/>
        <v/>
      </c>
      <c r="BS173" s="155" t="str">
        <f t="shared" si="98"/>
        <v/>
      </c>
      <c r="BT173" s="155" t="str">
        <f t="shared" si="99"/>
        <v/>
      </c>
      <c r="BU173" s="155" t="str">
        <f t="shared" si="100"/>
        <v/>
      </c>
      <c r="BV173" s="155" t="str">
        <f t="shared" si="101"/>
        <v/>
      </c>
      <c r="BW173" s="155" t="str">
        <f t="shared" si="102"/>
        <v/>
      </c>
      <c r="BX173" s="155" t="str">
        <f t="shared" si="103"/>
        <v/>
      </c>
      <c r="BY173" s="155" t="str">
        <f t="shared" si="104"/>
        <v/>
      </c>
      <c r="BZ173" s="155" t="str">
        <f t="shared" si="105"/>
        <v/>
      </c>
      <c r="CA173" s="155" t="str">
        <f t="shared" si="106"/>
        <v/>
      </c>
      <c r="CB173" s="155" t="str">
        <f t="shared" si="107"/>
        <v/>
      </c>
      <c r="CC173" s="155" t="str">
        <f t="shared" si="108"/>
        <v/>
      </c>
      <c r="CD173" s="155" t="str">
        <f t="shared" si="109"/>
        <v/>
      </c>
      <c r="CE173" s="155" t="str">
        <f t="shared" si="110"/>
        <v/>
      </c>
      <c r="CF173" s="155" t="str">
        <f t="shared" si="111"/>
        <v/>
      </c>
      <c r="CG173" s="155" t="str">
        <f t="shared" si="112"/>
        <v/>
      </c>
      <c r="CH173" s="155" t="str">
        <f t="shared" si="113"/>
        <v/>
      </c>
      <c r="CI173" s="155" t="str">
        <f t="shared" si="114"/>
        <v/>
      </c>
      <c r="CJ173" s="155" t="str">
        <f t="shared" si="115"/>
        <v/>
      </c>
      <c r="CK173" s="155" t="str">
        <f t="shared" si="116"/>
        <v/>
      </c>
      <c r="CL173" s="155" t="str">
        <f t="shared" si="117"/>
        <v/>
      </c>
      <c r="CM173" s="155" t="str">
        <f t="shared" si="118"/>
        <v/>
      </c>
      <c r="CN173" s="155" t="str">
        <f t="shared" si="119"/>
        <v/>
      </c>
      <c r="CO173" s="155" t="str">
        <f t="shared" si="120"/>
        <v/>
      </c>
      <c r="CP173" s="155" t="str">
        <f t="shared" si="121"/>
        <v/>
      </c>
      <c r="CQ173" s="155" t="str">
        <f t="shared" si="122"/>
        <v/>
      </c>
      <c r="CR173" s="155" t="str">
        <f t="shared" si="123"/>
        <v/>
      </c>
      <c r="CS173" s="155" t="str">
        <f t="shared" si="124"/>
        <v/>
      </c>
      <c r="CT173" s="155" t="str">
        <f t="shared" si="125"/>
        <v/>
      </c>
      <c r="CU173" s="155" t="str">
        <f t="shared" si="126"/>
        <v/>
      </c>
      <c r="CV173" s="155" t="str">
        <f t="shared" si="127"/>
        <v/>
      </c>
      <c r="CW173" s="155" t="str">
        <f t="shared" si="128"/>
        <v/>
      </c>
      <c r="CX173" s="155" t="str">
        <f t="shared" si="129"/>
        <v/>
      </c>
      <c r="DV173" s="151">
        <f>IF(INDEX(Tab_actions,17,1)=1,INDEX(Tab_actions,17,12),0)</f>
        <v>0</v>
      </c>
    </row>
    <row r="174" spans="1:126" s="151" customFormat="1" ht="14.25" outlineLevel="1" x14ac:dyDescent="0.2">
      <c r="A174" s="146"/>
      <c r="B174" s="157" t="str">
        <f>Services!B174</f>
        <v>08A06</v>
      </c>
      <c r="C174" s="153" t="str">
        <f>Services!C174</f>
        <v xml:space="preserve">Contrôle de la télémaintenance </v>
      </c>
      <c r="D174" s="149"/>
      <c r="E174" s="149">
        <f>2*(8*Plans_action!E5+Plans_action!D5)+2*(8*Plans_action!E63+Plans_action!D63)+2*(8*Plans_action!E122+Plans_action!D122)</f>
        <v>0</v>
      </c>
      <c r="F174" s="149"/>
      <c r="G174" s="149"/>
      <c r="H174" s="149"/>
      <c r="I174" s="140" t="str">
        <f t="shared" si="87"/>
        <v/>
      </c>
      <c r="J174" s="141" t="str">
        <f t="shared" si="88"/>
        <v/>
      </c>
      <c r="K174" s="142"/>
      <c r="L174" s="142"/>
      <c r="M174" s="1708"/>
      <c r="N174" s="1708"/>
      <c r="O174" s="1708"/>
      <c r="P174" s="1708"/>
      <c r="Q174" s="1708"/>
      <c r="R174" s="1708"/>
      <c r="S174" s="1708"/>
      <c r="T174" s="1708"/>
      <c r="U174" s="1708"/>
      <c r="V174" s="1708"/>
      <c r="W174" s="1708"/>
      <c r="X174" s="1712"/>
      <c r="Y174" s="1712"/>
      <c r="Z174" s="1712"/>
      <c r="AA174" s="1712"/>
      <c r="AB174" s="1712"/>
      <c r="AC174" s="1712"/>
      <c r="AD174" s="1712"/>
      <c r="AE174" s="1712"/>
      <c r="AF174" s="1712"/>
      <c r="AG174" s="1712"/>
      <c r="AH174" s="1712"/>
      <c r="AI174" s="1712"/>
      <c r="AJ174" s="1712"/>
      <c r="AK174" s="1712"/>
      <c r="AL174" s="1712"/>
      <c r="AM174" s="1712"/>
      <c r="AN174" s="1712"/>
      <c r="AO174" s="1712"/>
      <c r="AP174" s="1712"/>
      <c r="AQ174" s="1712"/>
      <c r="AR174" s="1712"/>
      <c r="AS174" s="1712"/>
      <c r="AT174" s="1712"/>
      <c r="AU174" s="1712"/>
      <c r="AV174" s="1712"/>
      <c r="AW174" s="1712"/>
      <c r="AX174" s="1713"/>
      <c r="AY174" s="1714" t="str">
        <f t="shared" si="89"/>
        <v/>
      </c>
      <c r="AZ174" s="1714" t="str">
        <f>IF(Obj_PA!D174="","",IF(AY174="","",Obj_PA!D174-AY174))</f>
        <v/>
      </c>
      <c r="BA174" s="150"/>
      <c r="BB174" s="150"/>
      <c r="BC174" s="150"/>
      <c r="BD174" s="150"/>
      <c r="BE174" s="150"/>
      <c r="BF174" s="150"/>
      <c r="BG174" s="150"/>
      <c r="BH174" s="150"/>
      <c r="BI174" s="150"/>
      <c r="BJ174" s="150"/>
      <c r="BK174" s="155" t="str">
        <f t="shared" si="90"/>
        <v/>
      </c>
      <c r="BL174" s="155" t="str">
        <f t="shared" si="91"/>
        <v/>
      </c>
      <c r="BM174" s="155" t="str">
        <f t="shared" si="92"/>
        <v/>
      </c>
      <c r="BN174" s="155" t="str">
        <f t="shared" si="93"/>
        <v/>
      </c>
      <c r="BO174" s="155" t="str">
        <f t="shared" si="94"/>
        <v/>
      </c>
      <c r="BP174" s="155" t="str">
        <f t="shared" si="95"/>
        <v/>
      </c>
      <c r="BQ174" s="155" t="str">
        <f t="shared" si="96"/>
        <v/>
      </c>
      <c r="BR174" s="155" t="str">
        <f t="shared" si="97"/>
        <v/>
      </c>
      <c r="BS174" s="155" t="str">
        <f t="shared" si="98"/>
        <v/>
      </c>
      <c r="BT174" s="155" t="str">
        <f t="shared" si="99"/>
        <v/>
      </c>
      <c r="BU174" s="155" t="str">
        <f t="shared" si="100"/>
        <v/>
      </c>
      <c r="BV174" s="155" t="str">
        <f t="shared" si="101"/>
        <v/>
      </c>
      <c r="BW174" s="155" t="str">
        <f t="shared" si="102"/>
        <v/>
      </c>
      <c r="BX174" s="155" t="str">
        <f t="shared" si="103"/>
        <v/>
      </c>
      <c r="BY174" s="155" t="str">
        <f t="shared" si="104"/>
        <v/>
      </c>
      <c r="BZ174" s="155" t="str">
        <f t="shared" si="105"/>
        <v/>
      </c>
      <c r="CA174" s="155" t="str">
        <f t="shared" si="106"/>
        <v/>
      </c>
      <c r="CB174" s="155" t="str">
        <f t="shared" si="107"/>
        <v/>
      </c>
      <c r="CC174" s="155" t="str">
        <f t="shared" si="108"/>
        <v/>
      </c>
      <c r="CD174" s="155" t="str">
        <f t="shared" si="109"/>
        <v/>
      </c>
      <c r="CE174" s="155" t="str">
        <f t="shared" si="110"/>
        <v/>
      </c>
      <c r="CF174" s="155" t="str">
        <f t="shared" si="111"/>
        <v/>
      </c>
      <c r="CG174" s="155" t="str">
        <f t="shared" si="112"/>
        <v/>
      </c>
      <c r="CH174" s="155" t="str">
        <f t="shared" si="113"/>
        <v/>
      </c>
      <c r="CI174" s="155" t="str">
        <f t="shared" si="114"/>
        <v/>
      </c>
      <c r="CJ174" s="155" t="str">
        <f t="shared" si="115"/>
        <v/>
      </c>
      <c r="CK174" s="155" t="str">
        <f t="shared" si="116"/>
        <v/>
      </c>
      <c r="CL174" s="155" t="str">
        <f t="shared" si="117"/>
        <v/>
      </c>
      <c r="CM174" s="155" t="str">
        <f t="shared" si="118"/>
        <v/>
      </c>
      <c r="CN174" s="155" t="str">
        <f t="shared" si="119"/>
        <v/>
      </c>
      <c r="CO174" s="155" t="str">
        <f t="shared" si="120"/>
        <v/>
      </c>
      <c r="CP174" s="155" t="str">
        <f t="shared" si="121"/>
        <v/>
      </c>
      <c r="CQ174" s="155" t="str">
        <f t="shared" si="122"/>
        <v/>
      </c>
      <c r="CR174" s="155" t="str">
        <f t="shared" si="123"/>
        <v/>
      </c>
      <c r="CS174" s="155" t="str">
        <f t="shared" si="124"/>
        <v/>
      </c>
      <c r="CT174" s="155" t="str">
        <f t="shared" si="125"/>
        <v/>
      </c>
      <c r="CU174" s="155" t="str">
        <f t="shared" si="126"/>
        <v/>
      </c>
      <c r="CV174" s="155" t="str">
        <f t="shared" si="127"/>
        <v/>
      </c>
      <c r="CW174" s="155" t="str">
        <f t="shared" si="128"/>
        <v/>
      </c>
      <c r="CX174" s="155" t="str">
        <f t="shared" si="129"/>
        <v/>
      </c>
    </row>
    <row r="175" spans="1:126" s="151" customFormat="1" ht="14.25" outlineLevel="1" x14ac:dyDescent="0.2">
      <c r="A175" s="146"/>
      <c r="B175" s="157" t="str">
        <f>Services!B175</f>
        <v>08A07</v>
      </c>
      <c r="C175" s="153" t="str">
        <f>Services!C175</f>
        <v>Protection des états et rapports imprimés sensibles</v>
      </c>
      <c r="D175" s="149"/>
      <c r="E175" s="149"/>
      <c r="F175" s="149"/>
      <c r="G175" s="149"/>
      <c r="H175" s="149">
        <f>5*(8*Plans_action!E153+Plans_action!D153)</f>
        <v>0</v>
      </c>
      <c r="I175" s="140" t="str">
        <f t="shared" si="87"/>
        <v/>
      </c>
      <c r="J175" s="141" t="str">
        <f t="shared" si="88"/>
        <v/>
      </c>
      <c r="K175" s="142"/>
      <c r="L175" s="142"/>
      <c r="M175" s="1708"/>
      <c r="N175" s="1708"/>
      <c r="O175" s="1708"/>
      <c r="P175" s="1708"/>
      <c r="Q175" s="1708"/>
      <c r="R175" s="1708"/>
      <c r="S175" s="1708"/>
      <c r="T175" s="1708"/>
      <c r="U175" s="1708"/>
      <c r="V175" s="1708"/>
      <c r="W175" s="1708"/>
      <c r="X175" s="1712"/>
      <c r="Y175" s="1712"/>
      <c r="Z175" s="1712"/>
      <c r="AA175" s="1712"/>
      <c r="AB175" s="1712"/>
      <c r="AC175" s="1712"/>
      <c r="AD175" s="1712"/>
      <c r="AE175" s="1712"/>
      <c r="AF175" s="1712"/>
      <c r="AG175" s="1712"/>
      <c r="AH175" s="1712"/>
      <c r="AI175" s="1712"/>
      <c r="AJ175" s="1712"/>
      <c r="AK175" s="1712"/>
      <c r="AL175" s="1712"/>
      <c r="AM175" s="1712"/>
      <c r="AN175" s="1712"/>
      <c r="AO175" s="1712"/>
      <c r="AP175" s="1712"/>
      <c r="AQ175" s="1712"/>
      <c r="AR175" s="1712"/>
      <c r="AS175" s="1712"/>
      <c r="AT175" s="1712"/>
      <c r="AU175" s="1712"/>
      <c r="AV175" s="1712"/>
      <c r="AW175" s="1712"/>
      <c r="AX175" s="1713"/>
      <c r="AY175" s="1714" t="str">
        <f t="shared" si="89"/>
        <v/>
      </c>
      <c r="AZ175" s="1714" t="str">
        <f>IF(Obj_PA!D175="","",IF(AY175="","",Obj_PA!D175-AY175))</f>
        <v/>
      </c>
      <c r="BA175" s="150"/>
      <c r="BB175" s="150"/>
      <c r="BC175" s="150"/>
      <c r="BD175" s="150"/>
      <c r="BE175" s="150"/>
      <c r="BF175" s="150"/>
      <c r="BG175" s="150"/>
      <c r="BH175" s="150"/>
      <c r="BI175" s="150"/>
      <c r="BJ175" s="150"/>
      <c r="BK175" s="155" t="str">
        <f t="shared" si="90"/>
        <v/>
      </c>
      <c r="BL175" s="155" t="str">
        <f t="shared" si="91"/>
        <v/>
      </c>
      <c r="BM175" s="155" t="str">
        <f t="shared" si="92"/>
        <v/>
      </c>
      <c r="BN175" s="155" t="str">
        <f t="shared" si="93"/>
        <v/>
      </c>
      <c r="BO175" s="155" t="str">
        <f t="shared" si="94"/>
        <v/>
      </c>
      <c r="BP175" s="155" t="str">
        <f t="shared" si="95"/>
        <v/>
      </c>
      <c r="BQ175" s="155" t="str">
        <f t="shared" si="96"/>
        <v/>
      </c>
      <c r="BR175" s="155" t="str">
        <f t="shared" si="97"/>
        <v/>
      </c>
      <c r="BS175" s="155" t="str">
        <f t="shared" si="98"/>
        <v/>
      </c>
      <c r="BT175" s="155" t="str">
        <f t="shared" si="99"/>
        <v/>
      </c>
      <c r="BU175" s="155" t="str">
        <f t="shared" si="100"/>
        <v/>
      </c>
      <c r="BV175" s="155" t="str">
        <f t="shared" si="101"/>
        <v/>
      </c>
      <c r="BW175" s="155" t="str">
        <f t="shared" si="102"/>
        <v/>
      </c>
      <c r="BX175" s="155" t="str">
        <f t="shared" si="103"/>
        <v/>
      </c>
      <c r="BY175" s="155" t="str">
        <f t="shared" si="104"/>
        <v/>
      </c>
      <c r="BZ175" s="155" t="str">
        <f t="shared" si="105"/>
        <v/>
      </c>
      <c r="CA175" s="155" t="str">
        <f t="shared" si="106"/>
        <v/>
      </c>
      <c r="CB175" s="155" t="str">
        <f t="shared" si="107"/>
        <v/>
      </c>
      <c r="CC175" s="155" t="str">
        <f t="shared" si="108"/>
        <v/>
      </c>
      <c r="CD175" s="155" t="str">
        <f t="shared" si="109"/>
        <v/>
      </c>
      <c r="CE175" s="155" t="str">
        <f t="shared" si="110"/>
        <v/>
      </c>
      <c r="CF175" s="155" t="str">
        <f t="shared" si="111"/>
        <v/>
      </c>
      <c r="CG175" s="155" t="str">
        <f t="shared" si="112"/>
        <v/>
      </c>
      <c r="CH175" s="155" t="str">
        <f t="shared" si="113"/>
        <v/>
      </c>
      <c r="CI175" s="155" t="str">
        <f t="shared" si="114"/>
        <v/>
      </c>
      <c r="CJ175" s="155" t="str">
        <f t="shared" si="115"/>
        <v/>
      </c>
      <c r="CK175" s="155" t="str">
        <f t="shared" si="116"/>
        <v/>
      </c>
      <c r="CL175" s="155" t="str">
        <f t="shared" si="117"/>
        <v/>
      </c>
      <c r="CM175" s="155" t="str">
        <f t="shared" si="118"/>
        <v/>
      </c>
      <c r="CN175" s="155" t="str">
        <f t="shared" si="119"/>
        <v/>
      </c>
      <c r="CO175" s="155" t="str">
        <f t="shared" si="120"/>
        <v/>
      </c>
      <c r="CP175" s="155" t="str">
        <f t="shared" si="121"/>
        <v/>
      </c>
      <c r="CQ175" s="155" t="str">
        <f t="shared" si="122"/>
        <v/>
      </c>
      <c r="CR175" s="155" t="str">
        <f t="shared" si="123"/>
        <v/>
      </c>
      <c r="CS175" s="155" t="str">
        <f t="shared" si="124"/>
        <v/>
      </c>
      <c r="CT175" s="155" t="str">
        <f t="shared" si="125"/>
        <v/>
      </c>
      <c r="CU175" s="155" t="str">
        <f t="shared" si="126"/>
        <v/>
      </c>
      <c r="CV175" s="155" t="str">
        <f t="shared" si="127"/>
        <v/>
      </c>
      <c r="CW175" s="155" t="str">
        <f t="shared" si="128"/>
        <v/>
      </c>
      <c r="CX175" s="155" t="str">
        <f t="shared" si="129"/>
        <v/>
      </c>
    </row>
    <row r="176" spans="1:126" s="151" customFormat="1" ht="14.25" outlineLevel="1" x14ac:dyDescent="0.2">
      <c r="A176" s="146"/>
      <c r="B176" s="157" t="str">
        <f>Services!B176</f>
        <v>08A08</v>
      </c>
      <c r="C176" s="153" t="str">
        <f>Services!C176</f>
        <v>Gestion des procédures opérationnelles d'exploitation informatique</v>
      </c>
      <c r="D176" s="149"/>
      <c r="E176" s="149"/>
      <c r="F176" s="149"/>
      <c r="G176" s="149"/>
      <c r="H176" s="149"/>
      <c r="I176" s="140" t="str">
        <f t="shared" si="87"/>
        <v/>
      </c>
      <c r="J176" s="141" t="str">
        <f t="shared" si="88"/>
        <v/>
      </c>
      <c r="K176" s="142"/>
      <c r="L176" s="142"/>
      <c r="M176" s="1708"/>
      <c r="N176" s="1708"/>
      <c r="O176" s="1708"/>
      <c r="P176" s="1708"/>
      <c r="Q176" s="1708"/>
      <c r="R176" s="1708"/>
      <c r="S176" s="1708"/>
      <c r="T176" s="1708"/>
      <c r="U176" s="1708"/>
      <c r="V176" s="1708"/>
      <c r="W176" s="1708"/>
      <c r="X176" s="1712"/>
      <c r="Y176" s="1712"/>
      <c r="Z176" s="1712"/>
      <c r="AA176" s="1712"/>
      <c r="AB176" s="1712"/>
      <c r="AC176" s="1712"/>
      <c r="AD176" s="1712"/>
      <c r="AE176" s="1712"/>
      <c r="AF176" s="1712"/>
      <c r="AG176" s="1712"/>
      <c r="AH176" s="1712"/>
      <c r="AI176" s="1712"/>
      <c r="AJ176" s="1712"/>
      <c r="AK176" s="1712"/>
      <c r="AL176" s="1712"/>
      <c r="AM176" s="1712"/>
      <c r="AN176" s="1712"/>
      <c r="AO176" s="1712"/>
      <c r="AP176" s="1712"/>
      <c r="AQ176" s="1712"/>
      <c r="AR176" s="1712"/>
      <c r="AS176" s="1712"/>
      <c r="AT176" s="1712"/>
      <c r="AU176" s="1712"/>
      <c r="AV176" s="1712"/>
      <c r="AW176" s="1712"/>
      <c r="AX176" s="1713"/>
      <c r="AY176" s="1714" t="str">
        <f t="shared" si="89"/>
        <v/>
      </c>
      <c r="AZ176" s="1714" t="str">
        <f>IF(Obj_PA!D176="","",IF(AY176="","",Obj_PA!D176-AY176))</f>
        <v/>
      </c>
      <c r="BA176" s="150"/>
      <c r="BB176" s="150"/>
      <c r="BC176" s="150"/>
      <c r="BD176" s="150"/>
      <c r="BE176" s="150"/>
      <c r="BF176" s="150"/>
      <c r="BG176" s="150"/>
      <c r="BH176" s="150"/>
      <c r="BI176" s="150"/>
      <c r="BJ176" s="150"/>
      <c r="BK176" s="155" t="str">
        <f t="shared" si="90"/>
        <v/>
      </c>
      <c r="BL176" s="155" t="str">
        <f t="shared" si="91"/>
        <v/>
      </c>
      <c r="BM176" s="155" t="str">
        <f t="shared" si="92"/>
        <v/>
      </c>
      <c r="BN176" s="155" t="str">
        <f t="shared" si="93"/>
        <v/>
      </c>
      <c r="BO176" s="155" t="str">
        <f t="shared" si="94"/>
        <v/>
      </c>
      <c r="BP176" s="155" t="str">
        <f t="shared" si="95"/>
        <v/>
      </c>
      <c r="BQ176" s="155" t="str">
        <f t="shared" si="96"/>
        <v/>
      </c>
      <c r="BR176" s="155" t="str">
        <f t="shared" si="97"/>
        <v/>
      </c>
      <c r="BS176" s="155" t="str">
        <f t="shared" si="98"/>
        <v/>
      </c>
      <c r="BT176" s="155" t="str">
        <f t="shared" si="99"/>
        <v/>
      </c>
      <c r="BU176" s="155" t="str">
        <f t="shared" si="100"/>
        <v/>
      </c>
      <c r="BV176" s="155" t="str">
        <f t="shared" si="101"/>
        <v/>
      </c>
      <c r="BW176" s="155" t="str">
        <f t="shared" si="102"/>
        <v/>
      </c>
      <c r="BX176" s="155" t="str">
        <f t="shared" si="103"/>
        <v/>
      </c>
      <c r="BY176" s="155" t="str">
        <f t="shared" si="104"/>
        <v/>
      </c>
      <c r="BZ176" s="155" t="str">
        <f t="shared" si="105"/>
        <v/>
      </c>
      <c r="CA176" s="155" t="str">
        <f t="shared" si="106"/>
        <v/>
      </c>
      <c r="CB176" s="155" t="str">
        <f t="shared" si="107"/>
        <v/>
      </c>
      <c r="CC176" s="155" t="str">
        <f t="shared" si="108"/>
        <v/>
      </c>
      <c r="CD176" s="155" t="str">
        <f t="shared" si="109"/>
        <v/>
      </c>
      <c r="CE176" s="155" t="str">
        <f t="shared" si="110"/>
        <v/>
      </c>
      <c r="CF176" s="155" t="str">
        <f t="shared" si="111"/>
        <v/>
      </c>
      <c r="CG176" s="155" t="str">
        <f t="shared" si="112"/>
        <v/>
      </c>
      <c r="CH176" s="155" t="str">
        <f t="shared" si="113"/>
        <v/>
      </c>
      <c r="CI176" s="155" t="str">
        <f t="shared" si="114"/>
        <v/>
      </c>
      <c r="CJ176" s="155" t="str">
        <f t="shared" si="115"/>
        <v/>
      </c>
      <c r="CK176" s="155" t="str">
        <f t="shared" si="116"/>
        <v/>
      </c>
      <c r="CL176" s="155" t="str">
        <f t="shared" si="117"/>
        <v/>
      </c>
      <c r="CM176" s="155" t="str">
        <f t="shared" si="118"/>
        <v/>
      </c>
      <c r="CN176" s="155" t="str">
        <f t="shared" si="119"/>
        <v/>
      </c>
      <c r="CO176" s="155" t="str">
        <f t="shared" si="120"/>
        <v/>
      </c>
      <c r="CP176" s="155" t="str">
        <f t="shared" si="121"/>
        <v/>
      </c>
      <c r="CQ176" s="155" t="str">
        <f t="shared" si="122"/>
        <v/>
      </c>
      <c r="CR176" s="155" t="str">
        <f t="shared" si="123"/>
        <v/>
      </c>
      <c r="CS176" s="155" t="str">
        <f t="shared" si="124"/>
        <v/>
      </c>
      <c r="CT176" s="155" t="str">
        <f t="shared" si="125"/>
        <v/>
      </c>
      <c r="CU176" s="155" t="str">
        <f t="shared" si="126"/>
        <v/>
      </c>
      <c r="CV176" s="155" t="str">
        <f t="shared" si="127"/>
        <v/>
      </c>
      <c r="CW176" s="155" t="str">
        <f t="shared" si="128"/>
        <v/>
      </c>
      <c r="CX176" s="155" t="str">
        <f t="shared" si="129"/>
        <v/>
      </c>
    </row>
    <row r="177" spans="1:127" s="151" customFormat="1" ht="25.5" outlineLevel="1" x14ac:dyDescent="0.2">
      <c r="A177" s="146"/>
      <c r="B177" s="157" t="str">
        <f>Services!B177</f>
        <v>08A09</v>
      </c>
      <c r="C177" s="153" t="str">
        <f>Services!C177</f>
        <v>Gestion des prestataires ou fournisseurs de services liés à la production informatique</v>
      </c>
      <c r="D177" s="149"/>
      <c r="E177" s="149"/>
      <c r="F177" s="149"/>
      <c r="G177" s="149"/>
      <c r="H177" s="149"/>
      <c r="I177" s="140" t="str">
        <f t="shared" si="87"/>
        <v/>
      </c>
      <c r="J177" s="141" t="str">
        <f t="shared" si="88"/>
        <v/>
      </c>
      <c r="K177" s="142"/>
      <c r="L177" s="142"/>
      <c r="M177" s="1708"/>
      <c r="N177" s="1708"/>
      <c r="O177" s="1708"/>
      <c r="P177" s="1708"/>
      <c r="Q177" s="1708"/>
      <c r="R177" s="1708"/>
      <c r="S177" s="1708"/>
      <c r="T177" s="1708"/>
      <c r="U177" s="1708"/>
      <c r="V177" s="1708"/>
      <c r="W177" s="1708"/>
      <c r="X177" s="1712"/>
      <c r="Y177" s="1712"/>
      <c r="Z177" s="1712"/>
      <c r="AA177" s="1712"/>
      <c r="AB177" s="1712"/>
      <c r="AC177" s="1712"/>
      <c r="AD177" s="1712"/>
      <c r="AE177" s="1712"/>
      <c r="AF177" s="1712"/>
      <c r="AG177" s="1712"/>
      <c r="AH177" s="1712"/>
      <c r="AI177" s="1712"/>
      <c r="AJ177" s="1712"/>
      <c r="AK177" s="1712"/>
      <c r="AL177" s="1712"/>
      <c r="AM177" s="1712"/>
      <c r="AN177" s="1712"/>
      <c r="AO177" s="1712"/>
      <c r="AP177" s="1712"/>
      <c r="AQ177" s="1712"/>
      <c r="AR177" s="1712"/>
      <c r="AS177" s="1712"/>
      <c r="AT177" s="1712"/>
      <c r="AU177" s="1712"/>
      <c r="AV177" s="1712"/>
      <c r="AW177" s="1712"/>
      <c r="AX177" s="1713"/>
      <c r="AY177" s="1714" t="str">
        <f t="shared" si="89"/>
        <v/>
      </c>
      <c r="AZ177" s="1714" t="str">
        <f>IF(Obj_PA!D177="","",IF(AY177="","",Obj_PA!D177-AY177))</f>
        <v/>
      </c>
      <c r="BA177" s="150"/>
      <c r="BB177" s="150"/>
      <c r="BC177" s="150"/>
      <c r="BD177" s="150"/>
      <c r="BE177" s="150"/>
      <c r="BF177" s="150"/>
      <c r="BG177" s="150"/>
      <c r="BH177" s="150"/>
      <c r="BI177" s="150"/>
      <c r="BJ177" s="150"/>
      <c r="BK177" s="155" t="str">
        <f t="shared" si="90"/>
        <v/>
      </c>
      <c r="BL177" s="155" t="str">
        <f t="shared" si="91"/>
        <v/>
      </c>
      <c r="BM177" s="155" t="str">
        <f t="shared" si="92"/>
        <v/>
      </c>
      <c r="BN177" s="155" t="str">
        <f t="shared" si="93"/>
        <v/>
      </c>
      <c r="BO177" s="155" t="str">
        <f t="shared" si="94"/>
        <v/>
      </c>
      <c r="BP177" s="155" t="str">
        <f t="shared" si="95"/>
        <v/>
      </c>
      <c r="BQ177" s="155" t="str">
        <f t="shared" si="96"/>
        <v/>
      </c>
      <c r="BR177" s="155" t="str">
        <f t="shared" si="97"/>
        <v/>
      </c>
      <c r="BS177" s="155" t="str">
        <f t="shared" si="98"/>
        <v/>
      </c>
      <c r="BT177" s="155" t="str">
        <f t="shared" si="99"/>
        <v/>
      </c>
      <c r="BU177" s="155" t="str">
        <f t="shared" si="100"/>
        <v/>
      </c>
      <c r="BV177" s="155" t="str">
        <f t="shared" si="101"/>
        <v/>
      </c>
      <c r="BW177" s="155" t="str">
        <f t="shared" si="102"/>
        <v/>
      </c>
      <c r="BX177" s="155" t="str">
        <f t="shared" si="103"/>
        <v/>
      </c>
      <c r="BY177" s="155" t="str">
        <f t="shared" si="104"/>
        <v/>
      </c>
      <c r="BZ177" s="155" t="str">
        <f t="shared" si="105"/>
        <v/>
      </c>
      <c r="CA177" s="155" t="str">
        <f t="shared" si="106"/>
        <v/>
      </c>
      <c r="CB177" s="155" t="str">
        <f t="shared" si="107"/>
        <v/>
      </c>
      <c r="CC177" s="155" t="str">
        <f t="shared" si="108"/>
        <v/>
      </c>
      <c r="CD177" s="155" t="str">
        <f t="shared" si="109"/>
        <v/>
      </c>
      <c r="CE177" s="155" t="str">
        <f t="shared" si="110"/>
        <v/>
      </c>
      <c r="CF177" s="155" t="str">
        <f t="shared" si="111"/>
        <v/>
      </c>
      <c r="CG177" s="155" t="str">
        <f t="shared" si="112"/>
        <v/>
      </c>
      <c r="CH177" s="155" t="str">
        <f t="shared" si="113"/>
        <v/>
      </c>
      <c r="CI177" s="155" t="str">
        <f t="shared" si="114"/>
        <v/>
      </c>
      <c r="CJ177" s="155" t="str">
        <f t="shared" si="115"/>
        <v/>
      </c>
      <c r="CK177" s="155" t="str">
        <f t="shared" si="116"/>
        <v/>
      </c>
      <c r="CL177" s="155" t="str">
        <f t="shared" si="117"/>
        <v/>
      </c>
      <c r="CM177" s="155" t="str">
        <f t="shared" si="118"/>
        <v/>
      </c>
      <c r="CN177" s="155" t="str">
        <f t="shared" si="119"/>
        <v/>
      </c>
      <c r="CO177" s="155" t="str">
        <f t="shared" si="120"/>
        <v/>
      </c>
      <c r="CP177" s="155" t="str">
        <f t="shared" si="121"/>
        <v/>
      </c>
      <c r="CQ177" s="155" t="str">
        <f t="shared" si="122"/>
        <v/>
      </c>
      <c r="CR177" s="155" t="str">
        <f t="shared" si="123"/>
        <v/>
      </c>
      <c r="CS177" s="155" t="str">
        <f t="shared" si="124"/>
        <v/>
      </c>
      <c r="CT177" s="155" t="str">
        <f t="shared" si="125"/>
        <v/>
      </c>
      <c r="CU177" s="155" t="str">
        <f t="shared" si="126"/>
        <v/>
      </c>
      <c r="CV177" s="155" t="str">
        <f t="shared" si="127"/>
        <v/>
      </c>
      <c r="CW177" s="155" t="str">
        <f t="shared" si="128"/>
        <v/>
      </c>
      <c r="CX177" s="155" t="str">
        <f t="shared" si="129"/>
        <v/>
      </c>
    </row>
    <row r="178" spans="1:127" s="151" customFormat="1" ht="14.25" outlineLevel="1" x14ac:dyDescent="0.2">
      <c r="A178" s="156"/>
      <c r="B178" s="147" t="str">
        <f>Services!B178</f>
        <v>08B</v>
      </c>
      <c r="C178" s="148" t="str">
        <f>Services!C178</f>
        <v>Contrôle des configurations matérielles et logicielles</v>
      </c>
      <c r="D178" s="149"/>
      <c r="E178" s="149"/>
      <c r="F178" s="149"/>
      <c r="G178" s="149"/>
      <c r="H178" s="149"/>
      <c r="I178" s="140" t="str">
        <f t="shared" si="87"/>
        <v/>
      </c>
      <c r="J178" s="141" t="str">
        <f t="shared" si="88"/>
        <v/>
      </c>
      <c r="K178" s="142"/>
      <c r="L178" s="142"/>
      <c r="M178" s="1708"/>
      <c r="N178" s="1708"/>
      <c r="O178" s="1708"/>
      <c r="P178" s="1708"/>
      <c r="Q178" s="1708"/>
      <c r="R178" s="1708"/>
      <c r="S178" s="1708"/>
      <c r="T178" s="1708"/>
      <c r="U178" s="1708"/>
      <c r="V178" s="1708"/>
      <c r="W178" s="1708"/>
      <c r="X178" s="1712"/>
      <c r="Y178" s="1712"/>
      <c r="Z178" s="1712"/>
      <c r="AA178" s="1712"/>
      <c r="AB178" s="1712"/>
      <c r="AC178" s="1712"/>
      <c r="AD178" s="1712"/>
      <c r="AE178" s="1712"/>
      <c r="AF178" s="1712"/>
      <c r="AG178" s="1712"/>
      <c r="AH178" s="1712"/>
      <c r="AI178" s="1712"/>
      <c r="AJ178" s="1712"/>
      <c r="AK178" s="1712"/>
      <c r="AL178" s="1712"/>
      <c r="AM178" s="1712"/>
      <c r="AN178" s="1712"/>
      <c r="AO178" s="1712"/>
      <c r="AP178" s="1712"/>
      <c r="AQ178" s="1712"/>
      <c r="AR178" s="1712"/>
      <c r="AS178" s="1712"/>
      <c r="AT178" s="1712"/>
      <c r="AU178" s="1712"/>
      <c r="AV178" s="1712"/>
      <c r="AW178" s="1712"/>
      <c r="AX178" s="1713"/>
      <c r="AY178" s="1714" t="str">
        <f t="shared" si="89"/>
        <v/>
      </c>
      <c r="AZ178" s="1714" t="str">
        <f>IF(Obj_PA!D178="","",IF(AY178="","",Obj_PA!D178-AY178))</f>
        <v/>
      </c>
      <c r="BA178" s="150"/>
      <c r="BB178" s="150"/>
      <c r="BC178" s="150"/>
      <c r="BD178" s="150"/>
      <c r="BE178" s="150"/>
      <c r="BF178" s="150"/>
      <c r="BG178" s="150"/>
      <c r="BH178" s="150"/>
      <c r="BI178" s="150"/>
      <c r="BJ178" s="150"/>
      <c r="BK178" s="155" t="str">
        <f t="shared" si="90"/>
        <v/>
      </c>
      <c r="BL178" s="155" t="str">
        <f t="shared" si="91"/>
        <v/>
      </c>
      <c r="BM178" s="155" t="str">
        <f t="shared" si="92"/>
        <v/>
      </c>
      <c r="BN178" s="155" t="str">
        <f t="shared" si="93"/>
        <v/>
      </c>
      <c r="BO178" s="155" t="str">
        <f t="shared" si="94"/>
        <v/>
      </c>
      <c r="BP178" s="155" t="str">
        <f t="shared" si="95"/>
        <v/>
      </c>
      <c r="BQ178" s="155" t="str">
        <f t="shared" si="96"/>
        <v/>
      </c>
      <c r="BR178" s="155" t="str">
        <f t="shared" si="97"/>
        <v/>
      </c>
      <c r="BS178" s="155" t="str">
        <f t="shared" si="98"/>
        <v/>
      </c>
      <c r="BT178" s="155" t="str">
        <f t="shared" si="99"/>
        <v/>
      </c>
      <c r="BU178" s="155" t="str">
        <f t="shared" si="100"/>
        <v/>
      </c>
      <c r="BV178" s="155" t="str">
        <f t="shared" si="101"/>
        <v/>
      </c>
      <c r="BW178" s="155" t="str">
        <f t="shared" si="102"/>
        <v/>
      </c>
      <c r="BX178" s="155" t="str">
        <f t="shared" si="103"/>
        <v/>
      </c>
      <c r="BY178" s="155" t="str">
        <f t="shared" si="104"/>
        <v/>
      </c>
      <c r="BZ178" s="155" t="str">
        <f t="shared" si="105"/>
        <v/>
      </c>
      <c r="CA178" s="155" t="str">
        <f t="shared" si="106"/>
        <v/>
      </c>
      <c r="CB178" s="155" t="str">
        <f t="shared" si="107"/>
        <v/>
      </c>
      <c r="CC178" s="155" t="str">
        <f t="shared" si="108"/>
        <v/>
      </c>
      <c r="CD178" s="155" t="str">
        <f t="shared" si="109"/>
        <v/>
      </c>
      <c r="CE178" s="155" t="str">
        <f t="shared" si="110"/>
        <v/>
      </c>
      <c r="CF178" s="155" t="str">
        <f t="shared" si="111"/>
        <v/>
      </c>
      <c r="CG178" s="155" t="str">
        <f t="shared" si="112"/>
        <v/>
      </c>
      <c r="CH178" s="155" t="str">
        <f t="shared" si="113"/>
        <v/>
      </c>
      <c r="CI178" s="155" t="str">
        <f t="shared" si="114"/>
        <v/>
      </c>
      <c r="CJ178" s="155" t="str">
        <f t="shared" si="115"/>
        <v/>
      </c>
      <c r="CK178" s="155" t="str">
        <f t="shared" si="116"/>
        <v/>
      </c>
      <c r="CL178" s="155" t="str">
        <f t="shared" si="117"/>
        <v/>
      </c>
      <c r="CM178" s="155" t="str">
        <f t="shared" si="118"/>
        <v/>
      </c>
      <c r="CN178" s="155" t="str">
        <f t="shared" si="119"/>
        <v/>
      </c>
      <c r="CO178" s="155" t="str">
        <f t="shared" si="120"/>
        <v/>
      </c>
      <c r="CP178" s="155" t="str">
        <f t="shared" si="121"/>
        <v/>
      </c>
      <c r="CQ178" s="155" t="str">
        <f t="shared" si="122"/>
        <v/>
      </c>
      <c r="CR178" s="155" t="str">
        <f t="shared" si="123"/>
        <v/>
      </c>
      <c r="CS178" s="155" t="str">
        <f t="shared" si="124"/>
        <v/>
      </c>
      <c r="CT178" s="155" t="str">
        <f t="shared" si="125"/>
        <v/>
      </c>
      <c r="CU178" s="155" t="str">
        <f t="shared" si="126"/>
        <v/>
      </c>
      <c r="CV178" s="155" t="str">
        <f t="shared" si="127"/>
        <v/>
      </c>
      <c r="CW178" s="155" t="str">
        <f t="shared" si="128"/>
        <v/>
      </c>
      <c r="CX178" s="155" t="str">
        <f t="shared" si="129"/>
        <v/>
      </c>
    </row>
    <row r="179" spans="1:127" s="151" customFormat="1" ht="25.5" outlineLevel="1" x14ac:dyDescent="0.2">
      <c r="A179" s="146"/>
      <c r="B179" s="157" t="str">
        <f>Services!B179</f>
        <v>08B01</v>
      </c>
      <c r="C179" s="153" t="str">
        <f>Services!C179</f>
        <v>Paramétrage des systèmes et contrôle de la conformité des configurations systèmes</v>
      </c>
      <c r="D179" s="149"/>
      <c r="E179" s="149"/>
      <c r="F179" s="149"/>
      <c r="G179" s="149">
        <f>4*(8*Plans_action!E279+Plans_action!D279)+4*(8*Plans_action!E285+Plans_action!D285)</f>
        <v>0</v>
      </c>
      <c r="H179" s="149">
        <f>5*(8*Plans_action!E273+Plans_action!D273)+5*(8*Plans_action!E290+Plans_action!D290)</f>
        <v>0</v>
      </c>
      <c r="I179" s="140" t="str">
        <f t="shared" si="87"/>
        <v/>
      </c>
      <c r="J179" s="141" t="str">
        <f t="shared" si="88"/>
        <v/>
      </c>
      <c r="K179" s="142"/>
      <c r="L179" s="142"/>
      <c r="M179" s="1708"/>
      <c r="N179" s="1708"/>
      <c r="O179" s="1708"/>
      <c r="P179" s="1708"/>
      <c r="Q179" s="1708"/>
      <c r="R179" s="1708"/>
      <c r="S179" s="1708"/>
      <c r="T179" s="1708"/>
      <c r="U179" s="1708"/>
      <c r="V179" s="1708"/>
      <c r="W179" s="1708"/>
      <c r="X179" s="1712"/>
      <c r="Y179" s="1712"/>
      <c r="Z179" s="1712"/>
      <c r="AA179" s="1712"/>
      <c r="AB179" s="1712"/>
      <c r="AC179" s="1712"/>
      <c r="AD179" s="1712"/>
      <c r="AE179" s="1712"/>
      <c r="AF179" s="1712"/>
      <c r="AG179" s="1712"/>
      <c r="AH179" s="1712"/>
      <c r="AI179" s="1712"/>
      <c r="AJ179" s="1712"/>
      <c r="AK179" s="1712"/>
      <c r="AL179" s="1712"/>
      <c r="AM179" s="1712"/>
      <c r="AN179" s="1712"/>
      <c r="AO179" s="1712"/>
      <c r="AP179" s="1712"/>
      <c r="AQ179" s="1712"/>
      <c r="AR179" s="1712"/>
      <c r="AS179" s="1712"/>
      <c r="AT179" s="1712"/>
      <c r="AU179" s="1712"/>
      <c r="AV179" s="1712"/>
      <c r="AW179" s="1712"/>
      <c r="AX179" s="1713"/>
      <c r="AY179" s="1714" t="str">
        <f t="shared" si="89"/>
        <v/>
      </c>
      <c r="AZ179" s="1714" t="str">
        <f>IF(Obj_PA!D179="","",IF(AY179="","",Obj_PA!D179-AY179))</f>
        <v/>
      </c>
      <c r="BA179" s="150"/>
      <c r="BB179" s="150"/>
      <c r="BC179" s="150"/>
      <c r="BD179" s="150"/>
      <c r="BE179" s="150"/>
      <c r="BF179" s="150"/>
      <c r="BG179" s="150"/>
      <c r="BH179" s="150"/>
      <c r="BI179" s="150"/>
      <c r="BJ179" s="150"/>
      <c r="BK179" s="155" t="str">
        <f t="shared" si="90"/>
        <v/>
      </c>
      <c r="BL179" s="155" t="str">
        <f t="shared" si="91"/>
        <v/>
      </c>
      <c r="BM179" s="155" t="str">
        <f t="shared" si="92"/>
        <v/>
      </c>
      <c r="BN179" s="155" t="str">
        <f t="shared" si="93"/>
        <v/>
      </c>
      <c r="BO179" s="155" t="str">
        <f t="shared" si="94"/>
        <v/>
      </c>
      <c r="BP179" s="155" t="str">
        <f t="shared" si="95"/>
        <v/>
      </c>
      <c r="BQ179" s="155" t="str">
        <f t="shared" si="96"/>
        <v/>
      </c>
      <c r="BR179" s="155" t="str">
        <f t="shared" si="97"/>
        <v/>
      </c>
      <c r="BS179" s="155" t="str">
        <f t="shared" si="98"/>
        <v/>
      </c>
      <c r="BT179" s="155" t="str">
        <f t="shared" si="99"/>
        <v/>
      </c>
      <c r="BU179" s="155" t="str">
        <f t="shared" si="100"/>
        <v/>
      </c>
      <c r="BV179" s="155" t="str">
        <f t="shared" si="101"/>
        <v/>
      </c>
      <c r="BW179" s="155" t="str">
        <f t="shared" si="102"/>
        <v/>
      </c>
      <c r="BX179" s="155" t="str">
        <f t="shared" si="103"/>
        <v/>
      </c>
      <c r="BY179" s="155" t="str">
        <f t="shared" si="104"/>
        <v/>
      </c>
      <c r="BZ179" s="155" t="str">
        <f t="shared" si="105"/>
        <v/>
      </c>
      <c r="CA179" s="155" t="str">
        <f t="shared" si="106"/>
        <v/>
      </c>
      <c r="CB179" s="155" t="str">
        <f t="shared" si="107"/>
        <v/>
      </c>
      <c r="CC179" s="155" t="str">
        <f t="shared" si="108"/>
        <v/>
      </c>
      <c r="CD179" s="155" t="str">
        <f t="shared" si="109"/>
        <v/>
      </c>
      <c r="CE179" s="155" t="str">
        <f t="shared" si="110"/>
        <v/>
      </c>
      <c r="CF179" s="155" t="str">
        <f t="shared" si="111"/>
        <v/>
      </c>
      <c r="CG179" s="155" t="str">
        <f t="shared" si="112"/>
        <v/>
      </c>
      <c r="CH179" s="155" t="str">
        <f t="shared" si="113"/>
        <v/>
      </c>
      <c r="CI179" s="155" t="str">
        <f t="shared" si="114"/>
        <v/>
      </c>
      <c r="CJ179" s="155" t="str">
        <f t="shared" si="115"/>
        <v/>
      </c>
      <c r="CK179" s="155" t="str">
        <f t="shared" si="116"/>
        <v/>
      </c>
      <c r="CL179" s="155" t="str">
        <f t="shared" si="117"/>
        <v/>
      </c>
      <c r="CM179" s="155" t="str">
        <f t="shared" si="118"/>
        <v/>
      </c>
      <c r="CN179" s="155" t="str">
        <f t="shared" si="119"/>
        <v/>
      </c>
      <c r="CO179" s="155" t="str">
        <f t="shared" si="120"/>
        <v/>
      </c>
      <c r="CP179" s="155" t="str">
        <f t="shared" si="121"/>
        <v/>
      </c>
      <c r="CQ179" s="155" t="str">
        <f t="shared" si="122"/>
        <v/>
      </c>
      <c r="CR179" s="155" t="str">
        <f t="shared" si="123"/>
        <v/>
      </c>
      <c r="CS179" s="155" t="str">
        <f t="shared" si="124"/>
        <v/>
      </c>
      <c r="CT179" s="155" t="str">
        <f t="shared" si="125"/>
        <v/>
      </c>
      <c r="CU179" s="155" t="str">
        <f t="shared" si="126"/>
        <v/>
      </c>
      <c r="CV179" s="155" t="str">
        <f t="shared" si="127"/>
        <v/>
      </c>
      <c r="CW179" s="155" t="str">
        <f t="shared" si="128"/>
        <v/>
      </c>
      <c r="CX179" s="155" t="str">
        <f t="shared" si="129"/>
        <v/>
      </c>
    </row>
    <row r="180" spans="1:127" s="151" customFormat="1" ht="25.5" outlineLevel="1" x14ac:dyDescent="0.2">
      <c r="A180" s="146"/>
      <c r="B180" s="157" t="str">
        <f>Services!B180</f>
        <v>08B02</v>
      </c>
      <c r="C180" s="153" t="str">
        <f>Services!C180</f>
        <v>Contrôle de la conformité des configurations applicatives (logiciels et progiciels)</v>
      </c>
      <c r="D180" s="149"/>
      <c r="E180" s="149"/>
      <c r="F180" s="149"/>
      <c r="G180" s="149"/>
      <c r="H180" s="149">
        <f>5*(8*Plans_action!E273+Plans_action!D273)+5*(8*Plans_action!E290+Plans_action!D290)</f>
        <v>0</v>
      </c>
      <c r="I180" s="140" t="str">
        <f t="shared" si="87"/>
        <v/>
      </c>
      <c r="J180" s="141" t="str">
        <f t="shared" si="88"/>
        <v/>
      </c>
      <c r="K180" s="142"/>
      <c r="L180" s="142"/>
      <c r="M180" s="1708"/>
      <c r="N180" s="1708"/>
      <c r="O180" s="1708"/>
      <c r="P180" s="1708"/>
      <c r="Q180" s="1708"/>
      <c r="R180" s="1708"/>
      <c r="S180" s="1708"/>
      <c r="T180" s="1708"/>
      <c r="U180" s="1708"/>
      <c r="V180" s="1708"/>
      <c r="W180" s="1708"/>
      <c r="X180" s="1712"/>
      <c r="Y180" s="1712"/>
      <c r="Z180" s="1712"/>
      <c r="AA180" s="1712"/>
      <c r="AB180" s="1712"/>
      <c r="AC180" s="1712"/>
      <c r="AD180" s="1712"/>
      <c r="AE180" s="1712"/>
      <c r="AF180" s="1712"/>
      <c r="AG180" s="1712"/>
      <c r="AH180" s="1712"/>
      <c r="AI180" s="1712"/>
      <c r="AJ180" s="1712"/>
      <c r="AK180" s="1712"/>
      <c r="AL180" s="1712"/>
      <c r="AM180" s="1712"/>
      <c r="AN180" s="1712"/>
      <c r="AO180" s="1712"/>
      <c r="AP180" s="1712"/>
      <c r="AQ180" s="1712"/>
      <c r="AR180" s="1712"/>
      <c r="AS180" s="1712"/>
      <c r="AT180" s="1712"/>
      <c r="AU180" s="1712"/>
      <c r="AV180" s="1712"/>
      <c r="AW180" s="1712"/>
      <c r="AX180" s="1713"/>
      <c r="AY180" s="1714" t="str">
        <f t="shared" si="89"/>
        <v/>
      </c>
      <c r="AZ180" s="1714" t="str">
        <f>IF(Obj_PA!D180="","",IF(AY180="","",Obj_PA!D180-AY180))</f>
        <v/>
      </c>
      <c r="BA180" s="150"/>
      <c r="BB180" s="150"/>
      <c r="BC180" s="150"/>
      <c r="BD180" s="150"/>
      <c r="BE180" s="150"/>
      <c r="BF180" s="150"/>
      <c r="BG180" s="150"/>
      <c r="BH180" s="150"/>
      <c r="BI180" s="150"/>
      <c r="BJ180" s="150"/>
      <c r="BK180" s="155" t="str">
        <f t="shared" si="90"/>
        <v/>
      </c>
      <c r="BL180" s="155" t="str">
        <f t="shared" si="91"/>
        <v/>
      </c>
      <c r="BM180" s="155" t="str">
        <f t="shared" si="92"/>
        <v/>
      </c>
      <c r="BN180" s="155" t="str">
        <f t="shared" si="93"/>
        <v/>
      </c>
      <c r="BO180" s="155" t="str">
        <f t="shared" si="94"/>
        <v/>
      </c>
      <c r="BP180" s="155" t="str">
        <f t="shared" si="95"/>
        <v/>
      </c>
      <c r="BQ180" s="155" t="str">
        <f t="shared" si="96"/>
        <v/>
      </c>
      <c r="BR180" s="155" t="str">
        <f t="shared" si="97"/>
        <v/>
      </c>
      <c r="BS180" s="155" t="str">
        <f t="shared" si="98"/>
        <v/>
      </c>
      <c r="BT180" s="155" t="str">
        <f t="shared" si="99"/>
        <v/>
      </c>
      <c r="BU180" s="155" t="str">
        <f t="shared" si="100"/>
        <v/>
      </c>
      <c r="BV180" s="155" t="str">
        <f t="shared" si="101"/>
        <v/>
      </c>
      <c r="BW180" s="155" t="str">
        <f t="shared" si="102"/>
        <v/>
      </c>
      <c r="BX180" s="155" t="str">
        <f t="shared" si="103"/>
        <v/>
      </c>
      <c r="BY180" s="155" t="str">
        <f t="shared" si="104"/>
        <v/>
      </c>
      <c r="BZ180" s="155" t="str">
        <f t="shared" si="105"/>
        <v/>
      </c>
      <c r="CA180" s="155" t="str">
        <f t="shared" si="106"/>
        <v/>
      </c>
      <c r="CB180" s="155" t="str">
        <f t="shared" si="107"/>
        <v/>
      </c>
      <c r="CC180" s="155" t="str">
        <f t="shared" si="108"/>
        <v/>
      </c>
      <c r="CD180" s="155" t="str">
        <f t="shared" si="109"/>
        <v/>
      </c>
      <c r="CE180" s="155" t="str">
        <f t="shared" si="110"/>
        <v/>
      </c>
      <c r="CF180" s="155" t="str">
        <f t="shared" si="111"/>
        <v/>
      </c>
      <c r="CG180" s="155" t="str">
        <f t="shared" si="112"/>
        <v/>
      </c>
      <c r="CH180" s="155" t="str">
        <f t="shared" si="113"/>
        <v/>
      </c>
      <c r="CI180" s="155" t="str">
        <f t="shared" si="114"/>
        <v/>
      </c>
      <c r="CJ180" s="155" t="str">
        <f t="shared" si="115"/>
        <v/>
      </c>
      <c r="CK180" s="155" t="str">
        <f t="shared" si="116"/>
        <v/>
      </c>
      <c r="CL180" s="155" t="str">
        <f t="shared" si="117"/>
        <v/>
      </c>
      <c r="CM180" s="155" t="str">
        <f t="shared" si="118"/>
        <v/>
      </c>
      <c r="CN180" s="155" t="str">
        <f t="shared" si="119"/>
        <v/>
      </c>
      <c r="CO180" s="155" t="str">
        <f t="shared" si="120"/>
        <v/>
      </c>
      <c r="CP180" s="155" t="str">
        <f t="shared" si="121"/>
        <v/>
      </c>
      <c r="CQ180" s="155" t="str">
        <f t="shared" si="122"/>
        <v/>
      </c>
      <c r="CR180" s="155" t="str">
        <f t="shared" si="123"/>
        <v/>
      </c>
      <c r="CS180" s="155" t="str">
        <f t="shared" si="124"/>
        <v/>
      </c>
      <c r="CT180" s="155" t="str">
        <f t="shared" si="125"/>
        <v/>
      </c>
      <c r="CU180" s="155" t="str">
        <f t="shared" si="126"/>
        <v/>
      </c>
      <c r="CV180" s="155" t="str">
        <f t="shared" si="127"/>
        <v/>
      </c>
      <c r="CW180" s="155" t="str">
        <f t="shared" si="128"/>
        <v/>
      </c>
      <c r="CX180" s="155" t="str">
        <f t="shared" si="129"/>
        <v/>
      </c>
    </row>
    <row r="181" spans="1:127" s="151" customFormat="1" ht="25.5" outlineLevel="1" x14ac:dyDescent="0.2">
      <c r="A181" s="156"/>
      <c r="B181" s="157" t="str">
        <f>Services!B181</f>
        <v>08B03</v>
      </c>
      <c r="C181" s="153" t="str">
        <f>Services!C181</f>
        <v>Contrôle de la conformité des programmes de référence (Sources et exécutables)</v>
      </c>
      <c r="D181" s="149"/>
      <c r="E181" s="149"/>
      <c r="F181" s="149"/>
      <c r="G181" s="149"/>
      <c r="H181" s="149">
        <f>5*(8*Plans_action!E273+Plans_action!D273)+5*(8*Plans_action!E290+Plans_action!D290)</f>
        <v>0</v>
      </c>
      <c r="I181" s="140" t="str">
        <f t="shared" si="87"/>
        <v/>
      </c>
      <c r="J181" s="141" t="str">
        <f t="shared" si="88"/>
        <v/>
      </c>
      <c r="K181" s="142"/>
      <c r="L181" s="142"/>
      <c r="M181" s="1708"/>
      <c r="N181" s="1708"/>
      <c r="O181" s="1708"/>
      <c r="P181" s="1708"/>
      <c r="Q181" s="1708"/>
      <c r="R181" s="1708"/>
      <c r="S181" s="1708"/>
      <c r="T181" s="1708"/>
      <c r="U181" s="1708"/>
      <c r="V181" s="1708"/>
      <c r="W181" s="1708"/>
      <c r="X181" s="1712"/>
      <c r="Y181" s="1712"/>
      <c r="Z181" s="1712"/>
      <c r="AA181" s="1712"/>
      <c r="AB181" s="1712"/>
      <c r="AC181" s="1712"/>
      <c r="AD181" s="1712"/>
      <c r="AE181" s="1712"/>
      <c r="AF181" s="1712"/>
      <c r="AG181" s="1712"/>
      <c r="AH181" s="1712"/>
      <c r="AI181" s="1712"/>
      <c r="AJ181" s="1712"/>
      <c r="AK181" s="1712"/>
      <c r="AL181" s="1712"/>
      <c r="AM181" s="1712"/>
      <c r="AN181" s="1712"/>
      <c r="AO181" s="1712"/>
      <c r="AP181" s="1712"/>
      <c r="AQ181" s="1712"/>
      <c r="AR181" s="1712"/>
      <c r="AS181" s="1712"/>
      <c r="AT181" s="1712"/>
      <c r="AU181" s="1712"/>
      <c r="AV181" s="1712"/>
      <c r="AW181" s="1712"/>
      <c r="AX181" s="1713"/>
      <c r="AY181" s="1714" t="str">
        <f t="shared" si="89"/>
        <v/>
      </c>
      <c r="AZ181" s="1714" t="str">
        <f>IF(Obj_PA!D181="","",IF(AY181="","",Obj_PA!D181-AY181))</f>
        <v/>
      </c>
      <c r="BA181" s="150"/>
      <c r="BB181" s="150"/>
      <c r="BC181" s="150"/>
      <c r="BD181" s="150"/>
      <c r="BE181" s="150"/>
      <c r="BF181" s="150"/>
      <c r="BG181" s="150"/>
      <c r="BH181" s="150"/>
      <c r="BI181" s="150"/>
      <c r="BJ181" s="150"/>
      <c r="BK181" s="155" t="str">
        <f t="shared" si="90"/>
        <v/>
      </c>
      <c r="BL181" s="155" t="str">
        <f t="shared" si="91"/>
        <v/>
      </c>
      <c r="BM181" s="155" t="str">
        <f t="shared" si="92"/>
        <v/>
      </c>
      <c r="BN181" s="155" t="str">
        <f t="shared" si="93"/>
        <v/>
      </c>
      <c r="BO181" s="155" t="str">
        <f t="shared" si="94"/>
        <v/>
      </c>
      <c r="BP181" s="155" t="str">
        <f t="shared" si="95"/>
        <v/>
      </c>
      <c r="BQ181" s="155" t="str">
        <f t="shared" si="96"/>
        <v/>
      </c>
      <c r="BR181" s="155" t="str">
        <f t="shared" si="97"/>
        <v/>
      </c>
      <c r="BS181" s="155" t="str">
        <f t="shared" si="98"/>
        <v/>
      </c>
      <c r="BT181" s="155" t="str">
        <f t="shared" si="99"/>
        <v/>
      </c>
      <c r="BU181" s="155" t="str">
        <f t="shared" si="100"/>
        <v/>
      </c>
      <c r="BV181" s="155" t="str">
        <f t="shared" si="101"/>
        <v/>
      </c>
      <c r="BW181" s="155" t="str">
        <f t="shared" si="102"/>
        <v/>
      </c>
      <c r="BX181" s="155" t="str">
        <f t="shared" si="103"/>
        <v/>
      </c>
      <c r="BY181" s="155" t="str">
        <f t="shared" si="104"/>
        <v/>
      </c>
      <c r="BZ181" s="155" t="str">
        <f t="shared" si="105"/>
        <v/>
      </c>
      <c r="CA181" s="155" t="str">
        <f t="shared" si="106"/>
        <v/>
      </c>
      <c r="CB181" s="155" t="str">
        <f t="shared" si="107"/>
        <v/>
      </c>
      <c r="CC181" s="155" t="str">
        <f t="shared" si="108"/>
        <v/>
      </c>
      <c r="CD181" s="155" t="str">
        <f t="shared" si="109"/>
        <v/>
      </c>
      <c r="CE181" s="155" t="str">
        <f t="shared" si="110"/>
        <v/>
      </c>
      <c r="CF181" s="155" t="str">
        <f t="shared" si="111"/>
        <v/>
      </c>
      <c r="CG181" s="155" t="str">
        <f t="shared" si="112"/>
        <v/>
      </c>
      <c r="CH181" s="155" t="str">
        <f t="shared" si="113"/>
        <v/>
      </c>
      <c r="CI181" s="155" t="str">
        <f t="shared" si="114"/>
        <v/>
      </c>
      <c r="CJ181" s="155" t="str">
        <f t="shared" si="115"/>
        <v/>
      </c>
      <c r="CK181" s="155" t="str">
        <f t="shared" si="116"/>
        <v/>
      </c>
      <c r="CL181" s="155" t="str">
        <f t="shared" si="117"/>
        <v/>
      </c>
      <c r="CM181" s="155" t="str">
        <f t="shared" si="118"/>
        <v/>
      </c>
      <c r="CN181" s="155" t="str">
        <f t="shared" si="119"/>
        <v/>
      </c>
      <c r="CO181" s="155" t="str">
        <f t="shared" si="120"/>
        <v/>
      </c>
      <c r="CP181" s="155" t="str">
        <f t="shared" si="121"/>
        <v/>
      </c>
      <c r="CQ181" s="155" t="str">
        <f t="shared" si="122"/>
        <v/>
      </c>
      <c r="CR181" s="155" t="str">
        <f t="shared" si="123"/>
        <v/>
      </c>
      <c r="CS181" s="155" t="str">
        <f t="shared" si="124"/>
        <v/>
      </c>
      <c r="CT181" s="155" t="str">
        <f t="shared" si="125"/>
        <v/>
      </c>
      <c r="CU181" s="155" t="str">
        <f t="shared" si="126"/>
        <v/>
      </c>
      <c r="CV181" s="155" t="str">
        <f t="shared" si="127"/>
        <v/>
      </c>
      <c r="CW181" s="155" t="str">
        <f t="shared" si="128"/>
        <v/>
      </c>
      <c r="CX181" s="155" t="str">
        <f t="shared" si="129"/>
        <v/>
      </c>
    </row>
    <row r="182" spans="1:127" s="151" customFormat="1" ht="25.5" outlineLevel="1" x14ac:dyDescent="0.2">
      <c r="A182" s="146"/>
      <c r="B182" s="147" t="str">
        <f>Services!B182</f>
        <v>08C</v>
      </c>
      <c r="C182" s="148" t="str">
        <f>Services!C182</f>
        <v>Gestion des supports informatiques de données et programmes</v>
      </c>
      <c r="D182" s="149"/>
      <c r="E182" s="149"/>
      <c r="F182" s="149"/>
      <c r="G182" s="149"/>
      <c r="H182" s="149"/>
      <c r="I182" s="140" t="str">
        <f t="shared" si="87"/>
        <v/>
      </c>
      <c r="J182" s="141" t="str">
        <f t="shared" si="88"/>
        <v/>
      </c>
      <c r="K182" s="142"/>
      <c r="L182" s="142"/>
      <c r="M182" s="1708"/>
      <c r="N182" s="1708"/>
      <c r="O182" s="1708"/>
      <c r="P182" s="1708"/>
      <c r="Q182" s="1708"/>
      <c r="R182" s="1708"/>
      <c r="S182" s="1708"/>
      <c r="T182" s="1708"/>
      <c r="U182" s="1708"/>
      <c r="V182" s="1708"/>
      <c r="W182" s="1708"/>
      <c r="X182" s="1712"/>
      <c r="Y182" s="1712"/>
      <c r="Z182" s="1712"/>
      <c r="AA182" s="1712"/>
      <c r="AB182" s="1712"/>
      <c r="AC182" s="1712"/>
      <c r="AD182" s="1712"/>
      <c r="AE182" s="1712"/>
      <c r="AF182" s="1712"/>
      <c r="AG182" s="1712"/>
      <c r="AH182" s="1712"/>
      <c r="AI182" s="1712"/>
      <c r="AJ182" s="1712"/>
      <c r="AK182" s="1712"/>
      <c r="AL182" s="1712"/>
      <c r="AM182" s="1712"/>
      <c r="AN182" s="1712"/>
      <c r="AO182" s="1712"/>
      <c r="AP182" s="1712"/>
      <c r="AQ182" s="1712"/>
      <c r="AR182" s="1712"/>
      <c r="AS182" s="1712"/>
      <c r="AT182" s="1712"/>
      <c r="AU182" s="1712"/>
      <c r="AV182" s="1712"/>
      <c r="AW182" s="1712"/>
      <c r="AX182" s="1713"/>
      <c r="AY182" s="1714" t="str">
        <f t="shared" si="89"/>
        <v/>
      </c>
      <c r="AZ182" s="1714" t="str">
        <f>IF(Obj_PA!D182="","",IF(AY182="","",Obj_PA!D182-AY182))</f>
        <v/>
      </c>
      <c r="BA182" s="150"/>
      <c r="BB182" s="150"/>
      <c r="BC182" s="150"/>
      <c r="BD182" s="150"/>
      <c r="BE182" s="150"/>
      <c r="BF182" s="150"/>
      <c r="BG182" s="150"/>
      <c r="BH182" s="150"/>
      <c r="BI182" s="150"/>
      <c r="BJ182" s="150"/>
      <c r="BK182" s="155" t="str">
        <f t="shared" si="90"/>
        <v/>
      </c>
      <c r="BL182" s="155" t="str">
        <f t="shared" si="91"/>
        <v/>
      </c>
      <c r="BM182" s="155" t="str">
        <f t="shared" si="92"/>
        <v/>
      </c>
      <c r="BN182" s="155" t="str">
        <f t="shared" si="93"/>
        <v/>
      </c>
      <c r="BO182" s="155" t="str">
        <f t="shared" si="94"/>
        <v/>
      </c>
      <c r="BP182" s="155" t="str">
        <f t="shared" si="95"/>
        <v/>
      </c>
      <c r="BQ182" s="155" t="str">
        <f t="shared" si="96"/>
        <v/>
      </c>
      <c r="BR182" s="155" t="str">
        <f t="shared" si="97"/>
        <v/>
      </c>
      <c r="BS182" s="155" t="str">
        <f t="shared" si="98"/>
        <v/>
      </c>
      <c r="BT182" s="155" t="str">
        <f t="shared" si="99"/>
        <v/>
      </c>
      <c r="BU182" s="155" t="str">
        <f t="shared" si="100"/>
        <v/>
      </c>
      <c r="BV182" s="155" t="str">
        <f t="shared" si="101"/>
        <v/>
      </c>
      <c r="BW182" s="155" t="str">
        <f t="shared" si="102"/>
        <v/>
      </c>
      <c r="BX182" s="155" t="str">
        <f t="shared" si="103"/>
        <v/>
      </c>
      <c r="BY182" s="155" t="str">
        <f t="shared" si="104"/>
        <v/>
      </c>
      <c r="BZ182" s="155" t="str">
        <f t="shared" si="105"/>
        <v/>
      </c>
      <c r="CA182" s="155" t="str">
        <f t="shared" si="106"/>
        <v/>
      </c>
      <c r="CB182" s="155" t="str">
        <f t="shared" si="107"/>
        <v/>
      </c>
      <c r="CC182" s="155" t="str">
        <f t="shared" si="108"/>
        <v/>
      </c>
      <c r="CD182" s="155" t="str">
        <f t="shared" si="109"/>
        <v/>
      </c>
      <c r="CE182" s="155" t="str">
        <f t="shared" si="110"/>
        <v/>
      </c>
      <c r="CF182" s="155" t="str">
        <f t="shared" si="111"/>
        <v/>
      </c>
      <c r="CG182" s="155" t="str">
        <f t="shared" si="112"/>
        <v/>
      </c>
      <c r="CH182" s="155" t="str">
        <f t="shared" si="113"/>
        <v/>
      </c>
      <c r="CI182" s="155" t="str">
        <f t="shared" si="114"/>
        <v/>
      </c>
      <c r="CJ182" s="155" t="str">
        <f t="shared" si="115"/>
        <v/>
      </c>
      <c r="CK182" s="155" t="str">
        <f t="shared" si="116"/>
        <v/>
      </c>
      <c r="CL182" s="155" t="str">
        <f t="shared" si="117"/>
        <v/>
      </c>
      <c r="CM182" s="155" t="str">
        <f t="shared" si="118"/>
        <v/>
      </c>
      <c r="CN182" s="155" t="str">
        <f t="shared" si="119"/>
        <v/>
      </c>
      <c r="CO182" s="155" t="str">
        <f t="shared" si="120"/>
        <v/>
      </c>
      <c r="CP182" s="155" t="str">
        <f t="shared" si="121"/>
        <v/>
      </c>
      <c r="CQ182" s="155" t="str">
        <f t="shared" si="122"/>
        <v/>
      </c>
      <c r="CR182" s="155" t="str">
        <f t="shared" si="123"/>
        <v/>
      </c>
      <c r="CS182" s="155" t="str">
        <f t="shared" si="124"/>
        <v/>
      </c>
      <c r="CT182" s="155" t="str">
        <f t="shared" si="125"/>
        <v/>
      </c>
      <c r="CU182" s="155" t="str">
        <f t="shared" si="126"/>
        <v/>
      </c>
      <c r="CV182" s="155" t="str">
        <f t="shared" si="127"/>
        <v/>
      </c>
      <c r="CW182" s="155" t="str">
        <f t="shared" si="128"/>
        <v/>
      </c>
      <c r="CX182" s="155" t="str">
        <f t="shared" si="129"/>
        <v/>
      </c>
    </row>
    <row r="183" spans="1:127" s="151" customFormat="1" ht="14.25" outlineLevel="1" x14ac:dyDescent="0.2">
      <c r="A183" s="156"/>
      <c r="B183" s="157" t="str">
        <f>Services!B183</f>
        <v>08C01</v>
      </c>
      <c r="C183" s="153" t="str">
        <f>Services!C183</f>
        <v>Administration des supports</v>
      </c>
      <c r="D183" s="149"/>
      <c r="E183" s="149"/>
      <c r="F183" s="149"/>
      <c r="G183" s="149"/>
      <c r="H183" s="149"/>
      <c r="I183" s="140" t="str">
        <f t="shared" si="87"/>
        <v/>
      </c>
      <c r="J183" s="141" t="str">
        <f t="shared" si="88"/>
        <v/>
      </c>
      <c r="K183" s="142"/>
      <c r="L183" s="142"/>
      <c r="M183" s="1708"/>
      <c r="N183" s="1708"/>
      <c r="O183" s="1708"/>
      <c r="P183" s="1708"/>
      <c r="Q183" s="1708"/>
      <c r="R183" s="1708"/>
      <c r="S183" s="1708"/>
      <c r="T183" s="1708"/>
      <c r="U183" s="1708"/>
      <c r="V183" s="1708"/>
      <c r="W183" s="1708"/>
      <c r="X183" s="1712"/>
      <c r="Y183" s="1712"/>
      <c r="Z183" s="1712"/>
      <c r="AA183" s="1712"/>
      <c r="AB183" s="1712"/>
      <c r="AC183" s="1712"/>
      <c r="AD183" s="1712"/>
      <c r="AE183" s="1712"/>
      <c r="AF183" s="1712"/>
      <c r="AG183" s="1712"/>
      <c r="AH183" s="1712"/>
      <c r="AI183" s="1712"/>
      <c r="AJ183" s="1712"/>
      <c r="AK183" s="1712"/>
      <c r="AL183" s="1712"/>
      <c r="AM183" s="1712"/>
      <c r="AN183" s="1712"/>
      <c r="AO183" s="1712"/>
      <c r="AP183" s="1712"/>
      <c r="AQ183" s="1712"/>
      <c r="AR183" s="1712"/>
      <c r="AS183" s="1712"/>
      <c r="AT183" s="1712"/>
      <c r="AU183" s="1712"/>
      <c r="AV183" s="1712"/>
      <c r="AW183" s="1712"/>
      <c r="AX183" s="1713"/>
      <c r="AY183" s="1714" t="str">
        <f t="shared" si="89"/>
        <v/>
      </c>
      <c r="AZ183" s="1714" t="str">
        <f>IF(Obj_PA!D183="","",IF(AY183="","",Obj_PA!D183-AY183))</f>
        <v/>
      </c>
      <c r="BA183" s="150"/>
      <c r="BB183" s="150"/>
      <c r="BC183" s="150"/>
      <c r="BD183" s="150"/>
      <c r="BE183" s="150"/>
      <c r="BF183" s="150"/>
      <c r="BG183" s="150"/>
      <c r="BH183" s="150"/>
      <c r="BI183" s="150"/>
      <c r="BJ183" s="150"/>
      <c r="BK183" s="155" t="str">
        <f t="shared" si="90"/>
        <v/>
      </c>
      <c r="BL183" s="155" t="str">
        <f t="shared" si="91"/>
        <v/>
      </c>
      <c r="BM183" s="155" t="str">
        <f t="shared" si="92"/>
        <v/>
      </c>
      <c r="BN183" s="155" t="str">
        <f t="shared" si="93"/>
        <v/>
      </c>
      <c r="BO183" s="155" t="str">
        <f t="shared" si="94"/>
        <v/>
      </c>
      <c r="BP183" s="155" t="str">
        <f t="shared" si="95"/>
        <v/>
      </c>
      <c r="BQ183" s="155" t="str">
        <f t="shared" si="96"/>
        <v/>
      </c>
      <c r="BR183" s="155" t="str">
        <f t="shared" si="97"/>
        <v/>
      </c>
      <c r="BS183" s="155" t="str">
        <f t="shared" si="98"/>
        <v/>
      </c>
      <c r="BT183" s="155" t="str">
        <f t="shared" si="99"/>
        <v/>
      </c>
      <c r="BU183" s="155" t="str">
        <f t="shared" si="100"/>
        <v/>
      </c>
      <c r="BV183" s="155" t="str">
        <f t="shared" si="101"/>
        <v/>
      </c>
      <c r="BW183" s="155" t="str">
        <f t="shared" si="102"/>
        <v/>
      </c>
      <c r="BX183" s="155" t="str">
        <f t="shared" si="103"/>
        <v/>
      </c>
      <c r="BY183" s="155" t="str">
        <f t="shared" si="104"/>
        <v/>
      </c>
      <c r="BZ183" s="155" t="str">
        <f t="shared" si="105"/>
        <v/>
      </c>
      <c r="CA183" s="155" t="str">
        <f t="shared" si="106"/>
        <v/>
      </c>
      <c r="CB183" s="155" t="str">
        <f t="shared" si="107"/>
        <v/>
      </c>
      <c r="CC183" s="155" t="str">
        <f t="shared" si="108"/>
        <v/>
      </c>
      <c r="CD183" s="155" t="str">
        <f t="shared" si="109"/>
        <v/>
      </c>
      <c r="CE183" s="155" t="str">
        <f t="shared" si="110"/>
        <v/>
      </c>
      <c r="CF183" s="155" t="str">
        <f t="shared" si="111"/>
        <v/>
      </c>
      <c r="CG183" s="155" t="str">
        <f t="shared" si="112"/>
        <v/>
      </c>
      <c r="CH183" s="155" t="str">
        <f t="shared" si="113"/>
        <v/>
      </c>
      <c r="CI183" s="155" t="str">
        <f t="shared" si="114"/>
        <v/>
      </c>
      <c r="CJ183" s="155" t="str">
        <f t="shared" si="115"/>
        <v/>
      </c>
      <c r="CK183" s="155" t="str">
        <f t="shared" si="116"/>
        <v/>
      </c>
      <c r="CL183" s="155" t="str">
        <f t="shared" si="117"/>
        <v/>
      </c>
      <c r="CM183" s="155" t="str">
        <f t="shared" si="118"/>
        <v/>
      </c>
      <c r="CN183" s="155" t="str">
        <f t="shared" si="119"/>
        <v/>
      </c>
      <c r="CO183" s="155" t="str">
        <f t="shared" si="120"/>
        <v/>
      </c>
      <c r="CP183" s="155" t="str">
        <f t="shared" si="121"/>
        <v/>
      </c>
      <c r="CQ183" s="155" t="str">
        <f t="shared" si="122"/>
        <v/>
      </c>
      <c r="CR183" s="155" t="str">
        <f t="shared" si="123"/>
        <v/>
      </c>
      <c r="CS183" s="155" t="str">
        <f t="shared" si="124"/>
        <v/>
      </c>
      <c r="CT183" s="155" t="str">
        <f t="shared" si="125"/>
        <v/>
      </c>
      <c r="CU183" s="155" t="str">
        <f t="shared" si="126"/>
        <v/>
      </c>
      <c r="CV183" s="155" t="str">
        <f t="shared" si="127"/>
        <v/>
      </c>
      <c r="CW183" s="155" t="str">
        <f t="shared" si="128"/>
        <v/>
      </c>
      <c r="CX183" s="155" t="str">
        <f t="shared" si="129"/>
        <v/>
      </c>
      <c r="DW183" s="151">
        <f>IF(INDEX(Tab_actions,18,1)=1,INDEX(Tab_actions,18,4),0)</f>
        <v>0</v>
      </c>
    </row>
    <row r="184" spans="1:127" s="151" customFormat="1" ht="25.5" outlineLevel="1" x14ac:dyDescent="0.2">
      <c r="A184" s="146"/>
      <c r="B184" s="157" t="str">
        <f>Services!B184</f>
        <v>08C02</v>
      </c>
      <c r="C184" s="153" t="str">
        <f>Services!C184</f>
        <v>Marquage des supports de production (vivants, sauvegardes et archives)</v>
      </c>
      <c r="D184" s="149"/>
      <c r="E184" s="149"/>
      <c r="F184" s="149"/>
      <c r="G184" s="149"/>
      <c r="H184" s="149">
        <f>5*(8*Plans_action!E273+Plans_action!D273)+5*(8*Plans_action!E290+Plans_action!D290)</f>
        <v>0</v>
      </c>
      <c r="I184" s="140" t="str">
        <f t="shared" si="87"/>
        <v/>
      </c>
      <c r="J184" s="141" t="str">
        <f t="shared" si="88"/>
        <v/>
      </c>
      <c r="K184" s="142"/>
      <c r="L184" s="142"/>
      <c r="M184" s="1708"/>
      <c r="N184" s="1708"/>
      <c r="O184" s="1708"/>
      <c r="P184" s="1708"/>
      <c r="Q184" s="1708"/>
      <c r="R184" s="1708"/>
      <c r="S184" s="1708"/>
      <c r="T184" s="1708"/>
      <c r="U184" s="1708"/>
      <c r="V184" s="1708"/>
      <c r="W184" s="1708"/>
      <c r="X184" s="1712"/>
      <c r="Y184" s="1712"/>
      <c r="Z184" s="1712"/>
      <c r="AA184" s="1712"/>
      <c r="AB184" s="1712"/>
      <c r="AC184" s="1712"/>
      <c r="AD184" s="1712"/>
      <c r="AE184" s="1712"/>
      <c r="AF184" s="1712"/>
      <c r="AG184" s="1712"/>
      <c r="AH184" s="1712"/>
      <c r="AI184" s="1712"/>
      <c r="AJ184" s="1712"/>
      <c r="AK184" s="1712"/>
      <c r="AL184" s="1712"/>
      <c r="AM184" s="1712"/>
      <c r="AN184" s="1712"/>
      <c r="AO184" s="1712"/>
      <c r="AP184" s="1712"/>
      <c r="AQ184" s="1712"/>
      <c r="AR184" s="1712"/>
      <c r="AS184" s="1712"/>
      <c r="AT184" s="1712"/>
      <c r="AU184" s="1712"/>
      <c r="AV184" s="1712"/>
      <c r="AW184" s="1712"/>
      <c r="AX184" s="1713"/>
      <c r="AY184" s="1714" t="str">
        <f t="shared" si="89"/>
        <v/>
      </c>
      <c r="AZ184" s="1714" t="str">
        <f>IF(Obj_PA!D184="","",IF(AY184="","",Obj_PA!D184-AY184))</f>
        <v/>
      </c>
      <c r="BA184" s="150"/>
      <c r="BB184" s="150"/>
      <c r="BC184" s="150"/>
      <c r="BD184" s="150"/>
      <c r="BE184" s="150"/>
      <c r="BF184" s="150"/>
      <c r="BG184" s="150"/>
      <c r="BH184" s="150"/>
      <c r="BI184" s="150"/>
      <c r="BJ184" s="150"/>
      <c r="BK184" s="155" t="str">
        <f t="shared" si="90"/>
        <v/>
      </c>
      <c r="BL184" s="155" t="str">
        <f t="shared" si="91"/>
        <v/>
      </c>
      <c r="BM184" s="155" t="str">
        <f t="shared" si="92"/>
        <v/>
      </c>
      <c r="BN184" s="155" t="str">
        <f t="shared" si="93"/>
        <v/>
      </c>
      <c r="BO184" s="155" t="str">
        <f t="shared" si="94"/>
        <v/>
      </c>
      <c r="BP184" s="155" t="str">
        <f t="shared" si="95"/>
        <v/>
      </c>
      <c r="BQ184" s="155" t="str">
        <f t="shared" si="96"/>
        <v/>
      </c>
      <c r="BR184" s="155" t="str">
        <f t="shared" si="97"/>
        <v/>
      </c>
      <c r="BS184" s="155" t="str">
        <f t="shared" si="98"/>
        <v/>
      </c>
      <c r="BT184" s="155" t="str">
        <f t="shared" si="99"/>
        <v/>
      </c>
      <c r="BU184" s="155" t="str">
        <f t="shared" si="100"/>
        <v/>
      </c>
      <c r="BV184" s="155" t="str">
        <f t="shared" si="101"/>
        <v/>
      </c>
      <c r="BW184" s="155" t="str">
        <f t="shared" si="102"/>
        <v/>
      </c>
      <c r="BX184" s="155" t="str">
        <f t="shared" si="103"/>
        <v/>
      </c>
      <c r="BY184" s="155" t="str">
        <f t="shared" si="104"/>
        <v/>
      </c>
      <c r="BZ184" s="155" t="str">
        <f t="shared" si="105"/>
        <v/>
      </c>
      <c r="CA184" s="155" t="str">
        <f t="shared" si="106"/>
        <v/>
      </c>
      <c r="CB184" s="155" t="str">
        <f t="shared" si="107"/>
        <v/>
      </c>
      <c r="CC184" s="155" t="str">
        <f t="shared" si="108"/>
        <v/>
      </c>
      <c r="CD184" s="155" t="str">
        <f t="shared" si="109"/>
        <v/>
      </c>
      <c r="CE184" s="155" t="str">
        <f t="shared" si="110"/>
        <v/>
      </c>
      <c r="CF184" s="155" t="str">
        <f t="shared" si="111"/>
        <v/>
      </c>
      <c r="CG184" s="155" t="str">
        <f t="shared" si="112"/>
        <v/>
      </c>
      <c r="CH184" s="155" t="str">
        <f t="shared" si="113"/>
        <v/>
      </c>
      <c r="CI184" s="155" t="str">
        <f t="shared" si="114"/>
        <v/>
      </c>
      <c r="CJ184" s="155" t="str">
        <f t="shared" si="115"/>
        <v/>
      </c>
      <c r="CK184" s="155" t="str">
        <f t="shared" si="116"/>
        <v/>
      </c>
      <c r="CL184" s="155" t="str">
        <f t="shared" si="117"/>
        <v/>
      </c>
      <c r="CM184" s="155" t="str">
        <f t="shared" si="118"/>
        <v/>
      </c>
      <c r="CN184" s="155" t="str">
        <f t="shared" si="119"/>
        <v/>
      </c>
      <c r="CO184" s="155" t="str">
        <f t="shared" si="120"/>
        <v/>
      </c>
      <c r="CP184" s="155" t="str">
        <f t="shared" si="121"/>
        <v/>
      </c>
      <c r="CQ184" s="155" t="str">
        <f t="shared" si="122"/>
        <v/>
      </c>
      <c r="CR184" s="155" t="str">
        <f t="shared" si="123"/>
        <v/>
      </c>
      <c r="CS184" s="155" t="str">
        <f t="shared" si="124"/>
        <v/>
      </c>
      <c r="CT184" s="155" t="str">
        <f t="shared" si="125"/>
        <v/>
      </c>
      <c r="CU184" s="155" t="str">
        <f t="shared" si="126"/>
        <v/>
      </c>
      <c r="CV184" s="155" t="str">
        <f t="shared" si="127"/>
        <v/>
      </c>
      <c r="CW184" s="155" t="str">
        <f t="shared" si="128"/>
        <v/>
      </c>
      <c r="CX184" s="155" t="str">
        <f t="shared" si="129"/>
        <v/>
      </c>
    </row>
    <row r="185" spans="1:127" s="151" customFormat="1" ht="14.25" outlineLevel="1" x14ac:dyDescent="0.2">
      <c r="A185" s="156"/>
      <c r="B185" s="157" t="str">
        <f>Services!B185</f>
        <v>08C03</v>
      </c>
      <c r="C185" s="153" t="str">
        <f>Services!C185</f>
        <v xml:space="preserve">Sécurité physique des supports stockés sur site </v>
      </c>
      <c r="D185" s="149">
        <f>1*(8*Plans_action!E215+Plans_action!D215)+1*(8*Plans_action!E224+Plans_action!D224)+1*(8*Plans_action!E240+Plans_action!D240)+1*(8*Plans_action!E249+Plans_action!D249)</f>
        <v>0</v>
      </c>
      <c r="E185" s="149">
        <f>2*(8*Plans_action!E5+Plans_action!D5)+2*(8*Plans_action!E122+Plans_action!D122)+2*(8*Plans_action!E122+Plans_action!D122)+2*(8*Plans_action!E132+Plans_action!D132)+2*(8*Plans_action!E132+Plans_action!D132)+2*(8*Plans_action!E296+Plans_action!D296)</f>
        <v>0</v>
      </c>
      <c r="F185" s="149"/>
      <c r="G185" s="149"/>
      <c r="H185" s="149"/>
      <c r="I185" s="140" t="str">
        <f t="shared" si="87"/>
        <v/>
      </c>
      <c r="J185" s="141" t="str">
        <f t="shared" si="88"/>
        <v/>
      </c>
      <c r="K185" s="142"/>
      <c r="L185" s="142"/>
      <c r="M185" s="1708"/>
      <c r="N185" s="1708"/>
      <c r="O185" s="1708"/>
      <c r="P185" s="1708"/>
      <c r="Q185" s="1708"/>
      <c r="R185" s="1708"/>
      <c r="S185" s="1708"/>
      <c r="T185" s="1708"/>
      <c r="U185" s="1708"/>
      <c r="V185" s="1708"/>
      <c r="W185" s="1708"/>
      <c r="X185" s="1712"/>
      <c r="Y185" s="1712"/>
      <c r="Z185" s="1712"/>
      <c r="AA185" s="1712"/>
      <c r="AB185" s="1712"/>
      <c r="AC185" s="1712"/>
      <c r="AD185" s="1712"/>
      <c r="AE185" s="1712"/>
      <c r="AF185" s="1712"/>
      <c r="AG185" s="1712"/>
      <c r="AH185" s="1712"/>
      <c r="AI185" s="1712"/>
      <c r="AJ185" s="1712"/>
      <c r="AK185" s="1712"/>
      <c r="AL185" s="1712"/>
      <c r="AM185" s="1712"/>
      <c r="AN185" s="1712"/>
      <c r="AO185" s="1712"/>
      <c r="AP185" s="1712"/>
      <c r="AQ185" s="1712"/>
      <c r="AR185" s="1712"/>
      <c r="AS185" s="1712"/>
      <c r="AT185" s="1712"/>
      <c r="AU185" s="1712"/>
      <c r="AV185" s="1712"/>
      <c r="AW185" s="1712"/>
      <c r="AX185" s="1713"/>
      <c r="AY185" s="1714" t="str">
        <f t="shared" si="89"/>
        <v/>
      </c>
      <c r="AZ185" s="1714" t="str">
        <f>IF(Obj_PA!D185="","",IF(AY185="","",Obj_PA!D185-AY185))</f>
        <v/>
      </c>
      <c r="BA185" s="150"/>
      <c r="BB185" s="150"/>
      <c r="BC185" s="150"/>
      <c r="BD185" s="150"/>
      <c r="BE185" s="150"/>
      <c r="BF185" s="150"/>
      <c r="BG185" s="150"/>
      <c r="BH185" s="150"/>
      <c r="BI185" s="150"/>
      <c r="BJ185" s="150"/>
      <c r="BK185" s="155" t="str">
        <f t="shared" si="90"/>
        <v/>
      </c>
      <c r="BL185" s="155" t="str">
        <f t="shared" si="91"/>
        <v/>
      </c>
      <c r="BM185" s="155" t="str">
        <f t="shared" si="92"/>
        <v/>
      </c>
      <c r="BN185" s="155" t="str">
        <f t="shared" si="93"/>
        <v/>
      </c>
      <c r="BO185" s="155" t="str">
        <f t="shared" si="94"/>
        <v/>
      </c>
      <c r="BP185" s="155" t="str">
        <f t="shared" si="95"/>
        <v/>
      </c>
      <c r="BQ185" s="155" t="str">
        <f t="shared" si="96"/>
        <v/>
      </c>
      <c r="BR185" s="155" t="str">
        <f t="shared" si="97"/>
        <v/>
      </c>
      <c r="BS185" s="155" t="str">
        <f t="shared" si="98"/>
        <v/>
      </c>
      <c r="BT185" s="155" t="str">
        <f t="shared" si="99"/>
        <v/>
      </c>
      <c r="BU185" s="155" t="str">
        <f t="shared" si="100"/>
        <v/>
      </c>
      <c r="BV185" s="155" t="str">
        <f t="shared" si="101"/>
        <v/>
      </c>
      <c r="BW185" s="155" t="str">
        <f t="shared" si="102"/>
        <v/>
      </c>
      <c r="BX185" s="155" t="str">
        <f t="shared" si="103"/>
        <v/>
      </c>
      <c r="BY185" s="155" t="str">
        <f t="shared" si="104"/>
        <v/>
      </c>
      <c r="BZ185" s="155" t="str">
        <f t="shared" si="105"/>
        <v/>
      </c>
      <c r="CA185" s="155" t="str">
        <f t="shared" si="106"/>
        <v/>
      </c>
      <c r="CB185" s="155" t="str">
        <f t="shared" si="107"/>
        <v/>
      </c>
      <c r="CC185" s="155" t="str">
        <f t="shared" si="108"/>
        <v/>
      </c>
      <c r="CD185" s="155" t="str">
        <f t="shared" si="109"/>
        <v/>
      </c>
      <c r="CE185" s="155" t="str">
        <f t="shared" si="110"/>
        <v/>
      </c>
      <c r="CF185" s="155" t="str">
        <f t="shared" si="111"/>
        <v/>
      </c>
      <c r="CG185" s="155" t="str">
        <f t="shared" si="112"/>
        <v/>
      </c>
      <c r="CH185" s="155" t="str">
        <f t="shared" si="113"/>
        <v/>
      </c>
      <c r="CI185" s="155" t="str">
        <f t="shared" si="114"/>
        <v/>
      </c>
      <c r="CJ185" s="155" t="str">
        <f t="shared" si="115"/>
        <v/>
      </c>
      <c r="CK185" s="155" t="str">
        <f t="shared" si="116"/>
        <v/>
      </c>
      <c r="CL185" s="155" t="str">
        <f t="shared" si="117"/>
        <v/>
      </c>
      <c r="CM185" s="155" t="str">
        <f t="shared" si="118"/>
        <v/>
      </c>
      <c r="CN185" s="155" t="str">
        <f t="shared" si="119"/>
        <v/>
      </c>
      <c r="CO185" s="155" t="str">
        <f t="shared" si="120"/>
        <v/>
      </c>
      <c r="CP185" s="155" t="str">
        <f t="shared" si="121"/>
        <v/>
      </c>
      <c r="CQ185" s="155" t="str">
        <f t="shared" si="122"/>
        <v/>
      </c>
      <c r="CR185" s="155" t="str">
        <f t="shared" si="123"/>
        <v/>
      </c>
      <c r="CS185" s="155" t="str">
        <f t="shared" si="124"/>
        <v/>
      </c>
      <c r="CT185" s="155" t="str">
        <f t="shared" si="125"/>
        <v/>
      </c>
      <c r="CU185" s="155" t="str">
        <f t="shared" si="126"/>
        <v/>
      </c>
      <c r="CV185" s="155" t="str">
        <f t="shared" si="127"/>
        <v/>
      </c>
      <c r="CW185" s="155" t="str">
        <f t="shared" si="128"/>
        <v/>
      </c>
      <c r="CX185" s="155" t="str">
        <f t="shared" si="129"/>
        <v/>
      </c>
      <c r="DU185" s="151">
        <f>IF(INDEX(Tab_actions,33,1)=1,INDEX(Tab_actions,33,8),0)</f>
        <v>0</v>
      </c>
      <c r="DV185" s="151">
        <f>IF(INDEX(Tab_actions,40,1)=1,INDEX(Tab_actions,40,12),0)</f>
        <v>0</v>
      </c>
    </row>
    <row r="186" spans="1:127" s="151" customFormat="1" ht="25.5" outlineLevel="1" x14ac:dyDescent="0.2">
      <c r="A186" s="156"/>
      <c r="B186" s="157" t="str">
        <f>Services!B186</f>
        <v>08C04</v>
      </c>
      <c r="C186" s="153" t="str">
        <f>Services!C186</f>
        <v>Sécurité physique des supports externalisés (stockés dans un site externe)</v>
      </c>
      <c r="D186" s="149"/>
      <c r="E186" s="149">
        <f>2*(8*Plans_action!E122+Plans_action!D122)+2*(8*Plans_action!E122+Plans_action!D122)+2*(8*Plans_action!E132+Plans_action!D132)+2*(8*Plans_action!E132+Plans_action!D132)+2*(8*Plans_action!E296+Plans_action!D296)</f>
        <v>0</v>
      </c>
      <c r="F186" s="149"/>
      <c r="G186" s="149"/>
      <c r="H186" s="149"/>
      <c r="I186" s="140" t="str">
        <f t="shared" si="87"/>
        <v/>
      </c>
      <c r="J186" s="141" t="str">
        <f t="shared" si="88"/>
        <v/>
      </c>
      <c r="K186" s="142"/>
      <c r="L186" s="142"/>
      <c r="M186" s="1708"/>
      <c r="N186" s="1708"/>
      <c r="O186" s="1708"/>
      <c r="P186" s="1708"/>
      <c r="Q186" s="1708"/>
      <c r="R186" s="1708"/>
      <c r="S186" s="1708"/>
      <c r="T186" s="1708"/>
      <c r="U186" s="1708"/>
      <c r="V186" s="1708"/>
      <c r="W186" s="1708"/>
      <c r="X186" s="1712"/>
      <c r="Y186" s="1712"/>
      <c r="Z186" s="1712"/>
      <c r="AA186" s="1712"/>
      <c r="AB186" s="1712"/>
      <c r="AC186" s="1712"/>
      <c r="AD186" s="1712"/>
      <c r="AE186" s="1712"/>
      <c r="AF186" s="1712"/>
      <c r="AG186" s="1712"/>
      <c r="AH186" s="1712"/>
      <c r="AI186" s="1712"/>
      <c r="AJ186" s="1712"/>
      <c r="AK186" s="1712"/>
      <c r="AL186" s="1712"/>
      <c r="AM186" s="1712"/>
      <c r="AN186" s="1712"/>
      <c r="AO186" s="1712"/>
      <c r="AP186" s="1712"/>
      <c r="AQ186" s="1712"/>
      <c r="AR186" s="1712"/>
      <c r="AS186" s="1712"/>
      <c r="AT186" s="1712"/>
      <c r="AU186" s="1712"/>
      <c r="AV186" s="1712"/>
      <c r="AW186" s="1712"/>
      <c r="AX186" s="1713"/>
      <c r="AY186" s="1714" t="str">
        <f t="shared" si="89"/>
        <v/>
      </c>
      <c r="AZ186" s="1714" t="str">
        <f>IF(Obj_PA!D186="","",IF(AY186="","",Obj_PA!D186-AY186))</f>
        <v/>
      </c>
      <c r="BA186" s="150"/>
      <c r="BB186" s="150"/>
      <c r="BC186" s="150"/>
      <c r="BD186" s="150"/>
      <c r="BE186" s="150"/>
      <c r="BF186" s="150"/>
      <c r="BG186" s="150"/>
      <c r="BH186" s="150"/>
      <c r="BI186" s="150"/>
      <c r="BJ186" s="150"/>
      <c r="BK186" s="155" t="str">
        <f t="shared" si="90"/>
        <v/>
      </c>
      <c r="BL186" s="155" t="str">
        <f t="shared" si="91"/>
        <v/>
      </c>
      <c r="BM186" s="155" t="str">
        <f t="shared" si="92"/>
        <v/>
      </c>
      <c r="BN186" s="155" t="str">
        <f t="shared" si="93"/>
        <v/>
      </c>
      <c r="BO186" s="155" t="str">
        <f t="shared" si="94"/>
        <v/>
      </c>
      <c r="BP186" s="155" t="str">
        <f t="shared" si="95"/>
        <v/>
      </c>
      <c r="BQ186" s="155" t="str">
        <f t="shared" si="96"/>
        <v/>
      </c>
      <c r="BR186" s="155" t="str">
        <f t="shared" si="97"/>
        <v/>
      </c>
      <c r="BS186" s="155" t="str">
        <f t="shared" si="98"/>
        <v/>
      </c>
      <c r="BT186" s="155" t="str">
        <f t="shared" si="99"/>
        <v/>
      </c>
      <c r="BU186" s="155" t="str">
        <f t="shared" si="100"/>
        <v/>
      </c>
      <c r="BV186" s="155" t="str">
        <f t="shared" si="101"/>
        <v/>
      </c>
      <c r="BW186" s="155" t="str">
        <f t="shared" si="102"/>
        <v/>
      </c>
      <c r="BX186" s="155" t="str">
        <f t="shared" si="103"/>
        <v/>
      </c>
      <c r="BY186" s="155" t="str">
        <f t="shared" si="104"/>
        <v/>
      </c>
      <c r="BZ186" s="155" t="str">
        <f t="shared" si="105"/>
        <v/>
      </c>
      <c r="CA186" s="155" t="str">
        <f t="shared" si="106"/>
        <v/>
      </c>
      <c r="CB186" s="155" t="str">
        <f t="shared" si="107"/>
        <v/>
      </c>
      <c r="CC186" s="155" t="str">
        <f t="shared" si="108"/>
        <v/>
      </c>
      <c r="CD186" s="155" t="str">
        <f t="shared" si="109"/>
        <v/>
      </c>
      <c r="CE186" s="155" t="str">
        <f t="shared" si="110"/>
        <v/>
      </c>
      <c r="CF186" s="155" t="str">
        <f t="shared" si="111"/>
        <v/>
      </c>
      <c r="CG186" s="155" t="str">
        <f t="shared" si="112"/>
        <v/>
      </c>
      <c r="CH186" s="155" t="str">
        <f t="shared" si="113"/>
        <v/>
      </c>
      <c r="CI186" s="155" t="str">
        <f t="shared" si="114"/>
        <v/>
      </c>
      <c r="CJ186" s="155" t="str">
        <f t="shared" si="115"/>
        <v/>
      </c>
      <c r="CK186" s="155" t="str">
        <f t="shared" si="116"/>
        <v/>
      </c>
      <c r="CL186" s="155" t="str">
        <f t="shared" si="117"/>
        <v/>
      </c>
      <c r="CM186" s="155" t="str">
        <f t="shared" si="118"/>
        <v/>
      </c>
      <c r="CN186" s="155" t="str">
        <f t="shared" si="119"/>
        <v/>
      </c>
      <c r="CO186" s="155" t="str">
        <f t="shared" si="120"/>
        <v/>
      </c>
      <c r="CP186" s="155" t="str">
        <f t="shared" si="121"/>
        <v/>
      </c>
      <c r="CQ186" s="155" t="str">
        <f t="shared" si="122"/>
        <v/>
      </c>
      <c r="CR186" s="155" t="str">
        <f t="shared" si="123"/>
        <v/>
      </c>
      <c r="CS186" s="155" t="str">
        <f t="shared" si="124"/>
        <v/>
      </c>
      <c r="CT186" s="155" t="str">
        <f t="shared" si="125"/>
        <v/>
      </c>
      <c r="CU186" s="155" t="str">
        <f t="shared" si="126"/>
        <v/>
      </c>
      <c r="CV186" s="155" t="str">
        <f t="shared" si="127"/>
        <v/>
      </c>
      <c r="CW186" s="155" t="str">
        <f t="shared" si="128"/>
        <v/>
      </c>
      <c r="CX186" s="155" t="str">
        <f t="shared" si="129"/>
        <v/>
      </c>
    </row>
    <row r="187" spans="1:127" s="151" customFormat="1" ht="14.25" outlineLevel="1" x14ac:dyDescent="0.2">
      <c r="A187" s="156"/>
      <c r="B187" s="157" t="str">
        <f>Services!B187</f>
        <v>08C05</v>
      </c>
      <c r="C187" s="153" t="str">
        <f>Services!C187</f>
        <v>Vérification et rotation des supports d'archivage</v>
      </c>
      <c r="D187" s="149">
        <f>1*(8*Plans_action!E53+Plans_action!D53)+1*(8*Plans_action!E215+Plans_action!D215)+1*(8*Plans_action!E224+Plans_action!D224)+1*(8*Plans_action!E240+Plans_action!D240)+1*(8*Plans_action!E249+Plans_action!D249)</f>
        <v>0</v>
      </c>
      <c r="E187" s="149"/>
      <c r="F187" s="149"/>
      <c r="G187" s="149"/>
      <c r="H187" s="149"/>
      <c r="I187" s="140" t="str">
        <f t="shared" si="87"/>
        <v/>
      </c>
      <c r="J187" s="141" t="str">
        <f t="shared" si="88"/>
        <v/>
      </c>
      <c r="K187" s="142"/>
      <c r="L187" s="142"/>
      <c r="M187" s="1708"/>
      <c r="N187" s="1708"/>
      <c r="O187" s="1708"/>
      <c r="P187" s="1708"/>
      <c r="Q187" s="1708"/>
      <c r="R187" s="1708"/>
      <c r="S187" s="1708"/>
      <c r="T187" s="1708"/>
      <c r="U187" s="1708"/>
      <c r="V187" s="1708"/>
      <c r="W187" s="1708"/>
      <c r="X187" s="1712"/>
      <c r="Y187" s="1712"/>
      <c r="Z187" s="1712"/>
      <c r="AA187" s="1712"/>
      <c r="AB187" s="1712"/>
      <c r="AC187" s="1712"/>
      <c r="AD187" s="1712"/>
      <c r="AE187" s="1712"/>
      <c r="AF187" s="1712"/>
      <c r="AG187" s="1712"/>
      <c r="AH187" s="1712"/>
      <c r="AI187" s="1712"/>
      <c r="AJ187" s="1712"/>
      <c r="AK187" s="1712"/>
      <c r="AL187" s="1712"/>
      <c r="AM187" s="1712"/>
      <c r="AN187" s="1712"/>
      <c r="AO187" s="1712"/>
      <c r="AP187" s="1712"/>
      <c r="AQ187" s="1712"/>
      <c r="AR187" s="1712"/>
      <c r="AS187" s="1712"/>
      <c r="AT187" s="1712"/>
      <c r="AU187" s="1712"/>
      <c r="AV187" s="1712"/>
      <c r="AW187" s="1712"/>
      <c r="AX187" s="1713"/>
      <c r="AY187" s="1714" t="str">
        <f t="shared" si="89"/>
        <v/>
      </c>
      <c r="AZ187" s="1714" t="str">
        <f>IF(Obj_PA!D187="","",IF(AY187="","",Obj_PA!D187-AY187))</f>
        <v/>
      </c>
      <c r="BA187" s="150"/>
      <c r="BB187" s="150"/>
      <c r="BC187" s="150"/>
      <c r="BD187" s="150"/>
      <c r="BE187" s="150"/>
      <c r="BF187" s="150"/>
      <c r="BG187" s="150"/>
      <c r="BH187" s="150"/>
      <c r="BI187" s="150"/>
      <c r="BJ187" s="150"/>
      <c r="BK187" s="155" t="str">
        <f t="shared" si="90"/>
        <v/>
      </c>
      <c r="BL187" s="155" t="str">
        <f t="shared" si="91"/>
        <v/>
      </c>
      <c r="BM187" s="155" t="str">
        <f t="shared" si="92"/>
        <v/>
      </c>
      <c r="BN187" s="155" t="str">
        <f t="shared" si="93"/>
        <v/>
      </c>
      <c r="BO187" s="155" t="str">
        <f t="shared" si="94"/>
        <v/>
      </c>
      <c r="BP187" s="155" t="str">
        <f t="shared" si="95"/>
        <v/>
      </c>
      <c r="BQ187" s="155" t="str">
        <f t="shared" si="96"/>
        <v/>
      </c>
      <c r="BR187" s="155" t="str">
        <f t="shared" si="97"/>
        <v/>
      </c>
      <c r="BS187" s="155" t="str">
        <f t="shared" si="98"/>
        <v/>
      </c>
      <c r="BT187" s="155" t="str">
        <f t="shared" si="99"/>
        <v/>
      </c>
      <c r="BU187" s="155" t="str">
        <f t="shared" si="100"/>
        <v/>
      </c>
      <c r="BV187" s="155" t="str">
        <f t="shared" si="101"/>
        <v/>
      </c>
      <c r="BW187" s="155" t="str">
        <f t="shared" si="102"/>
        <v/>
      </c>
      <c r="BX187" s="155" t="str">
        <f t="shared" si="103"/>
        <v/>
      </c>
      <c r="BY187" s="155" t="str">
        <f t="shared" si="104"/>
        <v/>
      </c>
      <c r="BZ187" s="155" t="str">
        <f t="shared" si="105"/>
        <v/>
      </c>
      <c r="CA187" s="155" t="str">
        <f t="shared" si="106"/>
        <v/>
      </c>
      <c r="CB187" s="155" t="str">
        <f t="shared" si="107"/>
        <v/>
      </c>
      <c r="CC187" s="155" t="str">
        <f t="shared" si="108"/>
        <v/>
      </c>
      <c r="CD187" s="155" t="str">
        <f t="shared" si="109"/>
        <v/>
      </c>
      <c r="CE187" s="155" t="str">
        <f t="shared" si="110"/>
        <v/>
      </c>
      <c r="CF187" s="155" t="str">
        <f t="shared" si="111"/>
        <v/>
      </c>
      <c r="CG187" s="155" t="str">
        <f t="shared" si="112"/>
        <v/>
      </c>
      <c r="CH187" s="155" t="str">
        <f t="shared" si="113"/>
        <v/>
      </c>
      <c r="CI187" s="155" t="str">
        <f t="shared" si="114"/>
        <v/>
      </c>
      <c r="CJ187" s="155" t="str">
        <f t="shared" si="115"/>
        <v/>
      </c>
      <c r="CK187" s="155" t="str">
        <f t="shared" si="116"/>
        <v/>
      </c>
      <c r="CL187" s="155" t="str">
        <f t="shared" si="117"/>
        <v/>
      </c>
      <c r="CM187" s="155" t="str">
        <f t="shared" si="118"/>
        <v/>
      </c>
      <c r="CN187" s="155" t="str">
        <f t="shared" si="119"/>
        <v/>
      </c>
      <c r="CO187" s="155" t="str">
        <f t="shared" si="120"/>
        <v/>
      </c>
      <c r="CP187" s="155" t="str">
        <f t="shared" si="121"/>
        <v/>
      </c>
      <c r="CQ187" s="155" t="str">
        <f t="shared" si="122"/>
        <v/>
      </c>
      <c r="CR187" s="155" t="str">
        <f t="shared" si="123"/>
        <v/>
      </c>
      <c r="CS187" s="155" t="str">
        <f t="shared" si="124"/>
        <v/>
      </c>
      <c r="CT187" s="155" t="str">
        <f t="shared" si="125"/>
        <v/>
      </c>
      <c r="CU187" s="155" t="str">
        <f t="shared" si="126"/>
        <v/>
      </c>
      <c r="CV187" s="155" t="str">
        <f t="shared" si="127"/>
        <v/>
      </c>
      <c r="CW187" s="155" t="str">
        <f t="shared" si="128"/>
        <v/>
      </c>
      <c r="CX187" s="155" t="str">
        <f t="shared" si="129"/>
        <v/>
      </c>
      <c r="DW187" s="151">
        <f>IF(INDEX(Tab_actions,18,1)=1,INDEX(Tab_actions,18,6),0)</f>
        <v>0</v>
      </c>
    </row>
    <row r="188" spans="1:127" s="151" customFormat="1" ht="14.25" outlineLevel="1" x14ac:dyDescent="0.2">
      <c r="A188" s="156"/>
      <c r="B188" s="157" t="str">
        <f>Services!B188</f>
        <v>08C06</v>
      </c>
      <c r="C188" s="153" t="str">
        <f>Services!C188</f>
        <v>Protection des réseaux de stockage</v>
      </c>
      <c r="D188" s="149"/>
      <c r="E188" s="149">
        <f>2*(8*Plans_action!E122+Plans_action!D122)+2*(8*Plans_action!E132+Plans_action!D132)</f>
        <v>0</v>
      </c>
      <c r="F188" s="149"/>
      <c r="G188" s="149"/>
      <c r="H188" s="149"/>
      <c r="I188" s="140" t="str">
        <f t="shared" si="87"/>
        <v/>
      </c>
      <c r="J188" s="141" t="str">
        <f t="shared" si="88"/>
        <v/>
      </c>
      <c r="K188" s="142"/>
      <c r="L188" s="142"/>
      <c r="M188" s="1708"/>
      <c r="N188" s="1708"/>
      <c r="O188" s="1708"/>
      <c r="P188" s="1708"/>
      <c r="Q188" s="1708"/>
      <c r="R188" s="1708"/>
      <c r="S188" s="1708"/>
      <c r="T188" s="1708"/>
      <c r="U188" s="1708"/>
      <c r="V188" s="1708"/>
      <c r="W188" s="1708"/>
      <c r="X188" s="1712"/>
      <c r="Y188" s="1712"/>
      <c r="Z188" s="1712"/>
      <c r="AA188" s="1712"/>
      <c r="AB188" s="1712"/>
      <c r="AC188" s="1712"/>
      <c r="AD188" s="1712"/>
      <c r="AE188" s="1712"/>
      <c r="AF188" s="1712"/>
      <c r="AG188" s="1712"/>
      <c r="AH188" s="1712"/>
      <c r="AI188" s="1712"/>
      <c r="AJ188" s="1712"/>
      <c r="AK188" s="1712"/>
      <c r="AL188" s="1712"/>
      <c r="AM188" s="1712"/>
      <c r="AN188" s="1712"/>
      <c r="AO188" s="1712"/>
      <c r="AP188" s="1712"/>
      <c r="AQ188" s="1712"/>
      <c r="AR188" s="1712"/>
      <c r="AS188" s="1712"/>
      <c r="AT188" s="1712"/>
      <c r="AU188" s="1712"/>
      <c r="AV188" s="1712"/>
      <c r="AW188" s="1712"/>
      <c r="AX188" s="1713"/>
      <c r="AY188" s="1714" t="str">
        <f t="shared" si="89"/>
        <v/>
      </c>
      <c r="AZ188" s="1714" t="str">
        <f>IF(Obj_PA!D188="","",IF(AY188="","",Obj_PA!D188-AY188))</f>
        <v/>
      </c>
      <c r="BA188" s="150"/>
      <c r="BB188" s="150"/>
      <c r="BC188" s="150"/>
      <c r="BD188" s="150"/>
      <c r="BE188" s="150"/>
      <c r="BF188" s="150"/>
      <c r="BG188" s="150"/>
      <c r="BH188" s="150"/>
      <c r="BI188" s="150"/>
      <c r="BJ188" s="150"/>
      <c r="BK188" s="155" t="str">
        <f t="shared" si="90"/>
        <v/>
      </c>
      <c r="BL188" s="155" t="str">
        <f t="shared" si="91"/>
        <v/>
      </c>
      <c r="BM188" s="155" t="str">
        <f t="shared" si="92"/>
        <v/>
      </c>
      <c r="BN188" s="155" t="str">
        <f t="shared" si="93"/>
        <v/>
      </c>
      <c r="BO188" s="155" t="str">
        <f t="shared" si="94"/>
        <v/>
      </c>
      <c r="BP188" s="155" t="str">
        <f t="shared" si="95"/>
        <v/>
      </c>
      <c r="BQ188" s="155" t="str">
        <f t="shared" si="96"/>
        <v/>
      </c>
      <c r="BR188" s="155" t="str">
        <f t="shared" si="97"/>
        <v/>
      </c>
      <c r="BS188" s="155" t="str">
        <f t="shared" si="98"/>
        <v/>
      </c>
      <c r="BT188" s="155" t="str">
        <f t="shared" si="99"/>
        <v/>
      </c>
      <c r="BU188" s="155" t="str">
        <f t="shared" si="100"/>
        <v/>
      </c>
      <c r="BV188" s="155" t="str">
        <f t="shared" si="101"/>
        <v/>
      </c>
      <c r="BW188" s="155" t="str">
        <f t="shared" si="102"/>
        <v/>
      </c>
      <c r="BX188" s="155" t="str">
        <f t="shared" si="103"/>
        <v/>
      </c>
      <c r="BY188" s="155" t="str">
        <f t="shared" si="104"/>
        <v/>
      </c>
      <c r="BZ188" s="155" t="str">
        <f t="shared" si="105"/>
        <v/>
      </c>
      <c r="CA188" s="155" t="str">
        <f t="shared" si="106"/>
        <v/>
      </c>
      <c r="CB188" s="155" t="str">
        <f t="shared" si="107"/>
        <v/>
      </c>
      <c r="CC188" s="155" t="str">
        <f t="shared" si="108"/>
        <v/>
      </c>
      <c r="CD188" s="155" t="str">
        <f t="shared" si="109"/>
        <v/>
      </c>
      <c r="CE188" s="155" t="str">
        <f t="shared" si="110"/>
        <v/>
      </c>
      <c r="CF188" s="155" t="str">
        <f t="shared" si="111"/>
        <v/>
      </c>
      <c r="CG188" s="155" t="str">
        <f t="shared" si="112"/>
        <v/>
      </c>
      <c r="CH188" s="155" t="str">
        <f t="shared" si="113"/>
        <v/>
      </c>
      <c r="CI188" s="155" t="str">
        <f t="shared" si="114"/>
        <v/>
      </c>
      <c r="CJ188" s="155" t="str">
        <f t="shared" si="115"/>
        <v/>
      </c>
      <c r="CK188" s="155" t="str">
        <f t="shared" si="116"/>
        <v/>
      </c>
      <c r="CL188" s="155" t="str">
        <f t="shared" si="117"/>
        <v/>
      </c>
      <c r="CM188" s="155" t="str">
        <f t="shared" si="118"/>
        <v/>
      </c>
      <c r="CN188" s="155" t="str">
        <f t="shared" si="119"/>
        <v/>
      </c>
      <c r="CO188" s="155" t="str">
        <f t="shared" si="120"/>
        <v/>
      </c>
      <c r="CP188" s="155" t="str">
        <f t="shared" si="121"/>
        <v/>
      </c>
      <c r="CQ188" s="155" t="str">
        <f t="shared" si="122"/>
        <v/>
      </c>
      <c r="CR188" s="155" t="str">
        <f t="shared" si="123"/>
        <v/>
      </c>
      <c r="CS188" s="155" t="str">
        <f t="shared" si="124"/>
        <v/>
      </c>
      <c r="CT188" s="155" t="str">
        <f t="shared" si="125"/>
        <v/>
      </c>
      <c r="CU188" s="155" t="str">
        <f t="shared" si="126"/>
        <v/>
      </c>
      <c r="CV188" s="155" t="str">
        <f t="shared" si="127"/>
        <v/>
      </c>
      <c r="CW188" s="155" t="str">
        <f t="shared" si="128"/>
        <v/>
      </c>
      <c r="CX188" s="155" t="str">
        <f t="shared" si="129"/>
        <v/>
      </c>
    </row>
    <row r="189" spans="1:127" s="151" customFormat="1" ht="14.25" outlineLevel="1" x14ac:dyDescent="0.2">
      <c r="A189" s="156"/>
      <c r="B189" s="157" t="str">
        <f>Services!B189</f>
        <v>08C07</v>
      </c>
      <c r="C189" s="153" t="str">
        <f>Services!C189</f>
        <v>Sécurité physique des médias en transit</v>
      </c>
      <c r="D189" s="149"/>
      <c r="E189" s="149">
        <f>2*(8*Plans_action!E122+Plans_action!D122)+2*(8*Plans_action!E132+Plans_action!D132)</f>
        <v>0</v>
      </c>
      <c r="F189" s="149"/>
      <c r="G189" s="149"/>
      <c r="H189" s="149"/>
      <c r="I189" s="140" t="str">
        <f t="shared" si="87"/>
        <v/>
      </c>
      <c r="J189" s="141" t="str">
        <f t="shared" si="88"/>
        <v/>
      </c>
      <c r="K189" s="142"/>
      <c r="L189" s="142"/>
      <c r="M189" s="1708"/>
      <c r="N189" s="1708"/>
      <c r="O189" s="1708"/>
      <c r="P189" s="1708"/>
      <c r="Q189" s="1708"/>
      <c r="R189" s="1708"/>
      <c r="S189" s="1708"/>
      <c r="T189" s="1708"/>
      <c r="U189" s="1708"/>
      <c r="V189" s="1708"/>
      <c r="W189" s="1708"/>
      <c r="X189" s="1712"/>
      <c r="Y189" s="1712"/>
      <c r="Z189" s="1712"/>
      <c r="AA189" s="1712"/>
      <c r="AB189" s="1712"/>
      <c r="AC189" s="1712"/>
      <c r="AD189" s="1712"/>
      <c r="AE189" s="1712"/>
      <c r="AF189" s="1712"/>
      <c r="AG189" s="1712"/>
      <c r="AH189" s="1712"/>
      <c r="AI189" s="1712"/>
      <c r="AJ189" s="1712"/>
      <c r="AK189" s="1712"/>
      <c r="AL189" s="1712"/>
      <c r="AM189" s="1712"/>
      <c r="AN189" s="1712"/>
      <c r="AO189" s="1712"/>
      <c r="AP189" s="1712"/>
      <c r="AQ189" s="1712"/>
      <c r="AR189" s="1712"/>
      <c r="AS189" s="1712"/>
      <c r="AT189" s="1712"/>
      <c r="AU189" s="1712"/>
      <c r="AV189" s="1712"/>
      <c r="AW189" s="1712"/>
      <c r="AX189" s="1713"/>
      <c r="AY189" s="1714" t="str">
        <f t="shared" si="89"/>
        <v/>
      </c>
      <c r="AZ189" s="1714" t="str">
        <f>IF(Obj_PA!D189="","",IF(AY189="","",Obj_PA!D189-AY189))</f>
        <v/>
      </c>
      <c r="BA189" s="150"/>
      <c r="BB189" s="150"/>
      <c r="BC189" s="150"/>
      <c r="BD189" s="150"/>
      <c r="BE189" s="150"/>
      <c r="BF189" s="150"/>
      <c r="BG189" s="150"/>
      <c r="BH189" s="150"/>
      <c r="BI189" s="150"/>
      <c r="BJ189" s="150"/>
      <c r="BK189" s="155" t="str">
        <f t="shared" si="90"/>
        <v/>
      </c>
      <c r="BL189" s="155" t="str">
        <f t="shared" si="91"/>
        <v/>
      </c>
      <c r="BM189" s="155" t="str">
        <f t="shared" si="92"/>
        <v/>
      </c>
      <c r="BN189" s="155" t="str">
        <f t="shared" si="93"/>
        <v/>
      </c>
      <c r="BO189" s="155" t="str">
        <f t="shared" si="94"/>
        <v/>
      </c>
      <c r="BP189" s="155" t="str">
        <f t="shared" si="95"/>
        <v/>
      </c>
      <c r="BQ189" s="155" t="str">
        <f t="shared" si="96"/>
        <v/>
      </c>
      <c r="BR189" s="155" t="str">
        <f t="shared" si="97"/>
        <v/>
      </c>
      <c r="BS189" s="155" t="str">
        <f t="shared" si="98"/>
        <v/>
      </c>
      <c r="BT189" s="155" t="str">
        <f t="shared" si="99"/>
        <v/>
      </c>
      <c r="BU189" s="155" t="str">
        <f t="shared" si="100"/>
        <v/>
      </c>
      <c r="BV189" s="155" t="str">
        <f t="shared" si="101"/>
        <v/>
      </c>
      <c r="BW189" s="155" t="str">
        <f t="shared" si="102"/>
        <v/>
      </c>
      <c r="BX189" s="155" t="str">
        <f t="shared" si="103"/>
        <v/>
      </c>
      <c r="BY189" s="155" t="str">
        <f t="shared" si="104"/>
        <v/>
      </c>
      <c r="BZ189" s="155" t="str">
        <f t="shared" si="105"/>
        <v/>
      </c>
      <c r="CA189" s="155" t="str">
        <f t="shared" si="106"/>
        <v/>
      </c>
      <c r="CB189" s="155" t="str">
        <f t="shared" si="107"/>
        <v/>
      </c>
      <c r="CC189" s="155" t="str">
        <f t="shared" si="108"/>
        <v/>
      </c>
      <c r="CD189" s="155" t="str">
        <f t="shared" si="109"/>
        <v/>
      </c>
      <c r="CE189" s="155" t="str">
        <f t="shared" si="110"/>
        <v/>
      </c>
      <c r="CF189" s="155" t="str">
        <f t="shared" si="111"/>
        <v/>
      </c>
      <c r="CG189" s="155" t="str">
        <f t="shared" si="112"/>
        <v/>
      </c>
      <c r="CH189" s="155" t="str">
        <f t="shared" si="113"/>
        <v/>
      </c>
      <c r="CI189" s="155" t="str">
        <f t="shared" si="114"/>
        <v/>
      </c>
      <c r="CJ189" s="155" t="str">
        <f t="shared" si="115"/>
        <v/>
      </c>
      <c r="CK189" s="155" t="str">
        <f t="shared" si="116"/>
        <v/>
      </c>
      <c r="CL189" s="155" t="str">
        <f t="shared" si="117"/>
        <v/>
      </c>
      <c r="CM189" s="155" t="str">
        <f t="shared" si="118"/>
        <v/>
      </c>
      <c r="CN189" s="155" t="str">
        <f t="shared" si="119"/>
        <v/>
      </c>
      <c r="CO189" s="155" t="str">
        <f t="shared" si="120"/>
        <v/>
      </c>
      <c r="CP189" s="155" t="str">
        <f t="shared" si="121"/>
        <v/>
      </c>
      <c r="CQ189" s="155" t="str">
        <f t="shared" si="122"/>
        <v/>
      </c>
      <c r="CR189" s="155" t="str">
        <f t="shared" si="123"/>
        <v/>
      </c>
      <c r="CS189" s="155" t="str">
        <f t="shared" si="124"/>
        <v/>
      </c>
      <c r="CT189" s="155" t="str">
        <f t="shared" si="125"/>
        <v/>
      </c>
      <c r="CU189" s="155" t="str">
        <f t="shared" si="126"/>
        <v/>
      </c>
      <c r="CV189" s="155" t="str">
        <f t="shared" si="127"/>
        <v/>
      </c>
      <c r="CW189" s="155" t="str">
        <f t="shared" si="128"/>
        <v/>
      </c>
      <c r="CX189" s="155" t="str">
        <f t="shared" si="129"/>
        <v/>
      </c>
    </row>
    <row r="190" spans="1:127" s="151" customFormat="1" ht="14.25" outlineLevel="1" x14ac:dyDescent="0.2">
      <c r="A190" s="146"/>
      <c r="B190" s="147" t="str">
        <f>Services!B190</f>
        <v>08D</v>
      </c>
      <c r="C190" s="148" t="str">
        <f>Services!C190</f>
        <v>Continuité de fonctionnement</v>
      </c>
      <c r="D190" s="149"/>
      <c r="E190" s="149"/>
      <c r="F190" s="149"/>
      <c r="G190" s="149"/>
      <c r="H190" s="149"/>
      <c r="I190" s="140" t="str">
        <f t="shared" si="87"/>
        <v/>
      </c>
      <c r="J190" s="141" t="str">
        <f t="shared" si="88"/>
        <v/>
      </c>
      <c r="K190" s="142"/>
      <c r="L190" s="142"/>
      <c r="M190" s="1708"/>
      <c r="N190" s="1708"/>
      <c r="O190" s="1708"/>
      <c r="P190" s="1708"/>
      <c r="Q190" s="1708"/>
      <c r="R190" s="1708"/>
      <c r="S190" s="1708"/>
      <c r="T190" s="1708"/>
      <c r="U190" s="1708"/>
      <c r="V190" s="1708"/>
      <c r="W190" s="1708"/>
      <c r="X190" s="1712"/>
      <c r="Y190" s="1712"/>
      <c r="Z190" s="1712"/>
      <c r="AA190" s="1712"/>
      <c r="AB190" s="1712"/>
      <c r="AC190" s="1712"/>
      <c r="AD190" s="1712"/>
      <c r="AE190" s="1712"/>
      <c r="AF190" s="1712"/>
      <c r="AG190" s="1712"/>
      <c r="AH190" s="1712"/>
      <c r="AI190" s="1712"/>
      <c r="AJ190" s="1712"/>
      <c r="AK190" s="1712"/>
      <c r="AL190" s="1712"/>
      <c r="AM190" s="1712"/>
      <c r="AN190" s="1712"/>
      <c r="AO190" s="1712"/>
      <c r="AP190" s="1712"/>
      <c r="AQ190" s="1712"/>
      <c r="AR190" s="1712"/>
      <c r="AS190" s="1712"/>
      <c r="AT190" s="1712"/>
      <c r="AU190" s="1712"/>
      <c r="AV190" s="1712"/>
      <c r="AW190" s="1712"/>
      <c r="AX190" s="1713"/>
      <c r="AY190" s="1714" t="str">
        <f t="shared" si="89"/>
        <v/>
      </c>
      <c r="AZ190" s="1714" t="str">
        <f>IF(Obj_PA!D190="","",IF(AY190="","",Obj_PA!D190-AY190))</f>
        <v/>
      </c>
      <c r="BA190" s="150"/>
      <c r="BB190" s="150"/>
      <c r="BC190" s="150"/>
      <c r="BD190" s="150"/>
      <c r="BE190" s="150"/>
      <c r="BF190" s="150"/>
      <c r="BG190" s="150"/>
      <c r="BH190" s="150"/>
      <c r="BI190" s="150"/>
      <c r="BJ190" s="150"/>
      <c r="BK190" s="155" t="str">
        <f t="shared" si="90"/>
        <v/>
      </c>
      <c r="BL190" s="155" t="str">
        <f t="shared" si="91"/>
        <v/>
      </c>
      <c r="BM190" s="155" t="str">
        <f t="shared" si="92"/>
        <v/>
      </c>
      <c r="BN190" s="155" t="str">
        <f t="shared" si="93"/>
        <v/>
      </c>
      <c r="BO190" s="155" t="str">
        <f t="shared" si="94"/>
        <v/>
      </c>
      <c r="BP190" s="155" t="str">
        <f t="shared" si="95"/>
        <v/>
      </c>
      <c r="BQ190" s="155" t="str">
        <f t="shared" si="96"/>
        <v/>
      </c>
      <c r="BR190" s="155" t="str">
        <f t="shared" si="97"/>
        <v/>
      </c>
      <c r="BS190" s="155" t="str">
        <f t="shared" si="98"/>
        <v/>
      </c>
      <c r="BT190" s="155" t="str">
        <f t="shared" si="99"/>
        <v/>
      </c>
      <c r="BU190" s="155" t="str">
        <f t="shared" si="100"/>
        <v/>
      </c>
      <c r="BV190" s="155" t="str">
        <f t="shared" si="101"/>
        <v/>
      </c>
      <c r="BW190" s="155" t="str">
        <f t="shared" si="102"/>
        <v/>
      </c>
      <c r="BX190" s="155" t="str">
        <f t="shared" si="103"/>
        <v/>
      </c>
      <c r="BY190" s="155" t="str">
        <f t="shared" si="104"/>
        <v/>
      </c>
      <c r="BZ190" s="155" t="str">
        <f t="shared" si="105"/>
        <v/>
      </c>
      <c r="CA190" s="155" t="str">
        <f t="shared" si="106"/>
        <v/>
      </c>
      <c r="CB190" s="155" t="str">
        <f t="shared" si="107"/>
        <v/>
      </c>
      <c r="CC190" s="155" t="str">
        <f t="shared" si="108"/>
        <v/>
      </c>
      <c r="CD190" s="155" t="str">
        <f t="shared" si="109"/>
        <v/>
      </c>
      <c r="CE190" s="155" t="str">
        <f t="shared" si="110"/>
        <v/>
      </c>
      <c r="CF190" s="155" t="str">
        <f t="shared" si="111"/>
        <v/>
      </c>
      <c r="CG190" s="155" t="str">
        <f t="shared" si="112"/>
        <v/>
      </c>
      <c r="CH190" s="155" t="str">
        <f t="shared" si="113"/>
        <v/>
      </c>
      <c r="CI190" s="155" t="str">
        <f t="shared" si="114"/>
        <v/>
      </c>
      <c r="CJ190" s="155" t="str">
        <f t="shared" si="115"/>
        <v/>
      </c>
      <c r="CK190" s="155" t="str">
        <f t="shared" si="116"/>
        <v/>
      </c>
      <c r="CL190" s="155" t="str">
        <f t="shared" si="117"/>
        <v/>
      </c>
      <c r="CM190" s="155" t="str">
        <f t="shared" si="118"/>
        <v/>
      </c>
      <c r="CN190" s="155" t="str">
        <f t="shared" si="119"/>
        <v/>
      </c>
      <c r="CO190" s="155" t="str">
        <f t="shared" si="120"/>
        <v/>
      </c>
      <c r="CP190" s="155" t="str">
        <f t="shared" si="121"/>
        <v/>
      </c>
      <c r="CQ190" s="155" t="str">
        <f t="shared" si="122"/>
        <v/>
      </c>
      <c r="CR190" s="155" t="str">
        <f t="shared" si="123"/>
        <v/>
      </c>
      <c r="CS190" s="155" t="str">
        <f t="shared" si="124"/>
        <v/>
      </c>
      <c r="CT190" s="155" t="str">
        <f t="shared" si="125"/>
        <v/>
      </c>
      <c r="CU190" s="155" t="str">
        <f t="shared" si="126"/>
        <v/>
      </c>
      <c r="CV190" s="155" t="str">
        <f t="shared" si="127"/>
        <v/>
      </c>
      <c r="CW190" s="155" t="str">
        <f t="shared" si="128"/>
        <v/>
      </c>
      <c r="CX190" s="155" t="str">
        <f t="shared" si="129"/>
        <v/>
      </c>
    </row>
    <row r="191" spans="1:127" s="151" customFormat="1" ht="25.5" outlineLevel="1" x14ac:dyDescent="0.2">
      <c r="A191" s="146"/>
      <c r="B191" s="157" t="str">
        <f>Services!B191</f>
        <v>08D01</v>
      </c>
      <c r="C191" s="153" t="str">
        <f>Services!C191</f>
        <v>Organisation de la maintenance du matériel (équipements) en exploitation</v>
      </c>
      <c r="D191" s="149">
        <f>1*(8*Plans_action!E224+Plans_action!D224)+1*(8*Plans_action!E249+Plans_action!D249)</f>
        <v>0</v>
      </c>
      <c r="E191" s="149">
        <f>2*(8*Plans_action!E215+Plans_action!D215)+2*(8*Plans_action!E240+Plans_action!D240)</f>
        <v>0</v>
      </c>
      <c r="F191" s="149"/>
      <c r="G191" s="149"/>
      <c r="H191" s="149"/>
      <c r="I191" s="140" t="str">
        <f t="shared" si="87"/>
        <v/>
      </c>
      <c r="J191" s="141" t="str">
        <f t="shared" si="88"/>
        <v/>
      </c>
      <c r="K191" s="142"/>
      <c r="L191" s="142"/>
      <c r="M191" s="1708"/>
      <c r="N191" s="1708"/>
      <c r="O191" s="1708"/>
      <c r="P191" s="1708"/>
      <c r="Q191" s="1708"/>
      <c r="R191" s="1708"/>
      <c r="S191" s="1708"/>
      <c r="T191" s="1708"/>
      <c r="U191" s="1708"/>
      <c r="V191" s="1708"/>
      <c r="W191" s="1708"/>
      <c r="X191" s="1712"/>
      <c r="Y191" s="1712"/>
      <c r="Z191" s="1712"/>
      <c r="AA191" s="1712"/>
      <c r="AB191" s="1712"/>
      <c r="AC191" s="1712"/>
      <c r="AD191" s="1712"/>
      <c r="AE191" s="1712"/>
      <c r="AF191" s="1712"/>
      <c r="AG191" s="1712"/>
      <c r="AH191" s="1712"/>
      <c r="AI191" s="1712"/>
      <c r="AJ191" s="1712"/>
      <c r="AK191" s="1712"/>
      <c r="AL191" s="1712"/>
      <c r="AM191" s="1712"/>
      <c r="AN191" s="1712"/>
      <c r="AO191" s="1712"/>
      <c r="AP191" s="1712"/>
      <c r="AQ191" s="1712"/>
      <c r="AR191" s="1712"/>
      <c r="AS191" s="1712"/>
      <c r="AT191" s="1712"/>
      <c r="AU191" s="1712"/>
      <c r="AV191" s="1712"/>
      <c r="AW191" s="1712"/>
      <c r="AX191" s="1713"/>
      <c r="AY191" s="1714" t="str">
        <f t="shared" si="89"/>
        <v/>
      </c>
      <c r="AZ191" s="1714" t="str">
        <f>IF(Obj_PA!D191="","",IF(AY191="","",Obj_PA!D191-AY191))</f>
        <v/>
      </c>
      <c r="BA191" s="150"/>
      <c r="BB191" s="150"/>
      <c r="BC191" s="150"/>
      <c r="BD191" s="150"/>
      <c r="BE191" s="150"/>
      <c r="BF191" s="150"/>
      <c r="BG191" s="150"/>
      <c r="BH191" s="150"/>
      <c r="BI191" s="150"/>
      <c r="BJ191" s="150"/>
      <c r="BK191" s="155" t="str">
        <f t="shared" si="90"/>
        <v/>
      </c>
      <c r="BL191" s="155" t="str">
        <f t="shared" si="91"/>
        <v/>
      </c>
      <c r="BM191" s="155" t="str">
        <f t="shared" si="92"/>
        <v/>
      </c>
      <c r="BN191" s="155" t="str">
        <f t="shared" si="93"/>
        <v/>
      </c>
      <c r="BO191" s="155" t="str">
        <f t="shared" si="94"/>
        <v/>
      </c>
      <c r="BP191" s="155" t="str">
        <f t="shared" si="95"/>
        <v/>
      </c>
      <c r="BQ191" s="155" t="str">
        <f t="shared" si="96"/>
        <v/>
      </c>
      <c r="BR191" s="155" t="str">
        <f t="shared" si="97"/>
        <v/>
      </c>
      <c r="BS191" s="155" t="str">
        <f t="shared" si="98"/>
        <v/>
      </c>
      <c r="BT191" s="155" t="str">
        <f t="shared" si="99"/>
        <v/>
      </c>
      <c r="BU191" s="155" t="str">
        <f t="shared" si="100"/>
        <v/>
      </c>
      <c r="BV191" s="155" t="str">
        <f t="shared" si="101"/>
        <v/>
      </c>
      <c r="BW191" s="155" t="str">
        <f t="shared" si="102"/>
        <v/>
      </c>
      <c r="BX191" s="155" t="str">
        <f t="shared" si="103"/>
        <v/>
      </c>
      <c r="BY191" s="155" t="str">
        <f t="shared" si="104"/>
        <v/>
      </c>
      <c r="BZ191" s="155" t="str">
        <f t="shared" si="105"/>
        <v/>
      </c>
      <c r="CA191" s="155" t="str">
        <f t="shared" si="106"/>
        <v/>
      </c>
      <c r="CB191" s="155" t="str">
        <f t="shared" si="107"/>
        <v/>
      </c>
      <c r="CC191" s="155" t="str">
        <f t="shared" si="108"/>
        <v/>
      </c>
      <c r="CD191" s="155" t="str">
        <f t="shared" si="109"/>
        <v/>
      </c>
      <c r="CE191" s="155" t="str">
        <f t="shared" si="110"/>
        <v/>
      </c>
      <c r="CF191" s="155" t="str">
        <f t="shared" si="111"/>
        <v/>
      </c>
      <c r="CG191" s="155" t="str">
        <f t="shared" si="112"/>
        <v/>
      </c>
      <c r="CH191" s="155" t="str">
        <f t="shared" si="113"/>
        <v/>
      </c>
      <c r="CI191" s="155" t="str">
        <f t="shared" si="114"/>
        <v/>
      </c>
      <c r="CJ191" s="155" t="str">
        <f t="shared" si="115"/>
        <v/>
      </c>
      <c r="CK191" s="155" t="str">
        <f t="shared" si="116"/>
        <v/>
      </c>
      <c r="CL191" s="155" t="str">
        <f t="shared" si="117"/>
        <v/>
      </c>
      <c r="CM191" s="155" t="str">
        <f t="shared" si="118"/>
        <v/>
      </c>
      <c r="CN191" s="155" t="str">
        <f t="shared" si="119"/>
        <v/>
      </c>
      <c r="CO191" s="155" t="str">
        <f t="shared" si="120"/>
        <v/>
      </c>
      <c r="CP191" s="155" t="str">
        <f t="shared" si="121"/>
        <v/>
      </c>
      <c r="CQ191" s="155" t="str">
        <f t="shared" si="122"/>
        <v/>
      </c>
      <c r="CR191" s="155" t="str">
        <f t="shared" si="123"/>
        <v/>
      </c>
      <c r="CS191" s="155" t="str">
        <f t="shared" si="124"/>
        <v/>
      </c>
      <c r="CT191" s="155" t="str">
        <f t="shared" si="125"/>
        <v/>
      </c>
      <c r="CU191" s="155" t="str">
        <f t="shared" si="126"/>
        <v/>
      </c>
      <c r="CV191" s="155" t="str">
        <f t="shared" si="127"/>
        <v/>
      </c>
      <c r="CW191" s="155" t="str">
        <f t="shared" si="128"/>
        <v/>
      </c>
      <c r="CX191" s="155" t="str">
        <f t="shared" si="129"/>
        <v/>
      </c>
    </row>
    <row r="192" spans="1:127" s="151" customFormat="1" ht="25.5" outlineLevel="1" x14ac:dyDescent="0.2">
      <c r="A192" s="146"/>
      <c r="B192" s="157" t="str">
        <f>Services!B192</f>
        <v>08D02</v>
      </c>
      <c r="C192" s="153" t="str">
        <f>Services!C192</f>
        <v>Organisation de la maintenance du logiciel (système, logiciel de couche intermédiaire et progiciel applicatif)</v>
      </c>
      <c r="D192" s="149">
        <f>1*(8*Plans_action!E224+Plans_action!D224)+1*(8*Plans_action!E249+Plans_action!D249)</f>
        <v>0</v>
      </c>
      <c r="E192" s="149">
        <f>2*(8*Plans_action!E215+Plans_action!D215)+2*(8*Plans_action!E240+Plans_action!D240)</f>
        <v>0</v>
      </c>
      <c r="F192" s="149"/>
      <c r="G192" s="149"/>
      <c r="H192" s="149"/>
      <c r="I192" s="140" t="str">
        <f t="shared" si="87"/>
        <v/>
      </c>
      <c r="J192" s="141" t="str">
        <f t="shared" si="88"/>
        <v/>
      </c>
      <c r="K192" s="142"/>
      <c r="L192" s="142"/>
      <c r="M192" s="1708"/>
      <c r="N192" s="1708"/>
      <c r="O192" s="1708"/>
      <c r="P192" s="1708"/>
      <c r="Q192" s="1708"/>
      <c r="R192" s="1708"/>
      <c r="S192" s="1708"/>
      <c r="T192" s="1708"/>
      <c r="U192" s="1708"/>
      <c r="V192" s="1708"/>
      <c r="W192" s="1708"/>
      <c r="X192" s="1712"/>
      <c r="Y192" s="1712"/>
      <c r="Z192" s="1712"/>
      <c r="AA192" s="1712"/>
      <c r="AB192" s="1712"/>
      <c r="AC192" s="1712"/>
      <c r="AD192" s="1712"/>
      <c r="AE192" s="1712"/>
      <c r="AF192" s="1712"/>
      <c r="AG192" s="1712"/>
      <c r="AH192" s="1712"/>
      <c r="AI192" s="1712"/>
      <c r="AJ192" s="1712"/>
      <c r="AK192" s="1712"/>
      <c r="AL192" s="1712"/>
      <c r="AM192" s="1712"/>
      <c r="AN192" s="1712"/>
      <c r="AO192" s="1712"/>
      <c r="AP192" s="1712"/>
      <c r="AQ192" s="1712"/>
      <c r="AR192" s="1712"/>
      <c r="AS192" s="1712"/>
      <c r="AT192" s="1712"/>
      <c r="AU192" s="1712"/>
      <c r="AV192" s="1712"/>
      <c r="AW192" s="1712"/>
      <c r="AX192" s="1713"/>
      <c r="AY192" s="1714" t="str">
        <f t="shared" si="89"/>
        <v/>
      </c>
      <c r="AZ192" s="1714" t="str">
        <f>IF(Obj_PA!D192="","",IF(AY192="","",Obj_PA!D192-AY192))</f>
        <v/>
      </c>
      <c r="BA192" s="150"/>
      <c r="BB192" s="150"/>
      <c r="BC192" s="150"/>
      <c r="BD192" s="150"/>
      <c r="BE192" s="150"/>
      <c r="BF192" s="150"/>
      <c r="BG192" s="150"/>
      <c r="BH192" s="150"/>
      <c r="BI192" s="150"/>
      <c r="BJ192" s="150"/>
      <c r="BK192" s="155" t="str">
        <f t="shared" si="90"/>
        <v/>
      </c>
      <c r="BL192" s="155" t="str">
        <f t="shared" si="91"/>
        <v/>
      </c>
      <c r="BM192" s="155" t="str">
        <f t="shared" si="92"/>
        <v/>
      </c>
      <c r="BN192" s="155" t="str">
        <f t="shared" si="93"/>
        <v/>
      </c>
      <c r="BO192" s="155" t="str">
        <f t="shared" si="94"/>
        <v/>
      </c>
      <c r="BP192" s="155" t="str">
        <f t="shared" si="95"/>
        <v/>
      </c>
      <c r="BQ192" s="155" t="str">
        <f t="shared" si="96"/>
        <v/>
      </c>
      <c r="BR192" s="155" t="str">
        <f t="shared" si="97"/>
        <v/>
      </c>
      <c r="BS192" s="155" t="str">
        <f t="shared" si="98"/>
        <v/>
      </c>
      <c r="BT192" s="155" t="str">
        <f t="shared" si="99"/>
        <v/>
      </c>
      <c r="BU192" s="155" t="str">
        <f t="shared" si="100"/>
        <v/>
      </c>
      <c r="BV192" s="155" t="str">
        <f t="shared" si="101"/>
        <v/>
      </c>
      <c r="BW192" s="155" t="str">
        <f t="shared" si="102"/>
        <v/>
      </c>
      <c r="BX192" s="155" t="str">
        <f t="shared" si="103"/>
        <v/>
      </c>
      <c r="BY192" s="155" t="str">
        <f t="shared" si="104"/>
        <v/>
      </c>
      <c r="BZ192" s="155" t="str">
        <f t="shared" si="105"/>
        <v/>
      </c>
      <c r="CA192" s="155" t="str">
        <f t="shared" si="106"/>
        <v/>
      </c>
      <c r="CB192" s="155" t="str">
        <f t="shared" si="107"/>
        <v/>
      </c>
      <c r="CC192" s="155" t="str">
        <f t="shared" si="108"/>
        <v/>
      </c>
      <c r="CD192" s="155" t="str">
        <f t="shared" si="109"/>
        <v/>
      </c>
      <c r="CE192" s="155" t="str">
        <f t="shared" si="110"/>
        <v/>
      </c>
      <c r="CF192" s="155" t="str">
        <f t="shared" si="111"/>
        <v/>
      </c>
      <c r="CG192" s="155" t="str">
        <f t="shared" si="112"/>
        <v/>
      </c>
      <c r="CH192" s="155" t="str">
        <f t="shared" si="113"/>
        <v/>
      </c>
      <c r="CI192" s="155" t="str">
        <f t="shared" si="114"/>
        <v/>
      </c>
      <c r="CJ192" s="155" t="str">
        <f t="shared" si="115"/>
        <v/>
      </c>
      <c r="CK192" s="155" t="str">
        <f t="shared" si="116"/>
        <v/>
      </c>
      <c r="CL192" s="155" t="str">
        <f t="shared" si="117"/>
        <v/>
      </c>
      <c r="CM192" s="155" t="str">
        <f t="shared" si="118"/>
        <v/>
      </c>
      <c r="CN192" s="155" t="str">
        <f t="shared" si="119"/>
        <v/>
      </c>
      <c r="CO192" s="155" t="str">
        <f t="shared" si="120"/>
        <v/>
      </c>
      <c r="CP192" s="155" t="str">
        <f t="shared" si="121"/>
        <v/>
      </c>
      <c r="CQ192" s="155" t="str">
        <f t="shared" si="122"/>
        <v/>
      </c>
      <c r="CR192" s="155" t="str">
        <f t="shared" si="123"/>
        <v/>
      </c>
      <c r="CS192" s="155" t="str">
        <f t="shared" si="124"/>
        <v/>
      </c>
      <c r="CT192" s="155" t="str">
        <f t="shared" si="125"/>
        <v/>
      </c>
      <c r="CU192" s="155" t="str">
        <f t="shared" si="126"/>
        <v/>
      </c>
      <c r="CV192" s="155" t="str">
        <f t="shared" si="127"/>
        <v/>
      </c>
      <c r="CW192" s="155" t="str">
        <f t="shared" si="128"/>
        <v/>
      </c>
      <c r="CX192" s="155" t="str">
        <f t="shared" si="129"/>
        <v/>
      </c>
    </row>
    <row r="193" spans="1:128" s="151" customFormat="1" ht="25.5" outlineLevel="1" x14ac:dyDescent="0.2">
      <c r="A193" s="146"/>
      <c r="B193" s="157" t="str">
        <f>Services!B193</f>
        <v>08D03</v>
      </c>
      <c r="C193" s="153" t="str">
        <f>Services!C193</f>
        <v>Procédures et plans de reprise des applications sur incidents d'exploitation</v>
      </c>
      <c r="D193" s="149">
        <f>1*(8*Plans_action!E224+Plans_action!D224)+1*(8*Plans_action!E249+Plans_action!D249)</f>
        <v>0</v>
      </c>
      <c r="E193" s="149">
        <f>2*(8*Plans_action!E5+Plans_action!D5)+2*(8*Plans_action!E63+Plans_action!D63)+2*(8*Plans_action!E113+Plans_action!D113)+2*(8*Plans_action!E215+Plans_action!D215)+2*(8*Plans_action!E240+Plans_action!D240)</f>
        <v>0</v>
      </c>
      <c r="F193" s="149"/>
      <c r="G193" s="149"/>
      <c r="H193" s="149"/>
      <c r="I193" s="140" t="str">
        <f t="shared" si="87"/>
        <v/>
      </c>
      <c r="J193" s="141" t="str">
        <f t="shared" si="88"/>
        <v/>
      </c>
      <c r="K193" s="142"/>
      <c r="L193" s="142"/>
      <c r="M193" s="1708"/>
      <c r="N193" s="1708"/>
      <c r="O193" s="1708"/>
      <c r="P193" s="1708"/>
      <c r="Q193" s="1708"/>
      <c r="R193" s="1708"/>
      <c r="S193" s="1708"/>
      <c r="T193" s="1708"/>
      <c r="U193" s="1708"/>
      <c r="V193" s="1708"/>
      <c r="W193" s="1708"/>
      <c r="X193" s="1712"/>
      <c r="Y193" s="1712"/>
      <c r="Z193" s="1712"/>
      <c r="AA193" s="1712"/>
      <c r="AB193" s="1712"/>
      <c r="AC193" s="1712"/>
      <c r="AD193" s="1712"/>
      <c r="AE193" s="1712"/>
      <c r="AF193" s="1712"/>
      <c r="AG193" s="1712"/>
      <c r="AH193" s="1712"/>
      <c r="AI193" s="1712"/>
      <c r="AJ193" s="1712"/>
      <c r="AK193" s="1712"/>
      <c r="AL193" s="1712"/>
      <c r="AM193" s="1712"/>
      <c r="AN193" s="1712"/>
      <c r="AO193" s="1712"/>
      <c r="AP193" s="1712"/>
      <c r="AQ193" s="1712"/>
      <c r="AR193" s="1712"/>
      <c r="AS193" s="1712"/>
      <c r="AT193" s="1712"/>
      <c r="AU193" s="1712"/>
      <c r="AV193" s="1712"/>
      <c r="AW193" s="1712"/>
      <c r="AX193" s="1713"/>
      <c r="AY193" s="1714" t="str">
        <f t="shared" si="89"/>
        <v/>
      </c>
      <c r="AZ193" s="1714" t="str">
        <f>IF(Obj_PA!D193="","",IF(AY193="","",Obj_PA!D193-AY193))</f>
        <v/>
      </c>
      <c r="BA193" s="150"/>
      <c r="BB193" s="150"/>
      <c r="BC193" s="150"/>
      <c r="BD193" s="150"/>
      <c r="BE193" s="150"/>
      <c r="BF193" s="150"/>
      <c r="BG193" s="150"/>
      <c r="BH193" s="150"/>
      <c r="BI193" s="150"/>
      <c r="BJ193" s="150"/>
      <c r="BK193" s="155" t="str">
        <f t="shared" si="90"/>
        <v/>
      </c>
      <c r="BL193" s="155" t="str">
        <f t="shared" si="91"/>
        <v/>
      </c>
      <c r="BM193" s="155" t="str">
        <f t="shared" si="92"/>
        <v/>
      </c>
      <c r="BN193" s="155" t="str">
        <f t="shared" si="93"/>
        <v/>
      </c>
      <c r="BO193" s="155" t="str">
        <f t="shared" si="94"/>
        <v/>
      </c>
      <c r="BP193" s="155" t="str">
        <f t="shared" si="95"/>
        <v/>
      </c>
      <c r="BQ193" s="155" t="str">
        <f t="shared" si="96"/>
        <v/>
      </c>
      <c r="BR193" s="155" t="str">
        <f t="shared" si="97"/>
        <v/>
      </c>
      <c r="BS193" s="155" t="str">
        <f t="shared" si="98"/>
        <v/>
      </c>
      <c r="BT193" s="155" t="str">
        <f t="shared" si="99"/>
        <v/>
      </c>
      <c r="BU193" s="155" t="str">
        <f t="shared" si="100"/>
        <v/>
      </c>
      <c r="BV193" s="155" t="str">
        <f t="shared" si="101"/>
        <v/>
      </c>
      <c r="BW193" s="155" t="str">
        <f t="shared" si="102"/>
        <v/>
      </c>
      <c r="BX193" s="155" t="str">
        <f t="shared" si="103"/>
        <v/>
      </c>
      <c r="BY193" s="155" t="str">
        <f t="shared" si="104"/>
        <v/>
      </c>
      <c r="BZ193" s="155" t="str">
        <f t="shared" si="105"/>
        <v/>
      </c>
      <c r="CA193" s="155" t="str">
        <f t="shared" si="106"/>
        <v/>
      </c>
      <c r="CB193" s="155" t="str">
        <f t="shared" si="107"/>
        <v/>
      </c>
      <c r="CC193" s="155" t="str">
        <f t="shared" si="108"/>
        <v/>
      </c>
      <c r="CD193" s="155" t="str">
        <f t="shared" si="109"/>
        <v/>
      </c>
      <c r="CE193" s="155" t="str">
        <f t="shared" si="110"/>
        <v/>
      </c>
      <c r="CF193" s="155" t="str">
        <f t="shared" si="111"/>
        <v/>
      </c>
      <c r="CG193" s="155" t="str">
        <f t="shared" si="112"/>
        <v/>
      </c>
      <c r="CH193" s="155" t="str">
        <f t="shared" si="113"/>
        <v/>
      </c>
      <c r="CI193" s="155" t="str">
        <f t="shared" si="114"/>
        <v/>
      </c>
      <c r="CJ193" s="155" t="str">
        <f t="shared" si="115"/>
        <v/>
      </c>
      <c r="CK193" s="155" t="str">
        <f t="shared" si="116"/>
        <v/>
      </c>
      <c r="CL193" s="155" t="str">
        <f t="shared" si="117"/>
        <v/>
      </c>
      <c r="CM193" s="155" t="str">
        <f t="shared" si="118"/>
        <v/>
      </c>
      <c r="CN193" s="155" t="str">
        <f t="shared" si="119"/>
        <v/>
      </c>
      <c r="CO193" s="155" t="str">
        <f t="shared" si="120"/>
        <v/>
      </c>
      <c r="CP193" s="155" t="str">
        <f t="shared" si="121"/>
        <v/>
      </c>
      <c r="CQ193" s="155" t="str">
        <f t="shared" si="122"/>
        <v/>
      </c>
      <c r="CR193" s="155" t="str">
        <f t="shared" si="123"/>
        <v/>
      </c>
      <c r="CS193" s="155" t="str">
        <f t="shared" si="124"/>
        <v/>
      </c>
      <c r="CT193" s="155" t="str">
        <f t="shared" si="125"/>
        <v/>
      </c>
      <c r="CU193" s="155" t="str">
        <f t="shared" si="126"/>
        <v/>
      </c>
      <c r="CV193" s="155" t="str">
        <f t="shared" si="127"/>
        <v/>
      </c>
      <c r="CW193" s="155" t="str">
        <f t="shared" si="128"/>
        <v/>
      </c>
      <c r="CX193" s="155" t="str">
        <f t="shared" si="129"/>
        <v/>
      </c>
      <c r="DV193" s="151">
        <f>IF(INDEX(Tab_actions,57,1)=1,INDEX(Tab_actions,57,4),0)</f>
        <v>0</v>
      </c>
      <c r="DW193" s="151">
        <f>IF(INDEX(Tab_actions,103,1)=1,INDEX(Tab_actions,103,4),0)</f>
        <v>0</v>
      </c>
    </row>
    <row r="194" spans="1:128" s="151" customFormat="1" ht="25.5" outlineLevel="1" x14ac:dyDescent="0.2">
      <c r="A194" s="146"/>
      <c r="B194" s="157" t="str">
        <f>Services!B194</f>
        <v>08D04</v>
      </c>
      <c r="C194" s="153" t="str">
        <f>Services!C194</f>
        <v>Sauvegarde des configurations logicielles (logiciels de base et applicatifs et paramètres de configuration)</v>
      </c>
      <c r="D194" s="149"/>
      <c r="E194" s="149"/>
      <c r="F194" s="149"/>
      <c r="G194" s="149">
        <f>4*(8*Plans_action!E215+Plans_action!D215)+4*(8*Plans_action!E240+Plans_action!D240)+4*(8*Plans_action!E249+Plans_action!D249)</f>
        <v>0</v>
      </c>
      <c r="H194" s="149">
        <f>5*(8*Plans_action!E224+Plans_action!D224)</f>
        <v>0</v>
      </c>
      <c r="I194" s="140" t="str">
        <f t="shared" si="87"/>
        <v/>
      </c>
      <c r="J194" s="141" t="str">
        <f t="shared" si="88"/>
        <v/>
      </c>
      <c r="K194" s="142"/>
      <c r="L194" s="142"/>
      <c r="M194" s="1708"/>
      <c r="N194" s="1708"/>
      <c r="O194" s="1708"/>
      <c r="P194" s="1708"/>
      <c r="Q194" s="1708"/>
      <c r="R194" s="1708"/>
      <c r="S194" s="1708"/>
      <c r="T194" s="1708"/>
      <c r="U194" s="1708"/>
      <c r="V194" s="1708"/>
      <c r="W194" s="1708"/>
      <c r="X194" s="1712"/>
      <c r="Y194" s="1712"/>
      <c r="Z194" s="1712"/>
      <c r="AA194" s="1712"/>
      <c r="AB194" s="1712"/>
      <c r="AC194" s="1712"/>
      <c r="AD194" s="1712"/>
      <c r="AE194" s="1712"/>
      <c r="AF194" s="1712"/>
      <c r="AG194" s="1712"/>
      <c r="AH194" s="1712"/>
      <c r="AI194" s="1712"/>
      <c r="AJ194" s="1712"/>
      <c r="AK194" s="1712"/>
      <c r="AL194" s="1712"/>
      <c r="AM194" s="1712"/>
      <c r="AN194" s="1712"/>
      <c r="AO194" s="1712"/>
      <c r="AP194" s="1712"/>
      <c r="AQ194" s="1712"/>
      <c r="AR194" s="1712"/>
      <c r="AS194" s="1712"/>
      <c r="AT194" s="1712"/>
      <c r="AU194" s="1712"/>
      <c r="AV194" s="1712"/>
      <c r="AW194" s="1712"/>
      <c r="AX194" s="1713"/>
      <c r="AY194" s="1714" t="str">
        <f t="shared" si="89"/>
        <v/>
      </c>
      <c r="AZ194" s="1714" t="str">
        <f>IF(Obj_PA!D194="","",IF(AY194="","",Obj_PA!D194-AY194))</f>
        <v/>
      </c>
      <c r="BA194" s="150"/>
      <c r="BB194" s="150"/>
      <c r="BC194" s="150"/>
      <c r="BD194" s="150"/>
      <c r="BE194" s="150"/>
      <c r="BF194" s="150"/>
      <c r="BG194" s="150"/>
      <c r="BH194" s="150"/>
      <c r="BI194" s="150"/>
      <c r="BJ194" s="150"/>
      <c r="BK194" s="155" t="str">
        <f t="shared" si="90"/>
        <v/>
      </c>
      <c r="BL194" s="155" t="str">
        <f t="shared" si="91"/>
        <v/>
      </c>
      <c r="BM194" s="155" t="str">
        <f t="shared" si="92"/>
        <v/>
      </c>
      <c r="BN194" s="155" t="str">
        <f t="shared" si="93"/>
        <v/>
      </c>
      <c r="BO194" s="155" t="str">
        <f t="shared" si="94"/>
        <v/>
      </c>
      <c r="BP194" s="155" t="str">
        <f t="shared" si="95"/>
        <v/>
      </c>
      <c r="BQ194" s="155" t="str">
        <f t="shared" si="96"/>
        <v/>
      </c>
      <c r="BR194" s="155" t="str">
        <f t="shared" si="97"/>
        <v/>
      </c>
      <c r="BS194" s="155" t="str">
        <f t="shared" si="98"/>
        <v/>
      </c>
      <c r="BT194" s="155" t="str">
        <f t="shared" si="99"/>
        <v/>
      </c>
      <c r="BU194" s="155" t="str">
        <f t="shared" si="100"/>
        <v/>
      </c>
      <c r="BV194" s="155" t="str">
        <f t="shared" si="101"/>
        <v/>
      </c>
      <c r="BW194" s="155" t="str">
        <f t="shared" si="102"/>
        <v/>
      </c>
      <c r="BX194" s="155" t="str">
        <f t="shared" si="103"/>
        <v/>
      </c>
      <c r="BY194" s="155" t="str">
        <f t="shared" si="104"/>
        <v/>
      </c>
      <c r="BZ194" s="155" t="str">
        <f t="shared" si="105"/>
        <v/>
      </c>
      <c r="CA194" s="155" t="str">
        <f t="shared" si="106"/>
        <v/>
      </c>
      <c r="CB194" s="155" t="str">
        <f t="shared" si="107"/>
        <v/>
      </c>
      <c r="CC194" s="155" t="str">
        <f t="shared" si="108"/>
        <v/>
      </c>
      <c r="CD194" s="155" t="str">
        <f t="shared" si="109"/>
        <v/>
      </c>
      <c r="CE194" s="155" t="str">
        <f t="shared" si="110"/>
        <v/>
      </c>
      <c r="CF194" s="155" t="str">
        <f t="shared" si="111"/>
        <v/>
      </c>
      <c r="CG194" s="155" t="str">
        <f t="shared" si="112"/>
        <v/>
      </c>
      <c r="CH194" s="155" t="str">
        <f t="shared" si="113"/>
        <v/>
      </c>
      <c r="CI194" s="155" t="str">
        <f t="shared" si="114"/>
        <v/>
      </c>
      <c r="CJ194" s="155" t="str">
        <f t="shared" si="115"/>
        <v/>
      </c>
      <c r="CK194" s="155" t="str">
        <f t="shared" si="116"/>
        <v/>
      </c>
      <c r="CL194" s="155" t="str">
        <f t="shared" si="117"/>
        <v/>
      </c>
      <c r="CM194" s="155" t="str">
        <f t="shared" si="118"/>
        <v/>
      </c>
      <c r="CN194" s="155" t="str">
        <f t="shared" si="119"/>
        <v/>
      </c>
      <c r="CO194" s="155" t="str">
        <f t="shared" si="120"/>
        <v/>
      </c>
      <c r="CP194" s="155" t="str">
        <f t="shared" si="121"/>
        <v/>
      </c>
      <c r="CQ194" s="155" t="str">
        <f t="shared" si="122"/>
        <v/>
      </c>
      <c r="CR194" s="155" t="str">
        <f t="shared" si="123"/>
        <v/>
      </c>
      <c r="CS194" s="155" t="str">
        <f t="shared" si="124"/>
        <v/>
      </c>
      <c r="CT194" s="155" t="str">
        <f t="shared" si="125"/>
        <v/>
      </c>
      <c r="CU194" s="155" t="str">
        <f t="shared" si="126"/>
        <v/>
      </c>
      <c r="CV194" s="155" t="str">
        <f t="shared" si="127"/>
        <v/>
      </c>
      <c r="CW194" s="155" t="str">
        <f t="shared" si="128"/>
        <v/>
      </c>
      <c r="CX194" s="155" t="str">
        <f t="shared" si="129"/>
        <v/>
      </c>
    </row>
    <row r="195" spans="1:128" s="151" customFormat="1" ht="14.25" outlineLevel="1" x14ac:dyDescent="0.2">
      <c r="A195" s="146"/>
      <c r="B195" s="157" t="str">
        <f>Services!B195</f>
        <v>08D05</v>
      </c>
      <c r="C195" s="153" t="str">
        <f>Services!C195</f>
        <v>Sauvegarde des données applicatives</v>
      </c>
      <c r="D195" s="149"/>
      <c r="E195" s="149"/>
      <c r="F195" s="149"/>
      <c r="G195" s="149"/>
      <c r="H195" s="149">
        <f>5*(8*Plans_action!E5+Plans_action!D5)+5*(8*Plans_action!E58+Plans_action!D58)</f>
        <v>0</v>
      </c>
      <c r="I195" s="140" t="str">
        <f t="shared" si="87"/>
        <v/>
      </c>
      <c r="J195" s="141" t="str">
        <f t="shared" si="88"/>
        <v/>
      </c>
      <c r="K195" s="142"/>
      <c r="L195" s="142"/>
      <c r="M195" s="1708"/>
      <c r="N195" s="1708"/>
      <c r="O195" s="1708"/>
      <c r="P195" s="1708"/>
      <c r="Q195" s="1708"/>
      <c r="R195" s="1708"/>
      <c r="S195" s="1708"/>
      <c r="T195" s="1708"/>
      <c r="U195" s="1708"/>
      <c r="V195" s="1708"/>
      <c r="W195" s="1708"/>
      <c r="X195" s="1712"/>
      <c r="Y195" s="1712"/>
      <c r="Z195" s="1712"/>
      <c r="AA195" s="1712"/>
      <c r="AB195" s="1712"/>
      <c r="AC195" s="1712"/>
      <c r="AD195" s="1712"/>
      <c r="AE195" s="1712"/>
      <c r="AF195" s="1712"/>
      <c r="AG195" s="1712"/>
      <c r="AH195" s="1712"/>
      <c r="AI195" s="1712"/>
      <c r="AJ195" s="1712"/>
      <c r="AK195" s="1712"/>
      <c r="AL195" s="1712"/>
      <c r="AM195" s="1712"/>
      <c r="AN195" s="1712"/>
      <c r="AO195" s="1712"/>
      <c r="AP195" s="1712"/>
      <c r="AQ195" s="1712"/>
      <c r="AR195" s="1712"/>
      <c r="AS195" s="1712"/>
      <c r="AT195" s="1712"/>
      <c r="AU195" s="1712"/>
      <c r="AV195" s="1712"/>
      <c r="AW195" s="1712"/>
      <c r="AX195" s="1713"/>
      <c r="AY195" s="1714" t="str">
        <f t="shared" si="89"/>
        <v/>
      </c>
      <c r="AZ195" s="1714" t="str">
        <f>IF(Obj_PA!D195="","",IF(AY195="","",Obj_PA!D195-AY195))</f>
        <v/>
      </c>
      <c r="BA195" s="150"/>
      <c r="BB195" s="150"/>
      <c r="BC195" s="150"/>
      <c r="BD195" s="150"/>
      <c r="BE195" s="150"/>
      <c r="BF195" s="150"/>
      <c r="BG195" s="150"/>
      <c r="BH195" s="150"/>
      <c r="BI195" s="150"/>
      <c r="BJ195" s="150"/>
      <c r="BK195" s="155" t="str">
        <f t="shared" si="90"/>
        <v/>
      </c>
      <c r="BL195" s="155" t="str">
        <f t="shared" si="91"/>
        <v/>
      </c>
      <c r="BM195" s="155" t="str">
        <f t="shared" si="92"/>
        <v/>
      </c>
      <c r="BN195" s="155" t="str">
        <f t="shared" si="93"/>
        <v/>
      </c>
      <c r="BO195" s="155" t="str">
        <f t="shared" si="94"/>
        <v/>
      </c>
      <c r="BP195" s="155" t="str">
        <f t="shared" si="95"/>
        <v/>
      </c>
      <c r="BQ195" s="155" t="str">
        <f t="shared" si="96"/>
        <v/>
      </c>
      <c r="BR195" s="155" t="str">
        <f t="shared" si="97"/>
        <v/>
      </c>
      <c r="BS195" s="155" t="str">
        <f t="shared" si="98"/>
        <v/>
      </c>
      <c r="BT195" s="155" t="str">
        <f t="shared" si="99"/>
        <v/>
      </c>
      <c r="BU195" s="155" t="str">
        <f t="shared" si="100"/>
        <v/>
      </c>
      <c r="BV195" s="155" t="str">
        <f t="shared" si="101"/>
        <v/>
      </c>
      <c r="BW195" s="155" t="str">
        <f t="shared" si="102"/>
        <v/>
      </c>
      <c r="BX195" s="155" t="str">
        <f t="shared" si="103"/>
        <v/>
      </c>
      <c r="BY195" s="155" t="str">
        <f t="shared" si="104"/>
        <v/>
      </c>
      <c r="BZ195" s="155" t="str">
        <f t="shared" si="105"/>
        <v/>
      </c>
      <c r="CA195" s="155" t="str">
        <f t="shared" si="106"/>
        <v/>
      </c>
      <c r="CB195" s="155" t="str">
        <f t="shared" si="107"/>
        <v/>
      </c>
      <c r="CC195" s="155" t="str">
        <f t="shared" si="108"/>
        <v/>
      </c>
      <c r="CD195" s="155" t="str">
        <f t="shared" si="109"/>
        <v/>
      </c>
      <c r="CE195" s="155" t="str">
        <f t="shared" si="110"/>
        <v/>
      </c>
      <c r="CF195" s="155" t="str">
        <f t="shared" si="111"/>
        <v/>
      </c>
      <c r="CG195" s="155" t="str">
        <f t="shared" si="112"/>
        <v/>
      </c>
      <c r="CH195" s="155" t="str">
        <f t="shared" si="113"/>
        <v/>
      </c>
      <c r="CI195" s="155" t="str">
        <f t="shared" si="114"/>
        <v/>
      </c>
      <c r="CJ195" s="155" t="str">
        <f t="shared" si="115"/>
        <v/>
      </c>
      <c r="CK195" s="155" t="str">
        <f t="shared" si="116"/>
        <v/>
      </c>
      <c r="CL195" s="155" t="str">
        <f t="shared" si="117"/>
        <v/>
      </c>
      <c r="CM195" s="155" t="str">
        <f t="shared" si="118"/>
        <v/>
      </c>
      <c r="CN195" s="155" t="str">
        <f t="shared" si="119"/>
        <v/>
      </c>
      <c r="CO195" s="155" t="str">
        <f t="shared" si="120"/>
        <v/>
      </c>
      <c r="CP195" s="155" t="str">
        <f t="shared" si="121"/>
        <v/>
      </c>
      <c r="CQ195" s="155" t="str">
        <f t="shared" si="122"/>
        <v/>
      </c>
      <c r="CR195" s="155" t="str">
        <f t="shared" si="123"/>
        <v/>
      </c>
      <c r="CS195" s="155" t="str">
        <f t="shared" si="124"/>
        <v/>
      </c>
      <c r="CT195" s="155" t="str">
        <f t="shared" si="125"/>
        <v/>
      </c>
      <c r="CU195" s="155" t="str">
        <f t="shared" si="126"/>
        <v/>
      </c>
      <c r="CV195" s="155" t="str">
        <f t="shared" si="127"/>
        <v/>
      </c>
      <c r="CW195" s="155" t="str">
        <f t="shared" si="128"/>
        <v/>
      </c>
      <c r="CX195" s="155" t="str">
        <f t="shared" si="129"/>
        <v/>
      </c>
      <c r="DX195" s="151">
        <f>IF(INDEX(Tab_actions,65,1)=1,INDEX(Tab_actions,65,4),0)</f>
        <v>0</v>
      </c>
    </row>
    <row r="196" spans="1:128" s="151" customFormat="1" ht="14.25" outlineLevel="1" x14ac:dyDescent="0.2">
      <c r="A196" s="146"/>
      <c r="B196" s="157" t="str">
        <f>Services!B196</f>
        <v>08D06</v>
      </c>
      <c r="C196" s="153" t="str">
        <f>Services!C196</f>
        <v>Plans de Reprise d'Activité des services informatiques</v>
      </c>
      <c r="D196" s="149"/>
      <c r="E196" s="149"/>
      <c r="F196" s="149"/>
      <c r="G196" s="149">
        <f>4*(8*Plans_action!E215+Plans_action!D215)+4*(8*Plans_action!E240+Plans_action!D240)+4*(8*Plans_action!E249+Plans_action!D249)</f>
        <v>0</v>
      </c>
      <c r="H196" s="149">
        <f>5*(8*Plans_action!E224+Plans_action!D224)</f>
        <v>0</v>
      </c>
      <c r="I196" s="140" t="str">
        <f t="shared" si="87"/>
        <v/>
      </c>
      <c r="J196" s="141" t="str">
        <f t="shared" si="88"/>
        <v/>
      </c>
      <c r="K196" s="142"/>
      <c r="L196" s="142"/>
      <c r="M196" s="1708"/>
      <c r="N196" s="1708"/>
      <c r="O196" s="1708"/>
      <c r="P196" s="1708"/>
      <c r="Q196" s="1708"/>
      <c r="R196" s="1708"/>
      <c r="S196" s="1708"/>
      <c r="T196" s="1708"/>
      <c r="U196" s="1708"/>
      <c r="V196" s="1708"/>
      <c r="W196" s="1708"/>
      <c r="X196" s="1712"/>
      <c r="Y196" s="1712"/>
      <c r="Z196" s="1712"/>
      <c r="AA196" s="1712"/>
      <c r="AB196" s="1712"/>
      <c r="AC196" s="1712"/>
      <c r="AD196" s="1712"/>
      <c r="AE196" s="1712"/>
      <c r="AF196" s="1712"/>
      <c r="AG196" s="1712"/>
      <c r="AH196" s="1712"/>
      <c r="AI196" s="1712"/>
      <c r="AJ196" s="1712"/>
      <c r="AK196" s="1712"/>
      <c r="AL196" s="1712"/>
      <c r="AM196" s="1712"/>
      <c r="AN196" s="1712"/>
      <c r="AO196" s="1712"/>
      <c r="AP196" s="1712"/>
      <c r="AQ196" s="1712"/>
      <c r="AR196" s="1712"/>
      <c r="AS196" s="1712"/>
      <c r="AT196" s="1712"/>
      <c r="AU196" s="1712"/>
      <c r="AV196" s="1712"/>
      <c r="AW196" s="1712"/>
      <c r="AX196" s="1713"/>
      <c r="AY196" s="1714" t="str">
        <f t="shared" si="89"/>
        <v/>
      </c>
      <c r="AZ196" s="1714" t="str">
        <f>IF(Obj_PA!D196="","",IF(AY196="","",Obj_PA!D196-AY196))</f>
        <v/>
      </c>
      <c r="BA196" s="150"/>
      <c r="BB196" s="150"/>
      <c r="BC196" s="150"/>
      <c r="BD196" s="150"/>
      <c r="BE196" s="150"/>
      <c r="BF196" s="150"/>
      <c r="BG196" s="150"/>
      <c r="BH196" s="150"/>
      <c r="BI196" s="150"/>
      <c r="BJ196" s="150"/>
      <c r="BK196" s="155" t="str">
        <f t="shared" si="90"/>
        <v/>
      </c>
      <c r="BL196" s="155" t="str">
        <f t="shared" si="91"/>
        <v/>
      </c>
      <c r="BM196" s="155" t="str">
        <f t="shared" si="92"/>
        <v/>
      </c>
      <c r="BN196" s="155" t="str">
        <f t="shared" si="93"/>
        <v/>
      </c>
      <c r="BO196" s="155" t="str">
        <f t="shared" si="94"/>
        <v/>
      </c>
      <c r="BP196" s="155" t="str">
        <f t="shared" si="95"/>
        <v/>
      </c>
      <c r="BQ196" s="155" t="str">
        <f t="shared" si="96"/>
        <v/>
      </c>
      <c r="BR196" s="155" t="str">
        <f t="shared" si="97"/>
        <v/>
      </c>
      <c r="BS196" s="155" t="str">
        <f t="shared" si="98"/>
        <v/>
      </c>
      <c r="BT196" s="155" t="str">
        <f t="shared" si="99"/>
        <v/>
      </c>
      <c r="BU196" s="155" t="str">
        <f t="shared" si="100"/>
        <v/>
      </c>
      <c r="BV196" s="155" t="str">
        <f t="shared" si="101"/>
        <v/>
      </c>
      <c r="BW196" s="155" t="str">
        <f t="shared" si="102"/>
        <v/>
      </c>
      <c r="BX196" s="155" t="str">
        <f t="shared" si="103"/>
        <v/>
      </c>
      <c r="BY196" s="155" t="str">
        <f t="shared" si="104"/>
        <v/>
      </c>
      <c r="BZ196" s="155" t="str">
        <f t="shared" si="105"/>
        <v/>
      </c>
      <c r="CA196" s="155" t="str">
        <f t="shared" si="106"/>
        <v/>
      </c>
      <c r="CB196" s="155" t="str">
        <f t="shared" si="107"/>
        <v/>
      </c>
      <c r="CC196" s="155" t="str">
        <f t="shared" si="108"/>
        <v/>
      </c>
      <c r="CD196" s="155" t="str">
        <f t="shared" si="109"/>
        <v/>
      </c>
      <c r="CE196" s="155" t="str">
        <f t="shared" si="110"/>
        <v/>
      </c>
      <c r="CF196" s="155" t="str">
        <f t="shared" si="111"/>
        <v/>
      </c>
      <c r="CG196" s="155" t="str">
        <f t="shared" si="112"/>
        <v/>
      </c>
      <c r="CH196" s="155" t="str">
        <f t="shared" si="113"/>
        <v/>
      </c>
      <c r="CI196" s="155" t="str">
        <f t="shared" si="114"/>
        <v/>
      </c>
      <c r="CJ196" s="155" t="str">
        <f t="shared" si="115"/>
        <v/>
      </c>
      <c r="CK196" s="155" t="str">
        <f t="shared" si="116"/>
        <v/>
      </c>
      <c r="CL196" s="155" t="str">
        <f t="shared" si="117"/>
        <v/>
      </c>
      <c r="CM196" s="155" t="str">
        <f t="shared" si="118"/>
        <v/>
      </c>
      <c r="CN196" s="155" t="str">
        <f t="shared" si="119"/>
        <v/>
      </c>
      <c r="CO196" s="155" t="str">
        <f t="shared" si="120"/>
        <v/>
      </c>
      <c r="CP196" s="155" t="str">
        <f t="shared" si="121"/>
        <v/>
      </c>
      <c r="CQ196" s="155" t="str">
        <f t="shared" si="122"/>
        <v/>
      </c>
      <c r="CR196" s="155" t="str">
        <f t="shared" si="123"/>
        <v/>
      </c>
      <c r="CS196" s="155" t="str">
        <f t="shared" si="124"/>
        <v/>
      </c>
      <c r="CT196" s="155" t="str">
        <f t="shared" si="125"/>
        <v/>
      </c>
      <c r="CU196" s="155" t="str">
        <f t="shared" si="126"/>
        <v/>
      </c>
      <c r="CV196" s="155" t="str">
        <f t="shared" si="127"/>
        <v/>
      </c>
      <c r="CW196" s="155" t="str">
        <f t="shared" si="128"/>
        <v/>
      </c>
      <c r="CX196" s="155" t="str">
        <f t="shared" si="129"/>
        <v/>
      </c>
    </row>
    <row r="197" spans="1:128" s="151" customFormat="1" ht="14.25" outlineLevel="1" x14ac:dyDescent="0.2">
      <c r="A197" s="146"/>
      <c r="B197" s="157" t="str">
        <f>Services!B197</f>
        <v>08D07</v>
      </c>
      <c r="C197" s="153" t="str">
        <f>Services!C197</f>
        <v>Protection antivirale des serveurs de production</v>
      </c>
      <c r="D197" s="149">
        <f>1*(8*Plans_action!E13+Plans_action!D13)+1*(8*Plans_action!E21+Plans_action!D21)</f>
        <v>0</v>
      </c>
      <c r="E197" s="149"/>
      <c r="F197" s="149"/>
      <c r="G197" s="149"/>
      <c r="H197" s="149"/>
      <c r="I197" s="140" t="str">
        <f t="shared" ref="I197:I261" si="130">IF(SUM(D197:H197)=0,"",LOG(SUM(D197:H197),2))</f>
        <v/>
      </c>
      <c r="J197" s="141" t="str">
        <f t="shared" ref="J197:J261" si="131">IF(MAX(BK197:CX197)=0,"",MAX(BK197:CX197))</f>
        <v/>
      </c>
      <c r="K197" s="142"/>
      <c r="L197" s="142"/>
      <c r="M197" s="1708"/>
      <c r="N197" s="1708"/>
      <c r="O197" s="1708"/>
      <c r="P197" s="1708"/>
      <c r="Q197" s="1708"/>
      <c r="R197" s="1708"/>
      <c r="S197" s="1708"/>
      <c r="T197" s="1708"/>
      <c r="U197" s="1708"/>
      <c r="V197" s="1708"/>
      <c r="W197" s="1708"/>
      <c r="X197" s="1712"/>
      <c r="Y197" s="1712"/>
      <c r="Z197" s="1712"/>
      <c r="AA197" s="1712"/>
      <c r="AB197" s="1712"/>
      <c r="AC197" s="1712"/>
      <c r="AD197" s="1712"/>
      <c r="AE197" s="1712"/>
      <c r="AF197" s="1712"/>
      <c r="AG197" s="1712"/>
      <c r="AH197" s="1712"/>
      <c r="AI197" s="1712"/>
      <c r="AJ197" s="1712"/>
      <c r="AK197" s="1712"/>
      <c r="AL197" s="1712"/>
      <c r="AM197" s="1712"/>
      <c r="AN197" s="1712"/>
      <c r="AO197" s="1712"/>
      <c r="AP197" s="1712"/>
      <c r="AQ197" s="1712"/>
      <c r="AR197" s="1712"/>
      <c r="AS197" s="1712"/>
      <c r="AT197" s="1712"/>
      <c r="AU197" s="1712"/>
      <c r="AV197" s="1712"/>
      <c r="AW197" s="1712"/>
      <c r="AX197" s="1713"/>
      <c r="AY197" s="1714" t="str">
        <f t="shared" si="89"/>
        <v/>
      </c>
      <c r="AZ197" s="1714" t="str">
        <f>IF(Obj_PA!D197="","",IF(AY197="","",Obj_PA!D197-AY197))</f>
        <v/>
      </c>
      <c r="BA197" s="150"/>
      <c r="BB197" s="150"/>
      <c r="BC197" s="150"/>
      <c r="BD197" s="150"/>
      <c r="BE197" s="150"/>
      <c r="BF197" s="150"/>
      <c r="BG197" s="150"/>
      <c r="BH197" s="150"/>
      <c r="BI197" s="150"/>
      <c r="BJ197" s="150"/>
      <c r="BK197" s="155" t="str">
        <f t="shared" si="90"/>
        <v/>
      </c>
      <c r="BL197" s="155" t="str">
        <f t="shared" si="91"/>
        <v/>
      </c>
      <c r="BM197" s="155" t="str">
        <f t="shared" si="92"/>
        <v/>
      </c>
      <c r="BN197" s="155" t="str">
        <f t="shared" si="93"/>
        <v/>
      </c>
      <c r="BO197" s="155" t="str">
        <f t="shared" si="94"/>
        <v/>
      </c>
      <c r="BP197" s="155" t="str">
        <f t="shared" si="95"/>
        <v/>
      </c>
      <c r="BQ197" s="155" t="str">
        <f t="shared" si="96"/>
        <v/>
      </c>
      <c r="BR197" s="155" t="str">
        <f t="shared" si="97"/>
        <v/>
      </c>
      <c r="BS197" s="155" t="str">
        <f t="shared" si="98"/>
        <v/>
      </c>
      <c r="BT197" s="155" t="str">
        <f t="shared" si="99"/>
        <v/>
      </c>
      <c r="BU197" s="155" t="str">
        <f t="shared" si="100"/>
        <v/>
      </c>
      <c r="BV197" s="155" t="str">
        <f t="shared" si="101"/>
        <v/>
      </c>
      <c r="BW197" s="155" t="str">
        <f t="shared" si="102"/>
        <v/>
      </c>
      <c r="BX197" s="155" t="str">
        <f t="shared" si="103"/>
        <v/>
      </c>
      <c r="BY197" s="155" t="str">
        <f t="shared" si="104"/>
        <v/>
      </c>
      <c r="BZ197" s="155" t="str">
        <f t="shared" si="105"/>
        <v/>
      </c>
      <c r="CA197" s="155" t="str">
        <f t="shared" si="106"/>
        <v/>
      </c>
      <c r="CB197" s="155" t="str">
        <f t="shared" si="107"/>
        <v/>
      </c>
      <c r="CC197" s="155" t="str">
        <f t="shared" si="108"/>
        <v/>
      </c>
      <c r="CD197" s="155" t="str">
        <f t="shared" si="109"/>
        <v/>
      </c>
      <c r="CE197" s="155" t="str">
        <f t="shared" si="110"/>
        <v/>
      </c>
      <c r="CF197" s="155" t="str">
        <f t="shared" si="111"/>
        <v/>
      </c>
      <c r="CG197" s="155" t="str">
        <f t="shared" si="112"/>
        <v/>
      </c>
      <c r="CH197" s="155" t="str">
        <f t="shared" si="113"/>
        <v/>
      </c>
      <c r="CI197" s="155" t="str">
        <f t="shared" si="114"/>
        <v/>
      </c>
      <c r="CJ197" s="155" t="str">
        <f t="shared" si="115"/>
        <v/>
      </c>
      <c r="CK197" s="155" t="str">
        <f t="shared" si="116"/>
        <v/>
      </c>
      <c r="CL197" s="155" t="str">
        <f t="shared" si="117"/>
        <v/>
      </c>
      <c r="CM197" s="155" t="str">
        <f t="shared" si="118"/>
        <v/>
      </c>
      <c r="CN197" s="155" t="str">
        <f t="shared" si="119"/>
        <v/>
      </c>
      <c r="CO197" s="155" t="str">
        <f t="shared" si="120"/>
        <v/>
      </c>
      <c r="CP197" s="155" t="str">
        <f t="shared" si="121"/>
        <v/>
      </c>
      <c r="CQ197" s="155" t="str">
        <f t="shared" si="122"/>
        <v/>
      </c>
      <c r="CR197" s="155" t="str">
        <f t="shared" si="123"/>
        <v/>
      </c>
      <c r="CS197" s="155" t="str">
        <f t="shared" si="124"/>
        <v/>
      </c>
      <c r="CT197" s="155" t="str">
        <f t="shared" si="125"/>
        <v/>
      </c>
      <c r="CU197" s="155" t="str">
        <f t="shared" si="126"/>
        <v/>
      </c>
      <c r="CV197" s="155" t="str">
        <f t="shared" si="127"/>
        <v/>
      </c>
      <c r="CW197" s="155" t="str">
        <f t="shared" si="128"/>
        <v/>
      </c>
      <c r="CX197" s="155" t="str">
        <f t="shared" si="129"/>
        <v/>
      </c>
      <c r="DV197" s="151">
        <f>IF(INDEX(Tab_actions,7,1)=1,INDEX(Tab_actions,7,6),0)</f>
        <v>0</v>
      </c>
    </row>
    <row r="198" spans="1:128" s="151" customFormat="1" ht="25.5" outlineLevel="1" x14ac:dyDescent="0.2">
      <c r="A198" s="146"/>
      <c r="B198" s="157" t="str">
        <f>Services!B198</f>
        <v>08D08</v>
      </c>
      <c r="C198" s="153" t="str">
        <f>Services!C198</f>
        <v>Gestion des systèmes critiques (vis-à-vis de la permanence de la maintenance)</v>
      </c>
      <c r="D198" s="149">
        <f>1*(8*Plans_action!E224+Plans_action!D224)+1*(8*Plans_action!E249+Plans_action!D249)</f>
        <v>0</v>
      </c>
      <c r="E198" s="149">
        <f>2*(8*Plans_action!E215+Plans_action!D215)+2*(8*Plans_action!E240+Plans_action!D240)</f>
        <v>0</v>
      </c>
      <c r="F198" s="149"/>
      <c r="G198" s="149"/>
      <c r="H198" s="149"/>
      <c r="I198" s="140" t="str">
        <f t="shared" si="130"/>
        <v/>
      </c>
      <c r="J198" s="141" t="str">
        <f t="shared" si="131"/>
        <v/>
      </c>
      <c r="K198" s="142"/>
      <c r="L198" s="142"/>
      <c r="M198" s="1708"/>
      <c r="N198" s="1708"/>
      <c r="O198" s="1708"/>
      <c r="P198" s="1708"/>
      <c r="Q198" s="1708"/>
      <c r="R198" s="1708"/>
      <c r="S198" s="1708"/>
      <c r="T198" s="1708"/>
      <c r="U198" s="1708"/>
      <c r="V198" s="1708"/>
      <c r="W198" s="1708"/>
      <c r="X198" s="1712"/>
      <c r="Y198" s="1712"/>
      <c r="Z198" s="1712"/>
      <c r="AA198" s="1712"/>
      <c r="AB198" s="1712"/>
      <c r="AC198" s="1712"/>
      <c r="AD198" s="1712"/>
      <c r="AE198" s="1712"/>
      <c r="AF198" s="1712"/>
      <c r="AG198" s="1712"/>
      <c r="AH198" s="1712"/>
      <c r="AI198" s="1712"/>
      <c r="AJ198" s="1712"/>
      <c r="AK198" s="1712"/>
      <c r="AL198" s="1712"/>
      <c r="AM198" s="1712"/>
      <c r="AN198" s="1712"/>
      <c r="AO198" s="1712"/>
      <c r="AP198" s="1712"/>
      <c r="AQ198" s="1712"/>
      <c r="AR198" s="1712"/>
      <c r="AS198" s="1712"/>
      <c r="AT198" s="1712"/>
      <c r="AU198" s="1712"/>
      <c r="AV198" s="1712"/>
      <c r="AW198" s="1712"/>
      <c r="AX198" s="1713"/>
      <c r="AY198" s="1714" t="str">
        <f t="shared" si="89"/>
        <v/>
      </c>
      <c r="AZ198" s="1714" t="str">
        <f>IF(Obj_PA!D198="","",IF(AY198="","",Obj_PA!D198-AY198))</f>
        <v/>
      </c>
      <c r="BA198" s="150"/>
      <c r="BB198" s="150"/>
      <c r="BC198" s="150"/>
      <c r="BD198" s="150"/>
      <c r="BE198" s="150"/>
      <c r="BF198" s="150"/>
      <c r="BG198" s="150"/>
      <c r="BH198" s="150"/>
      <c r="BI198" s="150"/>
      <c r="BJ198" s="150"/>
      <c r="BK198" s="155" t="str">
        <f t="shared" si="90"/>
        <v/>
      </c>
      <c r="BL198" s="155" t="str">
        <f t="shared" si="91"/>
        <v/>
      </c>
      <c r="BM198" s="155" t="str">
        <f t="shared" si="92"/>
        <v/>
      </c>
      <c r="BN198" s="155" t="str">
        <f t="shared" si="93"/>
        <v/>
      </c>
      <c r="BO198" s="155" t="str">
        <f t="shared" si="94"/>
        <v/>
      </c>
      <c r="BP198" s="155" t="str">
        <f t="shared" si="95"/>
        <v/>
      </c>
      <c r="BQ198" s="155" t="str">
        <f t="shared" si="96"/>
        <v/>
      </c>
      <c r="BR198" s="155" t="str">
        <f t="shared" si="97"/>
        <v/>
      </c>
      <c r="BS198" s="155" t="str">
        <f t="shared" si="98"/>
        <v/>
      </c>
      <c r="BT198" s="155" t="str">
        <f t="shared" si="99"/>
        <v/>
      </c>
      <c r="BU198" s="155" t="str">
        <f t="shared" si="100"/>
        <v/>
      </c>
      <c r="BV198" s="155" t="str">
        <f t="shared" si="101"/>
        <v/>
      </c>
      <c r="BW198" s="155" t="str">
        <f t="shared" si="102"/>
        <v/>
      </c>
      <c r="BX198" s="155" t="str">
        <f t="shared" si="103"/>
        <v/>
      </c>
      <c r="BY198" s="155" t="str">
        <f t="shared" si="104"/>
        <v/>
      </c>
      <c r="BZ198" s="155" t="str">
        <f t="shared" si="105"/>
        <v/>
      </c>
      <c r="CA198" s="155" t="str">
        <f t="shared" si="106"/>
        <v/>
      </c>
      <c r="CB198" s="155" t="str">
        <f t="shared" si="107"/>
        <v/>
      </c>
      <c r="CC198" s="155" t="str">
        <f t="shared" si="108"/>
        <v/>
      </c>
      <c r="CD198" s="155" t="str">
        <f t="shared" si="109"/>
        <v/>
      </c>
      <c r="CE198" s="155" t="str">
        <f t="shared" si="110"/>
        <v/>
      </c>
      <c r="CF198" s="155" t="str">
        <f t="shared" si="111"/>
        <v/>
      </c>
      <c r="CG198" s="155" t="str">
        <f t="shared" si="112"/>
        <v/>
      </c>
      <c r="CH198" s="155" t="str">
        <f t="shared" si="113"/>
        <v/>
      </c>
      <c r="CI198" s="155" t="str">
        <f t="shared" si="114"/>
        <v/>
      </c>
      <c r="CJ198" s="155" t="str">
        <f t="shared" si="115"/>
        <v/>
      </c>
      <c r="CK198" s="155" t="str">
        <f t="shared" si="116"/>
        <v/>
      </c>
      <c r="CL198" s="155" t="str">
        <f t="shared" si="117"/>
        <v/>
      </c>
      <c r="CM198" s="155" t="str">
        <f t="shared" si="118"/>
        <v/>
      </c>
      <c r="CN198" s="155" t="str">
        <f t="shared" si="119"/>
        <v/>
      </c>
      <c r="CO198" s="155" t="str">
        <f t="shared" si="120"/>
        <v/>
      </c>
      <c r="CP198" s="155" t="str">
        <f t="shared" si="121"/>
        <v/>
      </c>
      <c r="CQ198" s="155" t="str">
        <f t="shared" si="122"/>
        <v/>
      </c>
      <c r="CR198" s="155" t="str">
        <f t="shared" si="123"/>
        <v/>
      </c>
      <c r="CS198" s="155" t="str">
        <f t="shared" si="124"/>
        <v/>
      </c>
      <c r="CT198" s="155" t="str">
        <f t="shared" si="125"/>
        <v/>
      </c>
      <c r="CU198" s="155" t="str">
        <f t="shared" si="126"/>
        <v/>
      </c>
      <c r="CV198" s="155" t="str">
        <f t="shared" si="127"/>
        <v/>
      </c>
      <c r="CW198" s="155" t="str">
        <f t="shared" si="128"/>
        <v/>
      </c>
      <c r="CX198" s="155" t="str">
        <f t="shared" si="129"/>
        <v/>
      </c>
    </row>
    <row r="199" spans="1:128" s="151" customFormat="1" ht="14.25" outlineLevel="1" x14ac:dyDescent="0.2">
      <c r="A199" s="146"/>
      <c r="B199" s="157" t="str">
        <f>Services!B199</f>
        <v>08D09</v>
      </c>
      <c r="C199" s="153" t="str">
        <f>Services!C199</f>
        <v>Sauvegardes de secours (recours) externalisées</v>
      </c>
      <c r="D199" s="149"/>
      <c r="E199" s="149"/>
      <c r="F199" s="149"/>
      <c r="G199" s="149"/>
      <c r="H199" s="149">
        <f>5*(8*Plans_action!E5+Plans_action!D5)+5*(8*Plans_action!E13+Plans_action!D13)+5*(8*Plans_action!E58+Plans_action!D58)</f>
        <v>0</v>
      </c>
      <c r="I199" s="140" t="str">
        <f t="shared" si="130"/>
        <v/>
      </c>
      <c r="J199" s="141" t="str">
        <f t="shared" si="131"/>
        <v/>
      </c>
      <c r="K199" s="142"/>
      <c r="L199" s="142"/>
      <c r="M199" s="1708"/>
      <c r="N199" s="1708"/>
      <c r="O199" s="1708"/>
      <c r="P199" s="1708"/>
      <c r="Q199" s="1708"/>
      <c r="R199" s="1708"/>
      <c r="S199" s="1708"/>
      <c r="T199" s="1708"/>
      <c r="U199" s="1708"/>
      <c r="V199" s="1708"/>
      <c r="W199" s="1708"/>
      <c r="X199" s="1712"/>
      <c r="Y199" s="1712"/>
      <c r="Z199" s="1712"/>
      <c r="AA199" s="1712"/>
      <c r="AB199" s="1712"/>
      <c r="AC199" s="1712"/>
      <c r="AD199" s="1712"/>
      <c r="AE199" s="1712"/>
      <c r="AF199" s="1712"/>
      <c r="AG199" s="1712"/>
      <c r="AH199" s="1712"/>
      <c r="AI199" s="1712"/>
      <c r="AJ199" s="1712"/>
      <c r="AK199" s="1712"/>
      <c r="AL199" s="1712"/>
      <c r="AM199" s="1712"/>
      <c r="AN199" s="1712"/>
      <c r="AO199" s="1712"/>
      <c r="AP199" s="1712"/>
      <c r="AQ199" s="1712"/>
      <c r="AR199" s="1712"/>
      <c r="AS199" s="1712"/>
      <c r="AT199" s="1712"/>
      <c r="AU199" s="1712"/>
      <c r="AV199" s="1712"/>
      <c r="AW199" s="1712"/>
      <c r="AX199" s="1713"/>
      <c r="AY199" s="1714" t="str">
        <f t="shared" ref="AY199:AY262" si="132">IF(MAX(K199:AX199)=0,"",MAX(K199:AX199))</f>
        <v/>
      </c>
      <c r="AZ199" s="1714" t="str">
        <f>IF(Obj_PA!D199="","",IF(AY199="","",Obj_PA!D199-AY199))</f>
        <v/>
      </c>
      <c r="BA199" s="150"/>
      <c r="BB199" s="150"/>
      <c r="BC199" s="150"/>
      <c r="BD199" s="150"/>
      <c r="BE199" s="150"/>
      <c r="BF199" s="150"/>
      <c r="BG199" s="150"/>
      <c r="BH199" s="150"/>
      <c r="BI199" s="150"/>
      <c r="BJ199" s="150"/>
      <c r="BK199" s="155" t="str">
        <f t="shared" si="90"/>
        <v/>
      </c>
      <c r="BL199" s="155" t="str">
        <f t="shared" si="91"/>
        <v/>
      </c>
      <c r="BM199" s="155" t="str">
        <f t="shared" si="92"/>
        <v/>
      </c>
      <c r="BN199" s="155" t="str">
        <f t="shared" si="93"/>
        <v/>
      </c>
      <c r="BO199" s="155" t="str">
        <f t="shared" si="94"/>
        <v/>
      </c>
      <c r="BP199" s="155" t="str">
        <f t="shared" si="95"/>
        <v/>
      </c>
      <c r="BQ199" s="155" t="str">
        <f t="shared" si="96"/>
        <v/>
      </c>
      <c r="BR199" s="155" t="str">
        <f t="shared" si="97"/>
        <v/>
      </c>
      <c r="BS199" s="155" t="str">
        <f t="shared" si="98"/>
        <v/>
      </c>
      <c r="BT199" s="155" t="str">
        <f t="shared" si="99"/>
        <v/>
      </c>
      <c r="BU199" s="155" t="str">
        <f t="shared" si="100"/>
        <v/>
      </c>
      <c r="BV199" s="155" t="str">
        <f t="shared" si="101"/>
        <v/>
      </c>
      <c r="BW199" s="155" t="str">
        <f t="shared" si="102"/>
        <v/>
      </c>
      <c r="BX199" s="155" t="str">
        <f t="shared" si="103"/>
        <v/>
      </c>
      <c r="BY199" s="155" t="str">
        <f t="shared" si="104"/>
        <v/>
      </c>
      <c r="BZ199" s="155" t="str">
        <f t="shared" si="105"/>
        <v/>
      </c>
      <c r="CA199" s="155" t="str">
        <f t="shared" si="106"/>
        <v/>
      </c>
      <c r="CB199" s="155" t="str">
        <f t="shared" si="107"/>
        <v/>
      </c>
      <c r="CC199" s="155" t="str">
        <f t="shared" si="108"/>
        <v/>
      </c>
      <c r="CD199" s="155" t="str">
        <f t="shared" si="109"/>
        <v/>
      </c>
      <c r="CE199" s="155" t="str">
        <f t="shared" si="110"/>
        <v/>
      </c>
      <c r="CF199" s="155" t="str">
        <f t="shared" si="111"/>
        <v/>
      </c>
      <c r="CG199" s="155" t="str">
        <f t="shared" si="112"/>
        <v/>
      </c>
      <c r="CH199" s="155" t="str">
        <f t="shared" si="113"/>
        <v/>
      </c>
      <c r="CI199" s="155" t="str">
        <f t="shared" si="114"/>
        <v/>
      </c>
      <c r="CJ199" s="155" t="str">
        <f t="shared" si="115"/>
        <v/>
      </c>
      <c r="CK199" s="155" t="str">
        <f t="shared" si="116"/>
        <v/>
      </c>
      <c r="CL199" s="155" t="str">
        <f t="shared" si="117"/>
        <v/>
      </c>
      <c r="CM199" s="155" t="str">
        <f t="shared" si="118"/>
        <v/>
      </c>
      <c r="CN199" s="155" t="str">
        <f t="shared" si="119"/>
        <v/>
      </c>
      <c r="CO199" s="155" t="str">
        <f t="shared" si="120"/>
        <v/>
      </c>
      <c r="CP199" s="155" t="str">
        <f t="shared" si="121"/>
        <v/>
      </c>
      <c r="CQ199" s="155" t="str">
        <f t="shared" si="122"/>
        <v/>
      </c>
      <c r="CR199" s="155" t="str">
        <f t="shared" si="123"/>
        <v/>
      </c>
      <c r="CS199" s="155" t="str">
        <f t="shared" si="124"/>
        <v/>
      </c>
      <c r="CT199" s="155" t="str">
        <f t="shared" si="125"/>
        <v/>
      </c>
      <c r="CU199" s="155" t="str">
        <f t="shared" si="126"/>
        <v/>
      </c>
      <c r="CV199" s="155" t="str">
        <f t="shared" si="127"/>
        <v/>
      </c>
      <c r="CW199" s="155" t="str">
        <f t="shared" si="128"/>
        <v/>
      </c>
      <c r="CX199" s="155" t="str">
        <f t="shared" si="129"/>
        <v/>
      </c>
    </row>
    <row r="200" spans="1:128" s="169" customFormat="1" ht="14.25" outlineLevel="1" x14ac:dyDescent="0.2">
      <c r="A200" s="167"/>
      <c r="B200" s="157" t="str">
        <f>Services!B200</f>
        <v>08D10</v>
      </c>
      <c r="C200" s="153" t="str">
        <f>Services!C200</f>
        <v>Maintien des comptes d'accès</v>
      </c>
      <c r="D200" s="149">
        <f>1*(8*Plans_action!E224+Plans_action!D224)+1*(8*Plans_action!E249+Plans_action!D249)</f>
        <v>0</v>
      </c>
      <c r="E200" s="149">
        <f>2*(8*Plans_action!E215+Plans_action!D215)+2*(8*Plans_action!E240+Plans_action!D240)</f>
        <v>0</v>
      </c>
      <c r="F200" s="149"/>
      <c r="G200" s="149"/>
      <c r="H200" s="149"/>
      <c r="I200" s="140" t="str">
        <f t="shared" si="130"/>
        <v/>
      </c>
      <c r="J200" s="141" t="str">
        <f t="shared" si="131"/>
        <v/>
      </c>
      <c r="K200" s="142"/>
      <c r="L200" s="142"/>
      <c r="M200" s="1708"/>
      <c r="N200" s="1708"/>
      <c r="O200" s="1708"/>
      <c r="P200" s="1708"/>
      <c r="Q200" s="1708"/>
      <c r="R200" s="1708"/>
      <c r="S200" s="1708"/>
      <c r="T200" s="1708"/>
      <c r="U200" s="1708"/>
      <c r="V200" s="1708"/>
      <c r="W200" s="1708"/>
      <c r="X200" s="1718"/>
      <c r="Y200" s="1718"/>
      <c r="Z200" s="1718"/>
      <c r="AA200" s="1718"/>
      <c r="AB200" s="1718"/>
      <c r="AC200" s="1718"/>
      <c r="AD200" s="1718"/>
      <c r="AE200" s="1718"/>
      <c r="AF200" s="1718"/>
      <c r="AG200" s="1718"/>
      <c r="AH200" s="1718"/>
      <c r="AI200" s="1718"/>
      <c r="AJ200" s="1718"/>
      <c r="AK200" s="1718"/>
      <c r="AL200" s="1718"/>
      <c r="AM200" s="1718"/>
      <c r="AN200" s="1718"/>
      <c r="AO200" s="1718"/>
      <c r="AP200" s="1718"/>
      <c r="AQ200" s="1718"/>
      <c r="AR200" s="1718"/>
      <c r="AS200" s="1718"/>
      <c r="AT200" s="1718"/>
      <c r="AU200" s="1718"/>
      <c r="AV200" s="1718"/>
      <c r="AW200" s="1718"/>
      <c r="AX200" s="1719"/>
      <c r="AY200" s="1714" t="str">
        <f t="shared" si="132"/>
        <v/>
      </c>
      <c r="AZ200" s="1714" t="str">
        <f>IF(Obj_PA!D200="","",IF(AY200="","",Obj_PA!D200-AY200))</f>
        <v/>
      </c>
      <c r="BA200" s="168"/>
      <c r="BB200" s="168"/>
      <c r="BC200" s="168"/>
      <c r="BD200" s="168"/>
      <c r="BE200" s="168"/>
      <c r="BF200" s="168"/>
      <c r="BG200" s="168"/>
      <c r="BH200" s="168"/>
      <c r="BI200" s="168"/>
      <c r="BJ200" s="168"/>
      <c r="BK200" s="155" t="str">
        <f t="shared" ref="BK200:BK266" si="133">IF(OR(K$4&gt;$J$4,K200=""),"",K200)</f>
        <v/>
      </c>
      <c r="BL200" s="155" t="str">
        <f t="shared" ref="BL200:BL266" si="134">IF(OR(L$4&gt;$J$4,L200=""),"",L200)</f>
        <v/>
      </c>
      <c r="BM200" s="155" t="str">
        <f t="shared" ref="BM200:BM266" si="135">IF(OR(M$4&gt;$J$4,M200=""),"",M200)</f>
        <v/>
      </c>
      <c r="BN200" s="155" t="str">
        <f t="shared" ref="BN200:BN266" si="136">IF(OR(N$4&gt;$J$4,N200=""),"",N200)</f>
        <v/>
      </c>
      <c r="BO200" s="155" t="str">
        <f t="shared" ref="BO200:BO266" si="137">IF(OR(O$4&gt;$J$4,O200=""),"",O200)</f>
        <v/>
      </c>
      <c r="BP200" s="155" t="str">
        <f t="shared" ref="BP200:BP266" si="138">IF(OR(P$4&gt;$J$4,P200=""),"",P200)</f>
        <v/>
      </c>
      <c r="BQ200" s="155" t="str">
        <f t="shared" ref="BQ200:BQ266" si="139">IF(OR(Q$4&gt;$J$4,Q200=""),"",Q200)</f>
        <v/>
      </c>
      <c r="BR200" s="155" t="str">
        <f t="shared" ref="BR200:BR266" si="140">IF(OR(R$4&gt;$J$4,R200=""),"",R200)</f>
        <v/>
      </c>
      <c r="BS200" s="155" t="str">
        <f t="shared" ref="BS200:BS266" si="141">IF(OR(S$4&gt;$J$4,S200=""),"",S200)</f>
        <v/>
      </c>
      <c r="BT200" s="155" t="str">
        <f t="shared" ref="BT200:BT266" si="142">IF(OR(T$4&gt;$J$4,T200=""),"",T200)</f>
        <v/>
      </c>
      <c r="BU200" s="155" t="str">
        <f t="shared" ref="BU200:BU266" si="143">IF(OR(U$4&gt;$J$4,U200=""),"",U200)</f>
        <v/>
      </c>
      <c r="BV200" s="155" t="str">
        <f t="shared" ref="BV200:BV266" si="144">IF(OR(V$4&gt;$J$4,V200=""),"",V200)</f>
        <v/>
      </c>
      <c r="BW200" s="155" t="str">
        <f t="shared" ref="BW200:BW266" si="145">IF(OR(W$4&gt;$J$4,W200=""),"",W200)</f>
        <v/>
      </c>
      <c r="BX200" s="155" t="str">
        <f t="shared" ref="BX200:BX266" si="146">IF(OR(X$4&gt;$J$4,X200=""),"",X200)</f>
        <v/>
      </c>
      <c r="BY200" s="155" t="str">
        <f t="shared" ref="BY200:BY266" si="147">IF(OR(Y$4&gt;$J$4,Y200=""),"",Y200)</f>
        <v/>
      </c>
      <c r="BZ200" s="155" t="str">
        <f t="shared" ref="BZ200:BZ266" si="148">IF(OR(Z$4&gt;$J$4,Z200=""),"",Z200)</f>
        <v/>
      </c>
      <c r="CA200" s="155" t="str">
        <f t="shared" ref="CA200:CA266" si="149">IF(OR(AA$4&gt;$J$4,AA200=""),"",AA200)</f>
        <v/>
      </c>
      <c r="CB200" s="155" t="str">
        <f t="shared" ref="CB200:CB266" si="150">IF(OR(AB$4&gt;$J$4,AB200=""),"",AB200)</f>
        <v/>
      </c>
      <c r="CC200" s="155" t="str">
        <f t="shared" ref="CC200:CC266" si="151">IF(OR(AC$4&gt;$J$4,AC200=""),"",AC200)</f>
        <v/>
      </c>
      <c r="CD200" s="155" t="str">
        <f t="shared" ref="CD200:CD266" si="152">IF(OR(AD$4&gt;$J$4,AD200=""),"",AD200)</f>
        <v/>
      </c>
      <c r="CE200" s="155" t="str">
        <f t="shared" ref="CE200:CE266" si="153">IF(OR(AE$4&gt;$J$4,AE200=""),"",AE200)</f>
        <v/>
      </c>
      <c r="CF200" s="155" t="str">
        <f t="shared" ref="CF200:CF266" si="154">IF(OR(AF$4&gt;$J$4,AF200=""),"",AF200)</f>
        <v/>
      </c>
      <c r="CG200" s="155" t="str">
        <f t="shared" ref="CG200:CG266" si="155">IF(OR(AG$4&gt;$J$4,AG200=""),"",AG200)</f>
        <v/>
      </c>
      <c r="CH200" s="155" t="str">
        <f t="shared" ref="CH200:CH266" si="156">IF(OR(AH$4&gt;$J$4,AH200=""),"",AH200)</f>
        <v/>
      </c>
      <c r="CI200" s="155" t="str">
        <f t="shared" ref="CI200:CI266" si="157">IF(OR(AI$4&gt;$J$4,AI200=""),"",AI200)</f>
        <v/>
      </c>
      <c r="CJ200" s="155" t="str">
        <f t="shared" ref="CJ200:CJ266" si="158">IF(OR(AJ$4&gt;$J$4,AJ200=""),"",AJ200)</f>
        <v/>
      </c>
      <c r="CK200" s="155" t="str">
        <f t="shared" ref="CK200:CK266" si="159">IF(OR(AK$4&gt;$J$4,AK200=""),"",AK200)</f>
        <v/>
      </c>
      <c r="CL200" s="155" t="str">
        <f t="shared" ref="CL200:CL266" si="160">IF(OR(AL$4&gt;$J$4,AL200=""),"",AL200)</f>
        <v/>
      </c>
      <c r="CM200" s="155" t="str">
        <f t="shared" ref="CM200:CM266" si="161">IF(OR(AM$4&gt;$J$4,AM200=""),"",AM200)</f>
        <v/>
      </c>
      <c r="CN200" s="155" t="str">
        <f t="shared" ref="CN200:CN266" si="162">IF(OR(AN$4&gt;$J$4,AN200=""),"",AN200)</f>
        <v/>
      </c>
      <c r="CO200" s="155" t="str">
        <f t="shared" ref="CO200:CO266" si="163">IF(OR(AO$4&gt;$J$4,AO200=""),"",AO200)</f>
        <v/>
      </c>
      <c r="CP200" s="155" t="str">
        <f t="shared" ref="CP200:CP266" si="164">IF(OR(AP$4&gt;$J$4,AP200=""),"",AP200)</f>
        <v/>
      </c>
      <c r="CQ200" s="155" t="str">
        <f t="shared" ref="CQ200:CQ266" si="165">IF(OR(AQ$4&gt;$J$4,AQ200=""),"",AQ200)</f>
        <v/>
      </c>
      <c r="CR200" s="155" t="str">
        <f t="shared" ref="CR200:CR266" si="166">IF(OR(AR$4&gt;$J$4,AR200=""),"",AR200)</f>
        <v/>
      </c>
      <c r="CS200" s="155" t="str">
        <f t="shared" ref="CS200:CS266" si="167">IF(OR(AS$4&gt;$J$4,AS200=""),"",AS200)</f>
        <v/>
      </c>
      <c r="CT200" s="155" t="str">
        <f t="shared" ref="CT200:CT266" si="168">IF(OR(AT$4&gt;$J$4,AT200=""),"",AT200)</f>
        <v/>
      </c>
      <c r="CU200" s="155" t="str">
        <f t="shared" ref="CU200:CU266" si="169">IF(OR(AU$4&gt;$J$4,AU200=""),"",AU200)</f>
        <v/>
      </c>
      <c r="CV200" s="155" t="str">
        <f t="shared" ref="CV200:CV266" si="170">IF(OR(AV$4&gt;$J$4,AV200=""),"",AV200)</f>
        <v/>
      </c>
      <c r="CW200" s="155" t="str">
        <f t="shared" ref="CW200:CW266" si="171">IF(OR(AW$4&gt;$J$4,AW200=""),"",AW200)</f>
        <v/>
      </c>
      <c r="CX200" s="155" t="str">
        <f t="shared" ref="CX200:CX266" si="172">IF(OR(AX$4&gt;$J$4,AX200=""),"",AX200)</f>
        <v/>
      </c>
    </row>
    <row r="201" spans="1:128" s="151" customFormat="1" ht="14.25" outlineLevel="1" x14ac:dyDescent="0.2">
      <c r="A201" s="146"/>
      <c r="B201" s="147" t="str">
        <f>Services!B201</f>
        <v>08E</v>
      </c>
      <c r="C201" s="148" t="str">
        <f>Services!C201</f>
        <v>Gestion et traitement des incidents</v>
      </c>
      <c r="D201" s="149"/>
      <c r="E201" s="149"/>
      <c r="F201" s="149"/>
      <c r="G201" s="149"/>
      <c r="H201" s="149"/>
      <c r="I201" s="140" t="str">
        <f t="shared" si="130"/>
        <v/>
      </c>
      <c r="J201" s="141" t="str">
        <f t="shared" si="131"/>
        <v/>
      </c>
      <c r="K201" s="142"/>
      <c r="L201" s="142"/>
      <c r="M201" s="1708"/>
      <c r="N201" s="1708"/>
      <c r="O201" s="1708"/>
      <c r="P201" s="1708"/>
      <c r="Q201" s="1708"/>
      <c r="R201" s="1708"/>
      <c r="S201" s="1708"/>
      <c r="T201" s="1708"/>
      <c r="U201" s="1708"/>
      <c r="V201" s="1708"/>
      <c r="W201" s="1708"/>
      <c r="X201" s="1712"/>
      <c r="Y201" s="1712"/>
      <c r="Z201" s="1712"/>
      <c r="AA201" s="1712"/>
      <c r="AB201" s="1712"/>
      <c r="AC201" s="1712"/>
      <c r="AD201" s="1712"/>
      <c r="AE201" s="1712"/>
      <c r="AF201" s="1712"/>
      <c r="AG201" s="1712"/>
      <c r="AH201" s="1712"/>
      <c r="AI201" s="1712"/>
      <c r="AJ201" s="1712"/>
      <c r="AK201" s="1712"/>
      <c r="AL201" s="1712"/>
      <c r="AM201" s="1712"/>
      <c r="AN201" s="1712"/>
      <c r="AO201" s="1712"/>
      <c r="AP201" s="1712"/>
      <c r="AQ201" s="1712"/>
      <c r="AR201" s="1712"/>
      <c r="AS201" s="1712"/>
      <c r="AT201" s="1712"/>
      <c r="AU201" s="1712"/>
      <c r="AV201" s="1712"/>
      <c r="AW201" s="1712"/>
      <c r="AX201" s="1713"/>
      <c r="AY201" s="1714" t="str">
        <f t="shared" si="132"/>
        <v/>
      </c>
      <c r="AZ201" s="1714" t="str">
        <f>IF(Obj_PA!D201="","",IF(AY201="","",Obj_PA!D201-AY201))</f>
        <v/>
      </c>
      <c r="BA201" s="150"/>
      <c r="BB201" s="150"/>
      <c r="BC201" s="150"/>
      <c r="BD201" s="150"/>
      <c r="BE201" s="150"/>
      <c r="BF201" s="150"/>
      <c r="BG201" s="150"/>
      <c r="BH201" s="150"/>
      <c r="BI201" s="150"/>
      <c r="BJ201" s="150"/>
      <c r="BK201" s="155" t="str">
        <f t="shared" si="133"/>
        <v/>
      </c>
      <c r="BL201" s="155" t="str">
        <f t="shared" si="134"/>
        <v/>
      </c>
      <c r="BM201" s="155" t="str">
        <f t="shared" si="135"/>
        <v/>
      </c>
      <c r="BN201" s="155" t="str">
        <f t="shared" si="136"/>
        <v/>
      </c>
      <c r="BO201" s="155" t="str">
        <f t="shared" si="137"/>
        <v/>
      </c>
      <c r="BP201" s="155" t="str">
        <f t="shared" si="138"/>
        <v/>
      </c>
      <c r="BQ201" s="155" t="str">
        <f t="shared" si="139"/>
        <v/>
      </c>
      <c r="BR201" s="155" t="str">
        <f t="shared" si="140"/>
        <v/>
      </c>
      <c r="BS201" s="155" t="str">
        <f t="shared" si="141"/>
        <v/>
      </c>
      <c r="BT201" s="155" t="str">
        <f t="shared" si="142"/>
        <v/>
      </c>
      <c r="BU201" s="155" t="str">
        <f t="shared" si="143"/>
        <v/>
      </c>
      <c r="BV201" s="155" t="str">
        <f t="shared" si="144"/>
        <v/>
      </c>
      <c r="BW201" s="155" t="str">
        <f t="shared" si="145"/>
        <v/>
      </c>
      <c r="BX201" s="155" t="str">
        <f t="shared" si="146"/>
        <v/>
      </c>
      <c r="BY201" s="155" t="str">
        <f t="shared" si="147"/>
        <v/>
      </c>
      <c r="BZ201" s="155" t="str">
        <f t="shared" si="148"/>
        <v/>
      </c>
      <c r="CA201" s="155" t="str">
        <f t="shared" si="149"/>
        <v/>
      </c>
      <c r="CB201" s="155" t="str">
        <f t="shared" si="150"/>
        <v/>
      </c>
      <c r="CC201" s="155" t="str">
        <f t="shared" si="151"/>
        <v/>
      </c>
      <c r="CD201" s="155" t="str">
        <f t="shared" si="152"/>
        <v/>
      </c>
      <c r="CE201" s="155" t="str">
        <f t="shared" si="153"/>
        <v/>
      </c>
      <c r="CF201" s="155" t="str">
        <f t="shared" si="154"/>
        <v/>
      </c>
      <c r="CG201" s="155" t="str">
        <f t="shared" si="155"/>
        <v/>
      </c>
      <c r="CH201" s="155" t="str">
        <f t="shared" si="156"/>
        <v/>
      </c>
      <c r="CI201" s="155" t="str">
        <f t="shared" si="157"/>
        <v/>
      </c>
      <c r="CJ201" s="155" t="str">
        <f t="shared" si="158"/>
        <v/>
      </c>
      <c r="CK201" s="155" t="str">
        <f t="shared" si="159"/>
        <v/>
      </c>
      <c r="CL201" s="155" t="str">
        <f t="shared" si="160"/>
        <v/>
      </c>
      <c r="CM201" s="155" t="str">
        <f t="shared" si="161"/>
        <v/>
      </c>
      <c r="CN201" s="155" t="str">
        <f t="shared" si="162"/>
        <v/>
      </c>
      <c r="CO201" s="155" t="str">
        <f t="shared" si="163"/>
        <v/>
      </c>
      <c r="CP201" s="155" t="str">
        <f t="shared" si="164"/>
        <v/>
      </c>
      <c r="CQ201" s="155" t="str">
        <f t="shared" si="165"/>
        <v/>
      </c>
      <c r="CR201" s="155" t="str">
        <f t="shared" si="166"/>
        <v/>
      </c>
      <c r="CS201" s="155" t="str">
        <f t="shared" si="167"/>
        <v/>
      </c>
      <c r="CT201" s="155" t="str">
        <f t="shared" si="168"/>
        <v/>
      </c>
      <c r="CU201" s="155" t="str">
        <f t="shared" si="169"/>
        <v/>
      </c>
      <c r="CV201" s="155" t="str">
        <f t="shared" si="170"/>
        <v/>
      </c>
      <c r="CW201" s="155" t="str">
        <f t="shared" si="171"/>
        <v/>
      </c>
      <c r="CX201" s="155" t="str">
        <f t="shared" si="172"/>
        <v/>
      </c>
    </row>
    <row r="202" spans="1:128" s="151" customFormat="1" ht="25.5" outlineLevel="1" x14ac:dyDescent="0.2">
      <c r="A202" s="156"/>
      <c r="B202" s="157" t="str">
        <f>Services!B202</f>
        <v>08E01</v>
      </c>
      <c r="C202" s="153" t="str">
        <f>Services!C202</f>
        <v>Détection et traitement (en temps réel) des anomalies et incidents d'exploitation</v>
      </c>
      <c r="D202" s="149">
        <f>1*(8*Plans_action!E215+Plans_action!D215)+1*(8*Plans_action!E215+Plans_action!D215)+1*(8*Plans_action!E224+Plans_action!D224)+1*(8*Plans_action!E224+Plans_action!D224)+1*(8*Plans_action!E240+Plans_action!D240)+1*(8*Plans_action!E240+Plans_action!D240)+1*(8*Plans_action!E249+Plans_action!D249)+1*(8*Plans_action!E249+Plans_action!D249)</f>
        <v>0</v>
      </c>
      <c r="E202" s="149"/>
      <c r="F202" s="149"/>
      <c r="G202" s="149"/>
      <c r="H202" s="149"/>
      <c r="I202" s="140" t="str">
        <f t="shared" si="130"/>
        <v/>
      </c>
      <c r="J202" s="141" t="str">
        <f t="shared" si="131"/>
        <v/>
      </c>
      <c r="K202" s="142"/>
      <c r="L202" s="142"/>
      <c r="M202" s="1708"/>
      <c r="N202" s="1708"/>
      <c r="O202" s="1708"/>
      <c r="P202" s="1708"/>
      <c r="Q202" s="1708"/>
      <c r="R202" s="1708"/>
      <c r="S202" s="1708"/>
      <c r="T202" s="1708"/>
      <c r="U202" s="1708"/>
      <c r="V202" s="1708"/>
      <c r="W202" s="1708"/>
      <c r="X202" s="1712"/>
      <c r="Y202" s="1712"/>
      <c r="Z202" s="1712"/>
      <c r="AA202" s="1712"/>
      <c r="AB202" s="1712"/>
      <c r="AC202" s="1712"/>
      <c r="AD202" s="1712"/>
      <c r="AE202" s="1712"/>
      <c r="AF202" s="1712"/>
      <c r="AG202" s="1712"/>
      <c r="AH202" s="1712"/>
      <c r="AI202" s="1712"/>
      <c r="AJ202" s="1712"/>
      <c r="AK202" s="1712"/>
      <c r="AL202" s="1712"/>
      <c r="AM202" s="1712"/>
      <c r="AN202" s="1712"/>
      <c r="AO202" s="1712"/>
      <c r="AP202" s="1712"/>
      <c r="AQ202" s="1712"/>
      <c r="AR202" s="1712"/>
      <c r="AS202" s="1712"/>
      <c r="AT202" s="1712"/>
      <c r="AU202" s="1712"/>
      <c r="AV202" s="1712"/>
      <c r="AW202" s="1712"/>
      <c r="AX202" s="1713"/>
      <c r="AY202" s="1714" t="str">
        <f t="shared" si="132"/>
        <v/>
      </c>
      <c r="AZ202" s="1714" t="str">
        <f>IF(Obj_PA!D202="","",IF(AY202="","",Obj_PA!D202-AY202))</f>
        <v/>
      </c>
      <c r="BA202" s="150"/>
      <c r="BB202" s="150"/>
      <c r="BC202" s="150"/>
      <c r="BD202" s="150"/>
      <c r="BE202" s="150"/>
      <c r="BF202" s="150"/>
      <c r="BG202" s="150"/>
      <c r="BH202" s="150"/>
      <c r="BI202" s="150"/>
      <c r="BJ202" s="150"/>
      <c r="BK202" s="155" t="str">
        <f t="shared" si="133"/>
        <v/>
      </c>
      <c r="BL202" s="155" t="str">
        <f t="shared" si="134"/>
        <v/>
      </c>
      <c r="BM202" s="155" t="str">
        <f t="shared" si="135"/>
        <v/>
      </c>
      <c r="BN202" s="155" t="str">
        <f t="shared" si="136"/>
        <v/>
      </c>
      <c r="BO202" s="155" t="str">
        <f t="shared" si="137"/>
        <v/>
      </c>
      <c r="BP202" s="155" t="str">
        <f t="shared" si="138"/>
        <v/>
      </c>
      <c r="BQ202" s="155" t="str">
        <f t="shared" si="139"/>
        <v/>
      </c>
      <c r="BR202" s="155" t="str">
        <f t="shared" si="140"/>
        <v/>
      </c>
      <c r="BS202" s="155" t="str">
        <f t="shared" si="141"/>
        <v/>
      </c>
      <c r="BT202" s="155" t="str">
        <f t="shared" si="142"/>
        <v/>
      </c>
      <c r="BU202" s="155" t="str">
        <f t="shared" si="143"/>
        <v/>
      </c>
      <c r="BV202" s="155" t="str">
        <f t="shared" si="144"/>
        <v/>
      </c>
      <c r="BW202" s="155" t="str">
        <f t="shared" si="145"/>
        <v/>
      </c>
      <c r="BX202" s="155" t="str">
        <f t="shared" si="146"/>
        <v/>
      </c>
      <c r="BY202" s="155" t="str">
        <f t="shared" si="147"/>
        <v/>
      </c>
      <c r="BZ202" s="155" t="str">
        <f t="shared" si="148"/>
        <v/>
      </c>
      <c r="CA202" s="155" t="str">
        <f t="shared" si="149"/>
        <v/>
      </c>
      <c r="CB202" s="155" t="str">
        <f t="shared" si="150"/>
        <v/>
      </c>
      <c r="CC202" s="155" t="str">
        <f t="shared" si="151"/>
        <v/>
      </c>
      <c r="CD202" s="155" t="str">
        <f t="shared" si="152"/>
        <v/>
      </c>
      <c r="CE202" s="155" t="str">
        <f t="shared" si="153"/>
        <v/>
      </c>
      <c r="CF202" s="155" t="str">
        <f t="shared" si="154"/>
        <v/>
      </c>
      <c r="CG202" s="155" t="str">
        <f t="shared" si="155"/>
        <v/>
      </c>
      <c r="CH202" s="155" t="str">
        <f t="shared" si="156"/>
        <v/>
      </c>
      <c r="CI202" s="155" t="str">
        <f t="shared" si="157"/>
        <v/>
      </c>
      <c r="CJ202" s="155" t="str">
        <f t="shared" si="158"/>
        <v/>
      </c>
      <c r="CK202" s="155" t="str">
        <f t="shared" si="159"/>
        <v/>
      </c>
      <c r="CL202" s="155" t="str">
        <f t="shared" si="160"/>
        <v/>
      </c>
      <c r="CM202" s="155" t="str">
        <f t="shared" si="161"/>
        <v/>
      </c>
      <c r="CN202" s="155" t="str">
        <f t="shared" si="162"/>
        <v/>
      </c>
      <c r="CO202" s="155" t="str">
        <f t="shared" si="163"/>
        <v/>
      </c>
      <c r="CP202" s="155" t="str">
        <f t="shared" si="164"/>
        <v/>
      </c>
      <c r="CQ202" s="155" t="str">
        <f t="shared" si="165"/>
        <v/>
      </c>
      <c r="CR202" s="155" t="str">
        <f t="shared" si="166"/>
        <v/>
      </c>
      <c r="CS202" s="155" t="str">
        <f t="shared" si="167"/>
        <v/>
      </c>
      <c r="CT202" s="155" t="str">
        <f t="shared" si="168"/>
        <v/>
      </c>
      <c r="CU202" s="155" t="str">
        <f t="shared" si="169"/>
        <v/>
      </c>
      <c r="CV202" s="155" t="str">
        <f t="shared" si="170"/>
        <v/>
      </c>
      <c r="CW202" s="155" t="str">
        <f t="shared" si="171"/>
        <v/>
      </c>
      <c r="CX202" s="155" t="str">
        <f t="shared" si="172"/>
        <v/>
      </c>
    </row>
    <row r="203" spans="1:128" s="151" customFormat="1" ht="14.25" outlineLevel="1" x14ac:dyDescent="0.2">
      <c r="A203" s="156"/>
      <c r="B203" s="157" t="str">
        <f>Services!B203</f>
        <v>08E02</v>
      </c>
      <c r="C203" s="153" t="str">
        <f>Services!C203</f>
        <v>Surveillance, en temps différé, des traces, logs et journaux</v>
      </c>
      <c r="D203" s="149">
        <f>1*(8*Plans_action!E5+Plans_action!D5)+1*(8*Plans_action!E5+Plans_action!D5)+1*(8*Plans_action!E215+Plans_action!D215)+1*(8*Plans_action!E224+Plans_action!D224)+1*(8*Plans_action!E240+Plans_action!D240)+1*(8*Plans_action!E249+Plans_action!D249)</f>
        <v>0</v>
      </c>
      <c r="E203" s="149">
        <f>2*(8*Plans_action!E215+Plans_action!D215)+2*(8*Plans_action!E224+Plans_action!D224)+2*(8*Plans_action!E240+Plans_action!D240)+2*(8*Plans_action!E249+Plans_action!D249)</f>
        <v>0</v>
      </c>
      <c r="F203" s="149"/>
      <c r="G203" s="149"/>
      <c r="H203" s="149"/>
      <c r="I203" s="140" t="str">
        <f t="shared" si="130"/>
        <v/>
      </c>
      <c r="J203" s="141" t="str">
        <f t="shared" si="131"/>
        <v/>
      </c>
      <c r="K203" s="142"/>
      <c r="L203" s="142"/>
      <c r="M203" s="1708"/>
      <c r="N203" s="1708"/>
      <c r="O203" s="1708"/>
      <c r="P203" s="1708"/>
      <c r="Q203" s="1708"/>
      <c r="R203" s="1708"/>
      <c r="S203" s="1708"/>
      <c r="T203" s="1708"/>
      <c r="U203" s="1708"/>
      <c r="V203" s="1708"/>
      <c r="W203" s="1708"/>
      <c r="X203" s="1712"/>
      <c r="Y203" s="1712"/>
      <c r="Z203" s="1712"/>
      <c r="AA203" s="1712"/>
      <c r="AB203" s="1712"/>
      <c r="AC203" s="1712"/>
      <c r="AD203" s="1712"/>
      <c r="AE203" s="1712"/>
      <c r="AF203" s="1712"/>
      <c r="AG203" s="1712"/>
      <c r="AH203" s="1712"/>
      <c r="AI203" s="1712"/>
      <c r="AJ203" s="1712"/>
      <c r="AK203" s="1712"/>
      <c r="AL203" s="1712"/>
      <c r="AM203" s="1712"/>
      <c r="AN203" s="1712"/>
      <c r="AO203" s="1712"/>
      <c r="AP203" s="1712"/>
      <c r="AQ203" s="1712"/>
      <c r="AR203" s="1712"/>
      <c r="AS203" s="1712"/>
      <c r="AT203" s="1712"/>
      <c r="AU203" s="1712"/>
      <c r="AV203" s="1712"/>
      <c r="AW203" s="1712"/>
      <c r="AX203" s="1713"/>
      <c r="AY203" s="1714" t="str">
        <f t="shared" si="132"/>
        <v/>
      </c>
      <c r="AZ203" s="1714" t="str">
        <f>IF(Obj_PA!D203="","",IF(AY203="","",Obj_PA!D203-AY203))</f>
        <v/>
      </c>
      <c r="BA203" s="150"/>
      <c r="BB203" s="150"/>
      <c r="BC203" s="150"/>
      <c r="BD203" s="150"/>
      <c r="BE203" s="150"/>
      <c r="BF203" s="150"/>
      <c r="BG203" s="150"/>
      <c r="BH203" s="150"/>
      <c r="BI203" s="150"/>
      <c r="BJ203" s="150"/>
      <c r="BK203" s="155" t="str">
        <f t="shared" si="133"/>
        <v/>
      </c>
      <c r="BL203" s="155" t="str">
        <f t="shared" si="134"/>
        <v/>
      </c>
      <c r="BM203" s="155" t="str">
        <f t="shared" si="135"/>
        <v/>
      </c>
      <c r="BN203" s="155" t="str">
        <f t="shared" si="136"/>
        <v/>
      </c>
      <c r="BO203" s="155" t="str">
        <f t="shared" si="137"/>
        <v/>
      </c>
      <c r="BP203" s="155" t="str">
        <f t="shared" si="138"/>
        <v/>
      </c>
      <c r="BQ203" s="155" t="str">
        <f t="shared" si="139"/>
        <v/>
      </c>
      <c r="BR203" s="155" t="str">
        <f t="shared" si="140"/>
        <v/>
      </c>
      <c r="BS203" s="155" t="str">
        <f t="shared" si="141"/>
        <v/>
      </c>
      <c r="BT203" s="155" t="str">
        <f t="shared" si="142"/>
        <v/>
      </c>
      <c r="BU203" s="155" t="str">
        <f t="shared" si="143"/>
        <v/>
      </c>
      <c r="BV203" s="155" t="str">
        <f t="shared" si="144"/>
        <v/>
      </c>
      <c r="BW203" s="155" t="str">
        <f t="shared" si="145"/>
        <v/>
      </c>
      <c r="BX203" s="155" t="str">
        <f t="shared" si="146"/>
        <v/>
      </c>
      <c r="BY203" s="155" t="str">
        <f t="shared" si="147"/>
        <v/>
      </c>
      <c r="BZ203" s="155" t="str">
        <f t="shared" si="148"/>
        <v/>
      </c>
      <c r="CA203" s="155" t="str">
        <f t="shared" si="149"/>
        <v/>
      </c>
      <c r="CB203" s="155" t="str">
        <f t="shared" si="150"/>
        <v/>
      </c>
      <c r="CC203" s="155" t="str">
        <f t="shared" si="151"/>
        <v/>
      </c>
      <c r="CD203" s="155" t="str">
        <f t="shared" si="152"/>
        <v/>
      </c>
      <c r="CE203" s="155" t="str">
        <f t="shared" si="153"/>
        <v/>
      </c>
      <c r="CF203" s="155" t="str">
        <f t="shared" si="154"/>
        <v/>
      </c>
      <c r="CG203" s="155" t="str">
        <f t="shared" si="155"/>
        <v/>
      </c>
      <c r="CH203" s="155" t="str">
        <f t="shared" si="156"/>
        <v/>
      </c>
      <c r="CI203" s="155" t="str">
        <f t="shared" si="157"/>
        <v/>
      </c>
      <c r="CJ203" s="155" t="str">
        <f t="shared" si="158"/>
        <v/>
      </c>
      <c r="CK203" s="155" t="str">
        <f t="shared" si="159"/>
        <v/>
      </c>
      <c r="CL203" s="155" t="str">
        <f t="shared" si="160"/>
        <v/>
      </c>
      <c r="CM203" s="155" t="str">
        <f t="shared" si="161"/>
        <v/>
      </c>
      <c r="CN203" s="155" t="str">
        <f t="shared" si="162"/>
        <v/>
      </c>
      <c r="CO203" s="155" t="str">
        <f t="shared" si="163"/>
        <v/>
      </c>
      <c r="CP203" s="155" t="str">
        <f t="shared" si="164"/>
        <v/>
      </c>
      <c r="CQ203" s="155" t="str">
        <f t="shared" si="165"/>
        <v/>
      </c>
      <c r="CR203" s="155" t="str">
        <f t="shared" si="166"/>
        <v/>
      </c>
      <c r="CS203" s="155" t="str">
        <f t="shared" si="167"/>
        <v/>
      </c>
      <c r="CT203" s="155" t="str">
        <f t="shared" si="168"/>
        <v/>
      </c>
      <c r="CU203" s="155" t="str">
        <f t="shared" si="169"/>
        <v/>
      </c>
      <c r="CV203" s="155" t="str">
        <f t="shared" si="170"/>
        <v/>
      </c>
      <c r="CW203" s="155" t="str">
        <f t="shared" si="171"/>
        <v/>
      </c>
      <c r="CX203" s="155" t="str">
        <f t="shared" si="172"/>
        <v/>
      </c>
      <c r="DU203" s="151">
        <f>IF(INDEX(Tab_actions,16,1)=1,INDEX(Tab_actions,16,8),0)</f>
        <v>0</v>
      </c>
    </row>
    <row r="204" spans="1:128" s="151" customFormat="1" ht="14.25" outlineLevel="1" x14ac:dyDescent="0.2">
      <c r="A204" s="156"/>
      <c r="B204" s="157" t="str">
        <f>Services!B204</f>
        <v>08E03</v>
      </c>
      <c r="C204" s="153" t="str">
        <f>Services!C204</f>
        <v>Gestion et traitement des incidents systèmes et applicatifs</v>
      </c>
      <c r="D204" s="149">
        <f>1*(8*Plans_action!E5+Plans_action!D5)+1*(8*Plans_action!E13+Plans_action!D13)+1*(8*Plans_action!E215+Plans_action!D215)+1*(8*Plans_action!E224+Plans_action!D224)+1*(8*Plans_action!E240+Plans_action!D240)+1*(8*Plans_action!E249+Plans_action!D249)</f>
        <v>0</v>
      </c>
      <c r="E204" s="149"/>
      <c r="F204" s="149"/>
      <c r="G204" s="149"/>
      <c r="H204" s="149"/>
      <c r="I204" s="140" t="str">
        <f t="shared" si="130"/>
        <v/>
      </c>
      <c r="J204" s="141" t="str">
        <f t="shared" si="131"/>
        <v/>
      </c>
      <c r="K204" s="142"/>
      <c r="L204" s="142"/>
      <c r="M204" s="1708"/>
      <c r="N204" s="1708"/>
      <c r="O204" s="1708"/>
      <c r="P204" s="1708"/>
      <c r="Q204" s="1708"/>
      <c r="R204" s="1708"/>
      <c r="S204" s="1708"/>
      <c r="T204" s="1708"/>
      <c r="U204" s="1708"/>
      <c r="V204" s="1708"/>
      <c r="W204" s="1708"/>
      <c r="X204" s="1712"/>
      <c r="Y204" s="1712"/>
      <c r="Z204" s="1712"/>
      <c r="AA204" s="1712"/>
      <c r="AB204" s="1712"/>
      <c r="AC204" s="1712"/>
      <c r="AD204" s="1712"/>
      <c r="AE204" s="1712"/>
      <c r="AF204" s="1712"/>
      <c r="AG204" s="1712"/>
      <c r="AH204" s="1712"/>
      <c r="AI204" s="1712"/>
      <c r="AJ204" s="1712"/>
      <c r="AK204" s="1712"/>
      <c r="AL204" s="1712"/>
      <c r="AM204" s="1712"/>
      <c r="AN204" s="1712"/>
      <c r="AO204" s="1712"/>
      <c r="AP204" s="1712"/>
      <c r="AQ204" s="1712"/>
      <c r="AR204" s="1712"/>
      <c r="AS204" s="1712"/>
      <c r="AT204" s="1712"/>
      <c r="AU204" s="1712"/>
      <c r="AV204" s="1712"/>
      <c r="AW204" s="1712"/>
      <c r="AX204" s="1713"/>
      <c r="AY204" s="1714" t="str">
        <f t="shared" si="132"/>
        <v/>
      </c>
      <c r="AZ204" s="1714" t="str">
        <f>IF(Obj_PA!D204="","",IF(AY204="","",Obj_PA!D204-AY204))</f>
        <v/>
      </c>
      <c r="BA204" s="150"/>
      <c r="BB204" s="150"/>
      <c r="BC204" s="150"/>
      <c r="BD204" s="150"/>
      <c r="BE204" s="150"/>
      <c r="BF204" s="150"/>
      <c r="BG204" s="150"/>
      <c r="BH204" s="150"/>
      <c r="BI204" s="150"/>
      <c r="BJ204" s="150"/>
      <c r="BK204" s="155" t="str">
        <f t="shared" si="133"/>
        <v/>
      </c>
      <c r="BL204" s="155" t="str">
        <f t="shared" si="134"/>
        <v/>
      </c>
      <c r="BM204" s="155" t="str">
        <f t="shared" si="135"/>
        <v/>
      </c>
      <c r="BN204" s="155" t="str">
        <f t="shared" si="136"/>
        <v/>
      </c>
      <c r="BO204" s="155" t="str">
        <f t="shared" si="137"/>
        <v/>
      </c>
      <c r="BP204" s="155" t="str">
        <f t="shared" si="138"/>
        <v/>
      </c>
      <c r="BQ204" s="155" t="str">
        <f t="shared" si="139"/>
        <v/>
      </c>
      <c r="BR204" s="155" t="str">
        <f t="shared" si="140"/>
        <v/>
      </c>
      <c r="BS204" s="155" t="str">
        <f t="shared" si="141"/>
        <v/>
      </c>
      <c r="BT204" s="155" t="str">
        <f t="shared" si="142"/>
        <v/>
      </c>
      <c r="BU204" s="155" t="str">
        <f t="shared" si="143"/>
        <v/>
      </c>
      <c r="BV204" s="155" t="str">
        <f t="shared" si="144"/>
        <v/>
      </c>
      <c r="BW204" s="155" t="str">
        <f t="shared" si="145"/>
        <v/>
      </c>
      <c r="BX204" s="155" t="str">
        <f t="shared" si="146"/>
        <v/>
      </c>
      <c r="BY204" s="155" t="str">
        <f t="shared" si="147"/>
        <v/>
      </c>
      <c r="BZ204" s="155" t="str">
        <f t="shared" si="148"/>
        <v/>
      </c>
      <c r="CA204" s="155" t="str">
        <f t="shared" si="149"/>
        <v/>
      </c>
      <c r="CB204" s="155" t="str">
        <f t="shared" si="150"/>
        <v/>
      </c>
      <c r="CC204" s="155" t="str">
        <f t="shared" si="151"/>
        <v/>
      </c>
      <c r="CD204" s="155" t="str">
        <f t="shared" si="152"/>
        <v/>
      </c>
      <c r="CE204" s="155" t="str">
        <f t="shared" si="153"/>
        <v/>
      </c>
      <c r="CF204" s="155" t="str">
        <f t="shared" si="154"/>
        <v/>
      </c>
      <c r="CG204" s="155" t="str">
        <f t="shared" si="155"/>
        <v/>
      </c>
      <c r="CH204" s="155" t="str">
        <f t="shared" si="156"/>
        <v/>
      </c>
      <c r="CI204" s="155" t="str">
        <f t="shared" si="157"/>
        <v/>
      </c>
      <c r="CJ204" s="155" t="str">
        <f t="shared" si="158"/>
        <v/>
      </c>
      <c r="CK204" s="155" t="str">
        <f t="shared" si="159"/>
        <v/>
      </c>
      <c r="CL204" s="155" t="str">
        <f t="shared" si="160"/>
        <v/>
      </c>
      <c r="CM204" s="155" t="str">
        <f t="shared" si="161"/>
        <v/>
      </c>
      <c r="CN204" s="155" t="str">
        <f t="shared" si="162"/>
        <v/>
      </c>
      <c r="CO204" s="155" t="str">
        <f t="shared" si="163"/>
        <v/>
      </c>
      <c r="CP204" s="155" t="str">
        <f t="shared" si="164"/>
        <v/>
      </c>
      <c r="CQ204" s="155" t="str">
        <f t="shared" si="165"/>
        <v/>
      </c>
      <c r="CR204" s="155" t="str">
        <f t="shared" si="166"/>
        <v/>
      </c>
      <c r="CS204" s="155" t="str">
        <f t="shared" si="167"/>
        <v/>
      </c>
      <c r="CT204" s="155" t="str">
        <f t="shared" si="168"/>
        <v/>
      </c>
      <c r="CU204" s="155" t="str">
        <f t="shared" si="169"/>
        <v/>
      </c>
      <c r="CV204" s="155" t="str">
        <f t="shared" si="170"/>
        <v/>
      </c>
      <c r="CW204" s="155" t="str">
        <f t="shared" si="171"/>
        <v/>
      </c>
      <c r="CX204" s="155" t="str">
        <f t="shared" si="172"/>
        <v/>
      </c>
    </row>
    <row r="205" spans="1:128" s="151" customFormat="1" ht="14.25" outlineLevel="1" x14ac:dyDescent="0.2">
      <c r="A205" s="146"/>
      <c r="B205" s="147" t="str">
        <f>Services!B205</f>
        <v>08F</v>
      </c>
      <c r="C205" s="148" t="str">
        <f>Services!C205</f>
        <v>Contrôle des droits d'administration</v>
      </c>
      <c r="D205" s="149"/>
      <c r="E205" s="149"/>
      <c r="F205" s="149"/>
      <c r="G205" s="149"/>
      <c r="H205" s="149"/>
      <c r="I205" s="140" t="str">
        <f t="shared" si="130"/>
        <v/>
      </c>
      <c r="J205" s="141" t="str">
        <f t="shared" si="131"/>
        <v/>
      </c>
      <c r="K205" s="142"/>
      <c r="L205" s="142"/>
      <c r="M205" s="1708"/>
      <c r="N205" s="1708"/>
      <c r="O205" s="1708"/>
      <c r="P205" s="1708"/>
      <c r="Q205" s="1708"/>
      <c r="R205" s="1708"/>
      <c r="S205" s="1708"/>
      <c r="T205" s="1708"/>
      <c r="U205" s="1708"/>
      <c r="V205" s="1708"/>
      <c r="W205" s="1708"/>
      <c r="X205" s="1712"/>
      <c r="Y205" s="1712"/>
      <c r="Z205" s="1712"/>
      <c r="AA205" s="1712"/>
      <c r="AB205" s="1712"/>
      <c r="AC205" s="1712"/>
      <c r="AD205" s="1712"/>
      <c r="AE205" s="1712"/>
      <c r="AF205" s="1712"/>
      <c r="AG205" s="1712"/>
      <c r="AH205" s="1712"/>
      <c r="AI205" s="1712"/>
      <c r="AJ205" s="1712"/>
      <c r="AK205" s="1712"/>
      <c r="AL205" s="1712"/>
      <c r="AM205" s="1712"/>
      <c r="AN205" s="1712"/>
      <c r="AO205" s="1712"/>
      <c r="AP205" s="1712"/>
      <c r="AQ205" s="1712"/>
      <c r="AR205" s="1712"/>
      <c r="AS205" s="1712"/>
      <c r="AT205" s="1712"/>
      <c r="AU205" s="1712"/>
      <c r="AV205" s="1712"/>
      <c r="AW205" s="1712"/>
      <c r="AX205" s="1713"/>
      <c r="AY205" s="1714" t="str">
        <f t="shared" si="132"/>
        <v/>
      </c>
      <c r="AZ205" s="1714" t="str">
        <f>IF(Obj_PA!D205="","",IF(AY205="","",Obj_PA!D205-AY205))</f>
        <v/>
      </c>
      <c r="BA205" s="150"/>
      <c r="BB205" s="150"/>
      <c r="BC205" s="150"/>
      <c r="BD205" s="150"/>
      <c r="BE205" s="150"/>
      <c r="BF205" s="150"/>
      <c r="BG205" s="150"/>
      <c r="BH205" s="150"/>
      <c r="BI205" s="150"/>
      <c r="BJ205" s="150"/>
      <c r="BK205" s="155" t="str">
        <f t="shared" si="133"/>
        <v/>
      </c>
      <c r="BL205" s="155" t="str">
        <f t="shared" si="134"/>
        <v/>
      </c>
      <c r="BM205" s="155" t="str">
        <f t="shared" si="135"/>
        <v/>
      </c>
      <c r="BN205" s="155" t="str">
        <f t="shared" si="136"/>
        <v/>
      </c>
      <c r="BO205" s="155" t="str">
        <f t="shared" si="137"/>
        <v/>
      </c>
      <c r="BP205" s="155" t="str">
        <f t="shared" si="138"/>
        <v/>
      </c>
      <c r="BQ205" s="155" t="str">
        <f t="shared" si="139"/>
        <v/>
      </c>
      <c r="BR205" s="155" t="str">
        <f t="shared" si="140"/>
        <v/>
      </c>
      <c r="BS205" s="155" t="str">
        <f t="shared" si="141"/>
        <v/>
      </c>
      <c r="BT205" s="155" t="str">
        <f t="shared" si="142"/>
        <v/>
      </c>
      <c r="BU205" s="155" t="str">
        <f t="shared" si="143"/>
        <v/>
      </c>
      <c r="BV205" s="155" t="str">
        <f t="shared" si="144"/>
        <v/>
      </c>
      <c r="BW205" s="155" t="str">
        <f t="shared" si="145"/>
        <v/>
      </c>
      <c r="BX205" s="155" t="str">
        <f t="shared" si="146"/>
        <v/>
      </c>
      <c r="BY205" s="155" t="str">
        <f t="shared" si="147"/>
        <v/>
      </c>
      <c r="BZ205" s="155" t="str">
        <f t="shared" si="148"/>
        <v/>
      </c>
      <c r="CA205" s="155" t="str">
        <f t="shared" si="149"/>
        <v/>
      </c>
      <c r="CB205" s="155" t="str">
        <f t="shared" si="150"/>
        <v/>
      </c>
      <c r="CC205" s="155" t="str">
        <f t="shared" si="151"/>
        <v/>
      </c>
      <c r="CD205" s="155" t="str">
        <f t="shared" si="152"/>
        <v/>
      </c>
      <c r="CE205" s="155" t="str">
        <f t="shared" si="153"/>
        <v/>
      </c>
      <c r="CF205" s="155" t="str">
        <f t="shared" si="154"/>
        <v/>
      </c>
      <c r="CG205" s="155" t="str">
        <f t="shared" si="155"/>
        <v/>
      </c>
      <c r="CH205" s="155" t="str">
        <f t="shared" si="156"/>
        <v/>
      </c>
      <c r="CI205" s="155" t="str">
        <f t="shared" si="157"/>
        <v/>
      </c>
      <c r="CJ205" s="155" t="str">
        <f t="shared" si="158"/>
        <v/>
      </c>
      <c r="CK205" s="155" t="str">
        <f t="shared" si="159"/>
        <v/>
      </c>
      <c r="CL205" s="155" t="str">
        <f t="shared" si="160"/>
        <v/>
      </c>
      <c r="CM205" s="155" t="str">
        <f t="shared" si="161"/>
        <v/>
      </c>
      <c r="CN205" s="155" t="str">
        <f t="shared" si="162"/>
        <v/>
      </c>
      <c r="CO205" s="155" t="str">
        <f t="shared" si="163"/>
        <v/>
      </c>
      <c r="CP205" s="155" t="str">
        <f t="shared" si="164"/>
        <v/>
      </c>
      <c r="CQ205" s="155" t="str">
        <f t="shared" si="165"/>
        <v/>
      </c>
      <c r="CR205" s="155" t="str">
        <f t="shared" si="166"/>
        <v/>
      </c>
      <c r="CS205" s="155" t="str">
        <f t="shared" si="167"/>
        <v/>
      </c>
      <c r="CT205" s="155" t="str">
        <f t="shared" si="168"/>
        <v/>
      </c>
      <c r="CU205" s="155" t="str">
        <f t="shared" si="169"/>
        <v/>
      </c>
      <c r="CV205" s="155" t="str">
        <f t="shared" si="170"/>
        <v/>
      </c>
      <c r="CW205" s="155" t="str">
        <f t="shared" si="171"/>
        <v/>
      </c>
      <c r="CX205" s="155" t="str">
        <f t="shared" si="172"/>
        <v/>
      </c>
    </row>
    <row r="206" spans="1:128" s="151" customFormat="1" ht="25.5" outlineLevel="1" x14ac:dyDescent="0.2">
      <c r="A206" s="156"/>
      <c r="B206" s="157" t="str">
        <f>Services!B206</f>
        <v>08F01</v>
      </c>
      <c r="C206" s="153" t="str">
        <f>Services!C206</f>
        <v>Gestion des attributions de droits privilégiés sur les systèmes (droits d'administrateur)</v>
      </c>
      <c r="D206" s="149">
        <f>1*(8*Plans_action!E5+Plans_action!D5)+1*(8*Plans_action!E215+Plans_action!D215)+1*(8*Plans_action!E224+Plans_action!D224)+1*(8*Plans_action!E240+Plans_action!D240)+1*(8*Plans_action!E249+Plans_action!D249)</f>
        <v>0</v>
      </c>
      <c r="E206" s="149">
        <f>2*(8*Plans_action!E63+Plans_action!D63)+2*(8*Plans_action!E158+Plans_action!D158)+2*(8*Plans_action!E273+Plans_action!D273)+2*(8*Plans_action!E290+Plans_action!D290)</f>
        <v>0</v>
      </c>
      <c r="F206" s="149">
        <f>3*(8*Plans_action!E72+Plans_action!D72)+3*(8*Plans_action!E113+Plans_action!D113)</f>
        <v>0</v>
      </c>
      <c r="G206" s="149">
        <f>4*(8*Plans_action!E279+Plans_action!D279)+4*(8*Plans_action!E285+Plans_action!D285)</f>
        <v>0</v>
      </c>
      <c r="H206" s="149"/>
      <c r="I206" s="140" t="str">
        <f t="shared" si="130"/>
        <v/>
      </c>
      <c r="J206" s="141" t="str">
        <f t="shared" si="131"/>
        <v/>
      </c>
      <c r="K206" s="142"/>
      <c r="L206" s="142"/>
      <c r="M206" s="1708"/>
      <c r="N206" s="1708"/>
      <c r="O206" s="1708"/>
      <c r="P206" s="1708"/>
      <c r="Q206" s="1708"/>
      <c r="R206" s="1708"/>
      <c r="S206" s="1708"/>
      <c r="T206" s="1708"/>
      <c r="U206" s="1708"/>
      <c r="V206" s="1708"/>
      <c r="W206" s="1708"/>
      <c r="X206" s="1712"/>
      <c r="Y206" s="1712"/>
      <c r="Z206" s="1712"/>
      <c r="AA206" s="1712"/>
      <c r="AB206" s="1712"/>
      <c r="AC206" s="1712"/>
      <c r="AD206" s="1712"/>
      <c r="AE206" s="1712"/>
      <c r="AF206" s="1712"/>
      <c r="AG206" s="1712"/>
      <c r="AH206" s="1712"/>
      <c r="AI206" s="1712"/>
      <c r="AJ206" s="1712"/>
      <c r="AK206" s="1712"/>
      <c r="AL206" s="1712"/>
      <c r="AM206" s="1712"/>
      <c r="AN206" s="1712"/>
      <c r="AO206" s="1712"/>
      <c r="AP206" s="1712"/>
      <c r="AQ206" s="1712"/>
      <c r="AR206" s="1712"/>
      <c r="AS206" s="1712"/>
      <c r="AT206" s="1712"/>
      <c r="AU206" s="1712"/>
      <c r="AV206" s="1712"/>
      <c r="AW206" s="1712"/>
      <c r="AX206" s="1713"/>
      <c r="AY206" s="1714" t="str">
        <f t="shared" si="132"/>
        <v/>
      </c>
      <c r="AZ206" s="1714" t="str">
        <f>IF(Obj_PA!D206="","",IF(AY206="","",Obj_PA!D206-AY206))</f>
        <v/>
      </c>
      <c r="BA206" s="150"/>
      <c r="BB206" s="150"/>
      <c r="BC206" s="150"/>
      <c r="BD206" s="150"/>
      <c r="BE206" s="150"/>
      <c r="BF206" s="150"/>
      <c r="BG206" s="150"/>
      <c r="BH206" s="150"/>
      <c r="BI206" s="150"/>
      <c r="BJ206" s="150"/>
      <c r="BK206" s="155" t="str">
        <f t="shared" si="133"/>
        <v/>
      </c>
      <c r="BL206" s="155" t="str">
        <f t="shared" si="134"/>
        <v/>
      </c>
      <c r="BM206" s="155" t="str">
        <f t="shared" si="135"/>
        <v/>
      </c>
      <c r="BN206" s="155" t="str">
        <f t="shared" si="136"/>
        <v/>
      </c>
      <c r="BO206" s="155" t="str">
        <f t="shared" si="137"/>
        <v/>
      </c>
      <c r="BP206" s="155" t="str">
        <f t="shared" si="138"/>
        <v/>
      </c>
      <c r="BQ206" s="155" t="str">
        <f t="shared" si="139"/>
        <v/>
      </c>
      <c r="BR206" s="155" t="str">
        <f t="shared" si="140"/>
        <v/>
      </c>
      <c r="BS206" s="155" t="str">
        <f t="shared" si="141"/>
        <v/>
      </c>
      <c r="BT206" s="155" t="str">
        <f t="shared" si="142"/>
        <v/>
      </c>
      <c r="BU206" s="155" t="str">
        <f t="shared" si="143"/>
        <v/>
      </c>
      <c r="BV206" s="155" t="str">
        <f t="shared" si="144"/>
        <v/>
      </c>
      <c r="BW206" s="155" t="str">
        <f t="shared" si="145"/>
        <v/>
      </c>
      <c r="BX206" s="155" t="str">
        <f t="shared" si="146"/>
        <v/>
      </c>
      <c r="BY206" s="155" t="str">
        <f t="shared" si="147"/>
        <v/>
      </c>
      <c r="BZ206" s="155" t="str">
        <f t="shared" si="148"/>
        <v/>
      </c>
      <c r="CA206" s="155" t="str">
        <f t="shared" si="149"/>
        <v/>
      </c>
      <c r="CB206" s="155" t="str">
        <f t="shared" si="150"/>
        <v/>
      </c>
      <c r="CC206" s="155" t="str">
        <f t="shared" si="151"/>
        <v/>
      </c>
      <c r="CD206" s="155" t="str">
        <f t="shared" si="152"/>
        <v/>
      </c>
      <c r="CE206" s="155" t="str">
        <f t="shared" si="153"/>
        <v/>
      </c>
      <c r="CF206" s="155" t="str">
        <f t="shared" si="154"/>
        <v/>
      </c>
      <c r="CG206" s="155" t="str">
        <f t="shared" si="155"/>
        <v/>
      </c>
      <c r="CH206" s="155" t="str">
        <f t="shared" si="156"/>
        <v/>
      </c>
      <c r="CI206" s="155" t="str">
        <f t="shared" si="157"/>
        <v/>
      </c>
      <c r="CJ206" s="155" t="str">
        <f t="shared" si="158"/>
        <v/>
      </c>
      <c r="CK206" s="155" t="str">
        <f t="shared" si="159"/>
        <v/>
      </c>
      <c r="CL206" s="155" t="str">
        <f t="shared" si="160"/>
        <v/>
      </c>
      <c r="CM206" s="155" t="str">
        <f t="shared" si="161"/>
        <v/>
      </c>
      <c r="CN206" s="155" t="str">
        <f t="shared" si="162"/>
        <v/>
      </c>
      <c r="CO206" s="155" t="str">
        <f t="shared" si="163"/>
        <v/>
      </c>
      <c r="CP206" s="155" t="str">
        <f t="shared" si="164"/>
        <v/>
      </c>
      <c r="CQ206" s="155" t="str">
        <f t="shared" si="165"/>
        <v/>
      </c>
      <c r="CR206" s="155" t="str">
        <f t="shared" si="166"/>
        <v/>
      </c>
      <c r="CS206" s="155" t="str">
        <f t="shared" si="167"/>
        <v/>
      </c>
      <c r="CT206" s="155" t="str">
        <f t="shared" si="168"/>
        <v/>
      </c>
      <c r="CU206" s="155" t="str">
        <f t="shared" si="169"/>
        <v/>
      </c>
      <c r="CV206" s="155" t="str">
        <f t="shared" si="170"/>
        <v/>
      </c>
      <c r="CW206" s="155" t="str">
        <f t="shared" si="171"/>
        <v/>
      </c>
      <c r="CX206" s="155" t="str">
        <f t="shared" si="172"/>
        <v/>
      </c>
    </row>
    <row r="207" spans="1:128" s="151" customFormat="1" ht="15.75" customHeight="1" outlineLevel="1" x14ac:dyDescent="0.2">
      <c r="A207" s="156"/>
      <c r="B207" s="157" t="str">
        <f>Services!B207</f>
        <v>08F02</v>
      </c>
      <c r="C207" s="153" t="str">
        <f>Services!C207</f>
        <v>Authentification et contrôle des droits d'accès des administrateurs et personnels d'exploitation</v>
      </c>
      <c r="D207" s="149">
        <f>1*(8*Plans_action!E5+Plans_action!D5)+1*(8*Plans_action!E5+Plans_action!D5)+1*(8*Plans_action!E13+Plans_action!D13)+1*(8*Plans_action!E21+Plans_action!D21)+1*(8*Plans_action!E33+Plans_action!D33)+1*(8*Plans_action!E38+Plans_action!D38)+1*(8*Plans_action!E215+Plans_action!D215)+1*(8*Plans_action!E224+Plans_action!D224)+1*(8*Plans_action!E240+Plans_action!D240)+1*(8*Plans_action!E249+Plans_action!D249)</f>
        <v>0</v>
      </c>
      <c r="E207" s="149">
        <f>2*(8*Plans_action!E63+Plans_action!D63)+2*(8*Plans_action!E122+Plans_action!D122)+2*(8*Plans_action!E132+Plans_action!D132)+2*(8*Plans_action!E158+Plans_action!D158)+2*(8*Plans_action!E158+Plans_action!D158)+2*(8*Plans_action!E215+Plans_action!D215)+2*(8*Plans_action!E224+Plans_action!D224)+2*(8*Plans_action!E240+Plans_action!D240)+2*(8*Plans_action!E249+Plans_action!D249)+2*(8*Plans_action!E273+Plans_action!D273)+2*(8*Plans_action!E279+Plans_action!D279)+2*(8*Plans_action!E285+Plans_action!D285)+2*(8*Plans_action!E290+Plans_action!D290)</f>
        <v>0</v>
      </c>
      <c r="F207" s="149">
        <f>3*(8*Plans_action!E38+Plans_action!D38)+3*(8*Plans_action!E72+Plans_action!D72)+3*(8*Plans_action!E113+Plans_action!D113)</f>
        <v>0</v>
      </c>
      <c r="G207" s="149">
        <f>4*(8*Plans_action!E33+Plans_action!D33)+4*(8*Plans_action!E279+Plans_action!D279)+4*(8*Plans_action!E285+Plans_action!D285)</f>
        <v>0</v>
      </c>
      <c r="H207" s="149"/>
      <c r="I207" s="140" t="str">
        <f t="shared" si="130"/>
        <v/>
      </c>
      <c r="J207" s="141" t="str">
        <f t="shared" si="131"/>
        <v/>
      </c>
      <c r="K207" s="142"/>
      <c r="L207" s="142"/>
      <c r="M207" s="1708"/>
      <c r="N207" s="1708"/>
      <c r="O207" s="1708"/>
      <c r="P207" s="1708"/>
      <c r="Q207" s="1708"/>
      <c r="R207" s="1708"/>
      <c r="S207" s="1708"/>
      <c r="T207" s="1708"/>
      <c r="U207" s="1708"/>
      <c r="V207" s="1708"/>
      <c r="W207" s="1708"/>
      <c r="X207" s="1712"/>
      <c r="Y207" s="1712"/>
      <c r="Z207" s="1712"/>
      <c r="AA207" s="1712"/>
      <c r="AB207" s="1712"/>
      <c r="AC207" s="1712"/>
      <c r="AD207" s="1712"/>
      <c r="AE207" s="1712"/>
      <c r="AF207" s="1712"/>
      <c r="AG207" s="1712"/>
      <c r="AH207" s="1712"/>
      <c r="AI207" s="1712"/>
      <c r="AJ207" s="1712"/>
      <c r="AK207" s="1712"/>
      <c r="AL207" s="1712"/>
      <c r="AM207" s="1712"/>
      <c r="AN207" s="1712"/>
      <c r="AO207" s="1712"/>
      <c r="AP207" s="1712"/>
      <c r="AQ207" s="1712"/>
      <c r="AR207" s="1712"/>
      <c r="AS207" s="1712"/>
      <c r="AT207" s="1712"/>
      <c r="AU207" s="1712"/>
      <c r="AV207" s="1712"/>
      <c r="AW207" s="1712"/>
      <c r="AX207" s="1713"/>
      <c r="AY207" s="1714" t="str">
        <f t="shared" si="132"/>
        <v/>
      </c>
      <c r="AZ207" s="1714" t="str">
        <f>IF(Obj_PA!D207="","",IF(AY207="","",Obj_PA!D207-AY207))</f>
        <v/>
      </c>
      <c r="BA207" s="150"/>
      <c r="BB207" s="150"/>
      <c r="BC207" s="150"/>
      <c r="BD207" s="150"/>
      <c r="BE207" s="150"/>
      <c r="BF207" s="150"/>
      <c r="BG207" s="150"/>
      <c r="BH207" s="150"/>
      <c r="BI207" s="150"/>
      <c r="BJ207" s="150"/>
      <c r="BK207" s="155" t="str">
        <f t="shared" si="133"/>
        <v/>
      </c>
      <c r="BL207" s="155" t="str">
        <f t="shared" si="134"/>
        <v/>
      </c>
      <c r="BM207" s="155" t="str">
        <f t="shared" si="135"/>
        <v/>
      </c>
      <c r="BN207" s="155" t="str">
        <f t="shared" si="136"/>
        <v/>
      </c>
      <c r="BO207" s="155" t="str">
        <f t="shared" si="137"/>
        <v/>
      </c>
      <c r="BP207" s="155" t="str">
        <f t="shared" si="138"/>
        <v/>
      </c>
      <c r="BQ207" s="155" t="str">
        <f t="shared" si="139"/>
        <v/>
      </c>
      <c r="BR207" s="155" t="str">
        <f t="shared" si="140"/>
        <v/>
      </c>
      <c r="BS207" s="155" t="str">
        <f t="shared" si="141"/>
        <v/>
      </c>
      <c r="BT207" s="155" t="str">
        <f t="shared" si="142"/>
        <v/>
      </c>
      <c r="BU207" s="155" t="str">
        <f t="shared" si="143"/>
        <v/>
      </c>
      <c r="BV207" s="155" t="str">
        <f t="shared" si="144"/>
        <v/>
      </c>
      <c r="BW207" s="155" t="str">
        <f t="shared" si="145"/>
        <v/>
      </c>
      <c r="BX207" s="155" t="str">
        <f t="shared" si="146"/>
        <v/>
      </c>
      <c r="BY207" s="155" t="str">
        <f t="shared" si="147"/>
        <v/>
      </c>
      <c r="BZ207" s="155" t="str">
        <f t="shared" si="148"/>
        <v/>
      </c>
      <c r="CA207" s="155" t="str">
        <f t="shared" si="149"/>
        <v/>
      </c>
      <c r="CB207" s="155" t="str">
        <f t="shared" si="150"/>
        <v/>
      </c>
      <c r="CC207" s="155" t="str">
        <f t="shared" si="151"/>
        <v/>
      </c>
      <c r="CD207" s="155" t="str">
        <f t="shared" si="152"/>
        <v/>
      </c>
      <c r="CE207" s="155" t="str">
        <f t="shared" si="153"/>
        <v/>
      </c>
      <c r="CF207" s="155" t="str">
        <f t="shared" si="154"/>
        <v/>
      </c>
      <c r="CG207" s="155" t="str">
        <f t="shared" si="155"/>
        <v/>
      </c>
      <c r="CH207" s="155" t="str">
        <f t="shared" si="156"/>
        <v/>
      </c>
      <c r="CI207" s="155" t="str">
        <f t="shared" si="157"/>
        <v/>
      </c>
      <c r="CJ207" s="155" t="str">
        <f t="shared" si="158"/>
        <v/>
      </c>
      <c r="CK207" s="155" t="str">
        <f t="shared" si="159"/>
        <v/>
      </c>
      <c r="CL207" s="155" t="str">
        <f t="shared" si="160"/>
        <v/>
      </c>
      <c r="CM207" s="155" t="str">
        <f t="shared" si="161"/>
        <v/>
      </c>
      <c r="CN207" s="155" t="str">
        <f t="shared" si="162"/>
        <v/>
      </c>
      <c r="CO207" s="155" t="str">
        <f t="shared" si="163"/>
        <v/>
      </c>
      <c r="CP207" s="155" t="str">
        <f t="shared" si="164"/>
        <v/>
      </c>
      <c r="CQ207" s="155" t="str">
        <f t="shared" si="165"/>
        <v/>
      </c>
      <c r="CR207" s="155" t="str">
        <f t="shared" si="166"/>
        <v/>
      </c>
      <c r="CS207" s="155" t="str">
        <f t="shared" si="167"/>
        <v/>
      </c>
      <c r="CT207" s="155" t="str">
        <f t="shared" si="168"/>
        <v/>
      </c>
      <c r="CU207" s="155" t="str">
        <f t="shared" si="169"/>
        <v/>
      </c>
      <c r="CV207" s="155" t="str">
        <f t="shared" si="170"/>
        <v/>
      </c>
      <c r="CW207" s="155" t="str">
        <f t="shared" si="171"/>
        <v/>
      </c>
      <c r="CX207" s="155" t="str">
        <f t="shared" si="172"/>
        <v/>
      </c>
      <c r="DU207" s="151">
        <f>IF(INDEX(Tab_actions,16,1)=1,INDEX(Tab_actions,16,10),0)</f>
        <v>0</v>
      </c>
      <c r="DV207" s="151">
        <f>IF(INDEX(Tab_actions,80,1)=1,INDEX(Tab_actions,80,4),0)</f>
        <v>0</v>
      </c>
    </row>
    <row r="208" spans="1:128" s="151" customFormat="1" ht="14.25" outlineLevel="1" x14ac:dyDescent="0.2">
      <c r="A208" s="156"/>
      <c r="B208" s="157" t="str">
        <f>Services!B208</f>
        <v>08F03</v>
      </c>
      <c r="C208" s="153" t="str">
        <f>Services!C208</f>
        <v>Surveillance des actions d'administration des systèmes</v>
      </c>
      <c r="D208" s="149">
        <f>1*(8*Plans_action!E5+Plans_action!D5)+1*(8*Plans_action!E13+Plans_action!D13)+1*(8*Plans_action!E21+Plans_action!D21)+1*(8*Plans_action!E33+Plans_action!D33)+1*(8*Plans_action!E38+Plans_action!D38)</f>
        <v>0</v>
      </c>
      <c r="E208" s="149">
        <f>2*(8*Plans_action!E158+Plans_action!D158)+2*(8*Plans_action!E215+Plans_action!D215)+2*(8*Plans_action!E224+Plans_action!D224)+2*(8*Plans_action!E240+Plans_action!D240)+2*(8*Plans_action!E249+Plans_action!D249)+2*(8*Plans_action!E279+Plans_action!D279)+2*(8*Plans_action!E285+Plans_action!D285)</f>
        <v>0</v>
      </c>
      <c r="F208" s="149">
        <f>3*(8*Plans_action!E273+Plans_action!D273)+3*(8*Plans_action!E290+Plans_action!D290)</f>
        <v>0</v>
      </c>
      <c r="G208" s="149"/>
      <c r="H208" s="149"/>
      <c r="I208" s="140" t="str">
        <f t="shared" si="130"/>
        <v/>
      </c>
      <c r="J208" s="141" t="str">
        <f t="shared" si="131"/>
        <v/>
      </c>
      <c r="K208" s="142"/>
      <c r="L208" s="142"/>
      <c r="M208" s="1708"/>
      <c r="N208" s="1708"/>
      <c r="O208" s="1708"/>
      <c r="P208" s="1708"/>
      <c r="Q208" s="1708"/>
      <c r="R208" s="1708"/>
      <c r="S208" s="1708"/>
      <c r="T208" s="1708"/>
      <c r="U208" s="1708"/>
      <c r="V208" s="1708"/>
      <c r="W208" s="1708"/>
      <c r="X208" s="1712"/>
      <c r="Y208" s="1712"/>
      <c r="Z208" s="1712"/>
      <c r="AA208" s="1712"/>
      <c r="AB208" s="1712"/>
      <c r="AC208" s="1712"/>
      <c r="AD208" s="1712"/>
      <c r="AE208" s="1712"/>
      <c r="AF208" s="1712"/>
      <c r="AG208" s="1712"/>
      <c r="AH208" s="1712"/>
      <c r="AI208" s="1712"/>
      <c r="AJ208" s="1712"/>
      <c r="AK208" s="1712"/>
      <c r="AL208" s="1712"/>
      <c r="AM208" s="1712"/>
      <c r="AN208" s="1712"/>
      <c r="AO208" s="1712"/>
      <c r="AP208" s="1712"/>
      <c r="AQ208" s="1712"/>
      <c r="AR208" s="1712"/>
      <c r="AS208" s="1712"/>
      <c r="AT208" s="1712"/>
      <c r="AU208" s="1712"/>
      <c r="AV208" s="1712"/>
      <c r="AW208" s="1712"/>
      <c r="AX208" s="1713"/>
      <c r="AY208" s="1714" t="str">
        <f t="shared" si="132"/>
        <v/>
      </c>
      <c r="AZ208" s="1714" t="str">
        <f>IF(Obj_PA!D208="","",IF(AY208="","",Obj_PA!D208-AY208))</f>
        <v/>
      </c>
      <c r="BA208" s="150"/>
      <c r="BB208" s="150"/>
      <c r="BC208" s="150"/>
      <c r="BD208" s="150"/>
      <c r="BE208" s="150"/>
      <c r="BF208" s="150"/>
      <c r="BG208" s="150"/>
      <c r="BH208" s="150"/>
      <c r="BI208" s="150"/>
      <c r="BJ208" s="150"/>
      <c r="BK208" s="155" t="str">
        <f t="shared" si="133"/>
        <v/>
      </c>
      <c r="BL208" s="155" t="str">
        <f t="shared" si="134"/>
        <v/>
      </c>
      <c r="BM208" s="155" t="str">
        <f t="shared" si="135"/>
        <v/>
      </c>
      <c r="BN208" s="155" t="str">
        <f t="shared" si="136"/>
        <v/>
      </c>
      <c r="BO208" s="155" t="str">
        <f t="shared" si="137"/>
        <v/>
      </c>
      <c r="BP208" s="155" t="str">
        <f t="shared" si="138"/>
        <v/>
      </c>
      <c r="BQ208" s="155" t="str">
        <f t="shared" si="139"/>
        <v/>
      </c>
      <c r="BR208" s="155" t="str">
        <f t="shared" si="140"/>
        <v/>
      </c>
      <c r="BS208" s="155" t="str">
        <f t="shared" si="141"/>
        <v/>
      </c>
      <c r="BT208" s="155" t="str">
        <f t="shared" si="142"/>
        <v/>
      </c>
      <c r="BU208" s="155" t="str">
        <f t="shared" si="143"/>
        <v/>
      </c>
      <c r="BV208" s="155" t="str">
        <f t="shared" si="144"/>
        <v/>
      </c>
      <c r="BW208" s="155" t="str">
        <f t="shared" si="145"/>
        <v/>
      </c>
      <c r="BX208" s="155" t="str">
        <f t="shared" si="146"/>
        <v/>
      </c>
      <c r="BY208" s="155" t="str">
        <f t="shared" si="147"/>
        <v/>
      </c>
      <c r="BZ208" s="155" t="str">
        <f t="shared" si="148"/>
        <v/>
      </c>
      <c r="CA208" s="155" t="str">
        <f t="shared" si="149"/>
        <v/>
      </c>
      <c r="CB208" s="155" t="str">
        <f t="shared" si="150"/>
        <v/>
      </c>
      <c r="CC208" s="155" t="str">
        <f t="shared" si="151"/>
        <v/>
      </c>
      <c r="CD208" s="155" t="str">
        <f t="shared" si="152"/>
        <v/>
      </c>
      <c r="CE208" s="155" t="str">
        <f t="shared" si="153"/>
        <v/>
      </c>
      <c r="CF208" s="155" t="str">
        <f t="shared" si="154"/>
        <v/>
      </c>
      <c r="CG208" s="155" t="str">
        <f t="shared" si="155"/>
        <v/>
      </c>
      <c r="CH208" s="155" t="str">
        <f t="shared" si="156"/>
        <v/>
      </c>
      <c r="CI208" s="155" t="str">
        <f t="shared" si="157"/>
        <v/>
      </c>
      <c r="CJ208" s="155" t="str">
        <f t="shared" si="158"/>
        <v/>
      </c>
      <c r="CK208" s="155" t="str">
        <f t="shared" si="159"/>
        <v/>
      </c>
      <c r="CL208" s="155" t="str">
        <f t="shared" si="160"/>
        <v/>
      </c>
      <c r="CM208" s="155" t="str">
        <f t="shared" si="161"/>
        <v/>
      </c>
      <c r="CN208" s="155" t="str">
        <f t="shared" si="162"/>
        <v/>
      </c>
      <c r="CO208" s="155" t="str">
        <f t="shared" si="163"/>
        <v/>
      </c>
      <c r="CP208" s="155" t="str">
        <f t="shared" si="164"/>
        <v/>
      </c>
      <c r="CQ208" s="155" t="str">
        <f t="shared" si="165"/>
        <v/>
      </c>
      <c r="CR208" s="155" t="str">
        <f t="shared" si="166"/>
        <v/>
      </c>
      <c r="CS208" s="155" t="str">
        <f t="shared" si="167"/>
        <v/>
      </c>
      <c r="CT208" s="155" t="str">
        <f t="shared" si="168"/>
        <v/>
      </c>
      <c r="CU208" s="155" t="str">
        <f t="shared" si="169"/>
        <v/>
      </c>
      <c r="CV208" s="155" t="str">
        <f t="shared" si="170"/>
        <v/>
      </c>
      <c r="CW208" s="155" t="str">
        <f t="shared" si="171"/>
        <v/>
      </c>
      <c r="CX208" s="155" t="str">
        <f t="shared" si="172"/>
        <v/>
      </c>
      <c r="DU208" s="151">
        <f>IF(INDEX(Tab_actions,16,1)=1,INDEX(Tab_actions,16,12),0)</f>
        <v>0</v>
      </c>
      <c r="DV208" s="151">
        <f>IF(INDEX(Tab_actions,80,1)=1,INDEX(Tab_actions,80,6),0)</f>
        <v>0</v>
      </c>
    </row>
    <row r="209" spans="1:128" s="151" customFormat="1" ht="25.5" outlineLevel="1" x14ac:dyDescent="0.2">
      <c r="A209" s="146"/>
      <c r="B209" s="147" t="str">
        <f>Services!B209</f>
        <v>08G</v>
      </c>
      <c r="C209" s="148" t="str">
        <f>Services!C209</f>
        <v>Procédures d'audit et de contrôle des systèmes de traitement de l'information</v>
      </c>
      <c r="D209" s="149"/>
      <c r="E209" s="149"/>
      <c r="F209" s="149"/>
      <c r="G209" s="149"/>
      <c r="H209" s="149"/>
      <c r="I209" s="140" t="str">
        <f t="shared" si="130"/>
        <v/>
      </c>
      <c r="J209" s="141" t="str">
        <f t="shared" si="131"/>
        <v/>
      </c>
      <c r="K209" s="142"/>
      <c r="L209" s="142"/>
      <c r="M209" s="1708"/>
      <c r="N209" s="1708"/>
      <c r="O209" s="1708"/>
      <c r="P209" s="1708"/>
      <c r="Q209" s="1708"/>
      <c r="R209" s="1708"/>
      <c r="S209" s="1708"/>
      <c r="T209" s="1708"/>
      <c r="U209" s="1708"/>
      <c r="V209" s="1708"/>
      <c r="W209" s="1708"/>
      <c r="X209" s="1712"/>
      <c r="Y209" s="1712"/>
      <c r="Z209" s="1712"/>
      <c r="AA209" s="1712"/>
      <c r="AB209" s="1712"/>
      <c r="AC209" s="1712"/>
      <c r="AD209" s="1712"/>
      <c r="AE209" s="1712"/>
      <c r="AF209" s="1712"/>
      <c r="AG209" s="1712"/>
      <c r="AH209" s="1712"/>
      <c r="AI209" s="1712"/>
      <c r="AJ209" s="1712"/>
      <c r="AK209" s="1712"/>
      <c r="AL209" s="1712"/>
      <c r="AM209" s="1712"/>
      <c r="AN209" s="1712"/>
      <c r="AO209" s="1712"/>
      <c r="AP209" s="1712"/>
      <c r="AQ209" s="1712"/>
      <c r="AR209" s="1712"/>
      <c r="AS209" s="1712"/>
      <c r="AT209" s="1712"/>
      <c r="AU209" s="1712"/>
      <c r="AV209" s="1712"/>
      <c r="AW209" s="1712"/>
      <c r="AX209" s="1713"/>
      <c r="AY209" s="1714" t="str">
        <f t="shared" si="132"/>
        <v/>
      </c>
      <c r="AZ209" s="1714" t="str">
        <f>IF(Obj_PA!D209="","",IF(AY209="","",Obj_PA!D209-AY209))</f>
        <v/>
      </c>
      <c r="BA209" s="150"/>
      <c r="BB209" s="150"/>
      <c r="BC209" s="150"/>
      <c r="BD209" s="150"/>
      <c r="BE209" s="150"/>
      <c r="BF209" s="150"/>
      <c r="BG209" s="150"/>
      <c r="BH209" s="150"/>
      <c r="BI209" s="150"/>
      <c r="BJ209" s="150"/>
      <c r="BK209" s="155" t="str">
        <f t="shared" si="133"/>
        <v/>
      </c>
      <c r="BL209" s="155" t="str">
        <f t="shared" si="134"/>
        <v/>
      </c>
      <c r="BM209" s="155" t="str">
        <f t="shared" si="135"/>
        <v/>
      </c>
      <c r="BN209" s="155" t="str">
        <f t="shared" si="136"/>
        <v/>
      </c>
      <c r="BO209" s="155" t="str">
        <f t="shared" si="137"/>
        <v/>
      </c>
      <c r="BP209" s="155" t="str">
        <f t="shared" si="138"/>
        <v/>
      </c>
      <c r="BQ209" s="155" t="str">
        <f t="shared" si="139"/>
        <v/>
      </c>
      <c r="BR209" s="155" t="str">
        <f t="shared" si="140"/>
        <v/>
      </c>
      <c r="BS209" s="155" t="str">
        <f t="shared" si="141"/>
        <v/>
      </c>
      <c r="BT209" s="155" t="str">
        <f t="shared" si="142"/>
        <v/>
      </c>
      <c r="BU209" s="155" t="str">
        <f t="shared" si="143"/>
        <v/>
      </c>
      <c r="BV209" s="155" t="str">
        <f t="shared" si="144"/>
        <v/>
      </c>
      <c r="BW209" s="155" t="str">
        <f t="shared" si="145"/>
        <v/>
      </c>
      <c r="BX209" s="155" t="str">
        <f t="shared" si="146"/>
        <v/>
      </c>
      <c r="BY209" s="155" t="str">
        <f t="shared" si="147"/>
        <v/>
      </c>
      <c r="BZ209" s="155" t="str">
        <f t="shared" si="148"/>
        <v/>
      </c>
      <c r="CA209" s="155" t="str">
        <f t="shared" si="149"/>
        <v/>
      </c>
      <c r="CB209" s="155" t="str">
        <f t="shared" si="150"/>
        <v/>
      </c>
      <c r="CC209" s="155" t="str">
        <f t="shared" si="151"/>
        <v/>
      </c>
      <c r="CD209" s="155" t="str">
        <f t="shared" si="152"/>
        <v/>
      </c>
      <c r="CE209" s="155" t="str">
        <f t="shared" si="153"/>
        <v/>
      </c>
      <c r="CF209" s="155" t="str">
        <f t="shared" si="154"/>
        <v/>
      </c>
      <c r="CG209" s="155" t="str">
        <f t="shared" si="155"/>
        <v/>
      </c>
      <c r="CH209" s="155" t="str">
        <f t="shared" si="156"/>
        <v/>
      </c>
      <c r="CI209" s="155" t="str">
        <f t="shared" si="157"/>
        <v/>
      </c>
      <c r="CJ209" s="155" t="str">
        <f t="shared" si="158"/>
        <v/>
      </c>
      <c r="CK209" s="155" t="str">
        <f t="shared" si="159"/>
        <v/>
      </c>
      <c r="CL209" s="155" t="str">
        <f t="shared" si="160"/>
        <v/>
      </c>
      <c r="CM209" s="155" t="str">
        <f t="shared" si="161"/>
        <v/>
      </c>
      <c r="CN209" s="155" t="str">
        <f t="shared" si="162"/>
        <v/>
      </c>
      <c r="CO209" s="155" t="str">
        <f t="shared" si="163"/>
        <v/>
      </c>
      <c r="CP209" s="155" t="str">
        <f t="shared" si="164"/>
        <v/>
      </c>
      <c r="CQ209" s="155" t="str">
        <f t="shared" si="165"/>
        <v/>
      </c>
      <c r="CR209" s="155" t="str">
        <f t="shared" si="166"/>
        <v/>
      </c>
      <c r="CS209" s="155" t="str">
        <f t="shared" si="167"/>
        <v/>
      </c>
      <c r="CT209" s="155" t="str">
        <f t="shared" si="168"/>
        <v/>
      </c>
      <c r="CU209" s="155" t="str">
        <f t="shared" si="169"/>
        <v/>
      </c>
      <c r="CV209" s="155" t="str">
        <f t="shared" si="170"/>
        <v/>
      </c>
      <c r="CW209" s="155" t="str">
        <f t="shared" si="171"/>
        <v/>
      </c>
      <c r="CX209" s="155" t="str">
        <f t="shared" si="172"/>
        <v/>
      </c>
    </row>
    <row r="210" spans="1:128" s="151" customFormat="1" ht="14.25" outlineLevel="1" x14ac:dyDescent="0.2">
      <c r="A210" s="156"/>
      <c r="B210" s="157" t="str">
        <f>Services!B210</f>
        <v>08G01</v>
      </c>
      <c r="C210" s="153" t="str">
        <f>Services!C210</f>
        <v>Fonctionnement des contrôles d'audit</v>
      </c>
      <c r="D210" s="149"/>
      <c r="E210" s="149"/>
      <c r="F210" s="149"/>
      <c r="G210" s="149"/>
      <c r="H210" s="149"/>
      <c r="I210" s="140" t="str">
        <f t="shared" si="130"/>
        <v/>
      </c>
      <c r="J210" s="141" t="str">
        <f t="shared" si="131"/>
        <v/>
      </c>
      <c r="K210" s="142"/>
      <c r="L210" s="142"/>
      <c r="M210" s="1708"/>
      <c r="N210" s="1708"/>
      <c r="O210" s="1708"/>
      <c r="P210" s="1708"/>
      <c r="Q210" s="1708"/>
      <c r="R210" s="1708"/>
      <c r="S210" s="1708"/>
      <c r="T210" s="1708"/>
      <c r="U210" s="1708"/>
      <c r="V210" s="1708"/>
      <c r="W210" s="1708"/>
      <c r="X210" s="1712"/>
      <c r="Y210" s="1712"/>
      <c r="Z210" s="1712"/>
      <c r="AA210" s="1712"/>
      <c r="AB210" s="1712"/>
      <c r="AC210" s="1712"/>
      <c r="AD210" s="1712"/>
      <c r="AE210" s="1712"/>
      <c r="AF210" s="1712"/>
      <c r="AG210" s="1712"/>
      <c r="AH210" s="1712"/>
      <c r="AI210" s="1712"/>
      <c r="AJ210" s="1712"/>
      <c r="AK210" s="1712"/>
      <c r="AL210" s="1712"/>
      <c r="AM210" s="1712"/>
      <c r="AN210" s="1712"/>
      <c r="AO210" s="1712"/>
      <c r="AP210" s="1712"/>
      <c r="AQ210" s="1712"/>
      <c r="AR210" s="1712"/>
      <c r="AS210" s="1712"/>
      <c r="AT210" s="1712"/>
      <c r="AU210" s="1712"/>
      <c r="AV210" s="1712"/>
      <c r="AW210" s="1712"/>
      <c r="AX210" s="1713"/>
      <c r="AY210" s="1714" t="str">
        <f t="shared" si="132"/>
        <v/>
      </c>
      <c r="AZ210" s="1714" t="str">
        <f>IF(Obj_PA!D210="","",IF(AY210="","",Obj_PA!D210-AY210))</f>
        <v/>
      </c>
      <c r="BA210" s="150"/>
      <c r="BB210" s="150"/>
      <c r="BC210" s="150"/>
      <c r="BD210" s="150"/>
      <c r="BE210" s="150"/>
      <c r="BF210" s="150"/>
      <c r="BG210" s="150"/>
      <c r="BH210" s="150"/>
      <c r="BI210" s="150"/>
      <c r="BJ210" s="150"/>
      <c r="BK210" s="155" t="str">
        <f t="shared" si="133"/>
        <v/>
      </c>
      <c r="BL210" s="155" t="str">
        <f t="shared" si="134"/>
        <v/>
      </c>
      <c r="BM210" s="155" t="str">
        <f t="shared" si="135"/>
        <v/>
      </c>
      <c r="BN210" s="155" t="str">
        <f t="shared" si="136"/>
        <v/>
      </c>
      <c r="BO210" s="155" t="str">
        <f t="shared" si="137"/>
        <v/>
      </c>
      <c r="BP210" s="155" t="str">
        <f t="shared" si="138"/>
        <v/>
      </c>
      <c r="BQ210" s="155" t="str">
        <f t="shared" si="139"/>
        <v/>
      </c>
      <c r="BR210" s="155" t="str">
        <f t="shared" si="140"/>
        <v/>
      </c>
      <c r="BS210" s="155" t="str">
        <f t="shared" si="141"/>
        <v/>
      </c>
      <c r="BT210" s="155" t="str">
        <f t="shared" si="142"/>
        <v/>
      </c>
      <c r="BU210" s="155" t="str">
        <f t="shared" si="143"/>
        <v/>
      </c>
      <c r="BV210" s="155" t="str">
        <f t="shared" si="144"/>
        <v/>
      </c>
      <c r="BW210" s="155" t="str">
        <f t="shared" si="145"/>
        <v/>
      </c>
      <c r="BX210" s="155" t="str">
        <f t="shared" si="146"/>
        <v/>
      </c>
      <c r="BY210" s="155" t="str">
        <f t="shared" si="147"/>
        <v/>
      </c>
      <c r="BZ210" s="155" t="str">
        <f t="shared" si="148"/>
        <v/>
      </c>
      <c r="CA210" s="155" t="str">
        <f t="shared" si="149"/>
        <v/>
      </c>
      <c r="CB210" s="155" t="str">
        <f t="shared" si="150"/>
        <v/>
      </c>
      <c r="CC210" s="155" t="str">
        <f t="shared" si="151"/>
        <v/>
      </c>
      <c r="CD210" s="155" t="str">
        <f t="shared" si="152"/>
        <v/>
      </c>
      <c r="CE210" s="155" t="str">
        <f t="shared" si="153"/>
        <v/>
      </c>
      <c r="CF210" s="155" t="str">
        <f t="shared" si="154"/>
        <v/>
      </c>
      <c r="CG210" s="155" t="str">
        <f t="shared" si="155"/>
        <v/>
      </c>
      <c r="CH210" s="155" t="str">
        <f t="shared" si="156"/>
        <v/>
      </c>
      <c r="CI210" s="155" t="str">
        <f t="shared" si="157"/>
        <v/>
      </c>
      <c r="CJ210" s="155" t="str">
        <f t="shared" si="158"/>
        <v/>
      </c>
      <c r="CK210" s="155" t="str">
        <f t="shared" si="159"/>
        <v/>
      </c>
      <c r="CL210" s="155" t="str">
        <f t="shared" si="160"/>
        <v/>
      </c>
      <c r="CM210" s="155" t="str">
        <f t="shared" si="161"/>
        <v/>
      </c>
      <c r="CN210" s="155" t="str">
        <f t="shared" si="162"/>
        <v/>
      </c>
      <c r="CO210" s="155" t="str">
        <f t="shared" si="163"/>
        <v/>
      </c>
      <c r="CP210" s="155" t="str">
        <f t="shared" si="164"/>
        <v/>
      </c>
      <c r="CQ210" s="155" t="str">
        <f t="shared" si="165"/>
        <v/>
      </c>
      <c r="CR210" s="155" t="str">
        <f t="shared" si="166"/>
        <v/>
      </c>
      <c r="CS210" s="155" t="str">
        <f t="shared" si="167"/>
        <v/>
      </c>
      <c r="CT210" s="155" t="str">
        <f t="shared" si="168"/>
        <v/>
      </c>
      <c r="CU210" s="155" t="str">
        <f t="shared" si="169"/>
        <v/>
      </c>
      <c r="CV210" s="155" t="str">
        <f t="shared" si="170"/>
        <v/>
      </c>
      <c r="CW210" s="155" t="str">
        <f t="shared" si="171"/>
        <v/>
      </c>
      <c r="CX210" s="155" t="str">
        <f t="shared" si="172"/>
        <v/>
      </c>
    </row>
    <row r="211" spans="1:128" s="151" customFormat="1" ht="14.25" outlineLevel="1" x14ac:dyDescent="0.2">
      <c r="A211" s="156"/>
      <c r="B211" s="157" t="str">
        <f>Services!B211</f>
        <v>08G02</v>
      </c>
      <c r="C211" s="153" t="str">
        <f>Services!C211</f>
        <v>Protection des outils et résultats d'audit</v>
      </c>
      <c r="D211" s="149"/>
      <c r="E211" s="149"/>
      <c r="F211" s="149"/>
      <c r="G211" s="149"/>
      <c r="H211" s="149"/>
      <c r="I211" s="140" t="str">
        <f t="shared" si="130"/>
        <v/>
      </c>
      <c r="J211" s="141" t="str">
        <f t="shared" si="131"/>
        <v/>
      </c>
      <c r="K211" s="142"/>
      <c r="L211" s="142"/>
      <c r="M211" s="1708"/>
      <c r="N211" s="1708"/>
      <c r="O211" s="1708"/>
      <c r="P211" s="1708"/>
      <c r="Q211" s="1708"/>
      <c r="R211" s="1708"/>
      <c r="S211" s="1708"/>
      <c r="T211" s="1708"/>
      <c r="U211" s="1708"/>
      <c r="V211" s="1708"/>
      <c r="W211" s="1708"/>
      <c r="X211" s="1712"/>
      <c r="Y211" s="1712"/>
      <c r="Z211" s="1712"/>
      <c r="AA211" s="1712"/>
      <c r="AB211" s="1712"/>
      <c r="AC211" s="1712"/>
      <c r="AD211" s="1712"/>
      <c r="AE211" s="1712"/>
      <c r="AF211" s="1712"/>
      <c r="AG211" s="1712"/>
      <c r="AH211" s="1712"/>
      <c r="AI211" s="1712"/>
      <c r="AJ211" s="1712"/>
      <c r="AK211" s="1712"/>
      <c r="AL211" s="1712"/>
      <c r="AM211" s="1712"/>
      <c r="AN211" s="1712"/>
      <c r="AO211" s="1712"/>
      <c r="AP211" s="1712"/>
      <c r="AQ211" s="1712"/>
      <c r="AR211" s="1712"/>
      <c r="AS211" s="1712"/>
      <c r="AT211" s="1712"/>
      <c r="AU211" s="1712"/>
      <c r="AV211" s="1712"/>
      <c r="AW211" s="1712"/>
      <c r="AX211" s="1713"/>
      <c r="AY211" s="1714" t="str">
        <f t="shared" si="132"/>
        <v/>
      </c>
      <c r="AZ211" s="1714" t="str">
        <f>IF(Obj_PA!D211="","",IF(AY211="","",Obj_PA!D211-AY211))</f>
        <v/>
      </c>
      <c r="BA211" s="150"/>
      <c r="BB211" s="150"/>
      <c r="BC211" s="150"/>
      <c r="BD211" s="150"/>
      <c r="BE211" s="150"/>
      <c r="BF211" s="150"/>
      <c r="BG211" s="150"/>
      <c r="BH211" s="150"/>
      <c r="BI211" s="150"/>
      <c r="BJ211" s="150"/>
      <c r="BK211" s="155" t="str">
        <f t="shared" si="133"/>
        <v/>
      </c>
      <c r="BL211" s="155" t="str">
        <f t="shared" si="134"/>
        <v/>
      </c>
      <c r="BM211" s="155" t="str">
        <f t="shared" si="135"/>
        <v/>
      </c>
      <c r="BN211" s="155" t="str">
        <f t="shared" si="136"/>
        <v/>
      </c>
      <c r="BO211" s="155" t="str">
        <f t="shared" si="137"/>
        <v/>
      </c>
      <c r="BP211" s="155" t="str">
        <f t="shared" si="138"/>
        <v/>
      </c>
      <c r="BQ211" s="155" t="str">
        <f t="shared" si="139"/>
        <v/>
      </c>
      <c r="BR211" s="155" t="str">
        <f t="shared" si="140"/>
        <v/>
      </c>
      <c r="BS211" s="155" t="str">
        <f t="shared" si="141"/>
        <v/>
      </c>
      <c r="BT211" s="155" t="str">
        <f t="shared" si="142"/>
        <v/>
      </c>
      <c r="BU211" s="155" t="str">
        <f t="shared" si="143"/>
        <v/>
      </c>
      <c r="BV211" s="155" t="str">
        <f t="shared" si="144"/>
        <v/>
      </c>
      <c r="BW211" s="155" t="str">
        <f t="shared" si="145"/>
        <v/>
      </c>
      <c r="BX211" s="155" t="str">
        <f t="shared" si="146"/>
        <v/>
      </c>
      <c r="BY211" s="155" t="str">
        <f t="shared" si="147"/>
        <v/>
      </c>
      <c r="BZ211" s="155" t="str">
        <f t="shared" si="148"/>
        <v/>
      </c>
      <c r="CA211" s="155" t="str">
        <f t="shared" si="149"/>
        <v/>
      </c>
      <c r="CB211" s="155" t="str">
        <f t="shared" si="150"/>
        <v/>
      </c>
      <c r="CC211" s="155" t="str">
        <f t="shared" si="151"/>
        <v/>
      </c>
      <c r="CD211" s="155" t="str">
        <f t="shared" si="152"/>
        <v/>
      </c>
      <c r="CE211" s="155" t="str">
        <f t="shared" si="153"/>
        <v/>
      </c>
      <c r="CF211" s="155" t="str">
        <f t="shared" si="154"/>
        <v/>
      </c>
      <c r="CG211" s="155" t="str">
        <f t="shared" si="155"/>
        <v/>
      </c>
      <c r="CH211" s="155" t="str">
        <f t="shared" si="156"/>
        <v/>
      </c>
      <c r="CI211" s="155" t="str">
        <f t="shared" si="157"/>
        <v/>
      </c>
      <c r="CJ211" s="155" t="str">
        <f t="shared" si="158"/>
        <v/>
      </c>
      <c r="CK211" s="155" t="str">
        <f t="shared" si="159"/>
        <v/>
      </c>
      <c r="CL211" s="155" t="str">
        <f t="shared" si="160"/>
        <v/>
      </c>
      <c r="CM211" s="155" t="str">
        <f t="shared" si="161"/>
        <v/>
      </c>
      <c r="CN211" s="155" t="str">
        <f t="shared" si="162"/>
        <v/>
      </c>
      <c r="CO211" s="155" t="str">
        <f t="shared" si="163"/>
        <v/>
      </c>
      <c r="CP211" s="155" t="str">
        <f t="shared" si="164"/>
        <v/>
      </c>
      <c r="CQ211" s="155" t="str">
        <f t="shared" si="165"/>
        <v/>
      </c>
      <c r="CR211" s="155" t="str">
        <f t="shared" si="166"/>
        <v/>
      </c>
      <c r="CS211" s="155" t="str">
        <f t="shared" si="167"/>
        <v/>
      </c>
      <c r="CT211" s="155" t="str">
        <f t="shared" si="168"/>
        <v/>
      </c>
      <c r="CU211" s="155" t="str">
        <f t="shared" si="169"/>
        <v/>
      </c>
      <c r="CV211" s="155" t="str">
        <f t="shared" si="170"/>
        <v/>
      </c>
      <c r="CW211" s="155" t="str">
        <f t="shared" si="171"/>
        <v/>
      </c>
      <c r="CX211" s="155" t="str">
        <f t="shared" si="172"/>
        <v/>
      </c>
    </row>
    <row r="212" spans="1:128" s="151" customFormat="1" ht="14.25" outlineLevel="1" x14ac:dyDescent="0.2">
      <c r="A212" s="146"/>
      <c r="B212" s="147" t="str">
        <f>Services!B212</f>
        <v>08H</v>
      </c>
      <c r="C212" s="148" t="str">
        <f>Services!C212</f>
        <v>Gestion des archives informatiques</v>
      </c>
      <c r="D212" s="149"/>
      <c r="E212" s="149"/>
      <c r="F212" s="149"/>
      <c r="G212" s="149"/>
      <c r="H212" s="149"/>
      <c r="I212" s="140" t="str">
        <f t="shared" si="130"/>
        <v/>
      </c>
      <c r="J212" s="141" t="str">
        <f t="shared" si="131"/>
        <v/>
      </c>
      <c r="K212" s="142"/>
      <c r="L212" s="142"/>
      <c r="M212" s="1708"/>
      <c r="N212" s="1708"/>
      <c r="O212" s="1708"/>
      <c r="P212" s="1708"/>
      <c r="Q212" s="1708"/>
      <c r="R212" s="1708"/>
      <c r="S212" s="1708"/>
      <c r="T212" s="1708"/>
      <c r="U212" s="1708"/>
      <c r="V212" s="1708"/>
      <c r="W212" s="1708"/>
      <c r="X212" s="1712"/>
      <c r="Y212" s="1712"/>
      <c r="Z212" s="1712"/>
      <c r="AA212" s="1712"/>
      <c r="AB212" s="1712"/>
      <c r="AC212" s="1712"/>
      <c r="AD212" s="1712"/>
      <c r="AE212" s="1712"/>
      <c r="AF212" s="1712"/>
      <c r="AG212" s="1712"/>
      <c r="AH212" s="1712"/>
      <c r="AI212" s="1712"/>
      <c r="AJ212" s="1712"/>
      <c r="AK212" s="1712"/>
      <c r="AL212" s="1712"/>
      <c r="AM212" s="1712"/>
      <c r="AN212" s="1712"/>
      <c r="AO212" s="1712"/>
      <c r="AP212" s="1712"/>
      <c r="AQ212" s="1712"/>
      <c r="AR212" s="1712"/>
      <c r="AS212" s="1712"/>
      <c r="AT212" s="1712"/>
      <c r="AU212" s="1712"/>
      <c r="AV212" s="1712"/>
      <c r="AW212" s="1712"/>
      <c r="AX212" s="1713"/>
      <c r="AY212" s="1714" t="str">
        <f t="shared" si="132"/>
        <v/>
      </c>
      <c r="AZ212" s="1714" t="str">
        <f>IF(Obj_PA!D212="","",IF(AY212="","",Obj_PA!D212-AY212))</f>
        <v/>
      </c>
      <c r="BA212" s="150"/>
      <c r="BB212" s="150"/>
      <c r="BC212" s="150"/>
      <c r="BD212" s="150"/>
      <c r="BE212" s="150"/>
      <c r="BF212" s="150"/>
      <c r="BG212" s="150"/>
      <c r="BH212" s="150"/>
      <c r="BI212" s="150"/>
      <c r="BJ212" s="150"/>
      <c r="BK212" s="155" t="str">
        <f t="shared" si="133"/>
        <v/>
      </c>
      <c r="BL212" s="155" t="str">
        <f t="shared" si="134"/>
        <v/>
      </c>
      <c r="BM212" s="155" t="str">
        <f t="shared" si="135"/>
        <v/>
      </c>
      <c r="BN212" s="155" t="str">
        <f t="shared" si="136"/>
        <v/>
      </c>
      <c r="BO212" s="155" t="str">
        <f t="shared" si="137"/>
        <v/>
      </c>
      <c r="BP212" s="155" t="str">
        <f t="shared" si="138"/>
        <v/>
      </c>
      <c r="BQ212" s="155" t="str">
        <f t="shared" si="139"/>
        <v/>
      </c>
      <c r="BR212" s="155" t="str">
        <f t="shared" si="140"/>
        <v/>
      </c>
      <c r="BS212" s="155" t="str">
        <f t="shared" si="141"/>
        <v/>
      </c>
      <c r="BT212" s="155" t="str">
        <f t="shared" si="142"/>
        <v/>
      </c>
      <c r="BU212" s="155" t="str">
        <f t="shared" si="143"/>
        <v/>
      </c>
      <c r="BV212" s="155" t="str">
        <f t="shared" si="144"/>
        <v/>
      </c>
      <c r="BW212" s="155" t="str">
        <f t="shared" si="145"/>
        <v/>
      </c>
      <c r="BX212" s="155" t="str">
        <f t="shared" si="146"/>
        <v/>
      </c>
      <c r="BY212" s="155" t="str">
        <f t="shared" si="147"/>
        <v/>
      </c>
      <c r="BZ212" s="155" t="str">
        <f t="shared" si="148"/>
        <v/>
      </c>
      <c r="CA212" s="155" t="str">
        <f t="shared" si="149"/>
        <v/>
      </c>
      <c r="CB212" s="155" t="str">
        <f t="shared" si="150"/>
        <v/>
      </c>
      <c r="CC212" s="155" t="str">
        <f t="shared" si="151"/>
        <v/>
      </c>
      <c r="CD212" s="155" t="str">
        <f t="shared" si="152"/>
        <v/>
      </c>
      <c r="CE212" s="155" t="str">
        <f t="shared" si="153"/>
        <v/>
      </c>
      <c r="CF212" s="155" t="str">
        <f t="shared" si="154"/>
        <v/>
      </c>
      <c r="CG212" s="155" t="str">
        <f t="shared" si="155"/>
        <v/>
      </c>
      <c r="CH212" s="155" t="str">
        <f t="shared" si="156"/>
        <v/>
      </c>
      <c r="CI212" s="155" t="str">
        <f t="shared" si="157"/>
        <v/>
      </c>
      <c r="CJ212" s="155" t="str">
        <f t="shared" si="158"/>
        <v/>
      </c>
      <c r="CK212" s="155" t="str">
        <f t="shared" si="159"/>
        <v/>
      </c>
      <c r="CL212" s="155" t="str">
        <f t="shared" si="160"/>
        <v/>
      </c>
      <c r="CM212" s="155" t="str">
        <f t="shared" si="161"/>
        <v/>
      </c>
      <c r="CN212" s="155" t="str">
        <f t="shared" si="162"/>
        <v/>
      </c>
      <c r="CO212" s="155" t="str">
        <f t="shared" si="163"/>
        <v/>
      </c>
      <c r="CP212" s="155" t="str">
        <f t="shared" si="164"/>
        <v/>
      </c>
      <c r="CQ212" s="155" t="str">
        <f t="shared" si="165"/>
        <v/>
      </c>
      <c r="CR212" s="155" t="str">
        <f t="shared" si="166"/>
        <v/>
      </c>
      <c r="CS212" s="155" t="str">
        <f t="shared" si="167"/>
        <v/>
      </c>
      <c r="CT212" s="155" t="str">
        <f t="shared" si="168"/>
        <v/>
      </c>
      <c r="CU212" s="155" t="str">
        <f t="shared" si="169"/>
        <v/>
      </c>
      <c r="CV212" s="155" t="str">
        <f t="shared" si="170"/>
        <v/>
      </c>
      <c r="CW212" s="155" t="str">
        <f t="shared" si="171"/>
        <v/>
      </c>
      <c r="CX212" s="155" t="str">
        <f t="shared" si="172"/>
        <v/>
      </c>
    </row>
    <row r="213" spans="1:128" s="151" customFormat="1" ht="14.25" outlineLevel="1" x14ac:dyDescent="0.2">
      <c r="A213" s="156"/>
      <c r="B213" s="157" t="str">
        <f>Services!B213</f>
        <v>08H01</v>
      </c>
      <c r="C213" s="153" t="str">
        <f>Services!C213</f>
        <v>Organisation de la gestion des archives informatiques</v>
      </c>
      <c r="D213" s="149"/>
      <c r="E213" s="149">
        <f>2*(8*Plans_action!E53+Plans_action!D53)</f>
        <v>0</v>
      </c>
      <c r="F213" s="149"/>
      <c r="G213" s="149"/>
      <c r="H213" s="149"/>
      <c r="I213" s="140" t="str">
        <f t="shared" si="130"/>
        <v/>
      </c>
      <c r="J213" s="141" t="str">
        <f t="shared" si="131"/>
        <v/>
      </c>
      <c r="K213" s="142"/>
      <c r="L213" s="142"/>
      <c r="M213" s="1708"/>
      <c r="N213" s="1708"/>
      <c r="O213" s="1708"/>
      <c r="P213" s="1708"/>
      <c r="Q213" s="1708"/>
      <c r="R213" s="1708"/>
      <c r="S213" s="1708"/>
      <c r="T213" s="1708"/>
      <c r="U213" s="1708"/>
      <c r="V213" s="1708"/>
      <c r="W213" s="1708"/>
      <c r="X213" s="1712"/>
      <c r="Y213" s="1712"/>
      <c r="Z213" s="1712"/>
      <c r="AA213" s="1712"/>
      <c r="AB213" s="1712"/>
      <c r="AC213" s="1712"/>
      <c r="AD213" s="1712"/>
      <c r="AE213" s="1712"/>
      <c r="AF213" s="1712"/>
      <c r="AG213" s="1712"/>
      <c r="AH213" s="1712"/>
      <c r="AI213" s="1712"/>
      <c r="AJ213" s="1712"/>
      <c r="AK213" s="1712"/>
      <c r="AL213" s="1712"/>
      <c r="AM213" s="1712"/>
      <c r="AN213" s="1712"/>
      <c r="AO213" s="1712"/>
      <c r="AP213" s="1712"/>
      <c r="AQ213" s="1712"/>
      <c r="AR213" s="1712"/>
      <c r="AS213" s="1712"/>
      <c r="AT213" s="1712"/>
      <c r="AU213" s="1712"/>
      <c r="AV213" s="1712"/>
      <c r="AW213" s="1712"/>
      <c r="AX213" s="1713"/>
      <c r="AY213" s="1714" t="str">
        <f t="shared" si="132"/>
        <v/>
      </c>
      <c r="AZ213" s="1714" t="str">
        <f>IF(Obj_PA!D213="","",IF(AY213="","",Obj_PA!D213-AY213))</f>
        <v/>
      </c>
      <c r="BA213" s="150"/>
      <c r="BB213" s="150"/>
      <c r="BC213" s="150"/>
      <c r="BD213" s="150"/>
      <c r="BE213" s="150"/>
      <c r="BF213" s="150"/>
      <c r="BG213" s="150"/>
      <c r="BH213" s="150"/>
      <c r="BI213" s="150"/>
      <c r="BJ213" s="150"/>
      <c r="BK213" s="155" t="str">
        <f t="shared" si="133"/>
        <v/>
      </c>
      <c r="BL213" s="155" t="str">
        <f t="shared" si="134"/>
        <v/>
      </c>
      <c r="BM213" s="155" t="str">
        <f t="shared" si="135"/>
        <v/>
      </c>
      <c r="BN213" s="155" t="str">
        <f t="shared" si="136"/>
        <v/>
      </c>
      <c r="BO213" s="155" t="str">
        <f t="shared" si="137"/>
        <v/>
      </c>
      <c r="BP213" s="155" t="str">
        <f t="shared" si="138"/>
        <v/>
      </c>
      <c r="BQ213" s="155" t="str">
        <f t="shared" si="139"/>
        <v/>
      </c>
      <c r="BR213" s="155" t="str">
        <f t="shared" si="140"/>
        <v/>
      </c>
      <c r="BS213" s="155" t="str">
        <f t="shared" si="141"/>
        <v/>
      </c>
      <c r="BT213" s="155" t="str">
        <f t="shared" si="142"/>
        <v/>
      </c>
      <c r="BU213" s="155" t="str">
        <f t="shared" si="143"/>
        <v/>
      </c>
      <c r="BV213" s="155" t="str">
        <f t="shared" si="144"/>
        <v/>
      </c>
      <c r="BW213" s="155" t="str">
        <f t="shared" si="145"/>
        <v/>
      </c>
      <c r="BX213" s="155" t="str">
        <f t="shared" si="146"/>
        <v/>
      </c>
      <c r="BY213" s="155" t="str">
        <f t="shared" si="147"/>
        <v/>
      </c>
      <c r="BZ213" s="155" t="str">
        <f t="shared" si="148"/>
        <v/>
      </c>
      <c r="CA213" s="155" t="str">
        <f t="shared" si="149"/>
        <v/>
      </c>
      <c r="CB213" s="155" t="str">
        <f t="shared" si="150"/>
        <v/>
      </c>
      <c r="CC213" s="155" t="str">
        <f t="shared" si="151"/>
        <v/>
      </c>
      <c r="CD213" s="155" t="str">
        <f t="shared" si="152"/>
        <v/>
      </c>
      <c r="CE213" s="155" t="str">
        <f t="shared" si="153"/>
        <v/>
      </c>
      <c r="CF213" s="155" t="str">
        <f t="shared" si="154"/>
        <v/>
      </c>
      <c r="CG213" s="155" t="str">
        <f t="shared" si="155"/>
        <v/>
      </c>
      <c r="CH213" s="155" t="str">
        <f t="shared" si="156"/>
        <v/>
      </c>
      <c r="CI213" s="155" t="str">
        <f t="shared" si="157"/>
        <v/>
      </c>
      <c r="CJ213" s="155" t="str">
        <f t="shared" si="158"/>
        <v/>
      </c>
      <c r="CK213" s="155" t="str">
        <f t="shared" si="159"/>
        <v/>
      </c>
      <c r="CL213" s="155" t="str">
        <f t="shared" si="160"/>
        <v/>
      </c>
      <c r="CM213" s="155" t="str">
        <f t="shared" si="161"/>
        <v/>
      </c>
      <c r="CN213" s="155" t="str">
        <f t="shared" si="162"/>
        <v/>
      </c>
      <c r="CO213" s="155" t="str">
        <f t="shared" si="163"/>
        <v/>
      </c>
      <c r="CP213" s="155" t="str">
        <f t="shared" si="164"/>
        <v/>
      </c>
      <c r="CQ213" s="155" t="str">
        <f t="shared" si="165"/>
        <v/>
      </c>
      <c r="CR213" s="155" t="str">
        <f t="shared" si="166"/>
        <v/>
      </c>
      <c r="CS213" s="155" t="str">
        <f t="shared" si="167"/>
        <v/>
      </c>
      <c r="CT213" s="155" t="str">
        <f t="shared" si="168"/>
        <v/>
      </c>
      <c r="CU213" s="155" t="str">
        <f t="shared" si="169"/>
        <v/>
      </c>
      <c r="CV213" s="155" t="str">
        <f t="shared" si="170"/>
        <v/>
      </c>
      <c r="CW213" s="155" t="str">
        <f t="shared" si="171"/>
        <v/>
      </c>
      <c r="CX213" s="155" t="str">
        <f t="shared" si="172"/>
        <v/>
      </c>
      <c r="DV213" s="151">
        <f>IF(INDEX(Tab_actions,34,1)=1,INDEX(Tab_actions,34,6),0)</f>
        <v>0</v>
      </c>
    </row>
    <row r="214" spans="1:128" s="151" customFormat="1" ht="14.25" outlineLevel="1" x14ac:dyDescent="0.2">
      <c r="A214" s="156"/>
      <c r="B214" s="157" t="str">
        <f>Services!B214</f>
        <v>08H02</v>
      </c>
      <c r="C214" s="153" t="str">
        <f>Services!C214</f>
        <v>Gestion des accès aux archives</v>
      </c>
      <c r="D214" s="149"/>
      <c r="E214" s="149"/>
      <c r="F214" s="149"/>
      <c r="G214" s="149">
        <f>4*(8*Plans_action!E53+Plans_action!D53)+4*(8*Plans_action!E108+Plans_action!D108)</f>
        <v>0</v>
      </c>
      <c r="H214" s="149"/>
      <c r="I214" s="140" t="str">
        <f t="shared" si="130"/>
        <v/>
      </c>
      <c r="J214" s="141" t="str">
        <f t="shared" si="131"/>
        <v/>
      </c>
      <c r="K214" s="142"/>
      <c r="L214" s="142"/>
      <c r="M214" s="1708"/>
      <c r="N214" s="1708"/>
      <c r="O214" s="1708"/>
      <c r="P214" s="1708"/>
      <c r="Q214" s="1708"/>
      <c r="R214" s="1708"/>
      <c r="S214" s="1708"/>
      <c r="T214" s="1708"/>
      <c r="U214" s="1708"/>
      <c r="V214" s="1708"/>
      <c r="W214" s="1708"/>
      <c r="X214" s="1712"/>
      <c r="Y214" s="1712"/>
      <c r="Z214" s="1712"/>
      <c r="AA214" s="1712"/>
      <c r="AB214" s="1712"/>
      <c r="AC214" s="1712"/>
      <c r="AD214" s="1712"/>
      <c r="AE214" s="1712"/>
      <c r="AF214" s="1712"/>
      <c r="AG214" s="1712"/>
      <c r="AH214" s="1712"/>
      <c r="AI214" s="1712"/>
      <c r="AJ214" s="1712"/>
      <c r="AK214" s="1712"/>
      <c r="AL214" s="1712"/>
      <c r="AM214" s="1712"/>
      <c r="AN214" s="1712"/>
      <c r="AO214" s="1712"/>
      <c r="AP214" s="1712"/>
      <c r="AQ214" s="1712"/>
      <c r="AR214" s="1712"/>
      <c r="AS214" s="1712"/>
      <c r="AT214" s="1712"/>
      <c r="AU214" s="1712"/>
      <c r="AV214" s="1712"/>
      <c r="AW214" s="1712"/>
      <c r="AX214" s="1713"/>
      <c r="AY214" s="1714" t="str">
        <f t="shared" si="132"/>
        <v/>
      </c>
      <c r="AZ214" s="1714" t="str">
        <f>IF(Obj_PA!D214="","",IF(AY214="","",Obj_PA!D214-AY214))</f>
        <v/>
      </c>
      <c r="BA214" s="150"/>
      <c r="BB214" s="150"/>
      <c r="BC214" s="150"/>
      <c r="BD214" s="150"/>
      <c r="BE214" s="150"/>
      <c r="BF214" s="150"/>
      <c r="BG214" s="150"/>
      <c r="BH214" s="150"/>
      <c r="BI214" s="150"/>
      <c r="BJ214" s="150"/>
      <c r="BK214" s="155" t="str">
        <f t="shared" si="133"/>
        <v/>
      </c>
      <c r="BL214" s="155" t="str">
        <f t="shared" si="134"/>
        <v/>
      </c>
      <c r="BM214" s="155" t="str">
        <f t="shared" si="135"/>
        <v/>
      </c>
      <c r="BN214" s="155" t="str">
        <f t="shared" si="136"/>
        <v/>
      </c>
      <c r="BO214" s="155" t="str">
        <f t="shared" si="137"/>
        <v/>
      </c>
      <c r="BP214" s="155" t="str">
        <f t="shared" si="138"/>
        <v/>
      </c>
      <c r="BQ214" s="155" t="str">
        <f t="shared" si="139"/>
        <v/>
      </c>
      <c r="BR214" s="155" t="str">
        <f t="shared" si="140"/>
        <v/>
      </c>
      <c r="BS214" s="155" t="str">
        <f t="shared" si="141"/>
        <v/>
      </c>
      <c r="BT214" s="155" t="str">
        <f t="shared" si="142"/>
        <v/>
      </c>
      <c r="BU214" s="155" t="str">
        <f t="shared" si="143"/>
        <v/>
      </c>
      <c r="BV214" s="155" t="str">
        <f t="shared" si="144"/>
        <v/>
      </c>
      <c r="BW214" s="155" t="str">
        <f t="shared" si="145"/>
        <v/>
      </c>
      <c r="BX214" s="155" t="str">
        <f t="shared" si="146"/>
        <v/>
      </c>
      <c r="BY214" s="155" t="str">
        <f t="shared" si="147"/>
        <v/>
      </c>
      <c r="BZ214" s="155" t="str">
        <f t="shared" si="148"/>
        <v/>
      </c>
      <c r="CA214" s="155" t="str">
        <f t="shared" si="149"/>
        <v/>
      </c>
      <c r="CB214" s="155" t="str">
        <f t="shared" si="150"/>
        <v/>
      </c>
      <c r="CC214" s="155" t="str">
        <f t="shared" si="151"/>
        <v/>
      </c>
      <c r="CD214" s="155" t="str">
        <f t="shared" si="152"/>
        <v/>
      </c>
      <c r="CE214" s="155" t="str">
        <f t="shared" si="153"/>
        <v/>
      </c>
      <c r="CF214" s="155" t="str">
        <f t="shared" si="154"/>
        <v/>
      </c>
      <c r="CG214" s="155" t="str">
        <f t="shared" si="155"/>
        <v/>
      </c>
      <c r="CH214" s="155" t="str">
        <f t="shared" si="156"/>
        <v/>
      </c>
      <c r="CI214" s="155" t="str">
        <f t="shared" si="157"/>
        <v/>
      </c>
      <c r="CJ214" s="155" t="str">
        <f t="shared" si="158"/>
        <v/>
      </c>
      <c r="CK214" s="155" t="str">
        <f t="shared" si="159"/>
        <v/>
      </c>
      <c r="CL214" s="155" t="str">
        <f t="shared" si="160"/>
        <v/>
      </c>
      <c r="CM214" s="155" t="str">
        <f t="shared" si="161"/>
        <v/>
      </c>
      <c r="CN214" s="155" t="str">
        <f t="shared" si="162"/>
        <v/>
      </c>
      <c r="CO214" s="155" t="str">
        <f t="shared" si="163"/>
        <v/>
      </c>
      <c r="CP214" s="155" t="str">
        <f t="shared" si="164"/>
        <v/>
      </c>
      <c r="CQ214" s="155" t="str">
        <f t="shared" si="165"/>
        <v/>
      </c>
      <c r="CR214" s="155" t="str">
        <f t="shared" si="166"/>
        <v/>
      </c>
      <c r="CS214" s="155" t="str">
        <f t="shared" si="167"/>
        <v/>
      </c>
      <c r="CT214" s="155" t="str">
        <f t="shared" si="168"/>
        <v/>
      </c>
      <c r="CU214" s="155" t="str">
        <f t="shared" si="169"/>
        <v/>
      </c>
      <c r="CV214" s="155" t="str">
        <f t="shared" si="170"/>
        <v/>
      </c>
      <c r="CW214" s="155" t="str">
        <f t="shared" si="171"/>
        <v/>
      </c>
      <c r="CX214" s="155" t="str">
        <f t="shared" si="172"/>
        <v/>
      </c>
      <c r="DX214" s="151">
        <f>IF(INDEX(Tab_actions,42,1)=1,INDEX(Tab_actions,42,6),0)</f>
        <v>0</v>
      </c>
    </row>
    <row r="215" spans="1:128" s="151" customFormat="1" ht="14.25" outlineLevel="1" x14ac:dyDescent="0.2">
      <c r="A215" s="156"/>
      <c r="B215" s="157" t="str">
        <f>Services!B215</f>
        <v>08H03</v>
      </c>
      <c r="C215" s="153" t="str">
        <f>Services!C215</f>
        <v>Gestion de la sécurité des archives</v>
      </c>
      <c r="D215" s="149">
        <f>1*(8*Plans_action!E53+Plans_action!D53)</f>
        <v>0</v>
      </c>
      <c r="E215" s="149">
        <f>2*(8*Plans_action!E53+Plans_action!D53)+2*(8*Plans_action!E108+Plans_action!D108)</f>
        <v>0</v>
      </c>
      <c r="F215" s="149"/>
      <c r="G215" s="149"/>
      <c r="H215" s="149">
        <f>5*(8*Plans_action!E183+Plans_action!D183)</f>
        <v>0</v>
      </c>
      <c r="I215" s="140" t="str">
        <f t="shared" si="130"/>
        <v/>
      </c>
      <c r="J215" s="141" t="str">
        <f t="shared" si="131"/>
        <v/>
      </c>
      <c r="K215" s="142"/>
      <c r="L215" s="142"/>
      <c r="M215" s="1708"/>
      <c r="N215" s="1708"/>
      <c r="O215" s="1708"/>
      <c r="P215" s="1708"/>
      <c r="Q215" s="1708"/>
      <c r="R215" s="1708"/>
      <c r="S215" s="1708"/>
      <c r="T215" s="1708"/>
      <c r="U215" s="1708"/>
      <c r="V215" s="1708"/>
      <c r="W215" s="1708"/>
      <c r="X215" s="1712"/>
      <c r="Y215" s="1712"/>
      <c r="Z215" s="1712"/>
      <c r="AA215" s="1712"/>
      <c r="AB215" s="1712"/>
      <c r="AC215" s="1712"/>
      <c r="AD215" s="1712"/>
      <c r="AE215" s="1712"/>
      <c r="AF215" s="1712"/>
      <c r="AG215" s="1712"/>
      <c r="AH215" s="1712"/>
      <c r="AI215" s="1712"/>
      <c r="AJ215" s="1712"/>
      <c r="AK215" s="1712"/>
      <c r="AL215" s="1712"/>
      <c r="AM215" s="1712"/>
      <c r="AN215" s="1712"/>
      <c r="AO215" s="1712"/>
      <c r="AP215" s="1712"/>
      <c r="AQ215" s="1712"/>
      <c r="AR215" s="1712"/>
      <c r="AS215" s="1712"/>
      <c r="AT215" s="1712"/>
      <c r="AU215" s="1712"/>
      <c r="AV215" s="1712"/>
      <c r="AW215" s="1712"/>
      <c r="AX215" s="1713"/>
      <c r="AY215" s="1714" t="str">
        <f t="shared" si="132"/>
        <v/>
      </c>
      <c r="AZ215" s="1714" t="str">
        <f>IF(Obj_PA!D215="","",IF(AY215="","",Obj_PA!D215-AY215))</f>
        <v/>
      </c>
      <c r="BA215" s="150"/>
      <c r="BB215" s="150"/>
      <c r="BC215" s="150"/>
      <c r="BD215" s="150"/>
      <c r="BE215" s="150"/>
      <c r="BF215" s="150"/>
      <c r="BG215" s="150"/>
      <c r="BH215" s="150"/>
      <c r="BI215" s="150"/>
      <c r="BJ215" s="150"/>
      <c r="BK215" s="155" t="str">
        <f t="shared" si="133"/>
        <v/>
      </c>
      <c r="BL215" s="155" t="str">
        <f t="shared" si="134"/>
        <v/>
      </c>
      <c r="BM215" s="155" t="str">
        <f t="shared" si="135"/>
        <v/>
      </c>
      <c r="BN215" s="155" t="str">
        <f t="shared" si="136"/>
        <v/>
      </c>
      <c r="BO215" s="155" t="str">
        <f t="shared" si="137"/>
        <v/>
      </c>
      <c r="BP215" s="155" t="str">
        <f t="shared" si="138"/>
        <v/>
      </c>
      <c r="BQ215" s="155" t="str">
        <f t="shared" si="139"/>
        <v/>
      </c>
      <c r="BR215" s="155" t="str">
        <f t="shared" si="140"/>
        <v/>
      </c>
      <c r="BS215" s="155" t="str">
        <f t="shared" si="141"/>
        <v/>
      </c>
      <c r="BT215" s="155" t="str">
        <f t="shared" si="142"/>
        <v/>
      </c>
      <c r="BU215" s="155" t="str">
        <f t="shared" si="143"/>
        <v/>
      </c>
      <c r="BV215" s="155" t="str">
        <f t="shared" si="144"/>
        <v/>
      </c>
      <c r="BW215" s="155" t="str">
        <f t="shared" si="145"/>
        <v/>
      </c>
      <c r="BX215" s="155" t="str">
        <f t="shared" si="146"/>
        <v/>
      </c>
      <c r="BY215" s="155" t="str">
        <f t="shared" si="147"/>
        <v/>
      </c>
      <c r="BZ215" s="155" t="str">
        <f t="shared" si="148"/>
        <v/>
      </c>
      <c r="CA215" s="155" t="str">
        <f t="shared" si="149"/>
        <v/>
      </c>
      <c r="CB215" s="155" t="str">
        <f t="shared" si="150"/>
        <v/>
      </c>
      <c r="CC215" s="155" t="str">
        <f t="shared" si="151"/>
        <v/>
      </c>
      <c r="CD215" s="155" t="str">
        <f t="shared" si="152"/>
        <v/>
      </c>
      <c r="CE215" s="155" t="str">
        <f t="shared" si="153"/>
        <v/>
      </c>
      <c r="CF215" s="155" t="str">
        <f t="shared" si="154"/>
        <v/>
      </c>
      <c r="CG215" s="155" t="str">
        <f t="shared" si="155"/>
        <v/>
      </c>
      <c r="CH215" s="155" t="str">
        <f t="shared" si="156"/>
        <v/>
      </c>
      <c r="CI215" s="155" t="str">
        <f t="shared" si="157"/>
        <v/>
      </c>
      <c r="CJ215" s="155" t="str">
        <f t="shared" si="158"/>
        <v/>
      </c>
      <c r="CK215" s="155" t="str">
        <f t="shared" si="159"/>
        <v/>
      </c>
      <c r="CL215" s="155" t="str">
        <f t="shared" si="160"/>
        <v/>
      </c>
      <c r="CM215" s="155" t="str">
        <f t="shared" si="161"/>
        <v/>
      </c>
      <c r="CN215" s="155" t="str">
        <f t="shared" si="162"/>
        <v/>
      </c>
      <c r="CO215" s="155" t="str">
        <f t="shared" si="163"/>
        <v/>
      </c>
      <c r="CP215" s="155" t="str">
        <f t="shared" si="164"/>
        <v/>
      </c>
      <c r="CQ215" s="155" t="str">
        <f t="shared" si="165"/>
        <v/>
      </c>
      <c r="CR215" s="155" t="str">
        <f t="shared" si="166"/>
        <v/>
      </c>
      <c r="CS215" s="155" t="str">
        <f t="shared" si="167"/>
        <v/>
      </c>
      <c r="CT215" s="155" t="str">
        <f t="shared" si="168"/>
        <v/>
      </c>
      <c r="CU215" s="155" t="str">
        <f t="shared" si="169"/>
        <v/>
      </c>
      <c r="CV215" s="155" t="str">
        <f t="shared" si="170"/>
        <v/>
      </c>
      <c r="CW215" s="155" t="str">
        <f t="shared" si="171"/>
        <v/>
      </c>
      <c r="CX215" s="155" t="str">
        <f t="shared" si="172"/>
        <v/>
      </c>
      <c r="DV215" s="151">
        <f>IF(INDEX(Tab_actions,23,1)=1,INDEX(Tab_actions,23,8),0)</f>
        <v>0</v>
      </c>
    </row>
    <row r="216" spans="1:128" ht="15" x14ac:dyDescent="0.2">
      <c r="A216" s="136" t="s">
        <v>1881</v>
      </c>
      <c r="B216" s="136" t="str">
        <f>Services!B216</f>
        <v>Sécurité applicative (09 App)</v>
      </c>
      <c r="C216" s="161"/>
      <c r="D216" s="149"/>
      <c r="E216" s="149"/>
      <c r="F216" s="149"/>
      <c r="G216" s="149"/>
      <c r="H216" s="149"/>
      <c r="I216" s="140" t="str">
        <f t="shared" si="130"/>
        <v/>
      </c>
      <c r="J216" s="141" t="str">
        <f t="shared" si="131"/>
        <v/>
      </c>
      <c r="K216" s="142"/>
      <c r="L216" s="142"/>
      <c r="M216" s="1708"/>
      <c r="N216" s="1708"/>
      <c r="O216" s="1708"/>
      <c r="P216" s="1708"/>
      <c r="Q216" s="1708"/>
      <c r="R216" s="1708"/>
      <c r="S216" s="1708"/>
      <c r="T216" s="1708"/>
      <c r="U216" s="1708"/>
      <c r="V216" s="1708"/>
      <c r="W216" s="1708"/>
      <c r="X216" s="1709"/>
      <c r="Y216" s="1709"/>
      <c r="Z216" s="1709"/>
      <c r="AA216" s="1709"/>
      <c r="AB216" s="1709"/>
      <c r="AC216" s="1709"/>
      <c r="AD216" s="1709"/>
      <c r="AE216" s="1709"/>
      <c r="AF216" s="1709"/>
      <c r="AG216" s="1709"/>
      <c r="AH216" s="1709"/>
      <c r="AI216" s="1709"/>
      <c r="AJ216" s="1709"/>
      <c r="AK216" s="1709"/>
      <c r="AL216" s="1709"/>
      <c r="AM216" s="1709"/>
      <c r="AN216" s="1709"/>
      <c r="AO216" s="1709"/>
      <c r="AP216" s="1709"/>
      <c r="AQ216" s="1709"/>
      <c r="AR216" s="1709"/>
      <c r="AS216" s="1709"/>
      <c r="AT216" s="1709"/>
      <c r="AU216" s="1709"/>
      <c r="AV216" s="1709"/>
      <c r="AW216" s="1709"/>
      <c r="AX216" s="1710"/>
      <c r="AY216" s="1714" t="str">
        <f t="shared" si="132"/>
        <v/>
      </c>
      <c r="AZ216" s="1714" t="str">
        <f>IF(Obj_PA!D216="","",IF(AY216="","",Obj_PA!D216-AY216))</f>
        <v/>
      </c>
      <c r="BK216" s="155" t="str">
        <f t="shared" si="133"/>
        <v/>
      </c>
      <c r="BL216" s="155" t="str">
        <f t="shared" si="134"/>
        <v/>
      </c>
      <c r="BM216" s="155" t="str">
        <f t="shared" si="135"/>
        <v/>
      </c>
      <c r="BN216" s="155" t="str">
        <f t="shared" si="136"/>
        <v/>
      </c>
      <c r="BO216" s="155" t="str">
        <f t="shared" si="137"/>
        <v/>
      </c>
      <c r="BP216" s="155" t="str">
        <f t="shared" si="138"/>
        <v/>
      </c>
      <c r="BQ216" s="155" t="str">
        <f t="shared" si="139"/>
        <v/>
      </c>
      <c r="BR216" s="155" t="str">
        <f t="shared" si="140"/>
        <v/>
      </c>
      <c r="BS216" s="155" t="str">
        <f t="shared" si="141"/>
        <v/>
      </c>
      <c r="BT216" s="155" t="str">
        <f t="shared" si="142"/>
        <v/>
      </c>
      <c r="BU216" s="155" t="str">
        <f t="shared" si="143"/>
        <v/>
      </c>
      <c r="BV216" s="155" t="str">
        <f t="shared" si="144"/>
        <v/>
      </c>
      <c r="BW216" s="155" t="str">
        <f t="shared" si="145"/>
        <v/>
      </c>
      <c r="BX216" s="155" t="str">
        <f t="shared" si="146"/>
        <v/>
      </c>
      <c r="BY216" s="155" t="str">
        <f t="shared" si="147"/>
        <v/>
      </c>
      <c r="BZ216" s="155" t="str">
        <f t="shared" si="148"/>
        <v/>
      </c>
      <c r="CA216" s="155" t="str">
        <f t="shared" si="149"/>
        <v/>
      </c>
      <c r="CB216" s="155" t="str">
        <f t="shared" si="150"/>
        <v/>
      </c>
      <c r="CC216" s="155" t="str">
        <f t="shared" si="151"/>
        <v/>
      </c>
      <c r="CD216" s="155" t="str">
        <f t="shared" si="152"/>
        <v/>
      </c>
      <c r="CE216" s="155" t="str">
        <f t="shared" si="153"/>
        <v/>
      </c>
      <c r="CF216" s="155" t="str">
        <f t="shared" si="154"/>
        <v/>
      </c>
      <c r="CG216" s="155" t="str">
        <f t="shared" si="155"/>
        <v/>
      </c>
      <c r="CH216" s="155" t="str">
        <f t="shared" si="156"/>
        <v/>
      </c>
      <c r="CI216" s="155" t="str">
        <f t="shared" si="157"/>
        <v/>
      </c>
      <c r="CJ216" s="155" t="str">
        <f t="shared" si="158"/>
        <v/>
      </c>
      <c r="CK216" s="155" t="str">
        <f t="shared" si="159"/>
        <v/>
      </c>
      <c r="CL216" s="155" t="str">
        <f t="shared" si="160"/>
        <v/>
      </c>
      <c r="CM216" s="155" t="str">
        <f t="shared" si="161"/>
        <v/>
      </c>
      <c r="CN216" s="155" t="str">
        <f t="shared" si="162"/>
        <v/>
      </c>
      <c r="CO216" s="155" t="str">
        <f t="shared" si="163"/>
        <v/>
      </c>
      <c r="CP216" s="155" t="str">
        <f t="shared" si="164"/>
        <v/>
      </c>
      <c r="CQ216" s="155" t="str">
        <f t="shared" si="165"/>
        <v/>
      </c>
      <c r="CR216" s="155" t="str">
        <f t="shared" si="166"/>
        <v/>
      </c>
      <c r="CS216" s="155" t="str">
        <f t="shared" si="167"/>
        <v/>
      </c>
      <c r="CT216" s="155" t="str">
        <f t="shared" si="168"/>
        <v/>
      </c>
      <c r="CU216" s="155" t="str">
        <f t="shared" si="169"/>
        <v/>
      </c>
      <c r="CV216" s="155" t="str">
        <f t="shared" si="170"/>
        <v/>
      </c>
      <c r="CW216" s="155" t="str">
        <f t="shared" si="171"/>
        <v/>
      </c>
      <c r="CX216" s="155" t="str">
        <f t="shared" si="172"/>
        <v/>
      </c>
    </row>
    <row r="217" spans="1:128" ht="15" outlineLevel="1" x14ac:dyDescent="0.2">
      <c r="A217" s="170"/>
      <c r="B217" s="147" t="str">
        <f>Services!B217</f>
        <v>09A</v>
      </c>
      <c r="C217" s="148" t="str">
        <f>Services!C217</f>
        <v>Contrôle d'accès applicatif</v>
      </c>
      <c r="D217" s="149"/>
      <c r="E217" s="149"/>
      <c r="F217" s="149"/>
      <c r="G217" s="149"/>
      <c r="H217" s="149"/>
      <c r="I217" s="140" t="str">
        <f t="shared" si="130"/>
        <v/>
      </c>
      <c r="J217" s="141" t="str">
        <f t="shared" si="131"/>
        <v/>
      </c>
      <c r="K217" s="142"/>
      <c r="L217" s="142"/>
      <c r="M217" s="1708"/>
      <c r="N217" s="1708"/>
      <c r="O217" s="1708"/>
      <c r="P217" s="1708"/>
      <c r="Q217" s="1708"/>
      <c r="R217" s="1708"/>
      <c r="S217" s="1708"/>
      <c r="T217" s="1708"/>
      <c r="U217" s="1708"/>
      <c r="V217" s="1708"/>
      <c r="W217" s="1708"/>
      <c r="X217" s="1709"/>
      <c r="Y217" s="1709"/>
      <c r="Z217" s="1709"/>
      <c r="AA217" s="1709"/>
      <c r="AB217" s="1709"/>
      <c r="AC217" s="1709"/>
      <c r="AD217" s="1709"/>
      <c r="AE217" s="1709"/>
      <c r="AF217" s="1709"/>
      <c r="AG217" s="1709"/>
      <c r="AH217" s="1709"/>
      <c r="AI217" s="1709"/>
      <c r="AJ217" s="1709"/>
      <c r="AK217" s="1709"/>
      <c r="AL217" s="1709"/>
      <c r="AM217" s="1709"/>
      <c r="AN217" s="1709"/>
      <c r="AO217" s="1709"/>
      <c r="AP217" s="1709"/>
      <c r="AQ217" s="1709"/>
      <c r="AR217" s="1709"/>
      <c r="AS217" s="1709"/>
      <c r="AT217" s="1709"/>
      <c r="AU217" s="1709"/>
      <c r="AV217" s="1709"/>
      <c r="AW217" s="1709"/>
      <c r="AX217" s="1710"/>
      <c r="AY217" s="1714" t="str">
        <f t="shared" si="132"/>
        <v/>
      </c>
      <c r="AZ217" s="1714" t="str">
        <f>IF(Obj_PA!D217="","",IF(AY217="","",Obj_PA!D217-AY217))</f>
        <v/>
      </c>
      <c r="BK217" s="155" t="str">
        <f t="shared" si="133"/>
        <v/>
      </c>
      <c r="BL217" s="155" t="str">
        <f t="shared" si="134"/>
        <v/>
      </c>
      <c r="BM217" s="155" t="str">
        <f t="shared" si="135"/>
        <v/>
      </c>
      <c r="BN217" s="155" t="str">
        <f t="shared" si="136"/>
        <v/>
      </c>
      <c r="BO217" s="155" t="str">
        <f t="shared" si="137"/>
        <v/>
      </c>
      <c r="BP217" s="155" t="str">
        <f t="shared" si="138"/>
        <v/>
      </c>
      <c r="BQ217" s="155" t="str">
        <f t="shared" si="139"/>
        <v/>
      </c>
      <c r="BR217" s="155" t="str">
        <f t="shared" si="140"/>
        <v/>
      </c>
      <c r="BS217" s="155" t="str">
        <f t="shared" si="141"/>
        <v/>
      </c>
      <c r="BT217" s="155" t="str">
        <f t="shared" si="142"/>
        <v/>
      </c>
      <c r="BU217" s="155" t="str">
        <f t="shared" si="143"/>
        <v/>
      </c>
      <c r="BV217" s="155" t="str">
        <f t="shared" si="144"/>
        <v/>
      </c>
      <c r="BW217" s="155" t="str">
        <f t="shared" si="145"/>
        <v/>
      </c>
      <c r="BX217" s="155" t="str">
        <f t="shared" si="146"/>
        <v/>
      </c>
      <c r="BY217" s="155" t="str">
        <f t="shared" si="147"/>
        <v/>
      </c>
      <c r="BZ217" s="155" t="str">
        <f t="shared" si="148"/>
        <v/>
      </c>
      <c r="CA217" s="155" t="str">
        <f t="shared" si="149"/>
        <v/>
      </c>
      <c r="CB217" s="155" t="str">
        <f t="shared" si="150"/>
        <v/>
      </c>
      <c r="CC217" s="155" t="str">
        <f t="shared" si="151"/>
        <v/>
      </c>
      <c r="CD217" s="155" t="str">
        <f t="shared" si="152"/>
        <v/>
      </c>
      <c r="CE217" s="155" t="str">
        <f t="shared" si="153"/>
        <v/>
      </c>
      <c r="CF217" s="155" t="str">
        <f t="shared" si="154"/>
        <v/>
      </c>
      <c r="CG217" s="155" t="str">
        <f t="shared" si="155"/>
        <v/>
      </c>
      <c r="CH217" s="155" t="str">
        <f t="shared" si="156"/>
        <v/>
      </c>
      <c r="CI217" s="155" t="str">
        <f t="shared" si="157"/>
        <v/>
      </c>
      <c r="CJ217" s="155" t="str">
        <f t="shared" si="158"/>
        <v/>
      </c>
      <c r="CK217" s="155" t="str">
        <f t="shared" si="159"/>
        <v/>
      </c>
      <c r="CL217" s="155" t="str">
        <f t="shared" si="160"/>
        <v/>
      </c>
      <c r="CM217" s="155" t="str">
        <f t="shared" si="161"/>
        <v/>
      </c>
      <c r="CN217" s="155" t="str">
        <f t="shared" si="162"/>
        <v/>
      </c>
      <c r="CO217" s="155" t="str">
        <f t="shared" si="163"/>
        <v/>
      </c>
      <c r="CP217" s="155" t="str">
        <f t="shared" si="164"/>
        <v/>
      </c>
      <c r="CQ217" s="155" t="str">
        <f t="shared" si="165"/>
        <v/>
      </c>
      <c r="CR217" s="155" t="str">
        <f t="shared" si="166"/>
        <v/>
      </c>
      <c r="CS217" s="155" t="str">
        <f t="shared" si="167"/>
        <v/>
      </c>
      <c r="CT217" s="155" t="str">
        <f t="shared" si="168"/>
        <v/>
      </c>
      <c r="CU217" s="155" t="str">
        <f t="shared" si="169"/>
        <v/>
      </c>
      <c r="CV217" s="155" t="str">
        <f t="shared" si="170"/>
        <v/>
      </c>
      <c r="CW217" s="155" t="str">
        <f t="shared" si="171"/>
        <v/>
      </c>
      <c r="CX217" s="155" t="str">
        <f t="shared" si="172"/>
        <v/>
      </c>
    </row>
    <row r="218" spans="1:128" ht="15" outlineLevel="1" x14ac:dyDescent="0.2">
      <c r="A218" s="170"/>
      <c r="B218" s="157" t="str">
        <f>Services!B218</f>
        <v>09A01</v>
      </c>
      <c r="C218" s="153" t="str">
        <f>Services!C218</f>
        <v>Gestion des profils d'accès aux données applicatives</v>
      </c>
      <c r="D218" s="149">
        <f>1*(8*Plans_action!E5+Plans_action!D5)+1*(8*Plans_action!E88+Plans_action!D88)+1*(8*Plans_action!E215+Plans_action!D215)+1*(8*Plans_action!E224+Plans_action!D224)+1*(8*Plans_action!E240+Plans_action!D240)+1*(8*Plans_action!E249+Plans_action!D249)+1*(8*Plans_action!E296+Plans_action!D296)</f>
        <v>0</v>
      </c>
      <c r="E218" s="149">
        <f>2*(8*Plans_action!E63+Plans_action!D63)+2*(8*Plans_action!E122+Plans_action!D122)+2*(8*Plans_action!E158+Plans_action!D158)</f>
        <v>0</v>
      </c>
      <c r="F218" s="149">
        <f>3*(8*Plans_action!E113+Plans_action!D113)</f>
        <v>0</v>
      </c>
      <c r="G218" s="149"/>
      <c r="H218" s="149"/>
      <c r="I218" s="140" t="str">
        <f t="shared" si="130"/>
        <v/>
      </c>
      <c r="J218" s="141" t="str">
        <f t="shared" si="131"/>
        <v/>
      </c>
      <c r="K218" s="142"/>
      <c r="L218" s="142"/>
      <c r="M218" s="1708"/>
      <c r="N218" s="1708"/>
      <c r="O218" s="1708"/>
      <c r="P218" s="1708"/>
      <c r="Q218" s="1708"/>
      <c r="R218" s="1708"/>
      <c r="S218" s="1708"/>
      <c r="T218" s="1708"/>
      <c r="U218" s="1708"/>
      <c r="V218" s="1708"/>
      <c r="W218" s="1708"/>
      <c r="X218" s="1709"/>
      <c r="Y218" s="1709"/>
      <c r="Z218" s="1709"/>
      <c r="AA218" s="1709"/>
      <c r="AB218" s="1709"/>
      <c r="AC218" s="1709"/>
      <c r="AD218" s="1709"/>
      <c r="AE218" s="1709"/>
      <c r="AF218" s="1709"/>
      <c r="AG218" s="1709"/>
      <c r="AH218" s="1709"/>
      <c r="AI218" s="1709"/>
      <c r="AJ218" s="1709"/>
      <c r="AK218" s="1709"/>
      <c r="AL218" s="1709"/>
      <c r="AM218" s="1709"/>
      <c r="AN218" s="1709"/>
      <c r="AO218" s="1709"/>
      <c r="AP218" s="1709"/>
      <c r="AQ218" s="1709"/>
      <c r="AR218" s="1709"/>
      <c r="AS218" s="1709"/>
      <c r="AT218" s="1709"/>
      <c r="AU218" s="1709"/>
      <c r="AV218" s="1709"/>
      <c r="AW218" s="1709"/>
      <c r="AX218" s="1710"/>
      <c r="AY218" s="1714" t="str">
        <f t="shared" si="132"/>
        <v/>
      </c>
      <c r="AZ218" s="1714" t="str">
        <f>IF(Obj_PA!D218="","",IF(AY218="","",Obj_PA!D218-AY218))</f>
        <v/>
      </c>
      <c r="BK218" s="155" t="str">
        <f t="shared" si="133"/>
        <v/>
      </c>
      <c r="BL218" s="155" t="str">
        <f t="shared" si="134"/>
        <v/>
      </c>
      <c r="BM218" s="155" t="str">
        <f t="shared" si="135"/>
        <v/>
      </c>
      <c r="BN218" s="155" t="str">
        <f t="shared" si="136"/>
        <v/>
      </c>
      <c r="BO218" s="155" t="str">
        <f t="shared" si="137"/>
        <v/>
      </c>
      <c r="BP218" s="155" t="str">
        <f t="shared" si="138"/>
        <v/>
      </c>
      <c r="BQ218" s="155" t="str">
        <f t="shared" si="139"/>
        <v/>
      </c>
      <c r="BR218" s="155" t="str">
        <f t="shared" si="140"/>
        <v/>
      </c>
      <c r="BS218" s="155" t="str">
        <f t="shared" si="141"/>
        <v/>
      </c>
      <c r="BT218" s="155" t="str">
        <f t="shared" si="142"/>
        <v/>
      </c>
      <c r="BU218" s="155" t="str">
        <f t="shared" si="143"/>
        <v/>
      </c>
      <c r="BV218" s="155" t="str">
        <f t="shared" si="144"/>
        <v/>
      </c>
      <c r="BW218" s="155" t="str">
        <f t="shared" si="145"/>
        <v/>
      </c>
      <c r="BX218" s="155" t="str">
        <f t="shared" si="146"/>
        <v/>
      </c>
      <c r="BY218" s="155" t="str">
        <f t="shared" si="147"/>
        <v/>
      </c>
      <c r="BZ218" s="155" t="str">
        <f t="shared" si="148"/>
        <v/>
      </c>
      <c r="CA218" s="155" t="str">
        <f t="shared" si="149"/>
        <v/>
      </c>
      <c r="CB218" s="155" t="str">
        <f t="shared" si="150"/>
        <v/>
      </c>
      <c r="CC218" s="155" t="str">
        <f t="shared" si="151"/>
        <v/>
      </c>
      <c r="CD218" s="155" t="str">
        <f t="shared" si="152"/>
        <v/>
      </c>
      <c r="CE218" s="155" t="str">
        <f t="shared" si="153"/>
        <v/>
      </c>
      <c r="CF218" s="155" t="str">
        <f t="shared" si="154"/>
        <v/>
      </c>
      <c r="CG218" s="155" t="str">
        <f t="shared" si="155"/>
        <v/>
      </c>
      <c r="CH218" s="155" t="str">
        <f t="shared" si="156"/>
        <v/>
      </c>
      <c r="CI218" s="155" t="str">
        <f t="shared" si="157"/>
        <v/>
      </c>
      <c r="CJ218" s="155" t="str">
        <f t="shared" si="158"/>
        <v/>
      </c>
      <c r="CK218" s="155" t="str">
        <f t="shared" si="159"/>
        <v/>
      </c>
      <c r="CL218" s="155" t="str">
        <f t="shared" si="160"/>
        <v/>
      </c>
      <c r="CM218" s="155" t="str">
        <f t="shared" si="161"/>
        <v/>
      </c>
      <c r="CN218" s="155" t="str">
        <f t="shared" si="162"/>
        <v/>
      </c>
      <c r="CO218" s="155" t="str">
        <f t="shared" si="163"/>
        <v/>
      </c>
      <c r="CP218" s="155" t="str">
        <f t="shared" si="164"/>
        <v/>
      </c>
      <c r="CQ218" s="155" t="str">
        <f t="shared" si="165"/>
        <v/>
      </c>
      <c r="CR218" s="155" t="str">
        <f t="shared" si="166"/>
        <v/>
      </c>
      <c r="CS218" s="155" t="str">
        <f t="shared" si="167"/>
        <v/>
      </c>
      <c r="CT218" s="155" t="str">
        <f t="shared" si="168"/>
        <v/>
      </c>
      <c r="CU218" s="155" t="str">
        <f t="shared" si="169"/>
        <v/>
      </c>
      <c r="CV218" s="155" t="str">
        <f t="shared" si="170"/>
        <v/>
      </c>
      <c r="CW218" s="155" t="str">
        <f t="shared" si="171"/>
        <v/>
      </c>
      <c r="CX218" s="155" t="str">
        <f t="shared" si="172"/>
        <v/>
      </c>
    </row>
    <row r="219" spans="1:128" ht="25.5" outlineLevel="1" x14ac:dyDescent="0.2">
      <c r="A219" s="170"/>
      <c r="B219" s="157" t="str">
        <f>Services!B219</f>
        <v>09A02</v>
      </c>
      <c r="C219" s="153" t="str">
        <f>Services!C219</f>
        <v>Gestion des autorisations d'accès aux données applicatives (attribution, délégation, retrait)</v>
      </c>
      <c r="D219" s="149">
        <f>1*(8*Plans_action!E5+Plans_action!D5)+1*(8*Plans_action!E88+Plans_action!D88)+1*(8*Plans_action!E215+Plans_action!D215)+1*(8*Plans_action!E224+Plans_action!D224)+1*(8*Plans_action!E240+Plans_action!D240)+1*(8*Plans_action!E249+Plans_action!D249)+1*(8*Plans_action!E296+Plans_action!D296)</f>
        <v>0</v>
      </c>
      <c r="E219" s="149">
        <f>2*(8*Plans_action!E63+Plans_action!D63)+2*(8*Plans_action!E122+Plans_action!D122)+2*(8*Plans_action!E158+Plans_action!D158)</f>
        <v>0</v>
      </c>
      <c r="F219" s="149">
        <f>3*(8*Plans_action!E113+Plans_action!D113)</f>
        <v>0</v>
      </c>
      <c r="G219" s="149"/>
      <c r="H219" s="149"/>
      <c r="I219" s="140" t="str">
        <f t="shared" si="130"/>
        <v/>
      </c>
      <c r="J219" s="141" t="str">
        <f t="shared" si="131"/>
        <v/>
      </c>
      <c r="K219" s="142"/>
      <c r="L219" s="142"/>
      <c r="M219" s="1708"/>
      <c r="N219" s="1708"/>
      <c r="O219" s="1708"/>
      <c r="P219" s="1708"/>
      <c r="Q219" s="1708"/>
      <c r="R219" s="1708"/>
      <c r="S219" s="1708"/>
      <c r="T219" s="1708"/>
      <c r="U219" s="1708"/>
      <c r="V219" s="1708"/>
      <c r="W219" s="1708"/>
      <c r="X219" s="1709"/>
      <c r="Y219" s="1709"/>
      <c r="Z219" s="1709"/>
      <c r="AA219" s="1709"/>
      <c r="AB219" s="1709"/>
      <c r="AC219" s="1709"/>
      <c r="AD219" s="1709"/>
      <c r="AE219" s="1709"/>
      <c r="AF219" s="1709"/>
      <c r="AG219" s="1709"/>
      <c r="AH219" s="1709"/>
      <c r="AI219" s="1709"/>
      <c r="AJ219" s="1709"/>
      <c r="AK219" s="1709"/>
      <c r="AL219" s="1709"/>
      <c r="AM219" s="1709"/>
      <c r="AN219" s="1709"/>
      <c r="AO219" s="1709"/>
      <c r="AP219" s="1709"/>
      <c r="AQ219" s="1709"/>
      <c r="AR219" s="1709"/>
      <c r="AS219" s="1709"/>
      <c r="AT219" s="1709"/>
      <c r="AU219" s="1709"/>
      <c r="AV219" s="1709"/>
      <c r="AW219" s="1709"/>
      <c r="AX219" s="1710"/>
      <c r="AY219" s="1714" t="str">
        <f t="shared" si="132"/>
        <v/>
      </c>
      <c r="AZ219" s="1714" t="str">
        <f>IF(Obj_PA!D219="","",IF(AY219="","",Obj_PA!D219-AY219))</f>
        <v/>
      </c>
      <c r="BK219" s="155" t="str">
        <f t="shared" si="133"/>
        <v/>
      </c>
      <c r="BL219" s="155" t="str">
        <f t="shared" si="134"/>
        <v/>
      </c>
      <c r="BM219" s="155" t="str">
        <f t="shared" si="135"/>
        <v/>
      </c>
      <c r="BN219" s="155" t="str">
        <f t="shared" si="136"/>
        <v/>
      </c>
      <c r="BO219" s="155" t="str">
        <f t="shared" si="137"/>
        <v/>
      </c>
      <c r="BP219" s="155" t="str">
        <f t="shared" si="138"/>
        <v/>
      </c>
      <c r="BQ219" s="155" t="str">
        <f t="shared" si="139"/>
        <v/>
      </c>
      <c r="BR219" s="155" t="str">
        <f t="shared" si="140"/>
        <v/>
      </c>
      <c r="BS219" s="155" t="str">
        <f t="shared" si="141"/>
        <v/>
      </c>
      <c r="BT219" s="155" t="str">
        <f t="shared" si="142"/>
        <v/>
      </c>
      <c r="BU219" s="155" t="str">
        <f t="shared" si="143"/>
        <v/>
      </c>
      <c r="BV219" s="155" t="str">
        <f t="shared" si="144"/>
        <v/>
      </c>
      <c r="BW219" s="155" t="str">
        <f t="shared" si="145"/>
        <v/>
      </c>
      <c r="BX219" s="155" t="str">
        <f t="shared" si="146"/>
        <v/>
      </c>
      <c r="BY219" s="155" t="str">
        <f t="shared" si="147"/>
        <v/>
      </c>
      <c r="BZ219" s="155" t="str">
        <f t="shared" si="148"/>
        <v/>
      </c>
      <c r="CA219" s="155" t="str">
        <f t="shared" si="149"/>
        <v/>
      </c>
      <c r="CB219" s="155" t="str">
        <f t="shared" si="150"/>
        <v/>
      </c>
      <c r="CC219" s="155" t="str">
        <f t="shared" si="151"/>
        <v/>
      </c>
      <c r="CD219" s="155" t="str">
        <f t="shared" si="152"/>
        <v/>
      </c>
      <c r="CE219" s="155" t="str">
        <f t="shared" si="153"/>
        <v/>
      </c>
      <c r="CF219" s="155" t="str">
        <f t="shared" si="154"/>
        <v/>
      </c>
      <c r="CG219" s="155" t="str">
        <f t="shared" si="155"/>
        <v/>
      </c>
      <c r="CH219" s="155" t="str">
        <f t="shared" si="156"/>
        <v/>
      </c>
      <c r="CI219" s="155" t="str">
        <f t="shared" si="157"/>
        <v/>
      </c>
      <c r="CJ219" s="155" t="str">
        <f t="shared" si="158"/>
        <v/>
      </c>
      <c r="CK219" s="155" t="str">
        <f t="shared" si="159"/>
        <v/>
      </c>
      <c r="CL219" s="155" t="str">
        <f t="shared" si="160"/>
        <v/>
      </c>
      <c r="CM219" s="155" t="str">
        <f t="shared" si="161"/>
        <v/>
      </c>
      <c r="CN219" s="155" t="str">
        <f t="shared" si="162"/>
        <v/>
      </c>
      <c r="CO219" s="155" t="str">
        <f t="shared" si="163"/>
        <v/>
      </c>
      <c r="CP219" s="155" t="str">
        <f t="shared" si="164"/>
        <v/>
      </c>
      <c r="CQ219" s="155" t="str">
        <f t="shared" si="165"/>
        <v/>
      </c>
      <c r="CR219" s="155" t="str">
        <f t="shared" si="166"/>
        <v/>
      </c>
      <c r="CS219" s="155" t="str">
        <f t="shared" si="167"/>
        <v/>
      </c>
      <c r="CT219" s="155" t="str">
        <f t="shared" si="168"/>
        <v/>
      </c>
      <c r="CU219" s="155" t="str">
        <f t="shared" si="169"/>
        <v/>
      </c>
      <c r="CV219" s="155" t="str">
        <f t="shared" si="170"/>
        <v/>
      </c>
      <c r="CW219" s="155" t="str">
        <f t="shared" si="171"/>
        <v/>
      </c>
      <c r="CX219" s="155" t="str">
        <f t="shared" si="172"/>
        <v/>
      </c>
    </row>
    <row r="220" spans="1:128" ht="15" outlineLevel="1" x14ac:dyDescent="0.2">
      <c r="A220" s="170"/>
      <c r="B220" s="157" t="str">
        <f>Services!B220</f>
        <v>09A03</v>
      </c>
      <c r="C220" s="153" t="str">
        <f>Services!C220</f>
        <v>Authentification de l'utilisateur ou de l'entité demandant un accès</v>
      </c>
      <c r="D220" s="149">
        <f>1*(8*Plans_action!E5+Plans_action!D5)+1*(8*Plans_action!E88+Plans_action!D88)+1*(8*Plans_action!E215+Plans_action!D215)+1*(8*Plans_action!E224+Plans_action!D224)+1*(8*Plans_action!E240+Plans_action!D240)+1*(8*Plans_action!E249+Plans_action!D249)</f>
        <v>0</v>
      </c>
      <c r="E220" s="149">
        <f>2*(8*Plans_action!E63+Plans_action!D63)+2*(8*Plans_action!E122+Plans_action!D122)+2*(8*Plans_action!E158+Plans_action!D158)</f>
        <v>0</v>
      </c>
      <c r="F220" s="149">
        <f>3*(8*Plans_action!E113+Plans_action!D113)</f>
        <v>0</v>
      </c>
      <c r="G220" s="149"/>
      <c r="H220" s="149"/>
      <c r="I220" s="140" t="str">
        <f t="shared" si="130"/>
        <v/>
      </c>
      <c r="J220" s="141" t="str">
        <f t="shared" si="131"/>
        <v/>
      </c>
      <c r="K220" s="142"/>
      <c r="L220" s="142"/>
      <c r="M220" s="1708"/>
      <c r="N220" s="1708"/>
      <c r="O220" s="1708"/>
      <c r="P220" s="1708"/>
      <c r="Q220" s="1708"/>
      <c r="R220" s="1708"/>
      <c r="S220" s="1708"/>
      <c r="T220" s="1708"/>
      <c r="U220" s="1708"/>
      <c r="V220" s="1708"/>
      <c r="W220" s="1708"/>
      <c r="X220" s="1709"/>
      <c r="Y220" s="1709"/>
      <c r="Z220" s="1709"/>
      <c r="AA220" s="1709"/>
      <c r="AB220" s="1709"/>
      <c r="AC220" s="1709"/>
      <c r="AD220" s="1709"/>
      <c r="AE220" s="1709"/>
      <c r="AF220" s="1709"/>
      <c r="AG220" s="1709"/>
      <c r="AH220" s="1709"/>
      <c r="AI220" s="1709"/>
      <c r="AJ220" s="1709"/>
      <c r="AK220" s="1709"/>
      <c r="AL220" s="1709"/>
      <c r="AM220" s="1709"/>
      <c r="AN220" s="1709"/>
      <c r="AO220" s="1709"/>
      <c r="AP220" s="1709"/>
      <c r="AQ220" s="1709"/>
      <c r="AR220" s="1709"/>
      <c r="AS220" s="1709"/>
      <c r="AT220" s="1709"/>
      <c r="AU220" s="1709"/>
      <c r="AV220" s="1709"/>
      <c r="AW220" s="1709"/>
      <c r="AX220" s="1710"/>
      <c r="AY220" s="1714" t="str">
        <f t="shared" si="132"/>
        <v/>
      </c>
      <c r="AZ220" s="1714" t="str">
        <f>IF(Obj_PA!D220="","",IF(AY220="","",Obj_PA!D220-AY220))</f>
        <v/>
      </c>
      <c r="BK220" s="155" t="str">
        <f t="shared" si="133"/>
        <v/>
      </c>
      <c r="BL220" s="155" t="str">
        <f t="shared" si="134"/>
        <v/>
      </c>
      <c r="BM220" s="155" t="str">
        <f t="shared" si="135"/>
        <v/>
      </c>
      <c r="BN220" s="155" t="str">
        <f t="shared" si="136"/>
        <v/>
      </c>
      <c r="BO220" s="155" t="str">
        <f t="shared" si="137"/>
        <v/>
      </c>
      <c r="BP220" s="155" t="str">
        <f t="shared" si="138"/>
        <v/>
      </c>
      <c r="BQ220" s="155" t="str">
        <f t="shared" si="139"/>
        <v/>
      </c>
      <c r="BR220" s="155" t="str">
        <f t="shared" si="140"/>
        <v/>
      </c>
      <c r="BS220" s="155" t="str">
        <f t="shared" si="141"/>
        <v/>
      </c>
      <c r="BT220" s="155" t="str">
        <f t="shared" si="142"/>
        <v/>
      </c>
      <c r="BU220" s="155" t="str">
        <f t="shared" si="143"/>
        <v/>
      </c>
      <c r="BV220" s="155" t="str">
        <f t="shared" si="144"/>
        <v/>
      </c>
      <c r="BW220" s="155" t="str">
        <f t="shared" si="145"/>
        <v/>
      </c>
      <c r="BX220" s="155" t="str">
        <f t="shared" si="146"/>
        <v/>
      </c>
      <c r="BY220" s="155" t="str">
        <f t="shared" si="147"/>
        <v/>
      </c>
      <c r="BZ220" s="155" t="str">
        <f t="shared" si="148"/>
        <v/>
      </c>
      <c r="CA220" s="155" t="str">
        <f t="shared" si="149"/>
        <v/>
      </c>
      <c r="CB220" s="155" t="str">
        <f t="shared" si="150"/>
        <v/>
      </c>
      <c r="CC220" s="155" t="str">
        <f t="shared" si="151"/>
        <v/>
      </c>
      <c r="CD220" s="155" t="str">
        <f t="shared" si="152"/>
        <v/>
      </c>
      <c r="CE220" s="155" t="str">
        <f t="shared" si="153"/>
        <v/>
      </c>
      <c r="CF220" s="155" t="str">
        <f t="shared" si="154"/>
        <v/>
      </c>
      <c r="CG220" s="155" t="str">
        <f t="shared" si="155"/>
        <v/>
      </c>
      <c r="CH220" s="155" t="str">
        <f t="shared" si="156"/>
        <v/>
      </c>
      <c r="CI220" s="155" t="str">
        <f t="shared" si="157"/>
        <v/>
      </c>
      <c r="CJ220" s="155" t="str">
        <f t="shared" si="158"/>
        <v/>
      </c>
      <c r="CK220" s="155" t="str">
        <f t="shared" si="159"/>
        <v/>
      </c>
      <c r="CL220" s="155" t="str">
        <f t="shared" si="160"/>
        <v/>
      </c>
      <c r="CM220" s="155" t="str">
        <f t="shared" si="161"/>
        <v/>
      </c>
      <c r="CN220" s="155" t="str">
        <f t="shared" si="162"/>
        <v/>
      </c>
      <c r="CO220" s="155" t="str">
        <f t="shared" si="163"/>
        <v/>
      </c>
      <c r="CP220" s="155" t="str">
        <f t="shared" si="164"/>
        <v/>
      </c>
      <c r="CQ220" s="155" t="str">
        <f t="shared" si="165"/>
        <v/>
      </c>
      <c r="CR220" s="155" t="str">
        <f t="shared" si="166"/>
        <v/>
      </c>
      <c r="CS220" s="155" t="str">
        <f t="shared" si="167"/>
        <v/>
      </c>
      <c r="CT220" s="155" t="str">
        <f t="shared" si="168"/>
        <v/>
      </c>
      <c r="CU220" s="155" t="str">
        <f t="shared" si="169"/>
        <v/>
      </c>
      <c r="CV220" s="155" t="str">
        <f t="shared" si="170"/>
        <v/>
      </c>
      <c r="CW220" s="155" t="str">
        <f t="shared" si="171"/>
        <v/>
      </c>
      <c r="CX220" s="155" t="str">
        <f t="shared" si="172"/>
        <v/>
      </c>
      <c r="DV220" s="145">
        <f>IF(INDEX(Tab_actions,80,1)=1,INDEX(Tab_actions,80,12),0)</f>
        <v>0</v>
      </c>
    </row>
    <row r="221" spans="1:128" ht="15" outlineLevel="1" x14ac:dyDescent="0.2">
      <c r="A221" s="170"/>
      <c r="B221" s="157" t="str">
        <f>Services!B221</f>
        <v>09A04</v>
      </c>
      <c r="C221" s="153" t="str">
        <f>Services!C221</f>
        <v>Filtrage des accès et gestion des associations</v>
      </c>
      <c r="D221" s="149">
        <f>1*(8*Plans_action!E5+Plans_action!D5)+1*(8*Plans_action!E88+Plans_action!D88)+1*(8*Plans_action!E215+Plans_action!D215)+1*(8*Plans_action!E224+Plans_action!D224)+1*(8*Plans_action!E240+Plans_action!D240)+1*(8*Plans_action!E249+Plans_action!D249)</f>
        <v>0</v>
      </c>
      <c r="E221" s="149">
        <f>2*(8*Plans_action!E63+Plans_action!D63)+2*(8*Plans_action!E122+Plans_action!D122)+2*(8*Plans_action!E158+Plans_action!D158)</f>
        <v>0</v>
      </c>
      <c r="F221" s="149">
        <f>3*(8*Plans_action!E113+Plans_action!D113)</f>
        <v>0</v>
      </c>
      <c r="G221" s="149"/>
      <c r="H221" s="149"/>
      <c r="I221" s="140" t="str">
        <f t="shared" si="130"/>
        <v/>
      </c>
      <c r="J221" s="141" t="str">
        <f t="shared" si="131"/>
        <v/>
      </c>
      <c r="K221" s="142"/>
      <c r="L221" s="142"/>
      <c r="M221" s="1708"/>
      <c r="N221" s="1708"/>
      <c r="O221" s="1708"/>
      <c r="P221" s="1708"/>
      <c r="Q221" s="1708"/>
      <c r="R221" s="1708"/>
      <c r="S221" s="1708"/>
      <c r="T221" s="1708"/>
      <c r="U221" s="1708"/>
      <c r="V221" s="1708"/>
      <c r="W221" s="1708"/>
      <c r="X221" s="1709"/>
      <c r="Y221" s="1709"/>
      <c r="Z221" s="1709"/>
      <c r="AA221" s="1709"/>
      <c r="AB221" s="1709"/>
      <c r="AC221" s="1709"/>
      <c r="AD221" s="1709"/>
      <c r="AE221" s="1709"/>
      <c r="AF221" s="1709"/>
      <c r="AG221" s="1709"/>
      <c r="AH221" s="1709"/>
      <c r="AI221" s="1709"/>
      <c r="AJ221" s="1709"/>
      <c r="AK221" s="1709"/>
      <c r="AL221" s="1709"/>
      <c r="AM221" s="1709"/>
      <c r="AN221" s="1709"/>
      <c r="AO221" s="1709"/>
      <c r="AP221" s="1709"/>
      <c r="AQ221" s="1709"/>
      <c r="AR221" s="1709"/>
      <c r="AS221" s="1709"/>
      <c r="AT221" s="1709"/>
      <c r="AU221" s="1709"/>
      <c r="AV221" s="1709"/>
      <c r="AW221" s="1709"/>
      <c r="AX221" s="1710"/>
      <c r="AY221" s="1714" t="str">
        <f t="shared" si="132"/>
        <v/>
      </c>
      <c r="AZ221" s="1714" t="str">
        <f>IF(Obj_PA!D221="","",IF(AY221="","",Obj_PA!D221-AY221))</f>
        <v/>
      </c>
      <c r="BK221" s="155" t="str">
        <f t="shared" si="133"/>
        <v/>
      </c>
      <c r="BL221" s="155" t="str">
        <f t="shared" si="134"/>
        <v/>
      </c>
      <c r="BM221" s="155" t="str">
        <f t="shared" si="135"/>
        <v/>
      </c>
      <c r="BN221" s="155" t="str">
        <f t="shared" si="136"/>
        <v/>
      </c>
      <c r="BO221" s="155" t="str">
        <f t="shared" si="137"/>
        <v/>
      </c>
      <c r="BP221" s="155" t="str">
        <f t="shared" si="138"/>
        <v/>
      </c>
      <c r="BQ221" s="155" t="str">
        <f t="shared" si="139"/>
        <v/>
      </c>
      <c r="BR221" s="155" t="str">
        <f t="shared" si="140"/>
        <v/>
      </c>
      <c r="BS221" s="155" t="str">
        <f t="shared" si="141"/>
        <v/>
      </c>
      <c r="BT221" s="155" t="str">
        <f t="shared" si="142"/>
        <v/>
      </c>
      <c r="BU221" s="155" t="str">
        <f t="shared" si="143"/>
        <v/>
      </c>
      <c r="BV221" s="155" t="str">
        <f t="shared" si="144"/>
        <v/>
      </c>
      <c r="BW221" s="155" t="str">
        <f t="shared" si="145"/>
        <v/>
      </c>
      <c r="BX221" s="155" t="str">
        <f t="shared" si="146"/>
        <v/>
      </c>
      <c r="BY221" s="155" t="str">
        <f t="shared" si="147"/>
        <v/>
      </c>
      <c r="BZ221" s="155" t="str">
        <f t="shared" si="148"/>
        <v/>
      </c>
      <c r="CA221" s="155" t="str">
        <f t="shared" si="149"/>
        <v/>
      </c>
      <c r="CB221" s="155" t="str">
        <f t="shared" si="150"/>
        <v/>
      </c>
      <c r="CC221" s="155" t="str">
        <f t="shared" si="151"/>
        <v/>
      </c>
      <c r="CD221" s="155" t="str">
        <f t="shared" si="152"/>
        <v/>
      </c>
      <c r="CE221" s="155" t="str">
        <f t="shared" si="153"/>
        <v/>
      </c>
      <c r="CF221" s="155" t="str">
        <f t="shared" si="154"/>
        <v/>
      </c>
      <c r="CG221" s="155" t="str">
        <f t="shared" si="155"/>
        <v/>
      </c>
      <c r="CH221" s="155" t="str">
        <f t="shared" si="156"/>
        <v/>
      </c>
      <c r="CI221" s="155" t="str">
        <f t="shared" si="157"/>
        <v/>
      </c>
      <c r="CJ221" s="155" t="str">
        <f t="shared" si="158"/>
        <v/>
      </c>
      <c r="CK221" s="155" t="str">
        <f t="shared" si="159"/>
        <v/>
      </c>
      <c r="CL221" s="155" t="str">
        <f t="shared" si="160"/>
        <v/>
      </c>
      <c r="CM221" s="155" t="str">
        <f t="shared" si="161"/>
        <v/>
      </c>
      <c r="CN221" s="155" t="str">
        <f t="shared" si="162"/>
        <v/>
      </c>
      <c r="CO221" s="155" t="str">
        <f t="shared" si="163"/>
        <v/>
      </c>
      <c r="CP221" s="155" t="str">
        <f t="shared" si="164"/>
        <v/>
      </c>
      <c r="CQ221" s="155" t="str">
        <f t="shared" si="165"/>
        <v/>
      </c>
      <c r="CR221" s="155" t="str">
        <f t="shared" si="166"/>
        <v/>
      </c>
      <c r="CS221" s="155" t="str">
        <f t="shared" si="167"/>
        <v/>
      </c>
      <c r="CT221" s="155" t="str">
        <f t="shared" si="168"/>
        <v/>
      </c>
      <c r="CU221" s="155" t="str">
        <f t="shared" si="169"/>
        <v/>
      </c>
      <c r="CV221" s="155" t="str">
        <f t="shared" si="170"/>
        <v/>
      </c>
      <c r="CW221" s="155" t="str">
        <f t="shared" si="171"/>
        <v/>
      </c>
      <c r="CX221" s="155" t="str">
        <f t="shared" si="172"/>
        <v/>
      </c>
      <c r="DV221" s="145">
        <f>IF(INDEX(Tab_actions,80,1)=1,INDEX(Tab_actions,80,14),0)</f>
        <v>0</v>
      </c>
    </row>
    <row r="222" spans="1:128" ht="25.5" outlineLevel="1" x14ac:dyDescent="0.2">
      <c r="A222" s="164"/>
      <c r="B222" s="157" t="str">
        <f>Services!B222</f>
        <v>09A05</v>
      </c>
      <c r="C222" s="153" t="str">
        <f>Services!C222</f>
        <v>Authentification de l'application lors des accès à des applications sensibles</v>
      </c>
      <c r="D222" s="149"/>
      <c r="E222" s="149"/>
      <c r="F222" s="149"/>
      <c r="G222" s="149"/>
      <c r="H222" s="149">
        <f>5*(8*Plans_action!E273+Plans_action!D273)+5*(8*Plans_action!E290+Plans_action!D290)</f>
        <v>0</v>
      </c>
      <c r="I222" s="140" t="str">
        <f t="shared" si="130"/>
        <v/>
      </c>
      <c r="J222" s="141" t="str">
        <f t="shared" si="131"/>
        <v/>
      </c>
      <c r="K222" s="142"/>
      <c r="L222" s="142"/>
      <c r="M222" s="1708"/>
      <c r="N222" s="1708"/>
      <c r="O222" s="1708"/>
      <c r="P222" s="1708"/>
      <c r="Q222" s="1708"/>
      <c r="R222" s="1708"/>
      <c r="S222" s="1708"/>
      <c r="T222" s="1708"/>
      <c r="U222" s="1708"/>
      <c r="V222" s="1708"/>
      <c r="W222" s="1708"/>
      <c r="X222" s="1709"/>
      <c r="Y222" s="1709"/>
      <c r="Z222" s="1709"/>
      <c r="AA222" s="1709"/>
      <c r="AB222" s="1709"/>
      <c r="AC222" s="1709"/>
      <c r="AD222" s="1709"/>
      <c r="AE222" s="1709"/>
      <c r="AF222" s="1709"/>
      <c r="AG222" s="1709"/>
      <c r="AH222" s="1709"/>
      <c r="AI222" s="1709"/>
      <c r="AJ222" s="1709"/>
      <c r="AK222" s="1709"/>
      <c r="AL222" s="1709"/>
      <c r="AM222" s="1709"/>
      <c r="AN222" s="1709"/>
      <c r="AO222" s="1709"/>
      <c r="AP222" s="1709"/>
      <c r="AQ222" s="1709"/>
      <c r="AR222" s="1709"/>
      <c r="AS222" s="1709"/>
      <c r="AT222" s="1709"/>
      <c r="AU222" s="1709"/>
      <c r="AV222" s="1709"/>
      <c r="AW222" s="1709"/>
      <c r="AX222" s="1710"/>
      <c r="AY222" s="1714" t="str">
        <f t="shared" si="132"/>
        <v/>
      </c>
      <c r="AZ222" s="1714" t="str">
        <f>IF(Obj_PA!D222="","",IF(AY222="","",Obj_PA!D222-AY222))</f>
        <v/>
      </c>
      <c r="BK222" s="155" t="str">
        <f t="shared" si="133"/>
        <v/>
      </c>
      <c r="BL222" s="155" t="str">
        <f t="shared" si="134"/>
        <v/>
      </c>
      <c r="BM222" s="155" t="str">
        <f t="shared" si="135"/>
        <v/>
      </c>
      <c r="BN222" s="155" t="str">
        <f t="shared" si="136"/>
        <v/>
      </c>
      <c r="BO222" s="155" t="str">
        <f t="shared" si="137"/>
        <v/>
      </c>
      <c r="BP222" s="155" t="str">
        <f t="shared" si="138"/>
        <v/>
      </c>
      <c r="BQ222" s="155" t="str">
        <f t="shared" si="139"/>
        <v/>
      </c>
      <c r="BR222" s="155" t="str">
        <f t="shared" si="140"/>
        <v/>
      </c>
      <c r="BS222" s="155" t="str">
        <f t="shared" si="141"/>
        <v/>
      </c>
      <c r="BT222" s="155" t="str">
        <f t="shared" si="142"/>
        <v/>
      </c>
      <c r="BU222" s="155" t="str">
        <f t="shared" si="143"/>
        <v/>
      </c>
      <c r="BV222" s="155" t="str">
        <f t="shared" si="144"/>
        <v/>
      </c>
      <c r="BW222" s="155" t="str">
        <f t="shared" si="145"/>
        <v/>
      </c>
      <c r="BX222" s="155" t="str">
        <f t="shared" si="146"/>
        <v/>
      </c>
      <c r="BY222" s="155" t="str">
        <f t="shared" si="147"/>
        <v/>
      </c>
      <c r="BZ222" s="155" t="str">
        <f t="shared" si="148"/>
        <v/>
      </c>
      <c r="CA222" s="155" t="str">
        <f t="shared" si="149"/>
        <v/>
      </c>
      <c r="CB222" s="155" t="str">
        <f t="shared" si="150"/>
        <v/>
      </c>
      <c r="CC222" s="155" t="str">
        <f t="shared" si="151"/>
        <v/>
      </c>
      <c r="CD222" s="155" t="str">
        <f t="shared" si="152"/>
        <v/>
      </c>
      <c r="CE222" s="155" t="str">
        <f t="shared" si="153"/>
        <v/>
      </c>
      <c r="CF222" s="155" t="str">
        <f t="shared" si="154"/>
        <v/>
      </c>
      <c r="CG222" s="155" t="str">
        <f t="shared" si="155"/>
        <v/>
      </c>
      <c r="CH222" s="155" t="str">
        <f t="shared" si="156"/>
        <v/>
      </c>
      <c r="CI222" s="155" t="str">
        <f t="shared" si="157"/>
        <v/>
      </c>
      <c r="CJ222" s="155" t="str">
        <f t="shared" si="158"/>
        <v/>
      </c>
      <c r="CK222" s="155" t="str">
        <f t="shared" si="159"/>
        <v/>
      </c>
      <c r="CL222" s="155" t="str">
        <f t="shared" si="160"/>
        <v/>
      </c>
      <c r="CM222" s="155" t="str">
        <f t="shared" si="161"/>
        <v/>
      </c>
      <c r="CN222" s="155" t="str">
        <f t="shared" si="162"/>
        <v/>
      </c>
      <c r="CO222" s="155" t="str">
        <f t="shared" si="163"/>
        <v/>
      </c>
      <c r="CP222" s="155" t="str">
        <f t="shared" si="164"/>
        <v/>
      </c>
      <c r="CQ222" s="155" t="str">
        <f t="shared" si="165"/>
        <v/>
      </c>
      <c r="CR222" s="155" t="str">
        <f t="shared" si="166"/>
        <v/>
      </c>
      <c r="CS222" s="155" t="str">
        <f t="shared" si="167"/>
        <v/>
      </c>
      <c r="CT222" s="155" t="str">
        <f t="shared" si="168"/>
        <v/>
      </c>
      <c r="CU222" s="155" t="str">
        <f t="shared" si="169"/>
        <v/>
      </c>
      <c r="CV222" s="155" t="str">
        <f t="shared" si="170"/>
        <v/>
      </c>
      <c r="CW222" s="155" t="str">
        <f t="shared" si="171"/>
        <v/>
      </c>
      <c r="CX222" s="155" t="str">
        <f t="shared" si="172"/>
        <v/>
      </c>
      <c r="DV222" s="145">
        <f>IF(INDEX(Tab_actions,80,1)=1,INDEX(Tab_actions,80,10),0)</f>
        <v>0</v>
      </c>
    </row>
    <row r="223" spans="1:128" ht="15" outlineLevel="1" x14ac:dyDescent="0.2">
      <c r="A223" s="170"/>
      <c r="B223" s="147" t="str">
        <f>Services!B223</f>
        <v>09B</v>
      </c>
      <c r="C223" s="148" t="str">
        <f>Services!C223</f>
        <v>Contrôle de l'intégrité des données</v>
      </c>
      <c r="D223" s="149"/>
      <c r="E223" s="149"/>
      <c r="F223" s="149"/>
      <c r="G223" s="149"/>
      <c r="H223" s="149"/>
      <c r="I223" s="140" t="str">
        <f t="shared" si="130"/>
        <v/>
      </c>
      <c r="J223" s="141" t="str">
        <f t="shared" si="131"/>
        <v/>
      </c>
      <c r="K223" s="142"/>
      <c r="L223" s="142"/>
      <c r="M223" s="1708"/>
      <c r="N223" s="1708"/>
      <c r="O223" s="1708"/>
      <c r="P223" s="1708"/>
      <c r="Q223" s="1708"/>
      <c r="R223" s="1708"/>
      <c r="S223" s="1708"/>
      <c r="T223" s="1708"/>
      <c r="U223" s="1708"/>
      <c r="V223" s="1708"/>
      <c r="W223" s="1708"/>
      <c r="X223" s="1709"/>
      <c r="Y223" s="1709"/>
      <c r="Z223" s="1709"/>
      <c r="AA223" s="1709"/>
      <c r="AB223" s="1709"/>
      <c r="AC223" s="1709"/>
      <c r="AD223" s="1709"/>
      <c r="AE223" s="1709"/>
      <c r="AF223" s="1709"/>
      <c r="AG223" s="1709"/>
      <c r="AH223" s="1709"/>
      <c r="AI223" s="1709"/>
      <c r="AJ223" s="1709"/>
      <c r="AK223" s="1709"/>
      <c r="AL223" s="1709"/>
      <c r="AM223" s="1709"/>
      <c r="AN223" s="1709"/>
      <c r="AO223" s="1709"/>
      <c r="AP223" s="1709"/>
      <c r="AQ223" s="1709"/>
      <c r="AR223" s="1709"/>
      <c r="AS223" s="1709"/>
      <c r="AT223" s="1709"/>
      <c r="AU223" s="1709"/>
      <c r="AV223" s="1709"/>
      <c r="AW223" s="1709"/>
      <c r="AX223" s="1710"/>
      <c r="AY223" s="1714" t="str">
        <f t="shared" si="132"/>
        <v/>
      </c>
      <c r="AZ223" s="1714" t="str">
        <f>IF(Obj_PA!D223="","",IF(AY223="","",Obj_PA!D223-AY223))</f>
        <v/>
      </c>
      <c r="BK223" s="155" t="str">
        <f t="shared" si="133"/>
        <v/>
      </c>
      <c r="BL223" s="155" t="str">
        <f t="shared" si="134"/>
        <v/>
      </c>
      <c r="BM223" s="155" t="str">
        <f t="shared" si="135"/>
        <v/>
      </c>
      <c r="BN223" s="155" t="str">
        <f t="shared" si="136"/>
        <v/>
      </c>
      <c r="BO223" s="155" t="str">
        <f t="shared" si="137"/>
        <v/>
      </c>
      <c r="BP223" s="155" t="str">
        <f t="shared" si="138"/>
        <v/>
      </c>
      <c r="BQ223" s="155" t="str">
        <f t="shared" si="139"/>
        <v/>
      </c>
      <c r="BR223" s="155" t="str">
        <f t="shared" si="140"/>
        <v/>
      </c>
      <c r="BS223" s="155" t="str">
        <f t="shared" si="141"/>
        <v/>
      </c>
      <c r="BT223" s="155" t="str">
        <f t="shared" si="142"/>
        <v/>
      </c>
      <c r="BU223" s="155" t="str">
        <f t="shared" si="143"/>
        <v/>
      </c>
      <c r="BV223" s="155" t="str">
        <f t="shared" si="144"/>
        <v/>
      </c>
      <c r="BW223" s="155" t="str">
        <f t="shared" si="145"/>
        <v/>
      </c>
      <c r="BX223" s="155" t="str">
        <f t="shared" si="146"/>
        <v/>
      </c>
      <c r="BY223" s="155" t="str">
        <f t="shared" si="147"/>
        <v/>
      </c>
      <c r="BZ223" s="155" t="str">
        <f t="shared" si="148"/>
        <v/>
      </c>
      <c r="CA223" s="155" t="str">
        <f t="shared" si="149"/>
        <v/>
      </c>
      <c r="CB223" s="155" t="str">
        <f t="shared" si="150"/>
        <v/>
      </c>
      <c r="CC223" s="155" t="str">
        <f t="shared" si="151"/>
        <v/>
      </c>
      <c r="CD223" s="155" t="str">
        <f t="shared" si="152"/>
        <v/>
      </c>
      <c r="CE223" s="155" t="str">
        <f t="shared" si="153"/>
        <v/>
      </c>
      <c r="CF223" s="155" t="str">
        <f t="shared" si="154"/>
        <v/>
      </c>
      <c r="CG223" s="155" t="str">
        <f t="shared" si="155"/>
        <v/>
      </c>
      <c r="CH223" s="155" t="str">
        <f t="shared" si="156"/>
        <v/>
      </c>
      <c r="CI223" s="155" t="str">
        <f t="shared" si="157"/>
        <v/>
      </c>
      <c r="CJ223" s="155" t="str">
        <f t="shared" si="158"/>
        <v/>
      </c>
      <c r="CK223" s="155" t="str">
        <f t="shared" si="159"/>
        <v/>
      </c>
      <c r="CL223" s="155" t="str">
        <f t="shared" si="160"/>
        <v/>
      </c>
      <c r="CM223" s="155" t="str">
        <f t="shared" si="161"/>
        <v/>
      </c>
      <c r="CN223" s="155" t="str">
        <f t="shared" si="162"/>
        <v/>
      </c>
      <c r="CO223" s="155" t="str">
        <f t="shared" si="163"/>
        <v/>
      </c>
      <c r="CP223" s="155" t="str">
        <f t="shared" si="164"/>
        <v/>
      </c>
      <c r="CQ223" s="155" t="str">
        <f t="shared" si="165"/>
        <v/>
      </c>
      <c r="CR223" s="155" t="str">
        <f t="shared" si="166"/>
        <v/>
      </c>
      <c r="CS223" s="155" t="str">
        <f t="shared" si="167"/>
        <v/>
      </c>
      <c r="CT223" s="155" t="str">
        <f t="shared" si="168"/>
        <v/>
      </c>
      <c r="CU223" s="155" t="str">
        <f t="shared" si="169"/>
        <v/>
      </c>
      <c r="CV223" s="155" t="str">
        <f t="shared" si="170"/>
        <v/>
      </c>
      <c r="CW223" s="155" t="str">
        <f t="shared" si="171"/>
        <v/>
      </c>
      <c r="CX223" s="155" t="str">
        <f t="shared" si="172"/>
        <v/>
      </c>
    </row>
    <row r="224" spans="1:128" ht="15" outlineLevel="1" x14ac:dyDescent="0.2">
      <c r="A224" s="170"/>
      <c r="B224" s="157" t="str">
        <f>Services!B224</f>
        <v>09B01</v>
      </c>
      <c r="C224" s="153" t="str">
        <f>Services!C224</f>
        <v>Scellement des données sensibles</v>
      </c>
      <c r="D224" s="149"/>
      <c r="E224" s="149">
        <f>2*(8*Plans_action!E63+Plans_action!D63)+2*(8*Plans_action!E113+Plans_action!D113)</f>
        <v>0</v>
      </c>
      <c r="F224" s="149"/>
      <c r="G224" s="149">
        <f>4*(8*Plans_action!E88+Plans_action!D88)</f>
        <v>0</v>
      </c>
      <c r="H224" s="149"/>
      <c r="I224" s="140" t="str">
        <f t="shared" si="130"/>
        <v/>
      </c>
      <c r="J224" s="141" t="str">
        <f t="shared" si="131"/>
        <v/>
      </c>
      <c r="K224" s="142"/>
      <c r="L224" s="142"/>
      <c r="M224" s="1708"/>
      <c r="N224" s="1708"/>
      <c r="O224" s="1708"/>
      <c r="P224" s="1708"/>
      <c r="Q224" s="1708"/>
      <c r="R224" s="1708"/>
      <c r="S224" s="1708"/>
      <c r="T224" s="1708"/>
      <c r="U224" s="1708"/>
      <c r="V224" s="1708"/>
      <c r="W224" s="1708"/>
      <c r="X224" s="1709"/>
      <c r="Y224" s="1709"/>
      <c r="Z224" s="1709"/>
      <c r="AA224" s="1709"/>
      <c r="AB224" s="1709"/>
      <c r="AC224" s="1709"/>
      <c r="AD224" s="1709"/>
      <c r="AE224" s="1709"/>
      <c r="AF224" s="1709"/>
      <c r="AG224" s="1709"/>
      <c r="AH224" s="1709"/>
      <c r="AI224" s="1709"/>
      <c r="AJ224" s="1709"/>
      <c r="AK224" s="1709"/>
      <c r="AL224" s="1709"/>
      <c r="AM224" s="1709"/>
      <c r="AN224" s="1709"/>
      <c r="AO224" s="1709"/>
      <c r="AP224" s="1709"/>
      <c r="AQ224" s="1709"/>
      <c r="AR224" s="1709"/>
      <c r="AS224" s="1709"/>
      <c r="AT224" s="1709"/>
      <c r="AU224" s="1709"/>
      <c r="AV224" s="1709"/>
      <c r="AW224" s="1709"/>
      <c r="AX224" s="1710"/>
      <c r="AY224" s="1714" t="str">
        <f t="shared" si="132"/>
        <v/>
      </c>
      <c r="AZ224" s="1714" t="str">
        <f>IF(Obj_PA!D224="","",IF(AY224="","",Obj_PA!D224-AY224))</f>
        <v/>
      </c>
      <c r="BK224" s="155" t="str">
        <f t="shared" si="133"/>
        <v/>
      </c>
      <c r="BL224" s="155" t="str">
        <f t="shared" si="134"/>
        <v/>
      </c>
      <c r="BM224" s="155" t="str">
        <f t="shared" si="135"/>
        <v/>
      </c>
      <c r="BN224" s="155" t="str">
        <f t="shared" si="136"/>
        <v/>
      </c>
      <c r="BO224" s="155" t="str">
        <f t="shared" si="137"/>
        <v/>
      </c>
      <c r="BP224" s="155" t="str">
        <f t="shared" si="138"/>
        <v/>
      </c>
      <c r="BQ224" s="155" t="str">
        <f t="shared" si="139"/>
        <v/>
      </c>
      <c r="BR224" s="155" t="str">
        <f t="shared" si="140"/>
        <v/>
      </c>
      <c r="BS224" s="155" t="str">
        <f t="shared" si="141"/>
        <v/>
      </c>
      <c r="BT224" s="155" t="str">
        <f t="shared" si="142"/>
        <v/>
      </c>
      <c r="BU224" s="155" t="str">
        <f t="shared" si="143"/>
        <v/>
      </c>
      <c r="BV224" s="155" t="str">
        <f t="shared" si="144"/>
        <v/>
      </c>
      <c r="BW224" s="155" t="str">
        <f t="shared" si="145"/>
        <v/>
      </c>
      <c r="BX224" s="155" t="str">
        <f t="shared" si="146"/>
        <v/>
      </c>
      <c r="BY224" s="155" t="str">
        <f t="shared" si="147"/>
        <v/>
      </c>
      <c r="BZ224" s="155" t="str">
        <f t="shared" si="148"/>
        <v/>
      </c>
      <c r="CA224" s="155" t="str">
        <f t="shared" si="149"/>
        <v/>
      </c>
      <c r="CB224" s="155" t="str">
        <f t="shared" si="150"/>
        <v/>
      </c>
      <c r="CC224" s="155" t="str">
        <f t="shared" si="151"/>
        <v/>
      </c>
      <c r="CD224" s="155" t="str">
        <f t="shared" si="152"/>
        <v/>
      </c>
      <c r="CE224" s="155" t="str">
        <f t="shared" si="153"/>
        <v/>
      </c>
      <c r="CF224" s="155" t="str">
        <f t="shared" si="154"/>
        <v/>
      </c>
      <c r="CG224" s="155" t="str">
        <f t="shared" si="155"/>
        <v/>
      </c>
      <c r="CH224" s="155" t="str">
        <f t="shared" si="156"/>
        <v/>
      </c>
      <c r="CI224" s="155" t="str">
        <f t="shared" si="157"/>
        <v/>
      </c>
      <c r="CJ224" s="155" t="str">
        <f t="shared" si="158"/>
        <v/>
      </c>
      <c r="CK224" s="155" t="str">
        <f t="shared" si="159"/>
        <v/>
      </c>
      <c r="CL224" s="155" t="str">
        <f t="shared" si="160"/>
        <v/>
      </c>
      <c r="CM224" s="155" t="str">
        <f t="shared" si="161"/>
        <v/>
      </c>
      <c r="CN224" s="155" t="str">
        <f t="shared" si="162"/>
        <v/>
      </c>
      <c r="CO224" s="155" t="str">
        <f t="shared" si="163"/>
        <v/>
      </c>
      <c r="CP224" s="155" t="str">
        <f t="shared" si="164"/>
        <v/>
      </c>
      <c r="CQ224" s="155" t="str">
        <f t="shared" si="165"/>
        <v/>
      </c>
      <c r="CR224" s="155" t="str">
        <f t="shared" si="166"/>
        <v/>
      </c>
      <c r="CS224" s="155" t="str">
        <f t="shared" si="167"/>
        <v/>
      </c>
      <c r="CT224" s="155" t="str">
        <f t="shared" si="168"/>
        <v/>
      </c>
      <c r="CU224" s="155" t="str">
        <f t="shared" si="169"/>
        <v/>
      </c>
      <c r="CV224" s="155" t="str">
        <f t="shared" si="170"/>
        <v/>
      </c>
      <c r="CW224" s="155" t="str">
        <f t="shared" si="171"/>
        <v/>
      </c>
      <c r="CX224" s="155" t="str">
        <f t="shared" si="172"/>
        <v/>
      </c>
    </row>
    <row r="225" spans="1:128" ht="15" outlineLevel="1" x14ac:dyDescent="0.2">
      <c r="A225" s="170"/>
      <c r="B225" s="157" t="str">
        <f>Services!B225</f>
        <v>09B02</v>
      </c>
      <c r="C225" s="153" t="str">
        <f>Services!C225</f>
        <v xml:space="preserve">Protection de l'intégrité des données échangées </v>
      </c>
      <c r="D225" s="149"/>
      <c r="E225" s="149"/>
      <c r="F225" s="149"/>
      <c r="G225" s="149">
        <f>4*(8*Plans_action!E88+Plans_action!D88)</f>
        <v>0</v>
      </c>
      <c r="H225" s="149"/>
      <c r="I225" s="140" t="str">
        <f t="shared" si="130"/>
        <v/>
      </c>
      <c r="J225" s="141" t="str">
        <f t="shared" si="131"/>
        <v/>
      </c>
      <c r="K225" s="142"/>
      <c r="L225" s="142"/>
      <c r="M225" s="1708"/>
      <c r="N225" s="1708"/>
      <c r="O225" s="1708"/>
      <c r="P225" s="1708"/>
      <c r="Q225" s="1708"/>
      <c r="R225" s="1708"/>
      <c r="S225" s="1708"/>
      <c r="T225" s="1708"/>
      <c r="U225" s="1708"/>
      <c r="V225" s="1708"/>
      <c r="W225" s="1708"/>
      <c r="X225" s="1709"/>
      <c r="Y225" s="1709"/>
      <c r="Z225" s="1709"/>
      <c r="AA225" s="1709"/>
      <c r="AB225" s="1709"/>
      <c r="AC225" s="1709"/>
      <c r="AD225" s="1709"/>
      <c r="AE225" s="1709"/>
      <c r="AF225" s="1709"/>
      <c r="AG225" s="1709"/>
      <c r="AH225" s="1709"/>
      <c r="AI225" s="1709"/>
      <c r="AJ225" s="1709"/>
      <c r="AK225" s="1709"/>
      <c r="AL225" s="1709"/>
      <c r="AM225" s="1709"/>
      <c r="AN225" s="1709"/>
      <c r="AO225" s="1709"/>
      <c r="AP225" s="1709"/>
      <c r="AQ225" s="1709"/>
      <c r="AR225" s="1709"/>
      <c r="AS225" s="1709"/>
      <c r="AT225" s="1709"/>
      <c r="AU225" s="1709"/>
      <c r="AV225" s="1709"/>
      <c r="AW225" s="1709"/>
      <c r="AX225" s="1710"/>
      <c r="AY225" s="1714" t="str">
        <f t="shared" si="132"/>
        <v/>
      </c>
      <c r="AZ225" s="1714" t="str">
        <f>IF(Obj_PA!D225="","",IF(AY225="","",Obj_PA!D225-AY225))</f>
        <v/>
      </c>
      <c r="BK225" s="155" t="str">
        <f t="shared" si="133"/>
        <v/>
      </c>
      <c r="BL225" s="155" t="str">
        <f t="shared" si="134"/>
        <v/>
      </c>
      <c r="BM225" s="155" t="str">
        <f t="shared" si="135"/>
        <v/>
      </c>
      <c r="BN225" s="155" t="str">
        <f t="shared" si="136"/>
        <v/>
      </c>
      <c r="BO225" s="155" t="str">
        <f t="shared" si="137"/>
        <v/>
      </c>
      <c r="BP225" s="155" t="str">
        <f t="shared" si="138"/>
        <v/>
      </c>
      <c r="BQ225" s="155" t="str">
        <f t="shared" si="139"/>
        <v/>
      </c>
      <c r="BR225" s="155" t="str">
        <f t="shared" si="140"/>
        <v/>
      </c>
      <c r="BS225" s="155" t="str">
        <f t="shared" si="141"/>
        <v/>
      </c>
      <c r="BT225" s="155" t="str">
        <f t="shared" si="142"/>
        <v/>
      </c>
      <c r="BU225" s="155" t="str">
        <f t="shared" si="143"/>
        <v/>
      </c>
      <c r="BV225" s="155" t="str">
        <f t="shared" si="144"/>
        <v/>
      </c>
      <c r="BW225" s="155" t="str">
        <f t="shared" si="145"/>
        <v/>
      </c>
      <c r="BX225" s="155" t="str">
        <f t="shared" si="146"/>
        <v/>
      </c>
      <c r="BY225" s="155" t="str">
        <f t="shared" si="147"/>
        <v/>
      </c>
      <c r="BZ225" s="155" t="str">
        <f t="shared" si="148"/>
        <v/>
      </c>
      <c r="CA225" s="155" t="str">
        <f t="shared" si="149"/>
        <v/>
      </c>
      <c r="CB225" s="155" t="str">
        <f t="shared" si="150"/>
        <v/>
      </c>
      <c r="CC225" s="155" t="str">
        <f t="shared" si="151"/>
        <v/>
      </c>
      <c r="CD225" s="155" t="str">
        <f t="shared" si="152"/>
        <v/>
      </c>
      <c r="CE225" s="155" t="str">
        <f t="shared" si="153"/>
        <v/>
      </c>
      <c r="CF225" s="155" t="str">
        <f t="shared" si="154"/>
        <v/>
      </c>
      <c r="CG225" s="155" t="str">
        <f t="shared" si="155"/>
        <v/>
      </c>
      <c r="CH225" s="155" t="str">
        <f t="shared" si="156"/>
        <v/>
      </c>
      <c r="CI225" s="155" t="str">
        <f t="shared" si="157"/>
        <v/>
      </c>
      <c r="CJ225" s="155" t="str">
        <f t="shared" si="158"/>
        <v/>
      </c>
      <c r="CK225" s="155" t="str">
        <f t="shared" si="159"/>
        <v/>
      </c>
      <c r="CL225" s="155" t="str">
        <f t="shared" si="160"/>
        <v/>
      </c>
      <c r="CM225" s="155" t="str">
        <f t="shared" si="161"/>
        <v/>
      </c>
      <c r="CN225" s="155" t="str">
        <f t="shared" si="162"/>
        <v/>
      </c>
      <c r="CO225" s="155" t="str">
        <f t="shared" si="163"/>
        <v/>
      </c>
      <c r="CP225" s="155" t="str">
        <f t="shared" si="164"/>
        <v/>
      </c>
      <c r="CQ225" s="155" t="str">
        <f t="shared" si="165"/>
        <v/>
      </c>
      <c r="CR225" s="155" t="str">
        <f t="shared" si="166"/>
        <v/>
      </c>
      <c r="CS225" s="155" t="str">
        <f t="shared" si="167"/>
        <v/>
      </c>
      <c r="CT225" s="155" t="str">
        <f t="shared" si="168"/>
        <v/>
      </c>
      <c r="CU225" s="155" t="str">
        <f t="shared" si="169"/>
        <v/>
      </c>
      <c r="CV225" s="155" t="str">
        <f t="shared" si="170"/>
        <v/>
      </c>
      <c r="CW225" s="155" t="str">
        <f t="shared" si="171"/>
        <v/>
      </c>
      <c r="CX225" s="155" t="str">
        <f t="shared" si="172"/>
        <v/>
      </c>
    </row>
    <row r="226" spans="1:128" ht="15" outlineLevel="1" x14ac:dyDescent="0.2">
      <c r="A226" s="170"/>
      <c r="B226" s="157" t="str">
        <f>Services!B226</f>
        <v>09B03</v>
      </c>
      <c r="C226" s="153" t="str">
        <f>Services!C226</f>
        <v>Contrôle de la saisie des données</v>
      </c>
      <c r="D226" s="149">
        <f>1*(8*Plans_action!E88+Plans_action!D88)+1*(8*Plans_action!E88+Plans_action!D88)</f>
        <v>0</v>
      </c>
      <c r="E226" s="149"/>
      <c r="F226" s="149"/>
      <c r="G226" s="149"/>
      <c r="H226" s="149"/>
      <c r="I226" s="140" t="str">
        <f t="shared" si="130"/>
        <v/>
      </c>
      <c r="J226" s="141" t="str">
        <f t="shared" si="131"/>
        <v/>
      </c>
      <c r="K226" s="142"/>
      <c r="L226" s="142"/>
      <c r="M226" s="1708"/>
      <c r="N226" s="1708"/>
      <c r="O226" s="1708"/>
      <c r="P226" s="1708"/>
      <c r="Q226" s="1708"/>
      <c r="R226" s="1708"/>
      <c r="S226" s="1708"/>
      <c r="T226" s="1708"/>
      <c r="U226" s="1708"/>
      <c r="V226" s="1708"/>
      <c r="W226" s="1708"/>
      <c r="X226" s="1709"/>
      <c r="Y226" s="1709"/>
      <c r="Z226" s="1709"/>
      <c r="AA226" s="1709"/>
      <c r="AB226" s="1709"/>
      <c r="AC226" s="1709"/>
      <c r="AD226" s="1709"/>
      <c r="AE226" s="1709"/>
      <c r="AF226" s="1709"/>
      <c r="AG226" s="1709"/>
      <c r="AH226" s="1709"/>
      <c r="AI226" s="1709"/>
      <c r="AJ226" s="1709"/>
      <c r="AK226" s="1709"/>
      <c r="AL226" s="1709"/>
      <c r="AM226" s="1709"/>
      <c r="AN226" s="1709"/>
      <c r="AO226" s="1709"/>
      <c r="AP226" s="1709"/>
      <c r="AQ226" s="1709"/>
      <c r="AR226" s="1709"/>
      <c r="AS226" s="1709"/>
      <c r="AT226" s="1709"/>
      <c r="AU226" s="1709"/>
      <c r="AV226" s="1709"/>
      <c r="AW226" s="1709"/>
      <c r="AX226" s="1710"/>
      <c r="AY226" s="1714" t="str">
        <f t="shared" si="132"/>
        <v/>
      </c>
      <c r="AZ226" s="1714" t="str">
        <f>IF(Obj_PA!D226="","",IF(AY226="","",Obj_PA!D226-AY226))</f>
        <v/>
      </c>
      <c r="BK226" s="155" t="str">
        <f t="shared" si="133"/>
        <v/>
      </c>
      <c r="BL226" s="155" t="str">
        <f t="shared" si="134"/>
        <v/>
      </c>
      <c r="BM226" s="155" t="str">
        <f t="shared" si="135"/>
        <v/>
      </c>
      <c r="BN226" s="155" t="str">
        <f t="shared" si="136"/>
        <v/>
      </c>
      <c r="BO226" s="155" t="str">
        <f t="shared" si="137"/>
        <v/>
      </c>
      <c r="BP226" s="155" t="str">
        <f t="shared" si="138"/>
        <v/>
      </c>
      <c r="BQ226" s="155" t="str">
        <f t="shared" si="139"/>
        <v/>
      </c>
      <c r="BR226" s="155" t="str">
        <f t="shared" si="140"/>
        <v/>
      </c>
      <c r="BS226" s="155" t="str">
        <f t="shared" si="141"/>
        <v/>
      </c>
      <c r="BT226" s="155" t="str">
        <f t="shared" si="142"/>
        <v/>
      </c>
      <c r="BU226" s="155" t="str">
        <f t="shared" si="143"/>
        <v/>
      </c>
      <c r="BV226" s="155" t="str">
        <f t="shared" si="144"/>
        <v/>
      </c>
      <c r="BW226" s="155" t="str">
        <f t="shared" si="145"/>
        <v/>
      </c>
      <c r="BX226" s="155" t="str">
        <f t="shared" si="146"/>
        <v/>
      </c>
      <c r="BY226" s="155" t="str">
        <f t="shared" si="147"/>
        <v/>
      </c>
      <c r="BZ226" s="155" t="str">
        <f t="shared" si="148"/>
        <v/>
      </c>
      <c r="CA226" s="155" t="str">
        <f t="shared" si="149"/>
        <v/>
      </c>
      <c r="CB226" s="155" t="str">
        <f t="shared" si="150"/>
        <v/>
      </c>
      <c r="CC226" s="155" t="str">
        <f t="shared" si="151"/>
        <v/>
      </c>
      <c r="CD226" s="155" t="str">
        <f t="shared" si="152"/>
        <v/>
      </c>
      <c r="CE226" s="155" t="str">
        <f t="shared" si="153"/>
        <v/>
      </c>
      <c r="CF226" s="155" t="str">
        <f t="shared" si="154"/>
        <v/>
      </c>
      <c r="CG226" s="155" t="str">
        <f t="shared" si="155"/>
        <v/>
      </c>
      <c r="CH226" s="155" t="str">
        <f t="shared" si="156"/>
        <v/>
      </c>
      <c r="CI226" s="155" t="str">
        <f t="shared" si="157"/>
        <v/>
      </c>
      <c r="CJ226" s="155" t="str">
        <f t="shared" si="158"/>
        <v/>
      </c>
      <c r="CK226" s="155" t="str">
        <f t="shared" si="159"/>
        <v/>
      </c>
      <c r="CL226" s="155" t="str">
        <f t="shared" si="160"/>
        <v/>
      </c>
      <c r="CM226" s="155" t="str">
        <f t="shared" si="161"/>
        <v/>
      </c>
      <c r="CN226" s="155" t="str">
        <f t="shared" si="162"/>
        <v/>
      </c>
      <c r="CO226" s="155" t="str">
        <f t="shared" si="163"/>
        <v/>
      </c>
      <c r="CP226" s="155" t="str">
        <f t="shared" si="164"/>
        <v/>
      </c>
      <c r="CQ226" s="155" t="str">
        <f t="shared" si="165"/>
        <v/>
      </c>
      <c r="CR226" s="155" t="str">
        <f t="shared" si="166"/>
        <v/>
      </c>
      <c r="CS226" s="155" t="str">
        <f t="shared" si="167"/>
        <v/>
      </c>
      <c r="CT226" s="155" t="str">
        <f t="shared" si="168"/>
        <v/>
      </c>
      <c r="CU226" s="155" t="str">
        <f t="shared" si="169"/>
        <v/>
      </c>
      <c r="CV226" s="155" t="str">
        <f t="shared" si="170"/>
        <v/>
      </c>
      <c r="CW226" s="155" t="str">
        <f t="shared" si="171"/>
        <v/>
      </c>
      <c r="CX226" s="155" t="str">
        <f t="shared" si="172"/>
        <v/>
      </c>
    </row>
    <row r="227" spans="1:128" ht="15" outlineLevel="1" x14ac:dyDescent="0.2">
      <c r="A227" s="170"/>
      <c r="B227" s="157" t="str">
        <f>Services!B227</f>
        <v>09B04</v>
      </c>
      <c r="C227" s="153" t="str">
        <f>Services!C227</f>
        <v>Contrôles permanents  (vraisemblance, ...) sur les données</v>
      </c>
      <c r="D227" s="149"/>
      <c r="E227" s="149"/>
      <c r="F227" s="149">
        <f>3*(8*Plans_action!E273+Plans_action!D273)+3*(8*Plans_action!E290+Plans_action!D290)</f>
        <v>0</v>
      </c>
      <c r="G227" s="149"/>
      <c r="H227" s="149">
        <f>5*(8*Plans_action!E63+Plans_action!D63)+5*(8*Plans_action!E88+Plans_action!D88)+5*(8*Plans_action!E113+Plans_action!D113)</f>
        <v>0</v>
      </c>
      <c r="I227" s="140" t="str">
        <f t="shared" si="130"/>
        <v/>
      </c>
      <c r="J227" s="141" t="str">
        <f t="shared" si="131"/>
        <v/>
      </c>
      <c r="K227" s="142"/>
      <c r="L227" s="142"/>
      <c r="M227" s="1708"/>
      <c r="N227" s="1708"/>
      <c r="O227" s="1708"/>
      <c r="P227" s="1708"/>
      <c r="Q227" s="1708"/>
      <c r="R227" s="1708"/>
      <c r="S227" s="1708"/>
      <c r="T227" s="1708"/>
      <c r="U227" s="1708"/>
      <c r="V227" s="1708"/>
      <c r="W227" s="1708"/>
      <c r="X227" s="1709"/>
      <c r="Y227" s="1709"/>
      <c r="Z227" s="1709"/>
      <c r="AA227" s="1709"/>
      <c r="AB227" s="1709"/>
      <c r="AC227" s="1709"/>
      <c r="AD227" s="1709"/>
      <c r="AE227" s="1709"/>
      <c r="AF227" s="1709"/>
      <c r="AG227" s="1709"/>
      <c r="AH227" s="1709"/>
      <c r="AI227" s="1709"/>
      <c r="AJ227" s="1709"/>
      <c r="AK227" s="1709"/>
      <c r="AL227" s="1709"/>
      <c r="AM227" s="1709"/>
      <c r="AN227" s="1709"/>
      <c r="AO227" s="1709"/>
      <c r="AP227" s="1709"/>
      <c r="AQ227" s="1709"/>
      <c r="AR227" s="1709"/>
      <c r="AS227" s="1709"/>
      <c r="AT227" s="1709"/>
      <c r="AU227" s="1709"/>
      <c r="AV227" s="1709"/>
      <c r="AW227" s="1709"/>
      <c r="AX227" s="1710"/>
      <c r="AY227" s="1714" t="str">
        <f t="shared" si="132"/>
        <v/>
      </c>
      <c r="AZ227" s="1714" t="str">
        <f>IF(Obj_PA!D227="","",IF(AY227="","",Obj_PA!D227-AY227))</f>
        <v/>
      </c>
      <c r="BK227" s="155" t="str">
        <f t="shared" si="133"/>
        <v/>
      </c>
      <c r="BL227" s="155" t="str">
        <f t="shared" si="134"/>
        <v/>
      </c>
      <c r="BM227" s="155" t="str">
        <f t="shared" si="135"/>
        <v/>
      </c>
      <c r="BN227" s="155" t="str">
        <f t="shared" si="136"/>
        <v/>
      </c>
      <c r="BO227" s="155" t="str">
        <f t="shared" si="137"/>
        <v/>
      </c>
      <c r="BP227" s="155" t="str">
        <f t="shared" si="138"/>
        <v/>
      </c>
      <c r="BQ227" s="155" t="str">
        <f t="shared" si="139"/>
        <v/>
      </c>
      <c r="BR227" s="155" t="str">
        <f t="shared" si="140"/>
        <v/>
      </c>
      <c r="BS227" s="155" t="str">
        <f t="shared" si="141"/>
        <v/>
      </c>
      <c r="BT227" s="155" t="str">
        <f t="shared" si="142"/>
        <v/>
      </c>
      <c r="BU227" s="155" t="str">
        <f t="shared" si="143"/>
        <v/>
      </c>
      <c r="BV227" s="155" t="str">
        <f t="shared" si="144"/>
        <v/>
      </c>
      <c r="BW227" s="155" t="str">
        <f t="shared" si="145"/>
        <v/>
      </c>
      <c r="BX227" s="155" t="str">
        <f t="shared" si="146"/>
        <v/>
      </c>
      <c r="BY227" s="155" t="str">
        <f t="shared" si="147"/>
        <v/>
      </c>
      <c r="BZ227" s="155" t="str">
        <f t="shared" si="148"/>
        <v/>
      </c>
      <c r="CA227" s="155" t="str">
        <f t="shared" si="149"/>
        <v/>
      </c>
      <c r="CB227" s="155" t="str">
        <f t="shared" si="150"/>
        <v/>
      </c>
      <c r="CC227" s="155" t="str">
        <f t="shared" si="151"/>
        <v/>
      </c>
      <c r="CD227" s="155" t="str">
        <f t="shared" si="152"/>
        <v/>
      </c>
      <c r="CE227" s="155" t="str">
        <f t="shared" si="153"/>
        <v/>
      </c>
      <c r="CF227" s="155" t="str">
        <f t="shared" si="154"/>
        <v/>
      </c>
      <c r="CG227" s="155" t="str">
        <f t="shared" si="155"/>
        <v/>
      </c>
      <c r="CH227" s="155" t="str">
        <f t="shared" si="156"/>
        <v/>
      </c>
      <c r="CI227" s="155" t="str">
        <f t="shared" si="157"/>
        <v/>
      </c>
      <c r="CJ227" s="155" t="str">
        <f t="shared" si="158"/>
        <v/>
      </c>
      <c r="CK227" s="155" t="str">
        <f t="shared" si="159"/>
        <v/>
      </c>
      <c r="CL227" s="155" t="str">
        <f t="shared" si="160"/>
        <v/>
      </c>
      <c r="CM227" s="155" t="str">
        <f t="shared" si="161"/>
        <v/>
      </c>
      <c r="CN227" s="155" t="str">
        <f t="shared" si="162"/>
        <v/>
      </c>
      <c r="CO227" s="155" t="str">
        <f t="shared" si="163"/>
        <v/>
      </c>
      <c r="CP227" s="155" t="str">
        <f t="shared" si="164"/>
        <v/>
      </c>
      <c r="CQ227" s="155" t="str">
        <f t="shared" si="165"/>
        <v/>
      </c>
      <c r="CR227" s="155" t="str">
        <f t="shared" si="166"/>
        <v/>
      </c>
      <c r="CS227" s="155" t="str">
        <f t="shared" si="167"/>
        <v/>
      </c>
      <c r="CT227" s="155" t="str">
        <f t="shared" si="168"/>
        <v/>
      </c>
      <c r="CU227" s="155" t="str">
        <f t="shared" si="169"/>
        <v/>
      </c>
      <c r="CV227" s="155" t="str">
        <f t="shared" si="170"/>
        <v/>
      </c>
      <c r="CW227" s="155" t="str">
        <f t="shared" si="171"/>
        <v/>
      </c>
      <c r="CX227" s="155" t="str">
        <f t="shared" si="172"/>
        <v/>
      </c>
      <c r="DX227" s="145">
        <f>IF(INDEX(Tab_actions,104,1)=1,INDEX(Tab_actions,104,4),0)</f>
        <v>0</v>
      </c>
    </row>
    <row r="228" spans="1:128" s="151" customFormat="1" ht="14.25" outlineLevel="1" x14ac:dyDescent="0.2">
      <c r="A228" s="158"/>
      <c r="B228" s="157" t="str">
        <f>Services!B228</f>
        <v>09B05</v>
      </c>
      <c r="C228" s="153" t="str">
        <f>Services!C228</f>
        <v>Contrôles permanents  (vraisemblance, ...) sur les traitements</v>
      </c>
      <c r="D228" s="149"/>
      <c r="E228" s="149"/>
      <c r="F228" s="149">
        <f>3*(8*Plans_action!E273+Plans_action!D273)+3*(8*Plans_action!E290+Plans_action!D290)</f>
        <v>0</v>
      </c>
      <c r="G228" s="149">
        <f>4*(8*Plans_action!E113+Plans_action!D113)</f>
        <v>0</v>
      </c>
      <c r="H228" s="149">
        <f>5*(8*Plans_action!E273+Plans_action!D273)+5*(8*Plans_action!E290+Plans_action!D290)</f>
        <v>0</v>
      </c>
      <c r="I228" s="140" t="str">
        <f t="shared" si="130"/>
        <v/>
      </c>
      <c r="J228" s="141" t="str">
        <f t="shared" si="131"/>
        <v/>
      </c>
      <c r="K228" s="142"/>
      <c r="L228" s="142"/>
      <c r="M228" s="1708"/>
      <c r="N228" s="1708"/>
      <c r="O228" s="1708"/>
      <c r="P228" s="1708"/>
      <c r="Q228" s="1708"/>
      <c r="R228" s="1708"/>
      <c r="S228" s="1708"/>
      <c r="T228" s="1708"/>
      <c r="U228" s="1708"/>
      <c r="V228" s="1708"/>
      <c r="W228" s="1708"/>
      <c r="X228" s="1712"/>
      <c r="Y228" s="1712"/>
      <c r="Z228" s="1712"/>
      <c r="AA228" s="1712"/>
      <c r="AB228" s="1712"/>
      <c r="AC228" s="1712"/>
      <c r="AD228" s="1712"/>
      <c r="AE228" s="1712"/>
      <c r="AF228" s="1712"/>
      <c r="AG228" s="1712"/>
      <c r="AH228" s="1712"/>
      <c r="AI228" s="1712"/>
      <c r="AJ228" s="1712"/>
      <c r="AK228" s="1712"/>
      <c r="AL228" s="1712"/>
      <c r="AM228" s="1712"/>
      <c r="AN228" s="1712"/>
      <c r="AO228" s="1712"/>
      <c r="AP228" s="1712"/>
      <c r="AQ228" s="1712"/>
      <c r="AR228" s="1712"/>
      <c r="AS228" s="1712"/>
      <c r="AT228" s="1712"/>
      <c r="AU228" s="1712"/>
      <c r="AV228" s="1712"/>
      <c r="AW228" s="1712"/>
      <c r="AX228" s="1713"/>
      <c r="AY228" s="1714" t="str">
        <f t="shared" si="132"/>
        <v/>
      </c>
      <c r="AZ228" s="1714" t="str">
        <f>IF(Obj_PA!D228="","",IF(AY228="","",Obj_PA!D228-AY228))</f>
        <v/>
      </c>
      <c r="BA228" s="150"/>
      <c r="BB228" s="150"/>
      <c r="BC228" s="150"/>
      <c r="BD228" s="150"/>
      <c r="BE228" s="150"/>
      <c r="BF228" s="150"/>
      <c r="BG228" s="150"/>
      <c r="BH228" s="150"/>
      <c r="BI228" s="150"/>
      <c r="BJ228" s="150"/>
      <c r="BK228" s="155" t="str">
        <f t="shared" si="133"/>
        <v/>
      </c>
      <c r="BL228" s="155" t="str">
        <f t="shared" si="134"/>
        <v/>
      </c>
      <c r="BM228" s="155" t="str">
        <f t="shared" si="135"/>
        <v/>
      </c>
      <c r="BN228" s="155" t="str">
        <f t="shared" si="136"/>
        <v/>
      </c>
      <c r="BO228" s="155" t="str">
        <f t="shared" si="137"/>
        <v/>
      </c>
      <c r="BP228" s="155" t="str">
        <f t="shared" si="138"/>
        <v/>
      </c>
      <c r="BQ228" s="155" t="str">
        <f t="shared" si="139"/>
        <v/>
      </c>
      <c r="BR228" s="155" t="str">
        <f t="shared" si="140"/>
        <v/>
      </c>
      <c r="BS228" s="155" t="str">
        <f t="shared" si="141"/>
        <v/>
      </c>
      <c r="BT228" s="155" t="str">
        <f t="shared" si="142"/>
        <v/>
      </c>
      <c r="BU228" s="155" t="str">
        <f t="shared" si="143"/>
        <v/>
      </c>
      <c r="BV228" s="155" t="str">
        <f t="shared" si="144"/>
        <v/>
      </c>
      <c r="BW228" s="155" t="str">
        <f t="shared" si="145"/>
        <v/>
      </c>
      <c r="BX228" s="155" t="str">
        <f t="shared" si="146"/>
        <v/>
      </c>
      <c r="BY228" s="155" t="str">
        <f t="shared" si="147"/>
        <v/>
      </c>
      <c r="BZ228" s="155" t="str">
        <f t="shared" si="148"/>
        <v/>
      </c>
      <c r="CA228" s="155" t="str">
        <f t="shared" si="149"/>
        <v/>
      </c>
      <c r="CB228" s="155" t="str">
        <f t="shared" si="150"/>
        <v/>
      </c>
      <c r="CC228" s="155" t="str">
        <f t="shared" si="151"/>
        <v/>
      </c>
      <c r="CD228" s="155" t="str">
        <f t="shared" si="152"/>
        <v/>
      </c>
      <c r="CE228" s="155" t="str">
        <f t="shared" si="153"/>
        <v/>
      </c>
      <c r="CF228" s="155" t="str">
        <f t="shared" si="154"/>
        <v/>
      </c>
      <c r="CG228" s="155" t="str">
        <f t="shared" si="155"/>
        <v/>
      </c>
      <c r="CH228" s="155" t="str">
        <f t="shared" si="156"/>
        <v/>
      </c>
      <c r="CI228" s="155" t="str">
        <f t="shared" si="157"/>
        <v/>
      </c>
      <c r="CJ228" s="155" t="str">
        <f t="shared" si="158"/>
        <v/>
      </c>
      <c r="CK228" s="155" t="str">
        <f t="shared" si="159"/>
        <v/>
      </c>
      <c r="CL228" s="155" t="str">
        <f t="shared" si="160"/>
        <v/>
      </c>
      <c r="CM228" s="155" t="str">
        <f t="shared" si="161"/>
        <v/>
      </c>
      <c r="CN228" s="155" t="str">
        <f t="shared" si="162"/>
        <v/>
      </c>
      <c r="CO228" s="155" t="str">
        <f t="shared" si="163"/>
        <v/>
      </c>
      <c r="CP228" s="155" t="str">
        <f t="shared" si="164"/>
        <v/>
      </c>
      <c r="CQ228" s="155" t="str">
        <f t="shared" si="165"/>
        <v/>
      </c>
      <c r="CR228" s="155" t="str">
        <f t="shared" si="166"/>
        <v/>
      </c>
      <c r="CS228" s="155" t="str">
        <f t="shared" si="167"/>
        <v/>
      </c>
      <c r="CT228" s="155" t="str">
        <f t="shared" si="168"/>
        <v/>
      </c>
      <c r="CU228" s="155" t="str">
        <f t="shared" si="169"/>
        <v/>
      </c>
      <c r="CV228" s="155" t="str">
        <f t="shared" si="170"/>
        <v/>
      </c>
      <c r="CW228" s="155" t="str">
        <f t="shared" si="171"/>
        <v/>
      </c>
      <c r="CX228" s="155" t="str">
        <f t="shared" si="172"/>
        <v/>
      </c>
      <c r="DV228" s="151">
        <f>IF(INDEX(Tab_actions,102,1)=1,INDEX(Tab_actions,102,4),0)</f>
        <v>0</v>
      </c>
    </row>
    <row r="229" spans="1:128" ht="15" outlineLevel="1" x14ac:dyDescent="0.2">
      <c r="A229" s="170"/>
      <c r="B229" s="147" t="str">
        <f>Services!B229</f>
        <v>09C</v>
      </c>
      <c r="C229" s="148" t="str">
        <f>Services!C229</f>
        <v>Contrôle de la confidentialité des données</v>
      </c>
      <c r="D229" s="149"/>
      <c r="E229" s="149"/>
      <c r="F229" s="149"/>
      <c r="G229" s="149"/>
      <c r="H229" s="149"/>
      <c r="I229" s="140" t="str">
        <f t="shared" si="130"/>
        <v/>
      </c>
      <c r="J229" s="141" t="str">
        <f t="shared" si="131"/>
        <v/>
      </c>
      <c r="K229" s="142"/>
      <c r="L229" s="142"/>
      <c r="M229" s="1708"/>
      <c r="N229" s="1708"/>
      <c r="O229" s="1708"/>
      <c r="P229" s="1708"/>
      <c r="Q229" s="1708"/>
      <c r="R229" s="1708"/>
      <c r="S229" s="1708"/>
      <c r="T229" s="1708"/>
      <c r="U229" s="1708"/>
      <c r="V229" s="1708"/>
      <c r="W229" s="1708"/>
      <c r="X229" s="1709"/>
      <c r="Y229" s="1709"/>
      <c r="Z229" s="1709"/>
      <c r="AA229" s="1709"/>
      <c r="AB229" s="1709"/>
      <c r="AC229" s="1709"/>
      <c r="AD229" s="1709"/>
      <c r="AE229" s="1709"/>
      <c r="AF229" s="1709"/>
      <c r="AG229" s="1709"/>
      <c r="AH229" s="1709"/>
      <c r="AI229" s="1709"/>
      <c r="AJ229" s="1709"/>
      <c r="AK229" s="1709"/>
      <c r="AL229" s="1709"/>
      <c r="AM229" s="1709"/>
      <c r="AN229" s="1709"/>
      <c r="AO229" s="1709"/>
      <c r="AP229" s="1709"/>
      <c r="AQ229" s="1709"/>
      <c r="AR229" s="1709"/>
      <c r="AS229" s="1709"/>
      <c r="AT229" s="1709"/>
      <c r="AU229" s="1709"/>
      <c r="AV229" s="1709"/>
      <c r="AW229" s="1709"/>
      <c r="AX229" s="1710"/>
      <c r="AY229" s="1714" t="str">
        <f t="shared" si="132"/>
        <v/>
      </c>
      <c r="AZ229" s="1714" t="str">
        <f>IF(Obj_PA!D229="","",IF(AY229="","",Obj_PA!D229-AY229))</f>
        <v/>
      </c>
      <c r="BK229" s="155" t="str">
        <f t="shared" si="133"/>
        <v/>
      </c>
      <c r="BL229" s="155" t="str">
        <f t="shared" si="134"/>
        <v/>
      </c>
      <c r="BM229" s="155" t="str">
        <f t="shared" si="135"/>
        <v/>
      </c>
      <c r="BN229" s="155" t="str">
        <f t="shared" si="136"/>
        <v/>
      </c>
      <c r="BO229" s="155" t="str">
        <f t="shared" si="137"/>
        <v/>
      </c>
      <c r="BP229" s="155" t="str">
        <f t="shared" si="138"/>
        <v/>
      </c>
      <c r="BQ229" s="155" t="str">
        <f t="shared" si="139"/>
        <v/>
      </c>
      <c r="BR229" s="155" t="str">
        <f t="shared" si="140"/>
        <v/>
      </c>
      <c r="BS229" s="155" t="str">
        <f t="shared" si="141"/>
        <v/>
      </c>
      <c r="BT229" s="155" t="str">
        <f t="shared" si="142"/>
        <v/>
      </c>
      <c r="BU229" s="155" t="str">
        <f t="shared" si="143"/>
        <v/>
      </c>
      <c r="BV229" s="155" t="str">
        <f t="shared" si="144"/>
        <v/>
      </c>
      <c r="BW229" s="155" t="str">
        <f t="shared" si="145"/>
        <v/>
      </c>
      <c r="BX229" s="155" t="str">
        <f t="shared" si="146"/>
        <v/>
      </c>
      <c r="BY229" s="155" t="str">
        <f t="shared" si="147"/>
        <v/>
      </c>
      <c r="BZ229" s="155" t="str">
        <f t="shared" si="148"/>
        <v/>
      </c>
      <c r="CA229" s="155" t="str">
        <f t="shared" si="149"/>
        <v/>
      </c>
      <c r="CB229" s="155" t="str">
        <f t="shared" si="150"/>
        <v/>
      </c>
      <c r="CC229" s="155" t="str">
        <f t="shared" si="151"/>
        <v/>
      </c>
      <c r="CD229" s="155" t="str">
        <f t="shared" si="152"/>
        <v/>
      </c>
      <c r="CE229" s="155" t="str">
        <f t="shared" si="153"/>
        <v/>
      </c>
      <c r="CF229" s="155" t="str">
        <f t="shared" si="154"/>
        <v/>
      </c>
      <c r="CG229" s="155" t="str">
        <f t="shared" si="155"/>
        <v/>
      </c>
      <c r="CH229" s="155" t="str">
        <f t="shared" si="156"/>
        <v/>
      </c>
      <c r="CI229" s="155" t="str">
        <f t="shared" si="157"/>
        <v/>
      </c>
      <c r="CJ229" s="155" t="str">
        <f t="shared" si="158"/>
        <v/>
      </c>
      <c r="CK229" s="155" t="str">
        <f t="shared" si="159"/>
        <v/>
      </c>
      <c r="CL229" s="155" t="str">
        <f t="shared" si="160"/>
        <v/>
      </c>
      <c r="CM229" s="155" t="str">
        <f t="shared" si="161"/>
        <v/>
      </c>
      <c r="CN229" s="155" t="str">
        <f t="shared" si="162"/>
        <v/>
      </c>
      <c r="CO229" s="155" t="str">
        <f t="shared" si="163"/>
        <v/>
      </c>
      <c r="CP229" s="155" t="str">
        <f t="shared" si="164"/>
        <v/>
      </c>
      <c r="CQ229" s="155" t="str">
        <f t="shared" si="165"/>
        <v/>
      </c>
      <c r="CR229" s="155" t="str">
        <f t="shared" si="166"/>
        <v/>
      </c>
      <c r="CS229" s="155" t="str">
        <f t="shared" si="167"/>
        <v/>
      </c>
      <c r="CT229" s="155" t="str">
        <f t="shared" si="168"/>
        <v/>
      </c>
      <c r="CU229" s="155" t="str">
        <f t="shared" si="169"/>
        <v/>
      </c>
      <c r="CV229" s="155" t="str">
        <f t="shared" si="170"/>
        <v/>
      </c>
      <c r="CW229" s="155" t="str">
        <f t="shared" si="171"/>
        <v/>
      </c>
      <c r="CX229" s="155" t="str">
        <f t="shared" si="172"/>
        <v/>
      </c>
    </row>
    <row r="230" spans="1:128" ht="15" outlineLevel="1" x14ac:dyDescent="0.2">
      <c r="A230" s="170"/>
      <c r="B230" s="157" t="str">
        <f>Services!B230</f>
        <v>09C01</v>
      </c>
      <c r="C230" s="153" t="str">
        <f>Services!C230</f>
        <v>Chiffrement des échanges (ponctuel ou en totalité)</v>
      </c>
      <c r="D230" s="149"/>
      <c r="E230" s="149"/>
      <c r="F230" s="149">
        <f>3*(8*Plans_action!E88+Plans_action!D88)+3*(8*Plans_action!E158+Plans_action!D158)</f>
        <v>0</v>
      </c>
      <c r="G230" s="149"/>
      <c r="H230" s="149"/>
      <c r="I230" s="140" t="str">
        <f t="shared" si="130"/>
        <v/>
      </c>
      <c r="J230" s="141" t="str">
        <f t="shared" si="131"/>
        <v/>
      </c>
      <c r="K230" s="142"/>
      <c r="L230" s="142"/>
      <c r="M230" s="1708"/>
      <c r="N230" s="1708"/>
      <c r="O230" s="1708"/>
      <c r="P230" s="1708"/>
      <c r="Q230" s="1708"/>
      <c r="R230" s="1708"/>
      <c r="S230" s="1708"/>
      <c r="T230" s="1708"/>
      <c r="U230" s="1708"/>
      <c r="V230" s="1708"/>
      <c r="W230" s="1708"/>
      <c r="X230" s="1709"/>
      <c r="Y230" s="1709"/>
      <c r="Z230" s="1709"/>
      <c r="AA230" s="1709"/>
      <c r="AB230" s="1709"/>
      <c r="AC230" s="1709"/>
      <c r="AD230" s="1709"/>
      <c r="AE230" s="1709"/>
      <c r="AF230" s="1709"/>
      <c r="AG230" s="1709"/>
      <c r="AH230" s="1709"/>
      <c r="AI230" s="1709"/>
      <c r="AJ230" s="1709"/>
      <c r="AK230" s="1709"/>
      <c r="AL230" s="1709"/>
      <c r="AM230" s="1709"/>
      <c r="AN230" s="1709"/>
      <c r="AO230" s="1709"/>
      <c r="AP230" s="1709"/>
      <c r="AQ230" s="1709"/>
      <c r="AR230" s="1709"/>
      <c r="AS230" s="1709"/>
      <c r="AT230" s="1709"/>
      <c r="AU230" s="1709"/>
      <c r="AV230" s="1709"/>
      <c r="AW230" s="1709"/>
      <c r="AX230" s="1710"/>
      <c r="AY230" s="1714" t="str">
        <f t="shared" si="132"/>
        <v/>
      </c>
      <c r="AZ230" s="1714" t="str">
        <f>IF(Obj_PA!D230="","",IF(AY230="","",Obj_PA!D230-AY230))</f>
        <v/>
      </c>
      <c r="BK230" s="155" t="str">
        <f t="shared" si="133"/>
        <v/>
      </c>
      <c r="BL230" s="155" t="str">
        <f t="shared" si="134"/>
        <v/>
      </c>
      <c r="BM230" s="155" t="str">
        <f t="shared" si="135"/>
        <v/>
      </c>
      <c r="BN230" s="155" t="str">
        <f t="shared" si="136"/>
        <v/>
      </c>
      <c r="BO230" s="155" t="str">
        <f t="shared" si="137"/>
        <v/>
      </c>
      <c r="BP230" s="155" t="str">
        <f t="shared" si="138"/>
        <v/>
      </c>
      <c r="BQ230" s="155" t="str">
        <f t="shared" si="139"/>
        <v/>
      </c>
      <c r="BR230" s="155" t="str">
        <f t="shared" si="140"/>
        <v/>
      </c>
      <c r="BS230" s="155" t="str">
        <f t="shared" si="141"/>
        <v/>
      </c>
      <c r="BT230" s="155" t="str">
        <f t="shared" si="142"/>
        <v/>
      </c>
      <c r="BU230" s="155" t="str">
        <f t="shared" si="143"/>
        <v/>
      </c>
      <c r="BV230" s="155" t="str">
        <f t="shared" si="144"/>
        <v/>
      </c>
      <c r="BW230" s="155" t="str">
        <f t="shared" si="145"/>
        <v/>
      </c>
      <c r="BX230" s="155" t="str">
        <f t="shared" si="146"/>
        <v/>
      </c>
      <c r="BY230" s="155" t="str">
        <f t="shared" si="147"/>
        <v/>
      </c>
      <c r="BZ230" s="155" t="str">
        <f t="shared" si="148"/>
        <v/>
      </c>
      <c r="CA230" s="155" t="str">
        <f t="shared" si="149"/>
        <v/>
      </c>
      <c r="CB230" s="155" t="str">
        <f t="shared" si="150"/>
        <v/>
      </c>
      <c r="CC230" s="155" t="str">
        <f t="shared" si="151"/>
        <v/>
      </c>
      <c r="CD230" s="155" t="str">
        <f t="shared" si="152"/>
        <v/>
      </c>
      <c r="CE230" s="155" t="str">
        <f t="shared" si="153"/>
        <v/>
      </c>
      <c r="CF230" s="155" t="str">
        <f t="shared" si="154"/>
        <v/>
      </c>
      <c r="CG230" s="155" t="str">
        <f t="shared" si="155"/>
        <v/>
      </c>
      <c r="CH230" s="155" t="str">
        <f t="shared" si="156"/>
        <v/>
      </c>
      <c r="CI230" s="155" t="str">
        <f t="shared" si="157"/>
        <v/>
      </c>
      <c r="CJ230" s="155" t="str">
        <f t="shared" si="158"/>
        <v/>
      </c>
      <c r="CK230" s="155" t="str">
        <f t="shared" si="159"/>
        <v/>
      </c>
      <c r="CL230" s="155" t="str">
        <f t="shared" si="160"/>
        <v/>
      </c>
      <c r="CM230" s="155" t="str">
        <f t="shared" si="161"/>
        <v/>
      </c>
      <c r="CN230" s="155" t="str">
        <f t="shared" si="162"/>
        <v/>
      </c>
      <c r="CO230" s="155" t="str">
        <f t="shared" si="163"/>
        <v/>
      </c>
      <c r="CP230" s="155" t="str">
        <f t="shared" si="164"/>
        <v/>
      </c>
      <c r="CQ230" s="155" t="str">
        <f t="shared" si="165"/>
        <v/>
      </c>
      <c r="CR230" s="155" t="str">
        <f t="shared" si="166"/>
        <v/>
      </c>
      <c r="CS230" s="155" t="str">
        <f t="shared" si="167"/>
        <v/>
      </c>
      <c r="CT230" s="155" t="str">
        <f t="shared" si="168"/>
        <v/>
      </c>
      <c r="CU230" s="155" t="str">
        <f t="shared" si="169"/>
        <v/>
      </c>
      <c r="CV230" s="155" t="str">
        <f t="shared" si="170"/>
        <v/>
      </c>
      <c r="CW230" s="155" t="str">
        <f t="shared" si="171"/>
        <v/>
      </c>
      <c r="CX230" s="155" t="str">
        <f t="shared" si="172"/>
        <v/>
      </c>
    </row>
    <row r="231" spans="1:128" ht="15" outlineLevel="1" x14ac:dyDescent="0.2">
      <c r="A231" s="170"/>
      <c r="B231" s="157" t="str">
        <f>Services!B231</f>
        <v>09C02</v>
      </c>
      <c r="C231" s="153" t="str">
        <f>Services!C231</f>
        <v>Chiffrement des données stockées</v>
      </c>
      <c r="D231" s="149"/>
      <c r="E231" s="149">
        <f>2*(8*Plans_action!E5+Plans_action!D5)+2*(8*Plans_action!E63+Plans_action!D63)+2*(8*Plans_action!E113+Plans_action!D113)</f>
        <v>0</v>
      </c>
      <c r="F231" s="149">
        <f>3*(8*Plans_action!E88+Plans_action!D88)</f>
        <v>0</v>
      </c>
      <c r="G231" s="149">
        <f>4*(8*Plans_action!E122+Plans_action!D122)</f>
        <v>0</v>
      </c>
      <c r="H231" s="149">
        <f>5*(8*Plans_action!E183+Plans_action!D183)</f>
        <v>0</v>
      </c>
      <c r="I231" s="140" t="str">
        <f t="shared" si="130"/>
        <v/>
      </c>
      <c r="J231" s="141" t="str">
        <f t="shared" si="131"/>
        <v/>
      </c>
      <c r="K231" s="142"/>
      <c r="L231" s="142"/>
      <c r="M231" s="1708"/>
      <c r="N231" s="1708"/>
      <c r="O231" s="1708"/>
      <c r="P231" s="1708"/>
      <c r="Q231" s="1708"/>
      <c r="R231" s="1708"/>
      <c r="S231" s="1708"/>
      <c r="T231" s="1708"/>
      <c r="U231" s="1708"/>
      <c r="V231" s="1708"/>
      <c r="W231" s="1708"/>
      <c r="X231" s="1709"/>
      <c r="Y231" s="1709"/>
      <c r="Z231" s="1709"/>
      <c r="AA231" s="1709"/>
      <c r="AB231" s="1709"/>
      <c r="AC231" s="1709"/>
      <c r="AD231" s="1709"/>
      <c r="AE231" s="1709"/>
      <c r="AF231" s="1709"/>
      <c r="AG231" s="1709"/>
      <c r="AH231" s="1709"/>
      <c r="AI231" s="1709"/>
      <c r="AJ231" s="1709"/>
      <c r="AK231" s="1709"/>
      <c r="AL231" s="1709"/>
      <c r="AM231" s="1709"/>
      <c r="AN231" s="1709"/>
      <c r="AO231" s="1709"/>
      <c r="AP231" s="1709"/>
      <c r="AQ231" s="1709"/>
      <c r="AR231" s="1709"/>
      <c r="AS231" s="1709"/>
      <c r="AT231" s="1709"/>
      <c r="AU231" s="1709"/>
      <c r="AV231" s="1709"/>
      <c r="AW231" s="1709"/>
      <c r="AX231" s="1710"/>
      <c r="AY231" s="1714" t="str">
        <f t="shared" si="132"/>
        <v/>
      </c>
      <c r="AZ231" s="1714" t="str">
        <f>IF(Obj_PA!D231="","",IF(AY231="","",Obj_PA!D231-AY231))</f>
        <v/>
      </c>
      <c r="BK231" s="155" t="str">
        <f t="shared" si="133"/>
        <v/>
      </c>
      <c r="BL231" s="155" t="str">
        <f t="shared" si="134"/>
        <v/>
      </c>
      <c r="BM231" s="155" t="str">
        <f t="shared" si="135"/>
        <v/>
      </c>
      <c r="BN231" s="155" t="str">
        <f t="shared" si="136"/>
        <v/>
      </c>
      <c r="BO231" s="155" t="str">
        <f t="shared" si="137"/>
        <v/>
      </c>
      <c r="BP231" s="155" t="str">
        <f t="shared" si="138"/>
        <v/>
      </c>
      <c r="BQ231" s="155" t="str">
        <f t="shared" si="139"/>
        <v/>
      </c>
      <c r="BR231" s="155" t="str">
        <f t="shared" si="140"/>
        <v/>
      </c>
      <c r="BS231" s="155" t="str">
        <f t="shared" si="141"/>
        <v/>
      </c>
      <c r="BT231" s="155" t="str">
        <f t="shared" si="142"/>
        <v/>
      </c>
      <c r="BU231" s="155" t="str">
        <f t="shared" si="143"/>
        <v/>
      </c>
      <c r="BV231" s="155" t="str">
        <f t="shared" si="144"/>
        <v/>
      </c>
      <c r="BW231" s="155" t="str">
        <f t="shared" si="145"/>
        <v/>
      </c>
      <c r="BX231" s="155" t="str">
        <f t="shared" si="146"/>
        <v/>
      </c>
      <c r="BY231" s="155" t="str">
        <f t="shared" si="147"/>
        <v/>
      </c>
      <c r="BZ231" s="155" t="str">
        <f t="shared" si="148"/>
        <v/>
      </c>
      <c r="CA231" s="155" t="str">
        <f t="shared" si="149"/>
        <v/>
      </c>
      <c r="CB231" s="155" t="str">
        <f t="shared" si="150"/>
        <v/>
      </c>
      <c r="CC231" s="155" t="str">
        <f t="shared" si="151"/>
        <v/>
      </c>
      <c r="CD231" s="155" t="str">
        <f t="shared" si="152"/>
        <v/>
      </c>
      <c r="CE231" s="155" t="str">
        <f t="shared" si="153"/>
        <v/>
      </c>
      <c r="CF231" s="155" t="str">
        <f t="shared" si="154"/>
        <v/>
      </c>
      <c r="CG231" s="155" t="str">
        <f t="shared" si="155"/>
        <v/>
      </c>
      <c r="CH231" s="155" t="str">
        <f t="shared" si="156"/>
        <v/>
      </c>
      <c r="CI231" s="155" t="str">
        <f t="shared" si="157"/>
        <v/>
      </c>
      <c r="CJ231" s="155" t="str">
        <f t="shared" si="158"/>
        <v/>
      </c>
      <c r="CK231" s="155" t="str">
        <f t="shared" si="159"/>
        <v/>
      </c>
      <c r="CL231" s="155" t="str">
        <f t="shared" si="160"/>
        <v/>
      </c>
      <c r="CM231" s="155" t="str">
        <f t="shared" si="161"/>
        <v/>
      </c>
      <c r="CN231" s="155" t="str">
        <f t="shared" si="162"/>
        <v/>
      </c>
      <c r="CO231" s="155" t="str">
        <f t="shared" si="163"/>
        <v/>
      </c>
      <c r="CP231" s="155" t="str">
        <f t="shared" si="164"/>
        <v/>
      </c>
      <c r="CQ231" s="155" t="str">
        <f t="shared" si="165"/>
        <v/>
      </c>
      <c r="CR231" s="155" t="str">
        <f t="shared" si="166"/>
        <v/>
      </c>
      <c r="CS231" s="155" t="str">
        <f t="shared" si="167"/>
        <v/>
      </c>
      <c r="CT231" s="155" t="str">
        <f t="shared" si="168"/>
        <v/>
      </c>
      <c r="CU231" s="155" t="str">
        <f t="shared" si="169"/>
        <v/>
      </c>
      <c r="CV231" s="155" t="str">
        <f t="shared" si="170"/>
        <v/>
      </c>
      <c r="CW231" s="155" t="str">
        <f t="shared" si="171"/>
        <v/>
      </c>
      <c r="CX231" s="155" t="str">
        <f t="shared" si="172"/>
        <v/>
      </c>
    </row>
    <row r="232" spans="1:128" ht="15" outlineLevel="1" x14ac:dyDescent="0.2">
      <c r="A232" s="170"/>
      <c r="B232" s="157" t="str">
        <f>Services!B232</f>
        <v>09C03</v>
      </c>
      <c r="C232" s="153" t="str">
        <f>Services!C232</f>
        <v>Dispositif anti-rayonnement électromagnétique</v>
      </c>
      <c r="D232" s="149">
        <f>1*(8*Plans_action!E158+Plans_action!D158)</f>
        <v>0</v>
      </c>
      <c r="E232" s="149"/>
      <c r="F232" s="149"/>
      <c r="G232" s="149"/>
      <c r="H232" s="149"/>
      <c r="I232" s="140" t="str">
        <f t="shared" si="130"/>
        <v/>
      </c>
      <c r="J232" s="141" t="str">
        <f t="shared" si="131"/>
        <v/>
      </c>
      <c r="K232" s="142"/>
      <c r="L232" s="142"/>
      <c r="M232" s="1708"/>
      <c r="N232" s="1708"/>
      <c r="O232" s="1708"/>
      <c r="P232" s="1708"/>
      <c r="Q232" s="1708"/>
      <c r="R232" s="1708"/>
      <c r="S232" s="1708"/>
      <c r="T232" s="1708"/>
      <c r="U232" s="1708"/>
      <c r="V232" s="1708"/>
      <c r="W232" s="1708"/>
      <c r="X232" s="1709"/>
      <c r="Y232" s="1709"/>
      <c r="Z232" s="1709"/>
      <c r="AA232" s="1709"/>
      <c r="AB232" s="1709"/>
      <c r="AC232" s="1709"/>
      <c r="AD232" s="1709"/>
      <c r="AE232" s="1709"/>
      <c r="AF232" s="1709"/>
      <c r="AG232" s="1709"/>
      <c r="AH232" s="1709"/>
      <c r="AI232" s="1709"/>
      <c r="AJ232" s="1709"/>
      <c r="AK232" s="1709"/>
      <c r="AL232" s="1709"/>
      <c r="AM232" s="1709"/>
      <c r="AN232" s="1709"/>
      <c r="AO232" s="1709"/>
      <c r="AP232" s="1709"/>
      <c r="AQ232" s="1709"/>
      <c r="AR232" s="1709"/>
      <c r="AS232" s="1709"/>
      <c r="AT232" s="1709"/>
      <c r="AU232" s="1709"/>
      <c r="AV232" s="1709"/>
      <c r="AW232" s="1709"/>
      <c r="AX232" s="1710"/>
      <c r="AY232" s="1714" t="str">
        <f t="shared" si="132"/>
        <v/>
      </c>
      <c r="AZ232" s="1714" t="str">
        <f>IF(Obj_PA!D232="","",IF(AY232="","",Obj_PA!D232-AY232))</f>
        <v/>
      </c>
      <c r="BK232" s="155" t="str">
        <f t="shared" si="133"/>
        <v/>
      </c>
      <c r="BL232" s="155" t="str">
        <f t="shared" si="134"/>
        <v/>
      </c>
      <c r="BM232" s="155" t="str">
        <f t="shared" si="135"/>
        <v/>
      </c>
      <c r="BN232" s="155" t="str">
        <f t="shared" si="136"/>
        <v/>
      </c>
      <c r="BO232" s="155" t="str">
        <f t="shared" si="137"/>
        <v/>
      </c>
      <c r="BP232" s="155" t="str">
        <f t="shared" si="138"/>
        <v/>
      </c>
      <c r="BQ232" s="155" t="str">
        <f t="shared" si="139"/>
        <v/>
      </c>
      <c r="BR232" s="155" t="str">
        <f t="shared" si="140"/>
        <v/>
      </c>
      <c r="BS232" s="155" t="str">
        <f t="shared" si="141"/>
        <v/>
      </c>
      <c r="BT232" s="155" t="str">
        <f t="shared" si="142"/>
        <v/>
      </c>
      <c r="BU232" s="155" t="str">
        <f t="shared" si="143"/>
        <v/>
      </c>
      <c r="BV232" s="155" t="str">
        <f t="shared" si="144"/>
        <v/>
      </c>
      <c r="BW232" s="155" t="str">
        <f t="shared" si="145"/>
        <v/>
      </c>
      <c r="BX232" s="155" t="str">
        <f t="shared" si="146"/>
        <v/>
      </c>
      <c r="BY232" s="155" t="str">
        <f t="shared" si="147"/>
        <v/>
      </c>
      <c r="BZ232" s="155" t="str">
        <f t="shared" si="148"/>
        <v/>
      </c>
      <c r="CA232" s="155" t="str">
        <f t="shared" si="149"/>
        <v/>
      </c>
      <c r="CB232" s="155" t="str">
        <f t="shared" si="150"/>
        <v/>
      </c>
      <c r="CC232" s="155" t="str">
        <f t="shared" si="151"/>
        <v/>
      </c>
      <c r="CD232" s="155" t="str">
        <f t="shared" si="152"/>
        <v/>
      </c>
      <c r="CE232" s="155" t="str">
        <f t="shared" si="153"/>
        <v/>
      </c>
      <c r="CF232" s="155" t="str">
        <f t="shared" si="154"/>
        <v/>
      </c>
      <c r="CG232" s="155" t="str">
        <f t="shared" si="155"/>
        <v/>
      </c>
      <c r="CH232" s="155" t="str">
        <f t="shared" si="156"/>
        <v/>
      </c>
      <c r="CI232" s="155" t="str">
        <f t="shared" si="157"/>
        <v/>
      </c>
      <c r="CJ232" s="155" t="str">
        <f t="shared" si="158"/>
        <v/>
      </c>
      <c r="CK232" s="155" t="str">
        <f t="shared" si="159"/>
        <v/>
      </c>
      <c r="CL232" s="155" t="str">
        <f t="shared" si="160"/>
        <v/>
      </c>
      <c r="CM232" s="155" t="str">
        <f t="shared" si="161"/>
        <v/>
      </c>
      <c r="CN232" s="155" t="str">
        <f t="shared" si="162"/>
        <v/>
      </c>
      <c r="CO232" s="155" t="str">
        <f t="shared" si="163"/>
        <v/>
      </c>
      <c r="CP232" s="155" t="str">
        <f t="shared" si="164"/>
        <v/>
      </c>
      <c r="CQ232" s="155" t="str">
        <f t="shared" si="165"/>
        <v/>
      </c>
      <c r="CR232" s="155" t="str">
        <f t="shared" si="166"/>
        <v/>
      </c>
      <c r="CS232" s="155" t="str">
        <f t="shared" si="167"/>
        <v/>
      </c>
      <c r="CT232" s="155" t="str">
        <f t="shared" si="168"/>
        <v/>
      </c>
      <c r="CU232" s="155" t="str">
        <f t="shared" si="169"/>
        <v/>
      </c>
      <c r="CV232" s="155" t="str">
        <f t="shared" si="170"/>
        <v/>
      </c>
      <c r="CW232" s="155" t="str">
        <f t="shared" si="171"/>
        <v/>
      </c>
      <c r="CX232" s="155" t="str">
        <f t="shared" si="172"/>
        <v/>
      </c>
    </row>
    <row r="233" spans="1:128" ht="15" outlineLevel="1" x14ac:dyDescent="0.2">
      <c r="A233" s="170"/>
      <c r="B233" s="147" t="str">
        <f>Services!B233</f>
        <v>09D</v>
      </c>
      <c r="C233" s="148" t="str">
        <f>Services!C233</f>
        <v>Disponibilité des données</v>
      </c>
      <c r="D233" s="149"/>
      <c r="E233" s="149"/>
      <c r="F233" s="149"/>
      <c r="G233" s="149"/>
      <c r="H233" s="149"/>
      <c r="I233" s="140" t="str">
        <f t="shared" si="130"/>
        <v/>
      </c>
      <c r="J233" s="141" t="str">
        <f t="shared" si="131"/>
        <v/>
      </c>
      <c r="K233" s="142"/>
      <c r="L233" s="142"/>
      <c r="M233" s="1708"/>
      <c r="N233" s="1708"/>
      <c r="O233" s="1708"/>
      <c r="P233" s="1708"/>
      <c r="Q233" s="1708"/>
      <c r="R233" s="1708"/>
      <c r="S233" s="1708"/>
      <c r="T233" s="1708"/>
      <c r="U233" s="1708"/>
      <c r="V233" s="1708"/>
      <c r="W233" s="1708"/>
      <c r="X233" s="1709"/>
      <c r="Y233" s="1709"/>
      <c r="Z233" s="1709"/>
      <c r="AA233" s="1709"/>
      <c r="AB233" s="1709"/>
      <c r="AC233" s="1709"/>
      <c r="AD233" s="1709"/>
      <c r="AE233" s="1709"/>
      <c r="AF233" s="1709"/>
      <c r="AG233" s="1709"/>
      <c r="AH233" s="1709"/>
      <c r="AI233" s="1709"/>
      <c r="AJ233" s="1709"/>
      <c r="AK233" s="1709"/>
      <c r="AL233" s="1709"/>
      <c r="AM233" s="1709"/>
      <c r="AN233" s="1709"/>
      <c r="AO233" s="1709"/>
      <c r="AP233" s="1709"/>
      <c r="AQ233" s="1709"/>
      <c r="AR233" s="1709"/>
      <c r="AS233" s="1709"/>
      <c r="AT233" s="1709"/>
      <c r="AU233" s="1709"/>
      <c r="AV233" s="1709"/>
      <c r="AW233" s="1709"/>
      <c r="AX233" s="1710"/>
      <c r="AY233" s="1714" t="str">
        <f t="shared" si="132"/>
        <v/>
      </c>
      <c r="AZ233" s="1714" t="str">
        <f>IF(Obj_PA!D233="","",IF(AY233="","",Obj_PA!D233-AY233))</f>
        <v/>
      </c>
      <c r="BK233" s="155" t="str">
        <f t="shared" si="133"/>
        <v/>
      </c>
      <c r="BL233" s="155" t="str">
        <f t="shared" si="134"/>
        <v/>
      </c>
      <c r="BM233" s="155" t="str">
        <f t="shared" si="135"/>
        <v/>
      </c>
      <c r="BN233" s="155" t="str">
        <f t="shared" si="136"/>
        <v/>
      </c>
      <c r="BO233" s="155" t="str">
        <f t="shared" si="137"/>
        <v/>
      </c>
      <c r="BP233" s="155" t="str">
        <f t="shared" si="138"/>
        <v/>
      </c>
      <c r="BQ233" s="155" t="str">
        <f t="shared" si="139"/>
        <v/>
      </c>
      <c r="BR233" s="155" t="str">
        <f t="shared" si="140"/>
        <v/>
      </c>
      <c r="BS233" s="155" t="str">
        <f t="shared" si="141"/>
        <v/>
      </c>
      <c r="BT233" s="155" t="str">
        <f t="shared" si="142"/>
        <v/>
      </c>
      <c r="BU233" s="155" t="str">
        <f t="shared" si="143"/>
        <v/>
      </c>
      <c r="BV233" s="155" t="str">
        <f t="shared" si="144"/>
        <v/>
      </c>
      <c r="BW233" s="155" t="str">
        <f t="shared" si="145"/>
        <v/>
      </c>
      <c r="BX233" s="155" t="str">
        <f t="shared" si="146"/>
        <v/>
      </c>
      <c r="BY233" s="155" t="str">
        <f t="shared" si="147"/>
        <v/>
      </c>
      <c r="BZ233" s="155" t="str">
        <f t="shared" si="148"/>
        <v/>
      </c>
      <c r="CA233" s="155" t="str">
        <f t="shared" si="149"/>
        <v/>
      </c>
      <c r="CB233" s="155" t="str">
        <f t="shared" si="150"/>
        <v/>
      </c>
      <c r="CC233" s="155" t="str">
        <f t="shared" si="151"/>
        <v/>
      </c>
      <c r="CD233" s="155" t="str">
        <f t="shared" si="152"/>
        <v/>
      </c>
      <c r="CE233" s="155" t="str">
        <f t="shared" si="153"/>
        <v/>
      </c>
      <c r="CF233" s="155" t="str">
        <f t="shared" si="154"/>
        <v/>
      </c>
      <c r="CG233" s="155" t="str">
        <f t="shared" si="155"/>
        <v/>
      </c>
      <c r="CH233" s="155" t="str">
        <f t="shared" si="156"/>
        <v/>
      </c>
      <c r="CI233" s="155" t="str">
        <f t="shared" si="157"/>
        <v/>
      </c>
      <c r="CJ233" s="155" t="str">
        <f t="shared" si="158"/>
        <v/>
      </c>
      <c r="CK233" s="155" t="str">
        <f t="shared" si="159"/>
        <v/>
      </c>
      <c r="CL233" s="155" t="str">
        <f t="shared" si="160"/>
        <v/>
      </c>
      <c r="CM233" s="155" t="str">
        <f t="shared" si="161"/>
        <v/>
      </c>
      <c r="CN233" s="155" t="str">
        <f t="shared" si="162"/>
        <v/>
      </c>
      <c r="CO233" s="155" t="str">
        <f t="shared" si="163"/>
        <v/>
      </c>
      <c r="CP233" s="155" t="str">
        <f t="shared" si="164"/>
        <v/>
      </c>
      <c r="CQ233" s="155" t="str">
        <f t="shared" si="165"/>
        <v/>
      </c>
      <c r="CR233" s="155" t="str">
        <f t="shared" si="166"/>
        <v/>
      </c>
      <c r="CS233" s="155" t="str">
        <f t="shared" si="167"/>
        <v/>
      </c>
      <c r="CT233" s="155" t="str">
        <f t="shared" si="168"/>
        <v/>
      </c>
      <c r="CU233" s="155" t="str">
        <f t="shared" si="169"/>
        <v/>
      </c>
      <c r="CV233" s="155" t="str">
        <f t="shared" si="170"/>
        <v/>
      </c>
      <c r="CW233" s="155" t="str">
        <f t="shared" si="171"/>
        <v/>
      </c>
      <c r="CX233" s="155" t="str">
        <f t="shared" si="172"/>
        <v/>
      </c>
    </row>
    <row r="234" spans="1:128" ht="15" outlineLevel="1" x14ac:dyDescent="0.2">
      <c r="A234" s="170"/>
      <c r="B234" s="157" t="str">
        <f>Services!B234</f>
        <v>09D01</v>
      </c>
      <c r="C234" s="153" t="str">
        <f>Services!C234</f>
        <v>Enregistrements de Très Haute Sécurité (THS)</v>
      </c>
      <c r="D234" s="149">
        <f>1*(8*Plans_action!E5+Plans_action!D5)</f>
        <v>0</v>
      </c>
      <c r="E234" s="149"/>
      <c r="F234" s="149"/>
      <c r="G234" s="149"/>
      <c r="H234" s="149"/>
      <c r="I234" s="140" t="str">
        <f t="shared" si="130"/>
        <v/>
      </c>
      <c r="J234" s="141" t="str">
        <f t="shared" si="131"/>
        <v/>
      </c>
      <c r="K234" s="142"/>
      <c r="L234" s="142"/>
      <c r="M234" s="1708"/>
      <c r="N234" s="1708"/>
      <c r="O234" s="1708"/>
      <c r="P234" s="1708"/>
      <c r="Q234" s="1708"/>
      <c r="R234" s="1708"/>
      <c r="S234" s="1708"/>
      <c r="T234" s="1708"/>
      <c r="U234" s="1708"/>
      <c r="V234" s="1708"/>
      <c r="W234" s="1708"/>
      <c r="X234" s="1709"/>
      <c r="Y234" s="1709"/>
      <c r="Z234" s="1709"/>
      <c r="AA234" s="1709"/>
      <c r="AB234" s="1709"/>
      <c r="AC234" s="1709"/>
      <c r="AD234" s="1709"/>
      <c r="AE234" s="1709"/>
      <c r="AF234" s="1709"/>
      <c r="AG234" s="1709"/>
      <c r="AH234" s="1709"/>
      <c r="AI234" s="1709"/>
      <c r="AJ234" s="1709"/>
      <c r="AK234" s="1709"/>
      <c r="AL234" s="1709"/>
      <c r="AM234" s="1709"/>
      <c r="AN234" s="1709"/>
      <c r="AO234" s="1709"/>
      <c r="AP234" s="1709"/>
      <c r="AQ234" s="1709"/>
      <c r="AR234" s="1709"/>
      <c r="AS234" s="1709"/>
      <c r="AT234" s="1709"/>
      <c r="AU234" s="1709"/>
      <c r="AV234" s="1709"/>
      <c r="AW234" s="1709"/>
      <c r="AX234" s="1710"/>
      <c r="AY234" s="1714" t="str">
        <f t="shared" si="132"/>
        <v/>
      </c>
      <c r="AZ234" s="1714" t="str">
        <f>IF(Obj_PA!D234="","",IF(AY234="","",Obj_PA!D234-AY234))</f>
        <v/>
      </c>
      <c r="BK234" s="155" t="str">
        <f t="shared" si="133"/>
        <v/>
      </c>
      <c r="BL234" s="155" t="str">
        <f t="shared" si="134"/>
        <v/>
      </c>
      <c r="BM234" s="155" t="str">
        <f t="shared" si="135"/>
        <v/>
      </c>
      <c r="BN234" s="155" t="str">
        <f t="shared" si="136"/>
        <v/>
      </c>
      <c r="BO234" s="155" t="str">
        <f t="shared" si="137"/>
        <v/>
      </c>
      <c r="BP234" s="155" t="str">
        <f t="shared" si="138"/>
        <v/>
      </c>
      <c r="BQ234" s="155" t="str">
        <f t="shared" si="139"/>
        <v/>
      </c>
      <c r="BR234" s="155" t="str">
        <f t="shared" si="140"/>
        <v/>
      </c>
      <c r="BS234" s="155" t="str">
        <f t="shared" si="141"/>
        <v/>
      </c>
      <c r="BT234" s="155" t="str">
        <f t="shared" si="142"/>
        <v/>
      </c>
      <c r="BU234" s="155" t="str">
        <f t="shared" si="143"/>
        <v/>
      </c>
      <c r="BV234" s="155" t="str">
        <f t="shared" si="144"/>
        <v/>
      </c>
      <c r="BW234" s="155" t="str">
        <f t="shared" si="145"/>
        <v/>
      </c>
      <c r="BX234" s="155" t="str">
        <f t="shared" si="146"/>
        <v/>
      </c>
      <c r="BY234" s="155" t="str">
        <f t="shared" si="147"/>
        <v/>
      </c>
      <c r="BZ234" s="155" t="str">
        <f t="shared" si="148"/>
        <v/>
      </c>
      <c r="CA234" s="155" t="str">
        <f t="shared" si="149"/>
        <v/>
      </c>
      <c r="CB234" s="155" t="str">
        <f t="shared" si="150"/>
        <v/>
      </c>
      <c r="CC234" s="155" t="str">
        <f t="shared" si="151"/>
        <v/>
      </c>
      <c r="CD234" s="155" t="str">
        <f t="shared" si="152"/>
        <v/>
      </c>
      <c r="CE234" s="155" t="str">
        <f t="shared" si="153"/>
        <v/>
      </c>
      <c r="CF234" s="155" t="str">
        <f t="shared" si="154"/>
        <v/>
      </c>
      <c r="CG234" s="155" t="str">
        <f t="shared" si="155"/>
        <v/>
      </c>
      <c r="CH234" s="155" t="str">
        <f t="shared" si="156"/>
        <v/>
      </c>
      <c r="CI234" s="155" t="str">
        <f t="shared" si="157"/>
        <v/>
      </c>
      <c r="CJ234" s="155" t="str">
        <f t="shared" si="158"/>
        <v/>
      </c>
      <c r="CK234" s="155" t="str">
        <f t="shared" si="159"/>
        <v/>
      </c>
      <c r="CL234" s="155" t="str">
        <f t="shared" si="160"/>
        <v/>
      </c>
      <c r="CM234" s="155" t="str">
        <f t="shared" si="161"/>
        <v/>
      </c>
      <c r="CN234" s="155" t="str">
        <f t="shared" si="162"/>
        <v/>
      </c>
      <c r="CO234" s="155" t="str">
        <f t="shared" si="163"/>
        <v/>
      </c>
      <c r="CP234" s="155" t="str">
        <f t="shared" si="164"/>
        <v/>
      </c>
      <c r="CQ234" s="155" t="str">
        <f t="shared" si="165"/>
        <v/>
      </c>
      <c r="CR234" s="155" t="str">
        <f t="shared" si="166"/>
        <v/>
      </c>
      <c r="CS234" s="155" t="str">
        <f t="shared" si="167"/>
        <v/>
      </c>
      <c r="CT234" s="155" t="str">
        <f t="shared" si="168"/>
        <v/>
      </c>
      <c r="CU234" s="155" t="str">
        <f t="shared" si="169"/>
        <v/>
      </c>
      <c r="CV234" s="155" t="str">
        <f t="shared" si="170"/>
        <v/>
      </c>
      <c r="CW234" s="155" t="str">
        <f t="shared" si="171"/>
        <v/>
      </c>
      <c r="CX234" s="155" t="str">
        <f t="shared" si="172"/>
        <v/>
      </c>
    </row>
    <row r="235" spans="1:128" ht="15" outlineLevel="1" x14ac:dyDescent="0.2">
      <c r="A235" s="170"/>
      <c r="B235" s="157" t="str">
        <f>Services!B235</f>
        <v>09D02</v>
      </c>
      <c r="C235" s="153" t="str">
        <f>Services!C235</f>
        <v>Gestion des moyens d'accès aux données applicatives</v>
      </c>
      <c r="D235" s="149"/>
      <c r="E235" s="149"/>
      <c r="F235" s="149"/>
      <c r="G235" s="149">
        <f>4*(8*Plans_action!E53+Plans_action!D53)</f>
        <v>0</v>
      </c>
      <c r="H235" s="149">
        <f>5*(8*Plans_action!E5+Plans_action!D5)</f>
        <v>0</v>
      </c>
      <c r="I235" s="140" t="str">
        <f t="shared" si="130"/>
        <v/>
      </c>
      <c r="J235" s="141" t="str">
        <f t="shared" si="131"/>
        <v/>
      </c>
      <c r="K235" s="142"/>
      <c r="L235" s="142"/>
      <c r="M235" s="1708"/>
      <c r="N235" s="1708"/>
      <c r="O235" s="1708"/>
      <c r="P235" s="1708"/>
      <c r="Q235" s="1708"/>
      <c r="R235" s="1708"/>
      <c r="S235" s="1708"/>
      <c r="T235" s="1708"/>
      <c r="U235" s="1708"/>
      <c r="V235" s="1708"/>
      <c r="W235" s="1708"/>
      <c r="X235" s="1709"/>
      <c r="Y235" s="1709"/>
      <c r="Z235" s="1709"/>
      <c r="AA235" s="1709"/>
      <c r="AB235" s="1709"/>
      <c r="AC235" s="1709"/>
      <c r="AD235" s="1709"/>
      <c r="AE235" s="1709"/>
      <c r="AF235" s="1709"/>
      <c r="AG235" s="1709"/>
      <c r="AH235" s="1709"/>
      <c r="AI235" s="1709"/>
      <c r="AJ235" s="1709"/>
      <c r="AK235" s="1709"/>
      <c r="AL235" s="1709"/>
      <c r="AM235" s="1709"/>
      <c r="AN235" s="1709"/>
      <c r="AO235" s="1709"/>
      <c r="AP235" s="1709"/>
      <c r="AQ235" s="1709"/>
      <c r="AR235" s="1709"/>
      <c r="AS235" s="1709"/>
      <c r="AT235" s="1709"/>
      <c r="AU235" s="1709"/>
      <c r="AV235" s="1709"/>
      <c r="AW235" s="1709"/>
      <c r="AX235" s="1710"/>
      <c r="AY235" s="1714" t="str">
        <f t="shared" si="132"/>
        <v/>
      </c>
      <c r="AZ235" s="1714" t="str">
        <f>IF(Obj_PA!D235="","",IF(AY235="","",Obj_PA!D235-AY235))</f>
        <v/>
      </c>
      <c r="BK235" s="155" t="str">
        <f t="shared" si="133"/>
        <v/>
      </c>
      <c r="BL235" s="155" t="str">
        <f t="shared" si="134"/>
        <v/>
      </c>
      <c r="BM235" s="155" t="str">
        <f t="shared" si="135"/>
        <v/>
      </c>
      <c r="BN235" s="155" t="str">
        <f t="shared" si="136"/>
        <v/>
      </c>
      <c r="BO235" s="155" t="str">
        <f t="shared" si="137"/>
        <v/>
      </c>
      <c r="BP235" s="155" t="str">
        <f t="shared" si="138"/>
        <v/>
      </c>
      <c r="BQ235" s="155" t="str">
        <f t="shared" si="139"/>
        <v/>
      </c>
      <c r="BR235" s="155" t="str">
        <f t="shared" si="140"/>
        <v/>
      </c>
      <c r="BS235" s="155" t="str">
        <f t="shared" si="141"/>
        <v/>
      </c>
      <c r="BT235" s="155" t="str">
        <f t="shared" si="142"/>
        <v/>
      </c>
      <c r="BU235" s="155" t="str">
        <f t="shared" si="143"/>
        <v/>
      </c>
      <c r="BV235" s="155" t="str">
        <f t="shared" si="144"/>
        <v/>
      </c>
      <c r="BW235" s="155" t="str">
        <f t="shared" si="145"/>
        <v/>
      </c>
      <c r="BX235" s="155" t="str">
        <f t="shared" si="146"/>
        <v/>
      </c>
      <c r="BY235" s="155" t="str">
        <f t="shared" si="147"/>
        <v/>
      </c>
      <c r="BZ235" s="155" t="str">
        <f t="shared" si="148"/>
        <v/>
      </c>
      <c r="CA235" s="155" t="str">
        <f t="shared" si="149"/>
        <v/>
      </c>
      <c r="CB235" s="155" t="str">
        <f t="shared" si="150"/>
        <v/>
      </c>
      <c r="CC235" s="155" t="str">
        <f t="shared" si="151"/>
        <v/>
      </c>
      <c r="CD235" s="155" t="str">
        <f t="shared" si="152"/>
        <v/>
      </c>
      <c r="CE235" s="155" t="str">
        <f t="shared" si="153"/>
        <v/>
      </c>
      <c r="CF235" s="155" t="str">
        <f t="shared" si="154"/>
        <v/>
      </c>
      <c r="CG235" s="155" t="str">
        <f t="shared" si="155"/>
        <v/>
      </c>
      <c r="CH235" s="155" t="str">
        <f t="shared" si="156"/>
        <v/>
      </c>
      <c r="CI235" s="155" t="str">
        <f t="shared" si="157"/>
        <v/>
      </c>
      <c r="CJ235" s="155" t="str">
        <f t="shared" si="158"/>
        <v/>
      </c>
      <c r="CK235" s="155" t="str">
        <f t="shared" si="159"/>
        <v/>
      </c>
      <c r="CL235" s="155" t="str">
        <f t="shared" si="160"/>
        <v/>
      </c>
      <c r="CM235" s="155" t="str">
        <f t="shared" si="161"/>
        <v/>
      </c>
      <c r="CN235" s="155" t="str">
        <f t="shared" si="162"/>
        <v/>
      </c>
      <c r="CO235" s="155" t="str">
        <f t="shared" si="163"/>
        <v/>
      </c>
      <c r="CP235" s="155" t="str">
        <f t="shared" si="164"/>
        <v/>
      </c>
      <c r="CQ235" s="155" t="str">
        <f t="shared" si="165"/>
        <v/>
      </c>
      <c r="CR235" s="155" t="str">
        <f t="shared" si="166"/>
        <v/>
      </c>
      <c r="CS235" s="155" t="str">
        <f t="shared" si="167"/>
        <v/>
      </c>
      <c r="CT235" s="155" t="str">
        <f t="shared" si="168"/>
        <v/>
      </c>
      <c r="CU235" s="155" t="str">
        <f t="shared" si="169"/>
        <v/>
      </c>
      <c r="CV235" s="155" t="str">
        <f t="shared" si="170"/>
        <v/>
      </c>
      <c r="CW235" s="155" t="str">
        <f t="shared" si="171"/>
        <v/>
      </c>
      <c r="CX235" s="155" t="str">
        <f t="shared" si="172"/>
        <v/>
      </c>
      <c r="DX235" s="145">
        <f>IF(INDEX(Tab_actions,53,1)=1,INDEX(Tab_actions,53,4),0)</f>
        <v>0</v>
      </c>
    </row>
    <row r="236" spans="1:128" s="151" customFormat="1" ht="14.25" outlineLevel="1" x14ac:dyDescent="0.2">
      <c r="A236" s="158"/>
      <c r="B236" s="147" t="str">
        <f>Services!B236</f>
        <v>09E</v>
      </c>
      <c r="C236" s="148" t="str">
        <f>Services!C236</f>
        <v>Continuité de fonctionnement</v>
      </c>
      <c r="D236" s="149"/>
      <c r="E236" s="149"/>
      <c r="F236" s="149"/>
      <c r="G236" s="149"/>
      <c r="H236" s="149"/>
      <c r="I236" s="140" t="str">
        <f t="shared" si="130"/>
        <v/>
      </c>
      <c r="J236" s="141" t="str">
        <f t="shared" si="131"/>
        <v/>
      </c>
      <c r="K236" s="142"/>
      <c r="L236" s="142"/>
      <c r="M236" s="1708"/>
      <c r="N236" s="1708"/>
      <c r="O236" s="1708"/>
      <c r="P236" s="1708"/>
      <c r="Q236" s="1708"/>
      <c r="R236" s="1708"/>
      <c r="S236" s="1708"/>
      <c r="T236" s="1708"/>
      <c r="U236" s="1708"/>
      <c r="V236" s="1708"/>
      <c r="W236" s="1708"/>
      <c r="X236" s="1712"/>
      <c r="Y236" s="1712"/>
      <c r="Z236" s="1712"/>
      <c r="AA236" s="1712"/>
      <c r="AB236" s="1712"/>
      <c r="AC236" s="1712"/>
      <c r="AD236" s="1712"/>
      <c r="AE236" s="1712"/>
      <c r="AF236" s="1712"/>
      <c r="AG236" s="1712"/>
      <c r="AH236" s="1712"/>
      <c r="AI236" s="1712"/>
      <c r="AJ236" s="1712"/>
      <c r="AK236" s="1712"/>
      <c r="AL236" s="1712"/>
      <c r="AM236" s="1712"/>
      <c r="AN236" s="1712"/>
      <c r="AO236" s="1712"/>
      <c r="AP236" s="1712"/>
      <c r="AQ236" s="1712"/>
      <c r="AR236" s="1712"/>
      <c r="AS236" s="1712"/>
      <c r="AT236" s="1712"/>
      <c r="AU236" s="1712"/>
      <c r="AV236" s="1712"/>
      <c r="AW236" s="1712"/>
      <c r="AX236" s="1713"/>
      <c r="AY236" s="1714" t="str">
        <f t="shared" si="132"/>
        <v/>
      </c>
      <c r="AZ236" s="1714" t="str">
        <f>IF(Obj_PA!D236="","",IF(AY236="","",Obj_PA!D236-AY236))</f>
        <v/>
      </c>
      <c r="BA236" s="150"/>
      <c r="BB236" s="150"/>
      <c r="BC236" s="150"/>
      <c r="BD236" s="150"/>
      <c r="BE236" s="150"/>
      <c r="BF236" s="150"/>
      <c r="BG236" s="150"/>
      <c r="BH236" s="150"/>
      <c r="BI236" s="150"/>
      <c r="BJ236" s="150"/>
      <c r="BK236" s="155" t="str">
        <f t="shared" si="133"/>
        <v/>
      </c>
      <c r="BL236" s="155" t="str">
        <f t="shared" si="134"/>
        <v/>
      </c>
      <c r="BM236" s="155" t="str">
        <f t="shared" si="135"/>
        <v/>
      </c>
      <c r="BN236" s="155" t="str">
        <f t="shared" si="136"/>
        <v/>
      </c>
      <c r="BO236" s="155" t="str">
        <f t="shared" si="137"/>
        <v/>
      </c>
      <c r="BP236" s="155" t="str">
        <f t="shared" si="138"/>
        <v/>
      </c>
      <c r="BQ236" s="155" t="str">
        <f t="shared" si="139"/>
        <v/>
      </c>
      <c r="BR236" s="155" t="str">
        <f t="shared" si="140"/>
        <v/>
      </c>
      <c r="BS236" s="155" t="str">
        <f t="shared" si="141"/>
        <v/>
      </c>
      <c r="BT236" s="155" t="str">
        <f t="shared" si="142"/>
        <v/>
      </c>
      <c r="BU236" s="155" t="str">
        <f t="shared" si="143"/>
        <v/>
      </c>
      <c r="BV236" s="155" t="str">
        <f t="shared" si="144"/>
        <v/>
      </c>
      <c r="BW236" s="155" t="str">
        <f t="shared" si="145"/>
        <v/>
      </c>
      <c r="BX236" s="155" t="str">
        <f t="shared" si="146"/>
        <v/>
      </c>
      <c r="BY236" s="155" t="str">
        <f t="shared" si="147"/>
        <v/>
      </c>
      <c r="BZ236" s="155" t="str">
        <f t="shared" si="148"/>
        <v/>
      </c>
      <c r="CA236" s="155" t="str">
        <f t="shared" si="149"/>
        <v/>
      </c>
      <c r="CB236" s="155" t="str">
        <f t="shared" si="150"/>
        <v/>
      </c>
      <c r="CC236" s="155" t="str">
        <f t="shared" si="151"/>
        <v/>
      </c>
      <c r="CD236" s="155" t="str">
        <f t="shared" si="152"/>
        <v/>
      </c>
      <c r="CE236" s="155" t="str">
        <f t="shared" si="153"/>
        <v/>
      </c>
      <c r="CF236" s="155" t="str">
        <f t="shared" si="154"/>
        <v/>
      </c>
      <c r="CG236" s="155" t="str">
        <f t="shared" si="155"/>
        <v/>
      </c>
      <c r="CH236" s="155" t="str">
        <f t="shared" si="156"/>
        <v/>
      </c>
      <c r="CI236" s="155" t="str">
        <f t="shared" si="157"/>
        <v/>
      </c>
      <c r="CJ236" s="155" t="str">
        <f t="shared" si="158"/>
        <v/>
      </c>
      <c r="CK236" s="155" t="str">
        <f t="shared" si="159"/>
        <v/>
      </c>
      <c r="CL236" s="155" t="str">
        <f t="shared" si="160"/>
        <v/>
      </c>
      <c r="CM236" s="155" t="str">
        <f t="shared" si="161"/>
        <v/>
      </c>
      <c r="CN236" s="155" t="str">
        <f t="shared" si="162"/>
        <v/>
      </c>
      <c r="CO236" s="155" t="str">
        <f t="shared" si="163"/>
        <v/>
      </c>
      <c r="CP236" s="155" t="str">
        <f t="shared" si="164"/>
        <v/>
      </c>
      <c r="CQ236" s="155" t="str">
        <f t="shared" si="165"/>
        <v/>
      </c>
      <c r="CR236" s="155" t="str">
        <f t="shared" si="166"/>
        <v/>
      </c>
      <c r="CS236" s="155" t="str">
        <f t="shared" si="167"/>
        <v/>
      </c>
      <c r="CT236" s="155" t="str">
        <f t="shared" si="168"/>
        <v/>
      </c>
      <c r="CU236" s="155" t="str">
        <f t="shared" si="169"/>
        <v/>
      </c>
      <c r="CV236" s="155" t="str">
        <f t="shared" si="170"/>
        <v/>
      </c>
      <c r="CW236" s="155" t="str">
        <f t="shared" si="171"/>
        <v/>
      </c>
      <c r="CX236" s="155" t="str">
        <f t="shared" si="172"/>
        <v/>
      </c>
    </row>
    <row r="237" spans="1:128" s="151" customFormat="1" ht="14.25" outlineLevel="1" x14ac:dyDescent="0.2">
      <c r="A237" s="158"/>
      <c r="B237" s="157" t="str">
        <f>Services!B237</f>
        <v>09E01</v>
      </c>
      <c r="C237" s="153" t="str">
        <f>Services!C237</f>
        <v>Reconfiguration matérielle</v>
      </c>
      <c r="D237" s="149">
        <f>1*(8*Plans_action!E215+Plans_action!D215)+1*(8*Plans_action!E224+Plans_action!D224)+1*(8*Plans_action!E240+Plans_action!D240)+1*(8*Plans_action!E249+Plans_action!D249)</f>
        <v>0</v>
      </c>
      <c r="E237" s="149"/>
      <c r="F237" s="149"/>
      <c r="G237" s="149">
        <f>4*(8*Plans_action!E215+Plans_action!D215)+4*(8*Plans_action!E240+Plans_action!D240)+4*(8*Plans_action!E249+Plans_action!D249)</f>
        <v>0</v>
      </c>
      <c r="H237" s="149">
        <f>5*(8*Plans_action!E224+Plans_action!D224)</f>
        <v>0</v>
      </c>
      <c r="I237" s="140" t="str">
        <f t="shared" si="130"/>
        <v/>
      </c>
      <c r="J237" s="141" t="str">
        <f t="shared" si="131"/>
        <v/>
      </c>
      <c r="K237" s="142"/>
      <c r="L237" s="142"/>
      <c r="M237" s="1708"/>
      <c r="N237" s="1708"/>
      <c r="O237" s="1708"/>
      <c r="P237" s="1708"/>
      <c r="Q237" s="1708"/>
      <c r="R237" s="1708"/>
      <c r="S237" s="1708"/>
      <c r="T237" s="1708"/>
      <c r="U237" s="1708"/>
      <c r="V237" s="1708"/>
      <c r="W237" s="1708"/>
      <c r="X237" s="1712"/>
      <c r="Y237" s="1712"/>
      <c r="Z237" s="1712"/>
      <c r="AA237" s="1712"/>
      <c r="AB237" s="1712"/>
      <c r="AC237" s="1712"/>
      <c r="AD237" s="1712"/>
      <c r="AE237" s="1712"/>
      <c r="AF237" s="1712"/>
      <c r="AG237" s="1712"/>
      <c r="AH237" s="1712"/>
      <c r="AI237" s="1712"/>
      <c r="AJ237" s="1712"/>
      <c r="AK237" s="1712"/>
      <c r="AL237" s="1712"/>
      <c r="AM237" s="1712"/>
      <c r="AN237" s="1712"/>
      <c r="AO237" s="1712"/>
      <c r="AP237" s="1712"/>
      <c r="AQ237" s="1712"/>
      <c r="AR237" s="1712"/>
      <c r="AS237" s="1712"/>
      <c r="AT237" s="1712"/>
      <c r="AU237" s="1712"/>
      <c r="AV237" s="1712"/>
      <c r="AW237" s="1712"/>
      <c r="AX237" s="1713"/>
      <c r="AY237" s="1714" t="str">
        <f t="shared" si="132"/>
        <v/>
      </c>
      <c r="AZ237" s="1714" t="str">
        <f>IF(Obj_PA!D237="","",IF(AY237="","",Obj_PA!D237-AY237))</f>
        <v/>
      </c>
      <c r="BA237" s="150"/>
      <c r="BB237" s="150"/>
      <c r="BC237" s="150"/>
      <c r="BD237" s="150"/>
      <c r="BE237" s="150"/>
      <c r="BF237" s="150"/>
      <c r="BG237" s="150"/>
      <c r="BH237" s="150"/>
      <c r="BI237" s="150"/>
      <c r="BJ237" s="150"/>
      <c r="BK237" s="155" t="str">
        <f t="shared" si="133"/>
        <v/>
      </c>
      <c r="BL237" s="155" t="str">
        <f t="shared" si="134"/>
        <v/>
      </c>
      <c r="BM237" s="155" t="str">
        <f t="shared" si="135"/>
        <v/>
      </c>
      <c r="BN237" s="155" t="str">
        <f t="shared" si="136"/>
        <v/>
      </c>
      <c r="BO237" s="155" t="str">
        <f t="shared" si="137"/>
        <v/>
      </c>
      <c r="BP237" s="155" t="str">
        <f t="shared" si="138"/>
        <v/>
      </c>
      <c r="BQ237" s="155" t="str">
        <f t="shared" si="139"/>
        <v/>
      </c>
      <c r="BR237" s="155" t="str">
        <f t="shared" si="140"/>
        <v/>
      </c>
      <c r="BS237" s="155" t="str">
        <f t="shared" si="141"/>
        <v/>
      </c>
      <c r="BT237" s="155" t="str">
        <f t="shared" si="142"/>
        <v/>
      </c>
      <c r="BU237" s="155" t="str">
        <f t="shared" si="143"/>
        <v/>
      </c>
      <c r="BV237" s="155" t="str">
        <f t="shared" si="144"/>
        <v/>
      </c>
      <c r="BW237" s="155" t="str">
        <f t="shared" si="145"/>
        <v/>
      </c>
      <c r="BX237" s="155" t="str">
        <f t="shared" si="146"/>
        <v/>
      </c>
      <c r="BY237" s="155" t="str">
        <f t="shared" si="147"/>
        <v/>
      </c>
      <c r="BZ237" s="155" t="str">
        <f t="shared" si="148"/>
        <v/>
      </c>
      <c r="CA237" s="155" t="str">
        <f t="shared" si="149"/>
        <v/>
      </c>
      <c r="CB237" s="155" t="str">
        <f t="shared" si="150"/>
        <v/>
      </c>
      <c r="CC237" s="155" t="str">
        <f t="shared" si="151"/>
        <v/>
      </c>
      <c r="CD237" s="155" t="str">
        <f t="shared" si="152"/>
        <v/>
      </c>
      <c r="CE237" s="155" t="str">
        <f t="shared" si="153"/>
        <v/>
      </c>
      <c r="CF237" s="155" t="str">
        <f t="shared" si="154"/>
        <v/>
      </c>
      <c r="CG237" s="155" t="str">
        <f t="shared" si="155"/>
        <v/>
      </c>
      <c r="CH237" s="155" t="str">
        <f t="shared" si="156"/>
        <v/>
      </c>
      <c r="CI237" s="155" t="str">
        <f t="shared" si="157"/>
        <v/>
      </c>
      <c r="CJ237" s="155" t="str">
        <f t="shared" si="158"/>
        <v/>
      </c>
      <c r="CK237" s="155" t="str">
        <f t="shared" si="159"/>
        <v/>
      </c>
      <c r="CL237" s="155" t="str">
        <f t="shared" si="160"/>
        <v/>
      </c>
      <c r="CM237" s="155" t="str">
        <f t="shared" si="161"/>
        <v/>
      </c>
      <c r="CN237" s="155" t="str">
        <f t="shared" si="162"/>
        <v/>
      </c>
      <c r="CO237" s="155" t="str">
        <f t="shared" si="163"/>
        <v/>
      </c>
      <c r="CP237" s="155" t="str">
        <f t="shared" si="164"/>
        <v/>
      </c>
      <c r="CQ237" s="155" t="str">
        <f t="shared" si="165"/>
        <v/>
      </c>
      <c r="CR237" s="155" t="str">
        <f t="shared" si="166"/>
        <v/>
      </c>
      <c r="CS237" s="155" t="str">
        <f t="shared" si="167"/>
        <v/>
      </c>
      <c r="CT237" s="155" t="str">
        <f t="shared" si="168"/>
        <v/>
      </c>
      <c r="CU237" s="155" t="str">
        <f t="shared" si="169"/>
        <v/>
      </c>
      <c r="CV237" s="155" t="str">
        <f t="shared" si="170"/>
        <v/>
      </c>
      <c r="CW237" s="155" t="str">
        <f t="shared" si="171"/>
        <v/>
      </c>
      <c r="CX237" s="155" t="str">
        <f t="shared" si="172"/>
        <v/>
      </c>
    </row>
    <row r="238" spans="1:128" s="151" customFormat="1" ht="14.25" outlineLevel="1" x14ac:dyDescent="0.2">
      <c r="A238" s="158"/>
      <c r="B238" s="157" t="str">
        <f>Services!B238</f>
        <v>09E02</v>
      </c>
      <c r="C238" s="153" t="str">
        <f>Services!C238</f>
        <v>Plans de Continuité des processus applicatifs</v>
      </c>
      <c r="D238" s="149"/>
      <c r="E238" s="149"/>
      <c r="F238" s="149"/>
      <c r="G238" s="149">
        <f>4*(8*Plans_action!E215+Plans_action!D215)+4*(8*Plans_action!E240+Plans_action!D240)+4*(8*Plans_action!E249+Plans_action!D249)</f>
        <v>0</v>
      </c>
      <c r="H238" s="149">
        <f>5*(8*Plans_action!E224+Plans_action!D224)</f>
        <v>0</v>
      </c>
      <c r="I238" s="140" t="str">
        <f t="shared" si="130"/>
        <v/>
      </c>
      <c r="J238" s="141" t="str">
        <f t="shared" si="131"/>
        <v/>
      </c>
      <c r="K238" s="142"/>
      <c r="L238" s="142"/>
      <c r="M238" s="1708"/>
      <c r="N238" s="1708"/>
      <c r="O238" s="1708"/>
      <c r="P238" s="1708"/>
      <c r="Q238" s="1708"/>
      <c r="R238" s="1708"/>
      <c r="S238" s="1708"/>
      <c r="T238" s="1708"/>
      <c r="U238" s="1708"/>
      <c r="V238" s="1708"/>
      <c r="W238" s="1708"/>
      <c r="X238" s="1712"/>
      <c r="Y238" s="1712"/>
      <c r="Z238" s="1712"/>
      <c r="AA238" s="1712"/>
      <c r="AB238" s="1712"/>
      <c r="AC238" s="1712"/>
      <c r="AD238" s="1712"/>
      <c r="AE238" s="1712"/>
      <c r="AF238" s="1712"/>
      <c r="AG238" s="1712"/>
      <c r="AH238" s="1712"/>
      <c r="AI238" s="1712"/>
      <c r="AJ238" s="1712"/>
      <c r="AK238" s="1712"/>
      <c r="AL238" s="1712"/>
      <c r="AM238" s="1712"/>
      <c r="AN238" s="1712"/>
      <c r="AO238" s="1712"/>
      <c r="AP238" s="1712"/>
      <c r="AQ238" s="1712"/>
      <c r="AR238" s="1712"/>
      <c r="AS238" s="1712"/>
      <c r="AT238" s="1712"/>
      <c r="AU238" s="1712"/>
      <c r="AV238" s="1712"/>
      <c r="AW238" s="1712"/>
      <c r="AX238" s="1713"/>
      <c r="AY238" s="1714" t="str">
        <f t="shared" si="132"/>
        <v/>
      </c>
      <c r="AZ238" s="1714" t="str">
        <f>IF(Obj_PA!D238="","",IF(AY238="","",Obj_PA!D238-AY238))</f>
        <v/>
      </c>
      <c r="BA238" s="150"/>
      <c r="BB238" s="150"/>
      <c r="BC238" s="150"/>
      <c r="BD238" s="150"/>
      <c r="BE238" s="150"/>
      <c r="BF238" s="150"/>
      <c r="BG238" s="150"/>
      <c r="BH238" s="150"/>
      <c r="BI238" s="150"/>
      <c r="BJ238" s="150"/>
      <c r="BK238" s="155" t="str">
        <f t="shared" si="133"/>
        <v/>
      </c>
      <c r="BL238" s="155" t="str">
        <f t="shared" si="134"/>
        <v/>
      </c>
      <c r="BM238" s="155" t="str">
        <f t="shared" si="135"/>
        <v/>
      </c>
      <c r="BN238" s="155" t="str">
        <f t="shared" si="136"/>
        <v/>
      </c>
      <c r="BO238" s="155" t="str">
        <f t="shared" si="137"/>
        <v/>
      </c>
      <c r="BP238" s="155" t="str">
        <f t="shared" si="138"/>
        <v/>
      </c>
      <c r="BQ238" s="155" t="str">
        <f t="shared" si="139"/>
        <v/>
      </c>
      <c r="BR238" s="155" t="str">
        <f t="shared" si="140"/>
        <v/>
      </c>
      <c r="BS238" s="155" t="str">
        <f t="shared" si="141"/>
        <v/>
      </c>
      <c r="BT238" s="155" t="str">
        <f t="shared" si="142"/>
        <v/>
      </c>
      <c r="BU238" s="155" t="str">
        <f t="shared" si="143"/>
        <v/>
      </c>
      <c r="BV238" s="155" t="str">
        <f t="shared" si="144"/>
        <v/>
      </c>
      <c r="BW238" s="155" t="str">
        <f t="shared" si="145"/>
        <v/>
      </c>
      <c r="BX238" s="155" t="str">
        <f t="shared" si="146"/>
        <v/>
      </c>
      <c r="BY238" s="155" t="str">
        <f t="shared" si="147"/>
        <v/>
      </c>
      <c r="BZ238" s="155" t="str">
        <f t="shared" si="148"/>
        <v/>
      </c>
      <c r="CA238" s="155" t="str">
        <f t="shared" si="149"/>
        <v/>
      </c>
      <c r="CB238" s="155" t="str">
        <f t="shared" si="150"/>
        <v/>
      </c>
      <c r="CC238" s="155" t="str">
        <f t="shared" si="151"/>
        <v/>
      </c>
      <c r="CD238" s="155" t="str">
        <f t="shared" si="152"/>
        <v/>
      </c>
      <c r="CE238" s="155" t="str">
        <f t="shared" si="153"/>
        <v/>
      </c>
      <c r="CF238" s="155" t="str">
        <f t="shared" si="154"/>
        <v/>
      </c>
      <c r="CG238" s="155" t="str">
        <f t="shared" si="155"/>
        <v/>
      </c>
      <c r="CH238" s="155" t="str">
        <f t="shared" si="156"/>
        <v/>
      </c>
      <c r="CI238" s="155" t="str">
        <f t="shared" si="157"/>
        <v/>
      </c>
      <c r="CJ238" s="155" t="str">
        <f t="shared" si="158"/>
        <v/>
      </c>
      <c r="CK238" s="155" t="str">
        <f t="shared" si="159"/>
        <v/>
      </c>
      <c r="CL238" s="155" t="str">
        <f t="shared" si="160"/>
        <v/>
      </c>
      <c r="CM238" s="155" t="str">
        <f t="shared" si="161"/>
        <v/>
      </c>
      <c r="CN238" s="155" t="str">
        <f t="shared" si="162"/>
        <v/>
      </c>
      <c r="CO238" s="155" t="str">
        <f t="shared" si="163"/>
        <v/>
      </c>
      <c r="CP238" s="155" t="str">
        <f t="shared" si="164"/>
        <v/>
      </c>
      <c r="CQ238" s="155" t="str">
        <f t="shared" si="165"/>
        <v/>
      </c>
      <c r="CR238" s="155" t="str">
        <f t="shared" si="166"/>
        <v/>
      </c>
      <c r="CS238" s="155" t="str">
        <f t="shared" si="167"/>
        <v/>
      </c>
      <c r="CT238" s="155" t="str">
        <f t="shared" si="168"/>
        <v/>
      </c>
      <c r="CU238" s="155" t="str">
        <f t="shared" si="169"/>
        <v/>
      </c>
      <c r="CV238" s="155" t="str">
        <f t="shared" si="170"/>
        <v/>
      </c>
      <c r="CW238" s="155" t="str">
        <f t="shared" si="171"/>
        <v/>
      </c>
      <c r="CX238" s="155" t="str">
        <f t="shared" si="172"/>
        <v/>
      </c>
    </row>
    <row r="239" spans="1:128" s="151" customFormat="1" ht="25.5" outlineLevel="1" x14ac:dyDescent="0.2">
      <c r="A239" s="158"/>
      <c r="B239" s="157" t="str">
        <f>Services!B239</f>
        <v>09E03</v>
      </c>
      <c r="C239" s="153" t="str">
        <f>Services!C239</f>
        <v>Gestion des applications critiques (vis-à-vis de la permanence de la maintenance)</v>
      </c>
      <c r="D239" s="149">
        <f>1*(8*Plans_action!E224+Plans_action!D224)+1*(8*Plans_action!E249+Plans_action!D249)</f>
        <v>0</v>
      </c>
      <c r="E239" s="149">
        <f>2*(8*Plans_action!E215+Plans_action!D215)+2*(8*Plans_action!E240+Plans_action!D240)</f>
        <v>0</v>
      </c>
      <c r="F239" s="149"/>
      <c r="G239" s="149"/>
      <c r="H239" s="149"/>
      <c r="I239" s="140" t="str">
        <f t="shared" si="130"/>
        <v/>
      </c>
      <c r="J239" s="141" t="str">
        <f t="shared" si="131"/>
        <v/>
      </c>
      <c r="K239" s="142"/>
      <c r="L239" s="142"/>
      <c r="M239" s="1708"/>
      <c r="N239" s="1708"/>
      <c r="O239" s="1708"/>
      <c r="P239" s="1708"/>
      <c r="Q239" s="1708"/>
      <c r="R239" s="1708"/>
      <c r="S239" s="1708"/>
      <c r="T239" s="1708"/>
      <c r="U239" s="1708"/>
      <c r="V239" s="1708"/>
      <c r="W239" s="1708"/>
      <c r="X239" s="1712"/>
      <c r="Y239" s="1712"/>
      <c r="Z239" s="1712"/>
      <c r="AA239" s="1712"/>
      <c r="AB239" s="1712"/>
      <c r="AC239" s="1712"/>
      <c r="AD239" s="1712"/>
      <c r="AE239" s="1712"/>
      <c r="AF239" s="1712"/>
      <c r="AG239" s="1712"/>
      <c r="AH239" s="1712"/>
      <c r="AI239" s="1712"/>
      <c r="AJ239" s="1712"/>
      <c r="AK239" s="1712"/>
      <c r="AL239" s="1712"/>
      <c r="AM239" s="1712"/>
      <c r="AN239" s="1712"/>
      <c r="AO239" s="1712"/>
      <c r="AP239" s="1712"/>
      <c r="AQ239" s="1712"/>
      <c r="AR239" s="1712"/>
      <c r="AS239" s="1712"/>
      <c r="AT239" s="1712"/>
      <c r="AU239" s="1712"/>
      <c r="AV239" s="1712"/>
      <c r="AW239" s="1712"/>
      <c r="AX239" s="1713"/>
      <c r="AY239" s="1714" t="str">
        <f t="shared" si="132"/>
        <v/>
      </c>
      <c r="AZ239" s="1714" t="str">
        <f>IF(Obj_PA!D239="","",IF(AY239="","",Obj_PA!D239-AY239))</f>
        <v/>
      </c>
      <c r="BA239" s="150"/>
      <c r="BB239" s="150"/>
      <c r="BC239" s="150"/>
      <c r="BD239" s="150"/>
      <c r="BE239" s="150"/>
      <c r="BF239" s="150"/>
      <c r="BG239" s="150"/>
      <c r="BH239" s="150"/>
      <c r="BI239" s="150"/>
      <c r="BJ239" s="150"/>
      <c r="BK239" s="155" t="str">
        <f t="shared" si="133"/>
        <v/>
      </c>
      <c r="BL239" s="155" t="str">
        <f t="shared" si="134"/>
        <v/>
      </c>
      <c r="BM239" s="155" t="str">
        <f t="shared" si="135"/>
        <v/>
      </c>
      <c r="BN239" s="155" t="str">
        <f t="shared" si="136"/>
        <v/>
      </c>
      <c r="BO239" s="155" t="str">
        <f t="shared" si="137"/>
        <v/>
      </c>
      <c r="BP239" s="155" t="str">
        <f t="shared" si="138"/>
        <v/>
      </c>
      <c r="BQ239" s="155" t="str">
        <f t="shared" si="139"/>
        <v/>
      </c>
      <c r="BR239" s="155" t="str">
        <f t="shared" si="140"/>
        <v/>
      </c>
      <c r="BS239" s="155" t="str">
        <f t="shared" si="141"/>
        <v/>
      </c>
      <c r="BT239" s="155" t="str">
        <f t="shared" si="142"/>
        <v/>
      </c>
      <c r="BU239" s="155" t="str">
        <f t="shared" si="143"/>
        <v/>
      </c>
      <c r="BV239" s="155" t="str">
        <f t="shared" si="144"/>
        <v/>
      </c>
      <c r="BW239" s="155" t="str">
        <f t="shared" si="145"/>
        <v/>
      </c>
      <c r="BX239" s="155" t="str">
        <f t="shared" si="146"/>
        <v/>
      </c>
      <c r="BY239" s="155" t="str">
        <f t="shared" si="147"/>
        <v/>
      </c>
      <c r="BZ239" s="155" t="str">
        <f t="shared" si="148"/>
        <v/>
      </c>
      <c r="CA239" s="155" t="str">
        <f t="shared" si="149"/>
        <v/>
      </c>
      <c r="CB239" s="155" t="str">
        <f t="shared" si="150"/>
        <v/>
      </c>
      <c r="CC239" s="155" t="str">
        <f t="shared" si="151"/>
        <v/>
      </c>
      <c r="CD239" s="155" t="str">
        <f t="shared" si="152"/>
        <v/>
      </c>
      <c r="CE239" s="155" t="str">
        <f t="shared" si="153"/>
        <v/>
      </c>
      <c r="CF239" s="155" t="str">
        <f t="shared" si="154"/>
        <v/>
      </c>
      <c r="CG239" s="155" t="str">
        <f t="shared" si="155"/>
        <v/>
      </c>
      <c r="CH239" s="155" t="str">
        <f t="shared" si="156"/>
        <v/>
      </c>
      <c r="CI239" s="155" t="str">
        <f t="shared" si="157"/>
        <v/>
      </c>
      <c r="CJ239" s="155" t="str">
        <f t="shared" si="158"/>
        <v/>
      </c>
      <c r="CK239" s="155" t="str">
        <f t="shared" si="159"/>
        <v/>
      </c>
      <c r="CL239" s="155" t="str">
        <f t="shared" si="160"/>
        <v/>
      </c>
      <c r="CM239" s="155" t="str">
        <f t="shared" si="161"/>
        <v/>
      </c>
      <c r="CN239" s="155" t="str">
        <f t="shared" si="162"/>
        <v/>
      </c>
      <c r="CO239" s="155" t="str">
        <f t="shared" si="163"/>
        <v/>
      </c>
      <c r="CP239" s="155" t="str">
        <f t="shared" si="164"/>
        <v/>
      </c>
      <c r="CQ239" s="155" t="str">
        <f t="shared" si="165"/>
        <v/>
      </c>
      <c r="CR239" s="155" t="str">
        <f t="shared" si="166"/>
        <v/>
      </c>
      <c r="CS239" s="155" t="str">
        <f t="shared" si="167"/>
        <v/>
      </c>
      <c r="CT239" s="155" t="str">
        <f t="shared" si="168"/>
        <v/>
      </c>
      <c r="CU239" s="155" t="str">
        <f t="shared" si="169"/>
        <v/>
      </c>
      <c r="CV239" s="155" t="str">
        <f t="shared" si="170"/>
        <v/>
      </c>
      <c r="CW239" s="155" t="str">
        <f t="shared" si="171"/>
        <v/>
      </c>
      <c r="CX239" s="155" t="str">
        <f t="shared" si="172"/>
        <v/>
      </c>
    </row>
    <row r="240" spans="1:128" ht="15" outlineLevel="1" x14ac:dyDescent="0.2">
      <c r="A240" s="170"/>
      <c r="B240" s="147" t="str">
        <f>Services!B240</f>
        <v>09F</v>
      </c>
      <c r="C240" s="148" t="str">
        <f>Services!C240</f>
        <v>Contrôle de l'émission et de la réception de données</v>
      </c>
      <c r="D240" s="149"/>
      <c r="E240" s="149"/>
      <c r="F240" s="149"/>
      <c r="G240" s="149"/>
      <c r="H240" s="149"/>
      <c r="I240" s="140" t="str">
        <f t="shared" si="130"/>
        <v/>
      </c>
      <c r="J240" s="141" t="str">
        <f t="shared" si="131"/>
        <v/>
      </c>
      <c r="K240" s="142"/>
      <c r="L240" s="142"/>
      <c r="M240" s="1708"/>
      <c r="N240" s="1708"/>
      <c r="O240" s="1708"/>
      <c r="P240" s="1708"/>
      <c r="Q240" s="1708"/>
      <c r="R240" s="1708"/>
      <c r="S240" s="1708"/>
      <c r="T240" s="1708"/>
      <c r="U240" s="1708"/>
      <c r="V240" s="1708"/>
      <c r="W240" s="1708"/>
      <c r="X240" s="1709"/>
      <c r="Y240" s="1709"/>
      <c r="Z240" s="1709"/>
      <c r="AA240" s="1709"/>
      <c r="AB240" s="1709"/>
      <c r="AC240" s="1709"/>
      <c r="AD240" s="1709"/>
      <c r="AE240" s="1709"/>
      <c r="AF240" s="1709"/>
      <c r="AG240" s="1709"/>
      <c r="AH240" s="1709"/>
      <c r="AI240" s="1709"/>
      <c r="AJ240" s="1709"/>
      <c r="AK240" s="1709"/>
      <c r="AL240" s="1709"/>
      <c r="AM240" s="1709"/>
      <c r="AN240" s="1709"/>
      <c r="AO240" s="1709"/>
      <c r="AP240" s="1709"/>
      <c r="AQ240" s="1709"/>
      <c r="AR240" s="1709"/>
      <c r="AS240" s="1709"/>
      <c r="AT240" s="1709"/>
      <c r="AU240" s="1709"/>
      <c r="AV240" s="1709"/>
      <c r="AW240" s="1709"/>
      <c r="AX240" s="1710"/>
      <c r="AY240" s="1714" t="str">
        <f t="shared" si="132"/>
        <v/>
      </c>
      <c r="AZ240" s="1714" t="str">
        <f>IF(Obj_PA!D240="","",IF(AY240="","",Obj_PA!D240-AY240))</f>
        <v/>
      </c>
      <c r="BK240" s="155" t="str">
        <f t="shared" si="133"/>
        <v/>
      </c>
      <c r="BL240" s="155" t="str">
        <f t="shared" si="134"/>
        <v/>
      </c>
      <c r="BM240" s="155" t="str">
        <f t="shared" si="135"/>
        <v/>
      </c>
      <c r="BN240" s="155" t="str">
        <f t="shared" si="136"/>
        <v/>
      </c>
      <c r="BO240" s="155" t="str">
        <f t="shared" si="137"/>
        <v/>
      </c>
      <c r="BP240" s="155" t="str">
        <f t="shared" si="138"/>
        <v/>
      </c>
      <c r="BQ240" s="155" t="str">
        <f t="shared" si="139"/>
        <v/>
      </c>
      <c r="BR240" s="155" t="str">
        <f t="shared" si="140"/>
        <v/>
      </c>
      <c r="BS240" s="155" t="str">
        <f t="shared" si="141"/>
        <v/>
      </c>
      <c r="BT240" s="155" t="str">
        <f t="shared" si="142"/>
        <v/>
      </c>
      <c r="BU240" s="155" t="str">
        <f t="shared" si="143"/>
        <v/>
      </c>
      <c r="BV240" s="155" t="str">
        <f t="shared" si="144"/>
        <v/>
      </c>
      <c r="BW240" s="155" t="str">
        <f t="shared" si="145"/>
        <v/>
      </c>
      <c r="BX240" s="155" t="str">
        <f t="shared" si="146"/>
        <v/>
      </c>
      <c r="BY240" s="155" t="str">
        <f t="shared" si="147"/>
        <v/>
      </c>
      <c r="BZ240" s="155" t="str">
        <f t="shared" si="148"/>
        <v/>
      </c>
      <c r="CA240" s="155" t="str">
        <f t="shared" si="149"/>
        <v/>
      </c>
      <c r="CB240" s="155" t="str">
        <f t="shared" si="150"/>
        <v/>
      </c>
      <c r="CC240" s="155" t="str">
        <f t="shared" si="151"/>
        <v/>
      </c>
      <c r="CD240" s="155" t="str">
        <f t="shared" si="152"/>
        <v/>
      </c>
      <c r="CE240" s="155" t="str">
        <f t="shared" si="153"/>
        <v/>
      </c>
      <c r="CF240" s="155" t="str">
        <f t="shared" si="154"/>
        <v/>
      </c>
      <c r="CG240" s="155" t="str">
        <f t="shared" si="155"/>
        <v/>
      </c>
      <c r="CH240" s="155" t="str">
        <f t="shared" si="156"/>
        <v/>
      </c>
      <c r="CI240" s="155" t="str">
        <f t="shared" si="157"/>
        <v/>
      </c>
      <c r="CJ240" s="155" t="str">
        <f t="shared" si="158"/>
        <v/>
      </c>
      <c r="CK240" s="155" t="str">
        <f t="shared" si="159"/>
        <v/>
      </c>
      <c r="CL240" s="155" t="str">
        <f t="shared" si="160"/>
        <v/>
      </c>
      <c r="CM240" s="155" t="str">
        <f t="shared" si="161"/>
        <v/>
      </c>
      <c r="CN240" s="155" t="str">
        <f t="shared" si="162"/>
        <v/>
      </c>
      <c r="CO240" s="155" t="str">
        <f t="shared" si="163"/>
        <v/>
      </c>
      <c r="CP240" s="155" t="str">
        <f t="shared" si="164"/>
        <v/>
      </c>
      <c r="CQ240" s="155" t="str">
        <f t="shared" si="165"/>
        <v/>
      </c>
      <c r="CR240" s="155" t="str">
        <f t="shared" si="166"/>
        <v/>
      </c>
      <c r="CS240" s="155" t="str">
        <f t="shared" si="167"/>
        <v/>
      </c>
      <c r="CT240" s="155" t="str">
        <f t="shared" si="168"/>
        <v/>
      </c>
      <c r="CU240" s="155" t="str">
        <f t="shared" si="169"/>
        <v/>
      </c>
      <c r="CV240" s="155" t="str">
        <f t="shared" si="170"/>
        <v/>
      </c>
      <c r="CW240" s="155" t="str">
        <f t="shared" si="171"/>
        <v/>
      </c>
      <c r="CX240" s="155" t="str">
        <f t="shared" si="172"/>
        <v/>
      </c>
    </row>
    <row r="241" spans="1:128" ht="15" outlineLevel="1" x14ac:dyDescent="0.2">
      <c r="A241" s="170"/>
      <c r="B241" s="157" t="str">
        <f>Services!B241</f>
        <v>09F01</v>
      </c>
      <c r="C241" s="153" t="str">
        <f>Services!C241</f>
        <v>Garantie d'origine, signature, électronique</v>
      </c>
      <c r="D241" s="149"/>
      <c r="E241" s="149"/>
      <c r="F241" s="149"/>
      <c r="G241" s="149">
        <f>4*(8*Plans_action!E88+Plans_action!D88)</f>
        <v>0</v>
      </c>
      <c r="H241" s="149"/>
      <c r="I241" s="140" t="str">
        <f t="shared" si="130"/>
        <v/>
      </c>
      <c r="J241" s="141" t="str">
        <f t="shared" si="131"/>
        <v/>
      </c>
      <c r="K241" s="142"/>
      <c r="L241" s="142"/>
      <c r="M241" s="1708"/>
      <c r="N241" s="1708"/>
      <c r="O241" s="1708"/>
      <c r="P241" s="1708"/>
      <c r="Q241" s="1708"/>
      <c r="R241" s="1708"/>
      <c r="S241" s="1708"/>
      <c r="T241" s="1708"/>
      <c r="U241" s="1708"/>
      <c r="V241" s="1708"/>
      <c r="W241" s="1708"/>
      <c r="X241" s="1709"/>
      <c r="Y241" s="1709"/>
      <c r="Z241" s="1709"/>
      <c r="AA241" s="1709"/>
      <c r="AB241" s="1709"/>
      <c r="AC241" s="1709"/>
      <c r="AD241" s="1709"/>
      <c r="AE241" s="1709"/>
      <c r="AF241" s="1709"/>
      <c r="AG241" s="1709"/>
      <c r="AH241" s="1709"/>
      <c r="AI241" s="1709"/>
      <c r="AJ241" s="1709"/>
      <c r="AK241" s="1709"/>
      <c r="AL241" s="1709"/>
      <c r="AM241" s="1709"/>
      <c r="AN241" s="1709"/>
      <c r="AO241" s="1709"/>
      <c r="AP241" s="1709"/>
      <c r="AQ241" s="1709"/>
      <c r="AR241" s="1709"/>
      <c r="AS241" s="1709"/>
      <c r="AT241" s="1709"/>
      <c r="AU241" s="1709"/>
      <c r="AV241" s="1709"/>
      <c r="AW241" s="1709"/>
      <c r="AX241" s="1710"/>
      <c r="AY241" s="1714" t="str">
        <f t="shared" si="132"/>
        <v/>
      </c>
      <c r="AZ241" s="1714" t="str">
        <f>IF(Obj_PA!D241="","",IF(AY241="","",Obj_PA!D241-AY241))</f>
        <v/>
      </c>
      <c r="BK241" s="155" t="str">
        <f t="shared" si="133"/>
        <v/>
      </c>
      <c r="BL241" s="155" t="str">
        <f t="shared" si="134"/>
        <v/>
      </c>
      <c r="BM241" s="155" t="str">
        <f t="shared" si="135"/>
        <v/>
      </c>
      <c r="BN241" s="155" t="str">
        <f t="shared" si="136"/>
        <v/>
      </c>
      <c r="BO241" s="155" t="str">
        <f t="shared" si="137"/>
        <v/>
      </c>
      <c r="BP241" s="155" t="str">
        <f t="shared" si="138"/>
        <v/>
      </c>
      <c r="BQ241" s="155" t="str">
        <f t="shared" si="139"/>
        <v/>
      </c>
      <c r="BR241" s="155" t="str">
        <f t="shared" si="140"/>
        <v/>
      </c>
      <c r="BS241" s="155" t="str">
        <f t="shared" si="141"/>
        <v/>
      </c>
      <c r="BT241" s="155" t="str">
        <f t="shared" si="142"/>
        <v/>
      </c>
      <c r="BU241" s="155" t="str">
        <f t="shared" si="143"/>
        <v/>
      </c>
      <c r="BV241" s="155" t="str">
        <f t="shared" si="144"/>
        <v/>
      </c>
      <c r="BW241" s="155" t="str">
        <f t="shared" si="145"/>
        <v/>
      </c>
      <c r="BX241" s="155" t="str">
        <f t="shared" si="146"/>
        <v/>
      </c>
      <c r="BY241" s="155" t="str">
        <f t="shared" si="147"/>
        <v/>
      </c>
      <c r="BZ241" s="155" t="str">
        <f t="shared" si="148"/>
        <v/>
      </c>
      <c r="CA241" s="155" t="str">
        <f t="shared" si="149"/>
        <v/>
      </c>
      <c r="CB241" s="155" t="str">
        <f t="shared" si="150"/>
        <v/>
      </c>
      <c r="CC241" s="155" t="str">
        <f t="shared" si="151"/>
        <v/>
      </c>
      <c r="CD241" s="155" t="str">
        <f t="shared" si="152"/>
        <v/>
      </c>
      <c r="CE241" s="155" t="str">
        <f t="shared" si="153"/>
        <v/>
      </c>
      <c r="CF241" s="155" t="str">
        <f t="shared" si="154"/>
        <v/>
      </c>
      <c r="CG241" s="155" t="str">
        <f t="shared" si="155"/>
        <v/>
      </c>
      <c r="CH241" s="155" t="str">
        <f t="shared" si="156"/>
        <v/>
      </c>
      <c r="CI241" s="155" t="str">
        <f t="shared" si="157"/>
        <v/>
      </c>
      <c r="CJ241" s="155" t="str">
        <f t="shared" si="158"/>
        <v/>
      </c>
      <c r="CK241" s="155" t="str">
        <f t="shared" si="159"/>
        <v/>
      </c>
      <c r="CL241" s="155" t="str">
        <f t="shared" si="160"/>
        <v/>
      </c>
      <c r="CM241" s="155" t="str">
        <f t="shared" si="161"/>
        <v/>
      </c>
      <c r="CN241" s="155" t="str">
        <f t="shared" si="162"/>
        <v/>
      </c>
      <c r="CO241" s="155" t="str">
        <f t="shared" si="163"/>
        <v/>
      </c>
      <c r="CP241" s="155" t="str">
        <f t="shared" si="164"/>
        <v/>
      </c>
      <c r="CQ241" s="155" t="str">
        <f t="shared" si="165"/>
        <v/>
      </c>
      <c r="CR241" s="155" t="str">
        <f t="shared" si="166"/>
        <v/>
      </c>
      <c r="CS241" s="155" t="str">
        <f t="shared" si="167"/>
        <v/>
      </c>
      <c r="CT241" s="155" t="str">
        <f t="shared" si="168"/>
        <v/>
      </c>
      <c r="CU241" s="155" t="str">
        <f t="shared" si="169"/>
        <v/>
      </c>
      <c r="CV241" s="155" t="str">
        <f t="shared" si="170"/>
        <v/>
      </c>
      <c r="CW241" s="155" t="str">
        <f t="shared" si="171"/>
        <v/>
      </c>
      <c r="CX241" s="155" t="str">
        <f t="shared" si="172"/>
        <v/>
      </c>
    </row>
    <row r="242" spans="1:128" ht="25.5" outlineLevel="1" x14ac:dyDescent="0.2">
      <c r="A242" s="170"/>
      <c r="B242" s="157" t="str">
        <f>Services!B242</f>
        <v>09F02</v>
      </c>
      <c r="C242" s="153" t="str">
        <f>Services!C242</f>
        <v>Individualisation des messages empêchant leur duplication (numérotation, séquencement,...)</v>
      </c>
      <c r="D242" s="149"/>
      <c r="E242" s="149"/>
      <c r="F242" s="149"/>
      <c r="G242" s="149">
        <f>4*(8*Plans_action!E88+Plans_action!D88)</f>
        <v>0</v>
      </c>
      <c r="H242" s="149"/>
      <c r="I242" s="140" t="str">
        <f t="shared" si="130"/>
        <v/>
      </c>
      <c r="J242" s="141" t="str">
        <f t="shared" si="131"/>
        <v/>
      </c>
      <c r="K242" s="142"/>
      <c r="L242" s="142"/>
      <c r="M242" s="1708"/>
      <c r="N242" s="1708"/>
      <c r="O242" s="1708"/>
      <c r="P242" s="1708"/>
      <c r="Q242" s="1708"/>
      <c r="R242" s="1708"/>
      <c r="S242" s="1708"/>
      <c r="T242" s="1708"/>
      <c r="U242" s="1708"/>
      <c r="V242" s="1708"/>
      <c r="W242" s="1708"/>
      <c r="X242" s="1709"/>
      <c r="Y242" s="1709"/>
      <c r="Z242" s="1709"/>
      <c r="AA242" s="1709"/>
      <c r="AB242" s="1709"/>
      <c r="AC242" s="1709"/>
      <c r="AD242" s="1709"/>
      <c r="AE242" s="1709"/>
      <c r="AF242" s="1709"/>
      <c r="AG242" s="1709"/>
      <c r="AH242" s="1709"/>
      <c r="AI242" s="1709"/>
      <c r="AJ242" s="1709"/>
      <c r="AK242" s="1709"/>
      <c r="AL242" s="1709"/>
      <c r="AM242" s="1709"/>
      <c r="AN242" s="1709"/>
      <c r="AO242" s="1709"/>
      <c r="AP242" s="1709"/>
      <c r="AQ242" s="1709"/>
      <c r="AR242" s="1709"/>
      <c r="AS242" s="1709"/>
      <c r="AT242" s="1709"/>
      <c r="AU242" s="1709"/>
      <c r="AV242" s="1709"/>
      <c r="AW242" s="1709"/>
      <c r="AX242" s="1710"/>
      <c r="AY242" s="1714" t="str">
        <f t="shared" si="132"/>
        <v/>
      </c>
      <c r="AZ242" s="1714" t="str">
        <f>IF(Obj_PA!D242="","",IF(AY242="","",Obj_PA!D242-AY242))</f>
        <v/>
      </c>
      <c r="BK242" s="155" t="str">
        <f t="shared" si="133"/>
        <v/>
      </c>
      <c r="BL242" s="155" t="str">
        <f t="shared" si="134"/>
        <v/>
      </c>
      <c r="BM242" s="155" t="str">
        <f t="shared" si="135"/>
        <v/>
      </c>
      <c r="BN242" s="155" t="str">
        <f t="shared" si="136"/>
        <v/>
      </c>
      <c r="BO242" s="155" t="str">
        <f t="shared" si="137"/>
        <v/>
      </c>
      <c r="BP242" s="155" t="str">
        <f t="shared" si="138"/>
        <v/>
      </c>
      <c r="BQ242" s="155" t="str">
        <f t="shared" si="139"/>
        <v/>
      </c>
      <c r="BR242" s="155" t="str">
        <f t="shared" si="140"/>
        <v/>
      </c>
      <c r="BS242" s="155" t="str">
        <f t="shared" si="141"/>
        <v/>
      </c>
      <c r="BT242" s="155" t="str">
        <f t="shared" si="142"/>
        <v/>
      </c>
      <c r="BU242" s="155" t="str">
        <f t="shared" si="143"/>
        <v/>
      </c>
      <c r="BV242" s="155" t="str">
        <f t="shared" si="144"/>
        <v/>
      </c>
      <c r="BW242" s="155" t="str">
        <f t="shared" si="145"/>
        <v/>
      </c>
      <c r="BX242" s="155" t="str">
        <f t="shared" si="146"/>
        <v/>
      </c>
      <c r="BY242" s="155" t="str">
        <f t="shared" si="147"/>
        <v/>
      </c>
      <c r="BZ242" s="155" t="str">
        <f t="shared" si="148"/>
        <v/>
      </c>
      <c r="CA242" s="155" t="str">
        <f t="shared" si="149"/>
        <v/>
      </c>
      <c r="CB242" s="155" t="str">
        <f t="shared" si="150"/>
        <v/>
      </c>
      <c r="CC242" s="155" t="str">
        <f t="shared" si="151"/>
        <v/>
      </c>
      <c r="CD242" s="155" t="str">
        <f t="shared" si="152"/>
        <v/>
      </c>
      <c r="CE242" s="155" t="str">
        <f t="shared" si="153"/>
        <v/>
      </c>
      <c r="CF242" s="155" t="str">
        <f t="shared" si="154"/>
        <v/>
      </c>
      <c r="CG242" s="155" t="str">
        <f t="shared" si="155"/>
        <v/>
      </c>
      <c r="CH242" s="155" t="str">
        <f t="shared" si="156"/>
        <v/>
      </c>
      <c r="CI242" s="155" t="str">
        <f t="shared" si="157"/>
        <v/>
      </c>
      <c r="CJ242" s="155" t="str">
        <f t="shared" si="158"/>
        <v/>
      </c>
      <c r="CK242" s="155" t="str">
        <f t="shared" si="159"/>
        <v/>
      </c>
      <c r="CL242" s="155" t="str">
        <f t="shared" si="160"/>
        <v/>
      </c>
      <c r="CM242" s="155" t="str">
        <f t="shared" si="161"/>
        <v/>
      </c>
      <c r="CN242" s="155" t="str">
        <f t="shared" si="162"/>
        <v/>
      </c>
      <c r="CO242" s="155" t="str">
        <f t="shared" si="163"/>
        <v/>
      </c>
      <c r="CP242" s="155" t="str">
        <f t="shared" si="164"/>
        <v/>
      </c>
      <c r="CQ242" s="155" t="str">
        <f t="shared" si="165"/>
        <v/>
      </c>
      <c r="CR242" s="155" t="str">
        <f t="shared" si="166"/>
        <v/>
      </c>
      <c r="CS242" s="155" t="str">
        <f t="shared" si="167"/>
        <v/>
      </c>
      <c r="CT242" s="155" t="str">
        <f t="shared" si="168"/>
        <v/>
      </c>
      <c r="CU242" s="155" t="str">
        <f t="shared" si="169"/>
        <v/>
      </c>
      <c r="CV242" s="155" t="str">
        <f t="shared" si="170"/>
        <v/>
      </c>
      <c r="CW242" s="155" t="str">
        <f t="shared" si="171"/>
        <v/>
      </c>
      <c r="CX242" s="155" t="str">
        <f t="shared" si="172"/>
        <v/>
      </c>
    </row>
    <row r="243" spans="1:128" ht="15" outlineLevel="1" x14ac:dyDescent="0.2">
      <c r="A243" s="170"/>
      <c r="B243" s="157" t="str">
        <f>Services!B243</f>
        <v>09F03</v>
      </c>
      <c r="C243" s="153" t="str">
        <f>Services!C243</f>
        <v xml:space="preserve">Accusé de réception </v>
      </c>
      <c r="D243" s="149">
        <f>1*(8*Plans_action!E88+Plans_action!D88)</f>
        <v>0</v>
      </c>
      <c r="E243" s="149"/>
      <c r="F243" s="149"/>
      <c r="G243" s="149"/>
      <c r="H243" s="149">
        <f>5*(8*Plans_action!E33+Plans_action!D33)</f>
        <v>0</v>
      </c>
      <c r="I243" s="140" t="str">
        <f t="shared" si="130"/>
        <v/>
      </c>
      <c r="J243" s="141" t="str">
        <f t="shared" si="131"/>
        <v/>
      </c>
      <c r="K243" s="142"/>
      <c r="L243" s="142"/>
      <c r="M243" s="1708"/>
      <c r="N243" s="1708"/>
      <c r="O243" s="1708"/>
      <c r="P243" s="1708"/>
      <c r="Q243" s="1708"/>
      <c r="R243" s="1708"/>
      <c r="S243" s="1708"/>
      <c r="T243" s="1708"/>
      <c r="U243" s="1708"/>
      <c r="V243" s="1708"/>
      <c r="W243" s="1708"/>
      <c r="X243" s="1709"/>
      <c r="Y243" s="1709"/>
      <c r="Z243" s="1709"/>
      <c r="AA243" s="1709"/>
      <c r="AB243" s="1709"/>
      <c r="AC243" s="1709"/>
      <c r="AD243" s="1709"/>
      <c r="AE243" s="1709"/>
      <c r="AF243" s="1709"/>
      <c r="AG243" s="1709"/>
      <c r="AH243" s="1709"/>
      <c r="AI243" s="1709"/>
      <c r="AJ243" s="1709"/>
      <c r="AK243" s="1709"/>
      <c r="AL243" s="1709"/>
      <c r="AM243" s="1709"/>
      <c r="AN243" s="1709"/>
      <c r="AO243" s="1709"/>
      <c r="AP243" s="1709"/>
      <c r="AQ243" s="1709"/>
      <c r="AR243" s="1709"/>
      <c r="AS243" s="1709"/>
      <c r="AT243" s="1709"/>
      <c r="AU243" s="1709"/>
      <c r="AV243" s="1709"/>
      <c r="AW243" s="1709"/>
      <c r="AX243" s="1710"/>
      <c r="AY243" s="1714" t="str">
        <f t="shared" si="132"/>
        <v/>
      </c>
      <c r="AZ243" s="1714" t="str">
        <f>IF(Obj_PA!D243="","",IF(AY243="","",Obj_PA!D243-AY243))</f>
        <v/>
      </c>
      <c r="BK243" s="155" t="str">
        <f t="shared" si="133"/>
        <v/>
      </c>
      <c r="BL243" s="155" t="str">
        <f t="shared" si="134"/>
        <v/>
      </c>
      <c r="BM243" s="155" t="str">
        <f t="shared" si="135"/>
        <v/>
      </c>
      <c r="BN243" s="155" t="str">
        <f t="shared" si="136"/>
        <v/>
      </c>
      <c r="BO243" s="155" t="str">
        <f t="shared" si="137"/>
        <v/>
      </c>
      <c r="BP243" s="155" t="str">
        <f t="shared" si="138"/>
        <v/>
      </c>
      <c r="BQ243" s="155" t="str">
        <f t="shared" si="139"/>
        <v/>
      </c>
      <c r="BR243" s="155" t="str">
        <f t="shared" si="140"/>
        <v/>
      </c>
      <c r="BS243" s="155" t="str">
        <f t="shared" si="141"/>
        <v/>
      </c>
      <c r="BT243" s="155" t="str">
        <f t="shared" si="142"/>
        <v/>
      </c>
      <c r="BU243" s="155" t="str">
        <f t="shared" si="143"/>
        <v/>
      </c>
      <c r="BV243" s="155" t="str">
        <f t="shared" si="144"/>
        <v/>
      </c>
      <c r="BW243" s="155" t="str">
        <f t="shared" si="145"/>
        <v/>
      </c>
      <c r="BX243" s="155" t="str">
        <f t="shared" si="146"/>
        <v/>
      </c>
      <c r="BY243" s="155" t="str">
        <f t="shared" si="147"/>
        <v/>
      </c>
      <c r="BZ243" s="155" t="str">
        <f t="shared" si="148"/>
        <v/>
      </c>
      <c r="CA243" s="155" t="str">
        <f t="shared" si="149"/>
        <v/>
      </c>
      <c r="CB243" s="155" t="str">
        <f t="shared" si="150"/>
        <v/>
      </c>
      <c r="CC243" s="155" t="str">
        <f t="shared" si="151"/>
        <v/>
      </c>
      <c r="CD243" s="155" t="str">
        <f t="shared" si="152"/>
        <v/>
      </c>
      <c r="CE243" s="155" t="str">
        <f t="shared" si="153"/>
        <v/>
      </c>
      <c r="CF243" s="155" t="str">
        <f t="shared" si="154"/>
        <v/>
      </c>
      <c r="CG243" s="155" t="str">
        <f t="shared" si="155"/>
        <v/>
      </c>
      <c r="CH243" s="155" t="str">
        <f t="shared" si="156"/>
        <v/>
      </c>
      <c r="CI243" s="155" t="str">
        <f t="shared" si="157"/>
        <v/>
      </c>
      <c r="CJ243" s="155" t="str">
        <f t="shared" si="158"/>
        <v/>
      </c>
      <c r="CK243" s="155" t="str">
        <f t="shared" si="159"/>
        <v/>
      </c>
      <c r="CL243" s="155" t="str">
        <f t="shared" si="160"/>
        <v/>
      </c>
      <c r="CM243" s="155" t="str">
        <f t="shared" si="161"/>
        <v/>
      </c>
      <c r="CN243" s="155" t="str">
        <f t="shared" si="162"/>
        <v/>
      </c>
      <c r="CO243" s="155" t="str">
        <f t="shared" si="163"/>
        <v/>
      </c>
      <c r="CP243" s="155" t="str">
        <f t="shared" si="164"/>
        <v/>
      </c>
      <c r="CQ243" s="155" t="str">
        <f t="shared" si="165"/>
        <v/>
      </c>
      <c r="CR243" s="155" t="str">
        <f t="shared" si="166"/>
        <v/>
      </c>
      <c r="CS243" s="155" t="str">
        <f t="shared" si="167"/>
        <v/>
      </c>
      <c r="CT243" s="155" t="str">
        <f t="shared" si="168"/>
        <v/>
      </c>
      <c r="CU243" s="155" t="str">
        <f t="shared" si="169"/>
        <v/>
      </c>
      <c r="CV243" s="155" t="str">
        <f t="shared" si="170"/>
        <v/>
      </c>
      <c r="CW243" s="155" t="str">
        <f t="shared" si="171"/>
        <v/>
      </c>
      <c r="CX243" s="155" t="str">
        <f t="shared" si="172"/>
        <v/>
      </c>
      <c r="DX243" s="145">
        <f>IF(INDEX(Tab_actions,82,1)=1,INDEX(Tab_actions,82,4),0)</f>
        <v>0</v>
      </c>
    </row>
    <row r="244" spans="1:128" ht="15" outlineLevel="1" x14ac:dyDescent="0.2">
      <c r="A244" s="170"/>
      <c r="B244" s="147" t="str">
        <f>Services!B244</f>
        <v>09G</v>
      </c>
      <c r="C244" s="148" t="str">
        <f>Services!C244</f>
        <v>Détection et gestion des incidents et anomalies applicatifs</v>
      </c>
      <c r="D244" s="149"/>
      <c r="E244" s="149"/>
      <c r="F244" s="149"/>
      <c r="G244" s="149"/>
      <c r="H244" s="149"/>
      <c r="I244" s="140" t="str">
        <f t="shared" si="130"/>
        <v/>
      </c>
      <c r="J244" s="141" t="str">
        <f t="shared" si="131"/>
        <v/>
      </c>
      <c r="K244" s="142"/>
      <c r="L244" s="142"/>
      <c r="M244" s="1708"/>
      <c r="N244" s="1708"/>
      <c r="O244" s="1708"/>
      <c r="P244" s="1708"/>
      <c r="Q244" s="1708"/>
      <c r="R244" s="1708"/>
      <c r="S244" s="1708"/>
      <c r="T244" s="1708"/>
      <c r="U244" s="1708"/>
      <c r="V244" s="1708"/>
      <c r="W244" s="1708"/>
      <c r="X244" s="1709"/>
      <c r="Y244" s="1709"/>
      <c r="Z244" s="1709"/>
      <c r="AA244" s="1709"/>
      <c r="AB244" s="1709"/>
      <c r="AC244" s="1709"/>
      <c r="AD244" s="1709"/>
      <c r="AE244" s="1709"/>
      <c r="AF244" s="1709"/>
      <c r="AG244" s="1709"/>
      <c r="AH244" s="1709"/>
      <c r="AI244" s="1709"/>
      <c r="AJ244" s="1709"/>
      <c r="AK244" s="1709"/>
      <c r="AL244" s="1709"/>
      <c r="AM244" s="1709"/>
      <c r="AN244" s="1709"/>
      <c r="AO244" s="1709"/>
      <c r="AP244" s="1709"/>
      <c r="AQ244" s="1709"/>
      <c r="AR244" s="1709"/>
      <c r="AS244" s="1709"/>
      <c r="AT244" s="1709"/>
      <c r="AU244" s="1709"/>
      <c r="AV244" s="1709"/>
      <c r="AW244" s="1709"/>
      <c r="AX244" s="1710"/>
      <c r="AY244" s="1714" t="str">
        <f t="shared" si="132"/>
        <v/>
      </c>
      <c r="AZ244" s="1714" t="str">
        <f>IF(Obj_PA!D244="","",IF(AY244="","",Obj_PA!D244-AY244))</f>
        <v/>
      </c>
      <c r="BK244" s="155" t="str">
        <f t="shared" si="133"/>
        <v/>
      </c>
      <c r="BL244" s="155" t="str">
        <f t="shared" si="134"/>
        <v/>
      </c>
      <c r="BM244" s="155" t="str">
        <f t="shared" si="135"/>
        <v/>
      </c>
      <c r="BN244" s="155" t="str">
        <f t="shared" si="136"/>
        <v/>
      </c>
      <c r="BO244" s="155" t="str">
        <f t="shared" si="137"/>
        <v/>
      </c>
      <c r="BP244" s="155" t="str">
        <f t="shared" si="138"/>
        <v/>
      </c>
      <c r="BQ244" s="155" t="str">
        <f t="shared" si="139"/>
        <v/>
      </c>
      <c r="BR244" s="155" t="str">
        <f t="shared" si="140"/>
        <v/>
      </c>
      <c r="BS244" s="155" t="str">
        <f t="shared" si="141"/>
        <v/>
      </c>
      <c r="BT244" s="155" t="str">
        <f t="shared" si="142"/>
        <v/>
      </c>
      <c r="BU244" s="155" t="str">
        <f t="shared" si="143"/>
        <v/>
      </c>
      <c r="BV244" s="155" t="str">
        <f t="shared" si="144"/>
        <v/>
      </c>
      <c r="BW244" s="155" t="str">
        <f t="shared" si="145"/>
        <v/>
      </c>
      <c r="BX244" s="155" t="str">
        <f t="shared" si="146"/>
        <v/>
      </c>
      <c r="BY244" s="155" t="str">
        <f t="shared" si="147"/>
        <v/>
      </c>
      <c r="BZ244" s="155" t="str">
        <f t="shared" si="148"/>
        <v/>
      </c>
      <c r="CA244" s="155" t="str">
        <f t="shared" si="149"/>
        <v/>
      </c>
      <c r="CB244" s="155" t="str">
        <f t="shared" si="150"/>
        <v/>
      </c>
      <c r="CC244" s="155" t="str">
        <f t="shared" si="151"/>
        <v/>
      </c>
      <c r="CD244" s="155" t="str">
        <f t="shared" si="152"/>
        <v/>
      </c>
      <c r="CE244" s="155" t="str">
        <f t="shared" si="153"/>
        <v/>
      </c>
      <c r="CF244" s="155" t="str">
        <f t="shared" si="154"/>
        <v/>
      </c>
      <c r="CG244" s="155" t="str">
        <f t="shared" si="155"/>
        <v/>
      </c>
      <c r="CH244" s="155" t="str">
        <f t="shared" si="156"/>
        <v/>
      </c>
      <c r="CI244" s="155" t="str">
        <f t="shared" si="157"/>
        <v/>
      </c>
      <c r="CJ244" s="155" t="str">
        <f t="shared" si="158"/>
        <v/>
      </c>
      <c r="CK244" s="155" t="str">
        <f t="shared" si="159"/>
        <v/>
      </c>
      <c r="CL244" s="155" t="str">
        <f t="shared" si="160"/>
        <v/>
      </c>
      <c r="CM244" s="155" t="str">
        <f t="shared" si="161"/>
        <v/>
      </c>
      <c r="CN244" s="155" t="str">
        <f t="shared" si="162"/>
        <v/>
      </c>
      <c r="CO244" s="155" t="str">
        <f t="shared" si="163"/>
        <v/>
      </c>
      <c r="CP244" s="155" t="str">
        <f t="shared" si="164"/>
        <v/>
      </c>
      <c r="CQ244" s="155" t="str">
        <f t="shared" si="165"/>
        <v/>
      </c>
      <c r="CR244" s="155" t="str">
        <f t="shared" si="166"/>
        <v/>
      </c>
      <c r="CS244" s="155" t="str">
        <f t="shared" si="167"/>
        <v/>
      </c>
      <c r="CT244" s="155" t="str">
        <f t="shared" si="168"/>
        <v/>
      </c>
      <c r="CU244" s="155" t="str">
        <f t="shared" si="169"/>
        <v/>
      </c>
      <c r="CV244" s="155" t="str">
        <f t="shared" si="170"/>
        <v/>
      </c>
      <c r="CW244" s="155" t="str">
        <f t="shared" si="171"/>
        <v/>
      </c>
      <c r="CX244" s="155" t="str">
        <f t="shared" si="172"/>
        <v/>
      </c>
    </row>
    <row r="245" spans="1:128" ht="15" outlineLevel="1" x14ac:dyDescent="0.2">
      <c r="A245" s="170"/>
      <c r="B245" s="157" t="str">
        <f>Services!B245</f>
        <v>09G01</v>
      </c>
      <c r="C245" s="153" t="str">
        <f>Services!C245</f>
        <v>Détection des anomalies applicatives</v>
      </c>
      <c r="D245" s="149"/>
      <c r="E245" s="149"/>
      <c r="F245" s="149"/>
      <c r="G245" s="149"/>
      <c r="H245" s="149"/>
      <c r="I245" s="140" t="str">
        <f t="shared" si="130"/>
        <v/>
      </c>
      <c r="J245" s="141" t="str">
        <f t="shared" si="131"/>
        <v/>
      </c>
      <c r="K245" s="142"/>
      <c r="L245" s="142"/>
      <c r="M245" s="1708"/>
      <c r="N245" s="1708"/>
      <c r="O245" s="1708"/>
      <c r="P245" s="1708"/>
      <c r="Q245" s="1708"/>
      <c r="R245" s="1708"/>
      <c r="S245" s="1708"/>
      <c r="T245" s="1708"/>
      <c r="U245" s="1708"/>
      <c r="V245" s="1708"/>
      <c r="W245" s="1708"/>
      <c r="X245" s="1709"/>
      <c r="Y245" s="1709"/>
      <c r="Z245" s="1709"/>
      <c r="AA245" s="1709"/>
      <c r="AB245" s="1709"/>
      <c r="AC245" s="1709"/>
      <c r="AD245" s="1709"/>
      <c r="AE245" s="1709"/>
      <c r="AF245" s="1709"/>
      <c r="AG245" s="1709"/>
      <c r="AH245" s="1709"/>
      <c r="AI245" s="1709"/>
      <c r="AJ245" s="1709"/>
      <c r="AK245" s="1709"/>
      <c r="AL245" s="1709"/>
      <c r="AM245" s="1709"/>
      <c r="AN245" s="1709"/>
      <c r="AO245" s="1709"/>
      <c r="AP245" s="1709"/>
      <c r="AQ245" s="1709"/>
      <c r="AR245" s="1709"/>
      <c r="AS245" s="1709"/>
      <c r="AT245" s="1709"/>
      <c r="AU245" s="1709"/>
      <c r="AV245" s="1709"/>
      <c r="AW245" s="1709"/>
      <c r="AX245" s="1710"/>
      <c r="AY245" s="1714" t="str">
        <f t="shared" si="132"/>
        <v/>
      </c>
      <c r="AZ245" s="1714" t="str">
        <f>IF(Obj_PA!D245="","",IF(AY245="","",Obj_PA!D245-AY245))</f>
        <v/>
      </c>
      <c r="BK245" s="155" t="str">
        <f t="shared" si="133"/>
        <v/>
      </c>
      <c r="BL245" s="155" t="str">
        <f t="shared" si="134"/>
        <v/>
      </c>
      <c r="BM245" s="155" t="str">
        <f t="shared" si="135"/>
        <v/>
      </c>
      <c r="BN245" s="155" t="str">
        <f t="shared" si="136"/>
        <v/>
      </c>
      <c r="BO245" s="155" t="str">
        <f t="shared" si="137"/>
        <v/>
      </c>
      <c r="BP245" s="155" t="str">
        <f t="shared" si="138"/>
        <v/>
      </c>
      <c r="BQ245" s="155" t="str">
        <f t="shared" si="139"/>
        <v/>
      </c>
      <c r="BR245" s="155" t="str">
        <f t="shared" si="140"/>
        <v/>
      </c>
      <c r="BS245" s="155" t="str">
        <f t="shared" si="141"/>
        <v/>
      </c>
      <c r="BT245" s="155" t="str">
        <f t="shared" si="142"/>
        <v/>
      </c>
      <c r="BU245" s="155" t="str">
        <f t="shared" si="143"/>
        <v/>
      </c>
      <c r="BV245" s="155" t="str">
        <f t="shared" si="144"/>
        <v/>
      </c>
      <c r="BW245" s="155" t="str">
        <f t="shared" si="145"/>
        <v/>
      </c>
      <c r="BX245" s="155" t="str">
        <f t="shared" si="146"/>
        <v/>
      </c>
      <c r="BY245" s="155" t="str">
        <f t="shared" si="147"/>
        <v/>
      </c>
      <c r="BZ245" s="155" t="str">
        <f t="shared" si="148"/>
        <v/>
      </c>
      <c r="CA245" s="155" t="str">
        <f t="shared" si="149"/>
        <v/>
      </c>
      <c r="CB245" s="155" t="str">
        <f t="shared" si="150"/>
        <v/>
      </c>
      <c r="CC245" s="155" t="str">
        <f t="shared" si="151"/>
        <v/>
      </c>
      <c r="CD245" s="155" t="str">
        <f t="shared" si="152"/>
        <v/>
      </c>
      <c r="CE245" s="155" t="str">
        <f t="shared" si="153"/>
        <v/>
      </c>
      <c r="CF245" s="155" t="str">
        <f t="shared" si="154"/>
        <v/>
      </c>
      <c r="CG245" s="155" t="str">
        <f t="shared" si="155"/>
        <v/>
      </c>
      <c r="CH245" s="155" t="str">
        <f t="shared" si="156"/>
        <v/>
      </c>
      <c r="CI245" s="155" t="str">
        <f t="shared" si="157"/>
        <v/>
      </c>
      <c r="CJ245" s="155" t="str">
        <f t="shared" si="158"/>
        <v/>
      </c>
      <c r="CK245" s="155" t="str">
        <f t="shared" si="159"/>
        <v/>
      </c>
      <c r="CL245" s="155" t="str">
        <f t="shared" si="160"/>
        <v/>
      </c>
      <c r="CM245" s="155" t="str">
        <f t="shared" si="161"/>
        <v/>
      </c>
      <c r="CN245" s="155" t="str">
        <f t="shared" si="162"/>
        <v/>
      </c>
      <c r="CO245" s="155" t="str">
        <f t="shared" si="163"/>
        <v/>
      </c>
      <c r="CP245" s="155" t="str">
        <f t="shared" si="164"/>
        <v/>
      </c>
      <c r="CQ245" s="155" t="str">
        <f t="shared" si="165"/>
        <v/>
      </c>
      <c r="CR245" s="155" t="str">
        <f t="shared" si="166"/>
        <v/>
      </c>
      <c r="CS245" s="155" t="str">
        <f t="shared" si="167"/>
        <v/>
      </c>
      <c r="CT245" s="155" t="str">
        <f t="shared" si="168"/>
        <v/>
      </c>
      <c r="CU245" s="155" t="str">
        <f t="shared" si="169"/>
        <v/>
      </c>
      <c r="CV245" s="155" t="str">
        <f t="shared" si="170"/>
        <v/>
      </c>
      <c r="CW245" s="155" t="str">
        <f t="shared" si="171"/>
        <v/>
      </c>
      <c r="CX245" s="155" t="str">
        <f t="shared" si="172"/>
        <v/>
      </c>
    </row>
    <row r="246" spans="1:128" s="172" customFormat="1" ht="14.25" outlineLevel="1" x14ac:dyDescent="0.2">
      <c r="A246" s="158"/>
      <c r="B246" s="147" t="str">
        <f>Services!B246</f>
        <v>09H</v>
      </c>
      <c r="C246" s="148" t="str">
        <f>Services!C246</f>
        <v>Sécurité des services et transactions des applications</v>
      </c>
      <c r="D246" s="149"/>
      <c r="E246" s="149"/>
      <c r="F246" s="149"/>
      <c r="G246" s="149"/>
      <c r="H246" s="149"/>
      <c r="I246" s="140" t="str">
        <f t="shared" si="130"/>
        <v/>
      </c>
      <c r="J246" s="141" t="str">
        <f t="shared" si="131"/>
        <v/>
      </c>
      <c r="K246" s="142"/>
      <c r="L246" s="142"/>
      <c r="M246" s="1708"/>
      <c r="N246" s="1708"/>
      <c r="O246" s="1708"/>
      <c r="P246" s="1708"/>
      <c r="Q246" s="1708"/>
      <c r="R246" s="1708"/>
      <c r="S246" s="1708"/>
      <c r="T246" s="1708"/>
      <c r="U246" s="1708"/>
      <c r="V246" s="1708"/>
      <c r="W246" s="1708"/>
      <c r="X246" s="1712"/>
      <c r="Y246" s="1712"/>
      <c r="Z246" s="1712"/>
      <c r="AA246" s="1712"/>
      <c r="AB246" s="1712"/>
      <c r="AC246" s="1712"/>
      <c r="AD246" s="1712"/>
      <c r="AE246" s="1712"/>
      <c r="AF246" s="1712"/>
      <c r="AG246" s="1712"/>
      <c r="AH246" s="1712"/>
      <c r="AI246" s="1712"/>
      <c r="AJ246" s="1712"/>
      <c r="AK246" s="1712"/>
      <c r="AL246" s="1712"/>
      <c r="AM246" s="1712"/>
      <c r="AN246" s="1712"/>
      <c r="AO246" s="1712"/>
      <c r="AP246" s="1712"/>
      <c r="AQ246" s="1712"/>
      <c r="AR246" s="1712"/>
      <c r="AS246" s="1712"/>
      <c r="AT246" s="1712"/>
      <c r="AU246" s="1712"/>
      <c r="AV246" s="1712"/>
      <c r="AW246" s="1712"/>
      <c r="AX246" s="1713"/>
      <c r="AY246" s="1714" t="str">
        <f t="shared" si="132"/>
        <v/>
      </c>
      <c r="AZ246" s="1714" t="str">
        <f>IF(Obj_PA!D246="","",IF(AY246="","",Obj_PA!D246-AY246))</f>
        <v/>
      </c>
      <c r="BA246" s="171"/>
      <c r="BB246" s="171"/>
      <c r="BC246" s="171"/>
      <c r="BD246" s="171"/>
      <c r="BE246" s="171"/>
      <c r="BF246" s="171"/>
      <c r="BG246" s="171"/>
      <c r="BH246" s="171"/>
      <c r="BI246" s="171"/>
      <c r="BJ246" s="171"/>
      <c r="BK246" s="155" t="str">
        <f t="shared" si="133"/>
        <v/>
      </c>
      <c r="BL246" s="155" t="str">
        <f t="shared" si="134"/>
        <v/>
      </c>
      <c r="BM246" s="155" t="str">
        <f t="shared" si="135"/>
        <v/>
      </c>
      <c r="BN246" s="155" t="str">
        <f t="shared" si="136"/>
        <v/>
      </c>
      <c r="BO246" s="155" t="str">
        <f t="shared" si="137"/>
        <v/>
      </c>
      <c r="BP246" s="155" t="str">
        <f t="shared" si="138"/>
        <v/>
      </c>
      <c r="BQ246" s="155" t="str">
        <f t="shared" si="139"/>
        <v/>
      </c>
      <c r="BR246" s="155" t="str">
        <f t="shared" si="140"/>
        <v/>
      </c>
      <c r="BS246" s="155" t="str">
        <f t="shared" si="141"/>
        <v/>
      </c>
      <c r="BT246" s="155" t="str">
        <f t="shared" si="142"/>
        <v/>
      </c>
      <c r="BU246" s="155" t="str">
        <f t="shared" si="143"/>
        <v/>
      </c>
      <c r="BV246" s="155" t="str">
        <f t="shared" si="144"/>
        <v/>
      </c>
      <c r="BW246" s="155" t="str">
        <f t="shared" si="145"/>
        <v/>
      </c>
      <c r="BX246" s="155" t="str">
        <f t="shared" si="146"/>
        <v/>
      </c>
      <c r="BY246" s="155" t="str">
        <f t="shared" si="147"/>
        <v/>
      </c>
      <c r="BZ246" s="155" t="str">
        <f t="shared" si="148"/>
        <v/>
      </c>
      <c r="CA246" s="155" t="str">
        <f t="shared" si="149"/>
        <v/>
      </c>
      <c r="CB246" s="155" t="str">
        <f t="shared" si="150"/>
        <v/>
      </c>
      <c r="CC246" s="155" t="str">
        <f t="shared" si="151"/>
        <v/>
      </c>
      <c r="CD246" s="155" t="str">
        <f t="shared" si="152"/>
        <v/>
      </c>
      <c r="CE246" s="155" t="str">
        <f t="shared" si="153"/>
        <v/>
      </c>
      <c r="CF246" s="155" t="str">
        <f t="shared" si="154"/>
        <v/>
      </c>
      <c r="CG246" s="155" t="str">
        <f t="shared" si="155"/>
        <v/>
      </c>
      <c r="CH246" s="155" t="str">
        <f t="shared" si="156"/>
        <v/>
      </c>
      <c r="CI246" s="155" t="str">
        <f t="shared" si="157"/>
        <v/>
      </c>
      <c r="CJ246" s="155" t="str">
        <f t="shared" si="158"/>
        <v/>
      </c>
      <c r="CK246" s="155" t="str">
        <f t="shared" si="159"/>
        <v/>
      </c>
      <c r="CL246" s="155" t="str">
        <f t="shared" si="160"/>
        <v/>
      </c>
      <c r="CM246" s="155" t="str">
        <f t="shared" si="161"/>
        <v/>
      </c>
      <c r="CN246" s="155" t="str">
        <f t="shared" si="162"/>
        <v/>
      </c>
      <c r="CO246" s="155" t="str">
        <f t="shared" si="163"/>
        <v/>
      </c>
      <c r="CP246" s="155" t="str">
        <f t="shared" si="164"/>
        <v/>
      </c>
      <c r="CQ246" s="155" t="str">
        <f t="shared" si="165"/>
        <v/>
      </c>
      <c r="CR246" s="155" t="str">
        <f t="shared" si="166"/>
        <v/>
      </c>
      <c r="CS246" s="155" t="str">
        <f t="shared" si="167"/>
        <v/>
      </c>
      <c r="CT246" s="155" t="str">
        <f t="shared" si="168"/>
        <v/>
      </c>
      <c r="CU246" s="155" t="str">
        <f t="shared" si="169"/>
        <v/>
      </c>
      <c r="CV246" s="155" t="str">
        <f t="shared" si="170"/>
        <v/>
      </c>
      <c r="CW246" s="155" t="str">
        <f t="shared" si="171"/>
        <v/>
      </c>
      <c r="CX246" s="155" t="str">
        <f t="shared" si="172"/>
        <v/>
      </c>
    </row>
    <row r="247" spans="1:128" s="151" customFormat="1" ht="14.25" outlineLevel="1" x14ac:dyDescent="0.2">
      <c r="A247" s="158"/>
      <c r="B247" s="157" t="str">
        <f>Services!B247</f>
        <v>09H01</v>
      </c>
      <c r="C247" s="153" t="str">
        <f>Services!C247</f>
        <v>Sécurisation des services d'application sur les réseaux publics</v>
      </c>
      <c r="D247" s="149"/>
      <c r="E247" s="149"/>
      <c r="F247" s="149"/>
      <c r="G247" s="149"/>
      <c r="H247" s="149"/>
      <c r="I247" s="140" t="str">
        <f t="shared" si="130"/>
        <v/>
      </c>
      <c r="J247" s="141" t="str">
        <f t="shared" si="131"/>
        <v/>
      </c>
      <c r="K247" s="142"/>
      <c r="L247" s="142"/>
      <c r="M247" s="1708"/>
      <c r="N247" s="1708"/>
      <c r="O247" s="1708"/>
      <c r="P247" s="1708"/>
      <c r="Q247" s="1708"/>
      <c r="R247" s="1708"/>
      <c r="S247" s="1708"/>
      <c r="T247" s="1708"/>
      <c r="U247" s="1708"/>
      <c r="V247" s="1708"/>
      <c r="W247" s="1708"/>
      <c r="X247" s="1712"/>
      <c r="Y247" s="1712"/>
      <c r="Z247" s="1712"/>
      <c r="AA247" s="1712"/>
      <c r="AB247" s="1712"/>
      <c r="AC247" s="1712"/>
      <c r="AD247" s="1712"/>
      <c r="AE247" s="1712"/>
      <c r="AF247" s="1712"/>
      <c r="AG247" s="1712"/>
      <c r="AH247" s="1712"/>
      <c r="AI247" s="1712"/>
      <c r="AJ247" s="1712"/>
      <c r="AK247" s="1712"/>
      <c r="AL247" s="1712"/>
      <c r="AM247" s="1712"/>
      <c r="AN247" s="1712"/>
      <c r="AO247" s="1712"/>
      <c r="AP247" s="1712"/>
      <c r="AQ247" s="1712"/>
      <c r="AR247" s="1712"/>
      <c r="AS247" s="1712"/>
      <c r="AT247" s="1712"/>
      <c r="AU247" s="1712"/>
      <c r="AV247" s="1712"/>
      <c r="AW247" s="1712"/>
      <c r="AX247" s="1713"/>
      <c r="AY247" s="1714" t="str">
        <f t="shared" si="132"/>
        <v/>
      </c>
      <c r="AZ247" s="1714" t="str">
        <f>IF(Obj_PA!D247="","",IF(AY247="","",Obj_PA!D247-AY247))</f>
        <v/>
      </c>
      <c r="BA247" s="150"/>
      <c r="BB247" s="150"/>
      <c r="BC247" s="150"/>
      <c r="BD247" s="150"/>
      <c r="BE247" s="150"/>
      <c r="BF247" s="150"/>
      <c r="BG247" s="150"/>
      <c r="BH247" s="150"/>
      <c r="BI247" s="150"/>
      <c r="BJ247" s="150"/>
      <c r="BK247" s="155" t="str">
        <f t="shared" si="133"/>
        <v/>
      </c>
      <c r="BL247" s="155" t="str">
        <f t="shared" si="134"/>
        <v/>
      </c>
      <c r="BM247" s="155" t="str">
        <f t="shared" si="135"/>
        <v/>
      </c>
      <c r="BN247" s="155" t="str">
        <f t="shared" si="136"/>
        <v/>
      </c>
      <c r="BO247" s="155" t="str">
        <f t="shared" si="137"/>
        <v/>
      </c>
      <c r="BP247" s="155" t="str">
        <f t="shared" si="138"/>
        <v/>
      </c>
      <c r="BQ247" s="155" t="str">
        <f t="shared" si="139"/>
        <v/>
      </c>
      <c r="BR247" s="155" t="str">
        <f t="shared" si="140"/>
        <v/>
      </c>
      <c r="BS247" s="155" t="str">
        <f t="shared" si="141"/>
        <v/>
      </c>
      <c r="BT247" s="155" t="str">
        <f t="shared" si="142"/>
        <v/>
      </c>
      <c r="BU247" s="155" t="str">
        <f t="shared" si="143"/>
        <v/>
      </c>
      <c r="BV247" s="155" t="str">
        <f t="shared" si="144"/>
        <v/>
      </c>
      <c r="BW247" s="155" t="str">
        <f t="shared" si="145"/>
        <v/>
      </c>
      <c r="BX247" s="155" t="str">
        <f t="shared" si="146"/>
        <v/>
      </c>
      <c r="BY247" s="155" t="str">
        <f t="shared" si="147"/>
        <v/>
      </c>
      <c r="BZ247" s="155" t="str">
        <f t="shared" si="148"/>
        <v/>
      </c>
      <c r="CA247" s="155" t="str">
        <f t="shared" si="149"/>
        <v/>
      </c>
      <c r="CB247" s="155" t="str">
        <f t="shared" si="150"/>
        <v/>
      </c>
      <c r="CC247" s="155" t="str">
        <f t="shared" si="151"/>
        <v/>
      </c>
      <c r="CD247" s="155" t="str">
        <f t="shared" si="152"/>
        <v/>
      </c>
      <c r="CE247" s="155" t="str">
        <f t="shared" si="153"/>
        <v/>
      </c>
      <c r="CF247" s="155" t="str">
        <f t="shared" si="154"/>
        <v/>
      </c>
      <c r="CG247" s="155" t="str">
        <f t="shared" si="155"/>
        <v/>
      </c>
      <c r="CH247" s="155" t="str">
        <f t="shared" si="156"/>
        <v/>
      </c>
      <c r="CI247" s="155" t="str">
        <f t="shared" si="157"/>
        <v/>
      </c>
      <c r="CJ247" s="155" t="str">
        <f t="shared" si="158"/>
        <v/>
      </c>
      <c r="CK247" s="155" t="str">
        <f t="shared" si="159"/>
        <v/>
      </c>
      <c r="CL247" s="155" t="str">
        <f t="shared" si="160"/>
        <v/>
      </c>
      <c r="CM247" s="155" t="str">
        <f t="shared" si="161"/>
        <v/>
      </c>
      <c r="CN247" s="155" t="str">
        <f t="shared" si="162"/>
        <v/>
      </c>
      <c r="CO247" s="155" t="str">
        <f t="shared" si="163"/>
        <v/>
      </c>
      <c r="CP247" s="155" t="str">
        <f t="shared" si="164"/>
        <v/>
      </c>
      <c r="CQ247" s="155" t="str">
        <f t="shared" si="165"/>
        <v/>
      </c>
      <c r="CR247" s="155" t="str">
        <f t="shared" si="166"/>
        <v/>
      </c>
      <c r="CS247" s="155" t="str">
        <f t="shared" si="167"/>
        <v/>
      </c>
      <c r="CT247" s="155" t="str">
        <f t="shared" si="168"/>
        <v/>
      </c>
      <c r="CU247" s="155" t="str">
        <f t="shared" si="169"/>
        <v/>
      </c>
      <c r="CV247" s="155" t="str">
        <f t="shared" si="170"/>
        <v/>
      </c>
      <c r="CW247" s="155" t="str">
        <f t="shared" si="171"/>
        <v/>
      </c>
      <c r="CX247" s="155" t="str">
        <f t="shared" si="172"/>
        <v/>
      </c>
    </row>
    <row r="248" spans="1:128" s="151" customFormat="1" ht="14.25" outlineLevel="1" x14ac:dyDescent="0.2">
      <c r="A248" s="173"/>
      <c r="B248" s="157" t="str">
        <f>Services!B248</f>
        <v>09H02</v>
      </c>
      <c r="C248" s="153" t="str">
        <f>Services!C248</f>
        <v>Protection des transactions de services d'application</v>
      </c>
      <c r="D248" s="149"/>
      <c r="E248" s="149"/>
      <c r="F248" s="149"/>
      <c r="G248" s="149"/>
      <c r="H248" s="149"/>
      <c r="I248" s="174"/>
      <c r="J248" s="175"/>
      <c r="K248" s="176"/>
      <c r="L248" s="176"/>
      <c r="M248" s="1720"/>
      <c r="N248" s="1720"/>
      <c r="O248" s="1720"/>
      <c r="P248" s="1720"/>
      <c r="Q248" s="1720"/>
      <c r="R248" s="1720"/>
      <c r="S248" s="1720"/>
      <c r="T248" s="1720"/>
      <c r="U248" s="1720"/>
      <c r="V248" s="1720"/>
      <c r="W248" s="1720"/>
      <c r="X248" s="1721"/>
      <c r="Y248" s="1721"/>
      <c r="Z248" s="1721"/>
      <c r="AA248" s="1721"/>
      <c r="AB248" s="1721"/>
      <c r="AC248" s="1721"/>
      <c r="AD248" s="1721"/>
      <c r="AE248" s="1721"/>
      <c r="AF248" s="1721"/>
      <c r="AG248" s="1721"/>
      <c r="AH248" s="1721"/>
      <c r="AI248" s="1721"/>
      <c r="AJ248" s="1721"/>
      <c r="AK248" s="1721"/>
      <c r="AL248" s="1721"/>
      <c r="AM248" s="1721"/>
      <c r="AN248" s="1721"/>
      <c r="AO248" s="1721"/>
      <c r="AP248" s="1721"/>
      <c r="AQ248" s="1721"/>
      <c r="AR248" s="1721"/>
      <c r="AS248" s="1721"/>
      <c r="AT248" s="1721"/>
      <c r="AU248" s="1721"/>
      <c r="AV248" s="1721"/>
      <c r="AW248" s="1721"/>
      <c r="AX248" s="1713"/>
      <c r="AY248" s="1714" t="str">
        <f t="shared" si="132"/>
        <v/>
      </c>
      <c r="AZ248" s="1714" t="str">
        <f>IF(Obj_PA!D248="","",IF(AY248="","",Obj_PA!D248-AY248))</f>
        <v/>
      </c>
      <c r="BA248" s="150"/>
      <c r="BB248" s="150"/>
      <c r="BC248" s="150"/>
      <c r="BD248" s="150"/>
      <c r="BE248" s="150"/>
      <c r="BF248" s="150"/>
      <c r="BG248" s="150"/>
      <c r="BH248" s="150"/>
      <c r="BI248" s="150"/>
      <c r="BJ248" s="150"/>
      <c r="BK248" s="155"/>
      <c r="BL248" s="155"/>
      <c r="BM248" s="155"/>
      <c r="BN248" s="155"/>
      <c r="BO248" s="155"/>
      <c r="BP248" s="155"/>
      <c r="BQ248" s="155"/>
      <c r="BR248" s="155"/>
      <c r="BS248" s="155"/>
      <c r="BT248" s="155"/>
      <c r="BU248" s="155"/>
      <c r="BV248" s="155"/>
      <c r="BW248" s="155"/>
      <c r="BX248" s="155"/>
      <c r="BY248" s="155"/>
      <c r="BZ248" s="155"/>
      <c r="CA248" s="155"/>
      <c r="CB248" s="155"/>
      <c r="CC248" s="155"/>
      <c r="CD248" s="155"/>
      <c r="CE248" s="155"/>
      <c r="CF248" s="155"/>
      <c r="CG248" s="155"/>
      <c r="CH248" s="155"/>
      <c r="CI248" s="155"/>
      <c r="CJ248" s="155"/>
      <c r="CK248" s="155"/>
      <c r="CL248" s="155"/>
      <c r="CM248" s="155"/>
      <c r="CN248" s="155"/>
      <c r="CO248" s="155"/>
      <c r="CP248" s="155"/>
      <c r="CQ248" s="155"/>
      <c r="CR248" s="155"/>
      <c r="CS248" s="155"/>
      <c r="CT248" s="155"/>
      <c r="CU248" s="155"/>
      <c r="CV248" s="155"/>
      <c r="CW248" s="155"/>
      <c r="CX248" s="155"/>
    </row>
    <row r="249" spans="1:128" s="151" customFormat="1" ht="14.25" outlineLevel="1" x14ac:dyDescent="0.2">
      <c r="A249" s="158"/>
      <c r="B249" s="157" t="str">
        <f>Services!B249</f>
        <v>09H03</v>
      </c>
      <c r="C249" s="153" t="str">
        <f>Services!C249</f>
        <v>Messagerie électronique</v>
      </c>
      <c r="D249" s="149"/>
      <c r="E249" s="149"/>
      <c r="F249" s="149"/>
      <c r="G249" s="149"/>
      <c r="H249" s="149"/>
      <c r="I249" s="140" t="str">
        <f t="shared" si="130"/>
        <v/>
      </c>
      <c r="J249" s="141" t="str">
        <f t="shared" si="131"/>
        <v/>
      </c>
      <c r="K249" s="142"/>
      <c r="L249" s="142"/>
      <c r="M249" s="1708"/>
      <c r="N249" s="1708"/>
      <c r="O249" s="1708"/>
      <c r="P249" s="1708"/>
      <c r="Q249" s="1708"/>
      <c r="R249" s="1708"/>
      <c r="S249" s="1708"/>
      <c r="T249" s="1708"/>
      <c r="U249" s="1708"/>
      <c r="V249" s="1708"/>
      <c r="W249" s="1708"/>
      <c r="X249" s="1712"/>
      <c r="Y249" s="1712"/>
      <c r="Z249" s="1712"/>
      <c r="AA249" s="1712"/>
      <c r="AB249" s="1712"/>
      <c r="AC249" s="1712"/>
      <c r="AD249" s="1712"/>
      <c r="AE249" s="1712"/>
      <c r="AF249" s="1712"/>
      <c r="AG249" s="1712"/>
      <c r="AH249" s="1712"/>
      <c r="AI249" s="1712"/>
      <c r="AJ249" s="1712"/>
      <c r="AK249" s="1712"/>
      <c r="AL249" s="1712"/>
      <c r="AM249" s="1712"/>
      <c r="AN249" s="1712"/>
      <c r="AO249" s="1712"/>
      <c r="AP249" s="1712"/>
      <c r="AQ249" s="1712"/>
      <c r="AR249" s="1712"/>
      <c r="AS249" s="1712"/>
      <c r="AT249" s="1712"/>
      <c r="AU249" s="1712"/>
      <c r="AV249" s="1712"/>
      <c r="AW249" s="1712"/>
      <c r="AX249" s="1713"/>
      <c r="AY249" s="1714" t="str">
        <f t="shared" si="132"/>
        <v/>
      </c>
      <c r="AZ249" s="1714" t="str">
        <f>IF(Obj_PA!D249="","",IF(AY249="","",Obj_PA!D249-AY249))</f>
        <v/>
      </c>
      <c r="BA249" s="150"/>
      <c r="BB249" s="150"/>
      <c r="BC249" s="150"/>
      <c r="BD249" s="150"/>
      <c r="BE249" s="150"/>
      <c r="BF249" s="150"/>
      <c r="BG249" s="150"/>
      <c r="BH249" s="150"/>
      <c r="BI249" s="150"/>
      <c r="BJ249" s="150"/>
      <c r="BK249" s="155" t="str">
        <f t="shared" ref="BK249" si="173">IF(OR(K$4&gt;$J$4,K249=""),"",K249)</f>
        <v/>
      </c>
      <c r="BL249" s="155" t="str">
        <f t="shared" ref="BL249" si="174">IF(OR(L$4&gt;$J$4,L249=""),"",L249)</f>
        <v/>
      </c>
      <c r="BM249" s="155" t="str">
        <f t="shared" ref="BM249" si="175">IF(OR(M$4&gt;$J$4,M249=""),"",M249)</f>
        <v/>
      </c>
      <c r="BN249" s="155" t="str">
        <f t="shared" ref="BN249" si="176">IF(OR(N$4&gt;$J$4,N249=""),"",N249)</f>
        <v/>
      </c>
      <c r="BO249" s="155" t="str">
        <f t="shared" ref="BO249" si="177">IF(OR(O$4&gt;$J$4,O249=""),"",O249)</f>
        <v/>
      </c>
      <c r="BP249" s="155" t="str">
        <f t="shared" ref="BP249" si="178">IF(OR(P$4&gt;$J$4,P249=""),"",P249)</f>
        <v/>
      </c>
      <c r="BQ249" s="155" t="str">
        <f t="shared" ref="BQ249" si="179">IF(OR(Q$4&gt;$J$4,Q249=""),"",Q249)</f>
        <v/>
      </c>
      <c r="BR249" s="155" t="str">
        <f t="shared" ref="BR249" si="180">IF(OR(R$4&gt;$J$4,R249=""),"",R249)</f>
        <v/>
      </c>
      <c r="BS249" s="155" t="str">
        <f t="shared" ref="BS249" si="181">IF(OR(S$4&gt;$J$4,S249=""),"",S249)</f>
        <v/>
      </c>
      <c r="BT249" s="155" t="str">
        <f t="shared" ref="BT249" si="182">IF(OR(T$4&gt;$J$4,T249=""),"",T249)</f>
        <v/>
      </c>
      <c r="BU249" s="155" t="str">
        <f t="shared" ref="BU249" si="183">IF(OR(U$4&gt;$J$4,U249=""),"",U249)</f>
        <v/>
      </c>
      <c r="BV249" s="155" t="str">
        <f t="shared" ref="BV249" si="184">IF(OR(V$4&gt;$J$4,V249=""),"",V249)</f>
        <v/>
      </c>
      <c r="BW249" s="155" t="str">
        <f t="shared" ref="BW249" si="185">IF(OR(W$4&gt;$J$4,W249=""),"",W249)</f>
        <v/>
      </c>
      <c r="BX249" s="155" t="str">
        <f t="shared" ref="BX249" si="186">IF(OR(X$4&gt;$J$4,X249=""),"",X249)</f>
        <v/>
      </c>
      <c r="BY249" s="155" t="str">
        <f t="shared" ref="BY249" si="187">IF(OR(Y$4&gt;$J$4,Y249=""),"",Y249)</f>
        <v/>
      </c>
      <c r="BZ249" s="155" t="str">
        <f t="shared" ref="BZ249" si="188">IF(OR(Z$4&gt;$J$4,Z249=""),"",Z249)</f>
        <v/>
      </c>
      <c r="CA249" s="155" t="str">
        <f t="shared" ref="CA249" si="189">IF(OR(AA$4&gt;$J$4,AA249=""),"",AA249)</f>
        <v/>
      </c>
      <c r="CB249" s="155" t="str">
        <f t="shared" ref="CB249" si="190">IF(OR(AB$4&gt;$J$4,AB249=""),"",AB249)</f>
        <v/>
      </c>
      <c r="CC249" s="155" t="str">
        <f t="shared" ref="CC249" si="191">IF(OR(AC$4&gt;$J$4,AC249=""),"",AC249)</f>
        <v/>
      </c>
      <c r="CD249" s="155" t="str">
        <f t="shared" ref="CD249" si="192">IF(OR(AD$4&gt;$J$4,AD249=""),"",AD249)</f>
        <v/>
      </c>
      <c r="CE249" s="155" t="str">
        <f t="shared" ref="CE249" si="193">IF(OR(AE$4&gt;$J$4,AE249=""),"",AE249)</f>
        <v/>
      </c>
      <c r="CF249" s="155" t="str">
        <f t="shared" ref="CF249" si="194">IF(OR(AF$4&gt;$J$4,AF249=""),"",AF249)</f>
        <v/>
      </c>
      <c r="CG249" s="155" t="str">
        <f t="shared" ref="CG249" si="195">IF(OR(AG$4&gt;$J$4,AG249=""),"",AG249)</f>
        <v/>
      </c>
      <c r="CH249" s="155" t="str">
        <f t="shared" ref="CH249" si="196">IF(OR(AH$4&gt;$J$4,AH249=""),"",AH249)</f>
        <v/>
      </c>
      <c r="CI249" s="155" t="str">
        <f t="shared" ref="CI249" si="197">IF(OR(AI$4&gt;$J$4,AI249=""),"",AI249)</f>
        <v/>
      </c>
      <c r="CJ249" s="155" t="str">
        <f t="shared" ref="CJ249" si="198">IF(OR(AJ$4&gt;$J$4,AJ249=""),"",AJ249)</f>
        <v/>
      </c>
      <c r="CK249" s="155" t="str">
        <f t="shared" ref="CK249" si="199">IF(OR(AK$4&gt;$J$4,AK249=""),"",AK249)</f>
        <v/>
      </c>
      <c r="CL249" s="155" t="str">
        <f t="shared" ref="CL249" si="200">IF(OR(AL$4&gt;$J$4,AL249=""),"",AL249)</f>
        <v/>
      </c>
      <c r="CM249" s="155" t="str">
        <f t="shared" ref="CM249" si="201">IF(OR(AM$4&gt;$J$4,AM249=""),"",AM249)</f>
        <v/>
      </c>
      <c r="CN249" s="155" t="str">
        <f t="shared" ref="CN249" si="202">IF(OR(AN$4&gt;$J$4,AN249=""),"",AN249)</f>
        <v/>
      </c>
      <c r="CO249" s="155" t="str">
        <f t="shared" ref="CO249" si="203">IF(OR(AO$4&gt;$J$4,AO249=""),"",AO249)</f>
        <v/>
      </c>
      <c r="CP249" s="155" t="str">
        <f t="shared" ref="CP249" si="204">IF(OR(AP$4&gt;$J$4,AP249=""),"",AP249)</f>
        <v/>
      </c>
      <c r="CQ249" s="155" t="str">
        <f t="shared" ref="CQ249" si="205">IF(OR(AQ$4&gt;$J$4,AQ249=""),"",AQ249)</f>
        <v/>
      </c>
      <c r="CR249" s="155" t="str">
        <f t="shared" ref="CR249" si="206">IF(OR(AR$4&gt;$J$4,AR249=""),"",AR249)</f>
        <v/>
      </c>
      <c r="CS249" s="155" t="str">
        <f t="shared" ref="CS249" si="207">IF(OR(AS$4&gt;$J$4,AS249=""),"",AS249)</f>
        <v/>
      </c>
      <c r="CT249" s="155" t="str">
        <f t="shared" ref="CT249" si="208">IF(OR(AT$4&gt;$J$4,AT249=""),"",AT249)</f>
        <v/>
      </c>
      <c r="CU249" s="155" t="str">
        <f t="shared" ref="CU249" si="209">IF(OR(AU$4&gt;$J$4,AU249=""),"",AU249)</f>
        <v/>
      </c>
      <c r="CV249" s="155" t="str">
        <f t="shared" ref="CV249" si="210">IF(OR(AV$4&gt;$J$4,AV249=""),"",AV249)</f>
        <v/>
      </c>
      <c r="CW249" s="155" t="str">
        <f t="shared" ref="CW249" si="211">IF(OR(AW$4&gt;$J$4,AW249=""),"",AW249)</f>
        <v/>
      </c>
      <c r="CX249" s="155" t="str">
        <f t="shared" ref="CX249" si="212">IF(OR(AX$4&gt;$J$4,AX249=""),"",AX249)</f>
        <v/>
      </c>
    </row>
    <row r="250" spans="1:128" ht="15" x14ac:dyDescent="0.2">
      <c r="A250" s="136" t="s">
        <v>40</v>
      </c>
      <c r="B250" s="136" t="str">
        <f>Services!B250</f>
        <v>Sécurité des projets et développements applicatifs (10 Dev)</v>
      </c>
      <c r="C250" s="166"/>
      <c r="D250" s="149"/>
      <c r="E250" s="149"/>
      <c r="F250" s="149"/>
      <c r="G250" s="149"/>
      <c r="H250" s="149"/>
      <c r="I250" s="140" t="str">
        <f t="shared" si="130"/>
        <v/>
      </c>
      <c r="J250" s="141" t="str">
        <f t="shared" si="131"/>
        <v/>
      </c>
      <c r="K250" s="142"/>
      <c r="L250" s="142"/>
      <c r="M250" s="1708"/>
      <c r="N250" s="1708"/>
      <c r="O250" s="1708"/>
      <c r="P250" s="1708"/>
      <c r="Q250" s="1708"/>
      <c r="R250" s="1708"/>
      <c r="S250" s="1708"/>
      <c r="T250" s="1708"/>
      <c r="U250" s="1708"/>
      <c r="V250" s="1708"/>
      <c r="W250" s="1708"/>
      <c r="X250" s="1709"/>
      <c r="Y250" s="1709"/>
      <c r="Z250" s="1709"/>
      <c r="AA250" s="1709"/>
      <c r="AB250" s="1709"/>
      <c r="AC250" s="1709"/>
      <c r="AD250" s="1709"/>
      <c r="AE250" s="1709"/>
      <c r="AF250" s="1709"/>
      <c r="AG250" s="1709"/>
      <c r="AH250" s="1709"/>
      <c r="AI250" s="1709"/>
      <c r="AJ250" s="1709"/>
      <c r="AK250" s="1709"/>
      <c r="AL250" s="1709"/>
      <c r="AM250" s="1709"/>
      <c r="AN250" s="1709"/>
      <c r="AO250" s="1709"/>
      <c r="AP250" s="1709"/>
      <c r="AQ250" s="1709"/>
      <c r="AR250" s="1709"/>
      <c r="AS250" s="1709"/>
      <c r="AT250" s="1709"/>
      <c r="AU250" s="1709"/>
      <c r="AV250" s="1709"/>
      <c r="AW250" s="1709"/>
      <c r="AX250" s="1710"/>
      <c r="AY250" s="1714" t="str">
        <f t="shared" si="132"/>
        <v/>
      </c>
      <c r="AZ250" s="1714" t="str">
        <f>IF(Obj_PA!D250="","",IF(AY250="","",Obj_PA!D250-AY250))</f>
        <v/>
      </c>
      <c r="BK250" s="155" t="str">
        <f t="shared" si="133"/>
        <v/>
      </c>
      <c r="BL250" s="155" t="str">
        <f t="shared" si="134"/>
        <v/>
      </c>
      <c r="BM250" s="155" t="str">
        <f t="shared" si="135"/>
        <v/>
      </c>
      <c r="BN250" s="155" t="str">
        <f t="shared" si="136"/>
        <v/>
      </c>
      <c r="BO250" s="155" t="str">
        <f t="shared" si="137"/>
        <v/>
      </c>
      <c r="BP250" s="155" t="str">
        <f t="shared" si="138"/>
        <v/>
      </c>
      <c r="BQ250" s="155" t="str">
        <f t="shared" si="139"/>
        <v/>
      </c>
      <c r="BR250" s="155" t="str">
        <f t="shared" si="140"/>
        <v/>
      </c>
      <c r="BS250" s="155" t="str">
        <f t="shared" si="141"/>
        <v/>
      </c>
      <c r="BT250" s="155" t="str">
        <f t="shared" si="142"/>
        <v/>
      </c>
      <c r="BU250" s="155" t="str">
        <f t="shared" si="143"/>
        <v/>
      </c>
      <c r="BV250" s="155" t="str">
        <f t="shared" si="144"/>
        <v/>
      </c>
      <c r="BW250" s="155" t="str">
        <f t="shared" si="145"/>
        <v/>
      </c>
      <c r="BX250" s="155" t="str">
        <f t="shared" si="146"/>
        <v/>
      </c>
      <c r="BY250" s="155" t="str">
        <f t="shared" si="147"/>
        <v/>
      </c>
      <c r="BZ250" s="155" t="str">
        <f t="shared" si="148"/>
        <v/>
      </c>
      <c r="CA250" s="155" t="str">
        <f t="shared" si="149"/>
        <v/>
      </c>
      <c r="CB250" s="155" t="str">
        <f t="shared" si="150"/>
        <v/>
      </c>
      <c r="CC250" s="155" t="str">
        <f t="shared" si="151"/>
        <v/>
      </c>
      <c r="CD250" s="155" t="str">
        <f t="shared" si="152"/>
        <v/>
      </c>
      <c r="CE250" s="155" t="str">
        <f t="shared" si="153"/>
        <v/>
      </c>
      <c r="CF250" s="155" t="str">
        <f t="shared" si="154"/>
        <v/>
      </c>
      <c r="CG250" s="155" t="str">
        <f t="shared" si="155"/>
        <v/>
      </c>
      <c r="CH250" s="155" t="str">
        <f t="shared" si="156"/>
        <v/>
      </c>
      <c r="CI250" s="155" t="str">
        <f t="shared" si="157"/>
        <v/>
      </c>
      <c r="CJ250" s="155" t="str">
        <f t="shared" si="158"/>
        <v/>
      </c>
      <c r="CK250" s="155" t="str">
        <f t="shared" si="159"/>
        <v/>
      </c>
      <c r="CL250" s="155" t="str">
        <f t="shared" si="160"/>
        <v/>
      </c>
      <c r="CM250" s="155" t="str">
        <f t="shared" si="161"/>
        <v/>
      </c>
      <c r="CN250" s="155" t="str">
        <f t="shared" si="162"/>
        <v/>
      </c>
      <c r="CO250" s="155" t="str">
        <f t="shared" si="163"/>
        <v/>
      </c>
      <c r="CP250" s="155" t="str">
        <f t="shared" si="164"/>
        <v/>
      </c>
      <c r="CQ250" s="155" t="str">
        <f t="shared" si="165"/>
        <v/>
      </c>
      <c r="CR250" s="155" t="str">
        <f t="shared" si="166"/>
        <v/>
      </c>
      <c r="CS250" s="155" t="str">
        <f t="shared" si="167"/>
        <v/>
      </c>
      <c r="CT250" s="155" t="str">
        <f t="shared" si="168"/>
        <v/>
      </c>
      <c r="CU250" s="155" t="str">
        <f t="shared" si="169"/>
        <v/>
      </c>
      <c r="CV250" s="155" t="str">
        <f t="shared" si="170"/>
        <v/>
      </c>
      <c r="CW250" s="155" t="str">
        <f t="shared" si="171"/>
        <v/>
      </c>
      <c r="CX250" s="155" t="str">
        <f t="shared" si="172"/>
        <v/>
      </c>
    </row>
    <row r="251" spans="1:128" s="151" customFormat="1" ht="14.25" outlineLevel="1" x14ac:dyDescent="0.2">
      <c r="A251" s="156"/>
      <c r="B251" s="157" t="str">
        <f>Services!B251</f>
        <v>10A</v>
      </c>
      <c r="C251" s="153" t="str">
        <f>Services!C251</f>
        <v>Sécurité des projets et développements applicatifs</v>
      </c>
      <c r="D251" s="149"/>
      <c r="E251" s="149"/>
      <c r="F251" s="149"/>
      <c r="G251" s="149"/>
      <c r="H251" s="149"/>
      <c r="I251" s="140" t="str">
        <f t="shared" si="130"/>
        <v/>
      </c>
      <c r="J251" s="141" t="str">
        <f t="shared" si="131"/>
        <v/>
      </c>
      <c r="K251" s="142"/>
      <c r="L251" s="142"/>
      <c r="M251" s="1708"/>
      <c r="N251" s="1708"/>
      <c r="O251" s="1708"/>
      <c r="P251" s="1708"/>
      <c r="Q251" s="1708"/>
      <c r="R251" s="1708"/>
      <c r="S251" s="1708"/>
      <c r="T251" s="1708"/>
      <c r="U251" s="1708"/>
      <c r="V251" s="1708"/>
      <c r="W251" s="1708"/>
      <c r="X251" s="1712"/>
      <c r="Y251" s="1712"/>
      <c r="Z251" s="1712"/>
      <c r="AA251" s="1712"/>
      <c r="AB251" s="1712"/>
      <c r="AC251" s="1712"/>
      <c r="AD251" s="1712"/>
      <c r="AE251" s="1712"/>
      <c r="AF251" s="1712"/>
      <c r="AG251" s="1712"/>
      <c r="AH251" s="1712"/>
      <c r="AI251" s="1712"/>
      <c r="AJ251" s="1712"/>
      <c r="AK251" s="1712"/>
      <c r="AL251" s="1712"/>
      <c r="AM251" s="1712"/>
      <c r="AN251" s="1712"/>
      <c r="AO251" s="1712"/>
      <c r="AP251" s="1712"/>
      <c r="AQ251" s="1712"/>
      <c r="AR251" s="1712"/>
      <c r="AS251" s="1712"/>
      <c r="AT251" s="1712"/>
      <c r="AU251" s="1712"/>
      <c r="AV251" s="1712"/>
      <c r="AW251" s="1712"/>
      <c r="AX251" s="1713"/>
      <c r="AY251" s="1714" t="str">
        <f t="shared" si="132"/>
        <v/>
      </c>
      <c r="AZ251" s="1714" t="str">
        <f>IF(Obj_PA!D251="","",IF(AY251="","",Obj_PA!D251-AY251))</f>
        <v/>
      </c>
      <c r="BA251" s="150"/>
      <c r="BB251" s="150"/>
      <c r="BC251" s="150"/>
      <c r="BD251" s="150"/>
      <c r="BE251" s="150"/>
      <c r="BF251" s="150"/>
      <c r="BG251" s="150"/>
      <c r="BH251" s="150"/>
      <c r="BI251" s="150"/>
      <c r="BJ251" s="150"/>
      <c r="BK251" s="155" t="str">
        <f t="shared" si="133"/>
        <v/>
      </c>
      <c r="BL251" s="155" t="str">
        <f t="shared" si="134"/>
        <v/>
      </c>
      <c r="BM251" s="155" t="str">
        <f t="shared" si="135"/>
        <v/>
      </c>
      <c r="BN251" s="155" t="str">
        <f t="shared" si="136"/>
        <v/>
      </c>
      <c r="BO251" s="155" t="str">
        <f t="shared" si="137"/>
        <v/>
      </c>
      <c r="BP251" s="155" t="str">
        <f t="shared" si="138"/>
        <v/>
      </c>
      <c r="BQ251" s="155" t="str">
        <f t="shared" si="139"/>
        <v/>
      </c>
      <c r="BR251" s="155" t="str">
        <f t="shared" si="140"/>
        <v/>
      </c>
      <c r="BS251" s="155" t="str">
        <f t="shared" si="141"/>
        <v/>
      </c>
      <c r="BT251" s="155" t="str">
        <f t="shared" si="142"/>
        <v/>
      </c>
      <c r="BU251" s="155" t="str">
        <f t="shared" si="143"/>
        <v/>
      </c>
      <c r="BV251" s="155" t="str">
        <f t="shared" si="144"/>
        <v/>
      </c>
      <c r="BW251" s="155" t="str">
        <f t="shared" si="145"/>
        <v/>
      </c>
      <c r="BX251" s="155" t="str">
        <f t="shared" si="146"/>
        <v/>
      </c>
      <c r="BY251" s="155" t="str">
        <f t="shared" si="147"/>
        <v/>
      </c>
      <c r="BZ251" s="155" t="str">
        <f t="shared" si="148"/>
        <v/>
      </c>
      <c r="CA251" s="155" t="str">
        <f t="shared" si="149"/>
        <v/>
      </c>
      <c r="CB251" s="155" t="str">
        <f t="shared" si="150"/>
        <v/>
      </c>
      <c r="CC251" s="155" t="str">
        <f t="shared" si="151"/>
        <v/>
      </c>
      <c r="CD251" s="155" t="str">
        <f t="shared" si="152"/>
        <v/>
      </c>
      <c r="CE251" s="155" t="str">
        <f t="shared" si="153"/>
        <v/>
      </c>
      <c r="CF251" s="155" t="str">
        <f t="shared" si="154"/>
        <v/>
      </c>
      <c r="CG251" s="155" t="str">
        <f t="shared" si="155"/>
        <v/>
      </c>
      <c r="CH251" s="155" t="str">
        <f t="shared" si="156"/>
        <v/>
      </c>
      <c r="CI251" s="155" t="str">
        <f t="shared" si="157"/>
        <v/>
      </c>
      <c r="CJ251" s="155" t="str">
        <f t="shared" si="158"/>
        <v/>
      </c>
      <c r="CK251" s="155" t="str">
        <f t="shared" si="159"/>
        <v/>
      </c>
      <c r="CL251" s="155" t="str">
        <f t="shared" si="160"/>
        <v/>
      </c>
      <c r="CM251" s="155" t="str">
        <f t="shared" si="161"/>
        <v/>
      </c>
      <c r="CN251" s="155" t="str">
        <f t="shared" si="162"/>
        <v/>
      </c>
      <c r="CO251" s="155" t="str">
        <f t="shared" si="163"/>
        <v/>
      </c>
      <c r="CP251" s="155" t="str">
        <f t="shared" si="164"/>
        <v/>
      </c>
      <c r="CQ251" s="155" t="str">
        <f t="shared" si="165"/>
        <v/>
      </c>
      <c r="CR251" s="155" t="str">
        <f t="shared" si="166"/>
        <v/>
      </c>
      <c r="CS251" s="155" t="str">
        <f t="shared" si="167"/>
        <v/>
      </c>
      <c r="CT251" s="155" t="str">
        <f t="shared" si="168"/>
        <v/>
      </c>
      <c r="CU251" s="155" t="str">
        <f t="shared" si="169"/>
        <v/>
      </c>
      <c r="CV251" s="155" t="str">
        <f t="shared" si="170"/>
        <v/>
      </c>
      <c r="CW251" s="155" t="str">
        <f t="shared" si="171"/>
        <v/>
      </c>
      <c r="CX251" s="155" t="str">
        <f t="shared" si="172"/>
        <v/>
      </c>
    </row>
    <row r="252" spans="1:128" s="151" customFormat="1" ht="25.5" outlineLevel="1" x14ac:dyDescent="0.2">
      <c r="A252" s="156"/>
      <c r="B252" s="157" t="str">
        <f>Services!B252</f>
        <v>10A01</v>
      </c>
      <c r="C252" s="153" t="str">
        <f>Services!C252</f>
        <v>Prise en compte de la sécurité dans les projets et développements</v>
      </c>
      <c r="D252" s="149"/>
      <c r="E252" s="149"/>
      <c r="F252" s="149"/>
      <c r="G252" s="149"/>
      <c r="H252" s="149"/>
      <c r="I252" s="140" t="str">
        <f t="shared" si="130"/>
        <v/>
      </c>
      <c r="J252" s="141" t="str">
        <f t="shared" si="131"/>
        <v/>
      </c>
      <c r="K252" s="142"/>
      <c r="L252" s="142"/>
      <c r="M252" s="1708"/>
      <c r="N252" s="1708"/>
      <c r="O252" s="1708"/>
      <c r="P252" s="1708"/>
      <c r="Q252" s="1708"/>
      <c r="R252" s="1708"/>
      <c r="S252" s="1708"/>
      <c r="T252" s="1708"/>
      <c r="U252" s="1708"/>
      <c r="V252" s="1708"/>
      <c r="W252" s="1708"/>
      <c r="X252" s="1712"/>
      <c r="Y252" s="1712"/>
      <c r="Z252" s="1712"/>
      <c r="AA252" s="1712"/>
      <c r="AB252" s="1712"/>
      <c r="AC252" s="1712"/>
      <c r="AD252" s="1712"/>
      <c r="AE252" s="1712"/>
      <c r="AF252" s="1712"/>
      <c r="AG252" s="1712"/>
      <c r="AH252" s="1712"/>
      <c r="AI252" s="1712"/>
      <c r="AJ252" s="1712"/>
      <c r="AK252" s="1712"/>
      <c r="AL252" s="1712"/>
      <c r="AM252" s="1712"/>
      <c r="AN252" s="1712"/>
      <c r="AO252" s="1712"/>
      <c r="AP252" s="1712"/>
      <c r="AQ252" s="1712"/>
      <c r="AR252" s="1712"/>
      <c r="AS252" s="1712"/>
      <c r="AT252" s="1712"/>
      <c r="AU252" s="1712"/>
      <c r="AV252" s="1712"/>
      <c r="AW252" s="1712"/>
      <c r="AX252" s="1713"/>
      <c r="AY252" s="1714" t="str">
        <f t="shared" si="132"/>
        <v/>
      </c>
      <c r="AZ252" s="1714" t="str">
        <f>IF(Obj_PA!D252="","",IF(AY252="","",Obj_PA!D252-AY252))</f>
        <v/>
      </c>
      <c r="BA252" s="150"/>
      <c r="BB252" s="150"/>
      <c r="BC252" s="150"/>
      <c r="BD252" s="150"/>
      <c r="BE252" s="150"/>
      <c r="BF252" s="150"/>
      <c r="BG252" s="150"/>
      <c r="BH252" s="150"/>
      <c r="BI252" s="150"/>
      <c r="BJ252" s="150"/>
      <c r="BK252" s="155" t="str">
        <f t="shared" si="133"/>
        <v/>
      </c>
      <c r="BL252" s="155" t="str">
        <f t="shared" si="134"/>
        <v/>
      </c>
      <c r="BM252" s="155" t="str">
        <f t="shared" si="135"/>
        <v/>
      </c>
      <c r="BN252" s="155" t="str">
        <f t="shared" si="136"/>
        <v/>
      </c>
      <c r="BO252" s="155" t="str">
        <f t="shared" si="137"/>
        <v/>
      </c>
      <c r="BP252" s="155" t="str">
        <f t="shared" si="138"/>
        <v/>
      </c>
      <c r="BQ252" s="155" t="str">
        <f t="shared" si="139"/>
        <v/>
      </c>
      <c r="BR252" s="155" t="str">
        <f t="shared" si="140"/>
        <v/>
      </c>
      <c r="BS252" s="155" t="str">
        <f t="shared" si="141"/>
        <v/>
      </c>
      <c r="BT252" s="155" t="str">
        <f t="shared" si="142"/>
        <v/>
      </c>
      <c r="BU252" s="155" t="str">
        <f t="shared" si="143"/>
        <v/>
      </c>
      <c r="BV252" s="155" t="str">
        <f t="shared" si="144"/>
        <v/>
      </c>
      <c r="BW252" s="155" t="str">
        <f t="shared" si="145"/>
        <v/>
      </c>
      <c r="BX252" s="155" t="str">
        <f t="shared" si="146"/>
        <v/>
      </c>
      <c r="BY252" s="155" t="str">
        <f t="shared" si="147"/>
        <v/>
      </c>
      <c r="BZ252" s="155" t="str">
        <f t="shared" si="148"/>
        <v/>
      </c>
      <c r="CA252" s="155" t="str">
        <f t="shared" si="149"/>
        <v/>
      </c>
      <c r="CB252" s="155" t="str">
        <f t="shared" si="150"/>
        <v/>
      </c>
      <c r="CC252" s="155" t="str">
        <f t="shared" si="151"/>
        <v/>
      </c>
      <c r="CD252" s="155" t="str">
        <f t="shared" si="152"/>
        <v/>
      </c>
      <c r="CE252" s="155" t="str">
        <f t="shared" si="153"/>
        <v/>
      </c>
      <c r="CF252" s="155" t="str">
        <f t="shared" si="154"/>
        <v/>
      </c>
      <c r="CG252" s="155" t="str">
        <f t="shared" si="155"/>
        <v/>
      </c>
      <c r="CH252" s="155" t="str">
        <f t="shared" si="156"/>
        <v/>
      </c>
      <c r="CI252" s="155" t="str">
        <f t="shared" si="157"/>
        <v/>
      </c>
      <c r="CJ252" s="155" t="str">
        <f t="shared" si="158"/>
        <v/>
      </c>
      <c r="CK252" s="155" t="str">
        <f t="shared" si="159"/>
        <v/>
      </c>
      <c r="CL252" s="155" t="str">
        <f t="shared" si="160"/>
        <v/>
      </c>
      <c r="CM252" s="155" t="str">
        <f t="shared" si="161"/>
        <v/>
      </c>
      <c r="CN252" s="155" t="str">
        <f t="shared" si="162"/>
        <v/>
      </c>
      <c r="CO252" s="155" t="str">
        <f t="shared" si="163"/>
        <v/>
      </c>
      <c r="CP252" s="155" t="str">
        <f t="shared" si="164"/>
        <v/>
      </c>
      <c r="CQ252" s="155" t="str">
        <f t="shared" si="165"/>
        <v/>
      </c>
      <c r="CR252" s="155" t="str">
        <f t="shared" si="166"/>
        <v/>
      </c>
      <c r="CS252" s="155" t="str">
        <f t="shared" si="167"/>
        <v/>
      </c>
      <c r="CT252" s="155" t="str">
        <f t="shared" si="168"/>
        <v/>
      </c>
      <c r="CU252" s="155" t="str">
        <f t="shared" si="169"/>
        <v/>
      </c>
      <c r="CV252" s="155" t="str">
        <f t="shared" si="170"/>
        <v/>
      </c>
      <c r="CW252" s="155" t="str">
        <f t="shared" si="171"/>
        <v/>
      </c>
      <c r="CX252" s="155" t="str">
        <f t="shared" si="172"/>
        <v/>
      </c>
    </row>
    <row r="253" spans="1:128" s="151" customFormat="1" ht="14.25" outlineLevel="1" x14ac:dyDescent="0.2">
      <c r="A253" s="156"/>
      <c r="B253" s="157" t="str">
        <f>Services!B253</f>
        <v>10A02</v>
      </c>
      <c r="C253" s="153" t="str">
        <f>Services!C253</f>
        <v>Gestion des changements</v>
      </c>
      <c r="D253" s="149"/>
      <c r="E253" s="149"/>
      <c r="F253" s="149"/>
      <c r="G253" s="149"/>
      <c r="H253" s="149"/>
      <c r="I253" s="140" t="str">
        <f t="shared" si="130"/>
        <v/>
      </c>
      <c r="J253" s="141" t="str">
        <f t="shared" si="131"/>
        <v/>
      </c>
      <c r="K253" s="142"/>
      <c r="L253" s="142"/>
      <c r="M253" s="1708"/>
      <c r="N253" s="1708"/>
      <c r="O253" s="1708"/>
      <c r="P253" s="1708"/>
      <c r="Q253" s="1708"/>
      <c r="R253" s="1708"/>
      <c r="S253" s="1708"/>
      <c r="T253" s="1708"/>
      <c r="U253" s="1708"/>
      <c r="V253" s="1708"/>
      <c r="W253" s="1708"/>
      <c r="X253" s="1712"/>
      <c r="Y253" s="1712"/>
      <c r="Z253" s="1712"/>
      <c r="AA253" s="1712"/>
      <c r="AB253" s="1712"/>
      <c r="AC253" s="1712"/>
      <c r="AD253" s="1712"/>
      <c r="AE253" s="1712"/>
      <c r="AF253" s="1712"/>
      <c r="AG253" s="1712"/>
      <c r="AH253" s="1712"/>
      <c r="AI253" s="1712"/>
      <c r="AJ253" s="1712"/>
      <c r="AK253" s="1712"/>
      <c r="AL253" s="1712"/>
      <c r="AM253" s="1712"/>
      <c r="AN253" s="1712"/>
      <c r="AO253" s="1712"/>
      <c r="AP253" s="1712"/>
      <c r="AQ253" s="1712"/>
      <c r="AR253" s="1712"/>
      <c r="AS253" s="1712"/>
      <c r="AT253" s="1712"/>
      <c r="AU253" s="1712"/>
      <c r="AV253" s="1712"/>
      <c r="AW253" s="1712"/>
      <c r="AX253" s="1713"/>
      <c r="AY253" s="1714" t="str">
        <f t="shared" si="132"/>
        <v/>
      </c>
      <c r="AZ253" s="1714" t="str">
        <f>IF(Obj_PA!D253="","",IF(AY253="","",Obj_PA!D253-AY253))</f>
        <v/>
      </c>
      <c r="BA253" s="150"/>
      <c r="BB253" s="150"/>
      <c r="BC253" s="150"/>
      <c r="BD253" s="150"/>
      <c r="BE253" s="150"/>
      <c r="BF253" s="150"/>
      <c r="BG253" s="150"/>
      <c r="BH253" s="150"/>
      <c r="BI253" s="150"/>
      <c r="BJ253" s="150"/>
      <c r="BK253" s="155" t="str">
        <f t="shared" si="133"/>
        <v/>
      </c>
      <c r="BL253" s="155" t="str">
        <f t="shared" si="134"/>
        <v/>
      </c>
      <c r="BM253" s="155" t="str">
        <f t="shared" si="135"/>
        <v/>
      </c>
      <c r="BN253" s="155" t="str">
        <f t="shared" si="136"/>
        <v/>
      </c>
      <c r="BO253" s="155" t="str">
        <f t="shared" si="137"/>
        <v/>
      </c>
      <c r="BP253" s="155" t="str">
        <f t="shared" si="138"/>
        <v/>
      </c>
      <c r="BQ253" s="155" t="str">
        <f t="shared" si="139"/>
        <v/>
      </c>
      <c r="BR253" s="155" t="str">
        <f t="shared" si="140"/>
        <v/>
      </c>
      <c r="BS253" s="155" t="str">
        <f t="shared" si="141"/>
        <v/>
      </c>
      <c r="BT253" s="155" t="str">
        <f t="shared" si="142"/>
        <v/>
      </c>
      <c r="BU253" s="155" t="str">
        <f t="shared" si="143"/>
        <v/>
      </c>
      <c r="BV253" s="155" t="str">
        <f t="shared" si="144"/>
        <v/>
      </c>
      <c r="BW253" s="155" t="str">
        <f t="shared" si="145"/>
        <v/>
      </c>
      <c r="BX253" s="155" t="str">
        <f t="shared" si="146"/>
        <v/>
      </c>
      <c r="BY253" s="155" t="str">
        <f t="shared" si="147"/>
        <v/>
      </c>
      <c r="BZ253" s="155" t="str">
        <f t="shared" si="148"/>
        <v/>
      </c>
      <c r="CA253" s="155" t="str">
        <f t="shared" si="149"/>
        <v/>
      </c>
      <c r="CB253" s="155" t="str">
        <f t="shared" si="150"/>
        <v/>
      </c>
      <c r="CC253" s="155" t="str">
        <f t="shared" si="151"/>
        <v/>
      </c>
      <c r="CD253" s="155" t="str">
        <f t="shared" si="152"/>
        <v/>
      </c>
      <c r="CE253" s="155" t="str">
        <f t="shared" si="153"/>
        <v/>
      </c>
      <c r="CF253" s="155" t="str">
        <f t="shared" si="154"/>
        <v/>
      </c>
      <c r="CG253" s="155" t="str">
        <f t="shared" si="155"/>
        <v/>
      </c>
      <c r="CH253" s="155" t="str">
        <f t="shared" si="156"/>
        <v/>
      </c>
      <c r="CI253" s="155" t="str">
        <f t="shared" si="157"/>
        <v/>
      </c>
      <c r="CJ253" s="155" t="str">
        <f t="shared" si="158"/>
        <v/>
      </c>
      <c r="CK253" s="155" t="str">
        <f t="shared" si="159"/>
        <v/>
      </c>
      <c r="CL253" s="155" t="str">
        <f t="shared" si="160"/>
        <v/>
      </c>
      <c r="CM253" s="155" t="str">
        <f t="shared" si="161"/>
        <v/>
      </c>
      <c r="CN253" s="155" t="str">
        <f t="shared" si="162"/>
        <v/>
      </c>
      <c r="CO253" s="155" t="str">
        <f t="shared" si="163"/>
        <v/>
      </c>
      <c r="CP253" s="155" t="str">
        <f t="shared" si="164"/>
        <v/>
      </c>
      <c r="CQ253" s="155" t="str">
        <f t="shared" si="165"/>
        <v/>
      </c>
      <c r="CR253" s="155" t="str">
        <f t="shared" si="166"/>
        <v/>
      </c>
      <c r="CS253" s="155" t="str">
        <f t="shared" si="167"/>
        <v/>
      </c>
      <c r="CT253" s="155" t="str">
        <f t="shared" si="168"/>
        <v/>
      </c>
      <c r="CU253" s="155" t="str">
        <f t="shared" si="169"/>
        <v/>
      </c>
      <c r="CV253" s="155" t="str">
        <f t="shared" si="170"/>
        <v/>
      </c>
      <c r="CW253" s="155" t="str">
        <f t="shared" si="171"/>
        <v/>
      </c>
      <c r="CX253" s="155" t="str">
        <f t="shared" si="172"/>
        <v/>
      </c>
    </row>
    <row r="254" spans="1:128" s="151" customFormat="1" ht="25.5" outlineLevel="1" x14ac:dyDescent="0.2">
      <c r="A254" s="156"/>
      <c r="B254" s="157" t="str">
        <f>Services!B254</f>
        <v>10A03</v>
      </c>
      <c r="C254" s="153" t="str">
        <f>Services!C254</f>
        <v>Externalisation du développement logiciel (développement en sous-traitance)</v>
      </c>
      <c r="D254" s="149"/>
      <c r="E254" s="149"/>
      <c r="F254" s="149"/>
      <c r="G254" s="149"/>
      <c r="H254" s="149"/>
      <c r="I254" s="140" t="str">
        <f t="shared" si="130"/>
        <v/>
      </c>
      <c r="J254" s="141" t="str">
        <f t="shared" si="131"/>
        <v/>
      </c>
      <c r="K254" s="142"/>
      <c r="L254" s="142"/>
      <c r="M254" s="1708"/>
      <c r="N254" s="1708"/>
      <c r="O254" s="1708"/>
      <c r="P254" s="1708"/>
      <c r="Q254" s="1708"/>
      <c r="R254" s="1708"/>
      <c r="S254" s="1708"/>
      <c r="T254" s="1708"/>
      <c r="U254" s="1708"/>
      <c r="V254" s="1708"/>
      <c r="W254" s="1708"/>
      <c r="X254" s="1712"/>
      <c r="Y254" s="1712"/>
      <c r="Z254" s="1712"/>
      <c r="AA254" s="1712"/>
      <c r="AB254" s="1712"/>
      <c r="AC254" s="1712"/>
      <c r="AD254" s="1712"/>
      <c r="AE254" s="1712"/>
      <c r="AF254" s="1712"/>
      <c r="AG254" s="1712"/>
      <c r="AH254" s="1712"/>
      <c r="AI254" s="1712"/>
      <c r="AJ254" s="1712"/>
      <c r="AK254" s="1712"/>
      <c r="AL254" s="1712"/>
      <c r="AM254" s="1712"/>
      <c r="AN254" s="1712"/>
      <c r="AO254" s="1712"/>
      <c r="AP254" s="1712"/>
      <c r="AQ254" s="1712"/>
      <c r="AR254" s="1712"/>
      <c r="AS254" s="1712"/>
      <c r="AT254" s="1712"/>
      <c r="AU254" s="1712"/>
      <c r="AV254" s="1712"/>
      <c r="AW254" s="1712"/>
      <c r="AX254" s="1713"/>
      <c r="AY254" s="1714" t="str">
        <f t="shared" si="132"/>
        <v/>
      </c>
      <c r="AZ254" s="1714" t="str">
        <f>IF(Obj_PA!D254="","",IF(AY254="","",Obj_PA!D254-AY254))</f>
        <v/>
      </c>
      <c r="BA254" s="150"/>
      <c r="BB254" s="150"/>
      <c r="BC254" s="150"/>
      <c r="BD254" s="150"/>
      <c r="BE254" s="150"/>
      <c r="BF254" s="150"/>
      <c r="BG254" s="150"/>
      <c r="BH254" s="150"/>
      <c r="BI254" s="150"/>
      <c r="BJ254" s="150"/>
      <c r="BK254" s="155" t="str">
        <f t="shared" si="133"/>
        <v/>
      </c>
      <c r="BL254" s="155" t="str">
        <f t="shared" si="134"/>
        <v/>
      </c>
      <c r="BM254" s="155" t="str">
        <f t="shared" si="135"/>
        <v/>
      </c>
      <c r="BN254" s="155" t="str">
        <f t="shared" si="136"/>
        <v/>
      </c>
      <c r="BO254" s="155" t="str">
        <f t="shared" si="137"/>
        <v/>
      </c>
      <c r="BP254" s="155" t="str">
        <f t="shared" si="138"/>
        <v/>
      </c>
      <c r="BQ254" s="155" t="str">
        <f t="shared" si="139"/>
        <v/>
      </c>
      <c r="BR254" s="155" t="str">
        <f t="shared" si="140"/>
        <v/>
      </c>
      <c r="BS254" s="155" t="str">
        <f t="shared" si="141"/>
        <v/>
      </c>
      <c r="BT254" s="155" t="str">
        <f t="shared" si="142"/>
        <v/>
      </c>
      <c r="BU254" s="155" t="str">
        <f t="shared" si="143"/>
        <v/>
      </c>
      <c r="BV254" s="155" t="str">
        <f t="shared" si="144"/>
        <v/>
      </c>
      <c r="BW254" s="155" t="str">
        <f t="shared" si="145"/>
        <v/>
      </c>
      <c r="BX254" s="155" t="str">
        <f t="shared" si="146"/>
        <v/>
      </c>
      <c r="BY254" s="155" t="str">
        <f t="shared" si="147"/>
        <v/>
      </c>
      <c r="BZ254" s="155" t="str">
        <f t="shared" si="148"/>
        <v/>
      </c>
      <c r="CA254" s="155" t="str">
        <f t="shared" si="149"/>
        <v/>
      </c>
      <c r="CB254" s="155" t="str">
        <f t="shared" si="150"/>
        <v/>
      </c>
      <c r="CC254" s="155" t="str">
        <f t="shared" si="151"/>
        <v/>
      </c>
      <c r="CD254" s="155" t="str">
        <f t="shared" si="152"/>
        <v/>
      </c>
      <c r="CE254" s="155" t="str">
        <f t="shared" si="153"/>
        <v/>
      </c>
      <c r="CF254" s="155" t="str">
        <f t="shared" si="154"/>
        <v/>
      </c>
      <c r="CG254" s="155" t="str">
        <f t="shared" si="155"/>
        <v/>
      </c>
      <c r="CH254" s="155" t="str">
        <f t="shared" si="156"/>
        <v/>
      </c>
      <c r="CI254" s="155" t="str">
        <f t="shared" si="157"/>
        <v/>
      </c>
      <c r="CJ254" s="155" t="str">
        <f t="shared" si="158"/>
        <v/>
      </c>
      <c r="CK254" s="155" t="str">
        <f t="shared" si="159"/>
        <v/>
      </c>
      <c r="CL254" s="155" t="str">
        <f t="shared" si="160"/>
        <v/>
      </c>
      <c r="CM254" s="155" t="str">
        <f t="shared" si="161"/>
        <v/>
      </c>
      <c r="CN254" s="155" t="str">
        <f t="shared" si="162"/>
        <v/>
      </c>
      <c r="CO254" s="155" t="str">
        <f t="shared" si="163"/>
        <v/>
      </c>
      <c r="CP254" s="155" t="str">
        <f t="shared" si="164"/>
        <v/>
      </c>
      <c r="CQ254" s="155" t="str">
        <f t="shared" si="165"/>
        <v/>
      </c>
      <c r="CR254" s="155" t="str">
        <f t="shared" si="166"/>
        <v/>
      </c>
      <c r="CS254" s="155" t="str">
        <f t="shared" si="167"/>
        <v/>
      </c>
      <c r="CT254" s="155" t="str">
        <f t="shared" si="168"/>
        <v/>
      </c>
      <c r="CU254" s="155" t="str">
        <f t="shared" si="169"/>
        <v/>
      </c>
      <c r="CV254" s="155" t="str">
        <f t="shared" si="170"/>
        <v/>
      </c>
      <c r="CW254" s="155" t="str">
        <f t="shared" si="171"/>
        <v/>
      </c>
      <c r="CX254" s="155" t="str">
        <f t="shared" si="172"/>
        <v/>
      </c>
    </row>
    <row r="255" spans="1:128" s="151" customFormat="1" ht="15" outlineLevel="1" x14ac:dyDescent="0.25">
      <c r="A255" s="165"/>
      <c r="B255" s="157" t="str">
        <f>Services!B255</f>
        <v>10A04</v>
      </c>
      <c r="C255" s="153" t="str">
        <f>Services!C255</f>
        <v>Organisation de la maintenance applicative</v>
      </c>
      <c r="D255" s="149">
        <f>1*(8*Plans_action!E224+Plans_action!D224)+1*(8*Plans_action!E249+Plans_action!D249)</f>
        <v>0</v>
      </c>
      <c r="E255" s="149">
        <f>2*(8*Plans_action!E215+Plans_action!D215)+2*(8*Plans_action!E240+Plans_action!D240)</f>
        <v>0</v>
      </c>
      <c r="F255" s="149"/>
      <c r="G255" s="149"/>
      <c r="H255" s="149"/>
      <c r="I255" s="140" t="str">
        <f t="shared" si="130"/>
        <v/>
      </c>
      <c r="J255" s="141" t="str">
        <f t="shared" si="131"/>
        <v/>
      </c>
      <c r="K255" s="142"/>
      <c r="L255" s="142"/>
      <c r="M255" s="1708"/>
      <c r="N255" s="1708"/>
      <c r="O255" s="1708"/>
      <c r="P255" s="1708"/>
      <c r="Q255" s="1708"/>
      <c r="R255" s="1708"/>
      <c r="S255" s="1708"/>
      <c r="T255" s="1708"/>
      <c r="U255" s="1708"/>
      <c r="V255" s="1708"/>
      <c r="W255" s="1708"/>
      <c r="X255" s="1712"/>
      <c r="Y255" s="1712"/>
      <c r="Z255" s="1712"/>
      <c r="AA255" s="1712"/>
      <c r="AB255" s="1712"/>
      <c r="AC255" s="1712"/>
      <c r="AD255" s="1712"/>
      <c r="AE255" s="1712"/>
      <c r="AF255" s="1712"/>
      <c r="AG255" s="1712"/>
      <c r="AH255" s="1712"/>
      <c r="AI255" s="1712"/>
      <c r="AJ255" s="1712"/>
      <c r="AK255" s="1712"/>
      <c r="AL255" s="1712"/>
      <c r="AM255" s="1712"/>
      <c r="AN255" s="1712"/>
      <c r="AO255" s="1712"/>
      <c r="AP255" s="1712"/>
      <c r="AQ255" s="1712"/>
      <c r="AR255" s="1712"/>
      <c r="AS255" s="1712"/>
      <c r="AT255" s="1712"/>
      <c r="AU255" s="1712"/>
      <c r="AV255" s="1712"/>
      <c r="AW255" s="1712"/>
      <c r="AX255" s="1713"/>
      <c r="AY255" s="1714" t="str">
        <f t="shared" si="132"/>
        <v/>
      </c>
      <c r="AZ255" s="1714" t="str">
        <f>IF(Obj_PA!D255="","",IF(AY255="","",Obj_PA!D255-AY255))</f>
        <v/>
      </c>
      <c r="BA255" s="150"/>
      <c r="BB255" s="150"/>
      <c r="BC255" s="150"/>
      <c r="BD255" s="150"/>
      <c r="BE255" s="150"/>
      <c r="BF255" s="150"/>
      <c r="BG255" s="150"/>
      <c r="BH255" s="150"/>
      <c r="BI255" s="150"/>
      <c r="BJ255" s="150"/>
      <c r="BK255" s="155" t="str">
        <f t="shared" si="133"/>
        <v/>
      </c>
      <c r="BL255" s="155" t="str">
        <f t="shared" si="134"/>
        <v/>
      </c>
      <c r="BM255" s="155" t="str">
        <f t="shared" si="135"/>
        <v/>
      </c>
      <c r="BN255" s="155" t="str">
        <f t="shared" si="136"/>
        <v/>
      </c>
      <c r="BO255" s="155" t="str">
        <f t="shared" si="137"/>
        <v/>
      </c>
      <c r="BP255" s="155" t="str">
        <f t="shared" si="138"/>
        <v/>
      </c>
      <c r="BQ255" s="155" t="str">
        <f t="shared" si="139"/>
        <v/>
      </c>
      <c r="BR255" s="155" t="str">
        <f t="shared" si="140"/>
        <v/>
      </c>
      <c r="BS255" s="155" t="str">
        <f t="shared" si="141"/>
        <v/>
      </c>
      <c r="BT255" s="155" t="str">
        <f t="shared" si="142"/>
        <v/>
      </c>
      <c r="BU255" s="155" t="str">
        <f t="shared" si="143"/>
        <v/>
      </c>
      <c r="BV255" s="155" t="str">
        <f t="shared" si="144"/>
        <v/>
      </c>
      <c r="BW255" s="155" t="str">
        <f t="shared" si="145"/>
        <v/>
      </c>
      <c r="BX255" s="155" t="str">
        <f t="shared" si="146"/>
        <v/>
      </c>
      <c r="BY255" s="155" t="str">
        <f t="shared" si="147"/>
        <v/>
      </c>
      <c r="BZ255" s="155" t="str">
        <f t="shared" si="148"/>
        <v/>
      </c>
      <c r="CA255" s="155" t="str">
        <f t="shared" si="149"/>
        <v/>
      </c>
      <c r="CB255" s="155" t="str">
        <f t="shared" si="150"/>
        <v/>
      </c>
      <c r="CC255" s="155" t="str">
        <f t="shared" si="151"/>
        <v/>
      </c>
      <c r="CD255" s="155" t="str">
        <f t="shared" si="152"/>
        <v/>
      </c>
      <c r="CE255" s="155" t="str">
        <f t="shared" si="153"/>
        <v/>
      </c>
      <c r="CF255" s="155" t="str">
        <f t="shared" si="154"/>
        <v/>
      </c>
      <c r="CG255" s="155" t="str">
        <f t="shared" si="155"/>
        <v/>
      </c>
      <c r="CH255" s="155" t="str">
        <f t="shared" si="156"/>
        <v/>
      </c>
      <c r="CI255" s="155" t="str">
        <f t="shared" si="157"/>
        <v/>
      </c>
      <c r="CJ255" s="155" t="str">
        <f t="shared" si="158"/>
        <v/>
      </c>
      <c r="CK255" s="155" t="str">
        <f t="shared" si="159"/>
        <v/>
      </c>
      <c r="CL255" s="155" t="str">
        <f t="shared" si="160"/>
        <v/>
      </c>
      <c r="CM255" s="155" t="str">
        <f t="shared" si="161"/>
        <v/>
      </c>
      <c r="CN255" s="155" t="str">
        <f t="shared" si="162"/>
        <v/>
      </c>
      <c r="CO255" s="155" t="str">
        <f t="shared" si="163"/>
        <v/>
      </c>
      <c r="CP255" s="155" t="str">
        <f t="shared" si="164"/>
        <v/>
      </c>
      <c r="CQ255" s="155" t="str">
        <f t="shared" si="165"/>
        <v/>
      </c>
      <c r="CR255" s="155" t="str">
        <f t="shared" si="166"/>
        <v/>
      </c>
      <c r="CS255" s="155" t="str">
        <f t="shared" si="167"/>
        <v/>
      </c>
      <c r="CT255" s="155" t="str">
        <f t="shared" si="168"/>
        <v/>
      </c>
      <c r="CU255" s="155" t="str">
        <f t="shared" si="169"/>
        <v/>
      </c>
      <c r="CV255" s="155" t="str">
        <f t="shared" si="170"/>
        <v/>
      </c>
      <c r="CW255" s="155" t="str">
        <f t="shared" si="171"/>
        <v/>
      </c>
      <c r="CX255" s="155" t="str">
        <f t="shared" si="172"/>
        <v/>
      </c>
    </row>
    <row r="256" spans="1:128" s="151" customFormat="1" ht="15" outlineLevel="1" x14ac:dyDescent="0.25">
      <c r="A256" s="165"/>
      <c r="B256" s="157" t="str">
        <f>Services!B256</f>
        <v>10A05</v>
      </c>
      <c r="C256" s="153" t="str">
        <f>Services!C256</f>
        <v>Modification des progiciels</v>
      </c>
      <c r="D256" s="149"/>
      <c r="E256" s="149"/>
      <c r="F256" s="149"/>
      <c r="G256" s="149"/>
      <c r="H256" s="149"/>
      <c r="I256" s="140" t="str">
        <f t="shared" si="130"/>
        <v/>
      </c>
      <c r="J256" s="141" t="str">
        <f t="shared" si="131"/>
        <v/>
      </c>
      <c r="K256" s="142"/>
      <c r="L256" s="142"/>
      <c r="M256" s="1708"/>
      <c r="N256" s="1708"/>
      <c r="O256" s="1708"/>
      <c r="P256" s="1708"/>
      <c r="Q256" s="1708"/>
      <c r="R256" s="1708"/>
      <c r="S256" s="1708"/>
      <c r="T256" s="1708"/>
      <c r="U256" s="1708"/>
      <c r="V256" s="1708"/>
      <c r="W256" s="1708"/>
      <c r="X256" s="1712"/>
      <c r="Y256" s="1712"/>
      <c r="Z256" s="1712"/>
      <c r="AA256" s="1712"/>
      <c r="AB256" s="1712"/>
      <c r="AC256" s="1712"/>
      <c r="AD256" s="1712"/>
      <c r="AE256" s="1712"/>
      <c r="AF256" s="1712"/>
      <c r="AG256" s="1712"/>
      <c r="AH256" s="1712"/>
      <c r="AI256" s="1712"/>
      <c r="AJ256" s="1712"/>
      <c r="AK256" s="1712"/>
      <c r="AL256" s="1712"/>
      <c r="AM256" s="1712"/>
      <c r="AN256" s="1712"/>
      <c r="AO256" s="1712"/>
      <c r="AP256" s="1712"/>
      <c r="AQ256" s="1712"/>
      <c r="AR256" s="1712"/>
      <c r="AS256" s="1712"/>
      <c r="AT256" s="1712"/>
      <c r="AU256" s="1712"/>
      <c r="AV256" s="1712"/>
      <c r="AW256" s="1712"/>
      <c r="AX256" s="1713"/>
      <c r="AY256" s="1714" t="str">
        <f t="shared" si="132"/>
        <v/>
      </c>
      <c r="AZ256" s="1714" t="str">
        <f>IF(Obj_PA!D256="","",IF(AY256="","",Obj_PA!D256-AY256))</f>
        <v/>
      </c>
      <c r="BA256" s="150"/>
      <c r="BB256" s="150"/>
      <c r="BC256" s="150"/>
      <c r="BD256" s="150"/>
      <c r="BE256" s="150"/>
      <c r="BF256" s="150"/>
      <c r="BG256" s="150"/>
      <c r="BH256" s="150"/>
      <c r="BI256" s="150"/>
      <c r="BJ256" s="150"/>
      <c r="BK256" s="155" t="str">
        <f t="shared" si="133"/>
        <v/>
      </c>
      <c r="BL256" s="155" t="str">
        <f t="shared" si="134"/>
        <v/>
      </c>
      <c r="BM256" s="155" t="str">
        <f t="shared" si="135"/>
        <v/>
      </c>
      <c r="BN256" s="155" t="str">
        <f t="shared" si="136"/>
        <v/>
      </c>
      <c r="BO256" s="155" t="str">
        <f t="shared" si="137"/>
        <v/>
      </c>
      <c r="BP256" s="155" t="str">
        <f t="shared" si="138"/>
        <v/>
      </c>
      <c r="BQ256" s="155" t="str">
        <f t="shared" si="139"/>
        <v/>
      </c>
      <c r="BR256" s="155" t="str">
        <f t="shared" si="140"/>
        <v/>
      </c>
      <c r="BS256" s="155" t="str">
        <f t="shared" si="141"/>
        <v/>
      </c>
      <c r="BT256" s="155" t="str">
        <f t="shared" si="142"/>
        <v/>
      </c>
      <c r="BU256" s="155" t="str">
        <f t="shared" si="143"/>
        <v/>
      </c>
      <c r="BV256" s="155" t="str">
        <f t="shared" si="144"/>
        <v/>
      </c>
      <c r="BW256" s="155" t="str">
        <f t="shared" si="145"/>
        <v/>
      </c>
      <c r="BX256" s="155" t="str">
        <f t="shared" si="146"/>
        <v/>
      </c>
      <c r="BY256" s="155" t="str">
        <f t="shared" si="147"/>
        <v/>
      </c>
      <c r="BZ256" s="155" t="str">
        <f t="shared" si="148"/>
        <v/>
      </c>
      <c r="CA256" s="155" t="str">
        <f t="shared" si="149"/>
        <v/>
      </c>
      <c r="CB256" s="155" t="str">
        <f t="shared" si="150"/>
        <v/>
      </c>
      <c r="CC256" s="155" t="str">
        <f t="shared" si="151"/>
        <v/>
      </c>
      <c r="CD256" s="155" t="str">
        <f t="shared" si="152"/>
        <v/>
      </c>
      <c r="CE256" s="155" t="str">
        <f t="shared" si="153"/>
        <v/>
      </c>
      <c r="CF256" s="155" t="str">
        <f t="shared" si="154"/>
        <v/>
      </c>
      <c r="CG256" s="155" t="str">
        <f t="shared" si="155"/>
        <v/>
      </c>
      <c r="CH256" s="155" t="str">
        <f t="shared" si="156"/>
        <v/>
      </c>
      <c r="CI256" s="155" t="str">
        <f t="shared" si="157"/>
        <v/>
      </c>
      <c r="CJ256" s="155" t="str">
        <f t="shared" si="158"/>
        <v/>
      </c>
      <c r="CK256" s="155" t="str">
        <f t="shared" si="159"/>
        <v/>
      </c>
      <c r="CL256" s="155" t="str">
        <f t="shared" si="160"/>
        <v/>
      </c>
      <c r="CM256" s="155" t="str">
        <f t="shared" si="161"/>
        <v/>
      </c>
      <c r="CN256" s="155" t="str">
        <f t="shared" si="162"/>
        <v/>
      </c>
      <c r="CO256" s="155" t="str">
        <f t="shared" si="163"/>
        <v/>
      </c>
      <c r="CP256" s="155" t="str">
        <f t="shared" si="164"/>
        <v/>
      </c>
      <c r="CQ256" s="155" t="str">
        <f t="shared" si="165"/>
        <v/>
      </c>
      <c r="CR256" s="155" t="str">
        <f t="shared" si="166"/>
        <v/>
      </c>
      <c r="CS256" s="155" t="str">
        <f t="shared" si="167"/>
        <v/>
      </c>
      <c r="CT256" s="155" t="str">
        <f t="shared" si="168"/>
        <v/>
      </c>
      <c r="CU256" s="155" t="str">
        <f t="shared" si="169"/>
        <v/>
      </c>
      <c r="CV256" s="155" t="str">
        <f t="shared" si="170"/>
        <v/>
      </c>
      <c r="CW256" s="155" t="str">
        <f t="shared" si="171"/>
        <v/>
      </c>
      <c r="CX256" s="155" t="str">
        <f t="shared" si="172"/>
        <v/>
      </c>
    </row>
    <row r="257" spans="1:16384" s="151" customFormat="1" ht="14.25" outlineLevel="1" x14ac:dyDescent="0.2">
      <c r="A257" s="156"/>
      <c r="B257" s="157" t="str">
        <f>Services!B257</f>
        <v>10B</v>
      </c>
      <c r="C257" s="153" t="str">
        <f>Services!C257</f>
        <v>Sécurité des processus de développement et de maintenance</v>
      </c>
      <c r="D257" s="149"/>
      <c r="E257" s="149"/>
      <c r="F257" s="149"/>
      <c r="G257" s="149"/>
      <c r="H257" s="149"/>
      <c r="I257" s="140" t="str">
        <f t="shared" si="130"/>
        <v/>
      </c>
      <c r="J257" s="141" t="str">
        <f t="shared" si="131"/>
        <v/>
      </c>
      <c r="K257" s="142"/>
      <c r="L257" s="142"/>
      <c r="M257" s="1708"/>
      <c r="N257" s="1708"/>
      <c r="O257" s="1708"/>
      <c r="P257" s="1708"/>
      <c r="Q257" s="1708"/>
      <c r="R257" s="1708"/>
      <c r="S257" s="1708"/>
      <c r="T257" s="1708"/>
      <c r="U257" s="1708"/>
      <c r="V257" s="1708"/>
      <c r="W257" s="1708"/>
      <c r="X257" s="1712"/>
      <c r="Y257" s="1712"/>
      <c r="Z257" s="1712"/>
      <c r="AA257" s="1712"/>
      <c r="AB257" s="1712"/>
      <c r="AC257" s="1712"/>
      <c r="AD257" s="1712"/>
      <c r="AE257" s="1712"/>
      <c r="AF257" s="1712"/>
      <c r="AG257" s="1712"/>
      <c r="AH257" s="1712"/>
      <c r="AI257" s="1712"/>
      <c r="AJ257" s="1712"/>
      <c r="AK257" s="1712"/>
      <c r="AL257" s="1712"/>
      <c r="AM257" s="1712"/>
      <c r="AN257" s="1712"/>
      <c r="AO257" s="1712"/>
      <c r="AP257" s="1712"/>
      <c r="AQ257" s="1712"/>
      <c r="AR257" s="1712"/>
      <c r="AS257" s="1712"/>
      <c r="AT257" s="1712"/>
      <c r="AU257" s="1712"/>
      <c r="AV257" s="1712"/>
      <c r="AW257" s="1712"/>
      <c r="AX257" s="1713"/>
      <c r="AY257" s="1714" t="str">
        <f t="shared" si="132"/>
        <v/>
      </c>
      <c r="AZ257" s="1714" t="str">
        <f>IF(Obj_PA!D257="","",IF(AY257="","",Obj_PA!D257-AY257))</f>
        <v/>
      </c>
      <c r="BA257" s="150"/>
      <c r="BB257" s="150"/>
      <c r="BC257" s="150"/>
      <c r="BD257" s="150"/>
      <c r="BE257" s="150"/>
      <c r="BF257" s="150"/>
      <c r="BG257" s="150"/>
      <c r="BH257" s="150"/>
      <c r="BI257" s="150"/>
      <c r="BJ257" s="150"/>
      <c r="BK257" s="155" t="str">
        <f t="shared" si="133"/>
        <v/>
      </c>
      <c r="BL257" s="155" t="str">
        <f t="shared" si="134"/>
        <v/>
      </c>
      <c r="BM257" s="155" t="str">
        <f t="shared" si="135"/>
        <v/>
      </c>
      <c r="BN257" s="155" t="str">
        <f t="shared" si="136"/>
        <v/>
      </c>
      <c r="BO257" s="155" t="str">
        <f t="shared" si="137"/>
        <v/>
      </c>
      <c r="BP257" s="155" t="str">
        <f t="shared" si="138"/>
        <v/>
      </c>
      <c r="BQ257" s="155" t="str">
        <f t="shared" si="139"/>
        <v/>
      </c>
      <c r="BR257" s="155" t="str">
        <f t="shared" si="140"/>
        <v/>
      </c>
      <c r="BS257" s="155" t="str">
        <f t="shared" si="141"/>
        <v/>
      </c>
      <c r="BT257" s="155" t="str">
        <f t="shared" si="142"/>
        <v/>
      </c>
      <c r="BU257" s="155" t="str">
        <f t="shared" si="143"/>
        <v/>
      </c>
      <c r="BV257" s="155" t="str">
        <f t="shared" si="144"/>
        <v/>
      </c>
      <c r="BW257" s="155" t="str">
        <f t="shared" si="145"/>
        <v/>
      </c>
      <c r="BX257" s="155" t="str">
        <f t="shared" si="146"/>
        <v/>
      </c>
      <c r="BY257" s="155" t="str">
        <f t="shared" si="147"/>
        <v/>
      </c>
      <c r="BZ257" s="155" t="str">
        <f t="shared" si="148"/>
        <v/>
      </c>
      <c r="CA257" s="155" t="str">
        <f t="shared" si="149"/>
        <v/>
      </c>
      <c r="CB257" s="155" t="str">
        <f t="shared" si="150"/>
        <v/>
      </c>
      <c r="CC257" s="155" t="str">
        <f t="shared" si="151"/>
        <v/>
      </c>
      <c r="CD257" s="155" t="str">
        <f t="shared" si="152"/>
        <v/>
      </c>
      <c r="CE257" s="155" t="str">
        <f t="shared" si="153"/>
        <v/>
      </c>
      <c r="CF257" s="155" t="str">
        <f t="shared" si="154"/>
        <v/>
      </c>
      <c r="CG257" s="155" t="str">
        <f t="shared" si="155"/>
        <v/>
      </c>
      <c r="CH257" s="155" t="str">
        <f t="shared" si="156"/>
        <v/>
      </c>
      <c r="CI257" s="155" t="str">
        <f t="shared" si="157"/>
        <v/>
      </c>
      <c r="CJ257" s="155" t="str">
        <f t="shared" si="158"/>
        <v/>
      </c>
      <c r="CK257" s="155" t="str">
        <f t="shared" si="159"/>
        <v/>
      </c>
      <c r="CL257" s="155" t="str">
        <f t="shared" si="160"/>
        <v/>
      </c>
      <c r="CM257" s="155" t="str">
        <f t="shared" si="161"/>
        <v/>
      </c>
      <c r="CN257" s="155" t="str">
        <f t="shared" si="162"/>
        <v/>
      </c>
      <c r="CO257" s="155" t="str">
        <f t="shared" si="163"/>
        <v/>
      </c>
      <c r="CP257" s="155" t="str">
        <f t="shared" si="164"/>
        <v/>
      </c>
      <c r="CQ257" s="155" t="str">
        <f t="shared" si="165"/>
        <v/>
      </c>
      <c r="CR257" s="155" t="str">
        <f t="shared" si="166"/>
        <v/>
      </c>
      <c r="CS257" s="155" t="str">
        <f t="shared" si="167"/>
        <v/>
      </c>
      <c r="CT257" s="155" t="str">
        <f t="shared" si="168"/>
        <v/>
      </c>
      <c r="CU257" s="155" t="str">
        <f t="shared" si="169"/>
        <v/>
      </c>
      <c r="CV257" s="155" t="str">
        <f t="shared" si="170"/>
        <v/>
      </c>
      <c r="CW257" s="155" t="str">
        <f t="shared" si="171"/>
        <v/>
      </c>
      <c r="CX257" s="155" t="str">
        <f t="shared" si="172"/>
        <v/>
      </c>
    </row>
    <row r="258" spans="1:16384" s="151" customFormat="1" ht="14.25" outlineLevel="1" x14ac:dyDescent="0.2">
      <c r="A258" s="156"/>
      <c r="B258" s="157" t="str">
        <f>Services!B258</f>
        <v>10B01</v>
      </c>
      <c r="C258" s="153" t="str">
        <f>Services!C258</f>
        <v>Sécurité des processus des développements applicatifs</v>
      </c>
      <c r="D258" s="149"/>
      <c r="E258" s="149"/>
      <c r="F258" s="149">
        <f>3*(8*Plans_action!E273+Plans_action!D273)+3*(8*Plans_action!E290+Plans_action!D290)</f>
        <v>0</v>
      </c>
      <c r="G258" s="149"/>
      <c r="H258" s="149">
        <f>5*(8*Plans_action!E273+Plans_action!D273)+5*(8*Plans_action!E290+Plans_action!D290)</f>
        <v>0</v>
      </c>
      <c r="I258" s="140" t="str">
        <f t="shared" si="130"/>
        <v/>
      </c>
      <c r="J258" s="141" t="str">
        <f t="shared" si="131"/>
        <v/>
      </c>
      <c r="K258" s="142"/>
      <c r="L258" s="142"/>
      <c r="M258" s="1708"/>
      <c r="N258" s="1708"/>
      <c r="O258" s="1708"/>
      <c r="P258" s="1708"/>
      <c r="Q258" s="1708"/>
      <c r="R258" s="1708"/>
      <c r="S258" s="1708"/>
      <c r="T258" s="1708"/>
      <c r="U258" s="1708"/>
      <c r="V258" s="1708"/>
      <c r="W258" s="1708"/>
      <c r="X258" s="1712"/>
      <c r="Y258" s="1712"/>
      <c r="Z258" s="1712"/>
      <c r="AA258" s="1712"/>
      <c r="AB258" s="1712"/>
      <c r="AC258" s="1712"/>
      <c r="AD258" s="1712"/>
      <c r="AE258" s="1712"/>
      <c r="AF258" s="1712"/>
      <c r="AG258" s="1712"/>
      <c r="AH258" s="1712"/>
      <c r="AI258" s="1712"/>
      <c r="AJ258" s="1712"/>
      <c r="AK258" s="1712"/>
      <c r="AL258" s="1712"/>
      <c r="AM258" s="1712"/>
      <c r="AN258" s="1712"/>
      <c r="AO258" s="1712"/>
      <c r="AP258" s="1712"/>
      <c r="AQ258" s="1712"/>
      <c r="AR258" s="1712"/>
      <c r="AS258" s="1712"/>
      <c r="AT258" s="1712"/>
      <c r="AU258" s="1712"/>
      <c r="AV258" s="1712"/>
      <c r="AW258" s="1712"/>
      <c r="AX258" s="1713"/>
      <c r="AY258" s="1714" t="str">
        <f t="shared" si="132"/>
        <v/>
      </c>
      <c r="AZ258" s="1714" t="str">
        <f>IF(Obj_PA!D258="","",IF(AY258="","",Obj_PA!D258-AY258))</f>
        <v/>
      </c>
      <c r="BA258" s="150"/>
      <c r="BB258" s="150"/>
      <c r="BC258" s="150"/>
      <c r="BD258" s="150"/>
      <c r="BE258" s="150"/>
      <c r="BF258" s="150"/>
      <c r="BG258" s="150"/>
      <c r="BH258" s="150"/>
      <c r="BI258" s="150"/>
      <c r="BJ258" s="150"/>
      <c r="BK258" s="155" t="str">
        <f t="shared" si="133"/>
        <v/>
      </c>
      <c r="BL258" s="155" t="str">
        <f t="shared" si="134"/>
        <v/>
      </c>
      <c r="BM258" s="155" t="str">
        <f t="shared" si="135"/>
        <v/>
      </c>
      <c r="BN258" s="155" t="str">
        <f t="shared" si="136"/>
        <v/>
      </c>
      <c r="BO258" s="155" t="str">
        <f t="shared" si="137"/>
        <v/>
      </c>
      <c r="BP258" s="155" t="str">
        <f t="shared" si="138"/>
        <v/>
      </c>
      <c r="BQ258" s="155" t="str">
        <f t="shared" si="139"/>
        <v/>
      </c>
      <c r="BR258" s="155" t="str">
        <f t="shared" si="140"/>
        <v/>
      </c>
      <c r="BS258" s="155" t="str">
        <f t="shared" si="141"/>
        <v/>
      </c>
      <c r="BT258" s="155" t="str">
        <f t="shared" si="142"/>
        <v/>
      </c>
      <c r="BU258" s="155" t="str">
        <f t="shared" si="143"/>
        <v/>
      </c>
      <c r="BV258" s="155" t="str">
        <f t="shared" si="144"/>
        <v/>
      </c>
      <c r="BW258" s="155" t="str">
        <f t="shared" si="145"/>
        <v/>
      </c>
      <c r="BX258" s="155" t="str">
        <f t="shared" si="146"/>
        <v/>
      </c>
      <c r="BY258" s="155" t="str">
        <f t="shared" si="147"/>
        <v/>
      </c>
      <c r="BZ258" s="155" t="str">
        <f t="shared" si="148"/>
        <v/>
      </c>
      <c r="CA258" s="155" t="str">
        <f t="shared" si="149"/>
        <v/>
      </c>
      <c r="CB258" s="155" t="str">
        <f t="shared" si="150"/>
        <v/>
      </c>
      <c r="CC258" s="155" t="str">
        <f t="shared" si="151"/>
        <v/>
      </c>
      <c r="CD258" s="155" t="str">
        <f t="shared" si="152"/>
        <v/>
      </c>
      <c r="CE258" s="155" t="str">
        <f t="shared" si="153"/>
        <v/>
      </c>
      <c r="CF258" s="155" t="str">
        <f t="shared" si="154"/>
        <v/>
      </c>
      <c r="CG258" s="155" t="str">
        <f t="shared" si="155"/>
        <v/>
      </c>
      <c r="CH258" s="155" t="str">
        <f t="shared" si="156"/>
        <v/>
      </c>
      <c r="CI258" s="155" t="str">
        <f t="shared" si="157"/>
        <v/>
      </c>
      <c r="CJ258" s="155" t="str">
        <f t="shared" si="158"/>
        <v/>
      </c>
      <c r="CK258" s="155" t="str">
        <f t="shared" si="159"/>
        <v/>
      </c>
      <c r="CL258" s="155" t="str">
        <f t="shared" si="160"/>
        <v/>
      </c>
      <c r="CM258" s="155" t="str">
        <f t="shared" si="161"/>
        <v/>
      </c>
      <c r="CN258" s="155" t="str">
        <f t="shared" si="162"/>
        <v/>
      </c>
      <c r="CO258" s="155" t="str">
        <f t="shared" si="163"/>
        <v/>
      </c>
      <c r="CP258" s="155" t="str">
        <f t="shared" si="164"/>
        <v/>
      </c>
      <c r="CQ258" s="155" t="str">
        <f t="shared" si="165"/>
        <v/>
      </c>
      <c r="CR258" s="155" t="str">
        <f t="shared" si="166"/>
        <v/>
      </c>
      <c r="CS258" s="155" t="str">
        <f t="shared" si="167"/>
        <v/>
      </c>
      <c r="CT258" s="155" t="str">
        <f t="shared" si="168"/>
        <v/>
      </c>
      <c r="CU258" s="155" t="str">
        <f t="shared" si="169"/>
        <v/>
      </c>
      <c r="CV258" s="155" t="str">
        <f t="shared" si="170"/>
        <v/>
      </c>
      <c r="CW258" s="155" t="str">
        <f t="shared" si="171"/>
        <v/>
      </c>
      <c r="CX258" s="155" t="str">
        <f t="shared" si="172"/>
        <v/>
      </c>
    </row>
    <row r="259" spans="1:16384" s="151" customFormat="1" ht="14.25" outlineLevel="1" x14ac:dyDescent="0.2">
      <c r="A259" s="156"/>
      <c r="B259" s="157" t="str">
        <f>Services!B259</f>
        <v>10B02</v>
      </c>
      <c r="C259" s="153" t="str">
        <f>Services!C259</f>
        <v>Protection de la confidentialité des développements applicatifs</v>
      </c>
      <c r="D259" s="149"/>
      <c r="E259" s="149"/>
      <c r="F259" s="149"/>
      <c r="G259" s="149"/>
      <c r="H259" s="149">
        <f>5*(8*Plans_action!E296+Plans_action!D296)</f>
        <v>0</v>
      </c>
      <c r="I259" s="140" t="str">
        <f t="shared" si="130"/>
        <v/>
      </c>
      <c r="J259" s="141" t="str">
        <f t="shared" si="131"/>
        <v/>
      </c>
      <c r="K259" s="142"/>
      <c r="L259" s="142"/>
      <c r="M259" s="1708"/>
      <c r="N259" s="1708"/>
      <c r="O259" s="1708"/>
      <c r="P259" s="1708"/>
      <c r="Q259" s="1708"/>
      <c r="R259" s="1708"/>
      <c r="S259" s="1708"/>
      <c r="T259" s="1708"/>
      <c r="U259" s="1708"/>
      <c r="V259" s="1708"/>
      <c r="W259" s="1708"/>
      <c r="X259" s="1712"/>
      <c r="Y259" s="1712"/>
      <c r="Z259" s="1712"/>
      <c r="AA259" s="1712"/>
      <c r="AB259" s="1712"/>
      <c r="AC259" s="1712"/>
      <c r="AD259" s="1712"/>
      <c r="AE259" s="1712"/>
      <c r="AF259" s="1712"/>
      <c r="AG259" s="1712"/>
      <c r="AH259" s="1712"/>
      <c r="AI259" s="1712"/>
      <c r="AJ259" s="1712"/>
      <c r="AK259" s="1712"/>
      <c r="AL259" s="1712"/>
      <c r="AM259" s="1712"/>
      <c r="AN259" s="1712"/>
      <c r="AO259" s="1712"/>
      <c r="AP259" s="1712"/>
      <c r="AQ259" s="1712"/>
      <c r="AR259" s="1712"/>
      <c r="AS259" s="1712"/>
      <c r="AT259" s="1712"/>
      <c r="AU259" s="1712"/>
      <c r="AV259" s="1712"/>
      <c r="AW259" s="1712"/>
      <c r="AX259" s="1713"/>
      <c r="AY259" s="1714" t="str">
        <f t="shared" si="132"/>
        <v/>
      </c>
      <c r="AZ259" s="1714" t="str">
        <f>IF(Obj_PA!D259="","",IF(AY259="","",Obj_PA!D259-AY259))</f>
        <v/>
      </c>
      <c r="BA259" s="150"/>
      <c r="BB259" s="150"/>
      <c r="BC259" s="150"/>
      <c r="BD259" s="150"/>
      <c r="BE259" s="150"/>
      <c r="BF259" s="150"/>
      <c r="BG259" s="150"/>
      <c r="BH259" s="150"/>
      <c r="BI259" s="150"/>
      <c r="BJ259" s="150"/>
      <c r="BK259" s="155" t="str">
        <f t="shared" si="133"/>
        <v/>
      </c>
      <c r="BL259" s="155" t="str">
        <f t="shared" si="134"/>
        <v/>
      </c>
      <c r="BM259" s="155" t="str">
        <f t="shared" si="135"/>
        <v/>
      </c>
      <c r="BN259" s="155" t="str">
        <f t="shared" si="136"/>
        <v/>
      </c>
      <c r="BO259" s="155" t="str">
        <f t="shared" si="137"/>
        <v/>
      </c>
      <c r="BP259" s="155" t="str">
        <f t="shared" si="138"/>
        <v/>
      </c>
      <c r="BQ259" s="155" t="str">
        <f t="shared" si="139"/>
        <v/>
      </c>
      <c r="BR259" s="155" t="str">
        <f t="shared" si="140"/>
        <v/>
      </c>
      <c r="BS259" s="155" t="str">
        <f t="shared" si="141"/>
        <v/>
      </c>
      <c r="BT259" s="155" t="str">
        <f t="shared" si="142"/>
        <v/>
      </c>
      <c r="BU259" s="155" t="str">
        <f t="shared" si="143"/>
        <v/>
      </c>
      <c r="BV259" s="155" t="str">
        <f t="shared" si="144"/>
        <v/>
      </c>
      <c r="BW259" s="155" t="str">
        <f t="shared" si="145"/>
        <v/>
      </c>
      <c r="BX259" s="155" t="str">
        <f t="shared" si="146"/>
        <v/>
      </c>
      <c r="BY259" s="155" t="str">
        <f t="shared" si="147"/>
        <v/>
      </c>
      <c r="BZ259" s="155" t="str">
        <f t="shared" si="148"/>
        <v/>
      </c>
      <c r="CA259" s="155" t="str">
        <f t="shared" si="149"/>
        <v/>
      </c>
      <c r="CB259" s="155" t="str">
        <f t="shared" si="150"/>
        <v/>
      </c>
      <c r="CC259" s="155" t="str">
        <f t="shared" si="151"/>
        <v/>
      </c>
      <c r="CD259" s="155" t="str">
        <f t="shared" si="152"/>
        <v/>
      </c>
      <c r="CE259" s="155" t="str">
        <f t="shared" si="153"/>
        <v/>
      </c>
      <c r="CF259" s="155" t="str">
        <f t="shared" si="154"/>
        <v/>
      </c>
      <c r="CG259" s="155" t="str">
        <f t="shared" si="155"/>
        <v/>
      </c>
      <c r="CH259" s="155" t="str">
        <f t="shared" si="156"/>
        <v/>
      </c>
      <c r="CI259" s="155" t="str">
        <f t="shared" si="157"/>
        <v/>
      </c>
      <c r="CJ259" s="155" t="str">
        <f t="shared" si="158"/>
        <v/>
      </c>
      <c r="CK259" s="155" t="str">
        <f t="shared" si="159"/>
        <v/>
      </c>
      <c r="CL259" s="155" t="str">
        <f t="shared" si="160"/>
        <v/>
      </c>
      <c r="CM259" s="155" t="str">
        <f t="shared" si="161"/>
        <v/>
      </c>
      <c r="CN259" s="155" t="str">
        <f t="shared" si="162"/>
        <v/>
      </c>
      <c r="CO259" s="155" t="str">
        <f t="shared" si="163"/>
        <v/>
      </c>
      <c r="CP259" s="155" t="str">
        <f t="shared" si="164"/>
        <v/>
      </c>
      <c r="CQ259" s="155" t="str">
        <f t="shared" si="165"/>
        <v/>
      </c>
      <c r="CR259" s="155" t="str">
        <f t="shared" si="166"/>
        <v/>
      </c>
      <c r="CS259" s="155" t="str">
        <f t="shared" si="167"/>
        <v/>
      </c>
      <c r="CT259" s="155" t="str">
        <f t="shared" si="168"/>
        <v/>
      </c>
      <c r="CU259" s="155" t="str">
        <f t="shared" si="169"/>
        <v/>
      </c>
      <c r="CV259" s="155" t="str">
        <f t="shared" si="170"/>
        <v/>
      </c>
      <c r="CW259" s="155" t="str">
        <f t="shared" si="171"/>
        <v/>
      </c>
      <c r="CX259" s="155" t="str">
        <f t="shared" si="172"/>
        <v/>
      </c>
    </row>
    <row r="260" spans="1:16384" s="151" customFormat="1" ht="14.25" outlineLevel="1" x14ac:dyDescent="0.2">
      <c r="A260" s="156"/>
      <c r="B260" s="157" t="str">
        <f>Services!B260</f>
        <v>10B03</v>
      </c>
      <c r="C260" s="153" t="str">
        <f>Services!C260</f>
        <v>Sécurité relative aux traitements internes des applications</v>
      </c>
      <c r="D260" s="149"/>
      <c r="E260" s="149"/>
      <c r="F260" s="149"/>
      <c r="G260" s="149"/>
      <c r="H260" s="149"/>
      <c r="I260" s="140" t="str">
        <f t="shared" si="130"/>
        <v/>
      </c>
      <c r="J260" s="141" t="str">
        <f t="shared" si="131"/>
        <v/>
      </c>
      <c r="K260" s="142"/>
      <c r="L260" s="142"/>
      <c r="M260" s="1708"/>
      <c r="N260" s="1708"/>
      <c r="O260" s="1708"/>
      <c r="P260" s="1708"/>
      <c r="Q260" s="1708"/>
      <c r="R260" s="1708"/>
      <c r="S260" s="1708"/>
      <c r="T260" s="1708"/>
      <c r="U260" s="1708"/>
      <c r="V260" s="1708"/>
      <c r="W260" s="1708"/>
      <c r="X260" s="1712"/>
      <c r="Y260" s="1712"/>
      <c r="Z260" s="1712"/>
      <c r="AA260" s="1712"/>
      <c r="AB260" s="1712"/>
      <c r="AC260" s="1712"/>
      <c r="AD260" s="1712"/>
      <c r="AE260" s="1712"/>
      <c r="AF260" s="1712"/>
      <c r="AG260" s="1712"/>
      <c r="AH260" s="1712"/>
      <c r="AI260" s="1712"/>
      <c r="AJ260" s="1712"/>
      <c r="AK260" s="1712"/>
      <c r="AL260" s="1712"/>
      <c r="AM260" s="1712"/>
      <c r="AN260" s="1712"/>
      <c r="AO260" s="1712"/>
      <c r="AP260" s="1712"/>
      <c r="AQ260" s="1712"/>
      <c r="AR260" s="1712"/>
      <c r="AS260" s="1712"/>
      <c r="AT260" s="1712"/>
      <c r="AU260" s="1712"/>
      <c r="AV260" s="1712"/>
      <c r="AW260" s="1712"/>
      <c r="AX260" s="1713"/>
      <c r="AY260" s="1714" t="str">
        <f t="shared" si="132"/>
        <v/>
      </c>
      <c r="AZ260" s="1714" t="str">
        <f>IF(Obj_PA!D260="","",IF(AY260="","",Obj_PA!D260-AY260))</f>
        <v/>
      </c>
      <c r="BA260" s="150"/>
      <c r="BB260" s="150"/>
      <c r="BC260" s="150"/>
      <c r="BD260" s="150"/>
      <c r="BE260" s="150"/>
      <c r="BF260" s="150"/>
      <c r="BG260" s="150"/>
      <c r="BH260" s="150"/>
      <c r="BI260" s="150"/>
      <c r="BJ260" s="150"/>
      <c r="BK260" s="155" t="str">
        <f t="shared" si="133"/>
        <v/>
      </c>
      <c r="BL260" s="155" t="str">
        <f t="shared" si="134"/>
        <v/>
      </c>
      <c r="BM260" s="155" t="str">
        <f t="shared" si="135"/>
        <v/>
      </c>
      <c r="BN260" s="155" t="str">
        <f t="shared" si="136"/>
        <v/>
      </c>
      <c r="BO260" s="155" t="str">
        <f t="shared" si="137"/>
        <v/>
      </c>
      <c r="BP260" s="155" t="str">
        <f t="shared" si="138"/>
        <v/>
      </c>
      <c r="BQ260" s="155" t="str">
        <f t="shared" si="139"/>
        <v/>
      </c>
      <c r="BR260" s="155" t="str">
        <f t="shared" si="140"/>
        <v/>
      </c>
      <c r="BS260" s="155" t="str">
        <f t="shared" si="141"/>
        <v/>
      </c>
      <c r="BT260" s="155" t="str">
        <f t="shared" si="142"/>
        <v/>
      </c>
      <c r="BU260" s="155" t="str">
        <f t="shared" si="143"/>
        <v/>
      </c>
      <c r="BV260" s="155" t="str">
        <f t="shared" si="144"/>
        <v/>
      </c>
      <c r="BW260" s="155" t="str">
        <f t="shared" si="145"/>
        <v/>
      </c>
      <c r="BX260" s="155" t="str">
        <f t="shared" si="146"/>
        <v/>
      </c>
      <c r="BY260" s="155" t="str">
        <f t="shared" si="147"/>
        <v/>
      </c>
      <c r="BZ260" s="155" t="str">
        <f t="shared" si="148"/>
        <v/>
      </c>
      <c r="CA260" s="155" t="str">
        <f t="shared" si="149"/>
        <v/>
      </c>
      <c r="CB260" s="155" t="str">
        <f t="shared" si="150"/>
        <v/>
      </c>
      <c r="CC260" s="155" t="str">
        <f t="shared" si="151"/>
        <v/>
      </c>
      <c r="CD260" s="155" t="str">
        <f t="shared" si="152"/>
        <v/>
      </c>
      <c r="CE260" s="155" t="str">
        <f t="shared" si="153"/>
        <v/>
      </c>
      <c r="CF260" s="155" t="str">
        <f t="shared" si="154"/>
        <v/>
      </c>
      <c r="CG260" s="155" t="str">
        <f t="shared" si="155"/>
        <v/>
      </c>
      <c r="CH260" s="155" t="str">
        <f t="shared" si="156"/>
        <v/>
      </c>
      <c r="CI260" s="155" t="str">
        <f t="shared" si="157"/>
        <v/>
      </c>
      <c r="CJ260" s="155" t="str">
        <f t="shared" si="158"/>
        <v/>
      </c>
      <c r="CK260" s="155" t="str">
        <f t="shared" si="159"/>
        <v/>
      </c>
      <c r="CL260" s="155" t="str">
        <f t="shared" si="160"/>
        <v/>
      </c>
      <c r="CM260" s="155" t="str">
        <f t="shared" si="161"/>
        <v/>
      </c>
      <c r="CN260" s="155" t="str">
        <f t="shared" si="162"/>
        <v/>
      </c>
      <c r="CO260" s="155" t="str">
        <f t="shared" si="163"/>
        <v/>
      </c>
      <c r="CP260" s="155" t="str">
        <f t="shared" si="164"/>
        <v/>
      </c>
      <c r="CQ260" s="155" t="str">
        <f t="shared" si="165"/>
        <v/>
      </c>
      <c r="CR260" s="155" t="str">
        <f t="shared" si="166"/>
        <v/>
      </c>
      <c r="CS260" s="155" t="str">
        <f t="shared" si="167"/>
        <v/>
      </c>
      <c r="CT260" s="155" t="str">
        <f t="shared" si="168"/>
        <v/>
      </c>
      <c r="CU260" s="155" t="str">
        <f t="shared" si="169"/>
        <v/>
      </c>
      <c r="CV260" s="155" t="str">
        <f t="shared" si="170"/>
        <v/>
      </c>
      <c r="CW260" s="155" t="str">
        <f t="shared" si="171"/>
        <v/>
      </c>
      <c r="CX260" s="155" t="str">
        <f t="shared" si="172"/>
        <v/>
      </c>
    </row>
    <row r="261" spans="1:16384" s="151" customFormat="1" ht="14.25" outlineLevel="1" x14ac:dyDescent="0.2">
      <c r="A261" s="156"/>
      <c r="B261" s="157" t="str">
        <f>Services!B261</f>
        <v>10B04</v>
      </c>
      <c r="C261" s="153" t="str">
        <f>Services!C261</f>
        <v>Protection des données d'essai</v>
      </c>
      <c r="D261" s="149"/>
      <c r="E261" s="149">
        <f>2*(8*Plans_action!E122+Plans_action!D122)</f>
        <v>0</v>
      </c>
      <c r="F261" s="149"/>
      <c r="G261" s="149"/>
      <c r="H261" s="149"/>
      <c r="I261" s="140" t="str">
        <f t="shared" si="130"/>
        <v/>
      </c>
      <c r="J261" s="141" t="str">
        <f t="shared" si="131"/>
        <v/>
      </c>
      <c r="K261" s="142"/>
      <c r="L261" s="142"/>
      <c r="M261" s="1708"/>
      <c r="N261" s="1708"/>
      <c r="O261" s="1708"/>
      <c r="P261" s="1708"/>
      <c r="Q261" s="1708"/>
      <c r="R261" s="1708"/>
      <c r="S261" s="1708"/>
      <c r="T261" s="1708"/>
      <c r="U261" s="1708"/>
      <c r="V261" s="1708"/>
      <c r="W261" s="1708"/>
      <c r="X261" s="1712"/>
      <c r="Y261" s="1712"/>
      <c r="Z261" s="1712"/>
      <c r="AA261" s="1712"/>
      <c r="AB261" s="1712"/>
      <c r="AC261" s="1712"/>
      <c r="AD261" s="1712"/>
      <c r="AE261" s="1712"/>
      <c r="AF261" s="1712"/>
      <c r="AG261" s="1712"/>
      <c r="AH261" s="1712"/>
      <c r="AI261" s="1712"/>
      <c r="AJ261" s="1712"/>
      <c r="AK261" s="1712"/>
      <c r="AL261" s="1712"/>
      <c r="AM261" s="1712"/>
      <c r="AN261" s="1712"/>
      <c r="AO261" s="1712"/>
      <c r="AP261" s="1712"/>
      <c r="AQ261" s="1712"/>
      <c r="AR261" s="1712"/>
      <c r="AS261" s="1712"/>
      <c r="AT261" s="1712"/>
      <c r="AU261" s="1712"/>
      <c r="AV261" s="1712"/>
      <c r="AW261" s="1712"/>
      <c r="AX261" s="1713"/>
      <c r="AY261" s="1714" t="str">
        <f t="shared" si="132"/>
        <v/>
      </c>
      <c r="AZ261" s="1714" t="str">
        <f>IF(Obj_PA!D261="","",IF(AY261="","",Obj_PA!D261-AY261))</f>
        <v/>
      </c>
      <c r="BA261" s="150"/>
      <c r="BB261" s="150"/>
      <c r="BC261" s="150"/>
      <c r="BD261" s="150"/>
      <c r="BE261" s="150"/>
      <c r="BF261" s="150"/>
      <c r="BG261" s="150"/>
      <c r="BH261" s="150"/>
      <c r="BI261" s="150"/>
      <c r="BJ261" s="150"/>
      <c r="BK261" s="155" t="str">
        <f t="shared" si="133"/>
        <v/>
      </c>
      <c r="BL261" s="155" t="str">
        <f t="shared" si="134"/>
        <v/>
      </c>
      <c r="BM261" s="155" t="str">
        <f t="shared" si="135"/>
        <v/>
      </c>
      <c r="BN261" s="155" t="str">
        <f t="shared" si="136"/>
        <v/>
      </c>
      <c r="BO261" s="155" t="str">
        <f t="shared" si="137"/>
        <v/>
      </c>
      <c r="BP261" s="155" t="str">
        <f t="shared" si="138"/>
        <v/>
      </c>
      <c r="BQ261" s="155" t="str">
        <f t="shared" si="139"/>
        <v/>
      </c>
      <c r="BR261" s="155" t="str">
        <f t="shared" si="140"/>
        <v/>
      </c>
      <c r="BS261" s="155" t="str">
        <f t="shared" si="141"/>
        <v/>
      </c>
      <c r="BT261" s="155" t="str">
        <f t="shared" si="142"/>
        <v/>
      </c>
      <c r="BU261" s="155" t="str">
        <f t="shared" si="143"/>
        <v/>
      </c>
      <c r="BV261" s="155" t="str">
        <f t="shared" si="144"/>
        <v/>
      </c>
      <c r="BW261" s="155" t="str">
        <f t="shared" si="145"/>
        <v/>
      </c>
      <c r="BX261" s="155" t="str">
        <f t="shared" si="146"/>
        <v/>
      </c>
      <c r="BY261" s="155" t="str">
        <f t="shared" si="147"/>
        <v/>
      </c>
      <c r="BZ261" s="155" t="str">
        <f t="shared" si="148"/>
        <v/>
      </c>
      <c r="CA261" s="155" t="str">
        <f t="shared" si="149"/>
        <v/>
      </c>
      <c r="CB261" s="155" t="str">
        <f t="shared" si="150"/>
        <v/>
      </c>
      <c r="CC261" s="155" t="str">
        <f t="shared" si="151"/>
        <v/>
      </c>
      <c r="CD261" s="155" t="str">
        <f t="shared" si="152"/>
        <v/>
      </c>
      <c r="CE261" s="155" t="str">
        <f t="shared" si="153"/>
        <v/>
      </c>
      <c r="CF261" s="155" t="str">
        <f t="shared" si="154"/>
        <v/>
      </c>
      <c r="CG261" s="155" t="str">
        <f t="shared" si="155"/>
        <v/>
      </c>
      <c r="CH261" s="155" t="str">
        <f t="shared" si="156"/>
        <v/>
      </c>
      <c r="CI261" s="155" t="str">
        <f t="shared" si="157"/>
        <v/>
      </c>
      <c r="CJ261" s="155" t="str">
        <f t="shared" si="158"/>
        <v/>
      </c>
      <c r="CK261" s="155" t="str">
        <f t="shared" si="159"/>
        <v/>
      </c>
      <c r="CL261" s="155" t="str">
        <f t="shared" si="160"/>
        <v/>
      </c>
      <c r="CM261" s="155" t="str">
        <f t="shared" si="161"/>
        <v/>
      </c>
      <c r="CN261" s="155" t="str">
        <f t="shared" si="162"/>
        <v/>
      </c>
      <c r="CO261" s="155" t="str">
        <f t="shared" si="163"/>
        <v/>
      </c>
      <c r="CP261" s="155" t="str">
        <f t="shared" si="164"/>
        <v/>
      </c>
      <c r="CQ261" s="155" t="str">
        <f t="shared" si="165"/>
        <v/>
      </c>
      <c r="CR261" s="155" t="str">
        <f t="shared" si="166"/>
        <v/>
      </c>
      <c r="CS261" s="155" t="str">
        <f t="shared" si="167"/>
        <v/>
      </c>
      <c r="CT261" s="155" t="str">
        <f t="shared" si="168"/>
        <v/>
      </c>
      <c r="CU261" s="155" t="str">
        <f t="shared" si="169"/>
        <v/>
      </c>
      <c r="CV261" s="155" t="str">
        <f t="shared" si="170"/>
        <v/>
      </c>
      <c r="CW261" s="155" t="str">
        <f t="shared" si="171"/>
        <v/>
      </c>
      <c r="CX261" s="155" t="str">
        <f t="shared" si="172"/>
        <v/>
      </c>
    </row>
    <row r="262" spans="1:16384" s="151" customFormat="1" ht="14.25" outlineLevel="1" x14ac:dyDescent="0.2">
      <c r="A262" s="146"/>
      <c r="B262" s="157" t="str">
        <f>Services!B262</f>
        <v>10B05</v>
      </c>
      <c r="C262" s="153" t="str">
        <f>Services!C262</f>
        <v>Sécurité de la maintenance applicative</v>
      </c>
      <c r="D262" s="149">
        <f>1*(8*Plans_action!E215+Plans_action!D215)+1*(8*Plans_action!E224+Plans_action!D224)+1*(8*Plans_action!E240+Plans_action!D240)+1*(8*Plans_action!E249+Plans_action!D249)</f>
        <v>0</v>
      </c>
      <c r="E262" s="149">
        <f>2*(8*Plans_action!E5+Plans_action!D5)+2*(8*Plans_action!E63+Plans_action!D63)</f>
        <v>0</v>
      </c>
      <c r="F262" s="149">
        <f>3*(8*Plans_action!E273+Plans_action!D273)+3*(8*Plans_action!E290+Plans_action!D290)</f>
        <v>0</v>
      </c>
      <c r="G262" s="149"/>
      <c r="H262" s="149">
        <f>5*(8*Plans_action!E273+Plans_action!D273)+5*(8*Plans_action!E290+Plans_action!D290)</f>
        <v>0</v>
      </c>
      <c r="I262" s="140" t="str">
        <f t="shared" ref="I262:I263" si="213">IF(SUM(D262:H262)=0,"",LOG(SUM(D262:H262),2))</f>
        <v/>
      </c>
      <c r="J262" s="141" t="str">
        <f t="shared" ref="J262:J325" si="214">IF(MAX(BK262:CX262)=0,"",MAX(BK262:CX262))</f>
        <v/>
      </c>
      <c r="K262" s="142"/>
      <c r="L262" s="142"/>
      <c r="M262" s="1708"/>
      <c r="N262" s="1708"/>
      <c r="O262" s="1708"/>
      <c r="P262" s="1708"/>
      <c r="Q262" s="1708"/>
      <c r="R262" s="1708"/>
      <c r="S262" s="1708"/>
      <c r="T262" s="1708"/>
      <c r="U262" s="1708"/>
      <c r="V262" s="1708"/>
      <c r="W262" s="1708"/>
      <c r="X262" s="1712"/>
      <c r="Y262" s="1712"/>
      <c r="Z262" s="1712"/>
      <c r="AA262" s="1712"/>
      <c r="AB262" s="1712"/>
      <c r="AC262" s="1712"/>
      <c r="AD262" s="1712"/>
      <c r="AE262" s="1712"/>
      <c r="AF262" s="1712"/>
      <c r="AG262" s="1712"/>
      <c r="AH262" s="1712"/>
      <c r="AI262" s="1712"/>
      <c r="AJ262" s="1712"/>
      <c r="AK262" s="1712"/>
      <c r="AL262" s="1712"/>
      <c r="AM262" s="1712"/>
      <c r="AN262" s="1712"/>
      <c r="AO262" s="1712"/>
      <c r="AP262" s="1712"/>
      <c r="AQ262" s="1712"/>
      <c r="AR262" s="1712"/>
      <c r="AS262" s="1712"/>
      <c r="AT262" s="1712"/>
      <c r="AU262" s="1712"/>
      <c r="AV262" s="1712"/>
      <c r="AW262" s="1712"/>
      <c r="AX262" s="1713"/>
      <c r="AY262" s="1714" t="str">
        <f t="shared" si="132"/>
        <v/>
      </c>
      <c r="AZ262" s="1714" t="str">
        <f>IF(Obj_PA!D262="","",IF(AY262="","",Obj_PA!D262-AY262))</f>
        <v/>
      </c>
      <c r="BA262" s="150"/>
      <c r="BB262" s="150"/>
      <c r="BC262" s="150"/>
      <c r="BD262" s="150"/>
      <c r="BE262" s="150"/>
      <c r="BF262" s="150"/>
      <c r="BG262" s="150"/>
      <c r="BH262" s="150"/>
      <c r="BI262" s="150"/>
      <c r="BJ262" s="150"/>
      <c r="BK262" s="155" t="str">
        <f t="shared" si="133"/>
        <v/>
      </c>
      <c r="BL262" s="155" t="str">
        <f t="shared" si="134"/>
        <v/>
      </c>
      <c r="BM262" s="155" t="str">
        <f t="shared" si="135"/>
        <v/>
      </c>
      <c r="BN262" s="155" t="str">
        <f t="shared" si="136"/>
        <v/>
      </c>
      <c r="BO262" s="155" t="str">
        <f t="shared" si="137"/>
        <v/>
      </c>
      <c r="BP262" s="155" t="str">
        <f t="shared" si="138"/>
        <v/>
      </c>
      <c r="BQ262" s="155" t="str">
        <f t="shared" si="139"/>
        <v/>
      </c>
      <c r="BR262" s="155" t="str">
        <f t="shared" si="140"/>
        <v/>
      </c>
      <c r="BS262" s="155" t="str">
        <f t="shared" si="141"/>
        <v/>
      </c>
      <c r="BT262" s="155" t="str">
        <f t="shared" si="142"/>
        <v/>
      </c>
      <c r="BU262" s="155" t="str">
        <f t="shared" si="143"/>
        <v/>
      </c>
      <c r="BV262" s="155" t="str">
        <f t="shared" si="144"/>
        <v/>
      </c>
      <c r="BW262" s="155" t="str">
        <f t="shared" si="145"/>
        <v/>
      </c>
      <c r="BX262" s="155" t="str">
        <f t="shared" si="146"/>
        <v/>
      </c>
      <c r="BY262" s="155" t="str">
        <f t="shared" si="147"/>
        <v/>
      </c>
      <c r="BZ262" s="155" t="str">
        <f t="shared" si="148"/>
        <v/>
      </c>
      <c r="CA262" s="155" t="str">
        <f t="shared" si="149"/>
        <v/>
      </c>
      <c r="CB262" s="155" t="str">
        <f t="shared" si="150"/>
        <v/>
      </c>
      <c r="CC262" s="155" t="str">
        <f t="shared" si="151"/>
        <v/>
      </c>
      <c r="CD262" s="155" t="str">
        <f t="shared" si="152"/>
        <v/>
      </c>
      <c r="CE262" s="155" t="str">
        <f t="shared" si="153"/>
        <v/>
      </c>
      <c r="CF262" s="155" t="str">
        <f t="shared" si="154"/>
        <v/>
      </c>
      <c r="CG262" s="155" t="str">
        <f t="shared" si="155"/>
        <v/>
      </c>
      <c r="CH262" s="155" t="str">
        <f t="shared" si="156"/>
        <v/>
      </c>
      <c r="CI262" s="155" t="str">
        <f t="shared" si="157"/>
        <v/>
      </c>
      <c r="CJ262" s="155" t="str">
        <f t="shared" si="158"/>
        <v/>
      </c>
      <c r="CK262" s="155" t="str">
        <f t="shared" si="159"/>
        <v/>
      </c>
      <c r="CL262" s="155" t="str">
        <f t="shared" si="160"/>
        <v/>
      </c>
      <c r="CM262" s="155" t="str">
        <f t="shared" si="161"/>
        <v/>
      </c>
      <c r="CN262" s="155" t="str">
        <f t="shared" si="162"/>
        <v/>
      </c>
      <c r="CO262" s="155" t="str">
        <f t="shared" si="163"/>
        <v/>
      </c>
      <c r="CP262" s="155" t="str">
        <f t="shared" si="164"/>
        <v/>
      </c>
      <c r="CQ262" s="155" t="str">
        <f t="shared" si="165"/>
        <v/>
      </c>
      <c r="CR262" s="155" t="str">
        <f t="shared" si="166"/>
        <v/>
      </c>
      <c r="CS262" s="155" t="str">
        <f t="shared" si="167"/>
        <v/>
      </c>
      <c r="CT262" s="155" t="str">
        <f t="shared" si="168"/>
        <v/>
      </c>
      <c r="CU262" s="155" t="str">
        <f t="shared" si="169"/>
        <v/>
      </c>
      <c r="CV262" s="155" t="str">
        <f t="shared" si="170"/>
        <v/>
      </c>
      <c r="CW262" s="155" t="str">
        <f t="shared" si="171"/>
        <v/>
      </c>
      <c r="CX262" s="155" t="str">
        <f t="shared" si="172"/>
        <v/>
      </c>
      <c r="DV262" s="151">
        <f>IF(INDEX(Tab_actions,57,1)=1,INDEX(Tab_actions,57,6),0)</f>
        <v>0</v>
      </c>
      <c r="DW262" s="151">
        <f>IF(INDEX(Tab_actions,103,1)=1,INDEX(Tab_actions,103,6),0)</f>
        <v>0</v>
      </c>
    </row>
    <row r="263" spans="1:16384" s="151" customFormat="1" ht="15" outlineLevel="1" x14ac:dyDescent="0.25">
      <c r="A263" s="165"/>
      <c r="B263" s="157" t="str">
        <f>Services!B263</f>
        <v>10B06</v>
      </c>
      <c r="C263" s="153" t="str">
        <f>Services!C263</f>
        <v xml:space="preserve">Maintenance à chaud </v>
      </c>
      <c r="D263" s="149">
        <f>1*(8*Plans_action!E215+Plans_action!D215)+1*(8*Plans_action!E224+Plans_action!D224)+1*(8*Plans_action!E240+Plans_action!D240)+1*(8*Plans_action!E249+Plans_action!D249)</f>
        <v>0</v>
      </c>
      <c r="E263" s="149">
        <f>2*(8*Plans_action!E5+Plans_action!D5)+2*(8*Plans_action!E63+Plans_action!D63)+2*(8*Plans_action!E113+Plans_action!D113)</f>
        <v>0</v>
      </c>
      <c r="F263" s="149"/>
      <c r="G263" s="149"/>
      <c r="H263" s="149"/>
      <c r="I263" s="140" t="str">
        <f t="shared" si="213"/>
        <v/>
      </c>
      <c r="J263" s="141" t="str">
        <f t="shared" si="214"/>
        <v/>
      </c>
      <c r="K263" s="142"/>
      <c r="L263" s="142"/>
      <c r="M263" s="1708"/>
      <c r="N263" s="1708"/>
      <c r="O263" s="1708"/>
      <c r="P263" s="1708"/>
      <c r="Q263" s="1708"/>
      <c r="R263" s="1708"/>
      <c r="S263" s="1708"/>
      <c r="T263" s="1708"/>
      <c r="U263" s="1708"/>
      <c r="V263" s="1708"/>
      <c r="W263" s="1708"/>
      <c r="X263" s="1712"/>
      <c r="Y263" s="1712"/>
      <c r="Z263" s="1712"/>
      <c r="AA263" s="1712"/>
      <c r="AB263" s="1712"/>
      <c r="AC263" s="1712"/>
      <c r="AD263" s="1712"/>
      <c r="AE263" s="1712"/>
      <c r="AF263" s="1712"/>
      <c r="AG263" s="1712"/>
      <c r="AH263" s="1712"/>
      <c r="AI263" s="1712"/>
      <c r="AJ263" s="1712"/>
      <c r="AK263" s="1712"/>
      <c r="AL263" s="1712"/>
      <c r="AM263" s="1712"/>
      <c r="AN263" s="1712"/>
      <c r="AO263" s="1712"/>
      <c r="AP263" s="1712"/>
      <c r="AQ263" s="1712"/>
      <c r="AR263" s="1712"/>
      <c r="AS263" s="1712"/>
      <c r="AT263" s="1712"/>
      <c r="AU263" s="1712"/>
      <c r="AV263" s="1712"/>
      <c r="AW263" s="1712"/>
      <c r="AX263" s="1713"/>
      <c r="AY263" s="1714" t="str">
        <f t="shared" ref="AY263:AY326" si="215">IF(MAX(K263:AX263)=0,"",MAX(K263:AX263))</f>
        <v/>
      </c>
      <c r="AZ263" s="1714" t="str">
        <f>IF(Obj_PA!D263="","",IF(AY263="","",Obj_PA!D263-AY263))</f>
        <v/>
      </c>
      <c r="BA263" s="150"/>
      <c r="BB263" s="150"/>
      <c r="BC263" s="150"/>
      <c r="BD263" s="150"/>
      <c r="BE263" s="150"/>
      <c r="BF263" s="150"/>
      <c r="BG263" s="150"/>
      <c r="BH263" s="150"/>
      <c r="BI263" s="150"/>
      <c r="BJ263" s="150"/>
      <c r="BK263" s="155" t="str">
        <f t="shared" si="133"/>
        <v/>
      </c>
      <c r="BL263" s="155" t="str">
        <f t="shared" si="134"/>
        <v/>
      </c>
      <c r="BM263" s="155" t="str">
        <f t="shared" si="135"/>
        <v/>
      </c>
      <c r="BN263" s="155" t="str">
        <f t="shared" si="136"/>
        <v/>
      </c>
      <c r="BO263" s="155" t="str">
        <f t="shared" si="137"/>
        <v/>
      </c>
      <c r="BP263" s="155" t="str">
        <f t="shared" si="138"/>
        <v/>
      </c>
      <c r="BQ263" s="155" t="str">
        <f t="shared" si="139"/>
        <v/>
      </c>
      <c r="BR263" s="155" t="str">
        <f t="shared" si="140"/>
        <v/>
      </c>
      <c r="BS263" s="155" t="str">
        <f t="shared" si="141"/>
        <v/>
      </c>
      <c r="BT263" s="155" t="str">
        <f t="shared" si="142"/>
        <v/>
      </c>
      <c r="BU263" s="155" t="str">
        <f t="shared" si="143"/>
        <v/>
      </c>
      <c r="BV263" s="155" t="str">
        <f t="shared" si="144"/>
        <v/>
      </c>
      <c r="BW263" s="155" t="str">
        <f t="shared" si="145"/>
        <v/>
      </c>
      <c r="BX263" s="155" t="str">
        <f t="shared" si="146"/>
        <v/>
      </c>
      <c r="BY263" s="155" t="str">
        <f t="shared" si="147"/>
        <v/>
      </c>
      <c r="BZ263" s="155" t="str">
        <f t="shared" si="148"/>
        <v/>
      </c>
      <c r="CA263" s="155" t="str">
        <f t="shared" si="149"/>
        <v/>
      </c>
      <c r="CB263" s="155" t="str">
        <f t="shared" si="150"/>
        <v/>
      </c>
      <c r="CC263" s="155" t="str">
        <f t="shared" si="151"/>
        <v/>
      </c>
      <c r="CD263" s="155" t="str">
        <f t="shared" si="152"/>
        <v/>
      </c>
      <c r="CE263" s="155" t="str">
        <f t="shared" si="153"/>
        <v/>
      </c>
      <c r="CF263" s="155" t="str">
        <f t="shared" si="154"/>
        <v/>
      </c>
      <c r="CG263" s="155" t="str">
        <f t="shared" si="155"/>
        <v/>
      </c>
      <c r="CH263" s="155" t="str">
        <f t="shared" si="156"/>
        <v/>
      </c>
      <c r="CI263" s="155" t="str">
        <f t="shared" si="157"/>
        <v/>
      </c>
      <c r="CJ263" s="155" t="str">
        <f t="shared" si="158"/>
        <v/>
      </c>
      <c r="CK263" s="155" t="str">
        <f t="shared" si="159"/>
        <v/>
      </c>
      <c r="CL263" s="155" t="str">
        <f t="shared" si="160"/>
        <v/>
      </c>
      <c r="CM263" s="155" t="str">
        <f t="shared" si="161"/>
        <v/>
      </c>
      <c r="CN263" s="155" t="str">
        <f t="shared" si="162"/>
        <v/>
      </c>
      <c r="CO263" s="155" t="str">
        <f t="shared" si="163"/>
        <v/>
      </c>
      <c r="CP263" s="155" t="str">
        <f t="shared" si="164"/>
        <v/>
      </c>
      <c r="CQ263" s="155" t="str">
        <f t="shared" si="165"/>
        <v/>
      </c>
      <c r="CR263" s="155" t="str">
        <f t="shared" si="166"/>
        <v/>
      </c>
      <c r="CS263" s="155" t="str">
        <f t="shared" si="167"/>
        <v/>
      </c>
      <c r="CT263" s="155" t="str">
        <f t="shared" si="168"/>
        <v/>
      </c>
      <c r="CU263" s="155" t="str">
        <f t="shared" si="169"/>
        <v/>
      </c>
      <c r="CV263" s="155" t="str">
        <f t="shared" si="170"/>
        <v/>
      </c>
      <c r="CW263" s="155" t="str">
        <f t="shared" si="171"/>
        <v/>
      </c>
      <c r="CX263" s="155" t="str">
        <f t="shared" si="172"/>
        <v/>
      </c>
      <c r="DV263" s="151">
        <f>IF(INDEX(Tab_actions,57,1)=1,INDEX(Tab_actions,57,8),0)</f>
        <v>0</v>
      </c>
      <c r="DW263" s="151">
        <f>IF(INDEX(Tab_actions,103,1)=1,INDEX(Tab_actions,103,8),0)</f>
        <v>0</v>
      </c>
    </row>
    <row r="264" spans="1:16384" s="151" customFormat="1" ht="14.25" outlineLevel="1" x14ac:dyDescent="0.2">
      <c r="A264" s="177"/>
      <c r="B264" s="157" t="str">
        <f>Services!B264</f>
        <v>10B07</v>
      </c>
      <c r="C264" s="153" t="str">
        <f>Services!C264</f>
        <v>Politique de développement sécurisé</v>
      </c>
      <c r="D264" s="149"/>
      <c r="E264" s="149"/>
      <c r="F264" s="149"/>
      <c r="G264" s="149"/>
      <c r="H264" s="149"/>
      <c r="I264" s="157"/>
      <c r="J264" s="157" t="str">
        <f t="shared" si="214"/>
        <v/>
      </c>
      <c r="K264" s="157"/>
      <c r="L264" s="157"/>
      <c r="M264" s="1722"/>
      <c r="N264" s="1722"/>
      <c r="O264" s="1722"/>
      <c r="P264" s="1722"/>
      <c r="Q264" s="1722"/>
      <c r="R264" s="1722"/>
      <c r="S264" s="1722"/>
      <c r="T264" s="1722"/>
      <c r="U264" s="1722"/>
      <c r="V264" s="1722"/>
      <c r="W264" s="1722"/>
      <c r="X264" s="1722"/>
      <c r="Y264" s="1722"/>
      <c r="Z264" s="1722"/>
      <c r="AA264" s="1722"/>
      <c r="AB264" s="1722"/>
      <c r="AC264" s="1722"/>
      <c r="AD264" s="1722"/>
      <c r="AE264" s="1722"/>
      <c r="AF264" s="1722"/>
      <c r="AG264" s="1722"/>
      <c r="AH264" s="1722"/>
      <c r="AI264" s="1722"/>
      <c r="AJ264" s="1722"/>
      <c r="AK264" s="1722"/>
      <c r="AL264" s="1722"/>
      <c r="AM264" s="1722"/>
      <c r="AN264" s="1722"/>
      <c r="AO264" s="1722"/>
      <c r="AP264" s="1722"/>
      <c r="AQ264" s="1722"/>
      <c r="AR264" s="1722"/>
      <c r="AS264" s="1722"/>
      <c r="AT264" s="1722"/>
      <c r="AU264" s="1722"/>
      <c r="AV264" s="1722"/>
      <c r="AW264" s="1722"/>
      <c r="AX264" s="1723"/>
      <c r="AY264" s="1714" t="str">
        <f t="shared" si="215"/>
        <v/>
      </c>
      <c r="AZ264" s="1714" t="str">
        <f>IF(Obj_PA!D264="","",IF(AY264="","",Obj_PA!D264-AY264))</f>
        <v/>
      </c>
      <c r="BA264" s="178"/>
      <c r="BB264" s="178"/>
      <c r="BC264" s="178"/>
      <c r="BD264" s="178"/>
      <c r="BE264" s="178"/>
      <c r="BF264" s="178"/>
      <c r="BG264" s="178"/>
      <c r="BH264" s="178"/>
      <c r="BI264" s="178"/>
      <c r="BJ264" s="178"/>
      <c r="BK264" s="155" t="str">
        <f t="shared" ref="BK264" si="216">IF(OR(K$4&gt;$J$4,K264=""),"",K264)</f>
        <v/>
      </c>
      <c r="BL264" s="155" t="str">
        <f t="shared" ref="BL264" si="217">IF(OR(L$4&gt;$J$4,L264=""),"",L264)</f>
        <v/>
      </c>
      <c r="BM264" s="155" t="str">
        <f t="shared" ref="BM264" si="218">IF(OR(M$4&gt;$J$4,M264=""),"",M264)</f>
        <v/>
      </c>
      <c r="BN264" s="155" t="str">
        <f t="shared" ref="BN264" si="219">IF(OR(N$4&gt;$J$4,N264=""),"",N264)</f>
        <v/>
      </c>
      <c r="BO264" s="155" t="str">
        <f t="shared" ref="BO264" si="220">IF(OR(O$4&gt;$J$4,O264=""),"",O264)</f>
        <v/>
      </c>
      <c r="BP264" s="155" t="str">
        <f t="shared" ref="BP264" si="221">IF(OR(P$4&gt;$J$4,P264=""),"",P264)</f>
        <v/>
      </c>
      <c r="BQ264" s="155" t="str">
        <f t="shared" ref="BQ264" si="222">IF(OR(Q$4&gt;$J$4,Q264=""),"",Q264)</f>
        <v/>
      </c>
      <c r="BR264" s="155" t="str">
        <f t="shared" ref="BR264" si="223">IF(OR(R$4&gt;$J$4,R264=""),"",R264)</f>
        <v/>
      </c>
      <c r="BS264" s="155" t="str">
        <f t="shared" ref="BS264" si="224">IF(OR(S$4&gt;$J$4,S264=""),"",S264)</f>
        <v/>
      </c>
      <c r="BT264" s="155" t="str">
        <f t="shared" ref="BT264" si="225">IF(OR(T$4&gt;$J$4,T264=""),"",T264)</f>
        <v/>
      </c>
      <c r="BU264" s="155" t="str">
        <f t="shared" ref="BU264" si="226">IF(OR(U$4&gt;$J$4,U264=""),"",U264)</f>
        <v/>
      </c>
      <c r="BV264" s="155" t="str">
        <f t="shared" ref="BV264" si="227">IF(OR(V$4&gt;$J$4,V264=""),"",V264)</f>
        <v/>
      </c>
      <c r="BW264" s="155" t="str">
        <f t="shared" ref="BW264" si="228">IF(OR(W$4&gt;$J$4,W264=""),"",W264)</f>
        <v/>
      </c>
      <c r="BX264" s="155" t="str">
        <f t="shared" ref="BX264" si="229">IF(OR(X$4&gt;$J$4,X264=""),"",X264)</f>
        <v/>
      </c>
      <c r="BY264" s="155" t="str">
        <f t="shared" ref="BY264" si="230">IF(OR(Y$4&gt;$J$4,Y264=""),"",Y264)</f>
        <v/>
      </c>
      <c r="BZ264" s="155" t="str">
        <f t="shared" ref="BZ264" si="231">IF(OR(Z$4&gt;$J$4,Z264=""),"",Z264)</f>
        <v/>
      </c>
      <c r="CA264" s="155" t="str">
        <f t="shared" ref="CA264" si="232">IF(OR(AA$4&gt;$J$4,AA264=""),"",AA264)</f>
        <v/>
      </c>
      <c r="CB264" s="155" t="str">
        <f t="shared" ref="CB264" si="233">IF(OR(AB$4&gt;$J$4,AB264=""),"",AB264)</f>
        <v/>
      </c>
      <c r="CC264" s="155" t="str">
        <f t="shared" ref="CC264" si="234">IF(OR(AC$4&gt;$J$4,AC264=""),"",AC264)</f>
        <v/>
      </c>
      <c r="CD264" s="155" t="str">
        <f t="shared" ref="CD264" si="235">IF(OR(AD$4&gt;$J$4,AD264=""),"",AD264)</f>
        <v/>
      </c>
      <c r="CE264" s="155" t="str">
        <f t="shared" ref="CE264" si="236">IF(OR(AE$4&gt;$J$4,AE264=""),"",AE264)</f>
        <v/>
      </c>
      <c r="CF264" s="155" t="str">
        <f t="shared" ref="CF264" si="237">IF(OR(AF$4&gt;$J$4,AF264=""),"",AF264)</f>
        <v/>
      </c>
      <c r="CG264" s="155" t="str">
        <f t="shared" ref="CG264" si="238">IF(OR(AG$4&gt;$J$4,AG264=""),"",AG264)</f>
        <v/>
      </c>
      <c r="CH264" s="155" t="str">
        <f t="shared" ref="CH264" si="239">IF(OR(AH$4&gt;$J$4,AH264=""),"",AH264)</f>
        <v/>
      </c>
      <c r="CI264" s="155" t="str">
        <f t="shared" ref="CI264" si="240">IF(OR(AI$4&gt;$J$4,AI264=""),"",AI264)</f>
        <v/>
      </c>
      <c r="CJ264" s="155" t="str">
        <f t="shared" ref="CJ264" si="241">IF(OR(AJ$4&gt;$J$4,AJ264=""),"",AJ264)</f>
        <v/>
      </c>
      <c r="CK264" s="155" t="str">
        <f t="shared" ref="CK264" si="242">IF(OR(AK$4&gt;$J$4,AK264=""),"",AK264)</f>
        <v/>
      </c>
      <c r="CL264" s="155" t="str">
        <f t="shared" ref="CL264" si="243">IF(OR(AL$4&gt;$J$4,AL264=""),"",AL264)</f>
        <v/>
      </c>
      <c r="CM264" s="155" t="str">
        <f t="shared" ref="CM264" si="244">IF(OR(AM$4&gt;$J$4,AM264=""),"",AM264)</f>
        <v/>
      </c>
      <c r="CN264" s="155" t="str">
        <f t="shared" ref="CN264" si="245">IF(OR(AN$4&gt;$J$4,AN264=""),"",AN264)</f>
        <v/>
      </c>
      <c r="CO264" s="155" t="str">
        <f t="shared" ref="CO264" si="246">IF(OR(AO$4&gt;$J$4,AO264=""),"",AO264)</f>
        <v/>
      </c>
      <c r="CP264" s="155" t="str">
        <f t="shared" ref="CP264" si="247">IF(OR(AP$4&gt;$J$4,AP264=""),"",AP264)</f>
        <v/>
      </c>
      <c r="CQ264" s="155" t="str">
        <f t="shared" ref="CQ264" si="248">IF(OR(AQ$4&gt;$J$4,AQ264=""),"",AQ264)</f>
        <v/>
      </c>
      <c r="CR264" s="155" t="str">
        <f t="shared" ref="CR264" si="249">IF(OR(AR$4&gt;$J$4,AR264=""),"",AR264)</f>
        <v/>
      </c>
      <c r="CS264" s="155" t="str">
        <f t="shared" ref="CS264" si="250">IF(OR(AS$4&gt;$J$4,AS264=""),"",AS264)</f>
        <v/>
      </c>
      <c r="CT264" s="155" t="str">
        <f t="shared" ref="CT264" si="251">IF(OR(AT$4&gt;$J$4,AT264=""),"",AT264)</f>
        <v/>
      </c>
      <c r="CU264" s="155" t="str">
        <f t="shared" ref="CU264" si="252">IF(OR(AU$4&gt;$J$4,AU264=""),"",AU264)</f>
        <v/>
      </c>
      <c r="CV264" s="155" t="str">
        <f t="shared" ref="CV264" si="253">IF(OR(AV$4&gt;$J$4,AV264=""),"",AV264)</f>
        <v/>
      </c>
      <c r="CW264" s="155" t="str">
        <f t="shared" ref="CW264" si="254">IF(OR(AW$4&gt;$J$4,AW264=""),"",AW264)</f>
        <v/>
      </c>
      <c r="CX264" s="155" t="str">
        <f t="shared" ref="CX264" si="255">IF(OR(AX$4&gt;$J$4,AX264=""),"",AX264)</f>
        <v/>
      </c>
      <c r="CY264" s="178"/>
      <c r="CZ264" s="178"/>
      <c r="DA264" s="178"/>
      <c r="DB264" s="178"/>
      <c r="DC264" s="178"/>
      <c r="DD264" s="178"/>
      <c r="DE264" s="178"/>
      <c r="DF264" s="178"/>
      <c r="DG264" s="178"/>
      <c r="DH264" s="178"/>
      <c r="DI264" s="178"/>
      <c r="DJ264" s="178"/>
      <c r="DK264" s="178"/>
      <c r="DL264" s="178"/>
      <c r="DM264" s="178"/>
      <c r="DN264" s="178"/>
      <c r="DO264" s="178"/>
      <c r="DP264" s="178"/>
      <c r="DQ264" s="178"/>
      <c r="DR264" s="178"/>
      <c r="DS264" s="178"/>
      <c r="DT264" s="178"/>
      <c r="DU264" s="178"/>
      <c r="DV264" s="178"/>
      <c r="DW264" s="178"/>
      <c r="DX264" s="178"/>
      <c r="DY264" s="178"/>
      <c r="DZ264" s="178"/>
      <c r="EA264" s="178"/>
      <c r="EB264" s="178"/>
      <c r="EC264" s="178"/>
      <c r="ED264" s="178"/>
      <c r="EE264" s="178"/>
      <c r="EF264" s="178"/>
      <c r="EG264" s="178"/>
      <c r="EH264" s="178"/>
      <c r="EI264" s="178"/>
      <c r="EJ264" s="178"/>
      <c r="EK264" s="178"/>
      <c r="EL264" s="178"/>
      <c r="EM264" s="178"/>
      <c r="EN264" s="178"/>
      <c r="EO264" s="178"/>
      <c r="EP264" s="178"/>
      <c r="EQ264" s="178"/>
      <c r="ER264" s="178"/>
      <c r="ES264" s="178"/>
      <c r="ET264" s="178"/>
      <c r="EU264" s="178"/>
      <c r="EV264" s="178"/>
      <c r="EW264" s="178"/>
      <c r="EX264" s="178"/>
      <c r="EY264" s="178"/>
      <c r="EZ264" s="178"/>
      <c r="FA264" s="178"/>
      <c r="FB264" s="178"/>
      <c r="FC264" s="178"/>
      <c r="FD264" s="178"/>
      <c r="FE264" s="178"/>
      <c r="FF264" s="178"/>
      <c r="FG264" s="178"/>
      <c r="FH264" s="178"/>
      <c r="FI264" s="178"/>
      <c r="FJ264" s="178"/>
      <c r="FK264" s="178"/>
      <c r="FL264" s="178"/>
      <c r="FM264" s="178"/>
      <c r="FN264" s="178"/>
      <c r="FO264" s="178"/>
      <c r="FP264" s="178"/>
      <c r="FQ264" s="178"/>
      <c r="FR264" s="178"/>
      <c r="FS264" s="178"/>
      <c r="FT264" s="178"/>
      <c r="FU264" s="178"/>
      <c r="FV264" s="178"/>
      <c r="FW264" s="178"/>
      <c r="FX264" s="178"/>
      <c r="FY264" s="178"/>
      <c r="FZ264" s="178"/>
      <c r="GA264" s="178"/>
      <c r="GB264" s="178"/>
      <c r="GC264" s="178"/>
      <c r="GD264" s="178"/>
      <c r="GE264" s="178"/>
      <c r="GF264" s="178"/>
      <c r="GG264" s="178"/>
      <c r="GH264" s="178"/>
      <c r="GI264" s="178"/>
      <c r="GJ264" s="178"/>
      <c r="GK264" s="178"/>
      <c r="GL264" s="178"/>
      <c r="GM264" s="178"/>
      <c r="GN264" s="178"/>
      <c r="GO264" s="178"/>
      <c r="GP264" s="178"/>
      <c r="GQ264" s="178"/>
      <c r="GR264" s="178"/>
      <c r="GS264" s="178"/>
      <c r="GT264" s="178"/>
      <c r="GU264" s="178"/>
      <c r="GV264" s="178"/>
      <c r="GW264" s="178"/>
      <c r="GX264" s="178"/>
      <c r="GY264" s="178"/>
      <c r="GZ264" s="178"/>
      <c r="HA264" s="178"/>
      <c r="HB264" s="178"/>
      <c r="HC264" s="178"/>
      <c r="HD264" s="178"/>
      <c r="HE264" s="178"/>
      <c r="HF264" s="178"/>
      <c r="HG264" s="178"/>
      <c r="HH264" s="178"/>
      <c r="HI264" s="178"/>
      <c r="HJ264" s="178"/>
      <c r="HK264" s="178"/>
      <c r="HL264" s="178"/>
      <c r="HM264" s="178"/>
      <c r="HN264" s="178"/>
      <c r="HO264" s="178"/>
      <c r="HP264" s="178"/>
      <c r="HQ264" s="178"/>
      <c r="HR264" s="178"/>
      <c r="HS264" s="178"/>
      <c r="HT264" s="178"/>
      <c r="HU264" s="178"/>
      <c r="HV264" s="178"/>
      <c r="HW264" s="178"/>
      <c r="HX264" s="178"/>
      <c r="HY264" s="178"/>
      <c r="HZ264" s="178"/>
      <c r="IA264" s="178"/>
      <c r="IB264" s="178"/>
      <c r="IC264" s="178"/>
      <c r="ID264" s="178"/>
      <c r="IE264" s="178"/>
      <c r="IF264" s="178"/>
      <c r="IG264" s="178"/>
      <c r="IH264" s="178"/>
      <c r="II264" s="178"/>
      <c r="IJ264" s="178"/>
      <c r="IK264" s="178"/>
      <c r="IL264" s="178"/>
      <c r="IM264" s="178"/>
      <c r="IN264" s="178"/>
      <c r="IO264" s="178"/>
      <c r="IP264" s="178"/>
      <c r="IQ264" s="178"/>
      <c r="IR264" s="178"/>
      <c r="IS264" s="178"/>
      <c r="IT264" s="178"/>
      <c r="IU264" s="178"/>
      <c r="IV264" s="178"/>
      <c r="IW264" s="178"/>
      <c r="IX264" s="178"/>
      <c r="IY264" s="178"/>
      <c r="IZ264" s="178"/>
      <c r="JA264" s="178"/>
      <c r="JB264" s="178"/>
      <c r="JC264" s="178"/>
      <c r="JD264" s="178"/>
      <c r="JE264" s="178"/>
      <c r="JF264" s="178"/>
      <c r="JG264" s="178"/>
      <c r="JH264" s="178"/>
      <c r="JI264" s="178"/>
      <c r="JJ264" s="178"/>
      <c r="JK264" s="178"/>
      <c r="JL264" s="178"/>
      <c r="JM264" s="178"/>
      <c r="JN264" s="178"/>
      <c r="JO264" s="178"/>
      <c r="JP264" s="178"/>
      <c r="JQ264" s="178"/>
      <c r="JR264" s="178"/>
      <c r="JS264" s="178"/>
      <c r="JT264" s="178"/>
      <c r="JU264" s="178"/>
      <c r="JV264" s="178"/>
      <c r="JW264" s="178"/>
      <c r="JX264" s="178"/>
      <c r="JY264" s="178"/>
      <c r="JZ264" s="178"/>
      <c r="KA264" s="178"/>
      <c r="KB264" s="178"/>
      <c r="KC264" s="178"/>
      <c r="KD264" s="178"/>
      <c r="KE264" s="178"/>
      <c r="KF264" s="178"/>
      <c r="KG264" s="178"/>
      <c r="KH264" s="178"/>
      <c r="KI264" s="178"/>
      <c r="KJ264" s="178"/>
      <c r="KK264" s="178"/>
      <c r="KL264" s="178"/>
      <c r="KM264" s="178"/>
      <c r="KN264" s="178"/>
      <c r="KO264" s="178"/>
      <c r="KP264" s="178"/>
      <c r="KQ264" s="178"/>
      <c r="KR264" s="178"/>
      <c r="KS264" s="178"/>
      <c r="KT264" s="178"/>
      <c r="KU264" s="178"/>
      <c r="KV264" s="178"/>
      <c r="KW264" s="178"/>
      <c r="KX264" s="178"/>
      <c r="KY264" s="178"/>
      <c r="KZ264" s="178"/>
      <c r="LA264" s="178"/>
      <c r="LB264" s="178"/>
      <c r="LC264" s="178"/>
      <c r="LD264" s="178"/>
      <c r="LE264" s="178"/>
      <c r="LF264" s="178"/>
      <c r="LG264" s="178"/>
      <c r="LH264" s="178"/>
      <c r="LI264" s="178"/>
      <c r="LJ264" s="178"/>
      <c r="LK264" s="178"/>
      <c r="LL264" s="178"/>
      <c r="LM264" s="178"/>
      <c r="LN264" s="178"/>
      <c r="LO264" s="178"/>
      <c r="LP264" s="178"/>
      <c r="LQ264" s="178"/>
      <c r="LR264" s="178"/>
      <c r="LS264" s="178"/>
      <c r="LT264" s="178"/>
      <c r="LU264" s="178"/>
      <c r="LV264" s="178"/>
      <c r="LW264" s="178"/>
      <c r="LX264" s="178"/>
      <c r="LY264" s="178"/>
      <c r="LZ264" s="178"/>
      <c r="MA264" s="178"/>
      <c r="MB264" s="178"/>
      <c r="MC264" s="178"/>
      <c r="MD264" s="178"/>
      <c r="ME264" s="178"/>
      <c r="MF264" s="178"/>
      <c r="MG264" s="178"/>
      <c r="MH264" s="178"/>
      <c r="MI264" s="178"/>
      <c r="MJ264" s="178"/>
      <c r="MK264" s="178"/>
      <c r="ML264" s="178"/>
      <c r="MM264" s="178"/>
      <c r="MN264" s="178"/>
      <c r="MO264" s="178"/>
      <c r="MP264" s="178"/>
      <c r="MQ264" s="178"/>
      <c r="MR264" s="178"/>
      <c r="MS264" s="178"/>
      <c r="MT264" s="178"/>
      <c r="MU264" s="178"/>
      <c r="MV264" s="178"/>
      <c r="MW264" s="178"/>
      <c r="MX264" s="178"/>
      <c r="MY264" s="178"/>
      <c r="MZ264" s="178"/>
      <c r="NA264" s="178"/>
      <c r="NB264" s="178"/>
      <c r="NC264" s="178"/>
      <c r="ND264" s="178"/>
      <c r="NE264" s="178"/>
      <c r="NF264" s="178"/>
      <c r="NG264" s="178"/>
      <c r="NH264" s="178"/>
      <c r="NI264" s="178"/>
      <c r="NJ264" s="178"/>
      <c r="NK264" s="178"/>
      <c r="NL264" s="178"/>
      <c r="NM264" s="178"/>
      <c r="NN264" s="178"/>
      <c r="NO264" s="178"/>
      <c r="NP264" s="178"/>
      <c r="NQ264" s="178"/>
      <c r="NR264" s="178"/>
      <c r="NS264" s="178"/>
      <c r="NT264" s="178"/>
      <c r="NU264" s="178"/>
      <c r="NV264" s="178"/>
      <c r="NW264" s="178"/>
      <c r="NX264" s="178"/>
      <c r="NY264" s="178"/>
      <c r="NZ264" s="178"/>
      <c r="OA264" s="178"/>
      <c r="OB264" s="178"/>
      <c r="OC264" s="178"/>
      <c r="OD264" s="178"/>
      <c r="OE264" s="178"/>
      <c r="OF264" s="178"/>
      <c r="OG264" s="178"/>
      <c r="OH264" s="178"/>
      <c r="OI264" s="178"/>
      <c r="OJ264" s="178"/>
      <c r="OK264" s="178"/>
      <c r="OL264" s="178"/>
      <c r="OM264" s="178"/>
      <c r="ON264" s="178"/>
      <c r="OO264" s="178"/>
      <c r="OP264" s="178"/>
      <c r="OQ264" s="178"/>
      <c r="OR264" s="178"/>
      <c r="OS264" s="178"/>
      <c r="OT264" s="178"/>
      <c r="OU264" s="178"/>
      <c r="OV264" s="178"/>
      <c r="OW264" s="178"/>
      <c r="OX264" s="178"/>
      <c r="OY264" s="178"/>
      <c r="OZ264" s="178"/>
      <c r="PA264" s="178"/>
      <c r="PB264" s="178"/>
      <c r="PC264" s="178"/>
      <c r="PD264" s="178"/>
      <c r="PE264" s="178"/>
      <c r="PF264" s="178"/>
      <c r="PG264" s="178"/>
      <c r="PH264" s="178"/>
      <c r="PI264" s="178"/>
      <c r="PJ264" s="178"/>
      <c r="PK264" s="178"/>
      <c r="PL264" s="178"/>
      <c r="PM264" s="178"/>
      <c r="PN264" s="178"/>
      <c r="PO264" s="178"/>
      <c r="PP264" s="178"/>
      <c r="PQ264" s="178"/>
      <c r="PR264" s="178"/>
      <c r="PS264" s="178"/>
      <c r="PT264" s="178"/>
      <c r="PU264" s="178"/>
      <c r="PV264" s="178"/>
      <c r="PW264" s="178"/>
      <c r="PX264" s="178"/>
      <c r="PY264" s="178"/>
      <c r="PZ264" s="178"/>
      <c r="QA264" s="178"/>
      <c r="QB264" s="178"/>
      <c r="QC264" s="178"/>
      <c r="QD264" s="178"/>
      <c r="QE264" s="178"/>
      <c r="QF264" s="178"/>
      <c r="QG264" s="178"/>
      <c r="QH264" s="178"/>
      <c r="QI264" s="178"/>
      <c r="QJ264" s="178"/>
      <c r="QK264" s="178"/>
      <c r="QL264" s="178"/>
      <c r="QM264" s="178"/>
      <c r="QN264" s="178"/>
      <c r="QO264" s="178"/>
      <c r="QP264" s="178"/>
      <c r="QQ264" s="178"/>
      <c r="QR264" s="178"/>
      <c r="QS264" s="178"/>
      <c r="QT264" s="178"/>
      <c r="QU264" s="178"/>
      <c r="QV264" s="178"/>
      <c r="QW264" s="178"/>
      <c r="QX264" s="178"/>
      <c r="QY264" s="178"/>
      <c r="QZ264" s="178"/>
      <c r="RA264" s="178"/>
      <c r="RB264" s="178"/>
      <c r="RC264" s="178"/>
      <c r="RD264" s="178"/>
      <c r="RE264" s="178"/>
      <c r="RF264" s="178"/>
      <c r="RG264" s="178"/>
      <c r="RH264" s="178"/>
      <c r="RI264" s="178"/>
      <c r="RJ264" s="178"/>
      <c r="RK264" s="178"/>
      <c r="RL264" s="178"/>
      <c r="RM264" s="178"/>
      <c r="RN264" s="178"/>
      <c r="RO264" s="178"/>
      <c r="RP264" s="178"/>
      <c r="RQ264" s="178"/>
      <c r="RR264" s="178"/>
      <c r="RS264" s="178"/>
      <c r="RT264" s="178"/>
      <c r="RU264" s="178"/>
      <c r="RV264" s="178"/>
      <c r="RW264" s="178"/>
      <c r="RX264" s="178"/>
      <c r="RY264" s="178"/>
      <c r="RZ264" s="178"/>
      <c r="SA264" s="178"/>
      <c r="SB264" s="178"/>
      <c r="SC264" s="178"/>
      <c r="SD264" s="178"/>
      <c r="SE264" s="178"/>
      <c r="SF264" s="178"/>
      <c r="SG264" s="178"/>
      <c r="SH264" s="178"/>
      <c r="SI264" s="178"/>
      <c r="SJ264" s="178"/>
      <c r="SK264" s="178"/>
      <c r="SL264" s="178"/>
      <c r="SM264" s="178"/>
      <c r="SN264" s="178"/>
      <c r="SO264" s="178"/>
      <c r="SP264" s="178"/>
      <c r="SQ264" s="178"/>
      <c r="SR264" s="178"/>
      <c r="SS264" s="178"/>
      <c r="ST264" s="178"/>
      <c r="SU264" s="178"/>
      <c r="SV264" s="178"/>
      <c r="SW264" s="178"/>
      <c r="SX264" s="178"/>
      <c r="SY264" s="178"/>
      <c r="SZ264" s="178"/>
      <c r="TA264" s="178"/>
      <c r="TB264" s="178"/>
      <c r="TC264" s="178"/>
      <c r="TD264" s="178"/>
      <c r="TE264" s="178"/>
      <c r="TF264" s="178"/>
      <c r="TG264" s="178"/>
      <c r="TH264" s="178"/>
      <c r="TI264" s="178"/>
      <c r="TJ264" s="178"/>
      <c r="TK264" s="178"/>
      <c r="TL264" s="178"/>
      <c r="TM264" s="178"/>
      <c r="TN264" s="178"/>
      <c r="TO264" s="178"/>
      <c r="TP264" s="178"/>
      <c r="TQ264" s="178"/>
      <c r="TR264" s="178"/>
      <c r="TS264" s="178"/>
      <c r="TT264" s="178"/>
      <c r="TU264" s="178"/>
      <c r="TV264" s="178"/>
      <c r="TW264" s="178"/>
      <c r="TX264" s="178"/>
      <c r="TY264" s="178"/>
      <c r="TZ264" s="178"/>
      <c r="UA264" s="178"/>
      <c r="UB264" s="178"/>
      <c r="UC264" s="178"/>
      <c r="UD264" s="178"/>
      <c r="UE264" s="178"/>
      <c r="UF264" s="178"/>
      <c r="UG264" s="178"/>
      <c r="UH264" s="178"/>
      <c r="UI264" s="178"/>
      <c r="UJ264" s="178"/>
      <c r="UK264" s="178"/>
      <c r="UL264" s="178"/>
      <c r="UM264" s="178"/>
      <c r="UN264" s="178"/>
      <c r="UO264" s="178"/>
      <c r="UP264" s="178"/>
      <c r="UQ264" s="178"/>
      <c r="UR264" s="178"/>
      <c r="US264" s="178"/>
      <c r="UT264" s="178"/>
      <c r="UU264" s="178"/>
      <c r="UV264" s="178"/>
      <c r="UW264" s="178"/>
      <c r="UX264" s="178"/>
      <c r="UY264" s="178"/>
      <c r="UZ264" s="178"/>
      <c r="VA264" s="178"/>
      <c r="VB264" s="178"/>
      <c r="VC264" s="178"/>
      <c r="VD264" s="178"/>
      <c r="VE264" s="178"/>
      <c r="VF264" s="178"/>
      <c r="VG264" s="178"/>
      <c r="VH264" s="178"/>
      <c r="VI264" s="178"/>
      <c r="VJ264" s="178"/>
      <c r="VK264" s="178"/>
      <c r="VL264" s="178"/>
      <c r="VM264" s="178"/>
      <c r="VN264" s="178"/>
      <c r="VO264" s="178"/>
      <c r="VP264" s="178"/>
      <c r="VQ264" s="178"/>
      <c r="VR264" s="178"/>
      <c r="VS264" s="178"/>
      <c r="VT264" s="178"/>
      <c r="VU264" s="178"/>
      <c r="VV264" s="178"/>
      <c r="VW264" s="178"/>
      <c r="VX264" s="178"/>
      <c r="VY264" s="178"/>
      <c r="VZ264" s="178"/>
      <c r="WA264" s="178"/>
      <c r="WB264" s="178"/>
      <c r="WC264" s="178"/>
      <c r="WD264" s="178"/>
      <c r="WE264" s="178"/>
      <c r="WF264" s="178"/>
      <c r="WG264" s="178"/>
      <c r="WH264" s="178"/>
      <c r="WI264" s="178"/>
      <c r="WJ264" s="178"/>
      <c r="WK264" s="178"/>
      <c r="WL264" s="178"/>
      <c r="WM264" s="178"/>
      <c r="WN264" s="178"/>
      <c r="WO264" s="178"/>
      <c r="WP264" s="178"/>
      <c r="WQ264" s="178"/>
      <c r="WR264" s="178"/>
      <c r="WS264" s="178"/>
      <c r="WT264" s="178"/>
      <c r="WU264" s="178"/>
      <c r="WV264" s="178"/>
      <c r="WW264" s="178"/>
      <c r="WX264" s="178"/>
      <c r="WY264" s="178"/>
      <c r="WZ264" s="178"/>
      <c r="XA264" s="178"/>
      <c r="XB264" s="178"/>
      <c r="XC264" s="178"/>
      <c r="XD264" s="178"/>
      <c r="XE264" s="178"/>
      <c r="XF264" s="178"/>
      <c r="XG264" s="178"/>
      <c r="XH264" s="178"/>
      <c r="XI264" s="178"/>
      <c r="XJ264" s="178"/>
      <c r="XK264" s="178"/>
      <c r="XL264" s="178"/>
      <c r="XM264" s="178"/>
      <c r="XN264" s="178"/>
      <c r="XO264" s="178"/>
      <c r="XP264" s="178"/>
      <c r="XQ264" s="178"/>
      <c r="XR264" s="178"/>
      <c r="XS264" s="178"/>
      <c r="XT264" s="178"/>
      <c r="XU264" s="178"/>
      <c r="XV264" s="178"/>
      <c r="XW264" s="178"/>
      <c r="XX264" s="178"/>
      <c r="XY264" s="178"/>
      <c r="XZ264" s="178"/>
      <c r="YA264" s="178"/>
      <c r="YB264" s="178"/>
      <c r="YC264" s="178"/>
      <c r="YD264" s="178"/>
      <c r="YE264" s="178"/>
      <c r="YF264" s="178"/>
      <c r="YG264" s="178"/>
      <c r="YH264" s="178"/>
      <c r="YI264" s="178"/>
      <c r="YJ264" s="178"/>
      <c r="YK264" s="178"/>
      <c r="YL264" s="178"/>
      <c r="YM264" s="178"/>
      <c r="YN264" s="178"/>
      <c r="YO264" s="178"/>
      <c r="YP264" s="178"/>
      <c r="YQ264" s="178"/>
      <c r="YR264" s="178"/>
      <c r="YS264" s="178"/>
      <c r="YT264" s="178"/>
      <c r="YU264" s="178"/>
      <c r="YV264" s="178"/>
      <c r="YW264" s="178"/>
      <c r="YX264" s="178"/>
      <c r="YY264" s="178"/>
      <c r="YZ264" s="178"/>
      <c r="ZA264" s="178"/>
      <c r="ZB264" s="178"/>
      <c r="ZC264" s="178"/>
      <c r="ZD264" s="178"/>
      <c r="ZE264" s="178"/>
      <c r="ZF264" s="178"/>
      <c r="ZG264" s="178"/>
      <c r="ZH264" s="178"/>
      <c r="ZI264" s="178"/>
      <c r="ZJ264" s="178"/>
      <c r="ZK264" s="178"/>
      <c r="ZL264" s="178"/>
      <c r="ZM264" s="178"/>
      <c r="ZN264" s="178"/>
      <c r="ZO264" s="178"/>
      <c r="ZP264" s="178"/>
      <c r="ZQ264" s="178"/>
      <c r="ZR264" s="178"/>
      <c r="ZS264" s="178"/>
      <c r="ZT264" s="178"/>
      <c r="ZU264" s="178"/>
      <c r="ZV264" s="178"/>
      <c r="ZW264" s="178"/>
      <c r="ZX264" s="178"/>
      <c r="ZY264" s="178"/>
      <c r="ZZ264" s="178"/>
      <c r="AAA264" s="178"/>
      <c r="AAB264" s="178"/>
      <c r="AAC264" s="178"/>
      <c r="AAD264" s="178"/>
      <c r="AAE264" s="178"/>
      <c r="AAF264" s="178"/>
      <c r="AAG264" s="178"/>
      <c r="AAH264" s="178"/>
      <c r="AAI264" s="178"/>
      <c r="AAJ264" s="178"/>
      <c r="AAK264" s="178"/>
      <c r="AAL264" s="178"/>
      <c r="AAM264" s="178"/>
      <c r="AAN264" s="178"/>
      <c r="AAO264" s="178"/>
      <c r="AAP264" s="178"/>
      <c r="AAQ264" s="178"/>
      <c r="AAR264" s="178"/>
      <c r="AAS264" s="178"/>
      <c r="AAT264" s="178"/>
      <c r="AAU264" s="178"/>
      <c r="AAV264" s="178"/>
      <c r="AAW264" s="178"/>
      <c r="AAX264" s="178"/>
      <c r="AAY264" s="178"/>
      <c r="AAZ264" s="178"/>
      <c r="ABA264" s="178"/>
      <c r="ABB264" s="178"/>
      <c r="ABC264" s="178"/>
      <c r="ABD264" s="178"/>
      <c r="ABE264" s="178"/>
      <c r="ABF264" s="178"/>
      <c r="ABG264" s="178"/>
      <c r="ABH264" s="178"/>
      <c r="ABI264" s="178"/>
      <c r="ABJ264" s="178"/>
      <c r="ABK264" s="178"/>
      <c r="ABL264" s="178"/>
      <c r="ABM264" s="178"/>
      <c r="ABN264" s="178"/>
      <c r="ABO264" s="178"/>
      <c r="ABP264" s="178"/>
      <c r="ABQ264" s="178"/>
      <c r="ABR264" s="178"/>
      <c r="ABS264" s="178"/>
      <c r="ABT264" s="178"/>
      <c r="ABU264" s="178"/>
      <c r="ABV264" s="178"/>
      <c r="ABW264" s="178"/>
      <c r="ABX264" s="178"/>
      <c r="ABY264" s="178"/>
      <c r="ABZ264" s="178"/>
      <c r="ACA264" s="178"/>
      <c r="ACB264" s="178"/>
      <c r="ACC264" s="178"/>
      <c r="ACD264" s="178"/>
      <c r="ACE264" s="178"/>
      <c r="ACF264" s="178"/>
      <c r="ACG264" s="178"/>
      <c r="ACH264" s="178"/>
      <c r="ACI264" s="178"/>
      <c r="ACJ264" s="178"/>
      <c r="ACK264" s="178"/>
      <c r="ACL264" s="178"/>
      <c r="ACM264" s="178"/>
      <c r="ACN264" s="178"/>
      <c r="ACO264" s="178"/>
      <c r="ACP264" s="178"/>
      <c r="ACQ264" s="178"/>
      <c r="ACR264" s="178"/>
      <c r="ACS264" s="178"/>
      <c r="ACT264" s="178"/>
      <c r="ACU264" s="178"/>
      <c r="ACV264" s="178"/>
      <c r="ACW264" s="178"/>
      <c r="ACX264" s="178"/>
      <c r="ACY264" s="178"/>
      <c r="ACZ264" s="178"/>
      <c r="ADA264" s="178"/>
      <c r="ADB264" s="178"/>
      <c r="ADC264" s="178"/>
      <c r="ADD264" s="178"/>
      <c r="ADE264" s="178"/>
      <c r="ADF264" s="178"/>
      <c r="ADG264" s="178"/>
      <c r="ADH264" s="178"/>
      <c r="ADI264" s="178"/>
      <c r="ADJ264" s="178"/>
      <c r="ADK264" s="178"/>
      <c r="ADL264" s="178"/>
      <c r="ADM264" s="178"/>
      <c r="ADN264" s="178"/>
      <c r="ADO264" s="178"/>
      <c r="ADP264" s="178"/>
      <c r="ADQ264" s="178"/>
      <c r="ADR264" s="178"/>
      <c r="ADS264" s="178"/>
      <c r="ADT264" s="178"/>
      <c r="ADU264" s="178"/>
      <c r="ADV264" s="178"/>
      <c r="ADW264" s="178"/>
      <c r="ADX264" s="178"/>
      <c r="ADY264" s="178"/>
      <c r="ADZ264" s="178"/>
      <c r="AEA264" s="178"/>
      <c r="AEB264" s="178"/>
      <c r="AEC264" s="178"/>
      <c r="AED264" s="178"/>
      <c r="AEE264" s="178"/>
      <c r="AEF264" s="178"/>
      <c r="AEG264" s="178"/>
      <c r="AEH264" s="178"/>
      <c r="AEI264" s="178"/>
      <c r="AEJ264" s="178"/>
      <c r="AEK264" s="178"/>
      <c r="AEL264" s="178"/>
      <c r="AEM264" s="178"/>
      <c r="AEN264" s="178"/>
      <c r="AEO264" s="178"/>
      <c r="AEP264" s="178"/>
      <c r="AEQ264" s="178"/>
      <c r="AER264" s="178"/>
      <c r="AES264" s="178"/>
      <c r="AET264" s="178"/>
      <c r="AEU264" s="178"/>
      <c r="AEV264" s="178"/>
      <c r="AEW264" s="178"/>
      <c r="AEX264" s="178"/>
      <c r="AEY264" s="178"/>
      <c r="AEZ264" s="178"/>
      <c r="AFA264" s="178"/>
      <c r="AFB264" s="178"/>
      <c r="AFC264" s="178"/>
      <c r="AFD264" s="178"/>
      <c r="AFE264" s="178"/>
      <c r="AFF264" s="178"/>
      <c r="AFG264" s="178"/>
      <c r="AFH264" s="178"/>
      <c r="AFI264" s="178"/>
      <c r="AFJ264" s="178"/>
      <c r="AFK264" s="178"/>
      <c r="AFL264" s="178"/>
      <c r="AFM264" s="178"/>
      <c r="AFN264" s="178"/>
      <c r="AFO264" s="178"/>
      <c r="AFP264" s="178"/>
      <c r="AFQ264" s="178"/>
      <c r="AFR264" s="178"/>
      <c r="AFS264" s="178"/>
      <c r="AFT264" s="178"/>
      <c r="AFU264" s="178"/>
      <c r="AFV264" s="178"/>
      <c r="AFW264" s="178"/>
      <c r="AFX264" s="178"/>
      <c r="AFY264" s="178"/>
      <c r="AFZ264" s="178"/>
      <c r="AGA264" s="178"/>
      <c r="AGB264" s="178"/>
      <c r="AGC264" s="178"/>
      <c r="AGD264" s="178"/>
      <c r="AGE264" s="178"/>
      <c r="AGF264" s="178"/>
      <c r="AGG264" s="178"/>
      <c r="AGH264" s="178"/>
      <c r="AGI264" s="178"/>
      <c r="AGJ264" s="178"/>
      <c r="AGK264" s="178"/>
      <c r="AGL264" s="178"/>
      <c r="AGM264" s="178"/>
      <c r="AGN264" s="178"/>
      <c r="AGO264" s="178"/>
      <c r="AGP264" s="178"/>
      <c r="AGQ264" s="178"/>
      <c r="AGR264" s="178"/>
      <c r="AGS264" s="178"/>
      <c r="AGT264" s="178"/>
      <c r="AGU264" s="178"/>
      <c r="AGV264" s="178"/>
      <c r="AGW264" s="178"/>
      <c r="AGX264" s="178"/>
      <c r="AGY264" s="178"/>
      <c r="AGZ264" s="178"/>
      <c r="AHA264" s="178"/>
      <c r="AHB264" s="178"/>
      <c r="AHC264" s="178"/>
      <c r="AHD264" s="178"/>
      <c r="AHE264" s="178"/>
      <c r="AHF264" s="178"/>
      <c r="AHG264" s="178"/>
      <c r="AHH264" s="178"/>
      <c r="AHI264" s="178"/>
      <c r="AHJ264" s="178"/>
      <c r="AHK264" s="178"/>
      <c r="AHL264" s="178"/>
      <c r="AHM264" s="178"/>
      <c r="AHN264" s="178"/>
      <c r="AHO264" s="178"/>
      <c r="AHP264" s="178"/>
      <c r="AHQ264" s="178"/>
      <c r="AHR264" s="178"/>
      <c r="AHS264" s="178"/>
      <c r="AHT264" s="178"/>
      <c r="AHU264" s="178"/>
      <c r="AHV264" s="178"/>
      <c r="AHW264" s="178"/>
      <c r="AHX264" s="178"/>
      <c r="AHY264" s="178"/>
      <c r="AHZ264" s="178"/>
      <c r="AIA264" s="178"/>
      <c r="AIB264" s="178"/>
      <c r="AIC264" s="178"/>
      <c r="AID264" s="178"/>
      <c r="AIE264" s="178"/>
      <c r="AIF264" s="178"/>
      <c r="AIG264" s="178"/>
      <c r="AIH264" s="178"/>
      <c r="AII264" s="178"/>
      <c r="AIJ264" s="178"/>
      <c r="AIK264" s="178"/>
      <c r="AIL264" s="178"/>
      <c r="AIM264" s="178"/>
      <c r="AIN264" s="178"/>
      <c r="AIO264" s="178"/>
      <c r="AIP264" s="178"/>
      <c r="AIQ264" s="178"/>
      <c r="AIR264" s="178"/>
      <c r="AIS264" s="178"/>
      <c r="AIT264" s="178"/>
      <c r="AIU264" s="178"/>
      <c r="AIV264" s="178"/>
      <c r="AIW264" s="178"/>
      <c r="AIX264" s="178"/>
      <c r="AIY264" s="178"/>
      <c r="AIZ264" s="178"/>
      <c r="AJA264" s="178"/>
      <c r="AJB264" s="178"/>
      <c r="AJC264" s="178"/>
      <c r="AJD264" s="178"/>
      <c r="AJE264" s="178"/>
      <c r="AJF264" s="178"/>
      <c r="AJG264" s="178"/>
      <c r="AJH264" s="178"/>
      <c r="AJI264" s="178"/>
      <c r="AJJ264" s="178"/>
      <c r="AJK264" s="178"/>
      <c r="AJL264" s="178"/>
      <c r="AJM264" s="178"/>
      <c r="AJN264" s="178"/>
      <c r="AJO264" s="178"/>
      <c r="AJP264" s="178"/>
      <c r="AJQ264" s="178"/>
      <c r="AJR264" s="178"/>
      <c r="AJS264" s="178"/>
      <c r="AJT264" s="178"/>
      <c r="AJU264" s="178"/>
      <c r="AJV264" s="178"/>
      <c r="AJW264" s="178"/>
      <c r="AJX264" s="178"/>
      <c r="AJY264" s="178"/>
      <c r="AJZ264" s="178"/>
      <c r="AKA264" s="178"/>
      <c r="AKB264" s="178"/>
      <c r="AKC264" s="178"/>
      <c r="AKD264" s="178"/>
      <c r="AKE264" s="178"/>
      <c r="AKF264" s="178"/>
      <c r="AKG264" s="178"/>
      <c r="AKH264" s="178"/>
      <c r="AKI264" s="178"/>
      <c r="AKJ264" s="178"/>
      <c r="AKK264" s="178"/>
      <c r="AKL264" s="178"/>
      <c r="AKM264" s="178"/>
      <c r="AKN264" s="178"/>
      <c r="AKO264" s="178"/>
      <c r="AKP264" s="178"/>
      <c r="AKQ264" s="178"/>
      <c r="AKR264" s="178"/>
      <c r="AKS264" s="178"/>
      <c r="AKT264" s="178"/>
      <c r="AKU264" s="178"/>
      <c r="AKV264" s="178"/>
      <c r="AKW264" s="178"/>
      <c r="AKX264" s="178"/>
      <c r="AKY264" s="178"/>
      <c r="AKZ264" s="178"/>
      <c r="ALA264" s="178"/>
      <c r="ALB264" s="178"/>
      <c r="ALC264" s="178"/>
      <c r="ALD264" s="178"/>
      <c r="ALE264" s="178"/>
      <c r="ALF264" s="178"/>
      <c r="ALG264" s="178"/>
      <c r="ALH264" s="178"/>
      <c r="ALI264" s="178"/>
      <c r="ALJ264" s="178"/>
      <c r="ALK264" s="178"/>
      <c r="ALL264" s="178"/>
      <c r="ALM264" s="178"/>
      <c r="ALN264" s="178"/>
      <c r="ALO264" s="178"/>
      <c r="ALP264" s="178"/>
      <c r="ALQ264" s="178"/>
      <c r="ALR264" s="178"/>
      <c r="ALS264" s="178"/>
      <c r="ALT264" s="178"/>
      <c r="ALU264" s="178"/>
      <c r="ALV264" s="178"/>
      <c r="ALW264" s="178"/>
      <c r="ALX264" s="178"/>
      <c r="ALY264" s="178"/>
      <c r="ALZ264" s="178"/>
      <c r="AMA264" s="178"/>
      <c r="AMB264" s="178"/>
      <c r="AMC264" s="178"/>
      <c r="AMD264" s="178"/>
      <c r="AME264" s="178"/>
      <c r="AMF264" s="178"/>
      <c r="AMG264" s="178"/>
      <c r="AMH264" s="178"/>
      <c r="AMI264" s="178"/>
      <c r="AMJ264" s="178"/>
      <c r="AMK264" s="178"/>
      <c r="AML264" s="178"/>
      <c r="AMM264" s="178"/>
      <c r="AMN264" s="178"/>
      <c r="AMO264" s="178"/>
      <c r="AMP264" s="178"/>
      <c r="AMQ264" s="178"/>
      <c r="AMR264" s="178"/>
      <c r="AMS264" s="178"/>
      <c r="AMT264" s="178"/>
      <c r="AMU264" s="178"/>
      <c r="AMV264" s="178"/>
      <c r="AMW264" s="178"/>
      <c r="AMX264" s="178"/>
      <c r="AMY264" s="178"/>
      <c r="AMZ264" s="178"/>
      <c r="ANA264" s="178"/>
      <c r="ANB264" s="178"/>
      <c r="ANC264" s="178"/>
      <c r="AND264" s="178"/>
      <c r="ANE264" s="178"/>
      <c r="ANF264" s="178"/>
      <c r="ANG264" s="178"/>
      <c r="ANH264" s="178"/>
      <c r="ANI264" s="178"/>
      <c r="ANJ264" s="178"/>
      <c r="ANK264" s="178"/>
      <c r="ANL264" s="178"/>
      <c r="ANM264" s="178"/>
      <c r="ANN264" s="178"/>
      <c r="ANO264" s="178"/>
      <c r="ANP264" s="178"/>
      <c r="ANQ264" s="178"/>
      <c r="ANR264" s="178"/>
      <c r="ANS264" s="178"/>
      <c r="ANT264" s="178"/>
      <c r="ANU264" s="178"/>
      <c r="ANV264" s="178"/>
      <c r="ANW264" s="178"/>
      <c r="ANX264" s="178"/>
      <c r="ANY264" s="178"/>
      <c r="ANZ264" s="178"/>
      <c r="AOA264" s="178"/>
      <c r="AOB264" s="178"/>
      <c r="AOC264" s="178"/>
      <c r="AOD264" s="178"/>
      <c r="AOE264" s="178"/>
      <c r="AOF264" s="178"/>
      <c r="AOG264" s="178"/>
      <c r="AOH264" s="178"/>
      <c r="AOI264" s="178"/>
      <c r="AOJ264" s="178"/>
      <c r="AOK264" s="178"/>
      <c r="AOL264" s="178"/>
      <c r="AOM264" s="178"/>
      <c r="AON264" s="178"/>
      <c r="AOO264" s="178"/>
      <c r="AOP264" s="178"/>
      <c r="AOQ264" s="178"/>
      <c r="AOR264" s="178"/>
      <c r="AOS264" s="178"/>
      <c r="AOT264" s="178"/>
      <c r="AOU264" s="178"/>
      <c r="AOV264" s="178"/>
      <c r="AOW264" s="178"/>
      <c r="AOX264" s="178"/>
      <c r="AOY264" s="178"/>
      <c r="AOZ264" s="178"/>
      <c r="APA264" s="178"/>
      <c r="APB264" s="178"/>
      <c r="APC264" s="178"/>
      <c r="APD264" s="178"/>
      <c r="APE264" s="178"/>
      <c r="APF264" s="178"/>
      <c r="APG264" s="178"/>
      <c r="APH264" s="178"/>
      <c r="API264" s="178"/>
      <c r="APJ264" s="178"/>
      <c r="APK264" s="178"/>
      <c r="APL264" s="178"/>
      <c r="APM264" s="178"/>
      <c r="APN264" s="178"/>
      <c r="APO264" s="178"/>
      <c r="APP264" s="178"/>
      <c r="APQ264" s="178"/>
      <c r="APR264" s="178"/>
      <c r="APS264" s="178"/>
      <c r="APT264" s="178"/>
      <c r="APU264" s="178"/>
      <c r="APV264" s="178"/>
      <c r="APW264" s="178"/>
      <c r="APX264" s="178"/>
      <c r="APY264" s="178"/>
      <c r="APZ264" s="178"/>
      <c r="AQA264" s="178"/>
      <c r="AQB264" s="178"/>
      <c r="AQC264" s="178"/>
      <c r="AQD264" s="178"/>
      <c r="AQE264" s="178"/>
      <c r="AQF264" s="178"/>
      <c r="AQG264" s="178"/>
      <c r="AQH264" s="178"/>
      <c r="AQI264" s="178"/>
      <c r="AQJ264" s="178"/>
      <c r="AQK264" s="178"/>
      <c r="AQL264" s="178"/>
      <c r="AQM264" s="178"/>
      <c r="AQN264" s="178"/>
      <c r="AQO264" s="178"/>
      <c r="AQP264" s="178"/>
      <c r="AQQ264" s="178"/>
      <c r="AQR264" s="178"/>
      <c r="AQS264" s="178"/>
      <c r="AQT264" s="178"/>
      <c r="AQU264" s="178"/>
      <c r="AQV264" s="178"/>
      <c r="AQW264" s="178"/>
      <c r="AQX264" s="178"/>
      <c r="AQY264" s="178"/>
      <c r="AQZ264" s="178"/>
      <c r="ARA264" s="178"/>
      <c r="ARB264" s="178"/>
      <c r="ARC264" s="178"/>
      <c r="ARD264" s="178"/>
      <c r="ARE264" s="178"/>
      <c r="ARF264" s="178"/>
      <c r="ARG264" s="178"/>
      <c r="ARH264" s="178"/>
      <c r="ARI264" s="178"/>
      <c r="ARJ264" s="178"/>
      <c r="ARK264" s="178"/>
      <c r="ARL264" s="178"/>
      <c r="ARM264" s="178"/>
      <c r="ARN264" s="178"/>
      <c r="ARO264" s="178"/>
      <c r="ARP264" s="178"/>
      <c r="ARQ264" s="178"/>
      <c r="ARR264" s="178"/>
      <c r="ARS264" s="178"/>
      <c r="ART264" s="178"/>
      <c r="ARU264" s="178"/>
      <c r="ARV264" s="178"/>
      <c r="ARW264" s="178"/>
      <c r="ARX264" s="178"/>
      <c r="ARY264" s="178"/>
      <c r="ARZ264" s="178"/>
      <c r="ASA264" s="178"/>
      <c r="ASB264" s="178"/>
      <c r="ASC264" s="178"/>
      <c r="ASD264" s="178"/>
      <c r="ASE264" s="178"/>
      <c r="ASF264" s="178"/>
      <c r="ASG264" s="178"/>
      <c r="ASH264" s="178"/>
      <c r="ASI264" s="178"/>
      <c r="ASJ264" s="178"/>
      <c r="ASK264" s="178"/>
      <c r="ASL264" s="178"/>
      <c r="ASM264" s="178"/>
      <c r="ASN264" s="178"/>
      <c r="ASO264" s="178"/>
      <c r="ASP264" s="178"/>
      <c r="ASQ264" s="178"/>
      <c r="ASR264" s="178"/>
      <c r="ASS264" s="178"/>
      <c r="AST264" s="178"/>
      <c r="ASU264" s="178"/>
      <c r="ASV264" s="178"/>
      <c r="ASW264" s="178"/>
      <c r="ASX264" s="178"/>
      <c r="ASY264" s="178"/>
      <c r="ASZ264" s="178"/>
      <c r="ATA264" s="178"/>
      <c r="ATB264" s="178"/>
      <c r="ATC264" s="178"/>
      <c r="ATD264" s="178"/>
      <c r="ATE264" s="178"/>
      <c r="ATF264" s="178"/>
      <c r="ATG264" s="178"/>
      <c r="ATH264" s="178"/>
      <c r="ATI264" s="178"/>
      <c r="ATJ264" s="178"/>
      <c r="ATK264" s="178"/>
      <c r="ATL264" s="178"/>
      <c r="ATM264" s="178"/>
      <c r="ATN264" s="178"/>
      <c r="ATO264" s="178"/>
      <c r="ATP264" s="178"/>
      <c r="ATQ264" s="178"/>
      <c r="ATR264" s="178"/>
      <c r="ATS264" s="178"/>
      <c r="ATT264" s="178"/>
      <c r="ATU264" s="178"/>
      <c r="ATV264" s="178"/>
      <c r="ATW264" s="178"/>
      <c r="ATX264" s="178"/>
      <c r="ATY264" s="178"/>
      <c r="ATZ264" s="178"/>
      <c r="AUA264" s="178"/>
      <c r="AUB264" s="178"/>
      <c r="AUC264" s="178"/>
      <c r="AUD264" s="178"/>
      <c r="AUE264" s="178"/>
      <c r="AUF264" s="178"/>
      <c r="AUG264" s="178"/>
      <c r="AUH264" s="178"/>
      <c r="AUI264" s="178"/>
      <c r="AUJ264" s="178"/>
      <c r="AUK264" s="178"/>
      <c r="AUL264" s="178"/>
      <c r="AUM264" s="178"/>
      <c r="AUN264" s="178"/>
      <c r="AUO264" s="178"/>
      <c r="AUP264" s="178"/>
      <c r="AUQ264" s="178"/>
      <c r="AUR264" s="178"/>
      <c r="AUS264" s="178"/>
      <c r="AUT264" s="178"/>
      <c r="AUU264" s="178"/>
      <c r="AUV264" s="178"/>
      <c r="AUW264" s="178"/>
      <c r="AUX264" s="178"/>
      <c r="AUY264" s="178"/>
      <c r="AUZ264" s="178"/>
      <c r="AVA264" s="178"/>
      <c r="AVB264" s="178"/>
      <c r="AVC264" s="178"/>
      <c r="AVD264" s="178"/>
      <c r="AVE264" s="178"/>
      <c r="AVF264" s="178"/>
      <c r="AVG264" s="178"/>
      <c r="AVH264" s="178"/>
      <c r="AVI264" s="178"/>
      <c r="AVJ264" s="178"/>
      <c r="AVK264" s="178"/>
      <c r="AVL264" s="178"/>
      <c r="AVM264" s="178"/>
      <c r="AVN264" s="178"/>
      <c r="AVO264" s="178"/>
      <c r="AVP264" s="178"/>
      <c r="AVQ264" s="178"/>
      <c r="AVR264" s="178"/>
      <c r="AVS264" s="178"/>
      <c r="AVT264" s="178"/>
      <c r="AVU264" s="178"/>
      <c r="AVV264" s="178"/>
      <c r="AVW264" s="178"/>
      <c r="AVX264" s="178"/>
      <c r="AVY264" s="178"/>
      <c r="AVZ264" s="178"/>
      <c r="AWA264" s="178"/>
      <c r="AWB264" s="178"/>
      <c r="AWC264" s="178"/>
      <c r="AWD264" s="178"/>
      <c r="AWE264" s="178"/>
      <c r="AWF264" s="178"/>
      <c r="AWG264" s="178"/>
      <c r="AWH264" s="178"/>
      <c r="AWI264" s="178"/>
      <c r="AWJ264" s="178"/>
      <c r="AWK264" s="178"/>
      <c r="AWL264" s="178"/>
      <c r="AWM264" s="178"/>
      <c r="AWN264" s="178"/>
      <c r="AWO264" s="178"/>
      <c r="AWP264" s="178"/>
      <c r="AWQ264" s="178"/>
      <c r="AWR264" s="178"/>
      <c r="AWS264" s="178"/>
      <c r="AWT264" s="178"/>
      <c r="AWU264" s="178"/>
      <c r="AWV264" s="178"/>
      <c r="AWW264" s="178"/>
      <c r="AWX264" s="178"/>
      <c r="AWY264" s="178"/>
      <c r="AWZ264" s="178"/>
      <c r="AXA264" s="178"/>
      <c r="AXB264" s="178"/>
      <c r="AXC264" s="178"/>
      <c r="AXD264" s="178"/>
      <c r="AXE264" s="178"/>
      <c r="AXF264" s="178"/>
      <c r="AXG264" s="178"/>
      <c r="AXH264" s="178"/>
      <c r="AXI264" s="178"/>
      <c r="AXJ264" s="178"/>
      <c r="AXK264" s="178"/>
      <c r="AXL264" s="178"/>
      <c r="AXM264" s="178"/>
      <c r="AXN264" s="178"/>
      <c r="AXO264" s="178"/>
      <c r="AXP264" s="178"/>
      <c r="AXQ264" s="178"/>
      <c r="AXR264" s="178"/>
      <c r="AXS264" s="178"/>
      <c r="AXT264" s="178"/>
      <c r="AXU264" s="178"/>
      <c r="AXV264" s="178"/>
      <c r="AXW264" s="178"/>
      <c r="AXX264" s="178"/>
      <c r="AXY264" s="178"/>
      <c r="AXZ264" s="178"/>
      <c r="AYA264" s="178"/>
      <c r="AYB264" s="178"/>
      <c r="AYC264" s="178"/>
      <c r="AYD264" s="178"/>
      <c r="AYE264" s="178"/>
      <c r="AYF264" s="178"/>
      <c r="AYG264" s="178"/>
      <c r="AYH264" s="178"/>
      <c r="AYI264" s="178"/>
      <c r="AYJ264" s="178"/>
      <c r="AYK264" s="178"/>
      <c r="AYL264" s="178"/>
      <c r="AYM264" s="178"/>
      <c r="AYN264" s="178"/>
      <c r="AYO264" s="178"/>
      <c r="AYP264" s="178"/>
      <c r="AYQ264" s="178"/>
      <c r="AYR264" s="178"/>
      <c r="AYS264" s="178"/>
      <c r="AYT264" s="178"/>
      <c r="AYU264" s="178"/>
      <c r="AYV264" s="178"/>
      <c r="AYW264" s="178"/>
      <c r="AYX264" s="178"/>
      <c r="AYY264" s="178"/>
      <c r="AYZ264" s="178"/>
      <c r="AZA264" s="178"/>
      <c r="AZB264" s="178"/>
      <c r="AZC264" s="178"/>
      <c r="AZD264" s="178"/>
      <c r="AZE264" s="178"/>
      <c r="AZF264" s="178"/>
      <c r="AZG264" s="178"/>
      <c r="AZH264" s="178"/>
      <c r="AZI264" s="178"/>
      <c r="AZJ264" s="178"/>
      <c r="AZK264" s="178"/>
      <c r="AZL264" s="178"/>
      <c r="AZM264" s="178"/>
      <c r="AZN264" s="178"/>
      <c r="AZO264" s="178"/>
      <c r="AZP264" s="178"/>
      <c r="AZQ264" s="178"/>
      <c r="AZR264" s="178"/>
      <c r="AZS264" s="178"/>
      <c r="AZT264" s="178"/>
      <c r="AZU264" s="178"/>
      <c r="AZV264" s="178"/>
      <c r="AZW264" s="178"/>
      <c r="AZX264" s="178"/>
      <c r="AZY264" s="178"/>
      <c r="AZZ264" s="178"/>
      <c r="BAA264" s="178"/>
      <c r="BAB264" s="178"/>
      <c r="BAC264" s="178"/>
      <c r="BAD264" s="178"/>
      <c r="BAE264" s="178"/>
      <c r="BAF264" s="178"/>
      <c r="BAG264" s="178"/>
      <c r="BAH264" s="178"/>
      <c r="BAI264" s="178"/>
      <c r="BAJ264" s="178"/>
      <c r="BAK264" s="178"/>
      <c r="BAL264" s="178"/>
      <c r="BAM264" s="178"/>
      <c r="BAN264" s="178"/>
      <c r="BAO264" s="178"/>
      <c r="BAP264" s="178"/>
      <c r="BAQ264" s="178"/>
      <c r="BAR264" s="178"/>
      <c r="BAS264" s="178"/>
      <c r="BAT264" s="178"/>
      <c r="BAU264" s="178"/>
      <c r="BAV264" s="178"/>
      <c r="BAW264" s="178"/>
      <c r="BAX264" s="178"/>
      <c r="BAY264" s="178"/>
      <c r="BAZ264" s="178"/>
      <c r="BBA264" s="178"/>
      <c r="BBB264" s="178"/>
      <c r="BBC264" s="178"/>
      <c r="BBD264" s="178"/>
      <c r="BBE264" s="178"/>
      <c r="BBF264" s="178"/>
      <c r="BBG264" s="178"/>
      <c r="BBH264" s="178"/>
      <c r="BBI264" s="178"/>
      <c r="BBJ264" s="178"/>
      <c r="BBK264" s="178"/>
      <c r="BBL264" s="178"/>
      <c r="BBM264" s="178"/>
      <c r="BBN264" s="178"/>
      <c r="BBO264" s="178"/>
      <c r="BBP264" s="178"/>
      <c r="BBQ264" s="178"/>
      <c r="BBR264" s="178"/>
      <c r="BBS264" s="178"/>
      <c r="BBT264" s="178"/>
      <c r="BBU264" s="178"/>
      <c r="BBV264" s="178"/>
      <c r="BBW264" s="178"/>
      <c r="BBX264" s="178"/>
      <c r="BBY264" s="178"/>
      <c r="BBZ264" s="178"/>
      <c r="BCA264" s="178"/>
      <c r="BCB264" s="178"/>
      <c r="BCC264" s="178"/>
      <c r="BCD264" s="178"/>
      <c r="BCE264" s="178"/>
      <c r="BCF264" s="178"/>
      <c r="BCG264" s="178"/>
      <c r="BCH264" s="178"/>
      <c r="BCI264" s="178"/>
      <c r="BCJ264" s="178"/>
      <c r="BCK264" s="178"/>
      <c r="BCL264" s="178"/>
      <c r="BCM264" s="178"/>
      <c r="BCN264" s="178"/>
      <c r="BCO264" s="178"/>
      <c r="BCP264" s="178"/>
      <c r="BCQ264" s="178"/>
      <c r="BCR264" s="178"/>
      <c r="BCS264" s="178"/>
      <c r="BCT264" s="178"/>
      <c r="BCU264" s="178"/>
      <c r="BCV264" s="178"/>
      <c r="BCW264" s="178"/>
      <c r="BCX264" s="178"/>
      <c r="BCY264" s="178"/>
      <c r="BCZ264" s="178"/>
      <c r="BDA264" s="178"/>
      <c r="BDB264" s="178"/>
      <c r="BDC264" s="178"/>
      <c r="BDD264" s="178"/>
      <c r="BDE264" s="178"/>
      <c r="BDF264" s="178"/>
      <c r="BDG264" s="178"/>
      <c r="BDH264" s="178"/>
      <c r="BDI264" s="178"/>
      <c r="BDJ264" s="178"/>
      <c r="BDK264" s="178"/>
      <c r="BDL264" s="178"/>
      <c r="BDM264" s="178"/>
      <c r="BDN264" s="178"/>
      <c r="BDO264" s="178"/>
      <c r="BDP264" s="178"/>
      <c r="BDQ264" s="178"/>
      <c r="BDR264" s="178"/>
      <c r="BDS264" s="178"/>
      <c r="BDT264" s="178"/>
      <c r="BDU264" s="178"/>
      <c r="BDV264" s="178"/>
      <c r="BDW264" s="178"/>
      <c r="BDX264" s="178"/>
      <c r="BDY264" s="178"/>
      <c r="BDZ264" s="178"/>
      <c r="BEA264" s="178"/>
      <c r="BEB264" s="178"/>
      <c r="BEC264" s="178"/>
      <c r="BED264" s="178"/>
      <c r="BEE264" s="178"/>
      <c r="BEF264" s="178"/>
      <c r="BEG264" s="178"/>
      <c r="BEH264" s="178"/>
      <c r="BEI264" s="178"/>
      <c r="BEJ264" s="178"/>
      <c r="BEK264" s="178"/>
      <c r="BEL264" s="178"/>
      <c r="BEM264" s="178"/>
      <c r="BEN264" s="178"/>
      <c r="BEO264" s="178"/>
      <c r="BEP264" s="178"/>
      <c r="BEQ264" s="178"/>
      <c r="BER264" s="178"/>
      <c r="BES264" s="178"/>
      <c r="BET264" s="178"/>
      <c r="BEU264" s="178"/>
      <c r="BEV264" s="178"/>
      <c r="BEW264" s="178"/>
      <c r="BEX264" s="178"/>
      <c r="BEY264" s="178"/>
      <c r="BEZ264" s="178"/>
      <c r="BFA264" s="178"/>
      <c r="BFB264" s="178"/>
      <c r="BFC264" s="178"/>
      <c r="BFD264" s="178"/>
      <c r="BFE264" s="178"/>
      <c r="BFF264" s="178"/>
      <c r="BFG264" s="178"/>
      <c r="BFH264" s="178"/>
      <c r="BFI264" s="178"/>
      <c r="BFJ264" s="178"/>
      <c r="BFK264" s="178"/>
      <c r="BFL264" s="178"/>
      <c r="BFM264" s="178"/>
      <c r="BFN264" s="178"/>
      <c r="BFO264" s="178"/>
      <c r="BFP264" s="178"/>
      <c r="BFQ264" s="178"/>
      <c r="BFR264" s="178"/>
      <c r="BFS264" s="178"/>
      <c r="BFT264" s="178"/>
      <c r="BFU264" s="178"/>
      <c r="BFV264" s="178"/>
      <c r="BFW264" s="178"/>
      <c r="BFX264" s="178"/>
      <c r="BFY264" s="178"/>
      <c r="BFZ264" s="178"/>
      <c r="BGA264" s="178"/>
      <c r="BGB264" s="178"/>
      <c r="BGC264" s="178"/>
      <c r="BGD264" s="178"/>
      <c r="BGE264" s="178"/>
      <c r="BGF264" s="178"/>
      <c r="BGG264" s="178"/>
      <c r="BGH264" s="178"/>
      <c r="BGI264" s="178"/>
      <c r="BGJ264" s="178"/>
      <c r="BGK264" s="178"/>
      <c r="BGL264" s="178"/>
      <c r="BGM264" s="178"/>
      <c r="BGN264" s="178"/>
      <c r="BGO264" s="178"/>
      <c r="BGP264" s="178"/>
      <c r="BGQ264" s="178"/>
      <c r="BGR264" s="178"/>
      <c r="BGS264" s="178"/>
      <c r="BGT264" s="178"/>
      <c r="BGU264" s="178"/>
      <c r="BGV264" s="178"/>
      <c r="BGW264" s="178"/>
      <c r="BGX264" s="178"/>
      <c r="BGY264" s="178"/>
      <c r="BGZ264" s="178"/>
      <c r="BHA264" s="178"/>
      <c r="BHB264" s="178"/>
      <c r="BHC264" s="178"/>
      <c r="BHD264" s="178"/>
      <c r="BHE264" s="178"/>
      <c r="BHF264" s="178"/>
      <c r="BHG264" s="178"/>
      <c r="BHH264" s="178"/>
      <c r="BHI264" s="178"/>
      <c r="BHJ264" s="178"/>
      <c r="BHK264" s="178"/>
      <c r="BHL264" s="178"/>
      <c r="BHM264" s="178"/>
      <c r="BHN264" s="178"/>
      <c r="BHO264" s="178"/>
      <c r="BHP264" s="178"/>
      <c r="BHQ264" s="178"/>
      <c r="BHR264" s="178"/>
      <c r="BHS264" s="178"/>
      <c r="BHT264" s="178"/>
      <c r="BHU264" s="178"/>
      <c r="BHV264" s="178"/>
      <c r="BHW264" s="178"/>
      <c r="BHX264" s="178"/>
      <c r="BHY264" s="178"/>
      <c r="BHZ264" s="178"/>
      <c r="BIA264" s="178"/>
      <c r="BIB264" s="178"/>
      <c r="BIC264" s="178"/>
      <c r="BID264" s="178"/>
      <c r="BIE264" s="178"/>
      <c r="BIF264" s="178"/>
      <c r="BIG264" s="178"/>
      <c r="BIH264" s="178"/>
      <c r="BII264" s="178"/>
      <c r="BIJ264" s="178"/>
      <c r="BIK264" s="178"/>
      <c r="BIL264" s="178"/>
      <c r="BIM264" s="178"/>
      <c r="BIN264" s="178"/>
      <c r="BIO264" s="178"/>
      <c r="BIP264" s="178"/>
      <c r="BIQ264" s="178"/>
      <c r="BIR264" s="178"/>
      <c r="BIS264" s="178"/>
      <c r="BIT264" s="178"/>
      <c r="BIU264" s="178"/>
      <c r="BIV264" s="178"/>
      <c r="BIW264" s="178"/>
      <c r="BIX264" s="178"/>
      <c r="BIY264" s="178"/>
      <c r="BIZ264" s="178"/>
      <c r="BJA264" s="178"/>
      <c r="BJB264" s="178"/>
      <c r="BJC264" s="178"/>
      <c r="BJD264" s="178"/>
      <c r="BJE264" s="178"/>
      <c r="BJF264" s="178"/>
      <c r="BJG264" s="178"/>
      <c r="BJH264" s="178"/>
      <c r="BJI264" s="178"/>
      <c r="BJJ264" s="178"/>
      <c r="BJK264" s="178"/>
      <c r="BJL264" s="178"/>
      <c r="BJM264" s="178"/>
      <c r="BJN264" s="178"/>
      <c r="BJO264" s="178"/>
      <c r="BJP264" s="178"/>
      <c r="BJQ264" s="178"/>
      <c r="BJR264" s="178"/>
      <c r="BJS264" s="178"/>
      <c r="BJT264" s="178"/>
      <c r="BJU264" s="178"/>
      <c r="BJV264" s="178"/>
      <c r="BJW264" s="178"/>
      <c r="BJX264" s="178"/>
      <c r="BJY264" s="178"/>
      <c r="BJZ264" s="178"/>
      <c r="BKA264" s="178"/>
      <c r="BKB264" s="178"/>
      <c r="BKC264" s="178"/>
      <c r="BKD264" s="178"/>
      <c r="BKE264" s="178"/>
      <c r="BKF264" s="178"/>
      <c r="BKG264" s="178"/>
      <c r="BKH264" s="178"/>
      <c r="BKI264" s="178"/>
      <c r="BKJ264" s="178"/>
      <c r="BKK264" s="178"/>
      <c r="BKL264" s="178"/>
      <c r="BKM264" s="178"/>
      <c r="BKN264" s="178"/>
      <c r="BKO264" s="178"/>
      <c r="BKP264" s="178"/>
      <c r="BKQ264" s="178"/>
      <c r="BKR264" s="178"/>
      <c r="BKS264" s="178"/>
      <c r="BKT264" s="178"/>
      <c r="BKU264" s="178"/>
      <c r="BKV264" s="178"/>
      <c r="BKW264" s="178"/>
      <c r="BKX264" s="178"/>
      <c r="BKY264" s="178"/>
      <c r="BKZ264" s="178"/>
      <c r="BLA264" s="178"/>
      <c r="BLB264" s="178"/>
      <c r="BLC264" s="178"/>
      <c r="BLD264" s="178"/>
      <c r="BLE264" s="178"/>
      <c r="BLF264" s="178"/>
      <c r="BLG264" s="178"/>
      <c r="BLH264" s="178"/>
      <c r="BLI264" s="178"/>
      <c r="BLJ264" s="178"/>
      <c r="BLK264" s="178"/>
      <c r="BLL264" s="178"/>
      <c r="BLM264" s="178"/>
      <c r="BLN264" s="178"/>
      <c r="BLO264" s="178"/>
      <c r="BLP264" s="178"/>
      <c r="BLQ264" s="178"/>
      <c r="BLR264" s="178"/>
      <c r="BLS264" s="178"/>
      <c r="BLT264" s="178"/>
      <c r="BLU264" s="178"/>
      <c r="BLV264" s="178"/>
      <c r="BLW264" s="178"/>
      <c r="BLX264" s="178"/>
      <c r="BLY264" s="178"/>
      <c r="BLZ264" s="178"/>
      <c r="BMA264" s="178"/>
      <c r="BMB264" s="178"/>
      <c r="BMC264" s="178"/>
      <c r="BMD264" s="178"/>
      <c r="BME264" s="178"/>
      <c r="BMF264" s="178"/>
      <c r="BMG264" s="178"/>
      <c r="BMH264" s="178"/>
      <c r="BMI264" s="178"/>
      <c r="BMJ264" s="178"/>
      <c r="BMK264" s="178"/>
      <c r="BML264" s="178"/>
      <c r="BMM264" s="178"/>
      <c r="BMN264" s="178"/>
      <c r="BMO264" s="178"/>
      <c r="BMP264" s="178"/>
      <c r="BMQ264" s="178"/>
      <c r="BMR264" s="178"/>
      <c r="BMS264" s="178"/>
      <c r="BMT264" s="178"/>
      <c r="BMU264" s="178"/>
      <c r="BMV264" s="178"/>
      <c r="BMW264" s="178"/>
      <c r="BMX264" s="178"/>
      <c r="BMY264" s="178"/>
      <c r="BMZ264" s="178"/>
      <c r="BNA264" s="178"/>
      <c r="BNB264" s="178"/>
      <c r="BNC264" s="178"/>
      <c r="BND264" s="178"/>
      <c r="BNE264" s="178"/>
      <c r="BNF264" s="178"/>
      <c r="BNG264" s="178"/>
      <c r="BNH264" s="178"/>
      <c r="BNI264" s="178"/>
      <c r="BNJ264" s="178"/>
      <c r="BNK264" s="178"/>
      <c r="BNL264" s="178"/>
      <c r="BNM264" s="178"/>
      <c r="BNN264" s="178"/>
      <c r="BNO264" s="178"/>
      <c r="BNP264" s="178"/>
      <c r="BNQ264" s="178"/>
      <c r="BNR264" s="178"/>
      <c r="BNS264" s="178"/>
      <c r="BNT264" s="178"/>
      <c r="BNU264" s="178"/>
      <c r="BNV264" s="178"/>
      <c r="BNW264" s="178"/>
      <c r="BNX264" s="178"/>
      <c r="BNY264" s="178"/>
      <c r="BNZ264" s="178"/>
      <c r="BOA264" s="178"/>
      <c r="BOB264" s="178"/>
      <c r="BOC264" s="178"/>
      <c r="BOD264" s="178"/>
      <c r="BOE264" s="178"/>
      <c r="BOF264" s="178"/>
      <c r="BOG264" s="178"/>
      <c r="BOH264" s="178"/>
      <c r="BOI264" s="178"/>
      <c r="BOJ264" s="178"/>
      <c r="BOK264" s="178"/>
      <c r="BOL264" s="178"/>
      <c r="BOM264" s="178"/>
      <c r="BON264" s="178"/>
      <c r="BOO264" s="178"/>
      <c r="BOP264" s="178"/>
      <c r="BOQ264" s="178"/>
      <c r="BOR264" s="178"/>
      <c r="BOS264" s="178"/>
      <c r="BOT264" s="178"/>
      <c r="BOU264" s="178"/>
      <c r="BOV264" s="178"/>
      <c r="BOW264" s="178"/>
      <c r="BOX264" s="178"/>
      <c r="BOY264" s="178"/>
      <c r="BOZ264" s="178"/>
      <c r="BPA264" s="178"/>
      <c r="BPB264" s="178"/>
      <c r="BPC264" s="178"/>
      <c r="BPD264" s="178"/>
      <c r="BPE264" s="178"/>
      <c r="BPF264" s="178"/>
      <c r="BPG264" s="178"/>
      <c r="BPH264" s="178"/>
      <c r="BPI264" s="178"/>
      <c r="BPJ264" s="178"/>
      <c r="BPK264" s="178"/>
      <c r="BPL264" s="178"/>
      <c r="BPM264" s="178"/>
      <c r="BPN264" s="178"/>
      <c r="BPO264" s="178"/>
      <c r="BPP264" s="178"/>
      <c r="BPQ264" s="178"/>
      <c r="BPR264" s="178"/>
      <c r="BPS264" s="178"/>
      <c r="BPT264" s="178"/>
      <c r="BPU264" s="178"/>
      <c r="BPV264" s="178"/>
      <c r="BPW264" s="178"/>
      <c r="BPX264" s="178"/>
      <c r="BPY264" s="178"/>
      <c r="BPZ264" s="178"/>
      <c r="BQA264" s="178"/>
      <c r="BQB264" s="178"/>
      <c r="BQC264" s="178"/>
      <c r="BQD264" s="178"/>
      <c r="BQE264" s="178"/>
      <c r="BQF264" s="178"/>
      <c r="BQG264" s="178"/>
      <c r="BQH264" s="178"/>
      <c r="BQI264" s="178"/>
      <c r="BQJ264" s="178"/>
      <c r="BQK264" s="178"/>
      <c r="BQL264" s="178"/>
      <c r="BQM264" s="178"/>
      <c r="BQN264" s="178"/>
      <c r="BQO264" s="178"/>
      <c r="BQP264" s="178"/>
      <c r="BQQ264" s="178"/>
      <c r="BQR264" s="178"/>
      <c r="BQS264" s="178"/>
      <c r="BQT264" s="178"/>
      <c r="BQU264" s="178"/>
      <c r="BQV264" s="178"/>
      <c r="BQW264" s="178"/>
      <c r="BQX264" s="178"/>
      <c r="BQY264" s="178"/>
      <c r="BQZ264" s="178"/>
      <c r="BRA264" s="178"/>
      <c r="BRB264" s="178"/>
      <c r="BRC264" s="178"/>
      <c r="BRD264" s="178"/>
      <c r="BRE264" s="178"/>
      <c r="BRF264" s="178"/>
      <c r="BRG264" s="178"/>
      <c r="BRH264" s="178"/>
      <c r="BRI264" s="178"/>
      <c r="BRJ264" s="178"/>
      <c r="BRK264" s="178"/>
      <c r="BRL264" s="178"/>
      <c r="BRM264" s="178"/>
      <c r="BRN264" s="178"/>
      <c r="BRO264" s="178"/>
      <c r="BRP264" s="178"/>
      <c r="BRQ264" s="178"/>
      <c r="BRR264" s="178"/>
      <c r="BRS264" s="178"/>
      <c r="BRT264" s="178"/>
      <c r="BRU264" s="178"/>
      <c r="BRV264" s="178"/>
      <c r="BRW264" s="178"/>
      <c r="BRX264" s="178"/>
      <c r="BRY264" s="178"/>
      <c r="BRZ264" s="178"/>
      <c r="BSA264" s="178"/>
      <c r="BSB264" s="178"/>
      <c r="BSC264" s="178"/>
      <c r="BSD264" s="178"/>
      <c r="BSE264" s="178"/>
      <c r="BSF264" s="178"/>
      <c r="BSG264" s="178"/>
      <c r="BSH264" s="178"/>
      <c r="BSI264" s="178"/>
      <c r="BSJ264" s="178"/>
      <c r="BSK264" s="178"/>
      <c r="BSL264" s="178"/>
      <c r="BSM264" s="178"/>
      <c r="BSN264" s="178"/>
      <c r="BSO264" s="178"/>
      <c r="BSP264" s="178"/>
      <c r="BSQ264" s="178"/>
      <c r="BSR264" s="178"/>
      <c r="BSS264" s="178"/>
      <c r="BST264" s="178"/>
      <c r="BSU264" s="178"/>
      <c r="BSV264" s="178"/>
      <c r="BSW264" s="178"/>
      <c r="BSX264" s="178"/>
      <c r="BSY264" s="178"/>
      <c r="BSZ264" s="178"/>
      <c r="BTA264" s="178"/>
      <c r="BTB264" s="178"/>
      <c r="BTC264" s="178"/>
      <c r="BTD264" s="178"/>
      <c r="BTE264" s="178"/>
      <c r="BTF264" s="178"/>
      <c r="BTG264" s="178"/>
      <c r="BTH264" s="178"/>
      <c r="BTI264" s="178"/>
      <c r="BTJ264" s="178"/>
      <c r="BTK264" s="178"/>
      <c r="BTL264" s="178"/>
      <c r="BTM264" s="178"/>
      <c r="BTN264" s="178"/>
      <c r="BTO264" s="178"/>
      <c r="BTP264" s="178"/>
      <c r="BTQ264" s="178"/>
      <c r="BTR264" s="178"/>
      <c r="BTS264" s="178"/>
      <c r="BTT264" s="178"/>
      <c r="BTU264" s="178"/>
      <c r="BTV264" s="178"/>
      <c r="BTW264" s="178"/>
      <c r="BTX264" s="178"/>
      <c r="BTY264" s="178"/>
      <c r="BTZ264" s="178"/>
      <c r="BUA264" s="178"/>
      <c r="BUB264" s="178"/>
      <c r="BUC264" s="178"/>
      <c r="BUD264" s="178"/>
      <c r="BUE264" s="178"/>
      <c r="BUF264" s="178"/>
      <c r="BUG264" s="178"/>
      <c r="BUH264" s="178"/>
      <c r="BUI264" s="178"/>
      <c r="BUJ264" s="178"/>
      <c r="BUK264" s="178"/>
      <c r="BUL264" s="178"/>
      <c r="BUM264" s="178"/>
      <c r="BUN264" s="178"/>
      <c r="BUO264" s="178"/>
      <c r="BUP264" s="178"/>
      <c r="BUQ264" s="178"/>
      <c r="BUR264" s="178"/>
      <c r="BUS264" s="178"/>
      <c r="BUT264" s="178"/>
      <c r="BUU264" s="178"/>
      <c r="BUV264" s="178"/>
      <c r="BUW264" s="178"/>
      <c r="BUX264" s="178"/>
      <c r="BUY264" s="178"/>
      <c r="BUZ264" s="178"/>
      <c r="BVA264" s="178"/>
      <c r="BVB264" s="178"/>
      <c r="BVC264" s="178"/>
      <c r="BVD264" s="178"/>
      <c r="BVE264" s="178"/>
      <c r="BVF264" s="178"/>
      <c r="BVG264" s="178"/>
      <c r="BVH264" s="178"/>
      <c r="BVI264" s="178"/>
      <c r="BVJ264" s="178"/>
      <c r="BVK264" s="178"/>
      <c r="BVL264" s="178"/>
      <c r="BVM264" s="178"/>
      <c r="BVN264" s="178"/>
      <c r="BVO264" s="178"/>
      <c r="BVP264" s="178"/>
      <c r="BVQ264" s="178"/>
      <c r="BVR264" s="178"/>
      <c r="BVS264" s="178"/>
      <c r="BVT264" s="178"/>
      <c r="BVU264" s="178"/>
      <c r="BVV264" s="178"/>
      <c r="BVW264" s="178"/>
      <c r="BVX264" s="178"/>
      <c r="BVY264" s="178"/>
      <c r="BVZ264" s="178"/>
      <c r="BWA264" s="178"/>
      <c r="BWB264" s="178"/>
      <c r="BWC264" s="178"/>
      <c r="BWD264" s="178"/>
      <c r="BWE264" s="178"/>
      <c r="BWF264" s="178"/>
      <c r="BWG264" s="178"/>
      <c r="BWH264" s="178"/>
      <c r="BWI264" s="178"/>
      <c r="BWJ264" s="178"/>
      <c r="BWK264" s="178"/>
      <c r="BWL264" s="178"/>
      <c r="BWM264" s="178"/>
      <c r="BWN264" s="178"/>
      <c r="BWO264" s="178"/>
      <c r="BWP264" s="178"/>
      <c r="BWQ264" s="178"/>
      <c r="BWR264" s="178"/>
      <c r="BWS264" s="178"/>
      <c r="BWT264" s="178"/>
      <c r="BWU264" s="178"/>
      <c r="BWV264" s="178"/>
      <c r="BWW264" s="178"/>
      <c r="BWX264" s="178"/>
      <c r="BWY264" s="178"/>
      <c r="BWZ264" s="178"/>
      <c r="BXA264" s="178"/>
      <c r="BXB264" s="178"/>
      <c r="BXC264" s="178"/>
      <c r="BXD264" s="178"/>
      <c r="BXE264" s="178"/>
      <c r="BXF264" s="178"/>
      <c r="BXG264" s="178"/>
      <c r="BXH264" s="178"/>
      <c r="BXI264" s="178"/>
      <c r="BXJ264" s="178"/>
      <c r="BXK264" s="178"/>
      <c r="BXL264" s="178"/>
      <c r="BXM264" s="178"/>
      <c r="BXN264" s="178"/>
      <c r="BXO264" s="178"/>
      <c r="BXP264" s="178"/>
      <c r="BXQ264" s="178"/>
      <c r="BXR264" s="178"/>
      <c r="BXS264" s="178"/>
      <c r="BXT264" s="178"/>
      <c r="BXU264" s="178"/>
      <c r="BXV264" s="178"/>
      <c r="BXW264" s="178"/>
      <c r="BXX264" s="178"/>
      <c r="BXY264" s="178"/>
      <c r="BXZ264" s="178"/>
      <c r="BYA264" s="178"/>
      <c r="BYB264" s="178"/>
      <c r="BYC264" s="178"/>
      <c r="BYD264" s="178"/>
      <c r="BYE264" s="178"/>
      <c r="BYF264" s="178"/>
      <c r="BYG264" s="178"/>
      <c r="BYH264" s="178"/>
      <c r="BYI264" s="178"/>
      <c r="BYJ264" s="178"/>
      <c r="BYK264" s="178"/>
      <c r="BYL264" s="178"/>
      <c r="BYM264" s="178"/>
      <c r="BYN264" s="178"/>
      <c r="BYO264" s="178"/>
      <c r="BYP264" s="178"/>
      <c r="BYQ264" s="178"/>
      <c r="BYR264" s="178"/>
      <c r="BYS264" s="178"/>
      <c r="BYT264" s="178"/>
      <c r="BYU264" s="178"/>
      <c r="BYV264" s="178"/>
      <c r="BYW264" s="178"/>
      <c r="BYX264" s="178"/>
      <c r="BYY264" s="178"/>
      <c r="BYZ264" s="178"/>
      <c r="BZA264" s="178"/>
      <c r="BZB264" s="178"/>
      <c r="BZC264" s="178"/>
      <c r="BZD264" s="178"/>
      <c r="BZE264" s="178"/>
      <c r="BZF264" s="178"/>
      <c r="BZG264" s="178"/>
      <c r="BZH264" s="178"/>
      <c r="BZI264" s="178"/>
      <c r="BZJ264" s="178"/>
      <c r="BZK264" s="178"/>
      <c r="BZL264" s="178"/>
      <c r="BZM264" s="178"/>
      <c r="BZN264" s="178"/>
      <c r="BZO264" s="178"/>
      <c r="BZP264" s="178"/>
      <c r="BZQ264" s="178"/>
      <c r="BZR264" s="178"/>
      <c r="BZS264" s="178"/>
      <c r="BZT264" s="178"/>
      <c r="BZU264" s="178"/>
      <c r="BZV264" s="178"/>
      <c r="BZW264" s="178"/>
      <c r="BZX264" s="178"/>
      <c r="BZY264" s="178"/>
      <c r="BZZ264" s="178"/>
      <c r="CAA264" s="178"/>
      <c r="CAB264" s="178"/>
      <c r="CAC264" s="178"/>
      <c r="CAD264" s="178"/>
      <c r="CAE264" s="178"/>
      <c r="CAF264" s="178"/>
      <c r="CAG264" s="178"/>
      <c r="CAH264" s="178"/>
      <c r="CAI264" s="178"/>
      <c r="CAJ264" s="178"/>
      <c r="CAK264" s="178"/>
      <c r="CAL264" s="178"/>
      <c r="CAM264" s="178"/>
      <c r="CAN264" s="178"/>
      <c r="CAO264" s="178"/>
      <c r="CAP264" s="178"/>
      <c r="CAQ264" s="178"/>
      <c r="CAR264" s="178"/>
      <c r="CAS264" s="178"/>
      <c r="CAT264" s="178"/>
      <c r="CAU264" s="178"/>
      <c r="CAV264" s="178"/>
      <c r="CAW264" s="178"/>
      <c r="CAX264" s="178"/>
      <c r="CAY264" s="178"/>
      <c r="CAZ264" s="178"/>
      <c r="CBA264" s="178"/>
      <c r="CBB264" s="178"/>
      <c r="CBC264" s="178"/>
      <c r="CBD264" s="178"/>
      <c r="CBE264" s="178"/>
      <c r="CBF264" s="178"/>
      <c r="CBG264" s="178"/>
      <c r="CBH264" s="178"/>
      <c r="CBI264" s="178"/>
      <c r="CBJ264" s="178"/>
      <c r="CBK264" s="178"/>
      <c r="CBL264" s="178"/>
      <c r="CBM264" s="178"/>
      <c r="CBN264" s="178"/>
      <c r="CBO264" s="178"/>
      <c r="CBP264" s="178"/>
      <c r="CBQ264" s="178"/>
      <c r="CBR264" s="178"/>
      <c r="CBS264" s="178"/>
      <c r="CBT264" s="178"/>
      <c r="CBU264" s="178"/>
      <c r="CBV264" s="178"/>
      <c r="CBW264" s="178"/>
      <c r="CBX264" s="178"/>
      <c r="CBY264" s="178"/>
      <c r="CBZ264" s="178"/>
      <c r="CCA264" s="178"/>
      <c r="CCB264" s="178"/>
      <c r="CCC264" s="178"/>
      <c r="CCD264" s="178"/>
      <c r="CCE264" s="178"/>
      <c r="CCF264" s="178"/>
      <c r="CCG264" s="178"/>
      <c r="CCH264" s="178"/>
      <c r="CCI264" s="178"/>
      <c r="CCJ264" s="178"/>
      <c r="CCK264" s="178"/>
      <c r="CCL264" s="178"/>
      <c r="CCM264" s="178"/>
      <c r="CCN264" s="178"/>
      <c r="CCO264" s="178"/>
      <c r="CCP264" s="178"/>
      <c r="CCQ264" s="178"/>
      <c r="CCR264" s="178"/>
      <c r="CCS264" s="178"/>
      <c r="CCT264" s="178"/>
      <c r="CCU264" s="178"/>
      <c r="CCV264" s="178"/>
      <c r="CCW264" s="178"/>
      <c r="CCX264" s="178"/>
      <c r="CCY264" s="178"/>
      <c r="CCZ264" s="178"/>
      <c r="CDA264" s="178"/>
      <c r="CDB264" s="178"/>
      <c r="CDC264" s="178"/>
      <c r="CDD264" s="178"/>
      <c r="CDE264" s="178"/>
      <c r="CDF264" s="178"/>
      <c r="CDG264" s="178"/>
      <c r="CDH264" s="178"/>
      <c r="CDI264" s="178"/>
      <c r="CDJ264" s="178"/>
      <c r="CDK264" s="178"/>
      <c r="CDL264" s="178"/>
      <c r="CDM264" s="178"/>
      <c r="CDN264" s="178"/>
      <c r="CDO264" s="178"/>
      <c r="CDP264" s="178"/>
      <c r="CDQ264" s="178"/>
      <c r="CDR264" s="178"/>
      <c r="CDS264" s="178"/>
      <c r="CDT264" s="178"/>
      <c r="CDU264" s="178"/>
      <c r="CDV264" s="178"/>
      <c r="CDW264" s="178"/>
      <c r="CDX264" s="178"/>
      <c r="CDY264" s="178"/>
      <c r="CDZ264" s="178"/>
      <c r="CEA264" s="178"/>
      <c r="CEB264" s="178"/>
      <c r="CEC264" s="178"/>
      <c r="CED264" s="178"/>
      <c r="CEE264" s="178"/>
      <c r="CEF264" s="178"/>
      <c r="CEG264" s="178"/>
      <c r="CEH264" s="178"/>
      <c r="CEI264" s="178"/>
      <c r="CEJ264" s="178"/>
      <c r="CEK264" s="178"/>
      <c r="CEL264" s="178"/>
      <c r="CEM264" s="178"/>
      <c r="CEN264" s="178"/>
      <c r="CEO264" s="178"/>
      <c r="CEP264" s="178"/>
      <c r="CEQ264" s="178"/>
      <c r="CER264" s="178"/>
      <c r="CES264" s="178"/>
      <c r="CET264" s="178"/>
      <c r="CEU264" s="178"/>
      <c r="CEV264" s="178"/>
      <c r="CEW264" s="178"/>
      <c r="CEX264" s="178"/>
      <c r="CEY264" s="178"/>
      <c r="CEZ264" s="178"/>
      <c r="CFA264" s="178"/>
      <c r="CFB264" s="178"/>
      <c r="CFC264" s="178"/>
      <c r="CFD264" s="178"/>
      <c r="CFE264" s="178"/>
      <c r="CFF264" s="178"/>
      <c r="CFG264" s="178"/>
      <c r="CFH264" s="178"/>
      <c r="CFI264" s="178"/>
      <c r="CFJ264" s="178"/>
      <c r="CFK264" s="178"/>
      <c r="CFL264" s="178"/>
      <c r="CFM264" s="178"/>
      <c r="CFN264" s="178"/>
      <c r="CFO264" s="178"/>
      <c r="CFP264" s="178"/>
      <c r="CFQ264" s="178"/>
      <c r="CFR264" s="178"/>
      <c r="CFS264" s="178"/>
      <c r="CFT264" s="178"/>
      <c r="CFU264" s="178"/>
      <c r="CFV264" s="178"/>
      <c r="CFW264" s="178"/>
      <c r="CFX264" s="178"/>
      <c r="CFY264" s="178"/>
      <c r="CFZ264" s="178"/>
      <c r="CGA264" s="178"/>
      <c r="CGB264" s="178"/>
      <c r="CGC264" s="178"/>
      <c r="CGD264" s="178"/>
      <c r="CGE264" s="178"/>
      <c r="CGF264" s="178"/>
      <c r="CGG264" s="178"/>
      <c r="CGH264" s="178"/>
      <c r="CGI264" s="178"/>
      <c r="CGJ264" s="178"/>
      <c r="CGK264" s="178"/>
      <c r="CGL264" s="178"/>
      <c r="CGM264" s="178"/>
      <c r="CGN264" s="178"/>
      <c r="CGO264" s="178"/>
      <c r="CGP264" s="178"/>
      <c r="CGQ264" s="178"/>
      <c r="CGR264" s="178"/>
      <c r="CGS264" s="178"/>
      <c r="CGT264" s="178"/>
      <c r="CGU264" s="178"/>
      <c r="CGV264" s="178"/>
      <c r="CGW264" s="178"/>
      <c r="CGX264" s="178"/>
      <c r="CGY264" s="178"/>
      <c r="CGZ264" s="178"/>
      <c r="CHA264" s="178"/>
      <c r="CHB264" s="178"/>
      <c r="CHC264" s="178"/>
      <c r="CHD264" s="178"/>
      <c r="CHE264" s="178"/>
      <c r="CHF264" s="178"/>
      <c r="CHG264" s="178"/>
      <c r="CHH264" s="178"/>
      <c r="CHI264" s="178"/>
      <c r="CHJ264" s="178"/>
      <c r="CHK264" s="178"/>
      <c r="CHL264" s="178"/>
      <c r="CHM264" s="178"/>
      <c r="CHN264" s="178"/>
      <c r="CHO264" s="178"/>
      <c r="CHP264" s="178"/>
      <c r="CHQ264" s="178"/>
      <c r="CHR264" s="178"/>
      <c r="CHS264" s="178"/>
      <c r="CHT264" s="178"/>
      <c r="CHU264" s="178"/>
      <c r="CHV264" s="178"/>
      <c r="CHW264" s="178"/>
      <c r="CHX264" s="178"/>
      <c r="CHY264" s="178"/>
      <c r="CHZ264" s="178"/>
      <c r="CIA264" s="178"/>
      <c r="CIB264" s="178"/>
      <c r="CIC264" s="178"/>
      <c r="CID264" s="178"/>
      <c r="CIE264" s="178"/>
      <c r="CIF264" s="178"/>
      <c r="CIG264" s="178"/>
      <c r="CIH264" s="178"/>
      <c r="CII264" s="178"/>
      <c r="CIJ264" s="178"/>
      <c r="CIK264" s="178"/>
      <c r="CIL264" s="178"/>
      <c r="CIM264" s="178"/>
      <c r="CIN264" s="178"/>
      <c r="CIO264" s="178"/>
      <c r="CIP264" s="178"/>
      <c r="CIQ264" s="178"/>
      <c r="CIR264" s="178"/>
      <c r="CIS264" s="178"/>
      <c r="CIT264" s="178"/>
      <c r="CIU264" s="178"/>
      <c r="CIV264" s="178"/>
      <c r="CIW264" s="178"/>
      <c r="CIX264" s="178"/>
      <c r="CIY264" s="178"/>
      <c r="CIZ264" s="178"/>
      <c r="CJA264" s="178"/>
      <c r="CJB264" s="178"/>
      <c r="CJC264" s="178"/>
      <c r="CJD264" s="178"/>
      <c r="CJE264" s="178"/>
      <c r="CJF264" s="178"/>
      <c r="CJG264" s="178"/>
      <c r="CJH264" s="178"/>
      <c r="CJI264" s="178"/>
      <c r="CJJ264" s="178"/>
      <c r="CJK264" s="178"/>
      <c r="CJL264" s="178"/>
      <c r="CJM264" s="178"/>
      <c r="CJN264" s="178"/>
      <c r="CJO264" s="178"/>
      <c r="CJP264" s="178"/>
      <c r="CJQ264" s="178"/>
      <c r="CJR264" s="178"/>
      <c r="CJS264" s="178"/>
      <c r="CJT264" s="178"/>
      <c r="CJU264" s="178"/>
      <c r="CJV264" s="178"/>
      <c r="CJW264" s="178"/>
      <c r="CJX264" s="178"/>
      <c r="CJY264" s="178"/>
      <c r="CJZ264" s="178"/>
      <c r="CKA264" s="178"/>
      <c r="CKB264" s="178"/>
      <c r="CKC264" s="178"/>
      <c r="CKD264" s="178"/>
      <c r="CKE264" s="178"/>
      <c r="CKF264" s="178"/>
      <c r="CKG264" s="178"/>
      <c r="CKH264" s="178"/>
      <c r="CKI264" s="178"/>
      <c r="CKJ264" s="178"/>
      <c r="CKK264" s="178"/>
      <c r="CKL264" s="178"/>
      <c r="CKM264" s="178"/>
      <c r="CKN264" s="178"/>
      <c r="CKO264" s="178"/>
      <c r="CKP264" s="178"/>
      <c r="CKQ264" s="178"/>
      <c r="CKR264" s="178"/>
      <c r="CKS264" s="178"/>
      <c r="CKT264" s="178"/>
      <c r="CKU264" s="178"/>
      <c r="CKV264" s="178"/>
      <c r="CKW264" s="178"/>
      <c r="CKX264" s="178"/>
      <c r="CKY264" s="178"/>
      <c r="CKZ264" s="178"/>
      <c r="CLA264" s="178"/>
      <c r="CLB264" s="178"/>
      <c r="CLC264" s="178"/>
      <c r="CLD264" s="178"/>
      <c r="CLE264" s="178"/>
      <c r="CLF264" s="178"/>
      <c r="CLG264" s="178"/>
      <c r="CLH264" s="178"/>
      <c r="CLI264" s="178"/>
      <c r="CLJ264" s="178"/>
      <c r="CLK264" s="178"/>
      <c r="CLL264" s="178"/>
      <c r="CLM264" s="178"/>
      <c r="CLN264" s="178"/>
      <c r="CLO264" s="178"/>
      <c r="CLP264" s="178"/>
      <c r="CLQ264" s="178"/>
      <c r="CLR264" s="178"/>
      <c r="CLS264" s="178"/>
      <c r="CLT264" s="178"/>
      <c r="CLU264" s="178"/>
      <c r="CLV264" s="178"/>
      <c r="CLW264" s="178"/>
      <c r="CLX264" s="178"/>
      <c r="CLY264" s="178"/>
      <c r="CLZ264" s="178"/>
      <c r="CMA264" s="178"/>
      <c r="CMB264" s="178"/>
      <c r="CMC264" s="178"/>
      <c r="CMD264" s="178"/>
      <c r="CME264" s="178"/>
      <c r="CMF264" s="178"/>
      <c r="CMG264" s="178"/>
      <c r="CMH264" s="178"/>
      <c r="CMI264" s="178"/>
      <c r="CMJ264" s="178"/>
      <c r="CMK264" s="178"/>
      <c r="CML264" s="178"/>
      <c r="CMM264" s="178"/>
      <c r="CMN264" s="178"/>
      <c r="CMO264" s="178"/>
      <c r="CMP264" s="178"/>
      <c r="CMQ264" s="178"/>
      <c r="CMR264" s="178"/>
      <c r="CMS264" s="178"/>
      <c r="CMT264" s="178"/>
      <c r="CMU264" s="178"/>
      <c r="CMV264" s="178"/>
      <c r="CMW264" s="178"/>
      <c r="CMX264" s="178"/>
      <c r="CMY264" s="178"/>
      <c r="CMZ264" s="178"/>
      <c r="CNA264" s="178"/>
      <c r="CNB264" s="178"/>
      <c r="CNC264" s="178"/>
      <c r="CND264" s="178"/>
      <c r="CNE264" s="178"/>
      <c r="CNF264" s="178"/>
      <c r="CNG264" s="178"/>
      <c r="CNH264" s="178"/>
      <c r="CNI264" s="178"/>
      <c r="CNJ264" s="178"/>
      <c r="CNK264" s="178"/>
      <c r="CNL264" s="178"/>
      <c r="CNM264" s="178"/>
      <c r="CNN264" s="178"/>
      <c r="CNO264" s="178"/>
      <c r="CNP264" s="178"/>
      <c r="CNQ264" s="178"/>
      <c r="CNR264" s="178"/>
      <c r="CNS264" s="178"/>
      <c r="CNT264" s="178"/>
      <c r="CNU264" s="178"/>
      <c r="CNV264" s="178"/>
      <c r="CNW264" s="178"/>
      <c r="CNX264" s="178"/>
      <c r="CNY264" s="178"/>
      <c r="CNZ264" s="178"/>
      <c r="COA264" s="178"/>
      <c r="COB264" s="178"/>
      <c r="COC264" s="178"/>
      <c r="COD264" s="178"/>
      <c r="COE264" s="178"/>
      <c r="COF264" s="178"/>
      <c r="COG264" s="178"/>
      <c r="COH264" s="178"/>
      <c r="COI264" s="178"/>
      <c r="COJ264" s="178"/>
      <c r="COK264" s="178"/>
      <c r="COL264" s="178"/>
      <c r="COM264" s="178"/>
      <c r="CON264" s="178"/>
      <c r="COO264" s="178"/>
      <c r="COP264" s="178"/>
      <c r="COQ264" s="178"/>
      <c r="COR264" s="178"/>
      <c r="COS264" s="178"/>
      <c r="COT264" s="178"/>
      <c r="COU264" s="178"/>
      <c r="COV264" s="178"/>
      <c r="COW264" s="178"/>
      <c r="COX264" s="178"/>
      <c r="COY264" s="178"/>
      <c r="COZ264" s="178"/>
      <c r="CPA264" s="178"/>
      <c r="CPB264" s="178"/>
      <c r="CPC264" s="178"/>
      <c r="CPD264" s="178"/>
      <c r="CPE264" s="178"/>
      <c r="CPF264" s="178"/>
      <c r="CPG264" s="178"/>
      <c r="CPH264" s="178"/>
      <c r="CPI264" s="178"/>
      <c r="CPJ264" s="178"/>
      <c r="CPK264" s="178"/>
      <c r="CPL264" s="178"/>
      <c r="CPM264" s="178"/>
      <c r="CPN264" s="178"/>
      <c r="CPO264" s="178"/>
      <c r="CPP264" s="178"/>
      <c r="CPQ264" s="178"/>
      <c r="CPR264" s="178"/>
      <c r="CPS264" s="178"/>
      <c r="CPT264" s="178"/>
      <c r="CPU264" s="178"/>
      <c r="CPV264" s="178"/>
      <c r="CPW264" s="178"/>
      <c r="CPX264" s="178"/>
      <c r="CPY264" s="178"/>
      <c r="CPZ264" s="178"/>
      <c r="CQA264" s="178"/>
      <c r="CQB264" s="178"/>
      <c r="CQC264" s="178"/>
      <c r="CQD264" s="178"/>
      <c r="CQE264" s="178"/>
      <c r="CQF264" s="178"/>
      <c r="CQG264" s="178"/>
      <c r="CQH264" s="178"/>
      <c r="CQI264" s="178"/>
      <c r="CQJ264" s="178"/>
      <c r="CQK264" s="178"/>
      <c r="CQL264" s="178"/>
      <c r="CQM264" s="178"/>
      <c r="CQN264" s="178"/>
      <c r="CQO264" s="178"/>
      <c r="CQP264" s="178"/>
      <c r="CQQ264" s="178"/>
      <c r="CQR264" s="178"/>
      <c r="CQS264" s="178"/>
      <c r="CQT264" s="178"/>
      <c r="CQU264" s="178"/>
      <c r="CQV264" s="178"/>
      <c r="CQW264" s="178"/>
      <c r="CQX264" s="178"/>
      <c r="CQY264" s="178"/>
      <c r="CQZ264" s="178"/>
      <c r="CRA264" s="178"/>
      <c r="CRB264" s="178"/>
      <c r="CRC264" s="178"/>
      <c r="CRD264" s="178"/>
      <c r="CRE264" s="178"/>
      <c r="CRF264" s="178"/>
      <c r="CRG264" s="178"/>
      <c r="CRH264" s="178"/>
      <c r="CRI264" s="178"/>
      <c r="CRJ264" s="178"/>
      <c r="CRK264" s="178"/>
      <c r="CRL264" s="178"/>
      <c r="CRM264" s="178"/>
      <c r="CRN264" s="178"/>
      <c r="CRO264" s="178"/>
      <c r="CRP264" s="178"/>
      <c r="CRQ264" s="178"/>
      <c r="CRR264" s="178"/>
      <c r="CRS264" s="178"/>
      <c r="CRT264" s="178"/>
      <c r="CRU264" s="178"/>
      <c r="CRV264" s="178"/>
      <c r="CRW264" s="178"/>
      <c r="CRX264" s="178"/>
      <c r="CRY264" s="178"/>
      <c r="CRZ264" s="178"/>
      <c r="CSA264" s="178"/>
      <c r="CSB264" s="178"/>
      <c r="CSC264" s="178"/>
      <c r="CSD264" s="178"/>
      <c r="CSE264" s="178"/>
      <c r="CSF264" s="178"/>
      <c r="CSG264" s="178"/>
      <c r="CSH264" s="178"/>
      <c r="CSI264" s="178"/>
      <c r="CSJ264" s="178"/>
      <c r="CSK264" s="178"/>
      <c r="CSL264" s="178"/>
      <c r="CSM264" s="178"/>
      <c r="CSN264" s="178"/>
      <c r="CSO264" s="178"/>
      <c r="CSP264" s="178"/>
      <c r="CSQ264" s="178"/>
      <c r="CSR264" s="178"/>
      <c r="CSS264" s="178"/>
      <c r="CST264" s="178"/>
      <c r="CSU264" s="178"/>
      <c r="CSV264" s="178"/>
      <c r="CSW264" s="178"/>
      <c r="CSX264" s="178"/>
      <c r="CSY264" s="178"/>
      <c r="CSZ264" s="178"/>
      <c r="CTA264" s="178"/>
      <c r="CTB264" s="178"/>
      <c r="CTC264" s="178"/>
      <c r="CTD264" s="178"/>
      <c r="CTE264" s="178"/>
      <c r="CTF264" s="178"/>
      <c r="CTG264" s="178"/>
      <c r="CTH264" s="178"/>
      <c r="CTI264" s="178"/>
      <c r="CTJ264" s="178"/>
      <c r="CTK264" s="178"/>
      <c r="CTL264" s="178"/>
      <c r="CTM264" s="178"/>
      <c r="CTN264" s="178"/>
      <c r="CTO264" s="178"/>
      <c r="CTP264" s="178"/>
      <c r="CTQ264" s="178"/>
      <c r="CTR264" s="178"/>
      <c r="CTS264" s="178"/>
      <c r="CTT264" s="178"/>
      <c r="CTU264" s="178"/>
      <c r="CTV264" s="178"/>
      <c r="CTW264" s="178"/>
      <c r="CTX264" s="178"/>
      <c r="CTY264" s="178"/>
      <c r="CTZ264" s="178"/>
      <c r="CUA264" s="178"/>
      <c r="CUB264" s="178"/>
      <c r="CUC264" s="178"/>
      <c r="CUD264" s="178"/>
      <c r="CUE264" s="178"/>
      <c r="CUF264" s="178"/>
      <c r="CUG264" s="178"/>
      <c r="CUH264" s="178"/>
      <c r="CUI264" s="178"/>
      <c r="CUJ264" s="178"/>
      <c r="CUK264" s="178"/>
      <c r="CUL264" s="178"/>
      <c r="CUM264" s="178"/>
      <c r="CUN264" s="178"/>
      <c r="CUO264" s="178"/>
      <c r="CUP264" s="178"/>
      <c r="CUQ264" s="178"/>
      <c r="CUR264" s="178"/>
      <c r="CUS264" s="178"/>
      <c r="CUT264" s="178"/>
      <c r="CUU264" s="178"/>
      <c r="CUV264" s="178"/>
      <c r="CUW264" s="178"/>
      <c r="CUX264" s="178"/>
      <c r="CUY264" s="178"/>
      <c r="CUZ264" s="178"/>
      <c r="CVA264" s="178"/>
      <c r="CVB264" s="178"/>
      <c r="CVC264" s="178"/>
      <c r="CVD264" s="178"/>
      <c r="CVE264" s="178"/>
      <c r="CVF264" s="178"/>
      <c r="CVG264" s="178"/>
      <c r="CVH264" s="178"/>
      <c r="CVI264" s="178"/>
      <c r="CVJ264" s="178"/>
      <c r="CVK264" s="178"/>
      <c r="CVL264" s="178"/>
      <c r="CVM264" s="178"/>
      <c r="CVN264" s="178"/>
      <c r="CVO264" s="178"/>
      <c r="CVP264" s="178"/>
      <c r="CVQ264" s="178"/>
      <c r="CVR264" s="178"/>
      <c r="CVS264" s="178"/>
      <c r="CVT264" s="178"/>
      <c r="CVU264" s="178"/>
      <c r="CVV264" s="178"/>
      <c r="CVW264" s="178"/>
      <c r="CVX264" s="178"/>
      <c r="CVY264" s="178"/>
      <c r="CVZ264" s="178"/>
      <c r="CWA264" s="178"/>
      <c r="CWB264" s="178"/>
      <c r="CWC264" s="178"/>
      <c r="CWD264" s="178"/>
      <c r="CWE264" s="178"/>
      <c r="CWF264" s="178"/>
      <c r="CWG264" s="178"/>
      <c r="CWH264" s="178"/>
      <c r="CWI264" s="178"/>
      <c r="CWJ264" s="178"/>
      <c r="CWK264" s="178"/>
      <c r="CWL264" s="178"/>
      <c r="CWM264" s="178"/>
      <c r="CWN264" s="178"/>
      <c r="CWO264" s="178"/>
      <c r="CWP264" s="178"/>
      <c r="CWQ264" s="178"/>
      <c r="CWR264" s="178"/>
      <c r="CWS264" s="178"/>
      <c r="CWT264" s="178"/>
      <c r="CWU264" s="178"/>
      <c r="CWV264" s="178"/>
      <c r="CWW264" s="178"/>
      <c r="CWX264" s="178"/>
      <c r="CWY264" s="178"/>
      <c r="CWZ264" s="178"/>
      <c r="CXA264" s="178"/>
      <c r="CXB264" s="178"/>
      <c r="CXC264" s="178"/>
      <c r="CXD264" s="178"/>
      <c r="CXE264" s="178"/>
      <c r="CXF264" s="178"/>
      <c r="CXG264" s="178"/>
      <c r="CXH264" s="178"/>
      <c r="CXI264" s="178"/>
      <c r="CXJ264" s="178"/>
      <c r="CXK264" s="178"/>
      <c r="CXL264" s="178"/>
      <c r="CXM264" s="178"/>
      <c r="CXN264" s="178"/>
      <c r="CXO264" s="178"/>
      <c r="CXP264" s="178"/>
      <c r="CXQ264" s="178"/>
      <c r="CXR264" s="178"/>
      <c r="CXS264" s="178"/>
      <c r="CXT264" s="178"/>
      <c r="CXU264" s="178"/>
      <c r="CXV264" s="178"/>
      <c r="CXW264" s="178"/>
      <c r="CXX264" s="178"/>
      <c r="CXY264" s="178"/>
      <c r="CXZ264" s="178"/>
      <c r="CYA264" s="178"/>
      <c r="CYB264" s="178"/>
      <c r="CYC264" s="178"/>
      <c r="CYD264" s="178"/>
      <c r="CYE264" s="178"/>
      <c r="CYF264" s="178"/>
      <c r="CYG264" s="178"/>
      <c r="CYH264" s="178"/>
      <c r="CYI264" s="178"/>
      <c r="CYJ264" s="178"/>
      <c r="CYK264" s="178"/>
      <c r="CYL264" s="178"/>
      <c r="CYM264" s="178"/>
      <c r="CYN264" s="178"/>
      <c r="CYO264" s="178"/>
      <c r="CYP264" s="178"/>
      <c r="CYQ264" s="178"/>
      <c r="CYR264" s="178"/>
      <c r="CYS264" s="178"/>
      <c r="CYT264" s="178"/>
      <c r="CYU264" s="178"/>
      <c r="CYV264" s="178"/>
      <c r="CYW264" s="178"/>
      <c r="CYX264" s="178"/>
      <c r="CYY264" s="178"/>
      <c r="CYZ264" s="178"/>
      <c r="CZA264" s="178"/>
      <c r="CZB264" s="178"/>
      <c r="CZC264" s="178"/>
      <c r="CZD264" s="178"/>
      <c r="CZE264" s="178"/>
      <c r="CZF264" s="178"/>
      <c r="CZG264" s="178"/>
      <c r="CZH264" s="178"/>
      <c r="CZI264" s="178"/>
      <c r="CZJ264" s="178"/>
      <c r="CZK264" s="178"/>
      <c r="CZL264" s="178"/>
      <c r="CZM264" s="178"/>
      <c r="CZN264" s="178"/>
      <c r="CZO264" s="178"/>
      <c r="CZP264" s="178"/>
      <c r="CZQ264" s="178"/>
      <c r="CZR264" s="178"/>
      <c r="CZS264" s="178"/>
      <c r="CZT264" s="178"/>
      <c r="CZU264" s="178"/>
      <c r="CZV264" s="178"/>
      <c r="CZW264" s="178"/>
      <c r="CZX264" s="178"/>
      <c r="CZY264" s="178"/>
      <c r="CZZ264" s="178"/>
      <c r="DAA264" s="178"/>
      <c r="DAB264" s="178"/>
      <c r="DAC264" s="178"/>
      <c r="DAD264" s="178"/>
      <c r="DAE264" s="178"/>
      <c r="DAF264" s="178"/>
      <c r="DAG264" s="178"/>
      <c r="DAH264" s="178"/>
      <c r="DAI264" s="178"/>
      <c r="DAJ264" s="178"/>
      <c r="DAK264" s="178"/>
      <c r="DAL264" s="178"/>
      <c r="DAM264" s="178"/>
      <c r="DAN264" s="178"/>
      <c r="DAO264" s="178"/>
      <c r="DAP264" s="178"/>
      <c r="DAQ264" s="178"/>
      <c r="DAR264" s="178"/>
      <c r="DAS264" s="178"/>
      <c r="DAT264" s="178"/>
      <c r="DAU264" s="178"/>
      <c r="DAV264" s="178"/>
      <c r="DAW264" s="178"/>
      <c r="DAX264" s="178"/>
      <c r="DAY264" s="178"/>
      <c r="DAZ264" s="178"/>
      <c r="DBA264" s="178"/>
      <c r="DBB264" s="178"/>
      <c r="DBC264" s="178"/>
      <c r="DBD264" s="178"/>
      <c r="DBE264" s="178"/>
      <c r="DBF264" s="178"/>
      <c r="DBG264" s="178"/>
      <c r="DBH264" s="178"/>
      <c r="DBI264" s="178"/>
      <c r="DBJ264" s="178"/>
      <c r="DBK264" s="178"/>
      <c r="DBL264" s="178"/>
      <c r="DBM264" s="178"/>
      <c r="DBN264" s="178"/>
      <c r="DBO264" s="178"/>
      <c r="DBP264" s="178"/>
      <c r="DBQ264" s="178"/>
      <c r="DBR264" s="178"/>
      <c r="DBS264" s="178"/>
      <c r="DBT264" s="178"/>
      <c r="DBU264" s="178"/>
      <c r="DBV264" s="178"/>
      <c r="DBW264" s="178"/>
      <c r="DBX264" s="178"/>
      <c r="DBY264" s="178"/>
      <c r="DBZ264" s="178"/>
      <c r="DCA264" s="178"/>
      <c r="DCB264" s="178"/>
      <c r="DCC264" s="178"/>
      <c r="DCD264" s="178"/>
      <c r="DCE264" s="178"/>
      <c r="DCF264" s="178"/>
      <c r="DCG264" s="178"/>
      <c r="DCH264" s="178"/>
      <c r="DCI264" s="178"/>
      <c r="DCJ264" s="178"/>
      <c r="DCK264" s="178"/>
      <c r="DCL264" s="178"/>
      <c r="DCM264" s="178"/>
      <c r="DCN264" s="178"/>
      <c r="DCO264" s="178"/>
      <c r="DCP264" s="178"/>
      <c r="DCQ264" s="178"/>
      <c r="DCR264" s="178"/>
      <c r="DCS264" s="178"/>
      <c r="DCT264" s="178"/>
      <c r="DCU264" s="178"/>
      <c r="DCV264" s="178"/>
      <c r="DCW264" s="178"/>
      <c r="DCX264" s="178"/>
      <c r="DCY264" s="178"/>
      <c r="DCZ264" s="178"/>
      <c r="DDA264" s="178"/>
      <c r="DDB264" s="178"/>
      <c r="DDC264" s="178"/>
      <c r="DDD264" s="178"/>
      <c r="DDE264" s="178"/>
      <c r="DDF264" s="178"/>
      <c r="DDG264" s="178"/>
      <c r="DDH264" s="178"/>
      <c r="DDI264" s="178"/>
      <c r="DDJ264" s="178"/>
      <c r="DDK264" s="178"/>
      <c r="DDL264" s="178"/>
      <c r="DDM264" s="178"/>
      <c r="DDN264" s="178"/>
      <c r="DDO264" s="178"/>
      <c r="DDP264" s="178"/>
      <c r="DDQ264" s="178"/>
      <c r="DDR264" s="178"/>
      <c r="DDS264" s="178"/>
      <c r="DDT264" s="178"/>
      <c r="DDU264" s="178"/>
      <c r="DDV264" s="178"/>
      <c r="DDW264" s="178"/>
      <c r="DDX264" s="178"/>
      <c r="DDY264" s="178"/>
      <c r="DDZ264" s="178"/>
      <c r="DEA264" s="178"/>
      <c r="DEB264" s="178"/>
      <c r="DEC264" s="178"/>
      <c r="DED264" s="178"/>
      <c r="DEE264" s="178"/>
      <c r="DEF264" s="178"/>
      <c r="DEG264" s="178"/>
      <c r="DEH264" s="178"/>
      <c r="DEI264" s="178"/>
      <c r="DEJ264" s="178"/>
      <c r="DEK264" s="178"/>
      <c r="DEL264" s="178"/>
      <c r="DEM264" s="178"/>
      <c r="DEN264" s="178"/>
      <c r="DEO264" s="178"/>
      <c r="DEP264" s="178"/>
      <c r="DEQ264" s="178"/>
      <c r="DER264" s="178"/>
      <c r="DES264" s="178"/>
      <c r="DET264" s="178"/>
      <c r="DEU264" s="178"/>
      <c r="DEV264" s="178"/>
      <c r="DEW264" s="178"/>
      <c r="DEX264" s="178"/>
      <c r="DEY264" s="178"/>
      <c r="DEZ264" s="178"/>
      <c r="DFA264" s="178"/>
      <c r="DFB264" s="178"/>
      <c r="DFC264" s="178"/>
      <c r="DFD264" s="178"/>
      <c r="DFE264" s="178"/>
      <c r="DFF264" s="178"/>
      <c r="DFG264" s="178"/>
      <c r="DFH264" s="178"/>
      <c r="DFI264" s="178"/>
      <c r="DFJ264" s="178"/>
      <c r="DFK264" s="178"/>
      <c r="DFL264" s="178"/>
      <c r="DFM264" s="178"/>
      <c r="DFN264" s="178"/>
      <c r="DFO264" s="178"/>
      <c r="DFP264" s="178"/>
      <c r="DFQ264" s="178"/>
      <c r="DFR264" s="178"/>
      <c r="DFS264" s="178"/>
      <c r="DFT264" s="178"/>
      <c r="DFU264" s="178"/>
      <c r="DFV264" s="178"/>
      <c r="DFW264" s="178"/>
      <c r="DFX264" s="178"/>
      <c r="DFY264" s="178"/>
      <c r="DFZ264" s="178"/>
      <c r="DGA264" s="178"/>
      <c r="DGB264" s="178"/>
      <c r="DGC264" s="178"/>
      <c r="DGD264" s="178"/>
      <c r="DGE264" s="178"/>
      <c r="DGF264" s="178"/>
      <c r="DGG264" s="178"/>
      <c r="DGH264" s="178"/>
      <c r="DGI264" s="178"/>
      <c r="DGJ264" s="178"/>
      <c r="DGK264" s="178"/>
      <c r="DGL264" s="178"/>
      <c r="DGM264" s="178"/>
      <c r="DGN264" s="178"/>
      <c r="DGO264" s="178"/>
      <c r="DGP264" s="178"/>
      <c r="DGQ264" s="178"/>
      <c r="DGR264" s="178"/>
      <c r="DGS264" s="178"/>
      <c r="DGT264" s="178"/>
      <c r="DGU264" s="178"/>
      <c r="DGV264" s="178"/>
      <c r="DGW264" s="178"/>
      <c r="DGX264" s="178"/>
      <c r="DGY264" s="178"/>
      <c r="DGZ264" s="178"/>
      <c r="DHA264" s="178"/>
      <c r="DHB264" s="178"/>
      <c r="DHC264" s="178"/>
      <c r="DHD264" s="178"/>
      <c r="DHE264" s="178"/>
      <c r="DHF264" s="178"/>
      <c r="DHG264" s="178"/>
      <c r="DHH264" s="178"/>
      <c r="DHI264" s="178"/>
      <c r="DHJ264" s="178"/>
      <c r="DHK264" s="178"/>
      <c r="DHL264" s="178"/>
      <c r="DHM264" s="178"/>
      <c r="DHN264" s="178"/>
      <c r="DHO264" s="178"/>
      <c r="DHP264" s="178"/>
      <c r="DHQ264" s="178"/>
      <c r="DHR264" s="178"/>
      <c r="DHS264" s="178"/>
      <c r="DHT264" s="178"/>
      <c r="DHU264" s="178"/>
      <c r="DHV264" s="178"/>
      <c r="DHW264" s="178"/>
      <c r="DHX264" s="178"/>
      <c r="DHY264" s="178"/>
      <c r="DHZ264" s="178"/>
      <c r="DIA264" s="178"/>
      <c r="DIB264" s="178"/>
      <c r="DIC264" s="178"/>
      <c r="DID264" s="178"/>
      <c r="DIE264" s="178"/>
      <c r="DIF264" s="178"/>
      <c r="DIG264" s="178"/>
      <c r="DIH264" s="178"/>
      <c r="DII264" s="178"/>
      <c r="DIJ264" s="178"/>
      <c r="DIK264" s="178"/>
      <c r="DIL264" s="178"/>
      <c r="DIM264" s="178"/>
      <c r="DIN264" s="178"/>
      <c r="DIO264" s="178"/>
      <c r="DIP264" s="178"/>
      <c r="DIQ264" s="178"/>
      <c r="DIR264" s="178"/>
      <c r="DIS264" s="178"/>
      <c r="DIT264" s="178"/>
      <c r="DIU264" s="178"/>
      <c r="DIV264" s="178"/>
      <c r="DIW264" s="178"/>
      <c r="DIX264" s="178"/>
      <c r="DIY264" s="178"/>
      <c r="DIZ264" s="178"/>
      <c r="DJA264" s="178"/>
      <c r="DJB264" s="178"/>
      <c r="DJC264" s="178"/>
      <c r="DJD264" s="178"/>
      <c r="DJE264" s="178"/>
      <c r="DJF264" s="178"/>
      <c r="DJG264" s="178"/>
      <c r="DJH264" s="178"/>
      <c r="DJI264" s="178"/>
      <c r="DJJ264" s="178"/>
      <c r="DJK264" s="178"/>
      <c r="DJL264" s="178"/>
      <c r="DJM264" s="178"/>
      <c r="DJN264" s="178"/>
      <c r="DJO264" s="178"/>
      <c r="DJP264" s="178"/>
      <c r="DJQ264" s="178"/>
      <c r="DJR264" s="178"/>
      <c r="DJS264" s="178"/>
      <c r="DJT264" s="178"/>
      <c r="DJU264" s="178"/>
      <c r="DJV264" s="178"/>
      <c r="DJW264" s="178"/>
      <c r="DJX264" s="178"/>
      <c r="DJY264" s="178"/>
      <c r="DJZ264" s="178"/>
      <c r="DKA264" s="178"/>
      <c r="DKB264" s="178"/>
      <c r="DKC264" s="178"/>
      <c r="DKD264" s="178"/>
      <c r="DKE264" s="178"/>
      <c r="DKF264" s="178"/>
      <c r="DKG264" s="178"/>
      <c r="DKH264" s="178"/>
      <c r="DKI264" s="178"/>
      <c r="DKJ264" s="178"/>
      <c r="DKK264" s="178"/>
      <c r="DKL264" s="178"/>
      <c r="DKM264" s="178"/>
      <c r="DKN264" s="178"/>
      <c r="DKO264" s="178"/>
      <c r="DKP264" s="178"/>
      <c r="DKQ264" s="178"/>
      <c r="DKR264" s="178"/>
      <c r="DKS264" s="178"/>
      <c r="DKT264" s="178"/>
      <c r="DKU264" s="178"/>
      <c r="DKV264" s="178"/>
      <c r="DKW264" s="178"/>
      <c r="DKX264" s="178"/>
      <c r="DKY264" s="178"/>
      <c r="DKZ264" s="178"/>
      <c r="DLA264" s="178"/>
      <c r="DLB264" s="178"/>
      <c r="DLC264" s="178"/>
      <c r="DLD264" s="178"/>
      <c r="DLE264" s="178"/>
      <c r="DLF264" s="178"/>
      <c r="DLG264" s="178"/>
      <c r="DLH264" s="178"/>
      <c r="DLI264" s="178"/>
      <c r="DLJ264" s="178"/>
      <c r="DLK264" s="178"/>
      <c r="DLL264" s="178"/>
      <c r="DLM264" s="178"/>
      <c r="DLN264" s="178"/>
      <c r="DLO264" s="178"/>
      <c r="DLP264" s="178"/>
      <c r="DLQ264" s="178"/>
      <c r="DLR264" s="178"/>
      <c r="DLS264" s="178"/>
      <c r="DLT264" s="178"/>
      <c r="DLU264" s="178"/>
      <c r="DLV264" s="178"/>
      <c r="DLW264" s="178"/>
      <c r="DLX264" s="178"/>
      <c r="DLY264" s="178"/>
      <c r="DLZ264" s="178"/>
      <c r="DMA264" s="178"/>
      <c r="DMB264" s="178"/>
      <c r="DMC264" s="178"/>
      <c r="DMD264" s="178"/>
      <c r="DME264" s="178"/>
      <c r="DMF264" s="178"/>
      <c r="DMG264" s="178"/>
      <c r="DMH264" s="178"/>
      <c r="DMI264" s="178"/>
      <c r="DMJ264" s="178"/>
      <c r="DMK264" s="178"/>
      <c r="DML264" s="178"/>
      <c r="DMM264" s="178"/>
      <c r="DMN264" s="178"/>
      <c r="DMO264" s="178"/>
      <c r="DMP264" s="178"/>
      <c r="DMQ264" s="178"/>
      <c r="DMR264" s="178"/>
      <c r="DMS264" s="178"/>
      <c r="DMT264" s="178"/>
      <c r="DMU264" s="178"/>
      <c r="DMV264" s="178"/>
      <c r="DMW264" s="178"/>
      <c r="DMX264" s="178"/>
      <c r="DMY264" s="178"/>
      <c r="DMZ264" s="178"/>
      <c r="DNA264" s="178"/>
      <c r="DNB264" s="178"/>
      <c r="DNC264" s="178"/>
      <c r="DND264" s="178"/>
      <c r="DNE264" s="178"/>
      <c r="DNF264" s="178"/>
      <c r="DNG264" s="178"/>
      <c r="DNH264" s="178"/>
      <c r="DNI264" s="178"/>
      <c r="DNJ264" s="178"/>
      <c r="DNK264" s="178"/>
      <c r="DNL264" s="178"/>
      <c r="DNM264" s="178"/>
      <c r="DNN264" s="178"/>
      <c r="DNO264" s="178"/>
      <c r="DNP264" s="178"/>
      <c r="DNQ264" s="178"/>
      <c r="DNR264" s="178"/>
      <c r="DNS264" s="178"/>
      <c r="DNT264" s="178"/>
      <c r="DNU264" s="178"/>
      <c r="DNV264" s="178"/>
      <c r="DNW264" s="178"/>
      <c r="DNX264" s="178"/>
      <c r="DNY264" s="178"/>
      <c r="DNZ264" s="178"/>
      <c r="DOA264" s="178"/>
      <c r="DOB264" s="178"/>
      <c r="DOC264" s="178"/>
      <c r="DOD264" s="178"/>
      <c r="DOE264" s="178"/>
      <c r="DOF264" s="178"/>
      <c r="DOG264" s="178"/>
      <c r="DOH264" s="178"/>
      <c r="DOI264" s="178"/>
      <c r="DOJ264" s="178"/>
      <c r="DOK264" s="178"/>
      <c r="DOL264" s="178"/>
      <c r="DOM264" s="178"/>
      <c r="DON264" s="178"/>
      <c r="DOO264" s="178"/>
      <c r="DOP264" s="178"/>
      <c r="DOQ264" s="178"/>
      <c r="DOR264" s="178"/>
      <c r="DOS264" s="178"/>
      <c r="DOT264" s="178"/>
      <c r="DOU264" s="178"/>
      <c r="DOV264" s="178"/>
      <c r="DOW264" s="178"/>
      <c r="DOX264" s="178"/>
      <c r="DOY264" s="178"/>
      <c r="DOZ264" s="178"/>
      <c r="DPA264" s="178"/>
      <c r="DPB264" s="178"/>
      <c r="DPC264" s="178"/>
      <c r="DPD264" s="178"/>
      <c r="DPE264" s="178"/>
      <c r="DPF264" s="178"/>
      <c r="DPG264" s="178"/>
      <c r="DPH264" s="178"/>
      <c r="DPI264" s="178"/>
      <c r="DPJ264" s="178"/>
      <c r="DPK264" s="178"/>
      <c r="DPL264" s="178"/>
      <c r="DPM264" s="178"/>
      <c r="DPN264" s="178"/>
      <c r="DPO264" s="178"/>
      <c r="DPP264" s="178"/>
      <c r="DPQ264" s="178"/>
      <c r="DPR264" s="178"/>
      <c r="DPS264" s="178"/>
      <c r="DPT264" s="178"/>
      <c r="DPU264" s="178"/>
      <c r="DPV264" s="178"/>
      <c r="DPW264" s="178"/>
      <c r="DPX264" s="178"/>
      <c r="DPY264" s="178"/>
      <c r="DPZ264" s="178"/>
      <c r="DQA264" s="178"/>
      <c r="DQB264" s="178"/>
      <c r="DQC264" s="178"/>
      <c r="DQD264" s="178"/>
      <c r="DQE264" s="178"/>
      <c r="DQF264" s="178"/>
      <c r="DQG264" s="178"/>
      <c r="DQH264" s="178"/>
      <c r="DQI264" s="178"/>
      <c r="DQJ264" s="178"/>
      <c r="DQK264" s="178"/>
      <c r="DQL264" s="178"/>
      <c r="DQM264" s="178"/>
      <c r="DQN264" s="178"/>
      <c r="DQO264" s="178"/>
      <c r="DQP264" s="178"/>
      <c r="DQQ264" s="178"/>
      <c r="DQR264" s="178"/>
      <c r="DQS264" s="178"/>
      <c r="DQT264" s="178"/>
      <c r="DQU264" s="178"/>
      <c r="DQV264" s="178"/>
      <c r="DQW264" s="178"/>
      <c r="DQX264" s="178"/>
      <c r="DQY264" s="178"/>
      <c r="DQZ264" s="178"/>
      <c r="DRA264" s="178"/>
      <c r="DRB264" s="178"/>
      <c r="DRC264" s="178"/>
      <c r="DRD264" s="178"/>
      <c r="DRE264" s="178"/>
      <c r="DRF264" s="178"/>
      <c r="DRG264" s="178"/>
      <c r="DRH264" s="178"/>
      <c r="DRI264" s="178"/>
      <c r="DRJ264" s="178"/>
      <c r="DRK264" s="178"/>
      <c r="DRL264" s="178"/>
      <c r="DRM264" s="178"/>
      <c r="DRN264" s="178"/>
      <c r="DRO264" s="178"/>
      <c r="DRP264" s="178"/>
      <c r="DRQ264" s="178"/>
      <c r="DRR264" s="178"/>
      <c r="DRS264" s="178"/>
      <c r="DRT264" s="178"/>
      <c r="DRU264" s="178"/>
      <c r="DRV264" s="178"/>
      <c r="DRW264" s="178"/>
      <c r="DRX264" s="178"/>
      <c r="DRY264" s="178"/>
      <c r="DRZ264" s="178"/>
      <c r="DSA264" s="178"/>
      <c r="DSB264" s="178"/>
      <c r="DSC264" s="178"/>
      <c r="DSD264" s="178"/>
      <c r="DSE264" s="178"/>
      <c r="DSF264" s="178"/>
      <c r="DSG264" s="178"/>
      <c r="DSH264" s="178"/>
      <c r="DSI264" s="178"/>
      <c r="DSJ264" s="178"/>
      <c r="DSK264" s="178"/>
      <c r="DSL264" s="178"/>
      <c r="DSM264" s="178"/>
      <c r="DSN264" s="178"/>
      <c r="DSO264" s="178"/>
      <c r="DSP264" s="178"/>
      <c r="DSQ264" s="178"/>
      <c r="DSR264" s="178"/>
      <c r="DSS264" s="178"/>
      <c r="DST264" s="178"/>
      <c r="DSU264" s="178"/>
      <c r="DSV264" s="178"/>
      <c r="DSW264" s="178"/>
      <c r="DSX264" s="178"/>
      <c r="DSY264" s="178"/>
      <c r="DSZ264" s="178"/>
      <c r="DTA264" s="178"/>
      <c r="DTB264" s="178"/>
      <c r="DTC264" s="178"/>
      <c r="DTD264" s="178"/>
      <c r="DTE264" s="178"/>
      <c r="DTF264" s="178"/>
      <c r="DTG264" s="178"/>
      <c r="DTH264" s="178"/>
      <c r="DTI264" s="178"/>
      <c r="DTJ264" s="178"/>
      <c r="DTK264" s="178"/>
      <c r="DTL264" s="178"/>
      <c r="DTM264" s="178"/>
      <c r="DTN264" s="178"/>
      <c r="DTO264" s="178"/>
      <c r="DTP264" s="178"/>
      <c r="DTQ264" s="178"/>
      <c r="DTR264" s="178"/>
      <c r="DTS264" s="178"/>
      <c r="DTT264" s="178"/>
      <c r="DTU264" s="178"/>
      <c r="DTV264" s="178"/>
      <c r="DTW264" s="178"/>
      <c r="DTX264" s="178"/>
      <c r="DTY264" s="178"/>
      <c r="DTZ264" s="178"/>
      <c r="DUA264" s="178"/>
      <c r="DUB264" s="178"/>
      <c r="DUC264" s="178"/>
      <c r="DUD264" s="178"/>
      <c r="DUE264" s="178"/>
      <c r="DUF264" s="178"/>
      <c r="DUG264" s="178"/>
      <c r="DUH264" s="178"/>
      <c r="DUI264" s="178"/>
      <c r="DUJ264" s="178"/>
      <c r="DUK264" s="178"/>
      <c r="DUL264" s="178"/>
      <c r="DUM264" s="178"/>
      <c r="DUN264" s="178"/>
      <c r="DUO264" s="178"/>
      <c r="DUP264" s="178"/>
      <c r="DUQ264" s="178"/>
      <c r="DUR264" s="178"/>
      <c r="DUS264" s="178"/>
      <c r="DUT264" s="178"/>
      <c r="DUU264" s="178"/>
      <c r="DUV264" s="178"/>
      <c r="DUW264" s="178"/>
      <c r="DUX264" s="178"/>
      <c r="DUY264" s="178"/>
      <c r="DUZ264" s="178"/>
      <c r="DVA264" s="178"/>
      <c r="DVB264" s="178"/>
      <c r="DVC264" s="178"/>
      <c r="DVD264" s="178"/>
      <c r="DVE264" s="178"/>
      <c r="DVF264" s="178"/>
      <c r="DVG264" s="178"/>
      <c r="DVH264" s="178"/>
      <c r="DVI264" s="178"/>
      <c r="DVJ264" s="178"/>
      <c r="DVK264" s="178"/>
      <c r="DVL264" s="178"/>
      <c r="DVM264" s="178"/>
      <c r="DVN264" s="178"/>
      <c r="DVO264" s="178"/>
      <c r="DVP264" s="178"/>
      <c r="DVQ264" s="178"/>
      <c r="DVR264" s="178"/>
      <c r="DVS264" s="178"/>
      <c r="DVT264" s="178"/>
      <c r="DVU264" s="178"/>
      <c r="DVV264" s="178"/>
      <c r="DVW264" s="178"/>
      <c r="DVX264" s="178"/>
      <c r="DVY264" s="178"/>
      <c r="DVZ264" s="178"/>
      <c r="DWA264" s="178"/>
      <c r="DWB264" s="178"/>
      <c r="DWC264" s="178"/>
      <c r="DWD264" s="178"/>
      <c r="DWE264" s="178"/>
      <c r="DWF264" s="178"/>
      <c r="DWG264" s="178"/>
      <c r="DWH264" s="178"/>
      <c r="DWI264" s="178"/>
      <c r="DWJ264" s="178"/>
      <c r="DWK264" s="178"/>
      <c r="DWL264" s="178"/>
      <c r="DWM264" s="178"/>
      <c r="DWN264" s="178"/>
      <c r="DWO264" s="178"/>
      <c r="DWP264" s="178"/>
      <c r="DWQ264" s="178"/>
      <c r="DWR264" s="178"/>
      <c r="DWS264" s="178"/>
      <c r="DWT264" s="178"/>
      <c r="DWU264" s="178"/>
      <c r="DWV264" s="178"/>
      <c r="DWW264" s="178"/>
      <c r="DWX264" s="178"/>
      <c r="DWY264" s="178"/>
      <c r="DWZ264" s="178"/>
      <c r="DXA264" s="178"/>
      <c r="DXB264" s="178"/>
      <c r="DXC264" s="178"/>
      <c r="DXD264" s="178"/>
      <c r="DXE264" s="178"/>
      <c r="DXF264" s="178"/>
      <c r="DXG264" s="178"/>
      <c r="DXH264" s="178"/>
      <c r="DXI264" s="178"/>
      <c r="DXJ264" s="178"/>
      <c r="DXK264" s="178"/>
      <c r="DXL264" s="178"/>
      <c r="DXM264" s="178"/>
      <c r="DXN264" s="178"/>
      <c r="DXO264" s="178"/>
      <c r="DXP264" s="178"/>
      <c r="DXQ264" s="178"/>
      <c r="DXR264" s="178"/>
      <c r="DXS264" s="178"/>
      <c r="DXT264" s="178"/>
      <c r="DXU264" s="178"/>
      <c r="DXV264" s="178"/>
      <c r="DXW264" s="178"/>
      <c r="DXX264" s="178"/>
      <c r="DXY264" s="178"/>
      <c r="DXZ264" s="178"/>
      <c r="DYA264" s="178"/>
      <c r="DYB264" s="178"/>
      <c r="DYC264" s="178"/>
      <c r="DYD264" s="178"/>
      <c r="DYE264" s="178"/>
      <c r="DYF264" s="178"/>
      <c r="DYG264" s="178"/>
      <c r="DYH264" s="178"/>
      <c r="DYI264" s="178"/>
      <c r="DYJ264" s="178"/>
      <c r="DYK264" s="178"/>
      <c r="DYL264" s="178"/>
      <c r="DYM264" s="178"/>
      <c r="DYN264" s="178"/>
      <c r="DYO264" s="178"/>
      <c r="DYP264" s="178"/>
      <c r="DYQ264" s="178"/>
      <c r="DYR264" s="178"/>
      <c r="DYS264" s="178"/>
      <c r="DYT264" s="178"/>
      <c r="DYU264" s="178"/>
      <c r="DYV264" s="178"/>
      <c r="DYW264" s="178"/>
      <c r="DYX264" s="178"/>
      <c r="DYY264" s="178"/>
      <c r="DYZ264" s="178"/>
      <c r="DZA264" s="178"/>
      <c r="DZB264" s="178"/>
      <c r="DZC264" s="178"/>
      <c r="DZD264" s="178"/>
      <c r="DZE264" s="178"/>
      <c r="DZF264" s="178"/>
      <c r="DZG264" s="178"/>
      <c r="DZH264" s="178"/>
      <c r="DZI264" s="178"/>
      <c r="DZJ264" s="178"/>
      <c r="DZK264" s="178"/>
      <c r="DZL264" s="178"/>
      <c r="DZM264" s="178"/>
      <c r="DZN264" s="178"/>
      <c r="DZO264" s="178"/>
      <c r="DZP264" s="178"/>
      <c r="DZQ264" s="178"/>
      <c r="DZR264" s="178"/>
      <c r="DZS264" s="178"/>
      <c r="DZT264" s="178"/>
      <c r="DZU264" s="178"/>
      <c r="DZV264" s="178"/>
      <c r="DZW264" s="178"/>
      <c r="DZX264" s="178"/>
      <c r="DZY264" s="178"/>
      <c r="DZZ264" s="178"/>
      <c r="EAA264" s="178"/>
      <c r="EAB264" s="178"/>
      <c r="EAC264" s="178"/>
      <c r="EAD264" s="178"/>
      <c r="EAE264" s="178"/>
      <c r="EAF264" s="178"/>
      <c r="EAG264" s="178"/>
      <c r="EAH264" s="178"/>
      <c r="EAI264" s="178"/>
      <c r="EAJ264" s="178"/>
      <c r="EAK264" s="178"/>
      <c r="EAL264" s="178"/>
      <c r="EAM264" s="178"/>
      <c r="EAN264" s="178"/>
      <c r="EAO264" s="178"/>
      <c r="EAP264" s="178"/>
      <c r="EAQ264" s="178"/>
      <c r="EAR264" s="178"/>
      <c r="EAS264" s="178"/>
      <c r="EAT264" s="178"/>
      <c r="EAU264" s="178"/>
      <c r="EAV264" s="178"/>
      <c r="EAW264" s="178"/>
      <c r="EAX264" s="178"/>
      <c r="EAY264" s="178"/>
      <c r="EAZ264" s="178"/>
      <c r="EBA264" s="178"/>
      <c r="EBB264" s="178"/>
      <c r="EBC264" s="178"/>
      <c r="EBD264" s="178"/>
      <c r="EBE264" s="178"/>
      <c r="EBF264" s="178"/>
      <c r="EBG264" s="178"/>
      <c r="EBH264" s="178"/>
      <c r="EBI264" s="178"/>
      <c r="EBJ264" s="178"/>
      <c r="EBK264" s="178"/>
      <c r="EBL264" s="178"/>
      <c r="EBM264" s="178"/>
      <c r="EBN264" s="178"/>
      <c r="EBO264" s="178"/>
      <c r="EBP264" s="178"/>
      <c r="EBQ264" s="178"/>
      <c r="EBR264" s="178"/>
      <c r="EBS264" s="178"/>
      <c r="EBT264" s="178"/>
      <c r="EBU264" s="178"/>
      <c r="EBV264" s="178"/>
      <c r="EBW264" s="178"/>
      <c r="EBX264" s="178"/>
      <c r="EBY264" s="178"/>
      <c r="EBZ264" s="178"/>
      <c r="ECA264" s="178"/>
      <c r="ECB264" s="178"/>
      <c r="ECC264" s="178"/>
      <c r="ECD264" s="178"/>
      <c r="ECE264" s="178"/>
      <c r="ECF264" s="178"/>
      <c r="ECG264" s="178"/>
      <c r="ECH264" s="178"/>
      <c r="ECI264" s="178"/>
      <c r="ECJ264" s="178"/>
      <c r="ECK264" s="178"/>
      <c r="ECL264" s="178"/>
      <c r="ECM264" s="178"/>
      <c r="ECN264" s="178"/>
      <c r="ECO264" s="178"/>
      <c r="ECP264" s="178"/>
      <c r="ECQ264" s="178"/>
      <c r="ECR264" s="178"/>
      <c r="ECS264" s="178"/>
      <c r="ECT264" s="178"/>
      <c r="ECU264" s="178"/>
      <c r="ECV264" s="178"/>
      <c r="ECW264" s="178"/>
      <c r="ECX264" s="178"/>
      <c r="ECY264" s="178"/>
      <c r="ECZ264" s="178"/>
      <c r="EDA264" s="178"/>
      <c r="EDB264" s="178"/>
      <c r="EDC264" s="178"/>
      <c r="EDD264" s="178"/>
      <c r="EDE264" s="178"/>
      <c r="EDF264" s="178"/>
      <c r="EDG264" s="178"/>
      <c r="EDH264" s="178"/>
      <c r="EDI264" s="178"/>
      <c r="EDJ264" s="178"/>
      <c r="EDK264" s="178"/>
      <c r="EDL264" s="178"/>
      <c r="EDM264" s="178"/>
      <c r="EDN264" s="178"/>
      <c r="EDO264" s="178"/>
      <c r="EDP264" s="178"/>
      <c r="EDQ264" s="178"/>
      <c r="EDR264" s="178"/>
      <c r="EDS264" s="178"/>
      <c r="EDT264" s="178"/>
      <c r="EDU264" s="178"/>
      <c r="EDV264" s="178"/>
      <c r="EDW264" s="178"/>
      <c r="EDX264" s="178"/>
      <c r="EDY264" s="178"/>
      <c r="EDZ264" s="178"/>
      <c r="EEA264" s="178"/>
      <c r="EEB264" s="178"/>
      <c r="EEC264" s="178"/>
      <c r="EED264" s="178"/>
      <c r="EEE264" s="178"/>
      <c r="EEF264" s="178"/>
      <c r="EEG264" s="178"/>
      <c r="EEH264" s="178"/>
      <c r="EEI264" s="178"/>
      <c r="EEJ264" s="178"/>
      <c r="EEK264" s="178"/>
      <c r="EEL264" s="178"/>
      <c r="EEM264" s="178"/>
      <c r="EEN264" s="178"/>
      <c r="EEO264" s="178"/>
      <c r="EEP264" s="178"/>
      <c r="EEQ264" s="178"/>
      <c r="EER264" s="178"/>
      <c r="EES264" s="178"/>
      <c r="EET264" s="178"/>
      <c r="EEU264" s="178"/>
      <c r="EEV264" s="178"/>
      <c r="EEW264" s="178"/>
      <c r="EEX264" s="178"/>
      <c r="EEY264" s="178"/>
      <c r="EEZ264" s="178"/>
      <c r="EFA264" s="178"/>
      <c r="EFB264" s="178"/>
      <c r="EFC264" s="178"/>
      <c r="EFD264" s="178"/>
      <c r="EFE264" s="178"/>
      <c r="EFF264" s="178"/>
      <c r="EFG264" s="178"/>
      <c r="EFH264" s="178"/>
      <c r="EFI264" s="178"/>
      <c r="EFJ264" s="178"/>
      <c r="EFK264" s="178"/>
      <c r="EFL264" s="178"/>
      <c r="EFM264" s="178"/>
      <c r="EFN264" s="178"/>
      <c r="EFO264" s="178"/>
      <c r="EFP264" s="178"/>
      <c r="EFQ264" s="178"/>
      <c r="EFR264" s="178"/>
      <c r="EFS264" s="178"/>
      <c r="EFT264" s="178"/>
      <c r="EFU264" s="178"/>
      <c r="EFV264" s="178"/>
      <c r="EFW264" s="178"/>
      <c r="EFX264" s="178"/>
      <c r="EFY264" s="178"/>
      <c r="EFZ264" s="178"/>
      <c r="EGA264" s="178"/>
      <c r="EGB264" s="178"/>
      <c r="EGC264" s="178"/>
      <c r="EGD264" s="178"/>
      <c r="EGE264" s="178"/>
      <c r="EGF264" s="178"/>
      <c r="EGG264" s="178"/>
      <c r="EGH264" s="178"/>
      <c r="EGI264" s="178"/>
      <c r="EGJ264" s="178"/>
      <c r="EGK264" s="178"/>
      <c r="EGL264" s="178"/>
      <c r="EGM264" s="178"/>
      <c r="EGN264" s="178"/>
      <c r="EGO264" s="178"/>
      <c r="EGP264" s="178"/>
      <c r="EGQ264" s="178"/>
      <c r="EGR264" s="178"/>
      <c r="EGS264" s="178"/>
      <c r="EGT264" s="178"/>
      <c r="EGU264" s="178"/>
      <c r="EGV264" s="178"/>
      <c r="EGW264" s="178"/>
      <c r="EGX264" s="178"/>
      <c r="EGY264" s="178"/>
      <c r="EGZ264" s="178"/>
      <c r="EHA264" s="178"/>
      <c r="EHB264" s="178"/>
      <c r="EHC264" s="178"/>
      <c r="EHD264" s="178"/>
      <c r="EHE264" s="178"/>
      <c r="EHF264" s="178"/>
      <c r="EHG264" s="178"/>
      <c r="EHH264" s="178"/>
      <c r="EHI264" s="178"/>
      <c r="EHJ264" s="178"/>
      <c r="EHK264" s="178"/>
      <c r="EHL264" s="178"/>
      <c r="EHM264" s="178"/>
      <c r="EHN264" s="178"/>
      <c r="EHO264" s="178"/>
      <c r="EHP264" s="178"/>
      <c r="EHQ264" s="178"/>
      <c r="EHR264" s="178"/>
      <c r="EHS264" s="178"/>
      <c r="EHT264" s="178"/>
      <c r="EHU264" s="178"/>
      <c r="EHV264" s="178"/>
      <c r="EHW264" s="178"/>
      <c r="EHX264" s="178"/>
      <c r="EHY264" s="178"/>
      <c r="EHZ264" s="178"/>
      <c r="EIA264" s="178"/>
      <c r="EIB264" s="178"/>
      <c r="EIC264" s="178"/>
      <c r="EID264" s="178"/>
      <c r="EIE264" s="178"/>
      <c r="EIF264" s="178"/>
      <c r="EIG264" s="178"/>
      <c r="EIH264" s="178"/>
      <c r="EII264" s="178"/>
      <c r="EIJ264" s="178"/>
      <c r="EIK264" s="178"/>
      <c r="EIL264" s="178"/>
      <c r="EIM264" s="178"/>
      <c r="EIN264" s="178"/>
      <c r="EIO264" s="178"/>
      <c r="EIP264" s="178"/>
      <c r="EIQ264" s="178"/>
      <c r="EIR264" s="178"/>
      <c r="EIS264" s="178"/>
      <c r="EIT264" s="178"/>
      <c r="EIU264" s="178"/>
      <c r="EIV264" s="178"/>
      <c r="EIW264" s="178"/>
      <c r="EIX264" s="178"/>
      <c r="EIY264" s="178"/>
      <c r="EIZ264" s="178"/>
      <c r="EJA264" s="178"/>
      <c r="EJB264" s="178"/>
      <c r="EJC264" s="178"/>
      <c r="EJD264" s="178"/>
      <c r="EJE264" s="178"/>
      <c r="EJF264" s="178"/>
      <c r="EJG264" s="178"/>
      <c r="EJH264" s="178"/>
      <c r="EJI264" s="178"/>
      <c r="EJJ264" s="178"/>
      <c r="EJK264" s="178"/>
      <c r="EJL264" s="178"/>
      <c r="EJM264" s="178"/>
      <c r="EJN264" s="178"/>
      <c r="EJO264" s="178"/>
      <c r="EJP264" s="178"/>
      <c r="EJQ264" s="178"/>
      <c r="EJR264" s="178"/>
      <c r="EJS264" s="178"/>
      <c r="EJT264" s="178"/>
      <c r="EJU264" s="178"/>
      <c r="EJV264" s="178"/>
      <c r="EJW264" s="178"/>
      <c r="EJX264" s="178"/>
      <c r="EJY264" s="178"/>
      <c r="EJZ264" s="178"/>
      <c r="EKA264" s="178"/>
      <c r="EKB264" s="178"/>
      <c r="EKC264" s="178"/>
      <c r="EKD264" s="178"/>
      <c r="EKE264" s="178"/>
      <c r="EKF264" s="178"/>
      <c r="EKG264" s="178"/>
      <c r="EKH264" s="178"/>
      <c r="EKI264" s="178"/>
      <c r="EKJ264" s="178"/>
      <c r="EKK264" s="178"/>
      <c r="EKL264" s="178"/>
      <c r="EKM264" s="178"/>
      <c r="EKN264" s="178"/>
      <c r="EKO264" s="178"/>
      <c r="EKP264" s="178"/>
      <c r="EKQ264" s="178"/>
      <c r="EKR264" s="178"/>
      <c r="EKS264" s="178"/>
      <c r="EKT264" s="178"/>
      <c r="EKU264" s="178"/>
      <c r="EKV264" s="178"/>
      <c r="EKW264" s="178"/>
      <c r="EKX264" s="178"/>
      <c r="EKY264" s="178"/>
      <c r="EKZ264" s="178"/>
      <c r="ELA264" s="178"/>
      <c r="ELB264" s="178"/>
      <c r="ELC264" s="178"/>
      <c r="ELD264" s="178"/>
      <c r="ELE264" s="178"/>
      <c r="ELF264" s="178"/>
      <c r="ELG264" s="178"/>
      <c r="ELH264" s="178"/>
      <c r="ELI264" s="178"/>
      <c r="ELJ264" s="178"/>
      <c r="ELK264" s="178"/>
      <c r="ELL264" s="178"/>
      <c r="ELM264" s="178"/>
      <c r="ELN264" s="178"/>
      <c r="ELO264" s="178"/>
      <c r="ELP264" s="178"/>
      <c r="ELQ264" s="178"/>
      <c r="ELR264" s="178"/>
      <c r="ELS264" s="178"/>
      <c r="ELT264" s="178"/>
      <c r="ELU264" s="178"/>
      <c r="ELV264" s="178"/>
      <c r="ELW264" s="178"/>
      <c r="ELX264" s="178"/>
      <c r="ELY264" s="178"/>
      <c r="ELZ264" s="178"/>
      <c r="EMA264" s="178"/>
      <c r="EMB264" s="178"/>
      <c r="EMC264" s="178"/>
      <c r="EMD264" s="178"/>
      <c r="EME264" s="178"/>
      <c r="EMF264" s="178"/>
      <c r="EMG264" s="178"/>
      <c r="EMH264" s="178"/>
      <c r="EMI264" s="178"/>
      <c r="EMJ264" s="178"/>
      <c r="EMK264" s="178"/>
      <c r="EML264" s="178"/>
      <c r="EMM264" s="178"/>
      <c r="EMN264" s="178"/>
      <c r="EMO264" s="178"/>
      <c r="EMP264" s="178"/>
      <c r="EMQ264" s="178"/>
      <c r="EMR264" s="178"/>
      <c r="EMS264" s="178"/>
      <c r="EMT264" s="178"/>
      <c r="EMU264" s="178"/>
      <c r="EMV264" s="178"/>
      <c r="EMW264" s="178"/>
      <c r="EMX264" s="178"/>
      <c r="EMY264" s="178"/>
      <c r="EMZ264" s="178"/>
      <c r="ENA264" s="178"/>
      <c r="ENB264" s="178"/>
      <c r="ENC264" s="178"/>
      <c r="END264" s="178"/>
      <c r="ENE264" s="178"/>
      <c r="ENF264" s="178"/>
      <c r="ENG264" s="178"/>
      <c r="ENH264" s="178"/>
      <c r="ENI264" s="178"/>
      <c r="ENJ264" s="178"/>
      <c r="ENK264" s="178"/>
      <c r="ENL264" s="178"/>
      <c r="ENM264" s="178"/>
      <c r="ENN264" s="178"/>
      <c r="ENO264" s="178"/>
      <c r="ENP264" s="178"/>
      <c r="ENQ264" s="178"/>
      <c r="ENR264" s="178"/>
      <c r="ENS264" s="178"/>
      <c r="ENT264" s="178"/>
      <c r="ENU264" s="178"/>
      <c r="ENV264" s="178"/>
      <c r="ENW264" s="178"/>
      <c r="ENX264" s="178"/>
      <c r="ENY264" s="178"/>
      <c r="ENZ264" s="178"/>
      <c r="EOA264" s="178"/>
      <c r="EOB264" s="178"/>
      <c r="EOC264" s="178"/>
      <c r="EOD264" s="178"/>
      <c r="EOE264" s="178"/>
      <c r="EOF264" s="178"/>
      <c r="EOG264" s="178"/>
      <c r="EOH264" s="178"/>
      <c r="EOI264" s="178"/>
      <c r="EOJ264" s="178"/>
      <c r="EOK264" s="178"/>
      <c r="EOL264" s="178"/>
      <c r="EOM264" s="178"/>
      <c r="EON264" s="178"/>
      <c r="EOO264" s="178"/>
      <c r="EOP264" s="178"/>
      <c r="EOQ264" s="178"/>
      <c r="EOR264" s="178"/>
      <c r="EOS264" s="178"/>
      <c r="EOT264" s="178"/>
      <c r="EOU264" s="178"/>
      <c r="EOV264" s="178"/>
      <c r="EOW264" s="178"/>
      <c r="EOX264" s="178"/>
      <c r="EOY264" s="178"/>
      <c r="EOZ264" s="178"/>
      <c r="EPA264" s="178"/>
      <c r="EPB264" s="178"/>
      <c r="EPC264" s="178"/>
      <c r="EPD264" s="178"/>
      <c r="EPE264" s="178"/>
      <c r="EPF264" s="178"/>
      <c r="EPG264" s="178"/>
      <c r="EPH264" s="178"/>
      <c r="EPI264" s="178"/>
      <c r="EPJ264" s="178"/>
      <c r="EPK264" s="178"/>
      <c r="EPL264" s="178"/>
      <c r="EPM264" s="178"/>
      <c r="EPN264" s="178"/>
      <c r="EPO264" s="178"/>
      <c r="EPP264" s="178"/>
      <c r="EPQ264" s="178"/>
      <c r="EPR264" s="178"/>
      <c r="EPS264" s="178"/>
      <c r="EPT264" s="178"/>
      <c r="EPU264" s="178"/>
      <c r="EPV264" s="178"/>
      <c r="EPW264" s="178"/>
      <c r="EPX264" s="178"/>
      <c r="EPY264" s="178"/>
      <c r="EPZ264" s="178"/>
      <c r="EQA264" s="178"/>
      <c r="EQB264" s="178"/>
      <c r="EQC264" s="178"/>
      <c r="EQD264" s="178"/>
      <c r="EQE264" s="178"/>
      <c r="EQF264" s="178"/>
      <c r="EQG264" s="178"/>
      <c r="EQH264" s="178"/>
      <c r="EQI264" s="178"/>
      <c r="EQJ264" s="178"/>
      <c r="EQK264" s="178"/>
      <c r="EQL264" s="178"/>
      <c r="EQM264" s="178"/>
      <c r="EQN264" s="178"/>
      <c r="EQO264" s="178"/>
      <c r="EQP264" s="178"/>
      <c r="EQQ264" s="178"/>
      <c r="EQR264" s="178"/>
      <c r="EQS264" s="178"/>
      <c r="EQT264" s="178"/>
      <c r="EQU264" s="178"/>
      <c r="EQV264" s="178"/>
      <c r="EQW264" s="178"/>
      <c r="EQX264" s="178"/>
      <c r="EQY264" s="178"/>
      <c r="EQZ264" s="178"/>
      <c r="ERA264" s="178"/>
      <c r="ERB264" s="178"/>
      <c r="ERC264" s="178"/>
      <c r="ERD264" s="178"/>
      <c r="ERE264" s="178"/>
      <c r="ERF264" s="178"/>
      <c r="ERG264" s="178"/>
      <c r="ERH264" s="178"/>
      <c r="ERI264" s="178"/>
      <c r="ERJ264" s="178"/>
      <c r="ERK264" s="178"/>
      <c r="ERL264" s="178"/>
      <c r="ERM264" s="178"/>
      <c r="ERN264" s="178"/>
      <c r="ERO264" s="178"/>
      <c r="ERP264" s="178"/>
      <c r="ERQ264" s="178"/>
      <c r="ERR264" s="178"/>
      <c r="ERS264" s="178"/>
      <c r="ERT264" s="178"/>
      <c r="ERU264" s="178"/>
      <c r="ERV264" s="178"/>
      <c r="ERW264" s="178"/>
      <c r="ERX264" s="178"/>
      <c r="ERY264" s="178"/>
      <c r="ERZ264" s="178"/>
      <c r="ESA264" s="178"/>
      <c r="ESB264" s="178"/>
      <c r="ESC264" s="178"/>
      <c r="ESD264" s="178"/>
      <c r="ESE264" s="178"/>
      <c r="ESF264" s="178"/>
      <c r="ESG264" s="178"/>
      <c r="ESH264" s="178"/>
      <c r="ESI264" s="178"/>
      <c r="ESJ264" s="178"/>
      <c r="ESK264" s="178"/>
      <c r="ESL264" s="178"/>
      <c r="ESM264" s="178"/>
      <c r="ESN264" s="178"/>
      <c r="ESO264" s="178"/>
      <c r="ESP264" s="178"/>
      <c r="ESQ264" s="178"/>
      <c r="ESR264" s="178"/>
      <c r="ESS264" s="178"/>
      <c r="EST264" s="178"/>
      <c r="ESU264" s="178"/>
      <c r="ESV264" s="178"/>
      <c r="ESW264" s="178"/>
      <c r="ESX264" s="178"/>
      <c r="ESY264" s="178"/>
      <c r="ESZ264" s="178"/>
      <c r="ETA264" s="178"/>
      <c r="ETB264" s="178"/>
      <c r="ETC264" s="178"/>
      <c r="ETD264" s="178"/>
      <c r="ETE264" s="178"/>
      <c r="ETF264" s="178"/>
      <c r="ETG264" s="178"/>
      <c r="ETH264" s="178"/>
      <c r="ETI264" s="178"/>
      <c r="ETJ264" s="178"/>
      <c r="ETK264" s="178"/>
      <c r="ETL264" s="178"/>
      <c r="ETM264" s="178"/>
      <c r="ETN264" s="178"/>
      <c r="ETO264" s="178"/>
      <c r="ETP264" s="178"/>
      <c r="ETQ264" s="178"/>
      <c r="ETR264" s="178"/>
      <c r="ETS264" s="178"/>
      <c r="ETT264" s="178"/>
      <c r="ETU264" s="178"/>
      <c r="ETV264" s="178"/>
      <c r="ETW264" s="178"/>
      <c r="ETX264" s="178"/>
      <c r="ETY264" s="178"/>
      <c r="ETZ264" s="178"/>
      <c r="EUA264" s="178"/>
      <c r="EUB264" s="178"/>
      <c r="EUC264" s="178"/>
      <c r="EUD264" s="178"/>
      <c r="EUE264" s="178"/>
      <c r="EUF264" s="178"/>
      <c r="EUG264" s="178"/>
      <c r="EUH264" s="178"/>
      <c r="EUI264" s="178"/>
      <c r="EUJ264" s="178"/>
      <c r="EUK264" s="178"/>
      <c r="EUL264" s="178"/>
      <c r="EUM264" s="178"/>
      <c r="EUN264" s="178"/>
      <c r="EUO264" s="178"/>
      <c r="EUP264" s="178"/>
      <c r="EUQ264" s="178"/>
      <c r="EUR264" s="178"/>
      <c r="EUS264" s="178"/>
      <c r="EUT264" s="178"/>
      <c r="EUU264" s="178"/>
      <c r="EUV264" s="178"/>
      <c r="EUW264" s="178"/>
      <c r="EUX264" s="178"/>
      <c r="EUY264" s="178"/>
      <c r="EUZ264" s="178"/>
      <c r="EVA264" s="178"/>
      <c r="EVB264" s="178"/>
      <c r="EVC264" s="178"/>
      <c r="EVD264" s="178"/>
      <c r="EVE264" s="178"/>
      <c r="EVF264" s="178"/>
      <c r="EVG264" s="178"/>
      <c r="EVH264" s="178"/>
      <c r="EVI264" s="178"/>
      <c r="EVJ264" s="178"/>
      <c r="EVK264" s="178"/>
      <c r="EVL264" s="178"/>
      <c r="EVM264" s="178"/>
      <c r="EVN264" s="178"/>
      <c r="EVO264" s="178"/>
      <c r="EVP264" s="178"/>
      <c r="EVQ264" s="178"/>
      <c r="EVR264" s="178"/>
      <c r="EVS264" s="178"/>
      <c r="EVT264" s="178"/>
      <c r="EVU264" s="178"/>
      <c r="EVV264" s="178"/>
      <c r="EVW264" s="178"/>
      <c r="EVX264" s="178"/>
      <c r="EVY264" s="178"/>
      <c r="EVZ264" s="178"/>
      <c r="EWA264" s="178"/>
      <c r="EWB264" s="178"/>
      <c r="EWC264" s="178"/>
      <c r="EWD264" s="178"/>
      <c r="EWE264" s="178"/>
      <c r="EWF264" s="178"/>
      <c r="EWG264" s="178"/>
      <c r="EWH264" s="178"/>
      <c r="EWI264" s="178"/>
      <c r="EWJ264" s="178"/>
      <c r="EWK264" s="178"/>
      <c r="EWL264" s="178"/>
      <c r="EWM264" s="178"/>
      <c r="EWN264" s="178"/>
      <c r="EWO264" s="178"/>
      <c r="EWP264" s="178"/>
      <c r="EWQ264" s="178"/>
      <c r="EWR264" s="178"/>
      <c r="EWS264" s="178"/>
      <c r="EWT264" s="178"/>
      <c r="EWU264" s="178"/>
      <c r="EWV264" s="178"/>
      <c r="EWW264" s="178"/>
      <c r="EWX264" s="178"/>
      <c r="EWY264" s="178"/>
      <c r="EWZ264" s="178"/>
      <c r="EXA264" s="178"/>
      <c r="EXB264" s="178"/>
      <c r="EXC264" s="178"/>
      <c r="EXD264" s="178"/>
      <c r="EXE264" s="178"/>
      <c r="EXF264" s="178"/>
      <c r="EXG264" s="178"/>
      <c r="EXH264" s="178"/>
      <c r="EXI264" s="178"/>
      <c r="EXJ264" s="178"/>
      <c r="EXK264" s="178"/>
      <c r="EXL264" s="178"/>
      <c r="EXM264" s="178"/>
      <c r="EXN264" s="178"/>
      <c r="EXO264" s="178"/>
      <c r="EXP264" s="178"/>
      <c r="EXQ264" s="178"/>
      <c r="EXR264" s="178"/>
      <c r="EXS264" s="178"/>
      <c r="EXT264" s="178"/>
      <c r="EXU264" s="178"/>
      <c r="EXV264" s="178"/>
      <c r="EXW264" s="178"/>
      <c r="EXX264" s="178"/>
      <c r="EXY264" s="178"/>
      <c r="EXZ264" s="178"/>
      <c r="EYA264" s="178"/>
      <c r="EYB264" s="178"/>
      <c r="EYC264" s="178"/>
      <c r="EYD264" s="178"/>
      <c r="EYE264" s="178"/>
      <c r="EYF264" s="178"/>
      <c r="EYG264" s="178"/>
      <c r="EYH264" s="178"/>
      <c r="EYI264" s="178"/>
      <c r="EYJ264" s="178"/>
      <c r="EYK264" s="178"/>
      <c r="EYL264" s="178"/>
      <c r="EYM264" s="178"/>
      <c r="EYN264" s="178"/>
      <c r="EYO264" s="178"/>
      <c r="EYP264" s="178"/>
      <c r="EYQ264" s="178"/>
      <c r="EYR264" s="178"/>
      <c r="EYS264" s="178"/>
      <c r="EYT264" s="178"/>
      <c r="EYU264" s="178"/>
      <c r="EYV264" s="178"/>
      <c r="EYW264" s="178"/>
      <c r="EYX264" s="178"/>
      <c r="EYY264" s="178"/>
      <c r="EYZ264" s="178"/>
      <c r="EZA264" s="178"/>
      <c r="EZB264" s="178"/>
      <c r="EZC264" s="178"/>
      <c r="EZD264" s="178"/>
      <c r="EZE264" s="178"/>
      <c r="EZF264" s="178"/>
      <c r="EZG264" s="178"/>
      <c r="EZH264" s="178"/>
      <c r="EZI264" s="178"/>
      <c r="EZJ264" s="178"/>
      <c r="EZK264" s="178"/>
      <c r="EZL264" s="178"/>
      <c r="EZM264" s="178"/>
      <c r="EZN264" s="178"/>
      <c r="EZO264" s="178"/>
      <c r="EZP264" s="178"/>
      <c r="EZQ264" s="178"/>
      <c r="EZR264" s="178"/>
      <c r="EZS264" s="178"/>
      <c r="EZT264" s="178"/>
      <c r="EZU264" s="178"/>
      <c r="EZV264" s="178"/>
      <c r="EZW264" s="178"/>
      <c r="EZX264" s="178"/>
      <c r="EZY264" s="178"/>
      <c r="EZZ264" s="178"/>
      <c r="FAA264" s="178"/>
      <c r="FAB264" s="178"/>
      <c r="FAC264" s="178"/>
      <c r="FAD264" s="178"/>
      <c r="FAE264" s="178"/>
      <c r="FAF264" s="178"/>
      <c r="FAG264" s="178"/>
      <c r="FAH264" s="178"/>
      <c r="FAI264" s="178"/>
      <c r="FAJ264" s="178"/>
      <c r="FAK264" s="178"/>
      <c r="FAL264" s="178"/>
      <c r="FAM264" s="178"/>
      <c r="FAN264" s="178"/>
      <c r="FAO264" s="178"/>
      <c r="FAP264" s="178"/>
      <c r="FAQ264" s="178"/>
      <c r="FAR264" s="178"/>
      <c r="FAS264" s="178"/>
      <c r="FAT264" s="178"/>
      <c r="FAU264" s="178"/>
      <c r="FAV264" s="178"/>
      <c r="FAW264" s="178"/>
      <c r="FAX264" s="178"/>
      <c r="FAY264" s="178"/>
      <c r="FAZ264" s="178"/>
      <c r="FBA264" s="178"/>
      <c r="FBB264" s="178"/>
      <c r="FBC264" s="178"/>
      <c r="FBD264" s="178"/>
      <c r="FBE264" s="178"/>
      <c r="FBF264" s="178"/>
      <c r="FBG264" s="178"/>
      <c r="FBH264" s="178"/>
      <c r="FBI264" s="178"/>
      <c r="FBJ264" s="178"/>
      <c r="FBK264" s="178"/>
      <c r="FBL264" s="178"/>
      <c r="FBM264" s="178"/>
      <c r="FBN264" s="178"/>
      <c r="FBO264" s="178"/>
      <c r="FBP264" s="178"/>
      <c r="FBQ264" s="178"/>
      <c r="FBR264" s="178"/>
      <c r="FBS264" s="178"/>
      <c r="FBT264" s="178"/>
      <c r="FBU264" s="178"/>
      <c r="FBV264" s="178"/>
      <c r="FBW264" s="178"/>
      <c r="FBX264" s="178"/>
      <c r="FBY264" s="178"/>
      <c r="FBZ264" s="178"/>
      <c r="FCA264" s="178"/>
      <c r="FCB264" s="178"/>
      <c r="FCC264" s="178"/>
      <c r="FCD264" s="178"/>
      <c r="FCE264" s="178"/>
      <c r="FCF264" s="178"/>
      <c r="FCG264" s="178"/>
      <c r="FCH264" s="178"/>
      <c r="FCI264" s="178"/>
      <c r="FCJ264" s="178"/>
      <c r="FCK264" s="178"/>
      <c r="FCL264" s="178"/>
      <c r="FCM264" s="178"/>
      <c r="FCN264" s="178"/>
      <c r="FCO264" s="178"/>
      <c r="FCP264" s="178"/>
      <c r="FCQ264" s="178"/>
      <c r="FCR264" s="178"/>
      <c r="FCS264" s="178"/>
      <c r="FCT264" s="178"/>
      <c r="FCU264" s="178"/>
      <c r="FCV264" s="178"/>
      <c r="FCW264" s="178"/>
      <c r="FCX264" s="178"/>
      <c r="FCY264" s="178"/>
      <c r="FCZ264" s="178"/>
      <c r="FDA264" s="178"/>
      <c r="FDB264" s="178"/>
      <c r="FDC264" s="178"/>
      <c r="FDD264" s="178"/>
      <c r="FDE264" s="178"/>
      <c r="FDF264" s="178"/>
      <c r="FDG264" s="178"/>
      <c r="FDH264" s="178"/>
      <c r="FDI264" s="178"/>
      <c r="FDJ264" s="178"/>
      <c r="FDK264" s="178"/>
      <c r="FDL264" s="178"/>
      <c r="FDM264" s="178"/>
      <c r="FDN264" s="178"/>
      <c r="FDO264" s="178"/>
      <c r="FDP264" s="178"/>
      <c r="FDQ264" s="178"/>
      <c r="FDR264" s="178"/>
      <c r="FDS264" s="178"/>
      <c r="FDT264" s="178"/>
      <c r="FDU264" s="178"/>
      <c r="FDV264" s="178"/>
      <c r="FDW264" s="178"/>
      <c r="FDX264" s="178"/>
      <c r="FDY264" s="178"/>
      <c r="FDZ264" s="178"/>
      <c r="FEA264" s="178"/>
      <c r="FEB264" s="178"/>
      <c r="FEC264" s="178"/>
      <c r="FED264" s="178"/>
      <c r="FEE264" s="178"/>
      <c r="FEF264" s="178"/>
      <c r="FEG264" s="178"/>
      <c r="FEH264" s="178"/>
      <c r="FEI264" s="178"/>
      <c r="FEJ264" s="178"/>
      <c r="FEK264" s="178"/>
      <c r="FEL264" s="178"/>
      <c r="FEM264" s="178"/>
      <c r="FEN264" s="178"/>
      <c r="FEO264" s="178"/>
      <c r="FEP264" s="178"/>
      <c r="FEQ264" s="178"/>
      <c r="FER264" s="178"/>
      <c r="FES264" s="178"/>
      <c r="FET264" s="178"/>
      <c r="FEU264" s="178"/>
      <c r="FEV264" s="178"/>
      <c r="FEW264" s="178"/>
      <c r="FEX264" s="178"/>
      <c r="FEY264" s="178"/>
      <c r="FEZ264" s="178"/>
      <c r="FFA264" s="178"/>
      <c r="FFB264" s="178"/>
      <c r="FFC264" s="178"/>
      <c r="FFD264" s="178"/>
      <c r="FFE264" s="178"/>
      <c r="FFF264" s="178"/>
      <c r="FFG264" s="178"/>
      <c r="FFH264" s="178"/>
      <c r="FFI264" s="178"/>
      <c r="FFJ264" s="178"/>
      <c r="FFK264" s="178"/>
      <c r="FFL264" s="178"/>
      <c r="FFM264" s="178"/>
      <c r="FFN264" s="178"/>
      <c r="FFO264" s="178"/>
      <c r="FFP264" s="178"/>
      <c r="FFQ264" s="178"/>
      <c r="FFR264" s="178"/>
      <c r="FFS264" s="178"/>
      <c r="FFT264" s="178"/>
      <c r="FFU264" s="178"/>
      <c r="FFV264" s="178"/>
      <c r="FFW264" s="178"/>
      <c r="FFX264" s="178"/>
      <c r="FFY264" s="178"/>
      <c r="FFZ264" s="178"/>
      <c r="FGA264" s="178"/>
      <c r="FGB264" s="178"/>
      <c r="FGC264" s="178"/>
      <c r="FGD264" s="178"/>
      <c r="FGE264" s="178"/>
      <c r="FGF264" s="178"/>
      <c r="FGG264" s="178"/>
      <c r="FGH264" s="178"/>
      <c r="FGI264" s="178"/>
      <c r="FGJ264" s="178"/>
      <c r="FGK264" s="178"/>
      <c r="FGL264" s="178"/>
      <c r="FGM264" s="178"/>
      <c r="FGN264" s="178"/>
      <c r="FGO264" s="178"/>
      <c r="FGP264" s="178"/>
      <c r="FGQ264" s="178"/>
      <c r="FGR264" s="178"/>
      <c r="FGS264" s="178"/>
      <c r="FGT264" s="178"/>
      <c r="FGU264" s="178"/>
      <c r="FGV264" s="178"/>
      <c r="FGW264" s="178"/>
      <c r="FGX264" s="178"/>
      <c r="FGY264" s="178"/>
      <c r="FGZ264" s="178"/>
      <c r="FHA264" s="178"/>
      <c r="FHB264" s="178"/>
      <c r="FHC264" s="178"/>
      <c r="FHD264" s="178"/>
      <c r="FHE264" s="178"/>
      <c r="FHF264" s="178"/>
      <c r="FHG264" s="178"/>
      <c r="FHH264" s="178"/>
      <c r="FHI264" s="178"/>
      <c r="FHJ264" s="178"/>
      <c r="FHK264" s="178"/>
      <c r="FHL264" s="178"/>
      <c r="FHM264" s="178"/>
      <c r="FHN264" s="178"/>
      <c r="FHO264" s="178"/>
      <c r="FHP264" s="178"/>
      <c r="FHQ264" s="178"/>
      <c r="FHR264" s="178"/>
      <c r="FHS264" s="178"/>
      <c r="FHT264" s="178"/>
      <c r="FHU264" s="178"/>
      <c r="FHV264" s="178"/>
      <c r="FHW264" s="178"/>
      <c r="FHX264" s="178"/>
      <c r="FHY264" s="178"/>
      <c r="FHZ264" s="178"/>
      <c r="FIA264" s="178"/>
      <c r="FIB264" s="178"/>
      <c r="FIC264" s="178"/>
      <c r="FID264" s="178"/>
      <c r="FIE264" s="178"/>
      <c r="FIF264" s="178"/>
      <c r="FIG264" s="178"/>
      <c r="FIH264" s="178"/>
      <c r="FII264" s="178"/>
      <c r="FIJ264" s="178"/>
      <c r="FIK264" s="178"/>
      <c r="FIL264" s="178"/>
      <c r="FIM264" s="178"/>
      <c r="FIN264" s="178"/>
      <c r="FIO264" s="178"/>
      <c r="FIP264" s="178"/>
      <c r="FIQ264" s="178"/>
      <c r="FIR264" s="178"/>
      <c r="FIS264" s="178"/>
      <c r="FIT264" s="178"/>
      <c r="FIU264" s="178"/>
      <c r="FIV264" s="178"/>
      <c r="FIW264" s="178"/>
      <c r="FIX264" s="178"/>
      <c r="FIY264" s="178"/>
      <c r="FIZ264" s="178"/>
      <c r="FJA264" s="178"/>
      <c r="FJB264" s="178"/>
      <c r="FJC264" s="178"/>
      <c r="FJD264" s="178"/>
      <c r="FJE264" s="178"/>
      <c r="FJF264" s="178"/>
      <c r="FJG264" s="178"/>
      <c r="FJH264" s="178"/>
      <c r="FJI264" s="178"/>
      <c r="FJJ264" s="178"/>
      <c r="FJK264" s="178"/>
      <c r="FJL264" s="178"/>
      <c r="FJM264" s="178"/>
      <c r="FJN264" s="178"/>
      <c r="FJO264" s="178"/>
      <c r="FJP264" s="178"/>
      <c r="FJQ264" s="178"/>
      <c r="FJR264" s="178"/>
      <c r="FJS264" s="178"/>
      <c r="FJT264" s="178"/>
      <c r="FJU264" s="178"/>
      <c r="FJV264" s="178"/>
      <c r="FJW264" s="178"/>
      <c r="FJX264" s="178"/>
      <c r="FJY264" s="178"/>
      <c r="FJZ264" s="178"/>
      <c r="FKA264" s="178"/>
      <c r="FKB264" s="178"/>
      <c r="FKC264" s="178"/>
      <c r="FKD264" s="178"/>
      <c r="FKE264" s="178"/>
      <c r="FKF264" s="178"/>
      <c r="FKG264" s="178"/>
      <c r="FKH264" s="178"/>
      <c r="FKI264" s="178"/>
      <c r="FKJ264" s="178"/>
      <c r="FKK264" s="178"/>
      <c r="FKL264" s="178"/>
      <c r="FKM264" s="178"/>
      <c r="FKN264" s="178"/>
      <c r="FKO264" s="178"/>
      <c r="FKP264" s="178"/>
      <c r="FKQ264" s="178"/>
      <c r="FKR264" s="178"/>
      <c r="FKS264" s="178"/>
      <c r="FKT264" s="178"/>
      <c r="FKU264" s="178"/>
      <c r="FKV264" s="178"/>
      <c r="FKW264" s="178"/>
      <c r="FKX264" s="178"/>
      <c r="FKY264" s="178"/>
      <c r="FKZ264" s="178"/>
      <c r="FLA264" s="178"/>
      <c r="FLB264" s="178"/>
      <c r="FLC264" s="178"/>
      <c r="FLD264" s="178"/>
      <c r="FLE264" s="178"/>
      <c r="FLF264" s="178"/>
      <c r="FLG264" s="178"/>
      <c r="FLH264" s="178"/>
      <c r="FLI264" s="178"/>
      <c r="FLJ264" s="178"/>
      <c r="FLK264" s="178"/>
      <c r="FLL264" s="178"/>
      <c r="FLM264" s="178"/>
      <c r="FLN264" s="178"/>
      <c r="FLO264" s="178"/>
      <c r="FLP264" s="178"/>
      <c r="FLQ264" s="178"/>
      <c r="FLR264" s="178"/>
      <c r="FLS264" s="178"/>
      <c r="FLT264" s="178"/>
      <c r="FLU264" s="178"/>
      <c r="FLV264" s="178"/>
      <c r="FLW264" s="178"/>
      <c r="FLX264" s="178"/>
      <c r="FLY264" s="178"/>
      <c r="FLZ264" s="178"/>
      <c r="FMA264" s="178"/>
      <c r="FMB264" s="178"/>
      <c r="FMC264" s="178"/>
      <c r="FMD264" s="178"/>
      <c r="FME264" s="178"/>
      <c r="FMF264" s="178"/>
      <c r="FMG264" s="178"/>
      <c r="FMH264" s="178"/>
      <c r="FMI264" s="178"/>
      <c r="FMJ264" s="178"/>
      <c r="FMK264" s="178"/>
      <c r="FML264" s="178"/>
      <c r="FMM264" s="178"/>
      <c r="FMN264" s="178"/>
      <c r="FMO264" s="178"/>
      <c r="FMP264" s="178"/>
      <c r="FMQ264" s="178"/>
      <c r="FMR264" s="178"/>
      <c r="FMS264" s="178"/>
      <c r="FMT264" s="178"/>
      <c r="FMU264" s="178"/>
      <c r="FMV264" s="178"/>
      <c r="FMW264" s="178"/>
      <c r="FMX264" s="178"/>
      <c r="FMY264" s="178"/>
      <c r="FMZ264" s="178"/>
      <c r="FNA264" s="178"/>
      <c r="FNB264" s="178"/>
      <c r="FNC264" s="178"/>
      <c r="FND264" s="178"/>
      <c r="FNE264" s="178"/>
      <c r="FNF264" s="178"/>
      <c r="FNG264" s="178"/>
      <c r="FNH264" s="178"/>
      <c r="FNI264" s="178"/>
      <c r="FNJ264" s="178"/>
      <c r="FNK264" s="178"/>
      <c r="FNL264" s="178"/>
      <c r="FNM264" s="178"/>
      <c r="FNN264" s="178"/>
      <c r="FNO264" s="178"/>
      <c r="FNP264" s="178"/>
      <c r="FNQ264" s="178"/>
      <c r="FNR264" s="178"/>
      <c r="FNS264" s="178"/>
      <c r="FNT264" s="178"/>
      <c r="FNU264" s="178"/>
      <c r="FNV264" s="178"/>
      <c r="FNW264" s="178"/>
      <c r="FNX264" s="178"/>
      <c r="FNY264" s="178"/>
      <c r="FNZ264" s="178"/>
      <c r="FOA264" s="178"/>
      <c r="FOB264" s="178"/>
      <c r="FOC264" s="178"/>
      <c r="FOD264" s="178"/>
      <c r="FOE264" s="178"/>
      <c r="FOF264" s="178"/>
      <c r="FOG264" s="178"/>
      <c r="FOH264" s="178"/>
      <c r="FOI264" s="178"/>
      <c r="FOJ264" s="178"/>
      <c r="FOK264" s="178"/>
      <c r="FOL264" s="178"/>
      <c r="FOM264" s="178"/>
      <c r="FON264" s="178"/>
      <c r="FOO264" s="178"/>
      <c r="FOP264" s="178"/>
      <c r="FOQ264" s="178"/>
      <c r="FOR264" s="178"/>
      <c r="FOS264" s="178"/>
      <c r="FOT264" s="178"/>
      <c r="FOU264" s="178"/>
      <c r="FOV264" s="178"/>
      <c r="FOW264" s="178"/>
      <c r="FOX264" s="178"/>
      <c r="FOY264" s="178"/>
      <c r="FOZ264" s="178"/>
      <c r="FPA264" s="178"/>
      <c r="FPB264" s="178"/>
      <c r="FPC264" s="178"/>
      <c r="FPD264" s="178"/>
      <c r="FPE264" s="178"/>
      <c r="FPF264" s="178"/>
      <c r="FPG264" s="178"/>
      <c r="FPH264" s="178"/>
      <c r="FPI264" s="178"/>
      <c r="FPJ264" s="178"/>
      <c r="FPK264" s="178"/>
      <c r="FPL264" s="178"/>
      <c r="FPM264" s="178"/>
      <c r="FPN264" s="178"/>
      <c r="FPO264" s="178"/>
      <c r="FPP264" s="178"/>
      <c r="FPQ264" s="178"/>
      <c r="FPR264" s="178"/>
      <c r="FPS264" s="178"/>
      <c r="FPT264" s="178"/>
      <c r="FPU264" s="178"/>
      <c r="FPV264" s="178"/>
      <c r="FPW264" s="178"/>
      <c r="FPX264" s="178"/>
      <c r="FPY264" s="178"/>
      <c r="FPZ264" s="178"/>
      <c r="FQA264" s="178"/>
      <c r="FQB264" s="178"/>
      <c r="FQC264" s="178"/>
      <c r="FQD264" s="178"/>
      <c r="FQE264" s="178"/>
      <c r="FQF264" s="178"/>
      <c r="FQG264" s="178"/>
      <c r="FQH264" s="178"/>
      <c r="FQI264" s="178"/>
      <c r="FQJ264" s="178"/>
      <c r="FQK264" s="178"/>
      <c r="FQL264" s="178"/>
      <c r="FQM264" s="178"/>
      <c r="FQN264" s="178"/>
      <c r="FQO264" s="178"/>
      <c r="FQP264" s="178"/>
      <c r="FQQ264" s="178"/>
      <c r="FQR264" s="178"/>
      <c r="FQS264" s="178"/>
      <c r="FQT264" s="178"/>
      <c r="FQU264" s="178"/>
      <c r="FQV264" s="178"/>
      <c r="FQW264" s="178"/>
      <c r="FQX264" s="178"/>
      <c r="FQY264" s="178"/>
      <c r="FQZ264" s="178"/>
      <c r="FRA264" s="178"/>
      <c r="FRB264" s="178"/>
      <c r="FRC264" s="178"/>
      <c r="FRD264" s="178"/>
      <c r="FRE264" s="178"/>
      <c r="FRF264" s="178"/>
      <c r="FRG264" s="178"/>
      <c r="FRH264" s="178"/>
      <c r="FRI264" s="178"/>
      <c r="FRJ264" s="178"/>
      <c r="FRK264" s="178"/>
      <c r="FRL264" s="178"/>
      <c r="FRM264" s="178"/>
      <c r="FRN264" s="178"/>
      <c r="FRO264" s="178"/>
      <c r="FRP264" s="178"/>
      <c r="FRQ264" s="178"/>
      <c r="FRR264" s="178"/>
      <c r="FRS264" s="178"/>
      <c r="FRT264" s="178"/>
      <c r="FRU264" s="178"/>
      <c r="FRV264" s="178"/>
      <c r="FRW264" s="178"/>
      <c r="FRX264" s="178"/>
      <c r="FRY264" s="178"/>
      <c r="FRZ264" s="178"/>
      <c r="FSA264" s="178"/>
      <c r="FSB264" s="178"/>
      <c r="FSC264" s="178"/>
      <c r="FSD264" s="178"/>
      <c r="FSE264" s="178"/>
      <c r="FSF264" s="178"/>
      <c r="FSG264" s="178"/>
      <c r="FSH264" s="178"/>
      <c r="FSI264" s="178"/>
      <c r="FSJ264" s="178"/>
      <c r="FSK264" s="178"/>
      <c r="FSL264" s="178"/>
      <c r="FSM264" s="178"/>
      <c r="FSN264" s="178"/>
      <c r="FSO264" s="178"/>
      <c r="FSP264" s="178"/>
      <c r="FSQ264" s="178"/>
      <c r="FSR264" s="178"/>
      <c r="FSS264" s="178"/>
      <c r="FST264" s="178"/>
      <c r="FSU264" s="178"/>
      <c r="FSV264" s="178"/>
      <c r="FSW264" s="178"/>
      <c r="FSX264" s="178"/>
      <c r="FSY264" s="178"/>
      <c r="FSZ264" s="178"/>
      <c r="FTA264" s="178"/>
      <c r="FTB264" s="178"/>
      <c r="FTC264" s="178"/>
      <c r="FTD264" s="178"/>
      <c r="FTE264" s="178"/>
      <c r="FTF264" s="178"/>
      <c r="FTG264" s="178"/>
      <c r="FTH264" s="178"/>
      <c r="FTI264" s="178"/>
      <c r="FTJ264" s="178"/>
      <c r="FTK264" s="178"/>
      <c r="FTL264" s="178"/>
      <c r="FTM264" s="178"/>
      <c r="FTN264" s="178"/>
      <c r="FTO264" s="178"/>
      <c r="FTP264" s="178"/>
      <c r="FTQ264" s="178"/>
      <c r="FTR264" s="178"/>
      <c r="FTS264" s="178"/>
      <c r="FTT264" s="178"/>
      <c r="FTU264" s="178"/>
      <c r="FTV264" s="178"/>
      <c r="FTW264" s="178"/>
      <c r="FTX264" s="178"/>
      <c r="FTY264" s="178"/>
      <c r="FTZ264" s="178"/>
      <c r="FUA264" s="178"/>
      <c r="FUB264" s="178"/>
      <c r="FUC264" s="178"/>
      <c r="FUD264" s="178"/>
      <c r="FUE264" s="178"/>
      <c r="FUF264" s="178"/>
      <c r="FUG264" s="178"/>
      <c r="FUH264" s="178"/>
      <c r="FUI264" s="178"/>
      <c r="FUJ264" s="178"/>
      <c r="FUK264" s="178"/>
      <c r="FUL264" s="178"/>
      <c r="FUM264" s="178"/>
      <c r="FUN264" s="178"/>
      <c r="FUO264" s="178"/>
      <c r="FUP264" s="178"/>
      <c r="FUQ264" s="178"/>
      <c r="FUR264" s="178"/>
      <c r="FUS264" s="178"/>
      <c r="FUT264" s="178"/>
      <c r="FUU264" s="178"/>
      <c r="FUV264" s="178"/>
      <c r="FUW264" s="178"/>
      <c r="FUX264" s="178"/>
      <c r="FUY264" s="178"/>
      <c r="FUZ264" s="178"/>
      <c r="FVA264" s="178"/>
      <c r="FVB264" s="178"/>
      <c r="FVC264" s="178"/>
      <c r="FVD264" s="178"/>
      <c r="FVE264" s="178"/>
      <c r="FVF264" s="178"/>
      <c r="FVG264" s="178"/>
      <c r="FVH264" s="178"/>
      <c r="FVI264" s="178"/>
      <c r="FVJ264" s="178"/>
      <c r="FVK264" s="178"/>
      <c r="FVL264" s="178"/>
      <c r="FVM264" s="178"/>
      <c r="FVN264" s="178"/>
      <c r="FVO264" s="178"/>
      <c r="FVP264" s="178"/>
      <c r="FVQ264" s="178"/>
      <c r="FVR264" s="178"/>
      <c r="FVS264" s="178"/>
      <c r="FVT264" s="178"/>
      <c r="FVU264" s="178"/>
      <c r="FVV264" s="178"/>
      <c r="FVW264" s="178"/>
      <c r="FVX264" s="178"/>
      <c r="FVY264" s="178"/>
      <c r="FVZ264" s="178"/>
      <c r="FWA264" s="178"/>
      <c r="FWB264" s="178"/>
      <c r="FWC264" s="178"/>
      <c r="FWD264" s="178"/>
      <c r="FWE264" s="178"/>
      <c r="FWF264" s="178"/>
      <c r="FWG264" s="178"/>
      <c r="FWH264" s="178"/>
      <c r="FWI264" s="178"/>
      <c r="FWJ264" s="178"/>
      <c r="FWK264" s="178"/>
      <c r="FWL264" s="178"/>
      <c r="FWM264" s="178"/>
      <c r="FWN264" s="178"/>
      <c r="FWO264" s="178"/>
      <c r="FWP264" s="178"/>
      <c r="FWQ264" s="178"/>
      <c r="FWR264" s="178"/>
      <c r="FWS264" s="178"/>
      <c r="FWT264" s="178"/>
      <c r="FWU264" s="178"/>
      <c r="FWV264" s="178"/>
      <c r="FWW264" s="178"/>
      <c r="FWX264" s="178"/>
      <c r="FWY264" s="178"/>
      <c r="FWZ264" s="178"/>
      <c r="FXA264" s="178"/>
      <c r="FXB264" s="178"/>
      <c r="FXC264" s="178"/>
      <c r="FXD264" s="178"/>
      <c r="FXE264" s="178"/>
      <c r="FXF264" s="178"/>
      <c r="FXG264" s="178"/>
      <c r="FXH264" s="178"/>
      <c r="FXI264" s="178"/>
      <c r="FXJ264" s="178"/>
      <c r="FXK264" s="178"/>
      <c r="FXL264" s="178"/>
      <c r="FXM264" s="178"/>
      <c r="FXN264" s="178"/>
      <c r="FXO264" s="178"/>
      <c r="FXP264" s="178"/>
      <c r="FXQ264" s="178"/>
      <c r="FXR264" s="178"/>
      <c r="FXS264" s="178"/>
      <c r="FXT264" s="178"/>
      <c r="FXU264" s="178"/>
      <c r="FXV264" s="178"/>
      <c r="FXW264" s="178"/>
      <c r="FXX264" s="178"/>
      <c r="FXY264" s="178"/>
      <c r="FXZ264" s="178"/>
      <c r="FYA264" s="178"/>
      <c r="FYB264" s="178"/>
      <c r="FYC264" s="178"/>
      <c r="FYD264" s="178"/>
      <c r="FYE264" s="178"/>
      <c r="FYF264" s="178"/>
      <c r="FYG264" s="178"/>
      <c r="FYH264" s="178"/>
      <c r="FYI264" s="178"/>
      <c r="FYJ264" s="178"/>
      <c r="FYK264" s="178"/>
      <c r="FYL264" s="178"/>
      <c r="FYM264" s="178"/>
      <c r="FYN264" s="178"/>
      <c r="FYO264" s="178"/>
      <c r="FYP264" s="178"/>
      <c r="FYQ264" s="178"/>
      <c r="FYR264" s="178"/>
      <c r="FYS264" s="178"/>
      <c r="FYT264" s="178"/>
      <c r="FYU264" s="178"/>
      <c r="FYV264" s="178"/>
      <c r="FYW264" s="178"/>
      <c r="FYX264" s="178"/>
      <c r="FYY264" s="178"/>
      <c r="FYZ264" s="178"/>
      <c r="FZA264" s="178"/>
      <c r="FZB264" s="178"/>
      <c r="FZC264" s="178"/>
      <c r="FZD264" s="178"/>
      <c r="FZE264" s="178"/>
      <c r="FZF264" s="178"/>
      <c r="FZG264" s="178"/>
      <c r="FZH264" s="178"/>
      <c r="FZI264" s="178"/>
      <c r="FZJ264" s="178"/>
      <c r="FZK264" s="178"/>
      <c r="FZL264" s="178"/>
      <c r="FZM264" s="178"/>
      <c r="FZN264" s="178"/>
      <c r="FZO264" s="178"/>
      <c r="FZP264" s="178"/>
      <c r="FZQ264" s="178"/>
      <c r="FZR264" s="178"/>
      <c r="FZS264" s="178"/>
      <c r="FZT264" s="178"/>
      <c r="FZU264" s="178"/>
      <c r="FZV264" s="178"/>
      <c r="FZW264" s="178"/>
      <c r="FZX264" s="178"/>
      <c r="FZY264" s="178"/>
      <c r="FZZ264" s="178"/>
      <c r="GAA264" s="178"/>
      <c r="GAB264" s="178"/>
      <c r="GAC264" s="178"/>
      <c r="GAD264" s="178"/>
      <c r="GAE264" s="178"/>
      <c r="GAF264" s="178"/>
      <c r="GAG264" s="178"/>
      <c r="GAH264" s="178"/>
      <c r="GAI264" s="178"/>
      <c r="GAJ264" s="178"/>
      <c r="GAK264" s="178"/>
      <c r="GAL264" s="178"/>
      <c r="GAM264" s="178"/>
      <c r="GAN264" s="178"/>
      <c r="GAO264" s="178"/>
      <c r="GAP264" s="178"/>
      <c r="GAQ264" s="178"/>
      <c r="GAR264" s="178"/>
      <c r="GAS264" s="178"/>
      <c r="GAT264" s="178"/>
      <c r="GAU264" s="178"/>
      <c r="GAV264" s="178"/>
      <c r="GAW264" s="178"/>
      <c r="GAX264" s="178"/>
      <c r="GAY264" s="178"/>
      <c r="GAZ264" s="178"/>
      <c r="GBA264" s="178"/>
      <c r="GBB264" s="178"/>
      <c r="GBC264" s="178"/>
      <c r="GBD264" s="178"/>
      <c r="GBE264" s="178"/>
      <c r="GBF264" s="178"/>
      <c r="GBG264" s="178"/>
      <c r="GBH264" s="178"/>
      <c r="GBI264" s="178"/>
      <c r="GBJ264" s="178"/>
      <c r="GBK264" s="178"/>
      <c r="GBL264" s="178"/>
      <c r="GBM264" s="178"/>
      <c r="GBN264" s="178"/>
      <c r="GBO264" s="178"/>
      <c r="GBP264" s="178"/>
      <c r="GBQ264" s="178"/>
      <c r="GBR264" s="178"/>
      <c r="GBS264" s="178"/>
      <c r="GBT264" s="178"/>
      <c r="GBU264" s="178"/>
      <c r="GBV264" s="178"/>
      <c r="GBW264" s="178"/>
      <c r="GBX264" s="178"/>
      <c r="GBY264" s="178"/>
      <c r="GBZ264" s="178"/>
      <c r="GCA264" s="178"/>
      <c r="GCB264" s="178"/>
      <c r="GCC264" s="178"/>
      <c r="GCD264" s="178"/>
      <c r="GCE264" s="178"/>
      <c r="GCF264" s="178"/>
      <c r="GCG264" s="178"/>
      <c r="GCH264" s="178"/>
      <c r="GCI264" s="178"/>
      <c r="GCJ264" s="178"/>
      <c r="GCK264" s="178"/>
      <c r="GCL264" s="178"/>
      <c r="GCM264" s="178"/>
      <c r="GCN264" s="178"/>
      <c r="GCO264" s="178"/>
      <c r="GCP264" s="178"/>
      <c r="GCQ264" s="178"/>
      <c r="GCR264" s="178"/>
      <c r="GCS264" s="178"/>
      <c r="GCT264" s="178"/>
      <c r="GCU264" s="178"/>
      <c r="GCV264" s="178"/>
      <c r="GCW264" s="178"/>
      <c r="GCX264" s="178"/>
      <c r="GCY264" s="178"/>
      <c r="GCZ264" s="178"/>
      <c r="GDA264" s="178"/>
      <c r="GDB264" s="178"/>
      <c r="GDC264" s="178"/>
      <c r="GDD264" s="178"/>
      <c r="GDE264" s="178"/>
      <c r="GDF264" s="178"/>
      <c r="GDG264" s="178"/>
      <c r="GDH264" s="178"/>
      <c r="GDI264" s="178"/>
      <c r="GDJ264" s="178"/>
      <c r="GDK264" s="178"/>
      <c r="GDL264" s="178"/>
      <c r="GDM264" s="178"/>
      <c r="GDN264" s="178"/>
      <c r="GDO264" s="178"/>
      <c r="GDP264" s="178"/>
      <c r="GDQ264" s="178"/>
      <c r="GDR264" s="178"/>
      <c r="GDS264" s="178"/>
      <c r="GDT264" s="178"/>
      <c r="GDU264" s="178"/>
      <c r="GDV264" s="178"/>
      <c r="GDW264" s="178"/>
      <c r="GDX264" s="178"/>
      <c r="GDY264" s="178"/>
      <c r="GDZ264" s="178"/>
      <c r="GEA264" s="178"/>
      <c r="GEB264" s="178"/>
      <c r="GEC264" s="178"/>
      <c r="GED264" s="178"/>
      <c r="GEE264" s="178"/>
      <c r="GEF264" s="178"/>
      <c r="GEG264" s="178"/>
      <c r="GEH264" s="178"/>
      <c r="GEI264" s="178"/>
      <c r="GEJ264" s="178"/>
      <c r="GEK264" s="178"/>
      <c r="GEL264" s="178"/>
      <c r="GEM264" s="178"/>
      <c r="GEN264" s="178"/>
      <c r="GEO264" s="178"/>
      <c r="GEP264" s="178"/>
      <c r="GEQ264" s="178"/>
      <c r="GER264" s="178"/>
      <c r="GES264" s="178"/>
      <c r="GET264" s="178"/>
      <c r="GEU264" s="178"/>
      <c r="GEV264" s="178"/>
      <c r="GEW264" s="178"/>
      <c r="GEX264" s="178"/>
      <c r="GEY264" s="178"/>
      <c r="GEZ264" s="178"/>
      <c r="GFA264" s="178"/>
      <c r="GFB264" s="178"/>
      <c r="GFC264" s="178"/>
      <c r="GFD264" s="178"/>
      <c r="GFE264" s="178"/>
      <c r="GFF264" s="178"/>
      <c r="GFG264" s="178"/>
      <c r="GFH264" s="178"/>
      <c r="GFI264" s="178"/>
      <c r="GFJ264" s="178"/>
      <c r="GFK264" s="178"/>
      <c r="GFL264" s="178"/>
      <c r="GFM264" s="178"/>
      <c r="GFN264" s="178"/>
      <c r="GFO264" s="178"/>
      <c r="GFP264" s="178"/>
      <c r="GFQ264" s="178"/>
      <c r="GFR264" s="178"/>
      <c r="GFS264" s="178"/>
      <c r="GFT264" s="178"/>
      <c r="GFU264" s="178"/>
      <c r="GFV264" s="178"/>
      <c r="GFW264" s="178"/>
      <c r="GFX264" s="178"/>
      <c r="GFY264" s="178"/>
      <c r="GFZ264" s="178"/>
      <c r="GGA264" s="178"/>
      <c r="GGB264" s="178"/>
      <c r="GGC264" s="178"/>
      <c r="GGD264" s="178"/>
      <c r="GGE264" s="178"/>
      <c r="GGF264" s="178"/>
      <c r="GGG264" s="178"/>
      <c r="GGH264" s="178"/>
      <c r="GGI264" s="178"/>
      <c r="GGJ264" s="178"/>
      <c r="GGK264" s="178"/>
      <c r="GGL264" s="178"/>
      <c r="GGM264" s="178"/>
      <c r="GGN264" s="178"/>
      <c r="GGO264" s="178"/>
      <c r="GGP264" s="178"/>
      <c r="GGQ264" s="178"/>
      <c r="GGR264" s="178"/>
      <c r="GGS264" s="178"/>
      <c r="GGT264" s="178"/>
      <c r="GGU264" s="178"/>
      <c r="GGV264" s="178"/>
      <c r="GGW264" s="178"/>
      <c r="GGX264" s="178"/>
      <c r="GGY264" s="178"/>
      <c r="GGZ264" s="178"/>
      <c r="GHA264" s="178"/>
      <c r="GHB264" s="178"/>
      <c r="GHC264" s="178"/>
      <c r="GHD264" s="178"/>
      <c r="GHE264" s="178"/>
      <c r="GHF264" s="178"/>
      <c r="GHG264" s="178"/>
      <c r="GHH264" s="178"/>
      <c r="GHI264" s="178"/>
      <c r="GHJ264" s="178"/>
      <c r="GHK264" s="178"/>
      <c r="GHL264" s="178"/>
      <c r="GHM264" s="178"/>
      <c r="GHN264" s="178"/>
      <c r="GHO264" s="178"/>
      <c r="GHP264" s="178"/>
      <c r="GHQ264" s="178"/>
      <c r="GHR264" s="178"/>
      <c r="GHS264" s="178"/>
      <c r="GHT264" s="178"/>
      <c r="GHU264" s="178"/>
      <c r="GHV264" s="178"/>
      <c r="GHW264" s="178"/>
      <c r="GHX264" s="178"/>
      <c r="GHY264" s="178"/>
      <c r="GHZ264" s="178"/>
      <c r="GIA264" s="178"/>
      <c r="GIB264" s="178"/>
      <c r="GIC264" s="178"/>
      <c r="GID264" s="178"/>
      <c r="GIE264" s="178"/>
      <c r="GIF264" s="178"/>
      <c r="GIG264" s="178"/>
      <c r="GIH264" s="178"/>
      <c r="GII264" s="178"/>
      <c r="GIJ264" s="178"/>
      <c r="GIK264" s="178"/>
      <c r="GIL264" s="178"/>
      <c r="GIM264" s="178"/>
      <c r="GIN264" s="178"/>
      <c r="GIO264" s="178"/>
      <c r="GIP264" s="178"/>
      <c r="GIQ264" s="178"/>
      <c r="GIR264" s="178"/>
      <c r="GIS264" s="178"/>
      <c r="GIT264" s="178"/>
      <c r="GIU264" s="178"/>
      <c r="GIV264" s="178"/>
      <c r="GIW264" s="178"/>
      <c r="GIX264" s="178"/>
      <c r="GIY264" s="178"/>
      <c r="GIZ264" s="178"/>
      <c r="GJA264" s="178"/>
      <c r="GJB264" s="178"/>
      <c r="GJC264" s="178"/>
      <c r="GJD264" s="178"/>
      <c r="GJE264" s="178"/>
      <c r="GJF264" s="178"/>
      <c r="GJG264" s="178"/>
      <c r="GJH264" s="178"/>
      <c r="GJI264" s="178"/>
      <c r="GJJ264" s="178"/>
      <c r="GJK264" s="178"/>
      <c r="GJL264" s="178"/>
      <c r="GJM264" s="178"/>
      <c r="GJN264" s="178"/>
      <c r="GJO264" s="178"/>
      <c r="GJP264" s="178"/>
      <c r="GJQ264" s="178"/>
      <c r="GJR264" s="178"/>
      <c r="GJS264" s="178"/>
      <c r="GJT264" s="178"/>
      <c r="GJU264" s="178"/>
      <c r="GJV264" s="178"/>
      <c r="GJW264" s="178"/>
      <c r="GJX264" s="178"/>
      <c r="GJY264" s="178"/>
      <c r="GJZ264" s="178"/>
      <c r="GKA264" s="178"/>
      <c r="GKB264" s="178"/>
      <c r="GKC264" s="178"/>
      <c r="GKD264" s="178"/>
      <c r="GKE264" s="178"/>
      <c r="GKF264" s="178"/>
      <c r="GKG264" s="178"/>
      <c r="GKH264" s="178"/>
      <c r="GKI264" s="178"/>
      <c r="GKJ264" s="178"/>
      <c r="GKK264" s="178"/>
      <c r="GKL264" s="178"/>
      <c r="GKM264" s="178"/>
      <c r="GKN264" s="178"/>
      <c r="GKO264" s="178"/>
      <c r="GKP264" s="178"/>
      <c r="GKQ264" s="178"/>
      <c r="GKR264" s="178"/>
      <c r="GKS264" s="178"/>
      <c r="GKT264" s="178"/>
      <c r="GKU264" s="178"/>
      <c r="GKV264" s="178"/>
      <c r="GKW264" s="178"/>
      <c r="GKX264" s="178"/>
      <c r="GKY264" s="178"/>
      <c r="GKZ264" s="178"/>
      <c r="GLA264" s="178"/>
      <c r="GLB264" s="178"/>
      <c r="GLC264" s="178"/>
      <c r="GLD264" s="178"/>
      <c r="GLE264" s="178"/>
      <c r="GLF264" s="178"/>
      <c r="GLG264" s="178"/>
      <c r="GLH264" s="178"/>
      <c r="GLI264" s="178"/>
      <c r="GLJ264" s="178"/>
      <c r="GLK264" s="178"/>
      <c r="GLL264" s="178"/>
      <c r="GLM264" s="178"/>
      <c r="GLN264" s="178"/>
      <c r="GLO264" s="178"/>
      <c r="GLP264" s="178"/>
      <c r="GLQ264" s="178"/>
      <c r="GLR264" s="178"/>
      <c r="GLS264" s="178"/>
      <c r="GLT264" s="178"/>
      <c r="GLU264" s="178"/>
      <c r="GLV264" s="178"/>
      <c r="GLW264" s="178"/>
      <c r="GLX264" s="178"/>
      <c r="GLY264" s="178"/>
      <c r="GLZ264" s="178"/>
      <c r="GMA264" s="178"/>
      <c r="GMB264" s="178"/>
      <c r="GMC264" s="178"/>
      <c r="GMD264" s="178"/>
      <c r="GME264" s="178"/>
      <c r="GMF264" s="178"/>
      <c r="GMG264" s="178"/>
      <c r="GMH264" s="178"/>
      <c r="GMI264" s="178"/>
      <c r="GMJ264" s="178"/>
      <c r="GMK264" s="178"/>
      <c r="GML264" s="178"/>
      <c r="GMM264" s="178"/>
      <c r="GMN264" s="178"/>
      <c r="GMO264" s="178"/>
      <c r="GMP264" s="178"/>
      <c r="GMQ264" s="178"/>
      <c r="GMR264" s="178"/>
      <c r="GMS264" s="178"/>
      <c r="GMT264" s="178"/>
      <c r="GMU264" s="178"/>
      <c r="GMV264" s="178"/>
      <c r="GMW264" s="178"/>
      <c r="GMX264" s="178"/>
      <c r="GMY264" s="178"/>
      <c r="GMZ264" s="178"/>
      <c r="GNA264" s="178"/>
      <c r="GNB264" s="178"/>
      <c r="GNC264" s="178"/>
      <c r="GND264" s="178"/>
      <c r="GNE264" s="178"/>
      <c r="GNF264" s="178"/>
      <c r="GNG264" s="178"/>
      <c r="GNH264" s="178"/>
      <c r="GNI264" s="178"/>
      <c r="GNJ264" s="178"/>
      <c r="GNK264" s="178"/>
      <c r="GNL264" s="178"/>
      <c r="GNM264" s="178"/>
      <c r="GNN264" s="178"/>
      <c r="GNO264" s="178"/>
      <c r="GNP264" s="178"/>
      <c r="GNQ264" s="178"/>
      <c r="GNR264" s="178"/>
      <c r="GNS264" s="178"/>
      <c r="GNT264" s="178"/>
      <c r="GNU264" s="178"/>
      <c r="GNV264" s="178"/>
      <c r="GNW264" s="178"/>
      <c r="GNX264" s="178"/>
      <c r="GNY264" s="178"/>
      <c r="GNZ264" s="178"/>
      <c r="GOA264" s="178"/>
      <c r="GOB264" s="178"/>
      <c r="GOC264" s="178"/>
      <c r="GOD264" s="178"/>
      <c r="GOE264" s="178"/>
      <c r="GOF264" s="178"/>
      <c r="GOG264" s="178"/>
      <c r="GOH264" s="178"/>
      <c r="GOI264" s="178"/>
      <c r="GOJ264" s="178"/>
      <c r="GOK264" s="178"/>
      <c r="GOL264" s="178"/>
      <c r="GOM264" s="178"/>
      <c r="GON264" s="178"/>
      <c r="GOO264" s="178"/>
      <c r="GOP264" s="178"/>
      <c r="GOQ264" s="178"/>
      <c r="GOR264" s="178"/>
      <c r="GOS264" s="178"/>
      <c r="GOT264" s="178"/>
      <c r="GOU264" s="178"/>
      <c r="GOV264" s="178"/>
      <c r="GOW264" s="178"/>
      <c r="GOX264" s="178"/>
      <c r="GOY264" s="178"/>
      <c r="GOZ264" s="178"/>
      <c r="GPA264" s="178"/>
      <c r="GPB264" s="178"/>
      <c r="GPC264" s="178"/>
      <c r="GPD264" s="178"/>
      <c r="GPE264" s="178"/>
      <c r="GPF264" s="178"/>
      <c r="GPG264" s="178"/>
      <c r="GPH264" s="178"/>
      <c r="GPI264" s="178"/>
      <c r="GPJ264" s="178"/>
      <c r="GPK264" s="178"/>
      <c r="GPL264" s="178"/>
      <c r="GPM264" s="178"/>
      <c r="GPN264" s="178"/>
      <c r="GPO264" s="178"/>
      <c r="GPP264" s="178"/>
      <c r="GPQ264" s="178"/>
      <c r="GPR264" s="178"/>
      <c r="GPS264" s="178"/>
      <c r="GPT264" s="178"/>
      <c r="GPU264" s="178"/>
      <c r="GPV264" s="178"/>
      <c r="GPW264" s="178"/>
      <c r="GPX264" s="178"/>
      <c r="GPY264" s="178"/>
      <c r="GPZ264" s="178"/>
      <c r="GQA264" s="178"/>
      <c r="GQB264" s="178"/>
      <c r="GQC264" s="178"/>
      <c r="GQD264" s="178"/>
      <c r="GQE264" s="178"/>
      <c r="GQF264" s="178"/>
      <c r="GQG264" s="178"/>
      <c r="GQH264" s="178"/>
      <c r="GQI264" s="178"/>
      <c r="GQJ264" s="178"/>
      <c r="GQK264" s="178"/>
      <c r="GQL264" s="178"/>
      <c r="GQM264" s="178"/>
      <c r="GQN264" s="178"/>
      <c r="GQO264" s="178"/>
      <c r="GQP264" s="178"/>
      <c r="GQQ264" s="178"/>
      <c r="GQR264" s="178"/>
      <c r="GQS264" s="178"/>
      <c r="GQT264" s="178"/>
      <c r="GQU264" s="178"/>
      <c r="GQV264" s="178"/>
      <c r="GQW264" s="178"/>
      <c r="GQX264" s="178"/>
      <c r="GQY264" s="178"/>
      <c r="GQZ264" s="178"/>
      <c r="GRA264" s="178"/>
      <c r="GRB264" s="178"/>
      <c r="GRC264" s="178"/>
      <c r="GRD264" s="178"/>
      <c r="GRE264" s="178"/>
      <c r="GRF264" s="178"/>
      <c r="GRG264" s="178"/>
      <c r="GRH264" s="178"/>
      <c r="GRI264" s="178"/>
      <c r="GRJ264" s="178"/>
      <c r="GRK264" s="178"/>
      <c r="GRL264" s="178"/>
      <c r="GRM264" s="178"/>
      <c r="GRN264" s="178"/>
      <c r="GRO264" s="178"/>
      <c r="GRP264" s="178"/>
      <c r="GRQ264" s="178"/>
      <c r="GRR264" s="178"/>
      <c r="GRS264" s="178"/>
      <c r="GRT264" s="178"/>
      <c r="GRU264" s="178"/>
      <c r="GRV264" s="178"/>
      <c r="GRW264" s="178"/>
      <c r="GRX264" s="178"/>
      <c r="GRY264" s="178"/>
      <c r="GRZ264" s="178"/>
      <c r="GSA264" s="178"/>
      <c r="GSB264" s="178"/>
      <c r="GSC264" s="178"/>
      <c r="GSD264" s="178"/>
      <c r="GSE264" s="178"/>
      <c r="GSF264" s="178"/>
      <c r="GSG264" s="178"/>
      <c r="GSH264" s="178"/>
      <c r="GSI264" s="178"/>
      <c r="GSJ264" s="178"/>
      <c r="GSK264" s="178"/>
      <c r="GSL264" s="178"/>
      <c r="GSM264" s="178"/>
      <c r="GSN264" s="178"/>
      <c r="GSO264" s="178"/>
      <c r="GSP264" s="178"/>
      <c r="GSQ264" s="178"/>
      <c r="GSR264" s="178"/>
      <c r="GSS264" s="178"/>
      <c r="GST264" s="178"/>
      <c r="GSU264" s="178"/>
      <c r="GSV264" s="178"/>
      <c r="GSW264" s="178"/>
      <c r="GSX264" s="178"/>
      <c r="GSY264" s="178"/>
      <c r="GSZ264" s="178"/>
      <c r="GTA264" s="178"/>
      <c r="GTB264" s="178"/>
      <c r="GTC264" s="178"/>
      <c r="GTD264" s="178"/>
      <c r="GTE264" s="178"/>
      <c r="GTF264" s="178"/>
      <c r="GTG264" s="178"/>
      <c r="GTH264" s="178"/>
      <c r="GTI264" s="178"/>
      <c r="GTJ264" s="178"/>
      <c r="GTK264" s="178"/>
      <c r="GTL264" s="178"/>
      <c r="GTM264" s="178"/>
      <c r="GTN264" s="178"/>
      <c r="GTO264" s="178"/>
      <c r="GTP264" s="178"/>
      <c r="GTQ264" s="178"/>
      <c r="GTR264" s="178"/>
      <c r="GTS264" s="178"/>
      <c r="GTT264" s="178"/>
      <c r="GTU264" s="178"/>
      <c r="GTV264" s="178"/>
      <c r="GTW264" s="178"/>
      <c r="GTX264" s="178"/>
      <c r="GTY264" s="178"/>
      <c r="GTZ264" s="178"/>
      <c r="GUA264" s="178"/>
      <c r="GUB264" s="178"/>
      <c r="GUC264" s="178"/>
      <c r="GUD264" s="178"/>
      <c r="GUE264" s="178"/>
      <c r="GUF264" s="178"/>
      <c r="GUG264" s="178"/>
      <c r="GUH264" s="178"/>
      <c r="GUI264" s="178"/>
      <c r="GUJ264" s="178"/>
      <c r="GUK264" s="178"/>
      <c r="GUL264" s="178"/>
      <c r="GUM264" s="178"/>
      <c r="GUN264" s="178"/>
      <c r="GUO264" s="178"/>
      <c r="GUP264" s="178"/>
      <c r="GUQ264" s="178"/>
      <c r="GUR264" s="178"/>
      <c r="GUS264" s="178"/>
      <c r="GUT264" s="178"/>
      <c r="GUU264" s="178"/>
      <c r="GUV264" s="178"/>
      <c r="GUW264" s="178"/>
      <c r="GUX264" s="178"/>
      <c r="GUY264" s="178"/>
      <c r="GUZ264" s="178"/>
      <c r="GVA264" s="178"/>
      <c r="GVB264" s="178"/>
      <c r="GVC264" s="178"/>
      <c r="GVD264" s="178"/>
      <c r="GVE264" s="178"/>
      <c r="GVF264" s="178"/>
      <c r="GVG264" s="178"/>
      <c r="GVH264" s="178"/>
      <c r="GVI264" s="178"/>
      <c r="GVJ264" s="178"/>
      <c r="GVK264" s="178"/>
      <c r="GVL264" s="178"/>
      <c r="GVM264" s="178"/>
      <c r="GVN264" s="178"/>
      <c r="GVO264" s="178"/>
      <c r="GVP264" s="178"/>
      <c r="GVQ264" s="178"/>
      <c r="GVR264" s="178"/>
      <c r="GVS264" s="178"/>
      <c r="GVT264" s="178"/>
      <c r="GVU264" s="178"/>
      <c r="GVV264" s="178"/>
      <c r="GVW264" s="178"/>
      <c r="GVX264" s="178"/>
      <c r="GVY264" s="178"/>
      <c r="GVZ264" s="178"/>
      <c r="GWA264" s="178"/>
      <c r="GWB264" s="178"/>
      <c r="GWC264" s="178"/>
      <c r="GWD264" s="178"/>
      <c r="GWE264" s="178"/>
      <c r="GWF264" s="178"/>
      <c r="GWG264" s="178"/>
      <c r="GWH264" s="178"/>
      <c r="GWI264" s="178"/>
      <c r="GWJ264" s="178"/>
      <c r="GWK264" s="178"/>
      <c r="GWL264" s="178"/>
      <c r="GWM264" s="178"/>
      <c r="GWN264" s="178"/>
      <c r="GWO264" s="178"/>
      <c r="GWP264" s="178"/>
      <c r="GWQ264" s="178"/>
      <c r="GWR264" s="178"/>
      <c r="GWS264" s="178"/>
      <c r="GWT264" s="178"/>
      <c r="GWU264" s="178"/>
      <c r="GWV264" s="178"/>
      <c r="GWW264" s="178"/>
      <c r="GWX264" s="178"/>
      <c r="GWY264" s="178"/>
      <c r="GWZ264" s="178"/>
      <c r="GXA264" s="178"/>
      <c r="GXB264" s="178"/>
      <c r="GXC264" s="178"/>
      <c r="GXD264" s="178"/>
      <c r="GXE264" s="178"/>
      <c r="GXF264" s="178"/>
      <c r="GXG264" s="178"/>
      <c r="GXH264" s="178"/>
      <c r="GXI264" s="178"/>
      <c r="GXJ264" s="178"/>
      <c r="GXK264" s="178"/>
      <c r="GXL264" s="178"/>
      <c r="GXM264" s="178"/>
      <c r="GXN264" s="178"/>
      <c r="GXO264" s="178"/>
      <c r="GXP264" s="178"/>
      <c r="GXQ264" s="178"/>
      <c r="GXR264" s="178"/>
      <c r="GXS264" s="178"/>
      <c r="GXT264" s="178"/>
      <c r="GXU264" s="178"/>
      <c r="GXV264" s="178"/>
      <c r="GXW264" s="178"/>
      <c r="GXX264" s="178"/>
      <c r="GXY264" s="178"/>
      <c r="GXZ264" s="178"/>
      <c r="GYA264" s="178"/>
      <c r="GYB264" s="178"/>
      <c r="GYC264" s="178"/>
      <c r="GYD264" s="178"/>
      <c r="GYE264" s="178"/>
      <c r="GYF264" s="178"/>
      <c r="GYG264" s="178"/>
      <c r="GYH264" s="178"/>
      <c r="GYI264" s="178"/>
      <c r="GYJ264" s="178"/>
      <c r="GYK264" s="178"/>
      <c r="GYL264" s="178"/>
      <c r="GYM264" s="178"/>
      <c r="GYN264" s="178"/>
      <c r="GYO264" s="178"/>
      <c r="GYP264" s="178"/>
      <c r="GYQ264" s="178"/>
      <c r="GYR264" s="178"/>
      <c r="GYS264" s="178"/>
      <c r="GYT264" s="178"/>
      <c r="GYU264" s="178"/>
      <c r="GYV264" s="178"/>
      <c r="GYW264" s="178"/>
      <c r="GYX264" s="178"/>
      <c r="GYY264" s="178"/>
      <c r="GYZ264" s="178"/>
      <c r="GZA264" s="178"/>
      <c r="GZB264" s="178"/>
      <c r="GZC264" s="178"/>
      <c r="GZD264" s="178"/>
      <c r="GZE264" s="178"/>
      <c r="GZF264" s="178"/>
      <c r="GZG264" s="178"/>
      <c r="GZH264" s="178"/>
      <c r="GZI264" s="178"/>
      <c r="GZJ264" s="178"/>
      <c r="GZK264" s="178"/>
      <c r="GZL264" s="178"/>
      <c r="GZM264" s="178"/>
      <c r="GZN264" s="178"/>
      <c r="GZO264" s="178"/>
      <c r="GZP264" s="178"/>
      <c r="GZQ264" s="178"/>
      <c r="GZR264" s="178"/>
      <c r="GZS264" s="178"/>
      <c r="GZT264" s="178"/>
      <c r="GZU264" s="178"/>
      <c r="GZV264" s="178"/>
      <c r="GZW264" s="178"/>
      <c r="GZX264" s="178"/>
      <c r="GZY264" s="178"/>
      <c r="GZZ264" s="178"/>
      <c r="HAA264" s="178"/>
      <c r="HAB264" s="178"/>
      <c r="HAC264" s="178"/>
      <c r="HAD264" s="178"/>
      <c r="HAE264" s="178"/>
      <c r="HAF264" s="178"/>
      <c r="HAG264" s="178"/>
      <c r="HAH264" s="178"/>
      <c r="HAI264" s="178"/>
      <c r="HAJ264" s="178"/>
      <c r="HAK264" s="178"/>
      <c r="HAL264" s="178"/>
      <c r="HAM264" s="178"/>
      <c r="HAN264" s="178"/>
      <c r="HAO264" s="178"/>
      <c r="HAP264" s="178"/>
      <c r="HAQ264" s="178"/>
      <c r="HAR264" s="178"/>
      <c r="HAS264" s="178"/>
      <c r="HAT264" s="178"/>
      <c r="HAU264" s="178"/>
      <c r="HAV264" s="178"/>
      <c r="HAW264" s="178"/>
      <c r="HAX264" s="178"/>
      <c r="HAY264" s="178"/>
      <c r="HAZ264" s="178"/>
      <c r="HBA264" s="178"/>
      <c r="HBB264" s="178"/>
      <c r="HBC264" s="178"/>
      <c r="HBD264" s="178"/>
      <c r="HBE264" s="178"/>
      <c r="HBF264" s="178"/>
      <c r="HBG264" s="178"/>
      <c r="HBH264" s="178"/>
      <c r="HBI264" s="178"/>
      <c r="HBJ264" s="178"/>
      <c r="HBK264" s="178"/>
      <c r="HBL264" s="178"/>
      <c r="HBM264" s="178"/>
      <c r="HBN264" s="178"/>
      <c r="HBO264" s="178"/>
      <c r="HBP264" s="178"/>
      <c r="HBQ264" s="178"/>
      <c r="HBR264" s="178"/>
      <c r="HBS264" s="178"/>
      <c r="HBT264" s="178"/>
      <c r="HBU264" s="178"/>
      <c r="HBV264" s="178"/>
      <c r="HBW264" s="178"/>
      <c r="HBX264" s="178"/>
      <c r="HBY264" s="178"/>
      <c r="HBZ264" s="178"/>
      <c r="HCA264" s="178"/>
      <c r="HCB264" s="178"/>
      <c r="HCC264" s="178"/>
      <c r="HCD264" s="178"/>
      <c r="HCE264" s="178"/>
      <c r="HCF264" s="178"/>
      <c r="HCG264" s="178"/>
      <c r="HCH264" s="178"/>
      <c r="HCI264" s="178"/>
      <c r="HCJ264" s="178"/>
      <c r="HCK264" s="178"/>
      <c r="HCL264" s="178"/>
      <c r="HCM264" s="178"/>
      <c r="HCN264" s="178"/>
      <c r="HCO264" s="178"/>
      <c r="HCP264" s="178"/>
      <c r="HCQ264" s="178"/>
      <c r="HCR264" s="178"/>
      <c r="HCS264" s="178"/>
      <c r="HCT264" s="178"/>
      <c r="HCU264" s="178"/>
      <c r="HCV264" s="178"/>
      <c r="HCW264" s="178"/>
      <c r="HCX264" s="178"/>
      <c r="HCY264" s="178"/>
      <c r="HCZ264" s="178"/>
      <c r="HDA264" s="178"/>
      <c r="HDB264" s="178"/>
      <c r="HDC264" s="178"/>
      <c r="HDD264" s="178"/>
      <c r="HDE264" s="178"/>
      <c r="HDF264" s="178"/>
      <c r="HDG264" s="178"/>
      <c r="HDH264" s="178"/>
      <c r="HDI264" s="178"/>
      <c r="HDJ264" s="178"/>
      <c r="HDK264" s="178"/>
      <c r="HDL264" s="178"/>
      <c r="HDM264" s="178"/>
      <c r="HDN264" s="178"/>
      <c r="HDO264" s="178"/>
      <c r="HDP264" s="178"/>
      <c r="HDQ264" s="178"/>
      <c r="HDR264" s="178"/>
      <c r="HDS264" s="178"/>
      <c r="HDT264" s="178"/>
      <c r="HDU264" s="178"/>
      <c r="HDV264" s="178"/>
      <c r="HDW264" s="178"/>
      <c r="HDX264" s="178"/>
      <c r="HDY264" s="178"/>
      <c r="HDZ264" s="178"/>
      <c r="HEA264" s="178"/>
      <c r="HEB264" s="178"/>
      <c r="HEC264" s="178"/>
      <c r="HED264" s="178"/>
      <c r="HEE264" s="178"/>
      <c r="HEF264" s="178"/>
      <c r="HEG264" s="178"/>
      <c r="HEH264" s="178"/>
      <c r="HEI264" s="178"/>
      <c r="HEJ264" s="178"/>
      <c r="HEK264" s="178"/>
      <c r="HEL264" s="178"/>
      <c r="HEM264" s="178"/>
      <c r="HEN264" s="178"/>
      <c r="HEO264" s="178"/>
      <c r="HEP264" s="178"/>
      <c r="HEQ264" s="178"/>
      <c r="HER264" s="178"/>
      <c r="HES264" s="178"/>
      <c r="HET264" s="178"/>
      <c r="HEU264" s="178"/>
      <c r="HEV264" s="178"/>
      <c r="HEW264" s="178"/>
      <c r="HEX264" s="178"/>
      <c r="HEY264" s="178"/>
      <c r="HEZ264" s="178"/>
      <c r="HFA264" s="178"/>
      <c r="HFB264" s="178"/>
      <c r="HFC264" s="178"/>
      <c r="HFD264" s="178"/>
      <c r="HFE264" s="178"/>
      <c r="HFF264" s="178"/>
      <c r="HFG264" s="178"/>
      <c r="HFH264" s="178"/>
      <c r="HFI264" s="178"/>
      <c r="HFJ264" s="178"/>
      <c r="HFK264" s="178"/>
      <c r="HFL264" s="178"/>
      <c r="HFM264" s="178"/>
      <c r="HFN264" s="178"/>
      <c r="HFO264" s="178"/>
      <c r="HFP264" s="178"/>
      <c r="HFQ264" s="178"/>
      <c r="HFR264" s="178"/>
      <c r="HFS264" s="178"/>
      <c r="HFT264" s="178"/>
      <c r="HFU264" s="178"/>
      <c r="HFV264" s="178"/>
      <c r="HFW264" s="178"/>
      <c r="HFX264" s="178"/>
      <c r="HFY264" s="178"/>
      <c r="HFZ264" s="178"/>
      <c r="HGA264" s="178"/>
      <c r="HGB264" s="178"/>
      <c r="HGC264" s="178"/>
      <c r="HGD264" s="178"/>
      <c r="HGE264" s="178"/>
      <c r="HGF264" s="178"/>
      <c r="HGG264" s="178"/>
      <c r="HGH264" s="178"/>
      <c r="HGI264" s="178"/>
      <c r="HGJ264" s="178"/>
      <c r="HGK264" s="178"/>
      <c r="HGL264" s="178"/>
      <c r="HGM264" s="178"/>
      <c r="HGN264" s="178"/>
      <c r="HGO264" s="178"/>
      <c r="HGP264" s="178"/>
      <c r="HGQ264" s="178"/>
      <c r="HGR264" s="178"/>
      <c r="HGS264" s="178"/>
      <c r="HGT264" s="178"/>
      <c r="HGU264" s="178"/>
      <c r="HGV264" s="178"/>
      <c r="HGW264" s="178"/>
      <c r="HGX264" s="178"/>
      <c r="HGY264" s="178"/>
      <c r="HGZ264" s="178"/>
      <c r="HHA264" s="178"/>
      <c r="HHB264" s="178"/>
      <c r="HHC264" s="178"/>
      <c r="HHD264" s="178"/>
      <c r="HHE264" s="178"/>
      <c r="HHF264" s="178"/>
      <c r="HHG264" s="178"/>
      <c r="HHH264" s="178"/>
      <c r="HHI264" s="178"/>
      <c r="HHJ264" s="178"/>
      <c r="HHK264" s="178"/>
      <c r="HHL264" s="178"/>
      <c r="HHM264" s="178"/>
      <c r="HHN264" s="178"/>
      <c r="HHO264" s="178"/>
      <c r="HHP264" s="178"/>
      <c r="HHQ264" s="178"/>
      <c r="HHR264" s="178"/>
      <c r="HHS264" s="178"/>
      <c r="HHT264" s="178"/>
      <c r="HHU264" s="178"/>
      <c r="HHV264" s="178"/>
      <c r="HHW264" s="178"/>
      <c r="HHX264" s="178"/>
      <c r="HHY264" s="178"/>
      <c r="HHZ264" s="178"/>
      <c r="HIA264" s="178"/>
      <c r="HIB264" s="178"/>
      <c r="HIC264" s="178"/>
      <c r="HID264" s="178"/>
      <c r="HIE264" s="178"/>
      <c r="HIF264" s="178"/>
      <c r="HIG264" s="178"/>
      <c r="HIH264" s="178"/>
      <c r="HII264" s="178"/>
      <c r="HIJ264" s="178"/>
      <c r="HIK264" s="178"/>
      <c r="HIL264" s="178"/>
      <c r="HIM264" s="178"/>
      <c r="HIN264" s="178"/>
      <c r="HIO264" s="178"/>
      <c r="HIP264" s="178"/>
      <c r="HIQ264" s="178"/>
      <c r="HIR264" s="178"/>
      <c r="HIS264" s="178"/>
      <c r="HIT264" s="178"/>
      <c r="HIU264" s="178"/>
      <c r="HIV264" s="178"/>
      <c r="HIW264" s="178"/>
      <c r="HIX264" s="178"/>
      <c r="HIY264" s="178"/>
      <c r="HIZ264" s="178"/>
      <c r="HJA264" s="178"/>
      <c r="HJB264" s="178"/>
      <c r="HJC264" s="178"/>
      <c r="HJD264" s="178"/>
      <c r="HJE264" s="178"/>
      <c r="HJF264" s="178"/>
      <c r="HJG264" s="178"/>
      <c r="HJH264" s="178"/>
      <c r="HJI264" s="178"/>
      <c r="HJJ264" s="178"/>
      <c r="HJK264" s="178"/>
      <c r="HJL264" s="178"/>
      <c r="HJM264" s="178"/>
      <c r="HJN264" s="178"/>
      <c r="HJO264" s="178"/>
      <c r="HJP264" s="178"/>
      <c r="HJQ264" s="178"/>
      <c r="HJR264" s="178"/>
      <c r="HJS264" s="178"/>
      <c r="HJT264" s="178"/>
      <c r="HJU264" s="178"/>
      <c r="HJV264" s="178"/>
      <c r="HJW264" s="178"/>
      <c r="HJX264" s="178"/>
      <c r="HJY264" s="178"/>
      <c r="HJZ264" s="178"/>
      <c r="HKA264" s="178"/>
      <c r="HKB264" s="178"/>
      <c r="HKC264" s="178"/>
      <c r="HKD264" s="178"/>
      <c r="HKE264" s="178"/>
      <c r="HKF264" s="178"/>
      <c r="HKG264" s="178"/>
      <c r="HKH264" s="178"/>
      <c r="HKI264" s="178"/>
      <c r="HKJ264" s="178"/>
      <c r="HKK264" s="178"/>
      <c r="HKL264" s="178"/>
      <c r="HKM264" s="178"/>
      <c r="HKN264" s="178"/>
      <c r="HKO264" s="178"/>
      <c r="HKP264" s="178"/>
      <c r="HKQ264" s="178"/>
      <c r="HKR264" s="178"/>
      <c r="HKS264" s="178"/>
      <c r="HKT264" s="178"/>
      <c r="HKU264" s="178"/>
      <c r="HKV264" s="178"/>
      <c r="HKW264" s="178"/>
      <c r="HKX264" s="178"/>
      <c r="HKY264" s="178"/>
      <c r="HKZ264" s="178"/>
      <c r="HLA264" s="178"/>
      <c r="HLB264" s="178"/>
      <c r="HLC264" s="178"/>
      <c r="HLD264" s="178"/>
      <c r="HLE264" s="178"/>
      <c r="HLF264" s="178"/>
      <c r="HLG264" s="178"/>
      <c r="HLH264" s="178"/>
      <c r="HLI264" s="178"/>
      <c r="HLJ264" s="178"/>
      <c r="HLK264" s="178"/>
      <c r="HLL264" s="178"/>
      <c r="HLM264" s="178"/>
      <c r="HLN264" s="178"/>
      <c r="HLO264" s="178"/>
      <c r="HLP264" s="178"/>
      <c r="HLQ264" s="178"/>
      <c r="HLR264" s="178"/>
      <c r="HLS264" s="178"/>
      <c r="HLT264" s="178"/>
      <c r="HLU264" s="178"/>
      <c r="HLV264" s="178"/>
      <c r="HLW264" s="178"/>
      <c r="HLX264" s="178"/>
      <c r="HLY264" s="178"/>
      <c r="HLZ264" s="178"/>
      <c r="HMA264" s="178"/>
      <c r="HMB264" s="178"/>
      <c r="HMC264" s="178"/>
      <c r="HMD264" s="178"/>
      <c r="HME264" s="178"/>
      <c r="HMF264" s="178"/>
      <c r="HMG264" s="178"/>
      <c r="HMH264" s="178"/>
      <c r="HMI264" s="178"/>
      <c r="HMJ264" s="178"/>
      <c r="HMK264" s="178"/>
      <c r="HML264" s="178"/>
      <c r="HMM264" s="178"/>
      <c r="HMN264" s="178"/>
      <c r="HMO264" s="178"/>
      <c r="HMP264" s="178"/>
      <c r="HMQ264" s="178"/>
      <c r="HMR264" s="178"/>
      <c r="HMS264" s="178"/>
      <c r="HMT264" s="178"/>
      <c r="HMU264" s="178"/>
      <c r="HMV264" s="178"/>
      <c r="HMW264" s="178"/>
      <c r="HMX264" s="178"/>
      <c r="HMY264" s="178"/>
      <c r="HMZ264" s="178"/>
      <c r="HNA264" s="178"/>
      <c r="HNB264" s="178"/>
      <c r="HNC264" s="178"/>
      <c r="HND264" s="178"/>
      <c r="HNE264" s="178"/>
      <c r="HNF264" s="178"/>
      <c r="HNG264" s="178"/>
      <c r="HNH264" s="178"/>
      <c r="HNI264" s="178"/>
      <c r="HNJ264" s="178"/>
      <c r="HNK264" s="178"/>
      <c r="HNL264" s="178"/>
      <c r="HNM264" s="178"/>
      <c r="HNN264" s="178"/>
      <c r="HNO264" s="178"/>
      <c r="HNP264" s="178"/>
      <c r="HNQ264" s="178"/>
      <c r="HNR264" s="178"/>
      <c r="HNS264" s="178"/>
      <c r="HNT264" s="178"/>
      <c r="HNU264" s="178"/>
      <c r="HNV264" s="178"/>
      <c r="HNW264" s="178"/>
      <c r="HNX264" s="178"/>
      <c r="HNY264" s="178"/>
      <c r="HNZ264" s="178"/>
      <c r="HOA264" s="178"/>
      <c r="HOB264" s="178"/>
      <c r="HOC264" s="178"/>
      <c r="HOD264" s="178"/>
      <c r="HOE264" s="178"/>
      <c r="HOF264" s="178"/>
      <c r="HOG264" s="178"/>
      <c r="HOH264" s="178"/>
      <c r="HOI264" s="178"/>
      <c r="HOJ264" s="178"/>
      <c r="HOK264" s="178"/>
      <c r="HOL264" s="178"/>
      <c r="HOM264" s="178"/>
      <c r="HON264" s="178"/>
      <c r="HOO264" s="178"/>
      <c r="HOP264" s="178"/>
      <c r="HOQ264" s="178"/>
      <c r="HOR264" s="178"/>
      <c r="HOS264" s="178"/>
      <c r="HOT264" s="178"/>
      <c r="HOU264" s="178"/>
      <c r="HOV264" s="178"/>
      <c r="HOW264" s="178"/>
      <c r="HOX264" s="178"/>
      <c r="HOY264" s="178"/>
      <c r="HOZ264" s="178"/>
      <c r="HPA264" s="178"/>
      <c r="HPB264" s="178"/>
      <c r="HPC264" s="178"/>
      <c r="HPD264" s="178"/>
      <c r="HPE264" s="178"/>
      <c r="HPF264" s="178"/>
      <c r="HPG264" s="178"/>
      <c r="HPH264" s="178"/>
      <c r="HPI264" s="178"/>
      <c r="HPJ264" s="178"/>
      <c r="HPK264" s="178"/>
      <c r="HPL264" s="178"/>
      <c r="HPM264" s="178"/>
      <c r="HPN264" s="178"/>
      <c r="HPO264" s="178"/>
      <c r="HPP264" s="178"/>
      <c r="HPQ264" s="178"/>
      <c r="HPR264" s="178"/>
      <c r="HPS264" s="178"/>
      <c r="HPT264" s="178"/>
      <c r="HPU264" s="178"/>
      <c r="HPV264" s="178"/>
      <c r="HPW264" s="178"/>
      <c r="HPX264" s="178"/>
      <c r="HPY264" s="178"/>
      <c r="HPZ264" s="178"/>
      <c r="HQA264" s="178"/>
      <c r="HQB264" s="178"/>
      <c r="HQC264" s="178"/>
      <c r="HQD264" s="178"/>
      <c r="HQE264" s="178"/>
      <c r="HQF264" s="178"/>
      <c r="HQG264" s="178"/>
      <c r="HQH264" s="178"/>
      <c r="HQI264" s="178"/>
      <c r="HQJ264" s="178"/>
      <c r="HQK264" s="178"/>
      <c r="HQL264" s="178"/>
      <c r="HQM264" s="178"/>
      <c r="HQN264" s="178"/>
      <c r="HQO264" s="178"/>
      <c r="HQP264" s="178"/>
      <c r="HQQ264" s="178"/>
      <c r="HQR264" s="178"/>
      <c r="HQS264" s="178"/>
      <c r="HQT264" s="178"/>
      <c r="HQU264" s="178"/>
      <c r="HQV264" s="178"/>
      <c r="HQW264" s="178"/>
      <c r="HQX264" s="178"/>
      <c r="HQY264" s="178"/>
      <c r="HQZ264" s="178"/>
      <c r="HRA264" s="178"/>
      <c r="HRB264" s="178"/>
      <c r="HRC264" s="178"/>
      <c r="HRD264" s="178"/>
      <c r="HRE264" s="178"/>
      <c r="HRF264" s="178"/>
      <c r="HRG264" s="178"/>
      <c r="HRH264" s="178"/>
      <c r="HRI264" s="178"/>
      <c r="HRJ264" s="178"/>
      <c r="HRK264" s="178"/>
      <c r="HRL264" s="178"/>
      <c r="HRM264" s="178"/>
      <c r="HRN264" s="178"/>
      <c r="HRO264" s="178"/>
      <c r="HRP264" s="178"/>
      <c r="HRQ264" s="178"/>
      <c r="HRR264" s="178"/>
      <c r="HRS264" s="178"/>
      <c r="HRT264" s="178"/>
      <c r="HRU264" s="178"/>
      <c r="HRV264" s="178"/>
      <c r="HRW264" s="178"/>
      <c r="HRX264" s="178"/>
      <c r="HRY264" s="178"/>
      <c r="HRZ264" s="178"/>
      <c r="HSA264" s="178"/>
      <c r="HSB264" s="178"/>
      <c r="HSC264" s="178"/>
      <c r="HSD264" s="178"/>
      <c r="HSE264" s="178"/>
      <c r="HSF264" s="178"/>
      <c r="HSG264" s="178"/>
      <c r="HSH264" s="178"/>
      <c r="HSI264" s="178"/>
      <c r="HSJ264" s="178"/>
      <c r="HSK264" s="178"/>
      <c r="HSL264" s="178"/>
      <c r="HSM264" s="178"/>
      <c r="HSN264" s="178"/>
      <c r="HSO264" s="178"/>
      <c r="HSP264" s="178"/>
      <c r="HSQ264" s="178"/>
      <c r="HSR264" s="178"/>
      <c r="HSS264" s="178"/>
      <c r="HST264" s="178"/>
      <c r="HSU264" s="178"/>
      <c r="HSV264" s="178"/>
      <c r="HSW264" s="178"/>
      <c r="HSX264" s="178"/>
      <c r="HSY264" s="178"/>
      <c r="HSZ264" s="178"/>
      <c r="HTA264" s="178"/>
      <c r="HTB264" s="178"/>
      <c r="HTC264" s="178"/>
      <c r="HTD264" s="178"/>
      <c r="HTE264" s="178"/>
      <c r="HTF264" s="178"/>
      <c r="HTG264" s="178"/>
      <c r="HTH264" s="178"/>
      <c r="HTI264" s="178"/>
      <c r="HTJ264" s="178"/>
      <c r="HTK264" s="178"/>
      <c r="HTL264" s="178"/>
      <c r="HTM264" s="178"/>
      <c r="HTN264" s="178"/>
      <c r="HTO264" s="178"/>
      <c r="HTP264" s="178"/>
      <c r="HTQ264" s="178"/>
      <c r="HTR264" s="178"/>
      <c r="HTS264" s="178"/>
      <c r="HTT264" s="178"/>
      <c r="HTU264" s="178"/>
      <c r="HTV264" s="178"/>
      <c r="HTW264" s="178"/>
      <c r="HTX264" s="178"/>
      <c r="HTY264" s="178"/>
      <c r="HTZ264" s="178"/>
      <c r="HUA264" s="178"/>
      <c r="HUB264" s="178"/>
      <c r="HUC264" s="178"/>
      <c r="HUD264" s="178"/>
      <c r="HUE264" s="178"/>
      <c r="HUF264" s="178"/>
      <c r="HUG264" s="178"/>
      <c r="HUH264" s="178"/>
      <c r="HUI264" s="178"/>
      <c r="HUJ264" s="178"/>
      <c r="HUK264" s="178"/>
      <c r="HUL264" s="178"/>
      <c r="HUM264" s="178"/>
      <c r="HUN264" s="178"/>
      <c r="HUO264" s="178"/>
      <c r="HUP264" s="178"/>
      <c r="HUQ264" s="178"/>
      <c r="HUR264" s="178"/>
      <c r="HUS264" s="178"/>
      <c r="HUT264" s="178"/>
      <c r="HUU264" s="178"/>
      <c r="HUV264" s="178"/>
      <c r="HUW264" s="178"/>
      <c r="HUX264" s="178"/>
      <c r="HUY264" s="178"/>
      <c r="HUZ264" s="178"/>
      <c r="HVA264" s="178"/>
      <c r="HVB264" s="178"/>
      <c r="HVC264" s="178"/>
      <c r="HVD264" s="178"/>
      <c r="HVE264" s="178"/>
      <c r="HVF264" s="178"/>
      <c r="HVG264" s="178"/>
      <c r="HVH264" s="178"/>
      <c r="HVI264" s="178"/>
      <c r="HVJ264" s="178"/>
      <c r="HVK264" s="178"/>
      <c r="HVL264" s="178"/>
      <c r="HVM264" s="178"/>
      <c r="HVN264" s="178"/>
      <c r="HVO264" s="178"/>
      <c r="HVP264" s="178"/>
      <c r="HVQ264" s="178"/>
      <c r="HVR264" s="178"/>
      <c r="HVS264" s="178"/>
      <c r="HVT264" s="178"/>
      <c r="HVU264" s="178"/>
      <c r="HVV264" s="178"/>
      <c r="HVW264" s="178"/>
      <c r="HVX264" s="178"/>
      <c r="HVY264" s="178"/>
      <c r="HVZ264" s="178"/>
      <c r="HWA264" s="178"/>
      <c r="HWB264" s="178"/>
      <c r="HWC264" s="178"/>
      <c r="HWD264" s="178"/>
      <c r="HWE264" s="178"/>
      <c r="HWF264" s="178"/>
      <c r="HWG264" s="178"/>
      <c r="HWH264" s="178"/>
      <c r="HWI264" s="178"/>
      <c r="HWJ264" s="178"/>
      <c r="HWK264" s="178"/>
      <c r="HWL264" s="178"/>
      <c r="HWM264" s="178"/>
      <c r="HWN264" s="178"/>
      <c r="HWO264" s="178"/>
      <c r="HWP264" s="178"/>
      <c r="HWQ264" s="178"/>
      <c r="HWR264" s="178"/>
      <c r="HWS264" s="178"/>
      <c r="HWT264" s="178"/>
      <c r="HWU264" s="178"/>
      <c r="HWV264" s="178"/>
      <c r="HWW264" s="178"/>
      <c r="HWX264" s="178"/>
      <c r="HWY264" s="178"/>
      <c r="HWZ264" s="178"/>
      <c r="HXA264" s="178"/>
      <c r="HXB264" s="178"/>
      <c r="HXC264" s="178"/>
      <c r="HXD264" s="178"/>
      <c r="HXE264" s="178"/>
      <c r="HXF264" s="178"/>
      <c r="HXG264" s="178"/>
      <c r="HXH264" s="178"/>
      <c r="HXI264" s="178"/>
      <c r="HXJ264" s="178"/>
      <c r="HXK264" s="178"/>
      <c r="HXL264" s="178"/>
      <c r="HXM264" s="178"/>
      <c r="HXN264" s="178"/>
      <c r="HXO264" s="178"/>
      <c r="HXP264" s="178"/>
      <c r="HXQ264" s="178"/>
      <c r="HXR264" s="178"/>
      <c r="HXS264" s="178"/>
      <c r="HXT264" s="178"/>
      <c r="HXU264" s="178"/>
      <c r="HXV264" s="178"/>
      <c r="HXW264" s="178"/>
      <c r="HXX264" s="178"/>
      <c r="HXY264" s="178"/>
      <c r="HXZ264" s="178"/>
      <c r="HYA264" s="178"/>
      <c r="HYB264" s="178"/>
      <c r="HYC264" s="178"/>
      <c r="HYD264" s="178"/>
      <c r="HYE264" s="178"/>
      <c r="HYF264" s="178"/>
      <c r="HYG264" s="178"/>
      <c r="HYH264" s="178"/>
      <c r="HYI264" s="178"/>
      <c r="HYJ264" s="178"/>
      <c r="HYK264" s="178"/>
      <c r="HYL264" s="178"/>
      <c r="HYM264" s="178"/>
      <c r="HYN264" s="178"/>
      <c r="HYO264" s="178"/>
      <c r="HYP264" s="178"/>
      <c r="HYQ264" s="178"/>
      <c r="HYR264" s="178"/>
      <c r="HYS264" s="178"/>
      <c r="HYT264" s="178"/>
      <c r="HYU264" s="178"/>
      <c r="HYV264" s="178"/>
      <c r="HYW264" s="178"/>
      <c r="HYX264" s="178"/>
      <c r="HYY264" s="178"/>
      <c r="HYZ264" s="178"/>
      <c r="HZA264" s="178"/>
      <c r="HZB264" s="178"/>
      <c r="HZC264" s="178"/>
      <c r="HZD264" s="178"/>
      <c r="HZE264" s="178"/>
      <c r="HZF264" s="178"/>
      <c r="HZG264" s="178"/>
      <c r="HZH264" s="178"/>
      <c r="HZI264" s="178"/>
      <c r="HZJ264" s="178"/>
      <c r="HZK264" s="178"/>
      <c r="HZL264" s="178"/>
      <c r="HZM264" s="178"/>
      <c r="HZN264" s="178"/>
      <c r="HZO264" s="178"/>
      <c r="HZP264" s="178"/>
      <c r="HZQ264" s="178"/>
      <c r="HZR264" s="178"/>
      <c r="HZS264" s="178"/>
      <c r="HZT264" s="178"/>
      <c r="HZU264" s="178"/>
      <c r="HZV264" s="178"/>
      <c r="HZW264" s="178"/>
      <c r="HZX264" s="178"/>
      <c r="HZY264" s="178"/>
      <c r="HZZ264" s="178"/>
      <c r="IAA264" s="178"/>
      <c r="IAB264" s="178"/>
      <c r="IAC264" s="178"/>
      <c r="IAD264" s="178"/>
      <c r="IAE264" s="178"/>
      <c r="IAF264" s="178"/>
      <c r="IAG264" s="178"/>
      <c r="IAH264" s="178"/>
      <c r="IAI264" s="178"/>
      <c r="IAJ264" s="178"/>
      <c r="IAK264" s="178"/>
      <c r="IAL264" s="178"/>
      <c r="IAM264" s="178"/>
      <c r="IAN264" s="178"/>
      <c r="IAO264" s="178"/>
      <c r="IAP264" s="178"/>
      <c r="IAQ264" s="178"/>
      <c r="IAR264" s="178"/>
      <c r="IAS264" s="178"/>
      <c r="IAT264" s="178"/>
      <c r="IAU264" s="178"/>
      <c r="IAV264" s="178"/>
      <c r="IAW264" s="178"/>
      <c r="IAX264" s="178"/>
      <c r="IAY264" s="178"/>
      <c r="IAZ264" s="178"/>
      <c r="IBA264" s="178"/>
      <c r="IBB264" s="178"/>
      <c r="IBC264" s="178"/>
      <c r="IBD264" s="178"/>
      <c r="IBE264" s="178"/>
      <c r="IBF264" s="178"/>
      <c r="IBG264" s="178"/>
      <c r="IBH264" s="178"/>
      <c r="IBI264" s="178"/>
      <c r="IBJ264" s="178"/>
      <c r="IBK264" s="178"/>
      <c r="IBL264" s="178"/>
      <c r="IBM264" s="178"/>
      <c r="IBN264" s="178"/>
      <c r="IBO264" s="178"/>
      <c r="IBP264" s="178"/>
      <c r="IBQ264" s="178"/>
      <c r="IBR264" s="178"/>
      <c r="IBS264" s="178"/>
      <c r="IBT264" s="178"/>
      <c r="IBU264" s="178"/>
      <c r="IBV264" s="178"/>
      <c r="IBW264" s="178"/>
      <c r="IBX264" s="178"/>
      <c r="IBY264" s="178"/>
      <c r="IBZ264" s="178"/>
      <c r="ICA264" s="178"/>
      <c r="ICB264" s="178"/>
      <c r="ICC264" s="178"/>
      <c r="ICD264" s="178"/>
      <c r="ICE264" s="178"/>
      <c r="ICF264" s="178"/>
      <c r="ICG264" s="178"/>
      <c r="ICH264" s="178"/>
      <c r="ICI264" s="178"/>
      <c r="ICJ264" s="178"/>
      <c r="ICK264" s="178"/>
      <c r="ICL264" s="178"/>
      <c r="ICM264" s="178"/>
      <c r="ICN264" s="178"/>
      <c r="ICO264" s="178"/>
      <c r="ICP264" s="178"/>
      <c r="ICQ264" s="178"/>
      <c r="ICR264" s="178"/>
      <c r="ICS264" s="178"/>
      <c r="ICT264" s="178"/>
      <c r="ICU264" s="178"/>
      <c r="ICV264" s="178"/>
      <c r="ICW264" s="178"/>
      <c r="ICX264" s="178"/>
      <c r="ICY264" s="178"/>
      <c r="ICZ264" s="178"/>
      <c r="IDA264" s="178"/>
      <c r="IDB264" s="178"/>
      <c r="IDC264" s="178"/>
      <c r="IDD264" s="178"/>
      <c r="IDE264" s="178"/>
      <c r="IDF264" s="178"/>
      <c r="IDG264" s="178"/>
      <c r="IDH264" s="178"/>
      <c r="IDI264" s="178"/>
      <c r="IDJ264" s="178"/>
      <c r="IDK264" s="178"/>
      <c r="IDL264" s="178"/>
      <c r="IDM264" s="178"/>
      <c r="IDN264" s="178"/>
      <c r="IDO264" s="178"/>
      <c r="IDP264" s="178"/>
      <c r="IDQ264" s="178"/>
      <c r="IDR264" s="178"/>
      <c r="IDS264" s="178"/>
      <c r="IDT264" s="178"/>
      <c r="IDU264" s="178"/>
      <c r="IDV264" s="178"/>
      <c r="IDW264" s="178"/>
      <c r="IDX264" s="178"/>
      <c r="IDY264" s="178"/>
      <c r="IDZ264" s="178"/>
      <c r="IEA264" s="178"/>
      <c r="IEB264" s="178"/>
      <c r="IEC264" s="178"/>
      <c r="IED264" s="178"/>
      <c r="IEE264" s="178"/>
      <c r="IEF264" s="178"/>
      <c r="IEG264" s="178"/>
      <c r="IEH264" s="178"/>
      <c r="IEI264" s="178"/>
      <c r="IEJ264" s="178"/>
      <c r="IEK264" s="178"/>
      <c r="IEL264" s="178"/>
      <c r="IEM264" s="178"/>
      <c r="IEN264" s="178"/>
      <c r="IEO264" s="178"/>
      <c r="IEP264" s="178"/>
      <c r="IEQ264" s="178"/>
      <c r="IER264" s="178"/>
      <c r="IES264" s="178"/>
      <c r="IET264" s="178"/>
      <c r="IEU264" s="178"/>
      <c r="IEV264" s="178"/>
      <c r="IEW264" s="178"/>
      <c r="IEX264" s="178"/>
      <c r="IEY264" s="178"/>
      <c r="IEZ264" s="178"/>
      <c r="IFA264" s="178"/>
      <c r="IFB264" s="178"/>
      <c r="IFC264" s="178"/>
      <c r="IFD264" s="178"/>
      <c r="IFE264" s="178"/>
      <c r="IFF264" s="178"/>
      <c r="IFG264" s="178"/>
      <c r="IFH264" s="178"/>
      <c r="IFI264" s="178"/>
      <c r="IFJ264" s="178"/>
      <c r="IFK264" s="178"/>
      <c r="IFL264" s="178"/>
      <c r="IFM264" s="178"/>
      <c r="IFN264" s="178"/>
      <c r="IFO264" s="178"/>
      <c r="IFP264" s="178"/>
      <c r="IFQ264" s="178"/>
      <c r="IFR264" s="178"/>
      <c r="IFS264" s="178"/>
      <c r="IFT264" s="178"/>
      <c r="IFU264" s="178"/>
      <c r="IFV264" s="178"/>
      <c r="IFW264" s="178"/>
      <c r="IFX264" s="178"/>
      <c r="IFY264" s="178"/>
      <c r="IFZ264" s="178"/>
      <c r="IGA264" s="178"/>
      <c r="IGB264" s="178"/>
      <c r="IGC264" s="178"/>
      <c r="IGD264" s="178"/>
      <c r="IGE264" s="178"/>
      <c r="IGF264" s="178"/>
      <c r="IGG264" s="178"/>
      <c r="IGH264" s="178"/>
      <c r="IGI264" s="178"/>
      <c r="IGJ264" s="178"/>
      <c r="IGK264" s="178"/>
      <c r="IGL264" s="178"/>
      <c r="IGM264" s="178"/>
      <c r="IGN264" s="178"/>
      <c r="IGO264" s="178"/>
      <c r="IGP264" s="178"/>
      <c r="IGQ264" s="178"/>
      <c r="IGR264" s="178"/>
      <c r="IGS264" s="178"/>
      <c r="IGT264" s="178"/>
      <c r="IGU264" s="178"/>
      <c r="IGV264" s="178"/>
      <c r="IGW264" s="178"/>
      <c r="IGX264" s="178"/>
      <c r="IGY264" s="178"/>
      <c r="IGZ264" s="178"/>
      <c r="IHA264" s="178"/>
      <c r="IHB264" s="178"/>
      <c r="IHC264" s="178"/>
      <c r="IHD264" s="178"/>
      <c r="IHE264" s="178"/>
      <c r="IHF264" s="178"/>
      <c r="IHG264" s="178"/>
      <c r="IHH264" s="178"/>
      <c r="IHI264" s="178"/>
      <c r="IHJ264" s="178"/>
      <c r="IHK264" s="178"/>
      <c r="IHL264" s="178"/>
      <c r="IHM264" s="178"/>
      <c r="IHN264" s="178"/>
      <c r="IHO264" s="178"/>
      <c r="IHP264" s="178"/>
      <c r="IHQ264" s="178"/>
      <c r="IHR264" s="178"/>
      <c r="IHS264" s="178"/>
      <c r="IHT264" s="178"/>
      <c r="IHU264" s="178"/>
      <c r="IHV264" s="178"/>
      <c r="IHW264" s="178"/>
      <c r="IHX264" s="178"/>
      <c r="IHY264" s="178"/>
      <c r="IHZ264" s="178"/>
      <c r="IIA264" s="178"/>
      <c r="IIB264" s="178"/>
      <c r="IIC264" s="178"/>
      <c r="IID264" s="178"/>
      <c r="IIE264" s="178"/>
      <c r="IIF264" s="178"/>
      <c r="IIG264" s="178"/>
      <c r="IIH264" s="178"/>
      <c r="III264" s="178"/>
      <c r="IIJ264" s="178"/>
      <c r="IIK264" s="178"/>
      <c r="IIL264" s="178"/>
      <c r="IIM264" s="178"/>
      <c r="IIN264" s="178"/>
      <c r="IIO264" s="178"/>
      <c r="IIP264" s="178"/>
      <c r="IIQ264" s="178"/>
      <c r="IIR264" s="178"/>
      <c r="IIS264" s="178"/>
      <c r="IIT264" s="178"/>
      <c r="IIU264" s="178"/>
      <c r="IIV264" s="178"/>
      <c r="IIW264" s="178"/>
      <c r="IIX264" s="178"/>
      <c r="IIY264" s="178"/>
      <c r="IIZ264" s="178"/>
      <c r="IJA264" s="178"/>
      <c r="IJB264" s="178"/>
      <c r="IJC264" s="178"/>
      <c r="IJD264" s="178"/>
      <c r="IJE264" s="178"/>
      <c r="IJF264" s="178"/>
      <c r="IJG264" s="178"/>
      <c r="IJH264" s="178"/>
      <c r="IJI264" s="178"/>
      <c r="IJJ264" s="178"/>
      <c r="IJK264" s="178"/>
      <c r="IJL264" s="178"/>
      <c r="IJM264" s="178"/>
      <c r="IJN264" s="178"/>
      <c r="IJO264" s="178"/>
      <c r="IJP264" s="178"/>
      <c r="IJQ264" s="178"/>
      <c r="IJR264" s="178"/>
      <c r="IJS264" s="178"/>
      <c r="IJT264" s="178"/>
      <c r="IJU264" s="178"/>
      <c r="IJV264" s="178"/>
      <c r="IJW264" s="178"/>
      <c r="IJX264" s="178"/>
      <c r="IJY264" s="178"/>
      <c r="IJZ264" s="178"/>
      <c r="IKA264" s="178"/>
      <c r="IKB264" s="178"/>
      <c r="IKC264" s="178"/>
      <c r="IKD264" s="178"/>
      <c r="IKE264" s="178"/>
      <c r="IKF264" s="178"/>
      <c r="IKG264" s="178"/>
      <c r="IKH264" s="178"/>
      <c r="IKI264" s="178"/>
      <c r="IKJ264" s="178"/>
      <c r="IKK264" s="178"/>
      <c r="IKL264" s="178"/>
      <c r="IKM264" s="178"/>
      <c r="IKN264" s="178"/>
      <c r="IKO264" s="178"/>
      <c r="IKP264" s="178"/>
      <c r="IKQ264" s="178"/>
      <c r="IKR264" s="178"/>
      <c r="IKS264" s="178"/>
      <c r="IKT264" s="178"/>
      <c r="IKU264" s="178"/>
      <c r="IKV264" s="178"/>
      <c r="IKW264" s="178"/>
      <c r="IKX264" s="178"/>
      <c r="IKY264" s="178"/>
      <c r="IKZ264" s="178"/>
      <c r="ILA264" s="178"/>
      <c r="ILB264" s="178"/>
      <c r="ILC264" s="178"/>
      <c r="ILD264" s="178"/>
      <c r="ILE264" s="178"/>
      <c r="ILF264" s="178"/>
      <c r="ILG264" s="178"/>
      <c r="ILH264" s="178"/>
      <c r="ILI264" s="178"/>
      <c r="ILJ264" s="178"/>
      <c r="ILK264" s="178"/>
      <c r="ILL264" s="178"/>
      <c r="ILM264" s="178"/>
      <c r="ILN264" s="178"/>
      <c r="ILO264" s="178"/>
      <c r="ILP264" s="178"/>
      <c r="ILQ264" s="178"/>
      <c r="ILR264" s="178"/>
      <c r="ILS264" s="178"/>
      <c r="ILT264" s="178"/>
      <c r="ILU264" s="178"/>
      <c r="ILV264" s="178"/>
      <c r="ILW264" s="178"/>
      <c r="ILX264" s="178"/>
      <c r="ILY264" s="178"/>
      <c r="ILZ264" s="178"/>
      <c r="IMA264" s="178"/>
      <c r="IMB264" s="178"/>
      <c r="IMC264" s="178"/>
      <c r="IMD264" s="178"/>
      <c r="IME264" s="178"/>
      <c r="IMF264" s="178"/>
      <c r="IMG264" s="178"/>
      <c r="IMH264" s="178"/>
      <c r="IMI264" s="178"/>
      <c r="IMJ264" s="178"/>
      <c r="IMK264" s="178"/>
      <c r="IML264" s="178"/>
      <c r="IMM264" s="178"/>
      <c r="IMN264" s="178"/>
      <c r="IMO264" s="178"/>
      <c r="IMP264" s="178"/>
      <c r="IMQ264" s="178"/>
      <c r="IMR264" s="178"/>
      <c r="IMS264" s="178"/>
      <c r="IMT264" s="178"/>
      <c r="IMU264" s="178"/>
      <c r="IMV264" s="178"/>
      <c r="IMW264" s="178"/>
      <c r="IMX264" s="178"/>
      <c r="IMY264" s="178"/>
      <c r="IMZ264" s="178"/>
      <c r="INA264" s="178"/>
      <c r="INB264" s="178"/>
      <c r="INC264" s="178"/>
      <c r="IND264" s="178"/>
      <c r="INE264" s="178"/>
      <c r="INF264" s="178"/>
      <c r="ING264" s="178"/>
      <c r="INH264" s="178"/>
      <c r="INI264" s="178"/>
      <c r="INJ264" s="178"/>
      <c r="INK264" s="178"/>
      <c r="INL264" s="178"/>
      <c r="INM264" s="178"/>
      <c r="INN264" s="178"/>
      <c r="INO264" s="178"/>
      <c r="INP264" s="178"/>
      <c r="INQ264" s="178"/>
      <c r="INR264" s="178"/>
      <c r="INS264" s="178"/>
      <c r="INT264" s="178"/>
      <c r="INU264" s="178"/>
      <c r="INV264" s="178"/>
      <c r="INW264" s="178"/>
      <c r="INX264" s="178"/>
      <c r="INY264" s="178"/>
      <c r="INZ264" s="178"/>
      <c r="IOA264" s="178"/>
      <c r="IOB264" s="178"/>
      <c r="IOC264" s="178"/>
      <c r="IOD264" s="178"/>
      <c r="IOE264" s="178"/>
      <c r="IOF264" s="178"/>
      <c r="IOG264" s="178"/>
      <c r="IOH264" s="178"/>
      <c r="IOI264" s="178"/>
      <c r="IOJ264" s="178"/>
      <c r="IOK264" s="178"/>
      <c r="IOL264" s="178"/>
      <c r="IOM264" s="178"/>
      <c r="ION264" s="178"/>
      <c r="IOO264" s="178"/>
      <c r="IOP264" s="178"/>
      <c r="IOQ264" s="178"/>
      <c r="IOR264" s="178"/>
      <c r="IOS264" s="178"/>
      <c r="IOT264" s="178"/>
      <c r="IOU264" s="178"/>
      <c r="IOV264" s="178"/>
      <c r="IOW264" s="178"/>
      <c r="IOX264" s="178"/>
      <c r="IOY264" s="178"/>
      <c r="IOZ264" s="178"/>
      <c r="IPA264" s="178"/>
      <c r="IPB264" s="178"/>
      <c r="IPC264" s="178"/>
      <c r="IPD264" s="178"/>
      <c r="IPE264" s="178"/>
      <c r="IPF264" s="178"/>
      <c r="IPG264" s="178"/>
      <c r="IPH264" s="178"/>
      <c r="IPI264" s="178"/>
      <c r="IPJ264" s="178"/>
      <c r="IPK264" s="178"/>
      <c r="IPL264" s="178"/>
      <c r="IPM264" s="178"/>
      <c r="IPN264" s="178"/>
      <c r="IPO264" s="178"/>
      <c r="IPP264" s="178"/>
      <c r="IPQ264" s="178"/>
      <c r="IPR264" s="178"/>
      <c r="IPS264" s="178"/>
      <c r="IPT264" s="178"/>
      <c r="IPU264" s="178"/>
      <c r="IPV264" s="178"/>
      <c r="IPW264" s="178"/>
      <c r="IPX264" s="178"/>
      <c r="IPY264" s="178"/>
      <c r="IPZ264" s="178"/>
      <c r="IQA264" s="178"/>
      <c r="IQB264" s="178"/>
      <c r="IQC264" s="178"/>
      <c r="IQD264" s="178"/>
      <c r="IQE264" s="178"/>
      <c r="IQF264" s="178"/>
      <c r="IQG264" s="178"/>
      <c r="IQH264" s="178"/>
      <c r="IQI264" s="178"/>
      <c r="IQJ264" s="178"/>
      <c r="IQK264" s="178"/>
      <c r="IQL264" s="178"/>
      <c r="IQM264" s="178"/>
      <c r="IQN264" s="178"/>
      <c r="IQO264" s="178"/>
      <c r="IQP264" s="178"/>
      <c r="IQQ264" s="178"/>
      <c r="IQR264" s="178"/>
      <c r="IQS264" s="178"/>
      <c r="IQT264" s="178"/>
      <c r="IQU264" s="178"/>
      <c r="IQV264" s="178"/>
      <c r="IQW264" s="178"/>
      <c r="IQX264" s="178"/>
      <c r="IQY264" s="178"/>
      <c r="IQZ264" s="178"/>
      <c r="IRA264" s="178"/>
      <c r="IRB264" s="178"/>
      <c r="IRC264" s="178"/>
      <c r="IRD264" s="178"/>
      <c r="IRE264" s="178"/>
      <c r="IRF264" s="178"/>
      <c r="IRG264" s="178"/>
      <c r="IRH264" s="178"/>
      <c r="IRI264" s="178"/>
      <c r="IRJ264" s="178"/>
      <c r="IRK264" s="178"/>
      <c r="IRL264" s="178"/>
      <c r="IRM264" s="178"/>
      <c r="IRN264" s="178"/>
      <c r="IRO264" s="178"/>
      <c r="IRP264" s="178"/>
      <c r="IRQ264" s="178"/>
      <c r="IRR264" s="178"/>
      <c r="IRS264" s="178"/>
      <c r="IRT264" s="178"/>
      <c r="IRU264" s="178"/>
      <c r="IRV264" s="178"/>
      <c r="IRW264" s="178"/>
      <c r="IRX264" s="178"/>
      <c r="IRY264" s="178"/>
      <c r="IRZ264" s="178"/>
      <c r="ISA264" s="178"/>
      <c r="ISB264" s="178"/>
      <c r="ISC264" s="178"/>
      <c r="ISD264" s="178"/>
      <c r="ISE264" s="178"/>
      <c r="ISF264" s="178"/>
      <c r="ISG264" s="178"/>
      <c r="ISH264" s="178"/>
      <c r="ISI264" s="178"/>
      <c r="ISJ264" s="178"/>
      <c r="ISK264" s="178"/>
      <c r="ISL264" s="178"/>
      <c r="ISM264" s="178"/>
      <c r="ISN264" s="178"/>
      <c r="ISO264" s="178"/>
      <c r="ISP264" s="178"/>
      <c r="ISQ264" s="178"/>
      <c r="ISR264" s="178"/>
      <c r="ISS264" s="178"/>
      <c r="IST264" s="178"/>
      <c r="ISU264" s="178"/>
      <c r="ISV264" s="178"/>
      <c r="ISW264" s="178"/>
      <c r="ISX264" s="178"/>
      <c r="ISY264" s="178"/>
      <c r="ISZ264" s="178"/>
      <c r="ITA264" s="178"/>
      <c r="ITB264" s="178"/>
      <c r="ITC264" s="178"/>
      <c r="ITD264" s="178"/>
      <c r="ITE264" s="178"/>
      <c r="ITF264" s="178"/>
      <c r="ITG264" s="178"/>
      <c r="ITH264" s="178"/>
      <c r="ITI264" s="178"/>
      <c r="ITJ264" s="178"/>
      <c r="ITK264" s="178"/>
      <c r="ITL264" s="178"/>
      <c r="ITM264" s="178"/>
      <c r="ITN264" s="178"/>
      <c r="ITO264" s="178"/>
      <c r="ITP264" s="178"/>
      <c r="ITQ264" s="178"/>
      <c r="ITR264" s="178"/>
      <c r="ITS264" s="178"/>
      <c r="ITT264" s="178"/>
      <c r="ITU264" s="178"/>
      <c r="ITV264" s="178"/>
      <c r="ITW264" s="178"/>
      <c r="ITX264" s="178"/>
      <c r="ITY264" s="178"/>
      <c r="ITZ264" s="178"/>
      <c r="IUA264" s="178"/>
      <c r="IUB264" s="178"/>
      <c r="IUC264" s="178"/>
      <c r="IUD264" s="178"/>
      <c r="IUE264" s="178"/>
      <c r="IUF264" s="178"/>
      <c r="IUG264" s="178"/>
      <c r="IUH264" s="178"/>
      <c r="IUI264" s="178"/>
      <c r="IUJ264" s="178"/>
      <c r="IUK264" s="178"/>
      <c r="IUL264" s="178"/>
      <c r="IUM264" s="178"/>
      <c r="IUN264" s="178"/>
      <c r="IUO264" s="178"/>
      <c r="IUP264" s="178"/>
      <c r="IUQ264" s="178"/>
      <c r="IUR264" s="178"/>
      <c r="IUS264" s="178"/>
      <c r="IUT264" s="178"/>
      <c r="IUU264" s="178"/>
      <c r="IUV264" s="178"/>
      <c r="IUW264" s="178"/>
      <c r="IUX264" s="178"/>
      <c r="IUY264" s="178"/>
      <c r="IUZ264" s="178"/>
      <c r="IVA264" s="178"/>
      <c r="IVB264" s="178"/>
      <c r="IVC264" s="178"/>
      <c r="IVD264" s="178"/>
      <c r="IVE264" s="178"/>
      <c r="IVF264" s="178"/>
      <c r="IVG264" s="178"/>
      <c r="IVH264" s="178"/>
      <c r="IVI264" s="178"/>
      <c r="IVJ264" s="178"/>
      <c r="IVK264" s="178"/>
      <c r="IVL264" s="178"/>
      <c r="IVM264" s="178"/>
      <c r="IVN264" s="178"/>
      <c r="IVO264" s="178"/>
      <c r="IVP264" s="178"/>
      <c r="IVQ264" s="178"/>
      <c r="IVR264" s="178"/>
      <c r="IVS264" s="178"/>
      <c r="IVT264" s="178"/>
      <c r="IVU264" s="178"/>
      <c r="IVV264" s="178"/>
      <c r="IVW264" s="178"/>
      <c r="IVX264" s="178"/>
      <c r="IVY264" s="178"/>
      <c r="IVZ264" s="178"/>
      <c r="IWA264" s="178"/>
      <c r="IWB264" s="178"/>
      <c r="IWC264" s="178"/>
      <c r="IWD264" s="178"/>
      <c r="IWE264" s="178"/>
      <c r="IWF264" s="178"/>
      <c r="IWG264" s="178"/>
      <c r="IWH264" s="178"/>
      <c r="IWI264" s="178"/>
      <c r="IWJ264" s="178"/>
      <c r="IWK264" s="178"/>
      <c r="IWL264" s="178"/>
      <c r="IWM264" s="178"/>
      <c r="IWN264" s="178"/>
      <c r="IWO264" s="178"/>
      <c r="IWP264" s="178"/>
      <c r="IWQ264" s="178"/>
      <c r="IWR264" s="178"/>
      <c r="IWS264" s="178"/>
      <c r="IWT264" s="178"/>
      <c r="IWU264" s="178"/>
      <c r="IWV264" s="178"/>
      <c r="IWW264" s="178"/>
      <c r="IWX264" s="178"/>
      <c r="IWY264" s="178"/>
      <c r="IWZ264" s="178"/>
      <c r="IXA264" s="178"/>
      <c r="IXB264" s="178"/>
      <c r="IXC264" s="178"/>
      <c r="IXD264" s="178"/>
      <c r="IXE264" s="178"/>
      <c r="IXF264" s="178"/>
      <c r="IXG264" s="178"/>
      <c r="IXH264" s="178"/>
      <c r="IXI264" s="178"/>
      <c r="IXJ264" s="178"/>
      <c r="IXK264" s="178"/>
      <c r="IXL264" s="178"/>
      <c r="IXM264" s="178"/>
      <c r="IXN264" s="178"/>
      <c r="IXO264" s="178"/>
      <c r="IXP264" s="178"/>
      <c r="IXQ264" s="178"/>
      <c r="IXR264" s="178"/>
      <c r="IXS264" s="178"/>
      <c r="IXT264" s="178"/>
      <c r="IXU264" s="178"/>
      <c r="IXV264" s="178"/>
      <c r="IXW264" s="178"/>
      <c r="IXX264" s="178"/>
      <c r="IXY264" s="178"/>
      <c r="IXZ264" s="178"/>
      <c r="IYA264" s="178"/>
      <c r="IYB264" s="178"/>
      <c r="IYC264" s="178"/>
      <c r="IYD264" s="178"/>
      <c r="IYE264" s="178"/>
      <c r="IYF264" s="178"/>
      <c r="IYG264" s="178"/>
      <c r="IYH264" s="178"/>
      <c r="IYI264" s="178"/>
      <c r="IYJ264" s="178"/>
      <c r="IYK264" s="178"/>
      <c r="IYL264" s="178"/>
      <c r="IYM264" s="178"/>
      <c r="IYN264" s="178"/>
      <c r="IYO264" s="178"/>
      <c r="IYP264" s="178"/>
      <c r="IYQ264" s="178"/>
      <c r="IYR264" s="178"/>
      <c r="IYS264" s="178"/>
      <c r="IYT264" s="178"/>
      <c r="IYU264" s="178"/>
      <c r="IYV264" s="178"/>
      <c r="IYW264" s="178"/>
      <c r="IYX264" s="178"/>
      <c r="IYY264" s="178"/>
      <c r="IYZ264" s="178"/>
      <c r="IZA264" s="178"/>
      <c r="IZB264" s="178"/>
      <c r="IZC264" s="178"/>
      <c r="IZD264" s="178"/>
      <c r="IZE264" s="178"/>
      <c r="IZF264" s="178"/>
      <c r="IZG264" s="178"/>
      <c r="IZH264" s="178"/>
      <c r="IZI264" s="178"/>
      <c r="IZJ264" s="178"/>
      <c r="IZK264" s="178"/>
      <c r="IZL264" s="178"/>
      <c r="IZM264" s="178"/>
      <c r="IZN264" s="178"/>
      <c r="IZO264" s="178"/>
      <c r="IZP264" s="178"/>
      <c r="IZQ264" s="178"/>
      <c r="IZR264" s="178"/>
      <c r="IZS264" s="178"/>
      <c r="IZT264" s="178"/>
      <c r="IZU264" s="178"/>
      <c r="IZV264" s="178"/>
      <c r="IZW264" s="178"/>
      <c r="IZX264" s="178"/>
      <c r="IZY264" s="178"/>
      <c r="IZZ264" s="178"/>
      <c r="JAA264" s="178"/>
      <c r="JAB264" s="178"/>
      <c r="JAC264" s="178"/>
      <c r="JAD264" s="178"/>
      <c r="JAE264" s="178"/>
      <c r="JAF264" s="178"/>
      <c r="JAG264" s="178"/>
      <c r="JAH264" s="178"/>
      <c r="JAI264" s="178"/>
      <c r="JAJ264" s="178"/>
      <c r="JAK264" s="178"/>
      <c r="JAL264" s="178"/>
      <c r="JAM264" s="178"/>
      <c r="JAN264" s="178"/>
      <c r="JAO264" s="178"/>
      <c r="JAP264" s="178"/>
      <c r="JAQ264" s="178"/>
      <c r="JAR264" s="178"/>
      <c r="JAS264" s="178"/>
      <c r="JAT264" s="178"/>
      <c r="JAU264" s="178"/>
      <c r="JAV264" s="178"/>
      <c r="JAW264" s="178"/>
      <c r="JAX264" s="178"/>
      <c r="JAY264" s="178"/>
      <c r="JAZ264" s="178"/>
      <c r="JBA264" s="178"/>
      <c r="JBB264" s="178"/>
      <c r="JBC264" s="178"/>
      <c r="JBD264" s="178"/>
      <c r="JBE264" s="178"/>
      <c r="JBF264" s="178"/>
      <c r="JBG264" s="178"/>
      <c r="JBH264" s="178"/>
      <c r="JBI264" s="178"/>
      <c r="JBJ264" s="178"/>
      <c r="JBK264" s="178"/>
      <c r="JBL264" s="178"/>
      <c r="JBM264" s="178"/>
      <c r="JBN264" s="178"/>
      <c r="JBO264" s="178"/>
      <c r="JBP264" s="178"/>
      <c r="JBQ264" s="178"/>
      <c r="JBR264" s="178"/>
      <c r="JBS264" s="178"/>
      <c r="JBT264" s="178"/>
      <c r="JBU264" s="178"/>
      <c r="JBV264" s="178"/>
      <c r="JBW264" s="178"/>
      <c r="JBX264" s="178"/>
      <c r="JBY264" s="178"/>
      <c r="JBZ264" s="178"/>
      <c r="JCA264" s="178"/>
      <c r="JCB264" s="178"/>
      <c r="JCC264" s="178"/>
      <c r="JCD264" s="178"/>
      <c r="JCE264" s="178"/>
      <c r="JCF264" s="178"/>
      <c r="JCG264" s="178"/>
      <c r="JCH264" s="178"/>
      <c r="JCI264" s="178"/>
      <c r="JCJ264" s="178"/>
      <c r="JCK264" s="178"/>
      <c r="JCL264" s="178"/>
      <c r="JCM264" s="178"/>
      <c r="JCN264" s="178"/>
      <c r="JCO264" s="178"/>
      <c r="JCP264" s="178"/>
      <c r="JCQ264" s="178"/>
      <c r="JCR264" s="178"/>
      <c r="JCS264" s="178"/>
      <c r="JCT264" s="178"/>
      <c r="JCU264" s="178"/>
      <c r="JCV264" s="178"/>
      <c r="JCW264" s="178"/>
      <c r="JCX264" s="178"/>
      <c r="JCY264" s="178"/>
      <c r="JCZ264" s="178"/>
      <c r="JDA264" s="178"/>
      <c r="JDB264" s="178"/>
      <c r="JDC264" s="178"/>
      <c r="JDD264" s="178"/>
      <c r="JDE264" s="178"/>
      <c r="JDF264" s="178"/>
      <c r="JDG264" s="178"/>
      <c r="JDH264" s="178"/>
      <c r="JDI264" s="178"/>
      <c r="JDJ264" s="178"/>
      <c r="JDK264" s="178"/>
      <c r="JDL264" s="178"/>
      <c r="JDM264" s="178"/>
      <c r="JDN264" s="178"/>
      <c r="JDO264" s="178"/>
      <c r="JDP264" s="178"/>
      <c r="JDQ264" s="178"/>
      <c r="JDR264" s="178"/>
      <c r="JDS264" s="178"/>
      <c r="JDT264" s="178"/>
      <c r="JDU264" s="178"/>
      <c r="JDV264" s="178"/>
      <c r="JDW264" s="178"/>
      <c r="JDX264" s="178"/>
      <c r="JDY264" s="178"/>
      <c r="JDZ264" s="178"/>
      <c r="JEA264" s="178"/>
      <c r="JEB264" s="178"/>
      <c r="JEC264" s="178"/>
      <c r="JED264" s="178"/>
      <c r="JEE264" s="178"/>
      <c r="JEF264" s="178"/>
      <c r="JEG264" s="178"/>
      <c r="JEH264" s="178"/>
      <c r="JEI264" s="178"/>
      <c r="JEJ264" s="178"/>
      <c r="JEK264" s="178"/>
      <c r="JEL264" s="178"/>
      <c r="JEM264" s="178"/>
      <c r="JEN264" s="178"/>
      <c r="JEO264" s="178"/>
      <c r="JEP264" s="178"/>
      <c r="JEQ264" s="178"/>
      <c r="JER264" s="178"/>
      <c r="JES264" s="178"/>
      <c r="JET264" s="178"/>
      <c r="JEU264" s="178"/>
      <c r="JEV264" s="178"/>
      <c r="JEW264" s="178"/>
      <c r="JEX264" s="178"/>
      <c r="JEY264" s="178"/>
      <c r="JEZ264" s="178"/>
      <c r="JFA264" s="178"/>
      <c r="JFB264" s="178"/>
      <c r="JFC264" s="178"/>
      <c r="JFD264" s="178"/>
      <c r="JFE264" s="178"/>
      <c r="JFF264" s="178"/>
      <c r="JFG264" s="178"/>
      <c r="JFH264" s="178"/>
      <c r="JFI264" s="178"/>
      <c r="JFJ264" s="178"/>
      <c r="JFK264" s="178"/>
      <c r="JFL264" s="178"/>
      <c r="JFM264" s="178"/>
      <c r="JFN264" s="178"/>
      <c r="JFO264" s="178"/>
      <c r="JFP264" s="178"/>
      <c r="JFQ264" s="178"/>
      <c r="JFR264" s="178"/>
      <c r="JFS264" s="178"/>
      <c r="JFT264" s="178"/>
      <c r="JFU264" s="178"/>
      <c r="JFV264" s="178"/>
      <c r="JFW264" s="178"/>
      <c r="JFX264" s="178"/>
      <c r="JFY264" s="178"/>
      <c r="JFZ264" s="178"/>
      <c r="JGA264" s="178"/>
      <c r="JGB264" s="178"/>
      <c r="JGC264" s="178"/>
      <c r="JGD264" s="178"/>
      <c r="JGE264" s="178"/>
      <c r="JGF264" s="178"/>
      <c r="JGG264" s="178"/>
      <c r="JGH264" s="178"/>
      <c r="JGI264" s="178"/>
      <c r="JGJ264" s="178"/>
      <c r="JGK264" s="178"/>
      <c r="JGL264" s="178"/>
      <c r="JGM264" s="178"/>
      <c r="JGN264" s="178"/>
      <c r="JGO264" s="178"/>
      <c r="JGP264" s="178"/>
      <c r="JGQ264" s="178"/>
      <c r="JGR264" s="178"/>
      <c r="JGS264" s="178"/>
      <c r="JGT264" s="178"/>
      <c r="JGU264" s="178"/>
      <c r="JGV264" s="178"/>
      <c r="JGW264" s="178"/>
      <c r="JGX264" s="178"/>
      <c r="JGY264" s="178"/>
      <c r="JGZ264" s="178"/>
      <c r="JHA264" s="178"/>
      <c r="JHB264" s="178"/>
      <c r="JHC264" s="178"/>
      <c r="JHD264" s="178"/>
      <c r="JHE264" s="178"/>
      <c r="JHF264" s="178"/>
      <c r="JHG264" s="178"/>
      <c r="JHH264" s="178"/>
      <c r="JHI264" s="178"/>
      <c r="JHJ264" s="178"/>
      <c r="JHK264" s="178"/>
      <c r="JHL264" s="178"/>
      <c r="JHM264" s="178"/>
      <c r="JHN264" s="178"/>
      <c r="JHO264" s="178"/>
      <c r="JHP264" s="178"/>
      <c r="JHQ264" s="178"/>
      <c r="JHR264" s="178"/>
      <c r="JHS264" s="178"/>
      <c r="JHT264" s="178"/>
      <c r="JHU264" s="178"/>
      <c r="JHV264" s="178"/>
      <c r="JHW264" s="178"/>
      <c r="JHX264" s="178"/>
      <c r="JHY264" s="178"/>
      <c r="JHZ264" s="178"/>
      <c r="JIA264" s="178"/>
      <c r="JIB264" s="178"/>
      <c r="JIC264" s="178"/>
      <c r="JID264" s="178"/>
      <c r="JIE264" s="178"/>
      <c r="JIF264" s="178"/>
      <c r="JIG264" s="178"/>
      <c r="JIH264" s="178"/>
      <c r="JII264" s="178"/>
      <c r="JIJ264" s="178"/>
      <c r="JIK264" s="178"/>
      <c r="JIL264" s="178"/>
      <c r="JIM264" s="178"/>
      <c r="JIN264" s="178"/>
      <c r="JIO264" s="178"/>
      <c r="JIP264" s="178"/>
      <c r="JIQ264" s="178"/>
      <c r="JIR264" s="178"/>
      <c r="JIS264" s="178"/>
      <c r="JIT264" s="178"/>
      <c r="JIU264" s="178"/>
      <c r="JIV264" s="178"/>
      <c r="JIW264" s="178"/>
      <c r="JIX264" s="178"/>
      <c r="JIY264" s="178"/>
      <c r="JIZ264" s="178"/>
      <c r="JJA264" s="178"/>
      <c r="JJB264" s="178"/>
      <c r="JJC264" s="178"/>
      <c r="JJD264" s="178"/>
      <c r="JJE264" s="178"/>
      <c r="JJF264" s="178"/>
      <c r="JJG264" s="178"/>
      <c r="JJH264" s="178"/>
      <c r="JJI264" s="178"/>
      <c r="JJJ264" s="178"/>
      <c r="JJK264" s="178"/>
      <c r="JJL264" s="178"/>
      <c r="JJM264" s="178"/>
      <c r="JJN264" s="178"/>
      <c r="JJO264" s="178"/>
      <c r="JJP264" s="178"/>
      <c r="JJQ264" s="178"/>
      <c r="JJR264" s="178"/>
      <c r="JJS264" s="178"/>
      <c r="JJT264" s="178"/>
      <c r="JJU264" s="178"/>
      <c r="JJV264" s="178"/>
      <c r="JJW264" s="178"/>
      <c r="JJX264" s="178"/>
      <c r="JJY264" s="178"/>
      <c r="JJZ264" s="178"/>
      <c r="JKA264" s="178"/>
      <c r="JKB264" s="178"/>
      <c r="JKC264" s="178"/>
      <c r="JKD264" s="178"/>
      <c r="JKE264" s="178"/>
      <c r="JKF264" s="178"/>
      <c r="JKG264" s="178"/>
      <c r="JKH264" s="178"/>
      <c r="JKI264" s="178"/>
      <c r="JKJ264" s="178"/>
      <c r="JKK264" s="178"/>
      <c r="JKL264" s="178"/>
      <c r="JKM264" s="178"/>
      <c r="JKN264" s="178"/>
      <c r="JKO264" s="178"/>
      <c r="JKP264" s="178"/>
      <c r="JKQ264" s="178"/>
      <c r="JKR264" s="178"/>
      <c r="JKS264" s="178"/>
      <c r="JKT264" s="178"/>
      <c r="JKU264" s="178"/>
      <c r="JKV264" s="178"/>
      <c r="JKW264" s="178"/>
      <c r="JKX264" s="178"/>
      <c r="JKY264" s="178"/>
      <c r="JKZ264" s="178"/>
      <c r="JLA264" s="178"/>
      <c r="JLB264" s="178"/>
      <c r="JLC264" s="178"/>
      <c r="JLD264" s="178"/>
      <c r="JLE264" s="178"/>
      <c r="JLF264" s="178"/>
      <c r="JLG264" s="178"/>
      <c r="JLH264" s="178"/>
      <c r="JLI264" s="178"/>
      <c r="JLJ264" s="178"/>
      <c r="JLK264" s="178"/>
      <c r="JLL264" s="178"/>
      <c r="JLM264" s="178"/>
      <c r="JLN264" s="178"/>
      <c r="JLO264" s="178"/>
      <c r="JLP264" s="178"/>
      <c r="JLQ264" s="178"/>
      <c r="JLR264" s="178"/>
      <c r="JLS264" s="178"/>
      <c r="JLT264" s="178"/>
      <c r="JLU264" s="178"/>
      <c r="JLV264" s="178"/>
      <c r="JLW264" s="178"/>
      <c r="JLX264" s="178"/>
      <c r="JLY264" s="178"/>
      <c r="JLZ264" s="178"/>
      <c r="JMA264" s="178"/>
      <c r="JMB264" s="178"/>
      <c r="JMC264" s="178"/>
      <c r="JMD264" s="178"/>
      <c r="JME264" s="178"/>
      <c r="JMF264" s="178"/>
      <c r="JMG264" s="178"/>
      <c r="JMH264" s="178"/>
      <c r="JMI264" s="178"/>
      <c r="JMJ264" s="178"/>
      <c r="JMK264" s="178"/>
      <c r="JML264" s="178"/>
      <c r="JMM264" s="178"/>
      <c r="JMN264" s="178"/>
      <c r="JMO264" s="178"/>
      <c r="JMP264" s="178"/>
      <c r="JMQ264" s="178"/>
      <c r="JMR264" s="178"/>
      <c r="JMS264" s="178"/>
      <c r="JMT264" s="178"/>
      <c r="JMU264" s="178"/>
      <c r="JMV264" s="178"/>
      <c r="JMW264" s="178"/>
      <c r="JMX264" s="178"/>
      <c r="JMY264" s="178"/>
      <c r="JMZ264" s="178"/>
      <c r="JNA264" s="178"/>
      <c r="JNB264" s="178"/>
      <c r="JNC264" s="178"/>
      <c r="JND264" s="178"/>
      <c r="JNE264" s="178"/>
      <c r="JNF264" s="178"/>
      <c r="JNG264" s="178"/>
      <c r="JNH264" s="178"/>
      <c r="JNI264" s="178"/>
      <c r="JNJ264" s="178"/>
      <c r="JNK264" s="178"/>
      <c r="JNL264" s="178"/>
      <c r="JNM264" s="178"/>
      <c r="JNN264" s="178"/>
      <c r="JNO264" s="178"/>
      <c r="JNP264" s="178"/>
      <c r="JNQ264" s="178"/>
      <c r="JNR264" s="178"/>
      <c r="JNS264" s="178"/>
      <c r="JNT264" s="178"/>
      <c r="JNU264" s="178"/>
      <c r="JNV264" s="178"/>
      <c r="JNW264" s="178"/>
      <c r="JNX264" s="178"/>
      <c r="JNY264" s="178"/>
      <c r="JNZ264" s="178"/>
      <c r="JOA264" s="178"/>
      <c r="JOB264" s="178"/>
      <c r="JOC264" s="178"/>
      <c r="JOD264" s="178"/>
      <c r="JOE264" s="178"/>
      <c r="JOF264" s="178"/>
      <c r="JOG264" s="178"/>
      <c r="JOH264" s="178"/>
      <c r="JOI264" s="178"/>
      <c r="JOJ264" s="178"/>
      <c r="JOK264" s="178"/>
      <c r="JOL264" s="178"/>
      <c r="JOM264" s="178"/>
      <c r="JON264" s="178"/>
      <c r="JOO264" s="178"/>
      <c r="JOP264" s="178"/>
      <c r="JOQ264" s="178"/>
      <c r="JOR264" s="178"/>
      <c r="JOS264" s="178"/>
      <c r="JOT264" s="178"/>
      <c r="JOU264" s="178"/>
      <c r="JOV264" s="178"/>
      <c r="JOW264" s="178"/>
      <c r="JOX264" s="178"/>
      <c r="JOY264" s="178"/>
      <c r="JOZ264" s="178"/>
      <c r="JPA264" s="178"/>
      <c r="JPB264" s="178"/>
      <c r="JPC264" s="178"/>
      <c r="JPD264" s="178"/>
      <c r="JPE264" s="178"/>
      <c r="JPF264" s="178"/>
      <c r="JPG264" s="178"/>
      <c r="JPH264" s="178"/>
      <c r="JPI264" s="178"/>
      <c r="JPJ264" s="178"/>
      <c r="JPK264" s="178"/>
      <c r="JPL264" s="178"/>
      <c r="JPM264" s="178"/>
      <c r="JPN264" s="178"/>
      <c r="JPO264" s="178"/>
      <c r="JPP264" s="178"/>
      <c r="JPQ264" s="178"/>
      <c r="JPR264" s="178"/>
      <c r="JPS264" s="178"/>
      <c r="JPT264" s="178"/>
      <c r="JPU264" s="178"/>
      <c r="JPV264" s="178"/>
      <c r="JPW264" s="178"/>
      <c r="JPX264" s="178"/>
      <c r="JPY264" s="178"/>
      <c r="JPZ264" s="178"/>
      <c r="JQA264" s="178"/>
      <c r="JQB264" s="178"/>
      <c r="JQC264" s="178"/>
      <c r="JQD264" s="178"/>
      <c r="JQE264" s="178"/>
      <c r="JQF264" s="178"/>
      <c r="JQG264" s="178"/>
      <c r="JQH264" s="178"/>
      <c r="JQI264" s="178"/>
      <c r="JQJ264" s="178"/>
      <c r="JQK264" s="178"/>
      <c r="JQL264" s="178"/>
      <c r="JQM264" s="178"/>
      <c r="JQN264" s="178"/>
      <c r="JQO264" s="178"/>
      <c r="JQP264" s="178"/>
      <c r="JQQ264" s="178"/>
      <c r="JQR264" s="178"/>
      <c r="JQS264" s="178"/>
      <c r="JQT264" s="178"/>
      <c r="JQU264" s="178"/>
      <c r="JQV264" s="178"/>
      <c r="JQW264" s="178"/>
      <c r="JQX264" s="178"/>
      <c r="JQY264" s="178"/>
      <c r="JQZ264" s="178"/>
      <c r="JRA264" s="178"/>
      <c r="JRB264" s="178"/>
      <c r="JRC264" s="178"/>
      <c r="JRD264" s="178"/>
      <c r="JRE264" s="178"/>
      <c r="JRF264" s="178"/>
      <c r="JRG264" s="178"/>
      <c r="JRH264" s="178"/>
      <c r="JRI264" s="178"/>
      <c r="JRJ264" s="178"/>
      <c r="JRK264" s="178"/>
      <c r="JRL264" s="178"/>
      <c r="JRM264" s="178"/>
      <c r="JRN264" s="178"/>
      <c r="JRO264" s="178"/>
      <c r="JRP264" s="178"/>
      <c r="JRQ264" s="178"/>
      <c r="JRR264" s="178"/>
      <c r="JRS264" s="178"/>
      <c r="JRT264" s="178"/>
      <c r="JRU264" s="178"/>
      <c r="JRV264" s="178"/>
      <c r="JRW264" s="178"/>
      <c r="JRX264" s="178"/>
      <c r="JRY264" s="178"/>
      <c r="JRZ264" s="178"/>
      <c r="JSA264" s="178"/>
      <c r="JSB264" s="178"/>
      <c r="JSC264" s="178"/>
      <c r="JSD264" s="178"/>
      <c r="JSE264" s="178"/>
      <c r="JSF264" s="178"/>
      <c r="JSG264" s="178"/>
      <c r="JSH264" s="178"/>
      <c r="JSI264" s="178"/>
      <c r="JSJ264" s="178"/>
      <c r="JSK264" s="178"/>
      <c r="JSL264" s="178"/>
      <c r="JSM264" s="178"/>
      <c r="JSN264" s="178"/>
      <c r="JSO264" s="178"/>
      <c r="JSP264" s="178"/>
      <c r="JSQ264" s="178"/>
      <c r="JSR264" s="178"/>
      <c r="JSS264" s="178"/>
      <c r="JST264" s="178"/>
      <c r="JSU264" s="178"/>
      <c r="JSV264" s="178"/>
      <c r="JSW264" s="178"/>
      <c r="JSX264" s="178"/>
      <c r="JSY264" s="178"/>
      <c r="JSZ264" s="178"/>
      <c r="JTA264" s="178"/>
      <c r="JTB264" s="178"/>
      <c r="JTC264" s="178"/>
      <c r="JTD264" s="178"/>
      <c r="JTE264" s="178"/>
      <c r="JTF264" s="178"/>
      <c r="JTG264" s="178"/>
      <c r="JTH264" s="178"/>
      <c r="JTI264" s="178"/>
      <c r="JTJ264" s="178"/>
      <c r="JTK264" s="178"/>
      <c r="JTL264" s="178"/>
      <c r="JTM264" s="178"/>
      <c r="JTN264" s="178"/>
      <c r="JTO264" s="178"/>
      <c r="JTP264" s="178"/>
      <c r="JTQ264" s="178"/>
      <c r="JTR264" s="178"/>
      <c r="JTS264" s="178"/>
      <c r="JTT264" s="178"/>
      <c r="JTU264" s="178"/>
      <c r="JTV264" s="178"/>
      <c r="JTW264" s="178"/>
      <c r="JTX264" s="178"/>
      <c r="JTY264" s="178"/>
      <c r="JTZ264" s="178"/>
      <c r="JUA264" s="178"/>
      <c r="JUB264" s="178"/>
      <c r="JUC264" s="178"/>
      <c r="JUD264" s="178"/>
      <c r="JUE264" s="178"/>
      <c r="JUF264" s="178"/>
      <c r="JUG264" s="178"/>
      <c r="JUH264" s="178"/>
      <c r="JUI264" s="178"/>
      <c r="JUJ264" s="178"/>
      <c r="JUK264" s="178"/>
      <c r="JUL264" s="178"/>
      <c r="JUM264" s="178"/>
      <c r="JUN264" s="178"/>
      <c r="JUO264" s="178"/>
      <c r="JUP264" s="178"/>
      <c r="JUQ264" s="178"/>
      <c r="JUR264" s="178"/>
      <c r="JUS264" s="178"/>
      <c r="JUT264" s="178"/>
      <c r="JUU264" s="178"/>
      <c r="JUV264" s="178"/>
      <c r="JUW264" s="178"/>
      <c r="JUX264" s="178"/>
      <c r="JUY264" s="178"/>
      <c r="JUZ264" s="178"/>
      <c r="JVA264" s="178"/>
      <c r="JVB264" s="178"/>
      <c r="JVC264" s="178"/>
      <c r="JVD264" s="178"/>
      <c r="JVE264" s="178"/>
      <c r="JVF264" s="178"/>
      <c r="JVG264" s="178"/>
      <c r="JVH264" s="178"/>
      <c r="JVI264" s="178"/>
      <c r="JVJ264" s="178"/>
      <c r="JVK264" s="178"/>
      <c r="JVL264" s="178"/>
      <c r="JVM264" s="178"/>
      <c r="JVN264" s="178"/>
      <c r="JVO264" s="178"/>
      <c r="JVP264" s="178"/>
      <c r="JVQ264" s="178"/>
      <c r="JVR264" s="178"/>
      <c r="JVS264" s="178"/>
      <c r="JVT264" s="178"/>
      <c r="JVU264" s="178"/>
      <c r="JVV264" s="178"/>
      <c r="JVW264" s="178"/>
      <c r="JVX264" s="178"/>
      <c r="JVY264" s="178"/>
      <c r="JVZ264" s="178"/>
      <c r="JWA264" s="178"/>
      <c r="JWB264" s="178"/>
      <c r="JWC264" s="178"/>
      <c r="JWD264" s="178"/>
      <c r="JWE264" s="178"/>
      <c r="JWF264" s="178"/>
      <c r="JWG264" s="178"/>
      <c r="JWH264" s="178"/>
      <c r="JWI264" s="178"/>
      <c r="JWJ264" s="178"/>
      <c r="JWK264" s="178"/>
      <c r="JWL264" s="178"/>
      <c r="JWM264" s="178"/>
      <c r="JWN264" s="178"/>
      <c r="JWO264" s="178"/>
      <c r="JWP264" s="178"/>
      <c r="JWQ264" s="178"/>
      <c r="JWR264" s="178"/>
      <c r="JWS264" s="178"/>
      <c r="JWT264" s="178"/>
      <c r="JWU264" s="178"/>
      <c r="JWV264" s="178"/>
      <c r="JWW264" s="178"/>
      <c r="JWX264" s="178"/>
      <c r="JWY264" s="178"/>
      <c r="JWZ264" s="178"/>
      <c r="JXA264" s="178"/>
      <c r="JXB264" s="178"/>
      <c r="JXC264" s="178"/>
      <c r="JXD264" s="178"/>
      <c r="JXE264" s="178"/>
      <c r="JXF264" s="178"/>
      <c r="JXG264" s="178"/>
      <c r="JXH264" s="178"/>
      <c r="JXI264" s="178"/>
      <c r="JXJ264" s="178"/>
      <c r="JXK264" s="178"/>
      <c r="JXL264" s="178"/>
      <c r="JXM264" s="178"/>
      <c r="JXN264" s="178"/>
      <c r="JXO264" s="178"/>
      <c r="JXP264" s="178"/>
      <c r="JXQ264" s="178"/>
      <c r="JXR264" s="178"/>
      <c r="JXS264" s="178"/>
      <c r="JXT264" s="178"/>
      <c r="JXU264" s="178"/>
      <c r="JXV264" s="178"/>
      <c r="JXW264" s="178"/>
      <c r="JXX264" s="178"/>
      <c r="JXY264" s="178"/>
      <c r="JXZ264" s="178"/>
      <c r="JYA264" s="178"/>
      <c r="JYB264" s="178"/>
      <c r="JYC264" s="178"/>
      <c r="JYD264" s="178"/>
      <c r="JYE264" s="178"/>
      <c r="JYF264" s="178"/>
      <c r="JYG264" s="178"/>
      <c r="JYH264" s="178"/>
      <c r="JYI264" s="178"/>
      <c r="JYJ264" s="178"/>
      <c r="JYK264" s="178"/>
      <c r="JYL264" s="178"/>
      <c r="JYM264" s="178"/>
      <c r="JYN264" s="178"/>
      <c r="JYO264" s="178"/>
      <c r="JYP264" s="178"/>
      <c r="JYQ264" s="178"/>
      <c r="JYR264" s="178"/>
      <c r="JYS264" s="178"/>
      <c r="JYT264" s="178"/>
      <c r="JYU264" s="178"/>
      <c r="JYV264" s="178"/>
      <c r="JYW264" s="178"/>
      <c r="JYX264" s="178"/>
      <c r="JYY264" s="178"/>
      <c r="JYZ264" s="178"/>
      <c r="JZA264" s="178"/>
      <c r="JZB264" s="178"/>
      <c r="JZC264" s="178"/>
      <c r="JZD264" s="178"/>
      <c r="JZE264" s="178"/>
      <c r="JZF264" s="178"/>
      <c r="JZG264" s="178"/>
      <c r="JZH264" s="178"/>
      <c r="JZI264" s="178"/>
      <c r="JZJ264" s="178"/>
      <c r="JZK264" s="178"/>
      <c r="JZL264" s="178"/>
      <c r="JZM264" s="178"/>
      <c r="JZN264" s="178"/>
      <c r="JZO264" s="178"/>
      <c r="JZP264" s="178"/>
      <c r="JZQ264" s="178"/>
      <c r="JZR264" s="178"/>
      <c r="JZS264" s="178"/>
      <c r="JZT264" s="178"/>
      <c r="JZU264" s="178"/>
      <c r="JZV264" s="178"/>
      <c r="JZW264" s="178"/>
      <c r="JZX264" s="178"/>
      <c r="JZY264" s="178"/>
      <c r="JZZ264" s="178"/>
      <c r="KAA264" s="178"/>
      <c r="KAB264" s="178"/>
      <c r="KAC264" s="178"/>
      <c r="KAD264" s="178"/>
      <c r="KAE264" s="178"/>
      <c r="KAF264" s="178"/>
      <c r="KAG264" s="178"/>
      <c r="KAH264" s="178"/>
      <c r="KAI264" s="178"/>
      <c r="KAJ264" s="178"/>
      <c r="KAK264" s="178"/>
      <c r="KAL264" s="178"/>
      <c r="KAM264" s="178"/>
      <c r="KAN264" s="178"/>
      <c r="KAO264" s="178"/>
      <c r="KAP264" s="178"/>
      <c r="KAQ264" s="178"/>
      <c r="KAR264" s="178"/>
      <c r="KAS264" s="178"/>
      <c r="KAT264" s="178"/>
      <c r="KAU264" s="178"/>
      <c r="KAV264" s="178"/>
      <c r="KAW264" s="178"/>
      <c r="KAX264" s="178"/>
      <c r="KAY264" s="178"/>
      <c r="KAZ264" s="178"/>
      <c r="KBA264" s="178"/>
      <c r="KBB264" s="178"/>
      <c r="KBC264" s="178"/>
      <c r="KBD264" s="178"/>
      <c r="KBE264" s="178"/>
      <c r="KBF264" s="178"/>
      <c r="KBG264" s="178"/>
      <c r="KBH264" s="178"/>
      <c r="KBI264" s="178"/>
      <c r="KBJ264" s="178"/>
      <c r="KBK264" s="178"/>
      <c r="KBL264" s="178"/>
      <c r="KBM264" s="178"/>
      <c r="KBN264" s="178"/>
      <c r="KBO264" s="178"/>
      <c r="KBP264" s="178"/>
      <c r="KBQ264" s="178"/>
      <c r="KBR264" s="178"/>
      <c r="KBS264" s="178"/>
      <c r="KBT264" s="178"/>
      <c r="KBU264" s="178"/>
      <c r="KBV264" s="178"/>
      <c r="KBW264" s="178"/>
      <c r="KBX264" s="178"/>
      <c r="KBY264" s="178"/>
      <c r="KBZ264" s="178"/>
      <c r="KCA264" s="178"/>
      <c r="KCB264" s="178"/>
      <c r="KCC264" s="178"/>
      <c r="KCD264" s="178"/>
      <c r="KCE264" s="178"/>
      <c r="KCF264" s="178"/>
      <c r="KCG264" s="178"/>
      <c r="KCH264" s="178"/>
      <c r="KCI264" s="178"/>
      <c r="KCJ264" s="178"/>
      <c r="KCK264" s="178"/>
      <c r="KCL264" s="178"/>
      <c r="KCM264" s="178"/>
      <c r="KCN264" s="178"/>
      <c r="KCO264" s="178"/>
      <c r="KCP264" s="178"/>
      <c r="KCQ264" s="178"/>
      <c r="KCR264" s="178"/>
      <c r="KCS264" s="178"/>
      <c r="KCT264" s="178"/>
      <c r="KCU264" s="178"/>
      <c r="KCV264" s="178"/>
      <c r="KCW264" s="178"/>
      <c r="KCX264" s="178"/>
      <c r="KCY264" s="178"/>
      <c r="KCZ264" s="178"/>
      <c r="KDA264" s="178"/>
      <c r="KDB264" s="178"/>
      <c r="KDC264" s="178"/>
      <c r="KDD264" s="178"/>
      <c r="KDE264" s="178"/>
      <c r="KDF264" s="178"/>
      <c r="KDG264" s="178"/>
      <c r="KDH264" s="178"/>
      <c r="KDI264" s="178"/>
      <c r="KDJ264" s="178"/>
      <c r="KDK264" s="178"/>
      <c r="KDL264" s="178"/>
      <c r="KDM264" s="178"/>
      <c r="KDN264" s="178"/>
      <c r="KDO264" s="178"/>
      <c r="KDP264" s="178"/>
      <c r="KDQ264" s="178"/>
      <c r="KDR264" s="178"/>
      <c r="KDS264" s="178"/>
      <c r="KDT264" s="178"/>
      <c r="KDU264" s="178"/>
      <c r="KDV264" s="178"/>
      <c r="KDW264" s="178"/>
      <c r="KDX264" s="178"/>
      <c r="KDY264" s="178"/>
      <c r="KDZ264" s="178"/>
      <c r="KEA264" s="178"/>
      <c r="KEB264" s="178"/>
      <c r="KEC264" s="178"/>
      <c r="KED264" s="178"/>
      <c r="KEE264" s="178"/>
      <c r="KEF264" s="178"/>
      <c r="KEG264" s="178"/>
      <c r="KEH264" s="178"/>
      <c r="KEI264" s="178"/>
      <c r="KEJ264" s="178"/>
      <c r="KEK264" s="178"/>
      <c r="KEL264" s="178"/>
      <c r="KEM264" s="178"/>
      <c r="KEN264" s="178"/>
      <c r="KEO264" s="178"/>
      <c r="KEP264" s="178"/>
      <c r="KEQ264" s="178"/>
      <c r="KER264" s="178"/>
      <c r="KES264" s="178"/>
      <c r="KET264" s="178"/>
      <c r="KEU264" s="178"/>
      <c r="KEV264" s="178"/>
      <c r="KEW264" s="178"/>
      <c r="KEX264" s="178"/>
      <c r="KEY264" s="178"/>
      <c r="KEZ264" s="178"/>
      <c r="KFA264" s="178"/>
      <c r="KFB264" s="178"/>
      <c r="KFC264" s="178"/>
      <c r="KFD264" s="178"/>
      <c r="KFE264" s="178"/>
      <c r="KFF264" s="178"/>
      <c r="KFG264" s="178"/>
      <c r="KFH264" s="178"/>
      <c r="KFI264" s="178"/>
      <c r="KFJ264" s="178"/>
      <c r="KFK264" s="178"/>
      <c r="KFL264" s="178"/>
      <c r="KFM264" s="178"/>
      <c r="KFN264" s="178"/>
      <c r="KFO264" s="178"/>
      <c r="KFP264" s="178"/>
      <c r="KFQ264" s="178"/>
      <c r="KFR264" s="178"/>
      <c r="KFS264" s="178"/>
      <c r="KFT264" s="178"/>
      <c r="KFU264" s="178"/>
      <c r="KFV264" s="178"/>
      <c r="KFW264" s="178"/>
      <c r="KFX264" s="178"/>
      <c r="KFY264" s="178"/>
      <c r="KFZ264" s="178"/>
      <c r="KGA264" s="178"/>
      <c r="KGB264" s="178"/>
      <c r="KGC264" s="178"/>
      <c r="KGD264" s="178"/>
      <c r="KGE264" s="178"/>
      <c r="KGF264" s="178"/>
      <c r="KGG264" s="178"/>
      <c r="KGH264" s="178"/>
      <c r="KGI264" s="178"/>
      <c r="KGJ264" s="178"/>
      <c r="KGK264" s="178"/>
      <c r="KGL264" s="178"/>
      <c r="KGM264" s="178"/>
      <c r="KGN264" s="178"/>
      <c r="KGO264" s="178"/>
      <c r="KGP264" s="178"/>
      <c r="KGQ264" s="178"/>
      <c r="KGR264" s="178"/>
      <c r="KGS264" s="178"/>
      <c r="KGT264" s="178"/>
      <c r="KGU264" s="178"/>
      <c r="KGV264" s="178"/>
      <c r="KGW264" s="178"/>
      <c r="KGX264" s="178"/>
      <c r="KGY264" s="178"/>
      <c r="KGZ264" s="178"/>
      <c r="KHA264" s="178"/>
      <c r="KHB264" s="178"/>
      <c r="KHC264" s="178"/>
      <c r="KHD264" s="178"/>
      <c r="KHE264" s="178"/>
      <c r="KHF264" s="178"/>
      <c r="KHG264" s="178"/>
      <c r="KHH264" s="178"/>
      <c r="KHI264" s="178"/>
      <c r="KHJ264" s="178"/>
      <c r="KHK264" s="178"/>
      <c r="KHL264" s="178"/>
      <c r="KHM264" s="178"/>
      <c r="KHN264" s="178"/>
      <c r="KHO264" s="178"/>
      <c r="KHP264" s="178"/>
      <c r="KHQ264" s="178"/>
      <c r="KHR264" s="178"/>
      <c r="KHS264" s="178"/>
      <c r="KHT264" s="178"/>
      <c r="KHU264" s="178"/>
      <c r="KHV264" s="178"/>
      <c r="KHW264" s="178"/>
      <c r="KHX264" s="178"/>
      <c r="KHY264" s="178"/>
      <c r="KHZ264" s="178"/>
      <c r="KIA264" s="178"/>
      <c r="KIB264" s="178"/>
      <c r="KIC264" s="178"/>
      <c r="KID264" s="178"/>
      <c r="KIE264" s="178"/>
      <c r="KIF264" s="178"/>
      <c r="KIG264" s="178"/>
      <c r="KIH264" s="178"/>
      <c r="KII264" s="178"/>
      <c r="KIJ264" s="178"/>
      <c r="KIK264" s="178"/>
      <c r="KIL264" s="178"/>
      <c r="KIM264" s="178"/>
      <c r="KIN264" s="178"/>
      <c r="KIO264" s="178"/>
      <c r="KIP264" s="178"/>
      <c r="KIQ264" s="178"/>
      <c r="KIR264" s="178"/>
      <c r="KIS264" s="178"/>
      <c r="KIT264" s="178"/>
      <c r="KIU264" s="178"/>
      <c r="KIV264" s="178"/>
      <c r="KIW264" s="178"/>
      <c r="KIX264" s="178"/>
      <c r="KIY264" s="178"/>
      <c r="KIZ264" s="178"/>
      <c r="KJA264" s="178"/>
      <c r="KJB264" s="178"/>
      <c r="KJC264" s="178"/>
      <c r="KJD264" s="178"/>
      <c r="KJE264" s="178"/>
      <c r="KJF264" s="178"/>
      <c r="KJG264" s="178"/>
      <c r="KJH264" s="178"/>
      <c r="KJI264" s="178"/>
      <c r="KJJ264" s="178"/>
      <c r="KJK264" s="178"/>
      <c r="KJL264" s="178"/>
      <c r="KJM264" s="178"/>
      <c r="KJN264" s="178"/>
      <c r="KJO264" s="178"/>
      <c r="KJP264" s="178"/>
      <c r="KJQ264" s="178"/>
      <c r="KJR264" s="178"/>
      <c r="KJS264" s="178"/>
      <c r="KJT264" s="178"/>
      <c r="KJU264" s="178"/>
      <c r="KJV264" s="178"/>
      <c r="KJW264" s="178"/>
      <c r="KJX264" s="178"/>
      <c r="KJY264" s="178"/>
      <c r="KJZ264" s="178"/>
      <c r="KKA264" s="178"/>
      <c r="KKB264" s="178"/>
      <c r="KKC264" s="178"/>
      <c r="KKD264" s="178"/>
      <c r="KKE264" s="178"/>
      <c r="KKF264" s="178"/>
      <c r="KKG264" s="178"/>
      <c r="KKH264" s="178"/>
      <c r="KKI264" s="178"/>
      <c r="KKJ264" s="178"/>
      <c r="KKK264" s="178"/>
      <c r="KKL264" s="178"/>
      <c r="KKM264" s="178"/>
      <c r="KKN264" s="178"/>
      <c r="KKO264" s="178"/>
      <c r="KKP264" s="178"/>
      <c r="KKQ264" s="178"/>
      <c r="KKR264" s="178"/>
      <c r="KKS264" s="178"/>
      <c r="KKT264" s="178"/>
      <c r="KKU264" s="178"/>
      <c r="KKV264" s="178"/>
      <c r="KKW264" s="178"/>
      <c r="KKX264" s="178"/>
      <c r="KKY264" s="178"/>
      <c r="KKZ264" s="178"/>
      <c r="KLA264" s="178"/>
      <c r="KLB264" s="178"/>
      <c r="KLC264" s="178"/>
      <c r="KLD264" s="178"/>
      <c r="KLE264" s="178"/>
      <c r="KLF264" s="178"/>
      <c r="KLG264" s="178"/>
      <c r="KLH264" s="178"/>
      <c r="KLI264" s="178"/>
      <c r="KLJ264" s="178"/>
      <c r="KLK264" s="178"/>
      <c r="KLL264" s="178"/>
      <c r="KLM264" s="178"/>
      <c r="KLN264" s="178"/>
      <c r="KLO264" s="178"/>
      <c r="KLP264" s="178"/>
      <c r="KLQ264" s="178"/>
      <c r="KLR264" s="178"/>
      <c r="KLS264" s="178"/>
      <c r="KLT264" s="178"/>
      <c r="KLU264" s="178"/>
      <c r="KLV264" s="178"/>
      <c r="KLW264" s="178"/>
      <c r="KLX264" s="178"/>
      <c r="KLY264" s="178"/>
      <c r="KLZ264" s="178"/>
      <c r="KMA264" s="178"/>
      <c r="KMB264" s="178"/>
      <c r="KMC264" s="178"/>
      <c r="KMD264" s="178"/>
      <c r="KME264" s="178"/>
      <c r="KMF264" s="178"/>
      <c r="KMG264" s="178"/>
      <c r="KMH264" s="178"/>
      <c r="KMI264" s="178"/>
      <c r="KMJ264" s="178"/>
      <c r="KMK264" s="178"/>
      <c r="KML264" s="178"/>
      <c r="KMM264" s="178"/>
      <c r="KMN264" s="178"/>
      <c r="KMO264" s="178"/>
      <c r="KMP264" s="178"/>
      <c r="KMQ264" s="178"/>
      <c r="KMR264" s="178"/>
      <c r="KMS264" s="178"/>
      <c r="KMT264" s="178"/>
      <c r="KMU264" s="178"/>
      <c r="KMV264" s="178"/>
      <c r="KMW264" s="178"/>
      <c r="KMX264" s="178"/>
      <c r="KMY264" s="178"/>
      <c r="KMZ264" s="178"/>
      <c r="KNA264" s="178"/>
      <c r="KNB264" s="178"/>
      <c r="KNC264" s="178"/>
      <c r="KND264" s="178"/>
      <c r="KNE264" s="178"/>
      <c r="KNF264" s="178"/>
      <c r="KNG264" s="178"/>
      <c r="KNH264" s="178"/>
      <c r="KNI264" s="178"/>
      <c r="KNJ264" s="178"/>
      <c r="KNK264" s="178"/>
      <c r="KNL264" s="178"/>
      <c r="KNM264" s="178"/>
      <c r="KNN264" s="178"/>
      <c r="KNO264" s="178"/>
      <c r="KNP264" s="178"/>
      <c r="KNQ264" s="178"/>
      <c r="KNR264" s="178"/>
      <c r="KNS264" s="178"/>
      <c r="KNT264" s="178"/>
      <c r="KNU264" s="178"/>
      <c r="KNV264" s="178"/>
      <c r="KNW264" s="178"/>
      <c r="KNX264" s="178"/>
      <c r="KNY264" s="178"/>
      <c r="KNZ264" s="178"/>
      <c r="KOA264" s="178"/>
      <c r="KOB264" s="178"/>
      <c r="KOC264" s="178"/>
      <c r="KOD264" s="178"/>
      <c r="KOE264" s="178"/>
      <c r="KOF264" s="178"/>
      <c r="KOG264" s="178"/>
      <c r="KOH264" s="178"/>
      <c r="KOI264" s="178"/>
      <c r="KOJ264" s="178"/>
      <c r="KOK264" s="178"/>
      <c r="KOL264" s="178"/>
      <c r="KOM264" s="178"/>
      <c r="KON264" s="178"/>
      <c r="KOO264" s="178"/>
      <c r="KOP264" s="178"/>
      <c r="KOQ264" s="178"/>
      <c r="KOR264" s="178"/>
      <c r="KOS264" s="178"/>
      <c r="KOT264" s="178"/>
      <c r="KOU264" s="178"/>
      <c r="KOV264" s="178"/>
      <c r="KOW264" s="178"/>
      <c r="KOX264" s="178"/>
      <c r="KOY264" s="178"/>
      <c r="KOZ264" s="178"/>
      <c r="KPA264" s="178"/>
      <c r="KPB264" s="178"/>
      <c r="KPC264" s="178"/>
      <c r="KPD264" s="178"/>
      <c r="KPE264" s="178"/>
      <c r="KPF264" s="178"/>
      <c r="KPG264" s="178"/>
      <c r="KPH264" s="178"/>
      <c r="KPI264" s="178"/>
      <c r="KPJ264" s="178"/>
      <c r="KPK264" s="178"/>
      <c r="KPL264" s="178"/>
      <c r="KPM264" s="178"/>
      <c r="KPN264" s="178"/>
      <c r="KPO264" s="178"/>
      <c r="KPP264" s="178"/>
      <c r="KPQ264" s="178"/>
      <c r="KPR264" s="178"/>
      <c r="KPS264" s="178"/>
      <c r="KPT264" s="178"/>
      <c r="KPU264" s="178"/>
      <c r="KPV264" s="178"/>
      <c r="KPW264" s="178"/>
      <c r="KPX264" s="178"/>
      <c r="KPY264" s="178"/>
      <c r="KPZ264" s="178"/>
      <c r="KQA264" s="178"/>
      <c r="KQB264" s="178"/>
      <c r="KQC264" s="178"/>
      <c r="KQD264" s="178"/>
      <c r="KQE264" s="178"/>
      <c r="KQF264" s="178"/>
      <c r="KQG264" s="178"/>
      <c r="KQH264" s="178"/>
      <c r="KQI264" s="178"/>
      <c r="KQJ264" s="178"/>
      <c r="KQK264" s="178"/>
      <c r="KQL264" s="178"/>
      <c r="KQM264" s="178"/>
      <c r="KQN264" s="178"/>
      <c r="KQO264" s="178"/>
      <c r="KQP264" s="178"/>
      <c r="KQQ264" s="178"/>
      <c r="KQR264" s="178"/>
      <c r="KQS264" s="178"/>
      <c r="KQT264" s="178"/>
      <c r="KQU264" s="178"/>
      <c r="KQV264" s="178"/>
      <c r="KQW264" s="178"/>
      <c r="KQX264" s="178"/>
      <c r="KQY264" s="178"/>
      <c r="KQZ264" s="178"/>
      <c r="KRA264" s="178"/>
      <c r="KRB264" s="178"/>
      <c r="KRC264" s="178"/>
      <c r="KRD264" s="178"/>
      <c r="KRE264" s="178"/>
      <c r="KRF264" s="178"/>
      <c r="KRG264" s="178"/>
      <c r="KRH264" s="178"/>
      <c r="KRI264" s="178"/>
      <c r="KRJ264" s="178"/>
      <c r="KRK264" s="178"/>
      <c r="KRL264" s="178"/>
      <c r="KRM264" s="178"/>
      <c r="KRN264" s="178"/>
      <c r="KRO264" s="178"/>
      <c r="KRP264" s="178"/>
      <c r="KRQ264" s="178"/>
      <c r="KRR264" s="178"/>
      <c r="KRS264" s="178"/>
      <c r="KRT264" s="178"/>
      <c r="KRU264" s="178"/>
      <c r="KRV264" s="178"/>
      <c r="KRW264" s="178"/>
      <c r="KRX264" s="178"/>
      <c r="KRY264" s="178"/>
      <c r="KRZ264" s="178"/>
      <c r="KSA264" s="178"/>
      <c r="KSB264" s="178"/>
      <c r="KSC264" s="178"/>
      <c r="KSD264" s="178"/>
      <c r="KSE264" s="178"/>
      <c r="KSF264" s="178"/>
      <c r="KSG264" s="178"/>
      <c r="KSH264" s="178"/>
      <c r="KSI264" s="178"/>
      <c r="KSJ264" s="178"/>
      <c r="KSK264" s="178"/>
      <c r="KSL264" s="178"/>
      <c r="KSM264" s="178"/>
      <c r="KSN264" s="178"/>
      <c r="KSO264" s="178"/>
      <c r="KSP264" s="178"/>
      <c r="KSQ264" s="178"/>
      <c r="KSR264" s="178"/>
      <c r="KSS264" s="178"/>
      <c r="KST264" s="178"/>
      <c r="KSU264" s="178"/>
      <c r="KSV264" s="178"/>
      <c r="KSW264" s="178"/>
      <c r="KSX264" s="178"/>
      <c r="KSY264" s="178"/>
      <c r="KSZ264" s="178"/>
      <c r="KTA264" s="178"/>
      <c r="KTB264" s="178"/>
      <c r="KTC264" s="178"/>
      <c r="KTD264" s="178"/>
      <c r="KTE264" s="178"/>
      <c r="KTF264" s="178"/>
      <c r="KTG264" s="178"/>
      <c r="KTH264" s="178"/>
      <c r="KTI264" s="178"/>
      <c r="KTJ264" s="178"/>
      <c r="KTK264" s="178"/>
      <c r="KTL264" s="178"/>
      <c r="KTM264" s="178"/>
      <c r="KTN264" s="178"/>
      <c r="KTO264" s="178"/>
      <c r="KTP264" s="178"/>
      <c r="KTQ264" s="178"/>
      <c r="KTR264" s="178"/>
      <c r="KTS264" s="178"/>
      <c r="KTT264" s="178"/>
      <c r="KTU264" s="178"/>
      <c r="KTV264" s="178"/>
      <c r="KTW264" s="178"/>
      <c r="KTX264" s="178"/>
      <c r="KTY264" s="178"/>
      <c r="KTZ264" s="178"/>
      <c r="KUA264" s="178"/>
      <c r="KUB264" s="178"/>
      <c r="KUC264" s="178"/>
      <c r="KUD264" s="178"/>
      <c r="KUE264" s="178"/>
      <c r="KUF264" s="178"/>
      <c r="KUG264" s="178"/>
      <c r="KUH264" s="178"/>
      <c r="KUI264" s="178"/>
      <c r="KUJ264" s="178"/>
      <c r="KUK264" s="178"/>
      <c r="KUL264" s="178"/>
      <c r="KUM264" s="178"/>
      <c r="KUN264" s="178"/>
      <c r="KUO264" s="178"/>
      <c r="KUP264" s="178"/>
      <c r="KUQ264" s="178"/>
      <c r="KUR264" s="178"/>
      <c r="KUS264" s="178"/>
      <c r="KUT264" s="178"/>
      <c r="KUU264" s="178"/>
      <c r="KUV264" s="178"/>
      <c r="KUW264" s="178"/>
      <c r="KUX264" s="178"/>
      <c r="KUY264" s="178"/>
      <c r="KUZ264" s="178"/>
      <c r="KVA264" s="178"/>
      <c r="KVB264" s="178"/>
      <c r="KVC264" s="178"/>
      <c r="KVD264" s="178"/>
      <c r="KVE264" s="178"/>
      <c r="KVF264" s="178"/>
      <c r="KVG264" s="178"/>
      <c r="KVH264" s="178"/>
      <c r="KVI264" s="178"/>
      <c r="KVJ264" s="178"/>
      <c r="KVK264" s="178"/>
      <c r="KVL264" s="178"/>
      <c r="KVM264" s="178"/>
      <c r="KVN264" s="178"/>
      <c r="KVO264" s="178"/>
      <c r="KVP264" s="178"/>
      <c r="KVQ264" s="178"/>
      <c r="KVR264" s="178"/>
      <c r="KVS264" s="178"/>
      <c r="KVT264" s="178"/>
      <c r="KVU264" s="178"/>
      <c r="KVV264" s="178"/>
      <c r="KVW264" s="178"/>
      <c r="KVX264" s="178"/>
      <c r="KVY264" s="178"/>
      <c r="KVZ264" s="178"/>
      <c r="KWA264" s="178"/>
      <c r="KWB264" s="178"/>
      <c r="KWC264" s="178"/>
      <c r="KWD264" s="178"/>
      <c r="KWE264" s="178"/>
      <c r="KWF264" s="178"/>
      <c r="KWG264" s="178"/>
      <c r="KWH264" s="178"/>
      <c r="KWI264" s="178"/>
      <c r="KWJ264" s="178"/>
      <c r="KWK264" s="178"/>
      <c r="KWL264" s="178"/>
      <c r="KWM264" s="178"/>
      <c r="KWN264" s="178"/>
      <c r="KWO264" s="178"/>
      <c r="KWP264" s="178"/>
      <c r="KWQ264" s="178"/>
      <c r="KWR264" s="178"/>
      <c r="KWS264" s="178"/>
      <c r="KWT264" s="178"/>
      <c r="KWU264" s="178"/>
      <c r="KWV264" s="178"/>
      <c r="KWW264" s="178"/>
      <c r="KWX264" s="178"/>
      <c r="KWY264" s="178"/>
      <c r="KWZ264" s="178"/>
      <c r="KXA264" s="178"/>
      <c r="KXB264" s="178"/>
      <c r="KXC264" s="178"/>
      <c r="KXD264" s="178"/>
      <c r="KXE264" s="178"/>
      <c r="KXF264" s="178"/>
      <c r="KXG264" s="178"/>
      <c r="KXH264" s="178"/>
      <c r="KXI264" s="178"/>
      <c r="KXJ264" s="178"/>
      <c r="KXK264" s="178"/>
      <c r="KXL264" s="178"/>
      <c r="KXM264" s="178"/>
      <c r="KXN264" s="178"/>
      <c r="KXO264" s="178"/>
      <c r="KXP264" s="178"/>
      <c r="KXQ264" s="178"/>
      <c r="KXR264" s="178"/>
      <c r="KXS264" s="178"/>
      <c r="KXT264" s="178"/>
      <c r="KXU264" s="178"/>
      <c r="KXV264" s="178"/>
      <c r="KXW264" s="178"/>
      <c r="KXX264" s="178"/>
      <c r="KXY264" s="178"/>
      <c r="KXZ264" s="178"/>
      <c r="KYA264" s="178"/>
      <c r="KYB264" s="178"/>
      <c r="KYC264" s="178"/>
      <c r="KYD264" s="178"/>
      <c r="KYE264" s="178"/>
      <c r="KYF264" s="178"/>
      <c r="KYG264" s="178"/>
      <c r="KYH264" s="178"/>
      <c r="KYI264" s="178"/>
      <c r="KYJ264" s="178"/>
      <c r="KYK264" s="178"/>
      <c r="KYL264" s="178"/>
      <c r="KYM264" s="178"/>
      <c r="KYN264" s="178"/>
      <c r="KYO264" s="178"/>
      <c r="KYP264" s="178"/>
      <c r="KYQ264" s="178"/>
      <c r="KYR264" s="178"/>
      <c r="KYS264" s="178"/>
      <c r="KYT264" s="178"/>
      <c r="KYU264" s="178"/>
      <c r="KYV264" s="178"/>
      <c r="KYW264" s="178"/>
      <c r="KYX264" s="178"/>
      <c r="KYY264" s="178"/>
      <c r="KYZ264" s="178"/>
      <c r="KZA264" s="178"/>
      <c r="KZB264" s="178"/>
      <c r="KZC264" s="178"/>
      <c r="KZD264" s="178"/>
      <c r="KZE264" s="178"/>
      <c r="KZF264" s="178"/>
      <c r="KZG264" s="178"/>
      <c r="KZH264" s="178"/>
      <c r="KZI264" s="178"/>
      <c r="KZJ264" s="178"/>
      <c r="KZK264" s="178"/>
      <c r="KZL264" s="178"/>
      <c r="KZM264" s="178"/>
      <c r="KZN264" s="178"/>
      <c r="KZO264" s="178"/>
      <c r="KZP264" s="178"/>
      <c r="KZQ264" s="178"/>
      <c r="KZR264" s="178"/>
      <c r="KZS264" s="178"/>
      <c r="KZT264" s="178"/>
      <c r="KZU264" s="178"/>
      <c r="KZV264" s="178"/>
      <c r="KZW264" s="178"/>
      <c r="KZX264" s="178"/>
      <c r="KZY264" s="178"/>
      <c r="KZZ264" s="178"/>
      <c r="LAA264" s="178"/>
      <c r="LAB264" s="178"/>
      <c r="LAC264" s="178"/>
      <c r="LAD264" s="178"/>
      <c r="LAE264" s="178"/>
      <c r="LAF264" s="178"/>
      <c r="LAG264" s="178"/>
      <c r="LAH264" s="178"/>
      <c r="LAI264" s="178"/>
      <c r="LAJ264" s="178"/>
      <c r="LAK264" s="178"/>
      <c r="LAL264" s="178"/>
      <c r="LAM264" s="178"/>
      <c r="LAN264" s="178"/>
      <c r="LAO264" s="178"/>
      <c r="LAP264" s="178"/>
      <c r="LAQ264" s="178"/>
      <c r="LAR264" s="178"/>
      <c r="LAS264" s="178"/>
      <c r="LAT264" s="178"/>
      <c r="LAU264" s="178"/>
      <c r="LAV264" s="178"/>
      <c r="LAW264" s="178"/>
      <c r="LAX264" s="178"/>
      <c r="LAY264" s="178"/>
      <c r="LAZ264" s="178"/>
      <c r="LBA264" s="178"/>
      <c r="LBB264" s="178"/>
      <c r="LBC264" s="178"/>
      <c r="LBD264" s="178"/>
      <c r="LBE264" s="178"/>
      <c r="LBF264" s="178"/>
      <c r="LBG264" s="178"/>
      <c r="LBH264" s="178"/>
      <c r="LBI264" s="178"/>
      <c r="LBJ264" s="178"/>
      <c r="LBK264" s="178"/>
      <c r="LBL264" s="178"/>
      <c r="LBM264" s="178"/>
      <c r="LBN264" s="178"/>
      <c r="LBO264" s="178"/>
      <c r="LBP264" s="178"/>
      <c r="LBQ264" s="178"/>
      <c r="LBR264" s="178"/>
      <c r="LBS264" s="178"/>
      <c r="LBT264" s="178"/>
      <c r="LBU264" s="178"/>
      <c r="LBV264" s="178"/>
      <c r="LBW264" s="178"/>
      <c r="LBX264" s="178"/>
      <c r="LBY264" s="178"/>
      <c r="LBZ264" s="178"/>
      <c r="LCA264" s="178"/>
      <c r="LCB264" s="178"/>
      <c r="LCC264" s="178"/>
      <c r="LCD264" s="178"/>
      <c r="LCE264" s="178"/>
      <c r="LCF264" s="178"/>
      <c r="LCG264" s="178"/>
      <c r="LCH264" s="178"/>
      <c r="LCI264" s="178"/>
      <c r="LCJ264" s="178"/>
      <c r="LCK264" s="178"/>
      <c r="LCL264" s="178"/>
      <c r="LCM264" s="178"/>
      <c r="LCN264" s="178"/>
      <c r="LCO264" s="178"/>
      <c r="LCP264" s="178"/>
      <c r="LCQ264" s="178"/>
      <c r="LCR264" s="178"/>
      <c r="LCS264" s="178"/>
      <c r="LCT264" s="178"/>
      <c r="LCU264" s="178"/>
      <c r="LCV264" s="178"/>
      <c r="LCW264" s="178"/>
      <c r="LCX264" s="178"/>
      <c r="LCY264" s="178"/>
      <c r="LCZ264" s="178"/>
      <c r="LDA264" s="178"/>
      <c r="LDB264" s="178"/>
      <c r="LDC264" s="178"/>
      <c r="LDD264" s="178"/>
      <c r="LDE264" s="178"/>
      <c r="LDF264" s="178"/>
      <c r="LDG264" s="178"/>
      <c r="LDH264" s="178"/>
      <c r="LDI264" s="178"/>
      <c r="LDJ264" s="178"/>
      <c r="LDK264" s="178"/>
      <c r="LDL264" s="178"/>
      <c r="LDM264" s="178"/>
      <c r="LDN264" s="178"/>
      <c r="LDO264" s="178"/>
      <c r="LDP264" s="178"/>
      <c r="LDQ264" s="178"/>
      <c r="LDR264" s="178"/>
      <c r="LDS264" s="178"/>
      <c r="LDT264" s="178"/>
      <c r="LDU264" s="178"/>
      <c r="LDV264" s="178"/>
      <c r="LDW264" s="178"/>
      <c r="LDX264" s="178"/>
      <c r="LDY264" s="178"/>
      <c r="LDZ264" s="178"/>
      <c r="LEA264" s="178"/>
      <c r="LEB264" s="178"/>
      <c r="LEC264" s="178"/>
      <c r="LED264" s="178"/>
      <c r="LEE264" s="178"/>
      <c r="LEF264" s="178"/>
      <c r="LEG264" s="178"/>
      <c r="LEH264" s="178"/>
      <c r="LEI264" s="178"/>
      <c r="LEJ264" s="178"/>
      <c r="LEK264" s="178"/>
      <c r="LEL264" s="178"/>
      <c r="LEM264" s="178"/>
      <c r="LEN264" s="178"/>
      <c r="LEO264" s="178"/>
      <c r="LEP264" s="178"/>
      <c r="LEQ264" s="178"/>
      <c r="LER264" s="178"/>
      <c r="LES264" s="178"/>
      <c r="LET264" s="178"/>
      <c r="LEU264" s="178"/>
      <c r="LEV264" s="178"/>
      <c r="LEW264" s="178"/>
      <c r="LEX264" s="178"/>
      <c r="LEY264" s="178"/>
      <c r="LEZ264" s="178"/>
      <c r="LFA264" s="178"/>
      <c r="LFB264" s="178"/>
      <c r="LFC264" s="178"/>
      <c r="LFD264" s="178"/>
      <c r="LFE264" s="178"/>
      <c r="LFF264" s="178"/>
      <c r="LFG264" s="178"/>
      <c r="LFH264" s="178"/>
      <c r="LFI264" s="178"/>
      <c r="LFJ264" s="178"/>
      <c r="LFK264" s="178"/>
      <c r="LFL264" s="178"/>
      <c r="LFM264" s="178"/>
      <c r="LFN264" s="178"/>
      <c r="LFO264" s="178"/>
      <c r="LFP264" s="178"/>
      <c r="LFQ264" s="178"/>
      <c r="LFR264" s="178"/>
      <c r="LFS264" s="178"/>
      <c r="LFT264" s="178"/>
      <c r="LFU264" s="178"/>
      <c r="LFV264" s="178"/>
      <c r="LFW264" s="178"/>
      <c r="LFX264" s="178"/>
      <c r="LFY264" s="178"/>
      <c r="LFZ264" s="178"/>
      <c r="LGA264" s="178"/>
      <c r="LGB264" s="178"/>
      <c r="LGC264" s="178"/>
      <c r="LGD264" s="178"/>
      <c r="LGE264" s="178"/>
      <c r="LGF264" s="178"/>
      <c r="LGG264" s="178"/>
      <c r="LGH264" s="178"/>
      <c r="LGI264" s="178"/>
      <c r="LGJ264" s="178"/>
      <c r="LGK264" s="178"/>
      <c r="LGL264" s="178"/>
      <c r="LGM264" s="178"/>
      <c r="LGN264" s="178"/>
      <c r="LGO264" s="178"/>
      <c r="LGP264" s="178"/>
      <c r="LGQ264" s="178"/>
      <c r="LGR264" s="178"/>
      <c r="LGS264" s="178"/>
      <c r="LGT264" s="178"/>
      <c r="LGU264" s="178"/>
      <c r="LGV264" s="178"/>
      <c r="LGW264" s="178"/>
      <c r="LGX264" s="178"/>
      <c r="LGY264" s="178"/>
      <c r="LGZ264" s="178"/>
      <c r="LHA264" s="178"/>
      <c r="LHB264" s="178"/>
      <c r="LHC264" s="178"/>
      <c r="LHD264" s="178"/>
      <c r="LHE264" s="178"/>
      <c r="LHF264" s="178"/>
      <c r="LHG264" s="178"/>
      <c r="LHH264" s="178"/>
      <c r="LHI264" s="178"/>
      <c r="LHJ264" s="178"/>
      <c r="LHK264" s="178"/>
      <c r="LHL264" s="178"/>
      <c r="LHM264" s="178"/>
      <c r="LHN264" s="178"/>
      <c r="LHO264" s="178"/>
      <c r="LHP264" s="178"/>
      <c r="LHQ264" s="178"/>
      <c r="LHR264" s="178"/>
      <c r="LHS264" s="178"/>
      <c r="LHT264" s="178"/>
      <c r="LHU264" s="178"/>
      <c r="LHV264" s="178"/>
      <c r="LHW264" s="178"/>
      <c r="LHX264" s="178"/>
      <c r="LHY264" s="178"/>
      <c r="LHZ264" s="178"/>
      <c r="LIA264" s="178"/>
      <c r="LIB264" s="178"/>
      <c r="LIC264" s="178"/>
      <c r="LID264" s="178"/>
      <c r="LIE264" s="178"/>
      <c r="LIF264" s="178"/>
      <c r="LIG264" s="178"/>
      <c r="LIH264" s="178"/>
      <c r="LII264" s="178"/>
      <c r="LIJ264" s="178"/>
      <c r="LIK264" s="178"/>
      <c r="LIL264" s="178"/>
      <c r="LIM264" s="178"/>
      <c r="LIN264" s="178"/>
      <c r="LIO264" s="178"/>
      <c r="LIP264" s="178"/>
      <c r="LIQ264" s="178"/>
      <c r="LIR264" s="178"/>
      <c r="LIS264" s="178"/>
      <c r="LIT264" s="178"/>
      <c r="LIU264" s="178"/>
      <c r="LIV264" s="178"/>
      <c r="LIW264" s="178"/>
      <c r="LIX264" s="178"/>
      <c r="LIY264" s="178"/>
      <c r="LIZ264" s="178"/>
      <c r="LJA264" s="178"/>
      <c r="LJB264" s="178"/>
      <c r="LJC264" s="178"/>
      <c r="LJD264" s="178"/>
      <c r="LJE264" s="178"/>
      <c r="LJF264" s="178"/>
      <c r="LJG264" s="178"/>
      <c r="LJH264" s="178"/>
      <c r="LJI264" s="178"/>
      <c r="LJJ264" s="178"/>
      <c r="LJK264" s="178"/>
      <c r="LJL264" s="178"/>
      <c r="LJM264" s="178"/>
      <c r="LJN264" s="178"/>
      <c r="LJO264" s="178"/>
      <c r="LJP264" s="178"/>
      <c r="LJQ264" s="178"/>
      <c r="LJR264" s="178"/>
      <c r="LJS264" s="178"/>
      <c r="LJT264" s="178"/>
      <c r="LJU264" s="178"/>
      <c r="LJV264" s="178"/>
      <c r="LJW264" s="178"/>
      <c r="LJX264" s="178"/>
      <c r="LJY264" s="178"/>
      <c r="LJZ264" s="178"/>
      <c r="LKA264" s="178"/>
      <c r="LKB264" s="178"/>
      <c r="LKC264" s="178"/>
      <c r="LKD264" s="178"/>
      <c r="LKE264" s="178"/>
      <c r="LKF264" s="178"/>
      <c r="LKG264" s="178"/>
      <c r="LKH264" s="178"/>
      <c r="LKI264" s="178"/>
      <c r="LKJ264" s="178"/>
      <c r="LKK264" s="178"/>
      <c r="LKL264" s="178"/>
      <c r="LKM264" s="178"/>
      <c r="LKN264" s="178"/>
      <c r="LKO264" s="178"/>
      <c r="LKP264" s="178"/>
      <c r="LKQ264" s="178"/>
      <c r="LKR264" s="178"/>
      <c r="LKS264" s="178"/>
      <c r="LKT264" s="178"/>
      <c r="LKU264" s="178"/>
      <c r="LKV264" s="178"/>
      <c r="LKW264" s="178"/>
      <c r="LKX264" s="178"/>
      <c r="LKY264" s="178"/>
      <c r="LKZ264" s="178"/>
      <c r="LLA264" s="178"/>
      <c r="LLB264" s="178"/>
      <c r="LLC264" s="178"/>
      <c r="LLD264" s="178"/>
      <c r="LLE264" s="178"/>
      <c r="LLF264" s="178"/>
      <c r="LLG264" s="178"/>
      <c r="LLH264" s="178"/>
      <c r="LLI264" s="178"/>
      <c r="LLJ264" s="178"/>
      <c r="LLK264" s="178"/>
      <c r="LLL264" s="178"/>
      <c r="LLM264" s="178"/>
      <c r="LLN264" s="178"/>
      <c r="LLO264" s="178"/>
      <c r="LLP264" s="178"/>
      <c r="LLQ264" s="178"/>
      <c r="LLR264" s="178"/>
      <c r="LLS264" s="178"/>
      <c r="LLT264" s="178"/>
      <c r="LLU264" s="178"/>
      <c r="LLV264" s="178"/>
      <c r="LLW264" s="178"/>
      <c r="LLX264" s="178"/>
      <c r="LLY264" s="178"/>
      <c r="LLZ264" s="178"/>
      <c r="LMA264" s="178"/>
      <c r="LMB264" s="178"/>
      <c r="LMC264" s="178"/>
      <c r="LMD264" s="178"/>
      <c r="LME264" s="178"/>
      <c r="LMF264" s="178"/>
      <c r="LMG264" s="178"/>
      <c r="LMH264" s="178"/>
      <c r="LMI264" s="178"/>
      <c r="LMJ264" s="178"/>
      <c r="LMK264" s="178"/>
      <c r="LML264" s="178"/>
      <c r="LMM264" s="178"/>
      <c r="LMN264" s="178"/>
      <c r="LMO264" s="178"/>
      <c r="LMP264" s="178"/>
      <c r="LMQ264" s="178"/>
      <c r="LMR264" s="178"/>
      <c r="LMS264" s="178"/>
      <c r="LMT264" s="178"/>
      <c r="LMU264" s="178"/>
      <c r="LMV264" s="178"/>
      <c r="LMW264" s="178"/>
      <c r="LMX264" s="178"/>
      <c r="LMY264" s="178"/>
      <c r="LMZ264" s="178"/>
      <c r="LNA264" s="178"/>
      <c r="LNB264" s="178"/>
      <c r="LNC264" s="178"/>
      <c r="LND264" s="178"/>
      <c r="LNE264" s="178"/>
      <c r="LNF264" s="178"/>
      <c r="LNG264" s="178"/>
      <c r="LNH264" s="178"/>
      <c r="LNI264" s="178"/>
      <c r="LNJ264" s="178"/>
      <c r="LNK264" s="178"/>
      <c r="LNL264" s="178"/>
      <c r="LNM264" s="178"/>
      <c r="LNN264" s="178"/>
      <c r="LNO264" s="178"/>
      <c r="LNP264" s="178"/>
      <c r="LNQ264" s="178"/>
      <c r="LNR264" s="178"/>
      <c r="LNS264" s="178"/>
      <c r="LNT264" s="178"/>
      <c r="LNU264" s="178"/>
      <c r="LNV264" s="178"/>
      <c r="LNW264" s="178"/>
      <c r="LNX264" s="178"/>
      <c r="LNY264" s="178"/>
      <c r="LNZ264" s="178"/>
      <c r="LOA264" s="178"/>
      <c r="LOB264" s="178"/>
      <c r="LOC264" s="178"/>
      <c r="LOD264" s="178"/>
      <c r="LOE264" s="178"/>
      <c r="LOF264" s="178"/>
      <c r="LOG264" s="178"/>
      <c r="LOH264" s="178"/>
      <c r="LOI264" s="178"/>
      <c r="LOJ264" s="178"/>
      <c r="LOK264" s="178"/>
      <c r="LOL264" s="178"/>
      <c r="LOM264" s="178"/>
      <c r="LON264" s="178"/>
      <c r="LOO264" s="178"/>
      <c r="LOP264" s="178"/>
      <c r="LOQ264" s="178"/>
      <c r="LOR264" s="178"/>
      <c r="LOS264" s="178"/>
      <c r="LOT264" s="178"/>
      <c r="LOU264" s="178"/>
      <c r="LOV264" s="178"/>
      <c r="LOW264" s="178"/>
      <c r="LOX264" s="178"/>
      <c r="LOY264" s="178"/>
      <c r="LOZ264" s="178"/>
      <c r="LPA264" s="178"/>
      <c r="LPB264" s="178"/>
      <c r="LPC264" s="178"/>
      <c r="LPD264" s="178"/>
      <c r="LPE264" s="178"/>
      <c r="LPF264" s="178"/>
      <c r="LPG264" s="178"/>
      <c r="LPH264" s="178"/>
      <c r="LPI264" s="178"/>
      <c r="LPJ264" s="178"/>
      <c r="LPK264" s="178"/>
      <c r="LPL264" s="178"/>
      <c r="LPM264" s="178"/>
      <c r="LPN264" s="178"/>
      <c r="LPO264" s="178"/>
      <c r="LPP264" s="178"/>
      <c r="LPQ264" s="178"/>
      <c r="LPR264" s="178"/>
      <c r="LPS264" s="178"/>
      <c r="LPT264" s="178"/>
      <c r="LPU264" s="178"/>
      <c r="LPV264" s="178"/>
      <c r="LPW264" s="178"/>
      <c r="LPX264" s="178"/>
      <c r="LPY264" s="178"/>
      <c r="LPZ264" s="178"/>
      <c r="LQA264" s="178"/>
      <c r="LQB264" s="178"/>
      <c r="LQC264" s="178"/>
      <c r="LQD264" s="178"/>
      <c r="LQE264" s="178"/>
      <c r="LQF264" s="178"/>
      <c r="LQG264" s="178"/>
      <c r="LQH264" s="178"/>
      <c r="LQI264" s="178"/>
      <c r="LQJ264" s="178"/>
      <c r="LQK264" s="178"/>
      <c r="LQL264" s="178"/>
      <c r="LQM264" s="178"/>
      <c r="LQN264" s="178"/>
      <c r="LQO264" s="178"/>
      <c r="LQP264" s="178"/>
      <c r="LQQ264" s="178"/>
      <c r="LQR264" s="178"/>
      <c r="LQS264" s="178"/>
      <c r="LQT264" s="178"/>
      <c r="LQU264" s="178"/>
      <c r="LQV264" s="178"/>
      <c r="LQW264" s="178"/>
      <c r="LQX264" s="178"/>
      <c r="LQY264" s="178"/>
      <c r="LQZ264" s="178"/>
      <c r="LRA264" s="178"/>
      <c r="LRB264" s="178"/>
      <c r="LRC264" s="178"/>
      <c r="LRD264" s="178"/>
      <c r="LRE264" s="178"/>
      <c r="LRF264" s="178"/>
      <c r="LRG264" s="178"/>
      <c r="LRH264" s="178"/>
      <c r="LRI264" s="178"/>
      <c r="LRJ264" s="178"/>
      <c r="LRK264" s="178"/>
      <c r="LRL264" s="178"/>
      <c r="LRM264" s="178"/>
      <c r="LRN264" s="178"/>
      <c r="LRO264" s="178"/>
      <c r="LRP264" s="178"/>
      <c r="LRQ264" s="178"/>
      <c r="LRR264" s="178"/>
      <c r="LRS264" s="178"/>
      <c r="LRT264" s="178"/>
      <c r="LRU264" s="178"/>
      <c r="LRV264" s="178"/>
      <c r="LRW264" s="178"/>
      <c r="LRX264" s="178"/>
      <c r="LRY264" s="178"/>
      <c r="LRZ264" s="178"/>
      <c r="LSA264" s="178"/>
      <c r="LSB264" s="178"/>
      <c r="LSC264" s="178"/>
      <c r="LSD264" s="178"/>
      <c r="LSE264" s="178"/>
      <c r="LSF264" s="178"/>
      <c r="LSG264" s="178"/>
      <c r="LSH264" s="178"/>
      <c r="LSI264" s="178"/>
      <c r="LSJ264" s="178"/>
      <c r="LSK264" s="178"/>
      <c r="LSL264" s="178"/>
      <c r="LSM264" s="178"/>
      <c r="LSN264" s="178"/>
      <c r="LSO264" s="178"/>
      <c r="LSP264" s="178"/>
      <c r="LSQ264" s="178"/>
      <c r="LSR264" s="178"/>
      <c r="LSS264" s="178"/>
      <c r="LST264" s="178"/>
      <c r="LSU264" s="178"/>
      <c r="LSV264" s="178"/>
      <c r="LSW264" s="178"/>
      <c r="LSX264" s="178"/>
      <c r="LSY264" s="178"/>
      <c r="LSZ264" s="178"/>
      <c r="LTA264" s="178"/>
      <c r="LTB264" s="178"/>
      <c r="LTC264" s="178"/>
      <c r="LTD264" s="178"/>
      <c r="LTE264" s="178"/>
      <c r="LTF264" s="178"/>
      <c r="LTG264" s="178"/>
      <c r="LTH264" s="178"/>
      <c r="LTI264" s="178"/>
      <c r="LTJ264" s="178"/>
      <c r="LTK264" s="178"/>
      <c r="LTL264" s="178"/>
      <c r="LTM264" s="178"/>
      <c r="LTN264" s="178"/>
      <c r="LTO264" s="178"/>
      <c r="LTP264" s="178"/>
      <c r="LTQ264" s="178"/>
      <c r="LTR264" s="178"/>
      <c r="LTS264" s="178"/>
      <c r="LTT264" s="178"/>
      <c r="LTU264" s="178"/>
      <c r="LTV264" s="178"/>
      <c r="LTW264" s="178"/>
      <c r="LTX264" s="178"/>
      <c r="LTY264" s="178"/>
      <c r="LTZ264" s="178"/>
      <c r="LUA264" s="178"/>
      <c r="LUB264" s="178"/>
      <c r="LUC264" s="178"/>
      <c r="LUD264" s="178"/>
      <c r="LUE264" s="178"/>
      <c r="LUF264" s="178"/>
      <c r="LUG264" s="178"/>
      <c r="LUH264" s="178"/>
      <c r="LUI264" s="178"/>
      <c r="LUJ264" s="178"/>
      <c r="LUK264" s="178"/>
      <c r="LUL264" s="178"/>
      <c r="LUM264" s="178"/>
      <c r="LUN264" s="178"/>
      <c r="LUO264" s="178"/>
      <c r="LUP264" s="178"/>
      <c r="LUQ264" s="178"/>
      <c r="LUR264" s="178"/>
      <c r="LUS264" s="178"/>
      <c r="LUT264" s="178"/>
      <c r="LUU264" s="178"/>
      <c r="LUV264" s="178"/>
      <c r="LUW264" s="178"/>
      <c r="LUX264" s="178"/>
      <c r="LUY264" s="178"/>
      <c r="LUZ264" s="178"/>
      <c r="LVA264" s="178"/>
      <c r="LVB264" s="178"/>
      <c r="LVC264" s="178"/>
      <c r="LVD264" s="178"/>
      <c r="LVE264" s="178"/>
      <c r="LVF264" s="178"/>
      <c r="LVG264" s="178"/>
      <c r="LVH264" s="178"/>
      <c r="LVI264" s="178"/>
      <c r="LVJ264" s="178"/>
      <c r="LVK264" s="178"/>
      <c r="LVL264" s="178"/>
      <c r="LVM264" s="178"/>
      <c r="LVN264" s="178"/>
      <c r="LVO264" s="178"/>
      <c r="LVP264" s="178"/>
      <c r="LVQ264" s="178"/>
      <c r="LVR264" s="178"/>
      <c r="LVS264" s="178"/>
      <c r="LVT264" s="178"/>
      <c r="LVU264" s="178"/>
      <c r="LVV264" s="178"/>
      <c r="LVW264" s="178"/>
      <c r="LVX264" s="178"/>
      <c r="LVY264" s="178"/>
      <c r="LVZ264" s="178"/>
      <c r="LWA264" s="178"/>
      <c r="LWB264" s="178"/>
      <c r="LWC264" s="178"/>
      <c r="LWD264" s="178"/>
      <c r="LWE264" s="178"/>
      <c r="LWF264" s="178"/>
      <c r="LWG264" s="178"/>
      <c r="LWH264" s="178"/>
      <c r="LWI264" s="178"/>
      <c r="LWJ264" s="178"/>
      <c r="LWK264" s="178"/>
      <c r="LWL264" s="178"/>
      <c r="LWM264" s="178"/>
      <c r="LWN264" s="178"/>
      <c r="LWO264" s="178"/>
      <c r="LWP264" s="178"/>
      <c r="LWQ264" s="178"/>
      <c r="LWR264" s="178"/>
      <c r="LWS264" s="178"/>
      <c r="LWT264" s="178"/>
      <c r="LWU264" s="178"/>
      <c r="LWV264" s="178"/>
      <c r="LWW264" s="178"/>
      <c r="LWX264" s="178"/>
      <c r="LWY264" s="178"/>
      <c r="LWZ264" s="178"/>
      <c r="LXA264" s="178"/>
      <c r="LXB264" s="178"/>
      <c r="LXC264" s="178"/>
      <c r="LXD264" s="178"/>
      <c r="LXE264" s="178"/>
      <c r="LXF264" s="178"/>
      <c r="LXG264" s="178"/>
      <c r="LXH264" s="178"/>
      <c r="LXI264" s="178"/>
      <c r="LXJ264" s="178"/>
      <c r="LXK264" s="178"/>
      <c r="LXL264" s="178"/>
      <c r="LXM264" s="178"/>
      <c r="LXN264" s="178"/>
      <c r="LXO264" s="178"/>
      <c r="LXP264" s="178"/>
      <c r="LXQ264" s="178"/>
      <c r="LXR264" s="178"/>
      <c r="LXS264" s="178"/>
      <c r="LXT264" s="178"/>
      <c r="LXU264" s="178"/>
      <c r="LXV264" s="178"/>
      <c r="LXW264" s="178"/>
      <c r="LXX264" s="178"/>
      <c r="LXY264" s="178"/>
      <c r="LXZ264" s="178"/>
      <c r="LYA264" s="178"/>
      <c r="LYB264" s="178"/>
      <c r="LYC264" s="178"/>
      <c r="LYD264" s="178"/>
      <c r="LYE264" s="178"/>
      <c r="LYF264" s="178"/>
      <c r="LYG264" s="178"/>
      <c r="LYH264" s="178"/>
      <c r="LYI264" s="178"/>
      <c r="LYJ264" s="178"/>
      <c r="LYK264" s="178"/>
      <c r="LYL264" s="178"/>
      <c r="LYM264" s="178"/>
      <c r="LYN264" s="178"/>
      <c r="LYO264" s="178"/>
      <c r="LYP264" s="178"/>
      <c r="LYQ264" s="178"/>
      <c r="LYR264" s="178"/>
      <c r="LYS264" s="178"/>
      <c r="LYT264" s="178"/>
      <c r="LYU264" s="178"/>
      <c r="LYV264" s="178"/>
      <c r="LYW264" s="178"/>
      <c r="LYX264" s="178"/>
      <c r="LYY264" s="178"/>
      <c r="LYZ264" s="178"/>
      <c r="LZA264" s="178"/>
      <c r="LZB264" s="178"/>
      <c r="LZC264" s="178"/>
      <c r="LZD264" s="178"/>
      <c r="LZE264" s="178"/>
      <c r="LZF264" s="178"/>
      <c r="LZG264" s="178"/>
      <c r="LZH264" s="178"/>
      <c r="LZI264" s="178"/>
      <c r="LZJ264" s="178"/>
      <c r="LZK264" s="178"/>
      <c r="LZL264" s="178"/>
      <c r="LZM264" s="178"/>
      <c r="LZN264" s="178"/>
      <c r="LZO264" s="178"/>
      <c r="LZP264" s="178"/>
      <c r="LZQ264" s="178"/>
      <c r="LZR264" s="178"/>
      <c r="LZS264" s="178"/>
      <c r="LZT264" s="178"/>
      <c r="LZU264" s="178"/>
      <c r="LZV264" s="178"/>
      <c r="LZW264" s="178"/>
      <c r="LZX264" s="178"/>
      <c r="LZY264" s="178"/>
      <c r="LZZ264" s="178"/>
      <c r="MAA264" s="178"/>
      <c r="MAB264" s="178"/>
      <c r="MAC264" s="178"/>
      <c r="MAD264" s="178"/>
      <c r="MAE264" s="178"/>
      <c r="MAF264" s="178"/>
      <c r="MAG264" s="178"/>
      <c r="MAH264" s="178"/>
      <c r="MAI264" s="178"/>
      <c r="MAJ264" s="178"/>
      <c r="MAK264" s="178"/>
      <c r="MAL264" s="178"/>
      <c r="MAM264" s="178"/>
      <c r="MAN264" s="178"/>
      <c r="MAO264" s="178"/>
      <c r="MAP264" s="178"/>
      <c r="MAQ264" s="178"/>
      <c r="MAR264" s="178"/>
      <c r="MAS264" s="178"/>
      <c r="MAT264" s="178"/>
      <c r="MAU264" s="178"/>
      <c r="MAV264" s="178"/>
      <c r="MAW264" s="178"/>
      <c r="MAX264" s="178"/>
      <c r="MAY264" s="178"/>
      <c r="MAZ264" s="178"/>
      <c r="MBA264" s="178"/>
      <c r="MBB264" s="178"/>
      <c r="MBC264" s="178"/>
      <c r="MBD264" s="178"/>
      <c r="MBE264" s="178"/>
      <c r="MBF264" s="178"/>
      <c r="MBG264" s="178"/>
      <c r="MBH264" s="178"/>
      <c r="MBI264" s="178"/>
      <c r="MBJ264" s="178"/>
      <c r="MBK264" s="178"/>
      <c r="MBL264" s="178"/>
      <c r="MBM264" s="178"/>
      <c r="MBN264" s="178"/>
      <c r="MBO264" s="178"/>
      <c r="MBP264" s="178"/>
      <c r="MBQ264" s="178"/>
      <c r="MBR264" s="178"/>
      <c r="MBS264" s="178"/>
      <c r="MBT264" s="178"/>
      <c r="MBU264" s="178"/>
      <c r="MBV264" s="178"/>
      <c r="MBW264" s="178"/>
      <c r="MBX264" s="178"/>
      <c r="MBY264" s="178"/>
      <c r="MBZ264" s="178"/>
      <c r="MCA264" s="178"/>
      <c r="MCB264" s="178"/>
      <c r="MCC264" s="178"/>
      <c r="MCD264" s="178"/>
      <c r="MCE264" s="178"/>
      <c r="MCF264" s="178"/>
      <c r="MCG264" s="178"/>
      <c r="MCH264" s="178"/>
      <c r="MCI264" s="178"/>
      <c r="MCJ264" s="178"/>
      <c r="MCK264" s="178"/>
      <c r="MCL264" s="178"/>
      <c r="MCM264" s="178"/>
      <c r="MCN264" s="178"/>
      <c r="MCO264" s="178"/>
      <c r="MCP264" s="178"/>
      <c r="MCQ264" s="178"/>
      <c r="MCR264" s="178"/>
      <c r="MCS264" s="178"/>
      <c r="MCT264" s="178"/>
      <c r="MCU264" s="178"/>
      <c r="MCV264" s="178"/>
      <c r="MCW264" s="178"/>
      <c r="MCX264" s="178"/>
      <c r="MCY264" s="178"/>
      <c r="MCZ264" s="178"/>
      <c r="MDA264" s="178"/>
      <c r="MDB264" s="178"/>
      <c r="MDC264" s="178"/>
      <c r="MDD264" s="178"/>
      <c r="MDE264" s="178"/>
      <c r="MDF264" s="178"/>
      <c r="MDG264" s="178"/>
      <c r="MDH264" s="178"/>
      <c r="MDI264" s="178"/>
      <c r="MDJ264" s="178"/>
      <c r="MDK264" s="178"/>
      <c r="MDL264" s="178"/>
      <c r="MDM264" s="178"/>
      <c r="MDN264" s="178"/>
      <c r="MDO264" s="178"/>
      <c r="MDP264" s="178"/>
      <c r="MDQ264" s="178"/>
      <c r="MDR264" s="178"/>
      <c r="MDS264" s="178"/>
      <c r="MDT264" s="178"/>
      <c r="MDU264" s="178"/>
      <c r="MDV264" s="178"/>
      <c r="MDW264" s="178"/>
      <c r="MDX264" s="178"/>
      <c r="MDY264" s="178"/>
      <c r="MDZ264" s="178"/>
      <c r="MEA264" s="178"/>
      <c r="MEB264" s="178"/>
      <c r="MEC264" s="178"/>
      <c r="MED264" s="178"/>
      <c r="MEE264" s="178"/>
      <c r="MEF264" s="178"/>
      <c r="MEG264" s="178"/>
      <c r="MEH264" s="178"/>
      <c r="MEI264" s="178"/>
      <c r="MEJ264" s="178"/>
      <c r="MEK264" s="178"/>
      <c r="MEL264" s="178"/>
      <c r="MEM264" s="178"/>
      <c r="MEN264" s="178"/>
      <c r="MEO264" s="178"/>
      <c r="MEP264" s="178"/>
      <c r="MEQ264" s="178"/>
      <c r="MER264" s="178"/>
      <c r="MES264" s="178"/>
      <c r="MET264" s="178"/>
      <c r="MEU264" s="178"/>
      <c r="MEV264" s="178"/>
      <c r="MEW264" s="178"/>
      <c r="MEX264" s="178"/>
      <c r="MEY264" s="178"/>
      <c r="MEZ264" s="178"/>
      <c r="MFA264" s="178"/>
      <c r="MFB264" s="178"/>
      <c r="MFC264" s="178"/>
      <c r="MFD264" s="178"/>
      <c r="MFE264" s="178"/>
      <c r="MFF264" s="178"/>
      <c r="MFG264" s="178"/>
      <c r="MFH264" s="178"/>
      <c r="MFI264" s="178"/>
      <c r="MFJ264" s="178"/>
      <c r="MFK264" s="178"/>
      <c r="MFL264" s="178"/>
      <c r="MFM264" s="178"/>
      <c r="MFN264" s="178"/>
      <c r="MFO264" s="178"/>
      <c r="MFP264" s="178"/>
      <c r="MFQ264" s="178"/>
      <c r="MFR264" s="178"/>
      <c r="MFS264" s="178"/>
      <c r="MFT264" s="178"/>
      <c r="MFU264" s="178"/>
      <c r="MFV264" s="178"/>
      <c r="MFW264" s="178"/>
      <c r="MFX264" s="178"/>
      <c r="MFY264" s="178"/>
      <c r="MFZ264" s="178"/>
      <c r="MGA264" s="178"/>
      <c r="MGB264" s="178"/>
      <c r="MGC264" s="178"/>
      <c r="MGD264" s="178"/>
      <c r="MGE264" s="178"/>
      <c r="MGF264" s="178"/>
      <c r="MGG264" s="178"/>
      <c r="MGH264" s="178"/>
      <c r="MGI264" s="178"/>
      <c r="MGJ264" s="178"/>
      <c r="MGK264" s="178"/>
      <c r="MGL264" s="178"/>
      <c r="MGM264" s="178"/>
      <c r="MGN264" s="178"/>
      <c r="MGO264" s="178"/>
      <c r="MGP264" s="178"/>
      <c r="MGQ264" s="178"/>
      <c r="MGR264" s="178"/>
      <c r="MGS264" s="178"/>
      <c r="MGT264" s="178"/>
      <c r="MGU264" s="178"/>
      <c r="MGV264" s="178"/>
      <c r="MGW264" s="178"/>
      <c r="MGX264" s="178"/>
      <c r="MGY264" s="178"/>
      <c r="MGZ264" s="178"/>
      <c r="MHA264" s="178"/>
      <c r="MHB264" s="178"/>
      <c r="MHC264" s="178"/>
      <c r="MHD264" s="178"/>
      <c r="MHE264" s="178"/>
      <c r="MHF264" s="178"/>
      <c r="MHG264" s="178"/>
      <c r="MHH264" s="178"/>
      <c r="MHI264" s="178"/>
      <c r="MHJ264" s="178"/>
      <c r="MHK264" s="178"/>
      <c r="MHL264" s="178"/>
      <c r="MHM264" s="178"/>
      <c r="MHN264" s="178"/>
      <c r="MHO264" s="178"/>
      <c r="MHP264" s="178"/>
      <c r="MHQ264" s="178"/>
      <c r="MHR264" s="178"/>
      <c r="MHS264" s="178"/>
      <c r="MHT264" s="178"/>
      <c r="MHU264" s="178"/>
      <c r="MHV264" s="178"/>
      <c r="MHW264" s="178"/>
      <c r="MHX264" s="178"/>
      <c r="MHY264" s="178"/>
      <c r="MHZ264" s="178"/>
      <c r="MIA264" s="178"/>
      <c r="MIB264" s="178"/>
      <c r="MIC264" s="178"/>
      <c r="MID264" s="178"/>
      <c r="MIE264" s="178"/>
      <c r="MIF264" s="178"/>
      <c r="MIG264" s="178"/>
      <c r="MIH264" s="178"/>
      <c r="MII264" s="178"/>
      <c r="MIJ264" s="178"/>
      <c r="MIK264" s="178"/>
      <c r="MIL264" s="178"/>
      <c r="MIM264" s="178"/>
      <c r="MIN264" s="178"/>
      <c r="MIO264" s="178"/>
      <c r="MIP264" s="178"/>
      <c r="MIQ264" s="178"/>
      <c r="MIR264" s="178"/>
      <c r="MIS264" s="178"/>
      <c r="MIT264" s="178"/>
      <c r="MIU264" s="178"/>
      <c r="MIV264" s="178"/>
      <c r="MIW264" s="178"/>
      <c r="MIX264" s="178"/>
      <c r="MIY264" s="178"/>
      <c r="MIZ264" s="178"/>
      <c r="MJA264" s="178"/>
      <c r="MJB264" s="178"/>
      <c r="MJC264" s="178"/>
      <c r="MJD264" s="178"/>
      <c r="MJE264" s="178"/>
      <c r="MJF264" s="178"/>
      <c r="MJG264" s="178"/>
      <c r="MJH264" s="178"/>
      <c r="MJI264" s="178"/>
      <c r="MJJ264" s="178"/>
      <c r="MJK264" s="178"/>
      <c r="MJL264" s="178"/>
      <c r="MJM264" s="178"/>
      <c r="MJN264" s="178"/>
      <c r="MJO264" s="178"/>
      <c r="MJP264" s="178"/>
      <c r="MJQ264" s="178"/>
      <c r="MJR264" s="178"/>
      <c r="MJS264" s="178"/>
      <c r="MJT264" s="178"/>
      <c r="MJU264" s="178"/>
      <c r="MJV264" s="178"/>
      <c r="MJW264" s="178"/>
      <c r="MJX264" s="178"/>
      <c r="MJY264" s="178"/>
      <c r="MJZ264" s="178"/>
      <c r="MKA264" s="178"/>
      <c r="MKB264" s="178"/>
      <c r="MKC264" s="178"/>
      <c r="MKD264" s="178"/>
      <c r="MKE264" s="178"/>
      <c r="MKF264" s="178"/>
      <c r="MKG264" s="178"/>
      <c r="MKH264" s="178"/>
      <c r="MKI264" s="178"/>
      <c r="MKJ264" s="178"/>
      <c r="MKK264" s="178"/>
      <c r="MKL264" s="178"/>
      <c r="MKM264" s="178"/>
      <c r="MKN264" s="178"/>
      <c r="MKO264" s="178"/>
      <c r="MKP264" s="178"/>
      <c r="MKQ264" s="178"/>
      <c r="MKR264" s="178"/>
      <c r="MKS264" s="178"/>
      <c r="MKT264" s="178"/>
      <c r="MKU264" s="178"/>
      <c r="MKV264" s="178"/>
      <c r="MKW264" s="178"/>
      <c r="MKX264" s="178"/>
      <c r="MKY264" s="178"/>
      <c r="MKZ264" s="178"/>
      <c r="MLA264" s="178"/>
      <c r="MLB264" s="178"/>
      <c r="MLC264" s="178"/>
      <c r="MLD264" s="178"/>
      <c r="MLE264" s="178"/>
      <c r="MLF264" s="178"/>
      <c r="MLG264" s="178"/>
      <c r="MLH264" s="178"/>
      <c r="MLI264" s="178"/>
      <c r="MLJ264" s="178"/>
      <c r="MLK264" s="178"/>
      <c r="MLL264" s="178"/>
      <c r="MLM264" s="178"/>
      <c r="MLN264" s="178"/>
      <c r="MLO264" s="178"/>
      <c r="MLP264" s="178"/>
      <c r="MLQ264" s="178"/>
      <c r="MLR264" s="178"/>
      <c r="MLS264" s="178"/>
      <c r="MLT264" s="178"/>
      <c r="MLU264" s="178"/>
      <c r="MLV264" s="178"/>
      <c r="MLW264" s="178"/>
      <c r="MLX264" s="178"/>
      <c r="MLY264" s="178"/>
      <c r="MLZ264" s="178"/>
      <c r="MMA264" s="178"/>
      <c r="MMB264" s="178"/>
      <c r="MMC264" s="178"/>
      <c r="MMD264" s="178"/>
      <c r="MME264" s="178"/>
      <c r="MMF264" s="178"/>
      <c r="MMG264" s="178"/>
      <c r="MMH264" s="178"/>
      <c r="MMI264" s="178"/>
      <c r="MMJ264" s="178"/>
      <c r="MMK264" s="178"/>
      <c r="MML264" s="178"/>
      <c r="MMM264" s="178"/>
      <c r="MMN264" s="178"/>
      <c r="MMO264" s="178"/>
      <c r="MMP264" s="178"/>
      <c r="MMQ264" s="178"/>
      <c r="MMR264" s="178"/>
      <c r="MMS264" s="178"/>
      <c r="MMT264" s="178"/>
      <c r="MMU264" s="178"/>
      <c r="MMV264" s="178"/>
      <c r="MMW264" s="178"/>
      <c r="MMX264" s="178"/>
      <c r="MMY264" s="178"/>
      <c r="MMZ264" s="178"/>
      <c r="MNA264" s="178"/>
      <c r="MNB264" s="178"/>
      <c r="MNC264" s="178"/>
      <c r="MND264" s="178"/>
      <c r="MNE264" s="178"/>
      <c r="MNF264" s="178"/>
      <c r="MNG264" s="178"/>
      <c r="MNH264" s="178"/>
      <c r="MNI264" s="178"/>
      <c r="MNJ264" s="178"/>
      <c r="MNK264" s="178"/>
      <c r="MNL264" s="178"/>
      <c r="MNM264" s="178"/>
      <c r="MNN264" s="178"/>
      <c r="MNO264" s="178"/>
      <c r="MNP264" s="178"/>
      <c r="MNQ264" s="178"/>
      <c r="MNR264" s="178"/>
      <c r="MNS264" s="178"/>
      <c r="MNT264" s="178"/>
      <c r="MNU264" s="178"/>
      <c r="MNV264" s="178"/>
      <c r="MNW264" s="178"/>
      <c r="MNX264" s="178"/>
      <c r="MNY264" s="178"/>
      <c r="MNZ264" s="178"/>
      <c r="MOA264" s="178"/>
      <c r="MOB264" s="178"/>
      <c r="MOC264" s="178"/>
      <c r="MOD264" s="178"/>
      <c r="MOE264" s="178"/>
      <c r="MOF264" s="178"/>
      <c r="MOG264" s="178"/>
      <c r="MOH264" s="178"/>
      <c r="MOI264" s="178"/>
      <c r="MOJ264" s="178"/>
      <c r="MOK264" s="178"/>
      <c r="MOL264" s="178"/>
      <c r="MOM264" s="178"/>
      <c r="MON264" s="178"/>
      <c r="MOO264" s="178"/>
      <c r="MOP264" s="178"/>
      <c r="MOQ264" s="178"/>
      <c r="MOR264" s="178"/>
      <c r="MOS264" s="178"/>
      <c r="MOT264" s="178"/>
      <c r="MOU264" s="178"/>
      <c r="MOV264" s="178"/>
      <c r="MOW264" s="178"/>
      <c r="MOX264" s="178"/>
      <c r="MOY264" s="178"/>
      <c r="MOZ264" s="178"/>
      <c r="MPA264" s="178"/>
      <c r="MPB264" s="178"/>
      <c r="MPC264" s="178"/>
      <c r="MPD264" s="178"/>
      <c r="MPE264" s="178"/>
      <c r="MPF264" s="178"/>
      <c r="MPG264" s="178"/>
      <c r="MPH264" s="178"/>
      <c r="MPI264" s="178"/>
      <c r="MPJ264" s="178"/>
      <c r="MPK264" s="178"/>
      <c r="MPL264" s="178"/>
      <c r="MPM264" s="178"/>
      <c r="MPN264" s="178"/>
      <c r="MPO264" s="178"/>
      <c r="MPP264" s="178"/>
      <c r="MPQ264" s="178"/>
      <c r="MPR264" s="178"/>
      <c r="MPS264" s="178"/>
      <c r="MPT264" s="178"/>
      <c r="MPU264" s="178"/>
      <c r="MPV264" s="178"/>
      <c r="MPW264" s="178"/>
      <c r="MPX264" s="178"/>
      <c r="MPY264" s="178"/>
      <c r="MPZ264" s="178"/>
      <c r="MQA264" s="178"/>
      <c r="MQB264" s="178"/>
      <c r="MQC264" s="178"/>
      <c r="MQD264" s="178"/>
      <c r="MQE264" s="178"/>
      <c r="MQF264" s="178"/>
      <c r="MQG264" s="178"/>
      <c r="MQH264" s="178"/>
      <c r="MQI264" s="178"/>
      <c r="MQJ264" s="178"/>
      <c r="MQK264" s="178"/>
      <c r="MQL264" s="178"/>
      <c r="MQM264" s="178"/>
      <c r="MQN264" s="178"/>
      <c r="MQO264" s="178"/>
      <c r="MQP264" s="178"/>
      <c r="MQQ264" s="178"/>
      <c r="MQR264" s="178"/>
      <c r="MQS264" s="178"/>
      <c r="MQT264" s="178"/>
      <c r="MQU264" s="178"/>
      <c r="MQV264" s="178"/>
      <c r="MQW264" s="178"/>
      <c r="MQX264" s="178"/>
      <c r="MQY264" s="178"/>
      <c r="MQZ264" s="178"/>
      <c r="MRA264" s="178"/>
      <c r="MRB264" s="178"/>
      <c r="MRC264" s="178"/>
      <c r="MRD264" s="178"/>
      <c r="MRE264" s="178"/>
      <c r="MRF264" s="178"/>
      <c r="MRG264" s="178"/>
      <c r="MRH264" s="178"/>
      <c r="MRI264" s="178"/>
      <c r="MRJ264" s="178"/>
      <c r="MRK264" s="178"/>
      <c r="MRL264" s="178"/>
      <c r="MRM264" s="178"/>
      <c r="MRN264" s="178"/>
      <c r="MRO264" s="178"/>
      <c r="MRP264" s="178"/>
      <c r="MRQ264" s="178"/>
      <c r="MRR264" s="178"/>
      <c r="MRS264" s="178"/>
      <c r="MRT264" s="178"/>
      <c r="MRU264" s="178"/>
      <c r="MRV264" s="178"/>
      <c r="MRW264" s="178"/>
      <c r="MRX264" s="178"/>
      <c r="MRY264" s="178"/>
      <c r="MRZ264" s="178"/>
      <c r="MSA264" s="178"/>
      <c r="MSB264" s="178"/>
      <c r="MSC264" s="178"/>
      <c r="MSD264" s="178"/>
      <c r="MSE264" s="178"/>
      <c r="MSF264" s="178"/>
      <c r="MSG264" s="178"/>
      <c r="MSH264" s="178"/>
      <c r="MSI264" s="178"/>
      <c r="MSJ264" s="178"/>
      <c r="MSK264" s="178"/>
      <c r="MSL264" s="178"/>
      <c r="MSM264" s="178"/>
      <c r="MSN264" s="178"/>
      <c r="MSO264" s="178"/>
      <c r="MSP264" s="178"/>
      <c r="MSQ264" s="178"/>
      <c r="MSR264" s="178"/>
      <c r="MSS264" s="178"/>
      <c r="MST264" s="178"/>
      <c r="MSU264" s="178"/>
      <c r="MSV264" s="178"/>
      <c r="MSW264" s="178"/>
      <c r="MSX264" s="178"/>
      <c r="MSY264" s="178"/>
      <c r="MSZ264" s="178"/>
      <c r="MTA264" s="178"/>
      <c r="MTB264" s="178"/>
      <c r="MTC264" s="178"/>
      <c r="MTD264" s="178"/>
      <c r="MTE264" s="178"/>
      <c r="MTF264" s="178"/>
      <c r="MTG264" s="178"/>
      <c r="MTH264" s="178"/>
      <c r="MTI264" s="178"/>
      <c r="MTJ264" s="178"/>
      <c r="MTK264" s="178"/>
      <c r="MTL264" s="178"/>
      <c r="MTM264" s="178"/>
      <c r="MTN264" s="178"/>
      <c r="MTO264" s="178"/>
      <c r="MTP264" s="178"/>
      <c r="MTQ264" s="178"/>
      <c r="MTR264" s="178"/>
      <c r="MTS264" s="178"/>
      <c r="MTT264" s="178"/>
      <c r="MTU264" s="178"/>
      <c r="MTV264" s="178"/>
      <c r="MTW264" s="178"/>
      <c r="MTX264" s="178"/>
      <c r="MTY264" s="178"/>
      <c r="MTZ264" s="178"/>
      <c r="MUA264" s="178"/>
      <c r="MUB264" s="178"/>
      <c r="MUC264" s="178"/>
      <c r="MUD264" s="178"/>
      <c r="MUE264" s="178"/>
      <c r="MUF264" s="178"/>
      <c r="MUG264" s="178"/>
      <c r="MUH264" s="178"/>
      <c r="MUI264" s="178"/>
      <c r="MUJ264" s="178"/>
      <c r="MUK264" s="178"/>
      <c r="MUL264" s="178"/>
      <c r="MUM264" s="178"/>
      <c r="MUN264" s="178"/>
      <c r="MUO264" s="178"/>
      <c r="MUP264" s="178"/>
      <c r="MUQ264" s="178"/>
      <c r="MUR264" s="178"/>
      <c r="MUS264" s="178"/>
      <c r="MUT264" s="178"/>
      <c r="MUU264" s="178"/>
      <c r="MUV264" s="178"/>
      <c r="MUW264" s="178"/>
      <c r="MUX264" s="178"/>
      <c r="MUY264" s="178"/>
      <c r="MUZ264" s="178"/>
      <c r="MVA264" s="178"/>
      <c r="MVB264" s="178"/>
      <c r="MVC264" s="178"/>
      <c r="MVD264" s="178"/>
      <c r="MVE264" s="178"/>
      <c r="MVF264" s="178"/>
      <c r="MVG264" s="178"/>
      <c r="MVH264" s="178"/>
      <c r="MVI264" s="178"/>
      <c r="MVJ264" s="178"/>
      <c r="MVK264" s="178"/>
      <c r="MVL264" s="178"/>
      <c r="MVM264" s="178"/>
      <c r="MVN264" s="178"/>
      <c r="MVO264" s="178"/>
      <c r="MVP264" s="178"/>
      <c r="MVQ264" s="178"/>
      <c r="MVR264" s="178"/>
      <c r="MVS264" s="178"/>
      <c r="MVT264" s="178"/>
      <c r="MVU264" s="178"/>
      <c r="MVV264" s="178"/>
      <c r="MVW264" s="178"/>
      <c r="MVX264" s="178"/>
      <c r="MVY264" s="178"/>
      <c r="MVZ264" s="178"/>
      <c r="MWA264" s="178"/>
      <c r="MWB264" s="178"/>
      <c r="MWC264" s="178"/>
      <c r="MWD264" s="178"/>
      <c r="MWE264" s="178"/>
      <c r="MWF264" s="178"/>
      <c r="MWG264" s="178"/>
      <c r="MWH264" s="178"/>
      <c r="MWI264" s="178"/>
      <c r="MWJ264" s="178"/>
      <c r="MWK264" s="178"/>
      <c r="MWL264" s="178"/>
      <c r="MWM264" s="178"/>
      <c r="MWN264" s="178"/>
      <c r="MWO264" s="178"/>
      <c r="MWP264" s="178"/>
      <c r="MWQ264" s="178"/>
      <c r="MWR264" s="178"/>
      <c r="MWS264" s="178"/>
      <c r="MWT264" s="178"/>
      <c r="MWU264" s="178"/>
      <c r="MWV264" s="178"/>
      <c r="MWW264" s="178"/>
      <c r="MWX264" s="178"/>
      <c r="MWY264" s="178"/>
      <c r="MWZ264" s="178"/>
      <c r="MXA264" s="178"/>
      <c r="MXB264" s="178"/>
      <c r="MXC264" s="178"/>
      <c r="MXD264" s="178"/>
      <c r="MXE264" s="178"/>
      <c r="MXF264" s="178"/>
      <c r="MXG264" s="178"/>
      <c r="MXH264" s="178"/>
      <c r="MXI264" s="178"/>
      <c r="MXJ264" s="178"/>
      <c r="MXK264" s="178"/>
      <c r="MXL264" s="178"/>
      <c r="MXM264" s="178"/>
      <c r="MXN264" s="178"/>
      <c r="MXO264" s="178"/>
      <c r="MXP264" s="178"/>
      <c r="MXQ264" s="178"/>
      <c r="MXR264" s="178"/>
      <c r="MXS264" s="178"/>
      <c r="MXT264" s="178"/>
      <c r="MXU264" s="178"/>
      <c r="MXV264" s="178"/>
      <c r="MXW264" s="178"/>
      <c r="MXX264" s="178"/>
      <c r="MXY264" s="178"/>
      <c r="MXZ264" s="178"/>
      <c r="MYA264" s="178"/>
      <c r="MYB264" s="178"/>
      <c r="MYC264" s="178"/>
      <c r="MYD264" s="178"/>
      <c r="MYE264" s="178"/>
      <c r="MYF264" s="178"/>
      <c r="MYG264" s="178"/>
      <c r="MYH264" s="178"/>
      <c r="MYI264" s="178"/>
      <c r="MYJ264" s="178"/>
      <c r="MYK264" s="178"/>
      <c r="MYL264" s="178"/>
      <c r="MYM264" s="178"/>
      <c r="MYN264" s="178"/>
      <c r="MYO264" s="178"/>
      <c r="MYP264" s="178"/>
      <c r="MYQ264" s="178"/>
      <c r="MYR264" s="178"/>
      <c r="MYS264" s="178"/>
      <c r="MYT264" s="178"/>
      <c r="MYU264" s="178"/>
      <c r="MYV264" s="178"/>
      <c r="MYW264" s="178"/>
      <c r="MYX264" s="178"/>
      <c r="MYY264" s="178"/>
      <c r="MYZ264" s="178"/>
      <c r="MZA264" s="178"/>
      <c r="MZB264" s="178"/>
      <c r="MZC264" s="178"/>
      <c r="MZD264" s="178"/>
      <c r="MZE264" s="178"/>
      <c r="MZF264" s="178"/>
      <c r="MZG264" s="178"/>
      <c r="MZH264" s="178"/>
      <c r="MZI264" s="178"/>
      <c r="MZJ264" s="178"/>
      <c r="MZK264" s="178"/>
      <c r="MZL264" s="178"/>
      <c r="MZM264" s="178"/>
      <c r="MZN264" s="178"/>
      <c r="MZO264" s="178"/>
      <c r="MZP264" s="178"/>
      <c r="MZQ264" s="178"/>
      <c r="MZR264" s="178"/>
      <c r="MZS264" s="178"/>
      <c r="MZT264" s="178"/>
      <c r="MZU264" s="178"/>
      <c r="MZV264" s="178"/>
      <c r="MZW264" s="178"/>
      <c r="MZX264" s="178"/>
      <c r="MZY264" s="178"/>
      <c r="MZZ264" s="178"/>
      <c r="NAA264" s="178"/>
      <c r="NAB264" s="178"/>
      <c r="NAC264" s="178"/>
      <c r="NAD264" s="178"/>
      <c r="NAE264" s="178"/>
      <c r="NAF264" s="178"/>
      <c r="NAG264" s="178"/>
      <c r="NAH264" s="178"/>
      <c r="NAI264" s="178"/>
      <c r="NAJ264" s="178"/>
      <c r="NAK264" s="178"/>
      <c r="NAL264" s="178"/>
      <c r="NAM264" s="178"/>
      <c r="NAN264" s="178"/>
      <c r="NAO264" s="178"/>
      <c r="NAP264" s="178"/>
      <c r="NAQ264" s="178"/>
      <c r="NAR264" s="178"/>
      <c r="NAS264" s="178"/>
      <c r="NAT264" s="178"/>
      <c r="NAU264" s="178"/>
      <c r="NAV264" s="178"/>
      <c r="NAW264" s="178"/>
      <c r="NAX264" s="178"/>
      <c r="NAY264" s="178"/>
      <c r="NAZ264" s="178"/>
      <c r="NBA264" s="178"/>
      <c r="NBB264" s="178"/>
      <c r="NBC264" s="178"/>
      <c r="NBD264" s="178"/>
      <c r="NBE264" s="178"/>
      <c r="NBF264" s="178"/>
      <c r="NBG264" s="178"/>
      <c r="NBH264" s="178"/>
      <c r="NBI264" s="178"/>
      <c r="NBJ264" s="178"/>
      <c r="NBK264" s="178"/>
      <c r="NBL264" s="178"/>
      <c r="NBM264" s="178"/>
      <c r="NBN264" s="178"/>
      <c r="NBO264" s="178"/>
      <c r="NBP264" s="178"/>
      <c r="NBQ264" s="178"/>
      <c r="NBR264" s="178"/>
      <c r="NBS264" s="178"/>
      <c r="NBT264" s="178"/>
      <c r="NBU264" s="178"/>
      <c r="NBV264" s="178"/>
      <c r="NBW264" s="178"/>
      <c r="NBX264" s="178"/>
      <c r="NBY264" s="178"/>
      <c r="NBZ264" s="178"/>
      <c r="NCA264" s="178"/>
      <c r="NCB264" s="178"/>
      <c r="NCC264" s="178"/>
      <c r="NCD264" s="178"/>
      <c r="NCE264" s="178"/>
      <c r="NCF264" s="178"/>
      <c r="NCG264" s="178"/>
      <c r="NCH264" s="178"/>
      <c r="NCI264" s="178"/>
      <c r="NCJ264" s="178"/>
      <c r="NCK264" s="178"/>
      <c r="NCL264" s="178"/>
      <c r="NCM264" s="178"/>
      <c r="NCN264" s="178"/>
      <c r="NCO264" s="178"/>
      <c r="NCP264" s="178"/>
      <c r="NCQ264" s="178"/>
      <c r="NCR264" s="178"/>
      <c r="NCS264" s="178"/>
      <c r="NCT264" s="178"/>
      <c r="NCU264" s="178"/>
      <c r="NCV264" s="178"/>
      <c r="NCW264" s="178"/>
      <c r="NCX264" s="178"/>
      <c r="NCY264" s="178"/>
      <c r="NCZ264" s="178"/>
      <c r="NDA264" s="178"/>
      <c r="NDB264" s="178"/>
      <c r="NDC264" s="178"/>
      <c r="NDD264" s="178"/>
      <c r="NDE264" s="178"/>
      <c r="NDF264" s="178"/>
      <c r="NDG264" s="178"/>
      <c r="NDH264" s="178"/>
      <c r="NDI264" s="178"/>
      <c r="NDJ264" s="178"/>
      <c r="NDK264" s="178"/>
      <c r="NDL264" s="178"/>
      <c r="NDM264" s="178"/>
      <c r="NDN264" s="178"/>
      <c r="NDO264" s="178"/>
      <c r="NDP264" s="178"/>
      <c r="NDQ264" s="178"/>
      <c r="NDR264" s="178"/>
      <c r="NDS264" s="178"/>
      <c r="NDT264" s="178"/>
      <c r="NDU264" s="178"/>
      <c r="NDV264" s="178"/>
      <c r="NDW264" s="178"/>
      <c r="NDX264" s="178"/>
      <c r="NDY264" s="178"/>
      <c r="NDZ264" s="178"/>
      <c r="NEA264" s="178"/>
      <c r="NEB264" s="178"/>
      <c r="NEC264" s="178"/>
      <c r="NED264" s="178"/>
      <c r="NEE264" s="178"/>
      <c r="NEF264" s="178"/>
      <c r="NEG264" s="178"/>
      <c r="NEH264" s="178"/>
      <c r="NEI264" s="178"/>
      <c r="NEJ264" s="178"/>
      <c r="NEK264" s="178"/>
      <c r="NEL264" s="178"/>
      <c r="NEM264" s="178"/>
      <c r="NEN264" s="178"/>
      <c r="NEO264" s="178"/>
      <c r="NEP264" s="178"/>
      <c r="NEQ264" s="178"/>
      <c r="NER264" s="178"/>
      <c r="NES264" s="178"/>
      <c r="NET264" s="178"/>
      <c r="NEU264" s="178"/>
      <c r="NEV264" s="178"/>
      <c r="NEW264" s="178"/>
      <c r="NEX264" s="178"/>
      <c r="NEY264" s="178"/>
      <c r="NEZ264" s="178"/>
      <c r="NFA264" s="178"/>
      <c r="NFB264" s="178"/>
      <c r="NFC264" s="178"/>
      <c r="NFD264" s="178"/>
      <c r="NFE264" s="178"/>
      <c r="NFF264" s="178"/>
      <c r="NFG264" s="178"/>
      <c r="NFH264" s="178"/>
      <c r="NFI264" s="178"/>
      <c r="NFJ264" s="178"/>
      <c r="NFK264" s="178"/>
      <c r="NFL264" s="178"/>
      <c r="NFM264" s="178"/>
      <c r="NFN264" s="178"/>
      <c r="NFO264" s="178"/>
      <c r="NFP264" s="178"/>
      <c r="NFQ264" s="178"/>
      <c r="NFR264" s="178"/>
      <c r="NFS264" s="178"/>
      <c r="NFT264" s="178"/>
      <c r="NFU264" s="178"/>
      <c r="NFV264" s="178"/>
      <c r="NFW264" s="178"/>
      <c r="NFX264" s="178"/>
      <c r="NFY264" s="178"/>
      <c r="NFZ264" s="178"/>
      <c r="NGA264" s="178"/>
      <c r="NGB264" s="178"/>
      <c r="NGC264" s="178"/>
      <c r="NGD264" s="178"/>
      <c r="NGE264" s="178"/>
      <c r="NGF264" s="178"/>
      <c r="NGG264" s="178"/>
      <c r="NGH264" s="178"/>
      <c r="NGI264" s="178"/>
      <c r="NGJ264" s="178"/>
      <c r="NGK264" s="178"/>
      <c r="NGL264" s="178"/>
      <c r="NGM264" s="178"/>
      <c r="NGN264" s="178"/>
      <c r="NGO264" s="178"/>
      <c r="NGP264" s="178"/>
      <c r="NGQ264" s="178"/>
      <c r="NGR264" s="178"/>
      <c r="NGS264" s="178"/>
      <c r="NGT264" s="178"/>
      <c r="NGU264" s="178"/>
      <c r="NGV264" s="178"/>
      <c r="NGW264" s="178"/>
      <c r="NGX264" s="178"/>
      <c r="NGY264" s="178"/>
      <c r="NGZ264" s="178"/>
      <c r="NHA264" s="178"/>
      <c r="NHB264" s="178"/>
      <c r="NHC264" s="178"/>
      <c r="NHD264" s="178"/>
      <c r="NHE264" s="178"/>
      <c r="NHF264" s="178"/>
      <c r="NHG264" s="178"/>
      <c r="NHH264" s="178"/>
      <c r="NHI264" s="178"/>
      <c r="NHJ264" s="178"/>
      <c r="NHK264" s="178"/>
      <c r="NHL264" s="178"/>
      <c r="NHM264" s="178"/>
      <c r="NHN264" s="178"/>
      <c r="NHO264" s="178"/>
      <c r="NHP264" s="178"/>
      <c r="NHQ264" s="178"/>
      <c r="NHR264" s="178"/>
      <c r="NHS264" s="178"/>
      <c r="NHT264" s="178"/>
      <c r="NHU264" s="178"/>
      <c r="NHV264" s="178"/>
      <c r="NHW264" s="178"/>
      <c r="NHX264" s="178"/>
      <c r="NHY264" s="178"/>
      <c r="NHZ264" s="178"/>
      <c r="NIA264" s="178"/>
      <c r="NIB264" s="178"/>
      <c r="NIC264" s="178"/>
      <c r="NID264" s="178"/>
      <c r="NIE264" s="178"/>
      <c r="NIF264" s="178"/>
      <c r="NIG264" s="178"/>
      <c r="NIH264" s="178"/>
      <c r="NII264" s="178"/>
      <c r="NIJ264" s="178"/>
      <c r="NIK264" s="178"/>
      <c r="NIL264" s="178"/>
      <c r="NIM264" s="178"/>
      <c r="NIN264" s="178"/>
      <c r="NIO264" s="178"/>
      <c r="NIP264" s="178"/>
      <c r="NIQ264" s="178"/>
      <c r="NIR264" s="178"/>
      <c r="NIS264" s="178"/>
      <c r="NIT264" s="178"/>
      <c r="NIU264" s="178"/>
      <c r="NIV264" s="178"/>
      <c r="NIW264" s="178"/>
      <c r="NIX264" s="178"/>
      <c r="NIY264" s="178"/>
      <c r="NIZ264" s="178"/>
      <c r="NJA264" s="178"/>
      <c r="NJB264" s="178"/>
      <c r="NJC264" s="178"/>
      <c r="NJD264" s="178"/>
      <c r="NJE264" s="178"/>
      <c r="NJF264" s="178"/>
      <c r="NJG264" s="178"/>
      <c r="NJH264" s="178"/>
      <c r="NJI264" s="178"/>
      <c r="NJJ264" s="178"/>
      <c r="NJK264" s="178"/>
      <c r="NJL264" s="178"/>
      <c r="NJM264" s="178"/>
      <c r="NJN264" s="178"/>
      <c r="NJO264" s="178"/>
      <c r="NJP264" s="178"/>
      <c r="NJQ264" s="178"/>
      <c r="NJR264" s="178"/>
      <c r="NJS264" s="178"/>
      <c r="NJT264" s="178"/>
      <c r="NJU264" s="178"/>
      <c r="NJV264" s="178"/>
      <c r="NJW264" s="178"/>
      <c r="NJX264" s="178"/>
      <c r="NJY264" s="178"/>
      <c r="NJZ264" s="178"/>
      <c r="NKA264" s="178"/>
      <c r="NKB264" s="178"/>
      <c r="NKC264" s="178"/>
      <c r="NKD264" s="178"/>
      <c r="NKE264" s="178"/>
      <c r="NKF264" s="178"/>
      <c r="NKG264" s="178"/>
      <c r="NKH264" s="178"/>
      <c r="NKI264" s="178"/>
      <c r="NKJ264" s="178"/>
      <c r="NKK264" s="178"/>
      <c r="NKL264" s="178"/>
      <c r="NKM264" s="178"/>
      <c r="NKN264" s="178"/>
      <c r="NKO264" s="178"/>
      <c r="NKP264" s="178"/>
      <c r="NKQ264" s="178"/>
      <c r="NKR264" s="178"/>
      <c r="NKS264" s="178"/>
      <c r="NKT264" s="178"/>
      <c r="NKU264" s="178"/>
      <c r="NKV264" s="178"/>
      <c r="NKW264" s="178"/>
      <c r="NKX264" s="178"/>
      <c r="NKY264" s="178"/>
      <c r="NKZ264" s="178"/>
      <c r="NLA264" s="178"/>
      <c r="NLB264" s="178"/>
      <c r="NLC264" s="178"/>
      <c r="NLD264" s="178"/>
      <c r="NLE264" s="178"/>
      <c r="NLF264" s="178"/>
      <c r="NLG264" s="178"/>
      <c r="NLH264" s="178"/>
      <c r="NLI264" s="178"/>
      <c r="NLJ264" s="178"/>
      <c r="NLK264" s="178"/>
      <c r="NLL264" s="178"/>
      <c r="NLM264" s="178"/>
      <c r="NLN264" s="178"/>
      <c r="NLO264" s="178"/>
      <c r="NLP264" s="178"/>
      <c r="NLQ264" s="178"/>
      <c r="NLR264" s="178"/>
      <c r="NLS264" s="178"/>
      <c r="NLT264" s="178"/>
      <c r="NLU264" s="178"/>
      <c r="NLV264" s="178"/>
      <c r="NLW264" s="178"/>
      <c r="NLX264" s="178"/>
      <c r="NLY264" s="178"/>
      <c r="NLZ264" s="178"/>
      <c r="NMA264" s="178"/>
      <c r="NMB264" s="178"/>
      <c r="NMC264" s="178"/>
      <c r="NMD264" s="178"/>
      <c r="NME264" s="178"/>
      <c r="NMF264" s="178"/>
      <c r="NMG264" s="178"/>
      <c r="NMH264" s="178"/>
      <c r="NMI264" s="178"/>
      <c r="NMJ264" s="178"/>
      <c r="NMK264" s="178"/>
      <c r="NML264" s="178"/>
      <c r="NMM264" s="178"/>
      <c r="NMN264" s="178"/>
      <c r="NMO264" s="178"/>
      <c r="NMP264" s="178"/>
      <c r="NMQ264" s="178"/>
      <c r="NMR264" s="178"/>
      <c r="NMS264" s="178"/>
      <c r="NMT264" s="178"/>
      <c r="NMU264" s="178"/>
      <c r="NMV264" s="178"/>
      <c r="NMW264" s="178"/>
      <c r="NMX264" s="178"/>
      <c r="NMY264" s="178"/>
      <c r="NMZ264" s="178"/>
      <c r="NNA264" s="178"/>
      <c r="NNB264" s="178"/>
      <c r="NNC264" s="178"/>
      <c r="NND264" s="178"/>
      <c r="NNE264" s="178"/>
      <c r="NNF264" s="178"/>
      <c r="NNG264" s="178"/>
      <c r="NNH264" s="178"/>
      <c r="NNI264" s="178"/>
      <c r="NNJ264" s="178"/>
      <c r="NNK264" s="178"/>
      <c r="NNL264" s="178"/>
      <c r="NNM264" s="178"/>
      <c r="NNN264" s="178"/>
      <c r="NNO264" s="178"/>
      <c r="NNP264" s="178"/>
      <c r="NNQ264" s="178"/>
      <c r="NNR264" s="178"/>
      <c r="NNS264" s="178"/>
      <c r="NNT264" s="178"/>
      <c r="NNU264" s="178"/>
      <c r="NNV264" s="178"/>
      <c r="NNW264" s="178"/>
      <c r="NNX264" s="178"/>
      <c r="NNY264" s="178"/>
      <c r="NNZ264" s="178"/>
      <c r="NOA264" s="178"/>
      <c r="NOB264" s="178"/>
      <c r="NOC264" s="178"/>
      <c r="NOD264" s="178"/>
      <c r="NOE264" s="178"/>
      <c r="NOF264" s="178"/>
      <c r="NOG264" s="178"/>
      <c r="NOH264" s="178"/>
      <c r="NOI264" s="178"/>
      <c r="NOJ264" s="178"/>
      <c r="NOK264" s="178"/>
      <c r="NOL264" s="178"/>
      <c r="NOM264" s="178"/>
      <c r="NON264" s="178"/>
      <c r="NOO264" s="178"/>
      <c r="NOP264" s="178"/>
      <c r="NOQ264" s="178"/>
      <c r="NOR264" s="178"/>
      <c r="NOS264" s="178"/>
      <c r="NOT264" s="178"/>
      <c r="NOU264" s="178"/>
      <c r="NOV264" s="178"/>
      <c r="NOW264" s="178"/>
      <c r="NOX264" s="178"/>
      <c r="NOY264" s="178"/>
      <c r="NOZ264" s="178"/>
      <c r="NPA264" s="178"/>
      <c r="NPB264" s="178"/>
      <c r="NPC264" s="178"/>
      <c r="NPD264" s="178"/>
      <c r="NPE264" s="178"/>
      <c r="NPF264" s="178"/>
      <c r="NPG264" s="178"/>
      <c r="NPH264" s="178"/>
      <c r="NPI264" s="178"/>
      <c r="NPJ264" s="178"/>
      <c r="NPK264" s="178"/>
      <c r="NPL264" s="178"/>
      <c r="NPM264" s="178"/>
      <c r="NPN264" s="178"/>
      <c r="NPO264" s="178"/>
      <c r="NPP264" s="178"/>
      <c r="NPQ264" s="178"/>
      <c r="NPR264" s="178"/>
      <c r="NPS264" s="178"/>
      <c r="NPT264" s="178"/>
      <c r="NPU264" s="178"/>
      <c r="NPV264" s="178"/>
      <c r="NPW264" s="178"/>
      <c r="NPX264" s="178"/>
      <c r="NPY264" s="178"/>
      <c r="NPZ264" s="178"/>
      <c r="NQA264" s="178"/>
      <c r="NQB264" s="178"/>
      <c r="NQC264" s="178"/>
      <c r="NQD264" s="178"/>
      <c r="NQE264" s="178"/>
      <c r="NQF264" s="178"/>
      <c r="NQG264" s="178"/>
      <c r="NQH264" s="178"/>
      <c r="NQI264" s="178"/>
      <c r="NQJ264" s="178"/>
      <c r="NQK264" s="178"/>
      <c r="NQL264" s="178"/>
      <c r="NQM264" s="178"/>
      <c r="NQN264" s="178"/>
      <c r="NQO264" s="178"/>
      <c r="NQP264" s="178"/>
      <c r="NQQ264" s="178"/>
      <c r="NQR264" s="178"/>
      <c r="NQS264" s="178"/>
      <c r="NQT264" s="178"/>
      <c r="NQU264" s="178"/>
      <c r="NQV264" s="178"/>
      <c r="NQW264" s="178"/>
      <c r="NQX264" s="178"/>
      <c r="NQY264" s="178"/>
      <c r="NQZ264" s="178"/>
      <c r="NRA264" s="178"/>
      <c r="NRB264" s="178"/>
      <c r="NRC264" s="178"/>
      <c r="NRD264" s="178"/>
      <c r="NRE264" s="178"/>
      <c r="NRF264" s="178"/>
      <c r="NRG264" s="178"/>
      <c r="NRH264" s="178"/>
      <c r="NRI264" s="178"/>
      <c r="NRJ264" s="178"/>
      <c r="NRK264" s="178"/>
      <c r="NRL264" s="178"/>
      <c r="NRM264" s="178"/>
      <c r="NRN264" s="178"/>
      <c r="NRO264" s="178"/>
      <c r="NRP264" s="178"/>
      <c r="NRQ264" s="178"/>
      <c r="NRR264" s="178"/>
      <c r="NRS264" s="178"/>
      <c r="NRT264" s="178"/>
      <c r="NRU264" s="178"/>
      <c r="NRV264" s="178"/>
      <c r="NRW264" s="178"/>
      <c r="NRX264" s="178"/>
      <c r="NRY264" s="178"/>
      <c r="NRZ264" s="178"/>
      <c r="NSA264" s="178"/>
      <c r="NSB264" s="178"/>
      <c r="NSC264" s="178"/>
      <c r="NSD264" s="178"/>
      <c r="NSE264" s="178"/>
      <c r="NSF264" s="178"/>
      <c r="NSG264" s="178"/>
      <c r="NSH264" s="178"/>
      <c r="NSI264" s="178"/>
      <c r="NSJ264" s="178"/>
      <c r="NSK264" s="178"/>
      <c r="NSL264" s="178"/>
      <c r="NSM264" s="178"/>
      <c r="NSN264" s="178"/>
      <c r="NSO264" s="178"/>
      <c r="NSP264" s="178"/>
      <c r="NSQ264" s="178"/>
      <c r="NSR264" s="178"/>
      <c r="NSS264" s="178"/>
      <c r="NST264" s="178"/>
      <c r="NSU264" s="178"/>
      <c r="NSV264" s="178"/>
      <c r="NSW264" s="178"/>
      <c r="NSX264" s="178"/>
      <c r="NSY264" s="178"/>
      <c r="NSZ264" s="178"/>
      <c r="NTA264" s="178"/>
      <c r="NTB264" s="178"/>
      <c r="NTC264" s="178"/>
      <c r="NTD264" s="178"/>
      <c r="NTE264" s="178"/>
      <c r="NTF264" s="178"/>
      <c r="NTG264" s="178"/>
      <c r="NTH264" s="178"/>
      <c r="NTI264" s="178"/>
      <c r="NTJ264" s="178"/>
      <c r="NTK264" s="178"/>
      <c r="NTL264" s="178"/>
      <c r="NTM264" s="178"/>
      <c r="NTN264" s="178"/>
      <c r="NTO264" s="178"/>
      <c r="NTP264" s="178"/>
      <c r="NTQ264" s="178"/>
      <c r="NTR264" s="178"/>
      <c r="NTS264" s="178"/>
      <c r="NTT264" s="178"/>
      <c r="NTU264" s="178"/>
      <c r="NTV264" s="178"/>
      <c r="NTW264" s="178"/>
      <c r="NTX264" s="178"/>
      <c r="NTY264" s="178"/>
      <c r="NTZ264" s="178"/>
      <c r="NUA264" s="178"/>
      <c r="NUB264" s="178"/>
      <c r="NUC264" s="178"/>
      <c r="NUD264" s="178"/>
      <c r="NUE264" s="178"/>
      <c r="NUF264" s="178"/>
      <c r="NUG264" s="178"/>
      <c r="NUH264" s="178"/>
      <c r="NUI264" s="178"/>
      <c r="NUJ264" s="178"/>
      <c r="NUK264" s="178"/>
      <c r="NUL264" s="178"/>
      <c r="NUM264" s="178"/>
      <c r="NUN264" s="178"/>
      <c r="NUO264" s="178"/>
      <c r="NUP264" s="178"/>
      <c r="NUQ264" s="178"/>
      <c r="NUR264" s="178"/>
      <c r="NUS264" s="178"/>
      <c r="NUT264" s="178"/>
      <c r="NUU264" s="178"/>
      <c r="NUV264" s="178"/>
      <c r="NUW264" s="178"/>
      <c r="NUX264" s="178"/>
      <c r="NUY264" s="178"/>
      <c r="NUZ264" s="178"/>
      <c r="NVA264" s="178"/>
      <c r="NVB264" s="178"/>
      <c r="NVC264" s="178"/>
      <c r="NVD264" s="178"/>
      <c r="NVE264" s="178"/>
      <c r="NVF264" s="178"/>
      <c r="NVG264" s="178"/>
      <c r="NVH264" s="178"/>
      <c r="NVI264" s="178"/>
      <c r="NVJ264" s="178"/>
      <c r="NVK264" s="178"/>
      <c r="NVL264" s="178"/>
      <c r="NVM264" s="178"/>
      <c r="NVN264" s="178"/>
      <c r="NVO264" s="178"/>
      <c r="NVP264" s="178"/>
      <c r="NVQ264" s="178"/>
      <c r="NVR264" s="178"/>
      <c r="NVS264" s="178"/>
      <c r="NVT264" s="178"/>
      <c r="NVU264" s="178"/>
      <c r="NVV264" s="178"/>
      <c r="NVW264" s="178"/>
      <c r="NVX264" s="178"/>
      <c r="NVY264" s="178"/>
      <c r="NVZ264" s="178"/>
      <c r="NWA264" s="178"/>
      <c r="NWB264" s="178"/>
      <c r="NWC264" s="178"/>
      <c r="NWD264" s="178"/>
      <c r="NWE264" s="178"/>
      <c r="NWF264" s="178"/>
      <c r="NWG264" s="178"/>
      <c r="NWH264" s="178"/>
      <c r="NWI264" s="178"/>
      <c r="NWJ264" s="178"/>
      <c r="NWK264" s="178"/>
      <c r="NWL264" s="178"/>
      <c r="NWM264" s="178"/>
      <c r="NWN264" s="178"/>
      <c r="NWO264" s="178"/>
      <c r="NWP264" s="178"/>
      <c r="NWQ264" s="178"/>
      <c r="NWR264" s="178"/>
      <c r="NWS264" s="178"/>
      <c r="NWT264" s="178"/>
      <c r="NWU264" s="178"/>
      <c r="NWV264" s="178"/>
      <c r="NWW264" s="178"/>
      <c r="NWX264" s="178"/>
      <c r="NWY264" s="178"/>
      <c r="NWZ264" s="178"/>
      <c r="NXA264" s="178"/>
      <c r="NXB264" s="178"/>
      <c r="NXC264" s="178"/>
      <c r="NXD264" s="178"/>
      <c r="NXE264" s="178"/>
      <c r="NXF264" s="178"/>
      <c r="NXG264" s="178"/>
      <c r="NXH264" s="178"/>
      <c r="NXI264" s="178"/>
      <c r="NXJ264" s="178"/>
      <c r="NXK264" s="178"/>
      <c r="NXL264" s="178"/>
      <c r="NXM264" s="178"/>
      <c r="NXN264" s="178"/>
      <c r="NXO264" s="178"/>
      <c r="NXP264" s="178"/>
      <c r="NXQ264" s="178"/>
      <c r="NXR264" s="178"/>
      <c r="NXS264" s="178"/>
      <c r="NXT264" s="178"/>
      <c r="NXU264" s="178"/>
      <c r="NXV264" s="178"/>
      <c r="NXW264" s="178"/>
      <c r="NXX264" s="178"/>
      <c r="NXY264" s="178"/>
      <c r="NXZ264" s="178"/>
      <c r="NYA264" s="178"/>
      <c r="NYB264" s="178"/>
      <c r="NYC264" s="178"/>
      <c r="NYD264" s="178"/>
      <c r="NYE264" s="178"/>
      <c r="NYF264" s="178"/>
      <c r="NYG264" s="178"/>
      <c r="NYH264" s="178"/>
      <c r="NYI264" s="178"/>
      <c r="NYJ264" s="178"/>
      <c r="NYK264" s="178"/>
      <c r="NYL264" s="178"/>
      <c r="NYM264" s="178"/>
      <c r="NYN264" s="178"/>
      <c r="NYO264" s="178"/>
      <c r="NYP264" s="178"/>
      <c r="NYQ264" s="178"/>
      <c r="NYR264" s="178"/>
      <c r="NYS264" s="178"/>
      <c r="NYT264" s="178"/>
      <c r="NYU264" s="178"/>
      <c r="NYV264" s="178"/>
      <c r="NYW264" s="178"/>
      <c r="NYX264" s="178"/>
      <c r="NYY264" s="178"/>
      <c r="NYZ264" s="178"/>
      <c r="NZA264" s="178"/>
      <c r="NZB264" s="178"/>
      <c r="NZC264" s="178"/>
      <c r="NZD264" s="178"/>
      <c r="NZE264" s="178"/>
      <c r="NZF264" s="178"/>
      <c r="NZG264" s="178"/>
      <c r="NZH264" s="178"/>
      <c r="NZI264" s="178"/>
      <c r="NZJ264" s="178"/>
      <c r="NZK264" s="178"/>
      <c r="NZL264" s="178"/>
      <c r="NZM264" s="178"/>
      <c r="NZN264" s="178"/>
      <c r="NZO264" s="178"/>
      <c r="NZP264" s="178"/>
      <c r="NZQ264" s="178"/>
      <c r="NZR264" s="178"/>
      <c r="NZS264" s="178"/>
      <c r="NZT264" s="178"/>
      <c r="NZU264" s="178"/>
      <c r="NZV264" s="178"/>
      <c r="NZW264" s="178"/>
      <c r="NZX264" s="178"/>
      <c r="NZY264" s="178"/>
      <c r="NZZ264" s="178"/>
      <c r="OAA264" s="178"/>
      <c r="OAB264" s="178"/>
      <c r="OAC264" s="178"/>
      <c r="OAD264" s="178"/>
      <c r="OAE264" s="178"/>
      <c r="OAF264" s="178"/>
      <c r="OAG264" s="178"/>
      <c r="OAH264" s="178"/>
      <c r="OAI264" s="178"/>
      <c r="OAJ264" s="178"/>
      <c r="OAK264" s="178"/>
      <c r="OAL264" s="178"/>
      <c r="OAM264" s="178"/>
      <c r="OAN264" s="178"/>
      <c r="OAO264" s="178"/>
      <c r="OAP264" s="178"/>
      <c r="OAQ264" s="178"/>
      <c r="OAR264" s="178"/>
      <c r="OAS264" s="178"/>
      <c r="OAT264" s="178"/>
      <c r="OAU264" s="178"/>
      <c r="OAV264" s="178"/>
      <c r="OAW264" s="178"/>
      <c r="OAX264" s="178"/>
      <c r="OAY264" s="178"/>
      <c r="OAZ264" s="178"/>
      <c r="OBA264" s="178"/>
      <c r="OBB264" s="178"/>
      <c r="OBC264" s="178"/>
      <c r="OBD264" s="178"/>
      <c r="OBE264" s="178"/>
      <c r="OBF264" s="178"/>
      <c r="OBG264" s="178"/>
      <c r="OBH264" s="178"/>
      <c r="OBI264" s="178"/>
      <c r="OBJ264" s="178"/>
      <c r="OBK264" s="178"/>
      <c r="OBL264" s="178"/>
      <c r="OBM264" s="178"/>
      <c r="OBN264" s="178"/>
      <c r="OBO264" s="178"/>
      <c r="OBP264" s="178"/>
      <c r="OBQ264" s="178"/>
      <c r="OBR264" s="178"/>
      <c r="OBS264" s="178"/>
      <c r="OBT264" s="178"/>
      <c r="OBU264" s="178"/>
      <c r="OBV264" s="178"/>
      <c r="OBW264" s="178"/>
      <c r="OBX264" s="178"/>
      <c r="OBY264" s="178"/>
      <c r="OBZ264" s="178"/>
      <c r="OCA264" s="178"/>
      <c r="OCB264" s="178"/>
      <c r="OCC264" s="178"/>
      <c r="OCD264" s="178"/>
      <c r="OCE264" s="178"/>
      <c r="OCF264" s="178"/>
      <c r="OCG264" s="178"/>
      <c r="OCH264" s="178"/>
      <c r="OCI264" s="178"/>
      <c r="OCJ264" s="178"/>
      <c r="OCK264" s="178"/>
      <c r="OCL264" s="178"/>
      <c r="OCM264" s="178"/>
      <c r="OCN264" s="178"/>
      <c r="OCO264" s="178"/>
      <c r="OCP264" s="178"/>
      <c r="OCQ264" s="178"/>
      <c r="OCR264" s="178"/>
      <c r="OCS264" s="178"/>
      <c r="OCT264" s="178"/>
      <c r="OCU264" s="178"/>
      <c r="OCV264" s="178"/>
      <c r="OCW264" s="178"/>
      <c r="OCX264" s="178"/>
      <c r="OCY264" s="178"/>
      <c r="OCZ264" s="178"/>
      <c r="ODA264" s="178"/>
      <c r="ODB264" s="178"/>
      <c r="ODC264" s="178"/>
      <c r="ODD264" s="178"/>
      <c r="ODE264" s="178"/>
      <c r="ODF264" s="178"/>
      <c r="ODG264" s="178"/>
      <c r="ODH264" s="178"/>
      <c r="ODI264" s="178"/>
      <c r="ODJ264" s="178"/>
      <c r="ODK264" s="178"/>
      <c r="ODL264" s="178"/>
      <c r="ODM264" s="178"/>
      <c r="ODN264" s="178"/>
      <c r="ODO264" s="178"/>
      <c r="ODP264" s="178"/>
      <c r="ODQ264" s="178"/>
      <c r="ODR264" s="178"/>
      <c r="ODS264" s="178"/>
      <c r="ODT264" s="178"/>
      <c r="ODU264" s="178"/>
      <c r="ODV264" s="178"/>
      <c r="ODW264" s="178"/>
      <c r="ODX264" s="178"/>
      <c r="ODY264" s="178"/>
      <c r="ODZ264" s="178"/>
      <c r="OEA264" s="178"/>
      <c r="OEB264" s="178"/>
      <c r="OEC264" s="178"/>
      <c r="OED264" s="178"/>
      <c r="OEE264" s="178"/>
      <c r="OEF264" s="178"/>
      <c r="OEG264" s="178"/>
      <c r="OEH264" s="178"/>
      <c r="OEI264" s="178"/>
      <c r="OEJ264" s="178"/>
      <c r="OEK264" s="178"/>
      <c r="OEL264" s="178"/>
      <c r="OEM264" s="178"/>
      <c r="OEN264" s="178"/>
      <c r="OEO264" s="178"/>
      <c r="OEP264" s="178"/>
      <c r="OEQ264" s="178"/>
      <c r="OER264" s="178"/>
      <c r="OES264" s="178"/>
      <c r="OET264" s="178"/>
      <c r="OEU264" s="178"/>
      <c r="OEV264" s="178"/>
      <c r="OEW264" s="178"/>
      <c r="OEX264" s="178"/>
      <c r="OEY264" s="178"/>
      <c r="OEZ264" s="178"/>
      <c r="OFA264" s="178"/>
      <c r="OFB264" s="178"/>
      <c r="OFC264" s="178"/>
      <c r="OFD264" s="178"/>
      <c r="OFE264" s="178"/>
      <c r="OFF264" s="178"/>
      <c r="OFG264" s="178"/>
      <c r="OFH264" s="178"/>
      <c r="OFI264" s="178"/>
      <c r="OFJ264" s="178"/>
      <c r="OFK264" s="178"/>
      <c r="OFL264" s="178"/>
      <c r="OFM264" s="178"/>
      <c r="OFN264" s="178"/>
      <c r="OFO264" s="178"/>
      <c r="OFP264" s="178"/>
      <c r="OFQ264" s="178"/>
      <c r="OFR264" s="178"/>
      <c r="OFS264" s="178"/>
      <c r="OFT264" s="178"/>
      <c r="OFU264" s="178"/>
      <c r="OFV264" s="178"/>
      <c r="OFW264" s="178"/>
      <c r="OFX264" s="178"/>
      <c r="OFY264" s="178"/>
      <c r="OFZ264" s="178"/>
      <c r="OGA264" s="178"/>
      <c r="OGB264" s="178"/>
      <c r="OGC264" s="178"/>
      <c r="OGD264" s="178"/>
      <c r="OGE264" s="178"/>
      <c r="OGF264" s="178"/>
      <c r="OGG264" s="178"/>
      <c r="OGH264" s="178"/>
      <c r="OGI264" s="178"/>
      <c r="OGJ264" s="178"/>
      <c r="OGK264" s="178"/>
      <c r="OGL264" s="178"/>
      <c r="OGM264" s="178"/>
      <c r="OGN264" s="178"/>
      <c r="OGO264" s="178"/>
      <c r="OGP264" s="178"/>
      <c r="OGQ264" s="178"/>
      <c r="OGR264" s="178"/>
      <c r="OGS264" s="178"/>
      <c r="OGT264" s="178"/>
      <c r="OGU264" s="178"/>
      <c r="OGV264" s="178"/>
      <c r="OGW264" s="178"/>
      <c r="OGX264" s="178"/>
      <c r="OGY264" s="178"/>
      <c r="OGZ264" s="178"/>
      <c r="OHA264" s="178"/>
      <c r="OHB264" s="178"/>
      <c r="OHC264" s="178"/>
      <c r="OHD264" s="178"/>
      <c r="OHE264" s="178"/>
      <c r="OHF264" s="178"/>
      <c r="OHG264" s="178"/>
      <c r="OHH264" s="178"/>
      <c r="OHI264" s="178"/>
      <c r="OHJ264" s="178"/>
      <c r="OHK264" s="178"/>
      <c r="OHL264" s="178"/>
      <c r="OHM264" s="178"/>
      <c r="OHN264" s="178"/>
      <c r="OHO264" s="178"/>
      <c r="OHP264" s="178"/>
      <c r="OHQ264" s="178"/>
      <c r="OHR264" s="178"/>
      <c r="OHS264" s="178"/>
      <c r="OHT264" s="178"/>
      <c r="OHU264" s="178"/>
      <c r="OHV264" s="178"/>
      <c r="OHW264" s="178"/>
      <c r="OHX264" s="178"/>
      <c r="OHY264" s="178"/>
      <c r="OHZ264" s="178"/>
      <c r="OIA264" s="178"/>
      <c r="OIB264" s="178"/>
      <c r="OIC264" s="178"/>
      <c r="OID264" s="178"/>
      <c r="OIE264" s="178"/>
      <c r="OIF264" s="178"/>
      <c r="OIG264" s="178"/>
      <c r="OIH264" s="178"/>
      <c r="OII264" s="178"/>
      <c r="OIJ264" s="178"/>
      <c r="OIK264" s="178"/>
      <c r="OIL264" s="178"/>
      <c r="OIM264" s="178"/>
      <c r="OIN264" s="178"/>
      <c r="OIO264" s="178"/>
      <c r="OIP264" s="178"/>
      <c r="OIQ264" s="178"/>
      <c r="OIR264" s="178"/>
      <c r="OIS264" s="178"/>
      <c r="OIT264" s="178"/>
      <c r="OIU264" s="178"/>
      <c r="OIV264" s="178"/>
      <c r="OIW264" s="178"/>
      <c r="OIX264" s="178"/>
      <c r="OIY264" s="178"/>
      <c r="OIZ264" s="178"/>
      <c r="OJA264" s="178"/>
      <c r="OJB264" s="178"/>
      <c r="OJC264" s="178"/>
      <c r="OJD264" s="178"/>
      <c r="OJE264" s="178"/>
      <c r="OJF264" s="178"/>
      <c r="OJG264" s="178"/>
      <c r="OJH264" s="178"/>
      <c r="OJI264" s="178"/>
      <c r="OJJ264" s="178"/>
      <c r="OJK264" s="178"/>
      <c r="OJL264" s="178"/>
      <c r="OJM264" s="178"/>
      <c r="OJN264" s="178"/>
      <c r="OJO264" s="178"/>
      <c r="OJP264" s="178"/>
      <c r="OJQ264" s="178"/>
      <c r="OJR264" s="178"/>
      <c r="OJS264" s="178"/>
      <c r="OJT264" s="178"/>
      <c r="OJU264" s="178"/>
      <c r="OJV264" s="178"/>
      <c r="OJW264" s="178"/>
      <c r="OJX264" s="178"/>
      <c r="OJY264" s="178"/>
      <c r="OJZ264" s="178"/>
      <c r="OKA264" s="178"/>
      <c r="OKB264" s="178"/>
      <c r="OKC264" s="178"/>
      <c r="OKD264" s="178"/>
      <c r="OKE264" s="178"/>
      <c r="OKF264" s="178"/>
      <c r="OKG264" s="178"/>
      <c r="OKH264" s="178"/>
      <c r="OKI264" s="178"/>
      <c r="OKJ264" s="178"/>
      <c r="OKK264" s="178"/>
      <c r="OKL264" s="178"/>
      <c r="OKM264" s="178"/>
      <c r="OKN264" s="178"/>
      <c r="OKO264" s="178"/>
      <c r="OKP264" s="178"/>
      <c r="OKQ264" s="178"/>
      <c r="OKR264" s="178"/>
      <c r="OKS264" s="178"/>
      <c r="OKT264" s="178"/>
      <c r="OKU264" s="178"/>
      <c r="OKV264" s="178"/>
      <c r="OKW264" s="178"/>
      <c r="OKX264" s="178"/>
      <c r="OKY264" s="178"/>
      <c r="OKZ264" s="178"/>
      <c r="OLA264" s="178"/>
      <c r="OLB264" s="178"/>
      <c r="OLC264" s="178"/>
      <c r="OLD264" s="178"/>
      <c r="OLE264" s="178"/>
      <c r="OLF264" s="178"/>
      <c r="OLG264" s="178"/>
      <c r="OLH264" s="178"/>
      <c r="OLI264" s="178"/>
      <c r="OLJ264" s="178"/>
      <c r="OLK264" s="178"/>
      <c r="OLL264" s="178"/>
      <c r="OLM264" s="178"/>
      <c r="OLN264" s="178"/>
      <c r="OLO264" s="178"/>
      <c r="OLP264" s="178"/>
      <c r="OLQ264" s="178"/>
      <c r="OLR264" s="178"/>
      <c r="OLS264" s="178"/>
      <c r="OLT264" s="178"/>
      <c r="OLU264" s="178"/>
      <c r="OLV264" s="178"/>
      <c r="OLW264" s="178"/>
      <c r="OLX264" s="178"/>
      <c r="OLY264" s="178"/>
      <c r="OLZ264" s="178"/>
      <c r="OMA264" s="178"/>
      <c r="OMB264" s="178"/>
      <c r="OMC264" s="178"/>
      <c r="OMD264" s="178"/>
      <c r="OME264" s="178"/>
      <c r="OMF264" s="178"/>
      <c r="OMG264" s="178"/>
      <c r="OMH264" s="178"/>
      <c r="OMI264" s="178"/>
      <c r="OMJ264" s="178"/>
      <c r="OMK264" s="178"/>
      <c r="OML264" s="178"/>
      <c r="OMM264" s="178"/>
      <c r="OMN264" s="178"/>
      <c r="OMO264" s="178"/>
      <c r="OMP264" s="178"/>
      <c r="OMQ264" s="178"/>
      <c r="OMR264" s="178"/>
      <c r="OMS264" s="178"/>
      <c r="OMT264" s="178"/>
      <c r="OMU264" s="178"/>
      <c r="OMV264" s="178"/>
      <c r="OMW264" s="178"/>
      <c r="OMX264" s="178"/>
      <c r="OMY264" s="178"/>
      <c r="OMZ264" s="178"/>
      <c r="ONA264" s="178"/>
      <c r="ONB264" s="178"/>
      <c r="ONC264" s="178"/>
      <c r="OND264" s="178"/>
      <c r="ONE264" s="178"/>
      <c r="ONF264" s="178"/>
      <c r="ONG264" s="178"/>
      <c r="ONH264" s="178"/>
      <c r="ONI264" s="178"/>
      <c r="ONJ264" s="178"/>
      <c r="ONK264" s="178"/>
      <c r="ONL264" s="178"/>
      <c r="ONM264" s="178"/>
      <c r="ONN264" s="178"/>
      <c r="ONO264" s="178"/>
      <c r="ONP264" s="178"/>
      <c r="ONQ264" s="178"/>
      <c r="ONR264" s="178"/>
      <c r="ONS264" s="178"/>
      <c r="ONT264" s="178"/>
      <c r="ONU264" s="178"/>
      <c r="ONV264" s="178"/>
      <c r="ONW264" s="178"/>
      <c r="ONX264" s="178"/>
      <c r="ONY264" s="178"/>
      <c r="ONZ264" s="178"/>
      <c r="OOA264" s="178"/>
      <c r="OOB264" s="178"/>
      <c r="OOC264" s="178"/>
      <c r="OOD264" s="178"/>
      <c r="OOE264" s="178"/>
      <c r="OOF264" s="178"/>
      <c r="OOG264" s="178"/>
      <c r="OOH264" s="178"/>
      <c r="OOI264" s="178"/>
      <c r="OOJ264" s="178"/>
      <c r="OOK264" s="178"/>
      <c r="OOL264" s="178"/>
      <c r="OOM264" s="178"/>
      <c r="OON264" s="178"/>
      <c r="OOO264" s="178"/>
      <c r="OOP264" s="178"/>
      <c r="OOQ264" s="178"/>
      <c r="OOR264" s="178"/>
      <c r="OOS264" s="178"/>
      <c r="OOT264" s="178"/>
      <c r="OOU264" s="178"/>
      <c r="OOV264" s="178"/>
      <c r="OOW264" s="178"/>
      <c r="OOX264" s="178"/>
      <c r="OOY264" s="178"/>
      <c r="OOZ264" s="178"/>
      <c r="OPA264" s="178"/>
      <c r="OPB264" s="178"/>
      <c r="OPC264" s="178"/>
      <c r="OPD264" s="178"/>
      <c r="OPE264" s="178"/>
      <c r="OPF264" s="178"/>
      <c r="OPG264" s="178"/>
      <c r="OPH264" s="178"/>
      <c r="OPI264" s="178"/>
      <c r="OPJ264" s="178"/>
      <c r="OPK264" s="178"/>
      <c r="OPL264" s="178"/>
      <c r="OPM264" s="178"/>
      <c r="OPN264" s="178"/>
      <c r="OPO264" s="178"/>
      <c r="OPP264" s="178"/>
      <c r="OPQ264" s="178"/>
      <c r="OPR264" s="178"/>
      <c r="OPS264" s="178"/>
      <c r="OPT264" s="178"/>
      <c r="OPU264" s="178"/>
      <c r="OPV264" s="178"/>
      <c r="OPW264" s="178"/>
      <c r="OPX264" s="178"/>
      <c r="OPY264" s="178"/>
      <c r="OPZ264" s="178"/>
      <c r="OQA264" s="178"/>
      <c r="OQB264" s="178"/>
      <c r="OQC264" s="178"/>
      <c r="OQD264" s="178"/>
      <c r="OQE264" s="178"/>
      <c r="OQF264" s="178"/>
      <c r="OQG264" s="178"/>
      <c r="OQH264" s="178"/>
      <c r="OQI264" s="178"/>
      <c r="OQJ264" s="178"/>
      <c r="OQK264" s="178"/>
      <c r="OQL264" s="178"/>
      <c r="OQM264" s="178"/>
      <c r="OQN264" s="178"/>
      <c r="OQO264" s="178"/>
      <c r="OQP264" s="178"/>
      <c r="OQQ264" s="178"/>
      <c r="OQR264" s="178"/>
      <c r="OQS264" s="178"/>
      <c r="OQT264" s="178"/>
      <c r="OQU264" s="178"/>
      <c r="OQV264" s="178"/>
      <c r="OQW264" s="178"/>
      <c r="OQX264" s="178"/>
      <c r="OQY264" s="178"/>
      <c r="OQZ264" s="178"/>
      <c r="ORA264" s="178"/>
      <c r="ORB264" s="178"/>
      <c r="ORC264" s="178"/>
      <c r="ORD264" s="178"/>
      <c r="ORE264" s="178"/>
      <c r="ORF264" s="178"/>
      <c r="ORG264" s="178"/>
      <c r="ORH264" s="178"/>
      <c r="ORI264" s="178"/>
      <c r="ORJ264" s="178"/>
      <c r="ORK264" s="178"/>
      <c r="ORL264" s="178"/>
      <c r="ORM264" s="178"/>
      <c r="ORN264" s="178"/>
      <c r="ORO264" s="178"/>
      <c r="ORP264" s="178"/>
      <c r="ORQ264" s="178"/>
      <c r="ORR264" s="178"/>
      <c r="ORS264" s="178"/>
      <c r="ORT264" s="178"/>
      <c r="ORU264" s="178"/>
      <c r="ORV264" s="178"/>
      <c r="ORW264" s="178"/>
      <c r="ORX264" s="178"/>
      <c r="ORY264" s="178"/>
      <c r="ORZ264" s="178"/>
      <c r="OSA264" s="178"/>
      <c r="OSB264" s="178"/>
      <c r="OSC264" s="178"/>
      <c r="OSD264" s="178"/>
      <c r="OSE264" s="178"/>
      <c r="OSF264" s="178"/>
      <c r="OSG264" s="178"/>
      <c r="OSH264" s="178"/>
      <c r="OSI264" s="178"/>
      <c r="OSJ264" s="178"/>
      <c r="OSK264" s="178"/>
      <c r="OSL264" s="178"/>
      <c r="OSM264" s="178"/>
      <c r="OSN264" s="178"/>
      <c r="OSO264" s="178"/>
      <c r="OSP264" s="178"/>
      <c r="OSQ264" s="178"/>
      <c r="OSR264" s="178"/>
      <c r="OSS264" s="178"/>
      <c r="OST264" s="178"/>
      <c r="OSU264" s="178"/>
      <c r="OSV264" s="178"/>
      <c r="OSW264" s="178"/>
      <c r="OSX264" s="178"/>
      <c r="OSY264" s="178"/>
      <c r="OSZ264" s="178"/>
      <c r="OTA264" s="178"/>
      <c r="OTB264" s="178"/>
      <c r="OTC264" s="178"/>
      <c r="OTD264" s="178"/>
      <c r="OTE264" s="178"/>
      <c r="OTF264" s="178"/>
      <c r="OTG264" s="178"/>
      <c r="OTH264" s="178"/>
      <c r="OTI264" s="178"/>
      <c r="OTJ264" s="178"/>
      <c r="OTK264" s="178"/>
      <c r="OTL264" s="178"/>
      <c r="OTM264" s="178"/>
      <c r="OTN264" s="178"/>
      <c r="OTO264" s="178"/>
      <c r="OTP264" s="178"/>
      <c r="OTQ264" s="178"/>
      <c r="OTR264" s="178"/>
      <c r="OTS264" s="178"/>
      <c r="OTT264" s="178"/>
      <c r="OTU264" s="178"/>
      <c r="OTV264" s="178"/>
      <c r="OTW264" s="178"/>
      <c r="OTX264" s="178"/>
      <c r="OTY264" s="178"/>
      <c r="OTZ264" s="178"/>
      <c r="OUA264" s="178"/>
      <c r="OUB264" s="178"/>
      <c r="OUC264" s="178"/>
      <c r="OUD264" s="178"/>
      <c r="OUE264" s="178"/>
      <c r="OUF264" s="178"/>
      <c r="OUG264" s="178"/>
      <c r="OUH264" s="178"/>
      <c r="OUI264" s="178"/>
      <c r="OUJ264" s="178"/>
      <c r="OUK264" s="178"/>
      <c r="OUL264" s="178"/>
      <c r="OUM264" s="178"/>
      <c r="OUN264" s="178"/>
      <c r="OUO264" s="178"/>
      <c r="OUP264" s="178"/>
      <c r="OUQ264" s="178"/>
      <c r="OUR264" s="178"/>
      <c r="OUS264" s="178"/>
      <c r="OUT264" s="178"/>
      <c r="OUU264" s="178"/>
      <c r="OUV264" s="178"/>
      <c r="OUW264" s="178"/>
      <c r="OUX264" s="178"/>
      <c r="OUY264" s="178"/>
      <c r="OUZ264" s="178"/>
      <c r="OVA264" s="178"/>
      <c r="OVB264" s="178"/>
      <c r="OVC264" s="178"/>
      <c r="OVD264" s="178"/>
      <c r="OVE264" s="178"/>
      <c r="OVF264" s="178"/>
      <c r="OVG264" s="178"/>
      <c r="OVH264" s="178"/>
      <c r="OVI264" s="178"/>
      <c r="OVJ264" s="178"/>
      <c r="OVK264" s="178"/>
      <c r="OVL264" s="178"/>
      <c r="OVM264" s="178"/>
      <c r="OVN264" s="178"/>
      <c r="OVO264" s="178"/>
      <c r="OVP264" s="178"/>
      <c r="OVQ264" s="178"/>
      <c r="OVR264" s="178"/>
      <c r="OVS264" s="178"/>
      <c r="OVT264" s="178"/>
      <c r="OVU264" s="178"/>
      <c r="OVV264" s="178"/>
      <c r="OVW264" s="178"/>
      <c r="OVX264" s="178"/>
      <c r="OVY264" s="178"/>
      <c r="OVZ264" s="178"/>
      <c r="OWA264" s="178"/>
      <c r="OWB264" s="178"/>
      <c r="OWC264" s="178"/>
      <c r="OWD264" s="178"/>
      <c r="OWE264" s="178"/>
      <c r="OWF264" s="178"/>
      <c r="OWG264" s="178"/>
      <c r="OWH264" s="178"/>
      <c r="OWI264" s="178"/>
      <c r="OWJ264" s="178"/>
      <c r="OWK264" s="178"/>
      <c r="OWL264" s="178"/>
      <c r="OWM264" s="178"/>
      <c r="OWN264" s="178"/>
      <c r="OWO264" s="178"/>
      <c r="OWP264" s="178"/>
      <c r="OWQ264" s="178"/>
      <c r="OWR264" s="178"/>
      <c r="OWS264" s="178"/>
      <c r="OWT264" s="178"/>
      <c r="OWU264" s="178"/>
      <c r="OWV264" s="178"/>
      <c r="OWW264" s="178"/>
      <c r="OWX264" s="178"/>
      <c r="OWY264" s="178"/>
      <c r="OWZ264" s="178"/>
      <c r="OXA264" s="178"/>
      <c r="OXB264" s="178"/>
      <c r="OXC264" s="178"/>
      <c r="OXD264" s="178"/>
      <c r="OXE264" s="178"/>
      <c r="OXF264" s="178"/>
      <c r="OXG264" s="178"/>
      <c r="OXH264" s="178"/>
      <c r="OXI264" s="178"/>
      <c r="OXJ264" s="178"/>
      <c r="OXK264" s="178"/>
      <c r="OXL264" s="178"/>
      <c r="OXM264" s="178"/>
      <c r="OXN264" s="178"/>
      <c r="OXO264" s="178"/>
      <c r="OXP264" s="178"/>
      <c r="OXQ264" s="178"/>
      <c r="OXR264" s="178"/>
      <c r="OXS264" s="178"/>
      <c r="OXT264" s="178"/>
      <c r="OXU264" s="178"/>
      <c r="OXV264" s="178"/>
      <c r="OXW264" s="178"/>
      <c r="OXX264" s="178"/>
      <c r="OXY264" s="178"/>
      <c r="OXZ264" s="178"/>
      <c r="OYA264" s="178"/>
      <c r="OYB264" s="178"/>
      <c r="OYC264" s="178"/>
      <c r="OYD264" s="178"/>
      <c r="OYE264" s="178"/>
      <c r="OYF264" s="178"/>
      <c r="OYG264" s="178"/>
      <c r="OYH264" s="178"/>
      <c r="OYI264" s="178"/>
      <c r="OYJ264" s="178"/>
      <c r="OYK264" s="178"/>
      <c r="OYL264" s="178"/>
      <c r="OYM264" s="178"/>
      <c r="OYN264" s="178"/>
      <c r="OYO264" s="178"/>
      <c r="OYP264" s="178"/>
      <c r="OYQ264" s="178"/>
      <c r="OYR264" s="178"/>
      <c r="OYS264" s="178"/>
      <c r="OYT264" s="178"/>
      <c r="OYU264" s="178"/>
      <c r="OYV264" s="178"/>
      <c r="OYW264" s="178"/>
      <c r="OYX264" s="178"/>
      <c r="OYY264" s="178"/>
      <c r="OYZ264" s="178"/>
      <c r="OZA264" s="178"/>
      <c r="OZB264" s="178"/>
      <c r="OZC264" s="178"/>
      <c r="OZD264" s="178"/>
      <c r="OZE264" s="178"/>
      <c r="OZF264" s="178"/>
      <c r="OZG264" s="178"/>
      <c r="OZH264" s="178"/>
      <c r="OZI264" s="178"/>
      <c r="OZJ264" s="178"/>
      <c r="OZK264" s="178"/>
      <c r="OZL264" s="178"/>
      <c r="OZM264" s="178"/>
      <c r="OZN264" s="178"/>
      <c r="OZO264" s="178"/>
      <c r="OZP264" s="178"/>
      <c r="OZQ264" s="178"/>
      <c r="OZR264" s="178"/>
      <c r="OZS264" s="178"/>
      <c r="OZT264" s="178"/>
      <c r="OZU264" s="178"/>
      <c r="OZV264" s="178"/>
      <c r="OZW264" s="178"/>
      <c r="OZX264" s="178"/>
      <c r="OZY264" s="178"/>
      <c r="OZZ264" s="178"/>
      <c r="PAA264" s="178"/>
      <c r="PAB264" s="178"/>
      <c r="PAC264" s="178"/>
      <c r="PAD264" s="178"/>
      <c r="PAE264" s="178"/>
      <c r="PAF264" s="178"/>
      <c r="PAG264" s="178"/>
      <c r="PAH264" s="178"/>
      <c r="PAI264" s="178"/>
      <c r="PAJ264" s="178"/>
      <c r="PAK264" s="178"/>
      <c r="PAL264" s="178"/>
      <c r="PAM264" s="178"/>
      <c r="PAN264" s="178"/>
      <c r="PAO264" s="178"/>
      <c r="PAP264" s="178"/>
      <c r="PAQ264" s="178"/>
      <c r="PAR264" s="178"/>
      <c r="PAS264" s="178"/>
      <c r="PAT264" s="178"/>
      <c r="PAU264" s="178"/>
      <c r="PAV264" s="178"/>
      <c r="PAW264" s="178"/>
      <c r="PAX264" s="178"/>
      <c r="PAY264" s="178"/>
      <c r="PAZ264" s="178"/>
      <c r="PBA264" s="178"/>
      <c r="PBB264" s="178"/>
      <c r="PBC264" s="178"/>
      <c r="PBD264" s="178"/>
      <c r="PBE264" s="178"/>
      <c r="PBF264" s="178"/>
      <c r="PBG264" s="178"/>
      <c r="PBH264" s="178"/>
      <c r="PBI264" s="178"/>
      <c r="PBJ264" s="178"/>
      <c r="PBK264" s="178"/>
      <c r="PBL264" s="178"/>
      <c r="PBM264" s="178"/>
      <c r="PBN264" s="178"/>
      <c r="PBO264" s="178"/>
      <c r="PBP264" s="178"/>
      <c r="PBQ264" s="178"/>
      <c r="PBR264" s="178"/>
      <c r="PBS264" s="178"/>
      <c r="PBT264" s="178"/>
      <c r="PBU264" s="178"/>
      <c r="PBV264" s="178"/>
      <c r="PBW264" s="178"/>
      <c r="PBX264" s="178"/>
      <c r="PBY264" s="178"/>
      <c r="PBZ264" s="178"/>
      <c r="PCA264" s="178"/>
      <c r="PCB264" s="178"/>
      <c r="PCC264" s="178"/>
      <c r="PCD264" s="178"/>
      <c r="PCE264" s="178"/>
      <c r="PCF264" s="178"/>
      <c r="PCG264" s="178"/>
      <c r="PCH264" s="178"/>
      <c r="PCI264" s="178"/>
      <c r="PCJ264" s="178"/>
      <c r="PCK264" s="178"/>
      <c r="PCL264" s="178"/>
      <c r="PCM264" s="178"/>
      <c r="PCN264" s="178"/>
      <c r="PCO264" s="178"/>
      <c r="PCP264" s="178"/>
      <c r="PCQ264" s="178"/>
      <c r="PCR264" s="178"/>
      <c r="PCS264" s="178"/>
      <c r="PCT264" s="178"/>
      <c r="PCU264" s="178"/>
      <c r="PCV264" s="178"/>
      <c r="PCW264" s="178"/>
      <c r="PCX264" s="178"/>
      <c r="PCY264" s="178"/>
      <c r="PCZ264" s="178"/>
      <c r="PDA264" s="178"/>
      <c r="PDB264" s="178"/>
      <c r="PDC264" s="178"/>
      <c r="PDD264" s="178"/>
      <c r="PDE264" s="178"/>
      <c r="PDF264" s="178"/>
      <c r="PDG264" s="178"/>
      <c r="PDH264" s="178"/>
      <c r="PDI264" s="178"/>
      <c r="PDJ264" s="178"/>
      <c r="PDK264" s="178"/>
      <c r="PDL264" s="178"/>
      <c r="PDM264" s="178"/>
      <c r="PDN264" s="178"/>
      <c r="PDO264" s="178"/>
      <c r="PDP264" s="178"/>
      <c r="PDQ264" s="178"/>
      <c r="PDR264" s="178"/>
      <c r="PDS264" s="178"/>
      <c r="PDT264" s="178"/>
      <c r="PDU264" s="178"/>
      <c r="PDV264" s="178"/>
      <c r="PDW264" s="178"/>
      <c r="PDX264" s="178"/>
      <c r="PDY264" s="178"/>
      <c r="PDZ264" s="178"/>
      <c r="PEA264" s="178"/>
      <c r="PEB264" s="178"/>
      <c r="PEC264" s="178"/>
      <c r="PED264" s="178"/>
      <c r="PEE264" s="178"/>
      <c r="PEF264" s="178"/>
      <c r="PEG264" s="178"/>
      <c r="PEH264" s="178"/>
      <c r="PEI264" s="178"/>
      <c r="PEJ264" s="178"/>
      <c r="PEK264" s="178"/>
      <c r="PEL264" s="178"/>
      <c r="PEM264" s="178"/>
      <c r="PEN264" s="178"/>
      <c r="PEO264" s="178"/>
      <c r="PEP264" s="178"/>
      <c r="PEQ264" s="178"/>
      <c r="PER264" s="178"/>
      <c r="PES264" s="178"/>
      <c r="PET264" s="178"/>
      <c r="PEU264" s="178"/>
      <c r="PEV264" s="178"/>
      <c r="PEW264" s="178"/>
      <c r="PEX264" s="178"/>
      <c r="PEY264" s="178"/>
      <c r="PEZ264" s="178"/>
      <c r="PFA264" s="178"/>
      <c r="PFB264" s="178"/>
      <c r="PFC264" s="178"/>
      <c r="PFD264" s="178"/>
      <c r="PFE264" s="178"/>
      <c r="PFF264" s="178"/>
      <c r="PFG264" s="178"/>
      <c r="PFH264" s="178"/>
      <c r="PFI264" s="178"/>
      <c r="PFJ264" s="178"/>
      <c r="PFK264" s="178"/>
      <c r="PFL264" s="178"/>
      <c r="PFM264" s="178"/>
      <c r="PFN264" s="178"/>
      <c r="PFO264" s="178"/>
      <c r="PFP264" s="178"/>
      <c r="PFQ264" s="178"/>
      <c r="PFR264" s="178"/>
      <c r="PFS264" s="178"/>
      <c r="PFT264" s="178"/>
      <c r="PFU264" s="178"/>
      <c r="PFV264" s="178"/>
      <c r="PFW264" s="178"/>
      <c r="PFX264" s="178"/>
      <c r="PFY264" s="178"/>
      <c r="PFZ264" s="178"/>
      <c r="PGA264" s="178"/>
      <c r="PGB264" s="178"/>
      <c r="PGC264" s="178"/>
      <c r="PGD264" s="178"/>
      <c r="PGE264" s="178"/>
      <c r="PGF264" s="178"/>
      <c r="PGG264" s="178"/>
      <c r="PGH264" s="178"/>
      <c r="PGI264" s="178"/>
      <c r="PGJ264" s="178"/>
      <c r="PGK264" s="178"/>
      <c r="PGL264" s="178"/>
      <c r="PGM264" s="178"/>
      <c r="PGN264" s="178"/>
      <c r="PGO264" s="178"/>
      <c r="PGP264" s="178"/>
      <c r="PGQ264" s="178"/>
      <c r="PGR264" s="178"/>
      <c r="PGS264" s="178"/>
      <c r="PGT264" s="178"/>
      <c r="PGU264" s="178"/>
      <c r="PGV264" s="178"/>
      <c r="PGW264" s="178"/>
      <c r="PGX264" s="178"/>
      <c r="PGY264" s="178"/>
      <c r="PGZ264" s="178"/>
      <c r="PHA264" s="178"/>
      <c r="PHB264" s="178"/>
      <c r="PHC264" s="178"/>
      <c r="PHD264" s="178"/>
      <c r="PHE264" s="178"/>
      <c r="PHF264" s="178"/>
      <c r="PHG264" s="178"/>
      <c r="PHH264" s="178"/>
      <c r="PHI264" s="178"/>
      <c r="PHJ264" s="178"/>
      <c r="PHK264" s="178"/>
      <c r="PHL264" s="178"/>
      <c r="PHM264" s="178"/>
      <c r="PHN264" s="178"/>
      <c r="PHO264" s="178"/>
      <c r="PHP264" s="178"/>
      <c r="PHQ264" s="178"/>
      <c r="PHR264" s="178"/>
      <c r="PHS264" s="178"/>
      <c r="PHT264" s="178"/>
      <c r="PHU264" s="178"/>
      <c r="PHV264" s="178"/>
      <c r="PHW264" s="178"/>
      <c r="PHX264" s="178"/>
      <c r="PHY264" s="178"/>
      <c r="PHZ264" s="178"/>
      <c r="PIA264" s="178"/>
      <c r="PIB264" s="178"/>
      <c r="PIC264" s="178"/>
      <c r="PID264" s="178"/>
      <c r="PIE264" s="178"/>
      <c r="PIF264" s="178"/>
      <c r="PIG264" s="178"/>
      <c r="PIH264" s="178"/>
      <c r="PII264" s="178"/>
      <c r="PIJ264" s="178"/>
      <c r="PIK264" s="178"/>
      <c r="PIL264" s="178"/>
      <c r="PIM264" s="178"/>
      <c r="PIN264" s="178"/>
      <c r="PIO264" s="178"/>
      <c r="PIP264" s="178"/>
      <c r="PIQ264" s="178"/>
      <c r="PIR264" s="178"/>
      <c r="PIS264" s="178"/>
      <c r="PIT264" s="178"/>
      <c r="PIU264" s="178"/>
      <c r="PIV264" s="178"/>
      <c r="PIW264" s="178"/>
      <c r="PIX264" s="178"/>
      <c r="PIY264" s="178"/>
      <c r="PIZ264" s="178"/>
      <c r="PJA264" s="178"/>
      <c r="PJB264" s="178"/>
      <c r="PJC264" s="178"/>
      <c r="PJD264" s="178"/>
      <c r="PJE264" s="178"/>
      <c r="PJF264" s="178"/>
      <c r="PJG264" s="178"/>
      <c r="PJH264" s="178"/>
      <c r="PJI264" s="178"/>
      <c r="PJJ264" s="178"/>
      <c r="PJK264" s="178"/>
      <c r="PJL264" s="178"/>
      <c r="PJM264" s="178"/>
      <c r="PJN264" s="178"/>
      <c r="PJO264" s="178"/>
      <c r="PJP264" s="178"/>
      <c r="PJQ264" s="178"/>
      <c r="PJR264" s="178"/>
      <c r="PJS264" s="178"/>
      <c r="PJT264" s="178"/>
      <c r="PJU264" s="178"/>
      <c r="PJV264" s="178"/>
      <c r="PJW264" s="178"/>
      <c r="PJX264" s="178"/>
      <c r="PJY264" s="178"/>
      <c r="PJZ264" s="178"/>
      <c r="PKA264" s="178"/>
      <c r="PKB264" s="178"/>
      <c r="PKC264" s="178"/>
      <c r="PKD264" s="178"/>
      <c r="PKE264" s="178"/>
      <c r="PKF264" s="178"/>
      <c r="PKG264" s="178"/>
      <c r="PKH264" s="178"/>
      <c r="PKI264" s="178"/>
      <c r="PKJ264" s="178"/>
      <c r="PKK264" s="178"/>
      <c r="PKL264" s="178"/>
      <c r="PKM264" s="178"/>
      <c r="PKN264" s="178"/>
      <c r="PKO264" s="178"/>
      <c r="PKP264" s="178"/>
      <c r="PKQ264" s="178"/>
      <c r="PKR264" s="178"/>
      <c r="PKS264" s="178"/>
      <c r="PKT264" s="178"/>
      <c r="PKU264" s="178"/>
      <c r="PKV264" s="178"/>
      <c r="PKW264" s="178"/>
      <c r="PKX264" s="178"/>
      <c r="PKY264" s="178"/>
      <c r="PKZ264" s="178"/>
      <c r="PLA264" s="178"/>
      <c r="PLB264" s="178"/>
      <c r="PLC264" s="178"/>
      <c r="PLD264" s="178"/>
      <c r="PLE264" s="178"/>
      <c r="PLF264" s="178"/>
      <c r="PLG264" s="178"/>
      <c r="PLH264" s="178"/>
      <c r="PLI264" s="178"/>
      <c r="PLJ264" s="178"/>
      <c r="PLK264" s="178"/>
      <c r="PLL264" s="178"/>
      <c r="PLM264" s="178"/>
      <c r="PLN264" s="178"/>
      <c r="PLO264" s="178"/>
      <c r="PLP264" s="178"/>
      <c r="PLQ264" s="178"/>
      <c r="PLR264" s="178"/>
      <c r="PLS264" s="178"/>
      <c r="PLT264" s="178"/>
      <c r="PLU264" s="178"/>
      <c r="PLV264" s="178"/>
      <c r="PLW264" s="178"/>
      <c r="PLX264" s="178"/>
      <c r="PLY264" s="178"/>
      <c r="PLZ264" s="178"/>
      <c r="PMA264" s="178"/>
      <c r="PMB264" s="178"/>
      <c r="PMC264" s="178"/>
      <c r="PMD264" s="178"/>
      <c r="PME264" s="178"/>
      <c r="PMF264" s="178"/>
      <c r="PMG264" s="178"/>
      <c r="PMH264" s="178"/>
      <c r="PMI264" s="178"/>
      <c r="PMJ264" s="178"/>
      <c r="PMK264" s="178"/>
      <c r="PML264" s="178"/>
      <c r="PMM264" s="178"/>
      <c r="PMN264" s="178"/>
      <c r="PMO264" s="178"/>
      <c r="PMP264" s="178"/>
      <c r="PMQ264" s="178"/>
      <c r="PMR264" s="178"/>
      <c r="PMS264" s="178"/>
      <c r="PMT264" s="178"/>
      <c r="PMU264" s="178"/>
      <c r="PMV264" s="178"/>
      <c r="PMW264" s="178"/>
      <c r="PMX264" s="178"/>
      <c r="PMY264" s="178"/>
      <c r="PMZ264" s="178"/>
      <c r="PNA264" s="178"/>
      <c r="PNB264" s="178"/>
      <c r="PNC264" s="178"/>
      <c r="PND264" s="178"/>
      <c r="PNE264" s="178"/>
      <c r="PNF264" s="178"/>
      <c r="PNG264" s="178"/>
      <c r="PNH264" s="178"/>
      <c r="PNI264" s="178"/>
      <c r="PNJ264" s="178"/>
      <c r="PNK264" s="178"/>
      <c r="PNL264" s="178"/>
      <c r="PNM264" s="178"/>
      <c r="PNN264" s="178"/>
      <c r="PNO264" s="178"/>
      <c r="PNP264" s="178"/>
      <c r="PNQ264" s="178"/>
      <c r="PNR264" s="178"/>
      <c r="PNS264" s="178"/>
      <c r="PNT264" s="178"/>
      <c r="PNU264" s="178"/>
      <c r="PNV264" s="178"/>
      <c r="PNW264" s="178"/>
      <c r="PNX264" s="178"/>
      <c r="PNY264" s="178"/>
      <c r="PNZ264" s="178"/>
      <c r="POA264" s="178"/>
      <c r="POB264" s="178"/>
      <c r="POC264" s="178"/>
      <c r="POD264" s="178"/>
      <c r="POE264" s="178"/>
      <c r="POF264" s="178"/>
      <c r="POG264" s="178"/>
      <c r="POH264" s="178"/>
      <c r="POI264" s="178"/>
      <c r="POJ264" s="178"/>
      <c r="POK264" s="178"/>
      <c r="POL264" s="178"/>
      <c r="POM264" s="178"/>
      <c r="PON264" s="178"/>
      <c r="POO264" s="178"/>
      <c r="POP264" s="178"/>
      <c r="POQ264" s="178"/>
      <c r="POR264" s="178"/>
      <c r="POS264" s="178"/>
      <c r="POT264" s="178"/>
      <c r="POU264" s="178"/>
      <c r="POV264" s="178"/>
      <c r="POW264" s="178"/>
      <c r="POX264" s="178"/>
      <c r="POY264" s="178"/>
      <c r="POZ264" s="178"/>
      <c r="PPA264" s="178"/>
      <c r="PPB264" s="178"/>
      <c r="PPC264" s="178"/>
      <c r="PPD264" s="178"/>
      <c r="PPE264" s="178"/>
      <c r="PPF264" s="178"/>
      <c r="PPG264" s="178"/>
      <c r="PPH264" s="178"/>
      <c r="PPI264" s="178"/>
      <c r="PPJ264" s="178"/>
      <c r="PPK264" s="178"/>
      <c r="PPL264" s="178"/>
      <c r="PPM264" s="178"/>
      <c r="PPN264" s="178"/>
      <c r="PPO264" s="178"/>
      <c r="PPP264" s="178"/>
      <c r="PPQ264" s="178"/>
      <c r="PPR264" s="178"/>
      <c r="PPS264" s="178"/>
      <c r="PPT264" s="178"/>
      <c r="PPU264" s="178"/>
      <c r="PPV264" s="178"/>
      <c r="PPW264" s="178"/>
      <c r="PPX264" s="178"/>
      <c r="PPY264" s="178"/>
      <c r="PPZ264" s="178"/>
      <c r="PQA264" s="178"/>
      <c r="PQB264" s="178"/>
      <c r="PQC264" s="178"/>
      <c r="PQD264" s="178"/>
      <c r="PQE264" s="178"/>
      <c r="PQF264" s="178"/>
      <c r="PQG264" s="178"/>
      <c r="PQH264" s="178"/>
      <c r="PQI264" s="178"/>
      <c r="PQJ264" s="178"/>
      <c r="PQK264" s="178"/>
      <c r="PQL264" s="178"/>
      <c r="PQM264" s="178"/>
      <c r="PQN264" s="178"/>
      <c r="PQO264" s="178"/>
      <c r="PQP264" s="178"/>
      <c r="PQQ264" s="178"/>
      <c r="PQR264" s="178"/>
      <c r="PQS264" s="178"/>
      <c r="PQT264" s="178"/>
      <c r="PQU264" s="178"/>
      <c r="PQV264" s="178"/>
      <c r="PQW264" s="178"/>
      <c r="PQX264" s="178"/>
      <c r="PQY264" s="178"/>
      <c r="PQZ264" s="178"/>
      <c r="PRA264" s="178"/>
      <c r="PRB264" s="178"/>
      <c r="PRC264" s="178"/>
      <c r="PRD264" s="178"/>
      <c r="PRE264" s="178"/>
      <c r="PRF264" s="178"/>
      <c r="PRG264" s="178"/>
      <c r="PRH264" s="178"/>
      <c r="PRI264" s="178"/>
      <c r="PRJ264" s="178"/>
      <c r="PRK264" s="178"/>
      <c r="PRL264" s="178"/>
      <c r="PRM264" s="178"/>
      <c r="PRN264" s="178"/>
      <c r="PRO264" s="178"/>
      <c r="PRP264" s="178"/>
      <c r="PRQ264" s="178"/>
      <c r="PRR264" s="178"/>
      <c r="PRS264" s="178"/>
      <c r="PRT264" s="178"/>
      <c r="PRU264" s="178"/>
      <c r="PRV264" s="178"/>
      <c r="PRW264" s="178"/>
      <c r="PRX264" s="178"/>
      <c r="PRY264" s="178"/>
      <c r="PRZ264" s="178"/>
      <c r="PSA264" s="178"/>
      <c r="PSB264" s="178"/>
      <c r="PSC264" s="178"/>
      <c r="PSD264" s="178"/>
      <c r="PSE264" s="178"/>
      <c r="PSF264" s="178"/>
      <c r="PSG264" s="178"/>
      <c r="PSH264" s="178"/>
      <c r="PSI264" s="178"/>
      <c r="PSJ264" s="178"/>
      <c r="PSK264" s="178"/>
      <c r="PSL264" s="178"/>
      <c r="PSM264" s="178"/>
      <c r="PSN264" s="178"/>
      <c r="PSO264" s="178"/>
      <c r="PSP264" s="178"/>
      <c r="PSQ264" s="178"/>
      <c r="PSR264" s="178"/>
      <c r="PSS264" s="178"/>
      <c r="PST264" s="178"/>
      <c r="PSU264" s="178"/>
      <c r="PSV264" s="178"/>
      <c r="PSW264" s="178"/>
      <c r="PSX264" s="178"/>
      <c r="PSY264" s="178"/>
      <c r="PSZ264" s="178"/>
      <c r="PTA264" s="178"/>
      <c r="PTB264" s="178"/>
      <c r="PTC264" s="178"/>
      <c r="PTD264" s="178"/>
      <c r="PTE264" s="178"/>
      <c r="PTF264" s="178"/>
      <c r="PTG264" s="178"/>
      <c r="PTH264" s="178"/>
      <c r="PTI264" s="178"/>
      <c r="PTJ264" s="178"/>
      <c r="PTK264" s="178"/>
      <c r="PTL264" s="178"/>
      <c r="PTM264" s="178"/>
      <c r="PTN264" s="178"/>
      <c r="PTO264" s="178"/>
      <c r="PTP264" s="178"/>
      <c r="PTQ264" s="178"/>
      <c r="PTR264" s="178"/>
      <c r="PTS264" s="178"/>
      <c r="PTT264" s="178"/>
      <c r="PTU264" s="178"/>
      <c r="PTV264" s="178"/>
      <c r="PTW264" s="178"/>
      <c r="PTX264" s="178"/>
      <c r="PTY264" s="178"/>
      <c r="PTZ264" s="178"/>
      <c r="PUA264" s="178"/>
      <c r="PUB264" s="178"/>
      <c r="PUC264" s="178"/>
      <c r="PUD264" s="178"/>
      <c r="PUE264" s="178"/>
      <c r="PUF264" s="178"/>
      <c r="PUG264" s="178"/>
      <c r="PUH264" s="178"/>
      <c r="PUI264" s="178"/>
      <c r="PUJ264" s="178"/>
      <c r="PUK264" s="178"/>
      <c r="PUL264" s="178"/>
      <c r="PUM264" s="178"/>
      <c r="PUN264" s="178"/>
      <c r="PUO264" s="178"/>
      <c r="PUP264" s="178"/>
      <c r="PUQ264" s="178"/>
      <c r="PUR264" s="178"/>
      <c r="PUS264" s="178"/>
      <c r="PUT264" s="178"/>
      <c r="PUU264" s="178"/>
      <c r="PUV264" s="178"/>
      <c r="PUW264" s="178"/>
      <c r="PUX264" s="178"/>
      <c r="PUY264" s="178"/>
      <c r="PUZ264" s="178"/>
      <c r="PVA264" s="178"/>
      <c r="PVB264" s="178"/>
      <c r="PVC264" s="178"/>
      <c r="PVD264" s="178"/>
      <c r="PVE264" s="178"/>
      <c r="PVF264" s="178"/>
      <c r="PVG264" s="178"/>
      <c r="PVH264" s="178"/>
      <c r="PVI264" s="178"/>
      <c r="PVJ264" s="178"/>
      <c r="PVK264" s="178"/>
      <c r="PVL264" s="178"/>
      <c r="PVM264" s="178"/>
      <c r="PVN264" s="178"/>
      <c r="PVO264" s="178"/>
      <c r="PVP264" s="178"/>
      <c r="PVQ264" s="178"/>
      <c r="PVR264" s="178"/>
      <c r="PVS264" s="178"/>
      <c r="PVT264" s="178"/>
      <c r="PVU264" s="178"/>
      <c r="PVV264" s="178"/>
      <c r="PVW264" s="178"/>
      <c r="PVX264" s="178"/>
      <c r="PVY264" s="178"/>
      <c r="PVZ264" s="178"/>
      <c r="PWA264" s="178"/>
      <c r="PWB264" s="178"/>
      <c r="PWC264" s="178"/>
      <c r="PWD264" s="178"/>
      <c r="PWE264" s="178"/>
      <c r="PWF264" s="178"/>
      <c r="PWG264" s="178"/>
      <c r="PWH264" s="178"/>
      <c r="PWI264" s="178"/>
      <c r="PWJ264" s="178"/>
      <c r="PWK264" s="178"/>
      <c r="PWL264" s="178"/>
      <c r="PWM264" s="178"/>
      <c r="PWN264" s="178"/>
      <c r="PWO264" s="178"/>
      <c r="PWP264" s="178"/>
      <c r="PWQ264" s="178"/>
      <c r="PWR264" s="178"/>
      <c r="PWS264" s="178"/>
      <c r="PWT264" s="178"/>
      <c r="PWU264" s="178"/>
      <c r="PWV264" s="178"/>
      <c r="PWW264" s="178"/>
      <c r="PWX264" s="178"/>
      <c r="PWY264" s="178"/>
      <c r="PWZ264" s="178"/>
      <c r="PXA264" s="178"/>
      <c r="PXB264" s="178"/>
      <c r="PXC264" s="178"/>
      <c r="PXD264" s="178"/>
      <c r="PXE264" s="178"/>
      <c r="PXF264" s="178"/>
      <c r="PXG264" s="178"/>
      <c r="PXH264" s="178"/>
      <c r="PXI264" s="178"/>
      <c r="PXJ264" s="178"/>
      <c r="PXK264" s="178"/>
      <c r="PXL264" s="178"/>
      <c r="PXM264" s="178"/>
      <c r="PXN264" s="178"/>
      <c r="PXO264" s="178"/>
      <c r="PXP264" s="178"/>
      <c r="PXQ264" s="178"/>
      <c r="PXR264" s="178"/>
      <c r="PXS264" s="178"/>
      <c r="PXT264" s="178"/>
      <c r="PXU264" s="178"/>
      <c r="PXV264" s="178"/>
      <c r="PXW264" s="178"/>
      <c r="PXX264" s="178"/>
      <c r="PXY264" s="178"/>
      <c r="PXZ264" s="178"/>
      <c r="PYA264" s="178"/>
      <c r="PYB264" s="178"/>
      <c r="PYC264" s="178"/>
      <c r="PYD264" s="178"/>
      <c r="PYE264" s="178"/>
      <c r="PYF264" s="178"/>
      <c r="PYG264" s="178"/>
      <c r="PYH264" s="178"/>
      <c r="PYI264" s="178"/>
      <c r="PYJ264" s="178"/>
      <c r="PYK264" s="178"/>
      <c r="PYL264" s="178"/>
      <c r="PYM264" s="178"/>
      <c r="PYN264" s="178"/>
      <c r="PYO264" s="178"/>
      <c r="PYP264" s="178"/>
      <c r="PYQ264" s="178"/>
      <c r="PYR264" s="178"/>
      <c r="PYS264" s="178"/>
      <c r="PYT264" s="178"/>
      <c r="PYU264" s="178"/>
      <c r="PYV264" s="178"/>
      <c r="PYW264" s="178"/>
      <c r="PYX264" s="178"/>
      <c r="PYY264" s="178"/>
      <c r="PYZ264" s="178"/>
      <c r="PZA264" s="178"/>
      <c r="PZB264" s="178"/>
      <c r="PZC264" s="178"/>
      <c r="PZD264" s="178"/>
      <c r="PZE264" s="178"/>
      <c r="PZF264" s="178"/>
      <c r="PZG264" s="178"/>
      <c r="PZH264" s="178"/>
      <c r="PZI264" s="178"/>
      <c r="PZJ264" s="178"/>
      <c r="PZK264" s="178"/>
      <c r="PZL264" s="178"/>
      <c r="PZM264" s="178"/>
      <c r="PZN264" s="178"/>
      <c r="PZO264" s="178"/>
      <c r="PZP264" s="178"/>
      <c r="PZQ264" s="178"/>
      <c r="PZR264" s="178"/>
      <c r="PZS264" s="178"/>
      <c r="PZT264" s="178"/>
      <c r="PZU264" s="178"/>
      <c r="PZV264" s="178"/>
      <c r="PZW264" s="178"/>
      <c r="PZX264" s="178"/>
      <c r="PZY264" s="178"/>
      <c r="PZZ264" s="178"/>
      <c r="QAA264" s="178"/>
      <c r="QAB264" s="178"/>
      <c r="QAC264" s="178"/>
      <c r="QAD264" s="178"/>
      <c r="QAE264" s="178"/>
      <c r="QAF264" s="178"/>
      <c r="QAG264" s="178"/>
      <c r="QAH264" s="178"/>
      <c r="QAI264" s="178"/>
      <c r="QAJ264" s="178"/>
      <c r="QAK264" s="178"/>
      <c r="QAL264" s="178"/>
      <c r="QAM264" s="178"/>
      <c r="QAN264" s="178"/>
      <c r="QAO264" s="178"/>
      <c r="QAP264" s="178"/>
      <c r="QAQ264" s="178"/>
      <c r="QAR264" s="178"/>
      <c r="QAS264" s="178"/>
      <c r="QAT264" s="178"/>
      <c r="QAU264" s="178"/>
      <c r="QAV264" s="178"/>
      <c r="QAW264" s="178"/>
      <c r="QAX264" s="178"/>
      <c r="QAY264" s="178"/>
      <c r="QAZ264" s="178"/>
      <c r="QBA264" s="178"/>
      <c r="QBB264" s="178"/>
      <c r="QBC264" s="178"/>
      <c r="QBD264" s="178"/>
      <c r="QBE264" s="178"/>
      <c r="QBF264" s="178"/>
      <c r="QBG264" s="178"/>
      <c r="QBH264" s="178"/>
      <c r="QBI264" s="178"/>
      <c r="QBJ264" s="178"/>
      <c r="QBK264" s="178"/>
      <c r="QBL264" s="178"/>
      <c r="QBM264" s="178"/>
      <c r="QBN264" s="178"/>
      <c r="QBO264" s="178"/>
      <c r="QBP264" s="178"/>
      <c r="QBQ264" s="178"/>
      <c r="QBR264" s="178"/>
      <c r="QBS264" s="178"/>
      <c r="QBT264" s="178"/>
      <c r="QBU264" s="178"/>
      <c r="QBV264" s="178"/>
      <c r="QBW264" s="178"/>
      <c r="QBX264" s="178"/>
      <c r="QBY264" s="178"/>
      <c r="QBZ264" s="178"/>
      <c r="QCA264" s="178"/>
      <c r="QCB264" s="178"/>
      <c r="QCC264" s="178"/>
      <c r="QCD264" s="178"/>
      <c r="QCE264" s="178"/>
      <c r="QCF264" s="178"/>
      <c r="QCG264" s="178"/>
      <c r="QCH264" s="178"/>
      <c r="QCI264" s="178"/>
      <c r="QCJ264" s="178"/>
      <c r="QCK264" s="178"/>
      <c r="QCL264" s="178"/>
      <c r="QCM264" s="178"/>
      <c r="QCN264" s="178"/>
      <c r="QCO264" s="178"/>
      <c r="QCP264" s="178"/>
      <c r="QCQ264" s="178"/>
      <c r="QCR264" s="178"/>
      <c r="QCS264" s="178"/>
      <c r="QCT264" s="178"/>
      <c r="QCU264" s="178"/>
      <c r="QCV264" s="178"/>
      <c r="QCW264" s="178"/>
      <c r="QCX264" s="178"/>
      <c r="QCY264" s="178"/>
      <c r="QCZ264" s="178"/>
      <c r="QDA264" s="178"/>
      <c r="QDB264" s="178"/>
      <c r="QDC264" s="178"/>
      <c r="QDD264" s="178"/>
      <c r="QDE264" s="178"/>
      <c r="QDF264" s="178"/>
      <c r="QDG264" s="178"/>
      <c r="QDH264" s="178"/>
      <c r="QDI264" s="178"/>
      <c r="QDJ264" s="178"/>
      <c r="QDK264" s="178"/>
      <c r="QDL264" s="178"/>
      <c r="QDM264" s="178"/>
      <c r="QDN264" s="178"/>
      <c r="QDO264" s="178"/>
      <c r="QDP264" s="178"/>
      <c r="QDQ264" s="178"/>
      <c r="QDR264" s="178"/>
      <c r="QDS264" s="178"/>
      <c r="QDT264" s="178"/>
      <c r="QDU264" s="178"/>
      <c r="QDV264" s="178"/>
      <c r="QDW264" s="178"/>
      <c r="QDX264" s="178"/>
      <c r="QDY264" s="178"/>
      <c r="QDZ264" s="178"/>
      <c r="QEA264" s="178"/>
      <c r="QEB264" s="178"/>
      <c r="QEC264" s="178"/>
      <c r="QED264" s="178"/>
      <c r="QEE264" s="178"/>
      <c r="QEF264" s="178"/>
      <c r="QEG264" s="178"/>
      <c r="QEH264" s="178"/>
      <c r="QEI264" s="178"/>
      <c r="QEJ264" s="178"/>
      <c r="QEK264" s="178"/>
      <c r="QEL264" s="178"/>
      <c r="QEM264" s="178"/>
      <c r="QEN264" s="178"/>
      <c r="QEO264" s="178"/>
      <c r="QEP264" s="178"/>
      <c r="QEQ264" s="178"/>
      <c r="QER264" s="178"/>
      <c r="QES264" s="178"/>
      <c r="QET264" s="178"/>
      <c r="QEU264" s="178"/>
      <c r="QEV264" s="178"/>
      <c r="QEW264" s="178"/>
      <c r="QEX264" s="178"/>
      <c r="QEY264" s="178"/>
      <c r="QEZ264" s="178"/>
      <c r="QFA264" s="178"/>
      <c r="QFB264" s="178"/>
      <c r="QFC264" s="178"/>
      <c r="QFD264" s="178"/>
      <c r="QFE264" s="178"/>
      <c r="QFF264" s="178"/>
      <c r="QFG264" s="178"/>
      <c r="QFH264" s="178"/>
      <c r="QFI264" s="178"/>
      <c r="QFJ264" s="178"/>
      <c r="QFK264" s="178"/>
      <c r="QFL264" s="178"/>
      <c r="QFM264" s="178"/>
      <c r="QFN264" s="178"/>
      <c r="QFO264" s="178"/>
      <c r="QFP264" s="178"/>
      <c r="QFQ264" s="178"/>
      <c r="QFR264" s="178"/>
      <c r="QFS264" s="178"/>
      <c r="QFT264" s="178"/>
      <c r="QFU264" s="178"/>
      <c r="QFV264" s="178"/>
      <c r="QFW264" s="178"/>
      <c r="QFX264" s="178"/>
      <c r="QFY264" s="178"/>
      <c r="QFZ264" s="178"/>
      <c r="QGA264" s="178"/>
      <c r="QGB264" s="178"/>
      <c r="QGC264" s="178"/>
      <c r="QGD264" s="178"/>
      <c r="QGE264" s="178"/>
      <c r="QGF264" s="178"/>
      <c r="QGG264" s="178"/>
      <c r="QGH264" s="178"/>
      <c r="QGI264" s="178"/>
      <c r="QGJ264" s="178"/>
      <c r="QGK264" s="178"/>
      <c r="QGL264" s="178"/>
      <c r="QGM264" s="178"/>
      <c r="QGN264" s="178"/>
      <c r="QGO264" s="178"/>
      <c r="QGP264" s="178"/>
      <c r="QGQ264" s="178"/>
      <c r="QGR264" s="178"/>
      <c r="QGS264" s="178"/>
      <c r="QGT264" s="178"/>
      <c r="QGU264" s="178"/>
      <c r="QGV264" s="178"/>
      <c r="QGW264" s="178"/>
      <c r="QGX264" s="178"/>
      <c r="QGY264" s="178"/>
      <c r="QGZ264" s="178"/>
      <c r="QHA264" s="178"/>
      <c r="QHB264" s="178"/>
      <c r="QHC264" s="178"/>
      <c r="QHD264" s="178"/>
      <c r="QHE264" s="178"/>
      <c r="QHF264" s="178"/>
      <c r="QHG264" s="178"/>
      <c r="QHH264" s="178"/>
      <c r="QHI264" s="178"/>
      <c r="QHJ264" s="178"/>
      <c r="QHK264" s="178"/>
      <c r="QHL264" s="178"/>
      <c r="QHM264" s="178"/>
      <c r="QHN264" s="178"/>
      <c r="QHO264" s="178"/>
      <c r="QHP264" s="178"/>
      <c r="QHQ264" s="178"/>
      <c r="QHR264" s="178"/>
      <c r="QHS264" s="178"/>
      <c r="QHT264" s="178"/>
      <c r="QHU264" s="178"/>
      <c r="QHV264" s="178"/>
      <c r="QHW264" s="178"/>
      <c r="QHX264" s="178"/>
      <c r="QHY264" s="178"/>
      <c r="QHZ264" s="178"/>
      <c r="QIA264" s="178"/>
      <c r="QIB264" s="178"/>
      <c r="QIC264" s="178"/>
      <c r="QID264" s="178"/>
      <c r="QIE264" s="178"/>
      <c r="QIF264" s="178"/>
      <c r="QIG264" s="178"/>
      <c r="QIH264" s="178"/>
      <c r="QII264" s="178"/>
      <c r="QIJ264" s="178"/>
      <c r="QIK264" s="178"/>
      <c r="QIL264" s="178"/>
      <c r="QIM264" s="178"/>
      <c r="QIN264" s="178"/>
      <c r="QIO264" s="178"/>
      <c r="QIP264" s="178"/>
      <c r="QIQ264" s="178"/>
      <c r="QIR264" s="178"/>
      <c r="QIS264" s="178"/>
      <c r="QIT264" s="178"/>
      <c r="QIU264" s="178"/>
      <c r="QIV264" s="178"/>
      <c r="QIW264" s="178"/>
      <c r="QIX264" s="178"/>
      <c r="QIY264" s="178"/>
      <c r="QIZ264" s="178"/>
      <c r="QJA264" s="178"/>
      <c r="QJB264" s="178"/>
      <c r="QJC264" s="178"/>
      <c r="QJD264" s="178"/>
      <c r="QJE264" s="178"/>
      <c r="QJF264" s="178"/>
      <c r="QJG264" s="178"/>
      <c r="QJH264" s="178"/>
      <c r="QJI264" s="178"/>
      <c r="QJJ264" s="178"/>
      <c r="QJK264" s="178"/>
      <c r="QJL264" s="178"/>
      <c r="QJM264" s="178"/>
      <c r="QJN264" s="178"/>
      <c r="QJO264" s="178"/>
      <c r="QJP264" s="178"/>
      <c r="QJQ264" s="178"/>
      <c r="QJR264" s="178"/>
      <c r="QJS264" s="178"/>
      <c r="QJT264" s="178"/>
      <c r="QJU264" s="178"/>
      <c r="QJV264" s="178"/>
      <c r="QJW264" s="178"/>
      <c r="QJX264" s="178"/>
      <c r="QJY264" s="178"/>
      <c r="QJZ264" s="178"/>
      <c r="QKA264" s="178"/>
      <c r="QKB264" s="178"/>
      <c r="QKC264" s="178"/>
      <c r="QKD264" s="178"/>
      <c r="QKE264" s="178"/>
      <c r="QKF264" s="178"/>
      <c r="QKG264" s="178"/>
      <c r="QKH264" s="178"/>
      <c r="QKI264" s="178"/>
      <c r="QKJ264" s="178"/>
      <c r="QKK264" s="178"/>
      <c r="QKL264" s="178"/>
      <c r="QKM264" s="178"/>
      <c r="QKN264" s="178"/>
      <c r="QKO264" s="178"/>
      <c r="QKP264" s="178"/>
      <c r="QKQ264" s="178"/>
      <c r="QKR264" s="178"/>
      <c r="QKS264" s="178"/>
      <c r="QKT264" s="178"/>
      <c r="QKU264" s="178"/>
      <c r="QKV264" s="178"/>
      <c r="QKW264" s="178"/>
      <c r="QKX264" s="178"/>
      <c r="QKY264" s="178"/>
      <c r="QKZ264" s="178"/>
      <c r="QLA264" s="178"/>
      <c r="QLB264" s="178"/>
      <c r="QLC264" s="178"/>
      <c r="QLD264" s="178"/>
      <c r="QLE264" s="178"/>
      <c r="QLF264" s="178"/>
      <c r="QLG264" s="178"/>
      <c r="QLH264" s="178"/>
      <c r="QLI264" s="178"/>
      <c r="QLJ264" s="178"/>
      <c r="QLK264" s="178"/>
      <c r="QLL264" s="178"/>
      <c r="QLM264" s="178"/>
      <c r="QLN264" s="178"/>
      <c r="QLO264" s="178"/>
      <c r="QLP264" s="178"/>
      <c r="QLQ264" s="178"/>
      <c r="QLR264" s="178"/>
      <c r="QLS264" s="178"/>
      <c r="QLT264" s="178"/>
      <c r="QLU264" s="178"/>
      <c r="QLV264" s="178"/>
      <c r="QLW264" s="178"/>
      <c r="QLX264" s="178"/>
      <c r="QLY264" s="178"/>
      <c r="QLZ264" s="178"/>
      <c r="QMA264" s="178"/>
      <c r="QMB264" s="178"/>
      <c r="QMC264" s="178"/>
      <c r="QMD264" s="178"/>
      <c r="QME264" s="178"/>
      <c r="QMF264" s="178"/>
      <c r="QMG264" s="178"/>
      <c r="QMH264" s="178"/>
      <c r="QMI264" s="178"/>
      <c r="QMJ264" s="178"/>
      <c r="QMK264" s="178"/>
      <c r="QML264" s="178"/>
      <c r="QMM264" s="178"/>
      <c r="QMN264" s="178"/>
      <c r="QMO264" s="178"/>
      <c r="QMP264" s="178"/>
      <c r="QMQ264" s="178"/>
      <c r="QMR264" s="178"/>
      <c r="QMS264" s="178"/>
      <c r="QMT264" s="178"/>
      <c r="QMU264" s="178"/>
      <c r="QMV264" s="178"/>
      <c r="QMW264" s="178"/>
      <c r="QMX264" s="178"/>
      <c r="QMY264" s="178"/>
      <c r="QMZ264" s="178"/>
      <c r="QNA264" s="178"/>
      <c r="QNB264" s="178"/>
      <c r="QNC264" s="178"/>
      <c r="QND264" s="178"/>
      <c r="QNE264" s="178"/>
      <c r="QNF264" s="178"/>
      <c r="QNG264" s="178"/>
      <c r="QNH264" s="178"/>
      <c r="QNI264" s="178"/>
      <c r="QNJ264" s="178"/>
      <c r="QNK264" s="178"/>
      <c r="QNL264" s="178"/>
      <c r="QNM264" s="178"/>
      <c r="QNN264" s="178"/>
      <c r="QNO264" s="178"/>
      <c r="QNP264" s="178"/>
      <c r="QNQ264" s="178"/>
      <c r="QNR264" s="178"/>
      <c r="QNS264" s="178"/>
      <c r="QNT264" s="178"/>
      <c r="QNU264" s="178"/>
      <c r="QNV264" s="178"/>
      <c r="QNW264" s="178"/>
      <c r="QNX264" s="178"/>
      <c r="QNY264" s="178"/>
      <c r="QNZ264" s="178"/>
      <c r="QOA264" s="178"/>
      <c r="QOB264" s="178"/>
      <c r="QOC264" s="178"/>
      <c r="QOD264" s="178"/>
      <c r="QOE264" s="178"/>
      <c r="QOF264" s="178"/>
      <c r="QOG264" s="178"/>
      <c r="QOH264" s="178"/>
      <c r="QOI264" s="178"/>
      <c r="QOJ264" s="178"/>
      <c r="QOK264" s="178"/>
      <c r="QOL264" s="178"/>
      <c r="QOM264" s="178"/>
      <c r="QON264" s="178"/>
      <c r="QOO264" s="178"/>
      <c r="QOP264" s="178"/>
      <c r="QOQ264" s="178"/>
      <c r="QOR264" s="178"/>
      <c r="QOS264" s="178"/>
      <c r="QOT264" s="178"/>
      <c r="QOU264" s="178"/>
      <c r="QOV264" s="178"/>
      <c r="QOW264" s="178"/>
      <c r="QOX264" s="178"/>
      <c r="QOY264" s="178"/>
      <c r="QOZ264" s="178"/>
      <c r="QPA264" s="178"/>
      <c r="QPB264" s="178"/>
      <c r="QPC264" s="178"/>
      <c r="QPD264" s="178"/>
      <c r="QPE264" s="178"/>
      <c r="QPF264" s="178"/>
      <c r="QPG264" s="178"/>
      <c r="QPH264" s="178"/>
      <c r="QPI264" s="178"/>
      <c r="QPJ264" s="178"/>
      <c r="QPK264" s="178"/>
      <c r="QPL264" s="178"/>
      <c r="QPM264" s="178"/>
      <c r="QPN264" s="178"/>
      <c r="QPO264" s="178"/>
      <c r="QPP264" s="178"/>
      <c r="QPQ264" s="178"/>
      <c r="QPR264" s="178"/>
      <c r="QPS264" s="178"/>
      <c r="QPT264" s="178"/>
      <c r="QPU264" s="178"/>
      <c r="QPV264" s="178"/>
      <c r="QPW264" s="178"/>
      <c r="QPX264" s="178"/>
      <c r="QPY264" s="178"/>
      <c r="QPZ264" s="178"/>
      <c r="QQA264" s="178"/>
      <c r="QQB264" s="178"/>
      <c r="QQC264" s="178"/>
      <c r="QQD264" s="178"/>
      <c r="QQE264" s="178"/>
      <c r="QQF264" s="178"/>
      <c r="QQG264" s="178"/>
      <c r="QQH264" s="178"/>
      <c r="QQI264" s="178"/>
      <c r="QQJ264" s="178"/>
      <c r="QQK264" s="178"/>
      <c r="QQL264" s="178"/>
      <c r="QQM264" s="178"/>
      <c r="QQN264" s="178"/>
      <c r="QQO264" s="178"/>
      <c r="QQP264" s="178"/>
      <c r="QQQ264" s="178"/>
      <c r="QQR264" s="178"/>
      <c r="QQS264" s="178"/>
      <c r="QQT264" s="178"/>
      <c r="QQU264" s="178"/>
      <c r="QQV264" s="178"/>
      <c r="QQW264" s="178"/>
      <c r="QQX264" s="178"/>
      <c r="QQY264" s="178"/>
      <c r="QQZ264" s="178"/>
      <c r="QRA264" s="178"/>
      <c r="QRB264" s="178"/>
      <c r="QRC264" s="178"/>
      <c r="QRD264" s="178"/>
      <c r="QRE264" s="178"/>
      <c r="QRF264" s="178"/>
      <c r="QRG264" s="178"/>
      <c r="QRH264" s="178"/>
      <c r="QRI264" s="178"/>
      <c r="QRJ264" s="178"/>
      <c r="QRK264" s="178"/>
      <c r="QRL264" s="178"/>
      <c r="QRM264" s="178"/>
      <c r="QRN264" s="178"/>
      <c r="QRO264" s="178"/>
      <c r="QRP264" s="178"/>
      <c r="QRQ264" s="178"/>
      <c r="QRR264" s="178"/>
      <c r="QRS264" s="178"/>
      <c r="QRT264" s="178"/>
      <c r="QRU264" s="178"/>
      <c r="QRV264" s="178"/>
      <c r="QRW264" s="178"/>
      <c r="QRX264" s="178"/>
      <c r="QRY264" s="178"/>
      <c r="QRZ264" s="178"/>
      <c r="QSA264" s="178"/>
      <c r="QSB264" s="178"/>
      <c r="QSC264" s="178"/>
      <c r="QSD264" s="178"/>
      <c r="QSE264" s="178"/>
      <c r="QSF264" s="178"/>
      <c r="QSG264" s="178"/>
      <c r="QSH264" s="178"/>
      <c r="QSI264" s="178"/>
      <c r="QSJ264" s="178"/>
      <c r="QSK264" s="178"/>
      <c r="QSL264" s="178"/>
      <c r="QSM264" s="178"/>
      <c r="QSN264" s="178"/>
      <c r="QSO264" s="178"/>
      <c r="QSP264" s="178"/>
      <c r="QSQ264" s="178"/>
      <c r="QSR264" s="178"/>
      <c r="QSS264" s="178"/>
      <c r="QST264" s="178"/>
      <c r="QSU264" s="178"/>
      <c r="QSV264" s="178"/>
      <c r="QSW264" s="178"/>
      <c r="QSX264" s="178"/>
      <c r="QSY264" s="178"/>
      <c r="QSZ264" s="178"/>
      <c r="QTA264" s="178"/>
      <c r="QTB264" s="178"/>
      <c r="QTC264" s="178"/>
      <c r="QTD264" s="178"/>
      <c r="QTE264" s="178"/>
      <c r="QTF264" s="178"/>
      <c r="QTG264" s="178"/>
      <c r="QTH264" s="178"/>
      <c r="QTI264" s="178"/>
      <c r="QTJ264" s="178"/>
      <c r="QTK264" s="178"/>
      <c r="QTL264" s="178"/>
      <c r="QTM264" s="178"/>
      <c r="QTN264" s="178"/>
      <c r="QTO264" s="178"/>
      <c r="QTP264" s="178"/>
      <c r="QTQ264" s="178"/>
      <c r="QTR264" s="178"/>
      <c r="QTS264" s="178"/>
      <c r="QTT264" s="178"/>
      <c r="QTU264" s="178"/>
      <c r="QTV264" s="178"/>
      <c r="QTW264" s="178"/>
      <c r="QTX264" s="178"/>
      <c r="QTY264" s="178"/>
      <c r="QTZ264" s="178"/>
      <c r="QUA264" s="178"/>
      <c r="QUB264" s="178"/>
      <c r="QUC264" s="178"/>
      <c r="QUD264" s="178"/>
      <c r="QUE264" s="178"/>
      <c r="QUF264" s="178"/>
      <c r="QUG264" s="178"/>
      <c r="QUH264" s="178"/>
      <c r="QUI264" s="178"/>
      <c r="QUJ264" s="178"/>
      <c r="QUK264" s="178"/>
      <c r="QUL264" s="178"/>
      <c r="QUM264" s="178"/>
      <c r="QUN264" s="178"/>
      <c r="QUO264" s="178"/>
      <c r="QUP264" s="178"/>
      <c r="QUQ264" s="178"/>
      <c r="QUR264" s="178"/>
      <c r="QUS264" s="178"/>
      <c r="QUT264" s="178"/>
      <c r="QUU264" s="178"/>
      <c r="QUV264" s="178"/>
      <c r="QUW264" s="178"/>
      <c r="QUX264" s="178"/>
      <c r="QUY264" s="178"/>
      <c r="QUZ264" s="178"/>
      <c r="QVA264" s="178"/>
      <c r="QVB264" s="178"/>
      <c r="QVC264" s="178"/>
      <c r="QVD264" s="178"/>
      <c r="QVE264" s="178"/>
      <c r="QVF264" s="178"/>
      <c r="QVG264" s="178"/>
      <c r="QVH264" s="178"/>
      <c r="QVI264" s="178"/>
      <c r="QVJ264" s="178"/>
      <c r="QVK264" s="178"/>
      <c r="QVL264" s="178"/>
      <c r="QVM264" s="178"/>
      <c r="QVN264" s="178"/>
      <c r="QVO264" s="178"/>
      <c r="QVP264" s="178"/>
      <c r="QVQ264" s="178"/>
      <c r="QVR264" s="178"/>
      <c r="QVS264" s="178"/>
      <c r="QVT264" s="178"/>
      <c r="QVU264" s="178"/>
      <c r="QVV264" s="178"/>
      <c r="QVW264" s="178"/>
      <c r="QVX264" s="178"/>
      <c r="QVY264" s="178"/>
      <c r="QVZ264" s="178"/>
      <c r="QWA264" s="178"/>
      <c r="QWB264" s="178"/>
      <c r="QWC264" s="178"/>
      <c r="QWD264" s="178"/>
      <c r="QWE264" s="178"/>
      <c r="QWF264" s="178"/>
      <c r="QWG264" s="178"/>
      <c r="QWH264" s="178"/>
      <c r="QWI264" s="178"/>
      <c r="QWJ264" s="178"/>
      <c r="QWK264" s="178"/>
      <c r="QWL264" s="178"/>
      <c r="QWM264" s="178"/>
      <c r="QWN264" s="178"/>
      <c r="QWO264" s="178"/>
      <c r="QWP264" s="178"/>
      <c r="QWQ264" s="178"/>
      <c r="QWR264" s="178"/>
      <c r="QWS264" s="178"/>
      <c r="QWT264" s="178"/>
      <c r="QWU264" s="178"/>
      <c r="QWV264" s="178"/>
      <c r="QWW264" s="178"/>
      <c r="QWX264" s="178"/>
      <c r="QWY264" s="178"/>
      <c r="QWZ264" s="178"/>
      <c r="QXA264" s="178"/>
      <c r="QXB264" s="178"/>
      <c r="QXC264" s="178"/>
      <c r="QXD264" s="178"/>
      <c r="QXE264" s="178"/>
      <c r="QXF264" s="178"/>
      <c r="QXG264" s="178"/>
      <c r="QXH264" s="178"/>
      <c r="QXI264" s="178"/>
      <c r="QXJ264" s="178"/>
      <c r="QXK264" s="178"/>
      <c r="QXL264" s="178"/>
      <c r="QXM264" s="178"/>
      <c r="QXN264" s="178"/>
      <c r="QXO264" s="178"/>
      <c r="QXP264" s="178"/>
      <c r="QXQ264" s="178"/>
      <c r="QXR264" s="178"/>
      <c r="QXS264" s="178"/>
      <c r="QXT264" s="178"/>
      <c r="QXU264" s="178"/>
      <c r="QXV264" s="178"/>
      <c r="QXW264" s="178"/>
      <c r="QXX264" s="178"/>
      <c r="QXY264" s="178"/>
      <c r="QXZ264" s="178"/>
      <c r="QYA264" s="178"/>
      <c r="QYB264" s="178"/>
      <c r="QYC264" s="178"/>
      <c r="QYD264" s="178"/>
      <c r="QYE264" s="178"/>
      <c r="QYF264" s="178"/>
      <c r="QYG264" s="178"/>
      <c r="QYH264" s="178"/>
      <c r="QYI264" s="178"/>
      <c r="QYJ264" s="178"/>
      <c r="QYK264" s="178"/>
      <c r="QYL264" s="178"/>
      <c r="QYM264" s="178"/>
      <c r="QYN264" s="178"/>
      <c r="QYO264" s="178"/>
      <c r="QYP264" s="178"/>
      <c r="QYQ264" s="178"/>
      <c r="QYR264" s="178"/>
      <c r="QYS264" s="178"/>
      <c r="QYT264" s="178"/>
      <c r="QYU264" s="178"/>
      <c r="QYV264" s="178"/>
      <c r="QYW264" s="178"/>
      <c r="QYX264" s="178"/>
      <c r="QYY264" s="178"/>
      <c r="QYZ264" s="178"/>
      <c r="QZA264" s="178"/>
      <c r="QZB264" s="178"/>
      <c r="QZC264" s="178"/>
      <c r="QZD264" s="178"/>
      <c r="QZE264" s="178"/>
      <c r="QZF264" s="178"/>
      <c r="QZG264" s="178"/>
      <c r="QZH264" s="178"/>
      <c r="QZI264" s="178"/>
      <c r="QZJ264" s="178"/>
      <c r="QZK264" s="178"/>
      <c r="QZL264" s="178"/>
      <c r="QZM264" s="178"/>
      <c r="QZN264" s="178"/>
      <c r="QZO264" s="178"/>
      <c r="QZP264" s="178"/>
      <c r="QZQ264" s="178"/>
      <c r="QZR264" s="178"/>
      <c r="QZS264" s="178"/>
      <c r="QZT264" s="178"/>
      <c r="QZU264" s="178"/>
      <c r="QZV264" s="178"/>
      <c r="QZW264" s="178"/>
      <c r="QZX264" s="178"/>
      <c r="QZY264" s="178"/>
      <c r="QZZ264" s="178"/>
      <c r="RAA264" s="178"/>
      <c r="RAB264" s="178"/>
      <c r="RAC264" s="178"/>
      <c r="RAD264" s="178"/>
      <c r="RAE264" s="178"/>
      <c r="RAF264" s="178"/>
      <c r="RAG264" s="178"/>
      <c r="RAH264" s="178"/>
      <c r="RAI264" s="178"/>
      <c r="RAJ264" s="178"/>
      <c r="RAK264" s="178"/>
      <c r="RAL264" s="178"/>
      <c r="RAM264" s="178"/>
      <c r="RAN264" s="178"/>
      <c r="RAO264" s="178"/>
      <c r="RAP264" s="178"/>
      <c r="RAQ264" s="178"/>
      <c r="RAR264" s="178"/>
      <c r="RAS264" s="178"/>
      <c r="RAT264" s="178"/>
      <c r="RAU264" s="178"/>
      <c r="RAV264" s="178"/>
      <c r="RAW264" s="178"/>
      <c r="RAX264" s="178"/>
      <c r="RAY264" s="178"/>
      <c r="RAZ264" s="178"/>
      <c r="RBA264" s="178"/>
      <c r="RBB264" s="178"/>
      <c r="RBC264" s="178"/>
      <c r="RBD264" s="178"/>
      <c r="RBE264" s="178"/>
      <c r="RBF264" s="178"/>
      <c r="RBG264" s="178"/>
      <c r="RBH264" s="178"/>
      <c r="RBI264" s="178"/>
      <c r="RBJ264" s="178"/>
      <c r="RBK264" s="178"/>
      <c r="RBL264" s="178"/>
      <c r="RBM264" s="178"/>
      <c r="RBN264" s="178"/>
      <c r="RBO264" s="178"/>
      <c r="RBP264" s="178"/>
      <c r="RBQ264" s="178"/>
      <c r="RBR264" s="178"/>
      <c r="RBS264" s="178"/>
      <c r="RBT264" s="178"/>
      <c r="RBU264" s="178"/>
      <c r="RBV264" s="178"/>
      <c r="RBW264" s="178"/>
      <c r="RBX264" s="178"/>
      <c r="RBY264" s="178"/>
      <c r="RBZ264" s="178"/>
      <c r="RCA264" s="178"/>
      <c r="RCB264" s="178"/>
      <c r="RCC264" s="178"/>
      <c r="RCD264" s="178"/>
      <c r="RCE264" s="178"/>
      <c r="RCF264" s="178"/>
      <c r="RCG264" s="178"/>
      <c r="RCH264" s="178"/>
      <c r="RCI264" s="178"/>
      <c r="RCJ264" s="178"/>
      <c r="RCK264" s="178"/>
      <c r="RCL264" s="178"/>
      <c r="RCM264" s="178"/>
      <c r="RCN264" s="178"/>
      <c r="RCO264" s="178"/>
      <c r="RCP264" s="178"/>
      <c r="RCQ264" s="178"/>
      <c r="RCR264" s="178"/>
      <c r="RCS264" s="178"/>
      <c r="RCT264" s="178"/>
      <c r="RCU264" s="178"/>
      <c r="RCV264" s="178"/>
      <c r="RCW264" s="178"/>
      <c r="RCX264" s="178"/>
      <c r="RCY264" s="178"/>
      <c r="RCZ264" s="178"/>
      <c r="RDA264" s="178"/>
      <c r="RDB264" s="178"/>
      <c r="RDC264" s="178"/>
      <c r="RDD264" s="178"/>
      <c r="RDE264" s="178"/>
      <c r="RDF264" s="178"/>
      <c r="RDG264" s="178"/>
      <c r="RDH264" s="178"/>
      <c r="RDI264" s="178"/>
      <c r="RDJ264" s="178"/>
      <c r="RDK264" s="178"/>
      <c r="RDL264" s="178"/>
      <c r="RDM264" s="178"/>
      <c r="RDN264" s="178"/>
      <c r="RDO264" s="178"/>
      <c r="RDP264" s="178"/>
      <c r="RDQ264" s="178"/>
      <c r="RDR264" s="178"/>
      <c r="RDS264" s="178"/>
      <c r="RDT264" s="178"/>
      <c r="RDU264" s="178"/>
      <c r="RDV264" s="178"/>
      <c r="RDW264" s="178"/>
      <c r="RDX264" s="178"/>
      <c r="RDY264" s="178"/>
      <c r="RDZ264" s="178"/>
      <c r="REA264" s="178"/>
      <c r="REB264" s="178"/>
      <c r="REC264" s="178"/>
      <c r="RED264" s="178"/>
      <c r="REE264" s="178"/>
      <c r="REF264" s="178"/>
      <c r="REG264" s="178"/>
      <c r="REH264" s="178"/>
      <c r="REI264" s="178"/>
      <c r="REJ264" s="178"/>
      <c r="REK264" s="178"/>
      <c r="REL264" s="178"/>
      <c r="REM264" s="178"/>
      <c r="REN264" s="178"/>
      <c r="REO264" s="178"/>
      <c r="REP264" s="178"/>
      <c r="REQ264" s="178"/>
      <c r="RER264" s="178"/>
      <c r="RES264" s="178"/>
      <c r="RET264" s="178"/>
      <c r="REU264" s="178"/>
      <c r="REV264" s="178"/>
      <c r="REW264" s="178"/>
      <c r="REX264" s="178"/>
      <c r="REY264" s="178"/>
      <c r="REZ264" s="178"/>
      <c r="RFA264" s="178"/>
      <c r="RFB264" s="178"/>
      <c r="RFC264" s="178"/>
      <c r="RFD264" s="178"/>
      <c r="RFE264" s="178"/>
      <c r="RFF264" s="178"/>
      <c r="RFG264" s="178"/>
      <c r="RFH264" s="178"/>
      <c r="RFI264" s="178"/>
      <c r="RFJ264" s="178"/>
      <c r="RFK264" s="178"/>
      <c r="RFL264" s="178"/>
      <c r="RFM264" s="178"/>
      <c r="RFN264" s="178"/>
      <c r="RFO264" s="178"/>
      <c r="RFP264" s="178"/>
      <c r="RFQ264" s="178"/>
      <c r="RFR264" s="178"/>
      <c r="RFS264" s="178"/>
      <c r="RFT264" s="178"/>
      <c r="RFU264" s="178"/>
      <c r="RFV264" s="178"/>
      <c r="RFW264" s="178"/>
      <c r="RFX264" s="178"/>
      <c r="RFY264" s="178"/>
      <c r="RFZ264" s="178"/>
      <c r="RGA264" s="178"/>
      <c r="RGB264" s="178"/>
      <c r="RGC264" s="178"/>
      <c r="RGD264" s="178"/>
      <c r="RGE264" s="178"/>
      <c r="RGF264" s="178"/>
      <c r="RGG264" s="178"/>
      <c r="RGH264" s="178"/>
      <c r="RGI264" s="178"/>
      <c r="RGJ264" s="178"/>
      <c r="RGK264" s="178"/>
      <c r="RGL264" s="178"/>
      <c r="RGM264" s="178"/>
      <c r="RGN264" s="178"/>
      <c r="RGO264" s="178"/>
      <c r="RGP264" s="178"/>
      <c r="RGQ264" s="178"/>
      <c r="RGR264" s="178"/>
      <c r="RGS264" s="178"/>
      <c r="RGT264" s="178"/>
      <c r="RGU264" s="178"/>
      <c r="RGV264" s="178"/>
      <c r="RGW264" s="178"/>
      <c r="RGX264" s="178"/>
      <c r="RGY264" s="178"/>
      <c r="RGZ264" s="178"/>
      <c r="RHA264" s="178"/>
      <c r="RHB264" s="178"/>
      <c r="RHC264" s="178"/>
      <c r="RHD264" s="178"/>
      <c r="RHE264" s="178"/>
      <c r="RHF264" s="178"/>
      <c r="RHG264" s="178"/>
      <c r="RHH264" s="178"/>
      <c r="RHI264" s="178"/>
      <c r="RHJ264" s="178"/>
      <c r="RHK264" s="178"/>
      <c r="RHL264" s="178"/>
      <c r="RHM264" s="178"/>
      <c r="RHN264" s="178"/>
      <c r="RHO264" s="178"/>
      <c r="RHP264" s="178"/>
      <c r="RHQ264" s="178"/>
      <c r="RHR264" s="178"/>
      <c r="RHS264" s="178"/>
      <c r="RHT264" s="178"/>
      <c r="RHU264" s="178"/>
      <c r="RHV264" s="178"/>
      <c r="RHW264" s="178"/>
      <c r="RHX264" s="178"/>
      <c r="RHY264" s="178"/>
      <c r="RHZ264" s="178"/>
      <c r="RIA264" s="178"/>
      <c r="RIB264" s="178"/>
      <c r="RIC264" s="178"/>
      <c r="RID264" s="178"/>
      <c r="RIE264" s="178"/>
      <c r="RIF264" s="178"/>
      <c r="RIG264" s="178"/>
      <c r="RIH264" s="178"/>
      <c r="RII264" s="178"/>
      <c r="RIJ264" s="178"/>
      <c r="RIK264" s="178"/>
      <c r="RIL264" s="178"/>
      <c r="RIM264" s="178"/>
      <c r="RIN264" s="178"/>
      <c r="RIO264" s="178"/>
      <c r="RIP264" s="178"/>
      <c r="RIQ264" s="178"/>
      <c r="RIR264" s="178"/>
      <c r="RIS264" s="178"/>
      <c r="RIT264" s="178"/>
      <c r="RIU264" s="178"/>
      <c r="RIV264" s="178"/>
      <c r="RIW264" s="178"/>
      <c r="RIX264" s="178"/>
      <c r="RIY264" s="178"/>
      <c r="RIZ264" s="178"/>
      <c r="RJA264" s="178"/>
      <c r="RJB264" s="178"/>
      <c r="RJC264" s="178"/>
      <c r="RJD264" s="178"/>
      <c r="RJE264" s="178"/>
      <c r="RJF264" s="178"/>
      <c r="RJG264" s="178"/>
      <c r="RJH264" s="178"/>
      <c r="RJI264" s="178"/>
      <c r="RJJ264" s="178"/>
      <c r="RJK264" s="178"/>
      <c r="RJL264" s="178"/>
      <c r="RJM264" s="178"/>
      <c r="RJN264" s="178"/>
      <c r="RJO264" s="178"/>
      <c r="RJP264" s="178"/>
      <c r="RJQ264" s="178"/>
      <c r="RJR264" s="178"/>
      <c r="RJS264" s="178"/>
      <c r="RJT264" s="178"/>
      <c r="RJU264" s="178"/>
      <c r="RJV264" s="178"/>
      <c r="RJW264" s="178"/>
      <c r="RJX264" s="178"/>
      <c r="RJY264" s="178"/>
      <c r="RJZ264" s="178"/>
      <c r="RKA264" s="178"/>
      <c r="RKB264" s="178"/>
      <c r="RKC264" s="178"/>
      <c r="RKD264" s="178"/>
      <c r="RKE264" s="178"/>
      <c r="RKF264" s="178"/>
      <c r="RKG264" s="178"/>
      <c r="RKH264" s="178"/>
      <c r="RKI264" s="178"/>
      <c r="RKJ264" s="178"/>
      <c r="RKK264" s="178"/>
      <c r="RKL264" s="178"/>
      <c r="RKM264" s="178"/>
      <c r="RKN264" s="178"/>
      <c r="RKO264" s="178"/>
      <c r="RKP264" s="178"/>
      <c r="RKQ264" s="178"/>
      <c r="RKR264" s="178"/>
      <c r="RKS264" s="178"/>
      <c r="RKT264" s="178"/>
      <c r="RKU264" s="178"/>
      <c r="RKV264" s="178"/>
      <c r="RKW264" s="178"/>
      <c r="RKX264" s="178"/>
      <c r="RKY264" s="178"/>
      <c r="RKZ264" s="178"/>
      <c r="RLA264" s="178"/>
      <c r="RLB264" s="178"/>
      <c r="RLC264" s="178"/>
      <c r="RLD264" s="178"/>
      <c r="RLE264" s="178"/>
      <c r="RLF264" s="178"/>
      <c r="RLG264" s="178"/>
      <c r="RLH264" s="178"/>
      <c r="RLI264" s="178"/>
      <c r="RLJ264" s="178"/>
      <c r="RLK264" s="178"/>
      <c r="RLL264" s="178"/>
      <c r="RLM264" s="178"/>
      <c r="RLN264" s="178"/>
      <c r="RLO264" s="178"/>
      <c r="RLP264" s="178"/>
      <c r="RLQ264" s="178"/>
      <c r="RLR264" s="178"/>
      <c r="RLS264" s="178"/>
      <c r="RLT264" s="178"/>
      <c r="RLU264" s="178"/>
      <c r="RLV264" s="178"/>
      <c r="RLW264" s="178"/>
      <c r="RLX264" s="178"/>
      <c r="RLY264" s="178"/>
      <c r="RLZ264" s="178"/>
      <c r="RMA264" s="178"/>
      <c r="RMB264" s="178"/>
      <c r="RMC264" s="178"/>
      <c r="RMD264" s="178"/>
      <c r="RME264" s="178"/>
      <c r="RMF264" s="178"/>
      <c r="RMG264" s="178"/>
      <c r="RMH264" s="178"/>
      <c r="RMI264" s="178"/>
      <c r="RMJ264" s="178"/>
      <c r="RMK264" s="178"/>
      <c r="RML264" s="178"/>
      <c r="RMM264" s="178"/>
      <c r="RMN264" s="178"/>
      <c r="RMO264" s="178"/>
      <c r="RMP264" s="178"/>
      <c r="RMQ264" s="178"/>
      <c r="RMR264" s="178"/>
      <c r="RMS264" s="178"/>
      <c r="RMT264" s="178"/>
      <c r="RMU264" s="178"/>
      <c r="RMV264" s="178"/>
      <c r="RMW264" s="178"/>
      <c r="RMX264" s="178"/>
      <c r="RMY264" s="178"/>
      <c r="RMZ264" s="178"/>
      <c r="RNA264" s="178"/>
      <c r="RNB264" s="178"/>
      <c r="RNC264" s="178"/>
      <c r="RND264" s="178"/>
      <c r="RNE264" s="178"/>
      <c r="RNF264" s="178"/>
      <c r="RNG264" s="178"/>
      <c r="RNH264" s="178"/>
      <c r="RNI264" s="178"/>
      <c r="RNJ264" s="178"/>
      <c r="RNK264" s="178"/>
      <c r="RNL264" s="178"/>
      <c r="RNM264" s="178"/>
      <c r="RNN264" s="178"/>
      <c r="RNO264" s="178"/>
      <c r="RNP264" s="178"/>
      <c r="RNQ264" s="178"/>
      <c r="RNR264" s="178"/>
      <c r="RNS264" s="178"/>
      <c r="RNT264" s="178"/>
      <c r="RNU264" s="178"/>
      <c r="RNV264" s="178"/>
      <c r="RNW264" s="178"/>
      <c r="RNX264" s="178"/>
      <c r="RNY264" s="178"/>
      <c r="RNZ264" s="178"/>
      <c r="ROA264" s="178"/>
      <c r="ROB264" s="178"/>
      <c r="ROC264" s="178"/>
      <c r="ROD264" s="178"/>
      <c r="ROE264" s="178"/>
      <c r="ROF264" s="178"/>
      <c r="ROG264" s="178"/>
      <c r="ROH264" s="178"/>
      <c r="ROI264" s="178"/>
      <c r="ROJ264" s="178"/>
      <c r="ROK264" s="178"/>
      <c r="ROL264" s="178"/>
      <c r="ROM264" s="178"/>
      <c r="RON264" s="178"/>
      <c r="ROO264" s="178"/>
      <c r="ROP264" s="178"/>
      <c r="ROQ264" s="178"/>
      <c r="ROR264" s="178"/>
      <c r="ROS264" s="178"/>
      <c r="ROT264" s="178"/>
      <c r="ROU264" s="178"/>
      <c r="ROV264" s="178"/>
      <c r="ROW264" s="178"/>
      <c r="ROX264" s="178"/>
      <c r="ROY264" s="178"/>
      <c r="ROZ264" s="178"/>
      <c r="RPA264" s="178"/>
      <c r="RPB264" s="178"/>
      <c r="RPC264" s="178"/>
      <c r="RPD264" s="178"/>
      <c r="RPE264" s="178"/>
      <c r="RPF264" s="178"/>
      <c r="RPG264" s="178"/>
      <c r="RPH264" s="178"/>
      <c r="RPI264" s="178"/>
      <c r="RPJ264" s="178"/>
      <c r="RPK264" s="178"/>
      <c r="RPL264" s="178"/>
      <c r="RPM264" s="178"/>
      <c r="RPN264" s="178"/>
      <c r="RPO264" s="178"/>
      <c r="RPP264" s="178"/>
      <c r="RPQ264" s="178"/>
      <c r="RPR264" s="178"/>
      <c r="RPS264" s="178"/>
      <c r="RPT264" s="178"/>
      <c r="RPU264" s="178"/>
      <c r="RPV264" s="178"/>
      <c r="RPW264" s="178"/>
      <c r="RPX264" s="178"/>
      <c r="RPY264" s="178"/>
      <c r="RPZ264" s="178"/>
      <c r="RQA264" s="178"/>
      <c r="RQB264" s="178"/>
      <c r="RQC264" s="178"/>
      <c r="RQD264" s="178"/>
      <c r="RQE264" s="178"/>
      <c r="RQF264" s="178"/>
      <c r="RQG264" s="178"/>
      <c r="RQH264" s="178"/>
      <c r="RQI264" s="178"/>
      <c r="RQJ264" s="178"/>
      <c r="RQK264" s="178"/>
      <c r="RQL264" s="178"/>
      <c r="RQM264" s="178"/>
      <c r="RQN264" s="178"/>
      <c r="RQO264" s="178"/>
      <c r="RQP264" s="178"/>
      <c r="RQQ264" s="178"/>
      <c r="RQR264" s="178"/>
      <c r="RQS264" s="178"/>
      <c r="RQT264" s="178"/>
      <c r="RQU264" s="178"/>
      <c r="RQV264" s="178"/>
      <c r="RQW264" s="178"/>
      <c r="RQX264" s="178"/>
      <c r="RQY264" s="178"/>
      <c r="RQZ264" s="178"/>
      <c r="RRA264" s="178"/>
      <c r="RRB264" s="178"/>
      <c r="RRC264" s="178"/>
      <c r="RRD264" s="178"/>
      <c r="RRE264" s="178"/>
      <c r="RRF264" s="178"/>
      <c r="RRG264" s="178"/>
      <c r="RRH264" s="178"/>
      <c r="RRI264" s="178"/>
      <c r="RRJ264" s="178"/>
      <c r="RRK264" s="178"/>
      <c r="RRL264" s="178"/>
      <c r="RRM264" s="178"/>
      <c r="RRN264" s="178"/>
      <c r="RRO264" s="178"/>
      <c r="RRP264" s="178"/>
      <c r="RRQ264" s="178"/>
      <c r="RRR264" s="178"/>
      <c r="RRS264" s="178"/>
      <c r="RRT264" s="178"/>
      <c r="RRU264" s="178"/>
      <c r="RRV264" s="178"/>
      <c r="RRW264" s="178"/>
      <c r="RRX264" s="178"/>
      <c r="RRY264" s="178"/>
      <c r="RRZ264" s="178"/>
      <c r="RSA264" s="178"/>
      <c r="RSB264" s="178"/>
      <c r="RSC264" s="178"/>
      <c r="RSD264" s="178"/>
      <c r="RSE264" s="178"/>
      <c r="RSF264" s="178"/>
      <c r="RSG264" s="178"/>
      <c r="RSH264" s="178"/>
      <c r="RSI264" s="178"/>
      <c r="RSJ264" s="178"/>
      <c r="RSK264" s="178"/>
      <c r="RSL264" s="178"/>
      <c r="RSM264" s="178"/>
      <c r="RSN264" s="178"/>
      <c r="RSO264" s="178"/>
      <c r="RSP264" s="178"/>
      <c r="RSQ264" s="178"/>
      <c r="RSR264" s="178"/>
      <c r="RSS264" s="178"/>
      <c r="RST264" s="178"/>
      <c r="RSU264" s="178"/>
      <c r="RSV264" s="178"/>
      <c r="RSW264" s="178"/>
      <c r="RSX264" s="178"/>
      <c r="RSY264" s="178"/>
      <c r="RSZ264" s="178"/>
      <c r="RTA264" s="178"/>
      <c r="RTB264" s="178"/>
      <c r="RTC264" s="178"/>
      <c r="RTD264" s="178"/>
      <c r="RTE264" s="178"/>
      <c r="RTF264" s="178"/>
      <c r="RTG264" s="178"/>
      <c r="RTH264" s="178"/>
      <c r="RTI264" s="178"/>
      <c r="RTJ264" s="178"/>
      <c r="RTK264" s="178"/>
      <c r="RTL264" s="178"/>
      <c r="RTM264" s="178"/>
      <c r="RTN264" s="178"/>
      <c r="RTO264" s="178"/>
      <c r="RTP264" s="178"/>
      <c r="RTQ264" s="178"/>
      <c r="RTR264" s="178"/>
      <c r="RTS264" s="178"/>
      <c r="RTT264" s="178"/>
      <c r="RTU264" s="178"/>
      <c r="RTV264" s="178"/>
      <c r="RTW264" s="178"/>
      <c r="RTX264" s="178"/>
      <c r="RTY264" s="178"/>
      <c r="RTZ264" s="178"/>
      <c r="RUA264" s="178"/>
      <c r="RUB264" s="178"/>
      <c r="RUC264" s="178"/>
      <c r="RUD264" s="178"/>
      <c r="RUE264" s="178"/>
      <c r="RUF264" s="178"/>
      <c r="RUG264" s="178"/>
      <c r="RUH264" s="178"/>
      <c r="RUI264" s="178"/>
      <c r="RUJ264" s="178"/>
      <c r="RUK264" s="178"/>
      <c r="RUL264" s="178"/>
      <c r="RUM264" s="178"/>
      <c r="RUN264" s="178"/>
      <c r="RUO264" s="178"/>
      <c r="RUP264" s="178"/>
      <c r="RUQ264" s="178"/>
      <c r="RUR264" s="178"/>
      <c r="RUS264" s="178"/>
      <c r="RUT264" s="178"/>
      <c r="RUU264" s="178"/>
      <c r="RUV264" s="178"/>
      <c r="RUW264" s="178"/>
      <c r="RUX264" s="178"/>
      <c r="RUY264" s="178"/>
      <c r="RUZ264" s="178"/>
      <c r="RVA264" s="178"/>
      <c r="RVB264" s="178"/>
      <c r="RVC264" s="178"/>
      <c r="RVD264" s="178"/>
      <c r="RVE264" s="178"/>
      <c r="RVF264" s="178"/>
      <c r="RVG264" s="178"/>
      <c r="RVH264" s="178"/>
      <c r="RVI264" s="178"/>
      <c r="RVJ264" s="178"/>
      <c r="RVK264" s="178"/>
      <c r="RVL264" s="178"/>
      <c r="RVM264" s="178"/>
      <c r="RVN264" s="178"/>
      <c r="RVO264" s="178"/>
      <c r="RVP264" s="178"/>
      <c r="RVQ264" s="178"/>
      <c r="RVR264" s="178"/>
      <c r="RVS264" s="178"/>
      <c r="RVT264" s="178"/>
      <c r="RVU264" s="178"/>
      <c r="RVV264" s="178"/>
      <c r="RVW264" s="178"/>
      <c r="RVX264" s="178"/>
      <c r="RVY264" s="178"/>
      <c r="RVZ264" s="178"/>
      <c r="RWA264" s="178"/>
      <c r="RWB264" s="178"/>
      <c r="RWC264" s="178"/>
      <c r="RWD264" s="178"/>
      <c r="RWE264" s="178"/>
      <c r="RWF264" s="178"/>
      <c r="RWG264" s="178"/>
      <c r="RWH264" s="178"/>
      <c r="RWI264" s="178"/>
      <c r="RWJ264" s="178"/>
      <c r="RWK264" s="178"/>
      <c r="RWL264" s="178"/>
      <c r="RWM264" s="178"/>
      <c r="RWN264" s="178"/>
      <c r="RWO264" s="178"/>
      <c r="RWP264" s="178"/>
      <c r="RWQ264" s="178"/>
      <c r="RWR264" s="178"/>
      <c r="RWS264" s="178"/>
      <c r="RWT264" s="178"/>
      <c r="RWU264" s="178"/>
      <c r="RWV264" s="178"/>
      <c r="RWW264" s="178"/>
      <c r="RWX264" s="178"/>
      <c r="RWY264" s="178"/>
      <c r="RWZ264" s="178"/>
      <c r="RXA264" s="178"/>
      <c r="RXB264" s="178"/>
      <c r="RXC264" s="178"/>
      <c r="RXD264" s="178"/>
      <c r="RXE264" s="178"/>
      <c r="RXF264" s="178"/>
      <c r="RXG264" s="178"/>
      <c r="RXH264" s="178"/>
      <c r="RXI264" s="178"/>
      <c r="RXJ264" s="178"/>
      <c r="RXK264" s="178"/>
      <c r="RXL264" s="178"/>
      <c r="RXM264" s="178"/>
      <c r="RXN264" s="178"/>
      <c r="RXO264" s="178"/>
      <c r="RXP264" s="178"/>
      <c r="RXQ264" s="178"/>
      <c r="RXR264" s="178"/>
      <c r="RXS264" s="178"/>
      <c r="RXT264" s="178"/>
      <c r="RXU264" s="178"/>
      <c r="RXV264" s="178"/>
      <c r="RXW264" s="178"/>
      <c r="RXX264" s="178"/>
      <c r="RXY264" s="178"/>
      <c r="RXZ264" s="178"/>
      <c r="RYA264" s="178"/>
      <c r="RYB264" s="178"/>
      <c r="RYC264" s="178"/>
      <c r="RYD264" s="178"/>
      <c r="RYE264" s="178"/>
      <c r="RYF264" s="178"/>
      <c r="RYG264" s="178"/>
      <c r="RYH264" s="178"/>
      <c r="RYI264" s="178"/>
      <c r="RYJ264" s="178"/>
      <c r="RYK264" s="178"/>
      <c r="RYL264" s="178"/>
      <c r="RYM264" s="178"/>
      <c r="RYN264" s="178"/>
      <c r="RYO264" s="178"/>
      <c r="RYP264" s="178"/>
      <c r="RYQ264" s="178"/>
      <c r="RYR264" s="178"/>
      <c r="RYS264" s="178"/>
      <c r="RYT264" s="178"/>
      <c r="RYU264" s="178"/>
      <c r="RYV264" s="178"/>
      <c r="RYW264" s="178"/>
      <c r="RYX264" s="178"/>
      <c r="RYY264" s="178"/>
      <c r="RYZ264" s="178"/>
      <c r="RZA264" s="178"/>
      <c r="RZB264" s="178"/>
      <c r="RZC264" s="178"/>
      <c r="RZD264" s="178"/>
      <c r="RZE264" s="178"/>
      <c r="RZF264" s="178"/>
      <c r="RZG264" s="178"/>
      <c r="RZH264" s="178"/>
      <c r="RZI264" s="178"/>
      <c r="RZJ264" s="178"/>
      <c r="RZK264" s="178"/>
      <c r="RZL264" s="178"/>
      <c r="RZM264" s="178"/>
      <c r="RZN264" s="178"/>
      <c r="RZO264" s="178"/>
      <c r="RZP264" s="178"/>
      <c r="RZQ264" s="178"/>
      <c r="RZR264" s="178"/>
      <c r="RZS264" s="178"/>
      <c r="RZT264" s="178"/>
      <c r="RZU264" s="178"/>
      <c r="RZV264" s="178"/>
      <c r="RZW264" s="178"/>
      <c r="RZX264" s="178"/>
      <c r="RZY264" s="178"/>
      <c r="RZZ264" s="178"/>
      <c r="SAA264" s="178"/>
      <c r="SAB264" s="178"/>
      <c r="SAC264" s="178"/>
      <c r="SAD264" s="178"/>
      <c r="SAE264" s="178"/>
      <c r="SAF264" s="178"/>
      <c r="SAG264" s="178"/>
      <c r="SAH264" s="178"/>
      <c r="SAI264" s="178"/>
      <c r="SAJ264" s="178"/>
      <c r="SAK264" s="178"/>
      <c r="SAL264" s="178"/>
      <c r="SAM264" s="178"/>
      <c r="SAN264" s="178"/>
      <c r="SAO264" s="178"/>
      <c r="SAP264" s="178"/>
      <c r="SAQ264" s="178"/>
      <c r="SAR264" s="178"/>
      <c r="SAS264" s="178"/>
      <c r="SAT264" s="178"/>
      <c r="SAU264" s="178"/>
      <c r="SAV264" s="178"/>
      <c r="SAW264" s="178"/>
      <c r="SAX264" s="178"/>
      <c r="SAY264" s="178"/>
      <c r="SAZ264" s="178"/>
      <c r="SBA264" s="178"/>
      <c r="SBB264" s="178"/>
      <c r="SBC264" s="178"/>
      <c r="SBD264" s="178"/>
      <c r="SBE264" s="178"/>
      <c r="SBF264" s="178"/>
      <c r="SBG264" s="178"/>
      <c r="SBH264" s="178"/>
      <c r="SBI264" s="178"/>
      <c r="SBJ264" s="178"/>
      <c r="SBK264" s="178"/>
      <c r="SBL264" s="178"/>
      <c r="SBM264" s="178"/>
      <c r="SBN264" s="178"/>
      <c r="SBO264" s="178"/>
      <c r="SBP264" s="178"/>
      <c r="SBQ264" s="178"/>
      <c r="SBR264" s="178"/>
      <c r="SBS264" s="178"/>
      <c r="SBT264" s="178"/>
      <c r="SBU264" s="178"/>
      <c r="SBV264" s="178"/>
      <c r="SBW264" s="178"/>
      <c r="SBX264" s="178"/>
      <c r="SBY264" s="178"/>
      <c r="SBZ264" s="178"/>
      <c r="SCA264" s="178"/>
      <c r="SCB264" s="178"/>
      <c r="SCC264" s="178"/>
      <c r="SCD264" s="178"/>
      <c r="SCE264" s="178"/>
      <c r="SCF264" s="178"/>
      <c r="SCG264" s="178"/>
      <c r="SCH264" s="178"/>
      <c r="SCI264" s="178"/>
      <c r="SCJ264" s="178"/>
      <c r="SCK264" s="178"/>
      <c r="SCL264" s="178"/>
      <c r="SCM264" s="178"/>
      <c r="SCN264" s="178"/>
      <c r="SCO264" s="178"/>
      <c r="SCP264" s="178"/>
      <c r="SCQ264" s="178"/>
      <c r="SCR264" s="178"/>
      <c r="SCS264" s="178"/>
      <c r="SCT264" s="178"/>
      <c r="SCU264" s="178"/>
      <c r="SCV264" s="178"/>
      <c r="SCW264" s="178"/>
      <c r="SCX264" s="178"/>
      <c r="SCY264" s="178"/>
      <c r="SCZ264" s="178"/>
      <c r="SDA264" s="178"/>
      <c r="SDB264" s="178"/>
      <c r="SDC264" s="178"/>
      <c r="SDD264" s="178"/>
      <c r="SDE264" s="178"/>
      <c r="SDF264" s="178"/>
      <c r="SDG264" s="178"/>
      <c r="SDH264" s="178"/>
      <c r="SDI264" s="178"/>
      <c r="SDJ264" s="178"/>
      <c r="SDK264" s="178"/>
      <c r="SDL264" s="178"/>
      <c r="SDM264" s="178"/>
      <c r="SDN264" s="178"/>
      <c r="SDO264" s="178"/>
      <c r="SDP264" s="178"/>
      <c r="SDQ264" s="178"/>
      <c r="SDR264" s="178"/>
      <c r="SDS264" s="178"/>
      <c r="SDT264" s="178"/>
      <c r="SDU264" s="178"/>
      <c r="SDV264" s="178"/>
      <c r="SDW264" s="178"/>
      <c r="SDX264" s="178"/>
      <c r="SDY264" s="178"/>
      <c r="SDZ264" s="178"/>
      <c r="SEA264" s="178"/>
      <c r="SEB264" s="178"/>
      <c r="SEC264" s="178"/>
      <c r="SED264" s="178"/>
      <c r="SEE264" s="178"/>
      <c r="SEF264" s="178"/>
      <c r="SEG264" s="178"/>
      <c r="SEH264" s="178"/>
      <c r="SEI264" s="178"/>
      <c r="SEJ264" s="178"/>
      <c r="SEK264" s="178"/>
      <c r="SEL264" s="178"/>
      <c r="SEM264" s="178"/>
      <c r="SEN264" s="178"/>
      <c r="SEO264" s="178"/>
      <c r="SEP264" s="178"/>
      <c r="SEQ264" s="178"/>
      <c r="SER264" s="178"/>
      <c r="SES264" s="178"/>
      <c r="SET264" s="178"/>
      <c r="SEU264" s="178"/>
      <c r="SEV264" s="178"/>
      <c r="SEW264" s="178"/>
      <c r="SEX264" s="178"/>
      <c r="SEY264" s="178"/>
      <c r="SEZ264" s="178"/>
      <c r="SFA264" s="178"/>
      <c r="SFB264" s="178"/>
      <c r="SFC264" s="178"/>
      <c r="SFD264" s="178"/>
      <c r="SFE264" s="178"/>
      <c r="SFF264" s="178"/>
      <c r="SFG264" s="178"/>
      <c r="SFH264" s="178"/>
      <c r="SFI264" s="178"/>
      <c r="SFJ264" s="178"/>
      <c r="SFK264" s="178"/>
      <c r="SFL264" s="178"/>
      <c r="SFM264" s="178"/>
      <c r="SFN264" s="178"/>
      <c r="SFO264" s="178"/>
      <c r="SFP264" s="178"/>
      <c r="SFQ264" s="178"/>
      <c r="SFR264" s="178"/>
      <c r="SFS264" s="178"/>
      <c r="SFT264" s="178"/>
      <c r="SFU264" s="178"/>
      <c r="SFV264" s="178"/>
      <c r="SFW264" s="178"/>
      <c r="SFX264" s="178"/>
      <c r="SFY264" s="178"/>
      <c r="SFZ264" s="178"/>
      <c r="SGA264" s="178"/>
      <c r="SGB264" s="178"/>
      <c r="SGC264" s="178"/>
      <c r="SGD264" s="178"/>
      <c r="SGE264" s="178"/>
      <c r="SGF264" s="178"/>
      <c r="SGG264" s="178"/>
      <c r="SGH264" s="178"/>
      <c r="SGI264" s="178"/>
      <c r="SGJ264" s="178"/>
      <c r="SGK264" s="178"/>
      <c r="SGL264" s="178"/>
      <c r="SGM264" s="178"/>
      <c r="SGN264" s="178"/>
      <c r="SGO264" s="178"/>
      <c r="SGP264" s="178"/>
      <c r="SGQ264" s="178"/>
      <c r="SGR264" s="178"/>
      <c r="SGS264" s="178"/>
      <c r="SGT264" s="178"/>
      <c r="SGU264" s="178"/>
      <c r="SGV264" s="178"/>
      <c r="SGW264" s="178"/>
      <c r="SGX264" s="178"/>
      <c r="SGY264" s="178"/>
      <c r="SGZ264" s="178"/>
      <c r="SHA264" s="178"/>
      <c r="SHB264" s="178"/>
      <c r="SHC264" s="178"/>
      <c r="SHD264" s="178"/>
      <c r="SHE264" s="178"/>
      <c r="SHF264" s="178"/>
      <c r="SHG264" s="178"/>
      <c r="SHH264" s="178"/>
      <c r="SHI264" s="178"/>
      <c r="SHJ264" s="178"/>
      <c r="SHK264" s="178"/>
      <c r="SHL264" s="178"/>
      <c r="SHM264" s="178"/>
      <c r="SHN264" s="178"/>
      <c r="SHO264" s="178"/>
      <c r="SHP264" s="178"/>
      <c r="SHQ264" s="178"/>
      <c r="SHR264" s="178"/>
      <c r="SHS264" s="178"/>
      <c r="SHT264" s="178"/>
      <c r="SHU264" s="178"/>
      <c r="SHV264" s="178"/>
      <c r="SHW264" s="178"/>
      <c r="SHX264" s="178"/>
      <c r="SHY264" s="178"/>
      <c r="SHZ264" s="178"/>
      <c r="SIA264" s="178"/>
      <c r="SIB264" s="178"/>
      <c r="SIC264" s="178"/>
      <c r="SID264" s="178"/>
      <c r="SIE264" s="178"/>
      <c r="SIF264" s="178"/>
      <c r="SIG264" s="178"/>
      <c r="SIH264" s="178"/>
      <c r="SII264" s="178"/>
      <c r="SIJ264" s="178"/>
      <c r="SIK264" s="178"/>
      <c r="SIL264" s="178"/>
      <c r="SIM264" s="178"/>
      <c r="SIN264" s="178"/>
      <c r="SIO264" s="178"/>
      <c r="SIP264" s="178"/>
      <c r="SIQ264" s="178"/>
      <c r="SIR264" s="178"/>
      <c r="SIS264" s="178"/>
      <c r="SIT264" s="178"/>
      <c r="SIU264" s="178"/>
      <c r="SIV264" s="178"/>
      <c r="SIW264" s="178"/>
      <c r="SIX264" s="178"/>
      <c r="SIY264" s="178"/>
      <c r="SIZ264" s="178"/>
      <c r="SJA264" s="178"/>
      <c r="SJB264" s="178"/>
      <c r="SJC264" s="178"/>
      <c r="SJD264" s="178"/>
      <c r="SJE264" s="178"/>
      <c r="SJF264" s="178"/>
      <c r="SJG264" s="178"/>
      <c r="SJH264" s="178"/>
      <c r="SJI264" s="178"/>
      <c r="SJJ264" s="178"/>
      <c r="SJK264" s="178"/>
      <c r="SJL264" s="178"/>
      <c r="SJM264" s="178"/>
      <c r="SJN264" s="178"/>
      <c r="SJO264" s="178"/>
      <c r="SJP264" s="178"/>
      <c r="SJQ264" s="178"/>
      <c r="SJR264" s="178"/>
      <c r="SJS264" s="178"/>
      <c r="SJT264" s="178"/>
      <c r="SJU264" s="178"/>
      <c r="SJV264" s="178"/>
      <c r="SJW264" s="178"/>
      <c r="SJX264" s="178"/>
      <c r="SJY264" s="178"/>
      <c r="SJZ264" s="178"/>
      <c r="SKA264" s="178"/>
      <c r="SKB264" s="178"/>
      <c r="SKC264" s="178"/>
      <c r="SKD264" s="178"/>
      <c r="SKE264" s="178"/>
      <c r="SKF264" s="178"/>
      <c r="SKG264" s="178"/>
      <c r="SKH264" s="178"/>
      <c r="SKI264" s="178"/>
      <c r="SKJ264" s="178"/>
      <c r="SKK264" s="178"/>
      <c r="SKL264" s="178"/>
      <c r="SKM264" s="178"/>
      <c r="SKN264" s="178"/>
      <c r="SKO264" s="178"/>
      <c r="SKP264" s="178"/>
      <c r="SKQ264" s="178"/>
      <c r="SKR264" s="178"/>
      <c r="SKS264" s="178"/>
      <c r="SKT264" s="178"/>
      <c r="SKU264" s="178"/>
      <c r="SKV264" s="178"/>
      <c r="SKW264" s="178"/>
      <c r="SKX264" s="178"/>
      <c r="SKY264" s="178"/>
      <c r="SKZ264" s="178"/>
      <c r="SLA264" s="178"/>
      <c r="SLB264" s="178"/>
      <c r="SLC264" s="178"/>
      <c r="SLD264" s="178"/>
      <c r="SLE264" s="178"/>
      <c r="SLF264" s="178"/>
      <c r="SLG264" s="178"/>
      <c r="SLH264" s="178"/>
      <c r="SLI264" s="178"/>
      <c r="SLJ264" s="178"/>
      <c r="SLK264" s="178"/>
      <c r="SLL264" s="178"/>
      <c r="SLM264" s="178"/>
      <c r="SLN264" s="178"/>
      <c r="SLO264" s="178"/>
      <c r="SLP264" s="178"/>
      <c r="SLQ264" s="178"/>
      <c r="SLR264" s="178"/>
      <c r="SLS264" s="178"/>
      <c r="SLT264" s="178"/>
      <c r="SLU264" s="178"/>
      <c r="SLV264" s="178"/>
      <c r="SLW264" s="178"/>
      <c r="SLX264" s="178"/>
      <c r="SLY264" s="178"/>
      <c r="SLZ264" s="178"/>
      <c r="SMA264" s="178"/>
      <c r="SMB264" s="178"/>
      <c r="SMC264" s="178"/>
      <c r="SMD264" s="178"/>
      <c r="SME264" s="178"/>
      <c r="SMF264" s="178"/>
      <c r="SMG264" s="178"/>
      <c r="SMH264" s="178"/>
      <c r="SMI264" s="178"/>
      <c r="SMJ264" s="178"/>
      <c r="SMK264" s="178"/>
      <c r="SML264" s="178"/>
      <c r="SMM264" s="178"/>
      <c r="SMN264" s="178"/>
      <c r="SMO264" s="178"/>
      <c r="SMP264" s="178"/>
      <c r="SMQ264" s="178"/>
      <c r="SMR264" s="178"/>
      <c r="SMS264" s="178"/>
      <c r="SMT264" s="178"/>
      <c r="SMU264" s="178"/>
      <c r="SMV264" s="178"/>
      <c r="SMW264" s="178"/>
      <c r="SMX264" s="178"/>
      <c r="SMY264" s="178"/>
      <c r="SMZ264" s="178"/>
      <c r="SNA264" s="178"/>
      <c r="SNB264" s="178"/>
      <c r="SNC264" s="178"/>
      <c r="SND264" s="178"/>
      <c r="SNE264" s="178"/>
      <c r="SNF264" s="178"/>
      <c r="SNG264" s="178"/>
      <c r="SNH264" s="178"/>
      <c r="SNI264" s="178"/>
      <c r="SNJ264" s="178"/>
      <c r="SNK264" s="178"/>
      <c r="SNL264" s="178"/>
      <c r="SNM264" s="178"/>
      <c r="SNN264" s="178"/>
      <c r="SNO264" s="178"/>
      <c r="SNP264" s="178"/>
      <c r="SNQ264" s="178"/>
      <c r="SNR264" s="178"/>
      <c r="SNS264" s="178"/>
      <c r="SNT264" s="178"/>
      <c r="SNU264" s="178"/>
      <c r="SNV264" s="178"/>
      <c r="SNW264" s="178"/>
      <c r="SNX264" s="178"/>
      <c r="SNY264" s="178"/>
      <c r="SNZ264" s="178"/>
      <c r="SOA264" s="178"/>
      <c r="SOB264" s="178"/>
      <c r="SOC264" s="178"/>
      <c r="SOD264" s="178"/>
      <c r="SOE264" s="178"/>
      <c r="SOF264" s="178"/>
      <c r="SOG264" s="178"/>
      <c r="SOH264" s="178"/>
      <c r="SOI264" s="178"/>
      <c r="SOJ264" s="178"/>
      <c r="SOK264" s="178"/>
      <c r="SOL264" s="178"/>
      <c r="SOM264" s="178"/>
      <c r="SON264" s="178"/>
      <c r="SOO264" s="178"/>
      <c r="SOP264" s="178"/>
      <c r="SOQ264" s="178"/>
      <c r="SOR264" s="178"/>
      <c r="SOS264" s="178"/>
      <c r="SOT264" s="178"/>
      <c r="SOU264" s="178"/>
      <c r="SOV264" s="178"/>
      <c r="SOW264" s="178"/>
      <c r="SOX264" s="178"/>
      <c r="SOY264" s="178"/>
      <c r="SOZ264" s="178"/>
      <c r="SPA264" s="178"/>
      <c r="SPB264" s="178"/>
      <c r="SPC264" s="178"/>
      <c r="SPD264" s="178"/>
      <c r="SPE264" s="178"/>
      <c r="SPF264" s="178"/>
      <c r="SPG264" s="178"/>
      <c r="SPH264" s="178"/>
      <c r="SPI264" s="178"/>
      <c r="SPJ264" s="178"/>
      <c r="SPK264" s="178"/>
      <c r="SPL264" s="178"/>
      <c r="SPM264" s="178"/>
      <c r="SPN264" s="178"/>
      <c r="SPO264" s="178"/>
      <c r="SPP264" s="178"/>
      <c r="SPQ264" s="178"/>
      <c r="SPR264" s="178"/>
      <c r="SPS264" s="178"/>
      <c r="SPT264" s="178"/>
      <c r="SPU264" s="178"/>
      <c r="SPV264" s="178"/>
      <c r="SPW264" s="178"/>
      <c r="SPX264" s="178"/>
      <c r="SPY264" s="178"/>
      <c r="SPZ264" s="178"/>
      <c r="SQA264" s="178"/>
      <c r="SQB264" s="178"/>
      <c r="SQC264" s="178"/>
      <c r="SQD264" s="178"/>
      <c r="SQE264" s="178"/>
      <c r="SQF264" s="178"/>
      <c r="SQG264" s="178"/>
      <c r="SQH264" s="178"/>
      <c r="SQI264" s="178"/>
      <c r="SQJ264" s="178"/>
      <c r="SQK264" s="178"/>
      <c r="SQL264" s="178"/>
      <c r="SQM264" s="178"/>
      <c r="SQN264" s="178"/>
      <c r="SQO264" s="178"/>
      <c r="SQP264" s="178"/>
      <c r="SQQ264" s="178"/>
      <c r="SQR264" s="178"/>
      <c r="SQS264" s="178"/>
      <c r="SQT264" s="178"/>
      <c r="SQU264" s="178"/>
      <c r="SQV264" s="178"/>
      <c r="SQW264" s="178"/>
      <c r="SQX264" s="178"/>
      <c r="SQY264" s="178"/>
      <c r="SQZ264" s="178"/>
      <c r="SRA264" s="178"/>
      <c r="SRB264" s="178"/>
      <c r="SRC264" s="178"/>
      <c r="SRD264" s="178"/>
      <c r="SRE264" s="178"/>
      <c r="SRF264" s="178"/>
      <c r="SRG264" s="178"/>
      <c r="SRH264" s="178"/>
      <c r="SRI264" s="178"/>
      <c r="SRJ264" s="178"/>
      <c r="SRK264" s="178"/>
      <c r="SRL264" s="178"/>
      <c r="SRM264" s="178"/>
      <c r="SRN264" s="178"/>
      <c r="SRO264" s="178"/>
      <c r="SRP264" s="178"/>
      <c r="SRQ264" s="178"/>
      <c r="SRR264" s="178"/>
      <c r="SRS264" s="178"/>
      <c r="SRT264" s="178"/>
      <c r="SRU264" s="178"/>
      <c r="SRV264" s="178"/>
      <c r="SRW264" s="178"/>
      <c r="SRX264" s="178"/>
      <c r="SRY264" s="178"/>
      <c r="SRZ264" s="178"/>
      <c r="SSA264" s="178"/>
      <c r="SSB264" s="178"/>
      <c r="SSC264" s="178"/>
      <c r="SSD264" s="178"/>
      <c r="SSE264" s="178"/>
      <c r="SSF264" s="178"/>
      <c r="SSG264" s="178"/>
      <c r="SSH264" s="178"/>
      <c r="SSI264" s="178"/>
      <c r="SSJ264" s="178"/>
      <c r="SSK264" s="178"/>
      <c r="SSL264" s="178"/>
      <c r="SSM264" s="178"/>
      <c r="SSN264" s="178"/>
      <c r="SSO264" s="178"/>
      <c r="SSP264" s="178"/>
      <c r="SSQ264" s="178"/>
      <c r="SSR264" s="178"/>
      <c r="SSS264" s="178"/>
      <c r="SST264" s="178"/>
      <c r="SSU264" s="178"/>
      <c r="SSV264" s="178"/>
      <c r="SSW264" s="178"/>
      <c r="SSX264" s="178"/>
      <c r="SSY264" s="178"/>
      <c r="SSZ264" s="178"/>
      <c r="STA264" s="178"/>
      <c r="STB264" s="178"/>
      <c r="STC264" s="178"/>
      <c r="STD264" s="178"/>
      <c r="STE264" s="178"/>
      <c r="STF264" s="178"/>
      <c r="STG264" s="178"/>
      <c r="STH264" s="178"/>
      <c r="STI264" s="178"/>
      <c r="STJ264" s="178"/>
      <c r="STK264" s="178"/>
      <c r="STL264" s="178"/>
      <c r="STM264" s="178"/>
      <c r="STN264" s="178"/>
      <c r="STO264" s="178"/>
      <c r="STP264" s="178"/>
      <c r="STQ264" s="178"/>
      <c r="STR264" s="178"/>
      <c r="STS264" s="178"/>
      <c r="STT264" s="178"/>
      <c r="STU264" s="178"/>
      <c r="STV264" s="178"/>
      <c r="STW264" s="178"/>
      <c r="STX264" s="178"/>
      <c r="STY264" s="178"/>
      <c r="STZ264" s="178"/>
      <c r="SUA264" s="178"/>
      <c r="SUB264" s="178"/>
      <c r="SUC264" s="178"/>
      <c r="SUD264" s="178"/>
      <c r="SUE264" s="178"/>
      <c r="SUF264" s="178"/>
      <c r="SUG264" s="178"/>
      <c r="SUH264" s="178"/>
      <c r="SUI264" s="178"/>
      <c r="SUJ264" s="178"/>
      <c r="SUK264" s="178"/>
      <c r="SUL264" s="178"/>
      <c r="SUM264" s="178"/>
      <c r="SUN264" s="178"/>
      <c r="SUO264" s="178"/>
      <c r="SUP264" s="178"/>
      <c r="SUQ264" s="178"/>
      <c r="SUR264" s="178"/>
      <c r="SUS264" s="178"/>
      <c r="SUT264" s="178"/>
      <c r="SUU264" s="178"/>
      <c r="SUV264" s="178"/>
      <c r="SUW264" s="178"/>
      <c r="SUX264" s="178"/>
      <c r="SUY264" s="178"/>
      <c r="SUZ264" s="178"/>
      <c r="SVA264" s="178"/>
      <c r="SVB264" s="178"/>
      <c r="SVC264" s="178"/>
      <c r="SVD264" s="178"/>
      <c r="SVE264" s="178"/>
      <c r="SVF264" s="178"/>
      <c r="SVG264" s="178"/>
      <c r="SVH264" s="178"/>
      <c r="SVI264" s="178"/>
      <c r="SVJ264" s="178"/>
      <c r="SVK264" s="178"/>
      <c r="SVL264" s="178"/>
      <c r="SVM264" s="178"/>
      <c r="SVN264" s="178"/>
      <c r="SVO264" s="178"/>
      <c r="SVP264" s="178"/>
      <c r="SVQ264" s="178"/>
      <c r="SVR264" s="178"/>
      <c r="SVS264" s="178"/>
      <c r="SVT264" s="178"/>
      <c r="SVU264" s="178"/>
      <c r="SVV264" s="178"/>
      <c r="SVW264" s="178"/>
      <c r="SVX264" s="178"/>
      <c r="SVY264" s="178"/>
      <c r="SVZ264" s="178"/>
      <c r="SWA264" s="178"/>
      <c r="SWB264" s="178"/>
      <c r="SWC264" s="178"/>
      <c r="SWD264" s="178"/>
      <c r="SWE264" s="178"/>
      <c r="SWF264" s="178"/>
      <c r="SWG264" s="178"/>
      <c r="SWH264" s="178"/>
      <c r="SWI264" s="178"/>
      <c r="SWJ264" s="178"/>
      <c r="SWK264" s="178"/>
      <c r="SWL264" s="178"/>
      <c r="SWM264" s="178"/>
      <c r="SWN264" s="178"/>
      <c r="SWO264" s="178"/>
      <c r="SWP264" s="178"/>
      <c r="SWQ264" s="178"/>
      <c r="SWR264" s="178"/>
      <c r="SWS264" s="178"/>
      <c r="SWT264" s="178"/>
      <c r="SWU264" s="178"/>
      <c r="SWV264" s="178"/>
      <c r="SWW264" s="178"/>
      <c r="SWX264" s="178"/>
      <c r="SWY264" s="178"/>
      <c r="SWZ264" s="178"/>
      <c r="SXA264" s="178"/>
      <c r="SXB264" s="178"/>
      <c r="SXC264" s="178"/>
      <c r="SXD264" s="178"/>
      <c r="SXE264" s="178"/>
      <c r="SXF264" s="178"/>
      <c r="SXG264" s="178"/>
      <c r="SXH264" s="178"/>
      <c r="SXI264" s="178"/>
      <c r="SXJ264" s="178"/>
      <c r="SXK264" s="178"/>
      <c r="SXL264" s="178"/>
      <c r="SXM264" s="178"/>
      <c r="SXN264" s="178"/>
      <c r="SXO264" s="178"/>
      <c r="SXP264" s="178"/>
      <c r="SXQ264" s="178"/>
      <c r="SXR264" s="178"/>
      <c r="SXS264" s="178"/>
      <c r="SXT264" s="178"/>
      <c r="SXU264" s="178"/>
      <c r="SXV264" s="178"/>
      <c r="SXW264" s="178"/>
      <c r="SXX264" s="178"/>
      <c r="SXY264" s="178"/>
      <c r="SXZ264" s="178"/>
      <c r="SYA264" s="178"/>
      <c r="SYB264" s="178"/>
      <c r="SYC264" s="178"/>
      <c r="SYD264" s="178"/>
      <c r="SYE264" s="178"/>
      <c r="SYF264" s="178"/>
      <c r="SYG264" s="178"/>
      <c r="SYH264" s="178"/>
      <c r="SYI264" s="178"/>
      <c r="SYJ264" s="178"/>
      <c r="SYK264" s="178"/>
      <c r="SYL264" s="178"/>
      <c r="SYM264" s="178"/>
      <c r="SYN264" s="178"/>
      <c r="SYO264" s="178"/>
      <c r="SYP264" s="178"/>
      <c r="SYQ264" s="178"/>
      <c r="SYR264" s="178"/>
      <c r="SYS264" s="178"/>
      <c r="SYT264" s="178"/>
      <c r="SYU264" s="178"/>
      <c r="SYV264" s="178"/>
      <c r="SYW264" s="178"/>
      <c r="SYX264" s="178"/>
      <c r="SYY264" s="178"/>
      <c r="SYZ264" s="178"/>
      <c r="SZA264" s="178"/>
      <c r="SZB264" s="178"/>
      <c r="SZC264" s="178"/>
      <c r="SZD264" s="178"/>
      <c r="SZE264" s="178"/>
      <c r="SZF264" s="178"/>
      <c r="SZG264" s="178"/>
      <c r="SZH264" s="178"/>
      <c r="SZI264" s="178"/>
      <c r="SZJ264" s="178"/>
      <c r="SZK264" s="178"/>
      <c r="SZL264" s="178"/>
      <c r="SZM264" s="178"/>
      <c r="SZN264" s="178"/>
      <c r="SZO264" s="178"/>
      <c r="SZP264" s="178"/>
      <c r="SZQ264" s="178"/>
      <c r="SZR264" s="178"/>
      <c r="SZS264" s="178"/>
      <c r="SZT264" s="178"/>
      <c r="SZU264" s="178"/>
      <c r="SZV264" s="178"/>
      <c r="SZW264" s="178"/>
      <c r="SZX264" s="178"/>
      <c r="SZY264" s="178"/>
      <c r="SZZ264" s="178"/>
      <c r="TAA264" s="178"/>
      <c r="TAB264" s="178"/>
      <c r="TAC264" s="178"/>
      <c r="TAD264" s="178"/>
      <c r="TAE264" s="178"/>
      <c r="TAF264" s="178"/>
      <c r="TAG264" s="178"/>
      <c r="TAH264" s="178"/>
      <c r="TAI264" s="178"/>
      <c r="TAJ264" s="178"/>
      <c r="TAK264" s="178"/>
      <c r="TAL264" s="178"/>
      <c r="TAM264" s="178"/>
      <c r="TAN264" s="178"/>
      <c r="TAO264" s="178"/>
      <c r="TAP264" s="178"/>
      <c r="TAQ264" s="178"/>
      <c r="TAR264" s="178"/>
      <c r="TAS264" s="178"/>
      <c r="TAT264" s="178"/>
      <c r="TAU264" s="178"/>
      <c r="TAV264" s="178"/>
      <c r="TAW264" s="178"/>
      <c r="TAX264" s="178"/>
      <c r="TAY264" s="178"/>
      <c r="TAZ264" s="178"/>
      <c r="TBA264" s="178"/>
      <c r="TBB264" s="178"/>
      <c r="TBC264" s="178"/>
      <c r="TBD264" s="178"/>
      <c r="TBE264" s="178"/>
      <c r="TBF264" s="178"/>
      <c r="TBG264" s="178"/>
      <c r="TBH264" s="178"/>
      <c r="TBI264" s="178"/>
      <c r="TBJ264" s="178"/>
      <c r="TBK264" s="178"/>
      <c r="TBL264" s="178"/>
      <c r="TBM264" s="178"/>
      <c r="TBN264" s="178"/>
      <c r="TBO264" s="178"/>
      <c r="TBP264" s="178"/>
      <c r="TBQ264" s="178"/>
      <c r="TBR264" s="178"/>
      <c r="TBS264" s="178"/>
      <c r="TBT264" s="178"/>
      <c r="TBU264" s="178"/>
      <c r="TBV264" s="178"/>
      <c r="TBW264" s="178"/>
      <c r="TBX264" s="178"/>
      <c r="TBY264" s="178"/>
      <c r="TBZ264" s="178"/>
      <c r="TCA264" s="178"/>
      <c r="TCB264" s="178"/>
      <c r="TCC264" s="178"/>
      <c r="TCD264" s="178"/>
      <c r="TCE264" s="178"/>
      <c r="TCF264" s="178"/>
      <c r="TCG264" s="178"/>
      <c r="TCH264" s="178"/>
      <c r="TCI264" s="178"/>
      <c r="TCJ264" s="178"/>
      <c r="TCK264" s="178"/>
      <c r="TCL264" s="178"/>
      <c r="TCM264" s="178"/>
      <c r="TCN264" s="178"/>
      <c r="TCO264" s="178"/>
      <c r="TCP264" s="178"/>
      <c r="TCQ264" s="178"/>
      <c r="TCR264" s="178"/>
      <c r="TCS264" s="178"/>
      <c r="TCT264" s="178"/>
      <c r="TCU264" s="178"/>
      <c r="TCV264" s="178"/>
      <c r="TCW264" s="178"/>
      <c r="TCX264" s="178"/>
      <c r="TCY264" s="178"/>
      <c r="TCZ264" s="178"/>
      <c r="TDA264" s="178"/>
      <c r="TDB264" s="178"/>
      <c r="TDC264" s="178"/>
      <c r="TDD264" s="178"/>
      <c r="TDE264" s="178"/>
      <c r="TDF264" s="178"/>
      <c r="TDG264" s="178"/>
      <c r="TDH264" s="178"/>
      <c r="TDI264" s="178"/>
      <c r="TDJ264" s="178"/>
      <c r="TDK264" s="178"/>
      <c r="TDL264" s="178"/>
      <c r="TDM264" s="178"/>
      <c r="TDN264" s="178"/>
      <c r="TDO264" s="178"/>
      <c r="TDP264" s="178"/>
      <c r="TDQ264" s="178"/>
      <c r="TDR264" s="178"/>
      <c r="TDS264" s="178"/>
      <c r="TDT264" s="178"/>
      <c r="TDU264" s="178"/>
      <c r="TDV264" s="178"/>
      <c r="TDW264" s="178"/>
      <c r="TDX264" s="178"/>
      <c r="TDY264" s="178"/>
      <c r="TDZ264" s="178"/>
      <c r="TEA264" s="178"/>
      <c r="TEB264" s="178"/>
      <c r="TEC264" s="178"/>
      <c r="TED264" s="178"/>
      <c r="TEE264" s="178"/>
      <c r="TEF264" s="178"/>
      <c r="TEG264" s="178"/>
      <c r="TEH264" s="178"/>
      <c r="TEI264" s="178"/>
      <c r="TEJ264" s="178"/>
      <c r="TEK264" s="178"/>
      <c r="TEL264" s="178"/>
      <c r="TEM264" s="178"/>
      <c r="TEN264" s="178"/>
      <c r="TEO264" s="178"/>
      <c r="TEP264" s="178"/>
      <c r="TEQ264" s="178"/>
      <c r="TER264" s="178"/>
      <c r="TES264" s="178"/>
      <c r="TET264" s="178"/>
      <c r="TEU264" s="178"/>
      <c r="TEV264" s="178"/>
      <c r="TEW264" s="178"/>
      <c r="TEX264" s="178"/>
      <c r="TEY264" s="178"/>
      <c r="TEZ264" s="178"/>
      <c r="TFA264" s="178"/>
      <c r="TFB264" s="178"/>
      <c r="TFC264" s="178"/>
      <c r="TFD264" s="178"/>
      <c r="TFE264" s="178"/>
      <c r="TFF264" s="178"/>
      <c r="TFG264" s="178"/>
      <c r="TFH264" s="178"/>
      <c r="TFI264" s="178"/>
      <c r="TFJ264" s="178"/>
      <c r="TFK264" s="178"/>
      <c r="TFL264" s="178"/>
      <c r="TFM264" s="178"/>
      <c r="TFN264" s="178"/>
      <c r="TFO264" s="178"/>
      <c r="TFP264" s="178"/>
      <c r="TFQ264" s="178"/>
      <c r="TFR264" s="178"/>
      <c r="TFS264" s="178"/>
      <c r="TFT264" s="178"/>
      <c r="TFU264" s="178"/>
      <c r="TFV264" s="178"/>
      <c r="TFW264" s="178"/>
      <c r="TFX264" s="178"/>
      <c r="TFY264" s="178"/>
      <c r="TFZ264" s="178"/>
      <c r="TGA264" s="178"/>
      <c r="TGB264" s="178"/>
      <c r="TGC264" s="178"/>
      <c r="TGD264" s="178"/>
      <c r="TGE264" s="178"/>
      <c r="TGF264" s="178"/>
      <c r="TGG264" s="178"/>
      <c r="TGH264" s="178"/>
      <c r="TGI264" s="178"/>
      <c r="TGJ264" s="178"/>
      <c r="TGK264" s="178"/>
      <c r="TGL264" s="178"/>
      <c r="TGM264" s="178"/>
      <c r="TGN264" s="178"/>
      <c r="TGO264" s="178"/>
      <c r="TGP264" s="178"/>
      <c r="TGQ264" s="178"/>
      <c r="TGR264" s="178"/>
      <c r="TGS264" s="178"/>
      <c r="TGT264" s="178"/>
      <c r="TGU264" s="178"/>
      <c r="TGV264" s="178"/>
      <c r="TGW264" s="178"/>
      <c r="TGX264" s="178"/>
      <c r="TGY264" s="178"/>
      <c r="TGZ264" s="178"/>
      <c r="THA264" s="178"/>
      <c r="THB264" s="178"/>
      <c r="THC264" s="178"/>
      <c r="THD264" s="178"/>
      <c r="THE264" s="178"/>
      <c r="THF264" s="178"/>
      <c r="THG264" s="178"/>
      <c r="THH264" s="178"/>
      <c r="THI264" s="178"/>
      <c r="THJ264" s="178"/>
      <c r="THK264" s="178"/>
      <c r="THL264" s="178"/>
      <c r="THM264" s="178"/>
      <c r="THN264" s="178"/>
      <c r="THO264" s="178"/>
      <c r="THP264" s="178"/>
      <c r="THQ264" s="178"/>
      <c r="THR264" s="178"/>
      <c r="THS264" s="178"/>
      <c r="THT264" s="178"/>
      <c r="THU264" s="178"/>
      <c r="THV264" s="178"/>
      <c r="THW264" s="178"/>
      <c r="THX264" s="178"/>
      <c r="THY264" s="178"/>
      <c r="THZ264" s="178"/>
      <c r="TIA264" s="178"/>
      <c r="TIB264" s="178"/>
      <c r="TIC264" s="178"/>
      <c r="TID264" s="178"/>
      <c r="TIE264" s="178"/>
      <c r="TIF264" s="178"/>
      <c r="TIG264" s="178"/>
      <c r="TIH264" s="178"/>
      <c r="TII264" s="178"/>
      <c r="TIJ264" s="178"/>
      <c r="TIK264" s="178"/>
      <c r="TIL264" s="178"/>
      <c r="TIM264" s="178"/>
      <c r="TIN264" s="178"/>
      <c r="TIO264" s="178"/>
      <c r="TIP264" s="178"/>
      <c r="TIQ264" s="178"/>
      <c r="TIR264" s="178"/>
      <c r="TIS264" s="178"/>
      <c r="TIT264" s="178"/>
      <c r="TIU264" s="178"/>
      <c r="TIV264" s="178"/>
      <c r="TIW264" s="178"/>
      <c r="TIX264" s="178"/>
      <c r="TIY264" s="178"/>
      <c r="TIZ264" s="178"/>
      <c r="TJA264" s="178"/>
      <c r="TJB264" s="178"/>
      <c r="TJC264" s="178"/>
      <c r="TJD264" s="178"/>
      <c r="TJE264" s="178"/>
      <c r="TJF264" s="178"/>
      <c r="TJG264" s="178"/>
      <c r="TJH264" s="178"/>
      <c r="TJI264" s="178"/>
      <c r="TJJ264" s="178"/>
      <c r="TJK264" s="178"/>
      <c r="TJL264" s="178"/>
      <c r="TJM264" s="178"/>
      <c r="TJN264" s="178"/>
      <c r="TJO264" s="178"/>
      <c r="TJP264" s="178"/>
      <c r="TJQ264" s="178"/>
      <c r="TJR264" s="178"/>
      <c r="TJS264" s="178"/>
      <c r="TJT264" s="178"/>
      <c r="TJU264" s="178"/>
      <c r="TJV264" s="178"/>
      <c r="TJW264" s="178"/>
      <c r="TJX264" s="178"/>
      <c r="TJY264" s="178"/>
      <c r="TJZ264" s="178"/>
      <c r="TKA264" s="178"/>
      <c r="TKB264" s="178"/>
      <c r="TKC264" s="178"/>
      <c r="TKD264" s="178"/>
      <c r="TKE264" s="178"/>
      <c r="TKF264" s="178"/>
      <c r="TKG264" s="178"/>
      <c r="TKH264" s="178"/>
      <c r="TKI264" s="178"/>
      <c r="TKJ264" s="178"/>
      <c r="TKK264" s="178"/>
      <c r="TKL264" s="178"/>
      <c r="TKM264" s="178"/>
      <c r="TKN264" s="178"/>
      <c r="TKO264" s="178"/>
      <c r="TKP264" s="178"/>
      <c r="TKQ264" s="178"/>
      <c r="TKR264" s="178"/>
      <c r="TKS264" s="178"/>
      <c r="TKT264" s="178"/>
      <c r="TKU264" s="178"/>
      <c r="TKV264" s="178"/>
      <c r="TKW264" s="178"/>
      <c r="TKX264" s="178"/>
      <c r="TKY264" s="178"/>
      <c r="TKZ264" s="178"/>
      <c r="TLA264" s="178"/>
      <c r="TLB264" s="178"/>
      <c r="TLC264" s="178"/>
      <c r="TLD264" s="178"/>
      <c r="TLE264" s="178"/>
      <c r="TLF264" s="178"/>
      <c r="TLG264" s="178"/>
      <c r="TLH264" s="178"/>
      <c r="TLI264" s="178"/>
      <c r="TLJ264" s="178"/>
      <c r="TLK264" s="178"/>
      <c r="TLL264" s="178"/>
      <c r="TLM264" s="178"/>
      <c r="TLN264" s="178"/>
      <c r="TLO264" s="178"/>
      <c r="TLP264" s="178"/>
      <c r="TLQ264" s="178"/>
      <c r="TLR264" s="178"/>
      <c r="TLS264" s="178"/>
      <c r="TLT264" s="178"/>
      <c r="TLU264" s="178"/>
      <c r="TLV264" s="178"/>
      <c r="TLW264" s="178"/>
      <c r="TLX264" s="178"/>
      <c r="TLY264" s="178"/>
      <c r="TLZ264" s="178"/>
      <c r="TMA264" s="178"/>
      <c r="TMB264" s="178"/>
      <c r="TMC264" s="178"/>
      <c r="TMD264" s="178"/>
      <c r="TME264" s="178"/>
      <c r="TMF264" s="178"/>
      <c r="TMG264" s="178"/>
      <c r="TMH264" s="178"/>
      <c r="TMI264" s="178"/>
      <c r="TMJ264" s="178"/>
      <c r="TMK264" s="178"/>
      <c r="TML264" s="178"/>
      <c r="TMM264" s="178"/>
      <c r="TMN264" s="178"/>
      <c r="TMO264" s="178"/>
      <c r="TMP264" s="178"/>
      <c r="TMQ264" s="178"/>
      <c r="TMR264" s="178"/>
      <c r="TMS264" s="178"/>
      <c r="TMT264" s="178"/>
      <c r="TMU264" s="178"/>
      <c r="TMV264" s="178"/>
      <c r="TMW264" s="178"/>
      <c r="TMX264" s="178"/>
      <c r="TMY264" s="178"/>
      <c r="TMZ264" s="178"/>
      <c r="TNA264" s="178"/>
      <c r="TNB264" s="178"/>
      <c r="TNC264" s="178"/>
      <c r="TND264" s="178"/>
      <c r="TNE264" s="178"/>
      <c r="TNF264" s="178"/>
      <c r="TNG264" s="178"/>
      <c r="TNH264" s="178"/>
      <c r="TNI264" s="178"/>
      <c r="TNJ264" s="178"/>
      <c r="TNK264" s="178"/>
      <c r="TNL264" s="178"/>
      <c r="TNM264" s="178"/>
      <c r="TNN264" s="178"/>
      <c r="TNO264" s="178"/>
      <c r="TNP264" s="178"/>
      <c r="TNQ264" s="178"/>
      <c r="TNR264" s="178"/>
      <c r="TNS264" s="178"/>
      <c r="TNT264" s="178"/>
      <c r="TNU264" s="178"/>
      <c r="TNV264" s="178"/>
      <c r="TNW264" s="178"/>
      <c r="TNX264" s="178"/>
      <c r="TNY264" s="178"/>
      <c r="TNZ264" s="178"/>
      <c r="TOA264" s="178"/>
      <c r="TOB264" s="178"/>
      <c r="TOC264" s="178"/>
      <c r="TOD264" s="178"/>
      <c r="TOE264" s="178"/>
      <c r="TOF264" s="178"/>
      <c r="TOG264" s="178"/>
      <c r="TOH264" s="178"/>
      <c r="TOI264" s="178"/>
      <c r="TOJ264" s="178"/>
      <c r="TOK264" s="178"/>
      <c r="TOL264" s="178"/>
      <c r="TOM264" s="178"/>
      <c r="TON264" s="178"/>
      <c r="TOO264" s="178"/>
      <c r="TOP264" s="178"/>
      <c r="TOQ264" s="178"/>
      <c r="TOR264" s="178"/>
      <c r="TOS264" s="178"/>
      <c r="TOT264" s="178"/>
      <c r="TOU264" s="178"/>
      <c r="TOV264" s="178"/>
      <c r="TOW264" s="178"/>
      <c r="TOX264" s="178"/>
      <c r="TOY264" s="178"/>
      <c r="TOZ264" s="178"/>
      <c r="TPA264" s="178"/>
      <c r="TPB264" s="178"/>
      <c r="TPC264" s="178"/>
      <c r="TPD264" s="178"/>
      <c r="TPE264" s="178"/>
      <c r="TPF264" s="178"/>
      <c r="TPG264" s="178"/>
      <c r="TPH264" s="178"/>
      <c r="TPI264" s="178"/>
      <c r="TPJ264" s="178"/>
      <c r="TPK264" s="178"/>
      <c r="TPL264" s="178"/>
      <c r="TPM264" s="178"/>
      <c r="TPN264" s="178"/>
      <c r="TPO264" s="178"/>
      <c r="TPP264" s="178"/>
      <c r="TPQ264" s="178"/>
      <c r="TPR264" s="178"/>
      <c r="TPS264" s="178"/>
      <c r="TPT264" s="178"/>
      <c r="TPU264" s="178"/>
      <c r="TPV264" s="178"/>
      <c r="TPW264" s="178"/>
      <c r="TPX264" s="178"/>
      <c r="TPY264" s="178"/>
      <c r="TPZ264" s="178"/>
      <c r="TQA264" s="178"/>
      <c r="TQB264" s="178"/>
      <c r="TQC264" s="178"/>
      <c r="TQD264" s="178"/>
      <c r="TQE264" s="178"/>
      <c r="TQF264" s="178"/>
      <c r="TQG264" s="178"/>
      <c r="TQH264" s="178"/>
      <c r="TQI264" s="178"/>
      <c r="TQJ264" s="178"/>
      <c r="TQK264" s="178"/>
      <c r="TQL264" s="178"/>
      <c r="TQM264" s="178"/>
      <c r="TQN264" s="178"/>
      <c r="TQO264" s="178"/>
      <c r="TQP264" s="178"/>
      <c r="TQQ264" s="178"/>
      <c r="TQR264" s="178"/>
      <c r="TQS264" s="178"/>
      <c r="TQT264" s="178"/>
      <c r="TQU264" s="178"/>
      <c r="TQV264" s="178"/>
      <c r="TQW264" s="178"/>
      <c r="TQX264" s="178"/>
      <c r="TQY264" s="178"/>
      <c r="TQZ264" s="178"/>
      <c r="TRA264" s="178"/>
      <c r="TRB264" s="178"/>
      <c r="TRC264" s="178"/>
      <c r="TRD264" s="178"/>
      <c r="TRE264" s="178"/>
      <c r="TRF264" s="178"/>
      <c r="TRG264" s="178"/>
      <c r="TRH264" s="178"/>
      <c r="TRI264" s="178"/>
      <c r="TRJ264" s="178"/>
      <c r="TRK264" s="178"/>
      <c r="TRL264" s="178"/>
      <c r="TRM264" s="178"/>
      <c r="TRN264" s="178"/>
      <c r="TRO264" s="178"/>
      <c r="TRP264" s="178"/>
      <c r="TRQ264" s="178"/>
      <c r="TRR264" s="178"/>
      <c r="TRS264" s="178"/>
      <c r="TRT264" s="178"/>
      <c r="TRU264" s="178"/>
      <c r="TRV264" s="178"/>
      <c r="TRW264" s="178"/>
      <c r="TRX264" s="178"/>
      <c r="TRY264" s="178"/>
      <c r="TRZ264" s="178"/>
      <c r="TSA264" s="178"/>
      <c r="TSB264" s="178"/>
      <c r="TSC264" s="178"/>
      <c r="TSD264" s="178"/>
      <c r="TSE264" s="178"/>
      <c r="TSF264" s="178"/>
      <c r="TSG264" s="178"/>
      <c r="TSH264" s="178"/>
      <c r="TSI264" s="178"/>
      <c r="TSJ264" s="178"/>
      <c r="TSK264" s="178"/>
      <c r="TSL264" s="178"/>
      <c r="TSM264" s="178"/>
      <c r="TSN264" s="178"/>
      <c r="TSO264" s="178"/>
      <c r="TSP264" s="178"/>
      <c r="TSQ264" s="178"/>
      <c r="TSR264" s="178"/>
      <c r="TSS264" s="178"/>
      <c r="TST264" s="178"/>
      <c r="TSU264" s="178"/>
      <c r="TSV264" s="178"/>
      <c r="TSW264" s="178"/>
      <c r="TSX264" s="178"/>
      <c r="TSY264" s="178"/>
      <c r="TSZ264" s="178"/>
      <c r="TTA264" s="178"/>
      <c r="TTB264" s="178"/>
      <c r="TTC264" s="178"/>
      <c r="TTD264" s="178"/>
      <c r="TTE264" s="178"/>
      <c r="TTF264" s="178"/>
      <c r="TTG264" s="178"/>
      <c r="TTH264" s="178"/>
      <c r="TTI264" s="178"/>
      <c r="TTJ264" s="178"/>
      <c r="TTK264" s="178"/>
      <c r="TTL264" s="178"/>
      <c r="TTM264" s="178"/>
      <c r="TTN264" s="178"/>
      <c r="TTO264" s="178"/>
      <c r="TTP264" s="178"/>
      <c r="TTQ264" s="178"/>
      <c r="TTR264" s="178"/>
      <c r="TTS264" s="178"/>
      <c r="TTT264" s="178"/>
      <c r="TTU264" s="178"/>
      <c r="TTV264" s="178"/>
      <c r="TTW264" s="178"/>
      <c r="TTX264" s="178"/>
      <c r="TTY264" s="178"/>
      <c r="TTZ264" s="178"/>
      <c r="TUA264" s="178"/>
      <c r="TUB264" s="178"/>
      <c r="TUC264" s="178"/>
      <c r="TUD264" s="178"/>
      <c r="TUE264" s="178"/>
      <c r="TUF264" s="178"/>
      <c r="TUG264" s="178"/>
      <c r="TUH264" s="178"/>
      <c r="TUI264" s="178"/>
      <c r="TUJ264" s="178"/>
      <c r="TUK264" s="178"/>
      <c r="TUL264" s="178"/>
      <c r="TUM264" s="178"/>
      <c r="TUN264" s="178"/>
      <c r="TUO264" s="178"/>
      <c r="TUP264" s="178"/>
      <c r="TUQ264" s="178"/>
      <c r="TUR264" s="178"/>
      <c r="TUS264" s="178"/>
      <c r="TUT264" s="178"/>
      <c r="TUU264" s="178"/>
      <c r="TUV264" s="178"/>
      <c r="TUW264" s="178"/>
      <c r="TUX264" s="178"/>
      <c r="TUY264" s="178"/>
      <c r="TUZ264" s="178"/>
      <c r="TVA264" s="178"/>
      <c r="TVB264" s="178"/>
      <c r="TVC264" s="178"/>
      <c r="TVD264" s="178"/>
      <c r="TVE264" s="178"/>
      <c r="TVF264" s="178"/>
      <c r="TVG264" s="178"/>
      <c r="TVH264" s="178"/>
      <c r="TVI264" s="178"/>
      <c r="TVJ264" s="178"/>
      <c r="TVK264" s="178"/>
      <c r="TVL264" s="178"/>
      <c r="TVM264" s="178"/>
      <c r="TVN264" s="178"/>
      <c r="TVO264" s="178"/>
      <c r="TVP264" s="178"/>
      <c r="TVQ264" s="178"/>
      <c r="TVR264" s="178"/>
      <c r="TVS264" s="178"/>
      <c r="TVT264" s="178"/>
      <c r="TVU264" s="178"/>
      <c r="TVV264" s="178"/>
      <c r="TVW264" s="178"/>
      <c r="TVX264" s="178"/>
      <c r="TVY264" s="178"/>
      <c r="TVZ264" s="178"/>
      <c r="TWA264" s="178"/>
      <c r="TWB264" s="178"/>
      <c r="TWC264" s="178"/>
      <c r="TWD264" s="178"/>
      <c r="TWE264" s="178"/>
      <c r="TWF264" s="178"/>
      <c r="TWG264" s="178"/>
      <c r="TWH264" s="178"/>
      <c r="TWI264" s="178"/>
      <c r="TWJ264" s="178"/>
      <c r="TWK264" s="178"/>
      <c r="TWL264" s="178"/>
      <c r="TWM264" s="178"/>
      <c r="TWN264" s="178"/>
      <c r="TWO264" s="178"/>
      <c r="TWP264" s="178"/>
      <c r="TWQ264" s="178"/>
      <c r="TWR264" s="178"/>
      <c r="TWS264" s="178"/>
      <c r="TWT264" s="178"/>
      <c r="TWU264" s="178"/>
      <c r="TWV264" s="178"/>
      <c r="TWW264" s="178"/>
      <c r="TWX264" s="178"/>
      <c r="TWY264" s="178"/>
      <c r="TWZ264" s="178"/>
      <c r="TXA264" s="178"/>
      <c r="TXB264" s="178"/>
      <c r="TXC264" s="178"/>
      <c r="TXD264" s="178"/>
      <c r="TXE264" s="178"/>
      <c r="TXF264" s="178"/>
      <c r="TXG264" s="178"/>
      <c r="TXH264" s="178"/>
      <c r="TXI264" s="178"/>
      <c r="TXJ264" s="178"/>
      <c r="TXK264" s="178"/>
      <c r="TXL264" s="178"/>
      <c r="TXM264" s="178"/>
      <c r="TXN264" s="178"/>
      <c r="TXO264" s="178"/>
      <c r="TXP264" s="178"/>
      <c r="TXQ264" s="178"/>
      <c r="TXR264" s="178"/>
      <c r="TXS264" s="178"/>
      <c r="TXT264" s="178"/>
      <c r="TXU264" s="178"/>
      <c r="TXV264" s="178"/>
      <c r="TXW264" s="178"/>
      <c r="TXX264" s="178"/>
      <c r="TXY264" s="178"/>
      <c r="TXZ264" s="178"/>
      <c r="TYA264" s="178"/>
      <c r="TYB264" s="178"/>
      <c r="TYC264" s="178"/>
      <c r="TYD264" s="178"/>
      <c r="TYE264" s="178"/>
      <c r="TYF264" s="178"/>
      <c r="TYG264" s="178"/>
      <c r="TYH264" s="178"/>
      <c r="TYI264" s="178"/>
      <c r="TYJ264" s="178"/>
      <c r="TYK264" s="178"/>
      <c r="TYL264" s="178"/>
      <c r="TYM264" s="178"/>
      <c r="TYN264" s="178"/>
      <c r="TYO264" s="178"/>
      <c r="TYP264" s="178"/>
      <c r="TYQ264" s="178"/>
      <c r="TYR264" s="178"/>
      <c r="TYS264" s="178"/>
      <c r="TYT264" s="178"/>
      <c r="TYU264" s="178"/>
      <c r="TYV264" s="178"/>
      <c r="TYW264" s="178"/>
      <c r="TYX264" s="178"/>
      <c r="TYY264" s="178"/>
      <c r="TYZ264" s="178"/>
      <c r="TZA264" s="178"/>
      <c r="TZB264" s="178"/>
      <c r="TZC264" s="178"/>
      <c r="TZD264" s="178"/>
      <c r="TZE264" s="178"/>
      <c r="TZF264" s="178"/>
      <c r="TZG264" s="178"/>
      <c r="TZH264" s="178"/>
      <c r="TZI264" s="178"/>
      <c r="TZJ264" s="178"/>
      <c r="TZK264" s="178"/>
      <c r="TZL264" s="178"/>
      <c r="TZM264" s="178"/>
      <c r="TZN264" s="178"/>
      <c r="TZO264" s="178"/>
      <c r="TZP264" s="178"/>
      <c r="TZQ264" s="178"/>
      <c r="TZR264" s="178"/>
      <c r="TZS264" s="178"/>
      <c r="TZT264" s="178"/>
      <c r="TZU264" s="178"/>
      <c r="TZV264" s="178"/>
      <c r="TZW264" s="178"/>
      <c r="TZX264" s="178"/>
      <c r="TZY264" s="178"/>
      <c r="TZZ264" s="178"/>
      <c r="UAA264" s="178"/>
      <c r="UAB264" s="178"/>
      <c r="UAC264" s="178"/>
      <c r="UAD264" s="178"/>
      <c r="UAE264" s="178"/>
      <c r="UAF264" s="178"/>
      <c r="UAG264" s="178"/>
      <c r="UAH264" s="178"/>
      <c r="UAI264" s="178"/>
      <c r="UAJ264" s="178"/>
      <c r="UAK264" s="178"/>
      <c r="UAL264" s="178"/>
      <c r="UAM264" s="178"/>
      <c r="UAN264" s="178"/>
      <c r="UAO264" s="178"/>
      <c r="UAP264" s="178"/>
      <c r="UAQ264" s="178"/>
      <c r="UAR264" s="178"/>
      <c r="UAS264" s="178"/>
      <c r="UAT264" s="178"/>
      <c r="UAU264" s="178"/>
      <c r="UAV264" s="178"/>
      <c r="UAW264" s="178"/>
      <c r="UAX264" s="178"/>
      <c r="UAY264" s="178"/>
      <c r="UAZ264" s="178"/>
      <c r="UBA264" s="178"/>
      <c r="UBB264" s="178"/>
      <c r="UBC264" s="178"/>
      <c r="UBD264" s="178"/>
      <c r="UBE264" s="178"/>
      <c r="UBF264" s="178"/>
      <c r="UBG264" s="178"/>
      <c r="UBH264" s="178"/>
      <c r="UBI264" s="178"/>
      <c r="UBJ264" s="178"/>
      <c r="UBK264" s="178"/>
      <c r="UBL264" s="178"/>
      <c r="UBM264" s="178"/>
      <c r="UBN264" s="178"/>
      <c r="UBO264" s="178"/>
      <c r="UBP264" s="178"/>
      <c r="UBQ264" s="178"/>
      <c r="UBR264" s="178"/>
      <c r="UBS264" s="178"/>
      <c r="UBT264" s="178"/>
      <c r="UBU264" s="178"/>
      <c r="UBV264" s="178"/>
      <c r="UBW264" s="178"/>
      <c r="UBX264" s="178"/>
      <c r="UBY264" s="178"/>
      <c r="UBZ264" s="178"/>
      <c r="UCA264" s="178"/>
      <c r="UCB264" s="178"/>
      <c r="UCC264" s="178"/>
      <c r="UCD264" s="178"/>
      <c r="UCE264" s="178"/>
      <c r="UCF264" s="178"/>
      <c r="UCG264" s="178"/>
      <c r="UCH264" s="178"/>
      <c r="UCI264" s="178"/>
      <c r="UCJ264" s="178"/>
      <c r="UCK264" s="178"/>
      <c r="UCL264" s="178"/>
      <c r="UCM264" s="178"/>
      <c r="UCN264" s="178"/>
      <c r="UCO264" s="178"/>
      <c r="UCP264" s="178"/>
      <c r="UCQ264" s="178"/>
      <c r="UCR264" s="178"/>
      <c r="UCS264" s="178"/>
      <c r="UCT264" s="178"/>
      <c r="UCU264" s="178"/>
      <c r="UCV264" s="178"/>
      <c r="UCW264" s="178"/>
      <c r="UCX264" s="178"/>
      <c r="UCY264" s="178"/>
      <c r="UCZ264" s="178"/>
      <c r="UDA264" s="178"/>
      <c r="UDB264" s="178"/>
      <c r="UDC264" s="178"/>
      <c r="UDD264" s="178"/>
      <c r="UDE264" s="178"/>
      <c r="UDF264" s="178"/>
      <c r="UDG264" s="178"/>
      <c r="UDH264" s="178"/>
      <c r="UDI264" s="178"/>
      <c r="UDJ264" s="178"/>
      <c r="UDK264" s="178"/>
      <c r="UDL264" s="178"/>
      <c r="UDM264" s="178"/>
      <c r="UDN264" s="178"/>
      <c r="UDO264" s="178"/>
      <c r="UDP264" s="178"/>
      <c r="UDQ264" s="178"/>
      <c r="UDR264" s="178"/>
      <c r="UDS264" s="178"/>
      <c r="UDT264" s="178"/>
      <c r="UDU264" s="178"/>
      <c r="UDV264" s="178"/>
      <c r="UDW264" s="178"/>
      <c r="UDX264" s="178"/>
      <c r="UDY264" s="178"/>
      <c r="UDZ264" s="178"/>
      <c r="UEA264" s="178"/>
      <c r="UEB264" s="178"/>
      <c r="UEC264" s="178"/>
      <c r="UED264" s="178"/>
      <c r="UEE264" s="178"/>
      <c r="UEF264" s="178"/>
      <c r="UEG264" s="178"/>
      <c r="UEH264" s="178"/>
      <c r="UEI264" s="178"/>
      <c r="UEJ264" s="178"/>
      <c r="UEK264" s="178"/>
      <c r="UEL264" s="178"/>
      <c r="UEM264" s="178"/>
      <c r="UEN264" s="178"/>
      <c r="UEO264" s="178"/>
      <c r="UEP264" s="178"/>
      <c r="UEQ264" s="178"/>
      <c r="UER264" s="178"/>
      <c r="UES264" s="178"/>
      <c r="UET264" s="178"/>
      <c r="UEU264" s="178"/>
      <c r="UEV264" s="178"/>
      <c r="UEW264" s="178"/>
      <c r="UEX264" s="178"/>
      <c r="UEY264" s="178"/>
      <c r="UEZ264" s="178"/>
      <c r="UFA264" s="178"/>
      <c r="UFB264" s="178"/>
      <c r="UFC264" s="178"/>
      <c r="UFD264" s="178"/>
      <c r="UFE264" s="178"/>
      <c r="UFF264" s="178"/>
      <c r="UFG264" s="178"/>
      <c r="UFH264" s="178"/>
      <c r="UFI264" s="178"/>
      <c r="UFJ264" s="178"/>
      <c r="UFK264" s="178"/>
      <c r="UFL264" s="178"/>
      <c r="UFM264" s="178"/>
      <c r="UFN264" s="178"/>
      <c r="UFO264" s="178"/>
      <c r="UFP264" s="178"/>
      <c r="UFQ264" s="178"/>
      <c r="UFR264" s="178"/>
      <c r="UFS264" s="178"/>
      <c r="UFT264" s="178"/>
      <c r="UFU264" s="178"/>
      <c r="UFV264" s="178"/>
      <c r="UFW264" s="178"/>
      <c r="UFX264" s="178"/>
      <c r="UFY264" s="178"/>
      <c r="UFZ264" s="178"/>
      <c r="UGA264" s="178"/>
      <c r="UGB264" s="178"/>
      <c r="UGC264" s="178"/>
      <c r="UGD264" s="178"/>
      <c r="UGE264" s="178"/>
      <c r="UGF264" s="178"/>
      <c r="UGG264" s="178"/>
      <c r="UGH264" s="178"/>
      <c r="UGI264" s="178"/>
      <c r="UGJ264" s="178"/>
      <c r="UGK264" s="178"/>
      <c r="UGL264" s="178"/>
      <c r="UGM264" s="178"/>
      <c r="UGN264" s="178"/>
      <c r="UGO264" s="178"/>
      <c r="UGP264" s="178"/>
      <c r="UGQ264" s="178"/>
      <c r="UGR264" s="178"/>
      <c r="UGS264" s="178"/>
      <c r="UGT264" s="178"/>
      <c r="UGU264" s="178"/>
      <c r="UGV264" s="178"/>
      <c r="UGW264" s="178"/>
      <c r="UGX264" s="178"/>
      <c r="UGY264" s="178"/>
      <c r="UGZ264" s="178"/>
      <c r="UHA264" s="178"/>
      <c r="UHB264" s="178"/>
      <c r="UHC264" s="178"/>
      <c r="UHD264" s="178"/>
      <c r="UHE264" s="178"/>
      <c r="UHF264" s="178"/>
      <c r="UHG264" s="178"/>
      <c r="UHH264" s="178"/>
      <c r="UHI264" s="178"/>
      <c r="UHJ264" s="178"/>
      <c r="UHK264" s="178"/>
      <c r="UHL264" s="178"/>
      <c r="UHM264" s="178"/>
      <c r="UHN264" s="178"/>
      <c r="UHO264" s="178"/>
      <c r="UHP264" s="178"/>
      <c r="UHQ264" s="178"/>
      <c r="UHR264" s="178"/>
      <c r="UHS264" s="178"/>
      <c r="UHT264" s="178"/>
      <c r="UHU264" s="178"/>
      <c r="UHV264" s="178"/>
      <c r="UHW264" s="178"/>
      <c r="UHX264" s="178"/>
      <c r="UHY264" s="178"/>
      <c r="UHZ264" s="178"/>
      <c r="UIA264" s="178"/>
      <c r="UIB264" s="178"/>
      <c r="UIC264" s="178"/>
      <c r="UID264" s="178"/>
      <c r="UIE264" s="178"/>
      <c r="UIF264" s="178"/>
      <c r="UIG264" s="178"/>
      <c r="UIH264" s="178"/>
      <c r="UII264" s="178"/>
      <c r="UIJ264" s="178"/>
      <c r="UIK264" s="178"/>
      <c r="UIL264" s="178"/>
      <c r="UIM264" s="178"/>
      <c r="UIN264" s="178"/>
      <c r="UIO264" s="178"/>
      <c r="UIP264" s="178"/>
      <c r="UIQ264" s="178"/>
      <c r="UIR264" s="178"/>
      <c r="UIS264" s="178"/>
      <c r="UIT264" s="178"/>
      <c r="UIU264" s="178"/>
      <c r="UIV264" s="178"/>
      <c r="UIW264" s="178"/>
      <c r="UIX264" s="178"/>
      <c r="UIY264" s="178"/>
      <c r="UIZ264" s="178"/>
      <c r="UJA264" s="178"/>
      <c r="UJB264" s="178"/>
      <c r="UJC264" s="178"/>
      <c r="UJD264" s="178"/>
      <c r="UJE264" s="178"/>
      <c r="UJF264" s="178"/>
      <c r="UJG264" s="178"/>
      <c r="UJH264" s="178"/>
      <c r="UJI264" s="178"/>
      <c r="UJJ264" s="178"/>
      <c r="UJK264" s="178"/>
      <c r="UJL264" s="178"/>
      <c r="UJM264" s="178"/>
      <c r="UJN264" s="178"/>
      <c r="UJO264" s="178"/>
      <c r="UJP264" s="178"/>
      <c r="UJQ264" s="178"/>
      <c r="UJR264" s="178"/>
      <c r="UJS264" s="178"/>
      <c r="UJT264" s="178"/>
      <c r="UJU264" s="178"/>
      <c r="UJV264" s="178"/>
      <c r="UJW264" s="178"/>
      <c r="UJX264" s="178"/>
      <c r="UJY264" s="178"/>
      <c r="UJZ264" s="178"/>
      <c r="UKA264" s="178"/>
      <c r="UKB264" s="178"/>
      <c r="UKC264" s="178"/>
      <c r="UKD264" s="178"/>
      <c r="UKE264" s="178"/>
      <c r="UKF264" s="178"/>
      <c r="UKG264" s="178"/>
      <c r="UKH264" s="178"/>
      <c r="UKI264" s="178"/>
      <c r="UKJ264" s="178"/>
      <c r="UKK264" s="178"/>
      <c r="UKL264" s="178"/>
      <c r="UKM264" s="178"/>
      <c r="UKN264" s="178"/>
      <c r="UKO264" s="178"/>
      <c r="UKP264" s="178"/>
      <c r="UKQ264" s="178"/>
      <c r="UKR264" s="178"/>
      <c r="UKS264" s="178"/>
      <c r="UKT264" s="178"/>
      <c r="UKU264" s="178"/>
      <c r="UKV264" s="178"/>
      <c r="UKW264" s="178"/>
      <c r="UKX264" s="178"/>
      <c r="UKY264" s="178"/>
      <c r="UKZ264" s="178"/>
      <c r="ULA264" s="178"/>
      <c r="ULB264" s="178"/>
      <c r="ULC264" s="178"/>
      <c r="ULD264" s="178"/>
      <c r="ULE264" s="178"/>
      <c r="ULF264" s="178"/>
      <c r="ULG264" s="178"/>
      <c r="ULH264" s="178"/>
      <c r="ULI264" s="178"/>
      <c r="ULJ264" s="178"/>
      <c r="ULK264" s="178"/>
      <c r="ULL264" s="178"/>
      <c r="ULM264" s="178"/>
      <c r="ULN264" s="178"/>
      <c r="ULO264" s="178"/>
      <c r="ULP264" s="178"/>
      <c r="ULQ264" s="178"/>
      <c r="ULR264" s="178"/>
      <c r="ULS264" s="178"/>
      <c r="ULT264" s="178"/>
      <c r="ULU264" s="178"/>
      <c r="ULV264" s="178"/>
      <c r="ULW264" s="178"/>
      <c r="ULX264" s="178"/>
      <c r="ULY264" s="178"/>
      <c r="ULZ264" s="178"/>
      <c r="UMA264" s="178"/>
      <c r="UMB264" s="178"/>
      <c r="UMC264" s="178"/>
      <c r="UMD264" s="178"/>
      <c r="UME264" s="178"/>
      <c r="UMF264" s="178"/>
      <c r="UMG264" s="178"/>
      <c r="UMH264" s="178"/>
      <c r="UMI264" s="178"/>
      <c r="UMJ264" s="178"/>
      <c r="UMK264" s="178"/>
      <c r="UML264" s="178"/>
      <c r="UMM264" s="178"/>
      <c r="UMN264" s="178"/>
      <c r="UMO264" s="178"/>
      <c r="UMP264" s="178"/>
      <c r="UMQ264" s="178"/>
      <c r="UMR264" s="178"/>
      <c r="UMS264" s="178"/>
      <c r="UMT264" s="178"/>
      <c r="UMU264" s="178"/>
      <c r="UMV264" s="178"/>
      <c r="UMW264" s="178"/>
      <c r="UMX264" s="178"/>
      <c r="UMY264" s="178"/>
      <c r="UMZ264" s="178"/>
      <c r="UNA264" s="178"/>
      <c r="UNB264" s="178"/>
      <c r="UNC264" s="178"/>
      <c r="UND264" s="178"/>
      <c r="UNE264" s="178"/>
      <c r="UNF264" s="178"/>
      <c r="UNG264" s="178"/>
      <c r="UNH264" s="178"/>
      <c r="UNI264" s="178"/>
      <c r="UNJ264" s="178"/>
      <c r="UNK264" s="178"/>
      <c r="UNL264" s="178"/>
      <c r="UNM264" s="178"/>
      <c r="UNN264" s="178"/>
      <c r="UNO264" s="178"/>
      <c r="UNP264" s="178"/>
      <c r="UNQ264" s="178"/>
      <c r="UNR264" s="178"/>
      <c r="UNS264" s="178"/>
      <c r="UNT264" s="178"/>
      <c r="UNU264" s="178"/>
      <c r="UNV264" s="178"/>
      <c r="UNW264" s="178"/>
      <c r="UNX264" s="178"/>
      <c r="UNY264" s="178"/>
      <c r="UNZ264" s="178"/>
      <c r="UOA264" s="178"/>
      <c r="UOB264" s="178"/>
      <c r="UOC264" s="178"/>
      <c r="UOD264" s="178"/>
      <c r="UOE264" s="178"/>
      <c r="UOF264" s="178"/>
      <c r="UOG264" s="178"/>
      <c r="UOH264" s="178"/>
      <c r="UOI264" s="178"/>
      <c r="UOJ264" s="178"/>
      <c r="UOK264" s="178"/>
      <c r="UOL264" s="178"/>
      <c r="UOM264" s="178"/>
      <c r="UON264" s="178"/>
      <c r="UOO264" s="178"/>
      <c r="UOP264" s="178"/>
      <c r="UOQ264" s="178"/>
      <c r="UOR264" s="178"/>
      <c r="UOS264" s="178"/>
      <c r="UOT264" s="178"/>
      <c r="UOU264" s="178"/>
      <c r="UOV264" s="178"/>
      <c r="UOW264" s="178"/>
      <c r="UOX264" s="178"/>
      <c r="UOY264" s="178"/>
      <c r="UOZ264" s="178"/>
      <c r="UPA264" s="178"/>
      <c r="UPB264" s="178"/>
      <c r="UPC264" s="178"/>
      <c r="UPD264" s="178"/>
      <c r="UPE264" s="178"/>
      <c r="UPF264" s="178"/>
      <c r="UPG264" s="178"/>
      <c r="UPH264" s="178"/>
      <c r="UPI264" s="178"/>
      <c r="UPJ264" s="178"/>
      <c r="UPK264" s="178"/>
      <c r="UPL264" s="178"/>
      <c r="UPM264" s="178"/>
      <c r="UPN264" s="178"/>
      <c r="UPO264" s="178"/>
      <c r="UPP264" s="178"/>
      <c r="UPQ264" s="178"/>
      <c r="UPR264" s="178"/>
      <c r="UPS264" s="178"/>
      <c r="UPT264" s="178"/>
      <c r="UPU264" s="178"/>
      <c r="UPV264" s="178"/>
      <c r="UPW264" s="178"/>
      <c r="UPX264" s="178"/>
      <c r="UPY264" s="178"/>
      <c r="UPZ264" s="178"/>
      <c r="UQA264" s="178"/>
      <c r="UQB264" s="178"/>
      <c r="UQC264" s="178"/>
      <c r="UQD264" s="178"/>
      <c r="UQE264" s="178"/>
      <c r="UQF264" s="178"/>
      <c r="UQG264" s="178"/>
      <c r="UQH264" s="178"/>
      <c r="UQI264" s="178"/>
      <c r="UQJ264" s="178"/>
      <c r="UQK264" s="178"/>
      <c r="UQL264" s="178"/>
      <c r="UQM264" s="178"/>
      <c r="UQN264" s="178"/>
      <c r="UQO264" s="178"/>
      <c r="UQP264" s="178"/>
      <c r="UQQ264" s="178"/>
      <c r="UQR264" s="178"/>
      <c r="UQS264" s="178"/>
      <c r="UQT264" s="178"/>
      <c r="UQU264" s="178"/>
      <c r="UQV264" s="178"/>
      <c r="UQW264" s="178"/>
      <c r="UQX264" s="178"/>
      <c r="UQY264" s="178"/>
      <c r="UQZ264" s="178"/>
      <c r="URA264" s="178"/>
      <c r="URB264" s="178"/>
      <c r="URC264" s="178"/>
      <c r="URD264" s="178"/>
      <c r="URE264" s="178"/>
      <c r="URF264" s="178"/>
      <c r="URG264" s="178"/>
      <c r="URH264" s="178"/>
      <c r="URI264" s="178"/>
      <c r="URJ264" s="178"/>
      <c r="URK264" s="178"/>
      <c r="URL264" s="178"/>
      <c r="URM264" s="178"/>
      <c r="URN264" s="178"/>
      <c r="URO264" s="178"/>
      <c r="URP264" s="178"/>
      <c r="URQ264" s="178"/>
      <c r="URR264" s="178"/>
      <c r="URS264" s="178"/>
      <c r="URT264" s="178"/>
      <c r="URU264" s="178"/>
      <c r="URV264" s="178"/>
      <c r="URW264" s="178"/>
      <c r="URX264" s="178"/>
      <c r="URY264" s="178"/>
      <c r="URZ264" s="178"/>
      <c r="USA264" s="178"/>
      <c r="USB264" s="178"/>
      <c r="USC264" s="178"/>
      <c r="USD264" s="178"/>
      <c r="USE264" s="178"/>
      <c r="USF264" s="178"/>
      <c r="USG264" s="178"/>
      <c r="USH264" s="178"/>
      <c r="USI264" s="178"/>
      <c r="USJ264" s="178"/>
      <c r="USK264" s="178"/>
      <c r="USL264" s="178"/>
      <c r="USM264" s="178"/>
      <c r="USN264" s="178"/>
      <c r="USO264" s="178"/>
      <c r="USP264" s="178"/>
      <c r="USQ264" s="178"/>
      <c r="USR264" s="178"/>
      <c r="USS264" s="178"/>
      <c r="UST264" s="178"/>
      <c r="USU264" s="178"/>
      <c r="USV264" s="178"/>
      <c r="USW264" s="178"/>
      <c r="USX264" s="178"/>
      <c r="USY264" s="178"/>
      <c r="USZ264" s="178"/>
      <c r="UTA264" s="178"/>
      <c r="UTB264" s="178"/>
      <c r="UTC264" s="178"/>
      <c r="UTD264" s="178"/>
      <c r="UTE264" s="178"/>
      <c r="UTF264" s="178"/>
      <c r="UTG264" s="178"/>
      <c r="UTH264" s="178"/>
      <c r="UTI264" s="178"/>
      <c r="UTJ264" s="178"/>
      <c r="UTK264" s="178"/>
      <c r="UTL264" s="178"/>
      <c r="UTM264" s="178"/>
      <c r="UTN264" s="178"/>
      <c r="UTO264" s="178"/>
      <c r="UTP264" s="178"/>
      <c r="UTQ264" s="178"/>
      <c r="UTR264" s="178"/>
      <c r="UTS264" s="178"/>
      <c r="UTT264" s="178"/>
      <c r="UTU264" s="178"/>
      <c r="UTV264" s="178"/>
      <c r="UTW264" s="178"/>
      <c r="UTX264" s="178"/>
      <c r="UTY264" s="178"/>
      <c r="UTZ264" s="178"/>
      <c r="UUA264" s="178"/>
      <c r="UUB264" s="178"/>
      <c r="UUC264" s="178"/>
      <c r="UUD264" s="178"/>
      <c r="UUE264" s="178"/>
      <c r="UUF264" s="178"/>
      <c r="UUG264" s="178"/>
      <c r="UUH264" s="178"/>
      <c r="UUI264" s="178"/>
      <c r="UUJ264" s="178"/>
      <c r="UUK264" s="178"/>
      <c r="UUL264" s="178"/>
      <c r="UUM264" s="178"/>
      <c r="UUN264" s="178"/>
      <c r="UUO264" s="178"/>
      <c r="UUP264" s="178"/>
      <c r="UUQ264" s="178"/>
      <c r="UUR264" s="178"/>
      <c r="UUS264" s="178"/>
      <c r="UUT264" s="178"/>
      <c r="UUU264" s="178"/>
      <c r="UUV264" s="178"/>
      <c r="UUW264" s="178"/>
      <c r="UUX264" s="178"/>
      <c r="UUY264" s="178"/>
      <c r="UUZ264" s="178"/>
      <c r="UVA264" s="178"/>
      <c r="UVB264" s="178"/>
      <c r="UVC264" s="178"/>
      <c r="UVD264" s="178"/>
      <c r="UVE264" s="178"/>
      <c r="UVF264" s="178"/>
      <c r="UVG264" s="178"/>
      <c r="UVH264" s="178"/>
      <c r="UVI264" s="178"/>
      <c r="UVJ264" s="178"/>
      <c r="UVK264" s="178"/>
      <c r="UVL264" s="178"/>
      <c r="UVM264" s="178"/>
      <c r="UVN264" s="178"/>
      <c r="UVO264" s="178"/>
      <c r="UVP264" s="178"/>
      <c r="UVQ264" s="178"/>
      <c r="UVR264" s="178"/>
      <c r="UVS264" s="178"/>
      <c r="UVT264" s="178"/>
      <c r="UVU264" s="178"/>
      <c r="UVV264" s="178"/>
      <c r="UVW264" s="178"/>
      <c r="UVX264" s="178"/>
      <c r="UVY264" s="178"/>
      <c r="UVZ264" s="178"/>
      <c r="UWA264" s="178"/>
      <c r="UWB264" s="178"/>
      <c r="UWC264" s="178"/>
      <c r="UWD264" s="178"/>
      <c r="UWE264" s="178"/>
      <c r="UWF264" s="178"/>
      <c r="UWG264" s="178"/>
      <c r="UWH264" s="178"/>
      <c r="UWI264" s="178"/>
      <c r="UWJ264" s="178"/>
      <c r="UWK264" s="178"/>
      <c r="UWL264" s="178"/>
      <c r="UWM264" s="178"/>
      <c r="UWN264" s="178"/>
      <c r="UWO264" s="178"/>
      <c r="UWP264" s="178"/>
      <c r="UWQ264" s="178"/>
      <c r="UWR264" s="178"/>
      <c r="UWS264" s="178"/>
      <c r="UWT264" s="178"/>
      <c r="UWU264" s="178"/>
      <c r="UWV264" s="178"/>
      <c r="UWW264" s="178"/>
      <c r="UWX264" s="178"/>
      <c r="UWY264" s="178"/>
      <c r="UWZ264" s="178"/>
      <c r="UXA264" s="178"/>
      <c r="UXB264" s="178"/>
      <c r="UXC264" s="178"/>
      <c r="UXD264" s="178"/>
      <c r="UXE264" s="178"/>
      <c r="UXF264" s="178"/>
      <c r="UXG264" s="178"/>
      <c r="UXH264" s="178"/>
      <c r="UXI264" s="178"/>
      <c r="UXJ264" s="178"/>
      <c r="UXK264" s="178"/>
      <c r="UXL264" s="178"/>
      <c r="UXM264" s="178"/>
      <c r="UXN264" s="178"/>
      <c r="UXO264" s="178"/>
      <c r="UXP264" s="178"/>
      <c r="UXQ264" s="178"/>
      <c r="UXR264" s="178"/>
      <c r="UXS264" s="178"/>
      <c r="UXT264" s="178"/>
      <c r="UXU264" s="178"/>
      <c r="UXV264" s="178"/>
      <c r="UXW264" s="178"/>
      <c r="UXX264" s="178"/>
      <c r="UXY264" s="178"/>
      <c r="UXZ264" s="178"/>
      <c r="UYA264" s="178"/>
      <c r="UYB264" s="178"/>
      <c r="UYC264" s="178"/>
      <c r="UYD264" s="178"/>
      <c r="UYE264" s="178"/>
      <c r="UYF264" s="178"/>
      <c r="UYG264" s="178"/>
      <c r="UYH264" s="178"/>
      <c r="UYI264" s="178"/>
      <c r="UYJ264" s="178"/>
      <c r="UYK264" s="178"/>
      <c r="UYL264" s="178"/>
      <c r="UYM264" s="178"/>
      <c r="UYN264" s="178"/>
      <c r="UYO264" s="178"/>
      <c r="UYP264" s="178"/>
      <c r="UYQ264" s="178"/>
      <c r="UYR264" s="178"/>
      <c r="UYS264" s="178"/>
      <c r="UYT264" s="178"/>
      <c r="UYU264" s="178"/>
      <c r="UYV264" s="178"/>
      <c r="UYW264" s="178"/>
      <c r="UYX264" s="178"/>
      <c r="UYY264" s="178"/>
      <c r="UYZ264" s="178"/>
      <c r="UZA264" s="178"/>
      <c r="UZB264" s="178"/>
      <c r="UZC264" s="178"/>
      <c r="UZD264" s="178"/>
      <c r="UZE264" s="178"/>
      <c r="UZF264" s="178"/>
      <c r="UZG264" s="178"/>
      <c r="UZH264" s="178"/>
      <c r="UZI264" s="178"/>
      <c r="UZJ264" s="178"/>
      <c r="UZK264" s="178"/>
      <c r="UZL264" s="178"/>
      <c r="UZM264" s="178"/>
      <c r="UZN264" s="178"/>
      <c r="UZO264" s="178"/>
      <c r="UZP264" s="178"/>
      <c r="UZQ264" s="178"/>
      <c r="UZR264" s="178"/>
      <c r="UZS264" s="178"/>
      <c r="UZT264" s="178"/>
      <c r="UZU264" s="178"/>
      <c r="UZV264" s="178"/>
      <c r="UZW264" s="178"/>
      <c r="UZX264" s="178"/>
      <c r="UZY264" s="178"/>
      <c r="UZZ264" s="178"/>
      <c r="VAA264" s="178"/>
      <c r="VAB264" s="178"/>
      <c r="VAC264" s="178"/>
      <c r="VAD264" s="178"/>
      <c r="VAE264" s="178"/>
      <c r="VAF264" s="178"/>
      <c r="VAG264" s="178"/>
      <c r="VAH264" s="178"/>
      <c r="VAI264" s="178"/>
      <c r="VAJ264" s="178"/>
      <c r="VAK264" s="178"/>
      <c r="VAL264" s="178"/>
      <c r="VAM264" s="178"/>
      <c r="VAN264" s="178"/>
      <c r="VAO264" s="178"/>
      <c r="VAP264" s="178"/>
      <c r="VAQ264" s="178"/>
      <c r="VAR264" s="178"/>
      <c r="VAS264" s="178"/>
      <c r="VAT264" s="178"/>
      <c r="VAU264" s="178"/>
      <c r="VAV264" s="178"/>
      <c r="VAW264" s="178"/>
      <c r="VAX264" s="178"/>
      <c r="VAY264" s="178"/>
      <c r="VAZ264" s="178"/>
      <c r="VBA264" s="178"/>
      <c r="VBB264" s="178"/>
      <c r="VBC264" s="178"/>
      <c r="VBD264" s="178"/>
      <c r="VBE264" s="178"/>
      <c r="VBF264" s="178"/>
      <c r="VBG264" s="178"/>
      <c r="VBH264" s="178"/>
      <c r="VBI264" s="178"/>
      <c r="VBJ264" s="178"/>
      <c r="VBK264" s="178"/>
      <c r="VBL264" s="178"/>
      <c r="VBM264" s="178"/>
      <c r="VBN264" s="178"/>
      <c r="VBO264" s="178"/>
      <c r="VBP264" s="178"/>
      <c r="VBQ264" s="178"/>
      <c r="VBR264" s="178"/>
      <c r="VBS264" s="178"/>
      <c r="VBT264" s="178"/>
      <c r="VBU264" s="178"/>
      <c r="VBV264" s="178"/>
      <c r="VBW264" s="178"/>
      <c r="VBX264" s="178"/>
      <c r="VBY264" s="178"/>
      <c r="VBZ264" s="178"/>
      <c r="VCA264" s="178"/>
      <c r="VCB264" s="178"/>
      <c r="VCC264" s="178"/>
      <c r="VCD264" s="178"/>
      <c r="VCE264" s="178"/>
      <c r="VCF264" s="178"/>
      <c r="VCG264" s="178"/>
      <c r="VCH264" s="178"/>
      <c r="VCI264" s="178"/>
      <c r="VCJ264" s="178"/>
      <c r="VCK264" s="178"/>
      <c r="VCL264" s="178"/>
      <c r="VCM264" s="178"/>
      <c r="VCN264" s="178"/>
      <c r="VCO264" s="178"/>
      <c r="VCP264" s="178"/>
      <c r="VCQ264" s="178"/>
      <c r="VCR264" s="178"/>
      <c r="VCS264" s="178"/>
      <c r="VCT264" s="178"/>
      <c r="VCU264" s="178"/>
      <c r="VCV264" s="178"/>
      <c r="VCW264" s="178"/>
      <c r="VCX264" s="178"/>
      <c r="VCY264" s="178"/>
      <c r="VCZ264" s="178"/>
      <c r="VDA264" s="178"/>
      <c r="VDB264" s="178"/>
      <c r="VDC264" s="178"/>
      <c r="VDD264" s="178"/>
      <c r="VDE264" s="178"/>
      <c r="VDF264" s="178"/>
      <c r="VDG264" s="178"/>
      <c r="VDH264" s="178"/>
      <c r="VDI264" s="178"/>
      <c r="VDJ264" s="178"/>
      <c r="VDK264" s="178"/>
      <c r="VDL264" s="178"/>
      <c r="VDM264" s="178"/>
      <c r="VDN264" s="178"/>
      <c r="VDO264" s="178"/>
      <c r="VDP264" s="178"/>
      <c r="VDQ264" s="178"/>
      <c r="VDR264" s="178"/>
      <c r="VDS264" s="178"/>
      <c r="VDT264" s="178"/>
      <c r="VDU264" s="178"/>
      <c r="VDV264" s="178"/>
      <c r="VDW264" s="178"/>
      <c r="VDX264" s="178"/>
      <c r="VDY264" s="178"/>
      <c r="VDZ264" s="178"/>
      <c r="VEA264" s="178"/>
      <c r="VEB264" s="178"/>
      <c r="VEC264" s="178"/>
      <c r="VED264" s="178"/>
      <c r="VEE264" s="178"/>
      <c r="VEF264" s="178"/>
      <c r="VEG264" s="178"/>
      <c r="VEH264" s="178"/>
      <c r="VEI264" s="178"/>
      <c r="VEJ264" s="178"/>
      <c r="VEK264" s="178"/>
      <c r="VEL264" s="178"/>
      <c r="VEM264" s="178"/>
      <c r="VEN264" s="178"/>
      <c r="VEO264" s="178"/>
      <c r="VEP264" s="178"/>
      <c r="VEQ264" s="178"/>
      <c r="VER264" s="178"/>
      <c r="VES264" s="178"/>
      <c r="VET264" s="178"/>
      <c r="VEU264" s="178"/>
      <c r="VEV264" s="178"/>
      <c r="VEW264" s="178"/>
      <c r="VEX264" s="178"/>
      <c r="VEY264" s="178"/>
      <c r="VEZ264" s="178"/>
      <c r="VFA264" s="178"/>
      <c r="VFB264" s="178"/>
      <c r="VFC264" s="178"/>
      <c r="VFD264" s="178"/>
      <c r="VFE264" s="178"/>
      <c r="VFF264" s="178"/>
      <c r="VFG264" s="178"/>
      <c r="VFH264" s="178"/>
      <c r="VFI264" s="178"/>
      <c r="VFJ264" s="178"/>
      <c r="VFK264" s="178"/>
      <c r="VFL264" s="178"/>
      <c r="VFM264" s="178"/>
      <c r="VFN264" s="178"/>
      <c r="VFO264" s="178"/>
      <c r="VFP264" s="178"/>
      <c r="VFQ264" s="178"/>
      <c r="VFR264" s="178"/>
      <c r="VFS264" s="178"/>
      <c r="VFT264" s="178"/>
      <c r="VFU264" s="178"/>
      <c r="VFV264" s="178"/>
      <c r="VFW264" s="178"/>
      <c r="VFX264" s="178"/>
      <c r="VFY264" s="178"/>
      <c r="VFZ264" s="178"/>
      <c r="VGA264" s="178"/>
      <c r="VGB264" s="178"/>
      <c r="VGC264" s="178"/>
      <c r="VGD264" s="178"/>
      <c r="VGE264" s="178"/>
      <c r="VGF264" s="178"/>
      <c r="VGG264" s="178"/>
      <c r="VGH264" s="178"/>
      <c r="VGI264" s="178"/>
      <c r="VGJ264" s="178"/>
      <c r="VGK264" s="178"/>
      <c r="VGL264" s="178"/>
      <c r="VGM264" s="178"/>
      <c r="VGN264" s="178"/>
      <c r="VGO264" s="178"/>
      <c r="VGP264" s="178"/>
      <c r="VGQ264" s="178"/>
      <c r="VGR264" s="178"/>
      <c r="VGS264" s="178"/>
      <c r="VGT264" s="178"/>
      <c r="VGU264" s="178"/>
      <c r="VGV264" s="178"/>
      <c r="VGW264" s="178"/>
      <c r="VGX264" s="178"/>
      <c r="VGY264" s="178"/>
      <c r="VGZ264" s="178"/>
      <c r="VHA264" s="178"/>
      <c r="VHB264" s="178"/>
      <c r="VHC264" s="178"/>
      <c r="VHD264" s="178"/>
      <c r="VHE264" s="178"/>
      <c r="VHF264" s="178"/>
      <c r="VHG264" s="178"/>
      <c r="VHH264" s="178"/>
      <c r="VHI264" s="178"/>
      <c r="VHJ264" s="178"/>
      <c r="VHK264" s="178"/>
      <c r="VHL264" s="178"/>
      <c r="VHM264" s="178"/>
      <c r="VHN264" s="178"/>
      <c r="VHO264" s="178"/>
      <c r="VHP264" s="178"/>
      <c r="VHQ264" s="178"/>
      <c r="VHR264" s="178"/>
      <c r="VHS264" s="178"/>
      <c r="VHT264" s="178"/>
      <c r="VHU264" s="178"/>
      <c r="VHV264" s="178"/>
      <c r="VHW264" s="178"/>
      <c r="VHX264" s="178"/>
      <c r="VHY264" s="178"/>
      <c r="VHZ264" s="178"/>
      <c r="VIA264" s="178"/>
      <c r="VIB264" s="178"/>
      <c r="VIC264" s="178"/>
      <c r="VID264" s="178"/>
      <c r="VIE264" s="178"/>
      <c r="VIF264" s="178"/>
      <c r="VIG264" s="178"/>
      <c r="VIH264" s="178"/>
      <c r="VII264" s="178"/>
      <c r="VIJ264" s="178"/>
      <c r="VIK264" s="178"/>
      <c r="VIL264" s="178"/>
      <c r="VIM264" s="178"/>
      <c r="VIN264" s="178"/>
      <c r="VIO264" s="178"/>
      <c r="VIP264" s="178"/>
      <c r="VIQ264" s="178"/>
      <c r="VIR264" s="178"/>
      <c r="VIS264" s="178"/>
      <c r="VIT264" s="178"/>
      <c r="VIU264" s="178"/>
      <c r="VIV264" s="178"/>
      <c r="VIW264" s="178"/>
      <c r="VIX264" s="178"/>
      <c r="VIY264" s="178"/>
      <c r="VIZ264" s="178"/>
      <c r="VJA264" s="178"/>
      <c r="VJB264" s="178"/>
      <c r="VJC264" s="178"/>
      <c r="VJD264" s="178"/>
      <c r="VJE264" s="178"/>
      <c r="VJF264" s="178"/>
      <c r="VJG264" s="178"/>
      <c r="VJH264" s="178"/>
      <c r="VJI264" s="178"/>
      <c r="VJJ264" s="178"/>
      <c r="VJK264" s="178"/>
      <c r="VJL264" s="178"/>
      <c r="VJM264" s="178"/>
      <c r="VJN264" s="178"/>
      <c r="VJO264" s="178"/>
      <c r="VJP264" s="178"/>
      <c r="VJQ264" s="178"/>
      <c r="VJR264" s="178"/>
      <c r="VJS264" s="178"/>
      <c r="VJT264" s="178"/>
      <c r="VJU264" s="178"/>
      <c r="VJV264" s="178"/>
      <c r="VJW264" s="178"/>
      <c r="VJX264" s="178"/>
      <c r="VJY264" s="178"/>
      <c r="VJZ264" s="178"/>
      <c r="VKA264" s="178"/>
      <c r="VKB264" s="178"/>
      <c r="VKC264" s="178"/>
      <c r="VKD264" s="178"/>
      <c r="VKE264" s="178"/>
      <c r="VKF264" s="178"/>
      <c r="VKG264" s="178"/>
      <c r="VKH264" s="178"/>
      <c r="VKI264" s="178"/>
      <c r="VKJ264" s="178"/>
      <c r="VKK264" s="178"/>
      <c r="VKL264" s="178"/>
      <c r="VKM264" s="178"/>
      <c r="VKN264" s="178"/>
      <c r="VKO264" s="178"/>
      <c r="VKP264" s="178"/>
      <c r="VKQ264" s="178"/>
      <c r="VKR264" s="178"/>
      <c r="VKS264" s="178"/>
      <c r="VKT264" s="178"/>
      <c r="VKU264" s="178"/>
      <c r="VKV264" s="178"/>
      <c r="VKW264" s="178"/>
      <c r="VKX264" s="178"/>
      <c r="VKY264" s="178"/>
      <c r="VKZ264" s="178"/>
      <c r="VLA264" s="178"/>
      <c r="VLB264" s="178"/>
      <c r="VLC264" s="178"/>
      <c r="VLD264" s="178"/>
      <c r="VLE264" s="178"/>
      <c r="VLF264" s="178"/>
      <c r="VLG264" s="178"/>
      <c r="VLH264" s="178"/>
      <c r="VLI264" s="178"/>
      <c r="VLJ264" s="178"/>
      <c r="VLK264" s="178"/>
      <c r="VLL264" s="178"/>
      <c r="VLM264" s="178"/>
      <c r="VLN264" s="178"/>
      <c r="VLO264" s="178"/>
      <c r="VLP264" s="178"/>
      <c r="VLQ264" s="178"/>
      <c r="VLR264" s="178"/>
      <c r="VLS264" s="178"/>
      <c r="VLT264" s="178"/>
      <c r="VLU264" s="178"/>
      <c r="VLV264" s="178"/>
      <c r="VLW264" s="178"/>
      <c r="VLX264" s="178"/>
      <c r="VLY264" s="178"/>
      <c r="VLZ264" s="178"/>
      <c r="VMA264" s="178"/>
      <c r="VMB264" s="178"/>
      <c r="VMC264" s="178"/>
      <c r="VMD264" s="178"/>
      <c r="VME264" s="178"/>
      <c r="VMF264" s="178"/>
      <c r="VMG264" s="178"/>
      <c r="VMH264" s="178"/>
      <c r="VMI264" s="178"/>
      <c r="VMJ264" s="178"/>
      <c r="VMK264" s="178"/>
      <c r="VML264" s="178"/>
      <c r="VMM264" s="178"/>
      <c r="VMN264" s="178"/>
      <c r="VMO264" s="178"/>
      <c r="VMP264" s="178"/>
      <c r="VMQ264" s="178"/>
      <c r="VMR264" s="178"/>
      <c r="VMS264" s="178"/>
      <c r="VMT264" s="178"/>
      <c r="VMU264" s="178"/>
      <c r="VMV264" s="178"/>
      <c r="VMW264" s="178"/>
      <c r="VMX264" s="178"/>
      <c r="VMY264" s="178"/>
      <c r="VMZ264" s="178"/>
      <c r="VNA264" s="178"/>
      <c r="VNB264" s="178"/>
      <c r="VNC264" s="178"/>
      <c r="VND264" s="178"/>
      <c r="VNE264" s="178"/>
      <c r="VNF264" s="178"/>
      <c r="VNG264" s="178"/>
      <c r="VNH264" s="178"/>
      <c r="VNI264" s="178"/>
      <c r="VNJ264" s="178"/>
      <c r="VNK264" s="178"/>
      <c r="VNL264" s="178"/>
      <c r="VNM264" s="178"/>
      <c r="VNN264" s="178"/>
      <c r="VNO264" s="178"/>
      <c r="VNP264" s="178"/>
      <c r="VNQ264" s="178"/>
      <c r="VNR264" s="178"/>
      <c r="VNS264" s="178"/>
      <c r="VNT264" s="178"/>
      <c r="VNU264" s="178"/>
      <c r="VNV264" s="178"/>
      <c r="VNW264" s="178"/>
      <c r="VNX264" s="178"/>
      <c r="VNY264" s="178"/>
      <c r="VNZ264" s="178"/>
      <c r="VOA264" s="178"/>
      <c r="VOB264" s="178"/>
      <c r="VOC264" s="178"/>
      <c r="VOD264" s="178"/>
      <c r="VOE264" s="178"/>
      <c r="VOF264" s="178"/>
      <c r="VOG264" s="178"/>
      <c r="VOH264" s="178"/>
      <c r="VOI264" s="178"/>
      <c r="VOJ264" s="178"/>
      <c r="VOK264" s="178"/>
      <c r="VOL264" s="178"/>
      <c r="VOM264" s="178"/>
      <c r="VON264" s="178"/>
      <c r="VOO264" s="178"/>
      <c r="VOP264" s="178"/>
      <c r="VOQ264" s="178"/>
      <c r="VOR264" s="178"/>
      <c r="VOS264" s="178"/>
      <c r="VOT264" s="178"/>
      <c r="VOU264" s="178"/>
      <c r="VOV264" s="178"/>
      <c r="VOW264" s="178"/>
      <c r="VOX264" s="178"/>
      <c r="VOY264" s="178"/>
      <c r="VOZ264" s="178"/>
      <c r="VPA264" s="178"/>
      <c r="VPB264" s="178"/>
      <c r="VPC264" s="178"/>
      <c r="VPD264" s="178"/>
      <c r="VPE264" s="178"/>
      <c r="VPF264" s="178"/>
      <c r="VPG264" s="178"/>
      <c r="VPH264" s="178"/>
      <c r="VPI264" s="178"/>
      <c r="VPJ264" s="178"/>
      <c r="VPK264" s="178"/>
      <c r="VPL264" s="178"/>
      <c r="VPM264" s="178"/>
      <c r="VPN264" s="178"/>
      <c r="VPO264" s="178"/>
      <c r="VPP264" s="178"/>
      <c r="VPQ264" s="178"/>
      <c r="VPR264" s="178"/>
      <c r="VPS264" s="178"/>
      <c r="VPT264" s="178"/>
      <c r="VPU264" s="178"/>
      <c r="VPV264" s="178"/>
      <c r="VPW264" s="178"/>
      <c r="VPX264" s="178"/>
      <c r="VPY264" s="178"/>
      <c r="VPZ264" s="178"/>
      <c r="VQA264" s="178"/>
      <c r="VQB264" s="178"/>
      <c r="VQC264" s="178"/>
      <c r="VQD264" s="178"/>
      <c r="VQE264" s="178"/>
      <c r="VQF264" s="178"/>
      <c r="VQG264" s="178"/>
      <c r="VQH264" s="178"/>
      <c r="VQI264" s="178"/>
      <c r="VQJ264" s="178"/>
      <c r="VQK264" s="178"/>
      <c r="VQL264" s="178"/>
      <c r="VQM264" s="178"/>
      <c r="VQN264" s="178"/>
      <c r="VQO264" s="178"/>
      <c r="VQP264" s="178"/>
      <c r="VQQ264" s="178"/>
      <c r="VQR264" s="178"/>
      <c r="VQS264" s="178"/>
      <c r="VQT264" s="178"/>
      <c r="VQU264" s="178"/>
      <c r="VQV264" s="178"/>
      <c r="VQW264" s="178"/>
      <c r="VQX264" s="178"/>
      <c r="VQY264" s="178"/>
      <c r="VQZ264" s="178"/>
      <c r="VRA264" s="178"/>
      <c r="VRB264" s="178"/>
      <c r="VRC264" s="178"/>
      <c r="VRD264" s="178"/>
      <c r="VRE264" s="178"/>
      <c r="VRF264" s="178"/>
      <c r="VRG264" s="178"/>
      <c r="VRH264" s="178"/>
      <c r="VRI264" s="178"/>
      <c r="VRJ264" s="178"/>
      <c r="VRK264" s="178"/>
      <c r="VRL264" s="178"/>
      <c r="VRM264" s="178"/>
      <c r="VRN264" s="178"/>
      <c r="VRO264" s="178"/>
      <c r="VRP264" s="178"/>
      <c r="VRQ264" s="178"/>
      <c r="VRR264" s="178"/>
      <c r="VRS264" s="178"/>
      <c r="VRT264" s="178"/>
      <c r="VRU264" s="178"/>
      <c r="VRV264" s="178"/>
      <c r="VRW264" s="178"/>
      <c r="VRX264" s="178"/>
      <c r="VRY264" s="178"/>
      <c r="VRZ264" s="178"/>
      <c r="VSA264" s="178"/>
      <c r="VSB264" s="178"/>
      <c r="VSC264" s="178"/>
      <c r="VSD264" s="178"/>
      <c r="VSE264" s="178"/>
      <c r="VSF264" s="178"/>
      <c r="VSG264" s="178"/>
      <c r="VSH264" s="178"/>
      <c r="VSI264" s="178"/>
      <c r="VSJ264" s="178"/>
      <c r="VSK264" s="178"/>
      <c r="VSL264" s="178"/>
      <c r="VSM264" s="178"/>
      <c r="VSN264" s="178"/>
      <c r="VSO264" s="178"/>
      <c r="VSP264" s="178"/>
      <c r="VSQ264" s="178"/>
      <c r="VSR264" s="178"/>
      <c r="VSS264" s="178"/>
      <c r="VST264" s="178"/>
      <c r="VSU264" s="178"/>
      <c r="VSV264" s="178"/>
      <c r="VSW264" s="178"/>
      <c r="VSX264" s="178"/>
      <c r="VSY264" s="178"/>
      <c r="VSZ264" s="178"/>
      <c r="VTA264" s="178"/>
      <c r="VTB264" s="178"/>
      <c r="VTC264" s="178"/>
      <c r="VTD264" s="178"/>
      <c r="VTE264" s="178"/>
      <c r="VTF264" s="178"/>
      <c r="VTG264" s="178"/>
      <c r="VTH264" s="178"/>
      <c r="VTI264" s="178"/>
      <c r="VTJ264" s="178"/>
      <c r="VTK264" s="178"/>
      <c r="VTL264" s="178"/>
      <c r="VTM264" s="178"/>
      <c r="VTN264" s="178"/>
      <c r="VTO264" s="178"/>
      <c r="VTP264" s="178"/>
      <c r="VTQ264" s="178"/>
      <c r="VTR264" s="178"/>
      <c r="VTS264" s="178"/>
      <c r="VTT264" s="178"/>
      <c r="VTU264" s="178"/>
      <c r="VTV264" s="178"/>
      <c r="VTW264" s="178"/>
      <c r="VTX264" s="178"/>
      <c r="VTY264" s="178"/>
      <c r="VTZ264" s="178"/>
      <c r="VUA264" s="178"/>
      <c r="VUB264" s="178"/>
      <c r="VUC264" s="178"/>
      <c r="VUD264" s="178"/>
      <c r="VUE264" s="178"/>
      <c r="VUF264" s="178"/>
      <c r="VUG264" s="178"/>
      <c r="VUH264" s="178"/>
      <c r="VUI264" s="178"/>
      <c r="VUJ264" s="178"/>
      <c r="VUK264" s="178"/>
      <c r="VUL264" s="178"/>
      <c r="VUM264" s="178"/>
      <c r="VUN264" s="178"/>
      <c r="VUO264" s="178"/>
      <c r="VUP264" s="178"/>
      <c r="VUQ264" s="178"/>
      <c r="VUR264" s="178"/>
      <c r="VUS264" s="178"/>
      <c r="VUT264" s="178"/>
      <c r="VUU264" s="178"/>
      <c r="VUV264" s="178"/>
      <c r="VUW264" s="178"/>
      <c r="VUX264" s="178"/>
      <c r="VUY264" s="178"/>
      <c r="VUZ264" s="178"/>
      <c r="VVA264" s="178"/>
      <c r="VVB264" s="178"/>
      <c r="VVC264" s="178"/>
      <c r="VVD264" s="178"/>
      <c r="VVE264" s="178"/>
      <c r="VVF264" s="178"/>
      <c r="VVG264" s="178"/>
      <c r="VVH264" s="178"/>
      <c r="VVI264" s="178"/>
      <c r="VVJ264" s="178"/>
      <c r="VVK264" s="178"/>
      <c r="VVL264" s="178"/>
      <c r="VVM264" s="178"/>
      <c r="VVN264" s="178"/>
      <c r="VVO264" s="178"/>
      <c r="VVP264" s="178"/>
      <c r="VVQ264" s="178"/>
      <c r="VVR264" s="178"/>
      <c r="VVS264" s="178"/>
      <c r="VVT264" s="178"/>
      <c r="VVU264" s="178"/>
      <c r="VVV264" s="178"/>
      <c r="VVW264" s="178"/>
      <c r="VVX264" s="178"/>
      <c r="VVY264" s="178"/>
      <c r="VVZ264" s="178"/>
      <c r="VWA264" s="178"/>
      <c r="VWB264" s="178"/>
      <c r="VWC264" s="178"/>
      <c r="VWD264" s="178"/>
      <c r="VWE264" s="178"/>
      <c r="VWF264" s="178"/>
      <c r="VWG264" s="178"/>
      <c r="VWH264" s="178"/>
      <c r="VWI264" s="178"/>
      <c r="VWJ264" s="178"/>
      <c r="VWK264" s="178"/>
      <c r="VWL264" s="178"/>
      <c r="VWM264" s="178"/>
      <c r="VWN264" s="178"/>
      <c r="VWO264" s="178"/>
      <c r="VWP264" s="178"/>
      <c r="VWQ264" s="178"/>
      <c r="VWR264" s="178"/>
      <c r="VWS264" s="178"/>
      <c r="VWT264" s="178"/>
      <c r="VWU264" s="178"/>
      <c r="VWV264" s="178"/>
      <c r="VWW264" s="178"/>
      <c r="VWX264" s="178"/>
      <c r="VWY264" s="178"/>
      <c r="VWZ264" s="178"/>
      <c r="VXA264" s="178"/>
      <c r="VXB264" s="178"/>
      <c r="VXC264" s="178"/>
      <c r="VXD264" s="178"/>
      <c r="VXE264" s="178"/>
      <c r="VXF264" s="178"/>
      <c r="VXG264" s="178"/>
      <c r="VXH264" s="178"/>
      <c r="VXI264" s="178"/>
      <c r="VXJ264" s="178"/>
      <c r="VXK264" s="178"/>
      <c r="VXL264" s="178"/>
      <c r="VXM264" s="178"/>
      <c r="VXN264" s="178"/>
      <c r="VXO264" s="178"/>
      <c r="VXP264" s="178"/>
      <c r="VXQ264" s="178"/>
      <c r="VXR264" s="178"/>
      <c r="VXS264" s="178"/>
      <c r="VXT264" s="178"/>
      <c r="VXU264" s="178"/>
      <c r="VXV264" s="178"/>
      <c r="VXW264" s="178"/>
      <c r="VXX264" s="178"/>
      <c r="VXY264" s="178"/>
      <c r="VXZ264" s="178"/>
      <c r="VYA264" s="178"/>
      <c r="VYB264" s="178"/>
      <c r="VYC264" s="178"/>
      <c r="VYD264" s="178"/>
      <c r="VYE264" s="178"/>
      <c r="VYF264" s="178"/>
      <c r="VYG264" s="178"/>
      <c r="VYH264" s="178"/>
      <c r="VYI264" s="178"/>
      <c r="VYJ264" s="178"/>
      <c r="VYK264" s="178"/>
      <c r="VYL264" s="178"/>
      <c r="VYM264" s="178"/>
      <c r="VYN264" s="178"/>
      <c r="VYO264" s="178"/>
      <c r="VYP264" s="178"/>
      <c r="VYQ264" s="178"/>
      <c r="VYR264" s="178"/>
      <c r="VYS264" s="178"/>
      <c r="VYT264" s="178"/>
      <c r="VYU264" s="178"/>
      <c r="VYV264" s="178"/>
      <c r="VYW264" s="178"/>
      <c r="VYX264" s="178"/>
      <c r="VYY264" s="178"/>
      <c r="VYZ264" s="178"/>
      <c r="VZA264" s="178"/>
      <c r="VZB264" s="178"/>
      <c r="VZC264" s="178"/>
      <c r="VZD264" s="178"/>
      <c r="VZE264" s="178"/>
      <c r="VZF264" s="178"/>
      <c r="VZG264" s="178"/>
      <c r="VZH264" s="178"/>
      <c r="VZI264" s="178"/>
      <c r="VZJ264" s="178"/>
      <c r="VZK264" s="178"/>
      <c r="VZL264" s="178"/>
      <c r="VZM264" s="178"/>
      <c r="VZN264" s="178"/>
      <c r="VZO264" s="178"/>
      <c r="VZP264" s="178"/>
      <c r="VZQ264" s="178"/>
      <c r="VZR264" s="178"/>
      <c r="VZS264" s="178"/>
      <c r="VZT264" s="178"/>
      <c r="VZU264" s="178"/>
      <c r="VZV264" s="178"/>
      <c r="VZW264" s="178"/>
      <c r="VZX264" s="178"/>
      <c r="VZY264" s="178"/>
      <c r="VZZ264" s="178"/>
      <c r="WAA264" s="178"/>
      <c r="WAB264" s="178"/>
      <c r="WAC264" s="178"/>
      <c r="WAD264" s="178"/>
      <c r="WAE264" s="178"/>
      <c r="WAF264" s="178"/>
      <c r="WAG264" s="178"/>
      <c r="WAH264" s="178"/>
      <c r="WAI264" s="178"/>
      <c r="WAJ264" s="178"/>
      <c r="WAK264" s="178"/>
      <c r="WAL264" s="178"/>
      <c r="WAM264" s="178"/>
      <c r="WAN264" s="178"/>
      <c r="WAO264" s="178"/>
      <c r="WAP264" s="178"/>
      <c r="WAQ264" s="178"/>
      <c r="WAR264" s="178"/>
      <c r="WAS264" s="178"/>
      <c r="WAT264" s="178"/>
      <c r="WAU264" s="178"/>
      <c r="WAV264" s="178"/>
      <c r="WAW264" s="178"/>
      <c r="WAX264" s="178"/>
      <c r="WAY264" s="178"/>
      <c r="WAZ264" s="178"/>
      <c r="WBA264" s="178"/>
      <c r="WBB264" s="178"/>
      <c r="WBC264" s="178"/>
      <c r="WBD264" s="178"/>
      <c r="WBE264" s="178"/>
      <c r="WBF264" s="178"/>
      <c r="WBG264" s="178"/>
      <c r="WBH264" s="178"/>
      <c r="WBI264" s="178"/>
      <c r="WBJ264" s="178"/>
      <c r="WBK264" s="178"/>
      <c r="WBL264" s="178"/>
      <c r="WBM264" s="178"/>
      <c r="WBN264" s="178"/>
      <c r="WBO264" s="178"/>
      <c r="WBP264" s="178"/>
      <c r="WBQ264" s="178"/>
      <c r="WBR264" s="178"/>
      <c r="WBS264" s="178"/>
      <c r="WBT264" s="178"/>
      <c r="WBU264" s="178"/>
      <c r="WBV264" s="178"/>
      <c r="WBW264" s="178"/>
      <c r="WBX264" s="178"/>
      <c r="WBY264" s="178"/>
      <c r="WBZ264" s="178"/>
      <c r="WCA264" s="178"/>
      <c r="WCB264" s="178"/>
      <c r="WCC264" s="178"/>
      <c r="WCD264" s="178"/>
      <c r="WCE264" s="178"/>
      <c r="WCF264" s="178"/>
      <c r="WCG264" s="178"/>
      <c r="WCH264" s="178"/>
      <c r="WCI264" s="178"/>
      <c r="WCJ264" s="178"/>
      <c r="WCK264" s="178"/>
      <c r="WCL264" s="178"/>
      <c r="WCM264" s="178"/>
      <c r="WCN264" s="178"/>
      <c r="WCO264" s="178"/>
      <c r="WCP264" s="178"/>
      <c r="WCQ264" s="178"/>
      <c r="WCR264" s="178"/>
      <c r="WCS264" s="178"/>
      <c r="WCT264" s="178"/>
      <c r="WCU264" s="178"/>
      <c r="WCV264" s="178"/>
      <c r="WCW264" s="178"/>
      <c r="WCX264" s="178"/>
      <c r="WCY264" s="178"/>
      <c r="WCZ264" s="178"/>
      <c r="WDA264" s="178"/>
      <c r="WDB264" s="178"/>
      <c r="WDC264" s="178"/>
      <c r="WDD264" s="178"/>
      <c r="WDE264" s="178"/>
      <c r="WDF264" s="178"/>
      <c r="WDG264" s="178"/>
      <c r="WDH264" s="178"/>
      <c r="WDI264" s="178"/>
      <c r="WDJ264" s="178"/>
      <c r="WDK264" s="178"/>
      <c r="WDL264" s="178"/>
      <c r="WDM264" s="178"/>
      <c r="WDN264" s="178"/>
      <c r="WDO264" s="178"/>
      <c r="WDP264" s="178"/>
      <c r="WDQ264" s="178"/>
      <c r="WDR264" s="178"/>
      <c r="WDS264" s="178"/>
      <c r="WDT264" s="178"/>
      <c r="WDU264" s="178"/>
      <c r="WDV264" s="178"/>
      <c r="WDW264" s="178"/>
      <c r="WDX264" s="178"/>
      <c r="WDY264" s="178"/>
      <c r="WDZ264" s="178"/>
      <c r="WEA264" s="178"/>
      <c r="WEB264" s="178"/>
      <c r="WEC264" s="178"/>
      <c r="WED264" s="178"/>
      <c r="WEE264" s="178"/>
      <c r="WEF264" s="178"/>
      <c r="WEG264" s="178"/>
      <c r="WEH264" s="178"/>
      <c r="WEI264" s="178"/>
      <c r="WEJ264" s="178"/>
      <c r="WEK264" s="178"/>
      <c r="WEL264" s="178"/>
      <c r="WEM264" s="178"/>
      <c r="WEN264" s="178"/>
      <c r="WEO264" s="178"/>
      <c r="WEP264" s="178"/>
      <c r="WEQ264" s="178"/>
      <c r="WER264" s="178"/>
      <c r="WES264" s="178"/>
      <c r="WET264" s="178"/>
      <c r="WEU264" s="178"/>
      <c r="WEV264" s="178"/>
      <c r="WEW264" s="178"/>
      <c r="WEX264" s="178"/>
      <c r="WEY264" s="178"/>
      <c r="WEZ264" s="178"/>
      <c r="WFA264" s="178"/>
      <c r="WFB264" s="178"/>
      <c r="WFC264" s="178"/>
      <c r="WFD264" s="178"/>
      <c r="WFE264" s="178"/>
      <c r="WFF264" s="178"/>
      <c r="WFG264" s="178"/>
      <c r="WFH264" s="178"/>
      <c r="WFI264" s="178"/>
      <c r="WFJ264" s="178"/>
      <c r="WFK264" s="178"/>
      <c r="WFL264" s="178"/>
      <c r="WFM264" s="178"/>
      <c r="WFN264" s="178"/>
      <c r="WFO264" s="178"/>
      <c r="WFP264" s="178"/>
      <c r="WFQ264" s="178"/>
      <c r="WFR264" s="178"/>
      <c r="WFS264" s="178"/>
      <c r="WFT264" s="178"/>
      <c r="WFU264" s="178"/>
      <c r="WFV264" s="178"/>
      <c r="WFW264" s="178"/>
      <c r="WFX264" s="178"/>
      <c r="WFY264" s="178"/>
      <c r="WFZ264" s="178"/>
      <c r="WGA264" s="178"/>
      <c r="WGB264" s="178"/>
      <c r="WGC264" s="178"/>
      <c r="WGD264" s="178"/>
      <c r="WGE264" s="178"/>
      <c r="WGF264" s="178"/>
      <c r="WGG264" s="178"/>
      <c r="WGH264" s="178"/>
      <c r="WGI264" s="178"/>
      <c r="WGJ264" s="178"/>
      <c r="WGK264" s="178"/>
      <c r="WGL264" s="178"/>
      <c r="WGM264" s="178"/>
      <c r="WGN264" s="178"/>
      <c r="WGO264" s="178"/>
      <c r="WGP264" s="178"/>
      <c r="WGQ264" s="178"/>
      <c r="WGR264" s="178"/>
      <c r="WGS264" s="178"/>
      <c r="WGT264" s="178"/>
      <c r="WGU264" s="178"/>
      <c r="WGV264" s="178"/>
      <c r="WGW264" s="178"/>
      <c r="WGX264" s="178"/>
      <c r="WGY264" s="178"/>
      <c r="WGZ264" s="178"/>
      <c r="WHA264" s="178"/>
      <c r="WHB264" s="178"/>
      <c r="WHC264" s="178"/>
      <c r="WHD264" s="178"/>
      <c r="WHE264" s="178"/>
      <c r="WHF264" s="178"/>
      <c r="WHG264" s="178"/>
      <c r="WHH264" s="178"/>
      <c r="WHI264" s="178"/>
      <c r="WHJ264" s="178"/>
      <c r="WHK264" s="178"/>
      <c r="WHL264" s="178"/>
      <c r="WHM264" s="178"/>
      <c r="WHN264" s="178"/>
      <c r="WHO264" s="178"/>
      <c r="WHP264" s="178"/>
      <c r="WHQ264" s="178"/>
      <c r="WHR264" s="178"/>
      <c r="WHS264" s="178"/>
      <c r="WHT264" s="178"/>
      <c r="WHU264" s="178"/>
      <c r="WHV264" s="178"/>
      <c r="WHW264" s="178"/>
      <c r="WHX264" s="178"/>
      <c r="WHY264" s="178"/>
      <c r="WHZ264" s="178"/>
      <c r="WIA264" s="178"/>
      <c r="WIB264" s="178"/>
      <c r="WIC264" s="178"/>
      <c r="WID264" s="178"/>
      <c r="WIE264" s="178"/>
      <c r="WIF264" s="178"/>
      <c r="WIG264" s="178"/>
      <c r="WIH264" s="178"/>
      <c r="WII264" s="178"/>
      <c r="WIJ264" s="178"/>
      <c r="WIK264" s="178"/>
      <c r="WIL264" s="178"/>
      <c r="WIM264" s="178"/>
      <c r="WIN264" s="178"/>
      <c r="WIO264" s="178"/>
      <c r="WIP264" s="178"/>
      <c r="WIQ264" s="178"/>
      <c r="WIR264" s="178"/>
      <c r="WIS264" s="178"/>
      <c r="WIT264" s="178"/>
      <c r="WIU264" s="178"/>
      <c r="WIV264" s="178"/>
      <c r="WIW264" s="178"/>
      <c r="WIX264" s="178"/>
      <c r="WIY264" s="178"/>
      <c r="WIZ264" s="178"/>
      <c r="WJA264" s="178"/>
      <c r="WJB264" s="178"/>
      <c r="WJC264" s="178"/>
      <c r="WJD264" s="178"/>
      <c r="WJE264" s="178"/>
      <c r="WJF264" s="178"/>
      <c r="WJG264" s="178"/>
      <c r="WJH264" s="178"/>
      <c r="WJI264" s="178"/>
      <c r="WJJ264" s="178"/>
      <c r="WJK264" s="178"/>
      <c r="WJL264" s="178"/>
      <c r="WJM264" s="178"/>
      <c r="WJN264" s="178"/>
      <c r="WJO264" s="178"/>
      <c r="WJP264" s="178"/>
      <c r="WJQ264" s="178"/>
      <c r="WJR264" s="178"/>
      <c r="WJS264" s="178"/>
      <c r="WJT264" s="178"/>
      <c r="WJU264" s="178"/>
      <c r="WJV264" s="178"/>
      <c r="WJW264" s="178"/>
      <c r="WJX264" s="178"/>
      <c r="WJY264" s="178"/>
      <c r="WJZ264" s="178"/>
      <c r="WKA264" s="178"/>
      <c r="WKB264" s="178"/>
      <c r="WKC264" s="178"/>
      <c r="WKD264" s="178"/>
      <c r="WKE264" s="178"/>
      <c r="WKF264" s="178"/>
      <c r="WKG264" s="178"/>
      <c r="WKH264" s="178"/>
      <c r="WKI264" s="178"/>
      <c r="WKJ264" s="178"/>
      <c r="WKK264" s="178"/>
      <c r="WKL264" s="178"/>
      <c r="WKM264" s="178"/>
      <c r="WKN264" s="178"/>
      <c r="WKO264" s="178"/>
      <c r="WKP264" s="178"/>
      <c r="WKQ264" s="178"/>
      <c r="WKR264" s="178"/>
      <c r="WKS264" s="178"/>
      <c r="WKT264" s="178"/>
      <c r="WKU264" s="178"/>
      <c r="WKV264" s="178"/>
      <c r="WKW264" s="178"/>
      <c r="WKX264" s="178"/>
      <c r="WKY264" s="178"/>
      <c r="WKZ264" s="178"/>
      <c r="WLA264" s="178"/>
      <c r="WLB264" s="178"/>
      <c r="WLC264" s="178"/>
      <c r="WLD264" s="178"/>
      <c r="WLE264" s="178"/>
      <c r="WLF264" s="178"/>
      <c r="WLG264" s="178"/>
      <c r="WLH264" s="178"/>
      <c r="WLI264" s="178"/>
      <c r="WLJ264" s="178"/>
      <c r="WLK264" s="178"/>
      <c r="WLL264" s="178"/>
      <c r="WLM264" s="178"/>
      <c r="WLN264" s="178"/>
      <c r="WLO264" s="178"/>
      <c r="WLP264" s="178"/>
      <c r="WLQ264" s="178"/>
      <c r="WLR264" s="178"/>
      <c r="WLS264" s="178"/>
      <c r="WLT264" s="178"/>
      <c r="WLU264" s="178"/>
      <c r="WLV264" s="178"/>
      <c r="WLW264" s="178"/>
      <c r="WLX264" s="178"/>
      <c r="WLY264" s="178"/>
      <c r="WLZ264" s="178"/>
      <c r="WMA264" s="178"/>
      <c r="WMB264" s="178"/>
      <c r="WMC264" s="178"/>
      <c r="WMD264" s="178"/>
      <c r="WME264" s="178"/>
      <c r="WMF264" s="178"/>
      <c r="WMG264" s="178"/>
      <c r="WMH264" s="178"/>
      <c r="WMI264" s="178"/>
      <c r="WMJ264" s="178"/>
      <c r="WMK264" s="178"/>
      <c r="WML264" s="178"/>
      <c r="WMM264" s="178"/>
      <c r="WMN264" s="178"/>
      <c r="WMO264" s="178"/>
      <c r="WMP264" s="178"/>
      <c r="WMQ264" s="178"/>
      <c r="WMR264" s="178"/>
      <c r="WMS264" s="178"/>
      <c r="WMT264" s="178"/>
      <c r="WMU264" s="178"/>
      <c r="WMV264" s="178"/>
      <c r="WMW264" s="178"/>
      <c r="WMX264" s="178"/>
      <c r="WMY264" s="178"/>
      <c r="WMZ264" s="178"/>
      <c r="WNA264" s="178"/>
      <c r="WNB264" s="178"/>
      <c r="WNC264" s="178"/>
      <c r="WND264" s="178"/>
      <c r="WNE264" s="178"/>
      <c r="WNF264" s="178"/>
      <c r="WNG264" s="178"/>
      <c r="WNH264" s="178"/>
      <c r="WNI264" s="178"/>
      <c r="WNJ264" s="178"/>
      <c r="WNK264" s="178"/>
      <c r="WNL264" s="178"/>
      <c r="WNM264" s="178"/>
      <c r="WNN264" s="178"/>
      <c r="WNO264" s="178"/>
      <c r="WNP264" s="178"/>
      <c r="WNQ264" s="178"/>
      <c r="WNR264" s="178"/>
      <c r="WNS264" s="178"/>
      <c r="WNT264" s="178"/>
      <c r="WNU264" s="178"/>
      <c r="WNV264" s="178"/>
      <c r="WNW264" s="178"/>
      <c r="WNX264" s="178"/>
      <c r="WNY264" s="178"/>
      <c r="WNZ264" s="178"/>
      <c r="WOA264" s="178"/>
      <c r="WOB264" s="178"/>
      <c r="WOC264" s="178"/>
      <c r="WOD264" s="178"/>
      <c r="WOE264" s="178"/>
      <c r="WOF264" s="178"/>
      <c r="WOG264" s="178"/>
      <c r="WOH264" s="178"/>
      <c r="WOI264" s="178"/>
      <c r="WOJ264" s="178"/>
      <c r="WOK264" s="178"/>
      <c r="WOL264" s="178"/>
      <c r="WOM264" s="178"/>
      <c r="WON264" s="178"/>
      <c r="WOO264" s="178"/>
      <c r="WOP264" s="178"/>
      <c r="WOQ264" s="178"/>
      <c r="WOR264" s="178"/>
      <c r="WOS264" s="178"/>
      <c r="WOT264" s="178"/>
      <c r="WOU264" s="178"/>
      <c r="WOV264" s="178"/>
      <c r="WOW264" s="178"/>
      <c r="WOX264" s="178"/>
      <c r="WOY264" s="178"/>
      <c r="WOZ264" s="178"/>
      <c r="WPA264" s="178"/>
      <c r="WPB264" s="178"/>
      <c r="WPC264" s="178"/>
      <c r="WPD264" s="178"/>
      <c r="WPE264" s="178"/>
      <c r="WPF264" s="178"/>
      <c r="WPG264" s="178"/>
      <c r="WPH264" s="178"/>
      <c r="WPI264" s="178"/>
      <c r="WPJ264" s="178"/>
      <c r="WPK264" s="178"/>
      <c r="WPL264" s="178"/>
      <c r="WPM264" s="178"/>
      <c r="WPN264" s="178"/>
      <c r="WPO264" s="178"/>
      <c r="WPP264" s="178"/>
      <c r="WPQ264" s="178"/>
      <c r="WPR264" s="178"/>
      <c r="WPS264" s="178"/>
      <c r="WPT264" s="178"/>
      <c r="WPU264" s="178"/>
      <c r="WPV264" s="178"/>
      <c r="WPW264" s="178"/>
      <c r="WPX264" s="178"/>
      <c r="WPY264" s="178"/>
      <c r="WPZ264" s="178"/>
      <c r="WQA264" s="178"/>
      <c r="WQB264" s="178"/>
      <c r="WQC264" s="178"/>
      <c r="WQD264" s="178"/>
      <c r="WQE264" s="178"/>
      <c r="WQF264" s="178"/>
      <c r="WQG264" s="178"/>
      <c r="WQH264" s="178"/>
      <c r="WQI264" s="178"/>
      <c r="WQJ264" s="178"/>
      <c r="WQK264" s="178"/>
      <c r="WQL264" s="178"/>
      <c r="WQM264" s="178"/>
      <c r="WQN264" s="178"/>
      <c r="WQO264" s="178"/>
      <c r="WQP264" s="178"/>
      <c r="WQQ264" s="178"/>
      <c r="WQR264" s="178"/>
      <c r="WQS264" s="178"/>
      <c r="WQT264" s="178"/>
      <c r="WQU264" s="178"/>
      <c r="WQV264" s="178"/>
      <c r="WQW264" s="178"/>
      <c r="WQX264" s="178"/>
      <c r="WQY264" s="178"/>
      <c r="WQZ264" s="178"/>
      <c r="WRA264" s="178"/>
      <c r="WRB264" s="178"/>
      <c r="WRC264" s="178"/>
      <c r="WRD264" s="178"/>
      <c r="WRE264" s="178"/>
      <c r="WRF264" s="178"/>
      <c r="WRG264" s="178"/>
      <c r="WRH264" s="178"/>
      <c r="WRI264" s="178"/>
      <c r="WRJ264" s="178"/>
      <c r="WRK264" s="178"/>
      <c r="WRL264" s="178"/>
      <c r="WRM264" s="178"/>
      <c r="WRN264" s="178"/>
      <c r="WRO264" s="178"/>
      <c r="WRP264" s="178"/>
      <c r="WRQ264" s="178"/>
      <c r="WRR264" s="178"/>
      <c r="WRS264" s="178"/>
      <c r="WRT264" s="178"/>
      <c r="WRU264" s="178"/>
      <c r="WRV264" s="178"/>
      <c r="WRW264" s="178"/>
      <c r="WRX264" s="178"/>
      <c r="WRY264" s="178"/>
      <c r="WRZ264" s="178"/>
      <c r="WSA264" s="178"/>
      <c r="WSB264" s="178"/>
      <c r="WSC264" s="178"/>
      <c r="WSD264" s="178"/>
      <c r="WSE264" s="178"/>
      <c r="WSF264" s="178"/>
      <c r="WSG264" s="178"/>
      <c r="WSH264" s="178"/>
      <c r="WSI264" s="178"/>
      <c r="WSJ264" s="178"/>
      <c r="WSK264" s="178"/>
      <c r="WSL264" s="178"/>
      <c r="WSM264" s="178"/>
      <c r="WSN264" s="178"/>
      <c r="WSO264" s="178"/>
      <c r="WSP264" s="178"/>
      <c r="WSQ264" s="178"/>
      <c r="WSR264" s="178"/>
      <c r="WSS264" s="178"/>
      <c r="WST264" s="178"/>
      <c r="WSU264" s="178"/>
      <c r="WSV264" s="178"/>
      <c r="WSW264" s="178"/>
      <c r="WSX264" s="178"/>
      <c r="WSY264" s="178"/>
      <c r="WSZ264" s="178"/>
      <c r="WTA264" s="178"/>
      <c r="WTB264" s="178"/>
      <c r="WTC264" s="178"/>
      <c r="WTD264" s="178"/>
      <c r="WTE264" s="178"/>
      <c r="WTF264" s="178"/>
      <c r="WTG264" s="178"/>
      <c r="WTH264" s="178"/>
      <c r="WTI264" s="178"/>
      <c r="WTJ264" s="178"/>
      <c r="WTK264" s="178"/>
      <c r="WTL264" s="178"/>
      <c r="WTM264" s="178"/>
      <c r="WTN264" s="178"/>
      <c r="WTO264" s="178"/>
      <c r="WTP264" s="178"/>
      <c r="WTQ264" s="178"/>
      <c r="WTR264" s="178"/>
      <c r="WTS264" s="178"/>
      <c r="WTT264" s="178"/>
      <c r="WTU264" s="178"/>
      <c r="WTV264" s="178"/>
      <c r="WTW264" s="178"/>
      <c r="WTX264" s="178"/>
      <c r="WTY264" s="178"/>
      <c r="WTZ264" s="178"/>
      <c r="WUA264" s="178"/>
      <c r="WUB264" s="178"/>
      <c r="WUC264" s="178"/>
      <c r="WUD264" s="178"/>
      <c r="WUE264" s="178"/>
      <c r="WUF264" s="178"/>
      <c r="WUG264" s="178"/>
      <c r="WUH264" s="178"/>
      <c r="WUI264" s="178"/>
      <c r="WUJ264" s="178"/>
      <c r="WUK264" s="178"/>
      <c r="WUL264" s="178"/>
      <c r="WUM264" s="178"/>
      <c r="WUN264" s="178"/>
      <c r="WUO264" s="178"/>
      <c r="WUP264" s="178"/>
      <c r="WUQ264" s="178"/>
      <c r="WUR264" s="178"/>
      <c r="WUS264" s="178"/>
      <c r="WUT264" s="178"/>
      <c r="WUU264" s="178"/>
      <c r="WUV264" s="178"/>
      <c r="WUW264" s="178"/>
      <c r="WUX264" s="178"/>
      <c r="WUY264" s="178"/>
      <c r="WUZ264" s="178"/>
      <c r="WVA264" s="178"/>
      <c r="WVB264" s="178"/>
      <c r="WVC264" s="178"/>
      <c r="WVD264" s="178"/>
      <c r="WVE264" s="178"/>
      <c r="WVF264" s="178"/>
      <c r="WVG264" s="178"/>
      <c r="WVH264" s="178"/>
      <c r="WVI264" s="178"/>
      <c r="WVJ264" s="178"/>
      <c r="WVK264" s="178"/>
      <c r="WVL264" s="178"/>
      <c r="WVM264" s="178"/>
      <c r="WVN264" s="178"/>
      <c r="WVO264" s="178"/>
      <c r="WVP264" s="178"/>
      <c r="WVQ264" s="178"/>
      <c r="WVR264" s="178"/>
      <c r="WVS264" s="178"/>
      <c r="WVT264" s="178"/>
      <c r="WVU264" s="178"/>
      <c r="WVV264" s="178"/>
      <c r="WVW264" s="178"/>
      <c r="WVX264" s="178"/>
      <c r="WVY264" s="178"/>
      <c r="WVZ264" s="178"/>
      <c r="WWA264" s="178"/>
      <c r="WWB264" s="178"/>
      <c r="WWC264" s="178"/>
      <c r="WWD264" s="178"/>
      <c r="WWE264" s="178"/>
      <c r="WWF264" s="178"/>
      <c r="WWG264" s="178"/>
      <c r="WWH264" s="178"/>
      <c r="WWI264" s="178"/>
      <c r="WWJ264" s="178"/>
      <c r="WWK264" s="178"/>
      <c r="WWL264" s="178"/>
      <c r="WWM264" s="178"/>
      <c r="WWN264" s="178"/>
      <c r="WWO264" s="178"/>
      <c r="WWP264" s="178"/>
      <c r="WWQ264" s="178"/>
      <c r="WWR264" s="178"/>
      <c r="WWS264" s="178"/>
      <c r="WWT264" s="178"/>
      <c r="WWU264" s="178"/>
      <c r="WWV264" s="178"/>
      <c r="WWW264" s="178"/>
      <c r="WWX264" s="178"/>
      <c r="WWY264" s="178"/>
      <c r="WWZ264" s="178"/>
      <c r="WXA264" s="178"/>
      <c r="WXB264" s="178"/>
      <c r="WXC264" s="178"/>
      <c r="WXD264" s="178"/>
      <c r="WXE264" s="178"/>
      <c r="WXF264" s="178"/>
      <c r="WXG264" s="178"/>
      <c r="WXH264" s="178"/>
      <c r="WXI264" s="178"/>
      <c r="WXJ264" s="178"/>
      <c r="WXK264" s="178"/>
      <c r="WXL264" s="178"/>
      <c r="WXM264" s="178"/>
      <c r="WXN264" s="178"/>
      <c r="WXO264" s="178"/>
      <c r="WXP264" s="178"/>
      <c r="WXQ264" s="178"/>
      <c r="WXR264" s="178"/>
      <c r="WXS264" s="178"/>
      <c r="WXT264" s="178"/>
      <c r="WXU264" s="178"/>
      <c r="WXV264" s="178"/>
      <c r="WXW264" s="178"/>
      <c r="WXX264" s="178"/>
      <c r="WXY264" s="178"/>
      <c r="WXZ264" s="178"/>
      <c r="WYA264" s="178"/>
      <c r="WYB264" s="178"/>
      <c r="WYC264" s="178"/>
      <c r="WYD264" s="178"/>
      <c r="WYE264" s="178"/>
      <c r="WYF264" s="178"/>
      <c r="WYG264" s="178"/>
      <c r="WYH264" s="178"/>
      <c r="WYI264" s="178"/>
      <c r="WYJ264" s="178"/>
      <c r="WYK264" s="178"/>
      <c r="WYL264" s="178"/>
      <c r="WYM264" s="178"/>
      <c r="WYN264" s="178"/>
      <c r="WYO264" s="178"/>
      <c r="WYP264" s="178"/>
      <c r="WYQ264" s="178"/>
      <c r="WYR264" s="178"/>
      <c r="WYS264" s="178"/>
      <c r="WYT264" s="178"/>
      <c r="WYU264" s="178"/>
      <c r="WYV264" s="178"/>
      <c r="WYW264" s="178"/>
      <c r="WYX264" s="178"/>
      <c r="WYY264" s="178"/>
      <c r="WYZ264" s="178"/>
      <c r="WZA264" s="178"/>
      <c r="WZB264" s="178"/>
      <c r="WZC264" s="178"/>
      <c r="WZD264" s="178"/>
      <c r="WZE264" s="178"/>
      <c r="WZF264" s="178"/>
      <c r="WZG264" s="178"/>
      <c r="WZH264" s="178"/>
      <c r="WZI264" s="178"/>
      <c r="WZJ264" s="178"/>
      <c r="WZK264" s="178"/>
      <c r="WZL264" s="178"/>
      <c r="WZM264" s="178"/>
      <c r="WZN264" s="178"/>
      <c r="WZO264" s="178"/>
      <c r="WZP264" s="178"/>
      <c r="WZQ264" s="178"/>
      <c r="WZR264" s="178"/>
      <c r="WZS264" s="178"/>
      <c r="WZT264" s="178"/>
      <c r="WZU264" s="178"/>
      <c r="WZV264" s="178"/>
      <c r="WZW264" s="178"/>
      <c r="WZX264" s="178"/>
      <c r="WZY264" s="178"/>
      <c r="WZZ264" s="178"/>
      <c r="XAA264" s="178"/>
      <c r="XAB264" s="178"/>
      <c r="XAC264" s="178"/>
      <c r="XAD264" s="178"/>
      <c r="XAE264" s="178"/>
      <c r="XAF264" s="178"/>
      <c r="XAG264" s="178"/>
      <c r="XAH264" s="178"/>
      <c r="XAI264" s="178"/>
      <c r="XAJ264" s="178"/>
      <c r="XAK264" s="178"/>
      <c r="XAL264" s="178"/>
      <c r="XAM264" s="178"/>
      <c r="XAN264" s="178"/>
      <c r="XAO264" s="178"/>
      <c r="XAP264" s="178"/>
      <c r="XAQ264" s="178"/>
      <c r="XAR264" s="178"/>
      <c r="XAS264" s="178"/>
      <c r="XAT264" s="178"/>
      <c r="XAU264" s="178"/>
      <c r="XAV264" s="178"/>
      <c r="XAW264" s="178"/>
      <c r="XAX264" s="178"/>
      <c r="XAY264" s="178"/>
      <c r="XAZ264" s="178"/>
      <c r="XBA264" s="178"/>
      <c r="XBB264" s="178"/>
      <c r="XBC264" s="178"/>
      <c r="XBD264" s="178"/>
      <c r="XBE264" s="178"/>
      <c r="XBF264" s="178"/>
      <c r="XBG264" s="178"/>
      <c r="XBH264" s="178"/>
      <c r="XBI264" s="178"/>
      <c r="XBJ264" s="178"/>
      <c r="XBK264" s="178"/>
      <c r="XBL264" s="178"/>
      <c r="XBM264" s="178"/>
      <c r="XBN264" s="178"/>
      <c r="XBO264" s="178"/>
      <c r="XBP264" s="178"/>
      <c r="XBQ264" s="178"/>
      <c r="XBR264" s="178"/>
      <c r="XBS264" s="178"/>
      <c r="XBT264" s="178"/>
      <c r="XBU264" s="178"/>
      <c r="XBV264" s="178"/>
      <c r="XBW264" s="178"/>
      <c r="XBX264" s="178"/>
      <c r="XBY264" s="178"/>
      <c r="XBZ264" s="178"/>
      <c r="XCA264" s="178"/>
      <c r="XCB264" s="178"/>
      <c r="XCC264" s="178"/>
      <c r="XCD264" s="178"/>
      <c r="XCE264" s="178"/>
      <c r="XCF264" s="178"/>
      <c r="XCG264" s="178"/>
      <c r="XCH264" s="178"/>
      <c r="XCI264" s="178"/>
      <c r="XCJ264" s="178"/>
      <c r="XCK264" s="178"/>
      <c r="XCL264" s="178"/>
      <c r="XCM264" s="178"/>
      <c r="XCN264" s="178"/>
      <c r="XCO264" s="178"/>
      <c r="XCP264" s="178"/>
      <c r="XCQ264" s="178"/>
      <c r="XCR264" s="178"/>
      <c r="XCS264" s="178"/>
      <c r="XCT264" s="178"/>
      <c r="XCU264" s="178"/>
      <c r="XCV264" s="178"/>
      <c r="XCW264" s="178"/>
      <c r="XCX264" s="178"/>
      <c r="XCY264" s="178"/>
      <c r="XCZ264" s="178"/>
      <c r="XDA264" s="178"/>
      <c r="XDB264" s="178"/>
      <c r="XDC264" s="178"/>
      <c r="XDD264" s="178"/>
      <c r="XDE264" s="178"/>
      <c r="XDF264" s="178"/>
      <c r="XDG264" s="178"/>
      <c r="XDH264" s="178"/>
      <c r="XDI264" s="178"/>
      <c r="XDJ264" s="178"/>
      <c r="XDK264" s="178"/>
      <c r="XDL264" s="178"/>
      <c r="XDM264" s="178"/>
      <c r="XDN264" s="178"/>
      <c r="XDO264" s="178"/>
      <c r="XDP264" s="178"/>
      <c r="XDQ264" s="178"/>
      <c r="XDR264" s="178"/>
      <c r="XDS264" s="178"/>
      <c r="XDT264" s="178"/>
      <c r="XDU264" s="178"/>
      <c r="XDV264" s="178"/>
      <c r="XDW264" s="178"/>
      <c r="XDX264" s="178"/>
      <c r="XDY264" s="178"/>
      <c r="XDZ264" s="178"/>
      <c r="XEA264" s="178"/>
      <c r="XEB264" s="178"/>
      <c r="XEC264" s="178"/>
      <c r="XED264" s="178"/>
      <c r="XEE264" s="178"/>
      <c r="XEF264" s="178"/>
      <c r="XEG264" s="178"/>
      <c r="XEH264" s="178"/>
      <c r="XEI264" s="178"/>
      <c r="XEJ264" s="178"/>
      <c r="XEK264" s="178"/>
      <c r="XEL264" s="178"/>
      <c r="XEM264" s="178"/>
      <c r="XEN264" s="178"/>
      <c r="XEO264" s="178"/>
      <c r="XEP264" s="178"/>
      <c r="XEQ264" s="178"/>
      <c r="XER264" s="178"/>
      <c r="XES264" s="178"/>
      <c r="XET264" s="178"/>
      <c r="XEU264" s="178"/>
      <c r="XEV264" s="178"/>
      <c r="XEW264" s="178"/>
      <c r="XEX264" s="178"/>
      <c r="XEY264" s="178"/>
      <c r="XEZ264" s="178"/>
      <c r="XFA264" s="178"/>
      <c r="XFB264" s="178"/>
      <c r="XFC264" s="178"/>
      <c r="XFD264" s="178"/>
    </row>
    <row r="265" spans="1:16384" ht="15" x14ac:dyDescent="0.2">
      <c r="A265" s="136" t="s">
        <v>39</v>
      </c>
      <c r="B265" s="136" t="str">
        <f>Services!B265</f>
        <v>Protection des postes de travail utilisateurs (11 Mic)</v>
      </c>
      <c r="C265" s="161"/>
      <c r="D265" s="149"/>
      <c r="E265" s="149"/>
      <c r="F265" s="149"/>
      <c r="G265" s="149"/>
      <c r="H265" s="149"/>
      <c r="I265" s="140" t="str">
        <f t="shared" ref="I265:I296" si="256">IF(SUM(D265:H265)=0,"",LOG(SUM(D265:H265),2))</f>
        <v/>
      </c>
      <c r="J265" s="141" t="str">
        <f t="shared" si="214"/>
        <v/>
      </c>
      <c r="K265" s="142"/>
      <c r="L265" s="142"/>
      <c r="M265" s="1708"/>
      <c r="N265" s="1708"/>
      <c r="O265" s="1708"/>
      <c r="P265" s="1708"/>
      <c r="Q265" s="1708"/>
      <c r="R265" s="1708"/>
      <c r="S265" s="1708"/>
      <c r="T265" s="1708"/>
      <c r="U265" s="1708"/>
      <c r="V265" s="1708"/>
      <c r="W265" s="1708"/>
      <c r="X265" s="1709"/>
      <c r="Y265" s="1709"/>
      <c r="Z265" s="1709"/>
      <c r="AA265" s="1709"/>
      <c r="AB265" s="1709"/>
      <c r="AC265" s="1709"/>
      <c r="AD265" s="1709"/>
      <c r="AE265" s="1709"/>
      <c r="AF265" s="1709"/>
      <c r="AG265" s="1709"/>
      <c r="AH265" s="1709"/>
      <c r="AI265" s="1709"/>
      <c r="AJ265" s="1709"/>
      <c r="AK265" s="1709"/>
      <c r="AL265" s="1709"/>
      <c r="AM265" s="1709"/>
      <c r="AN265" s="1709"/>
      <c r="AO265" s="1709"/>
      <c r="AP265" s="1709"/>
      <c r="AQ265" s="1709"/>
      <c r="AR265" s="1709"/>
      <c r="AS265" s="1709"/>
      <c r="AT265" s="1709"/>
      <c r="AU265" s="1709"/>
      <c r="AV265" s="1709"/>
      <c r="AW265" s="1709"/>
      <c r="AX265" s="1710"/>
      <c r="AY265" s="1714" t="str">
        <f t="shared" si="215"/>
        <v/>
      </c>
      <c r="AZ265" s="1714" t="str">
        <f>IF(Obj_PA!D265="","",IF(AY265="","",Obj_PA!D265-AY265))</f>
        <v/>
      </c>
      <c r="BK265" s="155" t="str">
        <f t="shared" si="133"/>
        <v/>
      </c>
      <c r="BL265" s="155" t="str">
        <f t="shared" si="134"/>
        <v/>
      </c>
      <c r="BM265" s="155" t="str">
        <f t="shared" si="135"/>
        <v/>
      </c>
      <c r="BN265" s="155" t="str">
        <f t="shared" si="136"/>
        <v/>
      </c>
      <c r="BO265" s="155" t="str">
        <f t="shared" si="137"/>
        <v/>
      </c>
      <c r="BP265" s="155" t="str">
        <f t="shared" si="138"/>
        <v/>
      </c>
      <c r="BQ265" s="155" t="str">
        <f t="shared" si="139"/>
        <v/>
      </c>
      <c r="BR265" s="155" t="str">
        <f t="shared" si="140"/>
        <v/>
      </c>
      <c r="BS265" s="155" t="str">
        <f t="shared" si="141"/>
        <v/>
      </c>
      <c r="BT265" s="155" t="str">
        <f t="shared" si="142"/>
        <v/>
      </c>
      <c r="BU265" s="155" t="str">
        <f t="shared" si="143"/>
        <v/>
      </c>
      <c r="BV265" s="155" t="str">
        <f t="shared" si="144"/>
        <v/>
      </c>
      <c r="BW265" s="155" t="str">
        <f t="shared" si="145"/>
        <v/>
      </c>
      <c r="BX265" s="155" t="str">
        <f t="shared" si="146"/>
        <v/>
      </c>
      <c r="BY265" s="155" t="str">
        <f t="shared" si="147"/>
        <v/>
      </c>
      <c r="BZ265" s="155" t="str">
        <f t="shared" si="148"/>
        <v/>
      </c>
      <c r="CA265" s="155" t="str">
        <f t="shared" si="149"/>
        <v/>
      </c>
      <c r="CB265" s="155" t="str">
        <f t="shared" si="150"/>
        <v/>
      </c>
      <c r="CC265" s="155" t="str">
        <f t="shared" si="151"/>
        <v/>
      </c>
      <c r="CD265" s="155" t="str">
        <f t="shared" si="152"/>
        <v/>
      </c>
      <c r="CE265" s="155" t="str">
        <f t="shared" si="153"/>
        <v/>
      </c>
      <c r="CF265" s="155" t="str">
        <f t="shared" si="154"/>
        <v/>
      </c>
      <c r="CG265" s="155" t="str">
        <f t="shared" si="155"/>
        <v/>
      </c>
      <c r="CH265" s="155" t="str">
        <f t="shared" si="156"/>
        <v/>
      </c>
      <c r="CI265" s="155" t="str">
        <f t="shared" si="157"/>
        <v/>
      </c>
      <c r="CJ265" s="155" t="str">
        <f t="shared" si="158"/>
        <v/>
      </c>
      <c r="CK265" s="155" t="str">
        <f t="shared" si="159"/>
        <v/>
      </c>
      <c r="CL265" s="155" t="str">
        <f t="shared" si="160"/>
        <v/>
      </c>
      <c r="CM265" s="155" t="str">
        <f t="shared" si="161"/>
        <v/>
      </c>
      <c r="CN265" s="155" t="str">
        <f t="shared" si="162"/>
        <v/>
      </c>
      <c r="CO265" s="155" t="str">
        <f t="shared" si="163"/>
        <v/>
      </c>
      <c r="CP265" s="155" t="str">
        <f t="shared" si="164"/>
        <v/>
      </c>
      <c r="CQ265" s="155" t="str">
        <f t="shared" si="165"/>
        <v/>
      </c>
      <c r="CR265" s="155" t="str">
        <f t="shared" si="166"/>
        <v/>
      </c>
      <c r="CS265" s="155" t="str">
        <f t="shared" si="167"/>
        <v/>
      </c>
      <c r="CT265" s="155" t="str">
        <f t="shared" si="168"/>
        <v/>
      </c>
      <c r="CU265" s="155" t="str">
        <f t="shared" si="169"/>
        <v/>
      </c>
      <c r="CV265" s="155" t="str">
        <f t="shared" si="170"/>
        <v/>
      </c>
      <c r="CW265" s="155" t="str">
        <f t="shared" si="171"/>
        <v/>
      </c>
      <c r="CX265" s="155" t="str">
        <f t="shared" si="172"/>
        <v/>
      </c>
    </row>
    <row r="266" spans="1:16384" s="151" customFormat="1" ht="25.5" outlineLevel="1" x14ac:dyDescent="0.2">
      <c r="A266" s="158"/>
      <c r="B266" s="147" t="str">
        <f>Services!B266</f>
        <v>11A</v>
      </c>
      <c r="C266" s="148" t="str">
        <f>Services!C266</f>
        <v>Sécurité des procédures d'exploitation du parc de postes utilisateurs</v>
      </c>
      <c r="D266" s="149"/>
      <c r="E266" s="149"/>
      <c r="F266" s="149"/>
      <c r="G266" s="149"/>
      <c r="H266" s="149"/>
      <c r="I266" s="140" t="str">
        <f t="shared" si="256"/>
        <v/>
      </c>
      <c r="J266" s="141" t="str">
        <f t="shared" si="214"/>
        <v/>
      </c>
      <c r="K266" s="142"/>
      <c r="L266" s="142"/>
      <c r="M266" s="1708"/>
      <c r="N266" s="1708"/>
      <c r="O266" s="1708"/>
      <c r="P266" s="1708"/>
      <c r="Q266" s="1708"/>
      <c r="R266" s="1708"/>
      <c r="S266" s="1708"/>
      <c r="T266" s="1708"/>
      <c r="U266" s="1708"/>
      <c r="V266" s="1708"/>
      <c r="W266" s="1708"/>
      <c r="X266" s="1712"/>
      <c r="Y266" s="1712"/>
      <c r="Z266" s="1712"/>
      <c r="AA266" s="1712"/>
      <c r="AB266" s="1712"/>
      <c r="AC266" s="1712"/>
      <c r="AD266" s="1712"/>
      <c r="AE266" s="1712"/>
      <c r="AF266" s="1712"/>
      <c r="AG266" s="1712"/>
      <c r="AH266" s="1712"/>
      <c r="AI266" s="1712"/>
      <c r="AJ266" s="1712"/>
      <c r="AK266" s="1712"/>
      <c r="AL266" s="1712"/>
      <c r="AM266" s="1712"/>
      <c r="AN266" s="1712"/>
      <c r="AO266" s="1712"/>
      <c r="AP266" s="1712"/>
      <c r="AQ266" s="1712"/>
      <c r="AR266" s="1712"/>
      <c r="AS266" s="1712"/>
      <c r="AT266" s="1712"/>
      <c r="AU266" s="1712"/>
      <c r="AV266" s="1712"/>
      <c r="AW266" s="1712"/>
      <c r="AX266" s="1713"/>
      <c r="AY266" s="1714" t="str">
        <f t="shared" si="215"/>
        <v/>
      </c>
      <c r="AZ266" s="1714" t="str">
        <f>IF(Obj_PA!D266="","",IF(AY266="","",Obj_PA!D266-AY266))</f>
        <v/>
      </c>
      <c r="BA266" s="150"/>
      <c r="BB266" s="150"/>
      <c r="BC266" s="150"/>
      <c r="BD266" s="150"/>
      <c r="BE266" s="150"/>
      <c r="BF266" s="150"/>
      <c r="BG266" s="150"/>
      <c r="BH266" s="150"/>
      <c r="BI266" s="150"/>
      <c r="BJ266" s="150"/>
      <c r="BK266" s="155" t="str">
        <f t="shared" si="133"/>
        <v/>
      </c>
      <c r="BL266" s="155" t="str">
        <f t="shared" si="134"/>
        <v/>
      </c>
      <c r="BM266" s="155" t="str">
        <f t="shared" si="135"/>
        <v/>
      </c>
      <c r="BN266" s="155" t="str">
        <f t="shared" si="136"/>
        <v/>
      </c>
      <c r="BO266" s="155" t="str">
        <f t="shared" si="137"/>
        <v/>
      </c>
      <c r="BP266" s="155" t="str">
        <f t="shared" si="138"/>
        <v/>
      </c>
      <c r="BQ266" s="155" t="str">
        <f t="shared" si="139"/>
        <v/>
      </c>
      <c r="BR266" s="155" t="str">
        <f t="shared" si="140"/>
        <v/>
      </c>
      <c r="BS266" s="155" t="str">
        <f t="shared" si="141"/>
        <v/>
      </c>
      <c r="BT266" s="155" t="str">
        <f t="shared" si="142"/>
        <v/>
      </c>
      <c r="BU266" s="155" t="str">
        <f t="shared" si="143"/>
        <v/>
      </c>
      <c r="BV266" s="155" t="str">
        <f t="shared" si="144"/>
        <v/>
      </c>
      <c r="BW266" s="155" t="str">
        <f t="shared" si="145"/>
        <v/>
      </c>
      <c r="BX266" s="155" t="str">
        <f t="shared" si="146"/>
        <v/>
      </c>
      <c r="BY266" s="155" t="str">
        <f t="shared" si="147"/>
        <v/>
      </c>
      <c r="BZ266" s="155" t="str">
        <f t="shared" si="148"/>
        <v/>
      </c>
      <c r="CA266" s="155" t="str">
        <f t="shared" si="149"/>
        <v/>
      </c>
      <c r="CB266" s="155" t="str">
        <f t="shared" si="150"/>
        <v/>
      </c>
      <c r="CC266" s="155" t="str">
        <f t="shared" si="151"/>
        <v/>
      </c>
      <c r="CD266" s="155" t="str">
        <f t="shared" si="152"/>
        <v/>
      </c>
      <c r="CE266" s="155" t="str">
        <f t="shared" si="153"/>
        <v/>
      </c>
      <c r="CF266" s="155" t="str">
        <f t="shared" si="154"/>
        <v/>
      </c>
      <c r="CG266" s="155" t="str">
        <f t="shared" si="155"/>
        <v/>
      </c>
      <c r="CH266" s="155" t="str">
        <f t="shared" si="156"/>
        <v/>
      </c>
      <c r="CI266" s="155" t="str">
        <f t="shared" si="157"/>
        <v/>
      </c>
      <c r="CJ266" s="155" t="str">
        <f t="shared" si="158"/>
        <v/>
      </c>
      <c r="CK266" s="155" t="str">
        <f t="shared" si="159"/>
        <v/>
      </c>
      <c r="CL266" s="155" t="str">
        <f t="shared" si="160"/>
        <v/>
      </c>
      <c r="CM266" s="155" t="str">
        <f t="shared" si="161"/>
        <v/>
      </c>
      <c r="CN266" s="155" t="str">
        <f t="shared" si="162"/>
        <v/>
      </c>
      <c r="CO266" s="155" t="str">
        <f t="shared" si="163"/>
        <v/>
      </c>
      <c r="CP266" s="155" t="str">
        <f t="shared" si="164"/>
        <v/>
      </c>
      <c r="CQ266" s="155" t="str">
        <f t="shared" si="165"/>
        <v/>
      </c>
      <c r="CR266" s="155" t="str">
        <f t="shared" si="166"/>
        <v/>
      </c>
      <c r="CS266" s="155" t="str">
        <f t="shared" si="167"/>
        <v/>
      </c>
      <c r="CT266" s="155" t="str">
        <f t="shared" si="168"/>
        <v/>
      </c>
      <c r="CU266" s="155" t="str">
        <f t="shared" si="169"/>
        <v/>
      </c>
      <c r="CV266" s="155" t="str">
        <f t="shared" si="170"/>
        <v/>
      </c>
      <c r="CW266" s="155" t="str">
        <f t="shared" si="171"/>
        <v/>
      </c>
      <c r="CX266" s="155" t="str">
        <f t="shared" si="172"/>
        <v/>
      </c>
    </row>
    <row r="267" spans="1:16384" s="151" customFormat="1" ht="25.5" outlineLevel="1" x14ac:dyDescent="0.2">
      <c r="A267" s="158"/>
      <c r="B267" s="157" t="str">
        <f>Services!B267</f>
        <v>11A01</v>
      </c>
      <c r="C267" s="153" t="str">
        <f>Services!C267</f>
        <v>Contrôle de l'installation de nouvelles versions de progiciels ou systèmes sur les postes utilisateurs</v>
      </c>
      <c r="D267" s="149">
        <f>1*(8*Plans_action!E233+Plans_action!D233)</f>
        <v>0</v>
      </c>
      <c r="E267" s="149"/>
      <c r="F267" s="149"/>
      <c r="G267" s="149"/>
      <c r="H267" s="149"/>
      <c r="I267" s="140" t="str">
        <f t="shared" si="256"/>
        <v/>
      </c>
      <c r="J267" s="141" t="str">
        <f t="shared" si="214"/>
        <v/>
      </c>
      <c r="K267" s="142"/>
      <c r="L267" s="142"/>
      <c r="M267" s="1708"/>
      <c r="N267" s="1708"/>
      <c r="O267" s="1708"/>
      <c r="P267" s="1708"/>
      <c r="Q267" s="1708"/>
      <c r="R267" s="1708"/>
      <c r="S267" s="1708"/>
      <c r="T267" s="1708"/>
      <c r="U267" s="1708"/>
      <c r="V267" s="1708"/>
      <c r="W267" s="1708"/>
      <c r="X267" s="1712"/>
      <c r="Y267" s="1712"/>
      <c r="Z267" s="1712"/>
      <c r="AA267" s="1712"/>
      <c r="AB267" s="1712"/>
      <c r="AC267" s="1712"/>
      <c r="AD267" s="1712"/>
      <c r="AE267" s="1712"/>
      <c r="AF267" s="1712"/>
      <c r="AG267" s="1712"/>
      <c r="AH267" s="1712"/>
      <c r="AI267" s="1712"/>
      <c r="AJ267" s="1712"/>
      <c r="AK267" s="1712"/>
      <c r="AL267" s="1712"/>
      <c r="AM267" s="1712"/>
      <c r="AN267" s="1712"/>
      <c r="AO267" s="1712"/>
      <c r="AP267" s="1712"/>
      <c r="AQ267" s="1712"/>
      <c r="AR267" s="1712"/>
      <c r="AS267" s="1712"/>
      <c r="AT267" s="1712"/>
      <c r="AU267" s="1712"/>
      <c r="AV267" s="1712"/>
      <c r="AW267" s="1712"/>
      <c r="AX267" s="1713"/>
      <c r="AY267" s="1714" t="str">
        <f t="shared" si="215"/>
        <v/>
      </c>
      <c r="AZ267" s="1714" t="str">
        <f>IF(Obj_PA!D267="","",IF(AY267="","",Obj_PA!D267-AY267))</f>
        <v/>
      </c>
      <c r="BA267" s="150"/>
      <c r="BB267" s="150"/>
      <c r="BC267" s="150"/>
      <c r="BD267" s="150"/>
      <c r="BE267" s="150"/>
      <c r="BF267" s="150"/>
      <c r="BG267" s="150"/>
      <c r="BH267" s="150"/>
      <c r="BI267" s="150"/>
      <c r="BJ267" s="150"/>
      <c r="BK267" s="155" t="str">
        <f t="shared" ref="BK267:BK330" si="257">IF(OR(K$4&gt;$J$4,K267=""),"",K267)</f>
        <v/>
      </c>
      <c r="BL267" s="155" t="str">
        <f t="shared" ref="BL267:BL330" si="258">IF(OR(L$4&gt;$J$4,L267=""),"",L267)</f>
        <v/>
      </c>
      <c r="BM267" s="155" t="str">
        <f t="shared" ref="BM267:BM330" si="259">IF(OR(M$4&gt;$J$4,M267=""),"",M267)</f>
        <v/>
      </c>
      <c r="BN267" s="155" t="str">
        <f t="shared" ref="BN267:BN330" si="260">IF(OR(N$4&gt;$J$4,N267=""),"",N267)</f>
        <v/>
      </c>
      <c r="BO267" s="155" t="str">
        <f t="shared" ref="BO267:BO330" si="261">IF(OR(O$4&gt;$J$4,O267=""),"",O267)</f>
        <v/>
      </c>
      <c r="BP267" s="155" t="str">
        <f t="shared" ref="BP267:BP330" si="262">IF(OR(P$4&gt;$J$4,P267=""),"",P267)</f>
        <v/>
      </c>
      <c r="BQ267" s="155" t="str">
        <f t="shared" ref="BQ267:BQ330" si="263">IF(OR(Q$4&gt;$J$4,Q267=""),"",Q267)</f>
        <v/>
      </c>
      <c r="BR267" s="155" t="str">
        <f t="shared" ref="BR267:BR330" si="264">IF(OR(R$4&gt;$J$4,R267=""),"",R267)</f>
        <v/>
      </c>
      <c r="BS267" s="155" t="str">
        <f t="shared" ref="BS267:BS330" si="265">IF(OR(S$4&gt;$J$4,S267=""),"",S267)</f>
        <v/>
      </c>
      <c r="BT267" s="155" t="str">
        <f t="shared" ref="BT267:BT330" si="266">IF(OR(T$4&gt;$J$4,T267=""),"",T267)</f>
        <v/>
      </c>
      <c r="BU267" s="155" t="str">
        <f t="shared" ref="BU267:BU330" si="267">IF(OR(U$4&gt;$J$4,U267=""),"",U267)</f>
        <v/>
      </c>
      <c r="BV267" s="155" t="str">
        <f t="shared" ref="BV267:BV330" si="268">IF(OR(V$4&gt;$J$4,V267=""),"",V267)</f>
        <v/>
      </c>
      <c r="BW267" s="155" t="str">
        <f t="shared" ref="BW267:BW330" si="269">IF(OR(W$4&gt;$J$4,W267=""),"",W267)</f>
        <v/>
      </c>
      <c r="BX267" s="155" t="str">
        <f t="shared" ref="BX267:BX330" si="270">IF(OR(X$4&gt;$J$4,X267=""),"",X267)</f>
        <v/>
      </c>
      <c r="BY267" s="155" t="str">
        <f t="shared" ref="BY267:BY330" si="271">IF(OR(Y$4&gt;$J$4,Y267=""),"",Y267)</f>
        <v/>
      </c>
      <c r="BZ267" s="155" t="str">
        <f t="shared" ref="BZ267:BZ330" si="272">IF(OR(Z$4&gt;$J$4,Z267=""),"",Z267)</f>
        <v/>
      </c>
      <c r="CA267" s="155" t="str">
        <f t="shared" ref="CA267:CA330" si="273">IF(OR(AA$4&gt;$J$4,AA267=""),"",AA267)</f>
        <v/>
      </c>
      <c r="CB267" s="155" t="str">
        <f t="shared" ref="CB267:CB330" si="274">IF(OR(AB$4&gt;$J$4,AB267=""),"",AB267)</f>
        <v/>
      </c>
      <c r="CC267" s="155" t="str">
        <f t="shared" ref="CC267:CC330" si="275">IF(OR(AC$4&gt;$J$4,AC267=""),"",AC267)</f>
        <v/>
      </c>
      <c r="CD267" s="155" t="str">
        <f t="shared" ref="CD267:CD330" si="276">IF(OR(AD$4&gt;$J$4,AD267=""),"",AD267)</f>
        <v/>
      </c>
      <c r="CE267" s="155" t="str">
        <f t="shared" ref="CE267:CE330" si="277">IF(OR(AE$4&gt;$J$4,AE267=""),"",AE267)</f>
        <v/>
      </c>
      <c r="CF267" s="155" t="str">
        <f t="shared" ref="CF267:CF330" si="278">IF(OR(AF$4&gt;$J$4,AF267=""),"",AF267)</f>
        <v/>
      </c>
      <c r="CG267" s="155" t="str">
        <f t="shared" ref="CG267:CG330" si="279">IF(OR(AG$4&gt;$J$4,AG267=""),"",AG267)</f>
        <v/>
      </c>
      <c r="CH267" s="155" t="str">
        <f t="shared" ref="CH267:CH330" si="280">IF(OR(AH$4&gt;$J$4,AH267=""),"",AH267)</f>
        <v/>
      </c>
      <c r="CI267" s="155" t="str">
        <f t="shared" ref="CI267:CI330" si="281">IF(OR(AI$4&gt;$J$4,AI267=""),"",AI267)</f>
        <v/>
      </c>
      <c r="CJ267" s="155" t="str">
        <f t="shared" ref="CJ267:CJ330" si="282">IF(OR(AJ$4&gt;$J$4,AJ267=""),"",AJ267)</f>
        <v/>
      </c>
      <c r="CK267" s="155" t="str">
        <f t="shared" ref="CK267:CK330" si="283">IF(OR(AK$4&gt;$J$4,AK267=""),"",AK267)</f>
        <v/>
      </c>
      <c r="CL267" s="155" t="str">
        <f t="shared" ref="CL267:CL330" si="284">IF(OR(AL$4&gt;$J$4,AL267=""),"",AL267)</f>
        <v/>
      </c>
      <c r="CM267" s="155" t="str">
        <f t="shared" ref="CM267:CM330" si="285">IF(OR(AM$4&gt;$J$4,AM267=""),"",AM267)</f>
        <v/>
      </c>
      <c r="CN267" s="155" t="str">
        <f t="shared" ref="CN267:CN330" si="286">IF(OR(AN$4&gt;$J$4,AN267=""),"",AN267)</f>
        <v/>
      </c>
      <c r="CO267" s="155" t="str">
        <f t="shared" ref="CO267:CO330" si="287">IF(OR(AO$4&gt;$J$4,AO267=""),"",AO267)</f>
        <v/>
      </c>
      <c r="CP267" s="155" t="str">
        <f t="shared" ref="CP267:CP330" si="288">IF(OR(AP$4&gt;$J$4,AP267=""),"",AP267)</f>
        <v/>
      </c>
      <c r="CQ267" s="155" t="str">
        <f t="shared" ref="CQ267:CQ330" si="289">IF(OR(AQ$4&gt;$J$4,AQ267=""),"",AQ267)</f>
        <v/>
      </c>
      <c r="CR267" s="155" t="str">
        <f t="shared" ref="CR267:CR330" si="290">IF(OR(AR$4&gt;$J$4,AR267=""),"",AR267)</f>
        <v/>
      </c>
      <c r="CS267" s="155" t="str">
        <f t="shared" ref="CS267:CS330" si="291">IF(OR(AS$4&gt;$J$4,AS267=""),"",AS267)</f>
        <v/>
      </c>
      <c r="CT267" s="155" t="str">
        <f t="shared" ref="CT267:CT330" si="292">IF(OR(AT$4&gt;$J$4,AT267=""),"",AT267)</f>
        <v/>
      </c>
      <c r="CU267" s="155" t="str">
        <f t="shared" ref="CU267:CU330" si="293">IF(OR(AU$4&gt;$J$4,AU267=""),"",AU267)</f>
        <v/>
      </c>
      <c r="CV267" s="155" t="str">
        <f t="shared" ref="CV267:CV330" si="294">IF(OR(AV$4&gt;$J$4,AV267=""),"",AV267)</f>
        <v/>
      </c>
      <c r="CW267" s="155" t="str">
        <f t="shared" ref="CW267:CW330" si="295">IF(OR(AW$4&gt;$J$4,AW267=""),"",AW267)</f>
        <v/>
      </c>
      <c r="CX267" s="155" t="str">
        <f t="shared" ref="CX267:CX330" si="296">IF(OR(AX$4&gt;$J$4,AX267=""),"",AX267)</f>
        <v/>
      </c>
    </row>
    <row r="268" spans="1:16384" s="151" customFormat="1" ht="14.25" outlineLevel="1" x14ac:dyDescent="0.2">
      <c r="A268" s="158"/>
      <c r="B268" s="157" t="str">
        <f>Services!B268</f>
        <v>11A02</v>
      </c>
      <c r="C268" s="153" t="str">
        <f>Services!C268</f>
        <v xml:space="preserve">Contrôle de la conformité des configurations utilisateurs </v>
      </c>
      <c r="D268" s="149"/>
      <c r="E268" s="149"/>
      <c r="F268" s="149"/>
      <c r="G268" s="149"/>
      <c r="H268" s="149"/>
      <c r="I268" s="140" t="str">
        <f t="shared" si="256"/>
        <v/>
      </c>
      <c r="J268" s="141" t="str">
        <f t="shared" si="214"/>
        <v/>
      </c>
      <c r="K268" s="142"/>
      <c r="L268" s="142"/>
      <c r="M268" s="1708"/>
      <c r="N268" s="1708"/>
      <c r="O268" s="1708"/>
      <c r="P268" s="1708"/>
      <c r="Q268" s="1708"/>
      <c r="R268" s="1708"/>
      <c r="S268" s="1708"/>
      <c r="T268" s="1708"/>
      <c r="U268" s="1708"/>
      <c r="V268" s="1708"/>
      <c r="W268" s="1708"/>
      <c r="X268" s="1712"/>
      <c r="Y268" s="1712"/>
      <c r="Z268" s="1712"/>
      <c r="AA268" s="1712"/>
      <c r="AB268" s="1712"/>
      <c r="AC268" s="1712"/>
      <c r="AD268" s="1712"/>
      <c r="AE268" s="1712"/>
      <c r="AF268" s="1712"/>
      <c r="AG268" s="1712"/>
      <c r="AH268" s="1712"/>
      <c r="AI268" s="1712"/>
      <c r="AJ268" s="1712"/>
      <c r="AK268" s="1712"/>
      <c r="AL268" s="1712"/>
      <c r="AM268" s="1712"/>
      <c r="AN268" s="1712"/>
      <c r="AO268" s="1712"/>
      <c r="AP268" s="1712"/>
      <c r="AQ268" s="1712"/>
      <c r="AR268" s="1712"/>
      <c r="AS268" s="1712"/>
      <c r="AT268" s="1712"/>
      <c r="AU268" s="1712"/>
      <c r="AV268" s="1712"/>
      <c r="AW268" s="1712"/>
      <c r="AX268" s="1713"/>
      <c r="AY268" s="1714" t="str">
        <f t="shared" si="215"/>
        <v/>
      </c>
      <c r="AZ268" s="1714" t="str">
        <f>IF(Obj_PA!D268="","",IF(AY268="","",Obj_PA!D268-AY268))</f>
        <v/>
      </c>
      <c r="BA268" s="150"/>
      <c r="BB268" s="150"/>
      <c r="BC268" s="150"/>
      <c r="BD268" s="150"/>
      <c r="BE268" s="150"/>
      <c r="BF268" s="150"/>
      <c r="BG268" s="150"/>
      <c r="BH268" s="150"/>
      <c r="BI268" s="150"/>
      <c r="BJ268" s="150"/>
      <c r="BK268" s="155" t="str">
        <f t="shared" si="257"/>
        <v/>
      </c>
      <c r="BL268" s="155" t="str">
        <f t="shared" si="258"/>
        <v/>
      </c>
      <c r="BM268" s="155" t="str">
        <f t="shared" si="259"/>
        <v/>
      </c>
      <c r="BN268" s="155" t="str">
        <f t="shared" si="260"/>
        <v/>
      </c>
      <c r="BO268" s="155" t="str">
        <f t="shared" si="261"/>
        <v/>
      </c>
      <c r="BP268" s="155" t="str">
        <f t="shared" si="262"/>
        <v/>
      </c>
      <c r="BQ268" s="155" t="str">
        <f t="shared" si="263"/>
        <v/>
      </c>
      <c r="BR268" s="155" t="str">
        <f t="shared" si="264"/>
        <v/>
      </c>
      <c r="BS268" s="155" t="str">
        <f t="shared" si="265"/>
        <v/>
      </c>
      <c r="BT268" s="155" t="str">
        <f t="shared" si="266"/>
        <v/>
      </c>
      <c r="BU268" s="155" t="str">
        <f t="shared" si="267"/>
        <v/>
      </c>
      <c r="BV268" s="155" t="str">
        <f t="shared" si="268"/>
        <v/>
      </c>
      <c r="BW268" s="155" t="str">
        <f t="shared" si="269"/>
        <v/>
      </c>
      <c r="BX268" s="155" t="str">
        <f t="shared" si="270"/>
        <v/>
      </c>
      <c r="BY268" s="155" t="str">
        <f t="shared" si="271"/>
        <v/>
      </c>
      <c r="BZ268" s="155" t="str">
        <f t="shared" si="272"/>
        <v/>
      </c>
      <c r="CA268" s="155" t="str">
        <f t="shared" si="273"/>
        <v/>
      </c>
      <c r="CB268" s="155" t="str">
        <f t="shared" si="274"/>
        <v/>
      </c>
      <c r="CC268" s="155" t="str">
        <f t="shared" si="275"/>
        <v/>
      </c>
      <c r="CD268" s="155" t="str">
        <f t="shared" si="276"/>
        <v/>
      </c>
      <c r="CE268" s="155" t="str">
        <f t="shared" si="277"/>
        <v/>
      </c>
      <c r="CF268" s="155" t="str">
        <f t="shared" si="278"/>
        <v/>
      </c>
      <c r="CG268" s="155" t="str">
        <f t="shared" si="279"/>
        <v/>
      </c>
      <c r="CH268" s="155" t="str">
        <f t="shared" si="280"/>
        <v/>
      </c>
      <c r="CI268" s="155" t="str">
        <f t="shared" si="281"/>
        <v/>
      </c>
      <c r="CJ268" s="155" t="str">
        <f t="shared" si="282"/>
        <v/>
      </c>
      <c r="CK268" s="155" t="str">
        <f t="shared" si="283"/>
        <v/>
      </c>
      <c r="CL268" s="155" t="str">
        <f t="shared" si="284"/>
        <v/>
      </c>
      <c r="CM268" s="155" t="str">
        <f t="shared" si="285"/>
        <v/>
      </c>
      <c r="CN268" s="155" t="str">
        <f t="shared" si="286"/>
        <v/>
      </c>
      <c r="CO268" s="155" t="str">
        <f t="shared" si="287"/>
        <v/>
      </c>
      <c r="CP268" s="155" t="str">
        <f t="shared" si="288"/>
        <v/>
      </c>
      <c r="CQ268" s="155" t="str">
        <f t="shared" si="289"/>
        <v/>
      </c>
      <c r="CR268" s="155" t="str">
        <f t="shared" si="290"/>
        <v/>
      </c>
      <c r="CS268" s="155" t="str">
        <f t="shared" si="291"/>
        <v/>
      </c>
      <c r="CT268" s="155" t="str">
        <f t="shared" si="292"/>
        <v/>
      </c>
      <c r="CU268" s="155" t="str">
        <f t="shared" si="293"/>
        <v/>
      </c>
      <c r="CV268" s="155" t="str">
        <f t="shared" si="294"/>
        <v/>
      </c>
      <c r="CW268" s="155" t="str">
        <f t="shared" si="295"/>
        <v/>
      </c>
      <c r="CX268" s="155" t="str">
        <f t="shared" si="296"/>
        <v/>
      </c>
    </row>
    <row r="269" spans="1:16384" s="151" customFormat="1" ht="14.25" outlineLevel="1" x14ac:dyDescent="0.2">
      <c r="A269" s="158"/>
      <c r="B269" s="157" t="str">
        <f>Services!B269</f>
        <v>11A03</v>
      </c>
      <c r="C269" s="153" t="str">
        <f>Services!C269</f>
        <v xml:space="preserve">Contrôle des licences des logiciels et progiciels </v>
      </c>
      <c r="D269" s="149"/>
      <c r="E269" s="149"/>
      <c r="F269" s="149"/>
      <c r="G269" s="149"/>
      <c r="H269" s="149"/>
      <c r="I269" s="140" t="str">
        <f t="shared" si="256"/>
        <v/>
      </c>
      <c r="J269" s="141" t="str">
        <f t="shared" si="214"/>
        <v/>
      </c>
      <c r="K269" s="142"/>
      <c r="L269" s="142"/>
      <c r="M269" s="1708"/>
      <c r="N269" s="1708"/>
      <c r="O269" s="1708"/>
      <c r="P269" s="1708"/>
      <c r="Q269" s="1708"/>
      <c r="R269" s="1708"/>
      <c r="S269" s="1708"/>
      <c r="T269" s="1708"/>
      <c r="U269" s="1708"/>
      <c r="V269" s="1708"/>
      <c r="W269" s="1708"/>
      <c r="X269" s="1712"/>
      <c r="Y269" s="1712"/>
      <c r="Z269" s="1712"/>
      <c r="AA269" s="1712"/>
      <c r="AB269" s="1712"/>
      <c r="AC269" s="1712"/>
      <c r="AD269" s="1712"/>
      <c r="AE269" s="1712"/>
      <c r="AF269" s="1712"/>
      <c r="AG269" s="1712"/>
      <c r="AH269" s="1712"/>
      <c r="AI269" s="1712"/>
      <c r="AJ269" s="1712"/>
      <c r="AK269" s="1712"/>
      <c r="AL269" s="1712"/>
      <c r="AM269" s="1712"/>
      <c r="AN269" s="1712"/>
      <c r="AO269" s="1712"/>
      <c r="AP269" s="1712"/>
      <c r="AQ269" s="1712"/>
      <c r="AR269" s="1712"/>
      <c r="AS269" s="1712"/>
      <c r="AT269" s="1712"/>
      <c r="AU269" s="1712"/>
      <c r="AV269" s="1712"/>
      <c r="AW269" s="1712"/>
      <c r="AX269" s="1713"/>
      <c r="AY269" s="1714" t="str">
        <f t="shared" si="215"/>
        <v/>
      </c>
      <c r="AZ269" s="1714" t="str">
        <f>IF(Obj_PA!D269="","",IF(AY269="","",Obj_PA!D269-AY269))</f>
        <v/>
      </c>
      <c r="BA269" s="150"/>
      <c r="BB269" s="150"/>
      <c r="BC269" s="150"/>
      <c r="BD269" s="150"/>
      <c r="BE269" s="150"/>
      <c r="BF269" s="150"/>
      <c r="BG269" s="150"/>
      <c r="BH269" s="150"/>
      <c r="BI269" s="150"/>
      <c r="BJ269" s="150"/>
      <c r="BK269" s="155" t="str">
        <f t="shared" si="257"/>
        <v/>
      </c>
      <c r="BL269" s="155" t="str">
        <f t="shared" si="258"/>
        <v/>
      </c>
      <c r="BM269" s="155" t="str">
        <f t="shared" si="259"/>
        <v/>
      </c>
      <c r="BN269" s="155" t="str">
        <f t="shared" si="260"/>
        <v/>
      </c>
      <c r="BO269" s="155" t="str">
        <f t="shared" si="261"/>
        <v/>
      </c>
      <c r="BP269" s="155" t="str">
        <f t="shared" si="262"/>
        <v/>
      </c>
      <c r="BQ269" s="155" t="str">
        <f t="shared" si="263"/>
        <v/>
      </c>
      <c r="BR269" s="155" t="str">
        <f t="shared" si="264"/>
        <v/>
      </c>
      <c r="BS269" s="155" t="str">
        <f t="shared" si="265"/>
        <v/>
      </c>
      <c r="BT269" s="155" t="str">
        <f t="shared" si="266"/>
        <v/>
      </c>
      <c r="BU269" s="155" t="str">
        <f t="shared" si="267"/>
        <v/>
      </c>
      <c r="BV269" s="155" t="str">
        <f t="shared" si="268"/>
        <v/>
      </c>
      <c r="BW269" s="155" t="str">
        <f t="shared" si="269"/>
        <v/>
      </c>
      <c r="BX269" s="155" t="str">
        <f t="shared" si="270"/>
        <v/>
      </c>
      <c r="BY269" s="155" t="str">
        <f t="shared" si="271"/>
        <v/>
      </c>
      <c r="BZ269" s="155" t="str">
        <f t="shared" si="272"/>
        <v/>
      </c>
      <c r="CA269" s="155" t="str">
        <f t="shared" si="273"/>
        <v/>
      </c>
      <c r="CB269" s="155" t="str">
        <f t="shared" si="274"/>
        <v/>
      </c>
      <c r="CC269" s="155" t="str">
        <f t="shared" si="275"/>
        <v/>
      </c>
      <c r="CD269" s="155" t="str">
        <f t="shared" si="276"/>
        <v/>
      </c>
      <c r="CE269" s="155" t="str">
        <f t="shared" si="277"/>
        <v/>
      </c>
      <c r="CF269" s="155" t="str">
        <f t="shared" si="278"/>
        <v/>
      </c>
      <c r="CG269" s="155" t="str">
        <f t="shared" si="279"/>
        <v/>
      </c>
      <c r="CH269" s="155" t="str">
        <f t="shared" si="280"/>
        <v/>
      </c>
      <c r="CI269" s="155" t="str">
        <f t="shared" si="281"/>
        <v/>
      </c>
      <c r="CJ269" s="155" t="str">
        <f t="shared" si="282"/>
        <v/>
      </c>
      <c r="CK269" s="155" t="str">
        <f t="shared" si="283"/>
        <v/>
      </c>
      <c r="CL269" s="155" t="str">
        <f t="shared" si="284"/>
        <v/>
      </c>
      <c r="CM269" s="155" t="str">
        <f t="shared" si="285"/>
        <v/>
      </c>
      <c r="CN269" s="155" t="str">
        <f t="shared" si="286"/>
        <v/>
      </c>
      <c r="CO269" s="155" t="str">
        <f t="shared" si="287"/>
        <v/>
      </c>
      <c r="CP269" s="155" t="str">
        <f t="shared" si="288"/>
        <v/>
      </c>
      <c r="CQ269" s="155" t="str">
        <f t="shared" si="289"/>
        <v/>
      </c>
      <c r="CR269" s="155" t="str">
        <f t="shared" si="290"/>
        <v/>
      </c>
      <c r="CS269" s="155" t="str">
        <f t="shared" si="291"/>
        <v/>
      </c>
      <c r="CT269" s="155" t="str">
        <f t="shared" si="292"/>
        <v/>
      </c>
      <c r="CU269" s="155" t="str">
        <f t="shared" si="293"/>
        <v/>
      </c>
      <c r="CV269" s="155" t="str">
        <f t="shared" si="294"/>
        <v/>
      </c>
      <c r="CW269" s="155" t="str">
        <f t="shared" si="295"/>
        <v/>
      </c>
      <c r="CX269" s="155" t="str">
        <f t="shared" si="296"/>
        <v/>
      </c>
    </row>
    <row r="270" spans="1:16384" s="151" customFormat="1" ht="25.5" outlineLevel="1" x14ac:dyDescent="0.2">
      <c r="A270" s="158"/>
      <c r="B270" s="157" t="str">
        <f>Services!B270</f>
        <v>11A04</v>
      </c>
      <c r="C270" s="153" t="str">
        <f>Services!C270</f>
        <v>Contrôle de la conformité des programmes de référence (Sources et exécutables) des logiciels utilisateurs</v>
      </c>
      <c r="D270" s="149"/>
      <c r="E270" s="149"/>
      <c r="F270" s="149"/>
      <c r="G270" s="149"/>
      <c r="H270" s="149"/>
      <c r="I270" s="140" t="str">
        <f t="shared" si="256"/>
        <v/>
      </c>
      <c r="J270" s="141" t="str">
        <f t="shared" si="214"/>
        <v/>
      </c>
      <c r="K270" s="142"/>
      <c r="L270" s="142"/>
      <c r="M270" s="1708"/>
      <c r="N270" s="1708"/>
      <c r="O270" s="1708"/>
      <c r="P270" s="1708"/>
      <c r="Q270" s="1708"/>
      <c r="R270" s="1708"/>
      <c r="S270" s="1708"/>
      <c r="T270" s="1708"/>
      <c r="U270" s="1708"/>
      <c r="V270" s="1708"/>
      <c r="W270" s="1708"/>
      <c r="X270" s="1712"/>
      <c r="Y270" s="1712"/>
      <c r="Z270" s="1712"/>
      <c r="AA270" s="1712"/>
      <c r="AB270" s="1712"/>
      <c r="AC270" s="1712"/>
      <c r="AD270" s="1712"/>
      <c r="AE270" s="1712"/>
      <c r="AF270" s="1712"/>
      <c r="AG270" s="1712"/>
      <c r="AH270" s="1712"/>
      <c r="AI270" s="1712"/>
      <c r="AJ270" s="1712"/>
      <c r="AK270" s="1712"/>
      <c r="AL270" s="1712"/>
      <c r="AM270" s="1712"/>
      <c r="AN270" s="1712"/>
      <c r="AO270" s="1712"/>
      <c r="AP270" s="1712"/>
      <c r="AQ270" s="1712"/>
      <c r="AR270" s="1712"/>
      <c r="AS270" s="1712"/>
      <c r="AT270" s="1712"/>
      <c r="AU270" s="1712"/>
      <c r="AV270" s="1712"/>
      <c r="AW270" s="1712"/>
      <c r="AX270" s="1713"/>
      <c r="AY270" s="1714" t="str">
        <f t="shared" si="215"/>
        <v/>
      </c>
      <c r="AZ270" s="1714" t="str">
        <f>IF(Obj_PA!D270="","",IF(AY270="","",Obj_PA!D270-AY270))</f>
        <v/>
      </c>
      <c r="BA270" s="150"/>
      <c r="BB270" s="150"/>
      <c r="BC270" s="150"/>
      <c r="BD270" s="150"/>
      <c r="BE270" s="150"/>
      <c r="BF270" s="150"/>
      <c r="BG270" s="150"/>
      <c r="BH270" s="150"/>
      <c r="BI270" s="150"/>
      <c r="BJ270" s="150"/>
      <c r="BK270" s="155" t="str">
        <f t="shared" si="257"/>
        <v/>
      </c>
      <c r="BL270" s="155" t="str">
        <f t="shared" si="258"/>
        <v/>
      </c>
      <c r="BM270" s="155" t="str">
        <f t="shared" si="259"/>
        <v/>
      </c>
      <c r="BN270" s="155" t="str">
        <f t="shared" si="260"/>
        <v/>
      </c>
      <c r="BO270" s="155" t="str">
        <f t="shared" si="261"/>
        <v/>
      </c>
      <c r="BP270" s="155" t="str">
        <f t="shared" si="262"/>
        <v/>
      </c>
      <c r="BQ270" s="155" t="str">
        <f t="shared" si="263"/>
        <v/>
      </c>
      <c r="BR270" s="155" t="str">
        <f t="shared" si="264"/>
        <v/>
      </c>
      <c r="BS270" s="155" t="str">
        <f t="shared" si="265"/>
        <v/>
      </c>
      <c r="BT270" s="155" t="str">
        <f t="shared" si="266"/>
        <v/>
      </c>
      <c r="BU270" s="155" t="str">
        <f t="shared" si="267"/>
        <v/>
      </c>
      <c r="BV270" s="155" t="str">
        <f t="shared" si="268"/>
        <v/>
      </c>
      <c r="BW270" s="155" t="str">
        <f t="shared" si="269"/>
        <v/>
      </c>
      <c r="BX270" s="155" t="str">
        <f t="shared" si="270"/>
        <v/>
      </c>
      <c r="BY270" s="155" t="str">
        <f t="shared" si="271"/>
        <v/>
      </c>
      <c r="BZ270" s="155" t="str">
        <f t="shared" si="272"/>
        <v/>
      </c>
      <c r="CA270" s="155" t="str">
        <f t="shared" si="273"/>
        <v/>
      </c>
      <c r="CB270" s="155" t="str">
        <f t="shared" si="274"/>
        <v/>
      </c>
      <c r="CC270" s="155" t="str">
        <f t="shared" si="275"/>
        <v/>
      </c>
      <c r="CD270" s="155" t="str">
        <f t="shared" si="276"/>
        <v/>
      </c>
      <c r="CE270" s="155" t="str">
        <f t="shared" si="277"/>
        <v/>
      </c>
      <c r="CF270" s="155" t="str">
        <f t="shared" si="278"/>
        <v/>
      </c>
      <c r="CG270" s="155" t="str">
        <f t="shared" si="279"/>
        <v/>
      </c>
      <c r="CH270" s="155" t="str">
        <f t="shared" si="280"/>
        <v/>
      </c>
      <c r="CI270" s="155" t="str">
        <f t="shared" si="281"/>
        <v/>
      </c>
      <c r="CJ270" s="155" t="str">
        <f t="shared" si="282"/>
        <v/>
      </c>
      <c r="CK270" s="155" t="str">
        <f t="shared" si="283"/>
        <v/>
      </c>
      <c r="CL270" s="155" t="str">
        <f t="shared" si="284"/>
        <v/>
      </c>
      <c r="CM270" s="155" t="str">
        <f t="shared" si="285"/>
        <v/>
      </c>
      <c r="CN270" s="155" t="str">
        <f t="shared" si="286"/>
        <v/>
      </c>
      <c r="CO270" s="155" t="str">
        <f t="shared" si="287"/>
        <v/>
      </c>
      <c r="CP270" s="155" t="str">
        <f t="shared" si="288"/>
        <v/>
      </c>
      <c r="CQ270" s="155" t="str">
        <f t="shared" si="289"/>
        <v/>
      </c>
      <c r="CR270" s="155" t="str">
        <f t="shared" si="290"/>
        <v/>
      </c>
      <c r="CS270" s="155" t="str">
        <f t="shared" si="291"/>
        <v/>
      </c>
      <c r="CT270" s="155" t="str">
        <f t="shared" si="292"/>
        <v/>
      </c>
      <c r="CU270" s="155" t="str">
        <f t="shared" si="293"/>
        <v/>
      </c>
      <c r="CV270" s="155" t="str">
        <f t="shared" si="294"/>
        <v/>
      </c>
      <c r="CW270" s="155" t="str">
        <f t="shared" si="295"/>
        <v/>
      </c>
      <c r="CX270" s="155" t="str">
        <f t="shared" si="296"/>
        <v/>
      </c>
    </row>
    <row r="271" spans="1:16384" s="151" customFormat="1" ht="25.5" outlineLevel="1" x14ac:dyDescent="0.2">
      <c r="A271" s="146"/>
      <c r="B271" s="157" t="str">
        <f>Services!B271</f>
        <v>11A05</v>
      </c>
      <c r="C271" s="153" t="str">
        <f>Services!C271</f>
        <v>Gestion des prestataires ou fournisseurs de services de gestion et d'administration du parc de postes utilisateurs</v>
      </c>
      <c r="D271" s="149"/>
      <c r="E271" s="149"/>
      <c r="F271" s="149"/>
      <c r="G271" s="149"/>
      <c r="H271" s="149"/>
      <c r="I271" s="140" t="str">
        <f t="shared" si="256"/>
        <v/>
      </c>
      <c r="J271" s="141" t="str">
        <f t="shared" si="214"/>
        <v/>
      </c>
      <c r="K271" s="142"/>
      <c r="L271" s="142"/>
      <c r="M271" s="1708"/>
      <c r="N271" s="1708"/>
      <c r="O271" s="1708"/>
      <c r="P271" s="1708"/>
      <c r="Q271" s="1708"/>
      <c r="R271" s="1708"/>
      <c r="S271" s="1708"/>
      <c r="T271" s="1708"/>
      <c r="U271" s="1708"/>
      <c r="V271" s="1708"/>
      <c r="W271" s="1708"/>
      <c r="X271" s="1712"/>
      <c r="Y271" s="1712"/>
      <c r="Z271" s="1712"/>
      <c r="AA271" s="1712"/>
      <c r="AB271" s="1712"/>
      <c r="AC271" s="1712"/>
      <c r="AD271" s="1712"/>
      <c r="AE271" s="1712"/>
      <c r="AF271" s="1712"/>
      <c r="AG271" s="1712"/>
      <c r="AH271" s="1712"/>
      <c r="AI271" s="1712"/>
      <c r="AJ271" s="1712"/>
      <c r="AK271" s="1712"/>
      <c r="AL271" s="1712"/>
      <c r="AM271" s="1712"/>
      <c r="AN271" s="1712"/>
      <c r="AO271" s="1712"/>
      <c r="AP271" s="1712"/>
      <c r="AQ271" s="1712"/>
      <c r="AR271" s="1712"/>
      <c r="AS271" s="1712"/>
      <c r="AT271" s="1712"/>
      <c r="AU271" s="1712"/>
      <c r="AV271" s="1712"/>
      <c r="AW271" s="1712"/>
      <c r="AX271" s="1713"/>
      <c r="AY271" s="1714" t="str">
        <f t="shared" si="215"/>
        <v/>
      </c>
      <c r="AZ271" s="1714" t="str">
        <f>IF(Obj_PA!D271="","",IF(AY271="","",Obj_PA!D271-AY271))</f>
        <v/>
      </c>
      <c r="BA271" s="150"/>
      <c r="BB271" s="150"/>
      <c r="BC271" s="150"/>
      <c r="BD271" s="150"/>
      <c r="BE271" s="150"/>
      <c r="BF271" s="150"/>
      <c r="BG271" s="150"/>
      <c r="BH271" s="150"/>
      <c r="BI271" s="150"/>
      <c r="BJ271" s="150"/>
      <c r="BK271" s="155" t="str">
        <f t="shared" si="257"/>
        <v/>
      </c>
      <c r="BL271" s="155" t="str">
        <f t="shared" si="258"/>
        <v/>
      </c>
      <c r="BM271" s="155" t="str">
        <f t="shared" si="259"/>
        <v/>
      </c>
      <c r="BN271" s="155" t="str">
        <f t="shared" si="260"/>
        <v/>
      </c>
      <c r="BO271" s="155" t="str">
        <f t="shared" si="261"/>
        <v/>
      </c>
      <c r="BP271" s="155" t="str">
        <f t="shared" si="262"/>
        <v/>
      </c>
      <c r="BQ271" s="155" t="str">
        <f t="shared" si="263"/>
        <v/>
      </c>
      <c r="BR271" s="155" t="str">
        <f t="shared" si="264"/>
        <v/>
      </c>
      <c r="BS271" s="155" t="str">
        <f t="shared" si="265"/>
        <v/>
      </c>
      <c r="BT271" s="155" t="str">
        <f t="shared" si="266"/>
        <v/>
      </c>
      <c r="BU271" s="155" t="str">
        <f t="shared" si="267"/>
        <v/>
      </c>
      <c r="BV271" s="155" t="str">
        <f t="shared" si="268"/>
        <v/>
      </c>
      <c r="BW271" s="155" t="str">
        <f t="shared" si="269"/>
        <v/>
      </c>
      <c r="BX271" s="155" t="str">
        <f t="shared" si="270"/>
        <v/>
      </c>
      <c r="BY271" s="155" t="str">
        <f t="shared" si="271"/>
        <v/>
      </c>
      <c r="BZ271" s="155" t="str">
        <f t="shared" si="272"/>
        <v/>
      </c>
      <c r="CA271" s="155" t="str">
        <f t="shared" si="273"/>
        <v/>
      </c>
      <c r="CB271" s="155" t="str">
        <f t="shared" si="274"/>
        <v/>
      </c>
      <c r="CC271" s="155" t="str">
        <f t="shared" si="275"/>
        <v/>
      </c>
      <c r="CD271" s="155" t="str">
        <f t="shared" si="276"/>
        <v/>
      </c>
      <c r="CE271" s="155" t="str">
        <f t="shared" si="277"/>
        <v/>
      </c>
      <c r="CF271" s="155" t="str">
        <f t="shared" si="278"/>
        <v/>
      </c>
      <c r="CG271" s="155" t="str">
        <f t="shared" si="279"/>
        <v/>
      </c>
      <c r="CH271" s="155" t="str">
        <f t="shared" si="280"/>
        <v/>
      </c>
      <c r="CI271" s="155" t="str">
        <f t="shared" si="281"/>
        <v/>
      </c>
      <c r="CJ271" s="155" t="str">
        <f t="shared" si="282"/>
        <v/>
      </c>
      <c r="CK271" s="155" t="str">
        <f t="shared" si="283"/>
        <v/>
      </c>
      <c r="CL271" s="155" t="str">
        <f t="shared" si="284"/>
        <v/>
      </c>
      <c r="CM271" s="155" t="str">
        <f t="shared" si="285"/>
        <v/>
      </c>
      <c r="CN271" s="155" t="str">
        <f t="shared" si="286"/>
        <v/>
      </c>
      <c r="CO271" s="155" t="str">
        <f t="shared" si="287"/>
        <v/>
      </c>
      <c r="CP271" s="155" t="str">
        <f t="shared" si="288"/>
        <v/>
      </c>
      <c r="CQ271" s="155" t="str">
        <f t="shared" si="289"/>
        <v/>
      </c>
      <c r="CR271" s="155" t="str">
        <f t="shared" si="290"/>
        <v/>
      </c>
      <c r="CS271" s="155" t="str">
        <f t="shared" si="291"/>
        <v/>
      </c>
      <c r="CT271" s="155" t="str">
        <f t="shared" si="292"/>
        <v/>
      </c>
      <c r="CU271" s="155" t="str">
        <f t="shared" si="293"/>
        <v/>
      </c>
      <c r="CV271" s="155" t="str">
        <f t="shared" si="294"/>
        <v/>
      </c>
      <c r="CW271" s="155" t="str">
        <f t="shared" si="295"/>
        <v/>
      </c>
      <c r="CX271" s="155" t="str">
        <f t="shared" si="296"/>
        <v/>
      </c>
    </row>
    <row r="272" spans="1:16384" s="151" customFormat="1" ht="14.25" outlineLevel="1" x14ac:dyDescent="0.2">
      <c r="A272" s="158"/>
      <c r="B272" s="147" t="str">
        <f>Services!B272</f>
        <v>11B</v>
      </c>
      <c r="C272" s="148" t="str">
        <f>Services!C272</f>
        <v>Protection des postes de travail</v>
      </c>
      <c r="D272" s="149"/>
      <c r="E272" s="149"/>
      <c r="F272" s="149"/>
      <c r="G272" s="149"/>
      <c r="H272" s="149"/>
      <c r="I272" s="140" t="str">
        <f t="shared" si="256"/>
        <v/>
      </c>
      <c r="J272" s="141" t="str">
        <f t="shared" si="214"/>
        <v/>
      </c>
      <c r="K272" s="142"/>
      <c r="L272" s="142"/>
      <c r="M272" s="1708"/>
      <c r="N272" s="1708"/>
      <c r="O272" s="1708"/>
      <c r="P272" s="1708"/>
      <c r="Q272" s="1708"/>
      <c r="R272" s="1708"/>
      <c r="S272" s="1708"/>
      <c r="T272" s="1708"/>
      <c r="U272" s="1708"/>
      <c r="V272" s="1708"/>
      <c r="W272" s="1708"/>
      <c r="X272" s="1712"/>
      <c r="Y272" s="1712"/>
      <c r="Z272" s="1712"/>
      <c r="AA272" s="1712"/>
      <c r="AB272" s="1712"/>
      <c r="AC272" s="1712"/>
      <c r="AD272" s="1712"/>
      <c r="AE272" s="1712"/>
      <c r="AF272" s="1712"/>
      <c r="AG272" s="1712"/>
      <c r="AH272" s="1712"/>
      <c r="AI272" s="1712"/>
      <c r="AJ272" s="1712"/>
      <c r="AK272" s="1712"/>
      <c r="AL272" s="1712"/>
      <c r="AM272" s="1712"/>
      <c r="AN272" s="1712"/>
      <c r="AO272" s="1712"/>
      <c r="AP272" s="1712"/>
      <c r="AQ272" s="1712"/>
      <c r="AR272" s="1712"/>
      <c r="AS272" s="1712"/>
      <c r="AT272" s="1712"/>
      <c r="AU272" s="1712"/>
      <c r="AV272" s="1712"/>
      <c r="AW272" s="1712"/>
      <c r="AX272" s="1713"/>
      <c r="AY272" s="1714" t="str">
        <f t="shared" si="215"/>
        <v/>
      </c>
      <c r="AZ272" s="1714" t="str">
        <f>IF(Obj_PA!D272="","",IF(AY272="","",Obj_PA!D272-AY272))</f>
        <v/>
      </c>
      <c r="BA272" s="150"/>
      <c r="BB272" s="150"/>
      <c r="BC272" s="150"/>
      <c r="BD272" s="150"/>
      <c r="BE272" s="150"/>
      <c r="BF272" s="150"/>
      <c r="BG272" s="150"/>
      <c r="BH272" s="150"/>
      <c r="BI272" s="150"/>
      <c r="BJ272" s="150"/>
      <c r="BK272" s="155" t="str">
        <f t="shared" si="257"/>
        <v/>
      </c>
      <c r="BL272" s="155" t="str">
        <f t="shared" si="258"/>
        <v/>
      </c>
      <c r="BM272" s="155" t="str">
        <f t="shared" si="259"/>
        <v/>
      </c>
      <c r="BN272" s="155" t="str">
        <f t="shared" si="260"/>
        <v/>
      </c>
      <c r="BO272" s="155" t="str">
        <f t="shared" si="261"/>
        <v/>
      </c>
      <c r="BP272" s="155" t="str">
        <f t="shared" si="262"/>
        <v/>
      </c>
      <c r="BQ272" s="155" t="str">
        <f t="shared" si="263"/>
        <v/>
      </c>
      <c r="BR272" s="155" t="str">
        <f t="shared" si="264"/>
        <v/>
      </c>
      <c r="BS272" s="155" t="str">
        <f t="shared" si="265"/>
        <v/>
      </c>
      <c r="BT272" s="155" t="str">
        <f t="shared" si="266"/>
        <v/>
      </c>
      <c r="BU272" s="155" t="str">
        <f t="shared" si="267"/>
        <v/>
      </c>
      <c r="BV272" s="155" t="str">
        <f t="shared" si="268"/>
        <v/>
      </c>
      <c r="BW272" s="155" t="str">
        <f t="shared" si="269"/>
        <v/>
      </c>
      <c r="BX272" s="155" t="str">
        <f t="shared" si="270"/>
        <v/>
      </c>
      <c r="BY272" s="155" t="str">
        <f t="shared" si="271"/>
        <v/>
      </c>
      <c r="BZ272" s="155" t="str">
        <f t="shared" si="272"/>
        <v/>
      </c>
      <c r="CA272" s="155" t="str">
        <f t="shared" si="273"/>
        <v/>
      </c>
      <c r="CB272" s="155" t="str">
        <f t="shared" si="274"/>
        <v/>
      </c>
      <c r="CC272" s="155" t="str">
        <f t="shared" si="275"/>
        <v/>
      </c>
      <c r="CD272" s="155" t="str">
        <f t="shared" si="276"/>
        <v/>
      </c>
      <c r="CE272" s="155" t="str">
        <f t="shared" si="277"/>
        <v/>
      </c>
      <c r="CF272" s="155" t="str">
        <f t="shared" si="278"/>
        <v/>
      </c>
      <c r="CG272" s="155" t="str">
        <f t="shared" si="279"/>
        <v/>
      </c>
      <c r="CH272" s="155" t="str">
        <f t="shared" si="280"/>
        <v/>
      </c>
      <c r="CI272" s="155" t="str">
        <f t="shared" si="281"/>
        <v/>
      </c>
      <c r="CJ272" s="155" t="str">
        <f t="shared" si="282"/>
        <v/>
      </c>
      <c r="CK272" s="155" t="str">
        <f t="shared" si="283"/>
        <v/>
      </c>
      <c r="CL272" s="155" t="str">
        <f t="shared" si="284"/>
        <v/>
      </c>
      <c r="CM272" s="155" t="str">
        <f t="shared" si="285"/>
        <v/>
      </c>
      <c r="CN272" s="155" t="str">
        <f t="shared" si="286"/>
        <v/>
      </c>
      <c r="CO272" s="155" t="str">
        <f t="shared" si="287"/>
        <v/>
      </c>
      <c r="CP272" s="155" t="str">
        <f t="shared" si="288"/>
        <v/>
      </c>
      <c r="CQ272" s="155" t="str">
        <f t="shared" si="289"/>
        <v/>
      </c>
      <c r="CR272" s="155" t="str">
        <f t="shared" si="290"/>
        <v/>
      </c>
      <c r="CS272" s="155" t="str">
        <f t="shared" si="291"/>
        <v/>
      </c>
      <c r="CT272" s="155" t="str">
        <f t="shared" si="292"/>
        <v/>
      </c>
      <c r="CU272" s="155" t="str">
        <f t="shared" si="293"/>
        <v/>
      </c>
      <c r="CV272" s="155" t="str">
        <f t="shared" si="294"/>
        <v/>
      </c>
      <c r="CW272" s="155" t="str">
        <f t="shared" si="295"/>
        <v/>
      </c>
      <c r="CX272" s="155" t="str">
        <f t="shared" si="296"/>
        <v/>
      </c>
    </row>
    <row r="273" spans="1:128" s="151" customFormat="1" ht="14.25" outlineLevel="1" x14ac:dyDescent="0.2">
      <c r="A273" s="158"/>
      <c r="B273" s="157" t="str">
        <f>Services!B273</f>
        <v>11B01</v>
      </c>
      <c r="C273" s="153" t="str">
        <f>Services!C273</f>
        <v>Contrôle d'accès au poste de travail</v>
      </c>
      <c r="D273" s="149">
        <f>1*(8*Plans_action!E21+Plans_action!D21)</f>
        <v>0</v>
      </c>
      <c r="E273" s="149"/>
      <c r="F273" s="149">
        <f>3*(8*Plans_action!E140+Plans_action!D140)</f>
        <v>0</v>
      </c>
      <c r="G273" s="149"/>
      <c r="H273" s="149"/>
      <c r="I273" s="140" t="str">
        <f t="shared" si="256"/>
        <v/>
      </c>
      <c r="J273" s="141" t="str">
        <f t="shared" si="214"/>
        <v/>
      </c>
      <c r="K273" s="142"/>
      <c r="L273" s="142"/>
      <c r="M273" s="1708"/>
      <c r="N273" s="1708"/>
      <c r="O273" s="1708"/>
      <c r="P273" s="1708"/>
      <c r="Q273" s="1708"/>
      <c r="R273" s="1708"/>
      <c r="S273" s="1708"/>
      <c r="T273" s="1708"/>
      <c r="U273" s="1708"/>
      <c r="V273" s="1708"/>
      <c r="W273" s="1708"/>
      <c r="X273" s="1712"/>
      <c r="Y273" s="1712"/>
      <c r="Z273" s="1712"/>
      <c r="AA273" s="1712"/>
      <c r="AB273" s="1712"/>
      <c r="AC273" s="1712"/>
      <c r="AD273" s="1712"/>
      <c r="AE273" s="1712"/>
      <c r="AF273" s="1712"/>
      <c r="AG273" s="1712"/>
      <c r="AH273" s="1712"/>
      <c r="AI273" s="1712"/>
      <c r="AJ273" s="1712"/>
      <c r="AK273" s="1712"/>
      <c r="AL273" s="1712"/>
      <c r="AM273" s="1712"/>
      <c r="AN273" s="1712"/>
      <c r="AO273" s="1712"/>
      <c r="AP273" s="1712"/>
      <c r="AQ273" s="1712"/>
      <c r="AR273" s="1712"/>
      <c r="AS273" s="1712"/>
      <c r="AT273" s="1712"/>
      <c r="AU273" s="1712"/>
      <c r="AV273" s="1712"/>
      <c r="AW273" s="1712"/>
      <c r="AX273" s="1713"/>
      <c r="AY273" s="1714" t="str">
        <f t="shared" si="215"/>
        <v/>
      </c>
      <c r="AZ273" s="1714" t="str">
        <f>IF(Obj_PA!D273="","",IF(AY273="","",Obj_PA!D273-AY273))</f>
        <v/>
      </c>
      <c r="BA273" s="150"/>
      <c r="BB273" s="150"/>
      <c r="BC273" s="150"/>
      <c r="BD273" s="150"/>
      <c r="BE273" s="150"/>
      <c r="BF273" s="150"/>
      <c r="BG273" s="150"/>
      <c r="BH273" s="150"/>
      <c r="BI273" s="150"/>
      <c r="BJ273" s="150"/>
      <c r="BK273" s="155" t="str">
        <f t="shared" si="257"/>
        <v/>
      </c>
      <c r="BL273" s="155" t="str">
        <f t="shared" si="258"/>
        <v/>
      </c>
      <c r="BM273" s="155" t="str">
        <f t="shared" si="259"/>
        <v/>
      </c>
      <c r="BN273" s="155" t="str">
        <f t="shared" si="260"/>
        <v/>
      </c>
      <c r="BO273" s="155" t="str">
        <f t="shared" si="261"/>
        <v/>
      </c>
      <c r="BP273" s="155" t="str">
        <f t="shared" si="262"/>
        <v/>
      </c>
      <c r="BQ273" s="155" t="str">
        <f t="shared" si="263"/>
        <v/>
      </c>
      <c r="BR273" s="155" t="str">
        <f t="shared" si="264"/>
        <v/>
      </c>
      <c r="BS273" s="155" t="str">
        <f t="shared" si="265"/>
        <v/>
      </c>
      <c r="BT273" s="155" t="str">
        <f t="shared" si="266"/>
        <v/>
      </c>
      <c r="BU273" s="155" t="str">
        <f t="shared" si="267"/>
        <v/>
      </c>
      <c r="BV273" s="155" t="str">
        <f t="shared" si="268"/>
        <v/>
      </c>
      <c r="BW273" s="155" t="str">
        <f t="shared" si="269"/>
        <v/>
      </c>
      <c r="BX273" s="155" t="str">
        <f t="shared" si="270"/>
        <v/>
      </c>
      <c r="BY273" s="155" t="str">
        <f t="shared" si="271"/>
        <v/>
      </c>
      <c r="BZ273" s="155" t="str">
        <f t="shared" si="272"/>
        <v/>
      </c>
      <c r="CA273" s="155" t="str">
        <f t="shared" si="273"/>
        <v/>
      </c>
      <c r="CB273" s="155" t="str">
        <f t="shared" si="274"/>
        <v/>
      </c>
      <c r="CC273" s="155" t="str">
        <f t="shared" si="275"/>
        <v/>
      </c>
      <c r="CD273" s="155" t="str">
        <f t="shared" si="276"/>
        <v/>
      </c>
      <c r="CE273" s="155" t="str">
        <f t="shared" si="277"/>
        <v/>
      </c>
      <c r="CF273" s="155" t="str">
        <f t="shared" si="278"/>
        <v/>
      </c>
      <c r="CG273" s="155" t="str">
        <f t="shared" si="279"/>
        <v/>
      </c>
      <c r="CH273" s="155" t="str">
        <f t="shared" si="280"/>
        <v/>
      </c>
      <c r="CI273" s="155" t="str">
        <f t="shared" si="281"/>
        <v/>
      </c>
      <c r="CJ273" s="155" t="str">
        <f t="shared" si="282"/>
        <v/>
      </c>
      <c r="CK273" s="155" t="str">
        <f t="shared" si="283"/>
        <v/>
      </c>
      <c r="CL273" s="155" t="str">
        <f t="shared" si="284"/>
        <v/>
      </c>
      <c r="CM273" s="155" t="str">
        <f t="shared" si="285"/>
        <v/>
      </c>
      <c r="CN273" s="155" t="str">
        <f t="shared" si="286"/>
        <v/>
      </c>
      <c r="CO273" s="155" t="str">
        <f t="shared" si="287"/>
        <v/>
      </c>
      <c r="CP273" s="155" t="str">
        <f t="shared" si="288"/>
        <v/>
      </c>
      <c r="CQ273" s="155" t="str">
        <f t="shared" si="289"/>
        <v/>
      </c>
      <c r="CR273" s="155" t="str">
        <f t="shared" si="290"/>
        <v/>
      </c>
      <c r="CS273" s="155" t="str">
        <f t="shared" si="291"/>
        <v/>
      </c>
      <c r="CT273" s="155" t="str">
        <f t="shared" si="292"/>
        <v/>
      </c>
      <c r="CU273" s="155" t="str">
        <f t="shared" si="293"/>
        <v/>
      </c>
      <c r="CV273" s="155" t="str">
        <f t="shared" si="294"/>
        <v/>
      </c>
      <c r="CW273" s="155" t="str">
        <f t="shared" si="295"/>
        <v/>
      </c>
      <c r="CX273" s="155" t="str">
        <f t="shared" si="296"/>
        <v/>
      </c>
    </row>
    <row r="274" spans="1:128" s="151" customFormat="1" ht="14.25" outlineLevel="1" x14ac:dyDescent="0.2">
      <c r="A274" s="156"/>
      <c r="B274" s="157" t="str">
        <f>Services!B274</f>
        <v>11B02</v>
      </c>
      <c r="C274" s="153" t="str">
        <f>Services!C274</f>
        <v>Travail en dehors des locaux de l'entreprise</v>
      </c>
      <c r="D274" s="149"/>
      <c r="E274" s="149"/>
      <c r="F274" s="149"/>
      <c r="G274" s="149"/>
      <c r="H274" s="149">
        <f>5*(8*Plans_action!E28+Plans_action!D28)</f>
        <v>0</v>
      </c>
      <c r="I274" s="140" t="str">
        <f t="shared" si="256"/>
        <v/>
      </c>
      <c r="J274" s="141" t="str">
        <f t="shared" si="214"/>
        <v/>
      </c>
      <c r="K274" s="142"/>
      <c r="L274" s="142"/>
      <c r="M274" s="1708"/>
      <c r="N274" s="1708"/>
      <c r="O274" s="1708"/>
      <c r="P274" s="1708"/>
      <c r="Q274" s="1708"/>
      <c r="R274" s="1708"/>
      <c r="S274" s="1708"/>
      <c r="T274" s="1708"/>
      <c r="U274" s="1708"/>
      <c r="V274" s="1708"/>
      <c r="W274" s="1708"/>
      <c r="X274" s="1712"/>
      <c r="Y274" s="1712"/>
      <c r="Z274" s="1712"/>
      <c r="AA274" s="1712"/>
      <c r="AB274" s="1712"/>
      <c r="AC274" s="1712"/>
      <c r="AD274" s="1712"/>
      <c r="AE274" s="1712"/>
      <c r="AF274" s="1712"/>
      <c r="AG274" s="1712"/>
      <c r="AH274" s="1712"/>
      <c r="AI274" s="1712"/>
      <c r="AJ274" s="1712"/>
      <c r="AK274" s="1712"/>
      <c r="AL274" s="1712"/>
      <c r="AM274" s="1712"/>
      <c r="AN274" s="1712"/>
      <c r="AO274" s="1712"/>
      <c r="AP274" s="1712"/>
      <c r="AQ274" s="1712"/>
      <c r="AR274" s="1712"/>
      <c r="AS274" s="1712"/>
      <c r="AT274" s="1712"/>
      <c r="AU274" s="1712"/>
      <c r="AV274" s="1712"/>
      <c r="AW274" s="1712"/>
      <c r="AX274" s="1713"/>
      <c r="AY274" s="1714" t="str">
        <f t="shared" si="215"/>
        <v/>
      </c>
      <c r="AZ274" s="1714" t="str">
        <f>IF(Obj_PA!D274="","",IF(AY274="","",Obj_PA!D274-AY274))</f>
        <v/>
      </c>
      <c r="BA274" s="150"/>
      <c r="BB274" s="150"/>
      <c r="BC274" s="150"/>
      <c r="BD274" s="150"/>
      <c r="BE274" s="150"/>
      <c r="BF274" s="150"/>
      <c r="BG274" s="150"/>
      <c r="BH274" s="150"/>
      <c r="BI274" s="150"/>
      <c r="BJ274" s="150"/>
      <c r="BK274" s="155" t="str">
        <f t="shared" si="257"/>
        <v/>
      </c>
      <c r="BL274" s="155" t="str">
        <f t="shared" si="258"/>
        <v/>
      </c>
      <c r="BM274" s="155" t="str">
        <f t="shared" si="259"/>
        <v/>
      </c>
      <c r="BN274" s="155" t="str">
        <f t="shared" si="260"/>
        <v/>
      </c>
      <c r="BO274" s="155" t="str">
        <f t="shared" si="261"/>
        <v/>
      </c>
      <c r="BP274" s="155" t="str">
        <f t="shared" si="262"/>
        <v/>
      </c>
      <c r="BQ274" s="155" t="str">
        <f t="shared" si="263"/>
        <v/>
      </c>
      <c r="BR274" s="155" t="str">
        <f t="shared" si="264"/>
        <v/>
      </c>
      <c r="BS274" s="155" t="str">
        <f t="shared" si="265"/>
        <v/>
      </c>
      <c r="BT274" s="155" t="str">
        <f t="shared" si="266"/>
        <v/>
      </c>
      <c r="BU274" s="155" t="str">
        <f t="shared" si="267"/>
        <v/>
      </c>
      <c r="BV274" s="155" t="str">
        <f t="shared" si="268"/>
        <v/>
      </c>
      <c r="BW274" s="155" t="str">
        <f t="shared" si="269"/>
        <v/>
      </c>
      <c r="BX274" s="155" t="str">
        <f t="shared" si="270"/>
        <v/>
      </c>
      <c r="BY274" s="155" t="str">
        <f t="shared" si="271"/>
        <v/>
      </c>
      <c r="BZ274" s="155" t="str">
        <f t="shared" si="272"/>
        <v/>
      </c>
      <c r="CA274" s="155" t="str">
        <f t="shared" si="273"/>
        <v/>
      </c>
      <c r="CB274" s="155" t="str">
        <f t="shared" si="274"/>
        <v/>
      </c>
      <c r="CC274" s="155" t="str">
        <f t="shared" si="275"/>
        <v/>
      </c>
      <c r="CD274" s="155" t="str">
        <f t="shared" si="276"/>
        <v/>
      </c>
      <c r="CE274" s="155" t="str">
        <f t="shared" si="277"/>
        <v/>
      </c>
      <c r="CF274" s="155" t="str">
        <f t="shared" si="278"/>
        <v/>
      </c>
      <c r="CG274" s="155" t="str">
        <f t="shared" si="279"/>
        <v/>
      </c>
      <c r="CH274" s="155" t="str">
        <f t="shared" si="280"/>
        <v/>
      </c>
      <c r="CI274" s="155" t="str">
        <f t="shared" si="281"/>
        <v/>
      </c>
      <c r="CJ274" s="155" t="str">
        <f t="shared" si="282"/>
        <v/>
      </c>
      <c r="CK274" s="155" t="str">
        <f t="shared" si="283"/>
        <v/>
      </c>
      <c r="CL274" s="155" t="str">
        <f t="shared" si="284"/>
        <v/>
      </c>
      <c r="CM274" s="155" t="str">
        <f t="shared" si="285"/>
        <v/>
      </c>
      <c r="CN274" s="155" t="str">
        <f t="shared" si="286"/>
        <v/>
      </c>
      <c r="CO274" s="155" t="str">
        <f t="shared" si="287"/>
        <v/>
      </c>
      <c r="CP274" s="155" t="str">
        <f t="shared" si="288"/>
        <v/>
      </c>
      <c r="CQ274" s="155" t="str">
        <f t="shared" si="289"/>
        <v/>
      </c>
      <c r="CR274" s="155" t="str">
        <f t="shared" si="290"/>
        <v/>
      </c>
      <c r="CS274" s="155" t="str">
        <f t="shared" si="291"/>
        <v/>
      </c>
      <c r="CT274" s="155" t="str">
        <f t="shared" si="292"/>
        <v/>
      </c>
      <c r="CU274" s="155" t="str">
        <f t="shared" si="293"/>
        <v/>
      </c>
      <c r="CV274" s="155" t="str">
        <f t="shared" si="294"/>
        <v/>
      </c>
      <c r="CW274" s="155" t="str">
        <f t="shared" si="295"/>
        <v/>
      </c>
      <c r="CX274" s="155" t="str">
        <f t="shared" si="296"/>
        <v/>
      </c>
    </row>
    <row r="275" spans="1:128" s="151" customFormat="1" ht="25.5" outlineLevel="1" x14ac:dyDescent="0.2">
      <c r="A275" s="156"/>
      <c r="B275" s="157" t="str">
        <f>Services!B275</f>
        <v>11B03</v>
      </c>
      <c r="C275" s="153" t="str">
        <f>Services!C275</f>
        <v>Utilisation d'équipements personnels ou externes (n'appartenant pas à l'entreprise)</v>
      </c>
      <c r="D275" s="149"/>
      <c r="E275" s="149"/>
      <c r="F275" s="149"/>
      <c r="G275" s="149"/>
      <c r="H275" s="149"/>
      <c r="I275" s="140" t="str">
        <f t="shared" si="256"/>
        <v/>
      </c>
      <c r="J275" s="141" t="str">
        <f t="shared" si="214"/>
        <v/>
      </c>
      <c r="K275" s="142"/>
      <c r="L275" s="142"/>
      <c r="M275" s="1708"/>
      <c r="N275" s="1708"/>
      <c r="O275" s="1708"/>
      <c r="P275" s="1708"/>
      <c r="Q275" s="1708"/>
      <c r="R275" s="1708"/>
      <c r="S275" s="1708"/>
      <c r="T275" s="1708"/>
      <c r="U275" s="1708"/>
      <c r="V275" s="1708"/>
      <c r="W275" s="1708"/>
      <c r="X275" s="1712"/>
      <c r="Y275" s="1712"/>
      <c r="Z275" s="1712"/>
      <c r="AA275" s="1712"/>
      <c r="AB275" s="1712"/>
      <c r="AC275" s="1712"/>
      <c r="AD275" s="1712"/>
      <c r="AE275" s="1712"/>
      <c r="AF275" s="1712"/>
      <c r="AG275" s="1712"/>
      <c r="AH275" s="1712"/>
      <c r="AI275" s="1712"/>
      <c r="AJ275" s="1712"/>
      <c r="AK275" s="1712"/>
      <c r="AL275" s="1712"/>
      <c r="AM275" s="1712"/>
      <c r="AN275" s="1712"/>
      <c r="AO275" s="1712"/>
      <c r="AP275" s="1712"/>
      <c r="AQ275" s="1712"/>
      <c r="AR275" s="1712"/>
      <c r="AS275" s="1712"/>
      <c r="AT275" s="1712"/>
      <c r="AU275" s="1712"/>
      <c r="AV275" s="1712"/>
      <c r="AW275" s="1712"/>
      <c r="AX275" s="1713"/>
      <c r="AY275" s="1714" t="str">
        <f t="shared" si="215"/>
        <v/>
      </c>
      <c r="AZ275" s="1714" t="str">
        <f>IF(Obj_PA!D275="","",IF(AY275="","",Obj_PA!D275-AY275))</f>
        <v/>
      </c>
      <c r="BA275" s="150"/>
      <c r="BB275" s="150"/>
      <c r="BC275" s="150"/>
      <c r="BD275" s="150"/>
      <c r="BE275" s="150"/>
      <c r="BF275" s="150"/>
      <c r="BG275" s="150"/>
      <c r="BH275" s="150"/>
      <c r="BI275" s="150"/>
      <c r="BJ275" s="150"/>
      <c r="BK275" s="155" t="str">
        <f t="shared" si="257"/>
        <v/>
      </c>
      <c r="BL275" s="155" t="str">
        <f t="shared" si="258"/>
        <v/>
      </c>
      <c r="BM275" s="155" t="str">
        <f t="shared" si="259"/>
        <v/>
      </c>
      <c r="BN275" s="155" t="str">
        <f t="shared" si="260"/>
        <v/>
      </c>
      <c r="BO275" s="155" t="str">
        <f t="shared" si="261"/>
        <v/>
      </c>
      <c r="BP275" s="155" t="str">
        <f t="shared" si="262"/>
        <v/>
      </c>
      <c r="BQ275" s="155" t="str">
        <f t="shared" si="263"/>
        <v/>
      </c>
      <c r="BR275" s="155" t="str">
        <f t="shared" si="264"/>
        <v/>
      </c>
      <c r="BS275" s="155" t="str">
        <f t="shared" si="265"/>
        <v/>
      </c>
      <c r="BT275" s="155" t="str">
        <f t="shared" si="266"/>
        <v/>
      </c>
      <c r="BU275" s="155" t="str">
        <f t="shared" si="267"/>
        <v/>
      </c>
      <c r="BV275" s="155" t="str">
        <f t="shared" si="268"/>
        <v/>
      </c>
      <c r="BW275" s="155" t="str">
        <f t="shared" si="269"/>
        <v/>
      </c>
      <c r="BX275" s="155" t="str">
        <f t="shared" si="270"/>
        <v/>
      </c>
      <c r="BY275" s="155" t="str">
        <f t="shared" si="271"/>
        <v/>
      </c>
      <c r="BZ275" s="155" t="str">
        <f t="shared" si="272"/>
        <v/>
      </c>
      <c r="CA275" s="155" t="str">
        <f t="shared" si="273"/>
        <v/>
      </c>
      <c r="CB275" s="155" t="str">
        <f t="shared" si="274"/>
        <v/>
      </c>
      <c r="CC275" s="155" t="str">
        <f t="shared" si="275"/>
        <v/>
      </c>
      <c r="CD275" s="155" t="str">
        <f t="shared" si="276"/>
        <v/>
      </c>
      <c r="CE275" s="155" t="str">
        <f t="shared" si="277"/>
        <v/>
      </c>
      <c r="CF275" s="155" t="str">
        <f t="shared" si="278"/>
        <v/>
      </c>
      <c r="CG275" s="155" t="str">
        <f t="shared" si="279"/>
        <v/>
      </c>
      <c r="CH275" s="155" t="str">
        <f t="shared" si="280"/>
        <v/>
      </c>
      <c r="CI275" s="155" t="str">
        <f t="shared" si="281"/>
        <v/>
      </c>
      <c r="CJ275" s="155" t="str">
        <f t="shared" si="282"/>
        <v/>
      </c>
      <c r="CK275" s="155" t="str">
        <f t="shared" si="283"/>
        <v/>
      </c>
      <c r="CL275" s="155" t="str">
        <f t="shared" si="284"/>
        <v/>
      </c>
      <c r="CM275" s="155" t="str">
        <f t="shared" si="285"/>
        <v/>
      </c>
      <c r="CN275" s="155" t="str">
        <f t="shared" si="286"/>
        <v/>
      </c>
      <c r="CO275" s="155" t="str">
        <f t="shared" si="287"/>
        <v/>
      </c>
      <c r="CP275" s="155" t="str">
        <f t="shared" si="288"/>
        <v/>
      </c>
      <c r="CQ275" s="155" t="str">
        <f t="shared" si="289"/>
        <v/>
      </c>
      <c r="CR275" s="155" t="str">
        <f t="shared" si="290"/>
        <v/>
      </c>
      <c r="CS275" s="155" t="str">
        <f t="shared" si="291"/>
        <v/>
      </c>
      <c r="CT275" s="155" t="str">
        <f t="shared" si="292"/>
        <v/>
      </c>
      <c r="CU275" s="155" t="str">
        <f t="shared" si="293"/>
        <v/>
      </c>
      <c r="CV275" s="155" t="str">
        <f t="shared" si="294"/>
        <v/>
      </c>
      <c r="CW275" s="155" t="str">
        <f t="shared" si="295"/>
        <v/>
      </c>
      <c r="CX275" s="155" t="str">
        <f t="shared" si="296"/>
        <v/>
      </c>
      <c r="DX275" s="151">
        <f>IF(INDEX(Tab_actions,82,1)=1,INDEX(Tab_actions,82,10),0)</f>
        <v>0</v>
      </c>
    </row>
    <row r="276" spans="1:128" s="151" customFormat="1" ht="14.25" outlineLevel="1" x14ac:dyDescent="0.2">
      <c r="A276" s="158"/>
      <c r="B276" s="147" t="str">
        <f>Services!B276</f>
        <v>11C</v>
      </c>
      <c r="C276" s="148" t="str">
        <f>Services!C276</f>
        <v>Protection des données du poste de travail</v>
      </c>
      <c r="D276" s="149"/>
      <c r="E276" s="149"/>
      <c r="F276" s="149"/>
      <c r="G276" s="149"/>
      <c r="H276" s="149"/>
      <c r="I276" s="140" t="str">
        <f t="shared" si="256"/>
        <v/>
      </c>
      <c r="J276" s="141" t="str">
        <f t="shared" si="214"/>
        <v/>
      </c>
      <c r="K276" s="142"/>
      <c r="L276" s="142"/>
      <c r="M276" s="1708"/>
      <c r="N276" s="1708"/>
      <c r="O276" s="1708"/>
      <c r="P276" s="1708"/>
      <c r="Q276" s="1708"/>
      <c r="R276" s="1708"/>
      <c r="S276" s="1708"/>
      <c r="T276" s="1708"/>
      <c r="U276" s="1708"/>
      <c r="V276" s="1708"/>
      <c r="W276" s="1708"/>
      <c r="X276" s="1712"/>
      <c r="Y276" s="1712"/>
      <c r="Z276" s="1712"/>
      <c r="AA276" s="1712"/>
      <c r="AB276" s="1712"/>
      <c r="AC276" s="1712"/>
      <c r="AD276" s="1712"/>
      <c r="AE276" s="1712"/>
      <c r="AF276" s="1712"/>
      <c r="AG276" s="1712"/>
      <c r="AH276" s="1712"/>
      <c r="AI276" s="1712"/>
      <c r="AJ276" s="1712"/>
      <c r="AK276" s="1712"/>
      <c r="AL276" s="1712"/>
      <c r="AM276" s="1712"/>
      <c r="AN276" s="1712"/>
      <c r="AO276" s="1712"/>
      <c r="AP276" s="1712"/>
      <c r="AQ276" s="1712"/>
      <c r="AR276" s="1712"/>
      <c r="AS276" s="1712"/>
      <c r="AT276" s="1712"/>
      <c r="AU276" s="1712"/>
      <c r="AV276" s="1712"/>
      <c r="AW276" s="1712"/>
      <c r="AX276" s="1713"/>
      <c r="AY276" s="1714" t="str">
        <f t="shared" si="215"/>
        <v/>
      </c>
      <c r="AZ276" s="1714" t="str">
        <f>IF(Obj_PA!D276="","",IF(AY276="","",Obj_PA!D276-AY276))</f>
        <v/>
      </c>
      <c r="BA276" s="150"/>
      <c r="BB276" s="150"/>
      <c r="BC276" s="150"/>
      <c r="BD276" s="150"/>
      <c r="BE276" s="150"/>
      <c r="BF276" s="150"/>
      <c r="BG276" s="150"/>
      <c r="BH276" s="150"/>
      <c r="BI276" s="150"/>
      <c r="BJ276" s="150"/>
      <c r="BK276" s="155" t="str">
        <f t="shared" si="257"/>
        <v/>
      </c>
      <c r="BL276" s="155" t="str">
        <f t="shared" si="258"/>
        <v/>
      </c>
      <c r="BM276" s="155" t="str">
        <f t="shared" si="259"/>
        <v/>
      </c>
      <c r="BN276" s="155" t="str">
        <f t="shared" si="260"/>
        <v/>
      </c>
      <c r="BO276" s="155" t="str">
        <f t="shared" si="261"/>
        <v/>
      </c>
      <c r="BP276" s="155" t="str">
        <f t="shared" si="262"/>
        <v/>
      </c>
      <c r="BQ276" s="155" t="str">
        <f t="shared" si="263"/>
        <v/>
      </c>
      <c r="BR276" s="155" t="str">
        <f t="shared" si="264"/>
        <v/>
      </c>
      <c r="BS276" s="155" t="str">
        <f t="shared" si="265"/>
        <v/>
      </c>
      <c r="BT276" s="155" t="str">
        <f t="shared" si="266"/>
        <v/>
      </c>
      <c r="BU276" s="155" t="str">
        <f t="shared" si="267"/>
        <v/>
      </c>
      <c r="BV276" s="155" t="str">
        <f t="shared" si="268"/>
        <v/>
      </c>
      <c r="BW276" s="155" t="str">
        <f t="shared" si="269"/>
        <v/>
      </c>
      <c r="BX276" s="155" t="str">
        <f t="shared" si="270"/>
        <v/>
      </c>
      <c r="BY276" s="155" t="str">
        <f t="shared" si="271"/>
        <v/>
      </c>
      <c r="BZ276" s="155" t="str">
        <f t="shared" si="272"/>
        <v/>
      </c>
      <c r="CA276" s="155" t="str">
        <f t="shared" si="273"/>
        <v/>
      </c>
      <c r="CB276" s="155" t="str">
        <f t="shared" si="274"/>
        <v/>
      </c>
      <c r="CC276" s="155" t="str">
        <f t="shared" si="275"/>
        <v/>
      </c>
      <c r="CD276" s="155" t="str">
        <f t="shared" si="276"/>
        <v/>
      </c>
      <c r="CE276" s="155" t="str">
        <f t="shared" si="277"/>
        <v/>
      </c>
      <c r="CF276" s="155" t="str">
        <f t="shared" si="278"/>
        <v/>
      </c>
      <c r="CG276" s="155" t="str">
        <f t="shared" si="279"/>
        <v/>
      </c>
      <c r="CH276" s="155" t="str">
        <f t="shared" si="280"/>
        <v/>
      </c>
      <c r="CI276" s="155" t="str">
        <f t="shared" si="281"/>
        <v/>
      </c>
      <c r="CJ276" s="155" t="str">
        <f t="shared" si="282"/>
        <v/>
      </c>
      <c r="CK276" s="155" t="str">
        <f t="shared" si="283"/>
        <v/>
      </c>
      <c r="CL276" s="155" t="str">
        <f t="shared" si="284"/>
        <v/>
      </c>
      <c r="CM276" s="155" t="str">
        <f t="shared" si="285"/>
        <v/>
      </c>
      <c r="CN276" s="155" t="str">
        <f t="shared" si="286"/>
        <v/>
      </c>
      <c r="CO276" s="155" t="str">
        <f t="shared" si="287"/>
        <v/>
      </c>
      <c r="CP276" s="155" t="str">
        <f t="shared" si="288"/>
        <v/>
      </c>
      <c r="CQ276" s="155" t="str">
        <f t="shared" si="289"/>
        <v/>
      </c>
      <c r="CR276" s="155" t="str">
        <f t="shared" si="290"/>
        <v/>
      </c>
      <c r="CS276" s="155" t="str">
        <f t="shared" si="291"/>
        <v/>
      </c>
      <c r="CT276" s="155" t="str">
        <f t="shared" si="292"/>
        <v/>
      </c>
      <c r="CU276" s="155" t="str">
        <f t="shared" si="293"/>
        <v/>
      </c>
      <c r="CV276" s="155" t="str">
        <f t="shared" si="294"/>
        <v/>
      </c>
      <c r="CW276" s="155" t="str">
        <f t="shared" si="295"/>
        <v/>
      </c>
      <c r="CX276" s="155" t="str">
        <f t="shared" si="296"/>
        <v/>
      </c>
    </row>
    <row r="277" spans="1:128" s="151" customFormat="1" ht="38.25" outlineLevel="1" x14ac:dyDescent="0.2">
      <c r="A277" s="158"/>
      <c r="B277" s="157" t="str">
        <f>Services!B277</f>
        <v>11C01</v>
      </c>
      <c r="C277" s="153" t="str">
        <f>Services!C277</f>
        <v>Protection de la confidentialité des données contenues sur le poste de travail ou sur un serveur de données (disque logique pour le poste de travail)</v>
      </c>
      <c r="D277" s="149"/>
      <c r="E277" s="149"/>
      <c r="F277" s="149">
        <f>3*(8*Plans_action!E80+Plans_action!D80)</f>
        <v>0</v>
      </c>
      <c r="G277" s="149">
        <f>4*(8*Plans_action!E72+Plans_action!D72)</f>
        <v>0</v>
      </c>
      <c r="H277" s="149">
        <f>5*(8*Plans_action!E132+Plans_action!D132)+5*(8*Plans_action!E140+Plans_action!D140)</f>
        <v>0</v>
      </c>
      <c r="I277" s="140" t="str">
        <f t="shared" si="256"/>
        <v/>
      </c>
      <c r="J277" s="141" t="str">
        <f t="shared" si="214"/>
        <v/>
      </c>
      <c r="K277" s="142"/>
      <c r="L277" s="142"/>
      <c r="M277" s="1708"/>
      <c r="N277" s="1708"/>
      <c r="O277" s="1708"/>
      <c r="P277" s="1708"/>
      <c r="Q277" s="1708"/>
      <c r="R277" s="1708"/>
      <c r="S277" s="1708"/>
      <c r="T277" s="1708"/>
      <c r="U277" s="1708"/>
      <c r="V277" s="1708"/>
      <c r="W277" s="1708"/>
      <c r="X277" s="1712"/>
      <c r="Y277" s="1712"/>
      <c r="Z277" s="1712"/>
      <c r="AA277" s="1712"/>
      <c r="AB277" s="1712"/>
      <c r="AC277" s="1712"/>
      <c r="AD277" s="1712"/>
      <c r="AE277" s="1712"/>
      <c r="AF277" s="1712"/>
      <c r="AG277" s="1712"/>
      <c r="AH277" s="1712"/>
      <c r="AI277" s="1712"/>
      <c r="AJ277" s="1712"/>
      <c r="AK277" s="1712"/>
      <c r="AL277" s="1712"/>
      <c r="AM277" s="1712"/>
      <c r="AN277" s="1712"/>
      <c r="AO277" s="1712"/>
      <c r="AP277" s="1712"/>
      <c r="AQ277" s="1712"/>
      <c r="AR277" s="1712"/>
      <c r="AS277" s="1712"/>
      <c r="AT277" s="1712"/>
      <c r="AU277" s="1712"/>
      <c r="AV277" s="1712"/>
      <c r="AW277" s="1712"/>
      <c r="AX277" s="1713"/>
      <c r="AY277" s="1714" t="str">
        <f t="shared" si="215"/>
        <v/>
      </c>
      <c r="AZ277" s="1714" t="str">
        <f>IF(Obj_PA!D277="","",IF(AY277="","",Obj_PA!D277-AY277))</f>
        <v/>
      </c>
      <c r="BA277" s="150"/>
      <c r="BB277" s="150"/>
      <c r="BC277" s="150"/>
      <c r="BD277" s="150"/>
      <c r="BE277" s="150"/>
      <c r="BF277" s="150"/>
      <c r="BG277" s="150"/>
      <c r="BH277" s="150"/>
      <c r="BI277" s="150"/>
      <c r="BJ277" s="150"/>
      <c r="BK277" s="155" t="str">
        <f t="shared" si="257"/>
        <v/>
      </c>
      <c r="BL277" s="155" t="str">
        <f t="shared" si="258"/>
        <v/>
      </c>
      <c r="BM277" s="155" t="str">
        <f t="shared" si="259"/>
        <v/>
      </c>
      <c r="BN277" s="155" t="str">
        <f t="shared" si="260"/>
        <v/>
      </c>
      <c r="BO277" s="155" t="str">
        <f t="shared" si="261"/>
        <v/>
      </c>
      <c r="BP277" s="155" t="str">
        <f t="shared" si="262"/>
        <v/>
      </c>
      <c r="BQ277" s="155" t="str">
        <f t="shared" si="263"/>
        <v/>
      </c>
      <c r="BR277" s="155" t="str">
        <f t="shared" si="264"/>
        <v/>
      </c>
      <c r="BS277" s="155" t="str">
        <f t="shared" si="265"/>
        <v/>
      </c>
      <c r="BT277" s="155" t="str">
        <f t="shared" si="266"/>
        <v/>
      </c>
      <c r="BU277" s="155" t="str">
        <f t="shared" si="267"/>
        <v/>
      </c>
      <c r="BV277" s="155" t="str">
        <f t="shared" si="268"/>
        <v/>
      </c>
      <c r="BW277" s="155" t="str">
        <f t="shared" si="269"/>
        <v/>
      </c>
      <c r="BX277" s="155" t="str">
        <f t="shared" si="270"/>
        <v/>
      </c>
      <c r="BY277" s="155" t="str">
        <f t="shared" si="271"/>
        <v/>
      </c>
      <c r="BZ277" s="155" t="str">
        <f t="shared" si="272"/>
        <v/>
      </c>
      <c r="CA277" s="155" t="str">
        <f t="shared" si="273"/>
        <v/>
      </c>
      <c r="CB277" s="155" t="str">
        <f t="shared" si="274"/>
        <v/>
      </c>
      <c r="CC277" s="155" t="str">
        <f t="shared" si="275"/>
        <v/>
      </c>
      <c r="CD277" s="155" t="str">
        <f t="shared" si="276"/>
        <v/>
      </c>
      <c r="CE277" s="155" t="str">
        <f t="shared" si="277"/>
        <v/>
      </c>
      <c r="CF277" s="155" t="str">
        <f t="shared" si="278"/>
        <v/>
      </c>
      <c r="CG277" s="155" t="str">
        <f t="shared" si="279"/>
        <v/>
      </c>
      <c r="CH277" s="155" t="str">
        <f t="shared" si="280"/>
        <v/>
      </c>
      <c r="CI277" s="155" t="str">
        <f t="shared" si="281"/>
        <v/>
      </c>
      <c r="CJ277" s="155" t="str">
        <f t="shared" si="282"/>
        <v/>
      </c>
      <c r="CK277" s="155" t="str">
        <f t="shared" si="283"/>
        <v/>
      </c>
      <c r="CL277" s="155" t="str">
        <f t="shared" si="284"/>
        <v/>
      </c>
      <c r="CM277" s="155" t="str">
        <f t="shared" si="285"/>
        <v/>
      </c>
      <c r="CN277" s="155" t="str">
        <f t="shared" si="286"/>
        <v/>
      </c>
      <c r="CO277" s="155" t="str">
        <f t="shared" si="287"/>
        <v/>
      </c>
      <c r="CP277" s="155" t="str">
        <f t="shared" si="288"/>
        <v/>
      </c>
      <c r="CQ277" s="155" t="str">
        <f t="shared" si="289"/>
        <v/>
      </c>
      <c r="CR277" s="155" t="str">
        <f t="shared" si="290"/>
        <v/>
      </c>
      <c r="CS277" s="155" t="str">
        <f t="shared" si="291"/>
        <v/>
      </c>
      <c r="CT277" s="155" t="str">
        <f t="shared" si="292"/>
        <v/>
      </c>
      <c r="CU277" s="155" t="str">
        <f t="shared" si="293"/>
        <v/>
      </c>
      <c r="CV277" s="155" t="str">
        <f t="shared" si="294"/>
        <v/>
      </c>
      <c r="CW277" s="155" t="str">
        <f t="shared" si="295"/>
        <v/>
      </c>
      <c r="CX277" s="155" t="str">
        <f t="shared" si="296"/>
        <v/>
      </c>
    </row>
    <row r="278" spans="1:128" s="151" customFormat="1" ht="25.5" outlineLevel="1" x14ac:dyDescent="0.2">
      <c r="A278" s="158"/>
      <c r="B278" s="157" t="str">
        <f>Services!B278</f>
        <v>11C02</v>
      </c>
      <c r="C278" s="153" t="str">
        <f>Services!C278</f>
        <v>Protection de la confidentialité des données de l'environnement de travail personnel stockées sur support amovible</v>
      </c>
      <c r="D278" s="149"/>
      <c r="E278" s="149">
        <f>2*(8*Plans_action!E80+Plans_action!D80)</f>
        <v>0</v>
      </c>
      <c r="F278" s="149"/>
      <c r="G278" s="149"/>
      <c r="H278" s="149">
        <f>5*(8*Plans_action!E140+Plans_action!D140)</f>
        <v>0</v>
      </c>
      <c r="I278" s="140" t="str">
        <f t="shared" si="256"/>
        <v/>
      </c>
      <c r="J278" s="141" t="str">
        <f t="shared" si="214"/>
        <v/>
      </c>
      <c r="K278" s="142"/>
      <c r="L278" s="142"/>
      <c r="M278" s="1708"/>
      <c r="N278" s="1708"/>
      <c r="O278" s="1708"/>
      <c r="P278" s="1708"/>
      <c r="Q278" s="1708"/>
      <c r="R278" s="1708"/>
      <c r="S278" s="1708"/>
      <c r="T278" s="1708"/>
      <c r="U278" s="1708"/>
      <c r="V278" s="1708"/>
      <c r="W278" s="1708"/>
      <c r="X278" s="1712"/>
      <c r="Y278" s="1712"/>
      <c r="Z278" s="1712"/>
      <c r="AA278" s="1712"/>
      <c r="AB278" s="1712"/>
      <c r="AC278" s="1712"/>
      <c r="AD278" s="1712"/>
      <c r="AE278" s="1712"/>
      <c r="AF278" s="1712"/>
      <c r="AG278" s="1712"/>
      <c r="AH278" s="1712"/>
      <c r="AI278" s="1712"/>
      <c r="AJ278" s="1712"/>
      <c r="AK278" s="1712"/>
      <c r="AL278" s="1712"/>
      <c r="AM278" s="1712"/>
      <c r="AN278" s="1712"/>
      <c r="AO278" s="1712"/>
      <c r="AP278" s="1712"/>
      <c r="AQ278" s="1712"/>
      <c r="AR278" s="1712"/>
      <c r="AS278" s="1712"/>
      <c r="AT278" s="1712"/>
      <c r="AU278" s="1712"/>
      <c r="AV278" s="1712"/>
      <c r="AW278" s="1712"/>
      <c r="AX278" s="1713"/>
      <c r="AY278" s="1714" t="str">
        <f t="shared" si="215"/>
        <v/>
      </c>
      <c r="AZ278" s="1714" t="str">
        <f>IF(Obj_PA!D278="","",IF(AY278="","",Obj_PA!D278-AY278))</f>
        <v/>
      </c>
      <c r="BA278" s="150"/>
      <c r="BB278" s="150"/>
      <c r="BC278" s="150"/>
      <c r="BD278" s="150"/>
      <c r="BE278" s="150"/>
      <c r="BF278" s="150"/>
      <c r="BG278" s="150"/>
      <c r="BH278" s="150"/>
      <c r="BI278" s="150"/>
      <c r="BJ278" s="150"/>
      <c r="BK278" s="155" t="str">
        <f t="shared" si="257"/>
        <v/>
      </c>
      <c r="BL278" s="155" t="str">
        <f t="shared" si="258"/>
        <v/>
      </c>
      <c r="BM278" s="155" t="str">
        <f t="shared" si="259"/>
        <v/>
      </c>
      <c r="BN278" s="155" t="str">
        <f t="shared" si="260"/>
        <v/>
      </c>
      <c r="BO278" s="155" t="str">
        <f t="shared" si="261"/>
        <v/>
      </c>
      <c r="BP278" s="155" t="str">
        <f t="shared" si="262"/>
        <v/>
      </c>
      <c r="BQ278" s="155" t="str">
        <f t="shared" si="263"/>
        <v/>
      </c>
      <c r="BR278" s="155" t="str">
        <f t="shared" si="264"/>
        <v/>
      </c>
      <c r="BS278" s="155" t="str">
        <f t="shared" si="265"/>
        <v/>
      </c>
      <c r="BT278" s="155" t="str">
        <f t="shared" si="266"/>
        <v/>
      </c>
      <c r="BU278" s="155" t="str">
        <f t="shared" si="267"/>
        <v/>
      </c>
      <c r="BV278" s="155" t="str">
        <f t="shared" si="268"/>
        <v/>
      </c>
      <c r="BW278" s="155" t="str">
        <f t="shared" si="269"/>
        <v/>
      </c>
      <c r="BX278" s="155" t="str">
        <f t="shared" si="270"/>
        <v/>
      </c>
      <c r="BY278" s="155" t="str">
        <f t="shared" si="271"/>
        <v/>
      </c>
      <c r="BZ278" s="155" t="str">
        <f t="shared" si="272"/>
        <v/>
      </c>
      <c r="CA278" s="155" t="str">
        <f t="shared" si="273"/>
        <v/>
      </c>
      <c r="CB278" s="155" t="str">
        <f t="shared" si="274"/>
        <v/>
      </c>
      <c r="CC278" s="155" t="str">
        <f t="shared" si="275"/>
        <v/>
      </c>
      <c r="CD278" s="155" t="str">
        <f t="shared" si="276"/>
        <v/>
      </c>
      <c r="CE278" s="155" t="str">
        <f t="shared" si="277"/>
        <v/>
      </c>
      <c r="CF278" s="155" t="str">
        <f t="shared" si="278"/>
        <v/>
      </c>
      <c r="CG278" s="155" t="str">
        <f t="shared" si="279"/>
        <v/>
      </c>
      <c r="CH278" s="155" t="str">
        <f t="shared" si="280"/>
        <v/>
      </c>
      <c r="CI278" s="155" t="str">
        <f t="shared" si="281"/>
        <v/>
      </c>
      <c r="CJ278" s="155" t="str">
        <f t="shared" si="282"/>
        <v/>
      </c>
      <c r="CK278" s="155" t="str">
        <f t="shared" si="283"/>
        <v/>
      </c>
      <c r="CL278" s="155" t="str">
        <f t="shared" si="284"/>
        <v/>
      </c>
      <c r="CM278" s="155" t="str">
        <f t="shared" si="285"/>
        <v/>
      </c>
      <c r="CN278" s="155" t="str">
        <f t="shared" si="286"/>
        <v/>
      </c>
      <c r="CO278" s="155" t="str">
        <f t="shared" si="287"/>
        <v/>
      </c>
      <c r="CP278" s="155" t="str">
        <f t="shared" si="288"/>
        <v/>
      </c>
      <c r="CQ278" s="155" t="str">
        <f t="shared" si="289"/>
        <v/>
      </c>
      <c r="CR278" s="155" t="str">
        <f t="shared" si="290"/>
        <v/>
      </c>
      <c r="CS278" s="155" t="str">
        <f t="shared" si="291"/>
        <v/>
      </c>
      <c r="CT278" s="155" t="str">
        <f t="shared" si="292"/>
        <v/>
      </c>
      <c r="CU278" s="155" t="str">
        <f t="shared" si="293"/>
        <v/>
      </c>
      <c r="CV278" s="155" t="str">
        <f t="shared" si="294"/>
        <v/>
      </c>
      <c r="CW278" s="155" t="str">
        <f t="shared" si="295"/>
        <v/>
      </c>
      <c r="CX278" s="155" t="str">
        <f t="shared" si="296"/>
        <v/>
      </c>
    </row>
    <row r="279" spans="1:128" s="151" customFormat="1" ht="15.75" customHeight="1" outlineLevel="1" x14ac:dyDescent="0.2">
      <c r="A279" s="158"/>
      <c r="B279" s="157" t="str">
        <f>Services!B279</f>
        <v>11C03</v>
      </c>
      <c r="C279" s="153" t="str">
        <f>Services!C279</f>
        <v>Prise en compte de la confidentialité lors des opérations de maintenance des postes utilisateurs</v>
      </c>
      <c r="D279" s="149">
        <f>1*(8*Plans_action!E72+Plans_action!D72)+1*(8*Plans_action!E80+Plans_action!D80)</f>
        <v>0</v>
      </c>
      <c r="E279" s="149"/>
      <c r="F279" s="149"/>
      <c r="G279" s="149"/>
      <c r="H279" s="149"/>
      <c r="I279" s="140" t="str">
        <f t="shared" si="256"/>
        <v/>
      </c>
      <c r="J279" s="141" t="str">
        <f t="shared" si="214"/>
        <v/>
      </c>
      <c r="K279" s="142"/>
      <c r="L279" s="142"/>
      <c r="M279" s="1708"/>
      <c r="N279" s="1708"/>
      <c r="O279" s="1708"/>
      <c r="P279" s="1708"/>
      <c r="Q279" s="1708"/>
      <c r="R279" s="1708"/>
      <c r="S279" s="1708"/>
      <c r="T279" s="1708"/>
      <c r="U279" s="1708"/>
      <c r="V279" s="1708"/>
      <c r="W279" s="1708"/>
      <c r="X279" s="1712"/>
      <c r="Y279" s="1712"/>
      <c r="Z279" s="1712"/>
      <c r="AA279" s="1712"/>
      <c r="AB279" s="1712"/>
      <c r="AC279" s="1712"/>
      <c r="AD279" s="1712"/>
      <c r="AE279" s="1712"/>
      <c r="AF279" s="1712"/>
      <c r="AG279" s="1712"/>
      <c r="AH279" s="1712"/>
      <c r="AI279" s="1712"/>
      <c r="AJ279" s="1712"/>
      <c r="AK279" s="1712"/>
      <c r="AL279" s="1712"/>
      <c r="AM279" s="1712"/>
      <c r="AN279" s="1712"/>
      <c r="AO279" s="1712"/>
      <c r="AP279" s="1712"/>
      <c r="AQ279" s="1712"/>
      <c r="AR279" s="1712"/>
      <c r="AS279" s="1712"/>
      <c r="AT279" s="1712"/>
      <c r="AU279" s="1712"/>
      <c r="AV279" s="1712"/>
      <c r="AW279" s="1712"/>
      <c r="AX279" s="1713"/>
      <c r="AY279" s="1714" t="str">
        <f t="shared" si="215"/>
        <v/>
      </c>
      <c r="AZ279" s="1714" t="str">
        <f>IF(Obj_PA!D279="","",IF(AY279="","",Obj_PA!D279-AY279))</f>
        <v/>
      </c>
      <c r="BA279" s="150"/>
      <c r="BB279" s="150"/>
      <c r="BC279" s="150"/>
      <c r="BD279" s="150"/>
      <c r="BE279" s="150"/>
      <c r="BF279" s="150"/>
      <c r="BG279" s="150"/>
      <c r="BH279" s="150"/>
      <c r="BI279" s="150"/>
      <c r="BJ279" s="150"/>
      <c r="BK279" s="155" t="str">
        <f t="shared" si="257"/>
        <v/>
      </c>
      <c r="BL279" s="155" t="str">
        <f t="shared" si="258"/>
        <v/>
      </c>
      <c r="BM279" s="155" t="str">
        <f t="shared" si="259"/>
        <v/>
      </c>
      <c r="BN279" s="155" t="str">
        <f t="shared" si="260"/>
        <v/>
      </c>
      <c r="BO279" s="155" t="str">
        <f t="shared" si="261"/>
        <v/>
      </c>
      <c r="BP279" s="155" t="str">
        <f t="shared" si="262"/>
        <v/>
      </c>
      <c r="BQ279" s="155" t="str">
        <f t="shared" si="263"/>
        <v/>
      </c>
      <c r="BR279" s="155" t="str">
        <f t="shared" si="264"/>
        <v/>
      </c>
      <c r="BS279" s="155" t="str">
        <f t="shared" si="265"/>
        <v/>
      </c>
      <c r="BT279" s="155" t="str">
        <f t="shared" si="266"/>
        <v/>
      </c>
      <c r="BU279" s="155" t="str">
        <f t="shared" si="267"/>
        <v/>
      </c>
      <c r="BV279" s="155" t="str">
        <f t="shared" si="268"/>
        <v/>
      </c>
      <c r="BW279" s="155" t="str">
        <f t="shared" si="269"/>
        <v/>
      </c>
      <c r="BX279" s="155" t="str">
        <f t="shared" si="270"/>
        <v/>
      </c>
      <c r="BY279" s="155" t="str">
        <f t="shared" si="271"/>
        <v/>
      </c>
      <c r="BZ279" s="155" t="str">
        <f t="shared" si="272"/>
        <v/>
      </c>
      <c r="CA279" s="155" t="str">
        <f t="shared" si="273"/>
        <v/>
      </c>
      <c r="CB279" s="155" t="str">
        <f t="shared" si="274"/>
        <v/>
      </c>
      <c r="CC279" s="155" t="str">
        <f t="shared" si="275"/>
        <v/>
      </c>
      <c r="CD279" s="155" t="str">
        <f t="shared" si="276"/>
        <v/>
      </c>
      <c r="CE279" s="155" t="str">
        <f t="shared" si="277"/>
        <v/>
      </c>
      <c r="CF279" s="155" t="str">
        <f t="shared" si="278"/>
        <v/>
      </c>
      <c r="CG279" s="155" t="str">
        <f t="shared" si="279"/>
        <v/>
      </c>
      <c r="CH279" s="155" t="str">
        <f t="shared" si="280"/>
        <v/>
      </c>
      <c r="CI279" s="155" t="str">
        <f t="shared" si="281"/>
        <v/>
      </c>
      <c r="CJ279" s="155" t="str">
        <f t="shared" si="282"/>
        <v/>
      </c>
      <c r="CK279" s="155" t="str">
        <f t="shared" si="283"/>
        <v/>
      </c>
      <c r="CL279" s="155" t="str">
        <f t="shared" si="284"/>
        <v/>
      </c>
      <c r="CM279" s="155" t="str">
        <f t="shared" si="285"/>
        <v/>
      </c>
      <c r="CN279" s="155" t="str">
        <f t="shared" si="286"/>
        <v/>
      </c>
      <c r="CO279" s="155" t="str">
        <f t="shared" si="287"/>
        <v/>
      </c>
      <c r="CP279" s="155" t="str">
        <f t="shared" si="288"/>
        <v/>
      </c>
      <c r="CQ279" s="155" t="str">
        <f t="shared" si="289"/>
        <v/>
      </c>
      <c r="CR279" s="155" t="str">
        <f t="shared" si="290"/>
        <v/>
      </c>
      <c r="CS279" s="155" t="str">
        <f t="shared" si="291"/>
        <v/>
      </c>
      <c r="CT279" s="155" t="str">
        <f t="shared" si="292"/>
        <v/>
      </c>
      <c r="CU279" s="155" t="str">
        <f t="shared" si="293"/>
        <v/>
      </c>
      <c r="CV279" s="155" t="str">
        <f t="shared" si="294"/>
        <v/>
      </c>
      <c r="CW279" s="155" t="str">
        <f t="shared" si="295"/>
        <v/>
      </c>
      <c r="CX279" s="155" t="str">
        <f t="shared" si="296"/>
        <v/>
      </c>
    </row>
    <row r="280" spans="1:128" s="151" customFormat="1" ht="38.25" outlineLevel="1" x14ac:dyDescent="0.2">
      <c r="A280" s="158"/>
      <c r="B280" s="157" t="str">
        <f>Services!B280</f>
        <v>11C04</v>
      </c>
      <c r="C280" s="153" t="str">
        <f>Services!C280</f>
        <v>Protection de l'intégrité des fichiers contenus sur le poste de travail ou sur un serveur de données (disque logique pour le poste de travail)</v>
      </c>
      <c r="D280" s="149"/>
      <c r="E280" s="149"/>
      <c r="F280" s="149"/>
      <c r="G280" s="149">
        <f>4*(8*Plans_action!E72+Plans_action!D72)+4*(8*Plans_action!E80+Plans_action!D80)</f>
        <v>0</v>
      </c>
      <c r="H280" s="149"/>
      <c r="I280" s="140" t="str">
        <f t="shared" si="256"/>
        <v/>
      </c>
      <c r="J280" s="141" t="str">
        <f t="shared" si="214"/>
        <v/>
      </c>
      <c r="K280" s="142"/>
      <c r="L280" s="142"/>
      <c r="M280" s="1708"/>
      <c r="N280" s="1708"/>
      <c r="O280" s="1708"/>
      <c r="P280" s="1708"/>
      <c r="Q280" s="1708"/>
      <c r="R280" s="1708"/>
      <c r="S280" s="1708"/>
      <c r="T280" s="1708"/>
      <c r="U280" s="1708"/>
      <c r="V280" s="1708"/>
      <c r="W280" s="1708"/>
      <c r="X280" s="1712"/>
      <c r="Y280" s="1712"/>
      <c r="Z280" s="1712"/>
      <c r="AA280" s="1712"/>
      <c r="AB280" s="1712"/>
      <c r="AC280" s="1712"/>
      <c r="AD280" s="1712"/>
      <c r="AE280" s="1712"/>
      <c r="AF280" s="1712"/>
      <c r="AG280" s="1712"/>
      <c r="AH280" s="1712"/>
      <c r="AI280" s="1712"/>
      <c r="AJ280" s="1712"/>
      <c r="AK280" s="1712"/>
      <c r="AL280" s="1712"/>
      <c r="AM280" s="1712"/>
      <c r="AN280" s="1712"/>
      <c r="AO280" s="1712"/>
      <c r="AP280" s="1712"/>
      <c r="AQ280" s="1712"/>
      <c r="AR280" s="1712"/>
      <c r="AS280" s="1712"/>
      <c r="AT280" s="1712"/>
      <c r="AU280" s="1712"/>
      <c r="AV280" s="1712"/>
      <c r="AW280" s="1712"/>
      <c r="AX280" s="1713"/>
      <c r="AY280" s="1714" t="str">
        <f t="shared" si="215"/>
        <v/>
      </c>
      <c r="AZ280" s="1714" t="str">
        <f>IF(Obj_PA!D280="","",IF(AY280="","",Obj_PA!D280-AY280))</f>
        <v/>
      </c>
      <c r="BA280" s="150"/>
      <c r="BB280" s="150"/>
      <c r="BC280" s="150"/>
      <c r="BD280" s="150"/>
      <c r="BE280" s="150"/>
      <c r="BF280" s="150"/>
      <c r="BG280" s="150"/>
      <c r="BH280" s="150"/>
      <c r="BI280" s="150"/>
      <c r="BJ280" s="150"/>
      <c r="BK280" s="155" t="str">
        <f t="shared" si="257"/>
        <v/>
      </c>
      <c r="BL280" s="155" t="str">
        <f t="shared" si="258"/>
        <v/>
      </c>
      <c r="BM280" s="155" t="str">
        <f t="shared" si="259"/>
        <v/>
      </c>
      <c r="BN280" s="155" t="str">
        <f t="shared" si="260"/>
        <v/>
      </c>
      <c r="BO280" s="155" t="str">
        <f t="shared" si="261"/>
        <v/>
      </c>
      <c r="BP280" s="155" t="str">
        <f t="shared" si="262"/>
        <v/>
      </c>
      <c r="BQ280" s="155" t="str">
        <f t="shared" si="263"/>
        <v/>
      </c>
      <c r="BR280" s="155" t="str">
        <f t="shared" si="264"/>
        <v/>
      </c>
      <c r="BS280" s="155" t="str">
        <f t="shared" si="265"/>
        <v/>
      </c>
      <c r="BT280" s="155" t="str">
        <f t="shared" si="266"/>
        <v/>
      </c>
      <c r="BU280" s="155" t="str">
        <f t="shared" si="267"/>
        <v/>
      </c>
      <c r="BV280" s="155" t="str">
        <f t="shared" si="268"/>
        <v/>
      </c>
      <c r="BW280" s="155" t="str">
        <f t="shared" si="269"/>
        <v/>
      </c>
      <c r="BX280" s="155" t="str">
        <f t="shared" si="270"/>
        <v/>
      </c>
      <c r="BY280" s="155" t="str">
        <f t="shared" si="271"/>
        <v/>
      </c>
      <c r="BZ280" s="155" t="str">
        <f t="shared" si="272"/>
        <v/>
      </c>
      <c r="CA280" s="155" t="str">
        <f t="shared" si="273"/>
        <v/>
      </c>
      <c r="CB280" s="155" t="str">
        <f t="shared" si="274"/>
        <v/>
      </c>
      <c r="CC280" s="155" t="str">
        <f t="shared" si="275"/>
        <v/>
      </c>
      <c r="CD280" s="155" t="str">
        <f t="shared" si="276"/>
        <v/>
      </c>
      <c r="CE280" s="155" t="str">
        <f t="shared" si="277"/>
        <v/>
      </c>
      <c r="CF280" s="155" t="str">
        <f t="shared" si="278"/>
        <v/>
      </c>
      <c r="CG280" s="155" t="str">
        <f t="shared" si="279"/>
        <v/>
      </c>
      <c r="CH280" s="155" t="str">
        <f t="shared" si="280"/>
        <v/>
      </c>
      <c r="CI280" s="155" t="str">
        <f t="shared" si="281"/>
        <v/>
      </c>
      <c r="CJ280" s="155" t="str">
        <f t="shared" si="282"/>
        <v/>
      </c>
      <c r="CK280" s="155" t="str">
        <f t="shared" si="283"/>
        <v/>
      </c>
      <c r="CL280" s="155" t="str">
        <f t="shared" si="284"/>
        <v/>
      </c>
      <c r="CM280" s="155" t="str">
        <f t="shared" si="285"/>
        <v/>
      </c>
      <c r="CN280" s="155" t="str">
        <f t="shared" si="286"/>
        <v/>
      </c>
      <c r="CO280" s="155" t="str">
        <f t="shared" si="287"/>
        <v/>
      </c>
      <c r="CP280" s="155" t="str">
        <f t="shared" si="288"/>
        <v/>
      </c>
      <c r="CQ280" s="155" t="str">
        <f t="shared" si="289"/>
        <v/>
      </c>
      <c r="CR280" s="155" t="str">
        <f t="shared" si="290"/>
        <v/>
      </c>
      <c r="CS280" s="155" t="str">
        <f t="shared" si="291"/>
        <v/>
      </c>
      <c r="CT280" s="155" t="str">
        <f t="shared" si="292"/>
        <v/>
      </c>
      <c r="CU280" s="155" t="str">
        <f t="shared" si="293"/>
        <v/>
      </c>
      <c r="CV280" s="155" t="str">
        <f t="shared" si="294"/>
        <v/>
      </c>
      <c r="CW280" s="155" t="str">
        <f t="shared" si="295"/>
        <v/>
      </c>
      <c r="CX280" s="155" t="str">
        <f t="shared" si="296"/>
        <v/>
      </c>
    </row>
    <row r="281" spans="1:128" s="151" customFormat="1" ht="15.75" customHeight="1" outlineLevel="1" x14ac:dyDescent="0.2">
      <c r="A281" s="158"/>
      <c r="B281" s="157" t="str">
        <f>Services!B281</f>
        <v>11C05</v>
      </c>
      <c r="C281" s="153" t="str">
        <f>Services!C281</f>
        <v>Sécurité de la messagerie électronique (courriels) et des échanges électroniques d'information</v>
      </c>
      <c r="D281" s="149"/>
      <c r="E281" s="149"/>
      <c r="F281" s="149"/>
      <c r="G281" s="149"/>
      <c r="H281" s="149">
        <f>5*(8*Plans_action!E38+Plans_action!D38)+5*(8*Plans_action!E98+Plans_action!D98)+5*(8*Plans_action!E168+Plans_action!D168)</f>
        <v>0</v>
      </c>
      <c r="I281" s="140" t="str">
        <f t="shared" si="256"/>
        <v/>
      </c>
      <c r="J281" s="141" t="str">
        <f t="shared" si="214"/>
        <v/>
      </c>
      <c r="K281" s="142"/>
      <c r="L281" s="142"/>
      <c r="M281" s="1708"/>
      <c r="N281" s="1708"/>
      <c r="O281" s="1708"/>
      <c r="P281" s="1708"/>
      <c r="Q281" s="1708"/>
      <c r="R281" s="1708"/>
      <c r="S281" s="1708"/>
      <c r="T281" s="1708"/>
      <c r="U281" s="1708"/>
      <c r="V281" s="1708"/>
      <c r="W281" s="1708"/>
      <c r="X281" s="1712"/>
      <c r="Y281" s="1712"/>
      <c r="Z281" s="1712"/>
      <c r="AA281" s="1712"/>
      <c r="AB281" s="1712"/>
      <c r="AC281" s="1712"/>
      <c r="AD281" s="1712"/>
      <c r="AE281" s="1712"/>
      <c r="AF281" s="1712"/>
      <c r="AG281" s="1712"/>
      <c r="AH281" s="1712"/>
      <c r="AI281" s="1712"/>
      <c r="AJ281" s="1712"/>
      <c r="AK281" s="1712"/>
      <c r="AL281" s="1712"/>
      <c r="AM281" s="1712"/>
      <c r="AN281" s="1712"/>
      <c r="AO281" s="1712"/>
      <c r="AP281" s="1712"/>
      <c r="AQ281" s="1712"/>
      <c r="AR281" s="1712"/>
      <c r="AS281" s="1712"/>
      <c r="AT281" s="1712"/>
      <c r="AU281" s="1712"/>
      <c r="AV281" s="1712"/>
      <c r="AW281" s="1712"/>
      <c r="AX281" s="1713"/>
      <c r="AY281" s="1714" t="str">
        <f t="shared" si="215"/>
        <v/>
      </c>
      <c r="AZ281" s="1714" t="str">
        <f>IF(Obj_PA!D281="","",IF(AY281="","",Obj_PA!D281-AY281))</f>
        <v/>
      </c>
      <c r="BA281" s="150"/>
      <c r="BB281" s="150"/>
      <c r="BC281" s="150"/>
      <c r="BD281" s="150"/>
      <c r="BE281" s="150"/>
      <c r="BF281" s="150"/>
      <c r="BG281" s="150"/>
      <c r="BH281" s="150"/>
      <c r="BI281" s="150"/>
      <c r="BJ281" s="150"/>
      <c r="BK281" s="155" t="str">
        <f t="shared" si="257"/>
        <v/>
      </c>
      <c r="BL281" s="155" t="str">
        <f t="shared" si="258"/>
        <v/>
      </c>
      <c r="BM281" s="155" t="str">
        <f t="shared" si="259"/>
        <v/>
      </c>
      <c r="BN281" s="155" t="str">
        <f t="shared" si="260"/>
        <v/>
      </c>
      <c r="BO281" s="155" t="str">
        <f t="shared" si="261"/>
        <v/>
      </c>
      <c r="BP281" s="155" t="str">
        <f t="shared" si="262"/>
        <v/>
      </c>
      <c r="BQ281" s="155" t="str">
        <f t="shared" si="263"/>
        <v/>
      </c>
      <c r="BR281" s="155" t="str">
        <f t="shared" si="264"/>
        <v/>
      </c>
      <c r="BS281" s="155" t="str">
        <f t="shared" si="265"/>
        <v/>
      </c>
      <c r="BT281" s="155" t="str">
        <f t="shared" si="266"/>
        <v/>
      </c>
      <c r="BU281" s="155" t="str">
        <f t="shared" si="267"/>
        <v/>
      </c>
      <c r="BV281" s="155" t="str">
        <f t="shared" si="268"/>
        <v/>
      </c>
      <c r="BW281" s="155" t="str">
        <f t="shared" si="269"/>
        <v/>
      </c>
      <c r="BX281" s="155" t="str">
        <f t="shared" si="270"/>
        <v/>
      </c>
      <c r="BY281" s="155" t="str">
        <f t="shared" si="271"/>
        <v/>
      </c>
      <c r="BZ281" s="155" t="str">
        <f t="shared" si="272"/>
        <v/>
      </c>
      <c r="CA281" s="155" t="str">
        <f t="shared" si="273"/>
        <v/>
      </c>
      <c r="CB281" s="155" t="str">
        <f t="shared" si="274"/>
        <v/>
      </c>
      <c r="CC281" s="155" t="str">
        <f t="shared" si="275"/>
        <v/>
      </c>
      <c r="CD281" s="155" t="str">
        <f t="shared" si="276"/>
        <v/>
      </c>
      <c r="CE281" s="155" t="str">
        <f t="shared" si="277"/>
        <v/>
      </c>
      <c r="CF281" s="155" t="str">
        <f t="shared" si="278"/>
        <v/>
      </c>
      <c r="CG281" s="155" t="str">
        <f t="shared" si="279"/>
        <v/>
      </c>
      <c r="CH281" s="155" t="str">
        <f t="shared" si="280"/>
        <v/>
      </c>
      <c r="CI281" s="155" t="str">
        <f t="shared" si="281"/>
        <v/>
      </c>
      <c r="CJ281" s="155" t="str">
        <f t="shared" si="282"/>
        <v/>
      </c>
      <c r="CK281" s="155" t="str">
        <f t="shared" si="283"/>
        <v/>
      </c>
      <c r="CL281" s="155" t="str">
        <f t="shared" si="284"/>
        <v/>
      </c>
      <c r="CM281" s="155" t="str">
        <f t="shared" si="285"/>
        <v/>
      </c>
      <c r="CN281" s="155" t="str">
        <f t="shared" si="286"/>
        <v/>
      </c>
      <c r="CO281" s="155" t="str">
        <f t="shared" si="287"/>
        <v/>
      </c>
      <c r="CP281" s="155" t="str">
        <f t="shared" si="288"/>
        <v/>
      </c>
      <c r="CQ281" s="155" t="str">
        <f t="shared" si="289"/>
        <v/>
      </c>
      <c r="CR281" s="155" t="str">
        <f t="shared" si="290"/>
        <v/>
      </c>
      <c r="CS281" s="155" t="str">
        <f t="shared" si="291"/>
        <v/>
      </c>
      <c r="CT281" s="155" t="str">
        <f t="shared" si="292"/>
        <v/>
      </c>
      <c r="CU281" s="155" t="str">
        <f t="shared" si="293"/>
        <v/>
      </c>
      <c r="CV281" s="155" t="str">
        <f t="shared" si="294"/>
        <v/>
      </c>
      <c r="CW281" s="155" t="str">
        <f t="shared" si="295"/>
        <v/>
      </c>
      <c r="CX281" s="155" t="str">
        <f t="shared" si="296"/>
        <v/>
      </c>
      <c r="DV281" s="151">
        <f>IF(INDEX(Tab_actions,96,1)=1,INDEX(Tab_actions,96,6),0)</f>
        <v>0</v>
      </c>
    </row>
    <row r="282" spans="1:128" s="151" customFormat="1" ht="14.25" outlineLevel="1" x14ac:dyDescent="0.2">
      <c r="A282" s="158"/>
      <c r="B282" s="157" t="str">
        <f>Services!B282</f>
        <v>11C06</v>
      </c>
      <c r="C282" s="153" t="str">
        <f>Services!C282</f>
        <v>Protection des impressions sur imprimantes partagées</v>
      </c>
      <c r="D282" s="149"/>
      <c r="E282" s="149"/>
      <c r="F282" s="149"/>
      <c r="G282" s="149"/>
      <c r="H282" s="149"/>
      <c r="I282" s="140" t="str">
        <f t="shared" si="256"/>
        <v/>
      </c>
      <c r="J282" s="141" t="str">
        <f t="shared" si="214"/>
        <v/>
      </c>
      <c r="K282" s="142"/>
      <c r="L282" s="142"/>
      <c r="M282" s="1708"/>
      <c r="N282" s="1708"/>
      <c r="O282" s="1708"/>
      <c r="P282" s="1708"/>
      <c r="Q282" s="1708"/>
      <c r="R282" s="1708"/>
      <c r="S282" s="1708"/>
      <c r="T282" s="1708"/>
      <c r="U282" s="1708"/>
      <c r="V282" s="1708"/>
      <c r="W282" s="1708"/>
      <c r="X282" s="1712"/>
      <c r="Y282" s="1712"/>
      <c r="Z282" s="1712"/>
      <c r="AA282" s="1712"/>
      <c r="AB282" s="1712"/>
      <c r="AC282" s="1712"/>
      <c r="AD282" s="1712"/>
      <c r="AE282" s="1712"/>
      <c r="AF282" s="1712"/>
      <c r="AG282" s="1712"/>
      <c r="AH282" s="1712"/>
      <c r="AI282" s="1712"/>
      <c r="AJ282" s="1712"/>
      <c r="AK282" s="1712"/>
      <c r="AL282" s="1712"/>
      <c r="AM282" s="1712"/>
      <c r="AN282" s="1712"/>
      <c r="AO282" s="1712"/>
      <c r="AP282" s="1712"/>
      <c r="AQ282" s="1712"/>
      <c r="AR282" s="1712"/>
      <c r="AS282" s="1712"/>
      <c r="AT282" s="1712"/>
      <c r="AU282" s="1712"/>
      <c r="AV282" s="1712"/>
      <c r="AW282" s="1712"/>
      <c r="AX282" s="1713"/>
      <c r="AY282" s="1714" t="str">
        <f t="shared" si="215"/>
        <v/>
      </c>
      <c r="AZ282" s="1714" t="str">
        <f>IF(Obj_PA!D282="","",IF(AY282="","",Obj_PA!D282-AY282))</f>
        <v/>
      </c>
      <c r="BA282" s="150"/>
      <c r="BB282" s="150"/>
      <c r="BC282" s="150"/>
      <c r="BD282" s="150"/>
      <c r="BE282" s="150"/>
      <c r="BF282" s="150"/>
      <c r="BG282" s="150"/>
      <c r="BH282" s="150"/>
      <c r="BI282" s="150"/>
      <c r="BJ282" s="150"/>
      <c r="BK282" s="155" t="str">
        <f t="shared" si="257"/>
        <v/>
      </c>
      <c r="BL282" s="155" t="str">
        <f t="shared" si="258"/>
        <v/>
      </c>
      <c r="BM282" s="155" t="str">
        <f t="shared" si="259"/>
        <v/>
      </c>
      <c r="BN282" s="155" t="str">
        <f t="shared" si="260"/>
        <v/>
      </c>
      <c r="BO282" s="155" t="str">
        <f t="shared" si="261"/>
        <v/>
      </c>
      <c r="BP282" s="155" t="str">
        <f t="shared" si="262"/>
        <v/>
      </c>
      <c r="BQ282" s="155" t="str">
        <f t="shared" si="263"/>
        <v/>
      </c>
      <c r="BR282" s="155" t="str">
        <f t="shared" si="264"/>
        <v/>
      </c>
      <c r="BS282" s="155" t="str">
        <f t="shared" si="265"/>
        <v/>
      </c>
      <c r="BT282" s="155" t="str">
        <f t="shared" si="266"/>
        <v/>
      </c>
      <c r="BU282" s="155" t="str">
        <f t="shared" si="267"/>
        <v/>
      </c>
      <c r="BV282" s="155" t="str">
        <f t="shared" si="268"/>
        <v/>
      </c>
      <c r="BW282" s="155" t="str">
        <f t="shared" si="269"/>
        <v/>
      </c>
      <c r="BX282" s="155" t="str">
        <f t="shared" si="270"/>
        <v/>
      </c>
      <c r="BY282" s="155" t="str">
        <f t="shared" si="271"/>
        <v/>
      </c>
      <c r="BZ282" s="155" t="str">
        <f t="shared" si="272"/>
        <v/>
      </c>
      <c r="CA282" s="155" t="str">
        <f t="shared" si="273"/>
        <v/>
      </c>
      <c r="CB282" s="155" t="str">
        <f t="shared" si="274"/>
        <v/>
      </c>
      <c r="CC282" s="155" t="str">
        <f t="shared" si="275"/>
        <v/>
      </c>
      <c r="CD282" s="155" t="str">
        <f t="shared" si="276"/>
        <v/>
      </c>
      <c r="CE282" s="155" t="str">
        <f t="shared" si="277"/>
        <v/>
      </c>
      <c r="CF282" s="155" t="str">
        <f t="shared" si="278"/>
        <v/>
      </c>
      <c r="CG282" s="155" t="str">
        <f t="shared" si="279"/>
        <v/>
      </c>
      <c r="CH282" s="155" t="str">
        <f t="shared" si="280"/>
        <v/>
      </c>
      <c r="CI282" s="155" t="str">
        <f t="shared" si="281"/>
        <v/>
      </c>
      <c r="CJ282" s="155" t="str">
        <f t="shared" si="282"/>
        <v/>
      </c>
      <c r="CK282" s="155" t="str">
        <f t="shared" si="283"/>
        <v/>
      </c>
      <c r="CL282" s="155" t="str">
        <f t="shared" si="284"/>
        <v/>
      </c>
      <c r="CM282" s="155" t="str">
        <f t="shared" si="285"/>
        <v/>
      </c>
      <c r="CN282" s="155" t="str">
        <f t="shared" si="286"/>
        <v/>
      </c>
      <c r="CO282" s="155" t="str">
        <f t="shared" si="287"/>
        <v/>
      </c>
      <c r="CP282" s="155" t="str">
        <f t="shared" si="288"/>
        <v/>
      </c>
      <c r="CQ282" s="155" t="str">
        <f t="shared" si="289"/>
        <v/>
      </c>
      <c r="CR282" s="155" t="str">
        <f t="shared" si="290"/>
        <v/>
      </c>
      <c r="CS282" s="155" t="str">
        <f t="shared" si="291"/>
        <v/>
      </c>
      <c r="CT282" s="155" t="str">
        <f t="shared" si="292"/>
        <v/>
      </c>
      <c r="CU282" s="155" t="str">
        <f t="shared" si="293"/>
        <v/>
      </c>
      <c r="CV282" s="155" t="str">
        <f t="shared" si="294"/>
        <v/>
      </c>
      <c r="CW282" s="155" t="str">
        <f t="shared" si="295"/>
        <v/>
      </c>
      <c r="CX282" s="155" t="str">
        <f t="shared" si="296"/>
        <v/>
      </c>
      <c r="DV282" s="151">
        <f>IF(INDEX(Tab_actions,96,1)=1,INDEX(Tab_actions,96,6),0)</f>
        <v>0</v>
      </c>
    </row>
    <row r="283" spans="1:128" s="151" customFormat="1" ht="14.25" outlineLevel="1" x14ac:dyDescent="0.2">
      <c r="A283" s="158"/>
      <c r="B283" s="147" t="str">
        <f>Services!B283</f>
        <v>11D</v>
      </c>
      <c r="C283" s="148" t="str">
        <f>Services!C283</f>
        <v>Continuité de service de l'environnement de travail</v>
      </c>
      <c r="D283" s="149"/>
      <c r="E283" s="149"/>
      <c r="F283" s="149"/>
      <c r="G283" s="149"/>
      <c r="H283" s="149"/>
      <c r="I283" s="140" t="str">
        <f t="shared" si="256"/>
        <v/>
      </c>
      <c r="J283" s="141" t="str">
        <f t="shared" si="214"/>
        <v/>
      </c>
      <c r="K283" s="142"/>
      <c r="L283" s="142"/>
      <c r="M283" s="1708"/>
      <c r="N283" s="1708"/>
      <c r="O283" s="1708"/>
      <c r="P283" s="1708"/>
      <c r="Q283" s="1708"/>
      <c r="R283" s="1708"/>
      <c r="S283" s="1708"/>
      <c r="T283" s="1708"/>
      <c r="U283" s="1708"/>
      <c r="V283" s="1708"/>
      <c r="W283" s="1708"/>
      <c r="X283" s="1712"/>
      <c r="Y283" s="1712"/>
      <c r="Z283" s="1712"/>
      <c r="AA283" s="1712"/>
      <c r="AB283" s="1712"/>
      <c r="AC283" s="1712"/>
      <c r="AD283" s="1712"/>
      <c r="AE283" s="1712"/>
      <c r="AF283" s="1712"/>
      <c r="AG283" s="1712"/>
      <c r="AH283" s="1712"/>
      <c r="AI283" s="1712"/>
      <c r="AJ283" s="1712"/>
      <c r="AK283" s="1712"/>
      <c r="AL283" s="1712"/>
      <c r="AM283" s="1712"/>
      <c r="AN283" s="1712"/>
      <c r="AO283" s="1712"/>
      <c r="AP283" s="1712"/>
      <c r="AQ283" s="1712"/>
      <c r="AR283" s="1712"/>
      <c r="AS283" s="1712"/>
      <c r="AT283" s="1712"/>
      <c r="AU283" s="1712"/>
      <c r="AV283" s="1712"/>
      <c r="AW283" s="1712"/>
      <c r="AX283" s="1713"/>
      <c r="AY283" s="1714" t="str">
        <f t="shared" si="215"/>
        <v/>
      </c>
      <c r="AZ283" s="1714" t="str">
        <f>IF(Obj_PA!D283="","",IF(AY283="","",Obj_PA!D283-AY283))</f>
        <v/>
      </c>
      <c r="BA283" s="150"/>
      <c r="BB283" s="150"/>
      <c r="BC283" s="150"/>
      <c r="BD283" s="150"/>
      <c r="BE283" s="150"/>
      <c r="BF283" s="150"/>
      <c r="BG283" s="150"/>
      <c r="BH283" s="150"/>
      <c r="BI283" s="150"/>
      <c r="BJ283" s="150"/>
      <c r="BK283" s="155" t="str">
        <f t="shared" si="257"/>
        <v/>
      </c>
      <c r="BL283" s="155" t="str">
        <f t="shared" si="258"/>
        <v/>
      </c>
      <c r="BM283" s="155" t="str">
        <f t="shared" si="259"/>
        <v/>
      </c>
      <c r="BN283" s="155" t="str">
        <f t="shared" si="260"/>
        <v/>
      </c>
      <c r="BO283" s="155" t="str">
        <f t="shared" si="261"/>
        <v/>
      </c>
      <c r="BP283" s="155" t="str">
        <f t="shared" si="262"/>
        <v/>
      </c>
      <c r="BQ283" s="155" t="str">
        <f t="shared" si="263"/>
        <v/>
      </c>
      <c r="BR283" s="155" t="str">
        <f t="shared" si="264"/>
        <v/>
      </c>
      <c r="BS283" s="155" t="str">
        <f t="shared" si="265"/>
        <v/>
      </c>
      <c r="BT283" s="155" t="str">
        <f t="shared" si="266"/>
        <v/>
      </c>
      <c r="BU283" s="155" t="str">
        <f t="shared" si="267"/>
        <v/>
      </c>
      <c r="BV283" s="155" t="str">
        <f t="shared" si="268"/>
        <v/>
      </c>
      <c r="BW283" s="155" t="str">
        <f t="shared" si="269"/>
        <v/>
      </c>
      <c r="BX283" s="155" t="str">
        <f t="shared" si="270"/>
        <v/>
      </c>
      <c r="BY283" s="155" t="str">
        <f t="shared" si="271"/>
        <v/>
      </c>
      <c r="BZ283" s="155" t="str">
        <f t="shared" si="272"/>
        <v/>
      </c>
      <c r="CA283" s="155" t="str">
        <f t="shared" si="273"/>
        <v/>
      </c>
      <c r="CB283" s="155" t="str">
        <f t="shared" si="274"/>
        <v/>
      </c>
      <c r="CC283" s="155" t="str">
        <f t="shared" si="275"/>
        <v/>
      </c>
      <c r="CD283" s="155" t="str">
        <f t="shared" si="276"/>
        <v/>
      </c>
      <c r="CE283" s="155" t="str">
        <f t="shared" si="277"/>
        <v/>
      </c>
      <c r="CF283" s="155" t="str">
        <f t="shared" si="278"/>
        <v/>
      </c>
      <c r="CG283" s="155" t="str">
        <f t="shared" si="279"/>
        <v/>
      </c>
      <c r="CH283" s="155" t="str">
        <f t="shared" si="280"/>
        <v/>
      </c>
      <c r="CI283" s="155" t="str">
        <f t="shared" si="281"/>
        <v/>
      </c>
      <c r="CJ283" s="155" t="str">
        <f t="shared" si="282"/>
        <v/>
      </c>
      <c r="CK283" s="155" t="str">
        <f t="shared" si="283"/>
        <v/>
      </c>
      <c r="CL283" s="155" t="str">
        <f t="shared" si="284"/>
        <v/>
      </c>
      <c r="CM283" s="155" t="str">
        <f t="shared" si="285"/>
        <v/>
      </c>
      <c r="CN283" s="155" t="str">
        <f t="shared" si="286"/>
        <v/>
      </c>
      <c r="CO283" s="155" t="str">
        <f t="shared" si="287"/>
        <v/>
      </c>
      <c r="CP283" s="155" t="str">
        <f t="shared" si="288"/>
        <v/>
      </c>
      <c r="CQ283" s="155" t="str">
        <f t="shared" si="289"/>
        <v/>
      </c>
      <c r="CR283" s="155" t="str">
        <f t="shared" si="290"/>
        <v/>
      </c>
      <c r="CS283" s="155" t="str">
        <f t="shared" si="291"/>
        <v/>
      </c>
      <c r="CT283" s="155" t="str">
        <f t="shared" si="292"/>
        <v/>
      </c>
      <c r="CU283" s="155" t="str">
        <f t="shared" si="293"/>
        <v/>
      </c>
      <c r="CV283" s="155" t="str">
        <f t="shared" si="294"/>
        <v/>
      </c>
      <c r="CW283" s="155" t="str">
        <f t="shared" si="295"/>
        <v/>
      </c>
      <c r="CX283" s="155" t="str">
        <f t="shared" si="296"/>
        <v/>
      </c>
    </row>
    <row r="284" spans="1:128" s="151" customFormat="1" ht="25.5" outlineLevel="1" x14ac:dyDescent="0.2">
      <c r="A284" s="158"/>
      <c r="B284" s="157" t="str">
        <f>Services!B284</f>
        <v>11D01</v>
      </c>
      <c r="C284" s="153" t="str">
        <f>Services!C284</f>
        <v>Organisation de la maintenance du matériel mis à la disposition du personnel</v>
      </c>
      <c r="D284" s="149"/>
      <c r="E284" s="149"/>
      <c r="F284" s="149"/>
      <c r="G284" s="149"/>
      <c r="H284" s="149"/>
      <c r="I284" s="140" t="str">
        <f t="shared" si="256"/>
        <v/>
      </c>
      <c r="J284" s="141" t="str">
        <f t="shared" si="214"/>
        <v/>
      </c>
      <c r="K284" s="142"/>
      <c r="L284" s="142"/>
      <c r="M284" s="1708"/>
      <c r="N284" s="1708"/>
      <c r="O284" s="1708"/>
      <c r="P284" s="1708"/>
      <c r="Q284" s="1708"/>
      <c r="R284" s="1708"/>
      <c r="S284" s="1708"/>
      <c r="T284" s="1708"/>
      <c r="U284" s="1708"/>
      <c r="V284" s="1708"/>
      <c r="W284" s="1708"/>
      <c r="X284" s="1712"/>
      <c r="Y284" s="1712"/>
      <c r="Z284" s="1712"/>
      <c r="AA284" s="1712"/>
      <c r="AB284" s="1712"/>
      <c r="AC284" s="1712"/>
      <c r="AD284" s="1712"/>
      <c r="AE284" s="1712"/>
      <c r="AF284" s="1712"/>
      <c r="AG284" s="1712"/>
      <c r="AH284" s="1712"/>
      <c r="AI284" s="1712"/>
      <c r="AJ284" s="1712"/>
      <c r="AK284" s="1712"/>
      <c r="AL284" s="1712"/>
      <c r="AM284" s="1712"/>
      <c r="AN284" s="1712"/>
      <c r="AO284" s="1712"/>
      <c r="AP284" s="1712"/>
      <c r="AQ284" s="1712"/>
      <c r="AR284" s="1712"/>
      <c r="AS284" s="1712"/>
      <c r="AT284" s="1712"/>
      <c r="AU284" s="1712"/>
      <c r="AV284" s="1712"/>
      <c r="AW284" s="1712"/>
      <c r="AX284" s="1713"/>
      <c r="AY284" s="1714" t="str">
        <f t="shared" si="215"/>
        <v/>
      </c>
      <c r="AZ284" s="1714" t="str">
        <f>IF(Obj_PA!D284="","",IF(AY284="","",Obj_PA!D284-AY284))</f>
        <v/>
      </c>
      <c r="BA284" s="150"/>
      <c r="BB284" s="150"/>
      <c r="BC284" s="150"/>
      <c r="BD284" s="150"/>
      <c r="BE284" s="150"/>
      <c r="BF284" s="150"/>
      <c r="BG284" s="150"/>
      <c r="BH284" s="150"/>
      <c r="BI284" s="150"/>
      <c r="BJ284" s="150"/>
      <c r="BK284" s="155" t="str">
        <f t="shared" si="257"/>
        <v/>
      </c>
      <c r="BL284" s="155" t="str">
        <f t="shared" si="258"/>
        <v/>
      </c>
      <c r="BM284" s="155" t="str">
        <f t="shared" si="259"/>
        <v/>
      </c>
      <c r="BN284" s="155" t="str">
        <f t="shared" si="260"/>
        <v/>
      </c>
      <c r="BO284" s="155" t="str">
        <f t="shared" si="261"/>
        <v/>
      </c>
      <c r="BP284" s="155" t="str">
        <f t="shared" si="262"/>
        <v/>
      </c>
      <c r="BQ284" s="155" t="str">
        <f t="shared" si="263"/>
        <v/>
      </c>
      <c r="BR284" s="155" t="str">
        <f t="shared" si="264"/>
        <v/>
      </c>
      <c r="BS284" s="155" t="str">
        <f t="shared" si="265"/>
        <v/>
      </c>
      <c r="BT284" s="155" t="str">
        <f t="shared" si="266"/>
        <v/>
      </c>
      <c r="BU284" s="155" t="str">
        <f t="shared" si="267"/>
        <v/>
      </c>
      <c r="BV284" s="155" t="str">
        <f t="shared" si="268"/>
        <v/>
      </c>
      <c r="BW284" s="155" t="str">
        <f t="shared" si="269"/>
        <v/>
      </c>
      <c r="BX284" s="155" t="str">
        <f t="shared" si="270"/>
        <v/>
      </c>
      <c r="BY284" s="155" t="str">
        <f t="shared" si="271"/>
        <v/>
      </c>
      <c r="BZ284" s="155" t="str">
        <f t="shared" si="272"/>
        <v/>
      </c>
      <c r="CA284" s="155" t="str">
        <f t="shared" si="273"/>
        <v/>
      </c>
      <c r="CB284" s="155" t="str">
        <f t="shared" si="274"/>
        <v/>
      </c>
      <c r="CC284" s="155" t="str">
        <f t="shared" si="275"/>
        <v/>
      </c>
      <c r="CD284" s="155" t="str">
        <f t="shared" si="276"/>
        <v/>
      </c>
      <c r="CE284" s="155" t="str">
        <f t="shared" si="277"/>
        <v/>
      </c>
      <c r="CF284" s="155" t="str">
        <f t="shared" si="278"/>
        <v/>
      </c>
      <c r="CG284" s="155" t="str">
        <f t="shared" si="279"/>
        <v/>
      </c>
      <c r="CH284" s="155" t="str">
        <f t="shared" si="280"/>
        <v/>
      </c>
      <c r="CI284" s="155" t="str">
        <f t="shared" si="281"/>
        <v/>
      </c>
      <c r="CJ284" s="155" t="str">
        <f t="shared" si="282"/>
        <v/>
      </c>
      <c r="CK284" s="155" t="str">
        <f t="shared" si="283"/>
        <v/>
      </c>
      <c r="CL284" s="155" t="str">
        <f t="shared" si="284"/>
        <v/>
      </c>
      <c r="CM284" s="155" t="str">
        <f t="shared" si="285"/>
        <v/>
      </c>
      <c r="CN284" s="155" t="str">
        <f t="shared" si="286"/>
        <v/>
      </c>
      <c r="CO284" s="155" t="str">
        <f t="shared" si="287"/>
        <v/>
      </c>
      <c r="CP284" s="155" t="str">
        <f t="shared" si="288"/>
        <v/>
      </c>
      <c r="CQ284" s="155" t="str">
        <f t="shared" si="289"/>
        <v/>
      </c>
      <c r="CR284" s="155" t="str">
        <f t="shared" si="290"/>
        <v/>
      </c>
      <c r="CS284" s="155" t="str">
        <f t="shared" si="291"/>
        <v/>
      </c>
      <c r="CT284" s="155" t="str">
        <f t="shared" si="292"/>
        <v/>
      </c>
      <c r="CU284" s="155" t="str">
        <f t="shared" si="293"/>
        <v/>
      </c>
      <c r="CV284" s="155" t="str">
        <f t="shared" si="294"/>
        <v/>
      </c>
      <c r="CW284" s="155" t="str">
        <f t="shared" si="295"/>
        <v/>
      </c>
      <c r="CX284" s="155" t="str">
        <f t="shared" si="296"/>
        <v/>
      </c>
    </row>
    <row r="285" spans="1:128" s="151" customFormat="1" ht="15.75" customHeight="1" outlineLevel="1" x14ac:dyDescent="0.2">
      <c r="A285" s="158"/>
      <c r="B285" s="157" t="str">
        <f>Services!B285</f>
        <v>11D02</v>
      </c>
      <c r="C285" s="153" t="str">
        <f>Services!C285</f>
        <v>Organisation de la maintenance du logiciel utilisateurs (système d'exploitation et applications)</v>
      </c>
      <c r="D285" s="149"/>
      <c r="E285" s="149"/>
      <c r="F285" s="149"/>
      <c r="G285" s="149"/>
      <c r="H285" s="149"/>
      <c r="I285" s="140" t="str">
        <f t="shared" si="256"/>
        <v/>
      </c>
      <c r="J285" s="141" t="str">
        <f t="shared" si="214"/>
        <v/>
      </c>
      <c r="K285" s="142"/>
      <c r="L285" s="142"/>
      <c r="M285" s="1708"/>
      <c r="N285" s="1708"/>
      <c r="O285" s="1708"/>
      <c r="P285" s="1708"/>
      <c r="Q285" s="1708"/>
      <c r="R285" s="1708"/>
      <c r="S285" s="1708"/>
      <c r="T285" s="1708"/>
      <c r="U285" s="1708"/>
      <c r="V285" s="1708"/>
      <c r="W285" s="1708"/>
      <c r="X285" s="1712"/>
      <c r="Y285" s="1712"/>
      <c r="Z285" s="1712"/>
      <c r="AA285" s="1712"/>
      <c r="AB285" s="1712"/>
      <c r="AC285" s="1712"/>
      <c r="AD285" s="1712"/>
      <c r="AE285" s="1712"/>
      <c r="AF285" s="1712"/>
      <c r="AG285" s="1712"/>
      <c r="AH285" s="1712"/>
      <c r="AI285" s="1712"/>
      <c r="AJ285" s="1712"/>
      <c r="AK285" s="1712"/>
      <c r="AL285" s="1712"/>
      <c r="AM285" s="1712"/>
      <c r="AN285" s="1712"/>
      <c r="AO285" s="1712"/>
      <c r="AP285" s="1712"/>
      <c r="AQ285" s="1712"/>
      <c r="AR285" s="1712"/>
      <c r="AS285" s="1712"/>
      <c r="AT285" s="1712"/>
      <c r="AU285" s="1712"/>
      <c r="AV285" s="1712"/>
      <c r="AW285" s="1712"/>
      <c r="AX285" s="1713"/>
      <c r="AY285" s="1714" t="str">
        <f t="shared" si="215"/>
        <v/>
      </c>
      <c r="AZ285" s="1714" t="str">
        <f>IF(Obj_PA!D285="","",IF(AY285="","",Obj_PA!D285-AY285))</f>
        <v/>
      </c>
      <c r="BA285" s="150"/>
      <c r="BB285" s="150"/>
      <c r="BC285" s="150"/>
      <c r="BD285" s="150"/>
      <c r="BE285" s="150"/>
      <c r="BF285" s="150"/>
      <c r="BG285" s="150"/>
      <c r="BH285" s="150"/>
      <c r="BI285" s="150"/>
      <c r="BJ285" s="150"/>
      <c r="BK285" s="155" t="str">
        <f t="shared" si="257"/>
        <v/>
      </c>
      <c r="BL285" s="155" t="str">
        <f t="shared" si="258"/>
        <v/>
      </c>
      <c r="BM285" s="155" t="str">
        <f t="shared" si="259"/>
        <v/>
      </c>
      <c r="BN285" s="155" t="str">
        <f t="shared" si="260"/>
        <v/>
      </c>
      <c r="BO285" s="155" t="str">
        <f t="shared" si="261"/>
        <v/>
      </c>
      <c r="BP285" s="155" t="str">
        <f t="shared" si="262"/>
        <v/>
      </c>
      <c r="BQ285" s="155" t="str">
        <f t="shared" si="263"/>
        <v/>
      </c>
      <c r="BR285" s="155" t="str">
        <f t="shared" si="264"/>
        <v/>
      </c>
      <c r="BS285" s="155" t="str">
        <f t="shared" si="265"/>
        <v/>
      </c>
      <c r="BT285" s="155" t="str">
        <f t="shared" si="266"/>
        <v/>
      </c>
      <c r="BU285" s="155" t="str">
        <f t="shared" si="267"/>
        <v/>
      </c>
      <c r="BV285" s="155" t="str">
        <f t="shared" si="268"/>
        <v/>
      </c>
      <c r="BW285" s="155" t="str">
        <f t="shared" si="269"/>
        <v/>
      </c>
      <c r="BX285" s="155" t="str">
        <f t="shared" si="270"/>
        <v/>
      </c>
      <c r="BY285" s="155" t="str">
        <f t="shared" si="271"/>
        <v/>
      </c>
      <c r="BZ285" s="155" t="str">
        <f t="shared" si="272"/>
        <v/>
      </c>
      <c r="CA285" s="155" t="str">
        <f t="shared" si="273"/>
        <v/>
      </c>
      <c r="CB285" s="155" t="str">
        <f t="shared" si="274"/>
        <v/>
      </c>
      <c r="CC285" s="155" t="str">
        <f t="shared" si="275"/>
        <v/>
      </c>
      <c r="CD285" s="155" t="str">
        <f t="shared" si="276"/>
        <v/>
      </c>
      <c r="CE285" s="155" t="str">
        <f t="shared" si="277"/>
        <v/>
      </c>
      <c r="CF285" s="155" t="str">
        <f t="shared" si="278"/>
        <v/>
      </c>
      <c r="CG285" s="155" t="str">
        <f t="shared" si="279"/>
        <v/>
      </c>
      <c r="CH285" s="155" t="str">
        <f t="shared" si="280"/>
        <v/>
      </c>
      <c r="CI285" s="155" t="str">
        <f t="shared" si="281"/>
        <v/>
      </c>
      <c r="CJ285" s="155" t="str">
        <f t="shared" si="282"/>
        <v/>
      </c>
      <c r="CK285" s="155" t="str">
        <f t="shared" si="283"/>
        <v/>
      </c>
      <c r="CL285" s="155" t="str">
        <f t="shared" si="284"/>
        <v/>
      </c>
      <c r="CM285" s="155" t="str">
        <f t="shared" si="285"/>
        <v/>
      </c>
      <c r="CN285" s="155" t="str">
        <f t="shared" si="286"/>
        <v/>
      </c>
      <c r="CO285" s="155" t="str">
        <f t="shared" si="287"/>
        <v/>
      </c>
      <c r="CP285" s="155" t="str">
        <f t="shared" si="288"/>
        <v/>
      </c>
      <c r="CQ285" s="155" t="str">
        <f t="shared" si="289"/>
        <v/>
      </c>
      <c r="CR285" s="155" t="str">
        <f t="shared" si="290"/>
        <v/>
      </c>
      <c r="CS285" s="155" t="str">
        <f t="shared" si="291"/>
        <v/>
      </c>
      <c r="CT285" s="155" t="str">
        <f t="shared" si="292"/>
        <v/>
      </c>
      <c r="CU285" s="155" t="str">
        <f t="shared" si="293"/>
        <v/>
      </c>
      <c r="CV285" s="155" t="str">
        <f t="shared" si="294"/>
        <v/>
      </c>
      <c r="CW285" s="155" t="str">
        <f t="shared" si="295"/>
        <v/>
      </c>
      <c r="CX285" s="155" t="str">
        <f t="shared" si="296"/>
        <v/>
      </c>
    </row>
    <row r="286" spans="1:128" s="151" customFormat="1" ht="14.25" outlineLevel="1" x14ac:dyDescent="0.2">
      <c r="A286" s="158"/>
      <c r="B286" s="157" t="str">
        <f>Services!B286</f>
        <v>11D03</v>
      </c>
      <c r="C286" s="153" t="str">
        <f>Services!C286</f>
        <v>Plans de sauvegardes des configurations utilisateurs</v>
      </c>
      <c r="D286" s="149"/>
      <c r="E286" s="149"/>
      <c r="F286" s="149"/>
      <c r="G286" s="149"/>
      <c r="H286" s="149">
        <f>5*(8*Plans_action!E233+Plans_action!D233)</f>
        <v>0</v>
      </c>
      <c r="I286" s="140" t="str">
        <f t="shared" si="256"/>
        <v/>
      </c>
      <c r="J286" s="141" t="str">
        <f t="shared" si="214"/>
        <v/>
      </c>
      <c r="K286" s="142"/>
      <c r="L286" s="142"/>
      <c r="M286" s="1708"/>
      <c r="N286" s="1708"/>
      <c r="O286" s="1708"/>
      <c r="P286" s="1708"/>
      <c r="Q286" s="1708"/>
      <c r="R286" s="1708"/>
      <c r="S286" s="1708"/>
      <c r="T286" s="1708"/>
      <c r="U286" s="1708"/>
      <c r="V286" s="1708"/>
      <c r="W286" s="1708"/>
      <c r="X286" s="1712"/>
      <c r="Y286" s="1712"/>
      <c r="Z286" s="1712"/>
      <c r="AA286" s="1712"/>
      <c r="AB286" s="1712"/>
      <c r="AC286" s="1712"/>
      <c r="AD286" s="1712"/>
      <c r="AE286" s="1712"/>
      <c r="AF286" s="1712"/>
      <c r="AG286" s="1712"/>
      <c r="AH286" s="1712"/>
      <c r="AI286" s="1712"/>
      <c r="AJ286" s="1712"/>
      <c r="AK286" s="1712"/>
      <c r="AL286" s="1712"/>
      <c r="AM286" s="1712"/>
      <c r="AN286" s="1712"/>
      <c r="AO286" s="1712"/>
      <c r="AP286" s="1712"/>
      <c r="AQ286" s="1712"/>
      <c r="AR286" s="1712"/>
      <c r="AS286" s="1712"/>
      <c r="AT286" s="1712"/>
      <c r="AU286" s="1712"/>
      <c r="AV286" s="1712"/>
      <c r="AW286" s="1712"/>
      <c r="AX286" s="1713"/>
      <c r="AY286" s="1714" t="str">
        <f t="shared" si="215"/>
        <v/>
      </c>
      <c r="AZ286" s="1714" t="str">
        <f>IF(Obj_PA!D286="","",IF(AY286="","",Obj_PA!D286-AY286))</f>
        <v/>
      </c>
      <c r="BA286" s="150"/>
      <c r="BB286" s="150"/>
      <c r="BC286" s="150"/>
      <c r="BD286" s="150"/>
      <c r="BE286" s="150"/>
      <c r="BF286" s="150"/>
      <c r="BG286" s="150"/>
      <c r="BH286" s="150"/>
      <c r="BI286" s="150"/>
      <c r="BJ286" s="150"/>
      <c r="BK286" s="155" t="str">
        <f t="shared" si="257"/>
        <v/>
      </c>
      <c r="BL286" s="155" t="str">
        <f t="shared" si="258"/>
        <v/>
      </c>
      <c r="BM286" s="155" t="str">
        <f t="shared" si="259"/>
        <v/>
      </c>
      <c r="BN286" s="155" t="str">
        <f t="shared" si="260"/>
        <v/>
      </c>
      <c r="BO286" s="155" t="str">
        <f t="shared" si="261"/>
        <v/>
      </c>
      <c r="BP286" s="155" t="str">
        <f t="shared" si="262"/>
        <v/>
      </c>
      <c r="BQ286" s="155" t="str">
        <f t="shared" si="263"/>
        <v/>
      </c>
      <c r="BR286" s="155" t="str">
        <f t="shared" si="264"/>
        <v/>
      </c>
      <c r="BS286" s="155" t="str">
        <f t="shared" si="265"/>
        <v/>
      </c>
      <c r="BT286" s="155" t="str">
        <f t="shared" si="266"/>
        <v/>
      </c>
      <c r="BU286" s="155" t="str">
        <f t="shared" si="267"/>
        <v/>
      </c>
      <c r="BV286" s="155" t="str">
        <f t="shared" si="268"/>
        <v/>
      </c>
      <c r="BW286" s="155" t="str">
        <f t="shared" si="269"/>
        <v/>
      </c>
      <c r="BX286" s="155" t="str">
        <f t="shared" si="270"/>
        <v/>
      </c>
      <c r="BY286" s="155" t="str">
        <f t="shared" si="271"/>
        <v/>
      </c>
      <c r="BZ286" s="155" t="str">
        <f t="shared" si="272"/>
        <v/>
      </c>
      <c r="CA286" s="155" t="str">
        <f t="shared" si="273"/>
        <v/>
      </c>
      <c r="CB286" s="155" t="str">
        <f t="shared" si="274"/>
        <v/>
      </c>
      <c r="CC286" s="155" t="str">
        <f t="shared" si="275"/>
        <v/>
      </c>
      <c r="CD286" s="155" t="str">
        <f t="shared" si="276"/>
        <v/>
      </c>
      <c r="CE286" s="155" t="str">
        <f t="shared" si="277"/>
        <v/>
      </c>
      <c r="CF286" s="155" t="str">
        <f t="shared" si="278"/>
        <v/>
      </c>
      <c r="CG286" s="155" t="str">
        <f t="shared" si="279"/>
        <v/>
      </c>
      <c r="CH286" s="155" t="str">
        <f t="shared" si="280"/>
        <v/>
      </c>
      <c r="CI286" s="155" t="str">
        <f t="shared" si="281"/>
        <v/>
      </c>
      <c r="CJ286" s="155" t="str">
        <f t="shared" si="282"/>
        <v/>
      </c>
      <c r="CK286" s="155" t="str">
        <f t="shared" si="283"/>
        <v/>
      </c>
      <c r="CL286" s="155" t="str">
        <f t="shared" si="284"/>
        <v/>
      </c>
      <c r="CM286" s="155" t="str">
        <f t="shared" si="285"/>
        <v/>
      </c>
      <c r="CN286" s="155" t="str">
        <f t="shared" si="286"/>
        <v/>
      </c>
      <c r="CO286" s="155" t="str">
        <f t="shared" si="287"/>
        <v/>
      </c>
      <c r="CP286" s="155" t="str">
        <f t="shared" si="288"/>
        <v/>
      </c>
      <c r="CQ286" s="155" t="str">
        <f t="shared" si="289"/>
        <v/>
      </c>
      <c r="CR286" s="155" t="str">
        <f t="shared" si="290"/>
        <v/>
      </c>
      <c r="CS286" s="155" t="str">
        <f t="shared" si="291"/>
        <v/>
      </c>
      <c r="CT286" s="155" t="str">
        <f t="shared" si="292"/>
        <v/>
      </c>
      <c r="CU286" s="155" t="str">
        <f t="shared" si="293"/>
        <v/>
      </c>
      <c r="CV286" s="155" t="str">
        <f t="shared" si="294"/>
        <v/>
      </c>
      <c r="CW286" s="155" t="str">
        <f t="shared" si="295"/>
        <v/>
      </c>
      <c r="CX286" s="155" t="str">
        <f t="shared" si="296"/>
        <v/>
      </c>
    </row>
    <row r="287" spans="1:128" s="151" customFormat="1" ht="15.75" customHeight="1" outlineLevel="1" x14ac:dyDescent="0.2">
      <c r="A287" s="158"/>
      <c r="B287" s="157" t="str">
        <f>Services!B287</f>
        <v>11D04</v>
      </c>
      <c r="C287" s="153" t="str">
        <f>Services!C287</f>
        <v>Plan de sauvegardes des données utilisateurs (bureautiques) stockées sur serveur de données</v>
      </c>
      <c r="D287" s="149"/>
      <c r="E287" s="149"/>
      <c r="F287" s="149"/>
      <c r="G287" s="149"/>
      <c r="H287" s="149">
        <f>5*(8*Plans_action!E13+Plans_action!D13)</f>
        <v>0</v>
      </c>
      <c r="I287" s="140" t="str">
        <f t="shared" si="256"/>
        <v/>
      </c>
      <c r="J287" s="141" t="str">
        <f t="shared" si="214"/>
        <v/>
      </c>
      <c r="K287" s="142"/>
      <c r="L287" s="142"/>
      <c r="M287" s="1708"/>
      <c r="N287" s="1708"/>
      <c r="O287" s="1708"/>
      <c r="P287" s="1708"/>
      <c r="Q287" s="1708"/>
      <c r="R287" s="1708"/>
      <c r="S287" s="1708"/>
      <c r="T287" s="1708"/>
      <c r="U287" s="1708"/>
      <c r="V287" s="1708"/>
      <c r="W287" s="1708"/>
      <c r="X287" s="1712"/>
      <c r="Y287" s="1712"/>
      <c r="Z287" s="1712"/>
      <c r="AA287" s="1712"/>
      <c r="AB287" s="1712"/>
      <c r="AC287" s="1712"/>
      <c r="AD287" s="1712"/>
      <c r="AE287" s="1712"/>
      <c r="AF287" s="1712"/>
      <c r="AG287" s="1712"/>
      <c r="AH287" s="1712"/>
      <c r="AI287" s="1712"/>
      <c r="AJ287" s="1712"/>
      <c r="AK287" s="1712"/>
      <c r="AL287" s="1712"/>
      <c r="AM287" s="1712"/>
      <c r="AN287" s="1712"/>
      <c r="AO287" s="1712"/>
      <c r="AP287" s="1712"/>
      <c r="AQ287" s="1712"/>
      <c r="AR287" s="1712"/>
      <c r="AS287" s="1712"/>
      <c r="AT287" s="1712"/>
      <c r="AU287" s="1712"/>
      <c r="AV287" s="1712"/>
      <c r="AW287" s="1712"/>
      <c r="AX287" s="1713"/>
      <c r="AY287" s="1714" t="str">
        <f t="shared" si="215"/>
        <v/>
      </c>
      <c r="AZ287" s="1714" t="str">
        <f>IF(Obj_PA!D287="","",IF(AY287="","",Obj_PA!D287-AY287))</f>
        <v/>
      </c>
      <c r="BA287" s="150"/>
      <c r="BB287" s="150"/>
      <c r="BC287" s="150"/>
      <c r="BD287" s="150"/>
      <c r="BE287" s="150"/>
      <c r="BF287" s="150"/>
      <c r="BG287" s="150"/>
      <c r="BH287" s="150"/>
      <c r="BI287" s="150"/>
      <c r="BJ287" s="150"/>
      <c r="BK287" s="155" t="str">
        <f t="shared" si="257"/>
        <v/>
      </c>
      <c r="BL287" s="155" t="str">
        <f t="shared" si="258"/>
        <v/>
      </c>
      <c r="BM287" s="155" t="str">
        <f t="shared" si="259"/>
        <v/>
      </c>
      <c r="BN287" s="155" t="str">
        <f t="shared" si="260"/>
        <v/>
      </c>
      <c r="BO287" s="155" t="str">
        <f t="shared" si="261"/>
        <v/>
      </c>
      <c r="BP287" s="155" t="str">
        <f t="shared" si="262"/>
        <v/>
      </c>
      <c r="BQ287" s="155" t="str">
        <f t="shared" si="263"/>
        <v/>
      </c>
      <c r="BR287" s="155" t="str">
        <f t="shared" si="264"/>
        <v/>
      </c>
      <c r="BS287" s="155" t="str">
        <f t="shared" si="265"/>
        <v/>
      </c>
      <c r="BT287" s="155" t="str">
        <f t="shared" si="266"/>
        <v/>
      </c>
      <c r="BU287" s="155" t="str">
        <f t="shared" si="267"/>
        <v/>
      </c>
      <c r="BV287" s="155" t="str">
        <f t="shared" si="268"/>
        <v/>
      </c>
      <c r="BW287" s="155" t="str">
        <f t="shared" si="269"/>
        <v/>
      </c>
      <c r="BX287" s="155" t="str">
        <f t="shared" si="270"/>
        <v/>
      </c>
      <c r="BY287" s="155" t="str">
        <f t="shared" si="271"/>
        <v/>
      </c>
      <c r="BZ287" s="155" t="str">
        <f t="shared" si="272"/>
        <v/>
      </c>
      <c r="CA287" s="155" t="str">
        <f t="shared" si="273"/>
        <v/>
      </c>
      <c r="CB287" s="155" t="str">
        <f t="shared" si="274"/>
        <v/>
      </c>
      <c r="CC287" s="155" t="str">
        <f t="shared" si="275"/>
        <v/>
      </c>
      <c r="CD287" s="155" t="str">
        <f t="shared" si="276"/>
        <v/>
      </c>
      <c r="CE287" s="155" t="str">
        <f t="shared" si="277"/>
        <v/>
      </c>
      <c r="CF287" s="155" t="str">
        <f t="shared" si="278"/>
        <v/>
      </c>
      <c r="CG287" s="155" t="str">
        <f t="shared" si="279"/>
        <v/>
      </c>
      <c r="CH287" s="155" t="str">
        <f t="shared" si="280"/>
        <v/>
      </c>
      <c r="CI287" s="155" t="str">
        <f t="shared" si="281"/>
        <v/>
      </c>
      <c r="CJ287" s="155" t="str">
        <f t="shared" si="282"/>
        <v/>
      </c>
      <c r="CK287" s="155" t="str">
        <f t="shared" si="283"/>
        <v/>
      </c>
      <c r="CL287" s="155" t="str">
        <f t="shared" si="284"/>
        <v/>
      </c>
      <c r="CM287" s="155" t="str">
        <f t="shared" si="285"/>
        <v/>
      </c>
      <c r="CN287" s="155" t="str">
        <f t="shared" si="286"/>
        <v/>
      </c>
      <c r="CO287" s="155" t="str">
        <f t="shared" si="287"/>
        <v/>
      </c>
      <c r="CP287" s="155" t="str">
        <f t="shared" si="288"/>
        <v/>
      </c>
      <c r="CQ287" s="155" t="str">
        <f t="shared" si="289"/>
        <v/>
      </c>
      <c r="CR287" s="155" t="str">
        <f t="shared" si="290"/>
        <v/>
      </c>
      <c r="CS287" s="155" t="str">
        <f t="shared" si="291"/>
        <v/>
      </c>
      <c r="CT287" s="155" t="str">
        <f t="shared" si="292"/>
        <v/>
      </c>
      <c r="CU287" s="155" t="str">
        <f t="shared" si="293"/>
        <v/>
      </c>
      <c r="CV287" s="155" t="str">
        <f t="shared" si="294"/>
        <v/>
      </c>
      <c r="CW287" s="155" t="str">
        <f t="shared" si="295"/>
        <v/>
      </c>
      <c r="CX287" s="155" t="str">
        <f t="shared" si="296"/>
        <v/>
      </c>
      <c r="DX287" s="151">
        <f>IF(INDEX(Tab_actions,42,1)=1,INDEX(Tab_actions,42,8),0)</f>
        <v>0</v>
      </c>
    </row>
    <row r="288" spans="1:128" s="151" customFormat="1" ht="15.75" customHeight="1" outlineLevel="1" x14ac:dyDescent="0.2">
      <c r="A288" s="158"/>
      <c r="B288" s="157" t="str">
        <f>Services!B288</f>
        <v>11D05</v>
      </c>
      <c r="C288" s="153" t="str">
        <f>Services!C288</f>
        <v>Plan de sauvegardes des données utilisateurs (bureautiques) stockées sur les postes de travail</v>
      </c>
      <c r="D288" s="149"/>
      <c r="E288" s="149"/>
      <c r="F288" s="149"/>
      <c r="G288" s="149"/>
      <c r="H288" s="149">
        <f>5*(8*Plans_action!E21+Plans_action!D21)</f>
        <v>0</v>
      </c>
      <c r="I288" s="140" t="str">
        <f t="shared" si="256"/>
        <v/>
      </c>
      <c r="J288" s="141" t="str">
        <f t="shared" si="214"/>
        <v/>
      </c>
      <c r="K288" s="142"/>
      <c r="L288" s="142"/>
      <c r="M288" s="1708"/>
      <c r="N288" s="1708"/>
      <c r="O288" s="1708"/>
      <c r="P288" s="1708"/>
      <c r="Q288" s="1708"/>
      <c r="R288" s="1708"/>
      <c r="S288" s="1708"/>
      <c r="T288" s="1708"/>
      <c r="U288" s="1708"/>
      <c r="V288" s="1708"/>
      <c r="W288" s="1708"/>
      <c r="X288" s="1712"/>
      <c r="Y288" s="1712"/>
      <c r="Z288" s="1712"/>
      <c r="AA288" s="1712"/>
      <c r="AB288" s="1712"/>
      <c r="AC288" s="1712"/>
      <c r="AD288" s="1712"/>
      <c r="AE288" s="1712"/>
      <c r="AF288" s="1712"/>
      <c r="AG288" s="1712"/>
      <c r="AH288" s="1712"/>
      <c r="AI288" s="1712"/>
      <c r="AJ288" s="1712"/>
      <c r="AK288" s="1712"/>
      <c r="AL288" s="1712"/>
      <c r="AM288" s="1712"/>
      <c r="AN288" s="1712"/>
      <c r="AO288" s="1712"/>
      <c r="AP288" s="1712"/>
      <c r="AQ288" s="1712"/>
      <c r="AR288" s="1712"/>
      <c r="AS288" s="1712"/>
      <c r="AT288" s="1712"/>
      <c r="AU288" s="1712"/>
      <c r="AV288" s="1712"/>
      <c r="AW288" s="1712"/>
      <c r="AX288" s="1713"/>
      <c r="AY288" s="1714" t="str">
        <f t="shared" si="215"/>
        <v/>
      </c>
      <c r="AZ288" s="1714" t="str">
        <f>IF(Obj_PA!D288="","",IF(AY288="","",Obj_PA!D288-AY288))</f>
        <v/>
      </c>
      <c r="BA288" s="150"/>
      <c r="BB288" s="150"/>
      <c r="BC288" s="150"/>
      <c r="BD288" s="150"/>
      <c r="BE288" s="150"/>
      <c r="BF288" s="150"/>
      <c r="BG288" s="150"/>
      <c r="BH288" s="150"/>
      <c r="BI288" s="150"/>
      <c r="BJ288" s="150"/>
      <c r="BK288" s="155" t="str">
        <f t="shared" si="257"/>
        <v/>
      </c>
      <c r="BL288" s="155" t="str">
        <f t="shared" si="258"/>
        <v/>
      </c>
      <c r="BM288" s="155" t="str">
        <f t="shared" si="259"/>
        <v/>
      </c>
      <c r="BN288" s="155" t="str">
        <f t="shared" si="260"/>
        <v/>
      </c>
      <c r="BO288" s="155" t="str">
        <f t="shared" si="261"/>
        <v/>
      </c>
      <c r="BP288" s="155" t="str">
        <f t="shared" si="262"/>
        <v/>
      </c>
      <c r="BQ288" s="155" t="str">
        <f t="shared" si="263"/>
        <v/>
      </c>
      <c r="BR288" s="155" t="str">
        <f t="shared" si="264"/>
        <v/>
      </c>
      <c r="BS288" s="155" t="str">
        <f t="shared" si="265"/>
        <v/>
      </c>
      <c r="BT288" s="155" t="str">
        <f t="shared" si="266"/>
        <v/>
      </c>
      <c r="BU288" s="155" t="str">
        <f t="shared" si="267"/>
        <v/>
      </c>
      <c r="BV288" s="155" t="str">
        <f t="shared" si="268"/>
        <v/>
      </c>
      <c r="BW288" s="155" t="str">
        <f t="shared" si="269"/>
        <v/>
      </c>
      <c r="BX288" s="155" t="str">
        <f t="shared" si="270"/>
        <v/>
      </c>
      <c r="BY288" s="155" t="str">
        <f t="shared" si="271"/>
        <v/>
      </c>
      <c r="BZ288" s="155" t="str">
        <f t="shared" si="272"/>
        <v/>
      </c>
      <c r="CA288" s="155" t="str">
        <f t="shared" si="273"/>
        <v/>
      </c>
      <c r="CB288" s="155" t="str">
        <f t="shared" si="274"/>
        <v/>
      </c>
      <c r="CC288" s="155" t="str">
        <f t="shared" si="275"/>
        <v/>
      </c>
      <c r="CD288" s="155" t="str">
        <f t="shared" si="276"/>
        <v/>
      </c>
      <c r="CE288" s="155" t="str">
        <f t="shared" si="277"/>
        <v/>
      </c>
      <c r="CF288" s="155" t="str">
        <f t="shared" si="278"/>
        <v/>
      </c>
      <c r="CG288" s="155" t="str">
        <f t="shared" si="279"/>
        <v/>
      </c>
      <c r="CH288" s="155" t="str">
        <f t="shared" si="280"/>
        <v/>
      </c>
      <c r="CI288" s="155" t="str">
        <f t="shared" si="281"/>
        <v/>
      </c>
      <c r="CJ288" s="155" t="str">
        <f t="shared" si="282"/>
        <v/>
      </c>
      <c r="CK288" s="155" t="str">
        <f t="shared" si="283"/>
        <v/>
      </c>
      <c r="CL288" s="155" t="str">
        <f t="shared" si="284"/>
        <v/>
      </c>
      <c r="CM288" s="155" t="str">
        <f t="shared" si="285"/>
        <v/>
      </c>
      <c r="CN288" s="155" t="str">
        <f t="shared" si="286"/>
        <v/>
      </c>
      <c r="CO288" s="155" t="str">
        <f t="shared" si="287"/>
        <v/>
      </c>
      <c r="CP288" s="155" t="str">
        <f t="shared" si="288"/>
        <v/>
      </c>
      <c r="CQ288" s="155" t="str">
        <f t="shared" si="289"/>
        <v/>
      </c>
      <c r="CR288" s="155" t="str">
        <f t="shared" si="290"/>
        <v/>
      </c>
      <c r="CS288" s="155" t="str">
        <f t="shared" si="291"/>
        <v/>
      </c>
      <c r="CT288" s="155" t="str">
        <f t="shared" si="292"/>
        <v/>
      </c>
      <c r="CU288" s="155" t="str">
        <f t="shared" si="293"/>
        <v/>
      </c>
      <c r="CV288" s="155" t="str">
        <f t="shared" si="294"/>
        <v/>
      </c>
      <c r="CW288" s="155" t="str">
        <f t="shared" si="295"/>
        <v/>
      </c>
      <c r="CX288" s="155" t="str">
        <f t="shared" si="296"/>
        <v/>
      </c>
      <c r="DX288" s="151">
        <f>IF(INDEX(Tab_actions,42,1)=1,INDEX(Tab_actions,42,10),0)</f>
        <v>0</v>
      </c>
    </row>
    <row r="289" spans="1:128" s="151" customFormat="1" ht="25.5" outlineLevel="1" x14ac:dyDescent="0.2">
      <c r="A289" s="158"/>
      <c r="B289" s="157" t="str">
        <f>Services!B289</f>
        <v>11D06</v>
      </c>
      <c r="C289" s="153" t="str">
        <f>Services!C289</f>
        <v>Protection des postes utilisateurs contre des codes malveillants ou des codes exécutables non autorisés</v>
      </c>
      <c r="D289" s="149">
        <f>1*(8*Plans_action!E13+Plans_action!D13)+1*(8*Plans_action!E21+Plans_action!D21)+1*(8*Plans_action!E233+Plans_action!D233)</f>
        <v>0</v>
      </c>
      <c r="E289" s="149"/>
      <c r="F289" s="149"/>
      <c r="G289" s="149"/>
      <c r="H289" s="149"/>
      <c r="I289" s="140" t="str">
        <f t="shared" si="256"/>
        <v/>
      </c>
      <c r="J289" s="141" t="str">
        <f t="shared" si="214"/>
        <v/>
      </c>
      <c r="K289" s="142"/>
      <c r="L289" s="142"/>
      <c r="M289" s="1708"/>
      <c r="N289" s="1708"/>
      <c r="O289" s="1708"/>
      <c r="P289" s="1708"/>
      <c r="Q289" s="1708"/>
      <c r="R289" s="1708"/>
      <c r="S289" s="1708"/>
      <c r="T289" s="1708"/>
      <c r="U289" s="1708"/>
      <c r="V289" s="1708"/>
      <c r="W289" s="1708"/>
      <c r="X289" s="1712"/>
      <c r="Y289" s="1712"/>
      <c r="Z289" s="1712"/>
      <c r="AA289" s="1712"/>
      <c r="AB289" s="1712"/>
      <c r="AC289" s="1712"/>
      <c r="AD289" s="1712"/>
      <c r="AE289" s="1712"/>
      <c r="AF289" s="1712"/>
      <c r="AG289" s="1712"/>
      <c r="AH289" s="1712"/>
      <c r="AI289" s="1712"/>
      <c r="AJ289" s="1712"/>
      <c r="AK289" s="1712"/>
      <c r="AL289" s="1712"/>
      <c r="AM289" s="1712"/>
      <c r="AN289" s="1712"/>
      <c r="AO289" s="1712"/>
      <c r="AP289" s="1712"/>
      <c r="AQ289" s="1712"/>
      <c r="AR289" s="1712"/>
      <c r="AS289" s="1712"/>
      <c r="AT289" s="1712"/>
      <c r="AU289" s="1712"/>
      <c r="AV289" s="1712"/>
      <c r="AW289" s="1712"/>
      <c r="AX289" s="1713"/>
      <c r="AY289" s="1714" t="str">
        <f t="shared" si="215"/>
        <v/>
      </c>
      <c r="AZ289" s="1714" t="str">
        <f>IF(Obj_PA!D289="","",IF(AY289="","",Obj_PA!D289-AY289))</f>
        <v/>
      </c>
      <c r="BA289" s="150"/>
      <c r="BB289" s="150"/>
      <c r="BC289" s="150"/>
      <c r="BD289" s="150"/>
      <c r="BE289" s="150"/>
      <c r="BF289" s="150"/>
      <c r="BG289" s="150"/>
      <c r="BH289" s="150"/>
      <c r="BI289" s="150"/>
      <c r="BJ289" s="150"/>
      <c r="BK289" s="155" t="str">
        <f t="shared" si="257"/>
        <v/>
      </c>
      <c r="BL289" s="155" t="str">
        <f t="shared" si="258"/>
        <v/>
      </c>
      <c r="BM289" s="155" t="str">
        <f t="shared" si="259"/>
        <v/>
      </c>
      <c r="BN289" s="155" t="str">
        <f t="shared" si="260"/>
        <v/>
      </c>
      <c r="BO289" s="155" t="str">
        <f t="shared" si="261"/>
        <v/>
      </c>
      <c r="BP289" s="155" t="str">
        <f t="shared" si="262"/>
        <v/>
      </c>
      <c r="BQ289" s="155" t="str">
        <f t="shared" si="263"/>
        <v/>
      </c>
      <c r="BR289" s="155" t="str">
        <f t="shared" si="264"/>
        <v/>
      </c>
      <c r="BS289" s="155" t="str">
        <f t="shared" si="265"/>
        <v/>
      </c>
      <c r="BT289" s="155" t="str">
        <f t="shared" si="266"/>
        <v/>
      </c>
      <c r="BU289" s="155" t="str">
        <f t="shared" si="267"/>
        <v/>
      </c>
      <c r="BV289" s="155" t="str">
        <f t="shared" si="268"/>
        <v/>
      </c>
      <c r="BW289" s="155" t="str">
        <f t="shared" si="269"/>
        <v/>
      </c>
      <c r="BX289" s="155" t="str">
        <f t="shared" si="270"/>
        <v/>
      </c>
      <c r="BY289" s="155" t="str">
        <f t="shared" si="271"/>
        <v/>
      </c>
      <c r="BZ289" s="155" t="str">
        <f t="shared" si="272"/>
        <v/>
      </c>
      <c r="CA289" s="155" t="str">
        <f t="shared" si="273"/>
        <v/>
      </c>
      <c r="CB289" s="155" t="str">
        <f t="shared" si="274"/>
        <v/>
      </c>
      <c r="CC289" s="155" t="str">
        <f t="shared" si="275"/>
        <v/>
      </c>
      <c r="CD289" s="155" t="str">
        <f t="shared" si="276"/>
        <v/>
      </c>
      <c r="CE289" s="155" t="str">
        <f t="shared" si="277"/>
        <v/>
      </c>
      <c r="CF289" s="155" t="str">
        <f t="shared" si="278"/>
        <v/>
      </c>
      <c r="CG289" s="155" t="str">
        <f t="shared" si="279"/>
        <v/>
      </c>
      <c r="CH289" s="155" t="str">
        <f t="shared" si="280"/>
        <v/>
      </c>
      <c r="CI289" s="155" t="str">
        <f t="shared" si="281"/>
        <v/>
      </c>
      <c r="CJ289" s="155" t="str">
        <f t="shared" si="282"/>
        <v/>
      </c>
      <c r="CK289" s="155" t="str">
        <f t="shared" si="283"/>
        <v/>
      </c>
      <c r="CL289" s="155" t="str">
        <f t="shared" si="284"/>
        <v/>
      </c>
      <c r="CM289" s="155" t="str">
        <f t="shared" si="285"/>
        <v/>
      </c>
      <c r="CN289" s="155" t="str">
        <f t="shared" si="286"/>
        <v/>
      </c>
      <c r="CO289" s="155" t="str">
        <f t="shared" si="287"/>
        <v/>
      </c>
      <c r="CP289" s="155" t="str">
        <f t="shared" si="288"/>
        <v/>
      </c>
      <c r="CQ289" s="155" t="str">
        <f t="shared" si="289"/>
        <v/>
      </c>
      <c r="CR289" s="155" t="str">
        <f t="shared" si="290"/>
        <v/>
      </c>
      <c r="CS289" s="155" t="str">
        <f t="shared" si="291"/>
        <v/>
      </c>
      <c r="CT289" s="155" t="str">
        <f t="shared" si="292"/>
        <v/>
      </c>
      <c r="CU289" s="155" t="str">
        <f t="shared" si="293"/>
        <v/>
      </c>
      <c r="CV289" s="155" t="str">
        <f t="shared" si="294"/>
        <v/>
      </c>
      <c r="CW289" s="155" t="str">
        <f t="shared" si="295"/>
        <v/>
      </c>
      <c r="CX289" s="155" t="str">
        <f t="shared" si="296"/>
        <v/>
      </c>
      <c r="DV289" s="151">
        <f>IF(INDEX(Tab_actions,7,1)=1,INDEX(Tab_actions,7,8),0)</f>
        <v>0</v>
      </c>
    </row>
    <row r="290" spans="1:128" s="151" customFormat="1" ht="14.25" outlineLevel="1" x14ac:dyDescent="0.2">
      <c r="A290" s="158"/>
      <c r="B290" s="157" t="str">
        <f>Services!B290</f>
        <v>11D07</v>
      </c>
      <c r="C290" s="153" t="str">
        <f>Services!C290</f>
        <v>Plan de Reprise d'Activité des postes utilisateurs</v>
      </c>
      <c r="D290" s="149"/>
      <c r="E290" s="149"/>
      <c r="F290" s="149"/>
      <c r="G290" s="149"/>
      <c r="H290" s="149">
        <f>5*(8*Plans_action!E233+Plans_action!D233)</f>
        <v>0</v>
      </c>
      <c r="I290" s="140" t="str">
        <f t="shared" si="256"/>
        <v/>
      </c>
      <c r="J290" s="141" t="str">
        <f t="shared" si="214"/>
        <v/>
      </c>
      <c r="K290" s="142"/>
      <c r="L290" s="142"/>
      <c r="M290" s="1708"/>
      <c r="N290" s="1708"/>
      <c r="O290" s="1708"/>
      <c r="P290" s="1708"/>
      <c r="Q290" s="1708"/>
      <c r="R290" s="1708"/>
      <c r="S290" s="1708"/>
      <c r="T290" s="1708"/>
      <c r="U290" s="1708"/>
      <c r="V290" s="1708"/>
      <c r="W290" s="1708"/>
      <c r="X290" s="1712"/>
      <c r="Y290" s="1712"/>
      <c r="Z290" s="1712"/>
      <c r="AA290" s="1712"/>
      <c r="AB290" s="1712"/>
      <c r="AC290" s="1712"/>
      <c r="AD290" s="1712"/>
      <c r="AE290" s="1712"/>
      <c r="AF290" s="1712"/>
      <c r="AG290" s="1712"/>
      <c r="AH290" s="1712"/>
      <c r="AI290" s="1712"/>
      <c r="AJ290" s="1712"/>
      <c r="AK290" s="1712"/>
      <c r="AL290" s="1712"/>
      <c r="AM290" s="1712"/>
      <c r="AN290" s="1712"/>
      <c r="AO290" s="1712"/>
      <c r="AP290" s="1712"/>
      <c r="AQ290" s="1712"/>
      <c r="AR290" s="1712"/>
      <c r="AS290" s="1712"/>
      <c r="AT290" s="1712"/>
      <c r="AU290" s="1712"/>
      <c r="AV290" s="1712"/>
      <c r="AW290" s="1712"/>
      <c r="AX290" s="1713"/>
      <c r="AY290" s="1714" t="str">
        <f t="shared" si="215"/>
        <v/>
      </c>
      <c r="AZ290" s="1714" t="str">
        <f>IF(Obj_PA!D290="","",IF(AY290="","",Obj_PA!D290-AY290))</f>
        <v/>
      </c>
      <c r="BA290" s="150"/>
      <c r="BB290" s="150"/>
      <c r="BC290" s="150"/>
      <c r="BD290" s="150"/>
      <c r="BE290" s="150"/>
      <c r="BF290" s="150"/>
      <c r="BG290" s="150"/>
      <c r="BH290" s="150"/>
      <c r="BI290" s="150"/>
      <c r="BJ290" s="150"/>
      <c r="BK290" s="155" t="str">
        <f t="shared" si="257"/>
        <v/>
      </c>
      <c r="BL290" s="155" t="str">
        <f t="shared" si="258"/>
        <v/>
      </c>
      <c r="BM290" s="155" t="str">
        <f t="shared" si="259"/>
        <v/>
      </c>
      <c r="BN290" s="155" t="str">
        <f t="shared" si="260"/>
        <v/>
      </c>
      <c r="BO290" s="155" t="str">
        <f t="shared" si="261"/>
        <v/>
      </c>
      <c r="BP290" s="155" t="str">
        <f t="shared" si="262"/>
        <v/>
      </c>
      <c r="BQ290" s="155" t="str">
        <f t="shared" si="263"/>
        <v/>
      </c>
      <c r="BR290" s="155" t="str">
        <f t="shared" si="264"/>
        <v/>
      </c>
      <c r="BS290" s="155" t="str">
        <f t="shared" si="265"/>
        <v/>
      </c>
      <c r="BT290" s="155" t="str">
        <f t="shared" si="266"/>
        <v/>
      </c>
      <c r="BU290" s="155" t="str">
        <f t="shared" si="267"/>
        <v/>
      </c>
      <c r="BV290" s="155" t="str">
        <f t="shared" si="268"/>
        <v/>
      </c>
      <c r="BW290" s="155" t="str">
        <f t="shared" si="269"/>
        <v/>
      </c>
      <c r="BX290" s="155" t="str">
        <f t="shared" si="270"/>
        <v/>
      </c>
      <c r="BY290" s="155" t="str">
        <f t="shared" si="271"/>
        <v/>
      </c>
      <c r="BZ290" s="155" t="str">
        <f t="shared" si="272"/>
        <v/>
      </c>
      <c r="CA290" s="155" t="str">
        <f t="shared" si="273"/>
        <v/>
      </c>
      <c r="CB290" s="155" t="str">
        <f t="shared" si="274"/>
        <v/>
      </c>
      <c r="CC290" s="155" t="str">
        <f t="shared" si="275"/>
        <v/>
      </c>
      <c r="CD290" s="155" t="str">
        <f t="shared" si="276"/>
        <v/>
      </c>
      <c r="CE290" s="155" t="str">
        <f t="shared" si="277"/>
        <v/>
      </c>
      <c r="CF290" s="155" t="str">
        <f t="shared" si="278"/>
        <v/>
      </c>
      <c r="CG290" s="155" t="str">
        <f t="shared" si="279"/>
        <v/>
      </c>
      <c r="CH290" s="155" t="str">
        <f t="shared" si="280"/>
        <v/>
      </c>
      <c r="CI290" s="155" t="str">
        <f t="shared" si="281"/>
        <v/>
      </c>
      <c r="CJ290" s="155" t="str">
        <f t="shared" si="282"/>
        <v/>
      </c>
      <c r="CK290" s="155" t="str">
        <f t="shared" si="283"/>
        <v/>
      </c>
      <c r="CL290" s="155" t="str">
        <f t="shared" si="284"/>
        <v/>
      </c>
      <c r="CM290" s="155" t="str">
        <f t="shared" si="285"/>
        <v/>
      </c>
      <c r="CN290" s="155" t="str">
        <f t="shared" si="286"/>
        <v/>
      </c>
      <c r="CO290" s="155" t="str">
        <f t="shared" si="287"/>
        <v/>
      </c>
      <c r="CP290" s="155" t="str">
        <f t="shared" si="288"/>
        <v/>
      </c>
      <c r="CQ290" s="155" t="str">
        <f t="shared" si="289"/>
        <v/>
      </c>
      <c r="CR290" s="155" t="str">
        <f t="shared" si="290"/>
        <v/>
      </c>
      <c r="CS290" s="155" t="str">
        <f t="shared" si="291"/>
        <v/>
      </c>
      <c r="CT290" s="155" t="str">
        <f t="shared" si="292"/>
        <v/>
      </c>
      <c r="CU290" s="155" t="str">
        <f t="shared" si="293"/>
        <v/>
      </c>
      <c r="CV290" s="155" t="str">
        <f t="shared" si="294"/>
        <v/>
      </c>
      <c r="CW290" s="155" t="str">
        <f t="shared" si="295"/>
        <v/>
      </c>
      <c r="CX290" s="155" t="str">
        <f t="shared" si="296"/>
        <v/>
      </c>
      <c r="DX290" s="151">
        <f>IF(INDEX(Tab_actions,53,1)=1,INDEX(Tab_actions,53,6),0)</f>
        <v>0</v>
      </c>
    </row>
    <row r="291" spans="1:128" s="151" customFormat="1" ht="25.5" outlineLevel="1" x14ac:dyDescent="0.2">
      <c r="A291" s="158"/>
      <c r="B291" s="157" t="str">
        <f>Services!B291</f>
        <v>11D08</v>
      </c>
      <c r="C291" s="153" t="str">
        <f>Services!C291</f>
        <v>Gestion des moyens nécessaires à l'accès aux fichiers bureautiques</v>
      </c>
      <c r="D291" s="149"/>
      <c r="E291" s="149"/>
      <c r="F291" s="149"/>
      <c r="G291" s="149"/>
      <c r="H291" s="149">
        <f>5*(8*Plans_action!E13+Plans_action!D13)+5*(8*Plans_action!E21+Plans_action!D21)</f>
        <v>0</v>
      </c>
      <c r="I291" s="140" t="str">
        <f t="shared" si="256"/>
        <v/>
      </c>
      <c r="J291" s="141" t="str">
        <f t="shared" si="214"/>
        <v/>
      </c>
      <c r="K291" s="142"/>
      <c r="L291" s="142"/>
      <c r="M291" s="1708"/>
      <c r="N291" s="1708"/>
      <c r="O291" s="1708"/>
      <c r="P291" s="1708"/>
      <c r="Q291" s="1708"/>
      <c r="R291" s="1708"/>
      <c r="S291" s="1708"/>
      <c r="T291" s="1708"/>
      <c r="U291" s="1708"/>
      <c r="V291" s="1708"/>
      <c r="W291" s="1708"/>
      <c r="X291" s="1712"/>
      <c r="Y291" s="1712"/>
      <c r="Z291" s="1712"/>
      <c r="AA291" s="1712"/>
      <c r="AB291" s="1712"/>
      <c r="AC291" s="1712"/>
      <c r="AD291" s="1712"/>
      <c r="AE291" s="1712"/>
      <c r="AF291" s="1712"/>
      <c r="AG291" s="1712"/>
      <c r="AH291" s="1712"/>
      <c r="AI291" s="1712"/>
      <c r="AJ291" s="1712"/>
      <c r="AK291" s="1712"/>
      <c r="AL291" s="1712"/>
      <c r="AM291" s="1712"/>
      <c r="AN291" s="1712"/>
      <c r="AO291" s="1712"/>
      <c r="AP291" s="1712"/>
      <c r="AQ291" s="1712"/>
      <c r="AR291" s="1712"/>
      <c r="AS291" s="1712"/>
      <c r="AT291" s="1712"/>
      <c r="AU291" s="1712"/>
      <c r="AV291" s="1712"/>
      <c r="AW291" s="1712"/>
      <c r="AX291" s="1713"/>
      <c r="AY291" s="1714" t="str">
        <f t="shared" si="215"/>
        <v/>
      </c>
      <c r="AZ291" s="1714" t="str">
        <f>IF(Obj_PA!D291="","",IF(AY291="","",Obj_PA!D291-AY291))</f>
        <v/>
      </c>
      <c r="BA291" s="150"/>
      <c r="BB291" s="150"/>
      <c r="BC291" s="150"/>
      <c r="BD291" s="150"/>
      <c r="BE291" s="150"/>
      <c r="BF291" s="150"/>
      <c r="BG291" s="150"/>
      <c r="BH291" s="150"/>
      <c r="BI291" s="150"/>
      <c r="BJ291" s="150"/>
      <c r="BK291" s="155" t="str">
        <f t="shared" si="257"/>
        <v/>
      </c>
      <c r="BL291" s="155" t="str">
        <f t="shared" si="258"/>
        <v/>
      </c>
      <c r="BM291" s="155" t="str">
        <f t="shared" si="259"/>
        <v/>
      </c>
      <c r="BN291" s="155" t="str">
        <f t="shared" si="260"/>
        <v/>
      </c>
      <c r="BO291" s="155" t="str">
        <f t="shared" si="261"/>
        <v/>
      </c>
      <c r="BP291" s="155" t="str">
        <f t="shared" si="262"/>
        <v/>
      </c>
      <c r="BQ291" s="155" t="str">
        <f t="shared" si="263"/>
        <v/>
      </c>
      <c r="BR291" s="155" t="str">
        <f t="shared" si="264"/>
        <v/>
      </c>
      <c r="BS291" s="155" t="str">
        <f t="shared" si="265"/>
        <v/>
      </c>
      <c r="BT291" s="155" t="str">
        <f t="shared" si="266"/>
        <v/>
      </c>
      <c r="BU291" s="155" t="str">
        <f t="shared" si="267"/>
        <v/>
      </c>
      <c r="BV291" s="155" t="str">
        <f t="shared" si="268"/>
        <v/>
      </c>
      <c r="BW291" s="155" t="str">
        <f t="shared" si="269"/>
        <v/>
      </c>
      <c r="BX291" s="155" t="str">
        <f t="shared" si="270"/>
        <v/>
      </c>
      <c r="BY291" s="155" t="str">
        <f t="shared" si="271"/>
        <v/>
      </c>
      <c r="BZ291" s="155" t="str">
        <f t="shared" si="272"/>
        <v/>
      </c>
      <c r="CA291" s="155" t="str">
        <f t="shared" si="273"/>
        <v/>
      </c>
      <c r="CB291" s="155" t="str">
        <f t="shared" si="274"/>
        <v/>
      </c>
      <c r="CC291" s="155" t="str">
        <f t="shared" si="275"/>
        <v/>
      </c>
      <c r="CD291" s="155" t="str">
        <f t="shared" si="276"/>
        <v/>
      </c>
      <c r="CE291" s="155" t="str">
        <f t="shared" si="277"/>
        <v/>
      </c>
      <c r="CF291" s="155" t="str">
        <f t="shared" si="278"/>
        <v/>
      </c>
      <c r="CG291" s="155" t="str">
        <f t="shared" si="279"/>
        <v/>
      </c>
      <c r="CH291" s="155" t="str">
        <f t="shared" si="280"/>
        <v/>
      </c>
      <c r="CI291" s="155" t="str">
        <f t="shared" si="281"/>
        <v/>
      </c>
      <c r="CJ291" s="155" t="str">
        <f t="shared" si="282"/>
        <v/>
      </c>
      <c r="CK291" s="155" t="str">
        <f t="shared" si="283"/>
        <v/>
      </c>
      <c r="CL291" s="155" t="str">
        <f t="shared" si="284"/>
        <v/>
      </c>
      <c r="CM291" s="155" t="str">
        <f t="shared" si="285"/>
        <v/>
      </c>
      <c r="CN291" s="155" t="str">
        <f t="shared" si="286"/>
        <v/>
      </c>
      <c r="CO291" s="155" t="str">
        <f t="shared" si="287"/>
        <v/>
      </c>
      <c r="CP291" s="155" t="str">
        <f t="shared" si="288"/>
        <v/>
      </c>
      <c r="CQ291" s="155" t="str">
        <f t="shared" si="289"/>
        <v/>
      </c>
      <c r="CR291" s="155" t="str">
        <f t="shared" si="290"/>
        <v/>
      </c>
      <c r="CS291" s="155" t="str">
        <f t="shared" si="291"/>
        <v/>
      </c>
      <c r="CT291" s="155" t="str">
        <f t="shared" si="292"/>
        <v/>
      </c>
      <c r="CU291" s="155" t="str">
        <f t="shared" si="293"/>
        <v/>
      </c>
      <c r="CV291" s="155" t="str">
        <f t="shared" si="294"/>
        <v/>
      </c>
      <c r="CW291" s="155" t="str">
        <f t="shared" si="295"/>
        <v/>
      </c>
      <c r="CX291" s="155" t="str">
        <f t="shared" si="296"/>
        <v/>
      </c>
      <c r="DX291" s="151">
        <f>IF(INDEX(Tab_actions,53,1)=1,INDEX(Tab_actions,53,6),0)</f>
        <v>0</v>
      </c>
    </row>
    <row r="292" spans="1:128" s="151" customFormat="1" ht="14.25" outlineLevel="1" x14ac:dyDescent="0.2">
      <c r="A292" s="158"/>
      <c r="B292" s="147" t="str">
        <f>Services!B292</f>
        <v>11E</v>
      </c>
      <c r="C292" s="148" t="str">
        <f>Services!C292</f>
        <v>Contrôle des droits d'administration</v>
      </c>
      <c r="D292" s="149"/>
      <c r="E292" s="149"/>
      <c r="F292" s="149"/>
      <c r="G292" s="149"/>
      <c r="H292" s="149"/>
      <c r="I292" s="140" t="str">
        <f t="shared" si="256"/>
        <v/>
      </c>
      <c r="J292" s="141" t="str">
        <f t="shared" si="214"/>
        <v/>
      </c>
      <c r="K292" s="142"/>
      <c r="L292" s="142"/>
      <c r="M292" s="1708"/>
      <c r="N292" s="1708"/>
      <c r="O292" s="1708"/>
      <c r="P292" s="1708"/>
      <c r="Q292" s="1708"/>
      <c r="R292" s="1708"/>
      <c r="S292" s="1708"/>
      <c r="T292" s="1708"/>
      <c r="U292" s="1708"/>
      <c r="V292" s="1708"/>
      <c r="W292" s="1708"/>
      <c r="X292" s="1712"/>
      <c r="Y292" s="1712"/>
      <c r="Z292" s="1712"/>
      <c r="AA292" s="1712"/>
      <c r="AB292" s="1712"/>
      <c r="AC292" s="1712"/>
      <c r="AD292" s="1712"/>
      <c r="AE292" s="1712"/>
      <c r="AF292" s="1712"/>
      <c r="AG292" s="1712"/>
      <c r="AH292" s="1712"/>
      <c r="AI292" s="1712"/>
      <c r="AJ292" s="1712"/>
      <c r="AK292" s="1712"/>
      <c r="AL292" s="1712"/>
      <c r="AM292" s="1712"/>
      <c r="AN292" s="1712"/>
      <c r="AO292" s="1712"/>
      <c r="AP292" s="1712"/>
      <c r="AQ292" s="1712"/>
      <c r="AR292" s="1712"/>
      <c r="AS292" s="1712"/>
      <c r="AT292" s="1712"/>
      <c r="AU292" s="1712"/>
      <c r="AV292" s="1712"/>
      <c r="AW292" s="1712"/>
      <c r="AX292" s="1713"/>
      <c r="AY292" s="1714" t="str">
        <f t="shared" si="215"/>
        <v/>
      </c>
      <c r="AZ292" s="1714" t="str">
        <f>IF(Obj_PA!D292="","",IF(AY292="","",Obj_PA!D292-AY292))</f>
        <v/>
      </c>
      <c r="BA292" s="150"/>
      <c r="BB292" s="150"/>
      <c r="BC292" s="150"/>
      <c r="BD292" s="150"/>
      <c r="BE292" s="150"/>
      <c r="BF292" s="150"/>
      <c r="BG292" s="150"/>
      <c r="BH292" s="150"/>
      <c r="BI292" s="150"/>
      <c r="BJ292" s="150"/>
      <c r="BK292" s="155" t="str">
        <f t="shared" si="257"/>
        <v/>
      </c>
      <c r="BL292" s="155" t="str">
        <f t="shared" si="258"/>
        <v/>
      </c>
      <c r="BM292" s="155" t="str">
        <f t="shared" si="259"/>
        <v/>
      </c>
      <c r="BN292" s="155" t="str">
        <f t="shared" si="260"/>
        <v/>
      </c>
      <c r="BO292" s="155" t="str">
        <f t="shared" si="261"/>
        <v/>
      </c>
      <c r="BP292" s="155" t="str">
        <f t="shared" si="262"/>
        <v/>
      </c>
      <c r="BQ292" s="155" t="str">
        <f t="shared" si="263"/>
        <v/>
      </c>
      <c r="BR292" s="155" t="str">
        <f t="shared" si="264"/>
        <v/>
      </c>
      <c r="BS292" s="155" t="str">
        <f t="shared" si="265"/>
        <v/>
      </c>
      <c r="BT292" s="155" t="str">
        <f t="shared" si="266"/>
        <v/>
      </c>
      <c r="BU292" s="155" t="str">
        <f t="shared" si="267"/>
        <v/>
      </c>
      <c r="BV292" s="155" t="str">
        <f t="shared" si="268"/>
        <v/>
      </c>
      <c r="BW292" s="155" t="str">
        <f t="shared" si="269"/>
        <v/>
      </c>
      <c r="BX292" s="155" t="str">
        <f t="shared" si="270"/>
        <v/>
      </c>
      <c r="BY292" s="155" t="str">
        <f t="shared" si="271"/>
        <v/>
      </c>
      <c r="BZ292" s="155" t="str">
        <f t="shared" si="272"/>
        <v/>
      </c>
      <c r="CA292" s="155" t="str">
        <f t="shared" si="273"/>
        <v/>
      </c>
      <c r="CB292" s="155" t="str">
        <f t="shared" si="274"/>
        <v/>
      </c>
      <c r="CC292" s="155" t="str">
        <f t="shared" si="275"/>
        <v/>
      </c>
      <c r="CD292" s="155" t="str">
        <f t="shared" si="276"/>
        <v/>
      </c>
      <c r="CE292" s="155" t="str">
        <f t="shared" si="277"/>
        <v/>
      </c>
      <c r="CF292" s="155" t="str">
        <f t="shared" si="278"/>
        <v/>
      </c>
      <c r="CG292" s="155" t="str">
        <f t="shared" si="279"/>
        <v/>
      </c>
      <c r="CH292" s="155" t="str">
        <f t="shared" si="280"/>
        <v/>
      </c>
      <c r="CI292" s="155" t="str">
        <f t="shared" si="281"/>
        <v/>
      </c>
      <c r="CJ292" s="155" t="str">
        <f t="shared" si="282"/>
        <v/>
      </c>
      <c r="CK292" s="155" t="str">
        <f t="shared" si="283"/>
        <v/>
      </c>
      <c r="CL292" s="155" t="str">
        <f t="shared" si="284"/>
        <v/>
      </c>
      <c r="CM292" s="155" t="str">
        <f t="shared" si="285"/>
        <v/>
      </c>
      <c r="CN292" s="155" t="str">
        <f t="shared" si="286"/>
        <v/>
      </c>
      <c r="CO292" s="155" t="str">
        <f t="shared" si="287"/>
        <v/>
      </c>
      <c r="CP292" s="155" t="str">
        <f t="shared" si="288"/>
        <v/>
      </c>
      <c r="CQ292" s="155" t="str">
        <f t="shared" si="289"/>
        <v/>
      </c>
      <c r="CR292" s="155" t="str">
        <f t="shared" si="290"/>
        <v/>
      </c>
      <c r="CS292" s="155" t="str">
        <f t="shared" si="291"/>
        <v/>
      </c>
      <c r="CT292" s="155" t="str">
        <f t="shared" si="292"/>
        <v/>
      </c>
      <c r="CU292" s="155" t="str">
        <f t="shared" si="293"/>
        <v/>
      </c>
      <c r="CV292" s="155" t="str">
        <f t="shared" si="294"/>
        <v/>
      </c>
      <c r="CW292" s="155" t="str">
        <f t="shared" si="295"/>
        <v/>
      </c>
      <c r="CX292" s="155" t="str">
        <f t="shared" si="296"/>
        <v/>
      </c>
    </row>
    <row r="293" spans="1:128" s="151" customFormat="1" ht="15.75" customHeight="1" outlineLevel="1" x14ac:dyDescent="0.2">
      <c r="A293" s="158"/>
      <c r="B293" s="157" t="str">
        <f>Services!B293</f>
        <v>11E01</v>
      </c>
      <c r="C293" s="153" t="str">
        <f>Services!C293</f>
        <v>Gestion des attributions de droits privilégiés sur les postes utilisateurs (droits d'administrateur)</v>
      </c>
      <c r="D293" s="149"/>
      <c r="E293" s="149"/>
      <c r="F293" s="149">
        <f>3*(8*Plans_action!E140+Plans_action!D140)</f>
        <v>0</v>
      </c>
      <c r="G293" s="149"/>
      <c r="H293" s="149"/>
      <c r="I293" s="140" t="str">
        <f t="shared" si="256"/>
        <v/>
      </c>
      <c r="J293" s="141" t="str">
        <f t="shared" si="214"/>
        <v/>
      </c>
      <c r="K293" s="142"/>
      <c r="L293" s="142"/>
      <c r="M293" s="1708"/>
      <c r="N293" s="1708"/>
      <c r="O293" s="1708"/>
      <c r="P293" s="1708"/>
      <c r="Q293" s="1708"/>
      <c r="R293" s="1708"/>
      <c r="S293" s="1708"/>
      <c r="T293" s="1708"/>
      <c r="U293" s="1708"/>
      <c r="V293" s="1708"/>
      <c r="W293" s="1708"/>
      <c r="X293" s="1712"/>
      <c r="Y293" s="1712"/>
      <c r="Z293" s="1712"/>
      <c r="AA293" s="1712"/>
      <c r="AB293" s="1712"/>
      <c r="AC293" s="1712"/>
      <c r="AD293" s="1712"/>
      <c r="AE293" s="1712"/>
      <c r="AF293" s="1712"/>
      <c r="AG293" s="1712"/>
      <c r="AH293" s="1712"/>
      <c r="AI293" s="1712"/>
      <c r="AJ293" s="1712"/>
      <c r="AK293" s="1712"/>
      <c r="AL293" s="1712"/>
      <c r="AM293" s="1712"/>
      <c r="AN293" s="1712"/>
      <c r="AO293" s="1712"/>
      <c r="AP293" s="1712"/>
      <c r="AQ293" s="1712"/>
      <c r="AR293" s="1712"/>
      <c r="AS293" s="1712"/>
      <c r="AT293" s="1712"/>
      <c r="AU293" s="1712"/>
      <c r="AV293" s="1712"/>
      <c r="AW293" s="1712"/>
      <c r="AX293" s="1713"/>
      <c r="AY293" s="1714" t="str">
        <f t="shared" si="215"/>
        <v/>
      </c>
      <c r="AZ293" s="1714" t="str">
        <f>IF(Obj_PA!D293="","",IF(AY293="","",Obj_PA!D293-AY293))</f>
        <v/>
      </c>
      <c r="BA293" s="150"/>
      <c r="BB293" s="150"/>
      <c r="BC293" s="150"/>
      <c r="BD293" s="150"/>
      <c r="BE293" s="150"/>
      <c r="BF293" s="150"/>
      <c r="BG293" s="150"/>
      <c r="BH293" s="150"/>
      <c r="BI293" s="150"/>
      <c r="BJ293" s="150"/>
      <c r="BK293" s="155" t="str">
        <f t="shared" si="257"/>
        <v/>
      </c>
      <c r="BL293" s="155" t="str">
        <f t="shared" si="258"/>
        <v/>
      </c>
      <c r="BM293" s="155" t="str">
        <f t="shared" si="259"/>
        <v/>
      </c>
      <c r="BN293" s="155" t="str">
        <f t="shared" si="260"/>
        <v/>
      </c>
      <c r="BO293" s="155" t="str">
        <f t="shared" si="261"/>
        <v/>
      </c>
      <c r="BP293" s="155" t="str">
        <f t="shared" si="262"/>
        <v/>
      </c>
      <c r="BQ293" s="155" t="str">
        <f t="shared" si="263"/>
        <v/>
      </c>
      <c r="BR293" s="155" t="str">
        <f t="shared" si="264"/>
        <v/>
      </c>
      <c r="BS293" s="155" t="str">
        <f t="shared" si="265"/>
        <v/>
      </c>
      <c r="BT293" s="155" t="str">
        <f t="shared" si="266"/>
        <v/>
      </c>
      <c r="BU293" s="155" t="str">
        <f t="shared" si="267"/>
        <v/>
      </c>
      <c r="BV293" s="155" t="str">
        <f t="shared" si="268"/>
        <v/>
      </c>
      <c r="BW293" s="155" t="str">
        <f t="shared" si="269"/>
        <v/>
      </c>
      <c r="BX293" s="155" t="str">
        <f t="shared" si="270"/>
        <v/>
      </c>
      <c r="BY293" s="155" t="str">
        <f t="shared" si="271"/>
        <v/>
      </c>
      <c r="BZ293" s="155" t="str">
        <f t="shared" si="272"/>
        <v/>
      </c>
      <c r="CA293" s="155" t="str">
        <f t="shared" si="273"/>
        <v/>
      </c>
      <c r="CB293" s="155" t="str">
        <f t="shared" si="274"/>
        <v/>
      </c>
      <c r="CC293" s="155" t="str">
        <f t="shared" si="275"/>
        <v/>
      </c>
      <c r="CD293" s="155" t="str">
        <f t="shared" si="276"/>
        <v/>
      </c>
      <c r="CE293" s="155" t="str">
        <f t="shared" si="277"/>
        <v/>
      </c>
      <c r="CF293" s="155" t="str">
        <f t="shared" si="278"/>
        <v/>
      </c>
      <c r="CG293" s="155" t="str">
        <f t="shared" si="279"/>
        <v/>
      </c>
      <c r="CH293" s="155" t="str">
        <f t="shared" si="280"/>
        <v/>
      </c>
      <c r="CI293" s="155" t="str">
        <f t="shared" si="281"/>
        <v/>
      </c>
      <c r="CJ293" s="155" t="str">
        <f t="shared" si="282"/>
        <v/>
      </c>
      <c r="CK293" s="155" t="str">
        <f t="shared" si="283"/>
        <v/>
      </c>
      <c r="CL293" s="155" t="str">
        <f t="shared" si="284"/>
        <v/>
      </c>
      <c r="CM293" s="155" t="str">
        <f t="shared" si="285"/>
        <v/>
      </c>
      <c r="CN293" s="155" t="str">
        <f t="shared" si="286"/>
        <v/>
      </c>
      <c r="CO293" s="155" t="str">
        <f t="shared" si="287"/>
        <v/>
      </c>
      <c r="CP293" s="155" t="str">
        <f t="shared" si="288"/>
        <v/>
      </c>
      <c r="CQ293" s="155" t="str">
        <f t="shared" si="289"/>
        <v/>
      </c>
      <c r="CR293" s="155" t="str">
        <f t="shared" si="290"/>
        <v/>
      </c>
      <c r="CS293" s="155" t="str">
        <f t="shared" si="291"/>
        <v/>
      </c>
      <c r="CT293" s="155" t="str">
        <f t="shared" si="292"/>
        <v/>
      </c>
      <c r="CU293" s="155" t="str">
        <f t="shared" si="293"/>
        <v/>
      </c>
      <c r="CV293" s="155" t="str">
        <f t="shared" si="294"/>
        <v/>
      </c>
      <c r="CW293" s="155" t="str">
        <f t="shared" si="295"/>
        <v/>
      </c>
      <c r="CX293" s="155" t="str">
        <f t="shared" si="296"/>
        <v/>
      </c>
    </row>
    <row r="294" spans="1:128" s="151" customFormat="1" ht="15.75" customHeight="1" outlineLevel="1" x14ac:dyDescent="0.2">
      <c r="A294" s="158"/>
      <c r="B294" s="157" t="str">
        <f>Services!B294</f>
        <v>11E02</v>
      </c>
      <c r="C294" s="153" t="str">
        <f>Services!C294</f>
        <v>Authentification et contrôle des droits d'accès des administrateurs et personnels d'exploitation</v>
      </c>
      <c r="D294" s="149">
        <f>1*(8*Plans_action!E233+Plans_action!D233)</f>
        <v>0</v>
      </c>
      <c r="E294" s="149"/>
      <c r="F294" s="149">
        <f>3*(8*Plans_action!E140+Plans_action!D140)</f>
        <v>0</v>
      </c>
      <c r="G294" s="149"/>
      <c r="H294" s="149"/>
      <c r="I294" s="140" t="str">
        <f t="shared" si="256"/>
        <v/>
      </c>
      <c r="J294" s="141" t="str">
        <f t="shared" si="214"/>
        <v/>
      </c>
      <c r="K294" s="142"/>
      <c r="L294" s="142"/>
      <c r="M294" s="1708"/>
      <c r="N294" s="1708"/>
      <c r="O294" s="1708"/>
      <c r="P294" s="1708"/>
      <c r="Q294" s="1708"/>
      <c r="R294" s="1708"/>
      <c r="S294" s="1708"/>
      <c r="T294" s="1708"/>
      <c r="U294" s="1708"/>
      <c r="V294" s="1708"/>
      <c r="W294" s="1708"/>
      <c r="X294" s="1712"/>
      <c r="Y294" s="1712"/>
      <c r="Z294" s="1712"/>
      <c r="AA294" s="1712"/>
      <c r="AB294" s="1712"/>
      <c r="AC294" s="1712"/>
      <c r="AD294" s="1712"/>
      <c r="AE294" s="1712"/>
      <c r="AF294" s="1712"/>
      <c r="AG294" s="1712"/>
      <c r="AH294" s="1712"/>
      <c r="AI294" s="1712"/>
      <c r="AJ294" s="1712"/>
      <c r="AK294" s="1712"/>
      <c r="AL294" s="1712"/>
      <c r="AM294" s="1712"/>
      <c r="AN294" s="1712"/>
      <c r="AO294" s="1712"/>
      <c r="AP294" s="1712"/>
      <c r="AQ294" s="1712"/>
      <c r="AR294" s="1712"/>
      <c r="AS294" s="1712"/>
      <c r="AT294" s="1712"/>
      <c r="AU294" s="1712"/>
      <c r="AV294" s="1712"/>
      <c r="AW294" s="1712"/>
      <c r="AX294" s="1713"/>
      <c r="AY294" s="1714" t="str">
        <f t="shared" si="215"/>
        <v/>
      </c>
      <c r="AZ294" s="1714" t="str">
        <f>IF(Obj_PA!D294="","",IF(AY294="","",Obj_PA!D294-AY294))</f>
        <v/>
      </c>
      <c r="BA294" s="150"/>
      <c r="BB294" s="150"/>
      <c r="BC294" s="150"/>
      <c r="BD294" s="150"/>
      <c r="BE294" s="150"/>
      <c r="BF294" s="150"/>
      <c r="BG294" s="150"/>
      <c r="BH294" s="150"/>
      <c r="BI294" s="150"/>
      <c r="BJ294" s="150"/>
      <c r="BK294" s="155" t="str">
        <f t="shared" si="257"/>
        <v/>
      </c>
      <c r="BL294" s="155" t="str">
        <f t="shared" si="258"/>
        <v/>
      </c>
      <c r="BM294" s="155" t="str">
        <f t="shared" si="259"/>
        <v/>
      </c>
      <c r="BN294" s="155" t="str">
        <f t="shared" si="260"/>
        <v/>
      </c>
      <c r="BO294" s="155" t="str">
        <f t="shared" si="261"/>
        <v/>
      </c>
      <c r="BP294" s="155" t="str">
        <f t="shared" si="262"/>
        <v/>
      </c>
      <c r="BQ294" s="155" t="str">
        <f t="shared" si="263"/>
        <v/>
      </c>
      <c r="BR294" s="155" t="str">
        <f t="shared" si="264"/>
        <v/>
      </c>
      <c r="BS294" s="155" t="str">
        <f t="shared" si="265"/>
        <v/>
      </c>
      <c r="BT294" s="155" t="str">
        <f t="shared" si="266"/>
        <v/>
      </c>
      <c r="BU294" s="155" t="str">
        <f t="shared" si="267"/>
        <v/>
      </c>
      <c r="BV294" s="155" t="str">
        <f t="shared" si="268"/>
        <v/>
      </c>
      <c r="BW294" s="155" t="str">
        <f t="shared" si="269"/>
        <v/>
      </c>
      <c r="BX294" s="155" t="str">
        <f t="shared" si="270"/>
        <v/>
      </c>
      <c r="BY294" s="155" t="str">
        <f t="shared" si="271"/>
        <v/>
      </c>
      <c r="BZ294" s="155" t="str">
        <f t="shared" si="272"/>
        <v/>
      </c>
      <c r="CA294" s="155" t="str">
        <f t="shared" si="273"/>
        <v/>
      </c>
      <c r="CB294" s="155" t="str">
        <f t="shared" si="274"/>
        <v/>
      </c>
      <c r="CC294" s="155" t="str">
        <f t="shared" si="275"/>
        <v/>
      </c>
      <c r="CD294" s="155" t="str">
        <f t="shared" si="276"/>
        <v/>
      </c>
      <c r="CE294" s="155" t="str">
        <f t="shared" si="277"/>
        <v/>
      </c>
      <c r="CF294" s="155" t="str">
        <f t="shared" si="278"/>
        <v/>
      </c>
      <c r="CG294" s="155" t="str">
        <f t="shared" si="279"/>
        <v/>
      </c>
      <c r="CH294" s="155" t="str">
        <f t="shared" si="280"/>
        <v/>
      </c>
      <c r="CI294" s="155" t="str">
        <f t="shared" si="281"/>
        <v/>
      </c>
      <c r="CJ294" s="155" t="str">
        <f t="shared" si="282"/>
        <v/>
      </c>
      <c r="CK294" s="155" t="str">
        <f t="shared" si="283"/>
        <v/>
      </c>
      <c r="CL294" s="155" t="str">
        <f t="shared" si="284"/>
        <v/>
      </c>
      <c r="CM294" s="155" t="str">
        <f t="shared" si="285"/>
        <v/>
      </c>
      <c r="CN294" s="155" t="str">
        <f t="shared" si="286"/>
        <v/>
      </c>
      <c r="CO294" s="155" t="str">
        <f t="shared" si="287"/>
        <v/>
      </c>
      <c r="CP294" s="155" t="str">
        <f t="shared" si="288"/>
        <v/>
      </c>
      <c r="CQ294" s="155" t="str">
        <f t="shared" si="289"/>
        <v/>
      </c>
      <c r="CR294" s="155" t="str">
        <f t="shared" si="290"/>
        <v/>
      </c>
      <c r="CS294" s="155" t="str">
        <f t="shared" si="291"/>
        <v/>
      </c>
      <c r="CT294" s="155" t="str">
        <f t="shared" si="292"/>
        <v/>
      </c>
      <c r="CU294" s="155" t="str">
        <f t="shared" si="293"/>
        <v/>
      </c>
      <c r="CV294" s="155" t="str">
        <f t="shared" si="294"/>
        <v/>
      </c>
      <c r="CW294" s="155" t="str">
        <f t="shared" si="295"/>
        <v/>
      </c>
      <c r="CX294" s="155" t="str">
        <f t="shared" si="296"/>
        <v/>
      </c>
    </row>
    <row r="295" spans="1:128" s="151" customFormat="1" ht="25.5" outlineLevel="1" x14ac:dyDescent="0.2">
      <c r="A295" s="158"/>
      <c r="B295" s="157" t="str">
        <f>Services!B295</f>
        <v>11E03</v>
      </c>
      <c r="C295" s="153" t="str">
        <f>Services!C295</f>
        <v>Surveillance des actions d'administration du parc de postes utilisateurs</v>
      </c>
      <c r="D295" s="149">
        <f>1*(8*Plans_action!E233+Plans_action!D233)</f>
        <v>0</v>
      </c>
      <c r="E295" s="149"/>
      <c r="F295" s="149">
        <f>3*(8*Plans_action!E140+Plans_action!D140)</f>
        <v>0</v>
      </c>
      <c r="G295" s="149"/>
      <c r="H295" s="149"/>
      <c r="I295" s="140" t="str">
        <f t="shared" si="256"/>
        <v/>
      </c>
      <c r="J295" s="141" t="str">
        <f t="shared" si="214"/>
        <v/>
      </c>
      <c r="K295" s="142"/>
      <c r="L295" s="142"/>
      <c r="M295" s="1708"/>
      <c r="N295" s="1708"/>
      <c r="O295" s="1708"/>
      <c r="P295" s="1708"/>
      <c r="Q295" s="1708"/>
      <c r="R295" s="1708"/>
      <c r="S295" s="1708"/>
      <c r="T295" s="1708"/>
      <c r="U295" s="1708"/>
      <c r="V295" s="1708"/>
      <c r="W295" s="1708"/>
      <c r="X295" s="1712"/>
      <c r="Y295" s="1712"/>
      <c r="Z295" s="1712"/>
      <c r="AA295" s="1712"/>
      <c r="AB295" s="1712"/>
      <c r="AC295" s="1712"/>
      <c r="AD295" s="1712"/>
      <c r="AE295" s="1712"/>
      <c r="AF295" s="1712"/>
      <c r="AG295" s="1712"/>
      <c r="AH295" s="1712"/>
      <c r="AI295" s="1712"/>
      <c r="AJ295" s="1712"/>
      <c r="AK295" s="1712"/>
      <c r="AL295" s="1712"/>
      <c r="AM295" s="1712"/>
      <c r="AN295" s="1712"/>
      <c r="AO295" s="1712"/>
      <c r="AP295" s="1712"/>
      <c r="AQ295" s="1712"/>
      <c r="AR295" s="1712"/>
      <c r="AS295" s="1712"/>
      <c r="AT295" s="1712"/>
      <c r="AU295" s="1712"/>
      <c r="AV295" s="1712"/>
      <c r="AW295" s="1712"/>
      <c r="AX295" s="1713"/>
      <c r="AY295" s="1714" t="str">
        <f t="shared" si="215"/>
        <v/>
      </c>
      <c r="AZ295" s="1714" t="str">
        <f>IF(Obj_PA!D295="","",IF(AY295="","",Obj_PA!D295-AY295))</f>
        <v/>
      </c>
      <c r="BA295" s="150"/>
      <c r="BB295" s="150"/>
      <c r="BC295" s="150"/>
      <c r="BD295" s="150"/>
      <c r="BE295" s="150"/>
      <c r="BF295" s="150"/>
      <c r="BG295" s="150"/>
      <c r="BH295" s="150"/>
      <c r="BI295" s="150"/>
      <c r="BJ295" s="150"/>
      <c r="BK295" s="155" t="str">
        <f t="shared" si="257"/>
        <v/>
      </c>
      <c r="BL295" s="155" t="str">
        <f t="shared" si="258"/>
        <v/>
      </c>
      <c r="BM295" s="155" t="str">
        <f t="shared" si="259"/>
        <v/>
      </c>
      <c r="BN295" s="155" t="str">
        <f t="shared" si="260"/>
        <v/>
      </c>
      <c r="BO295" s="155" t="str">
        <f t="shared" si="261"/>
        <v/>
      </c>
      <c r="BP295" s="155" t="str">
        <f t="shared" si="262"/>
        <v/>
      </c>
      <c r="BQ295" s="155" t="str">
        <f t="shared" si="263"/>
        <v/>
      </c>
      <c r="BR295" s="155" t="str">
        <f t="shared" si="264"/>
        <v/>
      </c>
      <c r="BS295" s="155" t="str">
        <f t="shared" si="265"/>
        <v/>
      </c>
      <c r="BT295" s="155" t="str">
        <f t="shared" si="266"/>
        <v/>
      </c>
      <c r="BU295" s="155" t="str">
        <f t="shared" si="267"/>
        <v/>
      </c>
      <c r="BV295" s="155" t="str">
        <f t="shared" si="268"/>
        <v/>
      </c>
      <c r="BW295" s="155" t="str">
        <f t="shared" si="269"/>
        <v/>
      </c>
      <c r="BX295" s="155" t="str">
        <f t="shared" si="270"/>
        <v/>
      </c>
      <c r="BY295" s="155" t="str">
        <f t="shared" si="271"/>
        <v/>
      </c>
      <c r="BZ295" s="155" t="str">
        <f t="shared" si="272"/>
        <v/>
      </c>
      <c r="CA295" s="155" t="str">
        <f t="shared" si="273"/>
        <v/>
      </c>
      <c r="CB295" s="155" t="str">
        <f t="shared" si="274"/>
        <v/>
      </c>
      <c r="CC295" s="155" t="str">
        <f t="shared" si="275"/>
        <v/>
      </c>
      <c r="CD295" s="155" t="str">
        <f t="shared" si="276"/>
        <v/>
      </c>
      <c r="CE295" s="155" t="str">
        <f t="shared" si="277"/>
        <v/>
      </c>
      <c r="CF295" s="155" t="str">
        <f t="shared" si="278"/>
        <v/>
      </c>
      <c r="CG295" s="155" t="str">
        <f t="shared" si="279"/>
        <v/>
      </c>
      <c r="CH295" s="155" t="str">
        <f t="shared" si="280"/>
        <v/>
      </c>
      <c r="CI295" s="155" t="str">
        <f t="shared" si="281"/>
        <v/>
      </c>
      <c r="CJ295" s="155" t="str">
        <f t="shared" si="282"/>
        <v/>
      </c>
      <c r="CK295" s="155" t="str">
        <f t="shared" si="283"/>
        <v/>
      </c>
      <c r="CL295" s="155" t="str">
        <f t="shared" si="284"/>
        <v/>
      </c>
      <c r="CM295" s="155" t="str">
        <f t="shared" si="285"/>
        <v/>
      </c>
      <c r="CN295" s="155" t="str">
        <f t="shared" si="286"/>
        <v/>
      </c>
      <c r="CO295" s="155" t="str">
        <f t="shared" si="287"/>
        <v/>
      </c>
      <c r="CP295" s="155" t="str">
        <f t="shared" si="288"/>
        <v/>
      </c>
      <c r="CQ295" s="155" t="str">
        <f t="shared" si="289"/>
        <v/>
      </c>
      <c r="CR295" s="155" t="str">
        <f t="shared" si="290"/>
        <v/>
      </c>
      <c r="CS295" s="155" t="str">
        <f t="shared" si="291"/>
        <v/>
      </c>
      <c r="CT295" s="155" t="str">
        <f t="shared" si="292"/>
        <v/>
      </c>
      <c r="CU295" s="155" t="str">
        <f t="shared" si="293"/>
        <v/>
      </c>
      <c r="CV295" s="155" t="str">
        <f t="shared" si="294"/>
        <v/>
      </c>
      <c r="CW295" s="155" t="str">
        <f t="shared" si="295"/>
        <v/>
      </c>
      <c r="CX295" s="155" t="str">
        <f t="shared" si="296"/>
        <v/>
      </c>
    </row>
    <row r="296" spans="1:128" s="151" customFormat="1" ht="15" x14ac:dyDescent="0.2">
      <c r="A296" s="179" t="s">
        <v>5810</v>
      </c>
      <c r="B296" s="179" t="str">
        <f>Services!B296</f>
        <v>Exploitation des télécommunications (12 Ext)</v>
      </c>
      <c r="C296" s="180"/>
      <c r="D296" s="149"/>
      <c r="E296" s="149"/>
      <c r="F296" s="149"/>
      <c r="G296" s="149"/>
      <c r="H296" s="149"/>
      <c r="I296" s="140" t="str">
        <f t="shared" si="256"/>
        <v/>
      </c>
      <c r="J296" s="141" t="str">
        <f t="shared" si="214"/>
        <v/>
      </c>
      <c r="K296" s="142"/>
      <c r="L296" s="142"/>
      <c r="M296" s="1708"/>
      <c r="N296" s="1708"/>
      <c r="O296" s="1708"/>
      <c r="P296" s="1708"/>
      <c r="Q296" s="1708"/>
      <c r="R296" s="1708"/>
      <c r="S296" s="1708"/>
      <c r="T296" s="1708"/>
      <c r="U296" s="1708"/>
      <c r="V296" s="1708"/>
      <c r="W296" s="1708"/>
      <c r="X296" s="1712"/>
      <c r="Y296" s="1712"/>
      <c r="Z296" s="1712"/>
      <c r="AA296" s="1712"/>
      <c r="AB296" s="1712"/>
      <c r="AC296" s="1712"/>
      <c r="AD296" s="1712"/>
      <c r="AE296" s="1712"/>
      <c r="AF296" s="1712"/>
      <c r="AG296" s="1712"/>
      <c r="AH296" s="1712"/>
      <c r="AI296" s="1712"/>
      <c r="AJ296" s="1712"/>
      <c r="AK296" s="1712"/>
      <c r="AL296" s="1712"/>
      <c r="AM296" s="1712"/>
      <c r="AN296" s="1712"/>
      <c r="AO296" s="1712"/>
      <c r="AP296" s="1712"/>
      <c r="AQ296" s="1712"/>
      <c r="AR296" s="1712"/>
      <c r="AS296" s="1712"/>
      <c r="AT296" s="1712"/>
      <c r="AU296" s="1712"/>
      <c r="AV296" s="1712"/>
      <c r="AW296" s="1712"/>
      <c r="AX296" s="1713"/>
      <c r="AY296" s="1714" t="str">
        <f t="shared" si="215"/>
        <v/>
      </c>
      <c r="AZ296" s="1714" t="str">
        <f>IF(Obj_PA!D296="","",IF(AY296="","",Obj_PA!D296-AY296))</f>
        <v/>
      </c>
      <c r="BA296" s="150"/>
      <c r="BB296" s="150"/>
      <c r="BC296" s="150"/>
      <c r="BD296" s="150"/>
      <c r="BE296" s="150"/>
      <c r="BF296" s="150"/>
      <c r="BG296" s="150"/>
      <c r="BH296" s="150"/>
      <c r="BI296" s="150"/>
      <c r="BJ296" s="150"/>
      <c r="BK296" s="155" t="str">
        <f t="shared" si="257"/>
        <v/>
      </c>
      <c r="BL296" s="155" t="str">
        <f t="shared" si="258"/>
        <v/>
      </c>
      <c r="BM296" s="155" t="str">
        <f t="shared" si="259"/>
        <v/>
      </c>
      <c r="BN296" s="155" t="str">
        <f t="shared" si="260"/>
        <v/>
      </c>
      <c r="BO296" s="155" t="str">
        <f t="shared" si="261"/>
        <v/>
      </c>
      <c r="BP296" s="155" t="str">
        <f t="shared" si="262"/>
        <v/>
      </c>
      <c r="BQ296" s="155" t="str">
        <f t="shared" si="263"/>
        <v/>
      </c>
      <c r="BR296" s="155" t="str">
        <f t="shared" si="264"/>
        <v/>
      </c>
      <c r="BS296" s="155" t="str">
        <f t="shared" si="265"/>
        <v/>
      </c>
      <c r="BT296" s="155" t="str">
        <f t="shared" si="266"/>
        <v/>
      </c>
      <c r="BU296" s="155" t="str">
        <f t="shared" si="267"/>
        <v/>
      </c>
      <c r="BV296" s="155" t="str">
        <f t="shared" si="268"/>
        <v/>
      </c>
      <c r="BW296" s="155" t="str">
        <f t="shared" si="269"/>
        <v/>
      </c>
      <c r="BX296" s="155" t="str">
        <f t="shared" si="270"/>
        <v/>
      </c>
      <c r="BY296" s="155" t="str">
        <f t="shared" si="271"/>
        <v/>
      </c>
      <c r="BZ296" s="155" t="str">
        <f t="shared" si="272"/>
        <v/>
      </c>
      <c r="CA296" s="155" t="str">
        <f t="shared" si="273"/>
        <v/>
      </c>
      <c r="CB296" s="155" t="str">
        <f t="shared" si="274"/>
        <v/>
      </c>
      <c r="CC296" s="155" t="str">
        <f t="shared" si="275"/>
        <v/>
      </c>
      <c r="CD296" s="155" t="str">
        <f t="shared" si="276"/>
        <v/>
      </c>
      <c r="CE296" s="155" t="str">
        <f t="shared" si="277"/>
        <v/>
      </c>
      <c r="CF296" s="155" t="str">
        <f t="shared" si="278"/>
        <v/>
      </c>
      <c r="CG296" s="155" t="str">
        <f t="shared" si="279"/>
        <v/>
      </c>
      <c r="CH296" s="155" t="str">
        <f t="shared" si="280"/>
        <v/>
      </c>
      <c r="CI296" s="155" t="str">
        <f t="shared" si="281"/>
        <v/>
      </c>
      <c r="CJ296" s="155" t="str">
        <f t="shared" si="282"/>
        <v/>
      </c>
      <c r="CK296" s="155" t="str">
        <f t="shared" si="283"/>
        <v/>
      </c>
      <c r="CL296" s="155" t="str">
        <f t="shared" si="284"/>
        <v/>
      </c>
      <c r="CM296" s="155" t="str">
        <f t="shared" si="285"/>
        <v/>
      </c>
      <c r="CN296" s="155" t="str">
        <f t="shared" si="286"/>
        <v/>
      </c>
      <c r="CO296" s="155" t="str">
        <f t="shared" si="287"/>
        <v/>
      </c>
      <c r="CP296" s="155" t="str">
        <f t="shared" si="288"/>
        <v/>
      </c>
      <c r="CQ296" s="155" t="str">
        <f t="shared" si="289"/>
        <v/>
      </c>
      <c r="CR296" s="155" t="str">
        <f t="shared" si="290"/>
        <v/>
      </c>
      <c r="CS296" s="155" t="str">
        <f t="shared" si="291"/>
        <v/>
      </c>
      <c r="CT296" s="155" t="str">
        <f t="shared" si="292"/>
        <v/>
      </c>
      <c r="CU296" s="155" t="str">
        <f t="shared" si="293"/>
        <v/>
      </c>
      <c r="CV296" s="155" t="str">
        <f t="shared" si="294"/>
        <v/>
      </c>
      <c r="CW296" s="155" t="str">
        <f t="shared" si="295"/>
        <v/>
      </c>
      <c r="CX296" s="155" t="str">
        <f t="shared" si="296"/>
        <v/>
      </c>
    </row>
    <row r="297" spans="1:128" s="151" customFormat="1" ht="14.25" outlineLevel="1" x14ac:dyDescent="0.2">
      <c r="A297" s="146"/>
      <c r="B297" s="147" t="str">
        <f>Services!B297</f>
        <v>12A</v>
      </c>
      <c r="C297" s="148" t="str">
        <f>Services!C297</f>
        <v>Sécurité des procédures d'exploitation</v>
      </c>
      <c r="D297" s="149"/>
      <c r="E297" s="149"/>
      <c r="F297" s="149"/>
      <c r="G297" s="149"/>
      <c r="H297" s="149"/>
      <c r="I297" s="140" t="str">
        <f t="shared" ref="I297:I328" si="297">IF(SUM(D297:H297)=0,"",LOG(SUM(D297:H297),2))</f>
        <v/>
      </c>
      <c r="J297" s="141" t="str">
        <f t="shared" si="214"/>
        <v/>
      </c>
      <c r="K297" s="142"/>
      <c r="L297" s="142"/>
      <c r="M297" s="1708"/>
      <c r="N297" s="1708"/>
      <c r="O297" s="1708"/>
      <c r="P297" s="1708"/>
      <c r="Q297" s="1708"/>
      <c r="R297" s="1708"/>
      <c r="S297" s="1708"/>
      <c r="T297" s="1708"/>
      <c r="U297" s="1708"/>
      <c r="V297" s="1708"/>
      <c r="W297" s="1708"/>
      <c r="X297" s="1712"/>
      <c r="Y297" s="1712"/>
      <c r="Z297" s="1712"/>
      <c r="AA297" s="1712"/>
      <c r="AB297" s="1712"/>
      <c r="AC297" s="1712"/>
      <c r="AD297" s="1712"/>
      <c r="AE297" s="1712"/>
      <c r="AF297" s="1712"/>
      <c r="AG297" s="1712"/>
      <c r="AH297" s="1712"/>
      <c r="AI297" s="1712"/>
      <c r="AJ297" s="1712"/>
      <c r="AK297" s="1712"/>
      <c r="AL297" s="1712"/>
      <c r="AM297" s="1712"/>
      <c r="AN297" s="1712"/>
      <c r="AO297" s="1712"/>
      <c r="AP297" s="1712"/>
      <c r="AQ297" s="1712"/>
      <c r="AR297" s="1712"/>
      <c r="AS297" s="1712"/>
      <c r="AT297" s="1712"/>
      <c r="AU297" s="1712"/>
      <c r="AV297" s="1712"/>
      <c r="AW297" s="1712"/>
      <c r="AX297" s="1713"/>
      <c r="AY297" s="1714" t="str">
        <f t="shared" si="215"/>
        <v/>
      </c>
      <c r="AZ297" s="1714" t="str">
        <f>IF(Obj_PA!D297="","",IF(AY297="","",Obj_PA!D297-AY297))</f>
        <v/>
      </c>
      <c r="BA297" s="150"/>
      <c r="BB297" s="150"/>
      <c r="BC297" s="150"/>
      <c r="BD297" s="150"/>
      <c r="BE297" s="150"/>
      <c r="BF297" s="150"/>
      <c r="BG297" s="150"/>
      <c r="BH297" s="150"/>
      <c r="BI297" s="150"/>
      <c r="BJ297" s="150"/>
      <c r="BK297" s="155" t="str">
        <f t="shared" si="257"/>
        <v/>
      </c>
      <c r="BL297" s="155" t="str">
        <f t="shared" si="258"/>
        <v/>
      </c>
      <c r="BM297" s="155" t="str">
        <f t="shared" si="259"/>
        <v/>
      </c>
      <c r="BN297" s="155" t="str">
        <f t="shared" si="260"/>
        <v/>
      </c>
      <c r="BO297" s="155" t="str">
        <f t="shared" si="261"/>
        <v/>
      </c>
      <c r="BP297" s="155" t="str">
        <f t="shared" si="262"/>
        <v/>
      </c>
      <c r="BQ297" s="155" t="str">
        <f t="shared" si="263"/>
        <v/>
      </c>
      <c r="BR297" s="155" t="str">
        <f t="shared" si="264"/>
        <v/>
      </c>
      <c r="BS297" s="155" t="str">
        <f t="shared" si="265"/>
        <v/>
      </c>
      <c r="BT297" s="155" t="str">
        <f t="shared" si="266"/>
        <v/>
      </c>
      <c r="BU297" s="155" t="str">
        <f t="shared" si="267"/>
        <v/>
      </c>
      <c r="BV297" s="155" t="str">
        <f t="shared" si="268"/>
        <v/>
      </c>
      <c r="BW297" s="155" t="str">
        <f t="shared" si="269"/>
        <v/>
      </c>
      <c r="BX297" s="155" t="str">
        <f t="shared" si="270"/>
        <v/>
      </c>
      <c r="BY297" s="155" t="str">
        <f t="shared" si="271"/>
        <v/>
      </c>
      <c r="BZ297" s="155" t="str">
        <f t="shared" si="272"/>
        <v/>
      </c>
      <c r="CA297" s="155" t="str">
        <f t="shared" si="273"/>
        <v/>
      </c>
      <c r="CB297" s="155" t="str">
        <f t="shared" si="274"/>
        <v/>
      </c>
      <c r="CC297" s="155" t="str">
        <f t="shared" si="275"/>
        <v/>
      </c>
      <c r="CD297" s="155" t="str">
        <f t="shared" si="276"/>
        <v/>
      </c>
      <c r="CE297" s="155" t="str">
        <f t="shared" si="277"/>
        <v/>
      </c>
      <c r="CF297" s="155" t="str">
        <f t="shared" si="278"/>
        <v/>
      </c>
      <c r="CG297" s="155" t="str">
        <f t="shared" si="279"/>
        <v/>
      </c>
      <c r="CH297" s="155" t="str">
        <f t="shared" si="280"/>
        <v/>
      </c>
      <c r="CI297" s="155" t="str">
        <f t="shared" si="281"/>
        <v/>
      </c>
      <c r="CJ297" s="155" t="str">
        <f t="shared" si="282"/>
        <v/>
      </c>
      <c r="CK297" s="155" t="str">
        <f t="shared" si="283"/>
        <v/>
      </c>
      <c r="CL297" s="155" t="str">
        <f t="shared" si="284"/>
        <v/>
      </c>
      <c r="CM297" s="155" t="str">
        <f t="shared" si="285"/>
        <v/>
      </c>
      <c r="CN297" s="155" t="str">
        <f t="shared" si="286"/>
        <v/>
      </c>
      <c r="CO297" s="155" t="str">
        <f t="shared" si="287"/>
        <v/>
      </c>
      <c r="CP297" s="155" t="str">
        <f t="shared" si="288"/>
        <v/>
      </c>
      <c r="CQ297" s="155" t="str">
        <f t="shared" si="289"/>
        <v/>
      </c>
      <c r="CR297" s="155" t="str">
        <f t="shared" si="290"/>
        <v/>
      </c>
      <c r="CS297" s="155" t="str">
        <f t="shared" si="291"/>
        <v/>
      </c>
      <c r="CT297" s="155" t="str">
        <f t="shared" si="292"/>
        <v/>
      </c>
      <c r="CU297" s="155" t="str">
        <f t="shared" si="293"/>
        <v/>
      </c>
      <c r="CV297" s="155" t="str">
        <f t="shared" si="294"/>
        <v/>
      </c>
      <c r="CW297" s="155" t="str">
        <f t="shared" si="295"/>
        <v/>
      </c>
      <c r="CX297" s="155" t="str">
        <f t="shared" si="296"/>
        <v/>
      </c>
    </row>
    <row r="298" spans="1:128" s="151" customFormat="1" ht="25.5" outlineLevel="1" x14ac:dyDescent="0.2">
      <c r="A298" s="156"/>
      <c r="B298" s="157" t="str">
        <f>Services!B298</f>
        <v>12A01</v>
      </c>
      <c r="C298" s="153" t="str">
        <f>Services!C298</f>
        <v>Prise en compte de la sécurité dans les relations avec le personnel d'exploitation (salariés et prestataires)</v>
      </c>
      <c r="D298" s="149"/>
      <c r="E298" s="149"/>
      <c r="F298" s="149"/>
      <c r="G298" s="149"/>
      <c r="H298" s="149"/>
      <c r="I298" s="140" t="str">
        <f t="shared" si="297"/>
        <v/>
      </c>
      <c r="J298" s="141" t="str">
        <f t="shared" si="214"/>
        <v/>
      </c>
      <c r="K298" s="142"/>
      <c r="L298" s="142"/>
      <c r="M298" s="1708"/>
      <c r="N298" s="1708"/>
      <c r="O298" s="1708"/>
      <c r="P298" s="1708"/>
      <c r="Q298" s="1708"/>
      <c r="R298" s="1708"/>
      <c r="S298" s="1708"/>
      <c r="T298" s="1708"/>
      <c r="U298" s="1708"/>
      <c r="V298" s="1708"/>
      <c r="W298" s="1708"/>
      <c r="X298" s="1712"/>
      <c r="Y298" s="1712"/>
      <c r="Z298" s="1712"/>
      <c r="AA298" s="1712"/>
      <c r="AB298" s="1712"/>
      <c r="AC298" s="1712"/>
      <c r="AD298" s="1712"/>
      <c r="AE298" s="1712"/>
      <c r="AF298" s="1712"/>
      <c r="AG298" s="1712"/>
      <c r="AH298" s="1712"/>
      <c r="AI298" s="1712"/>
      <c r="AJ298" s="1712"/>
      <c r="AK298" s="1712"/>
      <c r="AL298" s="1712"/>
      <c r="AM298" s="1712"/>
      <c r="AN298" s="1712"/>
      <c r="AO298" s="1712"/>
      <c r="AP298" s="1712"/>
      <c r="AQ298" s="1712"/>
      <c r="AR298" s="1712"/>
      <c r="AS298" s="1712"/>
      <c r="AT298" s="1712"/>
      <c r="AU298" s="1712"/>
      <c r="AV298" s="1712"/>
      <c r="AW298" s="1712"/>
      <c r="AX298" s="1713"/>
      <c r="AY298" s="1714" t="str">
        <f t="shared" si="215"/>
        <v/>
      </c>
      <c r="AZ298" s="1714" t="str">
        <f>IF(Obj_PA!D298="","",IF(AY298="","",Obj_PA!D298-AY298))</f>
        <v/>
      </c>
      <c r="BA298" s="150"/>
      <c r="BB298" s="150"/>
      <c r="BC298" s="150"/>
      <c r="BD298" s="150"/>
      <c r="BE298" s="150"/>
      <c r="BF298" s="150"/>
      <c r="BG298" s="150"/>
      <c r="BH298" s="150"/>
      <c r="BI298" s="150"/>
      <c r="BJ298" s="150"/>
      <c r="BK298" s="155" t="str">
        <f t="shared" si="257"/>
        <v/>
      </c>
      <c r="BL298" s="155" t="str">
        <f t="shared" si="258"/>
        <v/>
      </c>
      <c r="BM298" s="155" t="str">
        <f t="shared" si="259"/>
        <v/>
      </c>
      <c r="BN298" s="155" t="str">
        <f t="shared" si="260"/>
        <v/>
      </c>
      <c r="BO298" s="155" t="str">
        <f t="shared" si="261"/>
        <v/>
      </c>
      <c r="BP298" s="155" t="str">
        <f t="shared" si="262"/>
        <v/>
      </c>
      <c r="BQ298" s="155" t="str">
        <f t="shared" si="263"/>
        <v/>
      </c>
      <c r="BR298" s="155" t="str">
        <f t="shared" si="264"/>
        <v/>
      </c>
      <c r="BS298" s="155" t="str">
        <f t="shared" si="265"/>
        <v/>
      </c>
      <c r="BT298" s="155" t="str">
        <f t="shared" si="266"/>
        <v/>
      </c>
      <c r="BU298" s="155" t="str">
        <f t="shared" si="267"/>
        <v/>
      </c>
      <c r="BV298" s="155" t="str">
        <f t="shared" si="268"/>
        <v/>
      </c>
      <c r="BW298" s="155" t="str">
        <f t="shared" si="269"/>
        <v/>
      </c>
      <c r="BX298" s="155" t="str">
        <f t="shared" si="270"/>
        <v/>
      </c>
      <c r="BY298" s="155" t="str">
        <f t="shared" si="271"/>
        <v/>
      </c>
      <c r="BZ298" s="155" t="str">
        <f t="shared" si="272"/>
        <v/>
      </c>
      <c r="CA298" s="155" t="str">
        <f t="shared" si="273"/>
        <v/>
      </c>
      <c r="CB298" s="155" t="str">
        <f t="shared" si="274"/>
        <v/>
      </c>
      <c r="CC298" s="155" t="str">
        <f t="shared" si="275"/>
        <v/>
      </c>
      <c r="CD298" s="155" t="str">
        <f t="shared" si="276"/>
        <v/>
      </c>
      <c r="CE298" s="155" t="str">
        <f t="shared" si="277"/>
        <v/>
      </c>
      <c r="CF298" s="155" t="str">
        <f t="shared" si="278"/>
        <v/>
      </c>
      <c r="CG298" s="155" t="str">
        <f t="shared" si="279"/>
        <v/>
      </c>
      <c r="CH298" s="155" t="str">
        <f t="shared" si="280"/>
        <v/>
      </c>
      <c r="CI298" s="155" t="str">
        <f t="shared" si="281"/>
        <v/>
      </c>
      <c r="CJ298" s="155" t="str">
        <f t="shared" si="282"/>
        <v/>
      </c>
      <c r="CK298" s="155" t="str">
        <f t="shared" si="283"/>
        <v/>
      </c>
      <c r="CL298" s="155" t="str">
        <f t="shared" si="284"/>
        <v/>
      </c>
      <c r="CM298" s="155" t="str">
        <f t="shared" si="285"/>
        <v/>
      </c>
      <c r="CN298" s="155" t="str">
        <f t="shared" si="286"/>
        <v/>
      </c>
      <c r="CO298" s="155" t="str">
        <f t="shared" si="287"/>
        <v/>
      </c>
      <c r="CP298" s="155" t="str">
        <f t="shared" si="288"/>
        <v/>
      </c>
      <c r="CQ298" s="155" t="str">
        <f t="shared" si="289"/>
        <v/>
      </c>
      <c r="CR298" s="155" t="str">
        <f t="shared" si="290"/>
        <v/>
      </c>
      <c r="CS298" s="155" t="str">
        <f t="shared" si="291"/>
        <v/>
      </c>
      <c r="CT298" s="155" t="str">
        <f t="shared" si="292"/>
        <v/>
      </c>
      <c r="CU298" s="155" t="str">
        <f t="shared" si="293"/>
        <v/>
      </c>
      <c r="CV298" s="155" t="str">
        <f t="shared" si="294"/>
        <v/>
      </c>
      <c r="CW298" s="155" t="str">
        <f t="shared" si="295"/>
        <v/>
      </c>
      <c r="CX298" s="155" t="str">
        <f t="shared" si="296"/>
        <v/>
      </c>
    </row>
    <row r="299" spans="1:128" s="151" customFormat="1" ht="15.75" customHeight="1" outlineLevel="1" x14ac:dyDescent="0.2">
      <c r="A299" s="146"/>
      <c r="B299" s="157" t="str">
        <f>Services!B299</f>
        <v>12A02</v>
      </c>
      <c r="C299" s="153" t="str">
        <f>Services!C299</f>
        <v>Contrôle de la mise en production de nouveaux systèmes ou d'évolutions de systèmes existants</v>
      </c>
      <c r="D299" s="149">
        <f>1*(8*Plans_action!E193+Plans_action!D193)</f>
        <v>0</v>
      </c>
      <c r="E299" s="149"/>
      <c r="F299" s="149"/>
      <c r="G299" s="149">
        <f>4*(8*Plans_action!E258+Plans_action!D258)</f>
        <v>0</v>
      </c>
      <c r="H299" s="149"/>
      <c r="I299" s="140" t="str">
        <f t="shared" si="297"/>
        <v/>
      </c>
      <c r="J299" s="141" t="str">
        <f t="shared" si="214"/>
        <v/>
      </c>
      <c r="K299" s="142"/>
      <c r="L299" s="142"/>
      <c r="M299" s="1708"/>
      <c r="N299" s="1708"/>
      <c r="O299" s="1708"/>
      <c r="P299" s="1708"/>
      <c r="Q299" s="1708"/>
      <c r="R299" s="1708"/>
      <c r="S299" s="1708"/>
      <c r="T299" s="1708"/>
      <c r="U299" s="1708"/>
      <c r="V299" s="1708"/>
      <c r="W299" s="1708"/>
      <c r="X299" s="1712"/>
      <c r="Y299" s="1712"/>
      <c r="Z299" s="1712"/>
      <c r="AA299" s="1712"/>
      <c r="AB299" s="1712"/>
      <c r="AC299" s="1712"/>
      <c r="AD299" s="1712"/>
      <c r="AE299" s="1712"/>
      <c r="AF299" s="1712"/>
      <c r="AG299" s="1712"/>
      <c r="AH299" s="1712"/>
      <c r="AI299" s="1712"/>
      <c r="AJ299" s="1712"/>
      <c r="AK299" s="1712"/>
      <c r="AL299" s="1712"/>
      <c r="AM299" s="1712"/>
      <c r="AN299" s="1712"/>
      <c r="AO299" s="1712"/>
      <c r="AP299" s="1712"/>
      <c r="AQ299" s="1712"/>
      <c r="AR299" s="1712"/>
      <c r="AS299" s="1712"/>
      <c r="AT299" s="1712"/>
      <c r="AU299" s="1712"/>
      <c r="AV299" s="1712"/>
      <c r="AW299" s="1712"/>
      <c r="AX299" s="1713"/>
      <c r="AY299" s="1714" t="str">
        <f t="shared" si="215"/>
        <v/>
      </c>
      <c r="AZ299" s="1714" t="str">
        <f>IF(Obj_PA!D299="","",IF(AY299="","",Obj_PA!D299-AY299))</f>
        <v/>
      </c>
      <c r="BA299" s="150"/>
      <c r="BB299" s="150"/>
      <c r="BC299" s="150"/>
      <c r="BD299" s="150"/>
      <c r="BE299" s="150"/>
      <c r="BF299" s="150"/>
      <c r="BG299" s="150"/>
      <c r="BH299" s="150"/>
      <c r="BI299" s="150"/>
      <c r="BJ299" s="150"/>
      <c r="BK299" s="155" t="str">
        <f t="shared" si="257"/>
        <v/>
      </c>
      <c r="BL299" s="155" t="str">
        <f t="shared" si="258"/>
        <v/>
      </c>
      <c r="BM299" s="155" t="str">
        <f t="shared" si="259"/>
        <v/>
      </c>
      <c r="BN299" s="155" t="str">
        <f t="shared" si="260"/>
        <v/>
      </c>
      <c r="BO299" s="155" t="str">
        <f t="shared" si="261"/>
        <v/>
      </c>
      <c r="BP299" s="155" t="str">
        <f t="shared" si="262"/>
        <v/>
      </c>
      <c r="BQ299" s="155" t="str">
        <f t="shared" si="263"/>
        <v/>
      </c>
      <c r="BR299" s="155" t="str">
        <f t="shared" si="264"/>
        <v/>
      </c>
      <c r="BS299" s="155" t="str">
        <f t="shared" si="265"/>
        <v/>
      </c>
      <c r="BT299" s="155" t="str">
        <f t="shared" si="266"/>
        <v/>
      </c>
      <c r="BU299" s="155" t="str">
        <f t="shared" si="267"/>
        <v/>
      </c>
      <c r="BV299" s="155" t="str">
        <f t="shared" si="268"/>
        <v/>
      </c>
      <c r="BW299" s="155" t="str">
        <f t="shared" si="269"/>
        <v/>
      </c>
      <c r="BX299" s="155" t="str">
        <f t="shared" si="270"/>
        <v/>
      </c>
      <c r="BY299" s="155" t="str">
        <f t="shared" si="271"/>
        <v/>
      </c>
      <c r="BZ299" s="155" t="str">
        <f t="shared" si="272"/>
        <v/>
      </c>
      <c r="CA299" s="155" t="str">
        <f t="shared" si="273"/>
        <v/>
      </c>
      <c r="CB299" s="155" t="str">
        <f t="shared" si="274"/>
        <v/>
      </c>
      <c r="CC299" s="155" t="str">
        <f t="shared" si="275"/>
        <v/>
      </c>
      <c r="CD299" s="155" t="str">
        <f t="shared" si="276"/>
        <v/>
      </c>
      <c r="CE299" s="155" t="str">
        <f t="shared" si="277"/>
        <v/>
      </c>
      <c r="CF299" s="155" t="str">
        <f t="shared" si="278"/>
        <v/>
      </c>
      <c r="CG299" s="155" t="str">
        <f t="shared" si="279"/>
        <v/>
      </c>
      <c r="CH299" s="155" t="str">
        <f t="shared" si="280"/>
        <v/>
      </c>
      <c r="CI299" s="155" t="str">
        <f t="shared" si="281"/>
        <v/>
      </c>
      <c r="CJ299" s="155" t="str">
        <f t="shared" si="282"/>
        <v/>
      </c>
      <c r="CK299" s="155" t="str">
        <f t="shared" si="283"/>
        <v/>
      </c>
      <c r="CL299" s="155" t="str">
        <f t="shared" si="284"/>
        <v/>
      </c>
      <c r="CM299" s="155" t="str">
        <f t="shared" si="285"/>
        <v/>
      </c>
      <c r="CN299" s="155" t="str">
        <f t="shared" si="286"/>
        <v/>
      </c>
      <c r="CO299" s="155" t="str">
        <f t="shared" si="287"/>
        <v/>
      </c>
      <c r="CP299" s="155" t="str">
        <f t="shared" si="288"/>
        <v/>
      </c>
      <c r="CQ299" s="155" t="str">
        <f t="shared" si="289"/>
        <v/>
      </c>
      <c r="CR299" s="155" t="str">
        <f t="shared" si="290"/>
        <v/>
      </c>
      <c r="CS299" s="155" t="str">
        <f t="shared" si="291"/>
        <v/>
      </c>
      <c r="CT299" s="155" t="str">
        <f t="shared" si="292"/>
        <v/>
      </c>
      <c r="CU299" s="155" t="str">
        <f t="shared" si="293"/>
        <v/>
      </c>
      <c r="CV299" s="155" t="str">
        <f t="shared" si="294"/>
        <v/>
      </c>
      <c r="CW299" s="155" t="str">
        <f t="shared" si="295"/>
        <v/>
      </c>
      <c r="CX299" s="155" t="str">
        <f t="shared" si="296"/>
        <v/>
      </c>
    </row>
    <row r="300" spans="1:128" s="151" customFormat="1" ht="14.25" outlineLevel="1" x14ac:dyDescent="0.2">
      <c r="A300" s="146"/>
      <c r="B300" s="157" t="str">
        <f>Services!B300</f>
        <v>12A03</v>
      </c>
      <c r="C300" s="153" t="str">
        <f>Services!C300</f>
        <v xml:space="preserve">Contrôle des opérations de maintenance </v>
      </c>
      <c r="D300" s="149"/>
      <c r="E300" s="149">
        <f>2*(8*Plans_action!E258+Plans_action!D258)</f>
        <v>0</v>
      </c>
      <c r="F300" s="149"/>
      <c r="G300" s="149"/>
      <c r="H300" s="149"/>
      <c r="I300" s="140" t="str">
        <f t="shared" si="297"/>
        <v/>
      </c>
      <c r="J300" s="141" t="str">
        <f t="shared" si="214"/>
        <v/>
      </c>
      <c r="K300" s="142"/>
      <c r="L300" s="142"/>
      <c r="M300" s="1708"/>
      <c r="N300" s="1708"/>
      <c r="O300" s="1708"/>
      <c r="P300" s="1708"/>
      <c r="Q300" s="1708"/>
      <c r="R300" s="1708"/>
      <c r="S300" s="1708"/>
      <c r="T300" s="1708"/>
      <c r="U300" s="1708"/>
      <c r="V300" s="1708"/>
      <c r="W300" s="1708"/>
      <c r="X300" s="1712"/>
      <c r="Y300" s="1712"/>
      <c r="Z300" s="1712"/>
      <c r="AA300" s="1712"/>
      <c r="AB300" s="1712"/>
      <c r="AC300" s="1712"/>
      <c r="AD300" s="1712"/>
      <c r="AE300" s="1712"/>
      <c r="AF300" s="1712"/>
      <c r="AG300" s="1712"/>
      <c r="AH300" s="1712"/>
      <c r="AI300" s="1712"/>
      <c r="AJ300" s="1712"/>
      <c r="AK300" s="1712"/>
      <c r="AL300" s="1712"/>
      <c r="AM300" s="1712"/>
      <c r="AN300" s="1712"/>
      <c r="AO300" s="1712"/>
      <c r="AP300" s="1712"/>
      <c r="AQ300" s="1712"/>
      <c r="AR300" s="1712"/>
      <c r="AS300" s="1712"/>
      <c r="AT300" s="1712"/>
      <c r="AU300" s="1712"/>
      <c r="AV300" s="1712"/>
      <c r="AW300" s="1712"/>
      <c r="AX300" s="1713"/>
      <c r="AY300" s="1714" t="str">
        <f t="shared" si="215"/>
        <v/>
      </c>
      <c r="AZ300" s="1714" t="str">
        <f>IF(Obj_PA!D300="","",IF(AY300="","",Obj_PA!D300-AY300))</f>
        <v/>
      </c>
      <c r="BA300" s="150"/>
      <c r="BB300" s="150"/>
      <c r="BC300" s="150"/>
      <c r="BD300" s="150"/>
      <c r="BE300" s="150"/>
      <c r="BF300" s="150"/>
      <c r="BG300" s="150"/>
      <c r="BH300" s="150"/>
      <c r="BI300" s="150"/>
      <c r="BJ300" s="150"/>
      <c r="BK300" s="155" t="str">
        <f t="shared" si="257"/>
        <v/>
      </c>
      <c r="BL300" s="155" t="str">
        <f t="shared" si="258"/>
        <v/>
      </c>
      <c r="BM300" s="155" t="str">
        <f t="shared" si="259"/>
        <v/>
      </c>
      <c r="BN300" s="155" t="str">
        <f t="shared" si="260"/>
        <v/>
      </c>
      <c r="BO300" s="155" t="str">
        <f t="shared" si="261"/>
        <v/>
      </c>
      <c r="BP300" s="155" t="str">
        <f t="shared" si="262"/>
        <v/>
      </c>
      <c r="BQ300" s="155" t="str">
        <f t="shared" si="263"/>
        <v/>
      </c>
      <c r="BR300" s="155" t="str">
        <f t="shared" si="264"/>
        <v/>
      </c>
      <c r="BS300" s="155" t="str">
        <f t="shared" si="265"/>
        <v/>
      </c>
      <c r="BT300" s="155" t="str">
        <f t="shared" si="266"/>
        <v/>
      </c>
      <c r="BU300" s="155" t="str">
        <f t="shared" si="267"/>
        <v/>
      </c>
      <c r="BV300" s="155" t="str">
        <f t="shared" si="268"/>
        <v/>
      </c>
      <c r="BW300" s="155" t="str">
        <f t="shared" si="269"/>
        <v/>
      </c>
      <c r="BX300" s="155" t="str">
        <f t="shared" si="270"/>
        <v/>
      </c>
      <c r="BY300" s="155" t="str">
        <f t="shared" si="271"/>
        <v/>
      </c>
      <c r="BZ300" s="155" t="str">
        <f t="shared" si="272"/>
        <v/>
      </c>
      <c r="CA300" s="155" t="str">
        <f t="shared" si="273"/>
        <v/>
      </c>
      <c r="CB300" s="155" t="str">
        <f t="shared" si="274"/>
        <v/>
      </c>
      <c r="CC300" s="155" t="str">
        <f t="shared" si="275"/>
        <v/>
      </c>
      <c r="CD300" s="155" t="str">
        <f t="shared" si="276"/>
        <v/>
      </c>
      <c r="CE300" s="155" t="str">
        <f t="shared" si="277"/>
        <v/>
      </c>
      <c r="CF300" s="155" t="str">
        <f t="shared" si="278"/>
        <v/>
      </c>
      <c r="CG300" s="155" t="str">
        <f t="shared" si="279"/>
        <v/>
      </c>
      <c r="CH300" s="155" t="str">
        <f t="shared" si="280"/>
        <v/>
      </c>
      <c r="CI300" s="155" t="str">
        <f t="shared" si="281"/>
        <v/>
      </c>
      <c r="CJ300" s="155" t="str">
        <f t="shared" si="282"/>
        <v/>
      </c>
      <c r="CK300" s="155" t="str">
        <f t="shared" si="283"/>
        <v/>
      </c>
      <c r="CL300" s="155" t="str">
        <f t="shared" si="284"/>
        <v/>
      </c>
      <c r="CM300" s="155" t="str">
        <f t="shared" si="285"/>
        <v/>
      </c>
      <c r="CN300" s="155" t="str">
        <f t="shared" si="286"/>
        <v/>
      </c>
      <c r="CO300" s="155" t="str">
        <f t="shared" si="287"/>
        <v/>
      </c>
      <c r="CP300" s="155" t="str">
        <f t="shared" si="288"/>
        <v/>
      </c>
      <c r="CQ300" s="155" t="str">
        <f t="shared" si="289"/>
        <v/>
      </c>
      <c r="CR300" s="155" t="str">
        <f t="shared" si="290"/>
        <v/>
      </c>
      <c r="CS300" s="155" t="str">
        <f t="shared" si="291"/>
        <v/>
      </c>
      <c r="CT300" s="155" t="str">
        <f t="shared" si="292"/>
        <v/>
      </c>
      <c r="CU300" s="155" t="str">
        <f t="shared" si="293"/>
        <v/>
      </c>
      <c r="CV300" s="155" t="str">
        <f t="shared" si="294"/>
        <v/>
      </c>
      <c r="CW300" s="155" t="str">
        <f t="shared" si="295"/>
        <v/>
      </c>
      <c r="CX300" s="155" t="str">
        <f t="shared" si="296"/>
        <v/>
      </c>
    </row>
    <row r="301" spans="1:128" s="151" customFormat="1" ht="14.25" outlineLevel="1" x14ac:dyDescent="0.2">
      <c r="A301" s="146"/>
      <c r="B301" s="157" t="str">
        <f>Services!B301</f>
        <v>12A04</v>
      </c>
      <c r="C301" s="153" t="str">
        <f>Services!C301</f>
        <v xml:space="preserve">Contrôle de la télémaintenance </v>
      </c>
      <c r="D301" s="149"/>
      <c r="E301" s="149"/>
      <c r="F301" s="149"/>
      <c r="G301" s="149"/>
      <c r="H301" s="149"/>
      <c r="I301" s="140" t="str">
        <f t="shared" si="297"/>
        <v/>
      </c>
      <c r="J301" s="141" t="str">
        <f t="shared" si="214"/>
        <v/>
      </c>
      <c r="K301" s="142"/>
      <c r="L301" s="142"/>
      <c r="M301" s="1708"/>
      <c r="N301" s="1708"/>
      <c r="O301" s="1708"/>
      <c r="P301" s="1708"/>
      <c r="Q301" s="1708"/>
      <c r="R301" s="1708"/>
      <c r="S301" s="1708"/>
      <c r="T301" s="1708"/>
      <c r="U301" s="1708"/>
      <c r="V301" s="1708"/>
      <c r="W301" s="1708"/>
      <c r="X301" s="1712"/>
      <c r="Y301" s="1712"/>
      <c r="Z301" s="1712"/>
      <c r="AA301" s="1712"/>
      <c r="AB301" s="1712"/>
      <c r="AC301" s="1712"/>
      <c r="AD301" s="1712"/>
      <c r="AE301" s="1712"/>
      <c r="AF301" s="1712"/>
      <c r="AG301" s="1712"/>
      <c r="AH301" s="1712"/>
      <c r="AI301" s="1712"/>
      <c r="AJ301" s="1712"/>
      <c r="AK301" s="1712"/>
      <c r="AL301" s="1712"/>
      <c r="AM301" s="1712"/>
      <c r="AN301" s="1712"/>
      <c r="AO301" s="1712"/>
      <c r="AP301" s="1712"/>
      <c r="AQ301" s="1712"/>
      <c r="AR301" s="1712"/>
      <c r="AS301" s="1712"/>
      <c r="AT301" s="1712"/>
      <c r="AU301" s="1712"/>
      <c r="AV301" s="1712"/>
      <c r="AW301" s="1712"/>
      <c r="AX301" s="1713"/>
      <c r="AY301" s="1714" t="str">
        <f t="shared" si="215"/>
        <v/>
      </c>
      <c r="AZ301" s="1714" t="str">
        <f>IF(Obj_PA!D301="","",IF(AY301="","",Obj_PA!D301-AY301))</f>
        <v/>
      </c>
      <c r="BA301" s="150"/>
      <c r="BB301" s="150"/>
      <c r="BC301" s="150"/>
      <c r="BD301" s="150"/>
      <c r="BE301" s="150"/>
      <c r="BF301" s="150"/>
      <c r="BG301" s="150"/>
      <c r="BH301" s="150"/>
      <c r="BI301" s="150"/>
      <c r="BJ301" s="150"/>
      <c r="BK301" s="155" t="str">
        <f t="shared" si="257"/>
        <v/>
      </c>
      <c r="BL301" s="155" t="str">
        <f t="shared" si="258"/>
        <v/>
      </c>
      <c r="BM301" s="155" t="str">
        <f t="shared" si="259"/>
        <v/>
      </c>
      <c r="BN301" s="155" t="str">
        <f t="shared" si="260"/>
        <v/>
      </c>
      <c r="BO301" s="155" t="str">
        <f t="shared" si="261"/>
        <v/>
      </c>
      <c r="BP301" s="155" t="str">
        <f t="shared" si="262"/>
        <v/>
      </c>
      <c r="BQ301" s="155" t="str">
        <f t="shared" si="263"/>
        <v/>
      </c>
      <c r="BR301" s="155" t="str">
        <f t="shared" si="264"/>
        <v/>
      </c>
      <c r="BS301" s="155" t="str">
        <f t="shared" si="265"/>
        <v/>
      </c>
      <c r="BT301" s="155" t="str">
        <f t="shared" si="266"/>
        <v/>
      </c>
      <c r="BU301" s="155" t="str">
        <f t="shared" si="267"/>
        <v/>
      </c>
      <c r="BV301" s="155" t="str">
        <f t="shared" si="268"/>
        <v/>
      </c>
      <c r="BW301" s="155" t="str">
        <f t="shared" si="269"/>
        <v/>
      </c>
      <c r="BX301" s="155" t="str">
        <f t="shared" si="270"/>
        <v/>
      </c>
      <c r="BY301" s="155" t="str">
        <f t="shared" si="271"/>
        <v/>
      </c>
      <c r="BZ301" s="155" t="str">
        <f t="shared" si="272"/>
        <v/>
      </c>
      <c r="CA301" s="155" t="str">
        <f t="shared" si="273"/>
        <v/>
      </c>
      <c r="CB301" s="155" t="str">
        <f t="shared" si="274"/>
        <v/>
      </c>
      <c r="CC301" s="155" t="str">
        <f t="shared" si="275"/>
        <v/>
      </c>
      <c r="CD301" s="155" t="str">
        <f t="shared" si="276"/>
        <v/>
      </c>
      <c r="CE301" s="155" t="str">
        <f t="shared" si="277"/>
        <v/>
      </c>
      <c r="CF301" s="155" t="str">
        <f t="shared" si="278"/>
        <v/>
      </c>
      <c r="CG301" s="155" t="str">
        <f t="shared" si="279"/>
        <v/>
      </c>
      <c r="CH301" s="155" t="str">
        <f t="shared" si="280"/>
        <v/>
      </c>
      <c r="CI301" s="155" t="str">
        <f t="shared" si="281"/>
        <v/>
      </c>
      <c r="CJ301" s="155" t="str">
        <f t="shared" si="282"/>
        <v/>
      </c>
      <c r="CK301" s="155" t="str">
        <f t="shared" si="283"/>
        <v/>
      </c>
      <c r="CL301" s="155" t="str">
        <f t="shared" si="284"/>
        <v/>
      </c>
      <c r="CM301" s="155" t="str">
        <f t="shared" si="285"/>
        <v/>
      </c>
      <c r="CN301" s="155" t="str">
        <f t="shared" si="286"/>
        <v/>
      </c>
      <c r="CO301" s="155" t="str">
        <f t="shared" si="287"/>
        <v/>
      </c>
      <c r="CP301" s="155" t="str">
        <f t="shared" si="288"/>
        <v/>
      </c>
      <c r="CQ301" s="155" t="str">
        <f t="shared" si="289"/>
        <v/>
      </c>
      <c r="CR301" s="155" t="str">
        <f t="shared" si="290"/>
        <v/>
      </c>
      <c r="CS301" s="155" t="str">
        <f t="shared" si="291"/>
        <v/>
      </c>
      <c r="CT301" s="155" t="str">
        <f t="shared" si="292"/>
        <v/>
      </c>
      <c r="CU301" s="155" t="str">
        <f t="shared" si="293"/>
        <v/>
      </c>
      <c r="CV301" s="155" t="str">
        <f t="shared" si="294"/>
        <v/>
      </c>
      <c r="CW301" s="155" t="str">
        <f t="shared" si="295"/>
        <v/>
      </c>
      <c r="CX301" s="155" t="str">
        <f t="shared" si="296"/>
        <v/>
      </c>
    </row>
    <row r="302" spans="1:128" s="151" customFormat="1" ht="25.5" outlineLevel="1" x14ac:dyDescent="0.2">
      <c r="A302" s="146"/>
      <c r="B302" s="157" t="str">
        <f>Services!B302</f>
        <v>12A05</v>
      </c>
      <c r="C302" s="153" t="str">
        <f>Services!C302</f>
        <v>Gestion des procédures opérationnelles d'exploitation des télécommunications</v>
      </c>
      <c r="D302" s="149"/>
      <c r="E302" s="149"/>
      <c r="F302" s="149"/>
      <c r="G302" s="149"/>
      <c r="H302" s="149"/>
      <c r="I302" s="140" t="str">
        <f t="shared" si="297"/>
        <v/>
      </c>
      <c r="J302" s="141" t="str">
        <f t="shared" si="214"/>
        <v/>
      </c>
      <c r="K302" s="142"/>
      <c r="L302" s="142"/>
      <c r="M302" s="1708"/>
      <c r="N302" s="1708"/>
      <c r="O302" s="1708"/>
      <c r="P302" s="1708"/>
      <c r="Q302" s="1708"/>
      <c r="R302" s="1708"/>
      <c r="S302" s="1708"/>
      <c r="T302" s="1708"/>
      <c r="U302" s="1708"/>
      <c r="V302" s="1708"/>
      <c r="W302" s="1708"/>
      <c r="X302" s="1712"/>
      <c r="Y302" s="1712"/>
      <c r="Z302" s="1712"/>
      <c r="AA302" s="1712"/>
      <c r="AB302" s="1712"/>
      <c r="AC302" s="1712"/>
      <c r="AD302" s="1712"/>
      <c r="AE302" s="1712"/>
      <c r="AF302" s="1712"/>
      <c r="AG302" s="1712"/>
      <c r="AH302" s="1712"/>
      <c r="AI302" s="1712"/>
      <c r="AJ302" s="1712"/>
      <c r="AK302" s="1712"/>
      <c r="AL302" s="1712"/>
      <c r="AM302" s="1712"/>
      <c r="AN302" s="1712"/>
      <c r="AO302" s="1712"/>
      <c r="AP302" s="1712"/>
      <c r="AQ302" s="1712"/>
      <c r="AR302" s="1712"/>
      <c r="AS302" s="1712"/>
      <c r="AT302" s="1712"/>
      <c r="AU302" s="1712"/>
      <c r="AV302" s="1712"/>
      <c r="AW302" s="1712"/>
      <c r="AX302" s="1713"/>
      <c r="AY302" s="1714" t="str">
        <f t="shared" si="215"/>
        <v/>
      </c>
      <c r="AZ302" s="1714" t="str">
        <f>IF(Obj_PA!D302="","",IF(AY302="","",Obj_PA!D302-AY302))</f>
        <v/>
      </c>
      <c r="BA302" s="150"/>
      <c r="BB302" s="150"/>
      <c r="BC302" s="150"/>
      <c r="BD302" s="150"/>
      <c r="BE302" s="150"/>
      <c r="BF302" s="150"/>
      <c r="BG302" s="150"/>
      <c r="BH302" s="150"/>
      <c r="BI302" s="150"/>
      <c r="BJ302" s="150"/>
      <c r="BK302" s="155" t="str">
        <f t="shared" si="257"/>
        <v/>
      </c>
      <c r="BL302" s="155" t="str">
        <f t="shared" si="258"/>
        <v/>
      </c>
      <c r="BM302" s="155" t="str">
        <f t="shared" si="259"/>
        <v/>
      </c>
      <c r="BN302" s="155" t="str">
        <f t="shared" si="260"/>
        <v/>
      </c>
      <c r="BO302" s="155" t="str">
        <f t="shared" si="261"/>
        <v/>
      </c>
      <c r="BP302" s="155" t="str">
        <f t="shared" si="262"/>
        <v/>
      </c>
      <c r="BQ302" s="155" t="str">
        <f t="shared" si="263"/>
        <v/>
      </c>
      <c r="BR302" s="155" t="str">
        <f t="shared" si="264"/>
        <v/>
      </c>
      <c r="BS302" s="155" t="str">
        <f t="shared" si="265"/>
        <v/>
      </c>
      <c r="BT302" s="155" t="str">
        <f t="shared" si="266"/>
        <v/>
      </c>
      <c r="BU302" s="155" t="str">
        <f t="shared" si="267"/>
        <v/>
      </c>
      <c r="BV302" s="155" t="str">
        <f t="shared" si="268"/>
        <v/>
      </c>
      <c r="BW302" s="155" t="str">
        <f t="shared" si="269"/>
        <v/>
      </c>
      <c r="BX302" s="155" t="str">
        <f t="shared" si="270"/>
        <v/>
      </c>
      <c r="BY302" s="155" t="str">
        <f t="shared" si="271"/>
        <v/>
      </c>
      <c r="BZ302" s="155" t="str">
        <f t="shared" si="272"/>
        <v/>
      </c>
      <c r="CA302" s="155" t="str">
        <f t="shared" si="273"/>
        <v/>
      </c>
      <c r="CB302" s="155" t="str">
        <f t="shared" si="274"/>
        <v/>
      </c>
      <c r="CC302" s="155" t="str">
        <f t="shared" si="275"/>
        <v/>
      </c>
      <c r="CD302" s="155" t="str">
        <f t="shared" si="276"/>
        <v/>
      </c>
      <c r="CE302" s="155" t="str">
        <f t="shared" si="277"/>
        <v/>
      </c>
      <c r="CF302" s="155" t="str">
        <f t="shared" si="278"/>
        <v/>
      </c>
      <c r="CG302" s="155" t="str">
        <f t="shared" si="279"/>
        <v/>
      </c>
      <c r="CH302" s="155" t="str">
        <f t="shared" si="280"/>
        <v/>
      </c>
      <c r="CI302" s="155" t="str">
        <f t="shared" si="281"/>
        <v/>
      </c>
      <c r="CJ302" s="155" t="str">
        <f t="shared" si="282"/>
        <v/>
      </c>
      <c r="CK302" s="155" t="str">
        <f t="shared" si="283"/>
        <v/>
      </c>
      <c r="CL302" s="155" t="str">
        <f t="shared" si="284"/>
        <v/>
      </c>
      <c r="CM302" s="155" t="str">
        <f t="shared" si="285"/>
        <v/>
      </c>
      <c r="CN302" s="155" t="str">
        <f t="shared" si="286"/>
        <v/>
      </c>
      <c r="CO302" s="155" t="str">
        <f t="shared" si="287"/>
        <v/>
      </c>
      <c r="CP302" s="155" t="str">
        <f t="shared" si="288"/>
        <v/>
      </c>
      <c r="CQ302" s="155" t="str">
        <f t="shared" si="289"/>
        <v/>
      </c>
      <c r="CR302" s="155" t="str">
        <f t="shared" si="290"/>
        <v/>
      </c>
      <c r="CS302" s="155" t="str">
        <f t="shared" si="291"/>
        <v/>
      </c>
      <c r="CT302" s="155" t="str">
        <f t="shared" si="292"/>
        <v/>
      </c>
      <c r="CU302" s="155" t="str">
        <f t="shared" si="293"/>
        <v/>
      </c>
      <c r="CV302" s="155" t="str">
        <f t="shared" si="294"/>
        <v/>
      </c>
      <c r="CW302" s="155" t="str">
        <f t="shared" si="295"/>
        <v/>
      </c>
      <c r="CX302" s="155" t="str">
        <f t="shared" si="296"/>
        <v/>
      </c>
    </row>
    <row r="303" spans="1:128" s="151" customFormat="1" ht="14.25" outlineLevel="1" x14ac:dyDescent="0.2">
      <c r="A303" s="146"/>
      <c r="B303" s="157" t="str">
        <f>Services!B303</f>
        <v>12A06</v>
      </c>
      <c r="C303" s="153" t="str">
        <f>Services!C303</f>
        <v>Gestion des prestataires ou fournisseurs de services télécoms</v>
      </c>
      <c r="D303" s="149"/>
      <c r="E303" s="149"/>
      <c r="F303" s="149"/>
      <c r="G303" s="149"/>
      <c r="H303" s="149"/>
      <c r="I303" s="140" t="str">
        <f t="shared" si="297"/>
        <v/>
      </c>
      <c r="J303" s="141" t="str">
        <f t="shared" si="214"/>
        <v/>
      </c>
      <c r="K303" s="142"/>
      <c r="L303" s="142"/>
      <c r="M303" s="1708"/>
      <c r="N303" s="1708"/>
      <c r="O303" s="1708"/>
      <c r="P303" s="1708"/>
      <c r="Q303" s="1708"/>
      <c r="R303" s="1708"/>
      <c r="S303" s="1708"/>
      <c r="T303" s="1708"/>
      <c r="U303" s="1708"/>
      <c r="V303" s="1708"/>
      <c r="W303" s="1708"/>
      <c r="X303" s="1712"/>
      <c r="Y303" s="1712"/>
      <c r="Z303" s="1712"/>
      <c r="AA303" s="1712"/>
      <c r="AB303" s="1712"/>
      <c r="AC303" s="1712"/>
      <c r="AD303" s="1712"/>
      <c r="AE303" s="1712"/>
      <c r="AF303" s="1712"/>
      <c r="AG303" s="1712"/>
      <c r="AH303" s="1712"/>
      <c r="AI303" s="1712"/>
      <c r="AJ303" s="1712"/>
      <c r="AK303" s="1712"/>
      <c r="AL303" s="1712"/>
      <c r="AM303" s="1712"/>
      <c r="AN303" s="1712"/>
      <c r="AO303" s="1712"/>
      <c r="AP303" s="1712"/>
      <c r="AQ303" s="1712"/>
      <c r="AR303" s="1712"/>
      <c r="AS303" s="1712"/>
      <c r="AT303" s="1712"/>
      <c r="AU303" s="1712"/>
      <c r="AV303" s="1712"/>
      <c r="AW303" s="1712"/>
      <c r="AX303" s="1713"/>
      <c r="AY303" s="1714" t="str">
        <f t="shared" si="215"/>
        <v/>
      </c>
      <c r="AZ303" s="1714" t="str">
        <f>IF(Obj_PA!D303="","",IF(AY303="","",Obj_PA!D303-AY303))</f>
        <v/>
      </c>
      <c r="BA303" s="150"/>
      <c r="BB303" s="150"/>
      <c r="BC303" s="150"/>
      <c r="BD303" s="150"/>
      <c r="BE303" s="150"/>
      <c r="BF303" s="150"/>
      <c r="BG303" s="150"/>
      <c r="BH303" s="150"/>
      <c r="BI303" s="150"/>
      <c r="BJ303" s="150"/>
      <c r="BK303" s="155" t="str">
        <f t="shared" si="257"/>
        <v/>
      </c>
      <c r="BL303" s="155" t="str">
        <f t="shared" si="258"/>
        <v/>
      </c>
      <c r="BM303" s="155" t="str">
        <f t="shared" si="259"/>
        <v/>
      </c>
      <c r="BN303" s="155" t="str">
        <f t="shared" si="260"/>
        <v/>
      </c>
      <c r="BO303" s="155" t="str">
        <f t="shared" si="261"/>
        <v/>
      </c>
      <c r="BP303" s="155" t="str">
        <f t="shared" si="262"/>
        <v/>
      </c>
      <c r="BQ303" s="155" t="str">
        <f t="shared" si="263"/>
        <v/>
      </c>
      <c r="BR303" s="155" t="str">
        <f t="shared" si="264"/>
        <v/>
      </c>
      <c r="BS303" s="155" t="str">
        <f t="shared" si="265"/>
        <v/>
      </c>
      <c r="BT303" s="155" t="str">
        <f t="shared" si="266"/>
        <v/>
      </c>
      <c r="BU303" s="155" t="str">
        <f t="shared" si="267"/>
        <v/>
      </c>
      <c r="BV303" s="155" t="str">
        <f t="shared" si="268"/>
        <v/>
      </c>
      <c r="BW303" s="155" t="str">
        <f t="shared" si="269"/>
        <v/>
      </c>
      <c r="BX303" s="155" t="str">
        <f t="shared" si="270"/>
        <v/>
      </c>
      <c r="BY303" s="155" t="str">
        <f t="shared" si="271"/>
        <v/>
      </c>
      <c r="BZ303" s="155" t="str">
        <f t="shared" si="272"/>
        <v/>
      </c>
      <c r="CA303" s="155" t="str">
        <f t="shared" si="273"/>
        <v/>
      </c>
      <c r="CB303" s="155" t="str">
        <f t="shared" si="274"/>
        <v/>
      </c>
      <c r="CC303" s="155" t="str">
        <f t="shared" si="275"/>
        <v/>
      </c>
      <c r="CD303" s="155" t="str">
        <f t="shared" si="276"/>
        <v/>
      </c>
      <c r="CE303" s="155" t="str">
        <f t="shared" si="277"/>
        <v/>
      </c>
      <c r="CF303" s="155" t="str">
        <f t="shared" si="278"/>
        <v/>
      </c>
      <c r="CG303" s="155" t="str">
        <f t="shared" si="279"/>
        <v/>
      </c>
      <c r="CH303" s="155" t="str">
        <f t="shared" si="280"/>
        <v/>
      </c>
      <c r="CI303" s="155" t="str">
        <f t="shared" si="281"/>
        <v/>
      </c>
      <c r="CJ303" s="155" t="str">
        <f t="shared" si="282"/>
        <v/>
      </c>
      <c r="CK303" s="155" t="str">
        <f t="shared" si="283"/>
        <v/>
      </c>
      <c r="CL303" s="155" t="str">
        <f t="shared" si="284"/>
        <v/>
      </c>
      <c r="CM303" s="155" t="str">
        <f t="shared" si="285"/>
        <v/>
      </c>
      <c r="CN303" s="155" t="str">
        <f t="shared" si="286"/>
        <v/>
      </c>
      <c r="CO303" s="155" t="str">
        <f t="shared" si="287"/>
        <v/>
      </c>
      <c r="CP303" s="155" t="str">
        <f t="shared" si="288"/>
        <v/>
      </c>
      <c r="CQ303" s="155" t="str">
        <f t="shared" si="289"/>
        <v/>
      </c>
      <c r="CR303" s="155" t="str">
        <f t="shared" si="290"/>
        <v/>
      </c>
      <c r="CS303" s="155" t="str">
        <f t="shared" si="291"/>
        <v/>
      </c>
      <c r="CT303" s="155" t="str">
        <f t="shared" si="292"/>
        <v/>
      </c>
      <c r="CU303" s="155" t="str">
        <f t="shared" si="293"/>
        <v/>
      </c>
      <c r="CV303" s="155" t="str">
        <f t="shared" si="294"/>
        <v/>
      </c>
      <c r="CW303" s="155" t="str">
        <f t="shared" si="295"/>
        <v/>
      </c>
      <c r="CX303" s="155" t="str">
        <f t="shared" si="296"/>
        <v/>
      </c>
    </row>
    <row r="304" spans="1:128" s="151" customFormat="1" ht="14.25" outlineLevel="1" x14ac:dyDescent="0.2">
      <c r="A304" s="156"/>
      <c r="B304" s="147" t="str">
        <f>Services!B304</f>
        <v>12B</v>
      </c>
      <c r="C304" s="148" t="str">
        <f>Services!C304</f>
        <v>Contrôle des configurations matérielles et logicielles</v>
      </c>
      <c r="D304" s="149"/>
      <c r="E304" s="149"/>
      <c r="F304" s="149"/>
      <c r="G304" s="149"/>
      <c r="H304" s="149"/>
      <c r="I304" s="140" t="str">
        <f t="shared" si="297"/>
        <v/>
      </c>
      <c r="J304" s="141" t="str">
        <f t="shared" si="214"/>
        <v/>
      </c>
      <c r="K304" s="142"/>
      <c r="L304" s="142"/>
      <c r="M304" s="1708"/>
      <c r="N304" s="1708"/>
      <c r="O304" s="1708"/>
      <c r="P304" s="1708"/>
      <c r="Q304" s="1708"/>
      <c r="R304" s="1708"/>
      <c r="S304" s="1708"/>
      <c r="T304" s="1708"/>
      <c r="U304" s="1708"/>
      <c r="V304" s="1708"/>
      <c r="W304" s="1708"/>
      <c r="X304" s="1712"/>
      <c r="Y304" s="1712"/>
      <c r="Z304" s="1712"/>
      <c r="AA304" s="1712"/>
      <c r="AB304" s="1712"/>
      <c r="AC304" s="1712"/>
      <c r="AD304" s="1712"/>
      <c r="AE304" s="1712"/>
      <c r="AF304" s="1712"/>
      <c r="AG304" s="1712"/>
      <c r="AH304" s="1712"/>
      <c r="AI304" s="1712"/>
      <c r="AJ304" s="1712"/>
      <c r="AK304" s="1712"/>
      <c r="AL304" s="1712"/>
      <c r="AM304" s="1712"/>
      <c r="AN304" s="1712"/>
      <c r="AO304" s="1712"/>
      <c r="AP304" s="1712"/>
      <c r="AQ304" s="1712"/>
      <c r="AR304" s="1712"/>
      <c r="AS304" s="1712"/>
      <c r="AT304" s="1712"/>
      <c r="AU304" s="1712"/>
      <c r="AV304" s="1712"/>
      <c r="AW304" s="1712"/>
      <c r="AX304" s="1713"/>
      <c r="AY304" s="1714" t="str">
        <f t="shared" si="215"/>
        <v/>
      </c>
      <c r="AZ304" s="1714" t="str">
        <f>IF(Obj_PA!D304="","",IF(AY304="","",Obj_PA!D304-AY304))</f>
        <v/>
      </c>
      <c r="BA304" s="150"/>
      <c r="BB304" s="150"/>
      <c r="BC304" s="150"/>
      <c r="BD304" s="150"/>
      <c r="BE304" s="150"/>
      <c r="BF304" s="150"/>
      <c r="BG304" s="150"/>
      <c r="BH304" s="150"/>
      <c r="BI304" s="150"/>
      <c r="BJ304" s="150"/>
      <c r="BK304" s="155" t="str">
        <f t="shared" si="257"/>
        <v/>
      </c>
      <c r="BL304" s="155" t="str">
        <f t="shared" si="258"/>
        <v/>
      </c>
      <c r="BM304" s="155" t="str">
        <f t="shared" si="259"/>
        <v/>
      </c>
      <c r="BN304" s="155" t="str">
        <f t="shared" si="260"/>
        <v/>
      </c>
      <c r="BO304" s="155" t="str">
        <f t="shared" si="261"/>
        <v/>
      </c>
      <c r="BP304" s="155" t="str">
        <f t="shared" si="262"/>
        <v/>
      </c>
      <c r="BQ304" s="155" t="str">
        <f t="shared" si="263"/>
        <v/>
      </c>
      <c r="BR304" s="155" t="str">
        <f t="shared" si="264"/>
        <v/>
      </c>
      <c r="BS304" s="155" t="str">
        <f t="shared" si="265"/>
        <v/>
      </c>
      <c r="BT304" s="155" t="str">
        <f t="shared" si="266"/>
        <v/>
      </c>
      <c r="BU304" s="155" t="str">
        <f t="shared" si="267"/>
        <v/>
      </c>
      <c r="BV304" s="155" t="str">
        <f t="shared" si="268"/>
        <v/>
      </c>
      <c r="BW304" s="155" t="str">
        <f t="shared" si="269"/>
        <v/>
      </c>
      <c r="BX304" s="155" t="str">
        <f t="shared" si="270"/>
        <v/>
      </c>
      <c r="BY304" s="155" t="str">
        <f t="shared" si="271"/>
        <v/>
      </c>
      <c r="BZ304" s="155" t="str">
        <f t="shared" si="272"/>
        <v/>
      </c>
      <c r="CA304" s="155" t="str">
        <f t="shared" si="273"/>
        <v/>
      </c>
      <c r="CB304" s="155" t="str">
        <f t="shared" si="274"/>
        <v/>
      </c>
      <c r="CC304" s="155" t="str">
        <f t="shared" si="275"/>
        <v/>
      </c>
      <c r="CD304" s="155" t="str">
        <f t="shared" si="276"/>
        <v/>
      </c>
      <c r="CE304" s="155" t="str">
        <f t="shared" si="277"/>
        <v/>
      </c>
      <c r="CF304" s="155" t="str">
        <f t="shared" si="278"/>
        <v/>
      </c>
      <c r="CG304" s="155" t="str">
        <f t="shared" si="279"/>
        <v/>
      </c>
      <c r="CH304" s="155" t="str">
        <f t="shared" si="280"/>
        <v/>
      </c>
      <c r="CI304" s="155" t="str">
        <f t="shared" si="281"/>
        <v/>
      </c>
      <c r="CJ304" s="155" t="str">
        <f t="shared" si="282"/>
        <v/>
      </c>
      <c r="CK304" s="155" t="str">
        <f t="shared" si="283"/>
        <v/>
      </c>
      <c r="CL304" s="155" t="str">
        <f t="shared" si="284"/>
        <v/>
      </c>
      <c r="CM304" s="155" t="str">
        <f t="shared" si="285"/>
        <v/>
      </c>
      <c r="CN304" s="155" t="str">
        <f t="shared" si="286"/>
        <v/>
      </c>
      <c r="CO304" s="155" t="str">
        <f t="shared" si="287"/>
        <v/>
      </c>
      <c r="CP304" s="155" t="str">
        <f t="shared" si="288"/>
        <v/>
      </c>
      <c r="CQ304" s="155" t="str">
        <f t="shared" si="289"/>
        <v/>
      </c>
      <c r="CR304" s="155" t="str">
        <f t="shared" si="290"/>
        <v/>
      </c>
      <c r="CS304" s="155" t="str">
        <f t="shared" si="291"/>
        <v/>
      </c>
      <c r="CT304" s="155" t="str">
        <f t="shared" si="292"/>
        <v/>
      </c>
      <c r="CU304" s="155" t="str">
        <f t="shared" si="293"/>
        <v/>
      </c>
      <c r="CV304" s="155" t="str">
        <f t="shared" si="294"/>
        <v/>
      </c>
      <c r="CW304" s="155" t="str">
        <f t="shared" si="295"/>
        <v/>
      </c>
      <c r="CX304" s="155" t="str">
        <f t="shared" si="296"/>
        <v/>
      </c>
    </row>
    <row r="305" spans="1:102" s="151" customFormat="1" ht="25.5" outlineLevel="1" x14ac:dyDescent="0.2">
      <c r="A305" s="146"/>
      <c r="B305" s="157" t="str">
        <f>Services!B305</f>
        <v>12B01</v>
      </c>
      <c r="C305" s="153" t="str">
        <f>Services!C305</f>
        <v>Paramétrage des équipements et contrôle de la conformité des configurations</v>
      </c>
      <c r="D305" s="149"/>
      <c r="E305" s="149"/>
      <c r="F305" s="149"/>
      <c r="G305" s="149">
        <f>4*(8*Plans_action!E258+Plans_action!D258)</f>
        <v>0</v>
      </c>
      <c r="H305" s="149"/>
      <c r="I305" s="140" t="str">
        <f t="shared" si="297"/>
        <v/>
      </c>
      <c r="J305" s="141" t="str">
        <f t="shared" si="214"/>
        <v/>
      </c>
      <c r="K305" s="142"/>
      <c r="L305" s="142"/>
      <c r="M305" s="1708"/>
      <c r="N305" s="1708"/>
      <c r="O305" s="1708"/>
      <c r="P305" s="1708"/>
      <c r="Q305" s="1708"/>
      <c r="R305" s="1708"/>
      <c r="S305" s="1708"/>
      <c r="T305" s="1708"/>
      <c r="U305" s="1708"/>
      <c r="V305" s="1708"/>
      <c r="W305" s="1708"/>
      <c r="X305" s="1712"/>
      <c r="Y305" s="1712"/>
      <c r="Z305" s="1712"/>
      <c r="AA305" s="1712"/>
      <c r="AB305" s="1712"/>
      <c r="AC305" s="1712"/>
      <c r="AD305" s="1712"/>
      <c r="AE305" s="1712"/>
      <c r="AF305" s="1712"/>
      <c r="AG305" s="1712"/>
      <c r="AH305" s="1712"/>
      <c r="AI305" s="1712"/>
      <c r="AJ305" s="1712"/>
      <c r="AK305" s="1712"/>
      <c r="AL305" s="1712"/>
      <c r="AM305" s="1712"/>
      <c r="AN305" s="1712"/>
      <c r="AO305" s="1712"/>
      <c r="AP305" s="1712"/>
      <c r="AQ305" s="1712"/>
      <c r="AR305" s="1712"/>
      <c r="AS305" s="1712"/>
      <c r="AT305" s="1712"/>
      <c r="AU305" s="1712"/>
      <c r="AV305" s="1712"/>
      <c r="AW305" s="1712"/>
      <c r="AX305" s="1713"/>
      <c r="AY305" s="1714" t="str">
        <f t="shared" si="215"/>
        <v/>
      </c>
      <c r="AZ305" s="1714" t="str">
        <f>IF(Obj_PA!D305="","",IF(AY305="","",Obj_PA!D305-AY305))</f>
        <v/>
      </c>
      <c r="BA305" s="150"/>
      <c r="BB305" s="150"/>
      <c r="BC305" s="150"/>
      <c r="BD305" s="150"/>
      <c r="BE305" s="150"/>
      <c r="BF305" s="150"/>
      <c r="BG305" s="150"/>
      <c r="BH305" s="150"/>
      <c r="BI305" s="150"/>
      <c r="BJ305" s="150"/>
      <c r="BK305" s="155" t="str">
        <f t="shared" si="257"/>
        <v/>
      </c>
      <c r="BL305" s="155" t="str">
        <f t="shared" si="258"/>
        <v/>
      </c>
      <c r="BM305" s="155" t="str">
        <f t="shared" si="259"/>
        <v/>
      </c>
      <c r="BN305" s="155" t="str">
        <f t="shared" si="260"/>
        <v/>
      </c>
      <c r="BO305" s="155" t="str">
        <f t="shared" si="261"/>
        <v/>
      </c>
      <c r="BP305" s="155" t="str">
        <f t="shared" si="262"/>
        <v/>
      </c>
      <c r="BQ305" s="155" t="str">
        <f t="shared" si="263"/>
        <v/>
      </c>
      <c r="BR305" s="155" t="str">
        <f t="shared" si="264"/>
        <v/>
      </c>
      <c r="BS305" s="155" t="str">
        <f t="shared" si="265"/>
        <v/>
      </c>
      <c r="BT305" s="155" t="str">
        <f t="shared" si="266"/>
        <v/>
      </c>
      <c r="BU305" s="155" t="str">
        <f t="shared" si="267"/>
        <v/>
      </c>
      <c r="BV305" s="155" t="str">
        <f t="shared" si="268"/>
        <v/>
      </c>
      <c r="BW305" s="155" t="str">
        <f t="shared" si="269"/>
        <v/>
      </c>
      <c r="BX305" s="155" t="str">
        <f t="shared" si="270"/>
        <v/>
      </c>
      <c r="BY305" s="155" t="str">
        <f t="shared" si="271"/>
        <v/>
      </c>
      <c r="BZ305" s="155" t="str">
        <f t="shared" si="272"/>
        <v/>
      </c>
      <c r="CA305" s="155" t="str">
        <f t="shared" si="273"/>
        <v/>
      </c>
      <c r="CB305" s="155" t="str">
        <f t="shared" si="274"/>
        <v/>
      </c>
      <c r="CC305" s="155" t="str">
        <f t="shared" si="275"/>
        <v/>
      </c>
      <c r="CD305" s="155" t="str">
        <f t="shared" si="276"/>
        <v/>
      </c>
      <c r="CE305" s="155" t="str">
        <f t="shared" si="277"/>
        <v/>
      </c>
      <c r="CF305" s="155" t="str">
        <f t="shared" si="278"/>
        <v/>
      </c>
      <c r="CG305" s="155" t="str">
        <f t="shared" si="279"/>
        <v/>
      </c>
      <c r="CH305" s="155" t="str">
        <f t="shared" si="280"/>
        <v/>
      </c>
      <c r="CI305" s="155" t="str">
        <f t="shared" si="281"/>
        <v/>
      </c>
      <c r="CJ305" s="155" t="str">
        <f t="shared" si="282"/>
        <v/>
      </c>
      <c r="CK305" s="155" t="str">
        <f t="shared" si="283"/>
        <v/>
      </c>
      <c r="CL305" s="155" t="str">
        <f t="shared" si="284"/>
        <v/>
      </c>
      <c r="CM305" s="155" t="str">
        <f t="shared" si="285"/>
        <v/>
      </c>
      <c r="CN305" s="155" t="str">
        <f t="shared" si="286"/>
        <v/>
      </c>
      <c r="CO305" s="155" t="str">
        <f t="shared" si="287"/>
        <v/>
      </c>
      <c r="CP305" s="155" t="str">
        <f t="shared" si="288"/>
        <v/>
      </c>
      <c r="CQ305" s="155" t="str">
        <f t="shared" si="289"/>
        <v/>
      </c>
      <c r="CR305" s="155" t="str">
        <f t="shared" si="290"/>
        <v/>
      </c>
      <c r="CS305" s="155" t="str">
        <f t="shared" si="291"/>
        <v/>
      </c>
      <c r="CT305" s="155" t="str">
        <f t="shared" si="292"/>
        <v/>
      </c>
      <c r="CU305" s="155" t="str">
        <f t="shared" si="293"/>
        <v/>
      </c>
      <c r="CV305" s="155" t="str">
        <f t="shared" si="294"/>
        <v/>
      </c>
      <c r="CW305" s="155" t="str">
        <f t="shared" si="295"/>
        <v/>
      </c>
      <c r="CX305" s="155" t="str">
        <f t="shared" si="296"/>
        <v/>
      </c>
    </row>
    <row r="306" spans="1:102" s="151" customFormat="1" ht="14.25" outlineLevel="1" x14ac:dyDescent="0.2">
      <c r="A306" s="146"/>
      <c r="B306" s="157" t="str">
        <f>Services!B306</f>
        <v>12B02</v>
      </c>
      <c r="C306" s="153" t="str">
        <f>Services!C306</f>
        <v xml:space="preserve">Contrôle de la conformité des programmes de référence </v>
      </c>
      <c r="D306" s="149"/>
      <c r="E306" s="149"/>
      <c r="F306" s="149"/>
      <c r="G306" s="149">
        <f>4*(8*Plans_action!E258+Plans_action!D258)</f>
        <v>0</v>
      </c>
      <c r="H306" s="149"/>
      <c r="I306" s="140" t="str">
        <f t="shared" si="297"/>
        <v/>
      </c>
      <c r="J306" s="141" t="str">
        <f t="shared" si="214"/>
        <v/>
      </c>
      <c r="K306" s="142"/>
      <c r="L306" s="142"/>
      <c r="M306" s="1708"/>
      <c r="N306" s="1708"/>
      <c r="O306" s="1708"/>
      <c r="P306" s="1708"/>
      <c r="Q306" s="1708"/>
      <c r="R306" s="1708"/>
      <c r="S306" s="1708"/>
      <c r="T306" s="1708"/>
      <c r="U306" s="1708"/>
      <c r="V306" s="1708"/>
      <c r="W306" s="1708"/>
      <c r="X306" s="1712"/>
      <c r="Y306" s="1712"/>
      <c r="Z306" s="1712"/>
      <c r="AA306" s="1712"/>
      <c r="AB306" s="1712"/>
      <c r="AC306" s="1712"/>
      <c r="AD306" s="1712"/>
      <c r="AE306" s="1712"/>
      <c r="AF306" s="1712"/>
      <c r="AG306" s="1712"/>
      <c r="AH306" s="1712"/>
      <c r="AI306" s="1712"/>
      <c r="AJ306" s="1712"/>
      <c r="AK306" s="1712"/>
      <c r="AL306" s="1712"/>
      <c r="AM306" s="1712"/>
      <c r="AN306" s="1712"/>
      <c r="AO306" s="1712"/>
      <c r="AP306" s="1712"/>
      <c r="AQ306" s="1712"/>
      <c r="AR306" s="1712"/>
      <c r="AS306" s="1712"/>
      <c r="AT306" s="1712"/>
      <c r="AU306" s="1712"/>
      <c r="AV306" s="1712"/>
      <c r="AW306" s="1712"/>
      <c r="AX306" s="1713"/>
      <c r="AY306" s="1714" t="str">
        <f t="shared" si="215"/>
        <v/>
      </c>
      <c r="AZ306" s="1714" t="str">
        <f>IF(Obj_PA!D306="","",IF(AY306="","",Obj_PA!D306-AY306))</f>
        <v/>
      </c>
      <c r="BA306" s="150"/>
      <c r="BB306" s="150"/>
      <c r="BC306" s="150"/>
      <c r="BD306" s="150"/>
      <c r="BE306" s="150"/>
      <c r="BF306" s="150"/>
      <c r="BG306" s="150"/>
      <c r="BH306" s="150"/>
      <c r="BI306" s="150"/>
      <c r="BJ306" s="150"/>
      <c r="BK306" s="155" t="str">
        <f t="shared" si="257"/>
        <v/>
      </c>
      <c r="BL306" s="155" t="str">
        <f t="shared" si="258"/>
        <v/>
      </c>
      <c r="BM306" s="155" t="str">
        <f t="shared" si="259"/>
        <v/>
      </c>
      <c r="BN306" s="155" t="str">
        <f t="shared" si="260"/>
        <v/>
      </c>
      <c r="BO306" s="155" t="str">
        <f t="shared" si="261"/>
        <v/>
      </c>
      <c r="BP306" s="155" t="str">
        <f t="shared" si="262"/>
        <v/>
      </c>
      <c r="BQ306" s="155" t="str">
        <f t="shared" si="263"/>
        <v/>
      </c>
      <c r="BR306" s="155" t="str">
        <f t="shared" si="264"/>
        <v/>
      </c>
      <c r="BS306" s="155" t="str">
        <f t="shared" si="265"/>
        <v/>
      </c>
      <c r="BT306" s="155" t="str">
        <f t="shared" si="266"/>
        <v/>
      </c>
      <c r="BU306" s="155" t="str">
        <f t="shared" si="267"/>
        <v/>
      </c>
      <c r="BV306" s="155" t="str">
        <f t="shared" si="268"/>
        <v/>
      </c>
      <c r="BW306" s="155" t="str">
        <f t="shared" si="269"/>
        <v/>
      </c>
      <c r="BX306" s="155" t="str">
        <f t="shared" si="270"/>
        <v/>
      </c>
      <c r="BY306" s="155" t="str">
        <f t="shared" si="271"/>
        <v/>
      </c>
      <c r="BZ306" s="155" t="str">
        <f t="shared" si="272"/>
        <v/>
      </c>
      <c r="CA306" s="155" t="str">
        <f t="shared" si="273"/>
        <v/>
      </c>
      <c r="CB306" s="155" t="str">
        <f t="shared" si="274"/>
        <v/>
      </c>
      <c r="CC306" s="155" t="str">
        <f t="shared" si="275"/>
        <v/>
      </c>
      <c r="CD306" s="155" t="str">
        <f t="shared" si="276"/>
        <v/>
      </c>
      <c r="CE306" s="155" t="str">
        <f t="shared" si="277"/>
        <v/>
      </c>
      <c r="CF306" s="155" t="str">
        <f t="shared" si="278"/>
        <v/>
      </c>
      <c r="CG306" s="155" t="str">
        <f t="shared" si="279"/>
        <v/>
      </c>
      <c r="CH306" s="155" t="str">
        <f t="shared" si="280"/>
        <v/>
      </c>
      <c r="CI306" s="155" t="str">
        <f t="shared" si="281"/>
        <v/>
      </c>
      <c r="CJ306" s="155" t="str">
        <f t="shared" si="282"/>
        <v/>
      </c>
      <c r="CK306" s="155" t="str">
        <f t="shared" si="283"/>
        <v/>
      </c>
      <c r="CL306" s="155" t="str">
        <f t="shared" si="284"/>
        <v/>
      </c>
      <c r="CM306" s="155" t="str">
        <f t="shared" si="285"/>
        <v/>
      </c>
      <c r="CN306" s="155" t="str">
        <f t="shared" si="286"/>
        <v/>
      </c>
      <c r="CO306" s="155" t="str">
        <f t="shared" si="287"/>
        <v/>
      </c>
      <c r="CP306" s="155" t="str">
        <f t="shared" si="288"/>
        <v/>
      </c>
      <c r="CQ306" s="155" t="str">
        <f t="shared" si="289"/>
        <v/>
      </c>
      <c r="CR306" s="155" t="str">
        <f t="shared" si="290"/>
        <v/>
      </c>
      <c r="CS306" s="155" t="str">
        <f t="shared" si="291"/>
        <v/>
      </c>
      <c r="CT306" s="155" t="str">
        <f t="shared" si="292"/>
        <v/>
      </c>
      <c r="CU306" s="155" t="str">
        <f t="shared" si="293"/>
        <v/>
      </c>
      <c r="CV306" s="155" t="str">
        <f t="shared" si="294"/>
        <v/>
      </c>
      <c r="CW306" s="155" t="str">
        <f t="shared" si="295"/>
        <v/>
      </c>
      <c r="CX306" s="155" t="str">
        <f t="shared" si="296"/>
        <v/>
      </c>
    </row>
    <row r="307" spans="1:102" s="151" customFormat="1" ht="14.25" outlineLevel="1" x14ac:dyDescent="0.2">
      <c r="A307" s="146"/>
      <c r="B307" s="147" t="str">
        <f>Services!B307</f>
        <v>12C</v>
      </c>
      <c r="C307" s="148" t="str">
        <f>Services!C307</f>
        <v>Continuité de fonctionnement</v>
      </c>
      <c r="D307" s="149"/>
      <c r="E307" s="149"/>
      <c r="F307" s="149"/>
      <c r="G307" s="149"/>
      <c r="H307" s="149"/>
      <c r="I307" s="140" t="str">
        <f t="shared" si="297"/>
        <v/>
      </c>
      <c r="J307" s="141" t="str">
        <f t="shared" si="214"/>
        <v/>
      </c>
      <c r="K307" s="142"/>
      <c r="L307" s="142"/>
      <c r="M307" s="1708"/>
      <c r="N307" s="1708"/>
      <c r="O307" s="1708"/>
      <c r="P307" s="1708"/>
      <c r="Q307" s="1708"/>
      <c r="R307" s="1708"/>
      <c r="S307" s="1708"/>
      <c r="T307" s="1708"/>
      <c r="U307" s="1708"/>
      <c r="V307" s="1708"/>
      <c r="W307" s="1708"/>
      <c r="X307" s="1712"/>
      <c r="Y307" s="1712"/>
      <c r="Z307" s="1712"/>
      <c r="AA307" s="1712"/>
      <c r="AB307" s="1712"/>
      <c r="AC307" s="1712"/>
      <c r="AD307" s="1712"/>
      <c r="AE307" s="1712"/>
      <c r="AF307" s="1712"/>
      <c r="AG307" s="1712"/>
      <c r="AH307" s="1712"/>
      <c r="AI307" s="1712"/>
      <c r="AJ307" s="1712"/>
      <c r="AK307" s="1712"/>
      <c r="AL307" s="1712"/>
      <c r="AM307" s="1712"/>
      <c r="AN307" s="1712"/>
      <c r="AO307" s="1712"/>
      <c r="AP307" s="1712"/>
      <c r="AQ307" s="1712"/>
      <c r="AR307" s="1712"/>
      <c r="AS307" s="1712"/>
      <c r="AT307" s="1712"/>
      <c r="AU307" s="1712"/>
      <c r="AV307" s="1712"/>
      <c r="AW307" s="1712"/>
      <c r="AX307" s="1713"/>
      <c r="AY307" s="1714" t="str">
        <f t="shared" si="215"/>
        <v/>
      </c>
      <c r="AZ307" s="1714" t="str">
        <f>IF(Obj_PA!D307="","",IF(AY307="","",Obj_PA!D307-AY307))</f>
        <v/>
      </c>
      <c r="BA307" s="150"/>
      <c r="BB307" s="150"/>
      <c r="BC307" s="150"/>
      <c r="BD307" s="150"/>
      <c r="BE307" s="150"/>
      <c r="BF307" s="150"/>
      <c r="BG307" s="150"/>
      <c r="BH307" s="150"/>
      <c r="BI307" s="150"/>
      <c r="BJ307" s="150"/>
      <c r="BK307" s="155" t="str">
        <f t="shared" si="257"/>
        <v/>
      </c>
      <c r="BL307" s="155" t="str">
        <f t="shared" si="258"/>
        <v/>
      </c>
      <c r="BM307" s="155" t="str">
        <f t="shared" si="259"/>
        <v/>
      </c>
      <c r="BN307" s="155" t="str">
        <f t="shared" si="260"/>
        <v/>
      </c>
      <c r="BO307" s="155" t="str">
        <f t="shared" si="261"/>
        <v/>
      </c>
      <c r="BP307" s="155" t="str">
        <f t="shared" si="262"/>
        <v/>
      </c>
      <c r="BQ307" s="155" t="str">
        <f t="shared" si="263"/>
        <v/>
      </c>
      <c r="BR307" s="155" t="str">
        <f t="shared" si="264"/>
        <v/>
      </c>
      <c r="BS307" s="155" t="str">
        <f t="shared" si="265"/>
        <v/>
      </c>
      <c r="BT307" s="155" t="str">
        <f t="shared" si="266"/>
        <v/>
      </c>
      <c r="BU307" s="155" t="str">
        <f t="shared" si="267"/>
        <v/>
      </c>
      <c r="BV307" s="155" t="str">
        <f t="shared" si="268"/>
        <v/>
      </c>
      <c r="BW307" s="155" t="str">
        <f t="shared" si="269"/>
        <v/>
      </c>
      <c r="BX307" s="155" t="str">
        <f t="shared" si="270"/>
        <v/>
      </c>
      <c r="BY307" s="155" t="str">
        <f t="shared" si="271"/>
        <v/>
      </c>
      <c r="BZ307" s="155" t="str">
        <f t="shared" si="272"/>
        <v/>
      </c>
      <c r="CA307" s="155" t="str">
        <f t="shared" si="273"/>
        <v/>
      </c>
      <c r="CB307" s="155" t="str">
        <f t="shared" si="274"/>
        <v/>
      </c>
      <c r="CC307" s="155" t="str">
        <f t="shared" si="275"/>
        <v/>
      </c>
      <c r="CD307" s="155" t="str">
        <f t="shared" si="276"/>
        <v/>
      </c>
      <c r="CE307" s="155" t="str">
        <f t="shared" si="277"/>
        <v/>
      </c>
      <c r="CF307" s="155" t="str">
        <f t="shared" si="278"/>
        <v/>
      </c>
      <c r="CG307" s="155" t="str">
        <f t="shared" si="279"/>
        <v/>
      </c>
      <c r="CH307" s="155" t="str">
        <f t="shared" si="280"/>
        <v/>
      </c>
      <c r="CI307" s="155" t="str">
        <f t="shared" si="281"/>
        <v/>
      </c>
      <c r="CJ307" s="155" t="str">
        <f t="shared" si="282"/>
        <v/>
      </c>
      <c r="CK307" s="155" t="str">
        <f t="shared" si="283"/>
        <v/>
      </c>
      <c r="CL307" s="155" t="str">
        <f t="shared" si="284"/>
        <v/>
      </c>
      <c r="CM307" s="155" t="str">
        <f t="shared" si="285"/>
        <v/>
      </c>
      <c r="CN307" s="155" t="str">
        <f t="shared" si="286"/>
        <v/>
      </c>
      <c r="CO307" s="155" t="str">
        <f t="shared" si="287"/>
        <v/>
      </c>
      <c r="CP307" s="155" t="str">
        <f t="shared" si="288"/>
        <v/>
      </c>
      <c r="CQ307" s="155" t="str">
        <f t="shared" si="289"/>
        <v/>
      </c>
      <c r="CR307" s="155" t="str">
        <f t="shared" si="290"/>
        <v/>
      </c>
      <c r="CS307" s="155" t="str">
        <f t="shared" si="291"/>
        <v/>
      </c>
      <c r="CT307" s="155" t="str">
        <f t="shared" si="292"/>
        <v/>
      </c>
      <c r="CU307" s="155" t="str">
        <f t="shared" si="293"/>
        <v/>
      </c>
      <c r="CV307" s="155" t="str">
        <f t="shared" si="294"/>
        <v/>
      </c>
      <c r="CW307" s="155" t="str">
        <f t="shared" si="295"/>
        <v/>
      </c>
      <c r="CX307" s="155" t="str">
        <f t="shared" si="296"/>
        <v/>
      </c>
    </row>
    <row r="308" spans="1:102" s="151" customFormat="1" ht="14.25" outlineLevel="1" x14ac:dyDescent="0.2">
      <c r="A308" s="146"/>
      <c r="B308" s="157" t="str">
        <f>Services!B308</f>
        <v>12C01</v>
      </c>
      <c r="C308" s="153" t="str">
        <f>Services!C308</f>
        <v>Organisation de la maintenance des équipements</v>
      </c>
      <c r="D308" s="149"/>
      <c r="E308" s="149"/>
      <c r="F308" s="149"/>
      <c r="G308" s="149"/>
      <c r="H308" s="149">
        <f>5*(8*Plans_action!E193+Plans_action!D193)</f>
        <v>0</v>
      </c>
      <c r="I308" s="140" t="str">
        <f t="shared" si="297"/>
        <v/>
      </c>
      <c r="J308" s="141" t="str">
        <f t="shared" si="214"/>
        <v/>
      </c>
      <c r="K308" s="142"/>
      <c r="L308" s="142"/>
      <c r="M308" s="1708"/>
      <c r="N308" s="1708"/>
      <c r="O308" s="1708"/>
      <c r="P308" s="1708"/>
      <c r="Q308" s="1708"/>
      <c r="R308" s="1708"/>
      <c r="S308" s="1708"/>
      <c r="T308" s="1708"/>
      <c r="U308" s="1708"/>
      <c r="V308" s="1708"/>
      <c r="W308" s="1708"/>
      <c r="X308" s="1712"/>
      <c r="Y308" s="1712"/>
      <c r="Z308" s="1712"/>
      <c r="AA308" s="1712"/>
      <c r="AB308" s="1712"/>
      <c r="AC308" s="1712"/>
      <c r="AD308" s="1712"/>
      <c r="AE308" s="1712"/>
      <c r="AF308" s="1712"/>
      <c r="AG308" s="1712"/>
      <c r="AH308" s="1712"/>
      <c r="AI308" s="1712"/>
      <c r="AJ308" s="1712"/>
      <c r="AK308" s="1712"/>
      <c r="AL308" s="1712"/>
      <c r="AM308" s="1712"/>
      <c r="AN308" s="1712"/>
      <c r="AO308" s="1712"/>
      <c r="AP308" s="1712"/>
      <c r="AQ308" s="1712"/>
      <c r="AR308" s="1712"/>
      <c r="AS308" s="1712"/>
      <c r="AT308" s="1712"/>
      <c r="AU308" s="1712"/>
      <c r="AV308" s="1712"/>
      <c r="AW308" s="1712"/>
      <c r="AX308" s="1713"/>
      <c r="AY308" s="1714" t="str">
        <f t="shared" si="215"/>
        <v/>
      </c>
      <c r="AZ308" s="1714" t="str">
        <f>IF(Obj_PA!D308="","",IF(AY308="","",Obj_PA!D308-AY308))</f>
        <v/>
      </c>
      <c r="BA308" s="150"/>
      <c r="BB308" s="150"/>
      <c r="BC308" s="150"/>
      <c r="BD308" s="150"/>
      <c r="BE308" s="150"/>
      <c r="BF308" s="150"/>
      <c r="BG308" s="150"/>
      <c r="BH308" s="150"/>
      <c r="BI308" s="150"/>
      <c r="BJ308" s="150"/>
      <c r="BK308" s="155" t="str">
        <f t="shared" si="257"/>
        <v/>
      </c>
      <c r="BL308" s="155" t="str">
        <f t="shared" si="258"/>
        <v/>
      </c>
      <c r="BM308" s="155" t="str">
        <f t="shared" si="259"/>
        <v/>
      </c>
      <c r="BN308" s="155" t="str">
        <f t="shared" si="260"/>
        <v/>
      </c>
      <c r="BO308" s="155" t="str">
        <f t="shared" si="261"/>
        <v/>
      </c>
      <c r="BP308" s="155" t="str">
        <f t="shared" si="262"/>
        <v/>
      </c>
      <c r="BQ308" s="155" t="str">
        <f t="shared" si="263"/>
        <v/>
      </c>
      <c r="BR308" s="155" t="str">
        <f t="shared" si="264"/>
        <v/>
      </c>
      <c r="BS308" s="155" t="str">
        <f t="shared" si="265"/>
        <v/>
      </c>
      <c r="BT308" s="155" t="str">
        <f t="shared" si="266"/>
        <v/>
      </c>
      <c r="BU308" s="155" t="str">
        <f t="shared" si="267"/>
        <v/>
      </c>
      <c r="BV308" s="155" t="str">
        <f t="shared" si="268"/>
        <v/>
      </c>
      <c r="BW308" s="155" t="str">
        <f t="shared" si="269"/>
        <v/>
      </c>
      <c r="BX308" s="155" t="str">
        <f t="shared" si="270"/>
        <v/>
      </c>
      <c r="BY308" s="155" t="str">
        <f t="shared" si="271"/>
        <v/>
      </c>
      <c r="BZ308" s="155" t="str">
        <f t="shared" si="272"/>
        <v/>
      </c>
      <c r="CA308" s="155" t="str">
        <f t="shared" si="273"/>
        <v/>
      </c>
      <c r="CB308" s="155" t="str">
        <f t="shared" si="274"/>
        <v/>
      </c>
      <c r="CC308" s="155" t="str">
        <f t="shared" si="275"/>
        <v/>
      </c>
      <c r="CD308" s="155" t="str">
        <f t="shared" si="276"/>
        <v/>
      </c>
      <c r="CE308" s="155" t="str">
        <f t="shared" si="277"/>
        <v/>
      </c>
      <c r="CF308" s="155" t="str">
        <f t="shared" si="278"/>
        <v/>
      </c>
      <c r="CG308" s="155" t="str">
        <f t="shared" si="279"/>
        <v/>
      </c>
      <c r="CH308" s="155" t="str">
        <f t="shared" si="280"/>
        <v/>
      </c>
      <c r="CI308" s="155" t="str">
        <f t="shared" si="281"/>
        <v/>
      </c>
      <c r="CJ308" s="155" t="str">
        <f t="shared" si="282"/>
        <v/>
      </c>
      <c r="CK308" s="155" t="str">
        <f t="shared" si="283"/>
        <v/>
      </c>
      <c r="CL308" s="155" t="str">
        <f t="shared" si="284"/>
        <v/>
      </c>
      <c r="CM308" s="155" t="str">
        <f t="shared" si="285"/>
        <v/>
      </c>
      <c r="CN308" s="155" t="str">
        <f t="shared" si="286"/>
        <v/>
      </c>
      <c r="CO308" s="155" t="str">
        <f t="shared" si="287"/>
        <v/>
      </c>
      <c r="CP308" s="155" t="str">
        <f t="shared" si="288"/>
        <v/>
      </c>
      <c r="CQ308" s="155" t="str">
        <f t="shared" si="289"/>
        <v/>
      </c>
      <c r="CR308" s="155" t="str">
        <f t="shared" si="290"/>
        <v/>
      </c>
      <c r="CS308" s="155" t="str">
        <f t="shared" si="291"/>
        <v/>
      </c>
      <c r="CT308" s="155" t="str">
        <f t="shared" si="292"/>
        <v/>
      </c>
      <c r="CU308" s="155" t="str">
        <f t="shared" si="293"/>
        <v/>
      </c>
      <c r="CV308" s="155" t="str">
        <f t="shared" si="294"/>
        <v/>
      </c>
      <c r="CW308" s="155" t="str">
        <f t="shared" si="295"/>
        <v/>
      </c>
      <c r="CX308" s="155" t="str">
        <f t="shared" si="296"/>
        <v/>
      </c>
    </row>
    <row r="309" spans="1:102" s="151" customFormat="1" ht="25.5" outlineLevel="1" x14ac:dyDescent="0.2">
      <c r="A309" s="146"/>
      <c r="B309" s="157" t="str">
        <f>Services!B309</f>
        <v>12C02</v>
      </c>
      <c r="C309" s="153" t="str">
        <f>Services!C309</f>
        <v>Organisation de la maintenance du logiciel (système et services attachés)</v>
      </c>
      <c r="D309" s="149"/>
      <c r="E309" s="149"/>
      <c r="F309" s="149"/>
      <c r="G309" s="149"/>
      <c r="H309" s="149"/>
      <c r="I309" s="140" t="str">
        <f t="shared" si="297"/>
        <v/>
      </c>
      <c r="J309" s="141" t="str">
        <f t="shared" si="214"/>
        <v/>
      </c>
      <c r="K309" s="142"/>
      <c r="L309" s="142"/>
      <c r="M309" s="1708"/>
      <c r="N309" s="1708"/>
      <c r="O309" s="1708"/>
      <c r="P309" s="1708"/>
      <c r="Q309" s="1708"/>
      <c r="R309" s="1708"/>
      <c r="S309" s="1708"/>
      <c r="T309" s="1708"/>
      <c r="U309" s="1708"/>
      <c r="V309" s="1708"/>
      <c r="W309" s="1708"/>
      <c r="X309" s="1712"/>
      <c r="Y309" s="1712"/>
      <c r="Z309" s="1712"/>
      <c r="AA309" s="1712"/>
      <c r="AB309" s="1712"/>
      <c r="AC309" s="1712"/>
      <c r="AD309" s="1712"/>
      <c r="AE309" s="1712"/>
      <c r="AF309" s="1712"/>
      <c r="AG309" s="1712"/>
      <c r="AH309" s="1712"/>
      <c r="AI309" s="1712"/>
      <c r="AJ309" s="1712"/>
      <c r="AK309" s="1712"/>
      <c r="AL309" s="1712"/>
      <c r="AM309" s="1712"/>
      <c r="AN309" s="1712"/>
      <c r="AO309" s="1712"/>
      <c r="AP309" s="1712"/>
      <c r="AQ309" s="1712"/>
      <c r="AR309" s="1712"/>
      <c r="AS309" s="1712"/>
      <c r="AT309" s="1712"/>
      <c r="AU309" s="1712"/>
      <c r="AV309" s="1712"/>
      <c r="AW309" s="1712"/>
      <c r="AX309" s="1713"/>
      <c r="AY309" s="1714" t="str">
        <f t="shared" si="215"/>
        <v/>
      </c>
      <c r="AZ309" s="1714" t="str">
        <f>IF(Obj_PA!D309="","",IF(AY309="","",Obj_PA!D309-AY309))</f>
        <v/>
      </c>
      <c r="BA309" s="150"/>
      <c r="BB309" s="150"/>
      <c r="BC309" s="150"/>
      <c r="BD309" s="150"/>
      <c r="BE309" s="150"/>
      <c r="BF309" s="150"/>
      <c r="BG309" s="150"/>
      <c r="BH309" s="150"/>
      <c r="BI309" s="150"/>
      <c r="BJ309" s="150"/>
      <c r="BK309" s="155" t="str">
        <f t="shared" si="257"/>
        <v/>
      </c>
      <c r="BL309" s="155" t="str">
        <f t="shared" si="258"/>
        <v/>
      </c>
      <c r="BM309" s="155" t="str">
        <f t="shared" si="259"/>
        <v/>
      </c>
      <c r="BN309" s="155" t="str">
        <f t="shared" si="260"/>
        <v/>
      </c>
      <c r="BO309" s="155" t="str">
        <f t="shared" si="261"/>
        <v/>
      </c>
      <c r="BP309" s="155" t="str">
        <f t="shared" si="262"/>
        <v/>
      </c>
      <c r="BQ309" s="155" t="str">
        <f t="shared" si="263"/>
        <v/>
      </c>
      <c r="BR309" s="155" t="str">
        <f t="shared" si="264"/>
        <v/>
      </c>
      <c r="BS309" s="155" t="str">
        <f t="shared" si="265"/>
        <v/>
      </c>
      <c r="BT309" s="155" t="str">
        <f t="shared" si="266"/>
        <v/>
      </c>
      <c r="BU309" s="155" t="str">
        <f t="shared" si="267"/>
        <v/>
      </c>
      <c r="BV309" s="155" t="str">
        <f t="shared" si="268"/>
        <v/>
      </c>
      <c r="BW309" s="155" t="str">
        <f t="shared" si="269"/>
        <v/>
      </c>
      <c r="BX309" s="155" t="str">
        <f t="shared" si="270"/>
        <v/>
      </c>
      <c r="BY309" s="155" t="str">
        <f t="shared" si="271"/>
        <v/>
      </c>
      <c r="BZ309" s="155" t="str">
        <f t="shared" si="272"/>
        <v/>
      </c>
      <c r="CA309" s="155" t="str">
        <f t="shared" si="273"/>
        <v/>
      </c>
      <c r="CB309" s="155" t="str">
        <f t="shared" si="274"/>
        <v/>
      </c>
      <c r="CC309" s="155" t="str">
        <f t="shared" si="275"/>
        <v/>
      </c>
      <c r="CD309" s="155" t="str">
        <f t="shared" si="276"/>
        <v/>
      </c>
      <c r="CE309" s="155" t="str">
        <f t="shared" si="277"/>
        <v/>
      </c>
      <c r="CF309" s="155" t="str">
        <f t="shared" si="278"/>
        <v/>
      </c>
      <c r="CG309" s="155" t="str">
        <f t="shared" si="279"/>
        <v/>
      </c>
      <c r="CH309" s="155" t="str">
        <f t="shared" si="280"/>
        <v/>
      </c>
      <c r="CI309" s="155" t="str">
        <f t="shared" si="281"/>
        <v/>
      </c>
      <c r="CJ309" s="155" t="str">
        <f t="shared" si="282"/>
        <v/>
      </c>
      <c r="CK309" s="155" t="str">
        <f t="shared" si="283"/>
        <v/>
      </c>
      <c r="CL309" s="155" t="str">
        <f t="shared" si="284"/>
        <v/>
      </c>
      <c r="CM309" s="155" t="str">
        <f t="shared" si="285"/>
        <v/>
      </c>
      <c r="CN309" s="155" t="str">
        <f t="shared" si="286"/>
        <v/>
      </c>
      <c r="CO309" s="155" t="str">
        <f t="shared" si="287"/>
        <v/>
      </c>
      <c r="CP309" s="155" t="str">
        <f t="shared" si="288"/>
        <v/>
      </c>
      <c r="CQ309" s="155" t="str">
        <f t="shared" si="289"/>
        <v/>
      </c>
      <c r="CR309" s="155" t="str">
        <f t="shared" si="290"/>
        <v/>
      </c>
      <c r="CS309" s="155" t="str">
        <f t="shared" si="291"/>
        <v/>
      </c>
      <c r="CT309" s="155" t="str">
        <f t="shared" si="292"/>
        <v/>
      </c>
      <c r="CU309" s="155" t="str">
        <f t="shared" si="293"/>
        <v/>
      </c>
      <c r="CV309" s="155" t="str">
        <f t="shared" si="294"/>
        <v/>
      </c>
      <c r="CW309" s="155" t="str">
        <f t="shared" si="295"/>
        <v/>
      </c>
      <c r="CX309" s="155" t="str">
        <f t="shared" si="296"/>
        <v/>
      </c>
    </row>
    <row r="310" spans="1:102" s="151" customFormat="1" ht="25.5" outlineLevel="1" x14ac:dyDescent="0.2">
      <c r="A310" s="146"/>
      <c r="B310" s="157" t="str">
        <f>Services!B310</f>
        <v>12C03</v>
      </c>
      <c r="C310" s="153" t="str">
        <f>Services!C310</f>
        <v>Sauvegarde des configurations logicielles (logiciels de base, de services et/ou paramètres de configuration)</v>
      </c>
      <c r="D310" s="149"/>
      <c r="E310" s="149"/>
      <c r="F310" s="149"/>
      <c r="G310" s="149"/>
      <c r="H310" s="149">
        <f>5*(8*Plans_action!E193+Plans_action!D193)</f>
        <v>0</v>
      </c>
      <c r="I310" s="140" t="str">
        <f t="shared" si="297"/>
        <v/>
      </c>
      <c r="J310" s="141" t="str">
        <f t="shared" si="214"/>
        <v/>
      </c>
      <c r="K310" s="142"/>
      <c r="L310" s="142"/>
      <c r="M310" s="1708"/>
      <c r="N310" s="1708"/>
      <c r="O310" s="1708"/>
      <c r="P310" s="1708"/>
      <c r="Q310" s="1708"/>
      <c r="R310" s="1708"/>
      <c r="S310" s="1708"/>
      <c r="T310" s="1708"/>
      <c r="U310" s="1708"/>
      <c r="V310" s="1708"/>
      <c r="W310" s="1708"/>
      <c r="X310" s="1712"/>
      <c r="Y310" s="1712"/>
      <c r="Z310" s="1712"/>
      <c r="AA310" s="1712"/>
      <c r="AB310" s="1712"/>
      <c r="AC310" s="1712"/>
      <c r="AD310" s="1712"/>
      <c r="AE310" s="1712"/>
      <c r="AF310" s="1712"/>
      <c r="AG310" s="1712"/>
      <c r="AH310" s="1712"/>
      <c r="AI310" s="1712"/>
      <c r="AJ310" s="1712"/>
      <c r="AK310" s="1712"/>
      <c r="AL310" s="1712"/>
      <c r="AM310" s="1712"/>
      <c r="AN310" s="1712"/>
      <c r="AO310" s="1712"/>
      <c r="AP310" s="1712"/>
      <c r="AQ310" s="1712"/>
      <c r="AR310" s="1712"/>
      <c r="AS310" s="1712"/>
      <c r="AT310" s="1712"/>
      <c r="AU310" s="1712"/>
      <c r="AV310" s="1712"/>
      <c r="AW310" s="1712"/>
      <c r="AX310" s="1713"/>
      <c r="AY310" s="1714" t="str">
        <f t="shared" si="215"/>
        <v/>
      </c>
      <c r="AZ310" s="1714" t="str">
        <f>IF(Obj_PA!D310="","",IF(AY310="","",Obj_PA!D310-AY310))</f>
        <v/>
      </c>
      <c r="BA310" s="150"/>
      <c r="BB310" s="150"/>
      <c r="BC310" s="150"/>
      <c r="BD310" s="150"/>
      <c r="BE310" s="150"/>
      <c r="BF310" s="150"/>
      <c r="BG310" s="150"/>
      <c r="BH310" s="150"/>
      <c r="BI310" s="150"/>
      <c r="BJ310" s="150"/>
      <c r="BK310" s="155" t="str">
        <f t="shared" si="257"/>
        <v/>
      </c>
      <c r="BL310" s="155" t="str">
        <f t="shared" si="258"/>
        <v/>
      </c>
      <c r="BM310" s="155" t="str">
        <f t="shared" si="259"/>
        <v/>
      </c>
      <c r="BN310" s="155" t="str">
        <f t="shared" si="260"/>
        <v/>
      </c>
      <c r="BO310" s="155" t="str">
        <f t="shared" si="261"/>
        <v/>
      </c>
      <c r="BP310" s="155" t="str">
        <f t="shared" si="262"/>
        <v/>
      </c>
      <c r="BQ310" s="155" t="str">
        <f t="shared" si="263"/>
        <v/>
      </c>
      <c r="BR310" s="155" t="str">
        <f t="shared" si="264"/>
        <v/>
      </c>
      <c r="BS310" s="155" t="str">
        <f t="shared" si="265"/>
        <v/>
      </c>
      <c r="BT310" s="155" t="str">
        <f t="shared" si="266"/>
        <v/>
      </c>
      <c r="BU310" s="155" t="str">
        <f t="shared" si="267"/>
        <v/>
      </c>
      <c r="BV310" s="155" t="str">
        <f t="shared" si="268"/>
        <v/>
      </c>
      <c r="BW310" s="155" t="str">
        <f t="shared" si="269"/>
        <v/>
      </c>
      <c r="BX310" s="155" t="str">
        <f t="shared" si="270"/>
        <v/>
      </c>
      <c r="BY310" s="155" t="str">
        <f t="shared" si="271"/>
        <v/>
      </c>
      <c r="BZ310" s="155" t="str">
        <f t="shared" si="272"/>
        <v/>
      </c>
      <c r="CA310" s="155" t="str">
        <f t="shared" si="273"/>
        <v/>
      </c>
      <c r="CB310" s="155" t="str">
        <f t="shared" si="274"/>
        <v/>
      </c>
      <c r="CC310" s="155" t="str">
        <f t="shared" si="275"/>
        <v/>
      </c>
      <c r="CD310" s="155" t="str">
        <f t="shared" si="276"/>
        <v/>
      </c>
      <c r="CE310" s="155" t="str">
        <f t="shared" si="277"/>
        <v/>
      </c>
      <c r="CF310" s="155" t="str">
        <f t="shared" si="278"/>
        <v/>
      </c>
      <c r="CG310" s="155" t="str">
        <f t="shared" si="279"/>
        <v/>
      </c>
      <c r="CH310" s="155" t="str">
        <f t="shared" si="280"/>
        <v/>
      </c>
      <c r="CI310" s="155" t="str">
        <f t="shared" si="281"/>
        <v/>
      </c>
      <c r="CJ310" s="155" t="str">
        <f t="shared" si="282"/>
        <v/>
      </c>
      <c r="CK310" s="155" t="str">
        <f t="shared" si="283"/>
        <v/>
      </c>
      <c r="CL310" s="155" t="str">
        <f t="shared" si="284"/>
        <v/>
      </c>
      <c r="CM310" s="155" t="str">
        <f t="shared" si="285"/>
        <v/>
      </c>
      <c r="CN310" s="155" t="str">
        <f t="shared" si="286"/>
        <v/>
      </c>
      <c r="CO310" s="155" t="str">
        <f t="shared" si="287"/>
        <v/>
      </c>
      <c r="CP310" s="155" t="str">
        <f t="shared" si="288"/>
        <v/>
      </c>
      <c r="CQ310" s="155" t="str">
        <f t="shared" si="289"/>
        <v/>
      </c>
      <c r="CR310" s="155" t="str">
        <f t="shared" si="290"/>
        <v/>
      </c>
      <c r="CS310" s="155" t="str">
        <f t="shared" si="291"/>
        <v/>
      </c>
      <c r="CT310" s="155" t="str">
        <f t="shared" si="292"/>
        <v/>
      </c>
      <c r="CU310" s="155" t="str">
        <f t="shared" si="293"/>
        <v/>
      </c>
      <c r="CV310" s="155" t="str">
        <f t="shared" si="294"/>
        <v/>
      </c>
      <c r="CW310" s="155" t="str">
        <f t="shared" si="295"/>
        <v/>
      </c>
      <c r="CX310" s="155" t="str">
        <f t="shared" si="296"/>
        <v/>
      </c>
    </row>
    <row r="311" spans="1:102" s="151" customFormat="1" ht="14.25" outlineLevel="1" x14ac:dyDescent="0.2">
      <c r="A311" s="146"/>
      <c r="B311" s="157" t="str">
        <f>Services!B311</f>
        <v>12C04</v>
      </c>
      <c r="C311" s="153" t="str">
        <f>Services!C311</f>
        <v>Plans de Reprise d'Activité</v>
      </c>
      <c r="D311" s="149"/>
      <c r="E311" s="149"/>
      <c r="F311" s="149"/>
      <c r="G311" s="149"/>
      <c r="H311" s="149">
        <f>5*(8*Plans_action!E193+Plans_action!D193)</f>
        <v>0</v>
      </c>
      <c r="I311" s="140" t="str">
        <f t="shared" si="297"/>
        <v/>
      </c>
      <c r="J311" s="141" t="str">
        <f t="shared" si="214"/>
        <v/>
      </c>
      <c r="K311" s="142"/>
      <c r="L311" s="142"/>
      <c r="M311" s="1708"/>
      <c r="N311" s="1708"/>
      <c r="O311" s="1708"/>
      <c r="P311" s="1708"/>
      <c r="Q311" s="1708"/>
      <c r="R311" s="1708"/>
      <c r="S311" s="1708"/>
      <c r="T311" s="1708"/>
      <c r="U311" s="1708"/>
      <c r="V311" s="1708"/>
      <c r="W311" s="1708"/>
      <c r="X311" s="1712"/>
      <c r="Y311" s="1712"/>
      <c r="Z311" s="1712"/>
      <c r="AA311" s="1712"/>
      <c r="AB311" s="1712"/>
      <c r="AC311" s="1712"/>
      <c r="AD311" s="1712"/>
      <c r="AE311" s="1712"/>
      <c r="AF311" s="1712"/>
      <c r="AG311" s="1712"/>
      <c r="AH311" s="1712"/>
      <c r="AI311" s="1712"/>
      <c r="AJ311" s="1712"/>
      <c r="AK311" s="1712"/>
      <c r="AL311" s="1712"/>
      <c r="AM311" s="1712"/>
      <c r="AN311" s="1712"/>
      <c r="AO311" s="1712"/>
      <c r="AP311" s="1712"/>
      <c r="AQ311" s="1712"/>
      <c r="AR311" s="1712"/>
      <c r="AS311" s="1712"/>
      <c r="AT311" s="1712"/>
      <c r="AU311" s="1712"/>
      <c r="AV311" s="1712"/>
      <c r="AW311" s="1712"/>
      <c r="AX311" s="1713"/>
      <c r="AY311" s="1714" t="str">
        <f t="shared" si="215"/>
        <v/>
      </c>
      <c r="AZ311" s="1714" t="str">
        <f>IF(Obj_PA!D311="","",IF(AY311="","",Obj_PA!D311-AY311))</f>
        <v/>
      </c>
      <c r="BA311" s="150"/>
      <c r="BB311" s="150"/>
      <c r="BC311" s="150"/>
      <c r="BD311" s="150"/>
      <c r="BE311" s="150"/>
      <c r="BF311" s="150"/>
      <c r="BG311" s="150"/>
      <c r="BH311" s="150"/>
      <c r="BI311" s="150"/>
      <c r="BJ311" s="150"/>
      <c r="BK311" s="155" t="str">
        <f t="shared" si="257"/>
        <v/>
      </c>
      <c r="BL311" s="155" t="str">
        <f t="shared" si="258"/>
        <v/>
      </c>
      <c r="BM311" s="155" t="str">
        <f t="shared" si="259"/>
        <v/>
      </c>
      <c r="BN311" s="155" t="str">
        <f t="shared" si="260"/>
        <v/>
      </c>
      <c r="BO311" s="155" t="str">
        <f t="shared" si="261"/>
        <v/>
      </c>
      <c r="BP311" s="155" t="str">
        <f t="shared" si="262"/>
        <v/>
      </c>
      <c r="BQ311" s="155" t="str">
        <f t="shared" si="263"/>
        <v/>
      </c>
      <c r="BR311" s="155" t="str">
        <f t="shared" si="264"/>
        <v/>
      </c>
      <c r="BS311" s="155" t="str">
        <f t="shared" si="265"/>
        <v/>
      </c>
      <c r="BT311" s="155" t="str">
        <f t="shared" si="266"/>
        <v/>
      </c>
      <c r="BU311" s="155" t="str">
        <f t="shared" si="267"/>
        <v/>
      </c>
      <c r="BV311" s="155" t="str">
        <f t="shared" si="268"/>
        <v/>
      </c>
      <c r="BW311" s="155" t="str">
        <f t="shared" si="269"/>
        <v/>
      </c>
      <c r="BX311" s="155" t="str">
        <f t="shared" si="270"/>
        <v/>
      </c>
      <c r="BY311" s="155" t="str">
        <f t="shared" si="271"/>
        <v/>
      </c>
      <c r="BZ311" s="155" t="str">
        <f t="shared" si="272"/>
        <v/>
      </c>
      <c r="CA311" s="155" t="str">
        <f t="shared" si="273"/>
        <v/>
      </c>
      <c r="CB311" s="155" t="str">
        <f t="shared" si="274"/>
        <v/>
      </c>
      <c r="CC311" s="155" t="str">
        <f t="shared" si="275"/>
        <v/>
      </c>
      <c r="CD311" s="155" t="str">
        <f t="shared" si="276"/>
        <v/>
      </c>
      <c r="CE311" s="155" t="str">
        <f t="shared" si="277"/>
        <v/>
      </c>
      <c r="CF311" s="155" t="str">
        <f t="shared" si="278"/>
        <v/>
      </c>
      <c r="CG311" s="155" t="str">
        <f t="shared" si="279"/>
        <v/>
      </c>
      <c r="CH311" s="155" t="str">
        <f t="shared" si="280"/>
        <v/>
      </c>
      <c r="CI311" s="155" t="str">
        <f t="shared" si="281"/>
        <v/>
      </c>
      <c r="CJ311" s="155" t="str">
        <f t="shared" si="282"/>
        <v/>
      </c>
      <c r="CK311" s="155" t="str">
        <f t="shared" si="283"/>
        <v/>
      </c>
      <c r="CL311" s="155" t="str">
        <f t="shared" si="284"/>
        <v/>
      </c>
      <c r="CM311" s="155" t="str">
        <f t="shared" si="285"/>
        <v/>
      </c>
      <c r="CN311" s="155" t="str">
        <f t="shared" si="286"/>
        <v/>
      </c>
      <c r="CO311" s="155" t="str">
        <f t="shared" si="287"/>
        <v/>
      </c>
      <c r="CP311" s="155" t="str">
        <f t="shared" si="288"/>
        <v/>
      </c>
      <c r="CQ311" s="155" t="str">
        <f t="shared" si="289"/>
        <v/>
      </c>
      <c r="CR311" s="155" t="str">
        <f t="shared" si="290"/>
        <v/>
      </c>
      <c r="CS311" s="155" t="str">
        <f t="shared" si="291"/>
        <v/>
      </c>
      <c r="CT311" s="155" t="str">
        <f t="shared" si="292"/>
        <v/>
      </c>
      <c r="CU311" s="155" t="str">
        <f t="shared" si="293"/>
        <v/>
      </c>
      <c r="CV311" s="155" t="str">
        <f t="shared" si="294"/>
        <v/>
      </c>
      <c r="CW311" s="155" t="str">
        <f t="shared" si="295"/>
        <v/>
      </c>
      <c r="CX311" s="155" t="str">
        <f t="shared" si="296"/>
        <v/>
      </c>
    </row>
    <row r="312" spans="1:102" s="151" customFormat="1" ht="25.5" outlineLevel="1" x14ac:dyDescent="0.2">
      <c r="A312" s="146"/>
      <c r="B312" s="157" t="str">
        <f>Services!B312</f>
        <v>12C05</v>
      </c>
      <c r="C312" s="153" t="str">
        <f>Services!C312</f>
        <v>Gestion des systèmes critiques (vis-à-vis de la permanence de la maintenance)</v>
      </c>
      <c r="D312" s="149"/>
      <c r="E312" s="149"/>
      <c r="F312" s="149"/>
      <c r="G312" s="149"/>
      <c r="H312" s="149">
        <f>5*(8*Plans_action!E193+Plans_action!D193)</f>
        <v>0</v>
      </c>
      <c r="I312" s="140" t="str">
        <f t="shared" si="297"/>
        <v/>
      </c>
      <c r="J312" s="141" t="str">
        <f t="shared" si="214"/>
        <v/>
      </c>
      <c r="K312" s="142"/>
      <c r="L312" s="142"/>
      <c r="M312" s="1708"/>
      <c r="N312" s="1708"/>
      <c r="O312" s="1708"/>
      <c r="P312" s="1708"/>
      <c r="Q312" s="1708"/>
      <c r="R312" s="1708"/>
      <c r="S312" s="1708"/>
      <c r="T312" s="1708"/>
      <c r="U312" s="1708"/>
      <c r="V312" s="1708"/>
      <c r="W312" s="1708"/>
      <c r="X312" s="1712"/>
      <c r="Y312" s="1712"/>
      <c r="Z312" s="1712"/>
      <c r="AA312" s="1712"/>
      <c r="AB312" s="1712"/>
      <c r="AC312" s="1712"/>
      <c r="AD312" s="1712"/>
      <c r="AE312" s="1712"/>
      <c r="AF312" s="1712"/>
      <c r="AG312" s="1712"/>
      <c r="AH312" s="1712"/>
      <c r="AI312" s="1712"/>
      <c r="AJ312" s="1712"/>
      <c r="AK312" s="1712"/>
      <c r="AL312" s="1712"/>
      <c r="AM312" s="1712"/>
      <c r="AN312" s="1712"/>
      <c r="AO312" s="1712"/>
      <c r="AP312" s="1712"/>
      <c r="AQ312" s="1712"/>
      <c r="AR312" s="1712"/>
      <c r="AS312" s="1712"/>
      <c r="AT312" s="1712"/>
      <c r="AU312" s="1712"/>
      <c r="AV312" s="1712"/>
      <c r="AW312" s="1712"/>
      <c r="AX312" s="1713"/>
      <c r="AY312" s="1714" t="str">
        <f t="shared" si="215"/>
        <v/>
      </c>
      <c r="AZ312" s="1714" t="str">
        <f>IF(Obj_PA!D312="","",IF(AY312="","",Obj_PA!D312-AY312))</f>
        <v/>
      </c>
      <c r="BA312" s="150"/>
      <c r="BB312" s="150"/>
      <c r="BC312" s="150"/>
      <c r="BD312" s="150"/>
      <c r="BE312" s="150"/>
      <c r="BF312" s="150"/>
      <c r="BG312" s="150"/>
      <c r="BH312" s="150"/>
      <c r="BI312" s="150"/>
      <c r="BJ312" s="150"/>
      <c r="BK312" s="155" t="str">
        <f t="shared" si="257"/>
        <v/>
      </c>
      <c r="BL312" s="155" t="str">
        <f t="shared" si="258"/>
        <v/>
      </c>
      <c r="BM312" s="155" t="str">
        <f t="shared" si="259"/>
        <v/>
      </c>
      <c r="BN312" s="155" t="str">
        <f t="shared" si="260"/>
        <v/>
      </c>
      <c r="BO312" s="155" t="str">
        <f t="shared" si="261"/>
        <v/>
      </c>
      <c r="BP312" s="155" t="str">
        <f t="shared" si="262"/>
        <v/>
      </c>
      <c r="BQ312" s="155" t="str">
        <f t="shared" si="263"/>
        <v/>
      </c>
      <c r="BR312" s="155" t="str">
        <f t="shared" si="264"/>
        <v/>
      </c>
      <c r="BS312" s="155" t="str">
        <f t="shared" si="265"/>
        <v/>
      </c>
      <c r="BT312" s="155" t="str">
        <f t="shared" si="266"/>
        <v/>
      </c>
      <c r="BU312" s="155" t="str">
        <f t="shared" si="267"/>
        <v/>
      </c>
      <c r="BV312" s="155" t="str">
        <f t="shared" si="268"/>
        <v/>
      </c>
      <c r="BW312" s="155" t="str">
        <f t="shared" si="269"/>
        <v/>
      </c>
      <c r="BX312" s="155" t="str">
        <f t="shared" si="270"/>
        <v/>
      </c>
      <c r="BY312" s="155" t="str">
        <f t="shared" si="271"/>
        <v/>
      </c>
      <c r="BZ312" s="155" t="str">
        <f t="shared" si="272"/>
        <v/>
      </c>
      <c r="CA312" s="155" t="str">
        <f t="shared" si="273"/>
        <v/>
      </c>
      <c r="CB312" s="155" t="str">
        <f t="shared" si="274"/>
        <v/>
      </c>
      <c r="CC312" s="155" t="str">
        <f t="shared" si="275"/>
        <v/>
      </c>
      <c r="CD312" s="155" t="str">
        <f t="shared" si="276"/>
        <v/>
      </c>
      <c r="CE312" s="155" t="str">
        <f t="shared" si="277"/>
        <v/>
      </c>
      <c r="CF312" s="155" t="str">
        <f t="shared" si="278"/>
        <v/>
      </c>
      <c r="CG312" s="155" t="str">
        <f t="shared" si="279"/>
        <v/>
      </c>
      <c r="CH312" s="155" t="str">
        <f t="shared" si="280"/>
        <v/>
      </c>
      <c r="CI312" s="155" t="str">
        <f t="shared" si="281"/>
        <v/>
      </c>
      <c r="CJ312" s="155" t="str">
        <f t="shared" si="282"/>
        <v/>
      </c>
      <c r="CK312" s="155" t="str">
        <f t="shared" si="283"/>
        <v/>
      </c>
      <c r="CL312" s="155" t="str">
        <f t="shared" si="284"/>
        <v/>
      </c>
      <c r="CM312" s="155" t="str">
        <f t="shared" si="285"/>
        <v/>
      </c>
      <c r="CN312" s="155" t="str">
        <f t="shared" si="286"/>
        <v/>
      </c>
      <c r="CO312" s="155" t="str">
        <f t="shared" si="287"/>
        <v/>
      </c>
      <c r="CP312" s="155" t="str">
        <f t="shared" si="288"/>
        <v/>
      </c>
      <c r="CQ312" s="155" t="str">
        <f t="shared" si="289"/>
        <v/>
      </c>
      <c r="CR312" s="155" t="str">
        <f t="shared" si="290"/>
        <v/>
      </c>
      <c r="CS312" s="155" t="str">
        <f t="shared" si="291"/>
        <v/>
      </c>
      <c r="CT312" s="155" t="str">
        <f t="shared" si="292"/>
        <v/>
      </c>
      <c r="CU312" s="155" t="str">
        <f t="shared" si="293"/>
        <v/>
      </c>
      <c r="CV312" s="155" t="str">
        <f t="shared" si="294"/>
        <v/>
      </c>
      <c r="CW312" s="155" t="str">
        <f t="shared" si="295"/>
        <v/>
      </c>
      <c r="CX312" s="155" t="str">
        <f t="shared" si="296"/>
        <v/>
      </c>
    </row>
    <row r="313" spans="1:102" s="151" customFormat="1" ht="14.25" outlineLevel="1" x14ac:dyDescent="0.2">
      <c r="A313" s="156"/>
      <c r="B313" s="147" t="str">
        <f>Services!B313</f>
        <v>12D</v>
      </c>
      <c r="C313" s="148" t="str">
        <f>Services!C313</f>
        <v>Utilisation des équipements terminaux</v>
      </c>
      <c r="D313" s="149"/>
      <c r="E313" s="149"/>
      <c r="F313" s="149"/>
      <c r="G313" s="149"/>
      <c r="H313" s="149"/>
      <c r="I313" s="140" t="str">
        <f t="shared" si="297"/>
        <v/>
      </c>
      <c r="J313" s="141" t="str">
        <f t="shared" si="214"/>
        <v/>
      </c>
      <c r="K313" s="142"/>
      <c r="L313" s="142"/>
      <c r="M313" s="1708"/>
      <c r="N313" s="1708"/>
      <c r="O313" s="1708"/>
      <c r="P313" s="1708"/>
      <c r="Q313" s="1708"/>
      <c r="R313" s="1708"/>
      <c r="S313" s="1708"/>
      <c r="T313" s="1708"/>
      <c r="U313" s="1708"/>
      <c r="V313" s="1708"/>
      <c r="W313" s="1708"/>
      <c r="X313" s="1712"/>
      <c r="Y313" s="1712"/>
      <c r="Z313" s="1712"/>
      <c r="AA313" s="1712"/>
      <c r="AB313" s="1712"/>
      <c r="AC313" s="1712"/>
      <c r="AD313" s="1712"/>
      <c r="AE313" s="1712"/>
      <c r="AF313" s="1712"/>
      <c r="AG313" s="1712"/>
      <c r="AH313" s="1712"/>
      <c r="AI313" s="1712"/>
      <c r="AJ313" s="1712"/>
      <c r="AK313" s="1712"/>
      <c r="AL313" s="1712"/>
      <c r="AM313" s="1712"/>
      <c r="AN313" s="1712"/>
      <c r="AO313" s="1712"/>
      <c r="AP313" s="1712"/>
      <c r="AQ313" s="1712"/>
      <c r="AR313" s="1712"/>
      <c r="AS313" s="1712"/>
      <c r="AT313" s="1712"/>
      <c r="AU313" s="1712"/>
      <c r="AV313" s="1712"/>
      <c r="AW313" s="1712"/>
      <c r="AX313" s="1713"/>
      <c r="AY313" s="1714" t="str">
        <f t="shared" si="215"/>
        <v/>
      </c>
      <c r="AZ313" s="1714" t="str">
        <f>IF(Obj_PA!D313="","",IF(AY313="","",Obj_PA!D313-AY313))</f>
        <v/>
      </c>
      <c r="BA313" s="150"/>
      <c r="BB313" s="150"/>
      <c r="BC313" s="150"/>
      <c r="BD313" s="150"/>
      <c r="BE313" s="150"/>
      <c r="BF313" s="150"/>
      <c r="BG313" s="150"/>
      <c r="BH313" s="150"/>
      <c r="BI313" s="150"/>
      <c r="BJ313" s="150"/>
      <c r="BK313" s="155" t="str">
        <f t="shared" si="257"/>
        <v/>
      </c>
      <c r="BL313" s="155" t="str">
        <f t="shared" si="258"/>
        <v/>
      </c>
      <c r="BM313" s="155" t="str">
        <f t="shared" si="259"/>
        <v/>
      </c>
      <c r="BN313" s="155" t="str">
        <f t="shared" si="260"/>
        <v/>
      </c>
      <c r="BO313" s="155" t="str">
        <f t="shared" si="261"/>
        <v/>
      </c>
      <c r="BP313" s="155" t="str">
        <f t="shared" si="262"/>
        <v/>
      </c>
      <c r="BQ313" s="155" t="str">
        <f t="shared" si="263"/>
        <v/>
      </c>
      <c r="BR313" s="155" t="str">
        <f t="shared" si="264"/>
        <v/>
      </c>
      <c r="BS313" s="155" t="str">
        <f t="shared" si="265"/>
        <v/>
      </c>
      <c r="BT313" s="155" t="str">
        <f t="shared" si="266"/>
        <v/>
      </c>
      <c r="BU313" s="155" t="str">
        <f t="shared" si="267"/>
        <v/>
      </c>
      <c r="BV313" s="155" t="str">
        <f t="shared" si="268"/>
        <v/>
      </c>
      <c r="BW313" s="155" t="str">
        <f t="shared" si="269"/>
        <v/>
      </c>
      <c r="BX313" s="155" t="str">
        <f t="shared" si="270"/>
        <v/>
      </c>
      <c r="BY313" s="155" t="str">
        <f t="shared" si="271"/>
        <v/>
      </c>
      <c r="BZ313" s="155" t="str">
        <f t="shared" si="272"/>
        <v/>
      </c>
      <c r="CA313" s="155" t="str">
        <f t="shared" si="273"/>
        <v/>
      </c>
      <c r="CB313" s="155" t="str">
        <f t="shared" si="274"/>
        <v/>
      </c>
      <c r="CC313" s="155" t="str">
        <f t="shared" si="275"/>
        <v/>
      </c>
      <c r="CD313" s="155" t="str">
        <f t="shared" si="276"/>
        <v/>
      </c>
      <c r="CE313" s="155" t="str">
        <f t="shared" si="277"/>
        <v/>
      </c>
      <c r="CF313" s="155" t="str">
        <f t="shared" si="278"/>
        <v/>
      </c>
      <c r="CG313" s="155" t="str">
        <f t="shared" si="279"/>
        <v/>
      </c>
      <c r="CH313" s="155" t="str">
        <f t="shared" si="280"/>
        <v/>
      </c>
      <c r="CI313" s="155" t="str">
        <f t="shared" si="281"/>
        <v/>
      </c>
      <c r="CJ313" s="155" t="str">
        <f t="shared" si="282"/>
        <v/>
      </c>
      <c r="CK313" s="155" t="str">
        <f t="shared" si="283"/>
        <v/>
      </c>
      <c r="CL313" s="155" t="str">
        <f t="shared" si="284"/>
        <v/>
      </c>
      <c r="CM313" s="155" t="str">
        <f t="shared" si="285"/>
        <v/>
      </c>
      <c r="CN313" s="155" t="str">
        <f t="shared" si="286"/>
        <v/>
      </c>
      <c r="CO313" s="155" t="str">
        <f t="shared" si="287"/>
        <v/>
      </c>
      <c r="CP313" s="155" t="str">
        <f t="shared" si="288"/>
        <v/>
      </c>
      <c r="CQ313" s="155" t="str">
        <f t="shared" si="289"/>
        <v/>
      </c>
      <c r="CR313" s="155" t="str">
        <f t="shared" si="290"/>
        <v/>
      </c>
      <c r="CS313" s="155" t="str">
        <f t="shared" si="291"/>
        <v/>
      </c>
      <c r="CT313" s="155" t="str">
        <f t="shared" si="292"/>
        <v/>
      </c>
      <c r="CU313" s="155" t="str">
        <f t="shared" si="293"/>
        <v/>
      </c>
      <c r="CV313" s="155" t="str">
        <f t="shared" si="294"/>
        <v/>
      </c>
      <c r="CW313" s="155" t="str">
        <f t="shared" si="295"/>
        <v/>
      </c>
      <c r="CX313" s="155" t="str">
        <f t="shared" si="296"/>
        <v/>
      </c>
    </row>
    <row r="314" spans="1:102" s="151" customFormat="1" ht="14.25" outlineLevel="1" x14ac:dyDescent="0.2">
      <c r="A314" s="156"/>
      <c r="B314" s="157" t="str">
        <f>Services!B314</f>
        <v>12D01</v>
      </c>
      <c r="C314" s="153" t="str">
        <f>Services!C314</f>
        <v xml:space="preserve">Contrôle des configurations utilisateurs mises en œuvre </v>
      </c>
      <c r="D314" s="149"/>
      <c r="E314" s="149"/>
      <c r="F314" s="149"/>
      <c r="G314" s="149"/>
      <c r="H314" s="149"/>
      <c r="I314" s="140" t="str">
        <f t="shared" si="297"/>
        <v/>
      </c>
      <c r="J314" s="141" t="str">
        <f t="shared" si="214"/>
        <v/>
      </c>
      <c r="K314" s="142"/>
      <c r="L314" s="142"/>
      <c r="M314" s="1708"/>
      <c r="N314" s="1708"/>
      <c r="O314" s="1708"/>
      <c r="P314" s="1708"/>
      <c r="Q314" s="1708"/>
      <c r="R314" s="1708"/>
      <c r="S314" s="1708"/>
      <c r="T314" s="1708"/>
      <c r="U314" s="1708"/>
      <c r="V314" s="1708"/>
      <c r="W314" s="1708"/>
      <c r="X314" s="1712"/>
      <c r="Y314" s="1712"/>
      <c r="Z314" s="1712"/>
      <c r="AA314" s="1712"/>
      <c r="AB314" s="1712"/>
      <c r="AC314" s="1712"/>
      <c r="AD314" s="1712"/>
      <c r="AE314" s="1712"/>
      <c r="AF314" s="1712"/>
      <c r="AG314" s="1712"/>
      <c r="AH314" s="1712"/>
      <c r="AI314" s="1712"/>
      <c r="AJ314" s="1712"/>
      <c r="AK314" s="1712"/>
      <c r="AL314" s="1712"/>
      <c r="AM314" s="1712"/>
      <c r="AN314" s="1712"/>
      <c r="AO314" s="1712"/>
      <c r="AP314" s="1712"/>
      <c r="AQ314" s="1712"/>
      <c r="AR314" s="1712"/>
      <c r="AS314" s="1712"/>
      <c r="AT314" s="1712"/>
      <c r="AU314" s="1712"/>
      <c r="AV314" s="1712"/>
      <c r="AW314" s="1712"/>
      <c r="AX314" s="1713"/>
      <c r="AY314" s="1714" t="str">
        <f t="shared" si="215"/>
        <v/>
      </c>
      <c r="AZ314" s="1714" t="str">
        <f>IF(Obj_PA!D314="","",IF(AY314="","",Obj_PA!D314-AY314))</f>
        <v/>
      </c>
      <c r="BA314" s="150"/>
      <c r="BB314" s="150"/>
      <c r="BC314" s="150"/>
      <c r="BD314" s="150"/>
      <c r="BE314" s="150"/>
      <c r="BF314" s="150"/>
      <c r="BG314" s="150"/>
      <c r="BH314" s="150"/>
      <c r="BI314" s="150"/>
      <c r="BJ314" s="150"/>
      <c r="BK314" s="155" t="str">
        <f t="shared" si="257"/>
        <v/>
      </c>
      <c r="BL314" s="155" t="str">
        <f t="shared" si="258"/>
        <v/>
      </c>
      <c r="BM314" s="155" t="str">
        <f t="shared" si="259"/>
        <v/>
      </c>
      <c r="BN314" s="155" t="str">
        <f t="shared" si="260"/>
        <v/>
      </c>
      <c r="BO314" s="155" t="str">
        <f t="shared" si="261"/>
        <v/>
      </c>
      <c r="BP314" s="155" t="str">
        <f t="shared" si="262"/>
        <v/>
      </c>
      <c r="BQ314" s="155" t="str">
        <f t="shared" si="263"/>
        <v/>
      </c>
      <c r="BR314" s="155" t="str">
        <f t="shared" si="264"/>
        <v/>
      </c>
      <c r="BS314" s="155" t="str">
        <f t="shared" si="265"/>
        <v/>
      </c>
      <c r="BT314" s="155" t="str">
        <f t="shared" si="266"/>
        <v/>
      </c>
      <c r="BU314" s="155" t="str">
        <f t="shared" si="267"/>
        <v/>
      </c>
      <c r="BV314" s="155" t="str">
        <f t="shared" si="268"/>
        <v/>
      </c>
      <c r="BW314" s="155" t="str">
        <f t="shared" si="269"/>
        <v/>
      </c>
      <c r="BX314" s="155" t="str">
        <f t="shared" si="270"/>
        <v/>
      </c>
      <c r="BY314" s="155" t="str">
        <f t="shared" si="271"/>
        <v/>
      </c>
      <c r="BZ314" s="155" t="str">
        <f t="shared" si="272"/>
        <v/>
      </c>
      <c r="CA314" s="155" t="str">
        <f t="shared" si="273"/>
        <v/>
      </c>
      <c r="CB314" s="155" t="str">
        <f t="shared" si="274"/>
        <v/>
      </c>
      <c r="CC314" s="155" t="str">
        <f t="shared" si="275"/>
        <v/>
      </c>
      <c r="CD314" s="155" t="str">
        <f t="shared" si="276"/>
        <v/>
      </c>
      <c r="CE314" s="155" t="str">
        <f t="shared" si="277"/>
        <v/>
      </c>
      <c r="CF314" s="155" t="str">
        <f t="shared" si="278"/>
        <v/>
      </c>
      <c r="CG314" s="155" t="str">
        <f t="shared" si="279"/>
        <v/>
      </c>
      <c r="CH314" s="155" t="str">
        <f t="shared" si="280"/>
        <v/>
      </c>
      <c r="CI314" s="155" t="str">
        <f t="shared" si="281"/>
        <v/>
      </c>
      <c r="CJ314" s="155" t="str">
        <f t="shared" si="282"/>
        <v/>
      </c>
      <c r="CK314" s="155" t="str">
        <f t="shared" si="283"/>
        <v/>
      </c>
      <c r="CL314" s="155" t="str">
        <f t="shared" si="284"/>
        <v/>
      </c>
      <c r="CM314" s="155" t="str">
        <f t="shared" si="285"/>
        <v/>
      </c>
      <c r="CN314" s="155" t="str">
        <f t="shared" si="286"/>
        <v/>
      </c>
      <c r="CO314" s="155" t="str">
        <f t="shared" si="287"/>
        <v/>
      </c>
      <c r="CP314" s="155" t="str">
        <f t="shared" si="288"/>
        <v/>
      </c>
      <c r="CQ314" s="155" t="str">
        <f t="shared" si="289"/>
        <v/>
      </c>
      <c r="CR314" s="155" t="str">
        <f t="shared" si="290"/>
        <v/>
      </c>
      <c r="CS314" s="155" t="str">
        <f t="shared" si="291"/>
        <v/>
      </c>
      <c r="CT314" s="155" t="str">
        <f t="shared" si="292"/>
        <v/>
      </c>
      <c r="CU314" s="155" t="str">
        <f t="shared" si="293"/>
        <v/>
      </c>
      <c r="CV314" s="155" t="str">
        <f t="shared" si="294"/>
        <v/>
      </c>
      <c r="CW314" s="155" t="str">
        <f t="shared" si="295"/>
        <v/>
      </c>
      <c r="CX314" s="155" t="str">
        <f t="shared" si="296"/>
        <v/>
      </c>
    </row>
    <row r="315" spans="1:102" s="151" customFormat="1" ht="14.25" outlineLevel="1" x14ac:dyDescent="0.2">
      <c r="A315" s="156"/>
      <c r="B315" s="157" t="str">
        <f>Services!B315</f>
        <v>12D02</v>
      </c>
      <c r="C315" s="153" t="str">
        <f>Services!C315</f>
        <v>Formation et sensibilisation des utilisateurs</v>
      </c>
      <c r="D315" s="149"/>
      <c r="E315" s="149"/>
      <c r="F315" s="149"/>
      <c r="G315" s="149"/>
      <c r="H315" s="149"/>
      <c r="I315" s="140" t="str">
        <f t="shared" si="297"/>
        <v/>
      </c>
      <c r="J315" s="141" t="str">
        <f t="shared" si="214"/>
        <v/>
      </c>
      <c r="K315" s="142"/>
      <c r="L315" s="142"/>
      <c r="M315" s="1708"/>
      <c r="N315" s="1708"/>
      <c r="O315" s="1708"/>
      <c r="P315" s="1708"/>
      <c r="Q315" s="1708"/>
      <c r="R315" s="1708"/>
      <c r="S315" s="1708"/>
      <c r="T315" s="1708"/>
      <c r="U315" s="1708"/>
      <c r="V315" s="1708"/>
      <c r="W315" s="1708"/>
      <c r="X315" s="1712"/>
      <c r="Y315" s="1712"/>
      <c r="Z315" s="1712"/>
      <c r="AA315" s="1712"/>
      <c r="AB315" s="1712"/>
      <c r="AC315" s="1712"/>
      <c r="AD315" s="1712"/>
      <c r="AE315" s="1712"/>
      <c r="AF315" s="1712"/>
      <c r="AG315" s="1712"/>
      <c r="AH315" s="1712"/>
      <c r="AI315" s="1712"/>
      <c r="AJ315" s="1712"/>
      <c r="AK315" s="1712"/>
      <c r="AL315" s="1712"/>
      <c r="AM315" s="1712"/>
      <c r="AN315" s="1712"/>
      <c r="AO315" s="1712"/>
      <c r="AP315" s="1712"/>
      <c r="AQ315" s="1712"/>
      <c r="AR315" s="1712"/>
      <c r="AS315" s="1712"/>
      <c r="AT315" s="1712"/>
      <c r="AU315" s="1712"/>
      <c r="AV315" s="1712"/>
      <c r="AW315" s="1712"/>
      <c r="AX315" s="1713"/>
      <c r="AY315" s="1714" t="str">
        <f t="shared" si="215"/>
        <v/>
      </c>
      <c r="AZ315" s="1714" t="str">
        <f>IF(Obj_PA!D315="","",IF(AY315="","",Obj_PA!D315-AY315))</f>
        <v/>
      </c>
      <c r="BA315" s="150"/>
      <c r="BB315" s="150"/>
      <c r="BC315" s="150"/>
      <c r="BD315" s="150"/>
      <c r="BE315" s="150"/>
      <c r="BF315" s="150"/>
      <c r="BG315" s="150"/>
      <c r="BH315" s="150"/>
      <c r="BI315" s="150"/>
      <c r="BJ315" s="150"/>
      <c r="BK315" s="155" t="str">
        <f t="shared" si="257"/>
        <v/>
      </c>
      <c r="BL315" s="155" t="str">
        <f t="shared" si="258"/>
        <v/>
      </c>
      <c r="BM315" s="155" t="str">
        <f t="shared" si="259"/>
        <v/>
      </c>
      <c r="BN315" s="155" t="str">
        <f t="shared" si="260"/>
        <v/>
      </c>
      <c r="BO315" s="155" t="str">
        <f t="shared" si="261"/>
        <v/>
      </c>
      <c r="BP315" s="155" t="str">
        <f t="shared" si="262"/>
        <v/>
      </c>
      <c r="BQ315" s="155" t="str">
        <f t="shared" si="263"/>
        <v/>
      </c>
      <c r="BR315" s="155" t="str">
        <f t="shared" si="264"/>
        <v/>
      </c>
      <c r="BS315" s="155" t="str">
        <f t="shared" si="265"/>
        <v/>
      </c>
      <c r="BT315" s="155" t="str">
        <f t="shared" si="266"/>
        <v/>
      </c>
      <c r="BU315" s="155" t="str">
        <f t="shared" si="267"/>
        <v/>
      </c>
      <c r="BV315" s="155" t="str">
        <f t="shared" si="268"/>
        <v/>
      </c>
      <c r="BW315" s="155" t="str">
        <f t="shared" si="269"/>
        <v/>
      </c>
      <c r="BX315" s="155" t="str">
        <f t="shared" si="270"/>
        <v/>
      </c>
      <c r="BY315" s="155" t="str">
        <f t="shared" si="271"/>
        <v/>
      </c>
      <c r="BZ315" s="155" t="str">
        <f t="shared" si="272"/>
        <v/>
      </c>
      <c r="CA315" s="155" t="str">
        <f t="shared" si="273"/>
        <v/>
      </c>
      <c r="CB315" s="155" t="str">
        <f t="shared" si="274"/>
        <v/>
      </c>
      <c r="CC315" s="155" t="str">
        <f t="shared" si="275"/>
        <v/>
      </c>
      <c r="CD315" s="155" t="str">
        <f t="shared" si="276"/>
        <v/>
      </c>
      <c r="CE315" s="155" t="str">
        <f t="shared" si="277"/>
        <v/>
      </c>
      <c r="CF315" s="155" t="str">
        <f t="shared" si="278"/>
        <v/>
      </c>
      <c r="CG315" s="155" t="str">
        <f t="shared" si="279"/>
        <v/>
      </c>
      <c r="CH315" s="155" t="str">
        <f t="shared" si="280"/>
        <v/>
      </c>
      <c r="CI315" s="155" t="str">
        <f t="shared" si="281"/>
        <v/>
      </c>
      <c r="CJ315" s="155" t="str">
        <f t="shared" si="282"/>
        <v/>
      </c>
      <c r="CK315" s="155" t="str">
        <f t="shared" si="283"/>
        <v/>
      </c>
      <c r="CL315" s="155" t="str">
        <f t="shared" si="284"/>
        <v/>
      </c>
      <c r="CM315" s="155" t="str">
        <f t="shared" si="285"/>
        <v/>
      </c>
      <c r="CN315" s="155" t="str">
        <f t="shared" si="286"/>
        <v/>
      </c>
      <c r="CO315" s="155" t="str">
        <f t="shared" si="287"/>
        <v/>
      </c>
      <c r="CP315" s="155" t="str">
        <f t="shared" si="288"/>
        <v/>
      </c>
      <c r="CQ315" s="155" t="str">
        <f t="shared" si="289"/>
        <v/>
      </c>
      <c r="CR315" s="155" t="str">
        <f t="shared" si="290"/>
        <v/>
      </c>
      <c r="CS315" s="155" t="str">
        <f t="shared" si="291"/>
        <v/>
      </c>
      <c r="CT315" s="155" t="str">
        <f t="shared" si="292"/>
        <v/>
      </c>
      <c r="CU315" s="155" t="str">
        <f t="shared" si="293"/>
        <v/>
      </c>
      <c r="CV315" s="155" t="str">
        <f t="shared" si="294"/>
        <v/>
      </c>
      <c r="CW315" s="155" t="str">
        <f t="shared" si="295"/>
        <v/>
      </c>
      <c r="CX315" s="155" t="str">
        <f t="shared" si="296"/>
        <v/>
      </c>
    </row>
    <row r="316" spans="1:102" s="151" customFormat="1" ht="14.25" outlineLevel="1" x14ac:dyDescent="0.2">
      <c r="A316" s="156"/>
      <c r="B316" s="157" t="str">
        <f>Services!B316</f>
        <v>12D03</v>
      </c>
      <c r="C316" s="153" t="str">
        <f>Services!C316</f>
        <v>Utilisation de terminaux chiffrants</v>
      </c>
      <c r="D316" s="149"/>
      <c r="E316" s="149"/>
      <c r="F316" s="149"/>
      <c r="G316" s="149"/>
      <c r="H316" s="149"/>
      <c r="I316" s="140" t="str">
        <f t="shared" si="297"/>
        <v/>
      </c>
      <c r="J316" s="141" t="str">
        <f t="shared" si="214"/>
        <v/>
      </c>
      <c r="K316" s="142"/>
      <c r="L316" s="142"/>
      <c r="M316" s="1708"/>
      <c r="N316" s="1708"/>
      <c r="O316" s="1708"/>
      <c r="P316" s="1708"/>
      <c r="Q316" s="1708"/>
      <c r="R316" s="1708"/>
      <c r="S316" s="1708"/>
      <c r="T316" s="1708"/>
      <c r="U316" s="1708"/>
      <c r="V316" s="1708"/>
      <c r="W316" s="1708"/>
      <c r="X316" s="1712"/>
      <c r="Y316" s="1712"/>
      <c r="Z316" s="1712"/>
      <c r="AA316" s="1712"/>
      <c r="AB316" s="1712"/>
      <c r="AC316" s="1712"/>
      <c r="AD316" s="1712"/>
      <c r="AE316" s="1712"/>
      <c r="AF316" s="1712"/>
      <c r="AG316" s="1712"/>
      <c r="AH316" s="1712"/>
      <c r="AI316" s="1712"/>
      <c r="AJ316" s="1712"/>
      <c r="AK316" s="1712"/>
      <c r="AL316" s="1712"/>
      <c r="AM316" s="1712"/>
      <c r="AN316" s="1712"/>
      <c r="AO316" s="1712"/>
      <c r="AP316" s="1712"/>
      <c r="AQ316" s="1712"/>
      <c r="AR316" s="1712"/>
      <c r="AS316" s="1712"/>
      <c r="AT316" s="1712"/>
      <c r="AU316" s="1712"/>
      <c r="AV316" s="1712"/>
      <c r="AW316" s="1712"/>
      <c r="AX316" s="1713"/>
      <c r="AY316" s="1714" t="str">
        <f t="shared" si="215"/>
        <v/>
      </c>
      <c r="AZ316" s="1714" t="str">
        <f>IF(Obj_PA!D316="","",IF(AY316="","",Obj_PA!D316-AY316))</f>
        <v/>
      </c>
      <c r="BA316" s="150"/>
      <c r="BB316" s="150"/>
      <c r="BC316" s="150"/>
      <c r="BD316" s="150"/>
      <c r="BE316" s="150"/>
      <c r="BF316" s="150"/>
      <c r="BG316" s="150"/>
      <c r="BH316" s="150"/>
      <c r="BI316" s="150"/>
      <c r="BJ316" s="150"/>
      <c r="BK316" s="155" t="str">
        <f t="shared" si="257"/>
        <v/>
      </c>
      <c r="BL316" s="155" t="str">
        <f t="shared" si="258"/>
        <v/>
      </c>
      <c r="BM316" s="155" t="str">
        <f t="shared" si="259"/>
        <v/>
      </c>
      <c r="BN316" s="155" t="str">
        <f t="shared" si="260"/>
        <v/>
      </c>
      <c r="BO316" s="155" t="str">
        <f t="shared" si="261"/>
        <v/>
      </c>
      <c r="BP316" s="155" t="str">
        <f t="shared" si="262"/>
        <v/>
      </c>
      <c r="BQ316" s="155" t="str">
        <f t="shared" si="263"/>
        <v/>
      </c>
      <c r="BR316" s="155" t="str">
        <f t="shared" si="264"/>
        <v/>
      </c>
      <c r="BS316" s="155" t="str">
        <f t="shared" si="265"/>
        <v/>
      </c>
      <c r="BT316" s="155" t="str">
        <f t="shared" si="266"/>
        <v/>
      </c>
      <c r="BU316" s="155" t="str">
        <f t="shared" si="267"/>
        <v/>
      </c>
      <c r="BV316" s="155" t="str">
        <f t="shared" si="268"/>
        <v/>
      </c>
      <c r="BW316" s="155" t="str">
        <f t="shared" si="269"/>
        <v/>
      </c>
      <c r="BX316" s="155" t="str">
        <f t="shared" si="270"/>
        <v/>
      </c>
      <c r="BY316" s="155" t="str">
        <f t="shared" si="271"/>
        <v/>
      </c>
      <c r="BZ316" s="155" t="str">
        <f t="shared" si="272"/>
        <v/>
      </c>
      <c r="CA316" s="155" t="str">
        <f t="shared" si="273"/>
        <v/>
      </c>
      <c r="CB316" s="155" t="str">
        <f t="shared" si="274"/>
        <v/>
      </c>
      <c r="CC316" s="155" t="str">
        <f t="shared" si="275"/>
        <v/>
      </c>
      <c r="CD316" s="155" t="str">
        <f t="shared" si="276"/>
        <v/>
      </c>
      <c r="CE316" s="155" t="str">
        <f t="shared" si="277"/>
        <v/>
      </c>
      <c r="CF316" s="155" t="str">
        <f t="shared" si="278"/>
        <v/>
      </c>
      <c r="CG316" s="155" t="str">
        <f t="shared" si="279"/>
        <v/>
      </c>
      <c r="CH316" s="155" t="str">
        <f t="shared" si="280"/>
        <v/>
      </c>
      <c r="CI316" s="155" t="str">
        <f t="shared" si="281"/>
        <v/>
      </c>
      <c r="CJ316" s="155" t="str">
        <f t="shared" si="282"/>
        <v/>
      </c>
      <c r="CK316" s="155" t="str">
        <f t="shared" si="283"/>
        <v/>
      </c>
      <c r="CL316" s="155" t="str">
        <f t="shared" si="284"/>
        <v/>
      </c>
      <c r="CM316" s="155" t="str">
        <f t="shared" si="285"/>
        <v/>
      </c>
      <c r="CN316" s="155" t="str">
        <f t="shared" si="286"/>
        <v/>
      </c>
      <c r="CO316" s="155" t="str">
        <f t="shared" si="287"/>
        <v/>
      </c>
      <c r="CP316" s="155" t="str">
        <f t="shared" si="288"/>
        <v/>
      </c>
      <c r="CQ316" s="155" t="str">
        <f t="shared" si="289"/>
        <v/>
      </c>
      <c r="CR316" s="155" t="str">
        <f t="shared" si="290"/>
        <v/>
      </c>
      <c r="CS316" s="155" t="str">
        <f t="shared" si="291"/>
        <v/>
      </c>
      <c r="CT316" s="155" t="str">
        <f t="shared" si="292"/>
        <v/>
      </c>
      <c r="CU316" s="155" t="str">
        <f t="shared" si="293"/>
        <v/>
      </c>
      <c r="CV316" s="155" t="str">
        <f t="shared" si="294"/>
        <v/>
      </c>
      <c r="CW316" s="155" t="str">
        <f t="shared" si="295"/>
        <v/>
      </c>
      <c r="CX316" s="155" t="str">
        <f t="shared" si="296"/>
        <v/>
      </c>
    </row>
    <row r="317" spans="1:102" s="151" customFormat="1" ht="14.25" outlineLevel="1" x14ac:dyDescent="0.2">
      <c r="A317" s="146"/>
      <c r="B317" s="147" t="str">
        <f>Services!B317</f>
        <v>12E</v>
      </c>
      <c r="C317" s="148" t="str">
        <f>Services!C317</f>
        <v>Contrôle des droits d'administration</v>
      </c>
      <c r="D317" s="149"/>
      <c r="E317" s="149"/>
      <c r="F317" s="149"/>
      <c r="G317" s="149"/>
      <c r="H317" s="149"/>
      <c r="I317" s="140" t="str">
        <f t="shared" si="297"/>
        <v/>
      </c>
      <c r="J317" s="141" t="str">
        <f t="shared" si="214"/>
        <v/>
      </c>
      <c r="K317" s="142"/>
      <c r="L317" s="142"/>
      <c r="M317" s="1708"/>
      <c r="N317" s="1708"/>
      <c r="O317" s="1708"/>
      <c r="P317" s="1708"/>
      <c r="Q317" s="1708"/>
      <c r="R317" s="1708"/>
      <c r="S317" s="1708"/>
      <c r="T317" s="1708"/>
      <c r="U317" s="1708"/>
      <c r="V317" s="1708"/>
      <c r="W317" s="1708"/>
      <c r="X317" s="1712"/>
      <c r="Y317" s="1712"/>
      <c r="Z317" s="1712"/>
      <c r="AA317" s="1712"/>
      <c r="AB317" s="1712"/>
      <c r="AC317" s="1712"/>
      <c r="AD317" s="1712"/>
      <c r="AE317" s="1712"/>
      <c r="AF317" s="1712"/>
      <c r="AG317" s="1712"/>
      <c r="AH317" s="1712"/>
      <c r="AI317" s="1712"/>
      <c r="AJ317" s="1712"/>
      <c r="AK317" s="1712"/>
      <c r="AL317" s="1712"/>
      <c r="AM317" s="1712"/>
      <c r="AN317" s="1712"/>
      <c r="AO317" s="1712"/>
      <c r="AP317" s="1712"/>
      <c r="AQ317" s="1712"/>
      <c r="AR317" s="1712"/>
      <c r="AS317" s="1712"/>
      <c r="AT317" s="1712"/>
      <c r="AU317" s="1712"/>
      <c r="AV317" s="1712"/>
      <c r="AW317" s="1712"/>
      <c r="AX317" s="1713"/>
      <c r="AY317" s="1714" t="str">
        <f t="shared" si="215"/>
        <v/>
      </c>
      <c r="AZ317" s="1714" t="str">
        <f>IF(Obj_PA!D317="","",IF(AY317="","",Obj_PA!D317-AY317))</f>
        <v/>
      </c>
      <c r="BA317" s="150"/>
      <c r="BB317" s="150"/>
      <c r="BC317" s="150"/>
      <c r="BD317" s="150"/>
      <c r="BE317" s="150"/>
      <c r="BF317" s="150"/>
      <c r="BG317" s="150"/>
      <c r="BH317" s="150"/>
      <c r="BI317" s="150"/>
      <c r="BJ317" s="150"/>
      <c r="BK317" s="155" t="str">
        <f t="shared" si="257"/>
        <v/>
      </c>
      <c r="BL317" s="155" t="str">
        <f t="shared" si="258"/>
        <v/>
      </c>
      <c r="BM317" s="155" t="str">
        <f t="shared" si="259"/>
        <v/>
      </c>
      <c r="BN317" s="155" t="str">
        <f t="shared" si="260"/>
        <v/>
      </c>
      <c r="BO317" s="155" t="str">
        <f t="shared" si="261"/>
        <v/>
      </c>
      <c r="BP317" s="155" t="str">
        <f t="shared" si="262"/>
        <v/>
      </c>
      <c r="BQ317" s="155" t="str">
        <f t="shared" si="263"/>
        <v/>
      </c>
      <c r="BR317" s="155" t="str">
        <f t="shared" si="264"/>
        <v/>
      </c>
      <c r="BS317" s="155" t="str">
        <f t="shared" si="265"/>
        <v/>
      </c>
      <c r="BT317" s="155" t="str">
        <f t="shared" si="266"/>
        <v/>
      </c>
      <c r="BU317" s="155" t="str">
        <f t="shared" si="267"/>
        <v/>
      </c>
      <c r="BV317" s="155" t="str">
        <f t="shared" si="268"/>
        <v/>
      </c>
      <c r="BW317" s="155" t="str">
        <f t="shared" si="269"/>
        <v/>
      </c>
      <c r="BX317" s="155" t="str">
        <f t="shared" si="270"/>
        <v/>
      </c>
      <c r="BY317" s="155" t="str">
        <f t="shared" si="271"/>
        <v/>
      </c>
      <c r="BZ317" s="155" t="str">
        <f t="shared" si="272"/>
        <v/>
      </c>
      <c r="CA317" s="155" t="str">
        <f t="shared" si="273"/>
        <v/>
      </c>
      <c r="CB317" s="155" t="str">
        <f t="shared" si="274"/>
        <v/>
      </c>
      <c r="CC317" s="155" t="str">
        <f t="shared" si="275"/>
        <v/>
      </c>
      <c r="CD317" s="155" t="str">
        <f t="shared" si="276"/>
        <v/>
      </c>
      <c r="CE317" s="155" t="str">
        <f t="shared" si="277"/>
        <v/>
      </c>
      <c r="CF317" s="155" t="str">
        <f t="shared" si="278"/>
        <v/>
      </c>
      <c r="CG317" s="155" t="str">
        <f t="shared" si="279"/>
        <v/>
      </c>
      <c r="CH317" s="155" t="str">
        <f t="shared" si="280"/>
        <v/>
      </c>
      <c r="CI317" s="155" t="str">
        <f t="shared" si="281"/>
        <v/>
      </c>
      <c r="CJ317" s="155" t="str">
        <f t="shared" si="282"/>
        <v/>
      </c>
      <c r="CK317" s="155" t="str">
        <f t="shared" si="283"/>
        <v/>
      </c>
      <c r="CL317" s="155" t="str">
        <f t="shared" si="284"/>
        <v/>
      </c>
      <c r="CM317" s="155" t="str">
        <f t="shared" si="285"/>
        <v/>
      </c>
      <c r="CN317" s="155" t="str">
        <f t="shared" si="286"/>
        <v/>
      </c>
      <c r="CO317" s="155" t="str">
        <f t="shared" si="287"/>
        <v/>
      </c>
      <c r="CP317" s="155" t="str">
        <f t="shared" si="288"/>
        <v/>
      </c>
      <c r="CQ317" s="155" t="str">
        <f t="shared" si="289"/>
        <v/>
      </c>
      <c r="CR317" s="155" t="str">
        <f t="shared" si="290"/>
        <v/>
      </c>
      <c r="CS317" s="155" t="str">
        <f t="shared" si="291"/>
        <v/>
      </c>
      <c r="CT317" s="155" t="str">
        <f t="shared" si="292"/>
        <v/>
      </c>
      <c r="CU317" s="155" t="str">
        <f t="shared" si="293"/>
        <v/>
      </c>
      <c r="CV317" s="155" t="str">
        <f t="shared" si="294"/>
        <v/>
      </c>
      <c r="CW317" s="155" t="str">
        <f t="shared" si="295"/>
        <v/>
      </c>
      <c r="CX317" s="155" t="str">
        <f t="shared" si="296"/>
        <v/>
      </c>
    </row>
    <row r="318" spans="1:102" s="151" customFormat="1" ht="25.5" outlineLevel="1" x14ac:dyDescent="0.2">
      <c r="A318" s="156"/>
      <c r="B318" s="157" t="str">
        <f>Services!B318</f>
        <v>12E01</v>
      </c>
      <c r="C318" s="153" t="str">
        <f>Services!C318</f>
        <v>Gestion des attributions de droits privilégiés sur les équipements et lessystèmes (droits d'administrateur)</v>
      </c>
      <c r="D318" s="149"/>
      <c r="E318" s="149"/>
      <c r="F318" s="149"/>
      <c r="G318" s="149">
        <f>4*(8*Plans_action!E258+Plans_action!D258)</f>
        <v>0</v>
      </c>
      <c r="H318" s="149"/>
      <c r="I318" s="140" t="str">
        <f t="shared" si="297"/>
        <v/>
      </c>
      <c r="J318" s="141" t="str">
        <f t="shared" si="214"/>
        <v/>
      </c>
      <c r="K318" s="142"/>
      <c r="L318" s="142"/>
      <c r="M318" s="1708"/>
      <c r="N318" s="1708"/>
      <c r="O318" s="1708"/>
      <c r="P318" s="1708"/>
      <c r="Q318" s="1708"/>
      <c r="R318" s="1708"/>
      <c r="S318" s="1708"/>
      <c r="T318" s="1708"/>
      <c r="U318" s="1708"/>
      <c r="V318" s="1708"/>
      <c r="W318" s="1708"/>
      <c r="X318" s="1712"/>
      <c r="Y318" s="1712"/>
      <c r="Z318" s="1712"/>
      <c r="AA318" s="1712"/>
      <c r="AB318" s="1712"/>
      <c r="AC318" s="1712"/>
      <c r="AD318" s="1712"/>
      <c r="AE318" s="1712"/>
      <c r="AF318" s="1712"/>
      <c r="AG318" s="1712"/>
      <c r="AH318" s="1712"/>
      <c r="AI318" s="1712"/>
      <c r="AJ318" s="1712"/>
      <c r="AK318" s="1712"/>
      <c r="AL318" s="1712"/>
      <c r="AM318" s="1712"/>
      <c r="AN318" s="1712"/>
      <c r="AO318" s="1712"/>
      <c r="AP318" s="1712"/>
      <c r="AQ318" s="1712"/>
      <c r="AR318" s="1712"/>
      <c r="AS318" s="1712"/>
      <c r="AT318" s="1712"/>
      <c r="AU318" s="1712"/>
      <c r="AV318" s="1712"/>
      <c r="AW318" s="1712"/>
      <c r="AX318" s="1713"/>
      <c r="AY318" s="1714" t="str">
        <f t="shared" si="215"/>
        <v/>
      </c>
      <c r="AZ318" s="1714" t="str">
        <f>IF(Obj_PA!D318="","",IF(AY318="","",Obj_PA!D318-AY318))</f>
        <v/>
      </c>
      <c r="BA318" s="150"/>
      <c r="BB318" s="150"/>
      <c r="BC318" s="150"/>
      <c r="BD318" s="150"/>
      <c r="BE318" s="150"/>
      <c r="BF318" s="150"/>
      <c r="BG318" s="150"/>
      <c r="BH318" s="150"/>
      <c r="BI318" s="150"/>
      <c r="BJ318" s="150"/>
      <c r="BK318" s="155" t="str">
        <f t="shared" si="257"/>
        <v/>
      </c>
      <c r="BL318" s="155" t="str">
        <f t="shared" si="258"/>
        <v/>
      </c>
      <c r="BM318" s="155" t="str">
        <f t="shared" si="259"/>
        <v/>
      </c>
      <c r="BN318" s="155" t="str">
        <f t="shared" si="260"/>
        <v/>
      </c>
      <c r="BO318" s="155" t="str">
        <f t="shared" si="261"/>
        <v/>
      </c>
      <c r="BP318" s="155" t="str">
        <f t="shared" si="262"/>
        <v/>
      </c>
      <c r="BQ318" s="155" t="str">
        <f t="shared" si="263"/>
        <v/>
      </c>
      <c r="BR318" s="155" t="str">
        <f t="shared" si="264"/>
        <v/>
      </c>
      <c r="BS318" s="155" t="str">
        <f t="shared" si="265"/>
        <v/>
      </c>
      <c r="BT318" s="155" t="str">
        <f t="shared" si="266"/>
        <v/>
      </c>
      <c r="BU318" s="155" t="str">
        <f t="shared" si="267"/>
        <v/>
      </c>
      <c r="BV318" s="155" t="str">
        <f t="shared" si="268"/>
        <v/>
      </c>
      <c r="BW318" s="155" t="str">
        <f t="shared" si="269"/>
        <v/>
      </c>
      <c r="BX318" s="155" t="str">
        <f t="shared" si="270"/>
        <v/>
      </c>
      <c r="BY318" s="155" t="str">
        <f t="shared" si="271"/>
        <v/>
      </c>
      <c r="BZ318" s="155" t="str">
        <f t="shared" si="272"/>
        <v/>
      </c>
      <c r="CA318" s="155" t="str">
        <f t="shared" si="273"/>
        <v/>
      </c>
      <c r="CB318" s="155" t="str">
        <f t="shared" si="274"/>
        <v/>
      </c>
      <c r="CC318" s="155" t="str">
        <f t="shared" si="275"/>
        <v/>
      </c>
      <c r="CD318" s="155" t="str">
        <f t="shared" si="276"/>
        <v/>
      </c>
      <c r="CE318" s="155" t="str">
        <f t="shared" si="277"/>
        <v/>
      </c>
      <c r="CF318" s="155" t="str">
        <f t="shared" si="278"/>
        <v/>
      </c>
      <c r="CG318" s="155" t="str">
        <f t="shared" si="279"/>
        <v/>
      </c>
      <c r="CH318" s="155" t="str">
        <f t="shared" si="280"/>
        <v/>
      </c>
      <c r="CI318" s="155" t="str">
        <f t="shared" si="281"/>
        <v/>
      </c>
      <c r="CJ318" s="155" t="str">
        <f t="shared" si="282"/>
        <v/>
      </c>
      <c r="CK318" s="155" t="str">
        <f t="shared" si="283"/>
        <v/>
      </c>
      <c r="CL318" s="155" t="str">
        <f t="shared" si="284"/>
        <v/>
      </c>
      <c r="CM318" s="155" t="str">
        <f t="shared" si="285"/>
        <v/>
      </c>
      <c r="CN318" s="155" t="str">
        <f t="shared" si="286"/>
        <v/>
      </c>
      <c r="CO318" s="155" t="str">
        <f t="shared" si="287"/>
        <v/>
      </c>
      <c r="CP318" s="155" t="str">
        <f t="shared" si="288"/>
        <v/>
      </c>
      <c r="CQ318" s="155" t="str">
        <f t="shared" si="289"/>
        <v/>
      </c>
      <c r="CR318" s="155" t="str">
        <f t="shared" si="290"/>
        <v/>
      </c>
      <c r="CS318" s="155" t="str">
        <f t="shared" si="291"/>
        <v/>
      </c>
      <c r="CT318" s="155" t="str">
        <f t="shared" si="292"/>
        <v/>
      </c>
      <c r="CU318" s="155" t="str">
        <f t="shared" si="293"/>
        <v/>
      </c>
      <c r="CV318" s="155" t="str">
        <f t="shared" si="294"/>
        <v/>
      </c>
      <c r="CW318" s="155" t="str">
        <f t="shared" si="295"/>
        <v/>
      </c>
      <c r="CX318" s="155" t="str">
        <f t="shared" si="296"/>
        <v/>
      </c>
    </row>
    <row r="319" spans="1:102" ht="15.75" customHeight="1" outlineLevel="1" x14ac:dyDescent="0.2">
      <c r="A319" s="156"/>
      <c r="B319" s="157" t="str">
        <f>Services!B319</f>
        <v>12E02</v>
      </c>
      <c r="C319" s="153" t="str">
        <f>Services!C319</f>
        <v>Authentification et contrôle des droits d'accès des administrateurs et personnels d'exploitation</v>
      </c>
      <c r="D319" s="149">
        <f>1*(8*Plans_action!E193+Plans_action!D193)</f>
        <v>0</v>
      </c>
      <c r="E319" s="149">
        <f>2*(8*Plans_action!E258+Plans_action!D258)</f>
        <v>0</v>
      </c>
      <c r="F319" s="149"/>
      <c r="G319" s="149">
        <f>4*(8*Plans_action!E258+Plans_action!D258)</f>
        <v>0</v>
      </c>
      <c r="H319" s="149"/>
      <c r="I319" s="140" t="str">
        <f t="shared" si="297"/>
        <v/>
      </c>
      <c r="J319" s="141" t="str">
        <f t="shared" si="214"/>
        <v/>
      </c>
      <c r="K319" s="142"/>
      <c r="L319" s="142"/>
      <c r="M319" s="1708"/>
      <c r="N319" s="1708"/>
      <c r="O319" s="1708"/>
      <c r="P319" s="1708"/>
      <c r="Q319" s="1708"/>
      <c r="R319" s="1708"/>
      <c r="S319" s="1708"/>
      <c r="T319" s="1708"/>
      <c r="U319" s="1708"/>
      <c r="V319" s="1708"/>
      <c r="W319" s="1708"/>
      <c r="X319" s="1709"/>
      <c r="Y319" s="1709"/>
      <c r="Z319" s="1709"/>
      <c r="AA319" s="1709"/>
      <c r="AB319" s="1709"/>
      <c r="AC319" s="1709"/>
      <c r="AD319" s="1709"/>
      <c r="AE319" s="1709"/>
      <c r="AF319" s="1709"/>
      <c r="AG319" s="1709"/>
      <c r="AH319" s="1709"/>
      <c r="AI319" s="1709"/>
      <c r="AJ319" s="1709"/>
      <c r="AK319" s="1709"/>
      <c r="AL319" s="1709"/>
      <c r="AM319" s="1709"/>
      <c r="AN319" s="1709"/>
      <c r="AO319" s="1709"/>
      <c r="AP319" s="1709"/>
      <c r="AQ319" s="1709"/>
      <c r="AR319" s="1709"/>
      <c r="AS319" s="1709"/>
      <c r="AT319" s="1709"/>
      <c r="AU319" s="1709"/>
      <c r="AV319" s="1709"/>
      <c r="AW319" s="1709"/>
      <c r="AX319" s="1710"/>
      <c r="AY319" s="1714" t="str">
        <f t="shared" si="215"/>
        <v/>
      </c>
      <c r="AZ319" s="1714" t="str">
        <f>IF(Obj_PA!D319="","",IF(AY319="","",Obj_PA!D319-AY319))</f>
        <v/>
      </c>
      <c r="BK319" s="155" t="str">
        <f t="shared" si="257"/>
        <v/>
      </c>
      <c r="BL319" s="155" t="str">
        <f t="shared" si="258"/>
        <v/>
      </c>
      <c r="BM319" s="155" t="str">
        <f t="shared" si="259"/>
        <v/>
      </c>
      <c r="BN319" s="155" t="str">
        <f t="shared" si="260"/>
        <v/>
      </c>
      <c r="BO319" s="155" t="str">
        <f t="shared" si="261"/>
        <v/>
      </c>
      <c r="BP319" s="155" t="str">
        <f t="shared" si="262"/>
        <v/>
      </c>
      <c r="BQ319" s="155" t="str">
        <f t="shared" si="263"/>
        <v/>
      </c>
      <c r="BR319" s="155" t="str">
        <f t="shared" si="264"/>
        <v/>
      </c>
      <c r="BS319" s="155" t="str">
        <f t="shared" si="265"/>
        <v/>
      </c>
      <c r="BT319" s="155" t="str">
        <f t="shared" si="266"/>
        <v/>
      </c>
      <c r="BU319" s="155" t="str">
        <f t="shared" si="267"/>
        <v/>
      </c>
      <c r="BV319" s="155" t="str">
        <f t="shared" si="268"/>
        <v/>
      </c>
      <c r="BW319" s="155" t="str">
        <f t="shared" si="269"/>
        <v/>
      </c>
      <c r="BX319" s="155" t="str">
        <f t="shared" si="270"/>
        <v/>
      </c>
      <c r="BY319" s="155" t="str">
        <f t="shared" si="271"/>
        <v/>
      </c>
      <c r="BZ319" s="155" t="str">
        <f t="shared" si="272"/>
        <v/>
      </c>
      <c r="CA319" s="155" t="str">
        <f t="shared" si="273"/>
        <v/>
      </c>
      <c r="CB319" s="155" t="str">
        <f t="shared" si="274"/>
        <v/>
      </c>
      <c r="CC319" s="155" t="str">
        <f t="shared" si="275"/>
        <v/>
      </c>
      <c r="CD319" s="155" t="str">
        <f t="shared" si="276"/>
        <v/>
      </c>
      <c r="CE319" s="155" t="str">
        <f t="shared" si="277"/>
        <v/>
      </c>
      <c r="CF319" s="155" t="str">
        <f t="shared" si="278"/>
        <v/>
      </c>
      <c r="CG319" s="155" t="str">
        <f t="shared" si="279"/>
        <v/>
      </c>
      <c r="CH319" s="155" t="str">
        <f t="shared" si="280"/>
        <v/>
      </c>
      <c r="CI319" s="155" t="str">
        <f t="shared" si="281"/>
        <v/>
      </c>
      <c r="CJ319" s="155" t="str">
        <f t="shared" si="282"/>
        <v/>
      </c>
      <c r="CK319" s="155" t="str">
        <f t="shared" si="283"/>
        <v/>
      </c>
      <c r="CL319" s="155" t="str">
        <f t="shared" si="284"/>
        <v/>
      </c>
      <c r="CM319" s="155" t="str">
        <f t="shared" si="285"/>
        <v/>
      </c>
      <c r="CN319" s="155" t="str">
        <f t="shared" si="286"/>
        <v/>
      </c>
      <c r="CO319" s="155" t="str">
        <f t="shared" si="287"/>
        <v/>
      </c>
      <c r="CP319" s="155" t="str">
        <f t="shared" si="288"/>
        <v/>
      </c>
      <c r="CQ319" s="155" t="str">
        <f t="shared" si="289"/>
        <v/>
      </c>
      <c r="CR319" s="155" t="str">
        <f t="shared" si="290"/>
        <v/>
      </c>
      <c r="CS319" s="155" t="str">
        <f t="shared" si="291"/>
        <v/>
      </c>
      <c r="CT319" s="155" t="str">
        <f t="shared" si="292"/>
        <v/>
      </c>
      <c r="CU319" s="155" t="str">
        <f t="shared" si="293"/>
        <v/>
      </c>
      <c r="CV319" s="155" t="str">
        <f t="shared" si="294"/>
        <v/>
      </c>
      <c r="CW319" s="155" t="str">
        <f t="shared" si="295"/>
        <v/>
      </c>
      <c r="CX319" s="155" t="str">
        <f t="shared" si="296"/>
        <v/>
      </c>
    </row>
    <row r="320" spans="1:102" s="151" customFormat="1" ht="25.5" outlineLevel="1" x14ac:dyDescent="0.2">
      <c r="A320" s="156"/>
      <c r="B320" s="157" t="str">
        <f>Services!B320</f>
        <v>12E03</v>
      </c>
      <c r="C320" s="153" t="str">
        <f>Services!C320</f>
        <v>Surveillance des actions d'administration des équipements et des systèmes</v>
      </c>
      <c r="D320" s="149">
        <f>1*(8*Plans_action!E193+Plans_action!D193)</f>
        <v>0</v>
      </c>
      <c r="E320" s="149">
        <f>2*(8*Plans_action!E258+Plans_action!D258)</f>
        <v>0</v>
      </c>
      <c r="F320" s="149"/>
      <c r="G320" s="149"/>
      <c r="H320" s="149"/>
      <c r="I320" s="140" t="str">
        <f t="shared" si="297"/>
        <v/>
      </c>
      <c r="J320" s="141" t="str">
        <f t="shared" si="214"/>
        <v/>
      </c>
      <c r="K320" s="142"/>
      <c r="L320" s="142"/>
      <c r="M320" s="1708"/>
      <c r="N320" s="1708"/>
      <c r="O320" s="1708"/>
      <c r="P320" s="1708"/>
      <c r="Q320" s="1708"/>
      <c r="R320" s="1708"/>
      <c r="S320" s="1708"/>
      <c r="T320" s="1708"/>
      <c r="U320" s="1708"/>
      <c r="V320" s="1708"/>
      <c r="W320" s="1708"/>
      <c r="X320" s="1712"/>
      <c r="Y320" s="1712"/>
      <c r="Z320" s="1712"/>
      <c r="AA320" s="1712"/>
      <c r="AB320" s="1712"/>
      <c r="AC320" s="1712"/>
      <c r="AD320" s="1712"/>
      <c r="AE320" s="1712"/>
      <c r="AF320" s="1712"/>
      <c r="AG320" s="1712"/>
      <c r="AH320" s="1712"/>
      <c r="AI320" s="1712"/>
      <c r="AJ320" s="1712"/>
      <c r="AK320" s="1712"/>
      <c r="AL320" s="1712"/>
      <c r="AM320" s="1712"/>
      <c r="AN320" s="1712"/>
      <c r="AO320" s="1712"/>
      <c r="AP320" s="1712"/>
      <c r="AQ320" s="1712"/>
      <c r="AR320" s="1712"/>
      <c r="AS320" s="1712"/>
      <c r="AT320" s="1712"/>
      <c r="AU320" s="1712"/>
      <c r="AV320" s="1712"/>
      <c r="AW320" s="1712"/>
      <c r="AX320" s="1713"/>
      <c r="AY320" s="1714" t="str">
        <f t="shared" si="215"/>
        <v/>
      </c>
      <c r="AZ320" s="1714" t="str">
        <f>IF(Obj_PA!D320="","",IF(AY320="","",Obj_PA!D320-AY320))</f>
        <v/>
      </c>
      <c r="BA320" s="150"/>
      <c r="BB320" s="150"/>
      <c r="BC320" s="150"/>
      <c r="BD320" s="150"/>
      <c r="BE320" s="150"/>
      <c r="BF320" s="150"/>
      <c r="BG320" s="150"/>
      <c r="BH320" s="150"/>
      <c r="BI320" s="150"/>
      <c r="BJ320" s="150"/>
      <c r="BK320" s="155" t="str">
        <f t="shared" si="257"/>
        <v/>
      </c>
      <c r="BL320" s="155" t="str">
        <f t="shared" si="258"/>
        <v/>
      </c>
      <c r="BM320" s="155" t="str">
        <f t="shared" si="259"/>
        <v/>
      </c>
      <c r="BN320" s="155" t="str">
        <f t="shared" si="260"/>
        <v/>
      </c>
      <c r="BO320" s="155" t="str">
        <f t="shared" si="261"/>
        <v/>
      </c>
      <c r="BP320" s="155" t="str">
        <f t="shared" si="262"/>
        <v/>
      </c>
      <c r="BQ320" s="155" t="str">
        <f t="shared" si="263"/>
        <v/>
      </c>
      <c r="BR320" s="155" t="str">
        <f t="shared" si="264"/>
        <v/>
      </c>
      <c r="BS320" s="155" t="str">
        <f t="shared" si="265"/>
        <v/>
      </c>
      <c r="BT320" s="155" t="str">
        <f t="shared" si="266"/>
        <v/>
      </c>
      <c r="BU320" s="155" t="str">
        <f t="shared" si="267"/>
        <v/>
      </c>
      <c r="BV320" s="155" t="str">
        <f t="shared" si="268"/>
        <v/>
      </c>
      <c r="BW320" s="155" t="str">
        <f t="shared" si="269"/>
        <v/>
      </c>
      <c r="BX320" s="155" t="str">
        <f t="shared" si="270"/>
        <v/>
      </c>
      <c r="BY320" s="155" t="str">
        <f t="shared" si="271"/>
        <v/>
      </c>
      <c r="BZ320" s="155" t="str">
        <f t="shared" si="272"/>
        <v/>
      </c>
      <c r="CA320" s="155" t="str">
        <f t="shared" si="273"/>
        <v/>
      </c>
      <c r="CB320" s="155" t="str">
        <f t="shared" si="274"/>
        <v/>
      </c>
      <c r="CC320" s="155" t="str">
        <f t="shared" si="275"/>
        <v/>
      </c>
      <c r="CD320" s="155" t="str">
        <f t="shared" si="276"/>
        <v/>
      </c>
      <c r="CE320" s="155" t="str">
        <f t="shared" si="277"/>
        <v/>
      </c>
      <c r="CF320" s="155" t="str">
        <f t="shared" si="278"/>
        <v/>
      </c>
      <c r="CG320" s="155" t="str">
        <f t="shared" si="279"/>
        <v/>
      </c>
      <c r="CH320" s="155" t="str">
        <f t="shared" si="280"/>
        <v/>
      </c>
      <c r="CI320" s="155" t="str">
        <f t="shared" si="281"/>
        <v/>
      </c>
      <c r="CJ320" s="155" t="str">
        <f t="shared" si="282"/>
        <v/>
      </c>
      <c r="CK320" s="155" t="str">
        <f t="shared" si="283"/>
        <v/>
      </c>
      <c r="CL320" s="155" t="str">
        <f t="shared" si="284"/>
        <v/>
      </c>
      <c r="CM320" s="155" t="str">
        <f t="shared" si="285"/>
        <v/>
      </c>
      <c r="CN320" s="155" t="str">
        <f t="shared" si="286"/>
        <v/>
      </c>
      <c r="CO320" s="155" t="str">
        <f t="shared" si="287"/>
        <v/>
      </c>
      <c r="CP320" s="155" t="str">
        <f t="shared" si="288"/>
        <v/>
      </c>
      <c r="CQ320" s="155" t="str">
        <f t="shared" si="289"/>
        <v/>
      </c>
      <c r="CR320" s="155" t="str">
        <f t="shared" si="290"/>
        <v/>
      </c>
      <c r="CS320" s="155" t="str">
        <f t="shared" si="291"/>
        <v/>
      </c>
      <c r="CT320" s="155" t="str">
        <f t="shared" si="292"/>
        <v/>
      </c>
      <c r="CU320" s="155" t="str">
        <f t="shared" si="293"/>
        <v/>
      </c>
      <c r="CV320" s="155" t="str">
        <f t="shared" si="294"/>
        <v/>
      </c>
      <c r="CW320" s="155" t="str">
        <f t="shared" si="295"/>
        <v/>
      </c>
      <c r="CX320" s="155" t="str">
        <f t="shared" si="296"/>
        <v/>
      </c>
    </row>
    <row r="321" spans="1:102" s="151" customFormat="1" ht="15" x14ac:dyDescent="0.2">
      <c r="A321" s="136" t="s">
        <v>5811</v>
      </c>
      <c r="B321" s="136" t="str">
        <f>Services!B321</f>
        <v>Processus de gestion (13 Man)</v>
      </c>
      <c r="C321" s="161"/>
      <c r="D321" s="149"/>
      <c r="E321" s="149"/>
      <c r="F321" s="149"/>
      <c r="G321" s="149"/>
      <c r="H321" s="149"/>
      <c r="I321" s="140" t="str">
        <f t="shared" si="297"/>
        <v/>
      </c>
      <c r="J321" s="141" t="str">
        <f t="shared" si="214"/>
        <v/>
      </c>
      <c r="K321" s="142"/>
      <c r="L321" s="142"/>
      <c r="M321" s="1708"/>
      <c r="N321" s="1708"/>
      <c r="O321" s="1708"/>
      <c r="P321" s="1708"/>
      <c r="Q321" s="1708"/>
      <c r="R321" s="1708"/>
      <c r="S321" s="1708"/>
      <c r="T321" s="1708"/>
      <c r="U321" s="1708"/>
      <c r="V321" s="1708"/>
      <c r="W321" s="1708"/>
      <c r="X321" s="1712"/>
      <c r="Y321" s="1712"/>
      <c r="Z321" s="1712"/>
      <c r="AA321" s="1712"/>
      <c r="AB321" s="1712"/>
      <c r="AC321" s="1712"/>
      <c r="AD321" s="1712"/>
      <c r="AE321" s="1712"/>
      <c r="AF321" s="1712"/>
      <c r="AG321" s="1712"/>
      <c r="AH321" s="1712"/>
      <c r="AI321" s="1712"/>
      <c r="AJ321" s="1712"/>
      <c r="AK321" s="1712"/>
      <c r="AL321" s="1712"/>
      <c r="AM321" s="1712"/>
      <c r="AN321" s="1712"/>
      <c r="AO321" s="1712"/>
      <c r="AP321" s="1712"/>
      <c r="AQ321" s="1712"/>
      <c r="AR321" s="1712"/>
      <c r="AS321" s="1712"/>
      <c r="AT321" s="1712"/>
      <c r="AU321" s="1712"/>
      <c r="AV321" s="1712"/>
      <c r="AW321" s="1712"/>
      <c r="AX321" s="1713"/>
      <c r="AY321" s="1714" t="str">
        <f t="shared" si="215"/>
        <v/>
      </c>
      <c r="AZ321" s="1714" t="str">
        <f>IF(Obj_PA!D321="","",IF(AY321="","",Obj_PA!D321-AY321))</f>
        <v/>
      </c>
      <c r="BA321" s="150"/>
      <c r="BB321" s="150"/>
      <c r="BC321" s="150"/>
      <c r="BD321" s="150"/>
      <c r="BE321" s="150"/>
      <c r="BF321" s="150"/>
      <c r="BG321" s="150"/>
      <c r="BH321" s="150"/>
      <c r="BI321" s="150"/>
      <c r="BJ321" s="150"/>
      <c r="BK321" s="155" t="str">
        <f t="shared" si="257"/>
        <v/>
      </c>
      <c r="BL321" s="155" t="str">
        <f t="shared" si="258"/>
        <v/>
      </c>
      <c r="BM321" s="155" t="str">
        <f t="shared" si="259"/>
        <v/>
      </c>
      <c r="BN321" s="155" t="str">
        <f t="shared" si="260"/>
        <v/>
      </c>
      <c r="BO321" s="155" t="str">
        <f t="shared" si="261"/>
        <v/>
      </c>
      <c r="BP321" s="155" t="str">
        <f t="shared" si="262"/>
        <v/>
      </c>
      <c r="BQ321" s="155" t="str">
        <f t="shared" si="263"/>
        <v/>
      </c>
      <c r="BR321" s="155" t="str">
        <f t="shared" si="264"/>
        <v/>
      </c>
      <c r="BS321" s="155" t="str">
        <f t="shared" si="265"/>
        <v/>
      </c>
      <c r="BT321" s="155" t="str">
        <f t="shared" si="266"/>
        <v/>
      </c>
      <c r="BU321" s="155" t="str">
        <f t="shared" si="267"/>
        <v/>
      </c>
      <c r="BV321" s="155" t="str">
        <f t="shared" si="268"/>
        <v/>
      </c>
      <c r="BW321" s="155" t="str">
        <f t="shared" si="269"/>
        <v/>
      </c>
      <c r="BX321" s="155" t="str">
        <f t="shared" si="270"/>
        <v/>
      </c>
      <c r="BY321" s="155" t="str">
        <f t="shared" si="271"/>
        <v/>
      </c>
      <c r="BZ321" s="155" t="str">
        <f t="shared" si="272"/>
        <v/>
      </c>
      <c r="CA321" s="155" t="str">
        <f t="shared" si="273"/>
        <v/>
      </c>
      <c r="CB321" s="155" t="str">
        <f t="shared" si="274"/>
        <v/>
      </c>
      <c r="CC321" s="155" t="str">
        <f t="shared" si="275"/>
        <v/>
      </c>
      <c r="CD321" s="155" t="str">
        <f t="shared" si="276"/>
        <v/>
      </c>
      <c r="CE321" s="155" t="str">
        <f t="shared" si="277"/>
        <v/>
      </c>
      <c r="CF321" s="155" t="str">
        <f t="shared" si="278"/>
        <v/>
      </c>
      <c r="CG321" s="155" t="str">
        <f t="shared" si="279"/>
        <v/>
      </c>
      <c r="CH321" s="155" t="str">
        <f t="shared" si="280"/>
        <v/>
      </c>
      <c r="CI321" s="155" t="str">
        <f t="shared" si="281"/>
        <v/>
      </c>
      <c r="CJ321" s="155" t="str">
        <f t="shared" si="282"/>
        <v/>
      </c>
      <c r="CK321" s="155" t="str">
        <f t="shared" si="283"/>
        <v/>
      </c>
      <c r="CL321" s="155" t="str">
        <f t="shared" si="284"/>
        <v/>
      </c>
      <c r="CM321" s="155" t="str">
        <f t="shared" si="285"/>
        <v/>
      </c>
      <c r="CN321" s="155" t="str">
        <f t="shared" si="286"/>
        <v/>
      </c>
      <c r="CO321" s="155" t="str">
        <f t="shared" si="287"/>
        <v/>
      </c>
      <c r="CP321" s="155" t="str">
        <f t="shared" si="288"/>
        <v/>
      </c>
      <c r="CQ321" s="155" t="str">
        <f t="shared" si="289"/>
        <v/>
      </c>
      <c r="CR321" s="155" t="str">
        <f t="shared" si="290"/>
        <v/>
      </c>
      <c r="CS321" s="155" t="str">
        <f t="shared" si="291"/>
        <v/>
      </c>
      <c r="CT321" s="155" t="str">
        <f t="shared" si="292"/>
        <v/>
      </c>
      <c r="CU321" s="155" t="str">
        <f t="shared" si="293"/>
        <v/>
      </c>
      <c r="CV321" s="155" t="str">
        <f t="shared" si="294"/>
        <v/>
      </c>
      <c r="CW321" s="155" t="str">
        <f t="shared" si="295"/>
        <v/>
      </c>
      <c r="CX321" s="155" t="str">
        <f t="shared" si="296"/>
        <v/>
      </c>
    </row>
    <row r="322" spans="1:102" s="151" customFormat="1" ht="14.25" x14ac:dyDescent="0.2">
      <c r="A322" s="158"/>
      <c r="B322" s="147" t="str">
        <f>Services!B322</f>
        <v>13A</v>
      </c>
      <c r="C322" s="148" t="str">
        <f>Services!C322</f>
        <v>Protection des renseignements personnels</v>
      </c>
      <c r="D322" s="149"/>
      <c r="E322" s="149"/>
      <c r="F322" s="149"/>
      <c r="G322" s="149"/>
      <c r="H322" s="149"/>
      <c r="I322" s="140" t="str">
        <f t="shared" si="297"/>
        <v/>
      </c>
      <c r="J322" s="141" t="str">
        <f t="shared" si="214"/>
        <v/>
      </c>
      <c r="K322" s="142"/>
      <c r="L322" s="142"/>
      <c r="M322" s="1708"/>
      <c r="N322" s="1708"/>
      <c r="O322" s="1708"/>
      <c r="P322" s="1708"/>
      <c r="Q322" s="1708"/>
      <c r="R322" s="1708"/>
      <c r="S322" s="1708"/>
      <c r="T322" s="1708"/>
      <c r="U322" s="1708"/>
      <c r="V322" s="1708"/>
      <c r="W322" s="1708"/>
      <c r="X322" s="1712"/>
      <c r="Y322" s="1712"/>
      <c r="Z322" s="1712"/>
      <c r="AA322" s="1712"/>
      <c r="AB322" s="1712"/>
      <c r="AC322" s="1712"/>
      <c r="AD322" s="1712"/>
      <c r="AE322" s="1712"/>
      <c r="AF322" s="1712"/>
      <c r="AG322" s="1712"/>
      <c r="AH322" s="1712"/>
      <c r="AI322" s="1712"/>
      <c r="AJ322" s="1712"/>
      <c r="AK322" s="1712"/>
      <c r="AL322" s="1712"/>
      <c r="AM322" s="1712"/>
      <c r="AN322" s="1712"/>
      <c r="AO322" s="1712"/>
      <c r="AP322" s="1712"/>
      <c r="AQ322" s="1712"/>
      <c r="AR322" s="1712"/>
      <c r="AS322" s="1712"/>
      <c r="AT322" s="1712"/>
      <c r="AU322" s="1712"/>
      <c r="AV322" s="1712"/>
      <c r="AW322" s="1712"/>
      <c r="AX322" s="1713"/>
      <c r="AY322" s="1714" t="str">
        <f t="shared" si="215"/>
        <v/>
      </c>
      <c r="AZ322" s="1714" t="str">
        <f>IF(Obj_PA!D322="","",IF(AY322="","",Obj_PA!D322-AY322))</f>
        <v/>
      </c>
      <c r="BA322" s="150"/>
      <c r="BB322" s="150"/>
      <c r="BC322" s="150"/>
      <c r="BD322" s="150"/>
      <c r="BE322" s="150"/>
      <c r="BF322" s="150"/>
      <c r="BG322" s="150"/>
      <c r="BH322" s="150"/>
      <c r="BI322" s="150"/>
      <c r="BJ322" s="150"/>
      <c r="BK322" s="155" t="str">
        <f t="shared" si="257"/>
        <v/>
      </c>
      <c r="BL322" s="155" t="str">
        <f t="shared" si="258"/>
        <v/>
      </c>
      <c r="BM322" s="155" t="str">
        <f t="shared" si="259"/>
        <v/>
      </c>
      <c r="BN322" s="155" t="str">
        <f t="shared" si="260"/>
        <v/>
      </c>
      <c r="BO322" s="155" t="str">
        <f t="shared" si="261"/>
        <v/>
      </c>
      <c r="BP322" s="155" t="str">
        <f t="shared" si="262"/>
        <v/>
      </c>
      <c r="BQ322" s="155" t="str">
        <f t="shared" si="263"/>
        <v/>
      </c>
      <c r="BR322" s="155" t="str">
        <f t="shared" si="264"/>
        <v/>
      </c>
      <c r="BS322" s="155" t="str">
        <f t="shared" si="265"/>
        <v/>
      </c>
      <c r="BT322" s="155" t="str">
        <f t="shared" si="266"/>
        <v/>
      </c>
      <c r="BU322" s="155" t="str">
        <f t="shared" si="267"/>
        <v/>
      </c>
      <c r="BV322" s="155" t="str">
        <f t="shared" si="268"/>
        <v/>
      </c>
      <c r="BW322" s="155" t="str">
        <f t="shared" si="269"/>
        <v/>
      </c>
      <c r="BX322" s="155" t="str">
        <f t="shared" si="270"/>
        <v/>
      </c>
      <c r="BY322" s="155" t="str">
        <f t="shared" si="271"/>
        <v/>
      </c>
      <c r="BZ322" s="155" t="str">
        <f t="shared" si="272"/>
        <v/>
      </c>
      <c r="CA322" s="155" t="str">
        <f t="shared" si="273"/>
        <v/>
      </c>
      <c r="CB322" s="155" t="str">
        <f t="shared" si="274"/>
        <v/>
      </c>
      <c r="CC322" s="155" t="str">
        <f t="shared" si="275"/>
        <v/>
      </c>
      <c r="CD322" s="155" t="str">
        <f t="shared" si="276"/>
        <v/>
      </c>
      <c r="CE322" s="155" t="str">
        <f t="shared" si="277"/>
        <v/>
      </c>
      <c r="CF322" s="155" t="str">
        <f t="shared" si="278"/>
        <v/>
      </c>
      <c r="CG322" s="155" t="str">
        <f t="shared" si="279"/>
        <v/>
      </c>
      <c r="CH322" s="155" t="str">
        <f t="shared" si="280"/>
        <v/>
      </c>
      <c r="CI322" s="155" t="str">
        <f t="shared" si="281"/>
        <v/>
      </c>
      <c r="CJ322" s="155" t="str">
        <f t="shared" si="282"/>
        <v/>
      </c>
      <c r="CK322" s="155" t="str">
        <f t="shared" si="283"/>
        <v/>
      </c>
      <c r="CL322" s="155" t="str">
        <f t="shared" si="284"/>
        <v/>
      </c>
      <c r="CM322" s="155" t="str">
        <f t="shared" si="285"/>
        <v/>
      </c>
      <c r="CN322" s="155" t="str">
        <f t="shared" si="286"/>
        <v/>
      </c>
      <c r="CO322" s="155" t="str">
        <f t="shared" si="287"/>
        <v/>
      </c>
      <c r="CP322" s="155" t="str">
        <f t="shared" si="288"/>
        <v/>
      </c>
      <c r="CQ322" s="155" t="str">
        <f t="shared" si="289"/>
        <v/>
      </c>
      <c r="CR322" s="155" t="str">
        <f t="shared" si="290"/>
        <v/>
      </c>
      <c r="CS322" s="155" t="str">
        <f t="shared" si="291"/>
        <v/>
      </c>
      <c r="CT322" s="155" t="str">
        <f t="shared" si="292"/>
        <v/>
      </c>
      <c r="CU322" s="155" t="str">
        <f t="shared" si="293"/>
        <v/>
      </c>
      <c r="CV322" s="155" t="str">
        <f t="shared" si="294"/>
        <v/>
      </c>
      <c r="CW322" s="155" t="str">
        <f t="shared" si="295"/>
        <v/>
      </c>
      <c r="CX322" s="155" t="str">
        <f t="shared" si="296"/>
        <v/>
      </c>
    </row>
    <row r="323" spans="1:102" s="151" customFormat="1" ht="14.25" x14ac:dyDescent="0.2">
      <c r="A323" s="158"/>
      <c r="B323" s="157" t="str">
        <f>Services!B323</f>
        <v>13A01</v>
      </c>
      <c r="C323" s="153" t="str">
        <f>Services!C323</f>
        <v>Politique et directives relatives à la PRP</v>
      </c>
      <c r="D323" s="149"/>
      <c r="E323" s="149"/>
      <c r="F323" s="149"/>
      <c r="G323" s="149">
        <f>4*(8*Plans_action!E301+Plans_action!D301)</f>
        <v>0</v>
      </c>
      <c r="H323" s="149"/>
      <c r="I323" s="140" t="str">
        <f t="shared" si="297"/>
        <v/>
      </c>
      <c r="J323" s="141" t="str">
        <f t="shared" si="214"/>
        <v/>
      </c>
      <c r="K323" s="142"/>
      <c r="L323" s="142"/>
      <c r="M323" s="1708"/>
      <c r="N323" s="1708"/>
      <c r="O323" s="1708"/>
      <c r="P323" s="1708"/>
      <c r="Q323" s="1708"/>
      <c r="R323" s="1708"/>
      <c r="S323" s="1708"/>
      <c r="T323" s="1708"/>
      <c r="U323" s="1708"/>
      <c r="V323" s="1708"/>
      <c r="W323" s="1708"/>
      <c r="X323" s="1712"/>
      <c r="Y323" s="1712"/>
      <c r="Z323" s="1712"/>
      <c r="AA323" s="1712"/>
      <c r="AB323" s="1712"/>
      <c r="AC323" s="1712"/>
      <c r="AD323" s="1712"/>
      <c r="AE323" s="1712"/>
      <c r="AF323" s="1712"/>
      <c r="AG323" s="1712"/>
      <c r="AH323" s="1712"/>
      <c r="AI323" s="1712"/>
      <c r="AJ323" s="1712"/>
      <c r="AK323" s="1712"/>
      <c r="AL323" s="1712"/>
      <c r="AM323" s="1712"/>
      <c r="AN323" s="1712"/>
      <c r="AO323" s="1712"/>
      <c r="AP323" s="1712"/>
      <c r="AQ323" s="1712"/>
      <c r="AR323" s="1712"/>
      <c r="AS323" s="1712"/>
      <c r="AT323" s="1712"/>
      <c r="AU323" s="1712"/>
      <c r="AV323" s="1712"/>
      <c r="AW323" s="1712"/>
      <c r="AX323" s="1713"/>
      <c r="AY323" s="1714" t="str">
        <f t="shared" si="215"/>
        <v/>
      </c>
      <c r="AZ323" s="1714" t="str">
        <f>IF(Obj_PA!D323="","",IF(AY323="","",Obj_PA!D323-AY323))</f>
        <v/>
      </c>
      <c r="BA323" s="150"/>
      <c r="BB323" s="150"/>
      <c r="BC323" s="150"/>
      <c r="BD323" s="150"/>
      <c r="BE323" s="150"/>
      <c r="BF323" s="150"/>
      <c r="BG323" s="150"/>
      <c r="BH323" s="150"/>
      <c r="BI323" s="150"/>
      <c r="BJ323" s="150"/>
      <c r="BK323" s="155" t="str">
        <f t="shared" si="257"/>
        <v/>
      </c>
      <c r="BL323" s="155" t="str">
        <f t="shared" si="258"/>
        <v/>
      </c>
      <c r="BM323" s="155" t="str">
        <f t="shared" si="259"/>
        <v/>
      </c>
      <c r="BN323" s="155" t="str">
        <f t="shared" si="260"/>
        <v/>
      </c>
      <c r="BO323" s="155" t="str">
        <f t="shared" si="261"/>
        <v/>
      </c>
      <c r="BP323" s="155" t="str">
        <f t="shared" si="262"/>
        <v/>
      </c>
      <c r="BQ323" s="155" t="str">
        <f t="shared" si="263"/>
        <v/>
      </c>
      <c r="BR323" s="155" t="str">
        <f t="shared" si="264"/>
        <v/>
      </c>
      <c r="BS323" s="155" t="str">
        <f t="shared" si="265"/>
        <v/>
      </c>
      <c r="BT323" s="155" t="str">
        <f t="shared" si="266"/>
        <v/>
      </c>
      <c r="BU323" s="155" t="str">
        <f t="shared" si="267"/>
        <v/>
      </c>
      <c r="BV323" s="155" t="str">
        <f t="shared" si="268"/>
        <v/>
      </c>
      <c r="BW323" s="155" t="str">
        <f t="shared" si="269"/>
        <v/>
      </c>
      <c r="BX323" s="155" t="str">
        <f t="shared" si="270"/>
        <v/>
      </c>
      <c r="BY323" s="155" t="str">
        <f t="shared" si="271"/>
        <v/>
      </c>
      <c r="BZ323" s="155" t="str">
        <f t="shared" si="272"/>
        <v/>
      </c>
      <c r="CA323" s="155" t="str">
        <f t="shared" si="273"/>
        <v/>
      </c>
      <c r="CB323" s="155" t="str">
        <f t="shared" si="274"/>
        <v/>
      </c>
      <c r="CC323" s="155" t="str">
        <f t="shared" si="275"/>
        <v/>
      </c>
      <c r="CD323" s="155" t="str">
        <f t="shared" si="276"/>
        <v/>
      </c>
      <c r="CE323" s="155" t="str">
        <f t="shared" si="277"/>
        <v/>
      </c>
      <c r="CF323" s="155" t="str">
        <f t="shared" si="278"/>
        <v/>
      </c>
      <c r="CG323" s="155" t="str">
        <f t="shared" si="279"/>
        <v/>
      </c>
      <c r="CH323" s="155" t="str">
        <f t="shared" si="280"/>
        <v/>
      </c>
      <c r="CI323" s="155" t="str">
        <f t="shared" si="281"/>
        <v/>
      </c>
      <c r="CJ323" s="155" t="str">
        <f t="shared" si="282"/>
        <v/>
      </c>
      <c r="CK323" s="155" t="str">
        <f t="shared" si="283"/>
        <v/>
      </c>
      <c r="CL323" s="155" t="str">
        <f t="shared" si="284"/>
        <v/>
      </c>
      <c r="CM323" s="155" t="str">
        <f t="shared" si="285"/>
        <v/>
      </c>
      <c r="CN323" s="155" t="str">
        <f t="shared" si="286"/>
        <v/>
      </c>
      <c r="CO323" s="155" t="str">
        <f t="shared" si="287"/>
        <v/>
      </c>
      <c r="CP323" s="155" t="str">
        <f t="shared" si="288"/>
        <v/>
      </c>
      <c r="CQ323" s="155" t="str">
        <f t="shared" si="289"/>
        <v/>
      </c>
      <c r="CR323" s="155" t="str">
        <f t="shared" si="290"/>
        <v/>
      </c>
      <c r="CS323" s="155" t="str">
        <f t="shared" si="291"/>
        <v/>
      </c>
      <c r="CT323" s="155" t="str">
        <f t="shared" si="292"/>
        <v/>
      </c>
      <c r="CU323" s="155" t="str">
        <f t="shared" si="293"/>
        <v/>
      </c>
      <c r="CV323" s="155" t="str">
        <f t="shared" si="294"/>
        <v/>
      </c>
      <c r="CW323" s="155" t="str">
        <f t="shared" si="295"/>
        <v/>
      </c>
      <c r="CX323" s="155" t="str">
        <f t="shared" si="296"/>
        <v/>
      </c>
    </row>
    <row r="324" spans="1:102" s="151" customFormat="1" ht="14.25" x14ac:dyDescent="0.2">
      <c r="A324" s="158"/>
      <c r="B324" s="157" t="str">
        <f>Services!B324</f>
        <v>13A02</v>
      </c>
      <c r="C324" s="153" t="str">
        <f>Services!C324</f>
        <v>Programme de formation et de sensibilisation à la PRP</v>
      </c>
      <c r="D324" s="149"/>
      <c r="E324" s="149"/>
      <c r="F324" s="149"/>
      <c r="G324" s="149">
        <f>4*(8*Plans_action!E301+Plans_action!D301)</f>
        <v>0</v>
      </c>
      <c r="H324" s="149"/>
      <c r="I324" s="140" t="str">
        <f t="shared" si="297"/>
        <v/>
      </c>
      <c r="J324" s="141" t="str">
        <f t="shared" si="214"/>
        <v/>
      </c>
      <c r="K324" s="142"/>
      <c r="L324" s="142"/>
      <c r="M324" s="1708"/>
      <c r="N324" s="1708"/>
      <c r="O324" s="1708"/>
      <c r="P324" s="1708"/>
      <c r="Q324" s="1708"/>
      <c r="R324" s="1708"/>
      <c r="S324" s="1708"/>
      <c r="T324" s="1708"/>
      <c r="U324" s="1708"/>
      <c r="V324" s="1708"/>
      <c r="W324" s="1708"/>
      <c r="X324" s="1712"/>
      <c r="Y324" s="1712"/>
      <c r="Z324" s="1712"/>
      <c r="AA324" s="1712"/>
      <c r="AB324" s="1712"/>
      <c r="AC324" s="1712"/>
      <c r="AD324" s="1712"/>
      <c r="AE324" s="1712"/>
      <c r="AF324" s="1712"/>
      <c r="AG324" s="1712"/>
      <c r="AH324" s="1712"/>
      <c r="AI324" s="1712"/>
      <c r="AJ324" s="1712"/>
      <c r="AK324" s="1712"/>
      <c r="AL324" s="1712"/>
      <c r="AM324" s="1712"/>
      <c r="AN324" s="1712"/>
      <c r="AO324" s="1712"/>
      <c r="AP324" s="1712"/>
      <c r="AQ324" s="1712"/>
      <c r="AR324" s="1712"/>
      <c r="AS324" s="1712"/>
      <c r="AT324" s="1712"/>
      <c r="AU324" s="1712"/>
      <c r="AV324" s="1712"/>
      <c r="AW324" s="1712"/>
      <c r="AX324" s="1713"/>
      <c r="AY324" s="1714" t="str">
        <f t="shared" si="215"/>
        <v/>
      </c>
      <c r="AZ324" s="1714" t="str">
        <f>IF(Obj_PA!D324="","",IF(AY324="","",Obj_PA!D324-AY324))</f>
        <v/>
      </c>
      <c r="BA324" s="150"/>
      <c r="BB324" s="150"/>
      <c r="BC324" s="150"/>
      <c r="BD324" s="150"/>
      <c r="BE324" s="150"/>
      <c r="BF324" s="150"/>
      <c r="BG324" s="150"/>
      <c r="BH324" s="150"/>
      <c r="BI324" s="150"/>
      <c r="BJ324" s="150"/>
      <c r="BK324" s="155" t="str">
        <f t="shared" si="257"/>
        <v/>
      </c>
      <c r="BL324" s="155" t="str">
        <f t="shared" si="258"/>
        <v/>
      </c>
      <c r="BM324" s="155" t="str">
        <f t="shared" si="259"/>
        <v/>
      </c>
      <c r="BN324" s="155" t="str">
        <f t="shared" si="260"/>
        <v/>
      </c>
      <c r="BO324" s="155" t="str">
        <f t="shared" si="261"/>
        <v/>
      </c>
      <c r="BP324" s="155" t="str">
        <f t="shared" si="262"/>
        <v/>
      </c>
      <c r="BQ324" s="155" t="str">
        <f t="shared" si="263"/>
        <v/>
      </c>
      <c r="BR324" s="155" t="str">
        <f t="shared" si="264"/>
        <v/>
      </c>
      <c r="BS324" s="155" t="str">
        <f t="shared" si="265"/>
        <v/>
      </c>
      <c r="BT324" s="155" t="str">
        <f t="shared" si="266"/>
        <v/>
      </c>
      <c r="BU324" s="155" t="str">
        <f t="shared" si="267"/>
        <v/>
      </c>
      <c r="BV324" s="155" t="str">
        <f t="shared" si="268"/>
        <v/>
      </c>
      <c r="BW324" s="155" t="str">
        <f t="shared" si="269"/>
        <v/>
      </c>
      <c r="BX324" s="155" t="str">
        <f t="shared" si="270"/>
        <v/>
      </c>
      <c r="BY324" s="155" t="str">
        <f t="shared" si="271"/>
        <v/>
      </c>
      <c r="BZ324" s="155" t="str">
        <f t="shared" si="272"/>
        <v/>
      </c>
      <c r="CA324" s="155" t="str">
        <f t="shared" si="273"/>
        <v/>
      </c>
      <c r="CB324" s="155" t="str">
        <f t="shared" si="274"/>
        <v/>
      </c>
      <c r="CC324" s="155" t="str">
        <f t="shared" si="275"/>
        <v/>
      </c>
      <c r="CD324" s="155" t="str">
        <f t="shared" si="276"/>
        <v/>
      </c>
      <c r="CE324" s="155" t="str">
        <f t="shared" si="277"/>
        <v/>
      </c>
      <c r="CF324" s="155" t="str">
        <f t="shared" si="278"/>
        <v/>
      </c>
      <c r="CG324" s="155" t="str">
        <f t="shared" si="279"/>
        <v/>
      </c>
      <c r="CH324" s="155" t="str">
        <f t="shared" si="280"/>
        <v/>
      </c>
      <c r="CI324" s="155" t="str">
        <f t="shared" si="281"/>
        <v/>
      </c>
      <c r="CJ324" s="155" t="str">
        <f t="shared" si="282"/>
        <v/>
      </c>
      <c r="CK324" s="155" t="str">
        <f t="shared" si="283"/>
        <v/>
      </c>
      <c r="CL324" s="155" t="str">
        <f t="shared" si="284"/>
        <v/>
      </c>
      <c r="CM324" s="155" t="str">
        <f t="shared" si="285"/>
        <v/>
      </c>
      <c r="CN324" s="155" t="str">
        <f t="shared" si="286"/>
        <v/>
      </c>
      <c r="CO324" s="155" t="str">
        <f t="shared" si="287"/>
        <v/>
      </c>
      <c r="CP324" s="155" t="str">
        <f t="shared" si="288"/>
        <v/>
      </c>
      <c r="CQ324" s="155" t="str">
        <f t="shared" si="289"/>
        <v/>
      </c>
      <c r="CR324" s="155" t="str">
        <f t="shared" si="290"/>
        <v/>
      </c>
      <c r="CS324" s="155" t="str">
        <f t="shared" si="291"/>
        <v/>
      </c>
      <c r="CT324" s="155" t="str">
        <f t="shared" si="292"/>
        <v/>
      </c>
      <c r="CU324" s="155" t="str">
        <f t="shared" si="293"/>
        <v/>
      </c>
      <c r="CV324" s="155" t="str">
        <f t="shared" si="294"/>
        <v/>
      </c>
      <c r="CW324" s="155" t="str">
        <f t="shared" si="295"/>
        <v/>
      </c>
      <c r="CX324" s="155" t="str">
        <f t="shared" si="296"/>
        <v/>
      </c>
    </row>
    <row r="325" spans="1:102" s="151" customFormat="1" ht="14.25" x14ac:dyDescent="0.2">
      <c r="A325" s="158"/>
      <c r="B325" s="157" t="str">
        <f>Services!B325</f>
        <v>13A03</v>
      </c>
      <c r="C325" s="153" t="str">
        <f>Services!C325</f>
        <v>Applicabilité de la politique relative à la Prp</v>
      </c>
      <c r="D325" s="149"/>
      <c r="E325" s="149"/>
      <c r="F325" s="149"/>
      <c r="G325" s="149">
        <f>4*(8*Plans_action!E301+Plans_action!D301)</f>
        <v>0</v>
      </c>
      <c r="H325" s="149"/>
      <c r="I325" s="140" t="str">
        <f t="shared" si="297"/>
        <v/>
      </c>
      <c r="J325" s="141" t="str">
        <f t="shared" si="214"/>
        <v/>
      </c>
      <c r="K325" s="142"/>
      <c r="L325" s="142"/>
      <c r="M325" s="1708"/>
      <c r="N325" s="1708"/>
      <c r="O325" s="1708"/>
      <c r="P325" s="1708"/>
      <c r="Q325" s="1708"/>
      <c r="R325" s="1708"/>
      <c r="S325" s="1708"/>
      <c r="T325" s="1708"/>
      <c r="U325" s="1708"/>
      <c r="V325" s="1708"/>
      <c r="W325" s="1708"/>
      <c r="X325" s="1712"/>
      <c r="Y325" s="1712"/>
      <c r="Z325" s="1712"/>
      <c r="AA325" s="1712"/>
      <c r="AB325" s="1712"/>
      <c r="AC325" s="1712"/>
      <c r="AD325" s="1712"/>
      <c r="AE325" s="1712"/>
      <c r="AF325" s="1712"/>
      <c r="AG325" s="1712"/>
      <c r="AH325" s="1712"/>
      <c r="AI325" s="1712"/>
      <c r="AJ325" s="1712"/>
      <c r="AK325" s="1712"/>
      <c r="AL325" s="1712"/>
      <c r="AM325" s="1712"/>
      <c r="AN325" s="1712"/>
      <c r="AO325" s="1712"/>
      <c r="AP325" s="1712"/>
      <c r="AQ325" s="1712"/>
      <c r="AR325" s="1712"/>
      <c r="AS325" s="1712"/>
      <c r="AT325" s="1712"/>
      <c r="AU325" s="1712"/>
      <c r="AV325" s="1712"/>
      <c r="AW325" s="1712"/>
      <c r="AX325" s="1713"/>
      <c r="AY325" s="1714" t="str">
        <f t="shared" si="215"/>
        <v/>
      </c>
      <c r="AZ325" s="1714" t="str">
        <f>IF(Obj_PA!D325="","",IF(AY325="","",Obj_PA!D325-AY325))</f>
        <v/>
      </c>
      <c r="BA325" s="150"/>
      <c r="BB325" s="150"/>
      <c r="BC325" s="150"/>
      <c r="BD325" s="150"/>
      <c r="BE325" s="150"/>
      <c r="BF325" s="150"/>
      <c r="BG325" s="150"/>
      <c r="BH325" s="150"/>
      <c r="BI325" s="150"/>
      <c r="BJ325" s="150"/>
      <c r="BK325" s="155" t="str">
        <f t="shared" si="257"/>
        <v/>
      </c>
      <c r="BL325" s="155" t="str">
        <f t="shared" si="258"/>
        <v/>
      </c>
      <c r="BM325" s="155" t="str">
        <f t="shared" si="259"/>
        <v/>
      </c>
      <c r="BN325" s="155" t="str">
        <f t="shared" si="260"/>
        <v/>
      </c>
      <c r="BO325" s="155" t="str">
        <f t="shared" si="261"/>
        <v/>
      </c>
      <c r="BP325" s="155" t="str">
        <f t="shared" si="262"/>
        <v/>
      </c>
      <c r="BQ325" s="155" t="str">
        <f t="shared" si="263"/>
        <v/>
      </c>
      <c r="BR325" s="155" t="str">
        <f t="shared" si="264"/>
        <v/>
      </c>
      <c r="BS325" s="155" t="str">
        <f t="shared" si="265"/>
        <v/>
      </c>
      <c r="BT325" s="155" t="str">
        <f t="shared" si="266"/>
        <v/>
      </c>
      <c r="BU325" s="155" t="str">
        <f t="shared" si="267"/>
        <v/>
      </c>
      <c r="BV325" s="155" t="str">
        <f t="shared" si="268"/>
        <v/>
      </c>
      <c r="BW325" s="155" t="str">
        <f t="shared" si="269"/>
        <v/>
      </c>
      <c r="BX325" s="155" t="str">
        <f t="shared" si="270"/>
        <v/>
      </c>
      <c r="BY325" s="155" t="str">
        <f t="shared" si="271"/>
        <v/>
      </c>
      <c r="BZ325" s="155" t="str">
        <f t="shared" si="272"/>
        <v/>
      </c>
      <c r="CA325" s="155" t="str">
        <f t="shared" si="273"/>
        <v/>
      </c>
      <c r="CB325" s="155" t="str">
        <f t="shared" si="274"/>
        <v/>
      </c>
      <c r="CC325" s="155" t="str">
        <f t="shared" si="275"/>
        <v/>
      </c>
      <c r="CD325" s="155" t="str">
        <f t="shared" si="276"/>
        <v/>
      </c>
      <c r="CE325" s="155" t="str">
        <f t="shared" si="277"/>
        <v/>
      </c>
      <c r="CF325" s="155" t="str">
        <f t="shared" si="278"/>
        <v/>
      </c>
      <c r="CG325" s="155" t="str">
        <f t="shared" si="279"/>
        <v/>
      </c>
      <c r="CH325" s="155" t="str">
        <f t="shared" si="280"/>
        <v/>
      </c>
      <c r="CI325" s="155" t="str">
        <f t="shared" si="281"/>
        <v/>
      </c>
      <c r="CJ325" s="155" t="str">
        <f t="shared" si="282"/>
        <v/>
      </c>
      <c r="CK325" s="155" t="str">
        <f t="shared" si="283"/>
        <v/>
      </c>
      <c r="CL325" s="155" t="str">
        <f t="shared" si="284"/>
        <v/>
      </c>
      <c r="CM325" s="155" t="str">
        <f t="shared" si="285"/>
        <v/>
      </c>
      <c r="CN325" s="155" t="str">
        <f t="shared" si="286"/>
        <v/>
      </c>
      <c r="CO325" s="155" t="str">
        <f t="shared" si="287"/>
        <v/>
      </c>
      <c r="CP325" s="155" t="str">
        <f t="shared" si="288"/>
        <v/>
      </c>
      <c r="CQ325" s="155" t="str">
        <f t="shared" si="289"/>
        <v/>
      </c>
      <c r="CR325" s="155" t="str">
        <f t="shared" si="290"/>
        <v/>
      </c>
      <c r="CS325" s="155" t="str">
        <f t="shared" si="291"/>
        <v/>
      </c>
      <c r="CT325" s="155" t="str">
        <f t="shared" si="292"/>
        <v/>
      </c>
      <c r="CU325" s="155" t="str">
        <f t="shared" si="293"/>
        <v/>
      </c>
      <c r="CV325" s="155" t="str">
        <f t="shared" si="294"/>
        <v/>
      </c>
      <c r="CW325" s="155" t="str">
        <f t="shared" si="295"/>
        <v/>
      </c>
      <c r="CX325" s="155" t="str">
        <f t="shared" si="296"/>
        <v/>
      </c>
    </row>
    <row r="326" spans="1:102" s="151" customFormat="1" ht="14.25" x14ac:dyDescent="0.2">
      <c r="A326" s="158"/>
      <c r="B326" s="157" t="str">
        <f>Services!B326</f>
        <v>13A04</v>
      </c>
      <c r="C326" s="153" t="str">
        <f>Services!C326</f>
        <v>Contrôle de l'application de la politique relative à la Prp</v>
      </c>
      <c r="D326" s="149"/>
      <c r="E326" s="149">
        <f>2*(8*Plans_action!E301+Plans_action!D301)</f>
        <v>0</v>
      </c>
      <c r="F326" s="149"/>
      <c r="G326" s="149"/>
      <c r="H326" s="149"/>
      <c r="I326" s="140" t="str">
        <f t="shared" si="297"/>
        <v/>
      </c>
      <c r="J326" s="141" t="str">
        <f t="shared" ref="J326:J388" si="298">IF(MAX(BK326:CX326)=0,"",MAX(BK326:CX326))</f>
        <v/>
      </c>
      <c r="K326" s="142"/>
      <c r="L326" s="142"/>
      <c r="M326" s="1708"/>
      <c r="N326" s="1708"/>
      <c r="O326" s="1708"/>
      <c r="P326" s="1708"/>
      <c r="Q326" s="1708"/>
      <c r="R326" s="1708"/>
      <c r="S326" s="1708"/>
      <c r="T326" s="1708"/>
      <c r="U326" s="1708"/>
      <c r="V326" s="1708"/>
      <c r="W326" s="1708"/>
      <c r="X326" s="1712"/>
      <c r="Y326" s="1712"/>
      <c r="Z326" s="1712"/>
      <c r="AA326" s="1712"/>
      <c r="AB326" s="1712"/>
      <c r="AC326" s="1712"/>
      <c r="AD326" s="1712"/>
      <c r="AE326" s="1712"/>
      <c r="AF326" s="1712"/>
      <c r="AG326" s="1712"/>
      <c r="AH326" s="1712"/>
      <c r="AI326" s="1712"/>
      <c r="AJ326" s="1712"/>
      <c r="AK326" s="1712"/>
      <c r="AL326" s="1712"/>
      <c r="AM326" s="1712"/>
      <c r="AN326" s="1712"/>
      <c r="AO326" s="1712"/>
      <c r="AP326" s="1712"/>
      <c r="AQ326" s="1712"/>
      <c r="AR326" s="1712"/>
      <c r="AS326" s="1712"/>
      <c r="AT326" s="1712"/>
      <c r="AU326" s="1712"/>
      <c r="AV326" s="1712"/>
      <c r="AW326" s="1712"/>
      <c r="AX326" s="1713"/>
      <c r="AY326" s="1714" t="str">
        <f t="shared" si="215"/>
        <v/>
      </c>
      <c r="AZ326" s="1714" t="str">
        <f>IF(Obj_PA!D326="","",IF(AY326="","",Obj_PA!D326-AY326))</f>
        <v/>
      </c>
      <c r="BA326" s="150"/>
      <c r="BB326" s="150"/>
      <c r="BC326" s="150"/>
      <c r="BD326" s="150"/>
      <c r="BE326" s="150"/>
      <c r="BF326" s="150"/>
      <c r="BG326" s="150"/>
      <c r="BH326" s="150"/>
      <c r="BI326" s="150"/>
      <c r="BJ326" s="150"/>
      <c r="BK326" s="155" t="str">
        <f t="shared" si="257"/>
        <v/>
      </c>
      <c r="BL326" s="155" t="str">
        <f t="shared" si="258"/>
        <v/>
      </c>
      <c r="BM326" s="155" t="str">
        <f t="shared" si="259"/>
        <v/>
      </c>
      <c r="BN326" s="155" t="str">
        <f t="shared" si="260"/>
        <v/>
      </c>
      <c r="BO326" s="155" t="str">
        <f t="shared" si="261"/>
        <v/>
      </c>
      <c r="BP326" s="155" t="str">
        <f t="shared" si="262"/>
        <v/>
      </c>
      <c r="BQ326" s="155" t="str">
        <f t="shared" si="263"/>
        <v/>
      </c>
      <c r="BR326" s="155" t="str">
        <f t="shared" si="264"/>
        <v/>
      </c>
      <c r="BS326" s="155" t="str">
        <f t="shared" si="265"/>
        <v/>
      </c>
      <c r="BT326" s="155" t="str">
        <f t="shared" si="266"/>
        <v/>
      </c>
      <c r="BU326" s="155" t="str">
        <f t="shared" si="267"/>
        <v/>
      </c>
      <c r="BV326" s="155" t="str">
        <f t="shared" si="268"/>
        <v/>
      </c>
      <c r="BW326" s="155" t="str">
        <f t="shared" si="269"/>
        <v/>
      </c>
      <c r="BX326" s="155" t="str">
        <f t="shared" si="270"/>
        <v/>
      </c>
      <c r="BY326" s="155" t="str">
        <f t="shared" si="271"/>
        <v/>
      </c>
      <c r="BZ326" s="155" t="str">
        <f t="shared" si="272"/>
        <v/>
      </c>
      <c r="CA326" s="155" t="str">
        <f t="shared" si="273"/>
        <v/>
      </c>
      <c r="CB326" s="155" t="str">
        <f t="shared" si="274"/>
        <v/>
      </c>
      <c r="CC326" s="155" t="str">
        <f t="shared" si="275"/>
        <v/>
      </c>
      <c r="CD326" s="155" t="str">
        <f t="shared" si="276"/>
        <v/>
      </c>
      <c r="CE326" s="155" t="str">
        <f t="shared" si="277"/>
        <v/>
      </c>
      <c r="CF326" s="155" t="str">
        <f t="shared" si="278"/>
        <v/>
      </c>
      <c r="CG326" s="155" t="str">
        <f t="shared" si="279"/>
        <v/>
      </c>
      <c r="CH326" s="155" t="str">
        <f t="shared" si="280"/>
        <v/>
      </c>
      <c r="CI326" s="155" t="str">
        <f t="shared" si="281"/>
        <v/>
      </c>
      <c r="CJ326" s="155" t="str">
        <f t="shared" si="282"/>
        <v/>
      </c>
      <c r="CK326" s="155" t="str">
        <f t="shared" si="283"/>
        <v/>
      </c>
      <c r="CL326" s="155" t="str">
        <f t="shared" si="284"/>
        <v/>
      </c>
      <c r="CM326" s="155" t="str">
        <f t="shared" si="285"/>
        <v/>
      </c>
      <c r="CN326" s="155" t="str">
        <f t="shared" si="286"/>
        <v/>
      </c>
      <c r="CO326" s="155" t="str">
        <f t="shared" si="287"/>
        <v/>
      </c>
      <c r="CP326" s="155" t="str">
        <f t="shared" si="288"/>
        <v/>
      </c>
      <c r="CQ326" s="155" t="str">
        <f t="shared" si="289"/>
        <v/>
      </c>
      <c r="CR326" s="155" t="str">
        <f t="shared" si="290"/>
        <v/>
      </c>
      <c r="CS326" s="155" t="str">
        <f t="shared" si="291"/>
        <v/>
      </c>
      <c r="CT326" s="155" t="str">
        <f t="shared" si="292"/>
        <v/>
      </c>
      <c r="CU326" s="155" t="str">
        <f t="shared" si="293"/>
        <v/>
      </c>
      <c r="CV326" s="155" t="str">
        <f t="shared" si="294"/>
        <v/>
      </c>
      <c r="CW326" s="155" t="str">
        <f t="shared" si="295"/>
        <v/>
      </c>
      <c r="CX326" s="155" t="str">
        <f t="shared" si="296"/>
        <v/>
      </c>
    </row>
    <row r="327" spans="1:102" s="151" customFormat="1" ht="14.25" x14ac:dyDescent="0.2">
      <c r="A327" s="158"/>
      <c r="B327" s="147" t="str">
        <f>Services!B327</f>
        <v>13B</v>
      </c>
      <c r="C327" s="148" t="str">
        <f>Services!C327</f>
        <v>Communication financière</v>
      </c>
      <c r="D327" s="149"/>
      <c r="E327" s="149"/>
      <c r="F327" s="149"/>
      <c r="G327" s="149"/>
      <c r="H327" s="149"/>
      <c r="I327" s="140" t="str">
        <f t="shared" si="297"/>
        <v/>
      </c>
      <c r="J327" s="141" t="str">
        <f t="shared" si="298"/>
        <v/>
      </c>
      <c r="K327" s="142"/>
      <c r="L327" s="142"/>
      <c r="M327" s="1708"/>
      <c r="N327" s="1708"/>
      <c r="O327" s="1708"/>
      <c r="P327" s="1708"/>
      <c r="Q327" s="1708"/>
      <c r="R327" s="1708"/>
      <c r="S327" s="1708"/>
      <c r="T327" s="1708"/>
      <c r="U327" s="1708"/>
      <c r="V327" s="1708"/>
      <c r="W327" s="1708"/>
      <c r="X327" s="1712"/>
      <c r="Y327" s="1712"/>
      <c r="Z327" s="1712"/>
      <c r="AA327" s="1712"/>
      <c r="AB327" s="1712"/>
      <c r="AC327" s="1712"/>
      <c r="AD327" s="1712"/>
      <c r="AE327" s="1712"/>
      <c r="AF327" s="1712"/>
      <c r="AG327" s="1712"/>
      <c r="AH327" s="1712"/>
      <c r="AI327" s="1712"/>
      <c r="AJ327" s="1712"/>
      <c r="AK327" s="1712"/>
      <c r="AL327" s="1712"/>
      <c r="AM327" s="1712"/>
      <c r="AN327" s="1712"/>
      <c r="AO327" s="1712"/>
      <c r="AP327" s="1712"/>
      <c r="AQ327" s="1712"/>
      <c r="AR327" s="1712"/>
      <c r="AS327" s="1712"/>
      <c r="AT327" s="1712"/>
      <c r="AU327" s="1712"/>
      <c r="AV327" s="1712"/>
      <c r="AW327" s="1712"/>
      <c r="AX327" s="1713"/>
      <c r="AY327" s="1714" t="str">
        <f t="shared" ref="AY327:AY388" si="299">IF(MAX(K327:AX327)=0,"",MAX(K327:AX327))</f>
        <v/>
      </c>
      <c r="AZ327" s="1714" t="str">
        <f>IF(Obj_PA!D327="","",IF(AY327="","",Obj_PA!D327-AY327))</f>
        <v/>
      </c>
      <c r="BA327" s="150"/>
      <c r="BB327" s="150"/>
      <c r="BC327" s="150"/>
      <c r="BD327" s="150"/>
      <c r="BE327" s="150"/>
      <c r="BF327" s="150"/>
      <c r="BG327" s="150"/>
      <c r="BH327" s="150"/>
      <c r="BI327" s="150"/>
      <c r="BJ327" s="150"/>
      <c r="BK327" s="155" t="str">
        <f t="shared" si="257"/>
        <v/>
      </c>
      <c r="BL327" s="155" t="str">
        <f t="shared" si="258"/>
        <v/>
      </c>
      <c r="BM327" s="155" t="str">
        <f t="shared" si="259"/>
        <v/>
      </c>
      <c r="BN327" s="155" t="str">
        <f t="shared" si="260"/>
        <v/>
      </c>
      <c r="BO327" s="155" t="str">
        <f t="shared" si="261"/>
        <v/>
      </c>
      <c r="BP327" s="155" t="str">
        <f t="shared" si="262"/>
        <v/>
      </c>
      <c r="BQ327" s="155" t="str">
        <f t="shared" si="263"/>
        <v/>
      </c>
      <c r="BR327" s="155" t="str">
        <f t="shared" si="264"/>
        <v/>
      </c>
      <c r="BS327" s="155" t="str">
        <f t="shared" si="265"/>
        <v/>
      </c>
      <c r="BT327" s="155" t="str">
        <f t="shared" si="266"/>
        <v/>
      </c>
      <c r="BU327" s="155" t="str">
        <f t="shared" si="267"/>
        <v/>
      </c>
      <c r="BV327" s="155" t="str">
        <f t="shared" si="268"/>
        <v/>
      </c>
      <c r="BW327" s="155" t="str">
        <f t="shared" si="269"/>
        <v/>
      </c>
      <c r="BX327" s="155" t="str">
        <f t="shared" si="270"/>
        <v/>
      </c>
      <c r="BY327" s="155" t="str">
        <f t="shared" si="271"/>
        <v/>
      </c>
      <c r="BZ327" s="155" t="str">
        <f t="shared" si="272"/>
        <v/>
      </c>
      <c r="CA327" s="155" t="str">
        <f t="shared" si="273"/>
        <v/>
      </c>
      <c r="CB327" s="155" t="str">
        <f t="shared" si="274"/>
        <v/>
      </c>
      <c r="CC327" s="155" t="str">
        <f t="shared" si="275"/>
        <v/>
      </c>
      <c r="CD327" s="155" t="str">
        <f t="shared" si="276"/>
        <v/>
      </c>
      <c r="CE327" s="155" t="str">
        <f t="shared" si="277"/>
        <v/>
      </c>
      <c r="CF327" s="155" t="str">
        <f t="shared" si="278"/>
        <v/>
      </c>
      <c r="CG327" s="155" t="str">
        <f t="shared" si="279"/>
        <v/>
      </c>
      <c r="CH327" s="155" t="str">
        <f t="shared" si="280"/>
        <v/>
      </c>
      <c r="CI327" s="155" t="str">
        <f t="shared" si="281"/>
        <v/>
      </c>
      <c r="CJ327" s="155" t="str">
        <f t="shared" si="282"/>
        <v/>
      </c>
      <c r="CK327" s="155" t="str">
        <f t="shared" si="283"/>
        <v/>
      </c>
      <c r="CL327" s="155" t="str">
        <f t="shared" si="284"/>
        <v/>
      </c>
      <c r="CM327" s="155" t="str">
        <f t="shared" si="285"/>
        <v/>
      </c>
      <c r="CN327" s="155" t="str">
        <f t="shared" si="286"/>
        <v/>
      </c>
      <c r="CO327" s="155" t="str">
        <f t="shared" si="287"/>
        <v/>
      </c>
      <c r="CP327" s="155" t="str">
        <f t="shared" si="288"/>
        <v/>
      </c>
      <c r="CQ327" s="155" t="str">
        <f t="shared" si="289"/>
        <v/>
      </c>
      <c r="CR327" s="155" t="str">
        <f t="shared" si="290"/>
        <v/>
      </c>
      <c r="CS327" s="155" t="str">
        <f t="shared" si="291"/>
        <v/>
      </c>
      <c r="CT327" s="155" t="str">
        <f t="shared" si="292"/>
        <v/>
      </c>
      <c r="CU327" s="155" t="str">
        <f t="shared" si="293"/>
        <v/>
      </c>
      <c r="CV327" s="155" t="str">
        <f t="shared" si="294"/>
        <v/>
      </c>
      <c r="CW327" s="155" t="str">
        <f t="shared" si="295"/>
        <v/>
      </c>
      <c r="CX327" s="155" t="str">
        <f t="shared" si="296"/>
        <v/>
      </c>
    </row>
    <row r="328" spans="1:102" s="151" customFormat="1" ht="14.25" x14ac:dyDescent="0.2">
      <c r="A328" s="158"/>
      <c r="B328" s="157" t="str">
        <f>Services!B328</f>
        <v>13B01</v>
      </c>
      <c r="C328" s="153" t="str">
        <f>Services!C328</f>
        <v>Politique et directives relatives à la Communication financière</v>
      </c>
      <c r="D328" s="149"/>
      <c r="E328" s="149"/>
      <c r="F328" s="149"/>
      <c r="G328" s="149">
        <f>4*(8*Plans_action!E306+Plans_action!D306)</f>
        <v>0</v>
      </c>
      <c r="H328" s="149"/>
      <c r="I328" s="140" t="str">
        <f t="shared" si="297"/>
        <v/>
      </c>
      <c r="J328" s="141" t="str">
        <f t="shared" si="298"/>
        <v/>
      </c>
      <c r="K328" s="142"/>
      <c r="L328" s="142"/>
      <c r="M328" s="1708"/>
      <c r="N328" s="1708"/>
      <c r="O328" s="1708"/>
      <c r="P328" s="1708"/>
      <c r="Q328" s="1708"/>
      <c r="R328" s="1708"/>
      <c r="S328" s="1708"/>
      <c r="T328" s="1708"/>
      <c r="U328" s="1708"/>
      <c r="V328" s="1708"/>
      <c r="W328" s="1708"/>
      <c r="X328" s="1712"/>
      <c r="Y328" s="1712"/>
      <c r="Z328" s="1712"/>
      <c r="AA328" s="1712"/>
      <c r="AB328" s="1712"/>
      <c r="AC328" s="1712"/>
      <c r="AD328" s="1712"/>
      <c r="AE328" s="1712"/>
      <c r="AF328" s="1712"/>
      <c r="AG328" s="1712"/>
      <c r="AH328" s="1712"/>
      <c r="AI328" s="1712"/>
      <c r="AJ328" s="1712"/>
      <c r="AK328" s="1712"/>
      <c r="AL328" s="1712"/>
      <c r="AM328" s="1712"/>
      <c r="AN328" s="1712"/>
      <c r="AO328" s="1712"/>
      <c r="AP328" s="1712"/>
      <c r="AQ328" s="1712"/>
      <c r="AR328" s="1712"/>
      <c r="AS328" s="1712"/>
      <c r="AT328" s="1712"/>
      <c r="AU328" s="1712"/>
      <c r="AV328" s="1712"/>
      <c r="AW328" s="1712"/>
      <c r="AX328" s="1713"/>
      <c r="AY328" s="1714" t="str">
        <f t="shared" si="299"/>
        <v/>
      </c>
      <c r="AZ328" s="1714" t="str">
        <f>IF(Obj_PA!D328="","",IF(AY328="","",Obj_PA!D328-AY328))</f>
        <v/>
      </c>
      <c r="BA328" s="150"/>
      <c r="BB328" s="150"/>
      <c r="BC328" s="150"/>
      <c r="BD328" s="150"/>
      <c r="BE328" s="150"/>
      <c r="BF328" s="150"/>
      <c r="BG328" s="150"/>
      <c r="BH328" s="150"/>
      <c r="BI328" s="150"/>
      <c r="BJ328" s="150"/>
      <c r="BK328" s="155" t="str">
        <f t="shared" si="257"/>
        <v/>
      </c>
      <c r="BL328" s="155" t="str">
        <f t="shared" si="258"/>
        <v/>
      </c>
      <c r="BM328" s="155" t="str">
        <f t="shared" si="259"/>
        <v/>
      </c>
      <c r="BN328" s="155" t="str">
        <f t="shared" si="260"/>
        <v/>
      </c>
      <c r="BO328" s="155" t="str">
        <f t="shared" si="261"/>
        <v/>
      </c>
      <c r="BP328" s="155" t="str">
        <f t="shared" si="262"/>
        <v/>
      </c>
      <c r="BQ328" s="155" t="str">
        <f t="shared" si="263"/>
        <v/>
      </c>
      <c r="BR328" s="155" t="str">
        <f t="shared" si="264"/>
        <v/>
      </c>
      <c r="BS328" s="155" t="str">
        <f t="shared" si="265"/>
        <v/>
      </c>
      <c r="BT328" s="155" t="str">
        <f t="shared" si="266"/>
        <v/>
      </c>
      <c r="BU328" s="155" t="str">
        <f t="shared" si="267"/>
        <v/>
      </c>
      <c r="BV328" s="155" t="str">
        <f t="shared" si="268"/>
        <v/>
      </c>
      <c r="BW328" s="155" t="str">
        <f t="shared" si="269"/>
        <v/>
      </c>
      <c r="BX328" s="155" t="str">
        <f t="shared" si="270"/>
        <v/>
      </c>
      <c r="BY328" s="155" t="str">
        <f t="shared" si="271"/>
        <v/>
      </c>
      <c r="BZ328" s="155" t="str">
        <f t="shared" si="272"/>
        <v/>
      </c>
      <c r="CA328" s="155" t="str">
        <f t="shared" si="273"/>
        <v/>
      </c>
      <c r="CB328" s="155" t="str">
        <f t="shared" si="274"/>
        <v/>
      </c>
      <c r="CC328" s="155" t="str">
        <f t="shared" si="275"/>
        <v/>
      </c>
      <c r="CD328" s="155" t="str">
        <f t="shared" si="276"/>
        <v/>
      </c>
      <c r="CE328" s="155" t="str">
        <f t="shared" si="277"/>
        <v/>
      </c>
      <c r="CF328" s="155" t="str">
        <f t="shared" si="278"/>
        <v/>
      </c>
      <c r="CG328" s="155" t="str">
        <f t="shared" si="279"/>
        <v/>
      </c>
      <c r="CH328" s="155" t="str">
        <f t="shared" si="280"/>
        <v/>
      </c>
      <c r="CI328" s="155" t="str">
        <f t="shared" si="281"/>
        <v/>
      </c>
      <c r="CJ328" s="155" t="str">
        <f t="shared" si="282"/>
        <v/>
      </c>
      <c r="CK328" s="155" t="str">
        <f t="shared" si="283"/>
        <v/>
      </c>
      <c r="CL328" s="155" t="str">
        <f t="shared" si="284"/>
        <v/>
      </c>
      <c r="CM328" s="155" t="str">
        <f t="shared" si="285"/>
        <v/>
      </c>
      <c r="CN328" s="155" t="str">
        <f t="shared" si="286"/>
        <v/>
      </c>
      <c r="CO328" s="155" t="str">
        <f t="shared" si="287"/>
        <v/>
      </c>
      <c r="CP328" s="155" t="str">
        <f t="shared" si="288"/>
        <v/>
      </c>
      <c r="CQ328" s="155" t="str">
        <f t="shared" si="289"/>
        <v/>
      </c>
      <c r="CR328" s="155" t="str">
        <f t="shared" si="290"/>
        <v/>
      </c>
      <c r="CS328" s="155" t="str">
        <f t="shared" si="291"/>
        <v/>
      </c>
      <c r="CT328" s="155" t="str">
        <f t="shared" si="292"/>
        <v/>
      </c>
      <c r="CU328" s="155" t="str">
        <f t="shared" si="293"/>
        <v/>
      </c>
      <c r="CV328" s="155" t="str">
        <f t="shared" si="294"/>
        <v/>
      </c>
      <c r="CW328" s="155" t="str">
        <f t="shared" si="295"/>
        <v/>
      </c>
      <c r="CX328" s="155" t="str">
        <f t="shared" si="296"/>
        <v/>
      </c>
    </row>
    <row r="329" spans="1:102" s="151" customFormat="1" ht="25.5" x14ac:dyDescent="0.2">
      <c r="A329" s="158"/>
      <c r="B329" s="157" t="str">
        <f>Services!B329</f>
        <v>13B02</v>
      </c>
      <c r="C329" s="153" t="str">
        <f>Services!C329</f>
        <v>Programme de formation et de sensibilisation à la Communication financière</v>
      </c>
      <c r="D329" s="149"/>
      <c r="E329" s="149"/>
      <c r="F329" s="149"/>
      <c r="G329" s="149">
        <f>4*(8*Plans_action!E306+Plans_action!D306)</f>
        <v>0</v>
      </c>
      <c r="H329" s="149"/>
      <c r="I329" s="140" t="str">
        <f t="shared" ref="I329:I360" si="300">IF(SUM(D329:H329)=0,"",LOG(SUM(D329:H329),2))</f>
        <v/>
      </c>
      <c r="J329" s="141" t="str">
        <f t="shared" si="298"/>
        <v/>
      </c>
      <c r="K329" s="142"/>
      <c r="L329" s="142"/>
      <c r="M329" s="1708"/>
      <c r="N329" s="1708"/>
      <c r="O329" s="1708"/>
      <c r="P329" s="1708"/>
      <c r="Q329" s="1708"/>
      <c r="R329" s="1708"/>
      <c r="S329" s="1708"/>
      <c r="T329" s="1708"/>
      <c r="U329" s="1708"/>
      <c r="V329" s="1708"/>
      <c r="W329" s="1708"/>
      <c r="X329" s="1712"/>
      <c r="Y329" s="1712"/>
      <c r="Z329" s="1712"/>
      <c r="AA329" s="1712"/>
      <c r="AB329" s="1712"/>
      <c r="AC329" s="1712"/>
      <c r="AD329" s="1712"/>
      <c r="AE329" s="1712"/>
      <c r="AF329" s="1712"/>
      <c r="AG329" s="1712"/>
      <c r="AH329" s="1712"/>
      <c r="AI329" s="1712"/>
      <c r="AJ329" s="1712"/>
      <c r="AK329" s="1712"/>
      <c r="AL329" s="1712"/>
      <c r="AM329" s="1712"/>
      <c r="AN329" s="1712"/>
      <c r="AO329" s="1712"/>
      <c r="AP329" s="1712"/>
      <c r="AQ329" s="1712"/>
      <c r="AR329" s="1712"/>
      <c r="AS329" s="1712"/>
      <c r="AT329" s="1712"/>
      <c r="AU329" s="1712"/>
      <c r="AV329" s="1712"/>
      <c r="AW329" s="1712"/>
      <c r="AX329" s="1713"/>
      <c r="AY329" s="1714" t="str">
        <f t="shared" si="299"/>
        <v/>
      </c>
      <c r="AZ329" s="1714" t="str">
        <f>IF(Obj_PA!D329="","",IF(AY329="","",Obj_PA!D329-AY329))</f>
        <v/>
      </c>
      <c r="BA329" s="150"/>
      <c r="BB329" s="150"/>
      <c r="BC329" s="150"/>
      <c r="BD329" s="150"/>
      <c r="BE329" s="150"/>
      <c r="BF329" s="150"/>
      <c r="BG329" s="150"/>
      <c r="BH329" s="150"/>
      <c r="BI329" s="150"/>
      <c r="BJ329" s="150"/>
      <c r="BK329" s="155" t="str">
        <f t="shared" si="257"/>
        <v/>
      </c>
      <c r="BL329" s="155" t="str">
        <f t="shared" si="258"/>
        <v/>
      </c>
      <c r="BM329" s="155" t="str">
        <f t="shared" si="259"/>
        <v/>
      </c>
      <c r="BN329" s="155" t="str">
        <f t="shared" si="260"/>
        <v/>
      </c>
      <c r="BO329" s="155" t="str">
        <f t="shared" si="261"/>
        <v/>
      </c>
      <c r="BP329" s="155" t="str">
        <f t="shared" si="262"/>
        <v/>
      </c>
      <c r="BQ329" s="155" t="str">
        <f t="shared" si="263"/>
        <v/>
      </c>
      <c r="BR329" s="155" t="str">
        <f t="shared" si="264"/>
        <v/>
      </c>
      <c r="BS329" s="155" t="str">
        <f t="shared" si="265"/>
        <v/>
      </c>
      <c r="BT329" s="155" t="str">
        <f t="shared" si="266"/>
        <v/>
      </c>
      <c r="BU329" s="155" t="str">
        <f t="shared" si="267"/>
        <v/>
      </c>
      <c r="BV329" s="155" t="str">
        <f t="shared" si="268"/>
        <v/>
      </c>
      <c r="BW329" s="155" t="str">
        <f t="shared" si="269"/>
        <v/>
      </c>
      <c r="BX329" s="155" t="str">
        <f t="shared" si="270"/>
        <v/>
      </c>
      <c r="BY329" s="155" t="str">
        <f t="shared" si="271"/>
        <v/>
      </c>
      <c r="BZ329" s="155" t="str">
        <f t="shared" si="272"/>
        <v/>
      </c>
      <c r="CA329" s="155" t="str">
        <f t="shared" si="273"/>
        <v/>
      </c>
      <c r="CB329" s="155" t="str">
        <f t="shared" si="274"/>
        <v/>
      </c>
      <c r="CC329" s="155" t="str">
        <f t="shared" si="275"/>
        <v/>
      </c>
      <c r="CD329" s="155" t="str">
        <f t="shared" si="276"/>
        <v/>
      </c>
      <c r="CE329" s="155" t="str">
        <f t="shared" si="277"/>
        <v/>
      </c>
      <c r="CF329" s="155" t="str">
        <f t="shared" si="278"/>
        <v/>
      </c>
      <c r="CG329" s="155" t="str">
        <f t="shared" si="279"/>
        <v/>
      </c>
      <c r="CH329" s="155" t="str">
        <f t="shared" si="280"/>
        <v/>
      </c>
      <c r="CI329" s="155" t="str">
        <f t="shared" si="281"/>
        <v/>
      </c>
      <c r="CJ329" s="155" t="str">
        <f t="shared" si="282"/>
        <v/>
      </c>
      <c r="CK329" s="155" t="str">
        <f t="shared" si="283"/>
        <v/>
      </c>
      <c r="CL329" s="155" t="str">
        <f t="shared" si="284"/>
        <v/>
      </c>
      <c r="CM329" s="155" t="str">
        <f t="shared" si="285"/>
        <v/>
      </c>
      <c r="CN329" s="155" t="str">
        <f t="shared" si="286"/>
        <v/>
      </c>
      <c r="CO329" s="155" t="str">
        <f t="shared" si="287"/>
        <v/>
      </c>
      <c r="CP329" s="155" t="str">
        <f t="shared" si="288"/>
        <v/>
      </c>
      <c r="CQ329" s="155" t="str">
        <f t="shared" si="289"/>
        <v/>
      </c>
      <c r="CR329" s="155" t="str">
        <f t="shared" si="290"/>
        <v/>
      </c>
      <c r="CS329" s="155" t="str">
        <f t="shared" si="291"/>
        <v/>
      </c>
      <c r="CT329" s="155" t="str">
        <f t="shared" si="292"/>
        <v/>
      </c>
      <c r="CU329" s="155" t="str">
        <f t="shared" si="293"/>
        <v/>
      </c>
      <c r="CV329" s="155" t="str">
        <f t="shared" si="294"/>
        <v/>
      </c>
      <c r="CW329" s="155" t="str">
        <f t="shared" si="295"/>
        <v/>
      </c>
      <c r="CX329" s="155" t="str">
        <f t="shared" si="296"/>
        <v/>
      </c>
    </row>
    <row r="330" spans="1:102" s="151" customFormat="1" ht="14.25" x14ac:dyDescent="0.2">
      <c r="A330" s="158"/>
      <c r="B330" s="157" t="str">
        <f>Services!B330</f>
        <v>13B03</v>
      </c>
      <c r="C330" s="153" t="str">
        <f>Services!C330</f>
        <v>Applicabilité de la politique relative à la Communication financière</v>
      </c>
      <c r="D330" s="149"/>
      <c r="E330" s="149"/>
      <c r="F330" s="149"/>
      <c r="G330" s="149">
        <f>4*(8*Plans_action!E306+Plans_action!D306)</f>
        <v>0</v>
      </c>
      <c r="H330" s="149"/>
      <c r="I330" s="140" t="str">
        <f t="shared" si="300"/>
        <v/>
      </c>
      <c r="J330" s="141" t="str">
        <f t="shared" si="298"/>
        <v/>
      </c>
      <c r="K330" s="142"/>
      <c r="L330" s="142"/>
      <c r="M330" s="1708"/>
      <c r="N330" s="1708"/>
      <c r="O330" s="1708"/>
      <c r="P330" s="1708"/>
      <c r="Q330" s="1708"/>
      <c r="R330" s="1708"/>
      <c r="S330" s="1708"/>
      <c r="T330" s="1708"/>
      <c r="U330" s="1708"/>
      <c r="V330" s="1708"/>
      <c r="W330" s="1708"/>
      <c r="X330" s="1712"/>
      <c r="Y330" s="1712"/>
      <c r="Z330" s="1712"/>
      <c r="AA330" s="1712"/>
      <c r="AB330" s="1712"/>
      <c r="AC330" s="1712"/>
      <c r="AD330" s="1712"/>
      <c r="AE330" s="1712"/>
      <c r="AF330" s="1712"/>
      <c r="AG330" s="1712"/>
      <c r="AH330" s="1712"/>
      <c r="AI330" s="1712"/>
      <c r="AJ330" s="1712"/>
      <c r="AK330" s="1712"/>
      <c r="AL330" s="1712"/>
      <c r="AM330" s="1712"/>
      <c r="AN330" s="1712"/>
      <c r="AO330" s="1712"/>
      <c r="AP330" s="1712"/>
      <c r="AQ330" s="1712"/>
      <c r="AR330" s="1712"/>
      <c r="AS330" s="1712"/>
      <c r="AT330" s="1712"/>
      <c r="AU330" s="1712"/>
      <c r="AV330" s="1712"/>
      <c r="AW330" s="1712"/>
      <c r="AX330" s="1713"/>
      <c r="AY330" s="1714" t="str">
        <f t="shared" si="299"/>
        <v/>
      </c>
      <c r="AZ330" s="1714" t="str">
        <f>IF(Obj_PA!D330="","",IF(AY330="","",Obj_PA!D330-AY330))</f>
        <v/>
      </c>
      <c r="BA330" s="150"/>
      <c r="BB330" s="150"/>
      <c r="BC330" s="150"/>
      <c r="BD330" s="150"/>
      <c r="BE330" s="150"/>
      <c r="BF330" s="150"/>
      <c r="BG330" s="150"/>
      <c r="BH330" s="150"/>
      <c r="BI330" s="150"/>
      <c r="BJ330" s="150"/>
      <c r="BK330" s="155" t="str">
        <f t="shared" si="257"/>
        <v/>
      </c>
      <c r="BL330" s="155" t="str">
        <f t="shared" si="258"/>
        <v/>
      </c>
      <c r="BM330" s="155" t="str">
        <f t="shared" si="259"/>
        <v/>
      </c>
      <c r="BN330" s="155" t="str">
        <f t="shared" si="260"/>
        <v/>
      </c>
      <c r="BO330" s="155" t="str">
        <f t="shared" si="261"/>
        <v/>
      </c>
      <c r="BP330" s="155" t="str">
        <f t="shared" si="262"/>
        <v/>
      </c>
      <c r="BQ330" s="155" t="str">
        <f t="shared" si="263"/>
        <v/>
      </c>
      <c r="BR330" s="155" t="str">
        <f t="shared" si="264"/>
        <v/>
      </c>
      <c r="BS330" s="155" t="str">
        <f t="shared" si="265"/>
        <v/>
      </c>
      <c r="BT330" s="155" t="str">
        <f t="shared" si="266"/>
        <v/>
      </c>
      <c r="BU330" s="155" t="str">
        <f t="shared" si="267"/>
        <v/>
      </c>
      <c r="BV330" s="155" t="str">
        <f t="shared" si="268"/>
        <v/>
      </c>
      <c r="BW330" s="155" t="str">
        <f t="shared" si="269"/>
        <v/>
      </c>
      <c r="BX330" s="155" t="str">
        <f t="shared" si="270"/>
        <v/>
      </c>
      <c r="BY330" s="155" t="str">
        <f t="shared" si="271"/>
        <v/>
      </c>
      <c r="BZ330" s="155" t="str">
        <f t="shared" si="272"/>
        <v/>
      </c>
      <c r="CA330" s="155" t="str">
        <f t="shared" si="273"/>
        <v/>
      </c>
      <c r="CB330" s="155" t="str">
        <f t="shared" si="274"/>
        <v/>
      </c>
      <c r="CC330" s="155" t="str">
        <f t="shared" si="275"/>
        <v/>
      </c>
      <c r="CD330" s="155" t="str">
        <f t="shared" si="276"/>
        <v/>
      </c>
      <c r="CE330" s="155" t="str">
        <f t="shared" si="277"/>
        <v/>
      </c>
      <c r="CF330" s="155" t="str">
        <f t="shared" si="278"/>
        <v/>
      </c>
      <c r="CG330" s="155" t="str">
        <f t="shared" si="279"/>
        <v/>
      </c>
      <c r="CH330" s="155" t="str">
        <f t="shared" si="280"/>
        <v/>
      </c>
      <c r="CI330" s="155" t="str">
        <f t="shared" si="281"/>
        <v/>
      </c>
      <c r="CJ330" s="155" t="str">
        <f t="shared" si="282"/>
        <v/>
      </c>
      <c r="CK330" s="155" t="str">
        <f t="shared" si="283"/>
        <v/>
      </c>
      <c r="CL330" s="155" t="str">
        <f t="shared" si="284"/>
        <v/>
      </c>
      <c r="CM330" s="155" t="str">
        <f t="shared" si="285"/>
        <v/>
      </c>
      <c r="CN330" s="155" t="str">
        <f t="shared" si="286"/>
        <v/>
      </c>
      <c r="CO330" s="155" t="str">
        <f t="shared" si="287"/>
        <v/>
      </c>
      <c r="CP330" s="155" t="str">
        <f t="shared" si="288"/>
        <v/>
      </c>
      <c r="CQ330" s="155" t="str">
        <f t="shared" si="289"/>
        <v/>
      </c>
      <c r="CR330" s="155" t="str">
        <f t="shared" si="290"/>
        <v/>
      </c>
      <c r="CS330" s="155" t="str">
        <f t="shared" si="291"/>
        <v/>
      </c>
      <c r="CT330" s="155" t="str">
        <f t="shared" si="292"/>
        <v/>
      </c>
      <c r="CU330" s="155" t="str">
        <f t="shared" si="293"/>
        <v/>
      </c>
      <c r="CV330" s="155" t="str">
        <f t="shared" si="294"/>
        <v/>
      </c>
      <c r="CW330" s="155" t="str">
        <f t="shared" si="295"/>
        <v/>
      </c>
      <c r="CX330" s="155" t="str">
        <f t="shared" si="296"/>
        <v/>
      </c>
    </row>
    <row r="331" spans="1:102" s="151" customFormat="1" ht="25.5" x14ac:dyDescent="0.2">
      <c r="A331" s="158"/>
      <c r="B331" s="157" t="str">
        <f>Services!B331</f>
        <v>13B04</v>
      </c>
      <c r="C331" s="153" t="str">
        <f>Services!C331</f>
        <v>Contrôle de l'application de la politique relative à la Communication financière</v>
      </c>
      <c r="D331" s="149"/>
      <c r="E331" s="149">
        <f>2*(8*Plans_action!E306+Plans_action!D306)</f>
        <v>0</v>
      </c>
      <c r="F331" s="149"/>
      <c r="G331" s="149"/>
      <c r="H331" s="149"/>
      <c r="I331" s="140" t="str">
        <f t="shared" si="300"/>
        <v/>
      </c>
      <c r="J331" s="141" t="str">
        <f t="shared" si="298"/>
        <v/>
      </c>
      <c r="K331" s="142"/>
      <c r="L331" s="142"/>
      <c r="M331" s="1708"/>
      <c r="N331" s="1708"/>
      <c r="O331" s="1708"/>
      <c r="P331" s="1708"/>
      <c r="Q331" s="1708"/>
      <c r="R331" s="1708"/>
      <c r="S331" s="1708"/>
      <c r="T331" s="1708"/>
      <c r="U331" s="1708"/>
      <c r="V331" s="1708"/>
      <c r="W331" s="1708"/>
      <c r="X331" s="1712"/>
      <c r="Y331" s="1712"/>
      <c r="Z331" s="1712"/>
      <c r="AA331" s="1712"/>
      <c r="AB331" s="1712"/>
      <c r="AC331" s="1712"/>
      <c r="AD331" s="1712"/>
      <c r="AE331" s="1712"/>
      <c r="AF331" s="1712"/>
      <c r="AG331" s="1712"/>
      <c r="AH331" s="1712"/>
      <c r="AI331" s="1712"/>
      <c r="AJ331" s="1712"/>
      <c r="AK331" s="1712"/>
      <c r="AL331" s="1712"/>
      <c r="AM331" s="1712"/>
      <c r="AN331" s="1712"/>
      <c r="AO331" s="1712"/>
      <c r="AP331" s="1712"/>
      <c r="AQ331" s="1712"/>
      <c r="AR331" s="1712"/>
      <c r="AS331" s="1712"/>
      <c r="AT331" s="1712"/>
      <c r="AU331" s="1712"/>
      <c r="AV331" s="1712"/>
      <c r="AW331" s="1712"/>
      <c r="AX331" s="1713"/>
      <c r="AY331" s="1714" t="str">
        <f t="shared" si="299"/>
        <v/>
      </c>
      <c r="AZ331" s="1714" t="str">
        <f>IF(Obj_PA!D331="","",IF(AY331="","",Obj_PA!D331-AY331))</f>
        <v/>
      </c>
      <c r="BA331" s="150"/>
      <c r="BB331" s="150"/>
      <c r="BC331" s="150"/>
      <c r="BD331" s="150"/>
      <c r="BE331" s="150"/>
      <c r="BF331" s="150"/>
      <c r="BG331" s="150"/>
      <c r="BH331" s="150"/>
      <c r="BI331" s="150"/>
      <c r="BJ331" s="150"/>
      <c r="BK331" s="155" t="str">
        <f t="shared" ref="BK331:BK388" si="301">IF(OR(K$4&gt;$J$4,K331=""),"",K331)</f>
        <v/>
      </c>
      <c r="BL331" s="155" t="str">
        <f t="shared" ref="BL331:BL388" si="302">IF(OR(L$4&gt;$J$4,L331=""),"",L331)</f>
        <v/>
      </c>
      <c r="BM331" s="155" t="str">
        <f t="shared" ref="BM331:BM388" si="303">IF(OR(M$4&gt;$J$4,M331=""),"",M331)</f>
        <v/>
      </c>
      <c r="BN331" s="155" t="str">
        <f t="shared" ref="BN331:BN388" si="304">IF(OR(N$4&gt;$J$4,N331=""),"",N331)</f>
        <v/>
      </c>
      <c r="BO331" s="155" t="str">
        <f t="shared" ref="BO331:BO388" si="305">IF(OR(O$4&gt;$J$4,O331=""),"",O331)</f>
        <v/>
      </c>
      <c r="BP331" s="155" t="str">
        <f t="shared" ref="BP331:BP388" si="306">IF(OR(P$4&gt;$J$4,P331=""),"",P331)</f>
        <v/>
      </c>
      <c r="BQ331" s="155" t="str">
        <f t="shared" ref="BQ331:BQ388" si="307">IF(OR(Q$4&gt;$J$4,Q331=""),"",Q331)</f>
        <v/>
      </c>
      <c r="BR331" s="155" t="str">
        <f t="shared" ref="BR331:BR388" si="308">IF(OR(R$4&gt;$J$4,R331=""),"",R331)</f>
        <v/>
      </c>
      <c r="BS331" s="155" t="str">
        <f t="shared" ref="BS331:BS388" si="309">IF(OR(S$4&gt;$J$4,S331=""),"",S331)</f>
        <v/>
      </c>
      <c r="BT331" s="155" t="str">
        <f t="shared" ref="BT331:BT388" si="310">IF(OR(T$4&gt;$J$4,T331=""),"",T331)</f>
        <v/>
      </c>
      <c r="BU331" s="155" t="str">
        <f t="shared" ref="BU331:BU388" si="311">IF(OR(U$4&gt;$J$4,U331=""),"",U331)</f>
        <v/>
      </c>
      <c r="BV331" s="155" t="str">
        <f t="shared" ref="BV331:BV388" si="312">IF(OR(V$4&gt;$J$4,V331=""),"",V331)</f>
        <v/>
      </c>
      <c r="BW331" s="155" t="str">
        <f t="shared" ref="BW331:BW388" si="313">IF(OR(W$4&gt;$J$4,W331=""),"",W331)</f>
        <v/>
      </c>
      <c r="BX331" s="155" t="str">
        <f t="shared" ref="BX331:BX388" si="314">IF(OR(X$4&gt;$J$4,X331=""),"",X331)</f>
        <v/>
      </c>
      <c r="BY331" s="155" t="str">
        <f t="shared" ref="BY331:BY388" si="315">IF(OR(Y$4&gt;$J$4,Y331=""),"",Y331)</f>
        <v/>
      </c>
      <c r="BZ331" s="155" t="str">
        <f t="shared" ref="BZ331:BZ388" si="316">IF(OR(Z$4&gt;$J$4,Z331=""),"",Z331)</f>
        <v/>
      </c>
      <c r="CA331" s="155" t="str">
        <f t="shared" ref="CA331:CA388" si="317">IF(OR(AA$4&gt;$J$4,AA331=""),"",AA331)</f>
        <v/>
      </c>
      <c r="CB331" s="155" t="str">
        <f t="shared" ref="CB331:CB388" si="318">IF(OR(AB$4&gt;$J$4,AB331=""),"",AB331)</f>
        <v/>
      </c>
      <c r="CC331" s="155" t="str">
        <f t="shared" ref="CC331:CC388" si="319">IF(OR(AC$4&gt;$J$4,AC331=""),"",AC331)</f>
        <v/>
      </c>
      <c r="CD331" s="155" t="str">
        <f t="shared" ref="CD331:CD388" si="320">IF(OR(AD$4&gt;$J$4,AD331=""),"",AD331)</f>
        <v/>
      </c>
      <c r="CE331" s="155" t="str">
        <f t="shared" ref="CE331:CE388" si="321">IF(OR(AE$4&gt;$J$4,AE331=""),"",AE331)</f>
        <v/>
      </c>
      <c r="CF331" s="155" t="str">
        <f t="shared" ref="CF331:CF388" si="322">IF(OR(AF$4&gt;$J$4,AF331=""),"",AF331)</f>
        <v/>
      </c>
      <c r="CG331" s="155" t="str">
        <f t="shared" ref="CG331:CG388" si="323">IF(OR(AG$4&gt;$J$4,AG331=""),"",AG331)</f>
        <v/>
      </c>
      <c r="CH331" s="155" t="str">
        <f t="shared" ref="CH331:CH388" si="324">IF(OR(AH$4&gt;$J$4,AH331=""),"",AH331)</f>
        <v/>
      </c>
      <c r="CI331" s="155" t="str">
        <f t="shared" ref="CI331:CI388" si="325">IF(OR(AI$4&gt;$J$4,AI331=""),"",AI331)</f>
        <v/>
      </c>
      <c r="CJ331" s="155" t="str">
        <f t="shared" ref="CJ331:CJ388" si="326">IF(OR(AJ$4&gt;$J$4,AJ331=""),"",AJ331)</f>
        <v/>
      </c>
      <c r="CK331" s="155" t="str">
        <f t="shared" ref="CK331:CK388" si="327">IF(OR(AK$4&gt;$J$4,AK331=""),"",AK331)</f>
        <v/>
      </c>
      <c r="CL331" s="155" t="str">
        <f t="shared" ref="CL331:CL388" si="328">IF(OR(AL$4&gt;$J$4,AL331=""),"",AL331)</f>
        <v/>
      </c>
      <c r="CM331" s="155" t="str">
        <f t="shared" ref="CM331:CM388" si="329">IF(OR(AM$4&gt;$J$4,AM331=""),"",AM331)</f>
        <v/>
      </c>
      <c r="CN331" s="155" t="str">
        <f t="shared" ref="CN331:CN388" si="330">IF(OR(AN$4&gt;$J$4,AN331=""),"",AN331)</f>
        <v/>
      </c>
      <c r="CO331" s="155" t="str">
        <f t="shared" ref="CO331:CO388" si="331">IF(OR(AO$4&gt;$J$4,AO331=""),"",AO331)</f>
        <v/>
      </c>
      <c r="CP331" s="155" t="str">
        <f t="shared" ref="CP331:CP388" si="332">IF(OR(AP$4&gt;$J$4,AP331=""),"",AP331)</f>
        <v/>
      </c>
      <c r="CQ331" s="155" t="str">
        <f t="shared" ref="CQ331:CQ388" si="333">IF(OR(AQ$4&gt;$J$4,AQ331=""),"",AQ331)</f>
        <v/>
      </c>
      <c r="CR331" s="155" t="str">
        <f t="shared" ref="CR331:CR388" si="334">IF(OR(AR$4&gt;$J$4,AR331=""),"",AR331)</f>
        <v/>
      </c>
      <c r="CS331" s="155" t="str">
        <f t="shared" ref="CS331:CS388" si="335">IF(OR(AS$4&gt;$J$4,AS331=""),"",AS331)</f>
        <v/>
      </c>
      <c r="CT331" s="155" t="str">
        <f t="shared" ref="CT331:CT388" si="336">IF(OR(AT$4&gt;$J$4,AT331=""),"",AT331)</f>
        <v/>
      </c>
      <c r="CU331" s="155" t="str">
        <f t="shared" ref="CU331:CU388" si="337">IF(OR(AU$4&gt;$J$4,AU331=""),"",AU331)</f>
        <v/>
      </c>
      <c r="CV331" s="155" t="str">
        <f t="shared" ref="CV331:CV388" si="338">IF(OR(AV$4&gt;$J$4,AV331=""),"",AV331)</f>
        <v/>
      </c>
      <c r="CW331" s="155" t="str">
        <f t="shared" ref="CW331:CW388" si="339">IF(OR(AW$4&gt;$J$4,AW331=""),"",AW331)</f>
        <v/>
      </c>
      <c r="CX331" s="155" t="str">
        <f t="shared" ref="CX331:CX388" si="340">IF(OR(AX$4&gt;$J$4,AX331=""),"",AX331)</f>
        <v/>
      </c>
    </row>
    <row r="332" spans="1:102" s="151" customFormat="1" ht="15.75" customHeight="1" x14ac:dyDescent="0.2">
      <c r="A332" s="158"/>
      <c r="B332" s="147" t="str">
        <f>Services!B332</f>
        <v>13C</v>
      </c>
      <c r="C332" s="148" t="str">
        <f>Services!C332</f>
        <v>Respect de la législation concernant la Vérification de la Comptabilité Informatisée (VCI)</v>
      </c>
      <c r="D332" s="149"/>
      <c r="E332" s="149"/>
      <c r="F332" s="149"/>
      <c r="G332" s="149"/>
      <c r="H332" s="149"/>
      <c r="I332" s="140" t="str">
        <f t="shared" si="300"/>
        <v/>
      </c>
      <c r="J332" s="141" t="str">
        <f t="shared" si="298"/>
        <v/>
      </c>
      <c r="K332" s="142"/>
      <c r="L332" s="142"/>
      <c r="M332" s="1708"/>
      <c r="N332" s="1708"/>
      <c r="O332" s="1708"/>
      <c r="P332" s="1708"/>
      <c r="Q332" s="1708"/>
      <c r="R332" s="1708"/>
      <c r="S332" s="1708"/>
      <c r="T332" s="1708"/>
      <c r="U332" s="1708"/>
      <c r="V332" s="1708"/>
      <c r="W332" s="1708"/>
      <c r="X332" s="1712"/>
      <c r="Y332" s="1712"/>
      <c r="Z332" s="1712"/>
      <c r="AA332" s="1712"/>
      <c r="AB332" s="1712"/>
      <c r="AC332" s="1712"/>
      <c r="AD332" s="1712"/>
      <c r="AE332" s="1712"/>
      <c r="AF332" s="1712"/>
      <c r="AG332" s="1712"/>
      <c r="AH332" s="1712"/>
      <c r="AI332" s="1712"/>
      <c r="AJ332" s="1712"/>
      <c r="AK332" s="1712"/>
      <c r="AL332" s="1712"/>
      <c r="AM332" s="1712"/>
      <c r="AN332" s="1712"/>
      <c r="AO332" s="1712"/>
      <c r="AP332" s="1712"/>
      <c r="AQ332" s="1712"/>
      <c r="AR332" s="1712"/>
      <c r="AS332" s="1712"/>
      <c r="AT332" s="1712"/>
      <c r="AU332" s="1712"/>
      <c r="AV332" s="1712"/>
      <c r="AW332" s="1712"/>
      <c r="AX332" s="1713"/>
      <c r="AY332" s="1714" t="str">
        <f t="shared" si="299"/>
        <v/>
      </c>
      <c r="AZ332" s="1714" t="str">
        <f>IF(Obj_PA!D332="","",IF(AY332="","",Obj_PA!D332-AY332))</f>
        <v/>
      </c>
      <c r="BA332" s="150"/>
      <c r="BB332" s="150"/>
      <c r="BC332" s="150"/>
      <c r="BD332" s="150"/>
      <c r="BE332" s="150"/>
      <c r="BF332" s="150"/>
      <c r="BG332" s="150"/>
      <c r="BH332" s="150"/>
      <c r="BI332" s="150"/>
      <c r="BJ332" s="150"/>
      <c r="BK332" s="155" t="str">
        <f t="shared" si="301"/>
        <v/>
      </c>
      <c r="BL332" s="155" t="str">
        <f t="shared" si="302"/>
        <v/>
      </c>
      <c r="BM332" s="155" t="str">
        <f t="shared" si="303"/>
        <v/>
      </c>
      <c r="BN332" s="155" t="str">
        <f t="shared" si="304"/>
        <v/>
      </c>
      <c r="BO332" s="155" t="str">
        <f t="shared" si="305"/>
        <v/>
      </c>
      <c r="BP332" s="155" t="str">
        <f t="shared" si="306"/>
        <v/>
      </c>
      <c r="BQ332" s="155" t="str">
        <f t="shared" si="307"/>
        <v/>
      </c>
      <c r="BR332" s="155" t="str">
        <f t="shared" si="308"/>
        <v/>
      </c>
      <c r="BS332" s="155" t="str">
        <f t="shared" si="309"/>
        <v/>
      </c>
      <c r="BT332" s="155" t="str">
        <f t="shared" si="310"/>
        <v/>
      </c>
      <c r="BU332" s="155" t="str">
        <f t="shared" si="311"/>
        <v/>
      </c>
      <c r="BV332" s="155" t="str">
        <f t="shared" si="312"/>
        <v/>
      </c>
      <c r="BW332" s="155" t="str">
        <f t="shared" si="313"/>
        <v/>
      </c>
      <c r="BX332" s="155" t="str">
        <f t="shared" si="314"/>
        <v/>
      </c>
      <c r="BY332" s="155" t="str">
        <f t="shared" si="315"/>
        <v/>
      </c>
      <c r="BZ332" s="155" t="str">
        <f t="shared" si="316"/>
        <v/>
      </c>
      <c r="CA332" s="155" t="str">
        <f t="shared" si="317"/>
        <v/>
      </c>
      <c r="CB332" s="155" t="str">
        <f t="shared" si="318"/>
        <v/>
      </c>
      <c r="CC332" s="155" t="str">
        <f t="shared" si="319"/>
        <v/>
      </c>
      <c r="CD332" s="155" t="str">
        <f t="shared" si="320"/>
        <v/>
      </c>
      <c r="CE332" s="155" t="str">
        <f t="shared" si="321"/>
        <v/>
      </c>
      <c r="CF332" s="155" t="str">
        <f t="shared" si="322"/>
        <v/>
      </c>
      <c r="CG332" s="155" t="str">
        <f t="shared" si="323"/>
        <v/>
      </c>
      <c r="CH332" s="155" t="str">
        <f t="shared" si="324"/>
        <v/>
      </c>
      <c r="CI332" s="155" t="str">
        <f t="shared" si="325"/>
        <v/>
      </c>
      <c r="CJ332" s="155" t="str">
        <f t="shared" si="326"/>
        <v/>
      </c>
      <c r="CK332" s="155" t="str">
        <f t="shared" si="327"/>
        <v/>
      </c>
      <c r="CL332" s="155" t="str">
        <f t="shared" si="328"/>
        <v/>
      </c>
      <c r="CM332" s="155" t="str">
        <f t="shared" si="329"/>
        <v/>
      </c>
      <c r="CN332" s="155" t="str">
        <f t="shared" si="330"/>
        <v/>
      </c>
      <c r="CO332" s="155" t="str">
        <f t="shared" si="331"/>
        <v/>
      </c>
      <c r="CP332" s="155" t="str">
        <f t="shared" si="332"/>
        <v/>
      </c>
      <c r="CQ332" s="155" t="str">
        <f t="shared" si="333"/>
        <v/>
      </c>
      <c r="CR332" s="155" t="str">
        <f t="shared" si="334"/>
        <v/>
      </c>
      <c r="CS332" s="155" t="str">
        <f t="shared" si="335"/>
        <v/>
      </c>
      <c r="CT332" s="155" t="str">
        <f t="shared" si="336"/>
        <v/>
      </c>
      <c r="CU332" s="155" t="str">
        <f t="shared" si="337"/>
        <v/>
      </c>
      <c r="CV332" s="155" t="str">
        <f t="shared" si="338"/>
        <v/>
      </c>
      <c r="CW332" s="155" t="str">
        <f t="shared" si="339"/>
        <v/>
      </c>
      <c r="CX332" s="155" t="str">
        <f t="shared" si="340"/>
        <v/>
      </c>
    </row>
    <row r="333" spans="1:102" s="151" customFormat="1" ht="14.25" x14ac:dyDescent="0.2">
      <c r="A333" s="158"/>
      <c r="B333" s="157" t="str">
        <f>Services!B333</f>
        <v>13C01</v>
      </c>
      <c r="C333" s="153" t="str">
        <f>Services!C333</f>
        <v xml:space="preserve">Conservation des données et traitements </v>
      </c>
      <c r="D333" s="149"/>
      <c r="E333" s="149"/>
      <c r="F333" s="149"/>
      <c r="G333" s="149">
        <f>4*(8*Plans_action!E311+Plans_action!D311)</f>
        <v>0</v>
      </c>
      <c r="H333" s="149"/>
      <c r="I333" s="140" t="str">
        <f t="shared" si="300"/>
        <v/>
      </c>
      <c r="J333" s="141" t="str">
        <f t="shared" si="298"/>
        <v/>
      </c>
      <c r="K333" s="142"/>
      <c r="L333" s="142"/>
      <c r="M333" s="1708"/>
      <c r="N333" s="1708"/>
      <c r="O333" s="1708"/>
      <c r="P333" s="1708"/>
      <c r="Q333" s="1708"/>
      <c r="R333" s="1708"/>
      <c r="S333" s="1708"/>
      <c r="T333" s="1708"/>
      <c r="U333" s="1708"/>
      <c r="V333" s="1708"/>
      <c r="W333" s="1708"/>
      <c r="X333" s="1712"/>
      <c r="Y333" s="1712"/>
      <c r="Z333" s="1712"/>
      <c r="AA333" s="1712"/>
      <c r="AB333" s="1712"/>
      <c r="AC333" s="1712"/>
      <c r="AD333" s="1712"/>
      <c r="AE333" s="1712"/>
      <c r="AF333" s="1712"/>
      <c r="AG333" s="1712"/>
      <c r="AH333" s="1712"/>
      <c r="AI333" s="1712"/>
      <c r="AJ333" s="1712"/>
      <c r="AK333" s="1712"/>
      <c r="AL333" s="1712"/>
      <c r="AM333" s="1712"/>
      <c r="AN333" s="1712"/>
      <c r="AO333" s="1712"/>
      <c r="AP333" s="1712"/>
      <c r="AQ333" s="1712"/>
      <c r="AR333" s="1712"/>
      <c r="AS333" s="1712"/>
      <c r="AT333" s="1712"/>
      <c r="AU333" s="1712"/>
      <c r="AV333" s="1712"/>
      <c r="AW333" s="1712"/>
      <c r="AX333" s="1713"/>
      <c r="AY333" s="1714" t="str">
        <f t="shared" si="299"/>
        <v/>
      </c>
      <c r="AZ333" s="1714" t="str">
        <f>IF(Obj_PA!D333="","",IF(AY333="","",Obj_PA!D333-AY333))</f>
        <v/>
      </c>
      <c r="BA333" s="150"/>
      <c r="BB333" s="150"/>
      <c r="BC333" s="150"/>
      <c r="BD333" s="150"/>
      <c r="BE333" s="150"/>
      <c r="BF333" s="150"/>
      <c r="BG333" s="150"/>
      <c r="BH333" s="150"/>
      <c r="BI333" s="150"/>
      <c r="BJ333" s="150"/>
      <c r="BK333" s="155" t="str">
        <f t="shared" si="301"/>
        <v/>
      </c>
      <c r="BL333" s="155" t="str">
        <f t="shared" si="302"/>
        <v/>
      </c>
      <c r="BM333" s="155" t="str">
        <f t="shared" si="303"/>
        <v/>
      </c>
      <c r="BN333" s="155" t="str">
        <f t="shared" si="304"/>
        <v/>
      </c>
      <c r="BO333" s="155" t="str">
        <f t="shared" si="305"/>
        <v/>
      </c>
      <c r="BP333" s="155" t="str">
        <f t="shared" si="306"/>
        <v/>
      </c>
      <c r="BQ333" s="155" t="str">
        <f t="shared" si="307"/>
        <v/>
      </c>
      <c r="BR333" s="155" t="str">
        <f t="shared" si="308"/>
        <v/>
      </c>
      <c r="BS333" s="155" t="str">
        <f t="shared" si="309"/>
        <v/>
      </c>
      <c r="BT333" s="155" t="str">
        <f t="shared" si="310"/>
        <v/>
      </c>
      <c r="BU333" s="155" t="str">
        <f t="shared" si="311"/>
        <v/>
      </c>
      <c r="BV333" s="155" t="str">
        <f t="shared" si="312"/>
        <v/>
      </c>
      <c r="BW333" s="155" t="str">
        <f t="shared" si="313"/>
        <v/>
      </c>
      <c r="BX333" s="155" t="str">
        <f t="shared" si="314"/>
        <v/>
      </c>
      <c r="BY333" s="155" t="str">
        <f t="shared" si="315"/>
        <v/>
      </c>
      <c r="BZ333" s="155" t="str">
        <f t="shared" si="316"/>
        <v/>
      </c>
      <c r="CA333" s="155" t="str">
        <f t="shared" si="317"/>
        <v/>
      </c>
      <c r="CB333" s="155" t="str">
        <f t="shared" si="318"/>
        <v/>
      </c>
      <c r="CC333" s="155" t="str">
        <f t="shared" si="319"/>
        <v/>
      </c>
      <c r="CD333" s="155" t="str">
        <f t="shared" si="320"/>
        <v/>
      </c>
      <c r="CE333" s="155" t="str">
        <f t="shared" si="321"/>
        <v/>
      </c>
      <c r="CF333" s="155" t="str">
        <f t="shared" si="322"/>
        <v/>
      </c>
      <c r="CG333" s="155" t="str">
        <f t="shared" si="323"/>
        <v/>
      </c>
      <c r="CH333" s="155" t="str">
        <f t="shared" si="324"/>
        <v/>
      </c>
      <c r="CI333" s="155" t="str">
        <f t="shared" si="325"/>
        <v/>
      </c>
      <c r="CJ333" s="155" t="str">
        <f t="shared" si="326"/>
        <v/>
      </c>
      <c r="CK333" s="155" t="str">
        <f t="shared" si="327"/>
        <v/>
      </c>
      <c r="CL333" s="155" t="str">
        <f t="shared" si="328"/>
        <v/>
      </c>
      <c r="CM333" s="155" t="str">
        <f t="shared" si="329"/>
        <v/>
      </c>
      <c r="CN333" s="155" t="str">
        <f t="shared" si="330"/>
        <v/>
      </c>
      <c r="CO333" s="155" t="str">
        <f t="shared" si="331"/>
        <v/>
      </c>
      <c r="CP333" s="155" t="str">
        <f t="shared" si="332"/>
        <v/>
      </c>
      <c r="CQ333" s="155" t="str">
        <f t="shared" si="333"/>
        <v/>
      </c>
      <c r="CR333" s="155" t="str">
        <f t="shared" si="334"/>
        <v/>
      </c>
      <c r="CS333" s="155" t="str">
        <f t="shared" si="335"/>
        <v/>
      </c>
      <c r="CT333" s="155" t="str">
        <f t="shared" si="336"/>
        <v/>
      </c>
      <c r="CU333" s="155" t="str">
        <f t="shared" si="337"/>
        <v/>
      </c>
      <c r="CV333" s="155" t="str">
        <f t="shared" si="338"/>
        <v/>
      </c>
      <c r="CW333" s="155" t="str">
        <f t="shared" si="339"/>
        <v/>
      </c>
      <c r="CX333" s="155" t="str">
        <f t="shared" si="340"/>
        <v/>
      </c>
    </row>
    <row r="334" spans="1:102" s="151" customFormat="1" ht="25.5" x14ac:dyDescent="0.2">
      <c r="A334" s="158"/>
      <c r="B334" s="157" t="str">
        <f>Services!B334</f>
        <v>13C02</v>
      </c>
      <c r="C334" s="153" t="str">
        <f>Services!C334</f>
        <v>Documentation des données , procédures et traitements liés à la comptabilité</v>
      </c>
      <c r="D334" s="149"/>
      <c r="E334" s="149"/>
      <c r="F334" s="149"/>
      <c r="G334" s="149">
        <f>4*(8*Plans_action!E311+Plans_action!D311)</f>
        <v>0</v>
      </c>
      <c r="H334" s="149"/>
      <c r="I334" s="140" t="str">
        <f t="shared" si="300"/>
        <v/>
      </c>
      <c r="J334" s="141" t="str">
        <f t="shared" si="298"/>
        <v/>
      </c>
      <c r="K334" s="142"/>
      <c r="L334" s="142"/>
      <c r="M334" s="1708"/>
      <c r="N334" s="1708"/>
      <c r="O334" s="1708"/>
      <c r="P334" s="1708"/>
      <c r="Q334" s="1708"/>
      <c r="R334" s="1708"/>
      <c r="S334" s="1708"/>
      <c r="T334" s="1708"/>
      <c r="U334" s="1708"/>
      <c r="V334" s="1708"/>
      <c r="W334" s="1708"/>
      <c r="X334" s="1712"/>
      <c r="Y334" s="1712"/>
      <c r="Z334" s="1712"/>
      <c r="AA334" s="1712"/>
      <c r="AB334" s="1712"/>
      <c r="AC334" s="1712"/>
      <c r="AD334" s="1712"/>
      <c r="AE334" s="1712"/>
      <c r="AF334" s="1712"/>
      <c r="AG334" s="1712"/>
      <c r="AH334" s="1712"/>
      <c r="AI334" s="1712"/>
      <c r="AJ334" s="1712"/>
      <c r="AK334" s="1712"/>
      <c r="AL334" s="1712"/>
      <c r="AM334" s="1712"/>
      <c r="AN334" s="1712"/>
      <c r="AO334" s="1712"/>
      <c r="AP334" s="1712"/>
      <c r="AQ334" s="1712"/>
      <c r="AR334" s="1712"/>
      <c r="AS334" s="1712"/>
      <c r="AT334" s="1712"/>
      <c r="AU334" s="1712"/>
      <c r="AV334" s="1712"/>
      <c r="AW334" s="1712"/>
      <c r="AX334" s="1713"/>
      <c r="AY334" s="1714" t="str">
        <f t="shared" si="299"/>
        <v/>
      </c>
      <c r="AZ334" s="1714" t="str">
        <f>IF(Obj_PA!D334="","",IF(AY334="","",Obj_PA!D334-AY334))</f>
        <v/>
      </c>
      <c r="BA334" s="150"/>
      <c r="BB334" s="150"/>
      <c r="BC334" s="150"/>
      <c r="BD334" s="150"/>
      <c r="BE334" s="150"/>
      <c r="BF334" s="150"/>
      <c r="BG334" s="150"/>
      <c r="BH334" s="150"/>
      <c r="BI334" s="150"/>
      <c r="BJ334" s="150"/>
      <c r="BK334" s="155" t="str">
        <f t="shared" si="301"/>
        <v/>
      </c>
      <c r="BL334" s="155" t="str">
        <f t="shared" si="302"/>
        <v/>
      </c>
      <c r="BM334" s="155" t="str">
        <f t="shared" si="303"/>
        <v/>
      </c>
      <c r="BN334" s="155" t="str">
        <f t="shared" si="304"/>
        <v/>
      </c>
      <c r="BO334" s="155" t="str">
        <f t="shared" si="305"/>
        <v/>
      </c>
      <c r="BP334" s="155" t="str">
        <f t="shared" si="306"/>
        <v/>
      </c>
      <c r="BQ334" s="155" t="str">
        <f t="shared" si="307"/>
        <v/>
      </c>
      <c r="BR334" s="155" t="str">
        <f t="shared" si="308"/>
        <v/>
      </c>
      <c r="BS334" s="155" t="str">
        <f t="shared" si="309"/>
        <v/>
      </c>
      <c r="BT334" s="155" t="str">
        <f t="shared" si="310"/>
        <v/>
      </c>
      <c r="BU334" s="155" t="str">
        <f t="shared" si="311"/>
        <v/>
      </c>
      <c r="BV334" s="155" t="str">
        <f t="shared" si="312"/>
        <v/>
      </c>
      <c r="BW334" s="155" t="str">
        <f t="shared" si="313"/>
        <v/>
      </c>
      <c r="BX334" s="155" t="str">
        <f t="shared" si="314"/>
        <v/>
      </c>
      <c r="BY334" s="155" t="str">
        <f t="shared" si="315"/>
        <v/>
      </c>
      <c r="BZ334" s="155" t="str">
        <f t="shared" si="316"/>
        <v/>
      </c>
      <c r="CA334" s="155" t="str">
        <f t="shared" si="317"/>
        <v/>
      </c>
      <c r="CB334" s="155" t="str">
        <f t="shared" si="318"/>
        <v/>
      </c>
      <c r="CC334" s="155" t="str">
        <f t="shared" si="319"/>
        <v/>
      </c>
      <c r="CD334" s="155" t="str">
        <f t="shared" si="320"/>
        <v/>
      </c>
      <c r="CE334" s="155" t="str">
        <f t="shared" si="321"/>
        <v/>
      </c>
      <c r="CF334" s="155" t="str">
        <f t="shared" si="322"/>
        <v/>
      </c>
      <c r="CG334" s="155" t="str">
        <f t="shared" si="323"/>
        <v/>
      </c>
      <c r="CH334" s="155" t="str">
        <f t="shared" si="324"/>
        <v/>
      </c>
      <c r="CI334" s="155" t="str">
        <f t="shared" si="325"/>
        <v/>
      </c>
      <c r="CJ334" s="155" t="str">
        <f t="shared" si="326"/>
        <v/>
      </c>
      <c r="CK334" s="155" t="str">
        <f t="shared" si="327"/>
        <v/>
      </c>
      <c r="CL334" s="155" t="str">
        <f t="shared" si="328"/>
        <v/>
      </c>
      <c r="CM334" s="155" t="str">
        <f t="shared" si="329"/>
        <v/>
      </c>
      <c r="CN334" s="155" t="str">
        <f t="shared" si="330"/>
        <v/>
      </c>
      <c r="CO334" s="155" t="str">
        <f t="shared" si="331"/>
        <v/>
      </c>
      <c r="CP334" s="155" t="str">
        <f t="shared" si="332"/>
        <v/>
      </c>
      <c r="CQ334" s="155" t="str">
        <f t="shared" si="333"/>
        <v/>
      </c>
      <c r="CR334" s="155" t="str">
        <f t="shared" si="334"/>
        <v/>
      </c>
      <c r="CS334" s="155" t="str">
        <f t="shared" si="335"/>
        <v/>
      </c>
      <c r="CT334" s="155" t="str">
        <f t="shared" si="336"/>
        <v/>
      </c>
      <c r="CU334" s="155" t="str">
        <f t="shared" si="337"/>
        <v/>
      </c>
      <c r="CV334" s="155" t="str">
        <f t="shared" si="338"/>
        <v/>
      </c>
      <c r="CW334" s="155" t="str">
        <f t="shared" si="339"/>
        <v/>
      </c>
      <c r="CX334" s="155" t="str">
        <f t="shared" si="340"/>
        <v/>
      </c>
    </row>
    <row r="335" spans="1:102" s="151" customFormat="1" ht="25.5" x14ac:dyDescent="0.2">
      <c r="A335" s="158"/>
      <c r="B335" s="157" t="str">
        <f>Services!B335</f>
        <v>13C03</v>
      </c>
      <c r="C335" s="153" t="str">
        <f>Services!C335</f>
        <v>Programme de formation et de sensibilisation aux contraintes de la Vérification de la comptabilité informatisée</v>
      </c>
      <c r="D335" s="149"/>
      <c r="E335" s="149"/>
      <c r="F335" s="149"/>
      <c r="G335" s="149">
        <f>4*(8*Plans_action!E311+Plans_action!D311)</f>
        <v>0</v>
      </c>
      <c r="H335" s="149"/>
      <c r="I335" s="140" t="str">
        <f t="shared" si="300"/>
        <v/>
      </c>
      <c r="J335" s="141" t="str">
        <f t="shared" si="298"/>
        <v/>
      </c>
      <c r="K335" s="142"/>
      <c r="L335" s="142"/>
      <c r="M335" s="1708"/>
      <c r="N335" s="1708"/>
      <c r="O335" s="1708"/>
      <c r="P335" s="1708"/>
      <c r="Q335" s="1708"/>
      <c r="R335" s="1708"/>
      <c r="S335" s="1708"/>
      <c r="T335" s="1708"/>
      <c r="U335" s="1708"/>
      <c r="V335" s="1708"/>
      <c r="W335" s="1708"/>
      <c r="X335" s="1712"/>
      <c r="Y335" s="1712"/>
      <c r="Z335" s="1712"/>
      <c r="AA335" s="1712"/>
      <c r="AB335" s="1712"/>
      <c r="AC335" s="1712"/>
      <c r="AD335" s="1712"/>
      <c r="AE335" s="1712"/>
      <c r="AF335" s="1712"/>
      <c r="AG335" s="1712"/>
      <c r="AH335" s="1712"/>
      <c r="AI335" s="1712"/>
      <c r="AJ335" s="1712"/>
      <c r="AK335" s="1712"/>
      <c r="AL335" s="1712"/>
      <c r="AM335" s="1712"/>
      <c r="AN335" s="1712"/>
      <c r="AO335" s="1712"/>
      <c r="AP335" s="1712"/>
      <c r="AQ335" s="1712"/>
      <c r="AR335" s="1712"/>
      <c r="AS335" s="1712"/>
      <c r="AT335" s="1712"/>
      <c r="AU335" s="1712"/>
      <c r="AV335" s="1712"/>
      <c r="AW335" s="1712"/>
      <c r="AX335" s="1713"/>
      <c r="AY335" s="1714" t="str">
        <f t="shared" si="299"/>
        <v/>
      </c>
      <c r="AZ335" s="1714" t="str">
        <f>IF(Obj_PA!D335="","",IF(AY335="","",Obj_PA!D335-AY335))</f>
        <v/>
      </c>
      <c r="BA335" s="150"/>
      <c r="BB335" s="150"/>
      <c r="BC335" s="150"/>
      <c r="BD335" s="150"/>
      <c r="BE335" s="150"/>
      <c r="BF335" s="150"/>
      <c r="BG335" s="150"/>
      <c r="BH335" s="150"/>
      <c r="BI335" s="150"/>
      <c r="BJ335" s="150"/>
      <c r="BK335" s="155" t="str">
        <f t="shared" si="301"/>
        <v/>
      </c>
      <c r="BL335" s="155" t="str">
        <f t="shared" si="302"/>
        <v/>
      </c>
      <c r="BM335" s="155" t="str">
        <f t="shared" si="303"/>
        <v/>
      </c>
      <c r="BN335" s="155" t="str">
        <f t="shared" si="304"/>
        <v/>
      </c>
      <c r="BO335" s="155" t="str">
        <f t="shared" si="305"/>
        <v/>
      </c>
      <c r="BP335" s="155" t="str">
        <f t="shared" si="306"/>
        <v/>
      </c>
      <c r="BQ335" s="155" t="str">
        <f t="shared" si="307"/>
        <v/>
      </c>
      <c r="BR335" s="155" t="str">
        <f t="shared" si="308"/>
        <v/>
      </c>
      <c r="BS335" s="155" t="str">
        <f t="shared" si="309"/>
        <v/>
      </c>
      <c r="BT335" s="155" t="str">
        <f t="shared" si="310"/>
        <v/>
      </c>
      <c r="BU335" s="155" t="str">
        <f t="shared" si="311"/>
        <v/>
      </c>
      <c r="BV335" s="155" t="str">
        <f t="shared" si="312"/>
        <v/>
      </c>
      <c r="BW335" s="155" t="str">
        <f t="shared" si="313"/>
        <v/>
      </c>
      <c r="BX335" s="155" t="str">
        <f t="shared" si="314"/>
        <v/>
      </c>
      <c r="BY335" s="155" t="str">
        <f t="shared" si="315"/>
        <v/>
      </c>
      <c r="BZ335" s="155" t="str">
        <f t="shared" si="316"/>
        <v/>
      </c>
      <c r="CA335" s="155" t="str">
        <f t="shared" si="317"/>
        <v/>
      </c>
      <c r="CB335" s="155" t="str">
        <f t="shared" si="318"/>
        <v/>
      </c>
      <c r="CC335" s="155" t="str">
        <f t="shared" si="319"/>
        <v/>
      </c>
      <c r="CD335" s="155" t="str">
        <f t="shared" si="320"/>
        <v/>
      </c>
      <c r="CE335" s="155" t="str">
        <f t="shared" si="321"/>
        <v/>
      </c>
      <c r="CF335" s="155" t="str">
        <f t="shared" si="322"/>
        <v/>
      </c>
      <c r="CG335" s="155" t="str">
        <f t="shared" si="323"/>
        <v/>
      </c>
      <c r="CH335" s="155" t="str">
        <f t="shared" si="324"/>
        <v/>
      </c>
      <c r="CI335" s="155" t="str">
        <f t="shared" si="325"/>
        <v/>
      </c>
      <c r="CJ335" s="155" t="str">
        <f t="shared" si="326"/>
        <v/>
      </c>
      <c r="CK335" s="155" t="str">
        <f t="shared" si="327"/>
        <v/>
      </c>
      <c r="CL335" s="155" t="str">
        <f t="shared" si="328"/>
        <v/>
      </c>
      <c r="CM335" s="155" t="str">
        <f t="shared" si="329"/>
        <v/>
      </c>
      <c r="CN335" s="155" t="str">
        <f t="shared" si="330"/>
        <v/>
      </c>
      <c r="CO335" s="155" t="str">
        <f t="shared" si="331"/>
        <v/>
      </c>
      <c r="CP335" s="155" t="str">
        <f t="shared" si="332"/>
        <v/>
      </c>
      <c r="CQ335" s="155" t="str">
        <f t="shared" si="333"/>
        <v/>
      </c>
      <c r="CR335" s="155" t="str">
        <f t="shared" si="334"/>
        <v/>
      </c>
      <c r="CS335" s="155" t="str">
        <f t="shared" si="335"/>
        <v/>
      </c>
      <c r="CT335" s="155" t="str">
        <f t="shared" si="336"/>
        <v/>
      </c>
      <c r="CU335" s="155" t="str">
        <f t="shared" si="337"/>
        <v/>
      </c>
      <c r="CV335" s="155" t="str">
        <f t="shared" si="338"/>
        <v/>
      </c>
      <c r="CW335" s="155" t="str">
        <f t="shared" si="339"/>
        <v/>
      </c>
      <c r="CX335" s="155" t="str">
        <f t="shared" si="340"/>
        <v/>
      </c>
    </row>
    <row r="336" spans="1:102" s="151" customFormat="1" ht="25.5" x14ac:dyDescent="0.2">
      <c r="A336" s="158"/>
      <c r="B336" s="157" t="str">
        <f>Services!B336</f>
        <v>13C04</v>
      </c>
      <c r="C336" s="153" t="str">
        <f>Services!C336</f>
        <v>Applicabilité de la politique relative à la Vérification de la comptabilité informatisée</v>
      </c>
      <c r="D336" s="149"/>
      <c r="E336" s="149"/>
      <c r="F336" s="149"/>
      <c r="G336" s="149">
        <f>4*(8*Plans_action!E311+Plans_action!D311)</f>
        <v>0</v>
      </c>
      <c r="H336" s="149"/>
      <c r="I336" s="140" t="str">
        <f t="shared" si="300"/>
        <v/>
      </c>
      <c r="J336" s="141" t="str">
        <f t="shared" si="298"/>
        <v/>
      </c>
      <c r="K336" s="142"/>
      <c r="L336" s="142"/>
      <c r="M336" s="1708"/>
      <c r="N336" s="1708"/>
      <c r="O336" s="1708"/>
      <c r="P336" s="1708"/>
      <c r="Q336" s="1708"/>
      <c r="R336" s="1708"/>
      <c r="S336" s="1708"/>
      <c r="T336" s="1708"/>
      <c r="U336" s="1708"/>
      <c r="V336" s="1708"/>
      <c r="W336" s="1708"/>
      <c r="X336" s="1712"/>
      <c r="Y336" s="1712"/>
      <c r="Z336" s="1712"/>
      <c r="AA336" s="1712"/>
      <c r="AB336" s="1712"/>
      <c r="AC336" s="1712"/>
      <c r="AD336" s="1712"/>
      <c r="AE336" s="1712"/>
      <c r="AF336" s="1712"/>
      <c r="AG336" s="1712"/>
      <c r="AH336" s="1712"/>
      <c r="AI336" s="1712"/>
      <c r="AJ336" s="1712"/>
      <c r="AK336" s="1712"/>
      <c r="AL336" s="1712"/>
      <c r="AM336" s="1712"/>
      <c r="AN336" s="1712"/>
      <c r="AO336" s="1712"/>
      <c r="AP336" s="1712"/>
      <c r="AQ336" s="1712"/>
      <c r="AR336" s="1712"/>
      <c r="AS336" s="1712"/>
      <c r="AT336" s="1712"/>
      <c r="AU336" s="1712"/>
      <c r="AV336" s="1712"/>
      <c r="AW336" s="1712"/>
      <c r="AX336" s="1713"/>
      <c r="AY336" s="1714" t="str">
        <f t="shared" si="299"/>
        <v/>
      </c>
      <c r="AZ336" s="1714" t="str">
        <f>IF(Obj_PA!D336="","",IF(AY336="","",Obj_PA!D336-AY336))</f>
        <v/>
      </c>
      <c r="BA336" s="150"/>
      <c r="BB336" s="150"/>
      <c r="BC336" s="150"/>
      <c r="BD336" s="150"/>
      <c r="BE336" s="150"/>
      <c r="BF336" s="150"/>
      <c r="BG336" s="150"/>
      <c r="BH336" s="150"/>
      <c r="BI336" s="150"/>
      <c r="BJ336" s="150"/>
      <c r="BK336" s="155" t="str">
        <f t="shared" si="301"/>
        <v/>
      </c>
      <c r="BL336" s="155" t="str">
        <f t="shared" si="302"/>
        <v/>
      </c>
      <c r="BM336" s="155" t="str">
        <f t="shared" si="303"/>
        <v/>
      </c>
      <c r="BN336" s="155" t="str">
        <f t="shared" si="304"/>
        <v/>
      </c>
      <c r="BO336" s="155" t="str">
        <f t="shared" si="305"/>
        <v/>
      </c>
      <c r="BP336" s="155" t="str">
        <f t="shared" si="306"/>
        <v/>
      </c>
      <c r="BQ336" s="155" t="str">
        <f t="shared" si="307"/>
        <v/>
      </c>
      <c r="BR336" s="155" t="str">
        <f t="shared" si="308"/>
        <v/>
      </c>
      <c r="BS336" s="155" t="str">
        <f t="shared" si="309"/>
        <v/>
      </c>
      <c r="BT336" s="155" t="str">
        <f t="shared" si="310"/>
        <v/>
      </c>
      <c r="BU336" s="155" t="str">
        <f t="shared" si="311"/>
        <v/>
      </c>
      <c r="BV336" s="155" t="str">
        <f t="shared" si="312"/>
        <v/>
      </c>
      <c r="BW336" s="155" t="str">
        <f t="shared" si="313"/>
        <v/>
      </c>
      <c r="BX336" s="155" t="str">
        <f t="shared" si="314"/>
        <v/>
      </c>
      <c r="BY336" s="155" t="str">
        <f t="shared" si="315"/>
        <v/>
      </c>
      <c r="BZ336" s="155" t="str">
        <f t="shared" si="316"/>
        <v/>
      </c>
      <c r="CA336" s="155" t="str">
        <f t="shared" si="317"/>
        <v/>
      </c>
      <c r="CB336" s="155" t="str">
        <f t="shared" si="318"/>
        <v/>
      </c>
      <c r="CC336" s="155" t="str">
        <f t="shared" si="319"/>
        <v/>
      </c>
      <c r="CD336" s="155" t="str">
        <f t="shared" si="320"/>
        <v/>
      </c>
      <c r="CE336" s="155" t="str">
        <f t="shared" si="321"/>
        <v/>
      </c>
      <c r="CF336" s="155" t="str">
        <f t="shared" si="322"/>
        <v/>
      </c>
      <c r="CG336" s="155" t="str">
        <f t="shared" si="323"/>
        <v/>
      </c>
      <c r="CH336" s="155" t="str">
        <f t="shared" si="324"/>
        <v/>
      </c>
      <c r="CI336" s="155" t="str">
        <f t="shared" si="325"/>
        <v/>
      </c>
      <c r="CJ336" s="155" t="str">
        <f t="shared" si="326"/>
        <v/>
      </c>
      <c r="CK336" s="155" t="str">
        <f t="shared" si="327"/>
        <v/>
      </c>
      <c r="CL336" s="155" t="str">
        <f t="shared" si="328"/>
        <v/>
      </c>
      <c r="CM336" s="155" t="str">
        <f t="shared" si="329"/>
        <v/>
      </c>
      <c r="CN336" s="155" t="str">
        <f t="shared" si="330"/>
        <v/>
      </c>
      <c r="CO336" s="155" t="str">
        <f t="shared" si="331"/>
        <v/>
      </c>
      <c r="CP336" s="155" t="str">
        <f t="shared" si="332"/>
        <v/>
      </c>
      <c r="CQ336" s="155" t="str">
        <f t="shared" si="333"/>
        <v/>
      </c>
      <c r="CR336" s="155" t="str">
        <f t="shared" si="334"/>
        <v/>
      </c>
      <c r="CS336" s="155" t="str">
        <f t="shared" si="335"/>
        <v/>
      </c>
      <c r="CT336" s="155" t="str">
        <f t="shared" si="336"/>
        <v/>
      </c>
      <c r="CU336" s="155" t="str">
        <f t="shared" si="337"/>
        <v/>
      </c>
      <c r="CV336" s="155" t="str">
        <f t="shared" si="338"/>
        <v/>
      </c>
      <c r="CW336" s="155" t="str">
        <f t="shared" si="339"/>
        <v/>
      </c>
      <c r="CX336" s="155" t="str">
        <f t="shared" si="340"/>
        <v/>
      </c>
    </row>
    <row r="337" spans="1:102" s="151" customFormat="1" ht="15.75" customHeight="1" x14ac:dyDescent="0.2">
      <c r="A337" s="158"/>
      <c r="B337" s="157" t="str">
        <f>Services!B337</f>
        <v>13C05</v>
      </c>
      <c r="C337" s="153" t="str">
        <f>Services!C337</f>
        <v>Contrôle de l'application de la politique relative à la Vérification de la comptabilité informatisée</v>
      </c>
      <c r="D337" s="149"/>
      <c r="E337" s="149">
        <f>2*(8*Plans_action!E311+Plans_action!D311)</f>
        <v>0</v>
      </c>
      <c r="F337" s="149"/>
      <c r="G337" s="149"/>
      <c r="H337" s="149"/>
      <c r="I337" s="140" t="str">
        <f t="shared" si="300"/>
        <v/>
      </c>
      <c r="J337" s="141" t="str">
        <f t="shared" si="298"/>
        <v/>
      </c>
      <c r="K337" s="142"/>
      <c r="L337" s="142"/>
      <c r="M337" s="1708"/>
      <c r="N337" s="1708"/>
      <c r="O337" s="1708"/>
      <c r="P337" s="1708"/>
      <c r="Q337" s="1708"/>
      <c r="R337" s="1708"/>
      <c r="S337" s="1708"/>
      <c r="T337" s="1708"/>
      <c r="U337" s="1708"/>
      <c r="V337" s="1708"/>
      <c r="W337" s="1708"/>
      <c r="X337" s="1712"/>
      <c r="Y337" s="1712"/>
      <c r="Z337" s="1712"/>
      <c r="AA337" s="1712"/>
      <c r="AB337" s="1712"/>
      <c r="AC337" s="1712"/>
      <c r="AD337" s="1712"/>
      <c r="AE337" s="1712"/>
      <c r="AF337" s="1712"/>
      <c r="AG337" s="1712"/>
      <c r="AH337" s="1712"/>
      <c r="AI337" s="1712"/>
      <c r="AJ337" s="1712"/>
      <c r="AK337" s="1712"/>
      <c r="AL337" s="1712"/>
      <c r="AM337" s="1712"/>
      <c r="AN337" s="1712"/>
      <c r="AO337" s="1712"/>
      <c r="AP337" s="1712"/>
      <c r="AQ337" s="1712"/>
      <c r="AR337" s="1712"/>
      <c r="AS337" s="1712"/>
      <c r="AT337" s="1712"/>
      <c r="AU337" s="1712"/>
      <c r="AV337" s="1712"/>
      <c r="AW337" s="1712"/>
      <c r="AX337" s="1713"/>
      <c r="AY337" s="1714" t="str">
        <f t="shared" si="299"/>
        <v/>
      </c>
      <c r="AZ337" s="1714" t="str">
        <f>IF(Obj_PA!D337="","",IF(AY337="","",Obj_PA!D337-AY337))</f>
        <v/>
      </c>
      <c r="BA337" s="150"/>
      <c r="BB337" s="150"/>
      <c r="BC337" s="150"/>
      <c r="BD337" s="150"/>
      <c r="BE337" s="150"/>
      <c r="BF337" s="150"/>
      <c r="BG337" s="150"/>
      <c r="BH337" s="150"/>
      <c r="BI337" s="150"/>
      <c r="BJ337" s="150"/>
      <c r="BK337" s="155" t="str">
        <f t="shared" si="301"/>
        <v/>
      </c>
      <c r="BL337" s="155" t="str">
        <f t="shared" si="302"/>
        <v/>
      </c>
      <c r="BM337" s="155" t="str">
        <f t="shared" si="303"/>
        <v/>
      </c>
      <c r="BN337" s="155" t="str">
        <f t="shared" si="304"/>
        <v/>
      </c>
      <c r="BO337" s="155" t="str">
        <f t="shared" si="305"/>
        <v/>
      </c>
      <c r="BP337" s="155" t="str">
        <f t="shared" si="306"/>
        <v/>
      </c>
      <c r="BQ337" s="155" t="str">
        <f t="shared" si="307"/>
        <v/>
      </c>
      <c r="BR337" s="155" t="str">
        <f t="shared" si="308"/>
        <v/>
      </c>
      <c r="BS337" s="155" t="str">
        <f t="shared" si="309"/>
        <v/>
      </c>
      <c r="BT337" s="155" t="str">
        <f t="shared" si="310"/>
        <v/>
      </c>
      <c r="BU337" s="155" t="str">
        <f t="shared" si="311"/>
        <v/>
      </c>
      <c r="BV337" s="155" t="str">
        <f t="shared" si="312"/>
        <v/>
      </c>
      <c r="BW337" s="155" t="str">
        <f t="shared" si="313"/>
        <v/>
      </c>
      <c r="BX337" s="155" t="str">
        <f t="shared" si="314"/>
        <v/>
      </c>
      <c r="BY337" s="155" t="str">
        <f t="shared" si="315"/>
        <v/>
      </c>
      <c r="BZ337" s="155" t="str">
        <f t="shared" si="316"/>
        <v/>
      </c>
      <c r="CA337" s="155" t="str">
        <f t="shared" si="317"/>
        <v/>
      </c>
      <c r="CB337" s="155" t="str">
        <f t="shared" si="318"/>
        <v/>
      </c>
      <c r="CC337" s="155" t="str">
        <f t="shared" si="319"/>
        <v/>
      </c>
      <c r="CD337" s="155" t="str">
        <f t="shared" si="320"/>
        <v/>
      </c>
      <c r="CE337" s="155" t="str">
        <f t="shared" si="321"/>
        <v/>
      </c>
      <c r="CF337" s="155" t="str">
        <f t="shared" si="322"/>
        <v/>
      </c>
      <c r="CG337" s="155" t="str">
        <f t="shared" si="323"/>
        <v/>
      </c>
      <c r="CH337" s="155" t="str">
        <f t="shared" si="324"/>
        <v/>
      </c>
      <c r="CI337" s="155" t="str">
        <f t="shared" si="325"/>
        <v/>
      </c>
      <c r="CJ337" s="155" t="str">
        <f t="shared" si="326"/>
        <v/>
      </c>
      <c r="CK337" s="155" t="str">
        <f t="shared" si="327"/>
        <v/>
      </c>
      <c r="CL337" s="155" t="str">
        <f t="shared" si="328"/>
        <v/>
      </c>
      <c r="CM337" s="155" t="str">
        <f t="shared" si="329"/>
        <v/>
      </c>
      <c r="CN337" s="155" t="str">
        <f t="shared" si="330"/>
        <v/>
      </c>
      <c r="CO337" s="155" t="str">
        <f t="shared" si="331"/>
        <v/>
      </c>
      <c r="CP337" s="155" t="str">
        <f t="shared" si="332"/>
        <v/>
      </c>
      <c r="CQ337" s="155" t="str">
        <f t="shared" si="333"/>
        <v/>
      </c>
      <c r="CR337" s="155" t="str">
        <f t="shared" si="334"/>
        <v/>
      </c>
      <c r="CS337" s="155" t="str">
        <f t="shared" si="335"/>
        <v/>
      </c>
      <c r="CT337" s="155" t="str">
        <f t="shared" si="336"/>
        <v/>
      </c>
      <c r="CU337" s="155" t="str">
        <f t="shared" si="337"/>
        <v/>
      </c>
      <c r="CV337" s="155" t="str">
        <f t="shared" si="338"/>
        <v/>
      </c>
      <c r="CW337" s="155" t="str">
        <f t="shared" si="339"/>
        <v/>
      </c>
      <c r="CX337" s="155" t="str">
        <f t="shared" si="340"/>
        <v/>
      </c>
    </row>
    <row r="338" spans="1:102" s="151" customFormat="1" ht="14.25" x14ac:dyDescent="0.2">
      <c r="A338" s="158"/>
      <c r="B338" s="147" t="str">
        <f>Services!B338</f>
        <v>13D</v>
      </c>
      <c r="C338" s="148" t="str">
        <f>Services!C338</f>
        <v>Protection de la propriété intellectuelle</v>
      </c>
      <c r="D338" s="149"/>
      <c r="E338" s="149"/>
      <c r="F338" s="149"/>
      <c r="G338" s="149"/>
      <c r="H338" s="149"/>
      <c r="I338" s="140" t="str">
        <f t="shared" si="300"/>
        <v/>
      </c>
      <c r="J338" s="141" t="str">
        <f t="shared" si="298"/>
        <v/>
      </c>
      <c r="K338" s="142"/>
      <c r="L338" s="142"/>
      <c r="M338" s="1708"/>
      <c r="N338" s="1708"/>
      <c r="O338" s="1708"/>
      <c r="P338" s="1708"/>
      <c r="Q338" s="1708"/>
      <c r="R338" s="1708"/>
      <c r="S338" s="1708"/>
      <c r="T338" s="1708"/>
      <c r="U338" s="1708"/>
      <c r="V338" s="1708"/>
      <c r="W338" s="1708"/>
      <c r="X338" s="1712"/>
      <c r="Y338" s="1712"/>
      <c r="Z338" s="1712"/>
      <c r="AA338" s="1712"/>
      <c r="AB338" s="1712"/>
      <c r="AC338" s="1712"/>
      <c r="AD338" s="1712"/>
      <c r="AE338" s="1712"/>
      <c r="AF338" s="1712"/>
      <c r="AG338" s="1712"/>
      <c r="AH338" s="1712"/>
      <c r="AI338" s="1712"/>
      <c r="AJ338" s="1712"/>
      <c r="AK338" s="1712"/>
      <c r="AL338" s="1712"/>
      <c r="AM338" s="1712"/>
      <c r="AN338" s="1712"/>
      <c r="AO338" s="1712"/>
      <c r="AP338" s="1712"/>
      <c r="AQ338" s="1712"/>
      <c r="AR338" s="1712"/>
      <c r="AS338" s="1712"/>
      <c r="AT338" s="1712"/>
      <c r="AU338" s="1712"/>
      <c r="AV338" s="1712"/>
      <c r="AW338" s="1712"/>
      <c r="AX338" s="1713"/>
      <c r="AY338" s="1714" t="str">
        <f t="shared" si="299"/>
        <v/>
      </c>
      <c r="AZ338" s="1714" t="str">
        <f>IF(Obj_PA!D338="","",IF(AY338="","",Obj_PA!D338-AY338))</f>
        <v/>
      </c>
      <c r="BA338" s="150"/>
      <c r="BB338" s="150"/>
      <c r="BC338" s="150"/>
      <c r="BD338" s="150"/>
      <c r="BE338" s="150"/>
      <c r="BF338" s="150"/>
      <c r="BG338" s="150"/>
      <c r="BH338" s="150"/>
      <c r="BI338" s="150"/>
      <c r="BJ338" s="150"/>
      <c r="BK338" s="155" t="str">
        <f t="shared" si="301"/>
        <v/>
      </c>
      <c r="BL338" s="155" t="str">
        <f t="shared" si="302"/>
        <v/>
      </c>
      <c r="BM338" s="155" t="str">
        <f t="shared" si="303"/>
        <v/>
      </c>
      <c r="BN338" s="155" t="str">
        <f t="shared" si="304"/>
        <v/>
      </c>
      <c r="BO338" s="155" t="str">
        <f t="shared" si="305"/>
        <v/>
      </c>
      <c r="BP338" s="155" t="str">
        <f t="shared" si="306"/>
        <v/>
      </c>
      <c r="BQ338" s="155" t="str">
        <f t="shared" si="307"/>
        <v/>
      </c>
      <c r="BR338" s="155" t="str">
        <f t="shared" si="308"/>
        <v/>
      </c>
      <c r="BS338" s="155" t="str">
        <f t="shared" si="309"/>
        <v/>
      </c>
      <c r="BT338" s="155" t="str">
        <f t="shared" si="310"/>
        <v/>
      </c>
      <c r="BU338" s="155" t="str">
        <f t="shared" si="311"/>
        <v/>
      </c>
      <c r="BV338" s="155" t="str">
        <f t="shared" si="312"/>
        <v/>
      </c>
      <c r="BW338" s="155" t="str">
        <f t="shared" si="313"/>
        <v/>
      </c>
      <c r="BX338" s="155" t="str">
        <f t="shared" si="314"/>
        <v/>
      </c>
      <c r="BY338" s="155" t="str">
        <f t="shared" si="315"/>
        <v/>
      </c>
      <c r="BZ338" s="155" t="str">
        <f t="shared" si="316"/>
        <v/>
      </c>
      <c r="CA338" s="155" t="str">
        <f t="shared" si="317"/>
        <v/>
      </c>
      <c r="CB338" s="155" t="str">
        <f t="shared" si="318"/>
        <v/>
      </c>
      <c r="CC338" s="155" t="str">
        <f t="shared" si="319"/>
        <v/>
      </c>
      <c r="CD338" s="155" t="str">
        <f t="shared" si="320"/>
        <v/>
      </c>
      <c r="CE338" s="155" t="str">
        <f t="shared" si="321"/>
        <v/>
      </c>
      <c r="CF338" s="155" t="str">
        <f t="shared" si="322"/>
        <v/>
      </c>
      <c r="CG338" s="155" t="str">
        <f t="shared" si="323"/>
        <v/>
      </c>
      <c r="CH338" s="155" t="str">
        <f t="shared" si="324"/>
        <v/>
      </c>
      <c r="CI338" s="155" t="str">
        <f t="shared" si="325"/>
        <v/>
      </c>
      <c r="CJ338" s="155" t="str">
        <f t="shared" si="326"/>
        <v/>
      </c>
      <c r="CK338" s="155" t="str">
        <f t="shared" si="327"/>
        <v/>
      </c>
      <c r="CL338" s="155" t="str">
        <f t="shared" si="328"/>
        <v/>
      </c>
      <c r="CM338" s="155" t="str">
        <f t="shared" si="329"/>
        <v/>
      </c>
      <c r="CN338" s="155" t="str">
        <f t="shared" si="330"/>
        <v/>
      </c>
      <c r="CO338" s="155" t="str">
        <f t="shared" si="331"/>
        <v/>
      </c>
      <c r="CP338" s="155" t="str">
        <f t="shared" si="332"/>
        <v/>
      </c>
      <c r="CQ338" s="155" t="str">
        <f t="shared" si="333"/>
        <v/>
      </c>
      <c r="CR338" s="155" t="str">
        <f t="shared" si="334"/>
        <v/>
      </c>
      <c r="CS338" s="155" t="str">
        <f t="shared" si="335"/>
        <v/>
      </c>
      <c r="CT338" s="155" t="str">
        <f t="shared" si="336"/>
        <v/>
      </c>
      <c r="CU338" s="155" t="str">
        <f t="shared" si="337"/>
        <v/>
      </c>
      <c r="CV338" s="155" t="str">
        <f t="shared" si="338"/>
        <v/>
      </c>
      <c r="CW338" s="155" t="str">
        <f t="shared" si="339"/>
        <v/>
      </c>
      <c r="CX338" s="155" t="str">
        <f t="shared" si="340"/>
        <v/>
      </c>
    </row>
    <row r="339" spans="1:102" s="151" customFormat="1" ht="25.5" x14ac:dyDescent="0.2">
      <c r="A339" s="158"/>
      <c r="B339" s="157" t="str">
        <f>Services!B339</f>
        <v>13D01</v>
      </c>
      <c r="C339" s="153" t="str">
        <f>Services!C339</f>
        <v>Politique et directives relatives à la Protection de la propriété intellectuelle</v>
      </c>
      <c r="D339" s="149"/>
      <c r="E339" s="149"/>
      <c r="F339" s="149"/>
      <c r="G339" s="149">
        <f>4*(8*Plans_action!E316+Plans_action!D316)</f>
        <v>0</v>
      </c>
      <c r="H339" s="149"/>
      <c r="I339" s="140" t="str">
        <f t="shared" si="300"/>
        <v/>
      </c>
      <c r="J339" s="141" t="str">
        <f t="shared" si="298"/>
        <v/>
      </c>
      <c r="K339" s="142"/>
      <c r="L339" s="142"/>
      <c r="M339" s="1708"/>
      <c r="N339" s="1708"/>
      <c r="O339" s="1708"/>
      <c r="P339" s="1708"/>
      <c r="Q339" s="1708"/>
      <c r="R339" s="1708"/>
      <c r="S339" s="1708"/>
      <c r="T339" s="1708"/>
      <c r="U339" s="1708"/>
      <c r="V339" s="1708"/>
      <c r="W339" s="1708"/>
      <c r="X339" s="1712"/>
      <c r="Y339" s="1712"/>
      <c r="Z339" s="1712"/>
      <c r="AA339" s="1712"/>
      <c r="AB339" s="1712"/>
      <c r="AC339" s="1712"/>
      <c r="AD339" s="1712"/>
      <c r="AE339" s="1712"/>
      <c r="AF339" s="1712"/>
      <c r="AG339" s="1712"/>
      <c r="AH339" s="1712"/>
      <c r="AI339" s="1712"/>
      <c r="AJ339" s="1712"/>
      <c r="AK339" s="1712"/>
      <c r="AL339" s="1712"/>
      <c r="AM339" s="1712"/>
      <c r="AN339" s="1712"/>
      <c r="AO339" s="1712"/>
      <c r="AP339" s="1712"/>
      <c r="AQ339" s="1712"/>
      <c r="AR339" s="1712"/>
      <c r="AS339" s="1712"/>
      <c r="AT339" s="1712"/>
      <c r="AU339" s="1712"/>
      <c r="AV339" s="1712"/>
      <c r="AW339" s="1712"/>
      <c r="AX339" s="1713"/>
      <c r="AY339" s="1714" t="str">
        <f t="shared" si="299"/>
        <v/>
      </c>
      <c r="AZ339" s="1714" t="str">
        <f>IF(Obj_PA!D339="","",IF(AY339="","",Obj_PA!D339-AY339))</f>
        <v/>
      </c>
      <c r="BA339" s="150"/>
      <c r="BB339" s="150"/>
      <c r="BC339" s="150"/>
      <c r="BD339" s="150"/>
      <c r="BE339" s="150"/>
      <c r="BF339" s="150"/>
      <c r="BG339" s="150"/>
      <c r="BH339" s="150"/>
      <c r="BI339" s="150"/>
      <c r="BJ339" s="150"/>
      <c r="BK339" s="155" t="str">
        <f t="shared" si="301"/>
        <v/>
      </c>
      <c r="BL339" s="155" t="str">
        <f t="shared" si="302"/>
        <v/>
      </c>
      <c r="BM339" s="155" t="str">
        <f t="shared" si="303"/>
        <v/>
      </c>
      <c r="BN339" s="155" t="str">
        <f t="shared" si="304"/>
        <v/>
      </c>
      <c r="BO339" s="155" t="str">
        <f t="shared" si="305"/>
        <v/>
      </c>
      <c r="BP339" s="155" t="str">
        <f t="shared" si="306"/>
        <v/>
      </c>
      <c r="BQ339" s="155" t="str">
        <f t="shared" si="307"/>
        <v/>
      </c>
      <c r="BR339" s="155" t="str">
        <f t="shared" si="308"/>
        <v/>
      </c>
      <c r="BS339" s="155" t="str">
        <f t="shared" si="309"/>
        <v/>
      </c>
      <c r="BT339" s="155" t="str">
        <f t="shared" si="310"/>
        <v/>
      </c>
      <c r="BU339" s="155" t="str">
        <f t="shared" si="311"/>
        <v/>
      </c>
      <c r="BV339" s="155" t="str">
        <f t="shared" si="312"/>
        <v/>
      </c>
      <c r="BW339" s="155" t="str">
        <f t="shared" si="313"/>
        <v/>
      </c>
      <c r="BX339" s="155" t="str">
        <f t="shared" si="314"/>
        <v/>
      </c>
      <c r="BY339" s="155" t="str">
        <f t="shared" si="315"/>
        <v/>
      </c>
      <c r="BZ339" s="155" t="str">
        <f t="shared" si="316"/>
        <v/>
      </c>
      <c r="CA339" s="155" t="str">
        <f t="shared" si="317"/>
        <v/>
      </c>
      <c r="CB339" s="155" t="str">
        <f t="shared" si="318"/>
        <v/>
      </c>
      <c r="CC339" s="155" t="str">
        <f t="shared" si="319"/>
        <v/>
      </c>
      <c r="CD339" s="155" t="str">
        <f t="shared" si="320"/>
        <v/>
      </c>
      <c r="CE339" s="155" t="str">
        <f t="shared" si="321"/>
        <v/>
      </c>
      <c r="CF339" s="155" t="str">
        <f t="shared" si="322"/>
        <v/>
      </c>
      <c r="CG339" s="155" t="str">
        <f t="shared" si="323"/>
        <v/>
      </c>
      <c r="CH339" s="155" t="str">
        <f t="shared" si="324"/>
        <v/>
      </c>
      <c r="CI339" s="155" t="str">
        <f t="shared" si="325"/>
        <v/>
      </c>
      <c r="CJ339" s="155" t="str">
        <f t="shared" si="326"/>
        <v/>
      </c>
      <c r="CK339" s="155" t="str">
        <f t="shared" si="327"/>
        <v/>
      </c>
      <c r="CL339" s="155" t="str">
        <f t="shared" si="328"/>
        <v/>
      </c>
      <c r="CM339" s="155" t="str">
        <f t="shared" si="329"/>
        <v/>
      </c>
      <c r="CN339" s="155" t="str">
        <f t="shared" si="330"/>
        <v/>
      </c>
      <c r="CO339" s="155" t="str">
        <f t="shared" si="331"/>
        <v/>
      </c>
      <c r="CP339" s="155" t="str">
        <f t="shared" si="332"/>
        <v/>
      </c>
      <c r="CQ339" s="155" t="str">
        <f t="shared" si="333"/>
        <v/>
      </c>
      <c r="CR339" s="155" t="str">
        <f t="shared" si="334"/>
        <v/>
      </c>
      <c r="CS339" s="155" t="str">
        <f t="shared" si="335"/>
        <v/>
      </c>
      <c r="CT339" s="155" t="str">
        <f t="shared" si="336"/>
        <v/>
      </c>
      <c r="CU339" s="155" t="str">
        <f t="shared" si="337"/>
        <v/>
      </c>
      <c r="CV339" s="155" t="str">
        <f t="shared" si="338"/>
        <v/>
      </c>
      <c r="CW339" s="155" t="str">
        <f t="shared" si="339"/>
        <v/>
      </c>
      <c r="CX339" s="155" t="str">
        <f t="shared" si="340"/>
        <v/>
      </c>
    </row>
    <row r="340" spans="1:102" s="151" customFormat="1" ht="25.5" x14ac:dyDescent="0.2">
      <c r="A340" s="158"/>
      <c r="B340" s="157" t="str">
        <f>Services!B340</f>
        <v>13D02</v>
      </c>
      <c r="C340" s="153" t="str">
        <f>Services!C340</f>
        <v>Programme de formation et de sensibilisation à la Protection de la propriété intellectuelle</v>
      </c>
      <c r="D340" s="149"/>
      <c r="E340" s="149"/>
      <c r="F340" s="149"/>
      <c r="G340" s="149">
        <f>4*(8*Plans_action!E316+Plans_action!D316)</f>
        <v>0</v>
      </c>
      <c r="H340" s="149"/>
      <c r="I340" s="140" t="str">
        <f t="shared" si="300"/>
        <v/>
      </c>
      <c r="J340" s="141" t="str">
        <f t="shared" si="298"/>
        <v/>
      </c>
      <c r="K340" s="142"/>
      <c r="L340" s="142"/>
      <c r="M340" s="1708"/>
      <c r="N340" s="1708"/>
      <c r="O340" s="1708"/>
      <c r="P340" s="1708"/>
      <c r="Q340" s="1708"/>
      <c r="R340" s="1708"/>
      <c r="S340" s="1708"/>
      <c r="T340" s="1708"/>
      <c r="U340" s="1708"/>
      <c r="V340" s="1708"/>
      <c r="W340" s="1708"/>
      <c r="X340" s="1712"/>
      <c r="Y340" s="1712"/>
      <c r="Z340" s="1712"/>
      <c r="AA340" s="1712"/>
      <c r="AB340" s="1712"/>
      <c r="AC340" s="1712"/>
      <c r="AD340" s="1712"/>
      <c r="AE340" s="1712"/>
      <c r="AF340" s="1712"/>
      <c r="AG340" s="1712"/>
      <c r="AH340" s="1712"/>
      <c r="AI340" s="1712"/>
      <c r="AJ340" s="1712"/>
      <c r="AK340" s="1712"/>
      <c r="AL340" s="1712"/>
      <c r="AM340" s="1712"/>
      <c r="AN340" s="1712"/>
      <c r="AO340" s="1712"/>
      <c r="AP340" s="1712"/>
      <c r="AQ340" s="1712"/>
      <c r="AR340" s="1712"/>
      <c r="AS340" s="1712"/>
      <c r="AT340" s="1712"/>
      <c r="AU340" s="1712"/>
      <c r="AV340" s="1712"/>
      <c r="AW340" s="1712"/>
      <c r="AX340" s="1713"/>
      <c r="AY340" s="1714" t="str">
        <f t="shared" si="299"/>
        <v/>
      </c>
      <c r="AZ340" s="1714" t="str">
        <f>IF(Obj_PA!D340="","",IF(AY340="","",Obj_PA!D340-AY340))</f>
        <v/>
      </c>
      <c r="BA340" s="150"/>
      <c r="BB340" s="150"/>
      <c r="BC340" s="150"/>
      <c r="BD340" s="150"/>
      <c r="BE340" s="150"/>
      <c r="BF340" s="150"/>
      <c r="BG340" s="150"/>
      <c r="BH340" s="150"/>
      <c r="BI340" s="150"/>
      <c r="BJ340" s="150"/>
      <c r="BK340" s="155" t="str">
        <f t="shared" si="301"/>
        <v/>
      </c>
      <c r="BL340" s="155" t="str">
        <f t="shared" si="302"/>
        <v/>
      </c>
      <c r="BM340" s="155" t="str">
        <f t="shared" si="303"/>
        <v/>
      </c>
      <c r="BN340" s="155" t="str">
        <f t="shared" si="304"/>
        <v/>
      </c>
      <c r="BO340" s="155" t="str">
        <f t="shared" si="305"/>
        <v/>
      </c>
      <c r="BP340" s="155" t="str">
        <f t="shared" si="306"/>
        <v/>
      </c>
      <c r="BQ340" s="155" t="str">
        <f t="shared" si="307"/>
        <v/>
      </c>
      <c r="BR340" s="155" t="str">
        <f t="shared" si="308"/>
        <v/>
      </c>
      <c r="BS340" s="155" t="str">
        <f t="shared" si="309"/>
        <v/>
      </c>
      <c r="BT340" s="155" t="str">
        <f t="shared" si="310"/>
        <v/>
      </c>
      <c r="BU340" s="155" t="str">
        <f t="shared" si="311"/>
        <v/>
      </c>
      <c r="BV340" s="155" t="str">
        <f t="shared" si="312"/>
        <v/>
      </c>
      <c r="BW340" s="155" t="str">
        <f t="shared" si="313"/>
        <v/>
      </c>
      <c r="BX340" s="155" t="str">
        <f t="shared" si="314"/>
        <v/>
      </c>
      <c r="BY340" s="155" t="str">
        <f t="shared" si="315"/>
        <v/>
      </c>
      <c r="BZ340" s="155" t="str">
        <f t="shared" si="316"/>
        <v/>
      </c>
      <c r="CA340" s="155" t="str">
        <f t="shared" si="317"/>
        <v/>
      </c>
      <c r="CB340" s="155" t="str">
        <f t="shared" si="318"/>
        <v/>
      </c>
      <c r="CC340" s="155" t="str">
        <f t="shared" si="319"/>
        <v/>
      </c>
      <c r="CD340" s="155" t="str">
        <f t="shared" si="320"/>
        <v/>
      </c>
      <c r="CE340" s="155" t="str">
        <f t="shared" si="321"/>
        <v/>
      </c>
      <c r="CF340" s="155" t="str">
        <f t="shared" si="322"/>
        <v/>
      </c>
      <c r="CG340" s="155" t="str">
        <f t="shared" si="323"/>
        <v/>
      </c>
      <c r="CH340" s="155" t="str">
        <f t="shared" si="324"/>
        <v/>
      </c>
      <c r="CI340" s="155" t="str">
        <f t="shared" si="325"/>
        <v/>
      </c>
      <c r="CJ340" s="155" t="str">
        <f t="shared" si="326"/>
        <v/>
      </c>
      <c r="CK340" s="155" t="str">
        <f t="shared" si="327"/>
        <v/>
      </c>
      <c r="CL340" s="155" t="str">
        <f t="shared" si="328"/>
        <v/>
      </c>
      <c r="CM340" s="155" t="str">
        <f t="shared" si="329"/>
        <v/>
      </c>
      <c r="CN340" s="155" t="str">
        <f t="shared" si="330"/>
        <v/>
      </c>
      <c r="CO340" s="155" t="str">
        <f t="shared" si="331"/>
        <v/>
      </c>
      <c r="CP340" s="155" t="str">
        <f t="shared" si="332"/>
        <v/>
      </c>
      <c r="CQ340" s="155" t="str">
        <f t="shared" si="333"/>
        <v/>
      </c>
      <c r="CR340" s="155" t="str">
        <f t="shared" si="334"/>
        <v/>
      </c>
      <c r="CS340" s="155" t="str">
        <f t="shared" si="335"/>
        <v/>
      </c>
      <c r="CT340" s="155" t="str">
        <f t="shared" si="336"/>
        <v/>
      </c>
      <c r="CU340" s="155" t="str">
        <f t="shared" si="337"/>
        <v/>
      </c>
      <c r="CV340" s="155" t="str">
        <f t="shared" si="338"/>
        <v/>
      </c>
      <c r="CW340" s="155" t="str">
        <f t="shared" si="339"/>
        <v/>
      </c>
      <c r="CX340" s="155" t="str">
        <f t="shared" si="340"/>
        <v/>
      </c>
    </row>
    <row r="341" spans="1:102" s="151" customFormat="1" ht="25.5" x14ac:dyDescent="0.2">
      <c r="A341" s="158"/>
      <c r="B341" s="157" t="str">
        <f>Services!B341</f>
        <v>13D03</v>
      </c>
      <c r="C341" s="153" t="str">
        <f>Services!C341</f>
        <v>Applicabilité de la politique relative à la Protection de la propriété intellectuelle</v>
      </c>
      <c r="D341" s="149"/>
      <c r="E341" s="149"/>
      <c r="F341" s="149"/>
      <c r="G341" s="149">
        <f>4*(8*Plans_action!E316+Plans_action!D316)</f>
        <v>0</v>
      </c>
      <c r="H341" s="149"/>
      <c r="I341" s="140" t="str">
        <f t="shared" si="300"/>
        <v/>
      </c>
      <c r="J341" s="141" t="str">
        <f t="shared" si="298"/>
        <v/>
      </c>
      <c r="K341" s="142"/>
      <c r="L341" s="142"/>
      <c r="M341" s="1708"/>
      <c r="N341" s="1708"/>
      <c r="O341" s="1708"/>
      <c r="P341" s="1708"/>
      <c r="Q341" s="1708"/>
      <c r="R341" s="1708"/>
      <c r="S341" s="1708"/>
      <c r="T341" s="1708"/>
      <c r="U341" s="1708"/>
      <c r="V341" s="1708"/>
      <c r="W341" s="1708"/>
      <c r="X341" s="1712"/>
      <c r="Y341" s="1712"/>
      <c r="Z341" s="1712"/>
      <c r="AA341" s="1712"/>
      <c r="AB341" s="1712"/>
      <c r="AC341" s="1712"/>
      <c r="AD341" s="1712"/>
      <c r="AE341" s="1712"/>
      <c r="AF341" s="1712"/>
      <c r="AG341" s="1712"/>
      <c r="AH341" s="1712"/>
      <c r="AI341" s="1712"/>
      <c r="AJ341" s="1712"/>
      <c r="AK341" s="1712"/>
      <c r="AL341" s="1712"/>
      <c r="AM341" s="1712"/>
      <c r="AN341" s="1712"/>
      <c r="AO341" s="1712"/>
      <c r="AP341" s="1712"/>
      <c r="AQ341" s="1712"/>
      <c r="AR341" s="1712"/>
      <c r="AS341" s="1712"/>
      <c r="AT341" s="1712"/>
      <c r="AU341" s="1712"/>
      <c r="AV341" s="1712"/>
      <c r="AW341" s="1712"/>
      <c r="AX341" s="1713"/>
      <c r="AY341" s="1714" t="str">
        <f t="shared" si="299"/>
        <v/>
      </c>
      <c r="AZ341" s="1714" t="str">
        <f>IF(Obj_PA!D341="","",IF(AY341="","",Obj_PA!D341-AY341))</f>
        <v/>
      </c>
      <c r="BA341" s="150"/>
      <c r="BB341" s="150"/>
      <c r="BC341" s="150"/>
      <c r="BD341" s="150"/>
      <c r="BE341" s="150"/>
      <c r="BF341" s="150"/>
      <c r="BG341" s="150"/>
      <c r="BH341" s="150"/>
      <c r="BI341" s="150"/>
      <c r="BJ341" s="150"/>
      <c r="BK341" s="155" t="str">
        <f t="shared" si="301"/>
        <v/>
      </c>
      <c r="BL341" s="155" t="str">
        <f t="shared" si="302"/>
        <v/>
      </c>
      <c r="BM341" s="155" t="str">
        <f t="shared" si="303"/>
        <v/>
      </c>
      <c r="BN341" s="155" t="str">
        <f t="shared" si="304"/>
        <v/>
      </c>
      <c r="BO341" s="155" t="str">
        <f t="shared" si="305"/>
        <v/>
      </c>
      <c r="BP341" s="155" t="str">
        <f t="shared" si="306"/>
        <v/>
      </c>
      <c r="BQ341" s="155" t="str">
        <f t="shared" si="307"/>
        <v/>
      </c>
      <c r="BR341" s="155" t="str">
        <f t="shared" si="308"/>
        <v/>
      </c>
      <c r="BS341" s="155" t="str">
        <f t="shared" si="309"/>
        <v/>
      </c>
      <c r="BT341" s="155" t="str">
        <f t="shared" si="310"/>
        <v/>
      </c>
      <c r="BU341" s="155" t="str">
        <f t="shared" si="311"/>
        <v/>
      </c>
      <c r="BV341" s="155" t="str">
        <f t="shared" si="312"/>
        <v/>
      </c>
      <c r="BW341" s="155" t="str">
        <f t="shared" si="313"/>
        <v/>
      </c>
      <c r="BX341" s="155" t="str">
        <f t="shared" si="314"/>
        <v/>
      </c>
      <c r="BY341" s="155" t="str">
        <f t="shared" si="315"/>
        <v/>
      </c>
      <c r="BZ341" s="155" t="str">
        <f t="shared" si="316"/>
        <v/>
      </c>
      <c r="CA341" s="155" t="str">
        <f t="shared" si="317"/>
        <v/>
      </c>
      <c r="CB341" s="155" t="str">
        <f t="shared" si="318"/>
        <v/>
      </c>
      <c r="CC341" s="155" t="str">
        <f t="shared" si="319"/>
        <v/>
      </c>
      <c r="CD341" s="155" t="str">
        <f t="shared" si="320"/>
        <v/>
      </c>
      <c r="CE341" s="155" t="str">
        <f t="shared" si="321"/>
        <v/>
      </c>
      <c r="CF341" s="155" t="str">
        <f t="shared" si="322"/>
        <v/>
      </c>
      <c r="CG341" s="155" t="str">
        <f t="shared" si="323"/>
        <v/>
      </c>
      <c r="CH341" s="155" t="str">
        <f t="shared" si="324"/>
        <v/>
      </c>
      <c r="CI341" s="155" t="str">
        <f t="shared" si="325"/>
        <v/>
      </c>
      <c r="CJ341" s="155" t="str">
        <f t="shared" si="326"/>
        <v/>
      </c>
      <c r="CK341" s="155" t="str">
        <f t="shared" si="327"/>
        <v/>
      </c>
      <c r="CL341" s="155" t="str">
        <f t="shared" si="328"/>
        <v/>
      </c>
      <c r="CM341" s="155" t="str">
        <f t="shared" si="329"/>
        <v/>
      </c>
      <c r="CN341" s="155" t="str">
        <f t="shared" si="330"/>
        <v/>
      </c>
      <c r="CO341" s="155" t="str">
        <f t="shared" si="331"/>
        <v/>
      </c>
      <c r="CP341" s="155" t="str">
        <f t="shared" si="332"/>
        <v/>
      </c>
      <c r="CQ341" s="155" t="str">
        <f t="shared" si="333"/>
        <v/>
      </c>
      <c r="CR341" s="155" t="str">
        <f t="shared" si="334"/>
        <v/>
      </c>
      <c r="CS341" s="155" t="str">
        <f t="shared" si="335"/>
        <v/>
      </c>
      <c r="CT341" s="155" t="str">
        <f t="shared" si="336"/>
        <v/>
      </c>
      <c r="CU341" s="155" t="str">
        <f t="shared" si="337"/>
        <v/>
      </c>
      <c r="CV341" s="155" t="str">
        <f t="shared" si="338"/>
        <v/>
      </c>
      <c r="CW341" s="155" t="str">
        <f t="shared" si="339"/>
        <v/>
      </c>
      <c r="CX341" s="155" t="str">
        <f t="shared" si="340"/>
        <v/>
      </c>
    </row>
    <row r="342" spans="1:102" s="151" customFormat="1" ht="25.5" x14ac:dyDescent="0.2">
      <c r="A342" s="158"/>
      <c r="B342" s="157" t="str">
        <f>Services!B342</f>
        <v>13D04</v>
      </c>
      <c r="C342" s="153" t="str">
        <f>Services!C342</f>
        <v>Contrôle de l'application de la politique relative à la Protection de la propriété intellectuelle</v>
      </c>
      <c r="D342" s="149"/>
      <c r="E342" s="149">
        <f>2*(8*Plans_action!E316+Plans_action!D316)</f>
        <v>0</v>
      </c>
      <c r="F342" s="149"/>
      <c r="G342" s="149"/>
      <c r="H342" s="149"/>
      <c r="I342" s="140" t="str">
        <f t="shared" si="300"/>
        <v/>
      </c>
      <c r="J342" s="141" t="str">
        <f t="shared" si="298"/>
        <v/>
      </c>
      <c r="K342" s="142"/>
      <c r="L342" s="142"/>
      <c r="M342" s="1708"/>
      <c r="N342" s="1708"/>
      <c r="O342" s="1708"/>
      <c r="P342" s="1708"/>
      <c r="Q342" s="1708"/>
      <c r="R342" s="1708"/>
      <c r="S342" s="1708"/>
      <c r="T342" s="1708"/>
      <c r="U342" s="1708"/>
      <c r="V342" s="1708"/>
      <c r="W342" s="1708"/>
      <c r="X342" s="1712"/>
      <c r="Y342" s="1712"/>
      <c r="Z342" s="1712"/>
      <c r="AA342" s="1712"/>
      <c r="AB342" s="1712"/>
      <c r="AC342" s="1712"/>
      <c r="AD342" s="1712"/>
      <c r="AE342" s="1712"/>
      <c r="AF342" s="1712"/>
      <c r="AG342" s="1712"/>
      <c r="AH342" s="1712"/>
      <c r="AI342" s="1712"/>
      <c r="AJ342" s="1712"/>
      <c r="AK342" s="1712"/>
      <c r="AL342" s="1712"/>
      <c r="AM342" s="1712"/>
      <c r="AN342" s="1712"/>
      <c r="AO342" s="1712"/>
      <c r="AP342" s="1712"/>
      <c r="AQ342" s="1712"/>
      <c r="AR342" s="1712"/>
      <c r="AS342" s="1712"/>
      <c r="AT342" s="1712"/>
      <c r="AU342" s="1712"/>
      <c r="AV342" s="1712"/>
      <c r="AW342" s="1712"/>
      <c r="AX342" s="1713"/>
      <c r="AY342" s="1714" t="str">
        <f t="shared" si="299"/>
        <v/>
      </c>
      <c r="AZ342" s="1714" t="str">
        <f>IF(Obj_PA!D342="","",IF(AY342="","",Obj_PA!D342-AY342))</f>
        <v/>
      </c>
      <c r="BA342" s="150"/>
      <c r="BB342" s="150"/>
      <c r="BC342" s="150"/>
      <c r="BD342" s="150"/>
      <c r="BE342" s="150"/>
      <c r="BF342" s="150"/>
      <c r="BG342" s="150"/>
      <c r="BH342" s="150"/>
      <c r="BI342" s="150"/>
      <c r="BJ342" s="150"/>
      <c r="BK342" s="155" t="str">
        <f t="shared" si="301"/>
        <v/>
      </c>
      <c r="BL342" s="155" t="str">
        <f t="shared" si="302"/>
        <v/>
      </c>
      <c r="BM342" s="155" t="str">
        <f t="shared" si="303"/>
        <v/>
      </c>
      <c r="BN342" s="155" t="str">
        <f t="shared" si="304"/>
        <v/>
      </c>
      <c r="BO342" s="155" t="str">
        <f t="shared" si="305"/>
        <v/>
      </c>
      <c r="BP342" s="155" t="str">
        <f t="shared" si="306"/>
        <v/>
      </c>
      <c r="BQ342" s="155" t="str">
        <f t="shared" si="307"/>
        <v/>
      </c>
      <c r="BR342" s="155" t="str">
        <f t="shared" si="308"/>
        <v/>
      </c>
      <c r="BS342" s="155" t="str">
        <f t="shared" si="309"/>
        <v/>
      </c>
      <c r="BT342" s="155" t="str">
        <f t="shared" si="310"/>
        <v/>
      </c>
      <c r="BU342" s="155" t="str">
        <f t="shared" si="311"/>
        <v/>
      </c>
      <c r="BV342" s="155" t="str">
        <f t="shared" si="312"/>
        <v/>
      </c>
      <c r="BW342" s="155" t="str">
        <f t="shared" si="313"/>
        <v/>
      </c>
      <c r="BX342" s="155" t="str">
        <f t="shared" si="314"/>
        <v/>
      </c>
      <c r="BY342" s="155" t="str">
        <f t="shared" si="315"/>
        <v/>
      </c>
      <c r="BZ342" s="155" t="str">
        <f t="shared" si="316"/>
        <v/>
      </c>
      <c r="CA342" s="155" t="str">
        <f t="shared" si="317"/>
        <v/>
      </c>
      <c r="CB342" s="155" t="str">
        <f t="shared" si="318"/>
        <v/>
      </c>
      <c r="CC342" s="155" t="str">
        <f t="shared" si="319"/>
        <v/>
      </c>
      <c r="CD342" s="155" t="str">
        <f t="shared" si="320"/>
        <v/>
      </c>
      <c r="CE342" s="155" t="str">
        <f t="shared" si="321"/>
        <v/>
      </c>
      <c r="CF342" s="155" t="str">
        <f t="shared" si="322"/>
        <v/>
      </c>
      <c r="CG342" s="155" t="str">
        <f t="shared" si="323"/>
        <v/>
      </c>
      <c r="CH342" s="155" t="str">
        <f t="shared" si="324"/>
        <v/>
      </c>
      <c r="CI342" s="155" t="str">
        <f t="shared" si="325"/>
        <v/>
      </c>
      <c r="CJ342" s="155" t="str">
        <f t="shared" si="326"/>
        <v/>
      </c>
      <c r="CK342" s="155" t="str">
        <f t="shared" si="327"/>
        <v/>
      </c>
      <c r="CL342" s="155" t="str">
        <f t="shared" si="328"/>
        <v/>
      </c>
      <c r="CM342" s="155" t="str">
        <f t="shared" si="329"/>
        <v/>
      </c>
      <c r="CN342" s="155" t="str">
        <f t="shared" si="330"/>
        <v/>
      </c>
      <c r="CO342" s="155" t="str">
        <f t="shared" si="331"/>
        <v/>
      </c>
      <c r="CP342" s="155" t="str">
        <f t="shared" si="332"/>
        <v/>
      </c>
      <c r="CQ342" s="155" t="str">
        <f t="shared" si="333"/>
        <v/>
      </c>
      <c r="CR342" s="155" t="str">
        <f t="shared" si="334"/>
        <v/>
      </c>
      <c r="CS342" s="155" t="str">
        <f t="shared" si="335"/>
        <v/>
      </c>
      <c r="CT342" s="155" t="str">
        <f t="shared" si="336"/>
        <v/>
      </c>
      <c r="CU342" s="155" t="str">
        <f t="shared" si="337"/>
        <v/>
      </c>
      <c r="CV342" s="155" t="str">
        <f t="shared" si="338"/>
        <v/>
      </c>
      <c r="CW342" s="155" t="str">
        <f t="shared" si="339"/>
        <v/>
      </c>
      <c r="CX342" s="155" t="str">
        <f t="shared" si="340"/>
        <v/>
      </c>
    </row>
    <row r="343" spans="1:102" s="151" customFormat="1" ht="14.25" x14ac:dyDescent="0.2">
      <c r="A343" s="158"/>
      <c r="B343" s="147" t="str">
        <f>Services!B343</f>
        <v>13E</v>
      </c>
      <c r="C343" s="148" t="str">
        <f>Services!C343</f>
        <v xml:space="preserve">Protection des systèmes informatisés </v>
      </c>
      <c r="D343" s="149"/>
      <c r="E343" s="149"/>
      <c r="F343" s="149"/>
      <c r="G343" s="149"/>
      <c r="H343" s="149"/>
      <c r="I343" s="140" t="str">
        <f t="shared" si="300"/>
        <v/>
      </c>
      <c r="J343" s="141" t="str">
        <f t="shared" si="298"/>
        <v/>
      </c>
      <c r="K343" s="142"/>
      <c r="L343" s="142"/>
      <c r="M343" s="1708"/>
      <c r="N343" s="1708"/>
      <c r="O343" s="1708"/>
      <c r="P343" s="1708"/>
      <c r="Q343" s="1708"/>
      <c r="R343" s="1708"/>
      <c r="S343" s="1708"/>
      <c r="T343" s="1708"/>
      <c r="U343" s="1708"/>
      <c r="V343" s="1708"/>
      <c r="W343" s="1708"/>
      <c r="X343" s="1712"/>
      <c r="Y343" s="1712"/>
      <c r="Z343" s="1712"/>
      <c r="AA343" s="1712"/>
      <c r="AB343" s="1712"/>
      <c r="AC343" s="1712"/>
      <c r="AD343" s="1712"/>
      <c r="AE343" s="1712"/>
      <c r="AF343" s="1712"/>
      <c r="AG343" s="1712"/>
      <c r="AH343" s="1712"/>
      <c r="AI343" s="1712"/>
      <c r="AJ343" s="1712"/>
      <c r="AK343" s="1712"/>
      <c r="AL343" s="1712"/>
      <c r="AM343" s="1712"/>
      <c r="AN343" s="1712"/>
      <c r="AO343" s="1712"/>
      <c r="AP343" s="1712"/>
      <c r="AQ343" s="1712"/>
      <c r="AR343" s="1712"/>
      <c r="AS343" s="1712"/>
      <c r="AT343" s="1712"/>
      <c r="AU343" s="1712"/>
      <c r="AV343" s="1712"/>
      <c r="AW343" s="1712"/>
      <c r="AX343" s="1713"/>
      <c r="AY343" s="1714" t="str">
        <f t="shared" si="299"/>
        <v/>
      </c>
      <c r="AZ343" s="1714" t="str">
        <f>IF(Obj_PA!D343="","",IF(AY343="","",Obj_PA!D343-AY343))</f>
        <v/>
      </c>
      <c r="BA343" s="150"/>
      <c r="BB343" s="150"/>
      <c r="BC343" s="150"/>
      <c r="BD343" s="150"/>
      <c r="BE343" s="150"/>
      <c r="BF343" s="150"/>
      <c r="BG343" s="150"/>
      <c r="BH343" s="150"/>
      <c r="BI343" s="150"/>
      <c r="BJ343" s="150"/>
      <c r="BK343" s="155" t="str">
        <f t="shared" si="301"/>
        <v/>
      </c>
      <c r="BL343" s="155" t="str">
        <f t="shared" si="302"/>
        <v/>
      </c>
      <c r="BM343" s="155" t="str">
        <f t="shared" si="303"/>
        <v/>
      </c>
      <c r="BN343" s="155" t="str">
        <f t="shared" si="304"/>
        <v/>
      </c>
      <c r="BO343" s="155" t="str">
        <f t="shared" si="305"/>
        <v/>
      </c>
      <c r="BP343" s="155" t="str">
        <f t="shared" si="306"/>
        <v/>
      </c>
      <c r="BQ343" s="155" t="str">
        <f t="shared" si="307"/>
        <v/>
      </c>
      <c r="BR343" s="155" t="str">
        <f t="shared" si="308"/>
        <v/>
      </c>
      <c r="BS343" s="155" t="str">
        <f t="shared" si="309"/>
        <v/>
      </c>
      <c r="BT343" s="155" t="str">
        <f t="shared" si="310"/>
        <v/>
      </c>
      <c r="BU343" s="155" t="str">
        <f t="shared" si="311"/>
        <v/>
      </c>
      <c r="BV343" s="155" t="str">
        <f t="shared" si="312"/>
        <v/>
      </c>
      <c r="BW343" s="155" t="str">
        <f t="shared" si="313"/>
        <v/>
      </c>
      <c r="BX343" s="155" t="str">
        <f t="shared" si="314"/>
        <v/>
      </c>
      <c r="BY343" s="155" t="str">
        <f t="shared" si="315"/>
        <v/>
      </c>
      <c r="BZ343" s="155" t="str">
        <f t="shared" si="316"/>
        <v/>
      </c>
      <c r="CA343" s="155" t="str">
        <f t="shared" si="317"/>
        <v/>
      </c>
      <c r="CB343" s="155" t="str">
        <f t="shared" si="318"/>
        <v/>
      </c>
      <c r="CC343" s="155" t="str">
        <f t="shared" si="319"/>
        <v/>
      </c>
      <c r="CD343" s="155" t="str">
        <f t="shared" si="320"/>
        <v/>
      </c>
      <c r="CE343" s="155" t="str">
        <f t="shared" si="321"/>
        <v/>
      </c>
      <c r="CF343" s="155" t="str">
        <f t="shared" si="322"/>
        <v/>
      </c>
      <c r="CG343" s="155" t="str">
        <f t="shared" si="323"/>
        <v/>
      </c>
      <c r="CH343" s="155" t="str">
        <f t="shared" si="324"/>
        <v/>
      </c>
      <c r="CI343" s="155" t="str">
        <f t="shared" si="325"/>
        <v/>
      </c>
      <c r="CJ343" s="155" t="str">
        <f t="shared" si="326"/>
        <v/>
      </c>
      <c r="CK343" s="155" t="str">
        <f t="shared" si="327"/>
        <v/>
      </c>
      <c r="CL343" s="155" t="str">
        <f t="shared" si="328"/>
        <v/>
      </c>
      <c r="CM343" s="155" t="str">
        <f t="shared" si="329"/>
        <v/>
      </c>
      <c r="CN343" s="155" t="str">
        <f t="shared" si="330"/>
        <v/>
      </c>
      <c r="CO343" s="155" t="str">
        <f t="shared" si="331"/>
        <v/>
      </c>
      <c r="CP343" s="155" t="str">
        <f t="shared" si="332"/>
        <v/>
      </c>
      <c r="CQ343" s="155" t="str">
        <f t="shared" si="333"/>
        <v/>
      </c>
      <c r="CR343" s="155" t="str">
        <f t="shared" si="334"/>
        <v/>
      </c>
      <c r="CS343" s="155" t="str">
        <f t="shared" si="335"/>
        <v/>
      </c>
      <c r="CT343" s="155" t="str">
        <f t="shared" si="336"/>
        <v/>
      </c>
      <c r="CU343" s="155" t="str">
        <f t="shared" si="337"/>
        <v/>
      </c>
      <c r="CV343" s="155" t="str">
        <f t="shared" si="338"/>
        <v/>
      </c>
      <c r="CW343" s="155" t="str">
        <f t="shared" si="339"/>
        <v/>
      </c>
      <c r="CX343" s="155" t="str">
        <f t="shared" si="340"/>
        <v/>
      </c>
    </row>
    <row r="344" spans="1:102" s="151" customFormat="1" ht="25.5" x14ac:dyDescent="0.2">
      <c r="A344" s="158"/>
      <c r="B344" s="157" t="str">
        <f>Services!B344</f>
        <v>13E01</v>
      </c>
      <c r="C344" s="153" t="str">
        <f>Services!C344</f>
        <v xml:space="preserve">Politique et directives relatives à la Protection des systèmes informatisés </v>
      </c>
      <c r="D344" s="149"/>
      <c r="E344" s="149"/>
      <c r="F344" s="149"/>
      <c r="G344" s="149">
        <f>4*(8*Plans_action!E321+Plans_action!D321)</f>
        <v>0</v>
      </c>
      <c r="H344" s="149"/>
      <c r="I344" s="140" t="str">
        <f t="shared" si="300"/>
        <v/>
      </c>
      <c r="J344" s="141" t="str">
        <f t="shared" si="298"/>
        <v/>
      </c>
      <c r="K344" s="142"/>
      <c r="L344" s="142"/>
      <c r="M344" s="1708"/>
      <c r="N344" s="1708"/>
      <c r="O344" s="1708"/>
      <c r="P344" s="1708"/>
      <c r="Q344" s="1708"/>
      <c r="R344" s="1708"/>
      <c r="S344" s="1708"/>
      <c r="T344" s="1708"/>
      <c r="U344" s="1708"/>
      <c r="V344" s="1708"/>
      <c r="W344" s="1708"/>
      <c r="X344" s="1712"/>
      <c r="Y344" s="1712"/>
      <c r="Z344" s="1712"/>
      <c r="AA344" s="1712"/>
      <c r="AB344" s="1712"/>
      <c r="AC344" s="1712"/>
      <c r="AD344" s="1712"/>
      <c r="AE344" s="1712"/>
      <c r="AF344" s="1712"/>
      <c r="AG344" s="1712"/>
      <c r="AH344" s="1712"/>
      <c r="AI344" s="1712"/>
      <c r="AJ344" s="1712"/>
      <c r="AK344" s="1712"/>
      <c r="AL344" s="1712"/>
      <c r="AM344" s="1712"/>
      <c r="AN344" s="1712"/>
      <c r="AO344" s="1712"/>
      <c r="AP344" s="1712"/>
      <c r="AQ344" s="1712"/>
      <c r="AR344" s="1712"/>
      <c r="AS344" s="1712"/>
      <c r="AT344" s="1712"/>
      <c r="AU344" s="1712"/>
      <c r="AV344" s="1712"/>
      <c r="AW344" s="1712"/>
      <c r="AX344" s="1713"/>
      <c r="AY344" s="1714" t="str">
        <f t="shared" si="299"/>
        <v/>
      </c>
      <c r="AZ344" s="1714" t="str">
        <f>IF(Obj_PA!D344="","",IF(AY344="","",Obj_PA!D344-AY344))</f>
        <v/>
      </c>
      <c r="BA344" s="150"/>
      <c r="BB344" s="150"/>
      <c r="BC344" s="150"/>
      <c r="BD344" s="150"/>
      <c r="BE344" s="150"/>
      <c r="BF344" s="150"/>
      <c r="BG344" s="150"/>
      <c r="BH344" s="150"/>
      <c r="BI344" s="150"/>
      <c r="BJ344" s="150"/>
      <c r="BK344" s="155" t="str">
        <f t="shared" si="301"/>
        <v/>
      </c>
      <c r="BL344" s="155" t="str">
        <f t="shared" si="302"/>
        <v/>
      </c>
      <c r="BM344" s="155" t="str">
        <f t="shared" si="303"/>
        <v/>
      </c>
      <c r="BN344" s="155" t="str">
        <f t="shared" si="304"/>
        <v/>
      </c>
      <c r="BO344" s="155" t="str">
        <f t="shared" si="305"/>
        <v/>
      </c>
      <c r="BP344" s="155" t="str">
        <f t="shared" si="306"/>
        <v/>
      </c>
      <c r="BQ344" s="155" t="str">
        <f t="shared" si="307"/>
        <v/>
      </c>
      <c r="BR344" s="155" t="str">
        <f t="shared" si="308"/>
        <v/>
      </c>
      <c r="BS344" s="155" t="str">
        <f t="shared" si="309"/>
        <v/>
      </c>
      <c r="BT344" s="155" t="str">
        <f t="shared" si="310"/>
        <v/>
      </c>
      <c r="BU344" s="155" t="str">
        <f t="shared" si="311"/>
        <v/>
      </c>
      <c r="BV344" s="155" t="str">
        <f t="shared" si="312"/>
        <v/>
      </c>
      <c r="BW344" s="155" t="str">
        <f t="shared" si="313"/>
        <v/>
      </c>
      <c r="BX344" s="155" t="str">
        <f t="shared" si="314"/>
        <v/>
      </c>
      <c r="BY344" s="155" t="str">
        <f t="shared" si="315"/>
        <v/>
      </c>
      <c r="BZ344" s="155" t="str">
        <f t="shared" si="316"/>
        <v/>
      </c>
      <c r="CA344" s="155" t="str">
        <f t="shared" si="317"/>
        <v/>
      </c>
      <c r="CB344" s="155" t="str">
        <f t="shared" si="318"/>
        <v/>
      </c>
      <c r="CC344" s="155" t="str">
        <f t="shared" si="319"/>
        <v/>
      </c>
      <c r="CD344" s="155" t="str">
        <f t="shared" si="320"/>
        <v/>
      </c>
      <c r="CE344" s="155" t="str">
        <f t="shared" si="321"/>
        <v/>
      </c>
      <c r="CF344" s="155" t="str">
        <f t="shared" si="322"/>
        <v/>
      </c>
      <c r="CG344" s="155" t="str">
        <f t="shared" si="323"/>
        <v/>
      </c>
      <c r="CH344" s="155" t="str">
        <f t="shared" si="324"/>
        <v/>
      </c>
      <c r="CI344" s="155" t="str">
        <f t="shared" si="325"/>
        <v/>
      </c>
      <c r="CJ344" s="155" t="str">
        <f t="shared" si="326"/>
        <v/>
      </c>
      <c r="CK344" s="155" t="str">
        <f t="shared" si="327"/>
        <v/>
      </c>
      <c r="CL344" s="155" t="str">
        <f t="shared" si="328"/>
        <v/>
      </c>
      <c r="CM344" s="155" t="str">
        <f t="shared" si="329"/>
        <v/>
      </c>
      <c r="CN344" s="155" t="str">
        <f t="shared" si="330"/>
        <v/>
      </c>
      <c r="CO344" s="155" t="str">
        <f t="shared" si="331"/>
        <v/>
      </c>
      <c r="CP344" s="155" t="str">
        <f t="shared" si="332"/>
        <v/>
      </c>
      <c r="CQ344" s="155" t="str">
        <f t="shared" si="333"/>
        <v/>
      </c>
      <c r="CR344" s="155" t="str">
        <f t="shared" si="334"/>
        <v/>
      </c>
      <c r="CS344" s="155" t="str">
        <f t="shared" si="335"/>
        <v/>
      </c>
      <c r="CT344" s="155" t="str">
        <f t="shared" si="336"/>
        <v/>
      </c>
      <c r="CU344" s="155" t="str">
        <f t="shared" si="337"/>
        <v/>
      </c>
      <c r="CV344" s="155" t="str">
        <f t="shared" si="338"/>
        <v/>
      </c>
      <c r="CW344" s="155" t="str">
        <f t="shared" si="339"/>
        <v/>
      </c>
      <c r="CX344" s="155" t="str">
        <f t="shared" si="340"/>
        <v/>
      </c>
    </row>
    <row r="345" spans="1:102" s="151" customFormat="1" ht="25.5" x14ac:dyDescent="0.2">
      <c r="A345" s="158"/>
      <c r="B345" s="157" t="str">
        <f>Services!B345</f>
        <v>13E02</v>
      </c>
      <c r="C345" s="153" t="str">
        <f>Services!C345</f>
        <v xml:space="preserve">Programme de formation et de sensibilisation à la Protection des systèmes informatisés </v>
      </c>
      <c r="D345" s="149"/>
      <c r="E345" s="149"/>
      <c r="F345" s="149"/>
      <c r="G345" s="149">
        <f>4*(8*Plans_action!E321+Plans_action!D321)</f>
        <v>0</v>
      </c>
      <c r="H345" s="149"/>
      <c r="I345" s="140" t="str">
        <f t="shared" si="300"/>
        <v/>
      </c>
      <c r="J345" s="141" t="str">
        <f t="shared" si="298"/>
        <v/>
      </c>
      <c r="K345" s="142"/>
      <c r="L345" s="142"/>
      <c r="M345" s="1708"/>
      <c r="N345" s="1708"/>
      <c r="O345" s="1708"/>
      <c r="P345" s="1708"/>
      <c r="Q345" s="1708"/>
      <c r="R345" s="1708"/>
      <c r="S345" s="1708"/>
      <c r="T345" s="1708"/>
      <c r="U345" s="1708"/>
      <c r="V345" s="1708"/>
      <c r="W345" s="1708"/>
      <c r="X345" s="1712"/>
      <c r="Y345" s="1712"/>
      <c r="Z345" s="1712"/>
      <c r="AA345" s="1712"/>
      <c r="AB345" s="1712"/>
      <c r="AC345" s="1712"/>
      <c r="AD345" s="1712"/>
      <c r="AE345" s="1712"/>
      <c r="AF345" s="1712"/>
      <c r="AG345" s="1712"/>
      <c r="AH345" s="1712"/>
      <c r="AI345" s="1712"/>
      <c r="AJ345" s="1712"/>
      <c r="AK345" s="1712"/>
      <c r="AL345" s="1712"/>
      <c r="AM345" s="1712"/>
      <c r="AN345" s="1712"/>
      <c r="AO345" s="1712"/>
      <c r="AP345" s="1712"/>
      <c r="AQ345" s="1712"/>
      <c r="AR345" s="1712"/>
      <c r="AS345" s="1712"/>
      <c r="AT345" s="1712"/>
      <c r="AU345" s="1712"/>
      <c r="AV345" s="1712"/>
      <c r="AW345" s="1712"/>
      <c r="AX345" s="1713"/>
      <c r="AY345" s="1714" t="str">
        <f t="shared" si="299"/>
        <v/>
      </c>
      <c r="AZ345" s="1714" t="str">
        <f>IF(Obj_PA!D345="","",IF(AY345="","",Obj_PA!D345-AY345))</f>
        <v/>
      </c>
      <c r="BA345" s="150"/>
      <c r="BB345" s="150"/>
      <c r="BC345" s="150"/>
      <c r="BD345" s="150"/>
      <c r="BE345" s="150"/>
      <c r="BF345" s="150"/>
      <c r="BG345" s="150"/>
      <c r="BH345" s="150"/>
      <c r="BI345" s="150"/>
      <c r="BJ345" s="150"/>
      <c r="BK345" s="155" t="str">
        <f t="shared" si="301"/>
        <v/>
      </c>
      <c r="BL345" s="155" t="str">
        <f t="shared" si="302"/>
        <v/>
      </c>
      <c r="BM345" s="155" t="str">
        <f t="shared" si="303"/>
        <v/>
      </c>
      <c r="BN345" s="155" t="str">
        <f t="shared" si="304"/>
        <v/>
      </c>
      <c r="BO345" s="155" t="str">
        <f t="shared" si="305"/>
        <v/>
      </c>
      <c r="BP345" s="155" t="str">
        <f t="shared" si="306"/>
        <v/>
      </c>
      <c r="BQ345" s="155" t="str">
        <f t="shared" si="307"/>
        <v/>
      </c>
      <c r="BR345" s="155" t="str">
        <f t="shared" si="308"/>
        <v/>
      </c>
      <c r="BS345" s="155" t="str">
        <f t="shared" si="309"/>
        <v/>
      </c>
      <c r="BT345" s="155" t="str">
        <f t="shared" si="310"/>
        <v/>
      </c>
      <c r="BU345" s="155" t="str">
        <f t="shared" si="311"/>
        <v/>
      </c>
      <c r="BV345" s="155" t="str">
        <f t="shared" si="312"/>
        <v/>
      </c>
      <c r="BW345" s="155" t="str">
        <f t="shared" si="313"/>
        <v/>
      </c>
      <c r="BX345" s="155" t="str">
        <f t="shared" si="314"/>
        <v/>
      </c>
      <c r="BY345" s="155" t="str">
        <f t="shared" si="315"/>
        <v/>
      </c>
      <c r="BZ345" s="155" t="str">
        <f t="shared" si="316"/>
        <v/>
      </c>
      <c r="CA345" s="155" t="str">
        <f t="shared" si="317"/>
        <v/>
      </c>
      <c r="CB345" s="155" t="str">
        <f t="shared" si="318"/>
        <v/>
      </c>
      <c r="CC345" s="155" t="str">
        <f t="shared" si="319"/>
        <v/>
      </c>
      <c r="CD345" s="155" t="str">
        <f t="shared" si="320"/>
        <v/>
      </c>
      <c r="CE345" s="155" t="str">
        <f t="shared" si="321"/>
        <v/>
      </c>
      <c r="CF345" s="155" t="str">
        <f t="shared" si="322"/>
        <v/>
      </c>
      <c r="CG345" s="155" t="str">
        <f t="shared" si="323"/>
        <v/>
      </c>
      <c r="CH345" s="155" t="str">
        <f t="shared" si="324"/>
        <v/>
      </c>
      <c r="CI345" s="155" t="str">
        <f t="shared" si="325"/>
        <v/>
      </c>
      <c r="CJ345" s="155" t="str">
        <f t="shared" si="326"/>
        <v/>
      </c>
      <c r="CK345" s="155" t="str">
        <f t="shared" si="327"/>
        <v/>
      </c>
      <c r="CL345" s="155" t="str">
        <f t="shared" si="328"/>
        <v/>
      </c>
      <c r="CM345" s="155" t="str">
        <f t="shared" si="329"/>
        <v/>
      </c>
      <c r="CN345" s="155" t="str">
        <f t="shared" si="330"/>
        <v/>
      </c>
      <c r="CO345" s="155" t="str">
        <f t="shared" si="331"/>
        <v/>
      </c>
      <c r="CP345" s="155" t="str">
        <f t="shared" si="332"/>
        <v/>
      </c>
      <c r="CQ345" s="155" t="str">
        <f t="shared" si="333"/>
        <v/>
      </c>
      <c r="CR345" s="155" t="str">
        <f t="shared" si="334"/>
        <v/>
      </c>
      <c r="CS345" s="155" t="str">
        <f t="shared" si="335"/>
        <v/>
      </c>
      <c r="CT345" s="155" t="str">
        <f t="shared" si="336"/>
        <v/>
      </c>
      <c r="CU345" s="155" t="str">
        <f t="shared" si="337"/>
        <v/>
      </c>
      <c r="CV345" s="155" t="str">
        <f t="shared" si="338"/>
        <v/>
      </c>
      <c r="CW345" s="155" t="str">
        <f t="shared" si="339"/>
        <v/>
      </c>
      <c r="CX345" s="155" t="str">
        <f t="shared" si="340"/>
        <v/>
      </c>
    </row>
    <row r="346" spans="1:102" s="151" customFormat="1" ht="25.5" x14ac:dyDescent="0.2">
      <c r="A346" s="158"/>
      <c r="B346" s="157" t="str">
        <f>Services!B346</f>
        <v>13E03</v>
      </c>
      <c r="C346" s="153" t="str">
        <f>Services!C346</f>
        <v xml:space="preserve">Applicabilité de la politique relative à la Protection des systèmes informatisés </v>
      </c>
      <c r="D346" s="149"/>
      <c r="E346" s="149"/>
      <c r="F346" s="149"/>
      <c r="G346" s="149">
        <f>4*(8*Plans_action!E321+Plans_action!D321)</f>
        <v>0</v>
      </c>
      <c r="H346" s="149"/>
      <c r="I346" s="140" t="str">
        <f t="shared" si="300"/>
        <v/>
      </c>
      <c r="J346" s="141" t="str">
        <f t="shared" si="298"/>
        <v/>
      </c>
      <c r="K346" s="142"/>
      <c r="L346" s="142"/>
      <c r="M346" s="1708"/>
      <c r="N346" s="1708"/>
      <c r="O346" s="1708"/>
      <c r="P346" s="1708"/>
      <c r="Q346" s="1708"/>
      <c r="R346" s="1708"/>
      <c r="S346" s="1708"/>
      <c r="T346" s="1708"/>
      <c r="U346" s="1708"/>
      <c r="V346" s="1708"/>
      <c r="W346" s="1708"/>
      <c r="X346" s="1712"/>
      <c r="Y346" s="1712"/>
      <c r="Z346" s="1712"/>
      <c r="AA346" s="1712"/>
      <c r="AB346" s="1712"/>
      <c r="AC346" s="1712"/>
      <c r="AD346" s="1712"/>
      <c r="AE346" s="1712"/>
      <c r="AF346" s="1712"/>
      <c r="AG346" s="1712"/>
      <c r="AH346" s="1712"/>
      <c r="AI346" s="1712"/>
      <c r="AJ346" s="1712"/>
      <c r="AK346" s="1712"/>
      <c r="AL346" s="1712"/>
      <c r="AM346" s="1712"/>
      <c r="AN346" s="1712"/>
      <c r="AO346" s="1712"/>
      <c r="AP346" s="1712"/>
      <c r="AQ346" s="1712"/>
      <c r="AR346" s="1712"/>
      <c r="AS346" s="1712"/>
      <c r="AT346" s="1712"/>
      <c r="AU346" s="1712"/>
      <c r="AV346" s="1712"/>
      <c r="AW346" s="1712"/>
      <c r="AX346" s="1713"/>
      <c r="AY346" s="1714" t="str">
        <f t="shared" si="299"/>
        <v/>
      </c>
      <c r="AZ346" s="1714" t="str">
        <f>IF(Obj_PA!D346="","",IF(AY346="","",Obj_PA!D346-AY346))</f>
        <v/>
      </c>
      <c r="BA346" s="150"/>
      <c r="BB346" s="150"/>
      <c r="BC346" s="150"/>
      <c r="BD346" s="150"/>
      <c r="BE346" s="150"/>
      <c r="BF346" s="150"/>
      <c r="BG346" s="150"/>
      <c r="BH346" s="150"/>
      <c r="BI346" s="150"/>
      <c r="BJ346" s="150"/>
      <c r="BK346" s="155" t="str">
        <f t="shared" si="301"/>
        <v/>
      </c>
      <c r="BL346" s="155" t="str">
        <f t="shared" si="302"/>
        <v/>
      </c>
      <c r="BM346" s="155" t="str">
        <f t="shared" si="303"/>
        <v/>
      </c>
      <c r="BN346" s="155" t="str">
        <f t="shared" si="304"/>
        <v/>
      </c>
      <c r="BO346" s="155" t="str">
        <f t="shared" si="305"/>
        <v/>
      </c>
      <c r="BP346" s="155" t="str">
        <f t="shared" si="306"/>
        <v/>
      </c>
      <c r="BQ346" s="155" t="str">
        <f t="shared" si="307"/>
        <v/>
      </c>
      <c r="BR346" s="155" t="str">
        <f t="shared" si="308"/>
        <v/>
      </c>
      <c r="BS346" s="155" t="str">
        <f t="shared" si="309"/>
        <v/>
      </c>
      <c r="BT346" s="155" t="str">
        <f t="shared" si="310"/>
        <v/>
      </c>
      <c r="BU346" s="155" t="str">
        <f t="shared" si="311"/>
        <v/>
      </c>
      <c r="BV346" s="155" t="str">
        <f t="shared" si="312"/>
        <v/>
      </c>
      <c r="BW346" s="155" t="str">
        <f t="shared" si="313"/>
        <v/>
      </c>
      <c r="BX346" s="155" t="str">
        <f t="shared" si="314"/>
        <v/>
      </c>
      <c r="BY346" s="155" t="str">
        <f t="shared" si="315"/>
        <v/>
      </c>
      <c r="BZ346" s="155" t="str">
        <f t="shared" si="316"/>
        <v/>
      </c>
      <c r="CA346" s="155" t="str">
        <f t="shared" si="317"/>
        <v/>
      </c>
      <c r="CB346" s="155" t="str">
        <f t="shared" si="318"/>
        <v/>
      </c>
      <c r="CC346" s="155" t="str">
        <f t="shared" si="319"/>
        <v/>
      </c>
      <c r="CD346" s="155" t="str">
        <f t="shared" si="320"/>
        <v/>
      </c>
      <c r="CE346" s="155" t="str">
        <f t="shared" si="321"/>
        <v/>
      </c>
      <c r="CF346" s="155" t="str">
        <f t="shared" si="322"/>
        <v/>
      </c>
      <c r="CG346" s="155" t="str">
        <f t="shared" si="323"/>
        <v/>
      </c>
      <c r="CH346" s="155" t="str">
        <f t="shared" si="324"/>
        <v/>
      </c>
      <c r="CI346" s="155" t="str">
        <f t="shared" si="325"/>
        <v/>
      </c>
      <c r="CJ346" s="155" t="str">
        <f t="shared" si="326"/>
        <v/>
      </c>
      <c r="CK346" s="155" t="str">
        <f t="shared" si="327"/>
        <v/>
      </c>
      <c r="CL346" s="155" t="str">
        <f t="shared" si="328"/>
        <v/>
      </c>
      <c r="CM346" s="155" t="str">
        <f t="shared" si="329"/>
        <v/>
      </c>
      <c r="CN346" s="155" t="str">
        <f t="shared" si="330"/>
        <v/>
      </c>
      <c r="CO346" s="155" t="str">
        <f t="shared" si="331"/>
        <v/>
      </c>
      <c r="CP346" s="155" t="str">
        <f t="shared" si="332"/>
        <v/>
      </c>
      <c r="CQ346" s="155" t="str">
        <f t="shared" si="333"/>
        <v/>
      </c>
      <c r="CR346" s="155" t="str">
        <f t="shared" si="334"/>
        <v/>
      </c>
      <c r="CS346" s="155" t="str">
        <f t="shared" si="335"/>
        <v/>
      </c>
      <c r="CT346" s="155" t="str">
        <f t="shared" si="336"/>
        <v/>
      </c>
      <c r="CU346" s="155" t="str">
        <f t="shared" si="337"/>
        <v/>
      </c>
      <c r="CV346" s="155" t="str">
        <f t="shared" si="338"/>
        <v/>
      </c>
      <c r="CW346" s="155" t="str">
        <f t="shared" si="339"/>
        <v/>
      </c>
      <c r="CX346" s="155" t="str">
        <f t="shared" si="340"/>
        <v/>
      </c>
    </row>
    <row r="347" spans="1:102" s="151" customFormat="1" ht="25.5" x14ac:dyDescent="0.2">
      <c r="A347" s="158"/>
      <c r="B347" s="157" t="str">
        <f>Services!B347</f>
        <v>13E04</v>
      </c>
      <c r="C347" s="153" t="str">
        <f>Services!C347</f>
        <v xml:space="preserve">Contrôle de l'application de la politique relative à la Protection des systèmes informatisés </v>
      </c>
      <c r="D347" s="149"/>
      <c r="E347" s="149">
        <f>2*(8*Plans_action!E321+Plans_action!D321)</f>
        <v>0</v>
      </c>
      <c r="F347" s="149"/>
      <c r="G347" s="149"/>
      <c r="H347" s="149"/>
      <c r="I347" s="140" t="str">
        <f t="shared" si="300"/>
        <v/>
      </c>
      <c r="J347" s="141" t="str">
        <f t="shared" si="298"/>
        <v/>
      </c>
      <c r="K347" s="142"/>
      <c r="L347" s="142"/>
      <c r="M347" s="1708"/>
      <c r="N347" s="1708"/>
      <c r="O347" s="1708"/>
      <c r="P347" s="1708"/>
      <c r="Q347" s="1708"/>
      <c r="R347" s="1708"/>
      <c r="S347" s="1708"/>
      <c r="T347" s="1708"/>
      <c r="U347" s="1708"/>
      <c r="V347" s="1708"/>
      <c r="W347" s="1708"/>
      <c r="X347" s="1712"/>
      <c r="Y347" s="1712"/>
      <c r="Z347" s="1712"/>
      <c r="AA347" s="1712"/>
      <c r="AB347" s="1712"/>
      <c r="AC347" s="1712"/>
      <c r="AD347" s="1712"/>
      <c r="AE347" s="1712"/>
      <c r="AF347" s="1712"/>
      <c r="AG347" s="1712"/>
      <c r="AH347" s="1712"/>
      <c r="AI347" s="1712"/>
      <c r="AJ347" s="1712"/>
      <c r="AK347" s="1712"/>
      <c r="AL347" s="1712"/>
      <c r="AM347" s="1712"/>
      <c r="AN347" s="1712"/>
      <c r="AO347" s="1712"/>
      <c r="AP347" s="1712"/>
      <c r="AQ347" s="1712"/>
      <c r="AR347" s="1712"/>
      <c r="AS347" s="1712"/>
      <c r="AT347" s="1712"/>
      <c r="AU347" s="1712"/>
      <c r="AV347" s="1712"/>
      <c r="AW347" s="1712"/>
      <c r="AX347" s="1713"/>
      <c r="AY347" s="1714" t="str">
        <f t="shared" si="299"/>
        <v/>
      </c>
      <c r="AZ347" s="1714" t="str">
        <f>IF(Obj_PA!D347="","",IF(AY347="","",Obj_PA!D347-AY347))</f>
        <v/>
      </c>
      <c r="BA347" s="150"/>
      <c r="BB347" s="150"/>
      <c r="BC347" s="150"/>
      <c r="BD347" s="150"/>
      <c r="BE347" s="150"/>
      <c r="BF347" s="150"/>
      <c r="BG347" s="150"/>
      <c r="BH347" s="150"/>
      <c r="BI347" s="150"/>
      <c r="BJ347" s="150"/>
      <c r="BK347" s="155" t="str">
        <f t="shared" si="301"/>
        <v/>
      </c>
      <c r="BL347" s="155" t="str">
        <f t="shared" si="302"/>
        <v/>
      </c>
      <c r="BM347" s="155" t="str">
        <f t="shared" si="303"/>
        <v/>
      </c>
      <c r="BN347" s="155" t="str">
        <f t="shared" si="304"/>
        <v/>
      </c>
      <c r="BO347" s="155" t="str">
        <f t="shared" si="305"/>
        <v/>
      </c>
      <c r="BP347" s="155" t="str">
        <f t="shared" si="306"/>
        <v/>
      </c>
      <c r="BQ347" s="155" t="str">
        <f t="shared" si="307"/>
        <v/>
      </c>
      <c r="BR347" s="155" t="str">
        <f t="shared" si="308"/>
        <v/>
      </c>
      <c r="BS347" s="155" t="str">
        <f t="shared" si="309"/>
        <v/>
      </c>
      <c r="BT347" s="155" t="str">
        <f t="shared" si="310"/>
        <v/>
      </c>
      <c r="BU347" s="155" t="str">
        <f t="shared" si="311"/>
        <v/>
      </c>
      <c r="BV347" s="155" t="str">
        <f t="shared" si="312"/>
        <v/>
      </c>
      <c r="BW347" s="155" t="str">
        <f t="shared" si="313"/>
        <v/>
      </c>
      <c r="BX347" s="155" t="str">
        <f t="shared" si="314"/>
        <v/>
      </c>
      <c r="BY347" s="155" t="str">
        <f t="shared" si="315"/>
        <v/>
      </c>
      <c r="BZ347" s="155" t="str">
        <f t="shared" si="316"/>
        <v/>
      </c>
      <c r="CA347" s="155" t="str">
        <f t="shared" si="317"/>
        <v/>
      </c>
      <c r="CB347" s="155" t="str">
        <f t="shared" si="318"/>
        <v/>
      </c>
      <c r="CC347" s="155" t="str">
        <f t="shared" si="319"/>
        <v/>
      </c>
      <c r="CD347" s="155" t="str">
        <f t="shared" si="320"/>
        <v/>
      </c>
      <c r="CE347" s="155" t="str">
        <f t="shared" si="321"/>
        <v/>
      </c>
      <c r="CF347" s="155" t="str">
        <f t="shared" si="322"/>
        <v/>
      </c>
      <c r="CG347" s="155" t="str">
        <f t="shared" si="323"/>
        <v/>
      </c>
      <c r="CH347" s="155" t="str">
        <f t="shared" si="324"/>
        <v/>
      </c>
      <c r="CI347" s="155" t="str">
        <f t="shared" si="325"/>
        <v/>
      </c>
      <c r="CJ347" s="155" t="str">
        <f t="shared" si="326"/>
        <v/>
      </c>
      <c r="CK347" s="155" t="str">
        <f t="shared" si="327"/>
        <v/>
      </c>
      <c r="CL347" s="155" t="str">
        <f t="shared" si="328"/>
        <v/>
      </c>
      <c r="CM347" s="155" t="str">
        <f t="shared" si="329"/>
        <v/>
      </c>
      <c r="CN347" s="155" t="str">
        <f t="shared" si="330"/>
        <v/>
      </c>
      <c r="CO347" s="155" t="str">
        <f t="shared" si="331"/>
        <v/>
      </c>
      <c r="CP347" s="155" t="str">
        <f t="shared" si="332"/>
        <v/>
      </c>
      <c r="CQ347" s="155" t="str">
        <f t="shared" si="333"/>
        <v/>
      </c>
      <c r="CR347" s="155" t="str">
        <f t="shared" si="334"/>
        <v/>
      </c>
      <c r="CS347" s="155" t="str">
        <f t="shared" si="335"/>
        <v/>
      </c>
      <c r="CT347" s="155" t="str">
        <f t="shared" si="336"/>
        <v/>
      </c>
      <c r="CU347" s="155" t="str">
        <f t="shared" si="337"/>
        <v/>
      </c>
      <c r="CV347" s="155" t="str">
        <f t="shared" si="338"/>
        <v/>
      </c>
      <c r="CW347" s="155" t="str">
        <f t="shared" si="339"/>
        <v/>
      </c>
      <c r="CX347" s="155" t="str">
        <f t="shared" si="340"/>
        <v/>
      </c>
    </row>
    <row r="348" spans="1:102" s="151" customFormat="1" ht="14.25" x14ac:dyDescent="0.2">
      <c r="A348" s="158"/>
      <c r="B348" s="147" t="str">
        <f>Services!B348</f>
        <v>13F</v>
      </c>
      <c r="C348" s="148" t="str">
        <f>Services!C348</f>
        <v xml:space="preserve">Sécurité des personnes et protection de l'environnement </v>
      </c>
      <c r="D348" s="149"/>
      <c r="E348" s="149"/>
      <c r="F348" s="149"/>
      <c r="G348" s="149"/>
      <c r="H348" s="149"/>
      <c r="I348" s="140" t="str">
        <f t="shared" si="300"/>
        <v/>
      </c>
      <c r="J348" s="141" t="str">
        <f t="shared" si="298"/>
        <v/>
      </c>
      <c r="K348" s="142"/>
      <c r="L348" s="142"/>
      <c r="M348" s="1708"/>
      <c r="N348" s="1708"/>
      <c r="O348" s="1708"/>
      <c r="P348" s="1708"/>
      <c r="Q348" s="1708"/>
      <c r="R348" s="1708"/>
      <c r="S348" s="1708"/>
      <c r="T348" s="1708"/>
      <c r="U348" s="1708"/>
      <c r="V348" s="1708"/>
      <c r="W348" s="1708"/>
      <c r="X348" s="1712"/>
      <c r="Y348" s="1712"/>
      <c r="Z348" s="1712"/>
      <c r="AA348" s="1712"/>
      <c r="AB348" s="1712"/>
      <c r="AC348" s="1712"/>
      <c r="AD348" s="1712"/>
      <c r="AE348" s="1712"/>
      <c r="AF348" s="1712"/>
      <c r="AG348" s="1712"/>
      <c r="AH348" s="1712"/>
      <c r="AI348" s="1712"/>
      <c r="AJ348" s="1712"/>
      <c r="AK348" s="1712"/>
      <c r="AL348" s="1712"/>
      <c r="AM348" s="1712"/>
      <c r="AN348" s="1712"/>
      <c r="AO348" s="1712"/>
      <c r="AP348" s="1712"/>
      <c r="AQ348" s="1712"/>
      <c r="AR348" s="1712"/>
      <c r="AS348" s="1712"/>
      <c r="AT348" s="1712"/>
      <c r="AU348" s="1712"/>
      <c r="AV348" s="1712"/>
      <c r="AW348" s="1712"/>
      <c r="AX348" s="1713"/>
      <c r="AY348" s="1714" t="str">
        <f t="shared" si="299"/>
        <v/>
      </c>
      <c r="AZ348" s="1714" t="str">
        <f>IF(Obj_PA!D348="","",IF(AY348="","",Obj_PA!D348-AY348))</f>
        <v/>
      </c>
      <c r="BA348" s="150"/>
      <c r="BB348" s="150"/>
      <c r="BC348" s="150"/>
      <c r="BD348" s="150"/>
      <c r="BE348" s="150"/>
      <c r="BF348" s="150"/>
      <c r="BG348" s="150"/>
      <c r="BH348" s="150"/>
      <c r="BI348" s="150"/>
      <c r="BJ348" s="150"/>
      <c r="BK348" s="155" t="str">
        <f t="shared" si="301"/>
        <v/>
      </c>
      <c r="BL348" s="155" t="str">
        <f t="shared" si="302"/>
        <v/>
      </c>
      <c r="BM348" s="155" t="str">
        <f t="shared" si="303"/>
        <v/>
      </c>
      <c r="BN348" s="155" t="str">
        <f t="shared" si="304"/>
        <v/>
      </c>
      <c r="BO348" s="155" t="str">
        <f t="shared" si="305"/>
        <v/>
      </c>
      <c r="BP348" s="155" t="str">
        <f t="shared" si="306"/>
        <v/>
      </c>
      <c r="BQ348" s="155" t="str">
        <f t="shared" si="307"/>
        <v/>
      </c>
      <c r="BR348" s="155" t="str">
        <f t="shared" si="308"/>
        <v/>
      </c>
      <c r="BS348" s="155" t="str">
        <f t="shared" si="309"/>
        <v/>
      </c>
      <c r="BT348" s="155" t="str">
        <f t="shared" si="310"/>
        <v/>
      </c>
      <c r="BU348" s="155" t="str">
        <f t="shared" si="311"/>
        <v/>
      </c>
      <c r="BV348" s="155" t="str">
        <f t="shared" si="312"/>
        <v/>
      </c>
      <c r="BW348" s="155" t="str">
        <f t="shared" si="313"/>
        <v/>
      </c>
      <c r="BX348" s="155" t="str">
        <f t="shared" si="314"/>
        <v/>
      </c>
      <c r="BY348" s="155" t="str">
        <f t="shared" si="315"/>
        <v/>
      </c>
      <c r="BZ348" s="155" t="str">
        <f t="shared" si="316"/>
        <v/>
      </c>
      <c r="CA348" s="155" t="str">
        <f t="shared" si="317"/>
        <v/>
      </c>
      <c r="CB348" s="155" t="str">
        <f t="shared" si="318"/>
        <v/>
      </c>
      <c r="CC348" s="155" t="str">
        <f t="shared" si="319"/>
        <v/>
      </c>
      <c r="CD348" s="155" t="str">
        <f t="shared" si="320"/>
        <v/>
      </c>
      <c r="CE348" s="155" t="str">
        <f t="shared" si="321"/>
        <v/>
      </c>
      <c r="CF348" s="155" t="str">
        <f t="shared" si="322"/>
        <v/>
      </c>
      <c r="CG348" s="155" t="str">
        <f t="shared" si="323"/>
        <v/>
      </c>
      <c r="CH348" s="155" t="str">
        <f t="shared" si="324"/>
        <v/>
      </c>
      <c r="CI348" s="155" t="str">
        <f t="shared" si="325"/>
        <v/>
      </c>
      <c r="CJ348" s="155" t="str">
        <f t="shared" si="326"/>
        <v/>
      </c>
      <c r="CK348" s="155" t="str">
        <f t="shared" si="327"/>
        <v/>
      </c>
      <c r="CL348" s="155" t="str">
        <f t="shared" si="328"/>
        <v/>
      </c>
      <c r="CM348" s="155" t="str">
        <f t="shared" si="329"/>
        <v/>
      </c>
      <c r="CN348" s="155" t="str">
        <f t="shared" si="330"/>
        <v/>
      </c>
      <c r="CO348" s="155" t="str">
        <f t="shared" si="331"/>
        <v/>
      </c>
      <c r="CP348" s="155" t="str">
        <f t="shared" si="332"/>
        <v/>
      </c>
      <c r="CQ348" s="155" t="str">
        <f t="shared" si="333"/>
        <v/>
      </c>
      <c r="CR348" s="155" t="str">
        <f t="shared" si="334"/>
        <v/>
      </c>
      <c r="CS348" s="155" t="str">
        <f t="shared" si="335"/>
        <v/>
      </c>
      <c r="CT348" s="155" t="str">
        <f t="shared" si="336"/>
        <v/>
      </c>
      <c r="CU348" s="155" t="str">
        <f t="shared" si="337"/>
        <v/>
      </c>
      <c r="CV348" s="155" t="str">
        <f t="shared" si="338"/>
        <v/>
      </c>
      <c r="CW348" s="155" t="str">
        <f t="shared" si="339"/>
        <v/>
      </c>
      <c r="CX348" s="155" t="str">
        <f t="shared" si="340"/>
        <v/>
      </c>
    </row>
    <row r="349" spans="1:102" s="151" customFormat="1" ht="15.75" customHeight="1" x14ac:dyDescent="0.2">
      <c r="A349" s="181"/>
      <c r="B349" s="157" t="str">
        <f>Services!B349</f>
        <v>13F01</v>
      </c>
      <c r="C349" s="153" t="str">
        <f>Services!C349</f>
        <v xml:space="preserve">Politique et directives relatives à la sécurité des personnes et à la protection de l'environnement </v>
      </c>
      <c r="D349" s="149"/>
      <c r="E349" s="149"/>
      <c r="F349" s="149"/>
      <c r="G349" s="149">
        <f>4*(8*Plans_action!E326+Plans_action!D326)</f>
        <v>0</v>
      </c>
      <c r="H349" s="149"/>
      <c r="I349" s="140" t="str">
        <f t="shared" si="300"/>
        <v/>
      </c>
      <c r="J349" s="141" t="str">
        <f t="shared" si="298"/>
        <v/>
      </c>
      <c r="K349" s="142"/>
      <c r="L349" s="142"/>
      <c r="M349" s="1708"/>
      <c r="N349" s="1708"/>
      <c r="O349" s="1708"/>
      <c r="P349" s="1708"/>
      <c r="Q349" s="1708"/>
      <c r="R349" s="1708"/>
      <c r="S349" s="1708"/>
      <c r="T349" s="1708"/>
      <c r="U349" s="1708"/>
      <c r="V349" s="1708"/>
      <c r="W349" s="1708"/>
      <c r="X349" s="1712"/>
      <c r="Y349" s="1712"/>
      <c r="Z349" s="1712"/>
      <c r="AA349" s="1712"/>
      <c r="AB349" s="1712"/>
      <c r="AC349" s="1712"/>
      <c r="AD349" s="1712"/>
      <c r="AE349" s="1712"/>
      <c r="AF349" s="1712"/>
      <c r="AG349" s="1712"/>
      <c r="AH349" s="1712"/>
      <c r="AI349" s="1712"/>
      <c r="AJ349" s="1712"/>
      <c r="AK349" s="1712"/>
      <c r="AL349" s="1712"/>
      <c r="AM349" s="1712"/>
      <c r="AN349" s="1712"/>
      <c r="AO349" s="1712"/>
      <c r="AP349" s="1712"/>
      <c r="AQ349" s="1712"/>
      <c r="AR349" s="1712"/>
      <c r="AS349" s="1712"/>
      <c r="AT349" s="1712"/>
      <c r="AU349" s="1712"/>
      <c r="AV349" s="1712"/>
      <c r="AW349" s="1712"/>
      <c r="AX349" s="1713"/>
      <c r="AY349" s="1714" t="str">
        <f t="shared" si="299"/>
        <v/>
      </c>
      <c r="AZ349" s="1714" t="str">
        <f>IF(Obj_PA!D349="","",IF(AY349="","",Obj_PA!D349-AY349))</f>
        <v/>
      </c>
      <c r="BA349" s="150"/>
      <c r="BB349" s="150"/>
      <c r="BC349" s="150"/>
      <c r="BD349" s="150"/>
      <c r="BE349" s="150"/>
      <c r="BF349" s="150"/>
      <c r="BG349" s="150"/>
      <c r="BH349" s="150"/>
      <c r="BI349" s="150"/>
      <c r="BJ349" s="150"/>
      <c r="BK349" s="155" t="str">
        <f t="shared" si="301"/>
        <v/>
      </c>
      <c r="BL349" s="155" t="str">
        <f t="shared" si="302"/>
        <v/>
      </c>
      <c r="BM349" s="155" t="str">
        <f t="shared" si="303"/>
        <v/>
      </c>
      <c r="BN349" s="155" t="str">
        <f t="shared" si="304"/>
        <v/>
      </c>
      <c r="BO349" s="155" t="str">
        <f t="shared" si="305"/>
        <v/>
      </c>
      <c r="BP349" s="155" t="str">
        <f t="shared" si="306"/>
        <v/>
      </c>
      <c r="BQ349" s="155" t="str">
        <f t="shared" si="307"/>
        <v/>
      </c>
      <c r="BR349" s="155" t="str">
        <f t="shared" si="308"/>
        <v/>
      </c>
      <c r="BS349" s="155" t="str">
        <f t="shared" si="309"/>
        <v/>
      </c>
      <c r="BT349" s="155" t="str">
        <f t="shared" si="310"/>
        <v/>
      </c>
      <c r="BU349" s="155" t="str">
        <f t="shared" si="311"/>
        <v/>
      </c>
      <c r="BV349" s="155" t="str">
        <f t="shared" si="312"/>
        <v/>
      </c>
      <c r="BW349" s="155" t="str">
        <f t="shared" si="313"/>
        <v/>
      </c>
      <c r="BX349" s="155" t="str">
        <f t="shared" si="314"/>
        <v/>
      </c>
      <c r="BY349" s="155" t="str">
        <f t="shared" si="315"/>
        <v/>
      </c>
      <c r="BZ349" s="155" t="str">
        <f t="shared" si="316"/>
        <v/>
      </c>
      <c r="CA349" s="155" t="str">
        <f t="shared" si="317"/>
        <v/>
      </c>
      <c r="CB349" s="155" t="str">
        <f t="shared" si="318"/>
        <v/>
      </c>
      <c r="CC349" s="155" t="str">
        <f t="shared" si="319"/>
        <v/>
      </c>
      <c r="CD349" s="155" t="str">
        <f t="shared" si="320"/>
        <v/>
      </c>
      <c r="CE349" s="155" t="str">
        <f t="shared" si="321"/>
        <v/>
      </c>
      <c r="CF349" s="155" t="str">
        <f t="shared" si="322"/>
        <v/>
      </c>
      <c r="CG349" s="155" t="str">
        <f t="shared" si="323"/>
        <v/>
      </c>
      <c r="CH349" s="155" t="str">
        <f t="shared" si="324"/>
        <v/>
      </c>
      <c r="CI349" s="155" t="str">
        <f t="shared" si="325"/>
        <v/>
      </c>
      <c r="CJ349" s="155" t="str">
        <f t="shared" si="326"/>
        <v/>
      </c>
      <c r="CK349" s="155" t="str">
        <f t="shared" si="327"/>
        <v/>
      </c>
      <c r="CL349" s="155" t="str">
        <f t="shared" si="328"/>
        <v/>
      </c>
      <c r="CM349" s="155" t="str">
        <f t="shared" si="329"/>
        <v/>
      </c>
      <c r="CN349" s="155" t="str">
        <f t="shared" si="330"/>
        <v/>
      </c>
      <c r="CO349" s="155" t="str">
        <f t="shared" si="331"/>
        <v/>
      </c>
      <c r="CP349" s="155" t="str">
        <f t="shared" si="332"/>
        <v/>
      </c>
      <c r="CQ349" s="155" t="str">
        <f t="shared" si="333"/>
        <v/>
      </c>
      <c r="CR349" s="155" t="str">
        <f t="shared" si="334"/>
        <v/>
      </c>
      <c r="CS349" s="155" t="str">
        <f t="shared" si="335"/>
        <v/>
      </c>
      <c r="CT349" s="155" t="str">
        <f t="shared" si="336"/>
        <v/>
      </c>
      <c r="CU349" s="155" t="str">
        <f t="shared" si="337"/>
        <v/>
      </c>
      <c r="CV349" s="155" t="str">
        <f t="shared" si="338"/>
        <v/>
      </c>
      <c r="CW349" s="155" t="str">
        <f t="shared" si="339"/>
        <v/>
      </c>
      <c r="CX349" s="155" t="str">
        <f t="shared" si="340"/>
        <v/>
      </c>
    </row>
    <row r="350" spans="1:102" s="151" customFormat="1" ht="25.5" x14ac:dyDescent="0.2">
      <c r="A350" s="181"/>
      <c r="B350" s="157" t="str">
        <f>Services!B350</f>
        <v>13F02</v>
      </c>
      <c r="C350" s="153" t="str">
        <f>Services!C350</f>
        <v xml:space="preserve">Programme de formation et de sensibilisation à la Sécurité des personnes et à la protection de l'environnement </v>
      </c>
      <c r="D350" s="149"/>
      <c r="E350" s="149"/>
      <c r="F350" s="149"/>
      <c r="G350" s="149">
        <f>4*(8*Plans_action!E326+Plans_action!D326)</f>
        <v>0</v>
      </c>
      <c r="H350" s="149"/>
      <c r="I350" s="140" t="str">
        <f t="shared" si="300"/>
        <v/>
      </c>
      <c r="J350" s="141" t="str">
        <f t="shared" si="298"/>
        <v/>
      </c>
      <c r="K350" s="142"/>
      <c r="L350" s="142"/>
      <c r="M350" s="1708"/>
      <c r="N350" s="1708"/>
      <c r="O350" s="1708"/>
      <c r="P350" s="1708"/>
      <c r="Q350" s="1708"/>
      <c r="R350" s="1708"/>
      <c r="S350" s="1708"/>
      <c r="T350" s="1708"/>
      <c r="U350" s="1708"/>
      <c r="V350" s="1708"/>
      <c r="W350" s="1708"/>
      <c r="X350" s="1712"/>
      <c r="Y350" s="1712"/>
      <c r="Z350" s="1712"/>
      <c r="AA350" s="1712"/>
      <c r="AB350" s="1712"/>
      <c r="AC350" s="1712"/>
      <c r="AD350" s="1712"/>
      <c r="AE350" s="1712"/>
      <c r="AF350" s="1712"/>
      <c r="AG350" s="1712"/>
      <c r="AH350" s="1712"/>
      <c r="AI350" s="1712"/>
      <c r="AJ350" s="1712"/>
      <c r="AK350" s="1712"/>
      <c r="AL350" s="1712"/>
      <c r="AM350" s="1712"/>
      <c r="AN350" s="1712"/>
      <c r="AO350" s="1712"/>
      <c r="AP350" s="1712"/>
      <c r="AQ350" s="1712"/>
      <c r="AR350" s="1712"/>
      <c r="AS350" s="1712"/>
      <c r="AT350" s="1712"/>
      <c r="AU350" s="1712"/>
      <c r="AV350" s="1712"/>
      <c r="AW350" s="1712"/>
      <c r="AX350" s="1713"/>
      <c r="AY350" s="1714" t="str">
        <f t="shared" si="299"/>
        <v/>
      </c>
      <c r="AZ350" s="1714" t="str">
        <f>IF(Obj_PA!D350="","",IF(AY350="","",Obj_PA!D350-AY350))</f>
        <v/>
      </c>
      <c r="BA350" s="150"/>
      <c r="BB350" s="150"/>
      <c r="BC350" s="150"/>
      <c r="BD350" s="150"/>
      <c r="BE350" s="150"/>
      <c r="BF350" s="150"/>
      <c r="BG350" s="150"/>
      <c r="BH350" s="150"/>
      <c r="BI350" s="150"/>
      <c r="BJ350" s="150"/>
      <c r="BK350" s="155" t="str">
        <f t="shared" si="301"/>
        <v/>
      </c>
      <c r="BL350" s="155" t="str">
        <f t="shared" si="302"/>
        <v/>
      </c>
      <c r="BM350" s="155" t="str">
        <f t="shared" si="303"/>
        <v/>
      </c>
      <c r="BN350" s="155" t="str">
        <f t="shared" si="304"/>
        <v/>
      </c>
      <c r="BO350" s="155" t="str">
        <f t="shared" si="305"/>
        <v/>
      </c>
      <c r="BP350" s="155" t="str">
        <f t="shared" si="306"/>
        <v/>
      </c>
      <c r="BQ350" s="155" t="str">
        <f t="shared" si="307"/>
        <v/>
      </c>
      <c r="BR350" s="155" t="str">
        <f t="shared" si="308"/>
        <v/>
      </c>
      <c r="BS350" s="155" t="str">
        <f t="shared" si="309"/>
        <v/>
      </c>
      <c r="BT350" s="155" t="str">
        <f t="shared" si="310"/>
        <v/>
      </c>
      <c r="BU350" s="155" t="str">
        <f t="shared" si="311"/>
        <v/>
      </c>
      <c r="BV350" s="155" t="str">
        <f t="shared" si="312"/>
        <v/>
      </c>
      <c r="BW350" s="155" t="str">
        <f t="shared" si="313"/>
        <v/>
      </c>
      <c r="BX350" s="155" t="str">
        <f t="shared" si="314"/>
        <v/>
      </c>
      <c r="BY350" s="155" t="str">
        <f t="shared" si="315"/>
        <v/>
      </c>
      <c r="BZ350" s="155" t="str">
        <f t="shared" si="316"/>
        <v/>
      </c>
      <c r="CA350" s="155" t="str">
        <f t="shared" si="317"/>
        <v/>
      </c>
      <c r="CB350" s="155" t="str">
        <f t="shared" si="318"/>
        <v/>
      </c>
      <c r="CC350" s="155" t="str">
        <f t="shared" si="319"/>
        <v/>
      </c>
      <c r="CD350" s="155" t="str">
        <f t="shared" si="320"/>
        <v/>
      </c>
      <c r="CE350" s="155" t="str">
        <f t="shared" si="321"/>
        <v/>
      </c>
      <c r="CF350" s="155" t="str">
        <f t="shared" si="322"/>
        <v/>
      </c>
      <c r="CG350" s="155" t="str">
        <f t="shared" si="323"/>
        <v/>
      </c>
      <c r="CH350" s="155" t="str">
        <f t="shared" si="324"/>
        <v/>
      </c>
      <c r="CI350" s="155" t="str">
        <f t="shared" si="325"/>
        <v/>
      </c>
      <c r="CJ350" s="155" t="str">
        <f t="shared" si="326"/>
        <v/>
      </c>
      <c r="CK350" s="155" t="str">
        <f t="shared" si="327"/>
        <v/>
      </c>
      <c r="CL350" s="155" t="str">
        <f t="shared" si="328"/>
        <v/>
      </c>
      <c r="CM350" s="155" t="str">
        <f t="shared" si="329"/>
        <v/>
      </c>
      <c r="CN350" s="155" t="str">
        <f t="shared" si="330"/>
        <v/>
      </c>
      <c r="CO350" s="155" t="str">
        <f t="shared" si="331"/>
        <v/>
      </c>
      <c r="CP350" s="155" t="str">
        <f t="shared" si="332"/>
        <v/>
      </c>
      <c r="CQ350" s="155" t="str">
        <f t="shared" si="333"/>
        <v/>
      </c>
      <c r="CR350" s="155" t="str">
        <f t="shared" si="334"/>
        <v/>
      </c>
      <c r="CS350" s="155" t="str">
        <f t="shared" si="335"/>
        <v/>
      </c>
      <c r="CT350" s="155" t="str">
        <f t="shared" si="336"/>
        <v/>
      </c>
      <c r="CU350" s="155" t="str">
        <f t="shared" si="337"/>
        <v/>
      </c>
      <c r="CV350" s="155" t="str">
        <f t="shared" si="338"/>
        <v/>
      </c>
      <c r="CW350" s="155" t="str">
        <f t="shared" si="339"/>
        <v/>
      </c>
      <c r="CX350" s="155" t="str">
        <f t="shared" si="340"/>
        <v/>
      </c>
    </row>
    <row r="351" spans="1:102" s="151" customFormat="1" ht="15.75" customHeight="1" x14ac:dyDescent="0.2">
      <c r="A351" s="158"/>
      <c r="B351" s="157" t="str">
        <f>Services!B351</f>
        <v>13F03</v>
      </c>
      <c r="C351" s="153" t="str">
        <f>Services!C351</f>
        <v xml:space="preserve">Applicabilité de la politique relative à la Sécurité des personnes et protection de l'environnement </v>
      </c>
      <c r="D351" s="149"/>
      <c r="E351" s="149"/>
      <c r="F351" s="149"/>
      <c r="G351" s="149">
        <f>4*(8*Plans_action!E326+Plans_action!D326)</f>
        <v>0</v>
      </c>
      <c r="H351" s="149"/>
      <c r="I351" s="140" t="str">
        <f t="shared" si="300"/>
        <v/>
      </c>
      <c r="J351" s="141" t="str">
        <f t="shared" si="298"/>
        <v/>
      </c>
      <c r="K351" s="142"/>
      <c r="L351" s="142"/>
      <c r="M351" s="1708"/>
      <c r="N351" s="1708"/>
      <c r="O351" s="1708"/>
      <c r="P351" s="1708"/>
      <c r="Q351" s="1708"/>
      <c r="R351" s="1708"/>
      <c r="S351" s="1708"/>
      <c r="T351" s="1708"/>
      <c r="U351" s="1708"/>
      <c r="V351" s="1708"/>
      <c r="W351" s="1708"/>
      <c r="X351" s="1712"/>
      <c r="Y351" s="1712"/>
      <c r="Z351" s="1712"/>
      <c r="AA351" s="1712"/>
      <c r="AB351" s="1712"/>
      <c r="AC351" s="1712"/>
      <c r="AD351" s="1712"/>
      <c r="AE351" s="1712"/>
      <c r="AF351" s="1712"/>
      <c r="AG351" s="1712"/>
      <c r="AH351" s="1712"/>
      <c r="AI351" s="1712"/>
      <c r="AJ351" s="1712"/>
      <c r="AK351" s="1712"/>
      <c r="AL351" s="1712"/>
      <c r="AM351" s="1712"/>
      <c r="AN351" s="1712"/>
      <c r="AO351" s="1712"/>
      <c r="AP351" s="1712"/>
      <c r="AQ351" s="1712"/>
      <c r="AR351" s="1712"/>
      <c r="AS351" s="1712"/>
      <c r="AT351" s="1712"/>
      <c r="AU351" s="1712"/>
      <c r="AV351" s="1712"/>
      <c r="AW351" s="1712"/>
      <c r="AX351" s="1713"/>
      <c r="AY351" s="1714" t="str">
        <f t="shared" si="299"/>
        <v/>
      </c>
      <c r="AZ351" s="1714" t="str">
        <f>IF(Obj_PA!D351="","",IF(AY351="","",Obj_PA!D351-AY351))</f>
        <v/>
      </c>
      <c r="BA351" s="150"/>
      <c r="BB351" s="150"/>
      <c r="BC351" s="150"/>
      <c r="BD351" s="150"/>
      <c r="BE351" s="150"/>
      <c r="BF351" s="150"/>
      <c r="BG351" s="150"/>
      <c r="BH351" s="150"/>
      <c r="BI351" s="150"/>
      <c r="BJ351" s="150"/>
      <c r="BK351" s="155" t="str">
        <f t="shared" si="301"/>
        <v/>
      </c>
      <c r="BL351" s="155" t="str">
        <f t="shared" si="302"/>
        <v/>
      </c>
      <c r="BM351" s="155" t="str">
        <f t="shared" si="303"/>
        <v/>
      </c>
      <c r="BN351" s="155" t="str">
        <f t="shared" si="304"/>
        <v/>
      </c>
      <c r="BO351" s="155" t="str">
        <f t="shared" si="305"/>
        <v/>
      </c>
      <c r="BP351" s="155" t="str">
        <f t="shared" si="306"/>
        <v/>
      </c>
      <c r="BQ351" s="155" t="str">
        <f t="shared" si="307"/>
        <v/>
      </c>
      <c r="BR351" s="155" t="str">
        <f t="shared" si="308"/>
        <v/>
      </c>
      <c r="BS351" s="155" t="str">
        <f t="shared" si="309"/>
        <v/>
      </c>
      <c r="BT351" s="155" t="str">
        <f t="shared" si="310"/>
        <v/>
      </c>
      <c r="BU351" s="155" t="str">
        <f t="shared" si="311"/>
        <v/>
      </c>
      <c r="BV351" s="155" t="str">
        <f t="shared" si="312"/>
        <v/>
      </c>
      <c r="BW351" s="155" t="str">
        <f t="shared" si="313"/>
        <v/>
      </c>
      <c r="BX351" s="155" t="str">
        <f t="shared" si="314"/>
        <v/>
      </c>
      <c r="BY351" s="155" t="str">
        <f t="shared" si="315"/>
        <v/>
      </c>
      <c r="BZ351" s="155" t="str">
        <f t="shared" si="316"/>
        <v/>
      </c>
      <c r="CA351" s="155" t="str">
        <f t="shared" si="317"/>
        <v/>
      </c>
      <c r="CB351" s="155" t="str">
        <f t="shared" si="318"/>
        <v/>
      </c>
      <c r="CC351" s="155" t="str">
        <f t="shared" si="319"/>
        <v/>
      </c>
      <c r="CD351" s="155" t="str">
        <f t="shared" si="320"/>
        <v/>
      </c>
      <c r="CE351" s="155" t="str">
        <f t="shared" si="321"/>
        <v/>
      </c>
      <c r="CF351" s="155" t="str">
        <f t="shared" si="322"/>
        <v/>
      </c>
      <c r="CG351" s="155" t="str">
        <f t="shared" si="323"/>
        <v/>
      </c>
      <c r="CH351" s="155" t="str">
        <f t="shared" si="324"/>
        <v/>
      </c>
      <c r="CI351" s="155" t="str">
        <f t="shared" si="325"/>
        <v/>
      </c>
      <c r="CJ351" s="155" t="str">
        <f t="shared" si="326"/>
        <v/>
      </c>
      <c r="CK351" s="155" t="str">
        <f t="shared" si="327"/>
        <v/>
      </c>
      <c r="CL351" s="155" t="str">
        <f t="shared" si="328"/>
        <v/>
      </c>
      <c r="CM351" s="155" t="str">
        <f t="shared" si="329"/>
        <v/>
      </c>
      <c r="CN351" s="155" t="str">
        <f t="shared" si="330"/>
        <v/>
      </c>
      <c r="CO351" s="155" t="str">
        <f t="shared" si="331"/>
        <v/>
      </c>
      <c r="CP351" s="155" t="str">
        <f t="shared" si="332"/>
        <v/>
      </c>
      <c r="CQ351" s="155" t="str">
        <f t="shared" si="333"/>
        <v/>
      </c>
      <c r="CR351" s="155" t="str">
        <f t="shared" si="334"/>
        <v/>
      </c>
      <c r="CS351" s="155" t="str">
        <f t="shared" si="335"/>
        <v/>
      </c>
      <c r="CT351" s="155" t="str">
        <f t="shared" si="336"/>
        <v/>
      </c>
      <c r="CU351" s="155" t="str">
        <f t="shared" si="337"/>
        <v/>
      </c>
      <c r="CV351" s="155" t="str">
        <f t="shared" si="338"/>
        <v/>
      </c>
      <c r="CW351" s="155" t="str">
        <f t="shared" si="339"/>
        <v/>
      </c>
      <c r="CX351" s="155" t="str">
        <f t="shared" si="340"/>
        <v/>
      </c>
    </row>
    <row r="352" spans="1:102" ht="25.5" x14ac:dyDescent="0.2">
      <c r="A352" s="158"/>
      <c r="B352" s="157" t="str">
        <f>Services!B352</f>
        <v>13F04</v>
      </c>
      <c r="C352" s="153" t="str">
        <f>Services!C352</f>
        <v xml:space="preserve">Contrôle de l'application de la politique relative à la Sécurité des personnes et protection de l'environnement </v>
      </c>
      <c r="D352" s="149"/>
      <c r="E352" s="149">
        <f>2*(8*Plans_action!E326+Plans_action!D326)</f>
        <v>0</v>
      </c>
      <c r="F352" s="149"/>
      <c r="G352" s="149"/>
      <c r="H352" s="149"/>
      <c r="I352" s="140" t="str">
        <f t="shared" si="300"/>
        <v/>
      </c>
      <c r="J352" s="141" t="str">
        <f t="shared" si="298"/>
        <v/>
      </c>
      <c r="K352" s="142"/>
      <c r="L352" s="142"/>
      <c r="M352" s="1708"/>
      <c r="N352" s="1708"/>
      <c r="O352" s="1708"/>
      <c r="P352" s="1708"/>
      <c r="Q352" s="1708"/>
      <c r="R352" s="1708"/>
      <c r="S352" s="1708"/>
      <c r="T352" s="1708"/>
      <c r="U352" s="1708"/>
      <c r="V352" s="1708"/>
      <c r="W352" s="1708"/>
      <c r="X352" s="1709"/>
      <c r="Y352" s="1709"/>
      <c r="Z352" s="1709"/>
      <c r="AA352" s="1709"/>
      <c r="AB352" s="1709"/>
      <c r="AC352" s="1709"/>
      <c r="AD352" s="1709"/>
      <c r="AE352" s="1709"/>
      <c r="AF352" s="1709"/>
      <c r="AG352" s="1709"/>
      <c r="AH352" s="1709"/>
      <c r="AI352" s="1709"/>
      <c r="AJ352" s="1709"/>
      <c r="AK352" s="1709"/>
      <c r="AL352" s="1709"/>
      <c r="AM352" s="1709"/>
      <c r="AN352" s="1709"/>
      <c r="AO352" s="1709"/>
      <c r="AP352" s="1709"/>
      <c r="AQ352" s="1709"/>
      <c r="AR352" s="1709"/>
      <c r="AS352" s="1709"/>
      <c r="AT352" s="1709"/>
      <c r="AU352" s="1709"/>
      <c r="AV352" s="1709"/>
      <c r="AW352" s="1709"/>
      <c r="AX352" s="1710"/>
      <c r="AY352" s="1714" t="str">
        <f t="shared" si="299"/>
        <v/>
      </c>
      <c r="AZ352" s="1714" t="str">
        <f>IF(Obj_PA!D352="","",IF(AY352="","",Obj_PA!D352-AY352))</f>
        <v/>
      </c>
      <c r="BK352" s="155" t="str">
        <f t="shared" si="301"/>
        <v/>
      </c>
      <c r="BL352" s="155" t="str">
        <f t="shared" si="302"/>
        <v/>
      </c>
      <c r="BM352" s="155" t="str">
        <f t="shared" si="303"/>
        <v/>
      </c>
      <c r="BN352" s="155" t="str">
        <f t="shared" si="304"/>
        <v/>
      </c>
      <c r="BO352" s="155" t="str">
        <f t="shared" si="305"/>
        <v/>
      </c>
      <c r="BP352" s="155" t="str">
        <f t="shared" si="306"/>
        <v/>
      </c>
      <c r="BQ352" s="155" t="str">
        <f t="shared" si="307"/>
        <v/>
      </c>
      <c r="BR352" s="155" t="str">
        <f t="shared" si="308"/>
        <v/>
      </c>
      <c r="BS352" s="155" t="str">
        <f t="shared" si="309"/>
        <v/>
      </c>
      <c r="BT352" s="155" t="str">
        <f t="shared" si="310"/>
        <v/>
      </c>
      <c r="BU352" s="155" t="str">
        <f t="shared" si="311"/>
        <v/>
      </c>
      <c r="BV352" s="155" t="str">
        <f t="shared" si="312"/>
        <v/>
      </c>
      <c r="BW352" s="155" t="str">
        <f t="shared" si="313"/>
        <v/>
      </c>
      <c r="BX352" s="155" t="str">
        <f t="shared" si="314"/>
        <v/>
      </c>
      <c r="BY352" s="155" t="str">
        <f t="shared" si="315"/>
        <v/>
      </c>
      <c r="BZ352" s="155" t="str">
        <f t="shared" si="316"/>
        <v/>
      </c>
      <c r="CA352" s="155" t="str">
        <f t="shared" si="317"/>
        <v/>
      </c>
      <c r="CB352" s="155" t="str">
        <f t="shared" si="318"/>
        <v/>
      </c>
      <c r="CC352" s="155" t="str">
        <f t="shared" si="319"/>
        <v/>
      </c>
      <c r="CD352" s="155" t="str">
        <f t="shared" si="320"/>
        <v/>
      </c>
      <c r="CE352" s="155" t="str">
        <f t="shared" si="321"/>
        <v/>
      </c>
      <c r="CF352" s="155" t="str">
        <f t="shared" si="322"/>
        <v/>
      </c>
      <c r="CG352" s="155" t="str">
        <f t="shared" si="323"/>
        <v/>
      </c>
      <c r="CH352" s="155" t="str">
        <f t="shared" si="324"/>
        <v/>
      </c>
      <c r="CI352" s="155" t="str">
        <f t="shared" si="325"/>
        <v/>
      </c>
      <c r="CJ352" s="155" t="str">
        <f t="shared" si="326"/>
        <v/>
      </c>
      <c r="CK352" s="155" t="str">
        <f t="shared" si="327"/>
        <v/>
      </c>
      <c r="CL352" s="155" t="str">
        <f t="shared" si="328"/>
        <v/>
      </c>
      <c r="CM352" s="155" t="str">
        <f t="shared" si="329"/>
        <v/>
      </c>
      <c r="CN352" s="155" t="str">
        <f t="shared" si="330"/>
        <v/>
      </c>
      <c r="CO352" s="155" t="str">
        <f t="shared" si="331"/>
        <v/>
      </c>
      <c r="CP352" s="155" t="str">
        <f t="shared" si="332"/>
        <v/>
      </c>
      <c r="CQ352" s="155" t="str">
        <f t="shared" si="333"/>
        <v/>
      </c>
      <c r="CR352" s="155" t="str">
        <f t="shared" si="334"/>
        <v/>
      </c>
      <c r="CS352" s="155" t="str">
        <f t="shared" si="335"/>
        <v/>
      </c>
      <c r="CT352" s="155" t="str">
        <f t="shared" si="336"/>
        <v/>
      </c>
      <c r="CU352" s="155" t="str">
        <f t="shared" si="337"/>
        <v/>
      </c>
      <c r="CV352" s="155" t="str">
        <f t="shared" si="338"/>
        <v/>
      </c>
      <c r="CW352" s="155" t="str">
        <f t="shared" si="339"/>
        <v/>
      </c>
      <c r="CX352" s="155" t="str">
        <f t="shared" si="340"/>
        <v/>
      </c>
    </row>
    <row r="353" spans="1:102" s="151" customFormat="1" ht="14.25" x14ac:dyDescent="0.2">
      <c r="A353" s="158"/>
      <c r="B353" s="147" t="str">
        <f>Services!B353</f>
        <v>13G</v>
      </c>
      <c r="C353" s="148" t="str">
        <f>Services!C353</f>
        <v>Règles relatives à l'utilisation de moyens cryptologiques</v>
      </c>
      <c r="D353" s="149"/>
      <c r="E353" s="149"/>
      <c r="F353" s="149"/>
      <c r="G353" s="149"/>
      <c r="H353" s="149"/>
      <c r="I353" s="140" t="str">
        <f t="shared" si="300"/>
        <v/>
      </c>
      <c r="J353" s="141" t="str">
        <f t="shared" si="298"/>
        <v/>
      </c>
      <c r="K353" s="142"/>
      <c r="L353" s="142"/>
      <c r="M353" s="1708"/>
      <c r="N353" s="1708"/>
      <c r="O353" s="1708"/>
      <c r="P353" s="1708"/>
      <c r="Q353" s="1708"/>
      <c r="R353" s="1708"/>
      <c r="S353" s="1708"/>
      <c r="T353" s="1708"/>
      <c r="U353" s="1708"/>
      <c r="V353" s="1708"/>
      <c r="W353" s="1708"/>
      <c r="X353" s="1712"/>
      <c r="Y353" s="1712"/>
      <c r="Z353" s="1712"/>
      <c r="AA353" s="1712"/>
      <c r="AB353" s="1712"/>
      <c r="AC353" s="1712"/>
      <c r="AD353" s="1712"/>
      <c r="AE353" s="1712"/>
      <c r="AF353" s="1712"/>
      <c r="AG353" s="1712"/>
      <c r="AH353" s="1712"/>
      <c r="AI353" s="1712"/>
      <c r="AJ353" s="1712"/>
      <c r="AK353" s="1712"/>
      <c r="AL353" s="1712"/>
      <c r="AM353" s="1712"/>
      <c r="AN353" s="1712"/>
      <c r="AO353" s="1712"/>
      <c r="AP353" s="1712"/>
      <c r="AQ353" s="1712"/>
      <c r="AR353" s="1712"/>
      <c r="AS353" s="1712"/>
      <c r="AT353" s="1712"/>
      <c r="AU353" s="1712"/>
      <c r="AV353" s="1712"/>
      <c r="AW353" s="1712"/>
      <c r="AX353" s="1713"/>
      <c r="AY353" s="1714" t="str">
        <f t="shared" si="299"/>
        <v/>
      </c>
      <c r="AZ353" s="1714" t="str">
        <f>IF(Obj_PA!D353="","",IF(AY353="","",Obj_PA!D353-AY353))</f>
        <v/>
      </c>
      <c r="BA353" s="150"/>
      <c r="BB353" s="150"/>
      <c r="BC353" s="150"/>
      <c r="BD353" s="150"/>
      <c r="BE353" s="150"/>
      <c r="BF353" s="150"/>
      <c r="BG353" s="150"/>
      <c r="BH353" s="150"/>
      <c r="BI353" s="150"/>
      <c r="BJ353" s="150"/>
      <c r="BK353" s="155" t="str">
        <f t="shared" si="301"/>
        <v/>
      </c>
      <c r="BL353" s="155" t="str">
        <f t="shared" si="302"/>
        <v/>
      </c>
      <c r="BM353" s="155" t="str">
        <f t="shared" si="303"/>
        <v/>
      </c>
      <c r="BN353" s="155" t="str">
        <f t="shared" si="304"/>
        <v/>
      </c>
      <c r="BO353" s="155" t="str">
        <f t="shared" si="305"/>
        <v/>
      </c>
      <c r="BP353" s="155" t="str">
        <f t="shared" si="306"/>
        <v/>
      </c>
      <c r="BQ353" s="155" t="str">
        <f t="shared" si="307"/>
        <v/>
      </c>
      <c r="BR353" s="155" t="str">
        <f t="shared" si="308"/>
        <v/>
      </c>
      <c r="BS353" s="155" t="str">
        <f t="shared" si="309"/>
        <v/>
      </c>
      <c r="BT353" s="155" t="str">
        <f t="shared" si="310"/>
        <v/>
      </c>
      <c r="BU353" s="155" t="str">
        <f t="shared" si="311"/>
        <v/>
      </c>
      <c r="BV353" s="155" t="str">
        <f t="shared" si="312"/>
        <v/>
      </c>
      <c r="BW353" s="155" t="str">
        <f t="shared" si="313"/>
        <v/>
      </c>
      <c r="BX353" s="155" t="str">
        <f t="shared" si="314"/>
        <v/>
      </c>
      <c r="BY353" s="155" t="str">
        <f t="shared" si="315"/>
        <v/>
      </c>
      <c r="BZ353" s="155" t="str">
        <f t="shared" si="316"/>
        <v/>
      </c>
      <c r="CA353" s="155" t="str">
        <f t="shared" si="317"/>
        <v/>
      </c>
      <c r="CB353" s="155" t="str">
        <f t="shared" si="318"/>
        <v/>
      </c>
      <c r="CC353" s="155" t="str">
        <f t="shared" si="319"/>
        <v/>
      </c>
      <c r="CD353" s="155" t="str">
        <f t="shared" si="320"/>
        <v/>
      </c>
      <c r="CE353" s="155" t="str">
        <f t="shared" si="321"/>
        <v/>
      </c>
      <c r="CF353" s="155" t="str">
        <f t="shared" si="322"/>
        <v/>
      </c>
      <c r="CG353" s="155" t="str">
        <f t="shared" si="323"/>
        <v/>
      </c>
      <c r="CH353" s="155" t="str">
        <f t="shared" si="324"/>
        <v/>
      </c>
      <c r="CI353" s="155" t="str">
        <f t="shared" si="325"/>
        <v/>
      </c>
      <c r="CJ353" s="155" t="str">
        <f t="shared" si="326"/>
        <v/>
      </c>
      <c r="CK353" s="155" t="str">
        <f t="shared" si="327"/>
        <v/>
      </c>
      <c r="CL353" s="155" t="str">
        <f t="shared" si="328"/>
        <v/>
      </c>
      <c r="CM353" s="155" t="str">
        <f t="shared" si="329"/>
        <v/>
      </c>
      <c r="CN353" s="155" t="str">
        <f t="shared" si="330"/>
        <v/>
      </c>
      <c r="CO353" s="155" t="str">
        <f t="shared" si="331"/>
        <v/>
      </c>
      <c r="CP353" s="155" t="str">
        <f t="shared" si="332"/>
        <v/>
      </c>
      <c r="CQ353" s="155" t="str">
        <f t="shared" si="333"/>
        <v/>
      </c>
      <c r="CR353" s="155" t="str">
        <f t="shared" si="334"/>
        <v/>
      </c>
      <c r="CS353" s="155" t="str">
        <f t="shared" si="335"/>
        <v/>
      </c>
      <c r="CT353" s="155" t="str">
        <f t="shared" si="336"/>
        <v/>
      </c>
      <c r="CU353" s="155" t="str">
        <f t="shared" si="337"/>
        <v/>
      </c>
      <c r="CV353" s="155" t="str">
        <f t="shared" si="338"/>
        <v/>
      </c>
      <c r="CW353" s="155" t="str">
        <f t="shared" si="339"/>
        <v/>
      </c>
      <c r="CX353" s="155" t="str">
        <f t="shared" si="340"/>
        <v/>
      </c>
    </row>
    <row r="354" spans="1:102" s="151" customFormat="1" ht="25.5" x14ac:dyDescent="0.2">
      <c r="A354" s="181"/>
      <c r="B354" s="157" t="str">
        <f>Services!B354</f>
        <v>13G01</v>
      </c>
      <c r="C354" s="153" t="str">
        <f>Services!C354</f>
        <v>Politique et directives relatives à l'utilisation de moyens cryptologiques</v>
      </c>
      <c r="D354" s="149"/>
      <c r="E354" s="149"/>
      <c r="F354" s="149"/>
      <c r="G354" s="149"/>
      <c r="H354" s="149"/>
      <c r="I354" s="140" t="str">
        <f t="shared" si="300"/>
        <v/>
      </c>
      <c r="J354" s="141" t="str">
        <f t="shared" si="298"/>
        <v/>
      </c>
      <c r="K354" s="142"/>
      <c r="L354" s="142"/>
      <c r="M354" s="1708"/>
      <c r="N354" s="1708"/>
      <c r="O354" s="1708"/>
      <c r="P354" s="1708"/>
      <c r="Q354" s="1708"/>
      <c r="R354" s="1708"/>
      <c r="S354" s="1708"/>
      <c r="T354" s="1708"/>
      <c r="U354" s="1708"/>
      <c r="V354" s="1708"/>
      <c r="W354" s="1708"/>
      <c r="X354" s="1712"/>
      <c r="Y354" s="1712"/>
      <c r="Z354" s="1712"/>
      <c r="AA354" s="1712"/>
      <c r="AB354" s="1712"/>
      <c r="AC354" s="1712"/>
      <c r="AD354" s="1712"/>
      <c r="AE354" s="1712"/>
      <c r="AF354" s="1712"/>
      <c r="AG354" s="1712"/>
      <c r="AH354" s="1712"/>
      <c r="AI354" s="1712"/>
      <c r="AJ354" s="1712"/>
      <c r="AK354" s="1712"/>
      <c r="AL354" s="1712"/>
      <c r="AM354" s="1712"/>
      <c r="AN354" s="1712"/>
      <c r="AO354" s="1712"/>
      <c r="AP354" s="1712"/>
      <c r="AQ354" s="1712"/>
      <c r="AR354" s="1712"/>
      <c r="AS354" s="1712"/>
      <c r="AT354" s="1712"/>
      <c r="AU354" s="1712"/>
      <c r="AV354" s="1712"/>
      <c r="AW354" s="1712"/>
      <c r="AX354" s="1713"/>
      <c r="AY354" s="1714" t="str">
        <f t="shared" si="299"/>
        <v/>
      </c>
      <c r="AZ354" s="1714" t="str">
        <f>IF(Obj_PA!D354="","",IF(AY354="","",Obj_PA!D354-AY354))</f>
        <v/>
      </c>
      <c r="BA354" s="150"/>
      <c r="BB354" s="150"/>
      <c r="BC354" s="150"/>
      <c r="BD354" s="150"/>
      <c r="BE354" s="150"/>
      <c r="BF354" s="150"/>
      <c r="BG354" s="150"/>
      <c r="BH354" s="150"/>
      <c r="BI354" s="150"/>
      <c r="BJ354" s="150"/>
      <c r="BK354" s="155" t="str">
        <f t="shared" si="301"/>
        <v/>
      </c>
      <c r="BL354" s="155" t="str">
        <f t="shared" si="302"/>
        <v/>
      </c>
      <c r="BM354" s="155" t="str">
        <f t="shared" si="303"/>
        <v/>
      </c>
      <c r="BN354" s="155" t="str">
        <f t="shared" si="304"/>
        <v/>
      </c>
      <c r="BO354" s="155" t="str">
        <f t="shared" si="305"/>
        <v/>
      </c>
      <c r="BP354" s="155" t="str">
        <f t="shared" si="306"/>
        <v/>
      </c>
      <c r="BQ354" s="155" t="str">
        <f t="shared" si="307"/>
        <v/>
      </c>
      <c r="BR354" s="155" t="str">
        <f t="shared" si="308"/>
        <v/>
      </c>
      <c r="BS354" s="155" t="str">
        <f t="shared" si="309"/>
        <v/>
      </c>
      <c r="BT354" s="155" t="str">
        <f t="shared" si="310"/>
        <v/>
      </c>
      <c r="BU354" s="155" t="str">
        <f t="shared" si="311"/>
        <v/>
      </c>
      <c r="BV354" s="155" t="str">
        <f t="shared" si="312"/>
        <v/>
      </c>
      <c r="BW354" s="155" t="str">
        <f t="shared" si="313"/>
        <v/>
      </c>
      <c r="BX354" s="155" t="str">
        <f t="shared" si="314"/>
        <v/>
      </c>
      <c r="BY354" s="155" t="str">
        <f t="shared" si="315"/>
        <v/>
      </c>
      <c r="BZ354" s="155" t="str">
        <f t="shared" si="316"/>
        <v/>
      </c>
      <c r="CA354" s="155" t="str">
        <f t="shared" si="317"/>
        <v/>
      </c>
      <c r="CB354" s="155" t="str">
        <f t="shared" si="318"/>
        <v/>
      </c>
      <c r="CC354" s="155" t="str">
        <f t="shared" si="319"/>
        <v/>
      </c>
      <c r="CD354" s="155" t="str">
        <f t="shared" si="320"/>
        <v/>
      </c>
      <c r="CE354" s="155" t="str">
        <f t="shared" si="321"/>
        <v/>
      </c>
      <c r="CF354" s="155" t="str">
        <f t="shared" si="322"/>
        <v/>
      </c>
      <c r="CG354" s="155" t="str">
        <f t="shared" si="323"/>
        <v/>
      </c>
      <c r="CH354" s="155" t="str">
        <f t="shared" si="324"/>
        <v/>
      </c>
      <c r="CI354" s="155" t="str">
        <f t="shared" si="325"/>
        <v/>
      </c>
      <c r="CJ354" s="155" t="str">
        <f t="shared" si="326"/>
        <v/>
      </c>
      <c r="CK354" s="155" t="str">
        <f t="shared" si="327"/>
        <v/>
      </c>
      <c r="CL354" s="155" t="str">
        <f t="shared" si="328"/>
        <v/>
      </c>
      <c r="CM354" s="155" t="str">
        <f t="shared" si="329"/>
        <v/>
      </c>
      <c r="CN354" s="155" t="str">
        <f t="shared" si="330"/>
        <v/>
      </c>
      <c r="CO354" s="155" t="str">
        <f t="shared" si="331"/>
        <v/>
      </c>
      <c r="CP354" s="155" t="str">
        <f t="shared" si="332"/>
        <v/>
      </c>
      <c r="CQ354" s="155" t="str">
        <f t="shared" si="333"/>
        <v/>
      </c>
      <c r="CR354" s="155" t="str">
        <f t="shared" si="334"/>
        <v/>
      </c>
      <c r="CS354" s="155" t="str">
        <f t="shared" si="335"/>
        <v/>
      </c>
      <c r="CT354" s="155" t="str">
        <f t="shared" si="336"/>
        <v/>
      </c>
      <c r="CU354" s="155" t="str">
        <f t="shared" si="337"/>
        <v/>
      </c>
      <c r="CV354" s="155" t="str">
        <f t="shared" si="338"/>
        <v/>
      </c>
      <c r="CW354" s="155" t="str">
        <f t="shared" si="339"/>
        <v/>
      </c>
      <c r="CX354" s="155" t="str">
        <f t="shared" si="340"/>
        <v/>
      </c>
    </row>
    <row r="355" spans="1:102" s="151" customFormat="1" ht="25.5" x14ac:dyDescent="0.2">
      <c r="A355" s="181"/>
      <c r="B355" s="157" t="str">
        <f>Services!B355</f>
        <v>13G02</v>
      </c>
      <c r="C355" s="153" t="str">
        <f>Services!C355</f>
        <v>Programme de formation et de sensibilisation à l'utilisation de moyens cryptologiques</v>
      </c>
      <c r="D355" s="149"/>
      <c r="E355" s="149"/>
      <c r="F355" s="149"/>
      <c r="G355" s="149"/>
      <c r="H355" s="149"/>
      <c r="I355" s="140" t="str">
        <f t="shared" si="300"/>
        <v/>
      </c>
      <c r="J355" s="141" t="str">
        <f t="shared" si="298"/>
        <v/>
      </c>
      <c r="K355" s="142"/>
      <c r="L355" s="142"/>
      <c r="M355" s="1708"/>
      <c r="N355" s="1708"/>
      <c r="O355" s="1708"/>
      <c r="P355" s="1708"/>
      <c r="Q355" s="1708"/>
      <c r="R355" s="1708"/>
      <c r="S355" s="1708"/>
      <c r="T355" s="1708"/>
      <c r="U355" s="1708"/>
      <c r="V355" s="1708"/>
      <c r="W355" s="1708"/>
      <c r="X355" s="1712"/>
      <c r="Y355" s="1712"/>
      <c r="Z355" s="1712"/>
      <c r="AA355" s="1712"/>
      <c r="AB355" s="1712"/>
      <c r="AC355" s="1712"/>
      <c r="AD355" s="1712"/>
      <c r="AE355" s="1712"/>
      <c r="AF355" s="1712"/>
      <c r="AG355" s="1712"/>
      <c r="AH355" s="1712"/>
      <c r="AI355" s="1712"/>
      <c r="AJ355" s="1712"/>
      <c r="AK355" s="1712"/>
      <c r="AL355" s="1712"/>
      <c r="AM355" s="1712"/>
      <c r="AN355" s="1712"/>
      <c r="AO355" s="1712"/>
      <c r="AP355" s="1712"/>
      <c r="AQ355" s="1712"/>
      <c r="AR355" s="1712"/>
      <c r="AS355" s="1712"/>
      <c r="AT355" s="1712"/>
      <c r="AU355" s="1712"/>
      <c r="AV355" s="1712"/>
      <c r="AW355" s="1712"/>
      <c r="AX355" s="1713"/>
      <c r="AY355" s="1714" t="str">
        <f t="shared" si="299"/>
        <v/>
      </c>
      <c r="AZ355" s="1714" t="str">
        <f>IF(Obj_PA!D355="","",IF(AY355="","",Obj_PA!D355-AY355))</f>
        <v/>
      </c>
      <c r="BA355" s="150"/>
      <c r="BB355" s="150"/>
      <c r="BC355" s="150"/>
      <c r="BD355" s="150"/>
      <c r="BE355" s="150"/>
      <c r="BF355" s="150"/>
      <c r="BG355" s="150"/>
      <c r="BH355" s="150"/>
      <c r="BI355" s="150"/>
      <c r="BJ355" s="150"/>
      <c r="BK355" s="155" t="str">
        <f t="shared" si="301"/>
        <v/>
      </c>
      <c r="BL355" s="155" t="str">
        <f t="shared" si="302"/>
        <v/>
      </c>
      <c r="BM355" s="155" t="str">
        <f t="shared" si="303"/>
        <v/>
      </c>
      <c r="BN355" s="155" t="str">
        <f t="shared" si="304"/>
        <v/>
      </c>
      <c r="BO355" s="155" t="str">
        <f t="shared" si="305"/>
        <v/>
      </c>
      <c r="BP355" s="155" t="str">
        <f t="shared" si="306"/>
        <v/>
      </c>
      <c r="BQ355" s="155" t="str">
        <f t="shared" si="307"/>
        <v/>
      </c>
      <c r="BR355" s="155" t="str">
        <f t="shared" si="308"/>
        <v/>
      </c>
      <c r="BS355" s="155" t="str">
        <f t="shared" si="309"/>
        <v/>
      </c>
      <c r="BT355" s="155" t="str">
        <f t="shared" si="310"/>
        <v/>
      </c>
      <c r="BU355" s="155" t="str">
        <f t="shared" si="311"/>
        <v/>
      </c>
      <c r="BV355" s="155" t="str">
        <f t="shared" si="312"/>
        <v/>
      </c>
      <c r="BW355" s="155" t="str">
        <f t="shared" si="313"/>
        <v/>
      </c>
      <c r="BX355" s="155" t="str">
        <f t="shared" si="314"/>
        <v/>
      </c>
      <c r="BY355" s="155" t="str">
        <f t="shared" si="315"/>
        <v/>
      </c>
      <c r="BZ355" s="155" t="str">
        <f t="shared" si="316"/>
        <v/>
      </c>
      <c r="CA355" s="155" t="str">
        <f t="shared" si="317"/>
        <v/>
      </c>
      <c r="CB355" s="155" t="str">
        <f t="shared" si="318"/>
        <v/>
      </c>
      <c r="CC355" s="155" t="str">
        <f t="shared" si="319"/>
        <v/>
      </c>
      <c r="CD355" s="155" t="str">
        <f t="shared" si="320"/>
        <v/>
      </c>
      <c r="CE355" s="155" t="str">
        <f t="shared" si="321"/>
        <v/>
      </c>
      <c r="CF355" s="155" t="str">
        <f t="shared" si="322"/>
        <v/>
      </c>
      <c r="CG355" s="155" t="str">
        <f t="shared" si="323"/>
        <v/>
      </c>
      <c r="CH355" s="155" t="str">
        <f t="shared" si="324"/>
        <v/>
      </c>
      <c r="CI355" s="155" t="str">
        <f t="shared" si="325"/>
        <v/>
      </c>
      <c r="CJ355" s="155" t="str">
        <f t="shared" si="326"/>
        <v/>
      </c>
      <c r="CK355" s="155" t="str">
        <f t="shared" si="327"/>
        <v/>
      </c>
      <c r="CL355" s="155" t="str">
        <f t="shared" si="328"/>
        <v/>
      </c>
      <c r="CM355" s="155" t="str">
        <f t="shared" si="329"/>
        <v/>
      </c>
      <c r="CN355" s="155" t="str">
        <f t="shared" si="330"/>
        <v/>
      </c>
      <c r="CO355" s="155" t="str">
        <f t="shared" si="331"/>
        <v/>
      </c>
      <c r="CP355" s="155" t="str">
        <f t="shared" si="332"/>
        <v/>
      </c>
      <c r="CQ355" s="155" t="str">
        <f t="shared" si="333"/>
        <v/>
      </c>
      <c r="CR355" s="155" t="str">
        <f t="shared" si="334"/>
        <v/>
      </c>
      <c r="CS355" s="155" t="str">
        <f t="shared" si="335"/>
        <v/>
      </c>
      <c r="CT355" s="155" t="str">
        <f t="shared" si="336"/>
        <v/>
      </c>
      <c r="CU355" s="155" t="str">
        <f t="shared" si="337"/>
        <v/>
      </c>
      <c r="CV355" s="155" t="str">
        <f t="shared" si="338"/>
        <v/>
      </c>
      <c r="CW355" s="155" t="str">
        <f t="shared" si="339"/>
        <v/>
      </c>
      <c r="CX355" s="155" t="str">
        <f t="shared" si="340"/>
        <v/>
      </c>
    </row>
    <row r="356" spans="1:102" ht="25.5" x14ac:dyDescent="0.2">
      <c r="A356" s="158"/>
      <c r="B356" s="157" t="str">
        <f>Services!B356</f>
        <v>13G03</v>
      </c>
      <c r="C356" s="153" t="str">
        <f>Services!C356</f>
        <v>Contrôle de l'application de la politique relative à l'utilisation de moyens cryptologiques</v>
      </c>
      <c r="D356" s="149"/>
      <c r="E356" s="149"/>
      <c r="F356" s="149"/>
      <c r="G356" s="149"/>
      <c r="H356" s="149"/>
      <c r="I356" s="140" t="str">
        <f t="shared" si="300"/>
        <v/>
      </c>
      <c r="J356" s="141" t="str">
        <f t="shared" si="298"/>
        <v/>
      </c>
      <c r="K356" s="142"/>
      <c r="L356" s="142"/>
      <c r="M356" s="1708"/>
      <c r="N356" s="1708"/>
      <c r="O356" s="1708"/>
      <c r="P356" s="1708"/>
      <c r="Q356" s="1708"/>
      <c r="R356" s="1708"/>
      <c r="S356" s="1708"/>
      <c r="T356" s="1708"/>
      <c r="U356" s="1708"/>
      <c r="V356" s="1708"/>
      <c r="W356" s="1708"/>
      <c r="X356" s="1709"/>
      <c r="Y356" s="1709"/>
      <c r="Z356" s="1709"/>
      <c r="AA356" s="1709"/>
      <c r="AB356" s="1709"/>
      <c r="AC356" s="1709"/>
      <c r="AD356" s="1709"/>
      <c r="AE356" s="1709"/>
      <c r="AF356" s="1709"/>
      <c r="AG356" s="1709"/>
      <c r="AH356" s="1709"/>
      <c r="AI356" s="1709"/>
      <c r="AJ356" s="1709"/>
      <c r="AK356" s="1709"/>
      <c r="AL356" s="1709"/>
      <c r="AM356" s="1709"/>
      <c r="AN356" s="1709"/>
      <c r="AO356" s="1709"/>
      <c r="AP356" s="1709"/>
      <c r="AQ356" s="1709"/>
      <c r="AR356" s="1709"/>
      <c r="AS356" s="1709"/>
      <c r="AT356" s="1709"/>
      <c r="AU356" s="1709"/>
      <c r="AV356" s="1709"/>
      <c r="AW356" s="1709"/>
      <c r="AX356" s="1710"/>
      <c r="AY356" s="1714" t="str">
        <f t="shared" si="299"/>
        <v/>
      </c>
      <c r="AZ356" s="1714" t="str">
        <f>IF(Obj_PA!D356="","",IF(AY356="","",Obj_PA!D356-AY356))</f>
        <v/>
      </c>
      <c r="BK356" s="155" t="str">
        <f t="shared" si="301"/>
        <v/>
      </c>
      <c r="BL356" s="155" t="str">
        <f t="shared" si="302"/>
        <v/>
      </c>
      <c r="BM356" s="155" t="str">
        <f t="shared" si="303"/>
        <v/>
      </c>
      <c r="BN356" s="155" t="str">
        <f t="shared" si="304"/>
        <v/>
      </c>
      <c r="BO356" s="155" t="str">
        <f t="shared" si="305"/>
        <v/>
      </c>
      <c r="BP356" s="155" t="str">
        <f t="shared" si="306"/>
        <v/>
      </c>
      <c r="BQ356" s="155" t="str">
        <f t="shared" si="307"/>
        <v/>
      </c>
      <c r="BR356" s="155" t="str">
        <f t="shared" si="308"/>
        <v/>
      </c>
      <c r="BS356" s="155" t="str">
        <f t="shared" si="309"/>
        <v/>
      </c>
      <c r="BT356" s="155" t="str">
        <f t="shared" si="310"/>
        <v/>
      </c>
      <c r="BU356" s="155" t="str">
        <f t="shared" si="311"/>
        <v/>
      </c>
      <c r="BV356" s="155" t="str">
        <f t="shared" si="312"/>
        <v/>
      </c>
      <c r="BW356" s="155" t="str">
        <f t="shared" si="313"/>
        <v/>
      </c>
      <c r="BX356" s="155" t="str">
        <f t="shared" si="314"/>
        <v/>
      </c>
      <c r="BY356" s="155" t="str">
        <f t="shared" si="315"/>
        <v/>
      </c>
      <c r="BZ356" s="155" t="str">
        <f t="shared" si="316"/>
        <v/>
      </c>
      <c r="CA356" s="155" t="str">
        <f t="shared" si="317"/>
        <v/>
      </c>
      <c r="CB356" s="155" t="str">
        <f t="shared" si="318"/>
        <v/>
      </c>
      <c r="CC356" s="155" t="str">
        <f t="shared" si="319"/>
        <v/>
      </c>
      <c r="CD356" s="155" t="str">
        <f t="shared" si="320"/>
        <v/>
      </c>
      <c r="CE356" s="155" t="str">
        <f t="shared" si="321"/>
        <v/>
      </c>
      <c r="CF356" s="155" t="str">
        <f t="shared" si="322"/>
        <v/>
      </c>
      <c r="CG356" s="155" t="str">
        <f t="shared" si="323"/>
        <v/>
      </c>
      <c r="CH356" s="155" t="str">
        <f t="shared" si="324"/>
        <v/>
      </c>
      <c r="CI356" s="155" t="str">
        <f t="shared" si="325"/>
        <v/>
      </c>
      <c r="CJ356" s="155" t="str">
        <f t="shared" si="326"/>
        <v/>
      </c>
      <c r="CK356" s="155" t="str">
        <f t="shared" si="327"/>
        <v/>
      </c>
      <c r="CL356" s="155" t="str">
        <f t="shared" si="328"/>
        <v/>
      </c>
      <c r="CM356" s="155" t="str">
        <f t="shared" si="329"/>
        <v/>
      </c>
      <c r="CN356" s="155" t="str">
        <f t="shared" si="330"/>
        <v/>
      </c>
      <c r="CO356" s="155" t="str">
        <f t="shared" si="331"/>
        <v/>
      </c>
      <c r="CP356" s="155" t="str">
        <f t="shared" si="332"/>
        <v/>
      </c>
      <c r="CQ356" s="155" t="str">
        <f t="shared" si="333"/>
        <v/>
      </c>
      <c r="CR356" s="155" t="str">
        <f t="shared" si="334"/>
        <v/>
      </c>
      <c r="CS356" s="155" t="str">
        <f t="shared" si="335"/>
        <v/>
      </c>
      <c r="CT356" s="155" t="str">
        <f t="shared" si="336"/>
        <v/>
      </c>
      <c r="CU356" s="155" t="str">
        <f t="shared" si="337"/>
        <v/>
      </c>
      <c r="CV356" s="155" t="str">
        <f t="shared" si="338"/>
        <v/>
      </c>
      <c r="CW356" s="155" t="str">
        <f t="shared" si="339"/>
        <v/>
      </c>
      <c r="CX356" s="155" t="str">
        <f t="shared" si="340"/>
        <v/>
      </c>
    </row>
    <row r="357" spans="1:102" ht="15" x14ac:dyDescent="0.2">
      <c r="A357" s="179">
        <v>14</v>
      </c>
      <c r="B357" s="179" t="str">
        <f>Services!B357</f>
        <v>Gestion de la sécurité de l'information (14 Msi)</v>
      </c>
      <c r="C357" s="180"/>
      <c r="D357" s="149"/>
      <c r="E357" s="149"/>
      <c r="F357" s="149"/>
      <c r="G357" s="149"/>
      <c r="H357" s="149"/>
      <c r="I357" s="140" t="str">
        <f t="shared" si="300"/>
        <v/>
      </c>
      <c r="J357" s="141" t="str">
        <f t="shared" si="298"/>
        <v/>
      </c>
      <c r="K357" s="142"/>
      <c r="L357" s="142"/>
      <c r="M357" s="1708"/>
      <c r="N357" s="1708"/>
      <c r="O357" s="1708"/>
      <c r="P357" s="1708"/>
      <c r="Q357" s="1708"/>
      <c r="R357" s="1708"/>
      <c r="S357" s="1708"/>
      <c r="T357" s="1708"/>
      <c r="U357" s="1708"/>
      <c r="V357" s="1708"/>
      <c r="W357" s="1708"/>
      <c r="X357" s="1709"/>
      <c r="Y357" s="1709"/>
      <c r="Z357" s="1709"/>
      <c r="AA357" s="1709"/>
      <c r="AB357" s="1709"/>
      <c r="AC357" s="1709"/>
      <c r="AD357" s="1709"/>
      <c r="AE357" s="1709"/>
      <c r="AF357" s="1709"/>
      <c r="AG357" s="1709"/>
      <c r="AH357" s="1709"/>
      <c r="AI357" s="1709"/>
      <c r="AJ357" s="1709"/>
      <c r="AK357" s="1709"/>
      <c r="AL357" s="1709"/>
      <c r="AM357" s="1709"/>
      <c r="AN357" s="1709"/>
      <c r="AO357" s="1709"/>
      <c r="AP357" s="1709"/>
      <c r="AQ357" s="1709"/>
      <c r="AR357" s="1709"/>
      <c r="AS357" s="1709"/>
      <c r="AT357" s="1709"/>
      <c r="AU357" s="1709"/>
      <c r="AV357" s="1709"/>
      <c r="AW357" s="1709"/>
      <c r="AX357" s="1710"/>
      <c r="AY357" s="1714" t="str">
        <f t="shared" si="299"/>
        <v/>
      </c>
      <c r="AZ357" s="1714" t="str">
        <f>IF(Obj_PA!D357="","",IF(AY357="","",Obj_PA!D357-AY357))</f>
        <v/>
      </c>
      <c r="BK357" s="155" t="str">
        <f t="shared" si="301"/>
        <v/>
      </c>
      <c r="BL357" s="155" t="str">
        <f t="shared" si="302"/>
        <v/>
      </c>
      <c r="BM357" s="155" t="str">
        <f t="shared" si="303"/>
        <v/>
      </c>
      <c r="BN357" s="155" t="str">
        <f t="shared" si="304"/>
        <v/>
      </c>
      <c r="BO357" s="155" t="str">
        <f t="shared" si="305"/>
        <v/>
      </c>
      <c r="BP357" s="155" t="str">
        <f t="shared" si="306"/>
        <v/>
      </c>
      <c r="BQ357" s="155" t="str">
        <f t="shared" si="307"/>
        <v/>
      </c>
      <c r="BR357" s="155" t="str">
        <f t="shared" si="308"/>
        <v/>
      </c>
      <c r="BS357" s="155" t="str">
        <f t="shared" si="309"/>
        <v/>
      </c>
      <c r="BT357" s="155" t="str">
        <f t="shared" si="310"/>
        <v/>
      </c>
      <c r="BU357" s="155" t="str">
        <f t="shared" si="311"/>
        <v/>
      </c>
      <c r="BV357" s="155" t="str">
        <f t="shared" si="312"/>
        <v/>
      </c>
      <c r="BW357" s="155" t="str">
        <f t="shared" si="313"/>
        <v/>
      </c>
      <c r="BX357" s="155" t="str">
        <f t="shared" si="314"/>
        <v/>
      </c>
      <c r="BY357" s="155" t="str">
        <f t="shared" si="315"/>
        <v/>
      </c>
      <c r="BZ357" s="155" t="str">
        <f t="shared" si="316"/>
        <v/>
      </c>
      <c r="CA357" s="155" t="str">
        <f t="shared" si="317"/>
        <v/>
      </c>
      <c r="CB357" s="155" t="str">
        <f t="shared" si="318"/>
        <v/>
      </c>
      <c r="CC357" s="155" t="str">
        <f t="shared" si="319"/>
        <v/>
      </c>
      <c r="CD357" s="155" t="str">
        <f t="shared" si="320"/>
        <v/>
      </c>
      <c r="CE357" s="155" t="str">
        <f t="shared" si="321"/>
        <v/>
      </c>
      <c r="CF357" s="155" t="str">
        <f t="shared" si="322"/>
        <v/>
      </c>
      <c r="CG357" s="155" t="str">
        <f t="shared" si="323"/>
        <v/>
      </c>
      <c r="CH357" s="155" t="str">
        <f t="shared" si="324"/>
        <v/>
      </c>
      <c r="CI357" s="155" t="str">
        <f t="shared" si="325"/>
        <v/>
      </c>
      <c r="CJ357" s="155" t="str">
        <f t="shared" si="326"/>
        <v/>
      </c>
      <c r="CK357" s="155" t="str">
        <f t="shared" si="327"/>
        <v/>
      </c>
      <c r="CL357" s="155" t="str">
        <f t="shared" si="328"/>
        <v/>
      </c>
      <c r="CM357" s="155" t="str">
        <f t="shared" si="329"/>
        <v/>
      </c>
      <c r="CN357" s="155" t="str">
        <f t="shared" si="330"/>
        <v/>
      </c>
      <c r="CO357" s="155" t="str">
        <f t="shared" si="331"/>
        <v/>
      </c>
      <c r="CP357" s="155" t="str">
        <f t="shared" si="332"/>
        <v/>
      </c>
      <c r="CQ357" s="155" t="str">
        <f t="shared" si="333"/>
        <v/>
      </c>
      <c r="CR357" s="155" t="str">
        <f t="shared" si="334"/>
        <v/>
      </c>
      <c r="CS357" s="155" t="str">
        <f t="shared" si="335"/>
        <v/>
      </c>
      <c r="CT357" s="155" t="str">
        <f t="shared" si="336"/>
        <v/>
      </c>
      <c r="CU357" s="155" t="str">
        <f t="shared" si="337"/>
        <v/>
      </c>
      <c r="CV357" s="155" t="str">
        <f t="shared" si="338"/>
        <v/>
      </c>
      <c r="CW357" s="155" t="str">
        <f t="shared" si="339"/>
        <v/>
      </c>
      <c r="CX357" s="155" t="str">
        <f t="shared" si="340"/>
        <v/>
      </c>
    </row>
    <row r="358" spans="1:102" ht="14.25" x14ac:dyDescent="0.2">
      <c r="A358" s="182"/>
      <c r="B358" s="147" t="str">
        <f>Services!B358</f>
        <v>14A</v>
      </c>
      <c r="C358" s="148" t="str">
        <f>Services!C358</f>
        <v>Planification du système de management</v>
      </c>
      <c r="D358" s="149"/>
      <c r="E358" s="149"/>
      <c r="F358" s="149"/>
      <c r="G358" s="149"/>
      <c r="H358" s="149"/>
      <c r="I358" s="140" t="str">
        <f t="shared" si="300"/>
        <v/>
      </c>
      <c r="J358" s="141" t="str">
        <f t="shared" si="298"/>
        <v/>
      </c>
      <c r="K358" s="142"/>
      <c r="L358" s="142"/>
      <c r="M358" s="1708"/>
      <c r="N358" s="1708"/>
      <c r="O358" s="1708"/>
      <c r="P358" s="1708"/>
      <c r="Q358" s="1708"/>
      <c r="R358" s="1708"/>
      <c r="S358" s="1708"/>
      <c r="T358" s="1708"/>
      <c r="U358" s="1708"/>
      <c r="V358" s="1708"/>
      <c r="W358" s="1708"/>
      <c r="X358" s="1709"/>
      <c r="Y358" s="1709"/>
      <c r="Z358" s="1709"/>
      <c r="AA358" s="1709"/>
      <c r="AB358" s="1709"/>
      <c r="AC358" s="1709"/>
      <c r="AD358" s="1709"/>
      <c r="AE358" s="1709"/>
      <c r="AF358" s="1709"/>
      <c r="AG358" s="1709"/>
      <c r="AH358" s="1709"/>
      <c r="AI358" s="1709"/>
      <c r="AJ358" s="1709"/>
      <c r="AK358" s="1709"/>
      <c r="AL358" s="1709"/>
      <c r="AM358" s="1709"/>
      <c r="AN358" s="1709"/>
      <c r="AO358" s="1709"/>
      <c r="AP358" s="1709"/>
      <c r="AQ358" s="1709"/>
      <c r="AR358" s="1709"/>
      <c r="AS358" s="1709"/>
      <c r="AT358" s="1709"/>
      <c r="AU358" s="1709"/>
      <c r="AV358" s="1709"/>
      <c r="AW358" s="1709"/>
      <c r="AX358" s="1710"/>
      <c r="AY358" s="1714" t="str">
        <f t="shared" si="299"/>
        <v/>
      </c>
      <c r="AZ358" s="1714" t="str">
        <f>IF(Obj_PA!D358="","",IF(AY358="","",Obj_PA!D358-AY358))</f>
        <v/>
      </c>
      <c r="BK358" s="155" t="str">
        <f t="shared" si="301"/>
        <v/>
      </c>
      <c r="BL358" s="155" t="str">
        <f t="shared" si="302"/>
        <v/>
      </c>
      <c r="BM358" s="155" t="str">
        <f t="shared" si="303"/>
        <v/>
      </c>
      <c r="BN358" s="155" t="str">
        <f t="shared" si="304"/>
        <v/>
      </c>
      <c r="BO358" s="155" t="str">
        <f t="shared" si="305"/>
        <v/>
      </c>
      <c r="BP358" s="155" t="str">
        <f t="shared" si="306"/>
        <v/>
      </c>
      <c r="BQ358" s="155" t="str">
        <f t="shared" si="307"/>
        <v/>
      </c>
      <c r="BR358" s="155" t="str">
        <f t="shared" si="308"/>
        <v/>
      </c>
      <c r="BS358" s="155" t="str">
        <f t="shared" si="309"/>
        <v/>
      </c>
      <c r="BT358" s="155" t="str">
        <f t="shared" si="310"/>
        <v/>
      </c>
      <c r="BU358" s="155" t="str">
        <f t="shared" si="311"/>
        <v/>
      </c>
      <c r="BV358" s="155" t="str">
        <f t="shared" si="312"/>
        <v/>
      </c>
      <c r="BW358" s="155" t="str">
        <f t="shared" si="313"/>
        <v/>
      </c>
      <c r="BX358" s="155" t="str">
        <f t="shared" si="314"/>
        <v/>
      </c>
      <c r="BY358" s="155" t="str">
        <f t="shared" si="315"/>
        <v/>
      </c>
      <c r="BZ358" s="155" t="str">
        <f t="shared" si="316"/>
        <v/>
      </c>
      <c r="CA358" s="155" t="str">
        <f t="shared" si="317"/>
        <v/>
      </c>
      <c r="CB358" s="155" t="str">
        <f t="shared" si="318"/>
        <v/>
      </c>
      <c r="CC358" s="155" t="str">
        <f t="shared" si="319"/>
        <v/>
      </c>
      <c r="CD358" s="155" t="str">
        <f t="shared" si="320"/>
        <v/>
      </c>
      <c r="CE358" s="155" t="str">
        <f t="shared" si="321"/>
        <v/>
      </c>
      <c r="CF358" s="155" t="str">
        <f t="shared" si="322"/>
        <v/>
      </c>
      <c r="CG358" s="155" t="str">
        <f t="shared" si="323"/>
        <v/>
      </c>
      <c r="CH358" s="155" t="str">
        <f t="shared" si="324"/>
        <v/>
      </c>
      <c r="CI358" s="155" t="str">
        <f t="shared" si="325"/>
        <v/>
      </c>
      <c r="CJ358" s="155" t="str">
        <f t="shared" si="326"/>
        <v/>
      </c>
      <c r="CK358" s="155" t="str">
        <f t="shared" si="327"/>
        <v/>
      </c>
      <c r="CL358" s="155" t="str">
        <f t="shared" si="328"/>
        <v/>
      </c>
      <c r="CM358" s="155" t="str">
        <f t="shared" si="329"/>
        <v/>
      </c>
      <c r="CN358" s="155" t="str">
        <f t="shared" si="330"/>
        <v/>
      </c>
      <c r="CO358" s="155" t="str">
        <f t="shared" si="331"/>
        <v/>
      </c>
      <c r="CP358" s="155" t="str">
        <f t="shared" si="332"/>
        <v/>
      </c>
      <c r="CQ358" s="155" t="str">
        <f t="shared" si="333"/>
        <v/>
      </c>
      <c r="CR358" s="155" t="str">
        <f t="shared" si="334"/>
        <v/>
      </c>
      <c r="CS358" s="155" t="str">
        <f t="shared" si="335"/>
        <v/>
      </c>
      <c r="CT358" s="155" t="str">
        <f t="shared" si="336"/>
        <v/>
      </c>
      <c r="CU358" s="155" t="str">
        <f t="shared" si="337"/>
        <v/>
      </c>
      <c r="CV358" s="155" t="str">
        <f t="shared" si="338"/>
        <v/>
      </c>
      <c r="CW358" s="155" t="str">
        <f t="shared" si="339"/>
        <v/>
      </c>
      <c r="CX358" s="155" t="str">
        <f t="shared" si="340"/>
        <v/>
      </c>
    </row>
    <row r="359" spans="1:102" ht="14.25" x14ac:dyDescent="0.2">
      <c r="A359" s="182"/>
      <c r="B359" s="157" t="str">
        <f>Services!B359</f>
        <v>14A01</v>
      </c>
      <c r="C359" s="153" t="str">
        <f>Services!C359</f>
        <v>Définition du périmètre du SMSI</v>
      </c>
      <c r="D359" s="149"/>
      <c r="E359" s="149"/>
      <c r="F359" s="149"/>
      <c r="G359" s="149"/>
      <c r="H359" s="149"/>
      <c r="I359" s="140" t="str">
        <f t="shared" si="300"/>
        <v/>
      </c>
      <c r="J359" s="141" t="str">
        <f t="shared" si="298"/>
        <v/>
      </c>
      <c r="K359" s="142"/>
      <c r="L359" s="142"/>
      <c r="M359" s="1708"/>
      <c r="N359" s="1708"/>
      <c r="O359" s="1708"/>
      <c r="P359" s="1708"/>
      <c r="Q359" s="1708"/>
      <c r="R359" s="1708"/>
      <c r="S359" s="1708"/>
      <c r="T359" s="1708"/>
      <c r="U359" s="1708"/>
      <c r="V359" s="1708"/>
      <c r="W359" s="1708"/>
      <c r="X359" s="1709"/>
      <c r="Y359" s="1709"/>
      <c r="Z359" s="1709"/>
      <c r="AA359" s="1709"/>
      <c r="AB359" s="1709"/>
      <c r="AC359" s="1709"/>
      <c r="AD359" s="1709"/>
      <c r="AE359" s="1709"/>
      <c r="AF359" s="1709"/>
      <c r="AG359" s="1709"/>
      <c r="AH359" s="1709"/>
      <c r="AI359" s="1709"/>
      <c r="AJ359" s="1709"/>
      <c r="AK359" s="1709"/>
      <c r="AL359" s="1709"/>
      <c r="AM359" s="1709"/>
      <c r="AN359" s="1709"/>
      <c r="AO359" s="1709"/>
      <c r="AP359" s="1709"/>
      <c r="AQ359" s="1709"/>
      <c r="AR359" s="1709"/>
      <c r="AS359" s="1709"/>
      <c r="AT359" s="1709"/>
      <c r="AU359" s="1709"/>
      <c r="AV359" s="1709"/>
      <c r="AW359" s="1709"/>
      <c r="AX359" s="1710"/>
      <c r="AY359" s="1714" t="str">
        <f t="shared" si="299"/>
        <v/>
      </c>
      <c r="AZ359" s="1714" t="str">
        <f>IF(Obj_PA!D359="","",IF(AY359="","",Obj_PA!D359-AY359))</f>
        <v/>
      </c>
      <c r="BK359" s="155" t="str">
        <f t="shared" si="301"/>
        <v/>
      </c>
      <c r="BL359" s="155" t="str">
        <f t="shared" si="302"/>
        <v/>
      </c>
      <c r="BM359" s="155" t="str">
        <f t="shared" si="303"/>
        <v/>
      </c>
      <c r="BN359" s="155" t="str">
        <f t="shared" si="304"/>
        <v/>
      </c>
      <c r="BO359" s="155" t="str">
        <f t="shared" si="305"/>
        <v/>
      </c>
      <c r="BP359" s="155" t="str">
        <f t="shared" si="306"/>
        <v/>
      </c>
      <c r="BQ359" s="155" t="str">
        <f t="shared" si="307"/>
        <v/>
      </c>
      <c r="BR359" s="155" t="str">
        <f t="shared" si="308"/>
        <v/>
      </c>
      <c r="BS359" s="155" t="str">
        <f t="shared" si="309"/>
        <v/>
      </c>
      <c r="BT359" s="155" t="str">
        <f t="shared" si="310"/>
        <v/>
      </c>
      <c r="BU359" s="155" t="str">
        <f t="shared" si="311"/>
        <v/>
      </c>
      <c r="BV359" s="155" t="str">
        <f t="shared" si="312"/>
        <v/>
      </c>
      <c r="BW359" s="155" t="str">
        <f t="shared" si="313"/>
        <v/>
      </c>
      <c r="BX359" s="155" t="str">
        <f t="shared" si="314"/>
        <v/>
      </c>
      <c r="BY359" s="155" t="str">
        <f t="shared" si="315"/>
        <v/>
      </c>
      <c r="BZ359" s="155" t="str">
        <f t="shared" si="316"/>
        <v/>
      </c>
      <c r="CA359" s="155" t="str">
        <f t="shared" si="317"/>
        <v/>
      </c>
      <c r="CB359" s="155" t="str">
        <f t="shared" si="318"/>
        <v/>
      </c>
      <c r="CC359" s="155" t="str">
        <f t="shared" si="319"/>
        <v/>
      </c>
      <c r="CD359" s="155" t="str">
        <f t="shared" si="320"/>
        <v/>
      </c>
      <c r="CE359" s="155" t="str">
        <f t="shared" si="321"/>
        <v/>
      </c>
      <c r="CF359" s="155" t="str">
        <f t="shared" si="322"/>
        <v/>
      </c>
      <c r="CG359" s="155" t="str">
        <f t="shared" si="323"/>
        <v/>
      </c>
      <c r="CH359" s="155" t="str">
        <f t="shared" si="324"/>
        <v/>
      </c>
      <c r="CI359" s="155" t="str">
        <f t="shared" si="325"/>
        <v/>
      </c>
      <c r="CJ359" s="155" t="str">
        <f t="shared" si="326"/>
        <v/>
      </c>
      <c r="CK359" s="155" t="str">
        <f t="shared" si="327"/>
        <v/>
      </c>
      <c r="CL359" s="155" t="str">
        <f t="shared" si="328"/>
        <v/>
      </c>
      <c r="CM359" s="155" t="str">
        <f t="shared" si="329"/>
        <v/>
      </c>
      <c r="CN359" s="155" t="str">
        <f t="shared" si="330"/>
        <v/>
      </c>
      <c r="CO359" s="155" t="str">
        <f t="shared" si="331"/>
        <v/>
      </c>
      <c r="CP359" s="155" t="str">
        <f t="shared" si="332"/>
        <v/>
      </c>
      <c r="CQ359" s="155" t="str">
        <f t="shared" si="333"/>
        <v/>
      </c>
      <c r="CR359" s="155" t="str">
        <f t="shared" si="334"/>
        <v/>
      </c>
      <c r="CS359" s="155" t="str">
        <f t="shared" si="335"/>
        <v/>
      </c>
      <c r="CT359" s="155" t="str">
        <f t="shared" si="336"/>
        <v/>
      </c>
      <c r="CU359" s="155" t="str">
        <f t="shared" si="337"/>
        <v/>
      </c>
      <c r="CV359" s="155" t="str">
        <f t="shared" si="338"/>
        <v/>
      </c>
      <c r="CW359" s="155" t="str">
        <f t="shared" si="339"/>
        <v/>
      </c>
      <c r="CX359" s="155" t="str">
        <f t="shared" si="340"/>
        <v/>
      </c>
    </row>
    <row r="360" spans="1:102" ht="14.25" x14ac:dyDescent="0.2">
      <c r="A360" s="182"/>
      <c r="B360" s="157" t="str">
        <f>Services!B360</f>
        <v>14A02</v>
      </c>
      <c r="C360" s="153" t="str">
        <f>Services!C360</f>
        <v>Définition de la politique du SMSI</v>
      </c>
      <c r="D360" s="149"/>
      <c r="E360" s="149"/>
      <c r="F360" s="149"/>
      <c r="G360" s="149"/>
      <c r="H360" s="149"/>
      <c r="I360" s="140" t="str">
        <f t="shared" si="300"/>
        <v/>
      </c>
      <c r="J360" s="141" t="str">
        <f t="shared" si="298"/>
        <v/>
      </c>
      <c r="K360" s="142"/>
      <c r="L360" s="142"/>
      <c r="M360" s="1708"/>
      <c r="N360" s="1708"/>
      <c r="O360" s="1708"/>
      <c r="P360" s="1708"/>
      <c r="Q360" s="1708"/>
      <c r="R360" s="1708"/>
      <c r="S360" s="1708"/>
      <c r="T360" s="1708"/>
      <c r="U360" s="1708"/>
      <c r="V360" s="1708"/>
      <c r="W360" s="1708"/>
      <c r="X360" s="1709"/>
      <c r="Y360" s="1709"/>
      <c r="Z360" s="1709"/>
      <c r="AA360" s="1709"/>
      <c r="AB360" s="1709"/>
      <c r="AC360" s="1709"/>
      <c r="AD360" s="1709"/>
      <c r="AE360" s="1709"/>
      <c r="AF360" s="1709"/>
      <c r="AG360" s="1709"/>
      <c r="AH360" s="1709"/>
      <c r="AI360" s="1709"/>
      <c r="AJ360" s="1709"/>
      <c r="AK360" s="1709"/>
      <c r="AL360" s="1709"/>
      <c r="AM360" s="1709"/>
      <c r="AN360" s="1709"/>
      <c r="AO360" s="1709"/>
      <c r="AP360" s="1709"/>
      <c r="AQ360" s="1709"/>
      <c r="AR360" s="1709"/>
      <c r="AS360" s="1709"/>
      <c r="AT360" s="1709"/>
      <c r="AU360" s="1709"/>
      <c r="AV360" s="1709"/>
      <c r="AW360" s="1709"/>
      <c r="AX360" s="1710"/>
      <c r="AY360" s="1714" t="str">
        <f t="shared" si="299"/>
        <v/>
      </c>
      <c r="AZ360" s="1714" t="str">
        <f>IF(Obj_PA!D360="","",IF(AY360="","",Obj_PA!D360-AY360))</f>
        <v/>
      </c>
      <c r="BK360" s="155" t="str">
        <f t="shared" si="301"/>
        <v/>
      </c>
      <c r="BL360" s="155" t="str">
        <f t="shared" si="302"/>
        <v/>
      </c>
      <c r="BM360" s="155" t="str">
        <f t="shared" si="303"/>
        <v/>
      </c>
      <c r="BN360" s="155" t="str">
        <f t="shared" si="304"/>
        <v/>
      </c>
      <c r="BO360" s="155" t="str">
        <f t="shared" si="305"/>
        <v/>
      </c>
      <c r="BP360" s="155" t="str">
        <f t="shared" si="306"/>
        <v/>
      </c>
      <c r="BQ360" s="155" t="str">
        <f t="shared" si="307"/>
        <v/>
      </c>
      <c r="BR360" s="155" t="str">
        <f t="shared" si="308"/>
        <v/>
      </c>
      <c r="BS360" s="155" t="str">
        <f t="shared" si="309"/>
        <v/>
      </c>
      <c r="BT360" s="155" t="str">
        <f t="shared" si="310"/>
        <v/>
      </c>
      <c r="BU360" s="155" t="str">
        <f t="shared" si="311"/>
        <v/>
      </c>
      <c r="BV360" s="155" t="str">
        <f t="shared" si="312"/>
        <v/>
      </c>
      <c r="BW360" s="155" t="str">
        <f t="shared" si="313"/>
        <v/>
      </c>
      <c r="BX360" s="155" t="str">
        <f t="shared" si="314"/>
        <v/>
      </c>
      <c r="BY360" s="155" t="str">
        <f t="shared" si="315"/>
        <v/>
      </c>
      <c r="BZ360" s="155" t="str">
        <f t="shared" si="316"/>
        <v/>
      </c>
      <c r="CA360" s="155" t="str">
        <f t="shared" si="317"/>
        <v/>
      </c>
      <c r="CB360" s="155" t="str">
        <f t="shared" si="318"/>
        <v/>
      </c>
      <c r="CC360" s="155" t="str">
        <f t="shared" si="319"/>
        <v/>
      </c>
      <c r="CD360" s="155" t="str">
        <f t="shared" si="320"/>
        <v/>
      </c>
      <c r="CE360" s="155" t="str">
        <f t="shared" si="321"/>
        <v/>
      </c>
      <c r="CF360" s="155" t="str">
        <f t="shared" si="322"/>
        <v/>
      </c>
      <c r="CG360" s="155" t="str">
        <f t="shared" si="323"/>
        <v/>
      </c>
      <c r="CH360" s="155" t="str">
        <f t="shared" si="324"/>
        <v/>
      </c>
      <c r="CI360" s="155" t="str">
        <f t="shared" si="325"/>
        <v/>
      </c>
      <c r="CJ360" s="155" t="str">
        <f t="shared" si="326"/>
        <v/>
      </c>
      <c r="CK360" s="155" t="str">
        <f t="shared" si="327"/>
        <v/>
      </c>
      <c r="CL360" s="155" t="str">
        <f t="shared" si="328"/>
        <v/>
      </c>
      <c r="CM360" s="155" t="str">
        <f t="shared" si="329"/>
        <v/>
      </c>
      <c r="CN360" s="155" t="str">
        <f t="shared" si="330"/>
        <v/>
      </c>
      <c r="CO360" s="155" t="str">
        <f t="shared" si="331"/>
        <v/>
      </c>
      <c r="CP360" s="155" t="str">
        <f t="shared" si="332"/>
        <v/>
      </c>
      <c r="CQ360" s="155" t="str">
        <f t="shared" si="333"/>
        <v/>
      </c>
      <c r="CR360" s="155" t="str">
        <f t="shared" si="334"/>
        <v/>
      </c>
      <c r="CS360" s="155" t="str">
        <f t="shared" si="335"/>
        <v/>
      </c>
      <c r="CT360" s="155" t="str">
        <f t="shared" si="336"/>
        <v/>
      </c>
      <c r="CU360" s="155" t="str">
        <f t="shared" si="337"/>
        <v/>
      </c>
      <c r="CV360" s="155" t="str">
        <f t="shared" si="338"/>
        <v/>
      </c>
      <c r="CW360" s="155" t="str">
        <f t="shared" si="339"/>
        <v/>
      </c>
      <c r="CX360" s="155" t="str">
        <f t="shared" si="340"/>
        <v/>
      </c>
    </row>
    <row r="361" spans="1:102" ht="14.25" x14ac:dyDescent="0.2">
      <c r="A361" s="182"/>
      <c r="B361" s="157" t="str">
        <f>Services!B361</f>
        <v>14A03</v>
      </c>
      <c r="C361" s="153" t="str">
        <f>Services!C361</f>
        <v>Approche de l'analyse des risques et des métriques associées</v>
      </c>
      <c r="D361" s="149"/>
      <c r="E361" s="149"/>
      <c r="F361" s="149"/>
      <c r="G361" s="149"/>
      <c r="H361" s="149"/>
      <c r="I361" s="140" t="str">
        <f t="shared" ref="I361:I388" si="341">IF(SUM(D361:H361)=0,"",LOG(SUM(D361:H361),2))</f>
        <v/>
      </c>
      <c r="J361" s="141" t="str">
        <f t="shared" si="298"/>
        <v/>
      </c>
      <c r="K361" s="142"/>
      <c r="L361" s="142"/>
      <c r="M361" s="1708"/>
      <c r="N361" s="1708"/>
      <c r="O361" s="1708"/>
      <c r="P361" s="1708"/>
      <c r="Q361" s="1708"/>
      <c r="R361" s="1708"/>
      <c r="S361" s="1708"/>
      <c r="T361" s="1708"/>
      <c r="U361" s="1708"/>
      <c r="V361" s="1708"/>
      <c r="W361" s="1708"/>
      <c r="X361" s="1709"/>
      <c r="Y361" s="1709"/>
      <c r="Z361" s="1709"/>
      <c r="AA361" s="1709"/>
      <c r="AB361" s="1709"/>
      <c r="AC361" s="1709"/>
      <c r="AD361" s="1709"/>
      <c r="AE361" s="1709"/>
      <c r="AF361" s="1709"/>
      <c r="AG361" s="1709"/>
      <c r="AH361" s="1709"/>
      <c r="AI361" s="1709"/>
      <c r="AJ361" s="1709"/>
      <c r="AK361" s="1709"/>
      <c r="AL361" s="1709"/>
      <c r="AM361" s="1709"/>
      <c r="AN361" s="1709"/>
      <c r="AO361" s="1709"/>
      <c r="AP361" s="1709"/>
      <c r="AQ361" s="1709"/>
      <c r="AR361" s="1709"/>
      <c r="AS361" s="1709"/>
      <c r="AT361" s="1709"/>
      <c r="AU361" s="1709"/>
      <c r="AV361" s="1709"/>
      <c r="AW361" s="1709"/>
      <c r="AX361" s="1710"/>
      <c r="AY361" s="1714" t="str">
        <f t="shared" si="299"/>
        <v/>
      </c>
      <c r="AZ361" s="1714" t="str">
        <f>IF(Obj_PA!D361="","",IF(AY361="","",Obj_PA!D361-AY361))</f>
        <v/>
      </c>
      <c r="BK361" s="155" t="str">
        <f t="shared" si="301"/>
        <v/>
      </c>
      <c r="BL361" s="155" t="str">
        <f t="shared" si="302"/>
        <v/>
      </c>
      <c r="BM361" s="155" t="str">
        <f t="shared" si="303"/>
        <v/>
      </c>
      <c r="BN361" s="155" t="str">
        <f t="shared" si="304"/>
        <v/>
      </c>
      <c r="BO361" s="155" t="str">
        <f t="shared" si="305"/>
        <v/>
      </c>
      <c r="BP361" s="155" t="str">
        <f t="shared" si="306"/>
        <v/>
      </c>
      <c r="BQ361" s="155" t="str">
        <f t="shared" si="307"/>
        <v/>
      </c>
      <c r="BR361" s="155" t="str">
        <f t="shared" si="308"/>
        <v/>
      </c>
      <c r="BS361" s="155" t="str">
        <f t="shared" si="309"/>
        <v/>
      </c>
      <c r="BT361" s="155" t="str">
        <f t="shared" si="310"/>
        <v/>
      </c>
      <c r="BU361" s="155" t="str">
        <f t="shared" si="311"/>
        <v/>
      </c>
      <c r="BV361" s="155" t="str">
        <f t="shared" si="312"/>
        <v/>
      </c>
      <c r="BW361" s="155" t="str">
        <f t="shared" si="313"/>
        <v/>
      </c>
      <c r="BX361" s="155" t="str">
        <f t="shared" si="314"/>
        <v/>
      </c>
      <c r="BY361" s="155" t="str">
        <f t="shared" si="315"/>
        <v/>
      </c>
      <c r="BZ361" s="155" t="str">
        <f t="shared" si="316"/>
        <v/>
      </c>
      <c r="CA361" s="155" t="str">
        <f t="shared" si="317"/>
        <v/>
      </c>
      <c r="CB361" s="155" t="str">
        <f t="shared" si="318"/>
        <v/>
      </c>
      <c r="CC361" s="155" t="str">
        <f t="shared" si="319"/>
        <v/>
      </c>
      <c r="CD361" s="155" t="str">
        <f t="shared" si="320"/>
        <v/>
      </c>
      <c r="CE361" s="155" t="str">
        <f t="shared" si="321"/>
        <v/>
      </c>
      <c r="CF361" s="155" t="str">
        <f t="shared" si="322"/>
        <v/>
      </c>
      <c r="CG361" s="155" t="str">
        <f t="shared" si="323"/>
        <v/>
      </c>
      <c r="CH361" s="155" t="str">
        <f t="shared" si="324"/>
        <v/>
      </c>
      <c r="CI361" s="155" t="str">
        <f t="shared" si="325"/>
        <v/>
      </c>
      <c r="CJ361" s="155" t="str">
        <f t="shared" si="326"/>
        <v/>
      </c>
      <c r="CK361" s="155" t="str">
        <f t="shared" si="327"/>
        <v/>
      </c>
      <c r="CL361" s="155" t="str">
        <f t="shared" si="328"/>
        <v/>
      </c>
      <c r="CM361" s="155" t="str">
        <f t="shared" si="329"/>
        <v/>
      </c>
      <c r="CN361" s="155" t="str">
        <f t="shared" si="330"/>
        <v/>
      </c>
      <c r="CO361" s="155" t="str">
        <f t="shared" si="331"/>
        <v/>
      </c>
      <c r="CP361" s="155" t="str">
        <f t="shared" si="332"/>
        <v/>
      </c>
      <c r="CQ361" s="155" t="str">
        <f t="shared" si="333"/>
        <v/>
      </c>
      <c r="CR361" s="155" t="str">
        <f t="shared" si="334"/>
        <v/>
      </c>
      <c r="CS361" s="155" t="str">
        <f t="shared" si="335"/>
        <v/>
      </c>
      <c r="CT361" s="155" t="str">
        <f t="shared" si="336"/>
        <v/>
      </c>
      <c r="CU361" s="155" t="str">
        <f t="shared" si="337"/>
        <v/>
      </c>
      <c r="CV361" s="155" t="str">
        <f t="shared" si="338"/>
        <v/>
      </c>
      <c r="CW361" s="155" t="str">
        <f t="shared" si="339"/>
        <v/>
      </c>
      <c r="CX361" s="155" t="str">
        <f t="shared" si="340"/>
        <v/>
      </c>
    </row>
    <row r="362" spans="1:102" ht="14.25" x14ac:dyDescent="0.2">
      <c r="A362" s="182"/>
      <c r="B362" s="157" t="str">
        <f>Services!B362</f>
        <v>14A04</v>
      </c>
      <c r="C362" s="153" t="str">
        <f>Services!C362</f>
        <v>Identification des risques</v>
      </c>
      <c r="D362" s="149"/>
      <c r="E362" s="149"/>
      <c r="F362" s="149"/>
      <c r="G362" s="149"/>
      <c r="H362" s="149"/>
      <c r="I362" s="140" t="str">
        <f t="shared" si="341"/>
        <v/>
      </c>
      <c r="J362" s="141" t="str">
        <f t="shared" si="298"/>
        <v/>
      </c>
      <c r="K362" s="142"/>
      <c r="L362" s="142"/>
      <c r="M362" s="1708"/>
      <c r="N362" s="1708"/>
      <c r="O362" s="1708"/>
      <c r="P362" s="1708"/>
      <c r="Q362" s="1708"/>
      <c r="R362" s="1708"/>
      <c r="S362" s="1708"/>
      <c r="T362" s="1708"/>
      <c r="U362" s="1708"/>
      <c r="V362" s="1708"/>
      <c r="W362" s="1708"/>
      <c r="X362" s="1709"/>
      <c r="Y362" s="1709"/>
      <c r="Z362" s="1709"/>
      <c r="AA362" s="1709"/>
      <c r="AB362" s="1709"/>
      <c r="AC362" s="1709"/>
      <c r="AD362" s="1709"/>
      <c r="AE362" s="1709"/>
      <c r="AF362" s="1709"/>
      <c r="AG362" s="1709"/>
      <c r="AH362" s="1709"/>
      <c r="AI362" s="1709"/>
      <c r="AJ362" s="1709"/>
      <c r="AK362" s="1709"/>
      <c r="AL362" s="1709"/>
      <c r="AM362" s="1709"/>
      <c r="AN362" s="1709"/>
      <c r="AO362" s="1709"/>
      <c r="AP362" s="1709"/>
      <c r="AQ362" s="1709"/>
      <c r="AR362" s="1709"/>
      <c r="AS362" s="1709"/>
      <c r="AT362" s="1709"/>
      <c r="AU362" s="1709"/>
      <c r="AV362" s="1709"/>
      <c r="AW362" s="1709"/>
      <c r="AX362" s="1710"/>
      <c r="AY362" s="1714" t="str">
        <f t="shared" si="299"/>
        <v/>
      </c>
      <c r="AZ362" s="1714" t="str">
        <f>IF(Obj_PA!D362="","",IF(AY362="","",Obj_PA!D362-AY362))</f>
        <v/>
      </c>
      <c r="BK362" s="155" t="str">
        <f t="shared" si="301"/>
        <v/>
      </c>
      <c r="BL362" s="155" t="str">
        <f t="shared" si="302"/>
        <v/>
      </c>
      <c r="BM362" s="155" t="str">
        <f t="shared" si="303"/>
        <v/>
      </c>
      <c r="BN362" s="155" t="str">
        <f t="shared" si="304"/>
        <v/>
      </c>
      <c r="BO362" s="155" t="str">
        <f t="shared" si="305"/>
        <v/>
      </c>
      <c r="BP362" s="155" t="str">
        <f t="shared" si="306"/>
        <v/>
      </c>
      <c r="BQ362" s="155" t="str">
        <f t="shared" si="307"/>
        <v/>
      </c>
      <c r="BR362" s="155" t="str">
        <f t="shared" si="308"/>
        <v/>
      </c>
      <c r="BS362" s="155" t="str">
        <f t="shared" si="309"/>
        <v/>
      </c>
      <c r="BT362" s="155" t="str">
        <f t="shared" si="310"/>
        <v/>
      </c>
      <c r="BU362" s="155" t="str">
        <f t="shared" si="311"/>
        <v/>
      </c>
      <c r="BV362" s="155" t="str">
        <f t="shared" si="312"/>
        <v/>
      </c>
      <c r="BW362" s="155" t="str">
        <f t="shared" si="313"/>
        <v/>
      </c>
      <c r="BX362" s="155" t="str">
        <f t="shared" si="314"/>
        <v/>
      </c>
      <c r="BY362" s="155" t="str">
        <f t="shared" si="315"/>
        <v/>
      </c>
      <c r="BZ362" s="155" t="str">
        <f t="shared" si="316"/>
        <v/>
      </c>
      <c r="CA362" s="155" t="str">
        <f t="shared" si="317"/>
        <v/>
      </c>
      <c r="CB362" s="155" t="str">
        <f t="shared" si="318"/>
        <v/>
      </c>
      <c r="CC362" s="155" t="str">
        <f t="shared" si="319"/>
        <v/>
      </c>
      <c r="CD362" s="155" t="str">
        <f t="shared" si="320"/>
        <v/>
      </c>
      <c r="CE362" s="155" t="str">
        <f t="shared" si="321"/>
        <v/>
      </c>
      <c r="CF362" s="155" t="str">
        <f t="shared" si="322"/>
        <v/>
      </c>
      <c r="CG362" s="155" t="str">
        <f t="shared" si="323"/>
        <v/>
      </c>
      <c r="CH362" s="155" t="str">
        <f t="shared" si="324"/>
        <v/>
      </c>
      <c r="CI362" s="155" t="str">
        <f t="shared" si="325"/>
        <v/>
      </c>
      <c r="CJ362" s="155" t="str">
        <f t="shared" si="326"/>
        <v/>
      </c>
      <c r="CK362" s="155" t="str">
        <f t="shared" si="327"/>
        <v/>
      </c>
      <c r="CL362" s="155" t="str">
        <f t="shared" si="328"/>
        <v/>
      </c>
      <c r="CM362" s="155" t="str">
        <f t="shared" si="329"/>
        <v/>
      </c>
      <c r="CN362" s="155" t="str">
        <f t="shared" si="330"/>
        <v/>
      </c>
      <c r="CO362" s="155" t="str">
        <f t="shared" si="331"/>
        <v/>
      </c>
      <c r="CP362" s="155" t="str">
        <f t="shared" si="332"/>
        <v/>
      </c>
      <c r="CQ362" s="155" t="str">
        <f t="shared" si="333"/>
        <v/>
      </c>
      <c r="CR362" s="155" t="str">
        <f t="shared" si="334"/>
        <v/>
      </c>
      <c r="CS362" s="155" t="str">
        <f t="shared" si="335"/>
        <v/>
      </c>
      <c r="CT362" s="155" t="str">
        <f t="shared" si="336"/>
        <v/>
      </c>
      <c r="CU362" s="155" t="str">
        <f t="shared" si="337"/>
        <v/>
      </c>
      <c r="CV362" s="155" t="str">
        <f t="shared" si="338"/>
        <v/>
      </c>
      <c r="CW362" s="155" t="str">
        <f t="shared" si="339"/>
        <v/>
      </c>
      <c r="CX362" s="155" t="str">
        <f t="shared" si="340"/>
        <v/>
      </c>
    </row>
    <row r="363" spans="1:102" ht="14.25" x14ac:dyDescent="0.2">
      <c r="A363" s="182"/>
      <c r="B363" s="157" t="str">
        <f>Services!B363</f>
        <v>14A05</v>
      </c>
      <c r="C363" s="153" t="str">
        <f>Services!C363</f>
        <v>Analyse et évaluation des risques</v>
      </c>
      <c r="D363" s="149"/>
      <c r="E363" s="149"/>
      <c r="F363" s="149"/>
      <c r="G363" s="149"/>
      <c r="H363" s="149"/>
      <c r="I363" s="140" t="str">
        <f t="shared" si="341"/>
        <v/>
      </c>
      <c r="J363" s="141" t="str">
        <f t="shared" si="298"/>
        <v/>
      </c>
      <c r="K363" s="142"/>
      <c r="L363" s="142"/>
      <c r="M363" s="1708"/>
      <c r="N363" s="1708"/>
      <c r="O363" s="1708"/>
      <c r="P363" s="1708"/>
      <c r="Q363" s="1708"/>
      <c r="R363" s="1708"/>
      <c r="S363" s="1708"/>
      <c r="T363" s="1708"/>
      <c r="U363" s="1708"/>
      <c r="V363" s="1708"/>
      <c r="W363" s="1708"/>
      <c r="X363" s="1709"/>
      <c r="Y363" s="1709"/>
      <c r="Z363" s="1709"/>
      <c r="AA363" s="1709"/>
      <c r="AB363" s="1709"/>
      <c r="AC363" s="1709"/>
      <c r="AD363" s="1709"/>
      <c r="AE363" s="1709"/>
      <c r="AF363" s="1709"/>
      <c r="AG363" s="1709"/>
      <c r="AH363" s="1709"/>
      <c r="AI363" s="1709"/>
      <c r="AJ363" s="1709"/>
      <c r="AK363" s="1709"/>
      <c r="AL363" s="1709"/>
      <c r="AM363" s="1709"/>
      <c r="AN363" s="1709"/>
      <c r="AO363" s="1709"/>
      <c r="AP363" s="1709"/>
      <c r="AQ363" s="1709"/>
      <c r="AR363" s="1709"/>
      <c r="AS363" s="1709"/>
      <c r="AT363" s="1709"/>
      <c r="AU363" s="1709"/>
      <c r="AV363" s="1709"/>
      <c r="AW363" s="1709"/>
      <c r="AX363" s="1710"/>
      <c r="AY363" s="1714" t="str">
        <f t="shared" si="299"/>
        <v/>
      </c>
      <c r="AZ363" s="1714" t="str">
        <f>IF(Obj_PA!D363="","",IF(AY363="","",Obj_PA!D363-AY363))</f>
        <v/>
      </c>
      <c r="BK363" s="155" t="str">
        <f t="shared" si="301"/>
        <v/>
      </c>
      <c r="BL363" s="155" t="str">
        <f t="shared" si="302"/>
        <v/>
      </c>
      <c r="BM363" s="155" t="str">
        <f t="shared" si="303"/>
        <v/>
      </c>
      <c r="BN363" s="155" t="str">
        <f t="shared" si="304"/>
        <v/>
      </c>
      <c r="BO363" s="155" t="str">
        <f t="shared" si="305"/>
        <v/>
      </c>
      <c r="BP363" s="155" t="str">
        <f t="shared" si="306"/>
        <v/>
      </c>
      <c r="BQ363" s="155" t="str">
        <f t="shared" si="307"/>
        <v/>
      </c>
      <c r="BR363" s="155" t="str">
        <f t="shared" si="308"/>
        <v/>
      </c>
      <c r="BS363" s="155" t="str">
        <f t="shared" si="309"/>
        <v/>
      </c>
      <c r="BT363" s="155" t="str">
        <f t="shared" si="310"/>
        <v/>
      </c>
      <c r="BU363" s="155" t="str">
        <f t="shared" si="311"/>
        <v/>
      </c>
      <c r="BV363" s="155" t="str">
        <f t="shared" si="312"/>
        <v/>
      </c>
      <c r="BW363" s="155" t="str">
        <f t="shared" si="313"/>
        <v/>
      </c>
      <c r="BX363" s="155" t="str">
        <f t="shared" si="314"/>
        <v/>
      </c>
      <c r="BY363" s="155" t="str">
        <f t="shared" si="315"/>
        <v/>
      </c>
      <c r="BZ363" s="155" t="str">
        <f t="shared" si="316"/>
        <v/>
      </c>
      <c r="CA363" s="155" t="str">
        <f t="shared" si="317"/>
        <v/>
      </c>
      <c r="CB363" s="155" t="str">
        <f t="shared" si="318"/>
        <v/>
      </c>
      <c r="CC363" s="155" t="str">
        <f t="shared" si="319"/>
        <v/>
      </c>
      <c r="CD363" s="155" t="str">
        <f t="shared" si="320"/>
        <v/>
      </c>
      <c r="CE363" s="155" t="str">
        <f t="shared" si="321"/>
        <v/>
      </c>
      <c r="CF363" s="155" t="str">
        <f t="shared" si="322"/>
        <v/>
      </c>
      <c r="CG363" s="155" t="str">
        <f t="shared" si="323"/>
        <v/>
      </c>
      <c r="CH363" s="155" t="str">
        <f t="shared" si="324"/>
        <v/>
      </c>
      <c r="CI363" s="155" t="str">
        <f t="shared" si="325"/>
        <v/>
      </c>
      <c r="CJ363" s="155" t="str">
        <f t="shared" si="326"/>
        <v/>
      </c>
      <c r="CK363" s="155" t="str">
        <f t="shared" si="327"/>
        <v/>
      </c>
      <c r="CL363" s="155" t="str">
        <f t="shared" si="328"/>
        <v/>
      </c>
      <c r="CM363" s="155" t="str">
        <f t="shared" si="329"/>
        <v/>
      </c>
      <c r="CN363" s="155" t="str">
        <f t="shared" si="330"/>
        <v/>
      </c>
      <c r="CO363" s="155" t="str">
        <f t="shared" si="331"/>
        <v/>
      </c>
      <c r="CP363" s="155" t="str">
        <f t="shared" si="332"/>
        <v/>
      </c>
      <c r="CQ363" s="155" t="str">
        <f t="shared" si="333"/>
        <v/>
      </c>
      <c r="CR363" s="155" t="str">
        <f t="shared" si="334"/>
        <v/>
      </c>
      <c r="CS363" s="155" t="str">
        <f t="shared" si="335"/>
        <v/>
      </c>
      <c r="CT363" s="155" t="str">
        <f t="shared" si="336"/>
        <v/>
      </c>
      <c r="CU363" s="155" t="str">
        <f t="shared" si="337"/>
        <v/>
      </c>
      <c r="CV363" s="155" t="str">
        <f t="shared" si="338"/>
        <v/>
      </c>
      <c r="CW363" s="155" t="str">
        <f t="shared" si="339"/>
        <v/>
      </c>
      <c r="CX363" s="155" t="str">
        <f t="shared" si="340"/>
        <v/>
      </c>
    </row>
    <row r="364" spans="1:102" ht="14.25" x14ac:dyDescent="0.2">
      <c r="A364" s="182"/>
      <c r="B364" s="157" t="str">
        <f>Services!B364</f>
        <v>14A06</v>
      </c>
      <c r="C364" s="153" t="str">
        <f>Services!C364</f>
        <v>Sélection des options de traitement des risques</v>
      </c>
      <c r="D364" s="149"/>
      <c r="E364" s="149"/>
      <c r="F364" s="149"/>
      <c r="G364" s="149"/>
      <c r="H364" s="149"/>
      <c r="I364" s="140" t="str">
        <f t="shared" si="341"/>
        <v/>
      </c>
      <c r="J364" s="141" t="str">
        <f t="shared" si="298"/>
        <v/>
      </c>
      <c r="K364" s="142"/>
      <c r="L364" s="142"/>
      <c r="M364" s="1708"/>
      <c r="N364" s="1708"/>
      <c r="O364" s="1708"/>
      <c r="P364" s="1708"/>
      <c r="Q364" s="1708"/>
      <c r="R364" s="1708"/>
      <c r="S364" s="1708"/>
      <c r="T364" s="1708"/>
      <c r="U364" s="1708"/>
      <c r="V364" s="1708"/>
      <c r="W364" s="1708"/>
      <c r="X364" s="1709"/>
      <c r="Y364" s="1709"/>
      <c r="Z364" s="1709"/>
      <c r="AA364" s="1709"/>
      <c r="AB364" s="1709"/>
      <c r="AC364" s="1709"/>
      <c r="AD364" s="1709"/>
      <c r="AE364" s="1709"/>
      <c r="AF364" s="1709"/>
      <c r="AG364" s="1709"/>
      <c r="AH364" s="1709"/>
      <c r="AI364" s="1709"/>
      <c r="AJ364" s="1709"/>
      <c r="AK364" s="1709"/>
      <c r="AL364" s="1709"/>
      <c r="AM364" s="1709"/>
      <c r="AN364" s="1709"/>
      <c r="AO364" s="1709"/>
      <c r="AP364" s="1709"/>
      <c r="AQ364" s="1709"/>
      <c r="AR364" s="1709"/>
      <c r="AS364" s="1709"/>
      <c r="AT364" s="1709"/>
      <c r="AU364" s="1709"/>
      <c r="AV364" s="1709"/>
      <c r="AW364" s="1709"/>
      <c r="AX364" s="1710"/>
      <c r="AY364" s="1714" t="str">
        <f t="shared" si="299"/>
        <v/>
      </c>
      <c r="AZ364" s="1714" t="str">
        <f>IF(Obj_PA!D364="","",IF(AY364="","",Obj_PA!D364-AY364))</f>
        <v/>
      </c>
      <c r="BK364" s="155" t="str">
        <f t="shared" si="301"/>
        <v/>
      </c>
      <c r="BL364" s="155" t="str">
        <f t="shared" si="302"/>
        <v/>
      </c>
      <c r="BM364" s="155" t="str">
        <f t="shared" si="303"/>
        <v/>
      </c>
      <c r="BN364" s="155" t="str">
        <f t="shared" si="304"/>
        <v/>
      </c>
      <c r="BO364" s="155" t="str">
        <f t="shared" si="305"/>
        <v/>
      </c>
      <c r="BP364" s="155" t="str">
        <f t="shared" si="306"/>
        <v/>
      </c>
      <c r="BQ364" s="155" t="str">
        <f t="shared" si="307"/>
        <v/>
      </c>
      <c r="BR364" s="155" t="str">
        <f t="shared" si="308"/>
        <v/>
      </c>
      <c r="BS364" s="155" t="str">
        <f t="shared" si="309"/>
        <v/>
      </c>
      <c r="BT364" s="155" t="str">
        <f t="shared" si="310"/>
        <v/>
      </c>
      <c r="BU364" s="155" t="str">
        <f t="shared" si="311"/>
        <v/>
      </c>
      <c r="BV364" s="155" t="str">
        <f t="shared" si="312"/>
        <v/>
      </c>
      <c r="BW364" s="155" t="str">
        <f t="shared" si="313"/>
        <v/>
      </c>
      <c r="BX364" s="155" t="str">
        <f t="shared" si="314"/>
        <v/>
      </c>
      <c r="BY364" s="155" t="str">
        <f t="shared" si="315"/>
        <v/>
      </c>
      <c r="BZ364" s="155" t="str">
        <f t="shared" si="316"/>
        <v/>
      </c>
      <c r="CA364" s="155" t="str">
        <f t="shared" si="317"/>
        <v/>
      </c>
      <c r="CB364" s="155" t="str">
        <f t="shared" si="318"/>
        <v/>
      </c>
      <c r="CC364" s="155" t="str">
        <f t="shared" si="319"/>
        <v/>
      </c>
      <c r="CD364" s="155" t="str">
        <f t="shared" si="320"/>
        <v/>
      </c>
      <c r="CE364" s="155" t="str">
        <f t="shared" si="321"/>
        <v/>
      </c>
      <c r="CF364" s="155" t="str">
        <f t="shared" si="322"/>
        <v/>
      </c>
      <c r="CG364" s="155" t="str">
        <f t="shared" si="323"/>
        <v/>
      </c>
      <c r="CH364" s="155" t="str">
        <f t="shared" si="324"/>
        <v/>
      </c>
      <c r="CI364" s="155" t="str">
        <f t="shared" si="325"/>
        <v/>
      </c>
      <c r="CJ364" s="155" t="str">
        <f t="shared" si="326"/>
        <v/>
      </c>
      <c r="CK364" s="155" t="str">
        <f t="shared" si="327"/>
        <v/>
      </c>
      <c r="CL364" s="155" t="str">
        <f t="shared" si="328"/>
        <v/>
      </c>
      <c r="CM364" s="155" t="str">
        <f t="shared" si="329"/>
        <v/>
      </c>
      <c r="CN364" s="155" t="str">
        <f t="shared" si="330"/>
        <v/>
      </c>
      <c r="CO364" s="155" t="str">
        <f t="shared" si="331"/>
        <v/>
      </c>
      <c r="CP364" s="155" t="str">
        <f t="shared" si="332"/>
        <v/>
      </c>
      <c r="CQ364" s="155" t="str">
        <f t="shared" si="333"/>
        <v/>
      </c>
      <c r="CR364" s="155" t="str">
        <f t="shared" si="334"/>
        <v/>
      </c>
      <c r="CS364" s="155" t="str">
        <f t="shared" si="335"/>
        <v/>
      </c>
      <c r="CT364" s="155" t="str">
        <f t="shared" si="336"/>
        <v/>
      </c>
      <c r="CU364" s="155" t="str">
        <f t="shared" si="337"/>
        <v/>
      </c>
      <c r="CV364" s="155" t="str">
        <f t="shared" si="338"/>
        <v/>
      </c>
      <c r="CW364" s="155" t="str">
        <f t="shared" si="339"/>
        <v/>
      </c>
      <c r="CX364" s="155" t="str">
        <f t="shared" si="340"/>
        <v/>
      </c>
    </row>
    <row r="365" spans="1:102" ht="14.25" x14ac:dyDescent="0.2">
      <c r="A365" s="182"/>
      <c r="B365" s="157" t="str">
        <f>Services!B365</f>
        <v>14A07</v>
      </c>
      <c r="C365" s="153" t="str">
        <f>Services!C365</f>
        <v xml:space="preserve">Sélection des mesures de réduction des risques </v>
      </c>
      <c r="D365" s="149"/>
      <c r="E365" s="149"/>
      <c r="F365" s="149"/>
      <c r="G365" s="149"/>
      <c r="H365" s="149"/>
      <c r="I365" s="140" t="str">
        <f t="shared" si="341"/>
        <v/>
      </c>
      <c r="J365" s="141" t="str">
        <f t="shared" si="298"/>
        <v/>
      </c>
      <c r="K365" s="142"/>
      <c r="L365" s="142"/>
      <c r="M365" s="1708"/>
      <c r="N365" s="1708"/>
      <c r="O365" s="1708"/>
      <c r="P365" s="1708"/>
      <c r="Q365" s="1708"/>
      <c r="R365" s="1708"/>
      <c r="S365" s="1708"/>
      <c r="T365" s="1708"/>
      <c r="U365" s="1708"/>
      <c r="V365" s="1708"/>
      <c r="W365" s="1708"/>
      <c r="X365" s="1709"/>
      <c r="Y365" s="1709"/>
      <c r="Z365" s="1709"/>
      <c r="AA365" s="1709"/>
      <c r="AB365" s="1709"/>
      <c r="AC365" s="1709"/>
      <c r="AD365" s="1709"/>
      <c r="AE365" s="1709"/>
      <c r="AF365" s="1709"/>
      <c r="AG365" s="1709"/>
      <c r="AH365" s="1709"/>
      <c r="AI365" s="1709"/>
      <c r="AJ365" s="1709"/>
      <c r="AK365" s="1709"/>
      <c r="AL365" s="1709"/>
      <c r="AM365" s="1709"/>
      <c r="AN365" s="1709"/>
      <c r="AO365" s="1709"/>
      <c r="AP365" s="1709"/>
      <c r="AQ365" s="1709"/>
      <c r="AR365" s="1709"/>
      <c r="AS365" s="1709"/>
      <c r="AT365" s="1709"/>
      <c r="AU365" s="1709"/>
      <c r="AV365" s="1709"/>
      <c r="AW365" s="1709"/>
      <c r="AX365" s="1710"/>
      <c r="AY365" s="1714" t="str">
        <f t="shared" si="299"/>
        <v/>
      </c>
      <c r="AZ365" s="1714" t="str">
        <f>IF(Obj_PA!D365="","",IF(AY365="","",Obj_PA!D365-AY365))</f>
        <v/>
      </c>
      <c r="BK365" s="155" t="str">
        <f t="shared" si="301"/>
        <v/>
      </c>
      <c r="BL365" s="155" t="str">
        <f t="shared" si="302"/>
        <v/>
      </c>
      <c r="BM365" s="155" t="str">
        <f t="shared" si="303"/>
        <v/>
      </c>
      <c r="BN365" s="155" t="str">
        <f t="shared" si="304"/>
        <v/>
      </c>
      <c r="BO365" s="155" t="str">
        <f t="shared" si="305"/>
        <v/>
      </c>
      <c r="BP365" s="155" t="str">
        <f t="shared" si="306"/>
        <v/>
      </c>
      <c r="BQ365" s="155" t="str">
        <f t="shared" si="307"/>
        <v/>
      </c>
      <c r="BR365" s="155" t="str">
        <f t="shared" si="308"/>
        <v/>
      </c>
      <c r="BS365" s="155" t="str">
        <f t="shared" si="309"/>
        <v/>
      </c>
      <c r="BT365" s="155" t="str">
        <f t="shared" si="310"/>
        <v/>
      </c>
      <c r="BU365" s="155" t="str">
        <f t="shared" si="311"/>
        <v/>
      </c>
      <c r="BV365" s="155" t="str">
        <f t="shared" si="312"/>
        <v/>
      </c>
      <c r="BW365" s="155" t="str">
        <f t="shared" si="313"/>
        <v/>
      </c>
      <c r="BX365" s="155" t="str">
        <f t="shared" si="314"/>
        <v/>
      </c>
      <c r="BY365" s="155" t="str">
        <f t="shared" si="315"/>
        <v/>
      </c>
      <c r="BZ365" s="155" t="str">
        <f t="shared" si="316"/>
        <v/>
      </c>
      <c r="CA365" s="155" t="str">
        <f t="shared" si="317"/>
        <v/>
      </c>
      <c r="CB365" s="155" t="str">
        <f t="shared" si="318"/>
        <v/>
      </c>
      <c r="CC365" s="155" t="str">
        <f t="shared" si="319"/>
        <v/>
      </c>
      <c r="CD365" s="155" t="str">
        <f t="shared" si="320"/>
        <v/>
      </c>
      <c r="CE365" s="155" t="str">
        <f t="shared" si="321"/>
        <v/>
      </c>
      <c r="CF365" s="155" t="str">
        <f t="shared" si="322"/>
        <v/>
      </c>
      <c r="CG365" s="155" t="str">
        <f t="shared" si="323"/>
        <v/>
      </c>
      <c r="CH365" s="155" t="str">
        <f t="shared" si="324"/>
        <v/>
      </c>
      <c r="CI365" s="155" t="str">
        <f t="shared" si="325"/>
        <v/>
      </c>
      <c r="CJ365" s="155" t="str">
        <f t="shared" si="326"/>
        <v/>
      </c>
      <c r="CK365" s="155" t="str">
        <f t="shared" si="327"/>
        <v/>
      </c>
      <c r="CL365" s="155" t="str">
        <f t="shared" si="328"/>
        <v/>
      </c>
      <c r="CM365" s="155" t="str">
        <f t="shared" si="329"/>
        <v/>
      </c>
      <c r="CN365" s="155" t="str">
        <f t="shared" si="330"/>
        <v/>
      </c>
      <c r="CO365" s="155" t="str">
        <f t="shared" si="331"/>
        <v/>
      </c>
      <c r="CP365" s="155" t="str">
        <f t="shared" si="332"/>
        <v/>
      </c>
      <c r="CQ365" s="155" t="str">
        <f t="shared" si="333"/>
        <v/>
      </c>
      <c r="CR365" s="155" t="str">
        <f t="shared" si="334"/>
        <v/>
      </c>
      <c r="CS365" s="155" t="str">
        <f t="shared" si="335"/>
        <v/>
      </c>
      <c r="CT365" s="155" t="str">
        <f t="shared" si="336"/>
        <v/>
      </c>
      <c r="CU365" s="155" t="str">
        <f t="shared" si="337"/>
        <v/>
      </c>
      <c r="CV365" s="155" t="str">
        <f t="shared" si="338"/>
        <v/>
      </c>
      <c r="CW365" s="155" t="str">
        <f t="shared" si="339"/>
        <v/>
      </c>
      <c r="CX365" s="155" t="str">
        <f t="shared" si="340"/>
        <v/>
      </c>
    </row>
    <row r="366" spans="1:102" ht="25.5" x14ac:dyDescent="0.2">
      <c r="A366" s="182"/>
      <c r="B366" s="157" t="str">
        <f>Services!B366</f>
        <v>14A08</v>
      </c>
      <c r="C366" s="153" t="str">
        <f>Services!C366</f>
        <v>Sélection des mesures de sécurité et construction d'une déclaration d'applicabilité</v>
      </c>
      <c r="D366" s="149"/>
      <c r="E366" s="149"/>
      <c r="F366" s="149"/>
      <c r="G366" s="149"/>
      <c r="H366" s="149"/>
      <c r="I366" s="140" t="str">
        <f t="shared" si="341"/>
        <v/>
      </c>
      <c r="J366" s="141" t="str">
        <f t="shared" si="298"/>
        <v/>
      </c>
      <c r="K366" s="142"/>
      <c r="L366" s="142"/>
      <c r="M366" s="1708"/>
      <c r="N366" s="1708"/>
      <c r="O366" s="1708"/>
      <c r="P366" s="1708"/>
      <c r="Q366" s="1708"/>
      <c r="R366" s="1708"/>
      <c r="S366" s="1708"/>
      <c r="T366" s="1708"/>
      <c r="U366" s="1708"/>
      <c r="V366" s="1708"/>
      <c r="W366" s="1708"/>
      <c r="X366" s="1709"/>
      <c r="Y366" s="1709"/>
      <c r="Z366" s="1709"/>
      <c r="AA366" s="1709"/>
      <c r="AB366" s="1709"/>
      <c r="AC366" s="1709"/>
      <c r="AD366" s="1709"/>
      <c r="AE366" s="1709"/>
      <c r="AF366" s="1709"/>
      <c r="AG366" s="1709"/>
      <c r="AH366" s="1709"/>
      <c r="AI366" s="1709"/>
      <c r="AJ366" s="1709"/>
      <c r="AK366" s="1709"/>
      <c r="AL366" s="1709"/>
      <c r="AM366" s="1709"/>
      <c r="AN366" s="1709"/>
      <c r="AO366" s="1709"/>
      <c r="AP366" s="1709"/>
      <c r="AQ366" s="1709"/>
      <c r="AR366" s="1709"/>
      <c r="AS366" s="1709"/>
      <c r="AT366" s="1709"/>
      <c r="AU366" s="1709"/>
      <c r="AV366" s="1709"/>
      <c r="AW366" s="1709"/>
      <c r="AX366" s="1710"/>
      <c r="AY366" s="1714" t="str">
        <f t="shared" si="299"/>
        <v/>
      </c>
      <c r="AZ366" s="1714" t="str">
        <f>IF(Obj_PA!D366="","",IF(AY366="","",Obj_PA!D366-AY366))</f>
        <v/>
      </c>
      <c r="BK366" s="155" t="str">
        <f t="shared" si="301"/>
        <v/>
      </c>
      <c r="BL366" s="155" t="str">
        <f t="shared" si="302"/>
        <v/>
      </c>
      <c r="BM366" s="155" t="str">
        <f t="shared" si="303"/>
        <v/>
      </c>
      <c r="BN366" s="155" t="str">
        <f t="shared" si="304"/>
        <v/>
      </c>
      <c r="BO366" s="155" t="str">
        <f t="shared" si="305"/>
        <v/>
      </c>
      <c r="BP366" s="155" t="str">
        <f t="shared" si="306"/>
        <v/>
      </c>
      <c r="BQ366" s="155" t="str">
        <f t="shared" si="307"/>
        <v/>
      </c>
      <c r="BR366" s="155" t="str">
        <f t="shared" si="308"/>
        <v/>
      </c>
      <c r="BS366" s="155" t="str">
        <f t="shared" si="309"/>
        <v/>
      </c>
      <c r="BT366" s="155" t="str">
        <f t="shared" si="310"/>
        <v/>
      </c>
      <c r="BU366" s="155" t="str">
        <f t="shared" si="311"/>
        <v/>
      </c>
      <c r="BV366" s="155" t="str">
        <f t="shared" si="312"/>
        <v/>
      </c>
      <c r="BW366" s="155" t="str">
        <f t="shared" si="313"/>
        <v/>
      </c>
      <c r="BX366" s="155" t="str">
        <f t="shared" si="314"/>
        <v/>
      </c>
      <c r="BY366" s="155" t="str">
        <f t="shared" si="315"/>
        <v/>
      </c>
      <c r="BZ366" s="155" t="str">
        <f t="shared" si="316"/>
        <v/>
      </c>
      <c r="CA366" s="155" t="str">
        <f t="shared" si="317"/>
        <v/>
      </c>
      <c r="CB366" s="155" t="str">
        <f t="shared" si="318"/>
        <v/>
      </c>
      <c r="CC366" s="155" t="str">
        <f t="shared" si="319"/>
        <v/>
      </c>
      <c r="CD366" s="155" t="str">
        <f t="shared" si="320"/>
        <v/>
      </c>
      <c r="CE366" s="155" t="str">
        <f t="shared" si="321"/>
        <v/>
      </c>
      <c r="CF366" s="155" t="str">
        <f t="shared" si="322"/>
        <v/>
      </c>
      <c r="CG366" s="155" t="str">
        <f t="shared" si="323"/>
        <v/>
      </c>
      <c r="CH366" s="155" t="str">
        <f t="shared" si="324"/>
        <v/>
      </c>
      <c r="CI366" s="155" t="str">
        <f t="shared" si="325"/>
        <v/>
      </c>
      <c r="CJ366" s="155" t="str">
        <f t="shared" si="326"/>
        <v/>
      </c>
      <c r="CK366" s="155" t="str">
        <f t="shared" si="327"/>
        <v/>
      </c>
      <c r="CL366" s="155" t="str">
        <f t="shared" si="328"/>
        <v/>
      </c>
      <c r="CM366" s="155" t="str">
        <f t="shared" si="329"/>
        <v/>
      </c>
      <c r="CN366" s="155" t="str">
        <f t="shared" si="330"/>
        <v/>
      </c>
      <c r="CO366" s="155" t="str">
        <f t="shared" si="331"/>
        <v/>
      </c>
      <c r="CP366" s="155" t="str">
        <f t="shared" si="332"/>
        <v/>
      </c>
      <c r="CQ366" s="155" t="str">
        <f t="shared" si="333"/>
        <v/>
      </c>
      <c r="CR366" s="155" t="str">
        <f t="shared" si="334"/>
        <v/>
      </c>
      <c r="CS366" s="155" t="str">
        <f t="shared" si="335"/>
        <v/>
      </c>
      <c r="CT366" s="155" t="str">
        <f t="shared" si="336"/>
        <v/>
      </c>
      <c r="CU366" s="155" t="str">
        <f t="shared" si="337"/>
        <v/>
      </c>
      <c r="CV366" s="155" t="str">
        <f t="shared" si="338"/>
        <v/>
      </c>
      <c r="CW366" s="155" t="str">
        <f t="shared" si="339"/>
        <v/>
      </c>
      <c r="CX366" s="155" t="str">
        <f t="shared" si="340"/>
        <v/>
      </c>
    </row>
    <row r="367" spans="1:102" ht="14.25" x14ac:dyDescent="0.2">
      <c r="A367" s="182"/>
      <c r="B367" s="147" t="str">
        <f>Services!B367</f>
        <v>14B</v>
      </c>
      <c r="C367" s="148" t="str">
        <f>Services!C367</f>
        <v xml:space="preserve">Déploiement du système de management </v>
      </c>
      <c r="D367" s="149"/>
      <c r="E367" s="149"/>
      <c r="F367" s="149"/>
      <c r="G367" s="149"/>
      <c r="H367" s="149"/>
      <c r="I367" s="140" t="str">
        <f t="shared" si="341"/>
        <v/>
      </c>
      <c r="J367" s="141" t="str">
        <f t="shared" si="298"/>
        <v/>
      </c>
      <c r="K367" s="142"/>
      <c r="L367" s="142"/>
      <c r="M367" s="1708"/>
      <c r="N367" s="1708"/>
      <c r="O367" s="1708"/>
      <c r="P367" s="1708"/>
      <c r="Q367" s="1708"/>
      <c r="R367" s="1708"/>
      <c r="S367" s="1708"/>
      <c r="T367" s="1708"/>
      <c r="U367" s="1708"/>
      <c r="V367" s="1708"/>
      <c r="W367" s="1708"/>
      <c r="X367" s="1709"/>
      <c r="Y367" s="1709"/>
      <c r="Z367" s="1709"/>
      <c r="AA367" s="1709"/>
      <c r="AB367" s="1709"/>
      <c r="AC367" s="1709"/>
      <c r="AD367" s="1709"/>
      <c r="AE367" s="1709"/>
      <c r="AF367" s="1709"/>
      <c r="AG367" s="1709"/>
      <c r="AH367" s="1709"/>
      <c r="AI367" s="1709"/>
      <c r="AJ367" s="1709"/>
      <c r="AK367" s="1709"/>
      <c r="AL367" s="1709"/>
      <c r="AM367" s="1709"/>
      <c r="AN367" s="1709"/>
      <c r="AO367" s="1709"/>
      <c r="AP367" s="1709"/>
      <c r="AQ367" s="1709"/>
      <c r="AR367" s="1709"/>
      <c r="AS367" s="1709"/>
      <c r="AT367" s="1709"/>
      <c r="AU367" s="1709"/>
      <c r="AV367" s="1709"/>
      <c r="AW367" s="1709"/>
      <c r="AX367" s="1710"/>
      <c r="AY367" s="1714" t="str">
        <f t="shared" si="299"/>
        <v/>
      </c>
      <c r="AZ367" s="1714" t="str">
        <f>IF(Obj_PA!D367="","",IF(AY367="","",Obj_PA!D367-AY367))</f>
        <v/>
      </c>
      <c r="BK367" s="155" t="str">
        <f t="shared" si="301"/>
        <v/>
      </c>
      <c r="BL367" s="155" t="str">
        <f t="shared" si="302"/>
        <v/>
      </c>
      <c r="BM367" s="155" t="str">
        <f t="shared" si="303"/>
        <v/>
      </c>
      <c r="BN367" s="155" t="str">
        <f t="shared" si="304"/>
        <v/>
      </c>
      <c r="BO367" s="155" t="str">
        <f t="shared" si="305"/>
        <v/>
      </c>
      <c r="BP367" s="155" t="str">
        <f t="shared" si="306"/>
        <v/>
      </c>
      <c r="BQ367" s="155" t="str">
        <f t="shared" si="307"/>
        <v/>
      </c>
      <c r="BR367" s="155" t="str">
        <f t="shared" si="308"/>
        <v/>
      </c>
      <c r="BS367" s="155" t="str">
        <f t="shared" si="309"/>
        <v/>
      </c>
      <c r="BT367" s="155" t="str">
        <f t="shared" si="310"/>
        <v/>
      </c>
      <c r="BU367" s="155" t="str">
        <f t="shared" si="311"/>
        <v/>
      </c>
      <c r="BV367" s="155" t="str">
        <f t="shared" si="312"/>
        <v/>
      </c>
      <c r="BW367" s="155" t="str">
        <f t="shared" si="313"/>
        <v/>
      </c>
      <c r="BX367" s="155" t="str">
        <f t="shared" si="314"/>
        <v/>
      </c>
      <c r="BY367" s="155" t="str">
        <f t="shared" si="315"/>
        <v/>
      </c>
      <c r="BZ367" s="155" t="str">
        <f t="shared" si="316"/>
        <v/>
      </c>
      <c r="CA367" s="155" t="str">
        <f t="shared" si="317"/>
        <v/>
      </c>
      <c r="CB367" s="155" t="str">
        <f t="shared" si="318"/>
        <v/>
      </c>
      <c r="CC367" s="155" t="str">
        <f t="shared" si="319"/>
        <v/>
      </c>
      <c r="CD367" s="155" t="str">
        <f t="shared" si="320"/>
        <v/>
      </c>
      <c r="CE367" s="155" t="str">
        <f t="shared" si="321"/>
        <v/>
      </c>
      <c r="CF367" s="155" t="str">
        <f t="shared" si="322"/>
        <v/>
      </c>
      <c r="CG367" s="155" t="str">
        <f t="shared" si="323"/>
        <v/>
      </c>
      <c r="CH367" s="155" t="str">
        <f t="shared" si="324"/>
        <v/>
      </c>
      <c r="CI367" s="155" t="str">
        <f t="shared" si="325"/>
        <v/>
      </c>
      <c r="CJ367" s="155" t="str">
        <f t="shared" si="326"/>
        <v/>
      </c>
      <c r="CK367" s="155" t="str">
        <f t="shared" si="327"/>
        <v/>
      </c>
      <c r="CL367" s="155" t="str">
        <f t="shared" si="328"/>
        <v/>
      </c>
      <c r="CM367" s="155" t="str">
        <f t="shared" si="329"/>
        <v/>
      </c>
      <c r="CN367" s="155" t="str">
        <f t="shared" si="330"/>
        <v/>
      </c>
      <c r="CO367" s="155" t="str">
        <f t="shared" si="331"/>
        <v/>
      </c>
      <c r="CP367" s="155" t="str">
        <f t="shared" si="332"/>
        <v/>
      </c>
      <c r="CQ367" s="155" t="str">
        <f t="shared" si="333"/>
        <v/>
      </c>
      <c r="CR367" s="155" t="str">
        <f t="shared" si="334"/>
        <v/>
      </c>
      <c r="CS367" s="155" t="str">
        <f t="shared" si="335"/>
        <v/>
      </c>
      <c r="CT367" s="155" t="str">
        <f t="shared" si="336"/>
        <v/>
      </c>
      <c r="CU367" s="155" t="str">
        <f t="shared" si="337"/>
        <v/>
      </c>
      <c r="CV367" s="155" t="str">
        <f t="shared" si="338"/>
        <v/>
      </c>
      <c r="CW367" s="155" t="str">
        <f t="shared" si="339"/>
        <v/>
      </c>
      <c r="CX367" s="155" t="str">
        <f t="shared" si="340"/>
        <v/>
      </c>
    </row>
    <row r="368" spans="1:102" ht="14.25" x14ac:dyDescent="0.2">
      <c r="A368" s="182"/>
      <c r="B368" s="157" t="str">
        <f>Services!B368</f>
        <v>14B01</v>
      </c>
      <c r="C368" s="153" t="str">
        <f>Services!C368</f>
        <v>Formulation d'un plan de traitement des risques</v>
      </c>
      <c r="D368" s="149"/>
      <c r="E368" s="149"/>
      <c r="F368" s="149"/>
      <c r="G368" s="149"/>
      <c r="H368" s="149"/>
      <c r="I368" s="140" t="str">
        <f t="shared" si="341"/>
        <v/>
      </c>
      <c r="J368" s="141" t="str">
        <f t="shared" si="298"/>
        <v/>
      </c>
      <c r="K368" s="142"/>
      <c r="L368" s="142"/>
      <c r="M368" s="1708"/>
      <c r="N368" s="1708"/>
      <c r="O368" s="1708"/>
      <c r="P368" s="1708"/>
      <c r="Q368" s="1708"/>
      <c r="R368" s="1708"/>
      <c r="S368" s="1708"/>
      <c r="T368" s="1708"/>
      <c r="U368" s="1708"/>
      <c r="V368" s="1708"/>
      <c r="W368" s="1708"/>
      <c r="X368" s="1709"/>
      <c r="Y368" s="1709"/>
      <c r="Z368" s="1709"/>
      <c r="AA368" s="1709"/>
      <c r="AB368" s="1709"/>
      <c r="AC368" s="1709"/>
      <c r="AD368" s="1709"/>
      <c r="AE368" s="1709"/>
      <c r="AF368" s="1709"/>
      <c r="AG368" s="1709"/>
      <c r="AH368" s="1709"/>
      <c r="AI368" s="1709"/>
      <c r="AJ368" s="1709"/>
      <c r="AK368" s="1709"/>
      <c r="AL368" s="1709"/>
      <c r="AM368" s="1709"/>
      <c r="AN368" s="1709"/>
      <c r="AO368" s="1709"/>
      <c r="AP368" s="1709"/>
      <c r="AQ368" s="1709"/>
      <c r="AR368" s="1709"/>
      <c r="AS368" s="1709"/>
      <c r="AT368" s="1709"/>
      <c r="AU368" s="1709"/>
      <c r="AV368" s="1709"/>
      <c r="AW368" s="1709"/>
      <c r="AX368" s="1710"/>
      <c r="AY368" s="1714" t="str">
        <f t="shared" si="299"/>
        <v/>
      </c>
      <c r="AZ368" s="1714" t="str">
        <f>IF(Obj_PA!D368="","",IF(AY368="","",Obj_PA!D368-AY368))</f>
        <v/>
      </c>
      <c r="BK368" s="155" t="str">
        <f t="shared" si="301"/>
        <v/>
      </c>
      <c r="BL368" s="155" t="str">
        <f t="shared" si="302"/>
        <v/>
      </c>
      <c r="BM368" s="155" t="str">
        <f t="shared" si="303"/>
        <v/>
      </c>
      <c r="BN368" s="155" t="str">
        <f t="shared" si="304"/>
        <v/>
      </c>
      <c r="BO368" s="155" t="str">
        <f t="shared" si="305"/>
        <v/>
      </c>
      <c r="BP368" s="155" t="str">
        <f t="shared" si="306"/>
        <v/>
      </c>
      <c r="BQ368" s="155" t="str">
        <f t="shared" si="307"/>
        <v/>
      </c>
      <c r="BR368" s="155" t="str">
        <f t="shared" si="308"/>
        <v/>
      </c>
      <c r="BS368" s="155" t="str">
        <f t="shared" si="309"/>
        <v/>
      </c>
      <c r="BT368" s="155" t="str">
        <f t="shared" si="310"/>
        <v/>
      </c>
      <c r="BU368" s="155" t="str">
        <f t="shared" si="311"/>
        <v/>
      </c>
      <c r="BV368" s="155" t="str">
        <f t="shared" si="312"/>
        <v/>
      </c>
      <c r="BW368" s="155" t="str">
        <f t="shared" si="313"/>
        <v/>
      </c>
      <c r="BX368" s="155" t="str">
        <f t="shared" si="314"/>
        <v/>
      </c>
      <c r="BY368" s="155" t="str">
        <f t="shared" si="315"/>
        <v/>
      </c>
      <c r="BZ368" s="155" t="str">
        <f t="shared" si="316"/>
        <v/>
      </c>
      <c r="CA368" s="155" t="str">
        <f t="shared" si="317"/>
        <v/>
      </c>
      <c r="CB368" s="155" t="str">
        <f t="shared" si="318"/>
        <v/>
      </c>
      <c r="CC368" s="155" t="str">
        <f t="shared" si="319"/>
        <v/>
      </c>
      <c r="CD368" s="155" t="str">
        <f t="shared" si="320"/>
        <v/>
      </c>
      <c r="CE368" s="155" t="str">
        <f t="shared" si="321"/>
        <v/>
      </c>
      <c r="CF368" s="155" t="str">
        <f t="shared" si="322"/>
        <v/>
      </c>
      <c r="CG368" s="155" t="str">
        <f t="shared" si="323"/>
        <v/>
      </c>
      <c r="CH368" s="155" t="str">
        <f t="shared" si="324"/>
        <v/>
      </c>
      <c r="CI368" s="155" t="str">
        <f t="shared" si="325"/>
        <v/>
      </c>
      <c r="CJ368" s="155" t="str">
        <f t="shared" si="326"/>
        <v/>
      </c>
      <c r="CK368" s="155" t="str">
        <f t="shared" si="327"/>
        <v/>
      </c>
      <c r="CL368" s="155" t="str">
        <f t="shared" si="328"/>
        <v/>
      </c>
      <c r="CM368" s="155" t="str">
        <f t="shared" si="329"/>
        <v/>
      </c>
      <c r="CN368" s="155" t="str">
        <f t="shared" si="330"/>
        <v/>
      </c>
      <c r="CO368" s="155" t="str">
        <f t="shared" si="331"/>
        <v/>
      </c>
      <c r="CP368" s="155" t="str">
        <f t="shared" si="332"/>
        <v/>
      </c>
      <c r="CQ368" s="155" t="str">
        <f t="shared" si="333"/>
        <v/>
      </c>
      <c r="CR368" s="155" t="str">
        <f t="shared" si="334"/>
        <v/>
      </c>
      <c r="CS368" s="155" t="str">
        <f t="shared" si="335"/>
        <v/>
      </c>
      <c r="CT368" s="155" t="str">
        <f t="shared" si="336"/>
        <v/>
      </c>
      <c r="CU368" s="155" t="str">
        <f t="shared" si="337"/>
        <v/>
      </c>
      <c r="CV368" s="155" t="str">
        <f t="shared" si="338"/>
        <v/>
      </c>
      <c r="CW368" s="155" t="str">
        <f t="shared" si="339"/>
        <v/>
      </c>
      <c r="CX368" s="155" t="str">
        <f t="shared" si="340"/>
        <v/>
      </c>
    </row>
    <row r="369" spans="1:102" ht="14.25" x14ac:dyDescent="0.2">
      <c r="A369" s="182"/>
      <c r="B369" s="157" t="str">
        <f>Services!B369</f>
        <v>14B02</v>
      </c>
      <c r="C369" s="153" t="str">
        <f>Services!C369</f>
        <v>Mise en oeuvre du plan de traitement des risques</v>
      </c>
      <c r="D369" s="149"/>
      <c r="E369" s="149"/>
      <c r="F369" s="149"/>
      <c r="G369" s="149"/>
      <c r="H369" s="149"/>
      <c r="I369" s="140" t="str">
        <f t="shared" si="341"/>
        <v/>
      </c>
      <c r="J369" s="141" t="str">
        <f t="shared" si="298"/>
        <v/>
      </c>
      <c r="K369" s="142"/>
      <c r="L369" s="142"/>
      <c r="M369" s="1708"/>
      <c r="N369" s="1708"/>
      <c r="O369" s="1708"/>
      <c r="P369" s="1708"/>
      <c r="Q369" s="1708"/>
      <c r="R369" s="1708"/>
      <c r="S369" s="1708"/>
      <c r="T369" s="1708"/>
      <c r="U369" s="1708"/>
      <c r="V369" s="1708"/>
      <c r="W369" s="1708"/>
      <c r="X369" s="1709"/>
      <c r="Y369" s="1709"/>
      <c r="Z369" s="1709"/>
      <c r="AA369" s="1709"/>
      <c r="AB369" s="1709"/>
      <c r="AC369" s="1709"/>
      <c r="AD369" s="1709"/>
      <c r="AE369" s="1709"/>
      <c r="AF369" s="1709"/>
      <c r="AG369" s="1709"/>
      <c r="AH369" s="1709"/>
      <c r="AI369" s="1709"/>
      <c r="AJ369" s="1709"/>
      <c r="AK369" s="1709"/>
      <c r="AL369" s="1709"/>
      <c r="AM369" s="1709"/>
      <c r="AN369" s="1709"/>
      <c r="AO369" s="1709"/>
      <c r="AP369" s="1709"/>
      <c r="AQ369" s="1709"/>
      <c r="AR369" s="1709"/>
      <c r="AS369" s="1709"/>
      <c r="AT369" s="1709"/>
      <c r="AU369" s="1709"/>
      <c r="AV369" s="1709"/>
      <c r="AW369" s="1709"/>
      <c r="AX369" s="1710"/>
      <c r="AY369" s="1714" t="str">
        <f t="shared" si="299"/>
        <v/>
      </c>
      <c r="AZ369" s="1714" t="str">
        <f>IF(Obj_PA!D369="","",IF(AY369="","",Obj_PA!D369-AY369))</f>
        <v/>
      </c>
      <c r="BK369" s="155" t="str">
        <f t="shared" si="301"/>
        <v/>
      </c>
      <c r="BL369" s="155" t="str">
        <f t="shared" si="302"/>
        <v/>
      </c>
      <c r="BM369" s="155" t="str">
        <f t="shared" si="303"/>
        <v/>
      </c>
      <c r="BN369" s="155" t="str">
        <f t="shared" si="304"/>
        <v/>
      </c>
      <c r="BO369" s="155" t="str">
        <f t="shared" si="305"/>
        <v/>
      </c>
      <c r="BP369" s="155" t="str">
        <f t="shared" si="306"/>
        <v/>
      </c>
      <c r="BQ369" s="155" t="str">
        <f t="shared" si="307"/>
        <v/>
      </c>
      <c r="BR369" s="155" t="str">
        <f t="shared" si="308"/>
        <v/>
      </c>
      <c r="BS369" s="155" t="str">
        <f t="shared" si="309"/>
        <v/>
      </c>
      <c r="BT369" s="155" t="str">
        <f t="shared" si="310"/>
        <v/>
      </c>
      <c r="BU369" s="155" t="str">
        <f t="shared" si="311"/>
        <v/>
      </c>
      <c r="BV369" s="155" t="str">
        <f t="shared" si="312"/>
        <v/>
      </c>
      <c r="BW369" s="155" t="str">
        <f t="shared" si="313"/>
        <v/>
      </c>
      <c r="BX369" s="155" t="str">
        <f t="shared" si="314"/>
        <v/>
      </c>
      <c r="BY369" s="155" t="str">
        <f t="shared" si="315"/>
        <v/>
      </c>
      <c r="BZ369" s="155" t="str">
        <f t="shared" si="316"/>
        <v/>
      </c>
      <c r="CA369" s="155" t="str">
        <f t="shared" si="317"/>
        <v/>
      </c>
      <c r="CB369" s="155" t="str">
        <f t="shared" si="318"/>
        <v/>
      </c>
      <c r="CC369" s="155" t="str">
        <f t="shared" si="319"/>
        <v/>
      </c>
      <c r="CD369" s="155" t="str">
        <f t="shared" si="320"/>
        <v/>
      </c>
      <c r="CE369" s="155" t="str">
        <f t="shared" si="321"/>
        <v/>
      </c>
      <c r="CF369" s="155" t="str">
        <f t="shared" si="322"/>
        <v/>
      </c>
      <c r="CG369" s="155" t="str">
        <f t="shared" si="323"/>
        <v/>
      </c>
      <c r="CH369" s="155" t="str">
        <f t="shared" si="324"/>
        <v/>
      </c>
      <c r="CI369" s="155" t="str">
        <f t="shared" si="325"/>
        <v/>
      </c>
      <c r="CJ369" s="155" t="str">
        <f t="shared" si="326"/>
        <v/>
      </c>
      <c r="CK369" s="155" t="str">
        <f t="shared" si="327"/>
        <v/>
      </c>
      <c r="CL369" s="155" t="str">
        <f t="shared" si="328"/>
        <v/>
      </c>
      <c r="CM369" s="155" t="str">
        <f t="shared" si="329"/>
        <v/>
      </c>
      <c r="CN369" s="155" t="str">
        <f t="shared" si="330"/>
        <v/>
      </c>
      <c r="CO369" s="155" t="str">
        <f t="shared" si="331"/>
        <v/>
      </c>
      <c r="CP369" s="155" t="str">
        <f t="shared" si="332"/>
        <v/>
      </c>
      <c r="CQ369" s="155" t="str">
        <f t="shared" si="333"/>
        <v/>
      </c>
      <c r="CR369" s="155" t="str">
        <f t="shared" si="334"/>
        <v/>
      </c>
      <c r="CS369" s="155" t="str">
        <f t="shared" si="335"/>
        <v/>
      </c>
      <c r="CT369" s="155" t="str">
        <f t="shared" si="336"/>
        <v/>
      </c>
      <c r="CU369" s="155" t="str">
        <f t="shared" si="337"/>
        <v/>
      </c>
      <c r="CV369" s="155" t="str">
        <f t="shared" si="338"/>
        <v/>
      </c>
      <c r="CW369" s="155" t="str">
        <f t="shared" si="339"/>
        <v/>
      </c>
      <c r="CX369" s="155" t="str">
        <f t="shared" si="340"/>
        <v/>
      </c>
    </row>
    <row r="370" spans="1:102" ht="14.25" x14ac:dyDescent="0.2">
      <c r="A370" s="182"/>
      <c r="B370" s="157" t="str">
        <f>Services!B370</f>
        <v>14B03</v>
      </c>
      <c r="C370" s="153" t="str">
        <f>Services!C370</f>
        <v>Choix et mise en place des indicateurs pour le SMSI</v>
      </c>
      <c r="D370" s="149"/>
      <c r="E370" s="149"/>
      <c r="F370" s="149"/>
      <c r="G370" s="149"/>
      <c r="H370" s="149"/>
      <c r="I370" s="140" t="str">
        <f t="shared" si="341"/>
        <v/>
      </c>
      <c r="J370" s="141" t="str">
        <f t="shared" si="298"/>
        <v/>
      </c>
      <c r="K370" s="142"/>
      <c r="L370" s="142"/>
      <c r="M370" s="1708"/>
      <c r="N370" s="1708"/>
      <c r="O370" s="1708"/>
      <c r="P370" s="1708"/>
      <c r="Q370" s="1708"/>
      <c r="R370" s="1708"/>
      <c r="S370" s="1708"/>
      <c r="T370" s="1708"/>
      <c r="U370" s="1708"/>
      <c r="V370" s="1708"/>
      <c r="W370" s="1708"/>
      <c r="X370" s="1709"/>
      <c r="Y370" s="1709"/>
      <c r="Z370" s="1709"/>
      <c r="AA370" s="1709"/>
      <c r="AB370" s="1709"/>
      <c r="AC370" s="1709"/>
      <c r="AD370" s="1709"/>
      <c r="AE370" s="1709"/>
      <c r="AF370" s="1709"/>
      <c r="AG370" s="1709"/>
      <c r="AH370" s="1709"/>
      <c r="AI370" s="1709"/>
      <c r="AJ370" s="1709"/>
      <c r="AK370" s="1709"/>
      <c r="AL370" s="1709"/>
      <c r="AM370" s="1709"/>
      <c r="AN370" s="1709"/>
      <c r="AO370" s="1709"/>
      <c r="AP370" s="1709"/>
      <c r="AQ370" s="1709"/>
      <c r="AR370" s="1709"/>
      <c r="AS370" s="1709"/>
      <c r="AT370" s="1709"/>
      <c r="AU370" s="1709"/>
      <c r="AV370" s="1709"/>
      <c r="AW370" s="1709"/>
      <c r="AX370" s="1710"/>
      <c r="AY370" s="1714" t="str">
        <f t="shared" si="299"/>
        <v/>
      </c>
      <c r="AZ370" s="1714" t="str">
        <f>IF(Obj_PA!D370="","",IF(AY370="","",Obj_PA!D370-AY370))</f>
        <v/>
      </c>
      <c r="BK370" s="155" t="str">
        <f t="shared" si="301"/>
        <v/>
      </c>
      <c r="BL370" s="155" t="str">
        <f t="shared" si="302"/>
        <v/>
      </c>
      <c r="BM370" s="155" t="str">
        <f t="shared" si="303"/>
        <v/>
      </c>
      <c r="BN370" s="155" t="str">
        <f t="shared" si="304"/>
        <v/>
      </c>
      <c r="BO370" s="155" t="str">
        <f t="shared" si="305"/>
        <v/>
      </c>
      <c r="BP370" s="155" t="str">
        <f t="shared" si="306"/>
        <v/>
      </c>
      <c r="BQ370" s="155" t="str">
        <f t="shared" si="307"/>
        <v/>
      </c>
      <c r="BR370" s="155" t="str">
        <f t="shared" si="308"/>
        <v/>
      </c>
      <c r="BS370" s="155" t="str">
        <f t="shared" si="309"/>
        <v/>
      </c>
      <c r="BT370" s="155" t="str">
        <f t="shared" si="310"/>
        <v/>
      </c>
      <c r="BU370" s="155" t="str">
        <f t="shared" si="311"/>
        <v/>
      </c>
      <c r="BV370" s="155" t="str">
        <f t="shared" si="312"/>
        <v/>
      </c>
      <c r="BW370" s="155" t="str">
        <f t="shared" si="313"/>
        <v/>
      </c>
      <c r="BX370" s="155" t="str">
        <f t="shared" si="314"/>
        <v/>
      </c>
      <c r="BY370" s="155" t="str">
        <f t="shared" si="315"/>
        <v/>
      </c>
      <c r="BZ370" s="155" t="str">
        <f t="shared" si="316"/>
        <v/>
      </c>
      <c r="CA370" s="155" t="str">
        <f t="shared" si="317"/>
        <v/>
      </c>
      <c r="CB370" s="155" t="str">
        <f t="shared" si="318"/>
        <v/>
      </c>
      <c r="CC370" s="155" t="str">
        <f t="shared" si="319"/>
        <v/>
      </c>
      <c r="CD370" s="155" t="str">
        <f t="shared" si="320"/>
        <v/>
      </c>
      <c r="CE370" s="155" t="str">
        <f t="shared" si="321"/>
        <v/>
      </c>
      <c r="CF370" s="155" t="str">
        <f t="shared" si="322"/>
        <v/>
      </c>
      <c r="CG370" s="155" t="str">
        <f t="shared" si="323"/>
        <v/>
      </c>
      <c r="CH370" s="155" t="str">
        <f t="shared" si="324"/>
        <v/>
      </c>
      <c r="CI370" s="155" t="str">
        <f t="shared" si="325"/>
        <v/>
      </c>
      <c r="CJ370" s="155" t="str">
        <f t="shared" si="326"/>
        <v/>
      </c>
      <c r="CK370" s="155" t="str">
        <f t="shared" si="327"/>
        <v/>
      </c>
      <c r="CL370" s="155" t="str">
        <f t="shared" si="328"/>
        <v/>
      </c>
      <c r="CM370" s="155" t="str">
        <f t="shared" si="329"/>
        <v/>
      </c>
      <c r="CN370" s="155" t="str">
        <f t="shared" si="330"/>
        <v/>
      </c>
      <c r="CO370" s="155" t="str">
        <f t="shared" si="331"/>
        <v/>
      </c>
      <c r="CP370" s="155" t="str">
        <f t="shared" si="332"/>
        <v/>
      </c>
      <c r="CQ370" s="155" t="str">
        <f t="shared" si="333"/>
        <v/>
      </c>
      <c r="CR370" s="155" t="str">
        <f t="shared" si="334"/>
        <v/>
      </c>
      <c r="CS370" s="155" t="str">
        <f t="shared" si="335"/>
        <v/>
      </c>
      <c r="CT370" s="155" t="str">
        <f t="shared" si="336"/>
        <v/>
      </c>
      <c r="CU370" s="155" t="str">
        <f t="shared" si="337"/>
        <v/>
      </c>
      <c r="CV370" s="155" t="str">
        <f t="shared" si="338"/>
        <v/>
      </c>
      <c r="CW370" s="155" t="str">
        <f t="shared" si="339"/>
        <v/>
      </c>
      <c r="CX370" s="155" t="str">
        <f t="shared" si="340"/>
        <v/>
      </c>
    </row>
    <row r="371" spans="1:102" ht="14.25" x14ac:dyDescent="0.2">
      <c r="A371" s="182"/>
      <c r="B371" s="157" t="str">
        <f>Services!B371</f>
        <v>14B04</v>
      </c>
      <c r="C371" s="153" t="str">
        <f>Services!C371</f>
        <v>Mise en place d'un plan de formation et de sensibilisation</v>
      </c>
      <c r="D371" s="149"/>
      <c r="E371" s="149"/>
      <c r="F371" s="149"/>
      <c r="G371" s="149"/>
      <c r="H371" s="149"/>
      <c r="I371" s="140" t="str">
        <f t="shared" si="341"/>
        <v/>
      </c>
      <c r="J371" s="141" t="str">
        <f t="shared" si="298"/>
        <v/>
      </c>
      <c r="K371" s="142"/>
      <c r="L371" s="142"/>
      <c r="M371" s="1708"/>
      <c r="N371" s="1708"/>
      <c r="O371" s="1708"/>
      <c r="P371" s="1708"/>
      <c r="Q371" s="1708"/>
      <c r="R371" s="1708"/>
      <c r="S371" s="1708"/>
      <c r="T371" s="1708"/>
      <c r="U371" s="1708"/>
      <c r="V371" s="1708"/>
      <c r="W371" s="1708"/>
      <c r="X371" s="1709"/>
      <c r="Y371" s="1709"/>
      <c r="Z371" s="1709"/>
      <c r="AA371" s="1709"/>
      <c r="AB371" s="1709"/>
      <c r="AC371" s="1709"/>
      <c r="AD371" s="1709"/>
      <c r="AE371" s="1709"/>
      <c r="AF371" s="1709"/>
      <c r="AG371" s="1709"/>
      <c r="AH371" s="1709"/>
      <c r="AI371" s="1709"/>
      <c r="AJ371" s="1709"/>
      <c r="AK371" s="1709"/>
      <c r="AL371" s="1709"/>
      <c r="AM371" s="1709"/>
      <c r="AN371" s="1709"/>
      <c r="AO371" s="1709"/>
      <c r="AP371" s="1709"/>
      <c r="AQ371" s="1709"/>
      <c r="AR371" s="1709"/>
      <c r="AS371" s="1709"/>
      <c r="AT371" s="1709"/>
      <c r="AU371" s="1709"/>
      <c r="AV371" s="1709"/>
      <c r="AW371" s="1709"/>
      <c r="AX371" s="1710"/>
      <c r="AY371" s="1714" t="str">
        <f t="shared" si="299"/>
        <v/>
      </c>
      <c r="AZ371" s="1714" t="str">
        <f>IF(Obj_PA!D371="","",IF(AY371="","",Obj_PA!D371-AY371))</f>
        <v/>
      </c>
      <c r="BK371" s="155" t="str">
        <f t="shared" si="301"/>
        <v/>
      </c>
      <c r="BL371" s="155" t="str">
        <f t="shared" si="302"/>
        <v/>
      </c>
      <c r="BM371" s="155" t="str">
        <f t="shared" si="303"/>
        <v/>
      </c>
      <c r="BN371" s="155" t="str">
        <f t="shared" si="304"/>
        <v/>
      </c>
      <c r="BO371" s="155" t="str">
        <f t="shared" si="305"/>
        <v/>
      </c>
      <c r="BP371" s="155" t="str">
        <f t="shared" si="306"/>
        <v/>
      </c>
      <c r="BQ371" s="155" t="str">
        <f t="shared" si="307"/>
        <v/>
      </c>
      <c r="BR371" s="155" t="str">
        <f t="shared" si="308"/>
        <v/>
      </c>
      <c r="BS371" s="155" t="str">
        <f t="shared" si="309"/>
        <v/>
      </c>
      <c r="BT371" s="155" t="str">
        <f t="shared" si="310"/>
        <v/>
      </c>
      <c r="BU371" s="155" t="str">
        <f t="shared" si="311"/>
        <v/>
      </c>
      <c r="BV371" s="155" t="str">
        <f t="shared" si="312"/>
        <v/>
      </c>
      <c r="BW371" s="155" t="str">
        <f t="shared" si="313"/>
        <v/>
      </c>
      <c r="BX371" s="155" t="str">
        <f t="shared" si="314"/>
        <v/>
      </c>
      <c r="BY371" s="155" t="str">
        <f t="shared" si="315"/>
        <v/>
      </c>
      <c r="BZ371" s="155" t="str">
        <f t="shared" si="316"/>
        <v/>
      </c>
      <c r="CA371" s="155" t="str">
        <f t="shared" si="317"/>
        <v/>
      </c>
      <c r="CB371" s="155" t="str">
        <f t="shared" si="318"/>
        <v/>
      </c>
      <c r="CC371" s="155" t="str">
        <f t="shared" si="319"/>
        <v/>
      </c>
      <c r="CD371" s="155" t="str">
        <f t="shared" si="320"/>
        <v/>
      </c>
      <c r="CE371" s="155" t="str">
        <f t="shared" si="321"/>
        <v/>
      </c>
      <c r="CF371" s="155" t="str">
        <f t="shared" si="322"/>
        <v/>
      </c>
      <c r="CG371" s="155" t="str">
        <f t="shared" si="323"/>
        <v/>
      </c>
      <c r="CH371" s="155" t="str">
        <f t="shared" si="324"/>
        <v/>
      </c>
      <c r="CI371" s="155" t="str">
        <f t="shared" si="325"/>
        <v/>
      </c>
      <c r="CJ371" s="155" t="str">
        <f t="shared" si="326"/>
        <v/>
      </c>
      <c r="CK371" s="155" t="str">
        <f t="shared" si="327"/>
        <v/>
      </c>
      <c r="CL371" s="155" t="str">
        <f t="shared" si="328"/>
        <v/>
      </c>
      <c r="CM371" s="155" t="str">
        <f t="shared" si="329"/>
        <v/>
      </c>
      <c r="CN371" s="155" t="str">
        <f t="shared" si="330"/>
        <v/>
      </c>
      <c r="CO371" s="155" t="str">
        <f t="shared" si="331"/>
        <v/>
      </c>
      <c r="CP371" s="155" t="str">
        <f t="shared" si="332"/>
        <v/>
      </c>
      <c r="CQ371" s="155" t="str">
        <f t="shared" si="333"/>
        <v/>
      </c>
      <c r="CR371" s="155" t="str">
        <f t="shared" si="334"/>
        <v/>
      </c>
      <c r="CS371" s="155" t="str">
        <f t="shared" si="335"/>
        <v/>
      </c>
      <c r="CT371" s="155" t="str">
        <f t="shared" si="336"/>
        <v/>
      </c>
      <c r="CU371" s="155" t="str">
        <f t="shared" si="337"/>
        <v/>
      </c>
      <c r="CV371" s="155" t="str">
        <f t="shared" si="338"/>
        <v/>
      </c>
      <c r="CW371" s="155" t="str">
        <f t="shared" si="339"/>
        <v/>
      </c>
      <c r="CX371" s="155" t="str">
        <f t="shared" si="340"/>
        <v/>
      </c>
    </row>
    <row r="372" spans="1:102" ht="14.25" x14ac:dyDescent="0.2">
      <c r="A372" s="182"/>
      <c r="B372" s="157" t="str">
        <f>Services!B372</f>
        <v>14B05</v>
      </c>
      <c r="C372" s="153" t="str">
        <f>Services!C372</f>
        <v>Détection et réactions aux incidents</v>
      </c>
      <c r="D372" s="149"/>
      <c r="E372" s="149"/>
      <c r="F372" s="149"/>
      <c r="G372" s="149"/>
      <c r="H372" s="149"/>
      <c r="I372" s="140" t="str">
        <f t="shared" si="341"/>
        <v/>
      </c>
      <c r="J372" s="141" t="str">
        <f t="shared" si="298"/>
        <v/>
      </c>
      <c r="K372" s="142"/>
      <c r="L372" s="142"/>
      <c r="M372" s="1708"/>
      <c r="N372" s="1708"/>
      <c r="O372" s="1708"/>
      <c r="P372" s="1708"/>
      <c r="Q372" s="1708"/>
      <c r="R372" s="1708"/>
      <c r="S372" s="1708"/>
      <c r="T372" s="1708"/>
      <c r="U372" s="1708"/>
      <c r="V372" s="1708"/>
      <c r="W372" s="1708"/>
      <c r="X372" s="1709"/>
      <c r="Y372" s="1709"/>
      <c r="Z372" s="1709"/>
      <c r="AA372" s="1709"/>
      <c r="AB372" s="1709"/>
      <c r="AC372" s="1709"/>
      <c r="AD372" s="1709"/>
      <c r="AE372" s="1709"/>
      <c r="AF372" s="1709"/>
      <c r="AG372" s="1709"/>
      <c r="AH372" s="1709"/>
      <c r="AI372" s="1709"/>
      <c r="AJ372" s="1709"/>
      <c r="AK372" s="1709"/>
      <c r="AL372" s="1709"/>
      <c r="AM372" s="1709"/>
      <c r="AN372" s="1709"/>
      <c r="AO372" s="1709"/>
      <c r="AP372" s="1709"/>
      <c r="AQ372" s="1709"/>
      <c r="AR372" s="1709"/>
      <c r="AS372" s="1709"/>
      <c r="AT372" s="1709"/>
      <c r="AU372" s="1709"/>
      <c r="AV372" s="1709"/>
      <c r="AW372" s="1709"/>
      <c r="AX372" s="1710"/>
      <c r="AY372" s="1714" t="str">
        <f t="shared" si="299"/>
        <v/>
      </c>
      <c r="AZ372" s="1714" t="str">
        <f>IF(Obj_PA!D372="","",IF(AY372="","",Obj_PA!D372-AY372))</f>
        <v/>
      </c>
      <c r="BK372" s="155" t="str">
        <f t="shared" si="301"/>
        <v/>
      </c>
      <c r="BL372" s="155" t="str">
        <f t="shared" si="302"/>
        <v/>
      </c>
      <c r="BM372" s="155" t="str">
        <f t="shared" si="303"/>
        <v/>
      </c>
      <c r="BN372" s="155" t="str">
        <f t="shared" si="304"/>
        <v/>
      </c>
      <c r="BO372" s="155" t="str">
        <f t="shared" si="305"/>
        <v/>
      </c>
      <c r="BP372" s="155" t="str">
        <f t="shared" si="306"/>
        <v/>
      </c>
      <c r="BQ372" s="155" t="str">
        <f t="shared" si="307"/>
        <v/>
      </c>
      <c r="BR372" s="155" t="str">
        <f t="shared" si="308"/>
        <v/>
      </c>
      <c r="BS372" s="155" t="str">
        <f t="shared" si="309"/>
        <v/>
      </c>
      <c r="BT372" s="155" t="str">
        <f t="shared" si="310"/>
        <v/>
      </c>
      <c r="BU372" s="155" t="str">
        <f t="shared" si="311"/>
        <v/>
      </c>
      <c r="BV372" s="155" t="str">
        <f t="shared" si="312"/>
        <v/>
      </c>
      <c r="BW372" s="155" t="str">
        <f t="shared" si="313"/>
        <v/>
      </c>
      <c r="BX372" s="155" t="str">
        <f t="shared" si="314"/>
        <v/>
      </c>
      <c r="BY372" s="155" t="str">
        <f t="shared" si="315"/>
        <v/>
      </c>
      <c r="BZ372" s="155" t="str">
        <f t="shared" si="316"/>
        <v/>
      </c>
      <c r="CA372" s="155" t="str">
        <f t="shared" si="317"/>
        <v/>
      </c>
      <c r="CB372" s="155" t="str">
        <f t="shared" si="318"/>
        <v/>
      </c>
      <c r="CC372" s="155" t="str">
        <f t="shared" si="319"/>
        <v/>
      </c>
      <c r="CD372" s="155" t="str">
        <f t="shared" si="320"/>
        <v/>
      </c>
      <c r="CE372" s="155" t="str">
        <f t="shared" si="321"/>
        <v/>
      </c>
      <c r="CF372" s="155" t="str">
        <f t="shared" si="322"/>
        <v/>
      </c>
      <c r="CG372" s="155" t="str">
        <f t="shared" si="323"/>
        <v/>
      </c>
      <c r="CH372" s="155" t="str">
        <f t="shared" si="324"/>
        <v/>
      </c>
      <c r="CI372" s="155" t="str">
        <f t="shared" si="325"/>
        <v/>
      </c>
      <c r="CJ372" s="155" t="str">
        <f t="shared" si="326"/>
        <v/>
      </c>
      <c r="CK372" s="155" t="str">
        <f t="shared" si="327"/>
        <v/>
      </c>
      <c r="CL372" s="155" t="str">
        <f t="shared" si="328"/>
        <v/>
      </c>
      <c r="CM372" s="155" t="str">
        <f t="shared" si="329"/>
        <v/>
      </c>
      <c r="CN372" s="155" t="str">
        <f t="shared" si="330"/>
        <v/>
      </c>
      <c r="CO372" s="155" t="str">
        <f t="shared" si="331"/>
        <v/>
      </c>
      <c r="CP372" s="155" t="str">
        <f t="shared" si="332"/>
        <v/>
      </c>
      <c r="CQ372" s="155" t="str">
        <f t="shared" si="333"/>
        <v/>
      </c>
      <c r="CR372" s="155" t="str">
        <f t="shared" si="334"/>
        <v/>
      </c>
      <c r="CS372" s="155" t="str">
        <f t="shared" si="335"/>
        <v/>
      </c>
      <c r="CT372" s="155" t="str">
        <f t="shared" si="336"/>
        <v/>
      </c>
      <c r="CU372" s="155" t="str">
        <f t="shared" si="337"/>
        <v/>
      </c>
      <c r="CV372" s="155" t="str">
        <f t="shared" si="338"/>
        <v/>
      </c>
      <c r="CW372" s="155" t="str">
        <f t="shared" si="339"/>
        <v/>
      </c>
      <c r="CX372" s="155" t="str">
        <f t="shared" si="340"/>
        <v/>
      </c>
    </row>
    <row r="373" spans="1:102" ht="14.25" x14ac:dyDescent="0.2">
      <c r="A373" s="182"/>
      <c r="B373" s="147" t="str">
        <f>Services!B373</f>
        <v>14C</v>
      </c>
      <c r="C373" s="148" t="str">
        <f>Services!C373</f>
        <v>Mise sous Contrôle du système de management</v>
      </c>
      <c r="D373" s="149"/>
      <c r="E373" s="149"/>
      <c r="F373" s="149"/>
      <c r="G373" s="149"/>
      <c r="H373" s="149"/>
      <c r="I373" s="140" t="str">
        <f t="shared" si="341"/>
        <v/>
      </c>
      <c r="J373" s="141" t="str">
        <f t="shared" si="298"/>
        <v/>
      </c>
      <c r="K373" s="142"/>
      <c r="L373" s="142"/>
      <c r="M373" s="1708"/>
      <c r="N373" s="1708"/>
      <c r="O373" s="1708"/>
      <c r="P373" s="1708"/>
      <c r="Q373" s="1708"/>
      <c r="R373" s="1708"/>
      <c r="S373" s="1708"/>
      <c r="T373" s="1708"/>
      <c r="U373" s="1708"/>
      <c r="V373" s="1708"/>
      <c r="W373" s="1708"/>
      <c r="X373" s="1709"/>
      <c r="Y373" s="1709"/>
      <c r="Z373" s="1709"/>
      <c r="AA373" s="1709"/>
      <c r="AB373" s="1709"/>
      <c r="AC373" s="1709"/>
      <c r="AD373" s="1709"/>
      <c r="AE373" s="1709"/>
      <c r="AF373" s="1709"/>
      <c r="AG373" s="1709"/>
      <c r="AH373" s="1709"/>
      <c r="AI373" s="1709"/>
      <c r="AJ373" s="1709"/>
      <c r="AK373" s="1709"/>
      <c r="AL373" s="1709"/>
      <c r="AM373" s="1709"/>
      <c r="AN373" s="1709"/>
      <c r="AO373" s="1709"/>
      <c r="AP373" s="1709"/>
      <c r="AQ373" s="1709"/>
      <c r="AR373" s="1709"/>
      <c r="AS373" s="1709"/>
      <c r="AT373" s="1709"/>
      <c r="AU373" s="1709"/>
      <c r="AV373" s="1709"/>
      <c r="AW373" s="1709"/>
      <c r="AX373" s="1710"/>
      <c r="AY373" s="1714" t="str">
        <f t="shared" si="299"/>
        <v/>
      </c>
      <c r="AZ373" s="1714" t="str">
        <f>IF(Obj_PA!D373="","",IF(AY373="","",Obj_PA!D373-AY373))</f>
        <v/>
      </c>
      <c r="BK373" s="155" t="str">
        <f t="shared" si="301"/>
        <v/>
      </c>
      <c r="BL373" s="155" t="str">
        <f t="shared" si="302"/>
        <v/>
      </c>
      <c r="BM373" s="155" t="str">
        <f t="shared" si="303"/>
        <v/>
      </c>
      <c r="BN373" s="155" t="str">
        <f t="shared" si="304"/>
        <v/>
      </c>
      <c r="BO373" s="155" t="str">
        <f t="shared" si="305"/>
        <v/>
      </c>
      <c r="BP373" s="155" t="str">
        <f t="shared" si="306"/>
        <v/>
      </c>
      <c r="BQ373" s="155" t="str">
        <f t="shared" si="307"/>
        <v/>
      </c>
      <c r="BR373" s="155" t="str">
        <f t="shared" si="308"/>
        <v/>
      </c>
      <c r="BS373" s="155" t="str">
        <f t="shared" si="309"/>
        <v/>
      </c>
      <c r="BT373" s="155" t="str">
        <f t="shared" si="310"/>
        <v/>
      </c>
      <c r="BU373" s="155" t="str">
        <f t="shared" si="311"/>
        <v/>
      </c>
      <c r="BV373" s="155" t="str">
        <f t="shared" si="312"/>
        <v/>
      </c>
      <c r="BW373" s="155" t="str">
        <f t="shared" si="313"/>
        <v/>
      </c>
      <c r="BX373" s="155" t="str">
        <f t="shared" si="314"/>
        <v/>
      </c>
      <c r="BY373" s="155" t="str">
        <f t="shared" si="315"/>
        <v/>
      </c>
      <c r="BZ373" s="155" t="str">
        <f t="shared" si="316"/>
        <v/>
      </c>
      <c r="CA373" s="155" t="str">
        <f t="shared" si="317"/>
        <v/>
      </c>
      <c r="CB373" s="155" t="str">
        <f t="shared" si="318"/>
        <v/>
      </c>
      <c r="CC373" s="155" t="str">
        <f t="shared" si="319"/>
        <v/>
      </c>
      <c r="CD373" s="155" t="str">
        <f t="shared" si="320"/>
        <v/>
      </c>
      <c r="CE373" s="155" t="str">
        <f t="shared" si="321"/>
        <v/>
      </c>
      <c r="CF373" s="155" t="str">
        <f t="shared" si="322"/>
        <v/>
      </c>
      <c r="CG373" s="155" t="str">
        <f t="shared" si="323"/>
        <v/>
      </c>
      <c r="CH373" s="155" t="str">
        <f t="shared" si="324"/>
        <v/>
      </c>
      <c r="CI373" s="155" t="str">
        <f t="shared" si="325"/>
        <v/>
      </c>
      <c r="CJ373" s="155" t="str">
        <f t="shared" si="326"/>
        <v/>
      </c>
      <c r="CK373" s="155" t="str">
        <f t="shared" si="327"/>
        <v/>
      </c>
      <c r="CL373" s="155" t="str">
        <f t="shared" si="328"/>
        <v/>
      </c>
      <c r="CM373" s="155" t="str">
        <f t="shared" si="329"/>
        <v/>
      </c>
      <c r="CN373" s="155" t="str">
        <f t="shared" si="330"/>
        <v/>
      </c>
      <c r="CO373" s="155" t="str">
        <f t="shared" si="331"/>
        <v/>
      </c>
      <c r="CP373" s="155" t="str">
        <f t="shared" si="332"/>
        <v/>
      </c>
      <c r="CQ373" s="155" t="str">
        <f t="shared" si="333"/>
        <v/>
      </c>
      <c r="CR373" s="155" t="str">
        <f t="shared" si="334"/>
        <v/>
      </c>
      <c r="CS373" s="155" t="str">
        <f t="shared" si="335"/>
        <v/>
      </c>
      <c r="CT373" s="155" t="str">
        <f t="shared" si="336"/>
        <v/>
      </c>
      <c r="CU373" s="155" t="str">
        <f t="shared" si="337"/>
        <v/>
      </c>
      <c r="CV373" s="155" t="str">
        <f t="shared" si="338"/>
        <v/>
      </c>
      <c r="CW373" s="155" t="str">
        <f t="shared" si="339"/>
        <v/>
      </c>
      <c r="CX373" s="155" t="str">
        <f t="shared" si="340"/>
        <v/>
      </c>
    </row>
    <row r="374" spans="1:102" ht="25.5" x14ac:dyDescent="0.2">
      <c r="A374" s="182"/>
      <c r="B374" s="157" t="str">
        <f>Services!B374</f>
        <v>14C01</v>
      </c>
      <c r="C374" s="153" t="str">
        <f>Services!C374</f>
        <v>Contrôle de l'exécution des procédures et des mesures de sécurité</v>
      </c>
      <c r="D374" s="149"/>
      <c r="E374" s="149"/>
      <c r="F374" s="149"/>
      <c r="G374" s="149"/>
      <c r="H374" s="149"/>
      <c r="I374" s="140" t="str">
        <f t="shared" si="341"/>
        <v/>
      </c>
      <c r="J374" s="141" t="str">
        <f t="shared" si="298"/>
        <v/>
      </c>
      <c r="K374" s="142"/>
      <c r="L374" s="142"/>
      <c r="M374" s="1708"/>
      <c r="N374" s="1708"/>
      <c r="O374" s="1708"/>
      <c r="P374" s="1708"/>
      <c r="Q374" s="1708"/>
      <c r="R374" s="1708"/>
      <c r="S374" s="1708"/>
      <c r="T374" s="1708"/>
      <c r="U374" s="1708"/>
      <c r="V374" s="1708"/>
      <c r="W374" s="1708"/>
      <c r="X374" s="1709"/>
      <c r="Y374" s="1709"/>
      <c r="Z374" s="1709"/>
      <c r="AA374" s="1709"/>
      <c r="AB374" s="1709"/>
      <c r="AC374" s="1709"/>
      <c r="AD374" s="1709"/>
      <c r="AE374" s="1709"/>
      <c r="AF374" s="1709"/>
      <c r="AG374" s="1709"/>
      <c r="AH374" s="1709"/>
      <c r="AI374" s="1709"/>
      <c r="AJ374" s="1709"/>
      <c r="AK374" s="1709"/>
      <c r="AL374" s="1709"/>
      <c r="AM374" s="1709"/>
      <c r="AN374" s="1709"/>
      <c r="AO374" s="1709"/>
      <c r="AP374" s="1709"/>
      <c r="AQ374" s="1709"/>
      <c r="AR374" s="1709"/>
      <c r="AS374" s="1709"/>
      <c r="AT374" s="1709"/>
      <c r="AU374" s="1709"/>
      <c r="AV374" s="1709"/>
      <c r="AW374" s="1709"/>
      <c r="AX374" s="1710"/>
      <c r="AY374" s="1714" t="str">
        <f t="shared" si="299"/>
        <v/>
      </c>
      <c r="AZ374" s="1714" t="str">
        <f>IF(Obj_PA!D374="","",IF(AY374="","",Obj_PA!D374-AY374))</f>
        <v/>
      </c>
      <c r="BK374" s="155" t="str">
        <f t="shared" si="301"/>
        <v/>
      </c>
      <c r="BL374" s="155" t="str">
        <f t="shared" si="302"/>
        <v/>
      </c>
      <c r="BM374" s="155" t="str">
        <f t="shared" si="303"/>
        <v/>
      </c>
      <c r="BN374" s="155" t="str">
        <f t="shared" si="304"/>
        <v/>
      </c>
      <c r="BO374" s="155" t="str">
        <f t="shared" si="305"/>
        <v/>
      </c>
      <c r="BP374" s="155" t="str">
        <f t="shared" si="306"/>
        <v/>
      </c>
      <c r="BQ374" s="155" t="str">
        <f t="shared" si="307"/>
        <v/>
      </c>
      <c r="BR374" s="155" t="str">
        <f t="shared" si="308"/>
        <v/>
      </c>
      <c r="BS374" s="155" t="str">
        <f t="shared" si="309"/>
        <v/>
      </c>
      <c r="BT374" s="155" t="str">
        <f t="shared" si="310"/>
        <v/>
      </c>
      <c r="BU374" s="155" t="str">
        <f t="shared" si="311"/>
        <v/>
      </c>
      <c r="BV374" s="155" t="str">
        <f t="shared" si="312"/>
        <v/>
      </c>
      <c r="BW374" s="155" t="str">
        <f t="shared" si="313"/>
        <v/>
      </c>
      <c r="BX374" s="155" t="str">
        <f t="shared" si="314"/>
        <v/>
      </c>
      <c r="BY374" s="155" t="str">
        <f t="shared" si="315"/>
        <v/>
      </c>
      <c r="BZ374" s="155" t="str">
        <f t="shared" si="316"/>
        <v/>
      </c>
      <c r="CA374" s="155" t="str">
        <f t="shared" si="317"/>
        <v/>
      </c>
      <c r="CB374" s="155" t="str">
        <f t="shared" si="318"/>
        <v/>
      </c>
      <c r="CC374" s="155" t="str">
        <f t="shared" si="319"/>
        <v/>
      </c>
      <c r="CD374" s="155" t="str">
        <f t="shared" si="320"/>
        <v/>
      </c>
      <c r="CE374" s="155" t="str">
        <f t="shared" si="321"/>
        <v/>
      </c>
      <c r="CF374" s="155" t="str">
        <f t="shared" si="322"/>
        <v/>
      </c>
      <c r="CG374" s="155" t="str">
        <f t="shared" si="323"/>
        <v/>
      </c>
      <c r="CH374" s="155" t="str">
        <f t="shared" si="324"/>
        <v/>
      </c>
      <c r="CI374" s="155" t="str">
        <f t="shared" si="325"/>
        <v/>
      </c>
      <c r="CJ374" s="155" t="str">
        <f t="shared" si="326"/>
        <v/>
      </c>
      <c r="CK374" s="155" t="str">
        <f t="shared" si="327"/>
        <v/>
      </c>
      <c r="CL374" s="155" t="str">
        <f t="shared" si="328"/>
        <v/>
      </c>
      <c r="CM374" s="155" t="str">
        <f t="shared" si="329"/>
        <v/>
      </c>
      <c r="CN374" s="155" t="str">
        <f t="shared" si="330"/>
        <v/>
      </c>
      <c r="CO374" s="155" t="str">
        <f t="shared" si="331"/>
        <v/>
      </c>
      <c r="CP374" s="155" t="str">
        <f t="shared" si="332"/>
        <v/>
      </c>
      <c r="CQ374" s="155" t="str">
        <f t="shared" si="333"/>
        <v/>
      </c>
      <c r="CR374" s="155" t="str">
        <f t="shared" si="334"/>
        <v/>
      </c>
      <c r="CS374" s="155" t="str">
        <f t="shared" si="335"/>
        <v/>
      </c>
      <c r="CT374" s="155" t="str">
        <f t="shared" si="336"/>
        <v/>
      </c>
      <c r="CU374" s="155" t="str">
        <f t="shared" si="337"/>
        <v/>
      </c>
      <c r="CV374" s="155" t="str">
        <f t="shared" si="338"/>
        <v/>
      </c>
      <c r="CW374" s="155" t="str">
        <f t="shared" si="339"/>
        <v/>
      </c>
      <c r="CX374" s="155" t="str">
        <f t="shared" si="340"/>
        <v/>
      </c>
    </row>
    <row r="375" spans="1:102" ht="14.25" x14ac:dyDescent="0.2">
      <c r="A375" s="182"/>
      <c r="B375" s="157" t="str">
        <f>Services!B375</f>
        <v>14C02</v>
      </c>
      <c r="C375" s="153" t="str">
        <f>Services!C375</f>
        <v>Pilotage du programme d'audit</v>
      </c>
      <c r="D375" s="149"/>
      <c r="E375" s="149"/>
      <c r="F375" s="149"/>
      <c r="G375" s="149"/>
      <c r="H375" s="149"/>
      <c r="I375" s="140" t="str">
        <f t="shared" si="341"/>
        <v/>
      </c>
      <c r="J375" s="141" t="str">
        <f t="shared" si="298"/>
        <v/>
      </c>
      <c r="K375" s="142"/>
      <c r="L375" s="142"/>
      <c r="M375" s="1708"/>
      <c r="N375" s="1708"/>
      <c r="O375" s="1708"/>
      <c r="P375" s="1708"/>
      <c r="Q375" s="1708"/>
      <c r="R375" s="1708"/>
      <c r="S375" s="1708"/>
      <c r="T375" s="1708"/>
      <c r="U375" s="1708"/>
      <c r="V375" s="1708"/>
      <c r="W375" s="1708"/>
      <c r="X375" s="1709"/>
      <c r="Y375" s="1709"/>
      <c r="Z375" s="1709"/>
      <c r="AA375" s="1709"/>
      <c r="AB375" s="1709"/>
      <c r="AC375" s="1709"/>
      <c r="AD375" s="1709"/>
      <c r="AE375" s="1709"/>
      <c r="AF375" s="1709"/>
      <c r="AG375" s="1709"/>
      <c r="AH375" s="1709"/>
      <c r="AI375" s="1709"/>
      <c r="AJ375" s="1709"/>
      <c r="AK375" s="1709"/>
      <c r="AL375" s="1709"/>
      <c r="AM375" s="1709"/>
      <c r="AN375" s="1709"/>
      <c r="AO375" s="1709"/>
      <c r="AP375" s="1709"/>
      <c r="AQ375" s="1709"/>
      <c r="AR375" s="1709"/>
      <c r="AS375" s="1709"/>
      <c r="AT375" s="1709"/>
      <c r="AU375" s="1709"/>
      <c r="AV375" s="1709"/>
      <c r="AW375" s="1709"/>
      <c r="AX375" s="1710"/>
      <c r="AY375" s="1714" t="str">
        <f t="shared" si="299"/>
        <v/>
      </c>
      <c r="AZ375" s="1714" t="str">
        <f>IF(Obj_PA!D375="","",IF(AY375="","",Obj_PA!D375-AY375))</f>
        <v/>
      </c>
      <c r="BK375" s="155" t="str">
        <f t="shared" si="301"/>
        <v/>
      </c>
      <c r="BL375" s="155" t="str">
        <f t="shared" si="302"/>
        <v/>
      </c>
      <c r="BM375" s="155" t="str">
        <f t="shared" si="303"/>
        <v/>
      </c>
      <c r="BN375" s="155" t="str">
        <f t="shared" si="304"/>
        <v/>
      </c>
      <c r="BO375" s="155" t="str">
        <f t="shared" si="305"/>
        <v/>
      </c>
      <c r="BP375" s="155" t="str">
        <f t="shared" si="306"/>
        <v/>
      </c>
      <c r="BQ375" s="155" t="str">
        <f t="shared" si="307"/>
        <v/>
      </c>
      <c r="BR375" s="155" t="str">
        <f t="shared" si="308"/>
        <v/>
      </c>
      <c r="BS375" s="155" t="str">
        <f t="shared" si="309"/>
        <v/>
      </c>
      <c r="BT375" s="155" t="str">
        <f t="shared" si="310"/>
        <v/>
      </c>
      <c r="BU375" s="155" t="str">
        <f t="shared" si="311"/>
        <v/>
      </c>
      <c r="BV375" s="155" t="str">
        <f t="shared" si="312"/>
        <v/>
      </c>
      <c r="BW375" s="155" t="str">
        <f t="shared" si="313"/>
        <v/>
      </c>
      <c r="BX375" s="155" t="str">
        <f t="shared" si="314"/>
        <v/>
      </c>
      <c r="BY375" s="155" t="str">
        <f t="shared" si="315"/>
        <v/>
      </c>
      <c r="BZ375" s="155" t="str">
        <f t="shared" si="316"/>
        <v/>
      </c>
      <c r="CA375" s="155" t="str">
        <f t="shared" si="317"/>
        <v/>
      </c>
      <c r="CB375" s="155" t="str">
        <f t="shared" si="318"/>
        <v/>
      </c>
      <c r="CC375" s="155" t="str">
        <f t="shared" si="319"/>
        <v/>
      </c>
      <c r="CD375" s="155" t="str">
        <f t="shared" si="320"/>
        <v/>
      </c>
      <c r="CE375" s="155" t="str">
        <f t="shared" si="321"/>
        <v/>
      </c>
      <c r="CF375" s="155" t="str">
        <f t="shared" si="322"/>
        <v/>
      </c>
      <c r="CG375" s="155" t="str">
        <f t="shared" si="323"/>
        <v/>
      </c>
      <c r="CH375" s="155" t="str">
        <f t="shared" si="324"/>
        <v/>
      </c>
      <c r="CI375" s="155" t="str">
        <f t="shared" si="325"/>
        <v/>
      </c>
      <c r="CJ375" s="155" t="str">
        <f t="shared" si="326"/>
        <v/>
      </c>
      <c r="CK375" s="155" t="str">
        <f t="shared" si="327"/>
        <v/>
      </c>
      <c r="CL375" s="155" t="str">
        <f t="shared" si="328"/>
        <v/>
      </c>
      <c r="CM375" s="155" t="str">
        <f t="shared" si="329"/>
        <v/>
      </c>
      <c r="CN375" s="155" t="str">
        <f t="shared" si="330"/>
        <v/>
      </c>
      <c r="CO375" s="155" t="str">
        <f t="shared" si="331"/>
        <v/>
      </c>
      <c r="CP375" s="155" t="str">
        <f t="shared" si="332"/>
        <v/>
      </c>
      <c r="CQ375" s="155" t="str">
        <f t="shared" si="333"/>
        <v/>
      </c>
      <c r="CR375" s="155" t="str">
        <f t="shared" si="334"/>
        <v/>
      </c>
      <c r="CS375" s="155" t="str">
        <f t="shared" si="335"/>
        <v/>
      </c>
      <c r="CT375" s="155" t="str">
        <f t="shared" si="336"/>
        <v/>
      </c>
      <c r="CU375" s="155" t="str">
        <f t="shared" si="337"/>
        <v/>
      </c>
      <c r="CV375" s="155" t="str">
        <f t="shared" si="338"/>
        <v/>
      </c>
      <c r="CW375" s="155" t="str">
        <f t="shared" si="339"/>
        <v/>
      </c>
      <c r="CX375" s="155" t="str">
        <f t="shared" si="340"/>
        <v/>
      </c>
    </row>
    <row r="376" spans="1:102" ht="14.25" x14ac:dyDescent="0.2">
      <c r="A376" s="182"/>
      <c r="B376" s="157" t="str">
        <f>Services!B376</f>
        <v>14C03</v>
      </c>
      <c r="C376" s="153" t="str">
        <f>Services!C376</f>
        <v xml:space="preserve">Revue des risques et des mesures de sécurité </v>
      </c>
      <c r="D376" s="149"/>
      <c r="E376" s="149"/>
      <c r="F376" s="149"/>
      <c r="G376" s="149"/>
      <c r="H376" s="149"/>
      <c r="I376" s="140" t="str">
        <f t="shared" si="341"/>
        <v/>
      </c>
      <c r="J376" s="141" t="str">
        <f t="shared" si="298"/>
        <v/>
      </c>
      <c r="K376" s="142"/>
      <c r="L376" s="142"/>
      <c r="M376" s="1708"/>
      <c r="N376" s="1708"/>
      <c r="O376" s="1708"/>
      <c r="P376" s="1708"/>
      <c r="Q376" s="1708"/>
      <c r="R376" s="1708"/>
      <c r="S376" s="1708"/>
      <c r="T376" s="1708"/>
      <c r="U376" s="1708"/>
      <c r="V376" s="1708"/>
      <c r="W376" s="1708"/>
      <c r="X376" s="1709"/>
      <c r="Y376" s="1709"/>
      <c r="Z376" s="1709"/>
      <c r="AA376" s="1709"/>
      <c r="AB376" s="1709"/>
      <c r="AC376" s="1709"/>
      <c r="AD376" s="1709"/>
      <c r="AE376" s="1709"/>
      <c r="AF376" s="1709"/>
      <c r="AG376" s="1709"/>
      <c r="AH376" s="1709"/>
      <c r="AI376" s="1709"/>
      <c r="AJ376" s="1709"/>
      <c r="AK376" s="1709"/>
      <c r="AL376" s="1709"/>
      <c r="AM376" s="1709"/>
      <c r="AN376" s="1709"/>
      <c r="AO376" s="1709"/>
      <c r="AP376" s="1709"/>
      <c r="AQ376" s="1709"/>
      <c r="AR376" s="1709"/>
      <c r="AS376" s="1709"/>
      <c r="AT376" s="1709"/>
      <c r="AU376" s="1709"/>
      <c r="AV376" s="1709"/>
      <c r="AW376" s="1709"/>
      <c r="AX376" s="1710"/>
      <c r="AY376" s="1714" t="str">
        <f t="shared" si="299"/>
        <v/>
      </c>
      <c r="AZ376" s="1714" t="str">
        <f>IF(Obj_PA!D376="","",IF(AY376="","",Obj_PA!D376-AY376))</f>
        <v/>
      </c>
      <c r="BK376" s="155" t="str">
        <f t="shared" si="301"/>
        <v/>
      </c>
      <c r="BL376" s="155" t="str">
        <f t="shared" si="302"/>
        <v/>
      </c>
      <c r="BM376" s="155" t="str">
        <f t="shared" si="303"/>
        <v/>
      </c>
      <c r="BN376" s="155" t="str">
        <f t="shared" si="304"/>
        <v/>
      </c>
      <c r="BO376" s="155" t="str">
        <f t="shared" si="305"/>
        <v/>
      </c>
      <c r="BP376" s="155" t="str">
        <f t="shared" si="306"/>
        <v/>
      </c>
      <c r="BQ376" s="155" t="str">
        <f t="shared" si="307"/>
        <v/>
      </c>
      <c r="BR376" s="155" t="str">
        <f t="shared" si="308"/>
        <v/>
      </c>
      <c r="BS376" s="155" t="str">
        <f t="shared" si="309"/>
        <v/>
      </c>
      <c r="BT376" s="155" t="str">
        <f t="shared" si="310"/>
        <v/>
      </c>
      <c r="BU376" s="155" t="str">
        <f t="shared" si="311"/>
        <v/>
      </c>
      <c r="BV376" s="155" t="str">
        <f t="shared" si="312"/>
        <v/>
      </c>
      <c r="BW376" s="155" t="str">
        <f t="shared" si="313"/>
        <v/>
      </c>
      <c r="BX376" s="155" t="str">
        <f t="shared" si="314"/>
        <v/>
      </c>
      <c r="BY376" s="155" t="str">
        <f t="shared" si="315"/>
        <v/>
      </c>
      <c r="BZ376" s="155" t="str">
        <f t="shared" si="316"/>
        <v/>
      </c>
      <c r="CA376" s="155" t="str">
        <f t="shared" si="317"/>
        <v/>
      </c>
      <c r="CB376" s="155" t="str">
        <f t="shared" si="318"/>
        <v/>
      </c>
      <c r="CC376" s="155" t="str">
        <f t="shared" si="319"/>
        <v/>
      </c>
      <c r="CD376" s="155" t="str">
        <f t="shared" si="320"/>
        <v/>
      </c>
      <c r="CE376" s="155" t="str">
        <f t="shared" si="321"/>
        <v/>
      </c>
      <c r="CF376" s="155" t="str">
        <f t="shared" si="322"/>
        <v/>
      </c>
      <c r="CG376" s="155" t="str">
        <f t="shared" si="323"/>
        <v/>
      </c>
      <c r="CH376" s="155" t="str">
        <f t="shared" si="324"/>
        <v/>
      </c>
      <c r="CI376" s="155" t="str">
        <f t="shared" si="325"/>
        <v/>
      </c>
      <c r="CJ376" s="155" t="str">
        <f t="shared" si="326"/>
        <v/>
      </c>
      <c r="CK376" s="155" t="str">
        <f t="shared" si="327"/>
        <v/>
      </c>
      <c r="CL376" s="155" t="str">
        <f t="shared" si="328"/>
        <v/>
      </c>
      <c r="CM376" s="155" t="str">
        <f t="shared" si="329"/>
        <v/>
      </c>
      <c r="CN376" s="155" t="str">
        <f t="shared" si="330"/>
        <v/>
      </c>
      <c r="CO376" s="155" t="str">
        <f t="shared" si="331"/>
        <v/>
      </c>
      <c r="CP376" s="155" t="str">
        <f t="shared" si="332"/>
        <v/>
      </c>
      <c r="CQ376" s="155" t="str">
        <f t="shared" si="333"/>
        <v/>
      </c>
      <c r="CR376" s="155" t="str">
        <f t="shared" si="334"/>
        <v/>
      </c>
      <c r="CS376" s="155" t="str">
        <f t="shared" si="335"/>
        <v/>
      </c>
      <c r="CT376" s="155" t="str">
        <f t="shared" si="336"/>
        <v/>
      </c>
      <c r="CU376" s="155" t="str">
        <f t="shared" si="337"/>
        <v/>
      </c>
      <c r="CV376" s="155" t="str">
        <f t="shared" si="338"/>
        <v/>
      </c>
      <c r="CW376" s="155" t="str">
        <f t="shared" si="339"/>
        <v/>
      </c>
      <c r="CX376" s="155" t="str">
        <f t="shared" si="340"/>
        <v/>
      </c>
    </row>
    <row r="377" spans="1:102" ht="14.25" x14ac:dyDescent="0.2">
      <c r="A377" s="182"/>
      <c r="B377" s="147" t="str">
        <f>Services!B377</f>
        <v>14D</v>
      </c>
      <c r="C377" s="148" t="str">
        <f>Services!C377</f>
        <v>Amélioration du système de management</v>
      </c>
      <c r="D377" s="149"/>
      <c r="E377" s="149"/>
      <c r="F377" s="149"/>
      <c r="G377" s="149"/>
      <c r="H377" s="149"/>
      <c r="I377" s="140" t="str">
        <f t="shared" si="341"/>
        <v/>
      </c>
      <c r="J377" s="141" t="str">
        <f t="shared" si="298"/>
        <v/>
      </c>
      <c r="K377" s="142"/>
      <c r="L377" s="142"/>
      <c r="M377" s="1708"/>
      <c r="N377" s="1708"/>
      <c r="O377" s="1708"/>
      <c r="P377" s="1708"/>
      <c r="Q377" s="1708"/>
      <c r="R377" s="1708"/>
      <c r="S377" s="1708"/>
      <c r="T377" s="1708"/>
      <c r="U377" s="1708"/>
      <c r="V377" s="1708"/>
      <c r="W377" s="1708"/>
      <c r="X377" s="1709"/>
      <c r="Y377" s="1709"/>
      <c r="Z377" s="1709"/>
      <c r="AA377" s="1709"/>
      <c r="AB377" s="1709"/>
      <c r="AC377" s="1709"/>
      <c r="AD377" s="1709"/>
      <c r="AE377" s="1709"/>
      <c r="AF377" s="1709"/>
      <c r="AG377" s="1709"/>
      <c r="AH377" s="1709"/>
      <c r="AI377" s="1709"/>
      <c r="AJ377" s="1709"/>
      <c r="AK377" s="1709"/>
      <c r="AL377" s="1709"/>
      <c r="AM377" s="1709"/>
      <c r="AN377" s="1709"/>
      <c r="AO377" s="1709"/>
      <c r="AP377" s="1709"/>
      <c r="AQ377" s="1709"/>
      <c r="AR377" s="1709"/>
      <c r="AS377" s="1709"/>
      <c r="AT377" s="1709"/>
      <c r="AU377" s="1709"/>
      <c r="AV377" s="1709"/>
      <c r="AW377" s="1709"/>
      <c r="AX377" s="1710"/>
      <c r="AY377" s="1714" t="str">
        <f t="shared" si="299"/>
        <v/>
      </c>
      <c r="AZ377" s="1714" t="str">
        <f>IF(Obj_PA!D377="","",IF(AY377="","",Obj_PA!D377-AY377))</f>
        <v/>
      </c>
      <c r="BK377" s="155" t="str">
        <f t="shared" si="301"/>
        <v/>
      </c>
      <c r="BL377" s="155" t="str">
        <f t="shared" si="302"/>
        <v/>
      </c>
      <c r="BM377" s="155" t="str">
        <f t="shared" si="303"/>
        <v/>
      </c>
      <c r="BN377" s="155" t="str">
        <f t="shared" si="304"/>
        <v/>
      </c>
      <c r="BO377" s="155" t="str">
        <f t="shared" si="305"/>
        <v/>
      </c>
      <c r="BP377" s="155" t="str">
        <f t="shared" si="306"/>
        <v/>
      </c>
      <c r="BQ377" s="155" t="str">
        <f t="shared" si="307"/>
        <v/>
      </c>
      <c r="BR377" s="155" t="str">
        <f t="shared" si="308"/>
        <v/>
      </c>
      <c r="BS377" s="155" t="str">
        <f t="shared" si="309"/>
        <v/>
      </c>
      <c r="BT377" s="155" t="str">
        <f t="shared" si="310"/>
        <v/>
      </c>
      <c r="BU377" s="155" t="str">
        <f t="shared" si="311"/>
        <v/>
      </c>
      <c r="BV377" s="155" t="str">
        <f t="shared" si="312"/>
        <v/>
      </c>
      <c r="BW377" s="155" t="str">
        <f t="shared" si="313"/>
        <v/>
      </c>
      <c r="BX377" s="155" t="str">
        <f t="shared" si="314"/>
        <v/>
      </c>
      <c r="BY377" s="155" t="str">
        <f t="shared" si="315"/>
        <v/>
      </c>
      <c r="BZ377" s="155" t="str">
        <f t="shared" si="316"/>
        <v/>
      </c>
      <c r="CA377" s="155" t="str">
        <f t="shared" si="317"/>
        <v/>
      </c>
      <c r="CB377" s="155" t="str">
        <f t="shared" si="318"/>
        <v/>
      </c>
      <c r="CC377" s="155" t="str">
        <f t="shared" si="319"/>
        <v/>
      </c>
      <c r="CD377" s="155" t="str">
        <f t="shared" si="320"/>
        <v/>
      </c>
      <c r="CE377" s="155" t="str">
        <f t="shared" si="321"/>
        <v/>
      </c>
      <c r="CF377" s="155" t="str">
        <f t="shared" si="322"/>
        <v/>
      </c>
      <c r="CG377" s="155" t="str">
        <f t="shared" si="323"/>
        <v/>
      </c>
      <c r="CH377" s="155" t="str">
        <f t="shared" si="324"/>
        <v/>
      </c>
      <c r="CI377" s="155" t="str">
        <f t="shared" si="325"/>
        <v/>
      </c>
      <c r="CJ377" s="155" t="str">
        <f t="shared" si="326"/>
        <v/>
      </c>
      <c r="CK377" s="155" t="str">
        <f t="shared" si="327"/>
        <v/>
      </c>
      <c r="CL377" s="155" t="str">
        <f t="shared" si="328"/>
        <v/>
      </c>
      <c r="CM377" s="155" t="str">
        <f t="shared" si="329"/>
        <v/>
      </c>
      <c r="CN377" s="155" t="str">
        <f t="shared" si="330"/>
        <v/>
      </c>
      <c r="CO377" s="155" t="str">
        <f t="shared" si="331"/>
        <v/>
      </c>
      <c r="CP377" s="155" t="str">
        <f t="shared" si="332"/>
        <v/>
      </c>
      <c r="CQ377" s="155" t="str">
        <f t="shared" si="333"/>
        <v/>
      </c>
      <c r="CR377" s="155" t="str">
        <f t="shared" si="334"/>
        <v/>
      </c>
      <c r="CS377" s="155" t="str">
        <f t="shared" si="335"/>
        <v/>
      </c>
      <c r="CT377" s="155" t="str">
        <f t="shared" si="336"/>
        <v/>
      </c>
      <c r="CU377" s="155" t="str">
        <f t="shared" si="337"/>
        <v/>
      </c>
      <c r="CV377" s="155" t="str">
        <f t="shared" si="338"/>
        <v/>
      </c>
      <c r="CW377" s="155" t="str">
        <f t="shared" si="339"/>
        <v/>
      </c>
      <c r="CX377" s="155" t="str">
        <f t="shared" si="340"/>
        <v/>
      </c>
    </row>
    <row r="378" spans="1:102" ht="14.25" x14ac:dyDescent="0.2">
      <c r="A378" s="182"/>
      <c r="B378" s="157" t="str">
        <f>Services!B378</f>
        <v>14D01</v>
      </c>
      <c r="C378" s="153" t="str">
        <f>Services!C378</f>
        <v xml:space="preserve">Amélioration continue </v>
      </c>
      <c r="D378" s="149"/>
      <c r="E378" s="149"/>
      <c r="F378" s="149"/>
      <c r="G378" s="149"/>
      <c r="H378" s="149"/>
      <c r="I378" s="140" t="str">
        <f t="shared" si="341"/>
        <v/>
      </c>
      <c r="J378" s="141" t="str">
        <f t="shared" si="298"/>
        <v/>
      </c>
      <c r="K378" s="142"/>
      <c r="L378" s="142"/>
      <c r="M378" s="1708"/>
      <c r="N378" s="1708"/>
      <c r="O378" s="1708"/>
      <c r="P378" s="1708"/>
      <c r="Q378" s="1708"/>
      <c r="R378" s="1708"/>
      <c r="S378" s="1708"/>
      <c r="T378" s="1708"/>
      <c r="U378" s="1708"/>
      <c r="V378" s="1708"/>
      <c r="W378" s="1708"/>
      <c r="X378" s="1709"/>
      <c r="Y378" s="1709"/>
      <c r="Z378" s="1709"/>
      <c r="AA378" s="1709"/>
      <c r="AB378" s="1709"/>
      <c r="AC378" s="1709"/>
      <c r="AD378" s="1709"/>
      <c r="AE378" s="1709"/>
      <c r="AF378" s="1709"/>
      <c r="AG378" s="1709"/>
      <c r="AH378" s="1709"/>
      <c r="AI378" s="1709"/>
      <c r="AJ378" s="1709"/>
      <c r="AK378" s="1709"/>
      <c r="AL378" s="1709"/>
      <c r="AM378" s="1709"/>
      <c r="AN378" s="1709"/>
      <c r="AO378" s="1709"/>
      <c r="AP378" s="1709"/>
      <c r="AQ378" s="1709"/>
      <c r="AR378" s="1709"/>
      <c r="AS378" s="1709"/>
      <c r="AT378" s="1709"/>
      <c r="AU378" s="1709"/>
      <c r="AV378" s="1709"/>
      <c r="AW378" s="1709"/>
      <c r="AX378" s="1710"/>
      <c r="AY378" s="1714" t="str">
        <f t="shared" si="299"/>
        <v/>
      </c>
      <c r="AZ378" s="1714" t="str">
        <f>IF(Obj_PA!D378="","",IF(AY378="","",Obj_PA!D378-AY378))</f>
        <v/>
      </c>
      <c r="BK378" s="155" t="str">
        <f t="shared" si="301"/>
        <v/>
      </c>
      <c r="BL378" s="155" t="str">
        <f t="shared" si="302"/>
        <v/>
      </c>
      <c r="BM378" s="155" t="str">
        <f t="shared" si="303"/>
        <v/>
      </c>
      <c r="BN378" s="155" t="str">
        <f t="shared" si="304"/>
        <v/>
      </c>
      <c r="BO378" s="155" t="str">
        <f t="shared" si="305"/>
        <v/>
      </c>
      <c r="BP378" s="155" t="str">
        <f t="shared" si="306"/>
        <v/>
      </c>
      <c r="BQ378" s="155" t="str">
        <f t="shared" si="307"/>
        <v/>
      </c>
      <c r="BR378" s="155" t="str">
        <f t="shared" si="308"/>
        <v/>
      </c>
      <c r="BS378" s="155" t="str">
        <f t="shared" si="309"/>
        <v/>
      </c>
      <c r="BT378" s="155" t="str">
        <f t="shared" si="310"/>
        <v/>
      </c>
      <c r="BU378" s="155" t="str">
        <f t="shared" si="311"/>
        <v/>
      </c>
      <c r="BV378" s="155" t="str">
        <f t="shared" si="312"/>
        <v/>
      </c>
      <c r="BW378" s="155" t="str">
        <f t="shared" si="313"/>
        <v/>
      </c>
      <c r="BX378" s="155" t="str">
        <f t="shared" si="314"/>
        <v/>
      </c>
      <c r="BY378" s="155" t="str">
        <f t="shared" si="315"/>
        <v/>
      </c>
      <c r="BZ378" s="155" t="str">
        <f t="shared" si="316"/>
        <v/>
      </c>
      <c r="CA378" s="155" t="str">
        <f t="shared" si="317"/>
        <v/>
      </c>
      <c r="CB378" s="155" t="str">
        <f t="shared" si="318"/>
        <v/>
      </c>
      <c r="CC378" s="155" t="str">
        <f t="shared" si="319"/>
        <v/>
      </c>
      <c r="CD378" s="155" t="str">
        <f t="shared" si="320"/>
        <v/>
      </c>
      <c r="CE378" s="155" t="str">
        <f t="shared" si="321"/>
        <v/>
      </c>
      <c r="CF378" s="155" t="str">
        <f t="shared" si="322"/>
        <v/>
      </c>
      <c r="CG378" s="155" t="str">
        <f t="shared" si="323"/>
        <v/>
      </c>
      <c r="CH378" s="155" t="str">
        <f t="shared" si="324"/>
        <v/>
      </c>
      <c r="CI378" s="155" t="str">
        <f t="shared" si="325"/>
        <v/>
      </c>
      <c r="CJ378" s="155" t="str">
        <f t="shared" si="326"/>
        <v/>
      </c>
      <c r="CK378" s="155" t="str">
        <f t="shared" si="327"/>
        <v/>
      </c>
      <c r="CL378" s="155" t="str">
        <f t="shared" si="328"/>
        <v/>
      </c>
      <c r="CM378" s="155" t="str">
        <f t="shared" si="329"/>
        <v/>
      </c>
      <c r="CN378" s="155" t="str">
        <f t="shared" si="330"/>
        <v/>
      </c>
      <c r="CO378" s="155" t="str">
        <f t="shared" si="331"/>
        <v/>
      </c>
      <c r="CP378" s="155" t="str">
        <f t="shared" si="332"/>
        <v/>
      </c>
      <c r="CQ378" s="155" t="str">
        <f t="shared" si="333"/>
        <v/>
      </c>
      <c r="CR378" s="155" t="str">
        <f t="shared" si="334"/>
        <v/>
      </c>
      <c r="CS378" s="155" t="str">
        <f t="shared" si="335"/>
        <v/>
      </c>
      <c r="CT378" s="155" t="str">
        <f t="shared" si="336"/>
        <v/>
      </c>
      <c r="CU378" s="155" t="str">
        <f t="shared" si="337"/>
        <v/>
      </c>
      <c r="CV378" s="155" t="str">
        <f t="shared" si="338"/>
        <v/>
      </c>
      <c r="CW378" s="155" t="str">
        <f t="shared" si="339"/>
        <v/>
      </c>
      <c r="CX378" s="155" t="str">
        <f t="shared" si="340"/>
        <v/>
      </c>
    </row>
    <row r="379" spans="1:102" ht="14.25" x14ac:dyDescent="0.2">
      <c r="A379" s="182"/>
      <c r="B379" s="157" t="str">
        <f>Services!B379</f>
        <v>14D02</v>
      </c>
      <c r="C379" s="153" t="str">
        <f>Services!C379</f>
        <v>Actions de correction des non-conformités</v>
      </c>
      <c r="D379" s="149"/>
      <c r="E379" s="149"/>
      <c r="F379" s="149"/>
      <c r="G379" s="149"/>
      <c r="H379" s="149"/>
      <c r="I379" s="140" t="str">
        <f t="shared" si="341"/>
        <v/>
      </c>
      <c r="J379" s="141" t="str">
        <f t="shared" si="298"/>
        <v/>
      </c>
      <c r="K379" s="142"/>
      <c r="L379" s="142"/>
      <c r="M379" s="1708"/>
      <c r="N379" s="1708"/>
      <c r="O379" s="1708"/>
      <c r="P379" s="1708"/>
      <c r="Q379" s="1708"/>
      <c r="R379" s="1708"/>
      <c r="S379" s="1708"/>
      <c r="T379" s="1708"/>
      <c r="U379" s="1708"/>
      <c r="V379" s="1708"/>
      <c r="W379" s="1708"/>
      <c r="X379" s="1709"/>
      <c r="Y379" s="1709"/>
      <c r="Z379" s="1709"/>
      <c r="AA379" s="1709"/>
      <c r="AB379" s="1709"/>
      <c r="AC379" s="1709"/>
      <c r="AD379" s="1709"/>
      <c r="AE379" s="1709"/>
      <c r="AF379" s="1709"/>
      <c r="AG379" s="1709"/>
      <c r="AH379" s="1709"/>
      <c r="AI379" s="1709"/>
      <c r="AJ379" s="1709"/>
      <c r="AK379" s="1709"/>
      <c r="AL379" s="1709"/>
      <c r="AM379" s="1709"/>
      <c r="AN379" s="1709"/>
      <c r="AO379" s="1709"/>
      <c r="AP379" s="1709"/>
      <c r="AQ379" s="1709"/>
      <c r="AR379" s="1709"/>
      <c r="AS379" s="1709"/>
      <c r="AT379" s="1709"/>
      <c r="AU379" s="1709"/>
      <c r="AV379" s="1709"/>
      <c r="AW379" s="1709"/>
      <c r="AX379" s="1710"/>
      <c r="AY379" s="1714" t="str">
        <f t="shared" si="299"/>
        <v/>
      </c>
      <c r="AZ379" s="1714" t="str">
        <f>IF(Obj_PA!D379="","",IF(AY379="","",Obj_PA!D379-AY379))</f>
        <v/>
      </c>
      <c r="BK379" s="155" t="str">
        <f t="shared" si="301"/>
        <v/>
      </c>
      <c r="BL379" s="155" t="str">
        <f t="shared" si="302"/>
        <v/>
      </c>
      <c r="BM379" s="155" t="str">
        <f t="shared" si="303"/>
        <v/>
      </c>
      <c r="BN379" s="155" t="str">
        <f t="shared" si="304"/>
        <v/>
      </c>
      <c r="BO379" s="155" t="str">
        <f t="shared" si="305"/>
        <v/>
      </c>
      <c r="BP379" s="155" t="str">
        <f t="shared" si="306"/>
        <v/>
      </c>
      <c r="BQ379" s="155" t="str">
        <f t="shared" si="307"/>
        <v/>
      </c>
      <c r="BR379" s="155" t="str">
        <f t="shared" si="308"/>
        <v/>
      </c>
      <c r="BS379" s="155" t="str">
        <f t="shared" si="309"/>
        <v/>
      </c>
      <c r="BT379" s="155" t="str">
        <f t="shared" si="310"/>
        <v/>
      </c>
      <c r="BU379" s="155" t="str">
        <f t="shared" si="311"/>
        <v/>
      </c>
      <c r="BV379" s="155" t="str">
        <f t="shared" si="312"/>
        <v/>
      </c>
      <c r="BW379" s="155" t="str">
        <f t="shared" si="313"/>
        <v/>
      </c>
      <c r="BX379" s="155" t="str">
        <f t="shared" si="314"/>
        <v/>
      </c>
      <c r="BY379" s="155" t="str">
        <f t="shared" si="315"/>
        <v/>
      </c>
      <c r="BZ379" s="155" t="str">
        <f t="shared" si="316"/>
        <v/>
      </c>
      <c r="CA379" s="155" t="str">
        <f t="shared" si="317"/>
        <v/>
      </c>
      <c r="CB379" s="155" t="str">
        <f t="shared" si="318"/>
        <v/>
      </c>
      <c r="CC379" s="155" t="str">
        <f t="shared" si="319"/>
        <v/>
      </c>
      <c r="CD379" s="155" t="str">
        <f t="shared" si="320"/>
        <v/>
      </c>
      <c r="CE379" s="155" t="str">
        <f t="shared" si="321"/>
        <v/>
      </c>
      <c r="CF379" s="155" t="str">
        <f t="shared" si="322"/>
        <v/>
      </c>
      <c r="CG379" s="155" t="str">
        <f t="shared" si="323"/>
        <v/>
      </c>
      <c r="CH379" s="155" t="str">
        <f t="shared" si="324"/>
        <v/>
      </c>
      <c r="CI379" s="155" t="str">
        <f t="shared" si="325"/>
        <v/>
      </c>
      <c r="CJ379" s="155" t="str">
        <f t="shared" si="326"/>
        <v/>
      </c>
      <c r="CK379" s="155" t="str">
        <f t="shared" si="327"/>
        <v/>
      </c>
      <c r="CL379" s="155" t="str">
        <f t="shared" si="328"/>
        <v/>
      </c>
      <c r="CM379" s="155" t="str">
        <f t="shared" si="329"/>
        <v/>
      </c>
      <c r="CN379" s="155" t="str">
        <f t="shared" si="330"/>
        <v/>
      </c>
      <c r="CO379" s="155" t="str">
        <f t="shared" si="331"/>
        <v/>
      </c>
      <c r="CP379" s="155" t="str">
        <f t="shared" si="332"/>
        <v/>
      </c>
      <c r="CQ379" s="155" t="str">
        <f t="shared" si="333"/>
        <v/>
      </c>
      <c r="CR379" s="155" t="str">
        <f t="shared" si="334"/>
        <v/>
      </c>
      <c r="CS379" s="155" t="str">
        <f t="shared" si="335"/>
        <v/>
      </c>
      <c r="CT379" s="155" t="str">
        <f t="shared" si="336"/>
        <v/>
      </c>
      <c r="CU379" s="155" t="str">
        <f t="shared" si="337"/>
        <v/>
      </c>
      <c r="CV379" s="155" t="str">
        <f t="shared" si="338"/>
        <v/>
      </c>
      <c r="CW379" s="155" t="str">
        <f t="shared" si="339"/>
        <v/>
      </c>
      <c r="CX379" s="155" t="str">
        <f t="shared" si="340"/>
        <v/>
      </c>
    </row>
    <row r="380" spans="1:102" ht="14.25" x14ac:dyDescent="0.2">
      <c r="A380" s="182"/>
      <c r="B380" s="157" t="str">
        <f>Services!B380</f>
        <v>14D03</v>
      </c>
      <c r="C380" s="153" t="str">
        <f>Services!C380</f>
        <v>Actions de prévention des non-conformités</v>
      </c>
      <c r="D380" s="149"/>
      <c r="E380" s="149"/>
      <c r="F380" s="149"/>
      <c r="G380" s="149"/>
      <c r="H380" s="149"/>
      <c r="I380" s="140" t="str">
        <f t="shared" si="341"/>
        <v/>
      </c>
      <c r="J380" s="141" t="str">
        <f t="shared" si="298"/>
        <v/>
      </c>
      <c r="K380" s="142"/>
      <c r="L380" s="142"/>
      <c r="M380" s="1708"/>
      <c r="N380" s="1708"/>
      <c r="O380" s="1708"/>
      <c r="P380" s="1708"/>
      <c r="Q380" s="1708"/>
      <c r="R380" s="1708"/>
      <c r="S380" s="1708"/>
      <c r="T380" s="1708"/>
      <c r="U380" s="1708"/>
      <c r="V380" s="1708"/>
      <c r="W380" s="1708"/>
      <c r="X380" s="1709"/>
      <c r="Y380" s="1709"/>
      <c r="Z380" s="1709"/>
      <c r="AA380" s="1709"/>
      <c r="AB380" s="1709"/>
      <c r="AC380" s="1709"/>
      <c r="AD380" s="1709"/>
      <c r="AE380" s="1709"/>
      <c r="AF380" s="1709"/>
      <c r="AG380" s="1709"/>
      <c r="AH380" s="1709"/>
      <c r="AI380" s="1709"/>
      <c r="AJ380" s="1709"/>
      <c r="AK380" s="1709"/>
      <c r="AL380" s="1709"/>
      <c r="AM380" s="1709"/>
      <c r="AN380" s="1709"/>
      <c r="AO380" s="1709"/>
      <c r="AP380" s="1709"/>
      <c r="AQ380" s="1709"/>
      <c r="AR380" s="1709"/>
      <c r="AS380" s="1709"/>
      <c r="AT380" s="1709"/>
      <c r="AU380" s="1709"/>
      <c r="AV380" s="1709"/>
      <c r="AW380" s="1709"/>
      <c r="AX380" s="1710"/>
      <c r="AY380" s="1714" t="str">
        <f t="shared" si="299"/>
        <v/>
      </c>
      <c r="AZ380" s="1714" t="str">
        <f>IF(Obj_PA!D380="","",IF(AY380="","",Obj_PA!D380-AY380))</f>
        <v/>
      </c>
      <c r="BK380" s="155" t="str">
        <f t="shared" si="301"/>
        <v/>
      </c>
      <c r="BL380" s="155" t="str">
        <f t="shared" si="302"/>
        <v/>
      </c>
      <c r="BM380" s="155" t="str">
        <f t="shared" si="303"/>
        <v/>
      </c>
      <c r="BN380" s="155" t="str">
        <f t="shared" si="304"/>
        <v/>
      </c>
      <c r="BO380" s="155" t="str">
        <f t="shared" si="305"/>
        <v/>
      </c>
      <c r="BP380" s="155" t="str">
        <f t="shared" si="306"/>
        <v/>
      </c>
      <c r="BQ380" s="155" t="str">
        <f t="shared" si="307"/>
        <v/>
      </c>
      <c r="BR380" s="155" t="str">
        <f t="shared" si="308"/>
        <v/>
      </c>
      <c r="BS380" s="155" t="str">
        <f t="shared" si="309"/>
        <v/>
      </c>
      <c r="BT380" s="155" t="str">
        <f t="shared" si="310"/>
        <v/>
      </c>
      <c r="BU380" s="155" t="str">
        <f t="shared" si="311"/>
        <v/>
      </c>
      <c r="BV380" s="155" t="str">
        <f t="shared" si="312"/>
        <v/>
      </c>
      <c r="BW380" s="155" t="str">
        <f t="shared" si="313"/>
        <v/>
      </c>
      <c r="BX380" s="155" t="str">
        <f t="shared" si="314"/>
        <v/>
      </c>
      <c r="BY380" s="155" t="str">
        <f t="shared" si="315"/>
        <v/>
      </c>
      <c r="BZ380" s="155" t="str">
        <f t="shared" si="316"/>
        <v/>
      </c>
      <c r="CA380" s="155" t="str">
        <f t="shared" si="317"/>
        <v/>
      </c>
      <c r="CB380" s="155" t="str">
        <f t="shared" si="318"/>
        <v/>
      </c>
      <c r="CC380" s="155" t="str">
        <f t="shared" si="319"/>
        <v/>
      </c>
      <c r="CD380" s="155" t="str">
        <f t="shared" si="320"/>
        <v/>
      </c>
      <c r="CE380" s="155" t="str">
        <f t="shared" si="321"/>
        <v/>
      </c>
      <c r="CF380" s="155" t="str">
        <f t="shared" si="322"/>
        <v/>
      </c>
      <c r="CG380" s="155" t="str">
        <f t="shared" si="323"/>
        <v/>
      </c>
      <c r="CH380" s="155" t="str">
        <f t="shared" si="324"/>
        <v/>
      </c>
      <c r="CI380" s="155" t="str">
        <f t="shared" si="325"/>
        <v/>
      </c>
      <c r="CJ380" s="155" t="str">
        <f t="shared" si="326"/>
        <v/>
      </c>
      <c r="CK380" s="155" t="str">
        <f t="shared" si="327"/>
        <v/>
      </c>
      <c r="CL380" s="155" t="str">
        <f t="shared" si="328"/>
        <v/>
      </c>
      <c r="CM380" s="155" t="str">
        <f t="shared" si="329"/>
        <v/>
      </c>
      <c r="CN380" s="155" t="str">
        <f t="shared" si="330"/>
        <v/>
      </c>
      <c r="CO380" s="155" t="str">
        <f t="shared" si="331"/>
        <v/>
      </c>
      <c r="CP380" s="155" t="str">
        <f t="shared" si="332"/>
        <v/>
      </c>
      <c r="CQ380" s="155" t="str">
        <f t="shared" si="333"/>
        <v/>
      </c>
      <c r="CR380" s="155" t="str">
        <f t="shared" si="334"/>
        <v/>
      </c>
      <c r="CS380" s="155" t="str">
        <f t="shared" si="335"/>
        <v/>
      </c>
      <c r="CT380" s="155" t="str">
        <f t="shared" si="336"/>
        <v/>
      </c>
      <c r="CU380" s="155" t="str">
        <f t="shared" si="337"/>
        <v/>
      </c>
      <c r="CV380" s="155" t="str">
        <f t="shared" si="338"/>
        <v/>
      </c>
      <c r="CW380" s="155" t="str">
        <f t="shared" si="339"/>
        <v/>
      </c>
      <c r="CX380" s="155" t="str">
        <f t="shared" si="340"/>
        <v/>
      </c>
    </row>
    <row r="381" spans="1:102" ht="14.25" x14ac:dyDescent="0.2">
      <c r="A381" s="182"/>
      <c r="B381" s="157" t="str">
        <f>Services!B381</f>
        <v>14D04</v>
      </c>
      <c r="C381" s="153" t="str">
        <f>Services!C381</f>
        <v>Communication vers les parties prenantes</v>
      </c>
      <c r="D381" s="149"/>
      <c r="E381" s="149"/>
      <c r="F381" s="149"/>
      <c r="G381" s="149"/>
      <c r="H381" s="149"/>
      <c r="I381" s="140" t="str">
        <f t="shared" si="341"/>
        <v/>
      </c>
      <c r="J381" s="141" t="str">
        <f t="shared" si="298"/>
        <v/>
      </c>
      <c r="K381" s="142"/>
      <c r="L381" s="142"/>
      <c r="M381" s="1708"/>
      <c r="N381" s="1708"/>
      <c r="O381" s="1708"/>
      <c r="P381" s="1708"/>
      <c r="Q381" s="1708"/>
      <c r="R381" s="1708"/>
      <c r="S381" s="1708"/>
      <c r="T381" s="1708"/>
      <c r="U381" s="1708"/>
      <c r="V381" s="1708"/>
      <c r="W381" s="1708"/>
      <c r="X381" s="1709"/>
      <c r="Y381" s="1709"/>
      <c r="Z381" s="1709"/>
      <c r="AA381" s="1709"/>
      <c r="AB381" s="1709"/>
      <c r="AC381" s="1709"/>
      <c r="AD381" s="1709"/>
      <c r="AE381" s="1709"/>
      <c r="AF381" s="1709"/>
      <c r="AG381" s="1709"/>
      <c r="AH381" s="1709"/>
      <c r="AI381" s="1709"/>
      <c r="AJ381" s="1709"/>
      <c r="AK381" s="1709"/>
      <c r="AL381" s="1709"/>
      <c r="AM381" s="1709"/>
      <c r="AN381" s="1709"/>
      <c r="AO381" s="1709"/>
      <c r="AP381" s="1709"/>
      <c r="AQ381" s="1709"/>
      <c r="AR381" s="1709"/>
      <c r="AS381" s="1709"/>
      <c r="AT381" s="1709"/>
      <c r="AU381" s="1709"/>
      <c r="AV381" s="1709"/>
      <c r="AW381" s="1709"/>
      <c r="AX381" s="1710"/>
      <c r="AY381" s="1714" t="str">
        <f t="shared" si="299"/>
        <v/>
      </c>
      <c r="AZ381" s="1714" t="str">
        <f>IF(Obj_PA!D381="","",IF(AY381="","",Obj_PA!D381-AY381))</f>
        <v/>
      </c>
      <c r="BK381" s="155" t="str">
        <f t="shared" si="301"/>
        <v/>
      </c>
      <c r="BL381" s="155" t="str">
        <f t="shared" si="302"/>
        <v/>
      </c>
      <c r="BM381" s="155" t="str">
        <f t="shared" si="303"/>
        <v/>
      </c>
      <c r="BN381" s="155" t="str">
        <f t="shared" si="304"/>
        <v/>
      </c>
      <c r="BO381" s="155" t="str">
        <f t="shared" si="305"/>
        <v/>
      </c>
      <c r="BP381" s="155" t="str">
        <f t="shared" si="306"/>
        <v/>
      </c>
      <c r="BQ381" s="155" t="str">
        <f t="shared" si="307"/>
        <v/>
      </c>
      <c r="BR381" s="155" t="str">
        <f t="shared" si="308"/>
        <v/>
      </c>
      <c r="BS381" s="155" t="str">
        <f t="shared" si="309"/>
        <v/>
      </c>
      <c r="BT381" s="155" t="str">
        <f t="shared" si="310"/>
        <v/>
      </c>
      <c r="BU381" s="155" t="str">
        <f t="shared" si="311"/>
        <v/>
      </c>
      <c r="BV381" s="155" t="str">
        <f t="shared" si="312"/>
        <v/>
      </c>
      <c r="BW381" s="155" t="str">
        <f t="shared" si="313"/>
        <v/>
      </c>
      <c r="BX381" s="155" t="str">
        <f t="shared" si="314"/>
        <v/>
      </c>
      <c r="BY381" s="155" t="str">
        <f t="shared" si="315"/>
        <v/>
      </c>
      <c r="BZ381" s="155" t="str">
        <f t="shared" si="316"/>
        <v/>
      </c>
      <c r="CA381" s="155" t="str">
        <f t="shared" si="317"/>
        <v/>
      </c>
      <c r="CB381" s="155" t="str">
        <f t="shared" si="318"/>
        <v/>
      </c>
      <c r="CC381" s="155" t="str">
        <f t="shared" si="319"/>
        <v/>
      </c>
      <c r="CD381" s="155" t="str">
        <f t="shared" si="320"/>
        <v/>
      </c>
      <c r="CE381" s="155" t="str">
        <f t="shared" si="321"/>
        <v/>
      </c>
      <c r="CF381" s="155" t="str">
        <f t="shared" si="322"/>
        <v/>
      </c>
      <c r="CG381" s="155" t="str">
        <f t="shared" si="323"/>
        <v/>
      </c>
      <c r="CH381" s="155" t="str">
        <f t="shared" si="324"/>
        <v/>
      </c>
      <c r="CI381" s="155" t="str">
        <f t="shared" si="325"/>
        <v/>
      </c>
      <c r="CJ381" s="155" t="str">
        <f t="shared" si="326"/>
        <v/>
      </c>
      <c r="CK381" s="155" t="str">
        <f t="shared" si="327"/>
        <v/>
      </c>
      <c r="CL381" s="155" t="str">
        <f t="shared" si="328"/>
        <v/>
      </c>
      <c r="CM381" s="155" t="str">
        <f t="shared" si="329"/>
        <v/>
      </c>
      <c r="CN381" s="155" t="str">
        <f t="shared" si="330"/>
        <v/>
      </c>
      <c r="CO381" s="155" t="str">
        <f t="shared" si="331"/>
        <v/>
      </c>
      <c r="CP381" s="155" t="str">
        <f t="shared" si="332"/>
        <v/>
      </c>
      <c r="CQ381" s="155" t="str">
        <f t="shared" si="333"/>
        <v/>
      </c>
      <c r="CR381" s="155" t="str">
        <f t="shared" si="334"/>
        <v/>
      </c>
      <c r="CS381" s="155" t="str">
        <f t="shared" si="335"/>
        <v/>
      </c>
      <c r="CT381" s="155" t="str">
        <f t="shared" si="336"/>
        <v/>
      </c>
      <c r="CU381" s="155" t="str">
        <f t="shared" si="337"/>
        <v/>
      </c>
      <c r="CV381" s="155" t="str">
        <f t="shared" si="338"/>
        <v/>
      </c>
      <c r="CW381" s="155" t="str">
        <f t="shared" si="339"/>
        <v/>
      </c>
      <c r="CX381" s="155" t="str">
        <f t="shared" si="340"/>
        <v/>
      </c>
    </row>
    <row r="382" spans="1:102" ht="14.25" x14ac:dyDescent="0.2">
      <c r="A382" s="182"/>
      <c r="B382" s="147" t="str">
        <f>Services!B382</f>
        <v>14E</v>
      </c>
      <c r="C382" s="148" t="str">
        <f>Services!C382</f>
        <v>Documentation</v>
      </c>
      <c r="D382" s="149"/>
      <c r="E382" s="149"/>
      <c r="F382" s="149"/>
      <c r="G382" s="149"/>
      <c r="H382" s="149"/>
      <c r="I382" s="140" t="str">
        <f t="shared" si="341"/>
        <v/>
      </c>
      <c r="J382" s="141" t="str">
        <f t="shared" si="298"/>
        <v/>
      </c>
      <c r="K382" s="142"/>
      <c r="L382" s="142"/>
      <c r="M382" s="1708"/>
      <c r="N382" s="1708"/>
      <c r="O382" s="1708"/>
      <c r="P382" s="1708"/>
      <c r="Q382" s="1708"/>
      <c r="R382" s="1708"/>
      <c r="S382" s="1708"/>
      <c r="T382" s="1708"/>
      <c r="U382" s="1708"/>
      <c r="V382" s="1708"/>
      <c r="W382" s="1708"/>
      <c r="X382" s="1709"/>
      <c r="Y382" s="1709"/>
      <c r="Z382" s="1709"/>
      <c r="AA382" s="1709"/>
      <c r="AB382" s="1709"/>
      <c r="AC382" s="1709"/>
      <c r="AD382" s="1709"/>
      <c r="AE382" s="1709"/>
      <c r="AF382" s="1709"/>
      <c r="AG382" s="1709"/>
      <c r="AH382" s="1709"/>
      <c r="AI382" s="1709"/>
      <c r="AJ382" s="1709"/>
      <c r="AK382" s="1709"/>
      <c r="AL382" s="1709"/>
      <c r="AM382" s="1709"/>
      <c r="AN382" s="1709"/>
      <c r="AO382" s="1709"/>
      <c r="AP382" s="1709"/>
      <c r="AQ382" s="1709"/>
      <c r="AR382" s="1709"/>
      <c r="AS382" s="1709"/>
      <c r="AT382" s="1709"/>
      <c r="AU382" s="1709"/>
      <c r="AV382" s="1709"/>
      <c r="AW382" s="1709"/>
      <c r="AX382" s="1710"/>
      <c r="AY382" s="1714" t="str">
        <f t="shared" si="299"/>
        <v/>
      </c>
      <c r="AZ382" s="1714" t="str">
        <f>IF(Obj_PA!D382="","",IF(AY382="","",Obj_PA!D382-AY382))</f>
        <v/>
      </c>
      <c r="BK382" s="155" t="str">
        <f t="shared" si="301"/>
        <v/>
      </c>
      <c r="BL382" s="155" t="str">
        <f t="shared" si="302"/>
        <v/>
      </c>
      <c r="BM382" s="155" t="str">
        <f t="shared" si="303"/>
        <v/>
      </c>
      <c r="BN382" s="155" t="str">
        <f t="shared" si="304"/>
        <v/>
      </c>
      <c r="BO382" s="155" t="str">
        <f t="shared" si="305"/>
        <v/>
      </c>
      <c r="BP382" s="155" t="str">
        <f t="shared" si="306"/>
        <v/>
      </c>
      <c r="BQ382" s="155" t="str">
        <f t="shared" si="307"/>
        <v/>
      </c>
      <c r="BR382" s="155" t="str">
        <f t="shared" si="308"/>
        <v/>
      </c>
      <c r="BS382" s="155" t="str">
        <f t="shared" si="309"/>
        <v/>
      </c>
      <c r="BT382" s="155" t="str">
        <f t="shared" si="310"/>
        <v/>
      </c>
      <c r="BU382" s="155" t="str">
        <f t="shared" si="311"/>
        <v/>
      </c>
      <c r="BV382" s="155" t="str">
        <f t="shared" si="312"/>
        <v/>
      </c>
      <c r="BW382" s="155" t="str">
        <f t="shared" si="313"/>
        <v/>
      </c>
      <c r="BX382" s="155" t="str">
        <f t="shared" si="314"/>
        <v/>
      </c>
      <c r="BY382" s="155" t="str">
        <f t="shared" si="315"/>
        <v/>
      </c>
      <c r="BZ382" s="155" t="str">
        <f t="shared" si="316"/>
        <v/>
      </c>
      <c r="CA382" s="155" t="str">
        <f t="shared" si="317"/>
        <v/>
      </c>
      <c r="CB382" s="155" t="str">
        <f t="shared" si="318"/>
        <v/>
      </c>
      <c r="CC382" s="155" t="str">
        <f t="shared" si="319"/>
        <v/>
      </c>
      <c r="CD382" s="155" t="str">
        <f t="shared" si="320"/>
        <v/>
      </c>
      <c r="CE382" s="155" t="str">
        <f t="shared" si="321"/>
        <v/>
      </c>
      <c r="CF382" s="155" t="str">
        <f t="shared" si="322"/>
        <v/>
      </c>
      <c r="CG382" s="155" t="str">
        <f t="shared" si="323"/>
        <v/>
      </c>
      <c r="CH382" s="155" t="str">
        <f t="shared" si="324"/>
        <v/>
      </c>
      <c r="CI382" s="155" t="str">
        <f t="shared" si="325"/>
        <v/>
      </c>
      <c r="CJ382" s="155" t="str">
        <f t="shared" si="326"/>
        <v/>
      </c>
      <c r="CK382" s="155" t="str">
        <f t="shared" si="327"/>
        <v/>
      </c>
      <c r="CL382" s="155" t="str">
        <f t="shared" si="328"/>
        <v/>
      </c>
      <c r="CM382" s="155" t="str">
        <f t="shared" si="329"/>
        <v/>
      </c>
      <c r="CN382" s="155" t="str">
        <f t="shared" si="330"/>
        <v/>
      </c>
      <c r="CO382" s="155" t="str">
        <f t="shared" si="331"/>
        <v/>
      </c>
      <c r="CP382" s="155" t="str">
        <f t="shared" si="332"/>
        <v/>
      </c>
      <c r="CQ382" s="155" t="str">
        <f t="shared" si="333"/>
        <v/>
      </c>
      <c r="CR382" s="155" t="str">
        <f t="shared" si="334"/>
        <v/>
      </c>
      <c r="CS382" s="155" t="str">
        <f t="shared" si="335"/>
        <v/>
      </c>
      <c r="CT382" s="155" t="str">
        <f t="shared" si="336"/>
        <v/>
      </c>
      <c r="CU382" s="155" t="str">
        <f t="shared" si="337"/>
        <v/>
      </c>
      <c r="CV382" s="155" t="str">
        <f t="shared" si="338"/>
        <v/>
      </c>
      <c r="CW382" s="155" t="str">
        <f t="shared" si="339"/>
        <v/>
      </c>
      <c r="CX382" s="155" t="str">
        <f t="shared" si="340"/>
        <v/>
      </c>
    </row>
    <row r="383" spans="1:102" ht="14.25" x14ac:dyDescent="0.2">
      <c r="A383" s="182"/>
      <c r="B383" s="157" t="str">
        <f>Services!B383</f>
        <v>14E01</v>
      </c>
      <c r="C383" s="153" t="str">
        <f>Services!C383</f>
        <v>Gestion de la documentation</v>
      </c>
      <c r="D383" s="149"/>
      <c r="E383" s="149"/>
      <c r="F383" s="149"/>
      <c r="G383" s="149"/>
      <c r="H383" s="149"/>
      <c r="I383" s="140" t="str">
        <f t="shared" si="341"/>
        <v/>
      </c>
      <c r="J383" s="141" t="str">
        <f t="shared" si="298"/>
        <v/>
      </c>
      <c r="K383" s="142"/>
      <c r="L383" s="142"/>
      <c r="M383" s="1708"/>
      <c r="N383" s="1708"/>
      <c r="O383" s="1708"/>
      <c r="P383" s="1708"/>
      <c r="Q383" s="1708"/>
      <c r="R383" s="1708"/>
      <c r="S383" s="1708"/>
      <c r="T383" s="1708"/>
      <c r="U383" s="1708"/>
      <c r="V383" s="1708"/>
      <c r="W383" s="1708"/>
      <c r="X383" s="1709"/>
      <c r="Y383" s="1709"/>
      <c r="Z383" s="1709"/>
      <c r="AA383" s="1709"/>
      <c r="AB383" s="1709"/>
      <c r="AC383" s="1709"/>
      <c r="AD383" s="1709"/>
      <c r="AE383" s="1709"/>
      <c r="AF383" s="1709"/>
      <c r="AG383" s="1709"/>
      <c r="AH383" s="1709"/>
      <c r="AI383" s="1709"/>
      <c r="AJ383" s="1709"/>
      <c r="AK383" s="1709"/>
      <c r="AL383" s="1709"/>
      <c r="AM383" s="1709"/>
      <c r="AN383" s="1709"/>
      <c r="AO383" s="1709"/>
      <c r="AP383" s="1709"/>
      <c r="AQ383" s="1709"/>
      <c r="AR383" s="1709"/>
      <c r="AS383" s="1709"/>
      <c r="AT383" s="1709"/>
      <c r="AU383" s="1709"/>
      <c r="AV383" s="1709"/>
      <c r="AW383" s="1709"/>
      <c r="AX383" s="1710"/>
      <c r="AY383" s="1714" t="str">
        <f t="shared" si="299"/>
        <v/>
      </c>
      <c r="AZ383" s="1714" t="str">
        <f>IF(Obj_PA!D383="","",IF(AY383="","",Obj_PA!D383-AY383))</f>
        <v/>
      </c>
      <c r="BK383" s="155" t="str">
        <f t="shared" si="301"/>
        <v/>
      </c>
      <c r="BL383" s="155" t="str">
        <f t="shared" si="302"/>
        <v/>
      </c>
      <c r="BM383" s="155" t="str">
        <f t="shared" si="303"/>
        <v/>
      </c>
      <c r="BN383" s="155" t="str">
        <f t="shared" si="304"/>
        <v/>
      </c>
      <c r="BO383" s="155" t="str">
        <f t="shared" si="305"/>
        <v/>
      </c>
      <c r="BP383" s="155" t="str">
        <f t="shared" si="306"/>
        <v/>
      </c>
      <c r="BQ383" s="155" t="str">
        <f t="shared" si="307"/>
        <v/>
      </c>
      <c r="BR383" s="155" t="str">
        <f t="shared" si="308"/>
        <v/>
      </c>
      <c r="BS383" s="155" t="str">
        <f t="shared" si="309"/>
        <v/>
      </c>
      <c r="BT383" s="155" t="str">
        <f t="shared" si="310"/>
        <v/>
      </c>
      <c r="BU383" s="155" t="str">
        <f t="shared" si="311"/>
        <v/>
      </c>
      <c r="BV383" s="155" t="str">
        <f t="shared" si="312"/>
        <v/>
      </c>
      <c r="BW383" s="155" t="str">
        <f t="shared" si="313"/>
        <v/>
      </c>
      <c r="BX383" s="155" t="str">
        <f t="shared" si="314"/>
        <v/>
      </c>
      <c r="BY383" s="155" t="str">
        <f t="shared" si="315"/>
        <v/>
      </c>
      <c r="BZ383" s="155" t="str">
        <f t="shared" si="316"/>
        <v/>
      </c>
      <c r="CA383" s="155" t="str">
        <f t="shared" si="317"/>
        <v/>
      </c>
      <c r="CB383" s="155" t="str">
        <f t="shared" si="318"/>
        <v/>
      </c>
      <c r="CC383" s="155" t="str">
        <f t="shared" si="319"/>
        <v/>
      </c>
      <c r="CD383" s="155" t="str">
        <f t="shared" si="320"/>
        <v/>
      </c>
      <c r="CE383" s="155" t="str">
        <f t="shared" si="321"/>
        <v/>
      </c>
      <c r="CF383" s="155" t="str">
        <f t="shared" si="322"/>
        <v/>
      </c>
      <c r="CG383" s="155" t="str">
        <f t="shared" si="323"/>
        <v/>
      </c>
      <c r="CH383" s="155" t="str">
        <f t="shared" si="324"/>
        <v/>
      </c>
      <c r="CI383" s="155" t="str">
        <f t="shared" si="325"/>
        <v/>
      </c>
      <c r="CJ383" s="155" t="str">
        <f t="shared" si="326"/>
        <v/>
      </c>
      <c r="CK383" s="155" t="str">
        <f t="shared" si="327"/>
        <v/>
      </c>
      <c r="CL383" s="155" t="str">
        <f t="shared" si="328"/>
        <v/>
      </c>
      <c r="CM383" s="155" t="str">
        <f t="shared" si="329"/>
        <v/>
      </c>
      <c r="CN383" s="155" t="str">
        <f t="shared" si="330"/>
        <v/>
      </c>
      <c r="CO383" s="155" t="str">
        <f t="shared" si="331"/>
        <v/>
      </c>
      <c r="CP383" s="155" t="str">
        <f t="shared" si="332"/>
        <v/>
      </c>
      <c r="CQ383" s="155" t="str">
        <f t="shared" si="333"/>
        <v/>
      </c>
      <c r="CR383" s="155" t="str">
        <f t="shared" si="334"/>
        <v/>
      </c>
      <c r="CS383" s="155" t="str">
        <f t="shared" si="335"/>
        <v/>
      </c>
      <c r="CT383" s="155" t="str">
        <f t="shared" si="336"/>
        <v/>
      </c>
      <c r="CU383" s="155" t="str">
        <f t="shared" si="337"/>
        <v/>
      </c>
      <c r="CV383" s="155" t="str">
        <f t="shared" si="338"/>
        <v/>
      </c>
      <c r="CW383" s="155" t="str">
        <f t="shared" si="339"/>
        <v/>
      </c>
      <c r="CX383" s="155" t="str">
        <f t="shared" si="340"/>
        <v/>
      </c>
    </row>
    <row r="384" spans="1:102" ht="14.25" x14ac:dyDescent="0.2">
      <c r="A384" s="182"/>
      <c r="B384" s="157" t="str">
        <f>Services!B384</f>
        <v>14E02</v>
      </c>
      <c r="C384" s="153" t="str">
        <f>Services!C384</f>
        <v>Approbation des documents</v>
      </c>
      <c r="D384" s="149"/>
      <c r="E384" s="149"/>
      <c r="F384" s="149"/>
      <c r="G384" s="149"/>
      <c r="H384" s="149"/>
      <c r="I384" s="140" t="str">
        <f t="shared" si="341"/>
        <v/>
      </c>
      <c r="J384" s="141" t="str">
        <f t="shared" si="298"/>
        <v/>
      </c>
      <c r="K384" s="142"/>
      <c r="L384" s="142"/>
      <c r="M384" s="1708"/>
      <c r="N384" s="1708"/>
      <c r="O384" s="1708"/>
      <c r="P384" s="1708"/>
      <c r="Q384" s="1708"/>
      <c r="R384" s="1708"/>
      <c r="S384" s="1724"/>
      <c r="T384" s="1708"/>
      <c r="U384" s="1708"/>
      <c r="V384" s="1708"/>
      <c r="W384" s="1708"/>
      <c r="X384" s="1709"/>
      <c r="Y384" s="1709"/>
      <c r="Z384" s="1709"/>
      <c r="AA384" s="1709"/>
      <c r="AB384" s="1709"/>
      <c r="AC384" s="1709"/>
      <c r="AD384" s="1709"/>
      <c r="AE384" s="1709"/>
      <c r="AF384" s="1709"/>
      <c r="AG384" s="1709"/>
      <c r="AH384" s="1709"/>
      <c r="AI384" s="1709"/>
      <c r="AJ384" s="1709"/>
      <c r="AK384" s="1709"/>
      <c r="AL384" s="1709"/>
      <c r="AM384" s="1709"/>
      <c r="AN384" s="1709"/>
      <c r="AO384" s="1709"/>
      <c r="AP384" s="1709"/>
      <c r="AQ384" s="1709"/>
      <c r="AR384" s="1709"/>
      <c r="AS384" s="1709"/>
      <c r="AT384" s="1709"/>
      <c r="AU384" s="1709"/>
      <c r="AV384" s="1709"/>
      <c r="AW384" s="1709"/>
      <c r="AX384" s="1710"/>
      <c r="AY384" s="1714" t="str">
        <f t="shared" si="299"/>
        <v/>
      </c>
      <c r="AZ384" s="1714" t="str">
        <f>IF(Obj_PA!D384="","",IF(AY384="","",Obj_PA!D384-AY384))</f>
        <v/>
      </c>
      <c r="BK384" s="155" t="str">
        <f t="shared" si="301"/>
        <v/>
      </c>
      <c r="BL384" s="155" t="str">
        <f t="shared" si="302"/>
        <v/>
      </c>
      <c r="BM384" s="155" t="str">
        <f t="shared" si="303"/>
        <v/>
      </c>
      <c r="BN384" s="155" t="str">
        <f t="shared" si="304"/>
        <v/>
      </c>
      <c r="BO384" s="155" t="str">
        <f t="shared" si="305"/>
        <v/>
      </c>
      <c r="BP384" s="155" t="str">
        <f t="shared" si="306"/>
        <v/>
      </c>
      <c r="BQ384" s="155" t="str">
        <f t="shared" si="307"/>
        <v/>
      </c>
      <c r="BR384" s="155" t="str">
        <f t="shared" si="308"/>
        <v/>
      </c>
      <c r="BS384" s="155" t="str">
        <f t="shared" si="309"/>
        <v/>
      </c>
      <c r="BT384" s="155" t="str">
        <f t="shared" si="310"/>
        <v/>
      </c>
      <c r="BU384" s="155" t="str">
        <f t="shared" si="311"/>
        <v/>
      </c>
      <c r="BV384" s="155" t="str">
        <f t="shared" si="312"/>
        <v/>
      </c>
      <c r="BW384" s="155" t="str">
        <f t="shared" si="313"/>
        <v/>
      </c>
      <c r="BX384" s="155" t="str">
        <f t="shared" si="314"/>
        <v/>
      </c>
      <c r="BY384" s="155" t="str">
        <f t="shared" si="315"/>
        <v/>
      </c>
      <c r="BZ384" s="155" t="str">
        <f t="shared" si="316"/>
        <v/>
      </c>
      <c r="CA384" s="155" t="str">
        <f t="shared" si="317"/>
        <v/>
      </c>
      <c r="CB384" s="155" t="str">
        <f t="shared" si="318"/>
        <v/>
      </c>
      <c r="CC384" s="155" t="str">
        <f t="shared" si="319"/>
        <v/>
      </c>
      <c r="CD384" s="155" t="str">
        <f t="shared" si="320"/>
        <v/>
      </c>
      <c r="CE384" s="155" t="str">
        <f t="shared" si="321"/>
        <v/>
      </c>
      <c r="CF384" s="155" t="str">
        <f t="shared" si="322"/>
        <v/>
      </c>
      <c r="CG384" s="155" t="str">
        <f t="shared" si="323"/>
        <v/>
      </c>
      <c r="CH384" s="155" t="str">
        <f t="shared" si="324"/>
        <v/>
      </c>
      <c r="CI384" s="155" t="str">
        <f t="shared" si="325"/>
        <v/>
      </c>
      <c r="CJ384" s="155" t="str">
        <f t="shared" si="326"/>
        <v/>
      </c>
      <c r="CK384" s="155" t="str">
        <f t="shared" si="327"/>
        <v/>
      </c>
      <c r="CL384" s="155" t="str">
        <f t="shared" si="328"/>
        <v/>
      </c>
      <c r="CM384" s="155" t="str">
        <f t="shared" si="329"/>
        <v/>
      </c>
      <c r="CN384" s="155" t="str">
        <f t="shared" si="330"/>
        <v/>
      </c>
      <c r="CO384" s="155" t="str">
        <f t="shared" si="331"/>
        <v/>
      </c>
      <c r="CP384" s="155" t="str">
        <f t="shared" si="332"/>
        <v/>
      </c>
      <c r="CQ384" s="155" t="str">
        <f t="shared" si="333"/>
        <v/>
      </c>
      <c r="CR384" s="155" t="str">
        <f t="shared" si="334"/>
        <v/>
      </c>
      <c r="CS384" s="155" t="str">
        <f t="shared" si="335"/>
        <v/>
      </c>
      <c r="CT384" s="155" t="str">
        <f t="shared" si="336"/>
        <v/>
      </c>
      <c r="CU384" s="155" t="str">
        <f t="shared" si="337"/>
        <v/>
      </c>
      <c r="CV384" s="155" t="str">
        <f t="shared" si="338"/>
        <v/>
      </c>
      <c r="CW384" s="155" t="str">
        <f t="shared" si="339"/>
        <v/>
      </c>
      <c r="CX384" s="155" t="str">
        <f t="shared" si="340"/>
        <v/>
      </c>
    </row>
    <row r="385" spans="1:102" ht="14.25" x14ac:dyDescent="0.2">
      <c r="A385" s="182"/>
      <c r="B385" s="157" t="str">
        <f>Services!B385</f>
        <v>14E03</v>
      </c>
      <c r="C385" s="153" t="str">
        <f>Services!C385</f>
        <v>Mises à jour</v>
      </c>
      <c r="D385" s="149"/>
      <c r="E385" s="149"/>
      <c r="F385" s="149"/>
      <c r="G385" s="149"/>
      <c r="H385" s="149"/>
      <c r="I385" s="140" t="str">
        <f t="shared" si="341"/>
        <v/>
      </c>
      <c r="J385" s="141" t="str">
        <f t="shared" si="298"/>
        <v/>
      </c>
      <c r="K385" s="142"/>
      <c r="L385" s="142"/>
      <c r="M385" s="1708"/>
      <c r="N385" s="1708"/>
      <c r="O385" s="1708"/>
      <c r="P385" s="1708"/>
      <c r="Q385" s="1708"/>
      <c r="R385" s="1708"/>
      <c r="S385" s="1708"/>
      <c r="T385" s="1708"/>
      <c r="U385" s="1708"/>
      <c r="V385" s="1708"/>
      <c r="W385" s="1708"/>
      <c r="X385" s="1709"/>
      <c r="Y385" s="1709"/>
      <c r="Z385" s="1709"/>
      <c r="AA385" s="1709"/>
      <c r="AB385" s="1709"/>
      <c r="AC385" s="1709"/>
      <c r="AD385" s="1709"/>
      <c r="AE385" s="1709"/>
      <c r="AF385" s="1709"/>
      <c r="AG385" s="1709"/>
      <c r="AH385" s="1709"/>
      <c r="AI385" s="1709"/>
      <c r="AJ385" s="1709"/>
      <c r="AK385" s="1709"/>
      <c r="AL385" s="1709"/>
      <c r="AM385" s="1709"/>
      <c r="AN385" s="1709"/>
      <c r="AO385" s="1709"/>
      <c r="AP385" s="1709"/>
      <c r="AQ385" s="1709"/>
      <c r="AR385" s="1709"/>
      <c r="AS385" s="1709"/>
      <c r="AT385" s="1709"/>
      <c r="AU385" s="1709"/>
      <c r="AV385" s="1709"/>
      <c r="AW385" s="1709"/>
      <c r="AX385" s="1710"/>
      <c r="AY385" s="1714" t="str">
        <f t="shared" si="299"/>
        <v/>
      </c>
      <c r="AZ385" s="1714" t="str">
        <f>IF(Obj_PA!D385="","",IF(AY385="","",Obj_PA!D385-AY385))</f>
        <v/>
      </c>
      <c r="BK385" s="155" t="str">
        <f t="shared" si="301"/>
        <v/>
      </c>
      <c r="BL385" s="155" t="str">
        <f t="shared" si="302"/>
        <v/>
      </c>
      <c r="BM385" s="155" t="str">
        <f t="shared" si="303"/>
        <v/>
      </c>
      <c r="BN385" s="155" t="str">
        <f t="shared" si="304"/>
        <v/>
      </c>
      <c r="BO385" s="155" t="str">
        <f t="shared" si="305"/>
        <v/>
      </c>
      <c r="BP385" s="155" t="str">
        <f t="shared" si="306"/>
        <v/>
      </c>
      <c r="BQ385" s="155" t="str">
        <f t="shared" si="307"/>
        <v/>
      </c>
      <c r="BR385" s="155" t="str">
        <f t="shared" si="308"/>
        <v/>
      </c>
      <c r="BS385" s="155" t="str">
        <f t="shared" si="309"/>
        <v/>
      </c>
      <c r="BT385" s="155" t="str">
        <f t="shared" si="310"/>
        <v/>
      </c>
      <c r="BU385" s="155" t="str">
        <f t="shared" si="311"/>
        <v/>
      </c>
      <c r="BV385" s="155" t="str">
        <f t="shared" si="312"/>
        <v/>
      </c>
      <c r="BW385" s="155" t="str">
        <f t="shared" si="313"/>
        <v/>
      </c>
      <c r="BX385" s="155" t="str">
        <f t="shared" si="314"/>
        <v/>
      </c>
      <c r="BY385" s="155" t="str">
        <f t="shared" si="315"/>
        <v/>
      </c>
      <c r="BZ385" s="155" t="str">
        <f t="shared" si="316"/>
        <v/>
      </c>
      <c r="CA385" s="155" t="str">
        <f t="shared" si="317"/>
        <v/>
      </c>
      <c r="CB385" s="155" t="str">
        <f t="shared" si="318"/>
        <v/>
      </c>
      <c r="CC385" s="155" t="str">
        <f t="shared" si="319"/>
        <v/>
      </c>
      <c r="CD385" s="155" t="str">
        <f t="shared" si="320"/>
        <v/>
      </c>
      <c r="CE385" s="155" t="str">
        <f t="shared" si="321"/>
        <v/>
      </c>
      <c r="CF385" s="155" t="str">
        <f t="shared" si="322"/>
        <v/>
      </c>
      <c r="CG385" s="155" t="str">
        <f t="shared" si="323"/>
        <v/>
      </c>
      <c r="CH385" s="155" t="str">
        <f t="shared" si="324"/>
        <v/>
      </c>
      <c r="CI385" s="155" t="str">
        <f t="shared" si="325"/>
        <v/>
      </c>
      <c r="CJ385" s="155" t="str">
        <f t="shared" si="326"/>
        <v/>
      </c>
      <c r="CK385" s="155" t="str">
        <f t="shared" si="327"/>
        <v/>
      </c>
      <c r="CL385" s="155" t="str">
        <f t="shared" si="328"/>
        <v/>
      </c>
      <c r="CM385" s="155" t="str">
        <f t="shared" si="329"/>
        <v/>
      </c>
      <c r="CN385" s="155" t="str">
        <f t="shared" si="330"/>
        <v/>
      </c>
      <c r="CO385" s="155" t="str">
        <f t="shared" si="331"/>
        <v/>
      </c>
      <c r="CP385" s="155" t="str">
        <f t="shared" si="332"/>
        <v/>
      </c>
      <c r="CQ385" s="155" t="str">
        <f t="shared" si="333"/>
        <v/>
      </c>
      <c r="CR385" s="155" t="str">
        <f t="shared" si="334"/>
        <v/>
      </c>
      <c r="CS385" s="155" t="str">
        <f t="shared" si="335"/>
        <v/>
      </c>
      <c r="CT385" s="155" t="str">
        <f t="shared" si="336"/>
        <v/>
      </c>
      <c r="CU385" s="155" t="str">
        <f t="shared" si="337"/>
        <v/>
      </c>
      <c r="CV385" s="155" t="str">
        <f t="shared" si="338"/>
        <v/>
      </c>
      <c r="CW385" s="155" t="str">
        <f t="shared" si="339"/>
        <v/>
      </c>
      <c r="CX385" s="155" t="str">
        <f t="shared" si="340"/>
        <v/>
      </c>
    </row>
    <row r="386" spans="1:102" ht="14.25" x14ac:dyDescent="0.2">
      <c r="A386" s="182"/>
      <c r="B386" s="157" t="str">
        <f>Services!B386</f>
        <v>14E04</v>
      </c>
      <c r="C386" s="153" t="str">
        <f>Services!C386</f>
        <v>Identification et gestion des versions des documents</v>
      </c>
      <c r="D386" s="149"/>
      <c r="E386" s="149"/>
      <c r="F386" s="149"/>
      <c r="G386" s="149"/>
      <c r="H386" s="149"/>
      <c r="I386" s="140" t="str">
        <f t="shared" si="341"/>
        <v/>
      </c>
      <c r="J386" s="141" t="str">
        <f t="shared" si="298"/>
        <v/>
      </c>
      <c r="K386" s="142"/>
      <c r="L386" s="142"/>
      <c r="M386" s="1708"/>
      <c r="N386" s="1708"/>
      <c r="O386" s="1708"/>
      <c r="P386" s="1708"/>
      <c r="Q386" s="1708"/>
      <c r="R386" s="1708"/>
      <c r="S386" s="1708"/>
      <c r="T386" s="1708"/>
      <c r="U386" s="1708"/>
      <c r="V386" s="1708"/>
      <c r="W386" s="1708"/>
      <c r="X386" s="1709"/>
      <c r="Y386" s="1709"/>
      <c r="Z386" s="1709"/>
      <c r="AA386" s="1709"/>
      <c r="AB386" s="1709"/>
      <c r="AC386" s="1709"/>
      <c r="AD386" s="1709"/>
      <c r="AE386" s="1709"/>
      <c r="AF386" s="1709"/>
      <c r="AG386" s="1709"/>
      <c r="AH386" s="1709"/>
      <c r="AI386" s="1709"/>
      <c r="AJ386" s="1709"/>
      <c r="AK386" s="1709"/>
      <c r="AL386" s="1709"/>
      <c r="AM386" s="1709"/>
      <c r="AN386" s="1709"/>
      <c r="AO386" s="1709"/>
      <c r="AP386" s="1709"/>
      <c r="AQ386" s="1709"/>
      <c r="AR386" s="1709"/>
      <c r="AS386" s="1709"/>
      <c r="AT386" s="1709"/>
      <c r="AU386" s="1709"/>
      <c r="AV386" s="1709"/>
      <c r="AW386" s="1709"/>
      <c r="AX386" s="1710"/>
      <c r="AY386" s="1714" t="str">
        <f t="shared" si="299"/>
        <v/>
      </c>
      <c r="AZ386" s="1714" t="str">
        <f>IF(Obj_PA!D386="","",IF(AY386="","",Obj_PA!D386-AY386))</f>
        <v/>
      </c>
      <c r="BK386" s="155" t="str">
        <f t="shared" si="301"/>
        <v/>
      </c>
      <c r="BL386" s="155" t="str">
        <f t="shared" si="302"/>
        <v/>
      </c>
      <c r="BM386" s="155" t="str">
        <f t="shared" si="303"/>
        <v/>
      </c>
      <c r="BN386" s="155" t="str">
        <f t="shared" si="304"/>
        <v/>
      </c>
      <c r="BO386" s="155" t="str">
        <f t="shared" si="305"/>
        <v/>
      </c>
      <c r="BP386" s="155" t="str">
        <f t="shared" si="306"/>
        <v/>
      </c>
      <c r="BQ386" s="155" t="str">
        <f t="shared" si="307"/>
        <v/>
      </c>
      <c r="BR386" s="155" t="str">
        <f t="shared" si="308"/>
        <v/>
      </c>
      <c r="BS386" s="155" t="str">
        <f t="shared" si="309"/>
        <v/>
      </c>
      <c r="BT386" s="155" t="str">
        <f t="shared" si="310"/>
        <v/>
      </c>
      <c r="BU386" s="155" t="str">
        <f t="shared" si="311"/>
        <v/>
      </c>
      <c r="BV386" s="155" t="str">
        <f t="shared" si="312"/>
        <v/>
      </c>
      <c r="BW386" s="155" t="str">
        <f t="shared" si="313"/>
        <v/>
      </c>
      <c r="BX386" s="155" t="str">
        <f t="shared" si="314"/>
        <v/>
      </c>
      <c r="BY386" s="155" t="str">
        <f t="shared" si="315"/>
        <v/>
      </c>
      <c r="BZ386" s="155" t="str">
        <f t="shared" si="316"/>
        <v/>
      </c>
      <c r="CA386" s="155" t="str">
        <f t="shared" si="317"/>
        <v/>
      </c>
      <c r="CB386" s="155" t="str">
        <f t="shared" si="318"/>
        <v/>
      </c>
      <c r="CC386" s="155" t="str">
        <f t="shared" si="319"/>
        <v/>
      </c>
      <c r="CD386" s="155" t="str">
        <f t="shared" si="320"/>
        <v/>
      </c>
      <c r="CE386" s="155" t="str">
        <f t="shared" si="321"/>
        <v/>
      </c>
      <c r="CF386" s="155" t="str">
        <f t="shared" si="322"/>
        <v/>
      </c>
      <c r="CG386" s="155" t="str">
        <f t="shared" si="323"/>
        <v/>
      </c>
      <c r="CH386" s="155" t="str">
        <f t="shared" si="324"/>
        <v/>
      </c>
      <c r="CI386" s="155" t="str">
        <f t="shared" si="325"/>
        <v/>
      </c>
      <c r="CJ386" s="155" t="str">
        <f t="shared" si="326"/>
        <v/>
      </c>
      <c r="CK386" s="155" t="str">
        <f t="shared" si="327"/>
        <v/>
      </c>
      <c r="CL386" s="155" t="str">
        <f t="shared" si="328"/>
        <v/>
      </c>
      <c r="CM386" s="155" t="str">
        <f t="shared" si="329"/>
        <v/>
      </c>
      <c r="CN386" s="155" t="str">
        <f t="shared" si="330"/>
        <v/>
      </c>
      <c r="CO386" s="155" t="str">
        <f t="shared" si="331"/>
        <v/>
      </c>
      <c r="CP386" s="155" t="str">
        <f t="shared" si="332"/>
        <v/>
      </c>
      <c r="CQ386" s="155" t="str">
        <f t="shared" si="333"/>
        <v/>
      </c>
      <c r="CR386" s="155" t="str">
        <f t="shared" si="334"/>
        <v/>
      </c>
      <c r="CS386" s="155" t="str">
        <f t="shared" si="335"/>
        <v/>
      </c>
      <c r="CT386" s="155" t="str">
        <f t="shared" si="336"/>
        <v/>
      </c>
      <c r="CU386" s="155" t="str">
        <f t="shared" si="337"/>
        <v/>
      </c>
      <c r="CV386" s="155" t="str">
        <f t="shared" si="338"/>
        <v/>
      </c>
      <c r="CW386" s="155" t="str">
        <f t="shared" si="339"/>
        <v/>
      </c>
      <c r="CX386" s="155" t="str">
        <f t="shared" si="340"/>
        <v/>
      </c>
    </row>
    <row r="387" spans="1:102" ht="14.25" x14ac:dyDescent="0.2">
      <c r="A387" s="182"/>
      <c r="B387" s="157" t="str">
        <f>Services!B387</f>
        <v>14E05</v>
      </c>
      <c r="C387" s="153" t="str">
        <f>Services!C387</f>
        <v>Mise à disposition de la documentation</v>
      </c>
      <c r="D387" s="149"/>
      <c r="E387" s="149"/>
      <c r="F387" s="149"/>
      <c r="G387" s="149"/>
      <c r="H387" s="149"/>
      <c r="I387" s="140" t="str">
        <f t="shared" si="341"/>
        <v/>
      </c>
      <c r="J387" s="141" t="str">
        <f t="shared" si="298"/>
        <v/>
      </c>
      <c r="K387" s="142"/>
      <c r="L387" s="142"/>
      <c r="M387" s="1708"/>
      <c r="N387" s="1708"/>
      <c r="O387" s="1708"/>
      <c r="P387" s="1708"/>
      <c r="Q387" s="1708"/>
      <c r="R387" s="1708"/>
      <c r="S387" s="1708"/>
      <c r="T387" s="1708"/>
      <c r="U387" s="1708"/>
      <c r="V387" s="1708"/>
      <c r="W387" s="1708"/>
      <c r="X387" s="1709"/>
      <c r="Y387" s="1709"/>
      <c r="Z387" s="1709"/>
      <c r="AA387" s="1709"/>
      <c r="AB387" s="1709"/>
      <c r="AC387" s="1709"/>
      <c r="AD387" s="1709"/>
      <c r="AE387" s="1709"/>
      <c r="AF387" s="1709"/>
      <c r="AG387" s="1709"/>
      <c r="AH387" s="1709"/>
      <c r="AI387" s="1709"/>
      <c r="AJ387" s="1709"/>
      <c r="AK387" s="1709"/>
      <c r="AL387" s="1709"/>
      <c r="AM387" s="1709"/>
      <c r="AN387" s="1709"/>
      <c r="AO387" s="1709"/>
      <c r="AP387" s="1709"/>
      <c r="AQ387" s="1709"/>
      <c r="AR387" s="1709"/>
      <c r="AS387" s="1709"/>
      <c r="AT387" s="1709"/>
      <c r="AU387" s="1709"/>
      <c r="AV387" s="1709"/>
      <c r="AW387" s="1709"/>
      <c r="AX387" s="1710"/>
      <c r="AY387" s="1714" t="str">
        <f t="shared" si="299"/>
        <v/>
      </c>
      <c r="AZ387" s="1714" t="str">
        <f>IF(Obj_PA!D387="","",IF(AY387="","",Obj_PA!D387-AY387))</f>
        <v/>
      </c>
      <c r="BK387" s="155" t="str">
        <f t="shared" si="301"/>
        <v/>
      </c>
      <c r="BL387" s="155" t="str">
        <f t="shared" si="302"/>
        <v/>
      </c>
      <c r="BM387" s="155" t="str">
        <f t="shared" si="303"/>
        <v/>
      </c>
      <c r="BN387" s="155" t="str">
        <f t="shared" si="304"/>
        <v/>
      </c>
      <c r="BO387" s="155" t="str">
        <f t="shared" si="305"/>
        <v/>
      </c>
      <c r="BP387" s="155" t="str">
        <f t="shared" si="306"/>
        <v/>
      </c>
      <c r="BQ387" s="155" t="str">
        <f t="shared" si="307"/>
        <v/>
      </c>
      <c r="BR387" s="155" t="str">
        <f t="shared" si="308"/>
        <v/>
      </c>
      <c r="BS387" s="155" t="str">
        <f t="shared" si="309"/>
        <v/>
      </c>
      <c r="BT387" s="155" t="str">
        <f t="shared" si="310"/>
        <v/>
      </c>
      <c r="BU387" s="155" t="str">
        <f t="shared" si="311"/>
        <v/>
      </c>
      <c r="BV387" s="155" t="str">
        <f t="shared" si="312"/>
        <v/>
      </c>
      <c r="BW387" s="155" t="str">
        <f t="shared" si="313"/>
        <v/>
      </c>
      <c r="BX387" s="155" t="str">
        <f t="shared" si="314"/>
        <v/>
      </c>
      <c r="BY387" s="155" t="str">
        <f t="shared" si="315"/>
        <v/>
      </c>
      <c r="BZ387" s="155" t="str">
        <f t="shared" si="316"/>
        <v/>
      </c>
      <c r="CA387" s="155" t="str">
        <f t="shared" si="317"/>
        <v/>
      </c>
      <c r="CB387" s="155" t="str">
        <f t="shared" si="318"/>
        <v/>
      </c>
      <c r="CC387" s="155" t="str">
        <f t="shared" si="319"/>
        <v/>
      </c>
      <c r="CD387" s="155" t="str">
        <f t="shared" si="320"/>
        <v/>
      </c>
      <c r="CE387" s="155" t="str">
        <f t="shared" si="321"/>
        <v/>
      </c>
      <c r="CF387" s="155" t="str">
        <f t="shared" si="322"/>
        <v/>
      </c>
      <c r="CG387" s="155" t="str">
        <f t="shared" si="323"/>
        <v/>
      </c>
      <c r="CH387" s="155" t="str">
        <f t="shared" si="324"/>
        <v/>
      </c>
      <c r="CI387" s="155" t="str">
        <f t="shared" si="325"/>
        <v/>
      </c>
      <c r="CJ387" s="155" t="str">
        <f t="shared" si="326"/>
        <v/>
      </c>
      <c r="CK387" s="155" t="str">
        <f t="shared" si="327"/>
        <v/>
      </c>
      <c r="CL387" s="155" t="str">
        <f t="shared" si="328"/>
        <v/>
      </c>
      <c r="CM387" s="155" t="str">
        <f t="shared" si="329"/>
        <v/>
      </c>
      <c r="CN387" s="155" t="str">
        <f t="shared" si="330"/>
        <v/>
      </c>
      <c r="CO387" s="155" t="str">
        <f t="shared" si="331"/>
        <v/>
      </c>
      <c r="CP387" s="155" t="str">
        <f t="shared" si="332"/>
        <v/>
      </c>
      <c r="CQ387" s="155" t="str">
        <f t="shared" si="333"/>
        <v/>
      </c>
      <c r="CR387" s="155" t="str">
        <f t="shared" si="334"/>
        <v/>
      </c>
      <c r="CS387" s="155" t="str">
        <f t="shared" si="335"/>
        <v/>
      </c>
      <c r="CT387" s="155" t="str">
        <f t="shared" si="336"/>
        <v/>
      </c>
      <c r="CU387" s="155" t="str">
        <f t="shared" si="337"/>
        <v/>
      </c>
      <c r="CV387" s="155" t="str">
        <f t="shared" si="338"/>
        <v/>
      </c>
      <c r="CW387" s="155" t="str">
        <f t="shared" si="339"/>
        <v/>
      </c>
      <c r="CX387" s="155" t="str">
        <f t="shared" si="340"/>
        <v/>
      </c>
    </row>
    <row r="388" spans="1:102" ht="15" thickBot="1" x14ac:dyDescent="0.25">
      <c r="A388" s="183"/>
      <c r="B388" s="184" t="str">
        <f>Services!B388</f>
        <v>14E06</v>
      </c>
      <c r="C388" s="185" t="str">
        <f>Services!C388</f>
        <v>Retrait des documents qui ne sont plus valides</v>
      </c>
      <c r="D388" s="186"/>
      <c r="E388" s="186"/>
      <c r="F388" s="186"/>
      <c r="G388" s="186"/>
      <c r="H388" s="186"/>
      <c r="I388" s="187" t="str">
        <f t="shared" si="341"/>
        <v/>
      </c>
      <c r="J388" s="188" t="str">
        <f t="shared" si="298"/>
        <v/>
      </c>
      <c r="K388" s="189"/>
      <c r="L388" s="189"/>
      <c r="M388" s="1725"/>
      <c r="N388" s="1725"/>
      <c r="O388" s="1725"/>
      <c r="P388" s="1725"/>
      <c r="Q388" s="1725"/>
      <c r="R388" s="1725"/>
      <c r="S388" s="1725"/>
      <c r="T388" s="1725"/>
      <c r="U388" s="1725"/>
      <c r="V388" s="1725"/>
      <c r="W388" s="1725"/>
      <c r="X388" s="1726"/>
      <c r="Y388" s="1726"/>
      <c r="Z388" s="1726"/>
      <c r="AA388" s="1726"/>
      <c r="AB388" s="1726"/>
      <c r="AC388" s="1726"/>
      <c r="AD388" s="1726"/>
      <c r="AE388" s="1726"/>
      <c r="AF388" s="1726"/>
      <c r="AG388" s="1726"/>
      <c r="AH388" s="1726"/>
      <c r="AI388" s="1726"/>
      <c r="AJ388" s="1726"/>
      <c r="AK388" s="1726"/>
      <c r="AL388" s="1726"/>
      <c r="AM388" s="1726"/>
      <c r="AN388" s="1726"/>
      <c r="AO388" s="1726"/>
      <c r="AP388" s="1726"/>
      <c r="AQ388" s="1726"/>
      <c r="AR388" s="1726"/>
      <c r="AS388" s="1726"/>
      <c r="AT388" s="1726"/>
      <c r="AU388" s="1726"/>
      <c r="AV388" s="1726"/>
      <c r="AW388" s="1726"/>
      <c r="AX388" s="1727"/>
      <c r="AY388" s="1714" t="str">
        <f t="shared" si="299"/>
        <v/>
      </c>
      <c r="AZ388" s="1714" t="str">
        <f>IF(Obj_PA!D388="","",IF(AY388="","",Obj_PA!D388-AY388))</f>
        <v/>
      </c>
      <c r="BK388" s="155" t="str">
        <f t="shared" si="301"/>
        <v/>
      </c>
      <c r="BL388" s="155" t="str">
        <f t="shared" si="302"/>
        <v/>
      </c>
      <c r="BM388" s="155" t="str">
        <f t="shared" si="303"/>
        <v/>
      </c>
      <c r="BN388" s="155" t="str">
        <f t="shared" si="304"/>
        <v/>
      </c>
      <c r="BO388" s="155" t="str">
        <f t="shared" si="305"/>
        <v/>
      </c>
      <c r="BP388" s="155" t="str">
        <f t="shared" si="306"/>
        <v/>
      </c>
      <c r="BQ388" s="155" t="str">
        <f t="shared" si="307"/>
        <v/>
      </c>
      <c r="BR388" s="155" t="str">
        <f t="shared" si="308"/>
        <v/>
      </c>
      <c r="BS388" s="155" t="str">
        <f t="shared" si="309"/>
        <v/>
      </c>
      <c r="BT388" s="155" t="str">
        <f t="shared" si="310"/>
        <v/>
      </c>
      <c r="BU388" s="155" t="str">
        <f t="shared" si="311"/>
        <v/>
      </c>
      <c r="BV388" s="155" t="str">
        <f t="shared" si="312"/>
        <v/>
      </c>
      <c r="BW388" s="155" t="str">
        <f t="shared" si="313"/>
        <v/>
      </c>
      <c r="BX388" s="155" t="str">
        <f t="shared" si="314"/>
        <v/>
      </c>
      <c r="BY388" s="155" t="str">
        <f t="shared" si="315"/>
        <v/>
      </c>
      <c r="BZ388" s="155" t="str">
        <f t="shared" si="316"/>
        <v/>
      </c>
      <c r="CA388" s="155" t="str">
        <f t="shared" si="317"/>
        <v/>
      </c>
      <c r="CB388" s="155" t="str">
        <f t="shared" si="318"/>
        <v/>
      </c>
      <c r="CC388" s="155" t="str">
        <f t="shared" si="319"/>
        <v/>
      </c>
      <c r="CD388" s="155" t="str">
        <f t="shared" si="320"/>
        <v/>
      </c>
      <c r="CE388" s="155" t="str">
        <f t="shared" si="321"/>
        <v/>
      </c>
      <c r="CF388" s="155" t="str">
        <f t="shared" si="322"/>
        <v/>
      </c>
      <c r="CG388" s="155" t="str">
        <f t="shared" si="323"/>
        <v/>
      </c>
      <c r="CH388" s="155" t="str">
        <f t="shared" si="324"/>
        <v/>
      </c>
      <c r="CI388" s="155" t="str">
        <f t="shared" si="325"/>
        <v/>
      </c>
      <c r="CJ388" s="155" t="str">
        <f t="shared" si="326"/>
        <v/>
      </c>
      <c r="CK388" s="155" t="str">
        <f t="shared" si="327"/>
        <v/>
      </c>
      <c r="CL388" s="155" t="str">
        <f t="shared" si="328"/>
        <v/>
      </c>
      <c r="CM388" s="155" t="str">
        <f t="shared" si="329"/>
        <v/>
      </c>
      <c r="CN388" s="155" t="str">
        <f t="shared" si="330"/>
        <v/>
      </c>
      <c r="CO388" s="155" t="str">
        <f t="shared" si="331"/>
        <v/>
      </c>
      <c r="CP388" s="155" t="str">
        <f t="shared" si="332"/>
        <v/>
      </c>
      <c r="CQ388" s="155" t="str">
        <f t="shared" si="333"/>
        <v/>
      </c>
      <c r="CR388" s="155" t="str">
        <f t="shared" si="334"/>
        <v/>
      </c>
      <c r="CS388" s="155" t="str">
        <f t="shared" si="335"/>
        <v/>
      </c>
      <c r="CT388" s="155" t="str">
        <f t="shared" si="336"/>
        <v/>
      </c>
      <c r="CU388" s="155" t="str">
        <f t="shared" si="337"/>
        <v/>
      </c>
      <c r="CV388" s="155" t="str">
        <f t="shared" si="338"/>
        <v/>
      </c>
      <c r="CW388" s="155" t="str">
        <f t="shared" si="339"/>
        <v/>
      </c>
      <c r="CX388" s="155" t="str">
        <f t="shared" si="340"/>
        <v/>
      </c>
    </row>
    <row r="389" spans="1:102" ht="12.75" x14ac:dyDescent="0.2">
      <c r="A389" s="190"/>
      <c r="B389" s="190"/>
      <c r="C389" s="190"/>
      <c r="D389" s="42"/>
      <c r="E389" s="42"/>
      <c r="F389" s="42"/>
      <c r="G389" s="42"/>
      <c r="H389" s="42"/>
      <c r="I389" s="191"/>
      <c r="J389" s="144"/>
    </row>
    <row r="390" spans="1:102" ht="126" customHeight="1" x14ac:dyDescent="0.2">
      <c r="B390" s="190"/>
      <c r="C390" s="190"/>
      <c r="D390" s="42"/>
      <c r="E390" s="42"/>
      <c r="F390" s="42"/>
      <c r="G390" s="42"/>
      <c r="H390" s="42"/>
      <c r="I390" s="191"/>
      <c r="K390" s="1647"/>
      <c r="L390" s="1647"/>
      <c r="M390" s="1729"/>
      <c r="N390" s="1729"/>
      <c r="O390" s="1729"/>
      <c r="P390" s="1729"/>
      <c r="Q390" s="1729"/>
      <c r="R390" s="1729"/>
      <c r="S390" s="1729"/>
      <c r="T390" s="1729"/>
      <c r="U390" s="1729"/>
      <c r="V390" s="1729"/>
      <c r="W390" s="1729"/>
      <c r="X390" s="1729"/>
      <c r="Y390" s="1729"/>
      <c r="Z390" s="1729"/>
      <c r="AA390" s="1729"/>
      <c r="AB390" s="1729"/>
      <c r="AC390" s="1729"/>
      <c r="AD390" s="1729"/>
      <c r="AE390" s="1729"/>
      <c r="AF390" s="1729"/>
      <c r="AG390" s="1729"/>
      <c r="AH390" s="1729"/>
      <c r="AI390" s="1729"/>
      <c r="AJ390" s="1729"/>
      <c r="AK390" s="1729"/>
      <c r="AL390" s="1729"/>
      <c r="AM390" s="1729"/>
      <c r="AN390" s="1729"/>
      <c r="AO390" s="1729"/>
      <c r="AP390" s="1729"/>
      <c r="AQ390" s="1729"/>
      <c r="AR390" s="1729"/>
      <c r="AS390" s="1729"/>
      <c r="AT390" s="1729"/>
      <c r="AU390" s="1729"/>
      <c r="AV390" s="1729"/>
      <c r="AW390" s="1729"/>
      <c r="AX390" s="1729"/>
    </row>
    <row r="391" spans="1:102" ht="12.75" x14ac:dyDescent="0.2">
      <c r="B391" s="190"/>
      <c r="C391" s="190"/>
      <c r="D391" s="42"/>
      <c r="E391" s="42"/>
      <c r="F391" s="42"/>
      <c r="G391" s="42"/>
      <c r="H391" s="42"/>
      <c r="I391" s="191"/>
    </row>
    <row r="392" spans="1:102" ht="12.75" x14ac:dyDescent="0.2">
      <c r="B392" s="190"/>
      <c r="C392" s="190"/>
      <c r="D392" s="42"/>
      <c r="E392" s="42"/>
      <c r="F392" s="42"/>
      <c r="G392" s="42"/>
      <c r="H392" s="42"/>
      <c r="I392" s="191"/>
    </row>
    <row r="393" spans="1:102" ht="12.75" x14ac:dyDescent="0.2">
      <c r="B393" s="190"/>
      <c r="C393" s="190"/>
      <c r="D393" s="42"/>
      <c r="E393" s="42"/>
      <c r="F393" s="42"/>
      <c r="G393" s="42"/>
      <c r="H393" s="42"/>
      <c r="I393" s="191"/>
    </row>
    <row r="394" spans="1:102" ht="12.75" x14ac:dyDescent="0.2">
      <c r="B394" s="190"/>
      <c r="C394" s="190"/>
      <c r="D394" s="42"/>
      <c r="E394" s="42"/>
      <c r="F394" s="42"/>
      <c r="G394" s="42"/>
      <c r="H394" s="42"/>
      <c r="I394" s="191"/>
    </row>
    <row r="395" spans="1:102" ht="12.75" x14ac:dyDescent="0.2">
      <c r="B395" s="190"/>
      <c r="C395" s="190"/>
      <c r="D395" s="42"/>
      <c r="E395" s="42"/>
      <c r="F395" s="42"/>
      <c r="G395" s="42"/>
      <c r="H395" s="42"/>
    </row>
    <row r="396" spans="1:102" ht="12.75" x14ac:dyDescent="0.2">
      <c r="B396" s="190"/>
      <c r="C396" s="190"/>
      <c r="D396" s="42"/>
      <c r="E396" s="42"/>
      <c r="F396" s="42"/>
      <c r="G396" s="42"/>
      <c r="H396" s="42"/>
    </row>
    <row r="397" spans="1:102" ht="12.75" x14ac:dyDescent="0.2">
      <c r="B397" s="190"/>
      <c r="C397" s="190"/>
      <c r="D397" s="42"/>
      <c r="E397" s="42"/>
      <c r="F397" s="42"/>
      <c r="G397" s="42"/>
      <c r="H397" s="42"/>
    </row>
    <row r="398" spans="1:102" ht="12.75" x14ac:dyDescent="0.2">
      <c r="B398" s="190"/>
      <c r="C398" s="190"/>
      <c r="D398" s="42"/>
      <c r="E398" s="42"/>
      <c r="F398" s="42"/>
      <c r="G398" s="42"/>
      <c r="H398" s="42"/>
    </row>
    <row r="399" spans="1:102" ht="12.75" x14ac:dyDescent="0.2">
      <c r="B399" s="190"/>
      <c r="C399" s="190"/>
      <c r="D399" s="42"/>
      <c r="E399" s="42"/>
      <c r="F399" s="42"/>
      <c r="G399" s="42"/>
      <c r="H399" s="42"/>
    </row>
    <row r="400" spans="1:102" ht="12.75" x14ac:dyDescent="0.2">
      <c r="B400" s="190"/>
      <c r="C400" s="190"/>
      <c r="D400" s="42"/>
      <c r="E400" s="42"/>
      <c r="F400" s="42"/>
      <c r="G400" s="42"/>
      <c r="H400" s="42"/>
    </row>
    <row r="401" spans="2:8" ht="12.75" x14ac:dyDescent="0.2">
      <c r="B401" s="190"/>
      <c r="C401" s="190"/>
      <c r="D401" s="42"/>
      <c r="E401" s="42"/>
      <c r="F401" s="42"/>
      <c r="G401" s="42"/>
      <c r="H401" s="42"/>
    </row>
    <row r="402" spans="2:8" ht="12.75" x14ac:dyDescent="0.2">
      <c r="B402" s="190"/>
      <c r="C402" s="190"/>
      <c r="D402" s="42"/>
      <c r="E402" s="42"/>
      <c r="F402" s="42"/>
      <c r="G402" s="42"/>
      <c r="H402" s="42"/>
    </row>
    <row r="403" spans="2:8" ht="12.75" x14ac:dyDescent="0.2">
      <c r="B403" s="190"/>
      <c r="C403" s="190"/>
      <c r="D403" s="191"/>
      <c r="E403" s="191"/>
      <c r="F403" s="191"/>
      <c r="G403" s="191"/>
      <c r="H403" s="191"/>
    </row>
    <row r="404" spans="2:8" ht="12.75" x14ac:dyDescent="0.2">
      <c r="B404" s="190"/>
      <c r="C404" s="190"/>
      <c r="D404" s="191"/>
      <c r="E404" s="191"/>
      <c r="F404" s="191"/>
      <c r="G404" s="191"/>
      <c r="H404" s="191"/>
    </row>
    <row r="405" spans="2:8" x14ac:dyDescent="0.25">
      <c r="B405" s="190"/>
      <c r="C405" s="190"/>
    </row>
    <row r="406" spans="2:8" x14ac:dyDescent="0.25">
      <c r="B406" s="190"/>
      <c r="C406" s="190"/>
    </row>
    <row r="407" spans="2:8" x14ac:dyDescent="0.25">
      <c r="B407" s="190"/>
      <c r="C407" s="190"/>
    </row>
    <row r="408" spans="2:8" x14ac:dyDescent="0.25">
      <c r="B408" s="190"/>
      <c r="C408" s="190"/>
    </row>
    <row r="409" spans="2:8" x14ac:dyDescent="0.25">
      <c r="B409" s="190"/>
      <c r="C409" s="190"/>
    </row>
    <row r="410" spans="2:8" x14ac:dyDescent="0.25">
      <c r="B410" s="190"/>
      <c r="C410" s="190"/>
    </row>
    <row r="411" spans="2:8" x14ac:dyDescent="0.25">
      <c r="B411" s="190"/>
      <c r="C411" s="190"/>
    </row>
    <row r="412" spans="2:8" x14ac:dyDescent="0.25">
      <c r="B412" s="190"/>
      <c r="C412" s="190"/>
    </row>
    <row r="413" spans="2:8" x14ac:dyDescent="0.25">
      <c r="B413" s="190"/>
      <c r="C413" s="190"/>
    </row>
    <row r="414" spans="2:8" x14ac:dyDescent="0.25">
      <c r="B414" s="190"/>
      <c r="C414" s="190"/>
    </row>
    <row r="415" spans="2:8" x14ac:dyDescent="0.25">
      <c r="B415" s="190"/>
      <c r="C415" s="190"/>
    </row>
    <row r="416" spans="2:8" x14ac:dyDescent="0.25">
      <c r="B416" s="190"/>
      <c r="C416" s="190"/>
    </row>
    <row r="417" spans="2:3" x14ac:dyDescent="0.25">
      <c r="B417" s="190"/>
      <c r="C417" s="190"/>
    </row>
    <row r="418" spans="2:3" x14ac:dyDescent="0.25">
      <c r="B418" s="190"/>
      <c r="C418" s="190"/>
    </row>
    <row r="419" spans="2:3" x14ac:dyDescent="0.25">
      <c r="B419" s="190"/>
      <c r="C419" s="190"/>
    </row>
    <row r="420" spans="2:3" x14ac:dyDescent="0.25">
      <c r="B420" s="190"/>
      <c r="C420" s="190"/>
    </row>
    <row r="421" spans="2:3" x14ac:dyDescent="0.25">
      <c r="B421" s="190"/>
      <c r="C421" s="190"/>
    </row>
    <row r="422" spans="2:3" x14ac:dyDescent="0.25">
      <c r="B422" s="190"/>
      <c r="C422" s="190"/>
    </row>
    <row r="423" spans="2:3" x14ac:dyDescent="0.25">
      <c r="B423" s="190"/>
      <c r="C423" s="190"/>
    </row>
    <row r="424" spans="2:3" x14ac:dyDescent="0.25">
      <c r="B424" s="190"/>
      <c r="C424" s="190"/>
    </row>
    <row r="425" spans="2:3" x14ac:dyDescent="0.25">
      <c r="B425" s="190"/>
      <c r="C425" s="190"/>
    </row>
    <row r="426" spans="2:3" x14ac:dyDescent="0.25">
      <c r="B426" s="190"/>
      <c r="C426" s="190"/>
    </row>
    <row r="427" spans="2:3" x14ac:dyDescent="0.25">
      <c r="B427" s="190"/>
      <c r="C427" s="190"/>
    </row>
    <row r="428" spans="2:3" x14ac:dyDescent="0.25">
      <c r="B428" s="190"/>
      <c r="C428" s="190"/>
    </row>
    <row r="429" spans="2:3" x14ac:dyDescent="0.25">
      <c r="B429" s="190"/>
      <c r="C429" s="190"/>
    </row>
    <row r="430" spans="2:3" x14ac:dyDescent="0.25">
      <c r="B430" s="190"/>
      <c r="C430" s="190"/>
    </row>
    <row r="431" spans="2:3" x14ac:dyDescent="0.25">
      <c r="B431" s="190"/>
      <c r="C431" s="190"/>
    </row>
  </sheetData>
  <sheetProtection sheet="1" objects="1" scenarios="1" formatCells="0" formatColumns="0" formatRows="0" insertColumns="0" insertHyperlinks="0" deleteColumns="0" sort="0" autoFilter="0"/>
  <mergeCells count="10">
    <mergeCell ref="B35:C35"/>
    <mergeCell ref="B59:C59"/>
    <mergeCell ref="B84:C84"/>
    <mergeCell ref="BK1:CX2"/>
    <mergeCell ref="I3:I4"/>
    <mergeCell ref="AY1:AY2"/>
    <mergeCell ref="K2:AX2"/>
    <mergeCell ref="AY3:AY4"/>
    <mergeCell ref="AZ3:AZ4"/>
    <mergeCell ref="I1:AX1"/>
  </mergeCells>
  <phoneticPr fontId="20" type="noConversion"/>
  <conditionalFormatting sqref="AZ6">
    <cfRule type="cellIs" dxfId="7" priority="3" operator="between">
      <formula>1</formula>
      <formula>4</formula>
    </cfRule>
  </conditionalFormatting>
  <conditionalFormatting sqref="AZ7:AZ388">
    <cfRule type="cellIs" dxfId="6" priority="1" operator="between">
      <formula>1</formula>
      <formula>4</formula>
    </cfRule>
  </conditionalFormatting>
  <printOptions gridLines="1"/>
  <pageMargins left="0.23" right="0.25" top="0.34" bottom="0.25" header="0.35" footer="0.33"/>
  <pageSetup paperSize="9" orientation="landscape" horizontalDpi="4294967292" verticalDpi="4294967292" r:id="rId1"/>
  <headerFooter alignWithMargins="0"/>
  <ignoredErrors>
    <ignoredError sqref="BK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Line="0" autoPict="0">
                <anchor moveWithCells="1" sizeWithCells="1">
                  <from>
                    <xdr:col>2</xdr:col>
                    <xdr:colOff>1323975</xdr:colOff>
                    <xdr:row>0</xdr:row>
                    <xdr:rowOff>0</xdr:rowOff>
                  </from>
                  <to>
                    <xdr:col>2</xdr:col>
                    <xdr:colOff>3419475</xdr:colOff>
                    <xdr:row>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indexed="46"/>
  </sheetPr>
  <dimension ref="A1:H36"/>
  <sheetViews>
    <sheetView workbookViewId="0">
      <pane xSplit="7" ySplit="2" topLeftCell="H3" activePane="bottomRight" state="frozen"/>
      <selection activeCell="I304" sqref="I304"/>
      <selection pane="topRight" activeCell="I304" sqref="I304"/>
      <selection pane="bottomLeft" activeCell="I304" sqref="I304"/>
      <selection pane="bottomRight" sqref="A1:D1"/>
    </sheetView>
  </sheetViews>
  <sheetFormatPr baseColWidth="10" defaultColWidth="9.140625" defaultRowHeight="15.75" customHeight="1" x14ac:dyDescent="0.2"/>
  <cols>
    <col min="1" max="1" width="2.85546875" style="115" customWidth="1"/>
    <col min="2" max="2" width="27.42578125" style="115" customWidth="1"/>
    <col min="3" max="3" width="23.140625" style="115" customWidth="1"/>
    <col min="4" max="4" width="69.85546875" style="115" customWidth="1"/>
    <col min="5" max="5" width="7.42578125" style="116" customWidth="1"/>
    <col min="6" max="6" width="10.140625" style="116" customWidth="1"/>
    <col min="7" max="7" width="9.28515625" style="42" customWidth="1"/>
    <col min="8" max="8" width="30" style="42" customWidth="1"/>
    <col min="9" max="256" width="11.42578125" style="42" customWidth="1"/>
    <col min="257" max="16384" width="9.140625" style="42"/>
  </cols>
  <sheetData>
    <row r="1" spans="1:8" ht="21" customHeight="1" x14ac:dyDescent="0.2">
      <c r="A1" s="2170" t="s">
        <v>2353</v>
      </c>
      <c r="B1" s="2171"/>
      <c r="C1" s="2171"/>
      <c r="D1" s="2171"/>
      <c r="E1" s="53"/>
      <c r="F1" s="53"/>
      <c r="G1" s="53"/>
      <c r="H1" s="54"/>
    </row>
    <row r="2" spans="1:8" ht="25.5" customHeight="1" x14ac:dyDescent="0.2">
      <c r="A2" s="55"/>
      <c r="B2" s="56" t="s">
        <v>5673</v>
      </c>
      <c r="C2" s="57" t="s">
        <v>3327</v>
      </c>
      <c r="D2" s="58" t="s">
        <v>1853</v>
      </c>
      <c r="E2" s="59" t="s">
        <v>4334</v>
      </c>
      <c r="F2" s="59" t="s">
        <v>1871</v>
      </c>
      <c r="G2" s="59" t="s">
        <v>5313</v>
      </c>
      <c r="H2" s="59" t="s">
        <v>6040</v>
      </c>
    </row>
    <row r="3" spans="1:8" s="41" customFormat="1" ht="15.75" customHeight="1" thickBot="1" x14ac:dyDescent="0.25">
      <c r="A3" s="60" t="s">
        <v>5672</v>
      </c>
      <c r="B3" s="61"/>
      <c r="C3" s="62"/>
      <c r="D3" s="1128"/>
      <c r="E3" s="1129"/>
      <c r="F3" s="63"/>
      <c r="G3" s="64"/>
      <c r="H3" s="65"/>
    </row>
    <row r="4" spans="1:8" s="41" customFormat="1" ht="15.75" customHeight="1" x14ac:dyDescent="0.2">
      <c r="A4" s="66"/>
      <c r="B4" s="2166" t="s">
        <v>6681</v>
      </c>
      <c r="C4" s="67" t="s">
        <v>6682</v>
      </c>
      <c r="D4" s="1130" t="s">
        <v>6065</v>
      </c>
      <c r="E4" s="1131" t="s">
        <v>6683</v>
      </c>
      <c r="F4" s="70" t="s">
        <v>6069</v>
      </c>
      <c r="G4" s="71">
        <v>1</v>
      </c>
      <c r="H4" s="72"/>
    </row>
    <row r="5" spans="1:8" s="41" customFormat="1" ht="15.75" customHeight="1" x14ac:dyDescent="0.2">
      <c r="A5" s="73"/>
      <c r="B5" s="2167"/>
      <c r="C5" s="74" t="s">
        <v>1531</v>
      </c>
      <c r="D5" s="1132" t="s">
        <v>6073</v>
      </c>
      <c r="E5" s="1133" t="s">
        <v>1873</v>
      </c>
      <c r="F5" s="77" t="s">
        <v>6067</v>
      </c>
      <c r="G5" s="78">
        <v>1</v>
      </c>
      <c r="H5" s="72"/>
    </row>
    <row r="6" spans="1:8" s="41" customFormat="1" ht="15.75" customHeight="1" x14ac:dyDescent="0.2">
      <c r="A6" s="79"/>
      <c r="B6" s="2167"/>
      <c r="C6" s="74" t="s">
        <v>5556</v>
      </c>
      <c r="D6" s="1132" t="s">
        <v>6424</v>
      </c>
      <c r="E6" s="1133" t="s">
        <v>4811</v>
      </c>
      <c r="F6" s="77" t="s">
        <v>6739</v>
      </c>
      <c r="G6" s="78">
        <v>1</v>
      </c>
      <c r="H6" s="72"/>
    </row>
    <row r="7" spans="1:8" s="41" customFormat="1" ht="15.75" customHeight="1" x14ac:dyDescent="0.2">
      <c r="A7" s="73"/>
      <c r="B7" s="2167"/>
      <c r="C7" s="80" t="s">
        <v>2779</v>
      </c>
      <c r="D7" s="1134" t="s">
        <v>6066</v>
      </c>
      <c r="E7" s="1135" t="s">
        <v>1873</v>
      </c>
      <c r="F7" s="81" t="s">
        <v>6068</v>
      </c>
      <c r="G7" s="82">
        <v>1</v>
      </c>
      <c r="H7" s="72"/>
    </row>
    <row r="8" spans="1:8" s="41" customFormat="1" ht="15.75" customHeight="1" x14ac:dyDescent="0.2">
      <c r="A8" s="73"/>
      <c r="B8" s="2167"/>
      <c r="C8" s="74" t="s">
        <v>6074</v>
      </c>
      <c r="D8" s="1132" t="s">
        <v>6075</v>
      </c>
      <c r="E8" s="1133" t="s">
        <v>4638</v>
      </c>
      <c r="F8" s="77" t="s">
        <v>6076</v>
      </c>
      <c r="G8" s="78">
        <v>1</v>
      </c>
      <c r="H8" s="72"/>
    </row>
    <row r="9" spans="1:8" s="41" customFormat="1" ht="15.75" customHeight="1" thickBot="1" x14ac:dyDescent="0.25">
      <c r="A9" s="73"/>
      <c r="B9" s="2167"/>
      <c r="C9" s="74" t="s">
        <v>5162</v>
      </c>
      <c r="D9" s="1132" t="s">
        <v>6632</v>
      </c>
      <c r="E9" s="1133" t="s">
        <v>4638</v>
      </c>
      <c r="F9" s="77" t="s">
        <v>5557</v>
      </c>
      <c r="G9" s="78">
        <v>1</v>
      </c>
      <c r="H9" s="72"/>
    </row>
    <row r="10" spans="1:8" s="41" customFormat="1" ht="15.75" customHeight="1" x14ac:dyDescent="0.2">
      <c r="A10" s="66"/>
      <c r="B10" s="2166" t="s">
        <v>4857</v>
      </c>
      <c r="C10" s="67" t="s">
        <v>1602</v>
      </c>
      <c r="D10" s="1130" t="s">
        <v>2044</v>
      </c>
      <c r="E10" s="1131" t="s">
        <v>1873</v>
      </c>
      <c r="F10" s="70" t="s">
        <v>6077</v>
      </c>
      <c r="G10" s="71">
        <v>1</v>
      </c>
      <c r="H10" s="72"/>
    </row>
    <row r="11" spans="1:8" s="41" customFormat="1" ht="15.75" customHeight="1" thickBot="1" x14ac:dyDescent="0.25">
      <c r="A11" s="83"/>
      <c r="B11" s="2168"/>
      <c r="C11" s="84" t="s">
        <v>4498</v>
      </c>
      <c r="D11" s="1136" t="s">
        <v>3286</v>
      </c>
      <c r="E11" s="1137" t="s">
        <v>1873</v>
      </c>
      <c r="F11" s="87" t="s">
        <v>6078</v>
      </c>
      <c r="G11" s="88">
        <v>1</v>
      </c>
      <c r="H11" s="72"/>
    </row>
    <row r="12" spans="1:8" s="41" customFormat="1" ht="15.75" customHeight="1" x14ac:dyDescent="0.2">
      <c r="A12" s="66"/>
      <c r="B12" s="2166" t="s">
        <v>3287</v>
      </c>
      <c r="C12" s="67" t="s">
        <v>1875</v>
      </c>
      <c r="D12" s="1130" t="s">
        <v>3288</v>
      </c>
      <c r="E12" s="1131" t="s">
        <v>1873</v>
      </c>
      <c r="F12" s="70" t="s">
        <v>5439</v>
      </c>
      <c r="G12" s="71">
        <v>1</v>
      </c>
      <c r="H12" s="72"/>
    </row>
    <row r="13" spans="1:8" s="41" customFormat="1" ht="15.75" customHeight="1" x14ac:dyDescent="0.2">
      <c r="A13" s="73"/>
      <c r="B13" s="2167"/>
      <c r="C13" s="74" t="s">
        <v>1531</v>
      </c>
      <c r="D13" s="1132" t="s">
        <v>1530</v>
      </c>
      <c r="E13" s="1133" t="s">
        <v>1873</v>
      </c>
      <c r="F13" s="77" t="s">
        <v>5440</v>
      </c>
      <c r="G13" s="78">
        <v>1</v>
      </c>
      <c r="H13" s="72"/>
    </row>
    <row r="14" spans="1:8" s="41" customFormat="1" ht="15.75" customHeight="1" thickBot="1" x14ac:dyDescent="0.25">
      <c r="A14" s="83"/>
      <c r="B14" s="2168"/>
      <c r="C14" s="84" t="s">
        <v>4617</v>
      </c>
      <c r="D14" s="1136" t="s">
        <v>6063</v>
      </c>
      <c r="E14" s="1137" t="s">
        <v>1873</v>
      </c>
      <c r="F14" s="87" t="s">
        <v>6064</v>
      </c>
      <c r="G14" s="88">
        <v>1</v>
      </c>
      <c r="H14" s="72"/>
    </row>
    <row r="15" spans="1:8" s="92" customFormat="1" ht="26.25" customHeight="1" thickBot="1" x14ac:dyDescent="0.25">
      <c r="A15" s="89"/>
      <c r="B15" s="90" t="s">
        <v>3849</v>
      </c>
      <c r="C15" s="84" t="s">
        <v>6296</v>
      </c>
      <c r="D15" s="1136" t="s">
        <v>6425</v>
      </c>
      <c r="E15" s="1137" t="s">
        <v>1873</v>
      </c>
      <c r="F15" s="87" t="s">
        <v>6080</v>
      </c>
      <c r="G15" s="88">
        <v>1</v>
      </c>
      <c r="H15" s="91"/>
    </row>
    <row r="16" spans="1:8" s="41" customFormat="1" ht="15.75" customHeight="1" x14ac:dyDescent="0.2">
      <c r="A16" s="66"/>
      <c r="B16" s="2166" t="s">
        <v>1852</v>
      </c>
      <c r="C16" s="67" t="s">
        <v>1875</v>
      </c>
      <c r="D16" s="1130" t="s">
        <v>3916</v>
      </c>
      <c r="E16" s="1131" t="s">
        <v>1873</v>
      </c>
      <c r="F16" s="70" t="s">
        <v>6070</v>
      </c>
      <c r="G16" s="71">
        <v>1</v>
      </c>
      <c r="H16" s="72"/>
    </row>
    <row r="17" spans="1:8" s="41" customFormat="1" ht="15.75" customHeight="1" x14ac:dyDescent="0.2">
      <c r="A17" s="79"/>
      <c r="B17" s="2167"/>
      <c r="C17" s="93" t="s">
        <v>4498</v>
      </c>
      <c r="D17" s="1138" t="s">
        <v>6072</v>
      </c>
      <c r="E17" s="1139" t="s">
        <v>1873</v>
      </c>
      <c r="F17" s="96" t="s">
        <v>6071</v>
      </c>
      <c r="G17" s="97">
        <v>1</v>
      </c>
      <c r="H17" s="72"/>
    </row>
    <row r="18" spans="1:8" s="41" customFormat="1" ht="15.75" customHeight="1" x14ac:dyDescent="0.2">
      <c r="A18" s="79"/>
      <c r="B18" s="2167"/>
      <c r="C18" s="93" t="s">
        <v>6758</v>
      </c>
      <c r="D18" s="1138" t="s">
        <v>6072</v>
      </c>
      <c r="E18" s="1139" t="s">
        <v>4638</v>
      </c>
      <c r="F18" s="96" t="s">
        <v>4612</v>
      </c>
      <c r="G18" s="97">
        <v>1</v>
      </c>
      <c r="H18" s="72"/>
    </row>
    <row r="19" spans="1:8" s="41" customFormat="1" ht="15.75" customHeight="1" thickBot="1" x14ac:dyDescent="0.25">
      <c r="A19" s="83"/>
      <c r="B19" s="2167"/>
      <c r="C19" s="74" t="s">
        <v>2777</v>
      </c>
      <c r="D19" s="1132" t="s">
        <v>3917</v>
      </c>
      <c r="E19" s="1133" t="s">
        <v>1873</v>
      </c>
      <c r="F19" s="77" t="s">
        <v>4610</v>
      </c>
      <c r="G19" s="78">
        <v>1</v>
      </c>
      <c r="H19" s="72"/>
    </row>
    <row r="20" spans="1:8" s="41" customFormat="1" ht="15.75" customHeight="1" thickBot="1" x14ac:dyDescent="0.25">
      <c r="A20" s="89"/>
      <c r="B20" s="98" t="s">
        <v>5927</v>
      </c>
      <c r="C20" s="98" t="s">
        <v>6296</v>
      </c>
      <c r="D20" s="1140" t="s">
        <v>6532</v>
      </c>
      <c r="E20" s="1141" t="s">
        <v>4638</v>
      </c>
      <c r="F20" s="101" t="s">
        <v>6079</v>
      </c>
      <c r="G20" s="102">
        <v>1</v>
      </c>
      <c r="H20" s="72"/>
    </row>
    <row r="21" spans="1:8" s="41" customFormat="1" ht="15.75" customHeight="1" thickBot="1" x14ac:dyDescent="0.25">
      <c r="A21" s="60" t="s">
        <v>5926</v>
      </c>
      <c r="B21" s="61"/>
      <c r="C21" s="62"/>
      <c r="D21" s="1128"/>
      <c r="E21" s="1129"/>
      <c r="F21" s="63"/>
      <c r="G21" s="103"/>
      <c r="H21" s="72"/>
    </row>
    <row r="22" spans="1:8" s="41" customFormat="1" ht="26.25" thickBot="1" x14ac:dyDescent="0.25">
      <c r="A22" s="89"/>
      <c r="B22" s="98" t="s">
        <v>3915</v>
      </c>
      <c r="C22" s="98" t="s">
        <v>4498</v>
      </c>
      <c r="D22" s="99" t="s">
        <v>1956</v>
      </c>
      <c r="E22" s="100" t="s">
        <v>1873</v>
      </c>
      <c r="F22" s="101" t="s">
        <v>4616</v>
      </c>
      <c r="G22" s="102">
        <v>1</v>
      </c>
      <c r="H22" s="72"/>
    </row>
    <row r="23" spans="1:8" s="41" customFormat="1" ht="15.75" customHeight="1" x14ac:dyDescent="0.2">
      <c r="A23" s="66"/>
      <c r="B23" s="2169" t="s">
        <v>5337</v>
      </c>
      <c r="C23" s="67" t="s">
        <v>6682</v>
      </c>
      <c r="D23" s="68" t="s">
        <v>5588</v>
      </c>
      <c r="E23" s="69" t="s">
        <v>4638</v>
      </c>
      <c r="F23" s="70" t="s">
        <v>4615</v>
      </c>
      <c r="G23" s="71">
        <v>1</v>
      </c>
      <c r="H23" s="72"/>
    </row>
    <row r="24" spans="1:8" s="41" customFormat="1" ht="15.75" customHeight="1" x14ac:dyDescent="0.2">
      <c r="A24" s="73"/>
      <c r="B24" s="1950"/>
      <c r="C24" s="74" t="s">
        <v>2794</v>
      </c>
      <c r="D24" s="75" t="s">
        <v>4614</v>
      </c>
      <c r="E24" s="76" t="s">
        <v>4811</v>
      </c>
      <c r="F24" s="77" t="s">
        <v>5555</v>
      </c>
      <c r="G24" s="78">
        <v>1</v>
      </c>
      <c r="H24" s="72"/>
    </row>
    <row r="25" spans="1:8" s="41" customFormat="1" ht="15.75" customHeight="1" thickBot="1" x14ac:dyDescent="0.25">
      <c r="A25" s="83"/>
      <c r="B25" s="1958"/>
      <c r="C25" s="84" t="s">
        <v>5460</v>
      </c>
      <c r="D25" s="85" t="s">
        <v>5153</v>
      </c>
      <c r="E25" s="86" t="s">
        <v>6684</v>
      </c>
      <c r="F25" s="87" t="s">
        <v>4613</v>
      </c>
      <c r="G25" s="88">
        <v>1</v>
      </c>
      <c r="H25" s="72"/>
    </row>
    <row r="26" spans="1:8" s="41" customFormat="1" ht="15.75" customHeight="1" x14ac:dyDescent="0.2">
      <c r="A26" s="66"/>
      <c r="B26" s="2172" t="s">
        <v>2840</v>
      </c>
      <c r="C26" s="67" t="s">
        <v>6682</v>
      </c>
      <c r="D26" s="68" t="s">
        <v>6759</v>
      </c>
      <c r="E26" s="69" t="s">
        <v>4638</v>
      </c>
      <c r="F26" s="70" t="s">
        <v>3741</v>
      </c>
      <c r="G26" s="71">
        <v>1</v>
      </c>
      <c r="H26" s="72"/>
    </row>
    <row r="27" spans="1:8" s="41" customFormat="1" ht="15.75" customHeight="1" x14ac:dyDescent="0.2">
      <c r="A27" s="73"/>
      <c r="B27" s="2173"/>
      <c r="C27" s="93" t="s">
        <v>2794</v>
      </c>
      <c r="D27" s="94" t="s">
        <v>5553</v>
      </c>
      <c r="E27" s="95" t="s">
        <v>4811</v>
      </c>
      <c r="F27" s="96" t="s">
        <v>5554</v>
      </c>
      <c r="G27" s="97">
        <v>1</v>
      </c>
      <c r="H27" s="72"/>
    </row>
    <row r="28" spans="1:8" s="41" customFormat="1" ht="15.75" customHeight="1" x14ac:dyDescent="0.2">
      <c r="A28" s="73"/>
      <c r="B28" s="2173"/>
      <c r="C28" s="74" t="s">
        <v>2779</v>
      </c>
      <c r="D28" s="75" t="s">
        <v>4731</v>
      </c>
      <c r="E28" s="76" t="s">
        <v>1873</v>
      </c>
      <c r="F28" s="77" t="s">
        <v>3739</v>
      </c>
      <c r="G28" s="78">
        <v>1</v>
      </c>
      <c r="H28" s="72"/>
    </row>
    <row r="29" spans="1:8" s="41" customFormat="1" ht="15.75" customHeight="1" thickBot="1" x14ac:dyDescent="0.25">
      <c r="A29" s="83"/>
      <c r="B29" s="2174"/>
      <c r="C29" s="84" t="s">
        <v>5162</v>
      </c>
      <c r="D29" s="85" t="s">
        <v>4042</v>
      </c>
      <c r="E29" s="86" t="s">
        <v>1873</v>
      </c>
      <c r="F29" s="87" t="s">
        <v>3740</v>
      </c>
      <c r="G29" s="88">
        <v>1</v>
      </c>
      <c r="H29" s="72"/>
    </row>
    <row r="30" spans="1:8" s="41" customFormat="1" ht="15.75" customHeight="1" x14ac:dyDescent="0.2">
      <c r="A30" s="66"/>
      <c r="B30" s="2166" t="s">
        <v>4730</v>
      </c>
      <c r="C30" s="67" t="s">
        <v>1875</v>
      </c>
      <c r="D30" s="68" t="s">
        <v>4732</v>
      </c>
      <c r="E30" s="69" t="s">
        <v>1873</v>
      </c>
      <c r="F30" s="70" t="s">
        <v>6070</v>
      </c>
      <c r="G30" s="71">
        <v>1</v>
      </c>
      <c r="H30" s="72"/>
    </row>
    <row r="31" spans="1:8" s="41" customFormat="1" ht="15.75" customHeight="1" x14ac:dyDescent="0.2">
      <c r="A31" s="73"/>
      <c r="B31" s="2167"/>
      <c r="C31" s="74" t="s">
        <v>4498</v>
      </c>
      <c r="D31" s="75" t="s">
        <v>6000</v>
      </c>
      <c r="E31" s="76" t="s">
        <v>6684</v>
      </c>
      <c r="F31" s="77" t="s">
        <v>6071</v>
      </c>
      <c r="G31" s="78">
        <v>1</v>
      </c>
      <c r="H31" s="72"/>
    </row>
    <row r="32" spans="1:8" s="41" customFormat="1" ht="15.75" customHeight="1" x14ac:dyDescent="0.2">
      <c r="A32" s="73"/>
      <c r="B32" s="2167"/>
      <c r="C32" s="74" t="s">
        <v>3742</v>
      </c>
      <c r="D32" s="75" t="s">
        <v>4609</v>
      </c>
      <c r="E32" s="76" t="s">
        <v>6684</v>
      </c>
      <c r="F32" s="77" t="s">
        <v>4611</v>
      </c>
      <c r="G32" s="78">
        <v>1</v>
      </c>
      <c r="H32" s="72"/>
    </row>
    <row r="33" spans="1:8" s="41" customFormat="1" ht="15.75" customHeight="1" x14ac:dyDescent="0.2">
      <c r="A33" s="79"/>
      <c r="B33" s="2167"/>
      <c r="C33" s="93" t="s">
        <v>6758</v>
      </c>
      <c r="D33" s="94" t="s">
        <v>2839</v>
      </c>
      <c r="E33" s="95" t="s">
        <v>6684</v>
      </c>
      <c r="F33" s="96" t="s">
        <v>4612</v>
      </c>
      <c r="G33" s="97">
        <v>1</v>
      </c>
      <c r="H33" s="72"/>
    </row>
    <row r="34" spans="1:8" s="41" customFormat="1" ht="15.75" customHeight="1" thickBot="1" x14ac:dyDescent="0.25">
      <c r="A34" s="83"/>
      <c r="B34" s="2168"/>
      <c r="C34" s="84" t="s">
        <v>2777</v>
      </c>
      <c r="D34" s="85" t="s">
        <v>4733</v>
      </c>
      <c r="E34" s="86" t="s">
        <v>1873</v>
      </c>
      <c r="F34" s="87" t="s">
        <v>4610</v>
      </c>
      <c r="G34" s="88">
        <v>1</v>
      </c>
      <c r="H34" s="72"/>
    </row>
    <row r="35" spans="1:8" s="41" customFormat="1" ht="15.75" customHeight="1" thickBot="1" x14ac:dyDescent="0.25">
      <c r="A35" s="104" t="s">
        <v>2006</v>
      </c>
      <c r="B35" s="105"/>
      <c r="C35" s="106"/>
      <c r="D35" s="106"/>
      <c r="E35" s="100"/>
      <c r="F35" s="101"/>
      <c r="G35" s="102"/>
      <c r="H35" s="72"/>
    </row>
    <row r="36" spans="1:8" s="41" customFormat="1" ht="26.25" thickBot="1" x14ac:dyDescent="0.25">
      <c r="A36" s="107"/>
      <c r="B36" s="108" t="s">
        <v>2007</v>
      </c>
      <c r="C36" s="109" t="s">
        <v>5558</v>
      </c>
      <c r="D36" s="110" t="s">
        <v>3828</v>
      </c>
      <c r="E36" s="111" t="s">
        <v>6403</v>
      </c>
      <c r="F36" s="112" t="s">
        <v>3829</v>
      </c>
      <c r="G36" s="113">
        <v>1</v>
      </c>
      <c r="H36" s="114"/>
    </row>
  </sheetData>
  <sheetProtection sheet="1" objects="1" scenarios="1"/>
  <autoFilter ref="G4:G9"/>
  <mergeCells count="8">
    <mergeCell ref="B30:B34"/>
    <mergeCell ref="B23:B25"/>
    <mergeCell ref="B12:B14"/>
    <mergeCell ref="B4:B9"/>
    <mergeCell ref="A1:D1"/>
    <mergeCell ref="B16:B19"/>
    <mergeCell ref="B10:B11"/>
    <mergeCell ref="B26:B29"/>
  </mergeCells>
  <phoneticPr fontId="5" type="noConversion"/>
  <dataValidations count="1">
    <dataValidation type="whole" allowBlank="1" showInputMessage="1" showErrorMessage="1" sqref="G3:G36">
      <formula1>0</formula1>
      <formula2>1</formula2>
    </dataValidation>
  </dataValidations>
  <printOptions gridLines="1"/>
  <pageMargins left="0.28000000000000003" right="0.39" top="0.31" bottom="0.33" header="0.28000000000000003" footer="0.51180555555555562"/>
  <pageSetup paperSize="9" firstPageNumber="0" orientation="landscape" horizontalDpi="300" verticalDpi="300" r:id="rId1"/>
  <headerFooter alignWithMargins="0"/>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indexed="46"/>
  </sheetPr>
  <dimension ref="A1:I15"/>
  <sheetViews>
    <sheetView workbookViewId="0">
      <selection sqref="A1:I1"/>
    </sheetView>
  </sheetViews>
  <sheetFormatPr baseColWidth="10" defaultColWidth="11.42578125" defaultRowHeight="15" x14ac:dyDescent="0.3"/>
  <cols>
    <col min="1" max="2" width="11.42578125" style="52"/>
    <col min="3" max="3" width="6.140625" style="52" customWidth="1"/>
    <col min="4" max="7" width="4.7109375" style="52" customWidth="1"/>
    <col min="8" max="8" width="11.42578125" style="52"/>
    <col min="9" max="9" width="21.42578125" style="52" customWidth="1"/>
    <col min="10" max="16384" width="11.42578125" style="39"/>
  </cols>
  <sheetData>
    <row r="1" spans="1:9" ht="18" x14ac:dyDescent="0.25">
      <c r="A1" s="2176" t="s">
        <v>1224</v>
      </c>
      <c r="B1" s="2176"/>
      <c r="C1" s="2176"/>
      <c r="D1" s="2176"/>
      <c r="E1" s="2176"/>
      <c r="F1" s="2176"/>
      <c r="G1" s="2176"/>
      <c r="H1" s="2176"/>
      <c r="I1" s="2176"/>
    </row>
    <row r="2" spans="1:9" ht="12.75" x14ac:dyDescent="0.2">
      <c r="A2" s="40"/>
      <c r="B2" s="40"/>
      <c r="C2" s="40"/>
      <c r="D2" s="40"/>
      <c r="E2" s="40"/>
      <c r="F2" s="40"/>
      <c r="G2" s="40"/>
      <c r="H2" s="40"/>
      <c r="I2" s="40"/>
    </row>
    <row r="3" spans="1:9" ht="12.75" x14ac:dyDescent="0.2">
      <c r="A3" s="40"/>
      <c r="B3" s="40"/>
      <c r="C3" s="40"/>
      <c r="D3" s="40"/>
      <c r="E3" s="40"/>
      <c r="F3" s="40"/>
      <c r="G3" s="40"/>
      <c r="H3" s="40"/>
      <c r="I3" s="40"/>
    </row>
    <row r="4" spans="1:9" ht="15.75" x14ac:dyDescent="0.25">
      <c r="A4" s="40"/>
      <c r="B4" s="40"/>
      <c r="C4" s="51" t="s">
        <v>1225</v>
      </c>
      <c r="D4" s="40"/>
      <c r="E4" s="40"/>
      <c r="F4" s="40"/>
      <c r="G4" s="40"/>
      <c r="H4" s="40"/>
      <c r="I4" s="41" t="s">
        <v>7099</v>
      </c>
    </row>
    <row r="5" spans="1:9" ht="6.75" customHeight="1" x14ac:dyDescent="0.25">
      <c r="A5" s="40"/>
      <c r="B5" s="40"/>
      <c r="C5" s="51"/>
      <c r="D5" s="40"/>
      <c r="E5" s="40"/>
      <c r="F5" s="40"/>
      <c r="G5" s="40"/>
      <c r="H5" s="40"/>
      <c r="I5" s="42"/>
    </row>
    <row r="6" spans="1:9" ht="18" customHeight="1" x14ac:dyDescent="0.25">
      <c r="A6" s="40"/>
      <c r="B6" s="40"/>
      <c r="C6" s="1289">
        <v>4</v>
      </c>
      <c r="D6" s="43">
        <v>2</v>
      </c>
      <c r="E6" s="44">
        <v>3</v>
      </c>
      <c r="F6" s="45">
        <v>4</v>
      </c>
      <c r="G6" s="45">
        <v>4</v>
      </c>
      <c r="H6" s="40"/>
      <c r="I6" s="41" t="s">
        <v>7100</v>
      </c>
    </row>
    <row r="7" spans="1:9" ht="18" customHeight="1" x14ac:dyDescent="0.25">
      <c r="A7" s="40"/>
      <c r="B7" s="40"/>
      <c r="C7" s="1289">
        <v>3</v>
      </c>
      <c r="D7" s="43">
        <v>2</v>
      </c>
      <c r="E7" s="44">
        <v>3</v>
      </c>
      <c r="F7" s="44">
        <v>3</v>
      </c>
      <c r="G7" s="45">
        <v>4</v>
      </c>
      <c r="H7" s="40"/>
      <c r="I7" s="46" t="s">
        <v>7102</v>
      </c>
    </row>
    <row r="8" spans="1:9" ht="18" customHeight="1" x14ac:dyDescent="0.25">
      <c r="A8" s="40"/>
      <c r="B8" s="40"/>
      <c r="C8" s="1289">
        <v>2</v>
      </c>
      <c r="D8" s="47">
        <v>1</v>
      </c>
      <c r="E8" s="43">
        <v>2</v>
      </c>
      <c r="F8" s="43">
        <v>2</v>
      </c>
      <c r="G8" s="44">
        <v>3</v>
      </c>
      <c r="H8" s="40"/>
      <c r="I8" s="48" t="s">
        <v>7098</v>
      </c>
    </row>
    <row r="9" spans="1:9" ht="18" customHeight="1" x14ac:dyDescent="0.25">
      <c r="A9" s="40"/>
      <c r="B9" s="40"/>
      <c r="C9" s="1289">
        <v>1</v>
      </c>
      <c r="D9" s="47">
        <v>1</v>
      </c>
      <c r="E9" s="47">
        <v>1</v>
      </c>
      <c r="F9" s="47">
        <v>1</v>
      </c>
      <c r="G9" s="43">
        <v>2</v>
      </c>
      <c r="H9" s="40"/>
      <c r="I9" s="49" t="s">
        <v>7103</v>
      </c>
    </row>
    <row r="10" spans="1:9" ht="20.25" customHeight="1" x14ac:dyDescent="0.25">
      <c r="A10" s="40"/>
      <c r="B10" s="40"/>
      <c r="C10" s="1288"/>
      <c r="D10" s="1289">
        <v>1</v>
      </c>
      <c r="E10" s="1289">
        <v>2</v>
      </c>
      <c r="F10" s="1289">
        <v>3</v>
      </c>
      <c r="G10" s="1289">
        <v>4</v>
      </c>
      <c r="H10" s="40"/>
      <c r="I10" s="50" t="s">
        <v>7101</v>
      </c>
    </row>
    <row r="11" spans="1:9" ht="15.75" x14ac:dyDescent="0.25">
      <c r="A11" s="40"/>
      <c r="B11" s="40"/>
      <c r="C11" s="40"/>
      <c r="D11" s="2175" t="s">
        <v>1226</v>
      </c>
      <c r="E11" s="2175"/>
      <c r="F11" s="2175"/>
      <c r="G11" s="2175"/>
      <c r="H11" s="40"/>
      <c r="I11" s="40"/>
    </row>
    <row r="15" spans="1:9" ht="26.25" customHeight="1" x14ac:dyDescent="0.3"/>
  </sheetData>
  <sheetProtection sheet="1" objects="1" scenarios="1"/>
  <mergeCells count="2">
    <mergeCell ref="D11:G11"/>
    <mergeCell ref="A1:I1"/>
  </mergeCells>
  <phoneticPr fontId="20" type="noConversion"/>
  <pageMargins left="0.75" right="0.75" top="1" bottom="1" header="0.4921259845" footer="0.4921259845"/>
  <pageSetup paperSize="9" orientation="portrait" horizontalDpi="4294967293" r:id="rId1"/>
  <headerFooter alignWithMargins="0">
    <oddFooter>&amp;L&amp;9&amp;F ! &amp;A&amp;C&amp;9&amp;P&amp;R&amp;9Décembre 2006</oddFooter>
  </headerFooter>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tabColor indexed="46"/>
  </sheetPr>
  <dimension ref="A1:BF82"/>
  <sheetViews>
    <sheetView workbookViewId="0"/>
  </sheetViews>
  <sheetFormatPr baseColWidth="10" defaultColWidth="11.42578125" defaultRowHeight="15" x14ac:dyDescent="0.3"/>
  <cols>
    <col min="1" max="1" width="3.7109375" style="18" customWidth="1"/>
    <col min="2" max="2" width="2.85546875" style="18" customWidth="1"/>
    <col min="3" max="7" width="2.85546875" style="19" customWidth="1"/>
    <col min="8" max="8" width="5.7109375" style="18" customWidth="1"/>
    <col min="9" max="14" width="2.7109375" style="18" customWidth="1"/>
    <col min="15" max="15" width="5.7109375" style="18" customWidth="1"/>
    <col min="16" max="21" width="2.7109375" style="18" customWidth="1"/>
    <col min="22" max="22" width="5.7109375" style="18" customWidth="1"/>
    <col min="23" max="28" width="2.7109375" style="18" customWidth="1"/>
    <col min="29" max="29" width="5.7109375" style="18" customWidth="1"/>
    <col min="30" max="31" width="11.42578125" style="20"/>
    <col min="32" max="37" width="2.85546875" style="20" customWidth="1"/>
    <col min="38" max="38" width="4.85546875" style="20" customWidth="1"/>
    <col min="39" max="44" width="3.42578125" style="20" customWidth="1"/>
    <col min="45" max="45" width="3.28515625" style="20" customWidth="1"/>
    <col min="46" max="51" width="3.140625" style="20" customWidth="1"/>
    <col min="52" max="52" width="4.42578125" style="20" customWidth="1"/>
    <col min="53" max="58" width="3.28515625" style="20" customWidth="1"/>
    <col min="59" max="16384" width="11.42578125" style="20"/>
  </cols>
  <sheetData>
    <row r="1" spans="1:58" ht="22.5" x14ac:dyDescent="0.45">
      <c r="A1" s="17" t="s">
        <v>1422</v>
      </c>
    </row>
    <row r="2" spans="1:58" ht="16.5" x14ac:dyDescent="0.35">
      <c r="A2" s="21"/>
      <c r="J2" s="19"/>
      <c r="K2" s="19"/>
      <c r="L2" s="19"/>
      <c r="M2" s="19"/>
      <c r="N2" s="19"/>
      <c r="Q2" s="19"/>
      <c r="R2" s="19"/>
      <c r="S2" s="19"/>
      <c r="T2" s="19"/>
      <c r="U2" s="19"/>
      <c r="X2" s="19"/>
      <c r="Y2" s="19"/>
      <c r="Z2" s="19"/>
      <c r="AA2" s="19"/>
      <c r="AB2" s="19"/>
    </row>
    <row r="3" spans="1:58" ht="17.25" customHeight="1" x14ac:dyDescent="0.4">
      <c r="A3" s="22" t="s">
        <v>1423</v>
      </c>
    </row>
    <row r="4" spans="1:58" ht="3" customHeight="1" x14ac:dyDescent="0.3"/>
    <row r="5" spans="1:58" ht="14.25" x14ac:dyDescent="0.3">
      <c r="A5" s="23"/>
      <c r="B5" s="23"/>
      <c r="C5" s="2177" t="s">
        <v>1424</v>
      </c>
      <c r="D5" s="2177"/>
      <c r="E5" s="2177"/>
      <c r="F5" s="2177"/>
      <c r="G5" s="2177"/>
      <c r="H5" s="23"/>
      <c r="I5" s="23"/>
      <c r="J5" s="2177" t="s">
        <v>1425</v>
      </c>
      <c r="K5" s="2177"/>
      <c r="L5" s="2177"/>
      <c r="M5" s="2177"/>
      <c r="N5" s="2177"/>
      <c r="O5" s="23"/>
      <c r="P5" s="23"/>
      <c r="Q5" s="2177" t="s">
        <v>1426</v>
      </c>
      <c r="R5" s="2177"/>
      <c r="S5" s="2177"/>
      <c r="T5" s="2177"/>
      <c r="U5" s="2177"/>
      <c r="V5" s="23"/>
      <c r="W5" s="23"/>
      <c r="X5" s="2177" t="s">
        <v>1427</v>
      </c>
      <c r="Y5" s="2177"/>
      <c r="Z5" s="2177"/>
      <c r="AA5" s="2177"/>
      <c r="AB5" s="2177"/>
      <c r="AC5" s="23"/>
    </row>
    <row r="6" spans="1:58" ht="3.75" customHeight="1" x14ac:dyDescent="0.3">
      <c r="J6" s="19"/>
      <c r="K6" s="19"/>
      <c r="L6" s="19"/>
      <c r="M6" s="19"/>
      <c r="N6" s="19"/>
      <c r="Q6" s="19"/>
      <c r="R6" s="19"/>
      <c r="S6" s="19"/>
      <c r="T6" s="19"/>
      <c r="U6" s="19"/>
      <c r="X6" s="19"/>
      <c r="Y6" s="19"/>
      <c r="Z6" s="19"/>
      <c r="AA6" s="19"/>
      <c r="AB6" s="19"/>
    </row>
    <row r="7" spans="1:58" ht="14.25" x14ac:dyDescent="0.3">
      <c r="A7" s="23"/>
      <c r="B7" s="24" t="s">
        <v>4811</v>
      </c>
      <c r="C7" s="25">
        <v>4</v>
      </c>
      <c r="D7" s="26">
        <v>1</v>
      </c>
      <c r="E7" s="26">
        <v>1</v>
      </c>
      <c r="F7" s="26">
        <v>1</v>
      </c>
      <c r="G7" s="26">
        <v>1</v>
      </c>
      <c r="H7" s="23"/>
      <c r="I7" s="24" t="s">
        <v>4811</v>
      </c>
      <c r="J7" s="25">
        <v>4</v>
      </c>
      <c r="K7" s="26">
        <v>2</v>
      </c>
      <c r="L7" s="26">
        <v>2</v>
      </c>
      <c r="M7" s="26">
        <v>1</v>
      </c>
      <c r="N7" s="26">
        <v>1</v>
      </c>
      <c r="O7" s="23"/>
      <c r="P7" s="24" t="s">
        <v>4811</v>
      </c>
      <c r="Q7" s="25">
        <v>4</v>
      </c>
      <c r="R7" s="26">
        <v>2</v>
      </c>
      <c r="S7" s="26">
        <v>2</v>
      </c>
      <c r="T7" s="26">
        <v>1</v>
      </c>
      <c r="U7" s="26">
        <v>1</v>
      </c>
      <c r="V7" s="23"/>
      <c r="W7" s="24" t="s">
        <v>4811</v>
      </c>
      <c r="X7" s="25">
        <v>4</v>
      </c>
      <c r="Y7" s="26">
        <v>2</v>
      </c>
      <c r="Z7" s="26">
        <v>2</v>
      </c>
      <c r="AA7" s="26">
        <v>2</v>
      </c>
      <c r="AB7" s="26">
        <v>1</v>
      </c>
      <c r="AC7" s="23"/>
      <c r="AD7" s="27"/>
    </row>
    <row r="8" spans="1:58" ht="14.25" x14ac:dyDescent="0.3">
      <c r="A8" s="23"/>
      <c r="B8" s="24" t="s">
        <v>1430</v>
      </c>
      <c r="C8" s="25">
        <v>3</v>
      </c>
      <c r="D8" s="26">
        <v>1</v>
      </c>
      <c r="E8" s="26">
        <v>1</v>
      </c>
      <c r="F8" s="26">
        <v>1</v>
      </c>
      <c r="G8" s="26">
        <v>1</v>
      </c>
      <c r="H8" s="23"/>
      <c r="I8" s="24" t="s">
        <v>1430</v>
      </c>
      <c r="J8" s="25">
        <v>3</v>
      </c>
      <c r="K8" s="26">
        <v>2</v>
      </c>
      <c r="L8" s="26">
        <v>2</v>
      </c>
      <c r="M8" s="26">
        <v>1</v>
      </c>
      <c r="N8" s="26">
        <v>1</v>
      </c>
      <c r="O8" s="23"/>
      <c r="P8" s="24" t="s">
        <v>1430</v>
      </c>
      <c r="Q8" s="25">
        <v>3</v>
      </c>
      <c r="R8" s="26">
        <v>3</v>
      </c>
      <c r="S8" s="26">
        <v>2</v>
      </c>
      <c r="T8" s="26">
        <v>2</v>
      </c>
      <c r="U8" s="26">
        <v>1</v>
      </c>
      <c r="V8" s="23"/>
      <c r="W8" s="24" t="s">
        <v>1430</v>
      </c>
      <c r="X8" s="25">
        <v>3</v>
      </c>
      <c r="Y8" s="26">
        <v>3</v>
      </c>
      <c r="Z8" s="26">
        <v>3</v>
      </c>
      <c r="AA8" s="26">
        <v>2</v>
      </c>
      <c r="AB8" s="26">
        <v>1</v>
      </c>
      <c r="AC8" s="23"/>
    </row>
    <row r="9" spans="1:58" ht="14.25" x14ac:dyDescent="0.3">
      <c r="A9" s="23"/>
      <c r="B9" s="24" t="s">
        <v>5688</v>
      </c>
      <c r="C9" s="25">
        <v>2</v>
      </c>
      <c r="D9" s="26">
        <v>1</v>
      </c>
      <c r="E9" s="26">
        <v>1</v>
      </c>
      <c r="F9" s="26">
        <v>1</v>
      </c>
      <c r="G9" s="26">
        <v>1</v>
      </c>
      <c r="H9" s="23"/>
      <c r="I9" s="24" t="s">
        <v>5688</v>
      </c>
      <c r="J9" s="25">
        <v>2</v>
      </c>
      <c r="K9" s="26">
        <v>2</v>
      </c>
      <c r="L9" s="26">
        <v>2</v>
      </c>
      <c r="M9" s="26">
        <v>2</v>
      </c>
      <c r="N9" s="26">
        <v>1</v>
      </c>
      <c r="O9" s="23"/>
      <c r="P9" s="24" t="s">
        <v>5688</v>
      </c>
      <c r="Q9" s="25">
        <v>2</v>
      </c>
      <c r="R9" s="26">
        <v>3</v>
      </c>
      <c r="S9" s="26">
        <v>3</v>
      </c>
      <c r="T9" s="26">
        <v>2</v>
      </c>
      <c r="U9" s="26">
        <v>1</v>
      </c>
      <c r="V9" s="23"/>
      <c r="W9" s="24" t="s">
        <v>5688</v>
      </c>
      <c r="X9" s="25">
        <v>2</v>
      </c>
      <c r="Y9" s="26">
        <v>4</v>
      </c>
      <c r="Z9" s="26">
        <v>3</v>
      </c>
      <c r="AA9" s="26">
        <v>2</v>
      </c>
      <c r="AB9" s="26">
        <v>1</v>
      </c>
      <c r="AC9" s="23"/>
    </row>
    <row r="10" spans="1:58" ht="14.25" x14ac:dyDescent="0.3">
      <c r="A10" s="23"/>
      <c r="B10" s="24" t="s">
        <v>1460</v>
      </c>
      <c r="C10" s="25">
        <v>1</v>
      </c>
      <c r="D10" s="26">
        <v>1</v>
      </c>
      <c r="E10" s="26">
        <v>1</v>
      </c>
      <c r="F10" s="26">
        <v>1</v>
      </c>
      <c r="G10" s="26">
        <v>1</v>
      </c>
      <c r="H10" s="23"/>
      <c r="I10" s="24" t="s">
        <v>1460</v>
      </c>
      <c r="J10" s="25">
        <v>1</v>
      </c>
      <c r="K10" s="26">
        <v>2</v>
      </c>
      <c r="L10" s="26">
        <v>2</v>
      </c>
      <c r="M10" s="26">
        <v>2</v>
      </c>
      <c r="N10" s="26">
        <v>1</v>
      </c>
      <c r="O10" s="23"/>
      <c r="P10" s="24" t="s">
        <v>1460</v>
      </c>
      <c r="Q10" s="25">
        <v>1</v>
      </c>
      <c r="R10" s="26">
        <v>3</v>
      </c>
      <c r="S10" s="26">
        <v>3</v>
      </c>
      <c r="T10" s="26">
        <v>2</v>
      </c>
      <c r="U10" s="26">
        <v>1</v>
      </c>
      <c r="V10" s="23"/>
      <c r="W10" s="24" t="s">
        <v>1460</v>
      </c>
      <c r="X10" s="25">
        <v>1</v>
      </c>
      <c r="Y10" s="26">
        <v>4</v>
      </c>
      <c r="Z10" s="26">
        <v>3</v>
      </c>
      <c r="AA10" s="26">
        <v>2</v>
      </c>
      <c r="AB10" s="26">
        <v>1</v>
      </c>
      <c r="AC10" s="23"/>
    </row>
    <row r="11" spans="1:58" ht="14.25" x14ac:dyDescent="0.3">
      <c r="A11" s="23"/>
      <c r="B11" s="24"/>
      <c r="C11" s="28"/>
      <c r="D11" s="25">
        <v>1</v>
      </c>
      <c r="E11" s="25">
        <v>2</v>
      </c>
      <c r="F11" s="25">
        <v>3</v>
      </c>
      <c r="G11" s="25">
        <v>4</v>
      </c>
      <c r="H11" s="23"/>
      <c r="I11" s="24"/>
      <c r="J11" s="28"/>
      <c r="K11" s="25">
        <v>1</v>
      </c>
      <c r="L11" s="25">
        <v>2</v>
      </c>
      <c r="M11" s="25">
        <v>3</v>
      </c>
      <c r="N11" s="25">
        <v>4</v>
      </c>
      <c r="O11" s="23"/>
      <c r="P11" s="24"/>
      <c r="Q11" s="28"/>
      <c r="R11" s="25">
        <v>1</v>
      </c>
      <c r="S11" s="25">
        <v>2</v>
      </c>
      <c r="T11" s="25">
        <v>3</v>
      </c>
      <c r="U11" s="25">
        <v>4</v>
      </c>
      <c r="V11" s="23"/>
      <c r="W11" s="24"/>
      <c r="X11" s="28"/>
      <c r="Y11" s="25">
        <v>1</v>
      </c>
      <c r="Z11" s="25">
        <v>2</v>
      </c>
      <c r="AA11" s="25">
        <v>3</v>
      </c>
      <c r="AB11" s="25">
        <v>4</v>
      </c>
      <c r="AC11" s="23"/>
    </row>
    <row r="12" spans="1:58" ht="14.25" x14ac:dyDescent="0.3">
      <c r="A12" s="23"/>
      <c r="B12" s="23"/>
      <c r="C12" s="28"/>
      <c r="D12" s="25" t="s">
        <v>1428</v>
      </c>
      <c r="E12" s="25" t="s">
        <v>1431</v>
      </c>
      <c r="F12" s="25" t="s">
        <v>1432</v>
      </c>
      <c r="G12" s="25" t="s">
        <v>1432</v>
      </c>
      <c r="H12" s="23"/>
      <c r="I12" s="23"/>
      <c r="J12" s="28"/>
      <c r="K12" s="25" t="s">
        <v>1428</v>
      </c>
      <c r="L12" s="25" t="s">
        <v>1431</v>
      </c>
      <c r="M12" s="25" t="s">
        <v>1432</v>
      </c>
      <c r="N12" s="25" t="s">
        <v>1432</v>
      </c>
      <c r="O12" s="23"/>
      <c r="P12" s="23"/>
      <c r="Q12" s="28"/>
      <c r="R12" s="25" t="s">
        <v>1428</v>
      </c>
      <c r="S12" s="25" t="s">
        <v>1431</v>
      </c>
      <c r="T12" s="25" t="s">
        <v>1432</v>
      </c>
      <c r="U12" s="25" t="s">
        <v>1432</v>
      </c>
      <c r="V12" s="23"/>
      <c r="W12" s="23"/>
      <c r="X12" s="28"/>
      <c r="Y12" s="25" t="s">
        <v>1428</v>
      </c>
      <c r="Z12" s="25" t="s">
        <v>1431</v>
      </c>
      <c r="AA12" s="25" t="s">
        <v>1432</v>
      </c>
      <c r="AB12" s="25" t="s">
        <v>1432</v>
      </c>
      <c r="AC12" s="23"/>
    </row>
    <row r="14" spans="1:58" ht="19.5" x14ac:dyDescent="0.4">
      <c r="A14" s="22" t="s">
        <v>1433</v>
      </c>
      <c r="AK14" s="27"/>
    </row>
    <row r="15" spans="1:58" ht="26.25" customHeight="1" x14ac:dyDescent="0.3"/>
    <row r="16" spans="1:58" ht="14.25" x14ac:dyDescent="0.3">
      <c r="A16" s="23"/>
      <c r="B16" s="23"/>
      <c r="C16" s="2177" t="s">
        <v>1424</v>
      </c>
      <c r="D16" s="2177"/>
      <c r="E16" s="2177"/>
      <c r="F16" s="2177"/>
      <c r="G16" s="2177"/>
      <c r="H16" s="23"/>
      <c r="I16" s="23"/>
      <c r="J16" s="2177" t="s">
        <v>1425</v>
      </c>
      <c r="K16" s="2177"/>
      <c r="L16" s="2177"/>
      <c r="M16" s="2177"/>
      <c r="N16" s="2177"/>
      <c r="O16" s="23"/>
      <c r="P16" s="23"/>
      <c r="Q16" s="2177" t="s">
        <v>1426</v>
      </c>
      <c r="R16" s="2177"/>
      <c r="S16" s="2177"/>
      <c r="T16" s="2177"/>
      <c r="U16" s="2177"/>
      <c r="V16" s="23"/>
      <c r="W16" s="23"/>
      <c r="X16" s="2177" t="s">
        <v>1427</v>
      </c>
      <c r="Y16" s="2177"/>
      <c r="Z16" s="2177"/>
      <c r="AA16" s="2177"/>
      <c r="AB16" s="2177"/>
      <c r="AC16" s="23"/>
      <c r="AF16" s="23"/>
      <c r="AG16" s="2177"/>
      <c r="AH16" s="2177"/>
      <c r="AI16" s="2177"/>
      <c r="AJ16" s="2177"/>
      <c r="AK16" s="2177"/>
      <c r="AL16" s="23"/>
      <c r="AM16" s="23"/>
      <c r="AN16" s="2177"/>
      <c r="AO16" s="2177"/>
      <c r="AP16" s="2177"/>
      <c r="AQ16" s="2177"/>
      <c r="AR16" s="2177"/>
      <c r="AS16" s="23"/>
      <c r="AT16" s="23"/>
      <c r="AU16" s="2177"/>
      <c r="AV16" s="2177"/>
      <c r="AW16" s="2177"/>
      <c r="AX16" s="2177"/>
      <c r="AY16" s="2177"/>
      <c r="AZ16" s="23"/>
      <c r="BA16" s="23"/>
      <c r="BB16" s="2177"/>
      <c r="BC16" s="2177"/>
      <c r="BD16" s="2177"/>
      <c r="BE16" s="2177"/>
      <c r="BF16" s="2177"/>
    </row>
    <row r="17" spans="1:58" ht="3.75" customHeight="1" x14ac:dyDescent="0.3">
      <c r="J17" s="19"/>
      <c r="K17" s="19"/>
      <c r="L17" s="19"/>
      <c r="M17" s="19"/>
      <c r="N17" s="19"/>
      <c r="Q17" s="19"/>
      <c r="R17" s="19"/>
      <c r="S17" s="19"/>
      <c r="T17" s="19"/>
      <c r="U17" s="19"/>
      <c r="X17" s="19"/>
      <c r="Y17" s="19"/>
      <c r="Z17" s="19"/>
      <c r="AA17" s="19"/>
      <c r="AB17" s="19"/>
      <c r="AF17" s="18"/>
      <c r="AG17" s="19"/>
      <c r="AH17" s="19"/>
      <c r="AI17" s="19"/>
      <c r="AJ17" s="19"/>
      <c r="AK17" s="19"/>
      <c r="AL17" s="18"/>
      <c r="AM17" s="18"/>
      <c r="AN17" s="19"/>
      <c r="AO17" s="19"/>
      <c r="AP17" s="19"/>
      <c r="AQ17" s="19"/>
      <c r="AR17" s="19"/>
      <c r="AS17" s="18"/>
      <c r="AT17" s="18"/>
      <c r="AU17" s="19"/>
      <c r="AV17" s="19"/>
      <c r="AW17" s="19"/>
      <c r="AX17" s="19"/>
      <c r="AY17" s="19"/>
      <c r="AZ17" s="18"/>
      <c r="BA17" s="18"/>
      <c r="BB17" s="19"/>
      <c r="BC17" s="19"/>
      <c r="BD17" s="19"/>
      <c r="BE17" s="19"/>
      <c r="BF17" s="19"/>
    </row>
    <row r="18" spans="1:58" ht="14.25" x14ac:dyDescent="0.3">
      <c r="A18" s="23"/>
      <c r="B18" s="24" t="s">
        <v>4811</v>
      </c>
      <c r="C18" s="25">
        <v>4</v>
      </c>
      <c r="D18" s="26">
        <v>1</v>
      </c>
      <c r="E18" s="26">
        <v>1</v>
      </c>
      <c r="F18" s="26">
        <v>1</v>
      </c>
      <c r="G18" s="26">
        <v>1</v>
      </c>
      <c r="H18" s="23"/>
      <c r="I18" s="24" t="s">
        <v>4811</v>
      </c>
      <c r="J18" s="25">
        <v>4</v>
      </c>
      <c r="K18" s="26">
        <v>1</v>
      </c>
      <c r="L18" s="26">
        <v>1</v>
      </c>
      <c r="M18" s="26">
        <v>1</v>
      </c>
      <c r="N18" s="26">
        <v>1</v>
      </c>
      <c r="O18" s="23"/>
      <c r="P18" s="24" t="s">
        <v>4811</v>
      </c>
      <c r="Q18" s="25">
        <v>4</v>
      </c>
      <c r="R18" s="26">
        <v>1</v>
      </c>
      <c r="S18" s="26">
        <v>1</v>
      </c>
      <c r="T18" s="26">
        <v>1</v>
      </c>
      <c r="U18" s="26">
        <v>1</v>
      </c>
      <c r="V18" s="23"/>
      <c r="W18" s="24" t="s">
        <v>4811</v>
      </c>
      <c r="X18" s="25">
        <v>4</v>
      </c>
      <c r="Y18" s="26">
        <v>1</v>
      </c>
      <c r="Z18" s="26">
        <v>1</v>
      </c>
      <c r="AA18" s="26">
        <v>1</v>
      </c>
      <c r="AB18" s="26">
        <v>1</v>
      </c>
      <c r="AC18" s="23"/>
      <c r="AD18" s="29"/>
      <c r="AF18" s="24"/>
      <c r="AG18" s="28"/>
      <c r="AH18" s="25"/>
      <c r="AI18" s="25"/>
      <c r="AJ18" s="25"/>
      <c r="AK18" s="25"/>
      <c r="AL18" s="23"/>
      <c r="AM18" s="24"/>
      <c r="AN18" s="28"/>
      <c r="AO18" s="25"/>
      <c r="AP18" s="25"/>
      <c r="AQ18" s="25"/>
      <c r="AR18" s="25"/>
      <c r="AS18" s="23"/>
      <c r="AT18" s="24"/>
      <c r="AU18" s="28"/>
      <c r="AV18" s="25"/>
      <c r="AW18" s="25"/>
      <c r="AX18" s="25"/>
      <c r="AY18" s="25"/>
      <c r="AZ18" s="23"/>
      <c r="BA18" s="24"/>
      <c r="BB18" s="28"/>
      <c r="BC18" s="25"/>
      <c r="BD18" s="25"/>
      <c r="BE18" s="25"/>
      <c r="BF18" s="25"/>
    </row>
    <row r="19" spans="1:58" ht="14.25" x14ac:dyDescent="0.3">
      <c r="A19" s="23"/>
      <c r="B19" s="24" t="s">
        <v>1430</v>
      </c>
      <c r="C19" s="25">
        <v>3</v>
      </c>
      <c r="D19" s="26">
        <v>1</v>
      </c>
      <c r="E19" s="26">
        <v>1</v>
      </c>
      <c r="F19" s="26">
        <v>1</v>
      </c>
      <c r="G19" s="26">
        <v>1</v>
      </c>
      <c r="H19" s="23"/>
      <c r="I19" s="24" t="s">
        <v>1430</v>
      </c>
      <c r="J19" s="25">
        <v>3</v>
      </c>
      <c r="K19" s="26">
        <v>2</v>
      </c>
      <c r="L19" s="26">
        <v>2</v>
      </c>
      <c r="M19" s="26">
        <v>1</v>
      </c>
      <c r="N19" s="26">
        <v>1</v>
      </c>
      <c r="O19" s="23"/>
      <c r="P19" s="24" t="s">
        <v>1430</v>
      </c>
      <c r="Q19" s="25">
        <v>3</v>
      </c>
      <c r="R19" s="26">
        <v>2</v>
      </c>
      <c r="S19" s="26">
        <v>2</v>
      </c>
      <c r="T19" s="26">
        <v>1</v>
      </c>
      <c r="U19" s="26">
        <v>1</v>
      </c>
      <c r="V19" s="23"/>
      <c r="W19" s="24" t="s">
        <v>1430</v>
      </c>
      <c r="X19" s="25">
        <v>3</v>
      </c>
      <c r="Y19" s="26">
        <v>2</v>
      </c>
      <c r="Z19" s="26">
        <v>2</v>
      </c>
      <c r="AA19" s="26">
        <v>2</v>
      </c>
      <c r="AB19" s="26">
        <v>1</v>
      </c>
      <c r="AC19" s="23"/>
      <c r="AF19" s="24"/>
      <c r="AG19" s="28"/>
      <c r="AH19" s="25"/>
      <c r="AI19" s="25"/>
      <c r="AJ19" s="25"/>
      <c r="AK19" s="25"/>
      <c r="AL19" s="23"/>
      <c r="AM19" s="24"/>
      <c r="AN19" s="28"/>
      <c r="AO19" s="25"/>
      <c r="AP19" s="25"/>
      <c r="AQ19" s="25"/>
      <c r="AR19" s="25"/>
      <c r="AS19" s="23"/>
      <c r="AT19" s="24"/>
      <c r="AU19" s="28"/>
      <c r="AV19" s="25"/>
      <c r="AW19" s="25"/>
      <c r="AX19" s="25"/>
      <c r="AY19" s="25"/>
      <c r="AZ19" s="23"/>
      <c r="BA19" s="24"/>
      <c r="BB19" s="28"/>
      <c r="BC19" s="25"/>
      <c r="BD19" s="25"/>
      <c r="BE19" s="25"/>
      <c r="BF19" s="25"/>
    </row>
    <row r="20" spans="1:58" ht="14.25" x14ac:dyDescent="0.3">
      <c r="A20" s="23"/>
      <c r="B20" s="24" t="s">
        <v>5688</v>
      </c>
      <c r="C20" s="25">
        <v>2</v>
      </c>
      <c r="D20" s="26">
        <v>1</v>
      </c>
      <c r="E20" s="26">
        <v>1</v>
      </c>
      <c r="F20" s="26">
        <v>1</v>
      </c>
      <c r="G20" s="26">
        <v>1</v>
      </c>
      <c r="H20" s="23"/>
      <c r="I20" s="24" t="s">
        <v>5688</v>
      </c>
      <c r="J20" s="25">
        <v>2</v>
      </c>
      <c r="K20" s="26">
        <v>2</v>
      </c>
      <c r="L20" s="26">
        <v>2</v>
      </c>
      <c r="M20" s="26">
        <v>2</v>
      </c>
      <c r="N20" s="26">
        <v>1</v>
      </c>
      <c r="O20" s="23"/>
      <c r="P20" s="24" t="s">
        <v>5688</v>
      </c>
      <c r="Q20" s="25">
        <v>2</v>
      </c>
      <c r="R20" s="26">
        <v>3</v>
      </c>
      <c r="S20" s="26">
        <v>3</v>
      </c>
      <c r="T20" s="26">
        <v>2</v>
      </c>
      <c r="U20" s="26">
        <v>1</v>
      </c>
      <c r="V20" s="23"/>
      <c r="W20" s="24" t="s">
        <v>5688</v>
      </c>
      <c r="X20" s="25">
        <v>2</v>
      </c>
      <c r="Y20" s="26">
        <v>3</v>
      </c>
      <c r="Z20" s="26">
        <v>3</v>
      </c>
      <c r="AA20" s="26">
        <v>2</v>
      </c>
      <c r="AB20" s="26">
        <v>1</v>
      </c>
      <c r="AC20" s="23"/>
      <c r="AF20" s="24"/>
      <c r="AG20" s="28"/>
      <c r="AH20" s="25"/>
      <c r="AI20" s="25"/>
      <c r="AJ20" s="25"/>
      <c r="AK20" s="25"/>
      <c r="AL20" s="23"/>
      <c r="AM20" s="24"/>
      <c r="AN20" s="28"/>
      <c r="AO20" s="25"/>
      <c r="AP20" s="25"/>
      <c r="AQ20" s="25"/>
      <c r="AR20" s="25"/>
      <c r="AS20" s="23"/>
      <c r="AT20" s="24"/>
      <c r="AU20" s="28"/>
      <c r="AV20" s="25"/>
      <c r="AW20" s="25"/>
      <c r="AX20" s="25"/>
      <c r="AY20" s="25"/>
      <c r="AZ20" s="23"/>
      <c r="BA20" s="24"/>
      <c r="BB20" s="28"/>
      <c r="BC20" s="25"/>
      <c r="BD20" s="25"/>
      <c r="BE20" s="25"/>
      <c r="BF20" s="25"/>
    </row>
    <row r="21" spans="1:58" ht="14.25" x14ac:dyDescent="0.3">
      <c r="A21" s="23"/>
      <c r="B21" s="24" t="s">
        <v>1460</v>
      </c>
      <c r="C21" s="25">
        <v>1</v>
      </c>
      <c r="D21" s="26">
        <v>1</v>
      </c>
      <c r="E21" s="26">
        <v>1</v>
      </c>
      <c r="F21" s="26">
        <v>1</v>
      </c>
      <c r="G21" s="26">
        <v>1</v>
      </c>
      <c r="H21" s="23"/>
      <c r="I21" s="24" t="s">
        <v>1460</v>
      </c>
      <c r="J21" s="25">
        <v>1</v>
      </c>
      <c r="K21" s="26">
        <v>2</v>
      </c>
      <c r="L21" s="26">
        <v>2</v>
      </c>
      <c r="M21" s="26">
        <v>2</v>
      </c>
      <c r="N21" s="26">
        <v>1</v>
      </c>
      <c r="O21" s="23"/>
      <c r="P21" s="24" t="s">
        <v>1460</v>
      </c>
      <c r="Q21" s="25">
        <v>1</v>
      </c>
      <c r="R21" s="26">
        <v>3</v>
      </c>
      <c r="S21" s="26">
        <v>3</v>
      </c>
      <c r="T21" s="26">
        <v>2</v>
      </c>
      <c r="U21" s="26">
        <v>1</v>
      </c>
      <c r="V21" s="23"/>
      <c r="W21" s="24" t="s">
        <v>1460</v>
      </c>
      <c r="X21" s="25">
        <v>1</v>
      </c>
      <c r="Y21" s="26">
        <v>4</v>
      </c>
      <c r="Z21" s="26">
        <v>3</v>
      </c>
      <c r="AA21" s="26">
        <v>2</v>
      </c>
      <c r="AB21" s="26">
        <v>1</v>
      </c>
      <c r="AC21" s="23"/>
      <c r="AF21" s="24"/>
      <c r="AG21" s="28"/>
      <c r="AH21" s="25"/>
      <c r="AI21" s="25"/>
      <c r="AJ21" s="25"/>
      <c r="AK21" s="25"/>
      <c r="AL21" s="23"/>
      <c r="AM21" s="24"/>
      <c r="AN21" s="28"/>
      <c r="AO21" s="25"/>
      <c r="AP21" s="25"/>
      <c r="AQ21" s="25"/>
      <c r="AR21" s="25"/>
      <c r="AS21" s="23"/>
      <c r="AT21" s="24"/>
      <c r="AU21" s="28"/>
      <c r="AV21" s="25"/>
      <c r="AW21" s="25"/>
      <c r="AX21" s="25"/>
      <c r="AY21" s="25"/>
      <c r="AZ21" s="23"/>
      <c r="BA21" s="24"/>
      <c r="BB21" s="28"/>
      <c r="BC21" s="25"/>
      <c r="BD21" s="25"/>
      <c r="BE21" s="25"/>
      <c r="BF21" s="25"/>
    </row>
    <row r="22" spans="1:58" ht="14.25" x14ac:dyDescent="0.3">
      <c r="A22" s="23"/>
      <c r="B22" s="24"/>
      <c r="C22" s="28"/>
      <c r="D22" s="25">
        <v>1</v>
      </c>
      <c r="E22" s="25">
        <v>2</v>
      </c>
      <c r="F22" s="25">
        <v>3</v>
      </c>
      <c r="G22" s="25">
        <v>4</v>
      </c>
      <c r="H22" s="23"/>
      <c r="I22" s="24"/>
      <c r="J22" s="28"/>
      <c r="K22" s="25">
        <v>1</v>
      </c>
      <c r="L22" s="25">
        <v>2</v>
      </c>
      <c r="M22" s="25">
        <v>3</v>
      </c>
      <c r="N22" s="25">
        <v>4</v>
      </c>
      <c r="O22" s="23"/>
      <c r="P22" s="24"/>
      <c r="Q22" s="28"/>
      <c r="R22" s="25">
        <v>1</v>
      </c>
      <c r="S22" s="25">
        <v>2</v>
      </c>
      <c r="T22" s="25">
        <v>3</v>
      </c>
      <c r="U22" s="25">
        <v>4</v>
      </c>
      <c r="V22" s="23"/>
      <c r="W22" s="24"/>
      <c r="X22" s="28"/>
      <c r="Y22" s="25">
        <v>1</v>
      </c>
      <c r="Z22" s="25">
        <v>2</v>
      </c>
      <c r="AA22" s="25">
        <v>3</v>
      </c>
      <c r="AB22" s="25">
        <v>4</v>
      </c>
      <c r="AC22" s="23"/>
      <c r="AF22" s="24"/>
      <c r="AG22" s="28"/>
      <c r="AH22" s="25"/>
      <c r="AI22" s="25"/>
      <c r="AJ22" s="25"/>
      <c r="AK22" s="25"/>
      <c r="AL22" s="23"/>
      <c r="AM22" s="24"/>
      <c r="AN22" s="28"/>
      <c r="AO22" s="25"/>
      <c r="AP22" s="25"/>
      <c r="AQ22" s="25"/>
      <c r="AR22" s="25"/>
      <c r="AS22" s="23"/>
      <c r="AT22" s="24"/>
      <c r="AU22" s="28"/>
      <c r="AV22" s="25"/>
      <c r="AW22" s="25"/>
      <c r="AX22" s="25"/>
      <c r="AY22" s="25"/>
      <c r="AZ22" s="23"/>
      <c r="BA22" s="24"/>
      <c r="BB22" s="28"/>
      <c r="BC22" s="25"/>
      <c r="BD22" s="25"/>
      <c r="BE22" s="25"/>
      <c r="BF22" s="25"/>
    </row>
    <row r="23" spans="1:58" ht="14.25" x14ac:dyDescent="0.3">
      <c r="A23" s="23"/>
      <c r="B23" s="23"/>
      <c r="C23" s="28"/>
      <c r="D23" s="25" t="s">
        <v>1428</v>
      </c>
      <c r="E23" s="25" t="s">
        <v>1431</v>
      </c>
      <c r="F23" s="25" t="s">
        <v>1432</v>
      </c>
      <c r="G23" s="25" t="s">
        <v>1432</v>
      </c>
      <c r="H23" s="23"/>
      <c r="I23" s="23"/>
      <c r="J23" s="28"/>
      <c r="K23" s="25" t="s">
        <v>1428</v>
      </c>
      <c r="L23" s="25" t="s">
        <v>1431</v>
      </c>
      <c r="M23" s="25" t="s">
        <v>1432</v>
      </c>
      <c r="N23" s="25" t="s">
        <v>1432</v>
      </c>
      <c r="O23" s="23"/>
      <c r="P23" s="23"/>
      <c r="Q23" s="28"/>
      <c r="R23" s="25" t="s">
        <v>1428</v>
      </c>
      <c r="S23" s="25" t="s">
        <v>1431</v>
      </c>
      <c r="T23" s="25" t="s">
        <v>1432</v>
      </c>
      <c r="U23" s="25" t="s">
        <v>1432</v>
      </c>
      <c r="V23" s="23"/>
      <c r="W23" s="23"/>
      <c r="X23" s="28"/>
      <c r="Y23" s="25" t="s">
        <v>1428</v>
      </c>
      <c r="Z23" s="25" t="s">
        <v>1431</v>
      </c>
      <c r="AA23" s="25" t="s">
        <v>1432</v>
      </c>
      <c r="AB23" s="25" t="s">
        <v>1432</v>
      </c>
      <c r="AC23" s="23"/>
      <c r="AF23" s="23"/>
      <c r="AG23" s="28"/>
      <c r="AH23" s="25"/>
      <c r="AI23" s="25"/>
      <c r="AJ23" s="25"/>
      <c r="AK23" s="25"/>
      <c r="AL23" s="23"/>
      <c r="AM23" s="23"/>
      <c r="AN23" s="28"/>
      <c r="AO23" s="25"/>
      <c r="AP23" s="25"/>
      <c r="AQ23" s="25"/>
      <c r="AR23" s="25"/>
      <c r="AS23" s="23"/>
      <c r="AT23" s="23"/>
      <c r="AU23" s="28"/>
      <c r="AV23" s="25"/>
      <c r="AW23" s="25"/>
      <c r="AX23" s="25"/>
      <c r="AY23" s="25"/>
      <c r="AZ23" s="23"/>
      <c r="BA23" s="23"/>
      <c r="BB23" s="28"/>
      <c r="BC23" s="25"/>
      <c r="BD23" s="25"/>
      <c r="BE23" s="25"/>
      <c r="BF23" s="25"/>
    </row>
    <row r="25" spans="1:58" ht="19.5" x14ac:dyDescent="0.4">
      <c r="A25" s="22" t="s">
        <v>1434</v>
      </c>
    </row>
    <row r="26" spans="1:58" ht="3" customHeight="1" x14ac:dyDescent="0.3"/>
    <row r="27" spans="1:58" ht="14.25" x14ac:dyDescent="0.3">
      <c r="A27" s="23"/>
      <c r="B27" s="23"/>
      <c r="C27" s="2177" t="s">
        <v>1424</v>
      </c>
      <c r="D27" s="2177"/>
      <c r="E27" s="2177"/>
      <c r="F27" s="2177"/>
      <c r="G27" s="2177"/>
      <c r="H27" s="23"/>
      <c r="I27" s="23"/>
      <c r="J27" s="2177" t="s">
        <v>1425</v>
      </c>
      <c r="K27" s="2177"/>
      <c r="L27" s="2177"/>
      <c r="M27" s="2177"/>
      <c r="N27" s="2177"/>
      <c r="O27" s="23"/>
      <c r="P27" s="23"/>
      <c r="Q27" s="2177" t="s">
        <v>1426</v>
      </c>
      <c r="R27" s="2177"/>
      <c r="S27" s="2177"/>
      <c r="T27" s="2177"/>
      <c r="U27" s="2177"/>
      <c r="V27" s="23"/>
      <c r="W27" s="23"/>
      <c r="X27" s="2177" t="s">
        <v>1427</v>
      </c>
      <c r="Y27" s="2177"/>
      <c r="Z27" s="2177"/>
      <c r="AA27" s="2177"/>
      <c r="AB27" s="2177"/>
      <c r="AC27" s="23"/>
      <c r="AE27" s="30"/>
      <c r="AF27" s="30"/>
      <c r="AG27" s="30"/>
      <c r="AH27" s="30"/>
      <c r="AI27" s="30"/>
      <c r="AJ27" s="30"/>
      <c r="AK27" s="30"/>
      <c r="AL27" s="30"/>
      <c r="AM27" s="30"/>
      <c r="AN27" s="30"/>
      <c r="AO27" s="30"/>
      <c r="AP27" s="30"/>
      <c r="AQ27" s="30"/>
    </row>
    <row r="28" spans="1:58" ht="2.25" customHeight="1" x14ac:dyDescent="0.3">
      <c r="J28" s="19"/>
      <c r="K28" s="19"/>
      <c r="L28" s="19"/>
      <c r="M28" s="19"/>
      <c r="N28" s="19"/>
      <c r="Q28" s="19"/>
      <c r="R28" s="19"/>
      <c r="S28" s="19"/>
      <c r="T28" s="19"/>
      <c r="U28" s="19"/>
      <c r="X28" s="19"/>
      <c r="Y28" s="19"/>
      <c r="Z28" s="19"/>
      <c r="AA28" s="19"/>
      <c r="AB28" s="19"/>
      <c r="AE28" s="30"/>
      <c r="AF28" s="30"/>
      <c r="AG28" s="30"/>
      <c r="AH28" s="30"/>
      <c r="AI28" s="30"/>
      <c r="AJ28" s="30"/>
      <c r="AK28" s="30"/>
      <c r="AL28" s="30"/>
      <c r="AM28" s="30"/>
      <c r="AN28" s="30"/>
      <c r="AO28" s="30"/>
      <c r="AP28" s="30"/>
      <c r="AQ28" s="30"/>
    </row>
    <row r="29" spans="1:58" ht="14.25" x14ac:dyDescent="0.3">
      <c r="A29" s="23"/>
      <c r="B29" s="24" t="s">
        <v>4811</v>
      </c>
      <c r="C29" s="25">
        <v>4</v>
      </c>
      <c r="D29" s="26">
        <v>1</v>
      </c>
      <c r="E29" s="26"/>
      <c r="F29" s="26"/>
      <c r="G29" s="26"/>
      <c r="H29" s="23"/>
      <c r="I29" s="24" t="s">
        <v>4811</v>
      </c>
      <c r="J29" s="25">
        <v>4</v>
      </c>
      <c r="K29" s="26">
        <v>2</v>
      </c>
      <c r="L29" s="26"/>
      <c r="M29" s="26"/>
      <c r="N29" s="26"/>
      <c r="O29" s="23"/>
      <c r="P29" s="24" t="s">
        <v>4811</v>
      </c>
      <c r="Q29" s="25">
        <v>4</v>
      </c>
      <c r="R29" s="26">
        <v>2</v>
      </c>
      <c r="S29" s="26"/>
      <c r="T29" s="26"/>
      <c r="U29" s="26"/>
      <c r="V29" s="23"/>
      <c r="W29" s="24" t="s">
        <v>4811</v>
      </c>
      <c r="X29" s="25">
        <v>4</v>
      </c>
      <c r="Y29" s="26">
        <v>2</v>
      </c>
      <c r="Z29" s="26"/>
      <c r="AA29" s="26"/>
      <c r="AB29" s="26"/>
      <c r="AC29" s="23"/>
      <c r="AE29" s="30"/>
      <c r="AF29" s="30"/>
      <c r="AG29" s="30"/>
      <c r="AH29" s="30"/>
      <c r="AI29" s="30"/>
      <c r="AJ29" s="30"/>
      <c r="AK29" s="30"/>
      <c r="AL29" s="30"/>
      <c r="AM29" s="30"/>
      <c r="AN29" s="30"/>
      <c r="AO29" s="30"/>
      <c r="AP29" s="30"/>
      <c r="AQ29" s="30"/>
    </row>
    <row r="30" spans="1:58" ht="14.25" x14ac:dyDescent="0.3">
      <c r="A30" s="23"/>
      <c r="B30" s="24" t="s">
        <v>1430</v>
      </c>
      <c r="C30" s="25">
        <v>3</v>
      </c>
      <c r="D30" s="26">
        <v>1</v>
      </c>
      <c r="E30" s="26"/>
      <c r="F30" s="26"/>
      <c r="G30" s="26"/>
      <c r="H30" s="23"/>
      <c r="I30" s="24" t="s">
        <v>1430</v>
      </c>
      <c r="J30" s="25">
        <v>3</v>
      </c>
      <c r="K30" s="26">
        <v>2</v>
      </c>
      <c r="L30" s="26"/>
      <c r="M30" s="26"/>
      <c r="N30" s="26"/>
      <c r="O30" s="23"/>
      <c r="P30" s="24" t="s">
        <v>1430</v>
      </c>
      <c r="Q30" s="25">
        <v>3</v>
      </c>
      <c r="R30" s="26">
        <v>2</v>
      </c>
      <c r="S30" s="26"/>
      <c r="T30" s="26"/>
      <c r="U30" s="26"/>
      <c r="V30" s="23"/>
      <c r="W30" s="24" t="s">
        <v>1430</v>
      </c>
      <c r="X30" s="25">
        <v>3</v>
      </c>
      <c r="Y30" s="26">
        <v>2</v>
      </c>
      <c r="Z30" s="26"/>
      <c r="AA30" s="26"/>
      <c r="AB30" s="26"/>
      <c r="AC30" s="23"/>
      <c r="AE30" s="30"/>
      <c r="AF30" s="30"/>
      <c r="AG30" s="30"/>
      <c r="AH30" s="30"/>
      <c r="AI30" s="30"/>
      <c r="AJ30" s="30"/>
      <c r="AK30" s="30"/>
      <c r="AL30" s="30"/>
      <c r="AM30" s="30"/>
      <c r="AN30" s="30"/>
      <c r="AO30" s="30"/>
      <c r="AP30" s="30"/>
      <c r="AQ30" s="30"/>
    </row>
    <row r="31" spans="1:58" ht="14.25" x14ac:dyDescent="0.3">
      <c r="A31" s="23"/>
      <c r="B31" s="24" t="s">
        <v>5688</v>
      </c>
      <c r="C31" s="25">
        <v>2</v>
      </c>
      <c r="D31" s="26">
        <v>1</v>
      </c>
      <c r="E31" s="26"/>
      <c r="F31" s="26"/>
      <c r="G31" s="26"/>
      <c r="H31" s="23"/>
      <c r="I31" s="24" t="s">
        <v>5688</v>
      </c>
      <c r="J31" s="25">
        <v>2</v>
      </c>
      <c r="K31" s="26">
        <v>2</v>
      </c>
      <c r="L31" s="26"/>
      <c r="M31" s="26"/>
      <c r="N31" s="26"/>
      <c r="O31" s="23"/>
      <c r="P31" s="24" t="s">
        <v>5688</v>
      </c>
      <c r="Q31" s="25">
        <v>2</v>
      </c>
      <c r="R31" s="26">
        <v>3</v>
      </c>
      <c r="S31" s="26"/>
      <c r="T31" s="26"/>
      <c r="U31" s="26"/>
      <c r="V31" s="23"/>
      <c r="W31" s="24" t="s">
        <v>5688</v>
      </c>
      <c r="X31" s="25">
        <v>2</v>
      </c>
      <c r="Y31" s="26">
        <v>3</v>
      </c>
      <c r="Z31" s="26"/>
      <c r="AA31" s="26"/>
      <c r="AB31" s="26"/>
      <c r="AC31" s="23"/>
      <c r="AE31" s="30"/>
      <c r="AF31" s="30"/>
      <c r="AG31" s="30"/>
      <c r="AH31" s="30"/>
      <c r="AI31" s="30"/>
      <c r="AJ31" s="30"/>
      <c r="AK31" s="30"/>
      <c r="AL31" s="30"/>
      <c r="AM31" s="30"/>
      <c r="AN31" s="30"/>
      <c r="AO31" s="30"/>
      <c r="AP31" s="30"/>
      <c r="AQ31" s="30"/>
    </row>
    <row r="32" spans="1:58" ht="14.25" x14ac:dyDescent="0.3">
      <c r="A32" s="23"/>
      <c r="B32" s="24" t="s">
        <v>1460</v>
      </c>
      <c r="C32" s="25">
        <v>1</v>
      </c>
      <c r="D32" s="26">
        <v>1</v>
      </c>
      <c r="E32" s="26"/>
      <c r="F32" s="26"/>
      <c r="G32" s="26"/>
      <c r="H32" s="23"/>
      <c r="I32" s="24" t="s">
        <v>1460</v>
      </c>
      <c r="J32" s="25">
        <v>1</v>
      </c>
      <c r="K32" s="26">
        <v>2</v>
      </c>
      <c r="L32" s="26"/>
      <c r="M32" s="26"/>
      <c r="N32" s="26"/>
      <c r="O32" s="23"/>
      <c r="P32" s="24" t="s">
        <v>1460</v>
      </c>
      <c r="Q32" s="25">
        <v>1</v>
      </c>
      <c r="R32" s="26">
        <v>3</v>
      </c>
      <c r="S32" s="26"/>
      <c r="T32" s="26"/>
      <c r="U32" s="26"/>
      <c r="V32" s="23"/>
      <c r="W32" s="24" t="s">
        <v>1460</v>
      </c>
      <c r="X32" s="25">
        <v>1</v>
      </c>
      <c r="Y32" s="26">
        <v>4</v>
      </c>
      <c r="Z32" s="26"/>
      <c r="AA32" s="26"/>
      <c r="AB32" s="26"/>
      <c r="AC32" s="23"/>
      <c r="AE32" s="30"/>
      <c r="AF32" s="30"/>
      <c r="AG32" s="30"/>
      <c r="AH32" s="30"/>
      <c r="AI32" s="30"/>
      <c r="AJ32" s="30"/>
      <c r="AK32" s="30"/>
      <c r="AL32" s="30"/>
      <c r="AM32" s="30"/>
      <c r="AN32" s="30"/>
      <c r="AO32" s="30"/>
      <c r="AP32" s="30"/>
      <c r="AQ32" s="30"/>
    </row>
    <row r="33" spans="1:43" ht="14.25" x14ac:dyDescent="0.3">
      <c r="A33" s="23"/>
      <c r="B33" s="24"/>
      <c r="C33" s="28"/>
      <c r="D33" s="25">
        <v>1</v>
      </c>
      <c r="E33" s="25"/>
      <c r="F33" s="25"/>
      <c r="G33" s="25"/>
      <c r="H33" s="23"/>
      <c r="I33" s="24"/>
      <c r="J33" s="28"/>
      <c r="K33" s="25">
        <v>1</v>
      </c>
      <c r="L33" s="25"/>
      <c r="M33" s="25"/>
      <c r="N33" s="25"/>
      <c r="O33" s="23"/>
      <c r="P33" s="24"/>
      <c r="Q33" s="28"/>
      <c r="R33" s="25">
        <v>1</v>
      </c>
      <c r="S33" s="25"/>
      <c r="T33" s="25"/>
      <c r="U33" s="25"/>
      <c r="V33" s="23"/>
      <c r="W33" s="24"/>
      <c r="X33" s="28"/>
      <c r="Y33" s="25">
        <v>1</v>
      </c>
      <c r="Z33" s="25"/>
      <c r="AA33" s="25"/>
      <c r="AB33" s="25"/>
      <c r="AC33" s="23"/>
      <c r="AE33" s="30"/>
      <c r="AF33" s="30"/>
      <c r="AG33" s="30"/>
      <c r="AH33" s="30"/>
      <c r="AI33" s="30"/>
      <c r="AJ33" s="30"/>
      <c r="AK33" s="30"/>
      <c r="AL33" s="30"/>
      <c r="AM33" s="30"/>
      <c r="AN33" s="30"/>
      <c r="AO33" s="30"/>
      <c r="AP33" s="30"/>
      <c r="AQ33" s="30"/>
    </row>
    <row r="34" spans="1:43" ht="14.25" x14ac:dyDescent="0.3">
      <c r="A34" s="23"/>
      <c r="B34" s="23"/>
      <c r="C34" s="28"/>
      <c r="D34" s="25" t="s">
        <v>1428</v>
      </c>
      <c r="E34" s="25" t="s">
        <v>1431</v>
      </c>
      <c r="F34" s="25" t="s">
        <v>1432</v>
      </c>
      <c r="G34" s="25" t="s">
        <v>1432</v>
      </c>
      <c r="H34" s="23"/>
      <c r="I34" s="23"/>
      <c r="J34" s="28"/>
      <c r="K34" s="25" t="s">
        <v>1428</v>
      </c>
      <c r="L34" s="25" t="s">
        <v>1431</v>
      </c>
      <c r="M34" s="25" t="s">
        <v>1432</v>
      </c>
      <c r="N34" s="25" t="s">
        <v>1432</v>
      </c>
      <c r="O34" s="23"/>
      <c r="P34" s="23"/>
      <c r="Q34" s="28"/>
      <c r="R34" s="25" t="s">
        <v>1428</v>
      </c>
      <c r="S34" s="25" t="s">
        <v>1431</v>
      </c>
      <c r="T34" s="25" t="s">
        <v>1432</v>
      </c>
      <c r="U34" s="25" t="s">
        <v>1432</v>
      </c>
      <c r="V34" s="23"/>
      <c r="W34" s="23"/>
      <c r="X34" s="28"/>
      <c r="Y34" s="25" t="s">
        <v>1428</v>
      </c>
      <c r="Z34" s="25" t="s">
        <v>1431</v>
      </c>
      <c r="AA34" s="25" t="s">
        <v>1432</v>
      </c>
      <c r="AB34" s="25" t="s">
        <v>1432</v>
      </c>
      <c r="AC34" s="23"/>
      <c r="AE34" s="30"/>
      <c r="AF34" s="30"/>
      <c r="AG34" s="30"/>
      <c r="AH34" s="30"/>
      <c r="AI34" s="30"/>
      <c r="AJ34" s="30"/>
      <c r="AK34" s="30"/>
      <c r="AL34" s="30"/>
      <c r="AM34" s="30"/>
      <c r="AN34" s="30"/>
      <c r="AO34" s="30"/>
      <c r="AP34" s="30"/>
      <c r="AQ34" s="30"/>
    </row>
    <row r="35" spans="1:43" ht="8.25" customHeight="1" x14ac:dyDescent="0.3">
      <c r="AE35" s="30"/>
      <c r="AF35" s="30"/>
      <c r="AG35" s="30"/>
      <c r="AH35" s="30"/>
      <c r="AI35" s="30"/>
      <c r="AJ35" s="30"/>
      <c r="AK35" s="30"/>
      <c r="AL35" s="30"/>
      <c r="AM35" s="30"/>
      <c r="AN35" s="30"/>
      <c r="AO35" s="30"/>
      <c r="AP35" s="30"/>
      <c r="AQ35" s="30"/>
    </row>
    <row r="36" spans="1:43" s="34" customFormat="1" ht="15" customHeight="1" x14ac:dyDescent="0.2">
      <c r="A36" s="31" t="s">
        <v>7265</v>
      </c>
      <c r="B36" s="32"/>
      <c r="C36" s="33"/>
      <c r="D36" s="33"/>
      <c r="E36" s="33"/>
      <c r="F36" s="33"/>
      <c r="G36" s="33"/>
      <c r="H36" s="32"/>
      <c r="I36" s="32"/>
      <c r="J36" s="32"/>
      <c r="K36" s="32"/>
      <c r="L36" s="32"/>
      <c r="M36" s="32"/>
      <c r="N36" s="32"/>
      <c r="O36" s="32"/>
      <c r="P36" s="32"/>
      <c r="Q36" s="32"/>
      <c r="R36" s="32"/>
      <c r="S36" s="32"/>
      <c r="T36" s="32"/>
      <c r="U36" s="32"/>
      <c r="V36" s="32"/>
      <c r="W36" s="32"/>
      <c r="X36" s="32"/>
      <c r="Y36" s="32"/>
      <c r="Z36" s="32"/>
      <c r="AA36" s="32"/>
      <c r="AB36" s="32"/>
      <c r="AC36" s="32"/>
    </row>
    <row r="37" spans="1:43" ht="3" customHeight="1" x14ac:dyDescent="0.3"/>
    <row r="38" spans="1:43" ht="12" customHeight="1" x14ac:dyDescent="0.3">
      <c r="A38" s="23"/>
      <c r="B38" s="23"/>
      <c r="C38" s="2177" t="s">
        <v>1424</v>
      </c>
      <c r="D38" s="2177"/>
      <c r="E38" s="2177"/>
      <c r="F38" s="2177"/>
      <c r="G38" s="2177"/>
      <c r="H38" s="23"/>
      <c r="I38" s="23"/>
      <c r="J38" s="2177" t="s">
        <v>1425</v>
      </c>
      <c r="K38" s="2177"/>
      <c r="L38" s="2177"/>
      <c r="M38" s="2177"/>
      <c r="N38" s="2177"/>
      <c r="O38" s="23"/>
      <c r="P38" s="23"/>
      <c r="Q38" s="2177" t="s">
        <v>1426</v>
      </c>
      <c r="R38" s="2177"/>
      <c r="S38" s="2177"/>
      <c r="T38" s="2177"/>
      <c r="U38" s="2177"/>
      <c r="V38" s="23"/>
      <c r="W38" s="23"/>
      <c r="X38" s="2177" t="s">
        <v>1427</v>
      </c>
      <c r="Y38" s="2177"/>
      <c r="Z38" s="2177"/>
      <c r="AA38" s="2177"/>
      <c r="AB38" s="2177"/>
      <c r="AC38" s="23"/>
    </row>
    <row r="39" spans="1:43" ht="3.75" hidden="1" customHeight="1" x14ac:dyDescent="0.3">
      <c r="J39" s="19"/>
      <c r="K39" s="19"/>
      <c r="L39" s="19"/>
      <c r="M39" s="19"/>
      <c r="N39" s="19"/>
      <c r="Q39" s="19"/>
      <c r="R39" s="19"/>
      <c r="S39" s="19"/>
      <c r="T39" s="19"/>
      <c r="U39" s="19"/>
      <c r="X39" s="19"/>
      <c r="Y39" s="19"/>
      <c r="Z39" s="19"/>
      <c r="AA39" s="19"/>
      <c r="AB39" s="19"/>
    </row>
    <row r="40" spans="1:43" ht="14.25" x14ac:dyDescent="0.3">
      <c r="A40" s="23"/>
      <c r="B40" s="24" t="s">
        <v>4811</v>
      </c>
      <c r="C40" s="25">
        <v>4</v>
      </c>
      <c r="D40" s="35">
        <v>1</v>
      </c>
      <c r="E40" s="35">
        <v>1</v>
      </c>
      <c r="F40" s="35">
        <v>1</v>
      </c>
      <c r="G40" s="35">
        <v>1</v>
      </c>
      <c r="H40" s="23"/>
      <c r="I40" s="24" t="s">
        <v>4811</v>
      </c>
      <c r="J40" s="25">
        <v>4</v>
      </c>
      <c r="K40" s="35">
        <v>1</v>
      </c>
      <c r="L40" s="35">
        <v>1</v>
      </c>
      <c r="M40" s="35">
        <v>1</v>
      </c>
      <c r="N40" s="35">
        <v>1</v>
      </c>
      <c r="O40" s="23"/>
      <c r="P40" s="24" t="s">
        <v>4811</v>
      </c>
      <c r="Q40" s="25">
        <v>4</v>
      </c>
      <c r="R40" s="35">
        <v>1</v>
      </c>
      <c r="S40" s="35">
        <v>1</v>
      </c>
      <c r="T40" s="35">
        <v>1</v>
      </c>
      <c r="U40" s="35">
        <v>1</v>
      </c>
      <c r="V40" s="23"/>
      <c r="W40" s="24" t="s">
        <v>4811</v>
      </c>
      <c r="X40" s="25">
        <v>4</v>
      </c>
      <c r="Y40" s="35">
        <v>1</v>
      </c>
      <c r="Z40" s="35">
        <v>1</v>
      </c>
      <c r="AA40" s="35">
        <v>1</v>
      </c>
      <c r="AB40" s="35">
        <v>1</v>
      </c>
      <c r="AC40" s="23"/>
    </row>
    <row r="41" spans="1:43" ht="14.25" x14ac:dyDescent="0.3">
      <c r="A41" s="23"/>
      <c r="B41" s="24" t="s">
        <v>1430</v>
      </c>
      <c r="C41" s="25">
        <v>3</v>
      </c>
      <c r="D41" s="35">
        <v>1</v>
      </c>
      <c r="E41" s="35">
        <v>1</v>
      </c>
      <c r="F41" s="35">
        <v>1</v>
      </c>
      <c r="G41" s="35">
        <v>1</v>
      </c>
      <c r="H41" s="23"/>
      <c r="I41" s="24" t="s">
        <v>1430</v>
      </c>
      <c r="J41" s="25">
        <v>3</v>
      </c>
      <c r="K41" s="35">
        <v>2</v>
      </c>
      <c r="L41" s="35">
        <v>2</v>
      </c>
      <c r="M41" s="35">
        <v>1</v>
      </c>
      <c r="N41" s="35">
        <v>1</v>
      </c>
      <c r="O41" s="23"/>
      <c r="P41" s="24" t="s">
        <v>1430</v>
      </c>
      <c r="Q41" s="25">
        <v>3</v>
      </c>
      <c r="R41" s="35">
        <v>2</v>
      </c>
      <c r="S41" s="35">
        <v>2</v>
      </c>
      <c r="T41" s="35">
        <v>1</v>
      </c>
      <c r="U41" s="35">
        <v>1</v>
      </c>
      <c r="V41" s="23"/>
      <c r="W41" s="24" t="s">
        <v>1430</v>
      </c>
      <c r="X41" s="25">
        <v>3</v>
      </c>
      <c r="Y41" s="35">
        <v>2</v>
      </c>
      <c r="Z41" s="35">
        <v>2</v>
      </c>
      <c r="AA41" s="35">
        <v>2</v>
      </c>
      <c r="AB41" s="35">
        <v>1</v>
      </c>
      <c r="AC41" s="23"/>
    </row>
    <row r="42" spans="1:43" ht="14.25" x14ac:dyDescent="0.3">
      <c r="A42" s="23"/>
      <c r="B42" s="24" t="s">
        <v>5688</v>
      </c>
      <c r="C42" s="25">
        <v>2</v>
      </c>
      <c r="D42" s="35">
        <v>1</v>
      </c>
      <c r="E42" s="35">
        <v>1</v>
      </c>
      <c r="F42" s="35">
        <v>1</v>
      </c>
      <c r="G42" s="35">
        <v>1</v>
      </c>
      <c r="H42" s="23"/>
      <c r="I42" s="24" t="s">
        <v>5688</v>
      </c>
      <c r="J42" s="25">
        <v>2</v>
      </c>
      <c r="K42" s="35">
        <v>2</v>
      </c>
      <c r="L42" s="35">
        <v>2</v>
      </c>
      <c r="M42" s="35">
        <v>2</v>
      </c>
      <c r="N42" s="35">
        <v>1</v>
      </c>
      <c r="O42" s="23"/>
      <c r="P42" s="24" t="s">
        <v>5688</v>
      </c>
      <c r="Q42" s="25">
        <v>2</v>
      </c>
      <c r="R42" s="35">
        <v>3</v>
      </c>
      <c r="S42" s="35">
        <v>3</v>
      </c>
      <c r="T42" s="35">
        <v>2</v>
      </c>
      <c r="U42" s="35">
        <v>1</v>
      </c>
      <c r="V42" s="23"/>
      <c r="W42" s="24" t="s">
        <v>5688</v>
      </c>
      <c r="X42" s="25">
        <v>2</v>
      </c>
      <c r="Y42" s="35">
        <v>3</v>
      </c>
      <c r="Z42" s="35">
        <v>3</v>
      </c>
      <c r="AA42" s="35">
        <v>2</v>
      </c>
      <c r="AB42" s="35">
        <v>1</v>
      </c>
      <c r="AC42" s="23"/>
    </row>
    <row r="43" spans="1:43" ht="14.25" x14ac:dyDescent="0.3">
      <c r="A43" s="23"/>
      <c r="B43" s="24" t="s">
        <v>1460</v>
      </c>
      <c r="C43" s="25">
        <v>1</v>
      </c>
      <c r="D43" s="35">
        <v>1</v>
      </c>
      <c r="E43" s="35">
        <v>1</v>
      </c>
      <c r="F43" s="35">
        <v>1</v>
      </c>
      <c r="G43" s="35">
        <v>1</v>
      </c>
      <c r="H43" s="23"/>
      <c r="I43" s="24" t="s">
        <v>1460</v>
      </c>
      <c r="J43" s="25">
        <v>1</v>
      </c>
      <c r="K43" s="35">
        <v>2</v>
      </c>
      <c r="L43" s="35">
        <v>2</v>
      </c>
      <c r="M43" s="35">
        <v>2</v>
      </c>
      <c r="N43" s="35">
        <v>1</v>
      </c>
      <c r="O43" s="23"/>
      <c r="P43" s="24" t="s">
        <v>1460</v>
      </c>
      <c r="Q43" s="25">
        <v>1</v>
      </c>
      <c r="R43" s="35">
        <v>3</v>
      </c>
      <c r="S43" s="35">
        <v>3</v>
      </c>
      <c r="T43" s="35">
        <v>2</v>
      </c>
      <c r="U43" s="35">
        <v>1</v>
      </c>
      <c r="V43" s="23"/>
      <c r="W43" s="24" t="s">
        <v>1460</v>
      </c>
      <c r="X43" s="25">
        <v>1</v>
      </c>
      <c r="Y43" s="35">
        <v>4</v>
      </c>
      <c r="Z43" s="35">
        <v>3</v>
      </c>
      <c r="AA43" s="35">
        <v>2</v>
      </c>
      <c r="AB43" s="35">
        <v>1</v>
      </c>
      <c r="AC43" s="23"/>
    </row>
    <row r="44" spans="1:43" ht="14.25" x14ac:dyDescent="0.3">
      <c r="A44" s="23"/>
      <c r="B44" s="24"/>
      <c r="C44" s="28"/>
      <c r="D44" s="25">
        <v>1</v>
      </c>
      <c r="E44" s="25">
        <v>2</v>
      </c>
      <c r="F44" s="25">
        <v>3</v>
      </c>
      <c r="G44" s="25">
        <v>4</v>
      </c>
      <c r="H44" s="23"/>
      <c r="I44" s="24"/>
      <c r="J44" s="28"/>
      <c r="K44" s="25">
        <v>1</v>
      </c>
      <c r="L44" s="25">
        <v>2</v>
      </c>
      <c r="M44" s="25">
        <v>3</v>
      </c>
      <c r="N44" s="25">
        <v>4</v>
      </c>
      <c r="O44" s="23"/>
      <c r="P44" s="24"/>
      <c r="Q44" s="28"/>
      <c r="R44" s="25">
        <v>1</v>
      </c>
      <c r="S44" s="25">
        <v>2</v>
      </c>
      <c r="T44" s="25">
        <v>3</v>
      </c>
      <c r="U44" s="25">
        <v>4</v>
      </c>
      <c r="V44" s="23"/>
      <c r="W44" s="24"/>
      <c r="X44" s="28"/>
      <c r="Y44" s="25">
        <v>1</v>
      </c>
      <c r="Z44" s="25">
        <v>2</v>
      </c>
      <c r="AA44" s="25">
        <v>3</v>
      </c>
      <c r="AB44" s="25">
        <v>4</v>
      </c>
      <c r="AC44" s="23"/>
    </row>
    <row r="45" spans="1:43" ht="12" customHeight="1" x14ac:dyDescent="0.3">
      <c r="A45" s="23"/>
      <c r="B45" s="23"/>
      <c r="C45" s="28"/>
      <c r="D45" s="25" t="s">
        <v>1428</v>
      </c>
      <c r="E45" s="25" t="s">
        <v>1431</v>
      </c>
      <c r="F45" s="25" t="s">
        <v>1432</v>
      </c>
      <c r="G45" s="25" t="s">
        <v>1432</v>
      </c>
      <c r="H45" s="23"/>
      <c r="I45" s="23"/>
      <c r="J45" s="28"/>
      <c r="K45" s="25" t="s">
        <v>1428</v>
      </c>
      <c r="L45" s="25" t="s">
        <v>1431</v>
      </c>
      <c r="M45" s="25" t="s">
        <v>1432</v>
      </c>
      <c r="N45" s="25" t="s">
        <v>1432</v>
      </c>
      <c r="O45" s="23"/>
      <c r="P45" s="23"/>
      <c r="Q45" s="28"/>
      <c r="R45" s="25" t="s">
        <v>1428</v>
      </c>
      <c r="S45" s="25" t="s">
        <v>1431</v>
      </c>
      <c r="T45" s="25" t="s">
        <v>1432</v>
      </c>
      <c r="U45" s="25" t="s">
        <v>1432</v>
      </c>
      <c r="V45" s="23"/>
      <c r="W45" s="23"/>
      <c r="X45" s="28"/>
      <c r="Y45" s="25" t="s">
        <v>1428</v>
      </c>
      <c r="Z45" s="25" t="s">
        <v>1431</v>
      </c>
      <c r="AA45" s="25" t="s">
        <v>1432</v>
      </c>
      <c r="AB45" s="25" t="s">
        <v>1432</v>
      </c>
      <c r="AC45" s="23"/>
      <c r="AE45" s="2178"/>
      <c r="AF45" s="2178"/>
      <c r="AG45" s="2178"/>
      <c r="AH45" s="2178"/>
    </row>
    <row r="46" spans="1:43" ht="8.25" customHeight="1" x14ac:dyDescent="0.3">
      <c r="AE46" s="36"/>
      <c r="AF46" s="36"/>
      <c r="AG46" s="36"/>
      <c r="AH46" s="37"/>
    </row>
    <row r="47" spans="1:43" ht="1.5" customHeight="1" x14ac:dyDescent="0.3">
      <c r="AE47" s="36"/>
      <c r="AF47" s="36"/>
      <c r="AG47" s="36"/>
      <c r="AH47" s="37"/>
      <c r="AI47" s="34"/>
      <c r="AJ47" s="34"/>
      <c r="AK47" s="34"/>
      <c r="AL47" s="34"/>
      <c r="AM47" s="34"/>
      <c r="AN47" s="34"/>
      <c r="AO47" s="34"/>
      <c r="AP47" s="34"/>
      <c r="AQ47" s="34"/>
    </row>
    <row r="48" spans="1:43" ht="22.5" x14ac:dyDescent="0.45">
      <c r="A48" s="17" t="s">
        <v>5678</v>
      </c>
      <c r="B48" s="19"/>
      <c r="AE48" s="36"/>
      <c r="AF48" s="36"/>
      <c r="AG48" s="36"/>
      <c r="AH48" s="37"/>
    </row>
    <row r="49" spans="1:34" x14ac:dyDescent="0.3">
      <c r="B49" s="19"/>
      <c r="AE49" s="36"/>
      <c r="AF49" s="36"/>
      <c r="AG49" s="36"/>
      <c r="AH49" s="37"/>
    </row>
    <row r="50" spans="1:34" ht="19.5" x14ac:dyDescent="0.4">
      <c r="A50" s="22" t="s">
        <v>5679</v>
      </c>
      <c r="B50" s="19"/>
      <c r="AE50" s="36"/>
      <c r="AF50" s="36"/>
      <c r="AG50" s="36"/>
      <c r="AH50" s="37"/>
    </row>
    <row r="51" spans="1:34" ht="3" customHeight="1" x14ac:dyDescent="0.3">
      <c r="B51" s="19"/>
      <c r="AE51" s="36"/>
      <c r="AF51" s="36"/>
      <c r="AG51" s="36"/>
      <c r="AH51" s="37"/>
    </row>
    <row r="52" spans="1:34" ht="14.25" x14ac:dyDescent="0.3">
      <c r="A52" s="23"/>
      <c r="B52" s="28"/>
      <c r="C52" s="2177" t="s">
        <v>5680</v>
      </c>
      <c r="D52" s="2177"/>
      <c r="E52" s="2177"/>
      <c r="F52" s="2177"/>
      <c r="G52" s="2177"/>
      <c r="H52" s="23"/>
      <c r="I52" s="23"/>
      <c r="J52" s="2177" t="s">
        <v>5681</v>
      </c>
      <c r="K52" s="2177"/>
      <c r="L52" s="2177"/>
      <c r="M52" s="2177"/>
      <c r="N52" s="2177"/>
      <c r="O52" s="23"/>
      <c r="P52" s="23"/>
      <c r="Q52" s="2177" t="s">
        <v>5682</v>
      </c>
      <c r="R52" s="2177"/>
      <c r="S52" s="2177"/>
      <c r="T52" s="2177"/>
      <c r="U52" s="2177"/>
      <c r="V52" s="23"/>
      <c r="W52" s="23"/>
      <c r="X52" s="2177" t="s">
        <v>5683</v>
      </c>
      <c r="Y52" s="2177"/>
      <c r="Z52" s="2177"/>
      <c r="AA52" s="2177"/>
      <c r="AB52" s="2177"/>
      <c r="AC52" s="23"/>
      <c r="AE52" s="36"/>
      <c r="AF52" s="36"/>
      <c r="AG52" s="36"/>
      <c r="AH52" s="37"/>
    </row>
    <row r="53" spans="1:34" ht="3" customHeight="1" x14ac:dyDescent="0.3">
      <c r="B53" s="19"/>
      <c r="J53" s="19"/>
      <c r="K53" s="19"/>
      <c r="L53" s="19"/>
      <c r="M53" s="19"/>
      <c r="N53" s="19"/>
      <c r="Q53" s="19"/>
      <c r="R53" s="19"/>
      <c r="S53" s="19"/>
      <c r="T53" s="19"/>
      <c r="U53" s="19"/>
      <c r="X53" s="19"/>
      <c r="Y53" s="19"/>
      <c r="Z53" s="19"/>
      <c r="AA53" s="19"/>
      <c r="AB53" s="19"/>
      <c r="AE53" s="36"/>
      <c r="AF53" s="36"/>
      <c r="AG53" s="36"/>
      <c r="AH53" s="37"/>
    </row>
    <row r="54" spans="1:34" ht="14.25" x14ac:dyDescent="0.3">
      <c r="A54" s="23"/>
      <c r="B54" s="25" t="s">
        <v>1873</v>
      </c>
      <c r="C54" s="25"/>
      <c r="D54" s="26"/>
      <c r="E54" s="26"/>
      <c r="F54" s="26"/>
      <c r="G54" s="26"/>
      <c r="H54" s="23"/>
      <c r="I54" s="25" t="s">
        <v>1873</v>
      </c>
      <c r="J54" s="25"/>
      <c r="K54" s="26"/>
      <c r="L54" s="26"/>
      <c r="M54" s="26"/>
      <c r="N54" s="26"/>
      <c r="O54" s="23"/>
      <c r="P54" s="25" t="s">
        <v>1873</v>
      </c>
      <c r="Q54" s="25"/>
      <c r="R54" s="26"/>
      <c r="S54" s="26"/>
      <c r="T54" s="26"/>
      <c r="U54" s="26"/>
      <c r="V54" s="23"/>
      <c r="W54" s="25" t="s">
        <v>1873</v>
      </c>
      <c r="X54" s="25"/>
      <c r="Y54" s="26"/>
      <c r="Z54" s="26"/>
      <c r="AA54" s="26"/>
      <c r="AB54" s="26"/>
      <c r="AC54" s="23"/>
      <c r="AE54" s="36"/>
      <c r="AF54" s="36"/>
      <c r="AG54" s="36"/>
      <c r="AH54" s="37"/>
    </row>
    <row r="55" spans="1:34" ht="14.25" x14ac:dyDescent="0.3">
      <c r="A55" s="23"/>
      <c r="B55" s="25" t="s">
        <v>4638</v>
      </c>
      <c r="C55" s="25"/>
      <c r="D55" s="26"/>
      <c r="E55" s="26"/>
      <c r="F55" s="26"/>
      <c r="G55" s="26"/>
      <c r="H55" s="23"/>
      <c r="I55" s="25" t="s">
        <v>4638</v>
      </c>
      <c r="J55" s="25"/>
      <c r="K55" s="26"/>
      <c r="L55" s="26"/>
      <c r="M55" s="26"/>
      <c r="N55" s="26"/>
      <c r="O55" s="23"/>
      <c r="P55" s="25" t="s">
        <v>4638</v>
      </c>
      <c r="Q55" s="25"/>
      <c r="R55" s="26"/>
      <c r="S55" s="26"/>
      <c r="T55" s="26"/>
      <c r="U55" s="26"/>
      <c r="V55" s="23"/>
      <c r="W55" s="25" t="s">
        <v>4638</v>
      </c>
      <c r="X55" s="25"/>
      <c r="Y55" s="26"/>
      <c r="Z55" s="26"/>
      <c r="AA55" s="26"/>
      <c r="AB55" s="26"/>
      <c r="AC55" s="23"/>
      <c r="AE55" s="36"/>
      <c r="AF55" s="36"/>
      <c r="AG55" s="36"/>
      <c r="AH55" s="37"/>
    </row>
    <row r="56" spans="1:34" ht="14.25" x14ac:dyDescent="0.3">
      <c r="A56" s="23"/>
      <c r="B56" s="25" t="s">
        <v>5684</v>
      </c>
      <c r="C56" s="25"/>
      <c r="D56" s="26"/>
      <c r="E56" s="26"/>
      <c r="F56" s="26"/>
      <c r="G56" s="26"/>
      <c r="H56" s="23"/>
      <c r="I56" s="25" t="s">
        <v>5684</v>
      </c>
      <c r="J56" s="25"/>
      <c r="K56" s="26"/>
      <c r="L56" s="26"/>
      <c r="M56" s="26"/>
      <c r="N56" s="26"/>
      <c r="O56" s="23"/>
      <c r="P56" s="25" t="s">
        <v>5684</v>
      </c>
      <c r="Q56" s="25"/>
      <c r="R56" s="26"/>
      <c r="S56" s="26"/>
      <c r="T56" s="26"/>
      <c r="U56" s="26"/>
      <c r="V56" s="23"/>
      <c r="W56" s="25" t="s">
        <v>5684</v>
      </c>
      <c r="X56" s="25"/>
      <c r="Y56" s="26"/>
      <c r="Z56" s="26"/>
      <c r="AA56" s="26"/>
      <c r="AB56" s="26"/>
      <c r="AC56" s="23"/>
      <c r="AE56" s="36"/>
      <c r="AF56" s="36"/>
      <c r="AG56" s="36"/>
      <c r="AH56" s="37"/>
    </row>
    <row r="57" spans="1:34" ht="14.25" x14ac:dyDescent="0.3">
      <c r="A57" s="23"/>
      <c r="B57" s="25" t="s">
        <v>5684</v>
      </c>
      <c r="C57" s="25">
        <v>1</v>
      </c>
      <c r="D57" s="26">
        <v>1</v>
      </c>
      <c r="E57" s="26">
        <v>1</v>
      </c>
      <c r="F57" s="26">
        <v>1</v>
      </c>
      <c r="G57" s="26">
        <v>1</v>
      </c>
      <c r="H57" s="23"/>
      <c r="I57" s="25" t="s">
        <v>5684</v>
      </c>
      <c r="J57" s="25">
        <v>1</v>
      </c>
      <c r="K57" s="26">
        <v>2</v>
      </c>
      <c r="L57" s="26">
        <v>2</v>
      </c>
      <c r="M57" s="26">
        <v>2</v>
      </c>
      <c r="N57" s="26">
        <v>1</v>
      </c>
      <c r="O57" s="23"/>
      <c r="P57" s="25" t="s">
        <v>5684</v>
      </c>
      <c r="Q57" s="25">
        <v>1</v>
      </c>
      <c r="R57" s="26">
        <v>3</v>
      </c>
      <c r="S57" s="26">
        <v>3</v>
      </c>
      <c r="T57" s="26">
        <v>2</v>
      </c>
      <c r="U57" s="26">
        <v>1</v>
      </c>
      <c r="V57" s="23"/>
      <c r="W57" s="25" t="s">
        <v>5684</v>
      </c>
      <c r="X57" s="25">
        <v>1</v>
      </c>
      <c r="Y57" s="26">
        <v>4</v>
      </c>
      <c r="Z57" s="26">
        <v>4</v>
      </c>
      <c r="AA57" s="26">
        <v>2</v>
      </c>
      <c r="AB57" s="26">
        <v>1</v>
      </c>
      <c r="AC57" s="23"/>
      <c r="AE57" s="36"/>
      <c r="AF57" s="36"/>
      <c r="AG57" s="36"/>
      <c r="AH57" s="38"/>
    </row>
    <row r="58" spans="1:34" ht="14.25" x14ac:dyDescent="0.3">
      <c r="A58" s="23"/>
      <c r="B58" s="28"/>
      <c r="C58" s="28"/>
      <c r="D58" s="25">
        <v>1</v>
      </c>
      <c r="E58" s="25">
        <v>2</v>
      </c>
      <c r="F58" s="25">
        <v>3</v>
      </c>
      <c r="G58" s="25">
        <v>4</v>
      </c>
      <c r="H58" s="23"/>
      <c r="I58" s="23"/>
      <c r="J58" s="28"/>
      <c r="K58" s="25">
        <v>1</v>
      </c>
      <c r="L58" s="25">
        <v>2</v>
      </c>
      <c r="M58" s="25">
        <v>3</v>
      </c>
      <c r="N58" s="25">
        <v>4</v>
      </c>
      <c r="O58" s="23"/>
      <c r="P58" s="23"/>
      <c r="Q58" s="28"/>
      <c r="R58" s="25">
        <v>1</v>
      </c>
      <c r="S58" s="25">
        <v>2</v>
      </c>
      <c r="T58" s="25">
        <v>3</v>
      </c>
      <c r="U58" s="25">
        <v>4</v>
      </c>
      <c r="V58" s="23"/>
      <c r="W58" s="23"/>
      <c r="X58" s="28"/>
      <c r="Y58" s="25">
        <v>1</v>
      </c>
      <c r="Z58" s="25">
        <v>2</v>
      </c>
      <c r="AA58" s="25">
        <v>3</v>
      </c>
      <c r="AB58" s="25">
        <v>4</v>
      </c>
      <c r="AC58" s="23"/>
      <c r="AE58" s="36"/>
      <c r="AF58" s="36"/>
      <c r="AG58" s="36"/>
      <c r="AH58" s="38"/>
    </row>
    <row r="59" spans="1:34" ht="14.25" x14ac:dyDescent="0.3">
      <c r="A59" s="23"/>
      <c r="B59" s="28"/>
      <c r="C59" s="28"/>
      <c r="D59" s="25" t="s">
        <v>1428</v>
      </c>
      <c r="E59" s="25" t="s">
        <v>1429</v>
      </c>
      <c r="F59" s="25" t="s">
        <v>6403</v>
      </c>
      <c r="G59" s="25" t="s">
        <v>5685</v>
      </c>
      <c r="H59" s="23"/>
      <c r="I59" s="23"/>
      <c r="J59" s="28"/>
      <c r="K59" s="25" t="s">
        <v>1428</v>
      </c>
      <c r="L59" s="25" t="s">
        <v>1429</v>
      </c>
      <c r="M59" s="25" t="s">
        <v>6403</v>
      </c>
      <c r="N59" s="25" t="s">
        <v>5685</v>
      </c>
      <c r="O59" s="23"/>
      <c r="P59" s="23"/>
      <c r="Q59" s="28"/>
      <c r="R59" s="25" t="s">
        <v>1428</v>
      </c>
      <c r="S59" s="25" t="s">
        <v>1429</v>
      </c>
      <c r="T59" s="25" t="s">
        <v>6403</v>
      </c>
      <c r="U59" s="25" t="s">
        <v>5685</v>
      </c>
      <c r="V59" s="23"/>
      <c r="W59" s="23"/>
      <c r="X59" s="28"/>
      <c r="Y59" s="25" t="s">
        <v>1428</v>
      </c>
      <c r="Z59" s="25" t="s">
        <v>1429</v>
      </c>
      <c r="AA59" s="25" t="s">
        <v>6403</v>
      </c>
      <c r="AB59" s="25" t="s">
        <v>5685</v>
      </c>
      <c r="AC59" s="23"/>
      <c r="AE59" s="36"/>
      <c r="AF59" s="36"/>
      <c r="AG59" s="36"/>
      <c r="AH59" s="38"/>
    </row>
    <row r="60" spans="1:34" x14ac:dyDescent="0.3">
      <c r="B60" s="19"/>
      <c r="AE60" s="36"/>
      <c r="AF60" s="36"/>
      <c r="AG60" s="36"/>
      <c r="AH60" s="38"/>
    </row>
    <row r="61" spans="1:34" ht="19.5" x14ac:dyDescent="0.4">
      <c r="A61" s="22" t="s">
        <v>5686</v>
      </c>
      <c r="B61" s="19"/>
      <c r="AE61" s="36"/>
      <c r="AF61" s="36"/>
      <c r="AG61" s="36"/>
      <c r="AH61" s="38"/>
    </row>
    <row r="62" spans="1:34" ht="3" customHeight="1" x14ac:dyDescent="0.3">
      <c r="B62" s="19"/>
      <c r="AE62" s="36"/>
      <c r="AF62" s="36"/>
      <c r="AG62" s="36"/>
      <c r="AH62" s="37"/>
    </row>
    <row r="63" spans="1:34" ht="14.25" x14ac:dyDescent="0.3">
      <c r="A63" s="23"/>
      <c r="B63" s="28"/>
      <c r="C63" s="2177" t="s">
        <v>5680</v>
      </c>
      <c r="D63" s="2177"/>
      <c r="E63" s="2177"/>
      <c r="F63" s="2177"/>
      <c r="G63" s="2177"/>
      <c r="H63" s="23"/>
      <c r="I63" s="23"/>
      <c r="J63" s="2177" t="s">
        <v>5681</v>
      </c>
      <c r="K63" s="2177"/>
      <c r="L63" s="2177"/>
      <c r="M63" s="2177"/>
      <c r="N63" s="2177"/>
      <c r="O63" s="23"/>
      <c r="P63" s="23"/>
      <c r="Q63" s="2177" t="s">
        <v>5682</v>
      </c>
      <c r="R63" s="2177"/>
      <c r="S63" s="2177"/>
      <c r="T63" s="2177"/>
      <c r="U63" s="2177"/>
      <c r="V63" s="23"/>
      <c r="W63" s="23"/>
      <c r="X63" s="2177" t="s">
        <v>5683</v>
      </c>
      <c r="Y63" s="2177"/>
      <c r="Z63" s="2177"/>
      <c r="AA63" s="2177"/>
      <c r="AB63" s="2177"/>
      <c r="AC63" s="23"/>
      <c r="AE63" s="36"/>
      <c r="AF63" s="36"/>
      <c r="AG63" s="36"/>
      <c r="AH63" s="37"/>
    </row>
    <row r="64" spans="1:34" ht="3" customHeight="1" x14ac:dyDescent="0.3">
      <c r="B64" s="19"/>
      <c r="J64" s="19"/>
      <c r="K64" s="19"/>
      <c r="L64" s="19"/>
      <c r="M64" s="19"/>
      <c r="N64" s="19"/>
      <c r="Q64" s="19"/>
      <c r="R64" s="19"/>
      <c r="S64" s="19"/>
      <c r="T64" s="19"/>
      <c r="U64" s="19"/>
      <c r="X64" s="19"/>
      <c r="Y64" s="19"/>
      <c r="Z64" s="19"/>
      <c r="AA64" s="19"/>
      <c r="AB64" s="19"/>
      <c r="AE64" s="36"/>
      <c r="AF64" s="36"/>
      <c r="AG64" s="36"/>
      <c r="AH64" s="38"/>
    </row>
    <row r="65" spans="1:34" ht="14.25" x14ac:dyDescent="0.3">
      <c r="A65" s="23"/>
      <c r="B65" s="25" t="s">
        <v>1873</v>
      </c>
      <c r="C65" s="25"/>
      <c r="D65" s="26"/>
      <c r="E65" s="26"/>
      <c r="F65" s="26"/>
      <c r="G65" s="26"/>
      <c r="H65" s="23"/>
      <c r="I65" s="25" t="s">
        <v>1873</v>
      </c>
      <c r="J65" s="25"/>
      <c r="K65" s="26"/>
      <c r="L65" s="26"/>
      <c r="M65" s="26"/>
      <c r="N65" s="26"/>
      <c r="O65" s="23"/>
      <c r="P65" s="25" t="s">
        <v>1873</v>
      </c>
      <c r="Q65" s="25"/>
      <c r="R65" s="26"/>
      <c r="S65" s="26"/>
      <c r="T65" s="26"/>
      <c r="U65" s="26"/>
      <c r="V65" s="23"/>
      <c r="W65" s="25" t="s">
        <v>1873</v>
      </c>
      <c r="X65" s="25"/>
      <c r="Y65" s="26"/>
      <c r="Z65" s="26"/>
      <c r="AA65" s="26"/>
      <c r="AB65" s="26"/>
      <c r="AC65" s="23"/>
      <c r="AE65" s="36"/>
      <c r="AF65" s="36"/>
      <c r="AG65" s="36"/>
      <c r="AH65" s="38"/>
    </row>
    <row r="66" spans="1:34" ht="14.25" x14ac:dyDescent="0.3">
      <c r="A66" s="23"/>
      <c r="B66" s="25" t="s">
        <v>4638</v>
      </c>
      <c r="C66" s="25"/>
      <c r="D66" s="26"/>
      <c r="E66" s="26"/>
      <c r="F66" s="26"/>
      <c r="G66" s="26"/>
      <c r="H66" s="23"/>
      <c r="I66" s="25" t="s">
        <v>4638</v>
      </c>
      <c r="J66" s="25"/>
      <c r="K66" s="26"/>
      <c r="L66" s="26"/>
      <c r="M66" s="26"/>
      <c r="N66" s="26"/>
      <c r="O66" s="23"/>
      <c r="P66" s="25" t="s">
        <v>4638</v>
      </c>
      <c r="Q66" s="25"/>
      <c r="R66" s="26"/>
      <c r="S66" s="26"/>
      <c r="T66" s="26"/>
      <c r="U66" s="26"/>
      <c r="V66" s="23"/>
      <c r="W66" s="25" t="s">
        <v>4638</v>
      </c>
      <c r="X66" s="25"/>
      <c r="Y66" s="26"/>
      <c r="Z66" s="26"/>
      <c r="AA66" s="26"/>
      <c r="AB66" s="26"/>
      <c r="AC66" s="23"/>
      <c r="AE66" s="36"/>
      <c r="AF66" s="36"/>
      <c r="AG66" s="36"/>
      <c r="AH66" s="37"/>
    </row>
    <row r="67" spans="1:34" ht="14.25" x14ac:dyDescent="0.3">
      <c r="A67" s="23"/>
      <c r="B67" s="25" t="s">
        <v>5684</v>
      </c>
      <c r="C67" s="25"/>
      <c r="D67" s="26"/>
      <c r="E67" s="26"/>
      <c r="F67" s="26"/>
      <c r="G67" s="26"/>
      <c r="H67" s="23"/>
      <c r="I67" s="25" t="s">
        <v>5684</v>
      </c>
      <c r="J67" s="25"/>
      <c r="K67" s="26"/>
      <c r="L67" s="26"/>
      <c r="M67" s="26"/>
      <c r="N67" s="26"/>
      <c r="O67" s="23"/>
      <c r="P67" s="25" t="s">
        <v>5684</v>
      </c>
      <c r="Q67" s="25"/>
      <c r="R67" s="26"/>
      <c r="S67" s="26"/>
      <c r="T67" s="26"/>
      <c r="U67" s="26"/>
      <c r="V67" s="23"/>
      <c r="W67" s="25" t="s">
        <v>5684</v>
      </c>
      <c r="X67" s="25"/>
      <c r="Y67" s="26"/>
      <c r="Z67" s="26"/>
      <c r="AA67" s="26"/>
      <c r="AB67" s="26"/>
      <c r="AC67" s="23"/>
      <c r="AE67" s="36"/>
      <c r="AF67" s="36"/>
      <c r="AG67" s="36"/>
      <c r="AH67" s="37"/>
    </row>
    <row r="68" spans="1:34" ht="14.25" x14ac:dyDescent="0.3">
      <c r="A68" s="23"/>
      <c r="B68" s="25" t="s">
        <v>5684</v>
      </c>
      <c r="C68" s="25">
        <v>1</v>
      </c>
      <c r="D68" s="26">
        <v>1</v>
      </c>
      <c r="E68" s="26">
        <v>1</v>
      </c>
      <c r="F68" s="26">
        <v>1</v>
      </c>
      <c r="G68" s="26">
        <v>1</v>
      </c>
      <c r="H68" s="23"/>
      <c r="I68" s="25" t="s">
        <v>5684</v>
      </c>
      <c r="J68" s="25">
        <v>1</v>
      </c>
      <c r="K68" s="26">
        <v>2</v>
      </c>
      <c r="L68" s="26">
        <v>2</v>
      </c>
      <c r="M68" s="26">
        <v>2</v>
      </c>
      <c r="N68" s="26">
        <v>1</v>
      </c>
      <c r="O68" s="23"/>
      <c r="P68" s="25" t="s">
        <v>5684</v>
      </c>
      <c r="Q68" s="25">
        <v>1</v>
      </c>
      <c r="R68" s="26">
        <v>3</v>
      </c>
      <c r="S68" s="26">
        <v>3</v>
      </c>
      <c r="T68" s="26">
        <v>2</v>
      </c>
      <c r="U68" s="26">
        <v>1</v>
      </c>
      <c r="V68" s="23"/>
      <c r="W68" s="25" t="s">
        <v>5684</v>
      </c>
      <c r="X68" s="25">
        <v>1</v>
      </c>
      <c r="Y68" s="26">
        <v>4</v>
      </c>
      <c r="Z68" s="26">
        <v>4</v>
      </c>
      <c r="AA68" s="26">
        <v>2</v>
      </c>
      <c r="AB68" s="26">
        <v>1</v>
      </c>
      <c r="AC68" s="23"/>
      <c r="AE68" s="36"/>
      <c r="AF68" s="36"/>
      <c r="AG68" s="36"/>
      <c r="AH68" s="38"/>
    </row>
    <row r="69" spans="1:34" ht="14.25" x14ac:dyDescent="0.3">
      <c r="A69" s="23"/>
      <c r="B69" s="28"/>
      <c r="C69" s="28"/>
      <c r="D69" s="25">
        <v>1</v>
      </c>
      <c r="E69" s="25">
        <v>2</v>
      </c>
      <c r="F69" s="25">
        <v>3</v>
      </c>
      <c r="G69" s="25">
        <v>4</v>
      </c>
      <c r="H69" s="23"/>
      <c r="I69" s="23"/>
      <c r="J69" s="28"/>
      <c r="K69" s="25">
        <v>1</v>
      </c>
      <c r="L69" s="25">
        <v>2</v>
      </c>
      <c r="M69" s="25">
        <v>3</v>
      </c>
      <c r="N69" s="25">
        <v>4</v>
      </c>
      <c r="O69" s="23"/>
      <c r="P69" s="23"/>
      <c r="Q69" s="28"/>
      <c r="R69" s="25">
        <v>1</v>
      </c>
      <c r="S69" s="25">
        <v>2</v>
      </c>
      <c r="T69" s="25">
        <v>3</v>
      </c>
      <c r="U69" s="25">
        <v>4</v>
      </c>
      <c r="V69" s="23"/>
      <c r="W69" s="23"/>
      <c r="X69" s="28"/>
      <c r="Y69" s="25">
        <v>1</v>
      </c>
      <c r="Z69" s="25">
        <v>2</v>
      </c>
      <c r="AA69" s="25">
        <v>3</v>
      </c>
      <c r="AB69" s="25">
        <v>4</v>
      </c>
      <c r="AC69" s="23"/>
      <c r="AE69" s="36"/>
      <c r="AF69" s="36"/>
      <c r="AG69" s="36"/>
      <c r="AH69" s="38"/>
    </row>
    <row r="70" spans="1:34" ht="14.25" x14ac:dyDescent="0.3">
      <c r="A70" s="23"/>
      <c r="B70" s="28"/>
      <c r="C70" s="28"/>
      <c r="D70" s="25" t="s">
        <v>1428</v>
      </c>
      <c r="E70" s="25" t="s">
        <v>1429</v>
      </c>
      <c r="F70" s="25" t="s">
        <v>6403</v>
      </c>
      <c r="G70" s="25" t="s">
        <v>5685</v>
      </c>
      <c r="H70" s="23"/>
      <c r="I70" s="23"/>
      <c r="J70" s="28"/>
      <c r="K70" s="25" t="s">
        <v>1428</v>
      </c>
      <c r="L70" s="25" t="s">
        <v>1429</v>
      </c>
      <c r="M70" s="25" t="s">
        <v>6403</v>
      </c>
      <c r="N70" s="25" t="s">
        <v>5685</v>
      </c>
      <c r="O70" s="23"/>
      <c r="P70" s="23"/>
      <c r="Q70" s="28"/>
      <c r="R70" s="25" t="s">
        <v>1428</v>
      </c>
      <c r="S70" s="25" t="s">
        <v>1429</v>
      </c>
      <c r="T70" s="25" t="s">
        <v>6403</v>
      </c>
      <c r="U70" s="25" t="s">
        <v>5685</v>
      </c>
      <c r="V70" s="23"/>
      <c r="W70" s="23"/>
      <c r="X70" s="28"/>
      <c r="Y70" s="25" t="s">
        <v>1428</v>
      </c>
      <c r="Z70" s="25" t="s">
        <v>1429</v>
      </c>
      <c r="AA70" s="25" t="s">
        <v>6403</v>
      </c>
      <c r="AB70" s="25" t="s">
        <v>5685</v>
      </c>
      <c r="AC70" s="23"/>
      <c r="AE70" s="36"/>
      <c r="AF70" s="36"/>
      <c r="AG70" s="36"/>
      <c r="AH70" s="38"/>
    </row>
    <row r="71" spans="1:34" x14ac:dyDescent="0.3">
      <c r="B71" s="19"/>
      <c r="AE71" s="36"/>
      <c r="AF71" s="36"/>
      <c r="AG71" s="36"/>
      <c r="AH71" s="38"/>
    </row>
    <row r="72" spans="1:34" ht="19.5" x14ac:dyDescent="0.4">
      <c r="A72" s="22" t="s">
        <v>5687</v>
      </c>
      <c r="B72" s="19"/>
      <c r="AE72" s="36"/>
      <c r="AF72" s="36"/>
      <c r="AG72" s="36"/>
      <c r="AH72" s="38"/>
    </row>
    <row r="73" spans="1:34" ht="2.25" customHeight="1" x14ac:dyDescent="0.3">
      <c r="B73" s="19"/>
      <c r="AE73" s="36"/>
      <c r="AF73" s="36"/>
      <c r="AG73" s="36"/>
      <c r="AH73" s="38"/>
    </row>
    <row r="74" spans="1:34" ht="14.25" x14ac:dyDescent="0.3">
      <c r="A74" s="23"/>
      <c r="B74" s="28"/>
      <c r="C74" s="2177" t="s">
        <v>5680</v>
      </c>
      <c r="D74" s="2177"/>
      <c r="E74" s="2177"/>
      <c r="F74" s="2177"/>
      <c r="G74" s="2177"/>
      <c r="H74" s="23"/>
      <c r="I74" s="23"/>
      <c r="J74" s="2177" t="s">
        <v>5681</v>
      </c>
      <c r="K74" s="2177"/>
      <c r="L74" s="2177"/>
      <c r="M74" s="2177"/>
      <c r="N74" s="2177"/>
      <c r="O74" s="23"/>
      <c r="P74" s="23"/>
      <c r="Q74" s="2177" t="s">
        <v>5682</v>
      </c>
      <c r="R74" s="2177"/>
      <c r="S74" s="2177"/>
      <c r="T74" s="2177"/>
      <c r="U74" s="2177"/>
      <c r="V74" s="23"/>
      <c r="W74" s="23"/>
      <c r="X74" s="2177" t="s">
        <v>5683</v>
      </c>
      <c r="Y74" s="2177"/>
      <c r="Z74" s="2177"/>
      <c r="AA74" s="2177"/>
      <c r="AB74" s="2177"/>
      <c r="AC74" s="23"/>
      <c r="AE74" s="36"/>
      <c r="AF74" s="36"/>
      <c r="AG74" s="36"/>
      <c r="AH74" s="38"/>
    </row>
    <row r="75" spans="1:34" ht="3.75" customHeight="1" x14ac:dyDescent="0.3">
      <c r="B75" s="19"/>
      <c r="J75" s="19"/>
      <c r="K75" s="19"/>
      <c r="L75" s="19"/>
      <c r="M75" s="19"/>
      <c r="N75" s="19"/>
      <c r="Q75" s="19"/>
      <c r="R75" s="19"/>
      <c r="S75" s="19"/>
      <c r="T75" s="19"/>
      <c r="U75" s="19"/>
      <c r="X75" s="19"/>
      <c r="Y75" s="19"/>
      <c r="Z75" s="19"/>
      <c r="AA75" s="19"/>
      <c r="AB75" s="19"/>
      <c r="AE75" s="36"/>
      <c r="AF75" s="36"/>
      <c r="AG75" s="36"/>
      <c r="AH75" s="38"/>
    </row>
    <row r="76" spans="1:34" ht="14.25" x14ac:dyDescent="0.3">
      <c r="A76" s="23"/>
      <c r="B76" s="25" t="s">
        <v>1873</v>
      </c>
      <c r="C76" s="25">
        <v>4</v>
      </c>
      <c r="D76" s="26">
        <v>1</v>
      </c>
      <c r="E76" s="26">
        <v>1</v>
      </c>
      <c r="F76" s="26">
        <v>1</v>
      </c>
      <c r="G76" s="26">
        <v>1</v>
      </c>
      <c r="H76" s="23"/>
      <c r="I76" s="25" t="s">
        <v>1873</v>
      </c>
      <c r="J76" s="25">
        <v>4</v>
      </c>
      <c r="K76" s="26">
        <v>1</v>
      </c>
      <c r="L76" s="26">
        <v>1</v>
      </c>
      <c r="M76" s="26">
        <v>1</v>
      </c>
      <c r="N76" s="26">
        <v>1</v>
      </c>
      <c r="O76" s="23"/>
      <c r="P76" s="25" t="s">
        <v>1873</v>
      </c>
      <c r="Q76" s="25">
        <v>4</v>
      </c>
      <c r="R76" s="26">
        <v>2</v>
      </c>
      <c r="S76" s="26">
        <v>2</v>
      </c>
      <c r="T76" s="26">
        <v>1</v>
      </c>
      <c r="U76" s="26">
        <v>1</v>
      </c>
      <c r="V76" s="23"/>
      <c r="W76" s="25" t="s">
        <v>1873</v>
      </c>
      <c r="X76" s="25">
        <v>4</v>
      </c>
      <c r="Y76" s="26">
        <v>2</v>
      </c>
      <c r="Z76" s="26">
        <v>2</v>
      </c>
      <c r="AA76" s="26">
        <v>2</v>
      </c>
      <c r="AB76" s="26">
        <v>1</v>
      </c>
      <c r="AC76" s="23"/>
      <c r="AE76" s="36"/>
      <c r="AF76" s="36"/>
      <c r="AG76" s="36"/>
      <c r="AH76" s="38"/>
    </row>
    <row r="77" spans="1:34" ht="14.25" x14ac:dyDescent="0.3">
      <c r="A77" s="23"/>
      <c r="B77" s="25" t="s">
        <v>4638</v>
      </c>
      <c r="C77" s="25">
        <v>3</v>
      </c>
      <c r="D77" s="26">
        <v>1</v>
      </c>
      <c r="E77" s="26">
        <v>1</v>
      </c>
      <c r="F77" s="26">
        <v>1</v>
      </c>
      <c r="G77" s="26">
        <v>1</v>
      </c>
      <c r="H77" s="23"/>
      <c r="I77" s="25" t="s">
        <v>4638</v>
      </c>
      <c r="J77" s="25">
        <v>3</v>
      </c>
      <c r="K77" s="26">
        <v>2</v>
      </c>
      <c r="L77" s="26">
        <v>2</v>
      </c>
      <c r="M77" s="26">
        <v>1</v>
      </c>
      <c r="N77" s="26">
        <v>1</v>
      </c>
      <c r="O77" s="23"/>
      <c r="P77" s="25" t="s">
        <v>4638</v>
      </c>
      <c r="Q77" s="25">
        <v>3</v>
      </c>
      <c r="R77" s="26">
        <v>2</v>
      </c>
      <c r="S77" s="26">
        <v>2</v>
      </c>
      <c r="T77" s="26">
        <v>1</v>
      </c>
      <c r="U77" s="26">
        <v>1</v>
      </c>
      <c r="V77" s="23"/>
      <c r="W77" s="25" t="s">
        <v>4638</v>
      </c>
      <c r="X77" s="25">
        <v>3</v>
      </c>
      <c r="Y77" s="26">
        <v>3</v>
      </c>
      <c r="Z77" s="26">
        <v>3</v>
      </c>
      <c r="AA77" s="26">
        <v>2</v>
      </c>
      <c r="AB77" s="26">
        <v>2</v>
      </c>
      <c r="AC77" s="23"/>
      <c r="AE77" s="36"/>
      <c r="AF77" s="36"/>
      <c r="AG77" s="36"/>
      <c r="AH77" s="38"/>
    </row>
    <row r="78" spans="1:34" ht="14.25" x14ac:dyDescent="0.3">
      <c r="A78" s="23"/>
      <c r="B78" s="25" t="s">
        <v>5684</v>
      </c>
      <c r="C78" s="25">
        <v>2</v>
      </c>
      <c r="D78" s="26">
        <v>1</v>
      </c>
      <c r="E78" s="26">
        <v>1</v>
      </c>
      <c r="F78" s="26">
        <v>1</v>
      </c>
      <c r="G78" s="26">
        <v>1</v>
      </c>
      <c r="H78" s="23"/>
      <c r="I78" s="25" t="s">
        <v>5684</v>
      </c>
      <c r="J78" s="25">
        <v>2</v>
      </c>
      <c r="K78" s="26">
        <v>2</v>
      </c>
      <c r="L78" s="26">
        <v>2</v>
      </c>
      <c r="M78" s="26">
        <v>2</v>
      </c>
      <c r="N78" s="26">
        <v>1</v>
      </c>
      <c r="O78" s="23"/>
      <c r="P78" s="25" t="s">
        <v>5684</v>
      </c>
      <c r="Q78" s="25">
        <v>2</v>
      </c>
      <c r="R78" s="26">
        <v>3</v>
      </c>
      <c r="S78" s="26">
        <v>3</v>
      </c>
      <c r="T78" s="26">
        <v>2</v>
      </c>
      <c r="U78" s="26">
        <v>1</v>
      </c>
      <c r="V78" s="23"/>
      <c r="W78" s="25" t="s">
        <v>5684</v>
      </c>
      <c r="X78" s="25">
        <v>2</v>
      </c>
      <c r="Y78" s="26">
        <v>4</v>
      </c>
      <c r="Z78" s="26">
        <v>4</v>
      </c>
      <c r="AA78" s="26">
        <v>3</v>
      </c>
      <c r="AB78" s="26">
        <v>2</v>
      </c>
      <c r="AC78" s="23"/>
    </row>
    <row r="79" spans="1:34" ht="14.25" x14ac:dyDescent="0.3">
      <c r="A79" s="23"/>
      <c r="B79" s="25" t="s">
        <v>5684</v>
      </c>
      <c r="C79" s="25">
        <v>1</v>
      </c>
      <c r="D79" s="26">
        <v>1</v>
      </c>
      <c r="E79" s="26">
        <v>1</v>
      </c>
      <c r="F79" s="26">
        <v>1</v>
      </c>
      <c r="G79" s="26">
        <v>1</v>
      </c>
      <c r="H79" s="23"/>
      <c r="I79" s="25" t="s">
        <v>5684</v>
      </c>
      <c r="J79" s="25">
        <v>1</v>
      </c>
      <c r="K79" s="26">
        <v>2</v>
      </c>
      <c r="L79" s="26">
        <v>2</v>
      </c>
      <c r="M79" s="26">
        <v>2</v>
      </c>
      <c r="N79" s="26">
        <v>1</v>
      </c>
      <c r="O79" s="23"/>
      <c r="P79" s="25" t="s">
        <v>5684</v>
      </c>
      <c r="Q79" s="25">
        <v>1</v>
      </c>
      <c r="R79" s="26">
        <v>3</v>
      </c>
      <c r="S79" s="26">
        <v>3</v>
      </c>
      <c r="T79" s="26">
        <v>2</v>
      </c>
      <c r="U79" s="26">
        <v>1</v>
      </c>
      <c r="V79" s="23"/>
      <c r="W79" s="25" t="s">
        <v>5684</v>
      </c>
      <c r="X79" s="25">
        <v>1</v>
      </c>
      <c r="Y79" s="26">
        <v>4</v>
      </c>
      <c r="Z79" s="26">
        <v>4</v>
      </c>
      <c r="AA79" s="26">
        <v>3</v>
      </c>
      <c r="AB79" s="26">
        <v>2</v>
      </c>
      <c r="AC79" s="23"/>
    </row>
    <row r="80" spans="1:34" ht="14.25" x14ac:dyDescent="0.3">
      <c r="A80" s="23"/>
      <c r="B80" s="28"/>
      <c r="C80" s="28"/>
      <c r="D80" s="25">
        <v>1</v>
      </c>
      <c r="E80" s="25">
        <v>2</v>
      </c>
      <c r="F80" s="25">
        <v>3</v>
      </c>
      <c r="G80" s="25">
        <v>4</v>
      </c>
      <c r="H80" s="23"/>
      <c r="I80" s="23"/>
      <c r="J80" s="28"/>
      <c r="K80" s="25">
        <v>1</v>
      </c>
      <c r="L80" s="25">
        <v>2</v>
      </c>
      <c r="M80" s="25">
        <v>3</v>
      </c>
      <c r="N80" s="25">
        <v>4</v>
      </c>
      <c r="O80" s="23"/>
      <c r="P80" s="23"/>
      <c r="Q80" s="28"/>
      <c r="R80" s="25">
        <v>1</v>
      </c>
      <c r="S80" s="25">
        <v>2</v>
      </c>
      <c r="T80" s="25">
        <v>3</v>
      </c>
      <c r="U80" s="25">
        <v>4</v>
      </c>
      <c r="V80" s="23"/>
      <c r="W80" s="23"/>
      <c r="X80" s="28"/>
      <c r="Y80" s="25">
        <v>1</v>
      </c>
      <c r="Z80" s="25">
        <v>2</v>
      </c>
      <c r="AA80" s="25">
        <v>3</v>
      </c>
      <c r="AB80" s="25">
        <v>4</v>
      </c>
      <c r="AC80" s="23"/>
    </row>
    <row r="81" spans="1:29" ht="14.25" x14ac:dyDescent="0.3">
      <c r="A81" s="23"/>
      <c r="B81" s="28"/>
      <c r="C81" s="28"/>
      <c r="D81" s="25" t="s">
        <v>1428</v>
      </c>
      <c r="E81" s="25" t="s">
        <v>1429</v>
      </c>
      <c r="F81" s="25" t="s">
        <v>6403</v>
      </c>
      <c r="G81" s="25" t="s">
        <v>5685</v>
      </c>
      <c r="H81" s="23"/>
      <c r="I81" s="23"/>
      <c r="J81" s="28"/>
      <c r="K81" s="25" t="s">
        <v>1428</v>
      </c>
      <c r="L81" s="25" t="s">
        <v>1429</v>
      </c>
      <c r="M81" s="25" t="s">
        <v>6403</v>
      </c>
      <c r="N81" s="25" t="s">
        <v>5685</v>
      </c>
      <c r="O81" s="23"/>
      <c r="P81" s="23"/>
      <c r="Q81" s="28"/>
      <c r="R81" s="25" t="s">
        <v>1428</v>
      </c>
      <c r="S81" s="25" t="s">
        <v>1429</v>
      </c>
      <c r="T81" s="25" t="s">
        <v>6403</v>
      </c>
      <c r="U81" s="25" t="s">
        <v>5685</v>
      </c>
      <c r="V81" s="23"/>
      <c r="W81" s="23"/>
      <c r="X81" s="28"/>
      <c r="Y81" s="25" t="s">
        <v>1428</v>
      </c>
      <c r="Z81" s="25" t="s">
        <v>1429</v>
      </c>
      <c r="AA81" s="25" t="s">
        <v>6403</v>
      </c>
      <c r="AB81" s="25" t="s">
        <v>5685</v>
      </c>
      <c r="AC81" s="23"/>
    </row>
    <row r="82" spans="1:29" x14ac:dyDescent="0.3">
      <c r="B82" s="19"/>
    </row>
  </sheetData>
  <sheetProtection sheet="1" objects="1" scenarios="1"/>
  <mergeCells count="33">
    <mergeCell ref="X74:AB74"/>
    <mergeCell ref="J38:N38"/>
    <mergeCell ref="Q38:U38"/>
    <mergeCell ref="X38:AB38"/>
    <mergeCell ref="J52:N52"/>
    <mergeCell ref="Q52:U52"/>
    <mergeCell ref="X52:AB52"/>
    <mergeCell ref="X63:AB63"/>
    <mergeCell ref="C52:G52"/>
    <mergeCell ref="C74:G74"/>
    <mergeCell ref="J74:N74"/>
    <mergeCell ref="Q74:U74"/>
    <mergeCell ref="C63:G63"/>
    <mergeCell ref="J63:N63"/>
    <mergeCell ref="Q63:U63"/>
    <mergeCell ref="J27:N27"/>
    <mergeCell ref="Q27:U27"/>
    <mergeCell ref="X27:AB27"/>
    <mergeCell ref="C38:G38"/>
    <mergeCell ref="C5:G5"/>
    <mergeCell ref="J5:N5"/>
    <mergeCell ref="Q5:U5"/>
    <mergeCell ref="C27:G27"/>
    <mergeCell ref="X5:AB5"/>
    <mergeCell ref="C16:G16"/>
    <mergeCell ref="J16:N16"/>
    <mergeCell ref="Q16:U16"/>
    <mergeCell ref="X16:AB16"/>
    <mergeCell ref="BB16:BF16"/>
    <mergeCell ref="AE45:AH45"/>
    <mergeCell ref="AG16:AK16"/>
    <mergeCell ref="AN16:AR16"/>
    <mergeCell ref="AU16:AY16"/>
  </mergeCells>
  <phoneticPr fontId="20" type="noConversion"/>
  <conditionalFormatting sqref="Y7:AB10 R7:U10 K7:N10 D7:G10 Y18:AB21 R18:U21 K18:N21 D18:G21 Y29:AB32 R29:U32 K29:N32 D29:G32 Y40:AB43 R40:U43 K40:N43 D40:G43">
    <cfRule type="cellIs" dxfId="5" priority="4" operator="equal">
      <formula>2</formula>
    </cfRule>
    <cfRule type="cellIs" dxfId="4" priority="5" operator="equal">
      <formula>3</formula>
    </cfRule>
    <cfRule type="cellIs" dxfId="3" priority="6" operator="equal">
      <formula>4</formula>
    </cfRule>
  </conditionalFormatting>
  <conditionalFormatting sqref="D54:G57 K54:N57 R54:U57 Y54:AB57 D65:G68 K65:N68 R65:U68 Y65:AB68 D76:G79 K76:N79 R76:U79 Y76:AB79">
    <cfRule type="cellIs" dxfId="2" priority="1" operator="equal">
      <formula>2</formula>
    </cfRule>
    <cfRule type="cellIs" dxfId="1" priority="2" operator="equal">
      <formula>3</formula>
    </cfRule>
    <cfRule type="cellIs" dxfId="0" priority="3" operator="equal">
      <formula>4</formula>
    </cfRule>
  </conditionalFormatting>
  <pageMargins left="0.75" right="0.75"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7"/>
  </sheetPr>
  <dimension ref="A1:C8"/>
  <sheetViews>
    <sheetView workbookViewId="0"/>
  </sheetViews>
  <sheetFormatPr baseColWidth="10" defaultColWidth="11.42578125" defaultRowHeight="12.75" x14ac:dyDescent="0.2"/>
  <cols>
    <col min="1" max="16384" width="11.42578125" style="42"/>
  </cols>
  <sheetData>
    <row r="1" spans="1:3" ht="15.75" x14ac:dyDescent="0.2">
      <c r="A1" s="358" t="s">
        <v>7440</v>
      </c>
    </row>
    <row r="3" spans="1:3" x14ac:dyDescent="0.2">
      <c r="A3" s="1284" t="s">
        <v>7437</v>
      </c>
      <c r="B3" s="1285">
        <v>0.9</v>
      </c>
      <c r="C3" s="1286" t="s">
        <v>7441</v>
      </c>
    </row>
    <row r="4" spans="1:3" x14ac:dyDescent="0.2">
      <c r="A4" s="1284" t="s">
        <v>7438</v>
      </c>
      <c r="B4" s="1285">
        <v>0.9</v>
      </c>
      <c r="C4" s="1286" t="s">
        <v>7442</v>
      </c>
    </row>
    <row r="6" spans="1:3" x14ac:dyDescent="0.2">
      <c r="C6" s="1287" t="s">
        <v>7443</v>
      </c>
    </row>
    <row r="8" spans="1:3" x14ac:dyDescent="0.2">
      <c r="A8" s="41" t="s">
        <v>7439</v>
      </c>
      <c r="B8" s="42">
        <v>2</v>
      </c>
    </row>
  </sheetData>
  <pageMargins left="0.7" right="0.7" top="0.75" bottom="0.75" header="0.3" footer="0.3"/>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E174"/>
  <sheetViews>
    <sheetView topLeftCell="A10" workbookViewId="0"/>
  </sheetViews>
  <sheetFormatPr baseColWidth="10" defaultColWidth="9.140625" defaultRowHeight="12.75" x14ac:dyDescent="0.2"/>
  <cols>
    <col min="1" max="1" width="8.42578125" customWidth="1"/>
    <col min="2" max="2" width="86.140625" customWidth="1"/>
    <col min="3" max="4" width="11.42578125" customWidth="1"/>
    <col min="5" max="5" width="48.28515625" customWidth="1"/>
    <col min="6" max="256" width="11.42578125" customWidth="1"/>
  </cols>
  <sheetData>
    <row r="1" spans="1:5" ht="18" x14ac:dyDescent="0.2">
      <c r="A1" s="4" t="s">
        <v>2230</v>
      </c>
    </row>
    <row r="3" spans="1:5" x14ac:dyDescent="0.2">
      <c r="A3" s="3" t="s">
        <v>2231</v>
      </c>
      <c r="D3" s="3" t="s">
        <v>4660</v>
      </c>
    </row>
    <row r="5" spans="1:5" x14ac:dyDescent="0.2">
      <c r="A5" s="5" t="s">
        <v>2790</v>
      </c>
      <c r="B5" s="6" t="s">
        <v>2302</v>
      </c>
      <c r="D5" t="s">
        <v>6536</v>
      </c>
      <c r="E5" t="s">
        <v>3937</v>
      </c>
    </row>
    <row r="6" spans="1:5" x14ac:dyDescent="0.2">
      <c r="A6" s="5" t="s">
        <v>2791</v>
      </c>
      <c r="B6" s="7" t="s">
        <v>2303</v>
      </c>
      <c r="D6" t="s">
        <v>3522</v>
      </c>
      <c r="E6" s="2" t="s">
        <v>3935</v>
      </c>
    </row>
    <row r="7" spans="1:5" x14ac:dyDescent="0.2">
      <c r="A7" s="5" t="s">
        <v>2792</v>
      </c>
      <c r="B7" s="8" t="s">
        <v>2304</v>
      </c>
      <c r="D7" t="s">
        <v>5579</v>
      </c>
      <c r="E7" s="2" t="s">
        <v>3936</v>
      </c>
    </row>
    <row r="8" spans="1:5" x14ac:dyDescent="0.2">
      <c r="A8" s="5" t="s">
        <v>2793</v>
      </c>
      <c r="B8" s="8" t="s">
        <v>2306</v>
      </c>
      <c r="D8" t="s">
        <v>1880</v>
      </c>
      <c r="E8" s="2" t="s">
        <v>4661</v>
      </c>
    </row>
    <row r="9" spans="1:5" x14ac:dyDescent="0.2">
      <c r="A9" s="1" t="s">
        <v>5578</v>
      </c>
      <c r="B9" s="8" t="s">
        <v>2305</v>
      </c>
      <c r="D9" t="s">
        <v>3525</v>
      </c>
      <c r="E9" s="2" t="s">
        <v>4662</v>
      </c>
    </row>
    <row r="10" spans="1:5" x14ac:dyDescent="0.2">
      <c r="A10" s="1" t="s">
        <v>2928</v>
      </c>
      <c r="B10" s="6" t="s">
        <v>2307</v>
      </c>
      <c r="D10" t="s">
        <v>5465</v>
      </c>
      <c r="E10" s="2" t="s">
        <v>2476</v>
      </c>
    </row>
    <row r="11" spans="1:5" x14ac:dyDescent="0.2">
      <c r="A11" s="5" t="s">
        <v>1872</v>
      </c>
      <c r="B11" s="6" t="s">
        <v>2232</v>
      </c>
      <c r="D11" t="s">
        <v>2475</v>
      </c>
      <c r="E11" s="2" t="s">
        <v>2477</v>
      </c>
    </row>
    <row r="12" spans="1:5" x14ac:dyDescent="0.2">
      <c r="A12" s="5" t="s">
        <v>3519</v>
      </c>
      <c r="B12" s="6" t="s">
        <v>2233</v>
      </c>
      <c r="D12" t="s">
        <v>3933</v>
      </c>
      <c r="E12" s="2" t="s">
        <v>3934</v>
      </c>
    </row>
    <row r="13" spans="1:5" x14ac:dyDescent="0.2">
      <c r="A13" s="5" t="s">
        <v>3521</v>
      </c>
      <c r="B13" s="6" t="s">
        <v>2234</v>
      </c>
      <c r="E13" s="2"/>
    </row>
    <row r="14" spans="1:5" x14ac:dyDescent="0.2">
      <c r="A14" s="5" t="s">
        <v>5459</v>
      </c>
      <c r="B14" s="6" t="s">
        <v>2505</v>
      </c>
      <c r="E14" s="2"/>
    </row>
    <row r="15" spans="1:5" x14ac:dyDescent="0.2">
      <c r="A15" s="5" t="s">
        <v>4813</v>
      </c>
      <c r="B15" s="6" t="s">
        <v>2782</v>
      </c>
      <c r="D15" s="3"/>
      <c r="E15" s="2"/>
    </row>
    <row r="16" spans="1:5" x14ac:dyDescent="0.2">
      <c r="A16" s="5" t="s">
        <v>3991</v>
      </c>
      <c r="B16" s="6" t="s">
        <v>3989</v>
      </c>
      <c r="D16" s="3" t="s">
        <v>2561</v>
      </c>
      <c r="E16" s="2"/>
    </row>
    <row r="17" spans="1:5" x14ac:dyDescent="0.2">
      <c r="A17" s="5" t="s">
        <v>3992</v>
      </c>
      <c r="B17" s="6" t="s">
        <v>3993</v>
      </c>
      <c r="E17" s="2"/>
    </row>
    <row r="18" spans="1:5" x14ac:dyDescent="0.2">
      <c r="A18" s="5" t="s">
        <v>6295</v>
      </c>
      <c r="B18" s="6" t="s">
        <v>3240</v>
      </c>
      <c r="D18" t="s">
        <v>1538</v>
      </c>
      <c r="E18" t="s">
        <v>2566</v>
      </c>
    </row>
    <row r="19" spans="1:5" x14ac:dyDescent="0.2">
      <c r="A19" s="5" t="s">
        <v>5461</v>
      </c>
      <c r="B19" s="6" t="s">
        <v>3990</v>
      </c>
      <c r="D19" t="s">
        <v>2309</v>
      </c>
      <c r="E19" s="2" t="s">
        <v>2308</v>
      </c>
    </row>
    <row r="20" spans="1:5" x14ac:dyDescent="0.2">
      <c r="A20" s="5" t="s">
        <v>5464</v>
      </c>
      <c r="B20" s="6" t="s">
        <v>1356</v>
      </c>
      <c r="D20" t="s">
        <v>2034</v>
      </c>
      <c r="E20" s="2" t="s">
        <v>5757</v>
      </c>
    </row>
    <row r="21" spans="1:5" x14ac:dyDescent="0.2">
      <c r="A21" s="5" t="s">
        <v>2783</v>
      </c>
      <c r="B21" s="6" t="s">
        <v>5774</v>
      </c>
      <c r="D21" t="s">
        <v>122</v>
      </c>
      <c r="E21" s="2" t="s">
        <v>4644</v>
      </c>
    </row>
    <row r="22" spans="1:5" x14ac:dyDescent="0.2">
      <c r="A22" s="5" t="s">
        <v>4734</v>
      </c>
      <c r="B22" s="6" t="s">
        <v>2235</v>
      </c>
      <c r="D22" t="s">
        <v>1515</v>
      </c>
      <c r="E22" s="2" t="s">
        <v>1516</v>
      </c>
    </row>
    <row r="23" spans="1:5" x14ac:dyDescent="0.2">
      <c r="A23" s="5" t="s">
        <v>4873</v>
      </c>
      <c r="B23" s="6" t="s">
        <v>6316</v>
      </c>
      <c r="D23" t="s">
        <v>1534</v>
      </c>
      <c r="E23" s="2" t="s">
        <v>2567</v>
      </c>
    </row>
    <row r="24" spans="1:5" x14ac:dyDescent="0.2">
      <c r="A24" s="5" t="s">
        <v>1797</v>
      </c>
      <c r="B24" s="6" t="s">
        <v>2788</v>
      </c>
      <c r="D24" t="s">
        <v>1546</v>
      </c>
      <c r="E24" s="2" t="s">
        <v>2473</v>
      </c>
    </row>
    <row r="25" spans="1:5" x14ac:dyDescent="0.2">
      <c r="A25" s="5" t="s">
        <v>1894</v>
      </c>
      <c r="B25" s="6" t="s">
        <v>5929</v>
      </c>
      <c r="D25" t="s">
        <v>1547</v>
      </c>
      <c r="E25" s="2" t="s">
        <v>5179</v>
      </c>
    </row>
    <row r="26" spans="1:5" x14ac:dyDescent="0.2">
      <c r="A26" s="5" t="s">
        <v>2785</v>
      </c>
      <c r="B26" s="6" t="s">
        <v>1604</v>
      </c>
      <c r="D26" t="s">
        <v>1541</v>
      </c>
      <c r="E26" s="2" t="s">
        <v>4267</v>
      </c>
    </row>
    <row r="27" spans="1:5" x14ac:dyDescent="0.2">
      <c r="A27" s="5" t="s">
        <v>2786</v>
      </c>
      <c r="B27" s="6" t="s">
        <v>3717</v>
      </c>
      <c r="D27" t="s">
        <v>3526</v>
      </c>
      <c r="E27" t="s">
        <v>2466</v>
      </c>
    </row>
    <row r="28" spans="1:5" x14ac:dyDescent="0.2">
      <c r="A28" s="1" t="s">
        <v>2787</v>
      </c>
      <c r="B28" s="6" t="s">
        <v>4477</v>
      </c>
      <c r="D28" t="s">
        <v>1880</v>
      </c>
      <c r="E28" s="2" t="s">
        <v>2406</v>
      </c>
    </row>
    <row r="29" spans="1:5" x14ac:dyDescent="0.2">
      <c r="A29" s="1" t="s">
        <v>5458</v>
      </c>
      <c r="B29" s="6" t="s">
        <v>4202</v>
      </c>
      <c r="D29" t="s">
        <v>1548</v>
      </c>
      <c r="E29" s="2" t="s">
        <v>5416</v>
      </c>
    </row>
    <row r="30" spans="1:5" x14ac:dyDescent="0.2">
      <c r="A30" s="1" t="s">
        <v>4819</v>
      </c>
      <c r="B30" s="6" t="s">
        <v>1679</v>
      </c>
      <c r="D30" t="s">
        <v>5414</v>
      </c>
      <c r="E30" s="2" t="s">
        <v>5415</v>
      </c>
    </row>
    <row r="31" spans="1:5" x14ac:dyDescent="0.2">
      <c r="A31" s="5" t="s">
        <v>3313</v>
      </c>
      <c r="B31" s="6" t="s">
        <v>5212</v>
      </c>
      <c r="D31" t="s">
        <v>4329</v>
      </c>
      <c r="E31" s="2" t="s">
        <v>6163</v>
      </c>
    </row>
    <row r="32" spans="1:5" x14ac:dyDescent="0.2">
      <c r="A32" s="5" t="s">
        <v>3314</v>
      </c>
      <c r="B32" s="6" t="s">
        <v>5215</v>
      </c>
      <c r="D32" t="s">
        <v>1544</v>
      </c>
      <c r="E32" s="2" t="s">
        <v>6486</v>
      </c>
    </row>
    <row r="33" spans="1:5" x14ac:dyDescent="0.2">
      <c r="A33" s="5" t="s">
        <v>3315</v>
      </c>
      <c r="B33" s="6" t="s">
        <v>1795</v>
      </c>
      <c r="D33" t="s">
        <v>1535</v>
      </c>
      <c r="E33" s="2" t="s">
        <v>2402</v>
      </c>
    </row>
    <row r="34" spans="1:5" x14ac:dyDescent="0.2">
      <c r="A34" s="2"/>
      <c r="B34" s="2"/>
      <c r="D34" t="s">
        <v>1536</v>
      </c>
      <c r="E34" s="2" t="s">
        <v>2403</v>
      </c>
    </row>
    <row r="35" spans="1:5" x14ac:dyDescent="0.2">
      <c r="A35" s="2"/>
      <c r="B35" s="2"/>
      <c r="D35" t="s">
        <v>1540</v>
      </c>
      <c r="E35" s="2" t="s">
        <v>4872</v>
      </c>
    </row>
    <row r="36" spans="1:5" x14ac:dyDescent="0.2">
      <c r="A36" s="3" t="s">
        <v>6317</v>
      </c>
      <c r="B36" s="2"/>
      <c r="D36" t="s">
        <v>4216</v>
      </c>
      <c r="E36" s="2" t="s">
        <v>4218</v>
      </c>
    </row>
    <row r="37" spans="1:5" x14ac:dyDescent="0.2">
      <c r="A37" s="2"/>
      <c r="B37" s="2"/>
      <c r="D37" t="s">
        <v>5465</v>
      </c>
      <c r="E37" s="2" t="s">
        <v>5181</v>
      </c>
    </row>
    <row r="38" spans="1:5" x14ac:dyDescent="0.2">
      <c r="A38" s="2" t="s">
        <v>1873</v>
      </c>
      <c r="B38" s="2" t="s">
        <v>6318</v>
      </c>
      <c r="D38" t="s">
        <v>4217</v>
      </c>
      <c r="E38" s="2" t="s">
        <v>4219</v>
      </c>
    </row>
    <row r="39" spans="1:5" x14ac:dyDescent="0.2">
      <c r="A39" s="2" t="s">
        <v>6403</v>
      </c>
      <c r="B39" s="2" t="s">
        <v>3206</v>
      </c>
      <c r="D39" t="s">
        <v>5633</v>
      </c>
      <c r="E39" s="2" t="s">
        <v>5634</v>
      </c>
    </row>
    <row r="40" spans="1:5" x14ac:dyDescent="0.2">
      <c r="A40" s="2" t="s">
        <v>1299</v>
      </c>
      <c r="B40" s="2" t="s">
        <v>3207</v>
      </c>
      <c r="D40" t="s">
        <v>5635</v>
      </c>
      <c r="E40" s="2" t="s">
        <v>4212</v>
      </c>
    </row>
    <row r="41" spans="1:5" x14ac:dyDescent="0.2">
      <c r="A41" s="2" t="s">
        <v>4816</v>
      </c>
      <c r="B41" s="2" t="s">
        <v>3208</v>
      </c>
      <c r="D41" t="s">
        <v>2310</v>
      </c>
      <c r="E41" s="2" t="s">
        <v>2313</v>
      </c>
    </row>
    <row r="42" spans="1:5" x14ac:dyDescent="0.2">
      <c r="A42" s="2" t="s">
        <v>4814</v>
      </c>
      <c r="B42" s="2" t="s">
        <v>2202</v>
      </c>
      <c r="D42" t="s">
        <v>2311</v>
      </c>
      <c r="E42" s="2" t="s">
        <v>2314</v>
      </c>
    </row>
    <row r="43" spans="1:5" x14ac:dyDescent="0.2">
      <c r="A43" s="2" t="s">
        <v>3518</v>
      </c>
      <c r="B43" s="2" t="s">
        <v>2203</v>
      </c>
      <c r="D43" t="s">
        <v>2312</v>
      </c>
      <c r="E43" s="2" t="s">
        <v>2315</v>
      </c>
    </row>
    <row r="44" spans="1:5" x14ac:dyDescent="0.2">
      <c r="A44" s="2" t="s">
        <v>2218</v>
      </c>
      <c r="B44" s="2" t="s">
        <v>2204</v>
      </c>
      <c r="D44" t="s">
        <v>1543</v>
      </c>
      <c r="E44" s="2" t="s">
        <v>3726</v>
      </c>
    </row>
    <row r="45" spans="1:5" x14ac:dyDescent="0.2">
      <c r="A45" s="2" t="s">
        <v>2835</v>
      </c>
      <c r="B45" s="2" t="s">
        <v>6294</v>
      </c>
      <c r="D45" t="s">
        <v>2506</v>
      </c>
      <c r="E45" s="2" t="s">
        <v>2507</v>
      </c>
    </row>
    <row r="46" spans="1:5" x14ac:dyDescent="0.2">
      <c r="A46" s="2" t="s">
        <v>1521</v>
      </c>
      <c r="B46" s="2" t="s">
        <v>2869</v>
      </c>
      <c r="D46" t="s">
        <v>3718</v>
      </c>
      <c r="E46" s="2" t="s">
        <v>1002</v>
      </c>
    </row>
    <row r="47" spans="1:5" x14ac:dyDescent="0.2">
      <c r="A47" s="2" t="s">
        <v>1522</v>
      </c>
      <c r="B47" s="2" t="s">
        <v>1523</v>
      </c>
      <c r="D47" t="s">
        <v>4814</v>
      </c>
      <c r="E47" s="2" t="s">
        <v>1003</v>
      </c>
    </row>
    <row r="48" spans="1:5" x14ac:dyDescent="0.2">
      <c r="A48" s="2" t="s">
        <v>2781</v>
      </c>
      <c r="B48" s="2" t="s">
        <v>2205</v>
      </c>
      <c r="D48" t="s">
        <v>1464</v>
      </c>
      <c r="E48" s="2" t="s">
        <v>2405</v>
      </c>
    </row>
    <row r="49" spans="1:5" x14ac:dyDescent="0.2">
      <c r="A49" s="2" t="s">
        <v>1302</v>
      </c>
      <c r="B49" s="2" t="s">
        <v>2206</v>
      </c>
      <c r="D49" t="s">
        <v>4303</v>
      </c>
      <c r="E49" s="2" t="s">
        <v>5709</v>
      </c>
    </row>
    <row r="50" spans="1:5" x14ac:dyDescent="0.2">
      <c r="A50" s="2" t="s">
        <v>1301</v>
      </c>
      <c r="B50" s="2" t="s">
        <v>2207</v>
      </c>
      <c r="D50" t="s">
        <v>1545</v>
      </c>
      <c r="E50" s="2" t="s">
        <v>5423</v>
      </c>
    </row>
    <row r="51" spans="1:5" x14ac:dyDescent="0.2">
      <c r="A51" s="2" t="s">
        <v>1303</v>
      </c>
      <c r="B51" s="2" t="s">
        <v>2208</v>
      </c>
      <c r="D51" t="s">
        <v>1056</v>
      </c>
      <c r="E51" s="1401" t="s">
        <v>1909</v>
      </c>
    </row>
    <row r="52" spans="1:5" x14ac:dyDescent="0.2">
      <c r="A52" s="2" t="s">
        <v>4815</v>
      </c>
      <c r="B52" s="2" t="s">
        <v>2209</v>
      </c>
      <c r="D52" t="s">
        <v>4221</v>
      </c>
      <c r="E52" s="2" t="s">
        <v>3232</v>
      </c>
    </row>
    <row r="53" spans="1:5" x14ac:dyDescent="0.2">
      <c r="A53" s="2"/>
      <c r="B53" s="2"/>
      <c r="D53" t="s">
        <v>1537</v>
      </c>
      <c r="E53" s="2" t="s">
        <v>2404</v>
      </c>
    </row>
    <row r="54" spans="1:5" x14ac:dyDescent="0.2">
      <c r="A54" s="2"/>
      <c r="B54" s="2"/>
      <c r="D54" t="s">
        <v>4295</v>
      </c>
      <c r="E54" s="2" t="s">
        <v>4258</v>
      </c>
    </row>
    <row r="55" spans="1:5" x14ac:dyDescent="0.2">
      <c r="A55" s="3" t="s">
        <v>1459</v>
      </c>
      <c r="B55" s="3"/>
      <c r="D55" t="s">
        <v>1551</v>
      </c>
      <c r="E55" s="2" t="s">
        <v>2872</v>
      </c>
    </row>
    <row r="56" spans="1:5" x14ac:dyDescent="0.2">
      <c r="A56" s="3"/>
      <c r="B56" s="3"/>
      <c r="D56" t="s">
        <v>919</v>
      </c>
      <c r="E56" s="2" t="s">
        <v>920</v>
      </c>
    </row>
    <row r="57" spans="1:5" x14ac:dyDescent="0.2">
      <c r="A57" s="2" t="s">
        <v>2481</v>
      </c>
      <c r="B57" s="2" t="s">
        <v>1335</v>
      </c>
      <c r="D57" t="s">
        <v>1552</v>
      </c>
      <c r="E57" s="2" t="s">
        <v>2904</v>
      </c>
    </row>
    <row r="58" spans="1:5" x14ac:dyDescent="0.2">
      <c r="A58" s="2" t="s">
        <v>5620</v>
      </c>
      <c r="B58" s="2" t="s">
        <v>3763</v>
      </c>
      <c r="D58" t="s">
        <v>2016</v>
      </c>
      <c r="E58" s="2" t="s">
        <v>2017</v>
      </c>
    </row>
    <row r="59" spans="1:5" x14ac:dyDescent="0.2">
      <c r="A59" s="2" t="s">
        <v>5621</v>
      </c>
      <c r="B59" s="2" t="s">
        <v>5626</v>
      </c>
      <c r="D59" t="s">
        <v>1539</v>
      </c>
      <c r="E59" s="2" t="s">
        <v>2563</v>
      </c>
    </row>
    <row r="60" spans="1:5" x14ac:dyDescent="0.2">
      <c r="A60" s="2" t="s">
        <v>5978</v>
      </c>
      <c r="B60" s="2" t="s">
        <v>5979</v>
      </c>
      <c r="D60" t="s">
        <v>1305</v>
      </c>
      <c r="E60" s="2" t="s">
        <v>2474</v>
      </c>
    </row>
    <row r="61" spans="1:5" x14ac:dyDescent="0.2">
      <c r="A61" s="2" t="s">
        <v>3184</v>
      </c>
      <c r="B61" s="2" t="s">
        <v>1633</v>
      </c>
    </row>
    <row r="62" spans="1:5" x14ac:dyDescent="0.2">
      <c r="A62" s="2" t="s">
        <v>1638</v>
      </c>
      <c r="B62" s="2" t="s">
        <v>5434</v>
      </c>
    </row>
    <row r="63" spans="1:5" x14ac:dyDescent="0.2">
      <c r="A63" s="2" t="s">
        <v>5622</v>
      </c>
      <c r="B63" s="2" t="s">
        <v>3764</v>
      </c>
      <c r="D63" s="3" t="s">
        <v>1435</v>
      </c>
    </row>
    <row r="64" spans="1:5" x14ac:dyDescent="0.2">
      <c r="A64" s="2" t="s">
        <v>5623</v>
      </c>
      <c r="B64" s="2" t="s">
        <v>5627</v>
      </c>
    </row>
    <row r="65" spans="1:5" x14ac:dyDescent="0.2">
      <c r="A65" s="2" t="s">
        <v>2602</v>
      </c>
      <c r="B65" s="2" t="s">
        <v>2603</v>
      </c>
      <c r="D65" t="s">
        <v>4945</v>
      </c>
      <c r="E65" t="s">
        <v>3241</v>
      </c>
    </row>
    <row r="66" spans="1:5" x14ac:dyDescent="0.2">
      <c r="A66" s="2" t="s">
        <v>2453</v>
      </c>
      <c r="B66" s="2" t="s">
        <v>3460</v>
      </c>
      <c r="D66" t="s">
        <v>2834</v>
      </c>
      <c r="E66" t="s">
        <v>2833</v>
      </c>
    </row>
    <row r="67" spans="1:5" x14ac:dyDescent="0.2">
      <c r="A67" s="2" t="s">
        <v>3461</v>
      </c>
      <c r="B67" s="2" t="s">
        <v>2367</v>
      </c>
      <c r="D67" t="s">
        <v>1068</v>
      </c>
      <c r="E67" t="s">
        <v>1069</v>
      </c>
    </row>
    <row r="68" spans="1:5" ht="12.75" customHeight="1" x14ac:dyDescent="0.2">
      <c r="A68" s="2" t="s">
        <v>5437</v>
      </c>
      <c r="B68" s="2" t="s">
        <v>1706</v>
      </c>
      <c r="D68" t="s">
        <v>6095</v>
      </c>
      <c r="E68" t="s">
        <v>6096</v>
      </c>
    </row>
    <row r="69" spans="1:5" x14ac:dyDescent="0.2">
      <c r="A69" s="2" t="s">
        <v>5624</v>
      </c>
      <c r="B69" s="2" t="s">
        <v>3762</v>
      </c>
      <c r="D69" t="s">
        <v>1130</v>
      </c>
      <c r="E69" t="s">
        <v>1129</v>
      </c>
    </row>
    <row r="70" spans="1:5" x14ac:dyDescent="0.2">
      <c r="A70" s="2" t="s">
        <v>5625</v>
      </c>
      <c r="B70" s="2" t="s">
        <v>5628</v>
      </c>
      <c r="D70" t="s">
        <v>4856</v>
      </c>
      <c r="E70" t="s">
        <v>1437</v>
      </c>
    </row>
    <row r="71" spans="1:5" x14ac:dyDescent="0.2">
      <c r="A71" s="2" t="s">
        <v>5980</v>
      </c>
      <c r="B71" s="2" t="s">
        <v>5284</v>
      </c>
      <c r="D71" s="7" t="s">
        <v>7272</v>
      </c>
      <c r="E71" s="7" t="s">
        <v>7508</v>
      </c>
    </row>
    <row r="72" spans="1:5" x14ac:dyDescent="0.2">
      <c r="A72" s="2" t="s">
        <v>1494</v>
      </c>
      <c r="B72" s="2" t="s">
        <v>2399</v>
      </c>
      <c r="D72" t="s">
        <v>2829</v>
      </c>
      <c r="E72" t="s">
        <v>2831</v>
      </c>
    </row>
    <row r="73" spans="1:5" x14ac:dyDescent="0.2">
      <c r="A73" s="2" t="s">
        <v>5435</v>
      </c>
      <c r="B73" s="2" t="s">
        <v>5436</v>
      </c>
      <c r="D73" t="s">
        <v>2830</v>
      </c>
      <c r="E73" t="s">
        <v>2832</v>
      </c>
    </row>
    <row r="74" spans="1:5" x14ac:dyDescent="0.2">
      <c r="A74" s="2" t="s">
        <v>5629</v>
      </c>
      <c r="B74" s="2" t="s">
        <v>2564</v>
      </c>
      <c r="D74" t="s">
        <v>1880</v>
      </c>
      <c r="E74" t="s">
        <v>1436</v>
      </c>
    </row>
    <row r="75" spans="1:5" x14ac:dyDescent="0.2">
      <c r="A75" s="2" t="s">
        <v>5631</v>
      </c>
      <c r="B75" s="2" t="s">
        <v>5575</v>
      </c>
      <c r="D75" t="s">
        <v>4855</v>
      </c>
      <c r="E75" t="s">
        <v>2039</v>
      </c>
    </row>
    <row r="76" spans="1:5" ht="12.75" customHeight="1" x14ac:dyDescent="0.2">
      <c r="A76" s="2" t="s">
        <v>5630</v>
      </c>
      <c r="B76" s="2" t="s">
        <v>2565</v>
      </c>
      <c r="D76" t="s">
        <v>5422</v>
      </c>
      <c r="E76" t="s">
        <v>6514</v>
      </c>
    </row>
    <row r="77" spans="1:5" x14ac:dyDescent="0.2">
      <c r="A77" s="2" t="s">
        <v>5576</v>
      </c>
      <c r="B77" s="2" t="s">
        <v>5577</v>
      </c>
      <c r="D77" t="s">
        <v>1542</v>
      </c>
      <c r="E77" t="s">
        <v>5424</v>
      </c>
    </row>
    <row r="78" spans="1:5" x14ac:dyDescent="0.2">
      <c r="A78" s="2" t="s">
        <v>2482</v>
      </c>
      <c r="B78" s="2" t="s">
        <v>1332</v>
      </c>
      <c r="D78" t="s">
        <v>5421</v>
      </c>
      <c r="E78" t="s">
        <v>5425</v>
      </c>
    </row>
    <row r="79" spans="1:5" x14ac:dyDescent="0.2">
      <c r="A79" s="2" t="s">
        <v>4475</v>
      </c>
      <c r="B79" s="2" t="s">
        <v>3765</v>
      </c>
      <c r="D79" t="s">
        <v>6513</v>
      </c>
      <c r="E79" t="s">
        <v>6512</v>
      </c>
    </row>
    <row r="80" spans="1:5" x14ac:dyDescent="0.2">
      <c r="A80" s="2" t="s">
        <v>4476</v>
      </c>
      <c r="B80" s="2" t="s">
        <v>1863</v>
      </c>
      <c r="D80" t="s">
        <v>2976</v>
      </c>
      <c r="E80" t="s">
        <v>2977</v>
      </c>
    </row>
    <row r="81" spans="1:5" x14ac:dyDescent="0.2">
      <c r="A81" s="2" t="s">
        <v>3462</v>
      </c>
      <c r="B81" s="2" t="s">
        <v>1333</v>
      </c>
      <c r="D81" t="s">
        <v>2796</v>
      </c>
      <c r="E81" t="s">
        <v>1438</v>
      </c>
    </row>
    <row r="82" spans="1:5" x14ac:dyDescent="0.2">
      <c r="A82" s="2" t="s">
        <v>4478</v>
      </c>
      <c r="B82" s="2" t="s">
        <v>3766</v>
      </c>
      <c r="D82" t="s">
        <v>2795</v>
      </c>
      <c r="E82" t="s">
        <v>1439</v>
      </c>
    </row>
    <row r="83" spans="1:5" x14ac:dyDescent="0.2">
      <c r="A83" s="2" t="s">
        <v>4479</v>
      </c>
      <c r="B83" s="2" t="s">
        <v>1862</v>
      </c>
      <c r="D83" t="s">
        <v>4870</v>
      </c>
      <c r="E83" t="s">
        <v>4871</v>
      </c>
    </row>
    <row r="84" spans="1:5" x14ac:dyDescent="0.2">
      <c r="A84" s="2" t="s">
        <v>1864</v>
      </c>
      <c r="B84" s="2" t="s">
        <v>3792</v>
      </c>
      <c r="D84" t="s">
        <v>4946</v>
      </c>
      <c r="E84" t="s">
        <v>4868</v>
      </c>
    </row>
    <row r="85" spans="1:5" x14ac:dyDescent="0.2">
      <c r="A85" s="2" t="s">
        <v>5613</v>
      </c>
      <c r="B85" s="2" t="s">
        <v>5614</v>
      </c>
      <c r="D85" t="s">
        <v>5068</v>
      </c>
      <c r="E85" t="s">
        <v>5069</v>
      </c>
    </row>
    <row r="86" spans="1:5" x14ac:dyDescent="0.2">
      <c r="A86" s="2" t="s">
        <v>2483</v>
      </c>
      <c r="B86" s="2" t="s">
        <v>1334</v>
      </c>
      <c r="D86" t="s">
        <v>6757</v>
      </c>
      <c r="E86" t="s">
        <v>5443</v>
      </c>
    </row>
    <row r="87" spans="1:5" x14ac:dyDescent="0.2">
      <c r="A87" s="2" t="s">
        <v>4481</v>
      </c>
      <c r="B87" s="2" t="s">
        <v>3793</v>
      </c>
      <c r="D87" t="s">
        <v>5066</v>
      </c>
      <c r="E87" t="s">
        <v>5067</v>
      </c>
    </row>
    <row r="88" spans="1:5" x14ac:dyDescent="0.2">
      <c r="A88" s="2" t="s">
        <v>4482</v>
      </c>
      <c r="B88" s="2" t="s">
        <v>5286</v>
      </c>
    </row>
    <row r="89" spans="1:5" x14ac:dyDescent="0.2">
      <c r="A89" s="2" t="s">
        <v>2484</v>
      </c>
      <c r="B89" s="2" t="s">
        <v>4293</v>
      </c>
      <c r="D89" s="3" t="s">
        <v>2508</v>
      </c>
    </row>
    <row r="90" spans="1:5" x14ac:dyDescent="0.2">
      <c r="A90" s="2" t="s">
        <v>4739</v>
      </c>
      <c r="B90" s="2" t="s">
        <v>4293</v>
      </c>
    </row>
    <row r="91" spans="1:5" x14ac:dyDescent="0.2">
      <c r="A91" s="2" t="s">
        <v>2485</v>
      </c>
      <c r="B91" s="2" t="s">
        <v>4294</v>
      </c>
      <c r="D91" t="s">
        <v>3523</v>
      </c>
      <c r="E91" t="s">
        <v>2509</v>
      </c>
    </row>
    <row r="92" spans="1:5" x14ac:dyDescent="0.2">
      <c r="A92" s="2" t="s">
        <v>2486</v>
      </c>
      <c r="B92" s="2" t="s">
        <v>1850</v>
      </c>
      <c r="D92" t="s">
        <v>3524</v>
      </c>
      <c r="E92" t="s">
        <v>2510</v>
      </c>
    </row>
    <row r="93" spans="1:5" x14ac:dyDescent="0.2">
      <c r="A93" s="2" t="s">
        <v>2487</v>
      </c>
      <c r="B93" s="2" t="s">
        <v>4348</v>
      </c>
      <c r="D93" t="s">
        <v>1482</v>
      </c>
      <c r="E93" t="s">
        <v>1483</v>
      </c>
    </row>
    <row r="94" spans="1:5" x14ac:dyDescent="0.2">
      <c r="A94" s="2" t="s">
        <v>4599</v>
      </c>
      <c r="B94" s="2" t="s">
        <v>2908</v>
      </c>
    </row>
    <row r="95" spans="1:5" x14ac:dyDescent="0.2">
      <c r="A95" s="2" t="s">
        <v>4600</v>
      </c>
      <c r="B95" s="2" t="s">
        <v>2909</v>
      </c>
    </row>
    <row r="96" spans="1:5" ht="15.75" customHeight="1" x14ac:dyDescent="0.2">
      <c r="A96" s="2" t="s">
        <v>4257</v>
      </c>
      <c r="B96" s="2" t="s">
        <v>2910</v>
      </c>
      <c r="D96" s="3" t="s">
        <v>1558</v>
      </c>
    </row>
    <row r="97" spans="1:5" x14ac:dyDescent="0.2">
      <c r="A97" s="2" t="s">
        <v>4349</v>
      </c>
      <c r="B97" s="2" t="s">
        <v>4350</v>
      </c>
    </row>
    <row r="98" spans="1:5" x14ac:dyDescent="0.2">
      <c r="A98" s="2" t="s">
        <v>5755</v>
      </c>
      <c r="B98" s="2" t="s">
        <v>5756</v>
      </c>
      <c r="D98" t="s">
        <v>6545</v>
      </c>
      <c r="E98" t="s">
        <v>1133</v>
      </c>
    </row>
    <row r="99" spans="1:5" x14ac:dyDescent="0.2">
      <c r="A99" s="2" t="s">
        <v>2902</v>
      </c>
      <c r="B99" s="2" t="s">
        <v>2903</v>
      </c>
      <c r="D99" t="s">
        <v>6543</v>
      </c>
      <c r="E99" t="s">
        <v>1560</v>
      </c>
    </row>
    <row r="100" spans="1:5" x14ac:dyDescent="0.2">
      <c r="A100" s="2" t="s">
        <v>2870</v>
      </c>
      <c r="B100" s="2" t="s">
        <v>2871</v>
      </c>
      <c r="D100" t="s">
        <v>6541</v>
      </c>
      <c r="E100" t="s">
        <v>1559</v>
      </c>
    </row>
    <row r="101" spans="1:5" ht="25.5" x14ac:dyDescent="0.2">
      <c r="A101" s="2" t="s">
        <v>3856</v>
      </c>
      <c r="B101" s="2" t="s">
        <v>6824</v>
      </c>
      <c r="D101" t="s">
        <v>1058</v>
      </c>
      <c r="E101" t="s">
        <v>1060</v>
      </c>
    </row>
    <row r="102" spans="1:5" ht="25.5" x14ac:dyDescent="0.2">
      <c r="A102" s="2" t="s">
        <v>5658</v>
      </c>
      <c r="B102" s="2" t="s">
        <v>4643</v>
      </c>
      <c r="D102" t="s">
        <v>1059</v>
      </c>
      <c r="E102" t="s">
        <v>1061</v>
      </c>
    </row>
    <row r="103" spans="1:5" x14ac:dyDescent="0.2">
      <c r="A103" s="2" t="s">
        <v>2488</v>
      </c>
      <c r="B103" s="2" t="s">
        <v>5274</v>
      </c>
      <c r="D103" t="s">
        <v>1135</v>
      </c>
      <c r="E103" t="s">
        <v>1057</v>
      </c>
    </row>
    <row r="104" spans="1:5" x14ac:dyDescent="0.2">
      <c r="A104" s="2" t="s">
        <v>5218</v>
      </c>
      <c r="B104" s="2" t="s">
        <v>6287</v>
      </c>
      <c r="D104" t="s">
        <v>1562</v>
      </c>
      <c r="E104" t="s">
        <v>2418</v>
      </c>
    </row>
    <row r="105" spans="1:5" x14ac:dyDescent="0.2">
      <c r="A105" s="2" t="s">
        <v>4297</v>
      </c>
      <c r="B105" s="2" t="s">
        <v>6290</v>
      </c>
      <c r="D105" t="s">
        <v>2834</v>
      </c>
      <c r="E105" t="s">
        <v>1563</v>
      </c>
    </row>
    <row r="106" spans="1:5" ht="25.5" x14ac:dyDescent="0.2">
      <c r="A106" s="2" t="s">
        <v>5272</v>
      </c>
      <c r="B106" s="2" t="s">
        <v>6288</v>
      </c>
      <c r="D106" t="s">
        <v>1131</v>
      </c>
      <c r="E106" t="s">
        <v>1132</v>
      </c>
    </row>
    <row r="107" spans="1:5" x14ac:dyDescent="0.2">
      <c r="A107" s="2" t="s">
        <v>5216</v>
      </c>
      <c r="B107" s="2" t="s">
        <v>6291</v>
      </c>
      <c r="D107" t="s">
        <v>6544</v>
      </c>
      <c r="E107" t="s">
        <v>1469</v>
      </c>
    </row>
    <row r="108" spans="1:5" x14ac:dyDescent="0.2">
      <c r="A108" s="2" t="s">
        <v>5273</v>
      </c>
      <c r="B108" s="2" t="s">
        <v>6289</v>
      </c>
      <c r="D108" t="s">
        <v>6542</v>
      </c>
      <c r="E108" t="s">
        <v>1561</v>
      </c>
    </row>
    <row r="109" spans="1:5" ht="22.5" x14ac:dyDescent="0.2">
      <c r="A109" s="2" t="s">
        <v>5217</v>
      </c>
      <c r="B109" s="2" t="s">
        <v>6292</v>
      </c>
      <c r="D109" t="s">
        <v>1062</v>
      </c>
      <c r="E109" s="9" t="s">
        <v>1064</v>
      </c>
    </row>
    <row r="110" spans="1:5" x14ac:dyDescent="0.2">
      <c r="A110" s="2" t="s">
        <v>1557</v>
      </c>
      <c r="B110" s="2" t="s">
        <v>6824</v>
      </c>
      <c r="D110" t="s">
        <v>1063</v>
      </c>
      <c r="E110" s="9" t="s">
        <v>1065</v>
      </c>
    </row>
    <row r="111" spans="1:5" x14ac:dyDescent="0.2">
      <c r="A111" s="2" t="s">
        <v>2489</v>
      </c>
      <c r="B111" s="2" t="s">
        <v>3908</v>
      </c>
    </row>
    <row r="112" spans="1:5" x14ac:dyDescent="0.2">
      <c r="A112" s="2" t="s">
        <v>2490</v>
      </c>
      <c r="B112" s="2" t="s">
        <v>3909</v>
      </c>
    </row>
    <row r="113" spans="1:2" x14ac:dyDescent="0.2">
      <c r="A113" s="2" t="s">
        <v>2491</v>
      </c>
      <c r="B113" s="2" t="s">
        <v>1196</v>
      </c>
    </row>
    <row r="114" spans="1:2" x14ac:dyDescent="0.2">
      <c r="A114" s="2" t="s">
        <v>2492</v>
      </c>
      <c r="B114" s="2" t="s">
        <v>2946</v>
      </c>
    </row>
    <row r="115" spans="1:2" x14ac:dyDescent="0.2">
      <c r="A115" s="2" t="s">
        <v>2493</v>
      </c>
      <c r="B115" s="2" t="s">
        <v>2071</v>
      </c>
    </row>
    <row r="116" spans="1:2" x14ac:dyDescent="0.2">
      <c r="A116" s="2" t="s">
        <v>2592</v>
      </c>
      <c r="B116" s="2" t="s">
        <v>5645</v>
      </c>
    </row>
    <row r="117" spans="1:2" x14ac:dyDescent="0.2">
      <c r="A117" s="2" t="s">
        <v>2593</v>
      </c>
      <c r="B117" s="2" t="s">
        <v>2594</v>
      </c>
    </row>
    <row r="118" spans="1:2" x14ac:dyDescent="0.2">
      <c r="A118" s="2" t="s">
        <v>3722</v>
      </c>
      <c r="B118" s="2" t="s">
        <v>3723</v>
      </c>
    </row>
    <row r="119" spans="1:2" x14ac:dyDescent="0.2">
      <c r="A119" s="2" t="s">
        <v>6275</v>
      </c>
      <c r="B119" s="2" t="s">
        <v>6274</v>
      </c>
    </row>
    <row r="120" spans="1:2" x14ac:dyDescent="0.2">
      <c r="A120" s="2" t="s">
        <v>2494</v>
      </c>
      <c r="B120" s="2" t="s">
        <v>2570</v>
      </c>
    </row>
    <row r="121" spans="1:2" x14ac:dyDescent="0.2">
      <c r="A121" s="2" t="s">
        <v>6098</v>
      </c>
      <c r="B121" s="2" t="s">
        <v>6099</v>
      </c>
    </row>
    <row r="122" spans="1:2" x14ac:dyDescent="0.2">
      <c r="A122" s="2" t="s">
        <v>2595</v>
      </c>
      <c r="B122" s="2" t="s">
        <v>5646</v>
      </c>
    </row>
    <row r="123" spans="1:2" x14ac:dyDescent="0.2">
      <c r="A123" s="2" t="s">
        <v>2596</v>
      </c>
      <c r="B123" s="2" t="s">
        <v>2597</v>
      </c>
    </row>
    <row r="124" spans="1:2" x14ac:dyDescent="0.2">
      <c r="A124" s="2" t="s">
        <v>3724</v>
      </c>
      <c r="B124" s="2" t="s">
        <v>3725</v>
      </c>
    </row>
    <row r="125" spans="1:2" x14ac:dyDescent="0.2">
      <c r="A125" s="2" t="s">
        <v>6276</v>
      </c>
      <c r="B125" s="2" t="s">
        <v>6277</v>
      </c>
    </row>
    <row r="126" spans="1:2" x14ac:dyDescent="0.2">
      <c r="A126" s="2" t="s">
        <v>2598</v>
      </c>
      <c r="B126" s="2" t="s">
        <v>4188</v>
      </c>
    </row>
    <row r="127" spans="1:2" x14ac:dyDescent="0.2">
      <c r="A127" s="2" t="s">
        <v>2599</v>
      </c>
      <c r="B127" s="2" t="s">
        <v>2600</v>
      </c>
    </row>
    <row r="128" spans="1:2" x14ac:dyDescent="0.2">
      <c r="A128" s="2" t="s">
        <v>2947</v>
      </c>
      <c r="B128" s="2" t="s">
        <v>2948</v>
      </c>
    </row>
    <row r="129" spans="1:2" x14ac:dyDescent="0.2">
      <c r="A129" s="2" t="s">
        <v>2949</v>
      </c>
      <c r="B129" s="2" t="s">
        <v>2950</v>
      </c>
    </row>
    <row r="130" spans="1:2" x14ac:dyDescent="0.2">
      <c r="A130" s="2" t="s">
        <v>1564</v>
      </c>
      <c r="B130" s="2" t="s">
        <v>1467</v>
      </c>
    </row>
    <row r="131" spans="1:2" x14ac:dyDescent="0.2">
      <c r="A131" s="2" t="s">
        <v>1565</v>
      </c>
      <c r="B131" s="2" t="s">
        <v>1468</v>
      </c>
    </row>
    <row r="132" spans="1:2" x14ac:dyDescent="0.2">
      <c r="A132" s="2" t="s">
        <v>2907</v>
      </c>
      <c r="B132" s="2" t="s">
        <v>2828</v>
      </c>
    </row>
    <row r="133" spans="1:2" x14ac:dyDescent="0.2">
      <c r="A133" s="2" t="s">
        <v>2478</v>
      </c>
      <c r="B133" s="2" t="s">
        <v>2776</v>
      </c>
    </row>
    <row r="134" spans="1:2" x14ac:dyDescent="0.2">
      <c r="A134" s="2" t="s">
        <v>3691</v>
      </c>
      <c r="B134" s="2" t="s">
        <v>2797</v>
      </c>
    </row>
    <row r="135" spans="1:2" x14ac:dyDescent="0.2">
      <c r="A135" s="2" t="s">
        <v>3692</v>
      </c>
      <c r="B135" s="2" t="s">
        <v>3695</v>
      </c>
    </row>
    <row r="136" spans="1:2" x14ac:dyDescent="0.2">
      <c r="A136" s="2" t="s">
        <v>3696</v>
      </c>
      <c r="B136" s="2" t="s">
        <v>2798</v>
      </c>
    </row>
    <row r="137" spans="1:2" x14ac:dyDescent="0.2">
      <c r="A137" s="2" t="s">
        <v>3697</v>
      </c>
      <c r="B137" s="2" t="s">
        <v>2460</v>
      </c>
    </row>
    <row r="138" spans="1:2" x14ac:dyDescent="0.2">
      <c r="A138" s="2" t="s">
        <v>2479</v>
      </c>
      <c r="B138" s="2" t="s">
        <v>2717</v>
      </c>
    </row>
    <row r="139" spans="1:2" x14ac:dyDescent="0.2">
      <c r="A139" s="2" t="s">
        <v>2480</v>
      </c>
      <c r="B139" s="2" t="s">
        <v>2718</v>
      </c>
    </row>
    <row r="140" spans="1:2" x14ac:dyDescent="0.2">
      <c r="A140" s="2" t="s">
        <v>2461</v>
      </c>
      <c r="B140" s="2" t="s">
        <v>5442</v>
      </c>
    </row>
    <row r="141" spans="1:2" x14ac:dyDescent="0.2">
      <c r="A141" s="2" t="s">
        <v>5444</v>
      </c>
      <c r="B141" s="2" t="s">
        <v>5445</v>
      </c>
    </row>
    <row r="142" spans="1:2" x14ac:dyDescent="0.2">
      <c r="A142" s="2" t="s">
        <v>2462</v>
      </c>
      <c r="B142" s="2" t="s">
        <v>2463</v>
      </c>
    </row>
    <row r="143" spans="1:2" x14ac:dyDescent="0.2">
      <c r="A143" s="2" t="s">
        <v>5447</v>
      </c>
      <c r="B143" s="2" t="s">
        <v>5287</v>
      </c>
    </row>
    <row r="144" spans="1:2" x14ac:dyDescent="0.2">
      <c r="A144" s="2" t="s">
        <v>5448</v>
      </c>
      <c r="B144" s="2" t="s">
        <v>5288</v>
      </c>
    </row>
    <row r="145" spans="1:2" x14ac:dyDescent="0.2">
      <c r="A145" s="2" t="s">
        <v>5449</v>
      </c>
      <c r="B145" s="2" t="s">
        <v>1134</v>
      </c>
    </row>
    <row r="146" spans="1:2" x14ac:dyDescent="0.2">
      <c r="A146" s="2" t="s">
        <v>5450</v>
      </c>
      <c r="B146" s="2" t="s">
        <v>3324</v>
      </c>
    </row>
    <row r="147" spans="1:2" x14ac:dyDescent="0.2">
      <c r="A147" s="2" t="s">
        <v>4179</v>
      </c>
      <c r="B147" s="2" t="s">
        <v>4181</v>
      </c>
    </row>
    <row r="148" spans="1:2" x14ac:dyDescent="0.2">
      <c r="A148" s="2" t="s">
        <v>4180</v>
      </c>
      <c r="B148" s="2" t="s">
        <v>4182</v>
      </c>
    </row>
    <row r="149" spans="1:2" x14ac:dyDescent="0.2">
      <c r="A149" s="2" t="s">
        <v>2035</v>
      </c>
      <c r="B149" s="2" t="s">
        <v>2038</v>
      </c>
    </row>
    <row r="150" spans="1:2" x14ac:dyDescent="0.2">
      <c r="A150" s="2" t="s">
        <v>2036</v>
      </c>
      <c r="B150" s="2" t="s">
        <v>2037</v>
      </c>
    </row>
    <row r="151" spans="1:2" x14ac:dyDescent="0.2">
      <c r="A151" s="2" t="s">
        <v>1470</v>
      </c>
      <c r="B151" s="2" t="s">
        <v>1471</v>
      </c>
    </row>
    <row r="152" spans="1:2" x14ac:dyDescent="0.2">
      <c r="A152" s="2" t="s">
        <v>3325</v>
      </c>
      <c r="B152" s="2" t="s">
        <v>3326</v>
      </c>
    </row>
    <row r="153" spans="1:2" x14ac:dyDescent="0.2">
      <c r="A153" s="2" t="s">
        <v>4446</v>
      </c>
      <c r="B153" s="2" t="s">
        <v>4444</v>
      </c>
    </row>
    <row r="154" spans="1:2" x14ac:dyDescent="0.2">
      <c r="A154" s="2" t="s">
        <v>4447</v>
      </c>
      <c r="B154" s="2" t="s">
        <v>4445</v>
      </c>
    </row>
    <row r="155" spans="1:2" x14ac:dyDescent="0.2">
      <c r="A155" s="2" t="s">
        <v>4448</v>
      </c>
      <c r="B155" s="2" t="s">
        <v>4449</v>
      </c>
    </row>
    <row r="156" spans="1:2" x14ac:dyDescent="0.2">
      <c r="A156" s="2" t="s">
        <v>1193</v>
      </c>
      <c r="B156" s="2" t="s">
        <v>1192</v>
      </c>
    </row>
    <row r="157" spans="1:2" x14ac:dyDescent="0.2">
      <c r="A157" s="2" t="s">
        <v>1194</v>
      </c>
      <c r="B157" s="2" t="s">
        <v>1191</v>
      </c>
    </row>
    <row r="158" spans="1:2" x14ac:dyDescent="0.2">
      <c r="A158" s="2" t="s">
        <v>1072</v>
      </c>
      <c r="B158" s="2" t="s">
        <v>3428</v>
      </c>
    </row>
    <row r="159" spans="1:2" x14ac:dyDescent="0.2">
      <c r="A159" s="2" t="s">
        <v>1764</v>
      </c>
      <c r="B159" s="2" t="s">
        <v>1229</v>
      </c>
    </row>
    <row r="160" spans="1:2" x14ac:dyDescent="0.2">
      <c r="A160" s="2" t="s">
        <v>1230</v>
      </c>
      <c r="B160" s="2" t="s">
        <v>1048</v>
      </c>
    </row>
    <row r="161" spans="1:2" x14ac:dyDescent="0.2">
      <c r="A161" s="2" t="s">
        <v>2533</v>
      </c>
      <c r="B161" s="2" t="s">
        <v>6487</v>
      </c>
    </row>
    <row r="162" spans="1:2" x14ac:dyDescent="0.2">
      <c r="A162" s="2" t="s">
        <v>4213</v>
      </c>
      <c r="B162" s="2" t="s">
        <v>6485</v>
      </c>
    </row>
    <row r="163" spans="1:2" x14ac:dyDescent="0.2">
      <c r="A163" s="2" t="s">
        <v>5950</v>
      </c>
      <c r="B163" s="2" t="s">
        <v>5951</v>
      </c>
    </row>
    <row r="164" spans="1:2" x14ac:dyDescent="0.2">
      <c r="A164" s="2" t="s">
        <v>4220</v>
      </c>
      <c r="B164" s="2" t="s">
        <v>1602</v>
      </c>
    </row>
    <row r="165" spans="1:2" x14ac:dyDescent="0.2">
      <c r="A165" s="2" t="s">
        <v>2299</v>
      </c>
      <c r="B165" s="2" t="s">
        <v>1960</v>
      </c>
    </row>
    <row r="166" spans="1:2" x14ac:dyDescent="0.2">
      <c r="A166" s="2" t="s">
        <v>1961</v>
      </c>
      <c r="B166" s="2" t="s">
        <v>1775</v>
      </c>
    </row>
    <row r="167" spans="1:2" x14ac:dyDescent="0.2">
      <c r="A167" s="2" t="s">
        <v>1776</v>
      </c>
      <c r="B167" s="2" t="s">
        <v>44</v>
      </c>
    </row>
    <row r="168" spans="1:2" x14ac:dyDescent="0.2">
      <c r="A168" s="2" t="s">
        <v>46</v>
      </c>
      <c r="B168" s="2" t="s">
        <v>47</v>
      </c>
    </row>
    <row r="169" spans="1:2" x14ac:dyDescent="0.2">
      <c r="A169" s="2" t="s">
        <v>1355</v>
      </c>
      <c r="B169" s="2" t="s">
        <v>1354</v>
      </c>
    </row>
    <row r="170" spans="1:2" x14ac:dyDescent="0.2">
      <c r="A170" s="2" t="s">
        <v>1066</v>
      </c>
      <c r="B170" s="2" t="s">
        <v>1067</v>
      </c>
    </row>
    <row r="171" spans="1:2" x14ac:dyDescent="0.2">
      <c r="A171" s="2" t="s">
        <v>45</v>
      </c>
      <c r="B171" s="2" t="s">
        <v>1070</v>
      </c>
    </row>
    <row r="172" spans="1:2" x14ac:dyDescent="0.2">
      <c r="A172" s="2" t="s">
        <v>1071</v>
      </c>
      <c r="B172" s="2" t="s">
        <v>6108</v>
      </c>
    </row>
    <row r="173" spans="1:2" x14ac:dyDescent="0.2">
      <c r="A173" s="2" t="s">
        <v>1958</v>
      </c>
      <c r="B173" s="2" t="s">
        <v>2300</v>
      </c>
    </row>
    <row r="174" spans="1:2" x14ac:dyDescent="0.2">
      <c r="A174" s="2" t="s">
        <v>1959</v>
      </c>
      <c r="B174" s="2" t="s">
        <v>2301</v>
      </c>
    </row>
  </sheetData>
  <sheetProtection sheet="1" objects="1" scenarios="1"/>
  <phoneticPr fontId="5" type="noConversion"/>
  <pageMargins left="0.38" right="0.39" top="1" bottom="1" header="0.4921259845" footer="0.4921259845"/>
  <pageSetup paperSize="9" orientation="portrait" r:id="rId1"/>
  <headerFooter alignWithMargins="0"/>
  <rowBreaks count="1" manualBreakCount="1">
    <brk id="49" max="16383" man="1"/>
  </rowBreak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37</vt:i4>
      </vt:variant>
      <vt:variant>
        <vt:lpstr>Plages nommées</vt:lpstr>
      </vt:variant>
      <vt:variant>
        <vt:i4>644</vt:i4>
      </vt:variant>
    </vt:vector>
  </HeadingPairs>
  <TitlesOfParts>
    <vt:vector size="681" baseType="lpstr">
      <vt:lpstr>Intro</vt:lpstr>
      <vt:lpstr>Licence</vt:lpstr>
      <vt:lpstr>Nav</vt:lpstr>
      <vt:lpstr>Classeur</vt:lpstr>
      <vt:lpstr>T1</vt:lpstr>
      <vt:lpstr>T2</vt:lpstr>
      <vt:lpstr>T3</vt:lpstr>
      <vt:lpstr>Classif</vt:lpstr>
      <vt:lpstr>Expo</vt:lpstr>
      <vt:lpstr>01 Org</vt:lpstr>
      <vt:lpstr>02 Sit</vt:lpstr>
      <vt:lpstr>03 Loc</vt:lpstr>
      <vt:lpstr>04 Wan</vt:lpstr>
      <vt:lpstr>05 Lan</vt:lpstr>
      <vt:lpstr>06 Exr</vt:lpstr>
      <vt:lpstr>07 Sys</vt:lpstr>
      <vt:lpstr>08 Exs</vt:lpstr>
      <vt:lpstr>09 App</vt:lpstr>
      <vt:lpstr>10 Dev</vt:lpstr>
      <vt:lpstr>11 Mic</vt:lpstr>
      <vt:lpstr>12 Ext</vt:lpstr>
      <vt:lpstr>13 Man</vt:lpstr>
      <vt:lpstr>14 Msi</vt:lpstr>
      <vt:lpstr>Services</vt:lpstr>
      <vt:lpstr>Thèmes</vt:lpstr>
      <vt:lpstr>ISO 27002</vt:lpstr>
      <vt:lpstr>Scénarios</vt:lpstr>
      <vt:lpstr>Risk%actif</vt:lpstr>
      <vt:lpstr>Risk%event</vt:lpstr>
      <vt:lpstr>Plans_action</vt:lpstr>
      <vt:lpstr>Obj_PA</vt:lpstr>
      <vt:lpstr>Obj_Projets</vt:lpstr>
      <vt:lpstr>Vulnérabilités types</vt:lpstr>
      <vt:lpstr>Gravité</vt:lpstr>
      <vt:lpstr>Grilles_IP</vt:lpstr>
      <vt:lpstr>Param</vt:lpstr>
      <vt:lpstr>Codes</vt:lpstr>
      <vt:lpstr>Licence!base_g</vt:lpstr>
      <vt:lpstr>base_g</vt:lpstr>
      <vt:lpstr>Licence!base_i</vt:lpstr>
      <vt:lpstr>base_i</vt:lpstr>
      <vt:lpstr>Licence!base_p</vt:lpstr>
      <vt:lpstr>base_p</vt:lpstr>
      <vt:lpstr>code_acces</vt:lpstr>
      <vt:lpstr>Licence!code_acteur</vt:lpstr>
      <vt:lpstr>code_acteur</vt:lpstr>
      <vt:lpstr>code_actif</vt:lpstr>
      <vt:lpstr>code_event</vt:lpstr>
      <vt:lpstr>code_famille_scénario</vt:lpstr>
      <vt:lpstr>Licence!Code_lieu</vt:lpstr>
      <vt:lpstr>Code_lieu</vt:lpstr>
      <vt:lpstr>Licence!code_process</vt:lpstr>
      <vt:lpstr>code_process</vt:lpstr>
      <vt:lpstr>Licence!code_temps</vt:lpstr>
      <vt:lpstr>code_temps</vt:lpstr>
      <vt:lpstr>ES01A01</vt:lpstr>
      <vt:lpstr>ES01A02</vt:lpstr>
      <vt:lpstr>ES01A03</vt:lpstr>
      <vt:lpstr>ES01A04</vt:lpstr>
      <vt:lpstr>ES01A05</vt:lpstr>
      <vt:lpstr>ES01B01</vt:lpstr>
      <vt:lpstr>ES01B02</vt:lpstr>
      <vt:lpstr>ES01B03</vt:lpstr>
      <vt:lpstr>ES01B04</vt:lpstr>
      <vt:lpstr>ES01B05</vt:lpstr>
      <vt:lpstr>ES01C01</vt:lpstr>
      <vt:lpstr>ES01C02</vt:lpstr>
      <vt:lpstr>ES01C03</vt:lpstr>
      <vt:lpstr>ES01C04</vt:lpstr>
      <vt:lpstr>ES01C05</vt:lpstr>
      <vt:lpstr>ES01C06</vt:lpstr>
      <vt:lpstr>ES01D01</vt:lpstr>
      <vt:lpstr>ES01D02</vt:lpstr>
      <vt:lpstr>ES01D03</vt:lpstr>
      <vt:lpstr>ES01D04</vt:lpstr>
      <vt:lpstr>ES01D05</vt:lpstr>
      <vt:lpstr>ES01E01</vt:lpstr>
      <vt:lpstr>ES01E02</vt:lpstr>
      <vt:lpstr>ES01E03</vt:lpstr>
      <vt:lpstr>ES02A01</vt:lpstr>
      <vt:lpstr>ES02A02</vt:lpstr>
      <vt:lpstr>ES02A03</vt:lpstr>
      <vt:lpstr>ES02A04</vt:lpstr>
      <vt:lpstr>ES02A05</vt:lpstr>
      <vt:lpstr>ES02B01</vt:lpstr>
      <vt:lpstr>ES02C01</vt:lpstr>
      <vt:lpstr>ES02C02</vt:lpstr>
      <vt:lpstr>ES02C03</vt:lpstr>
      <vt:lpstr>ES02C04</vt:lpstr>
      <vt:lpstr>ES02C05</vt:lpstr>
      <vt:lpstr>ES02C06</vt:lpstr>
      <vt:lpstr>ES02D01</vt:lpstr>
      <vt:lpstr>ES02D02</vt:lpstr>
      <vt:lpstr>ES02D03</vt:lpstr>
      <vt:lpstr>ES02D04</vt:lpstr>
      <vt:lpstr>ES02D05</vt:lpstr>
      <vt:lpstr>ES02D06</vt:lpstr>
      <vt:lpstr>ES02D07</vt:lpstr>
      <vt:lpstr>ES03A01</vt:lpstr>
      <vt:lpstr>ES03A02</vt:lpstr>
      <vt:lpstr>ES03A03</vt:lpstr>
      <vt:lpstr>ES03A04</vt:lpstr>
      <vt:lpstr>ES03A05</vt:lpstr>
      <vt:lpstr>ES03A06</vt:lpstr>
      <vt:lpstr>ES03B01</vt:lpstr>
      <vt:lpstr>ES03B02</vt:lpstr>
      <vt:lpstr>ES03B03</vt:lpstr>
      <vt:lpstr>ES03B04</vt:lpstr>
      <vt:lpstr>ES03B05</vt:lpstr>
      <vt:lpstr>ES03B06</vt:lpstr>
      <vt:lpstr>ES03B07</vt:lpstr>
      <vt:lpstr>ES03B08</vt:lpstr>
      <vt:lpstr>ES03C01</vt:lpstr>
      <vt:lpstr>ES03C02</vt:lpstr>
      <vt:lpstr>ES03C03</vt:lpstr>
      <vt:lpstr>ES03D01</vt:lpstr>
      <vt:lpstr>ES03D02</vt:lpstr>
      <vt:lpstr>ES03D03</vt:lpstr>
      <vt:lpstr>ES04A01</vt:lpstr>
      <vt:lpstr>ES04A02</vt:lpstr>
      <vt:lpstr>ES04A03</vt:lpstr>
      <vt:lpstr>ES04A04</vt:lpstr>
      <vt:lpstr>ES04A05</vt:lpstr>
      <vt:lpstr>ES04A06</vt:lpstr>
      <vt:lpstr>ES04B01</vt:lpstr>
      <vt:lpstr>ES04B02</vt:lpstr>
      <vt:lpstr>ES04B03</vt:lpstr>
      <vt:lpstr>ES04C01</vt:lpstr>
      <vt:lpstr>ES04C02</vt:lpstr>
      <vt:lpstr>ES04D01</vt:lpstr>
      <vt:lpstr>ES04D02</vt:lpstr>
      <vt:lpstr>ES04D03</vt:lpstr>
      <vt:lpstr>ES05A01</vt:lpstr>
      <vt:lpstr>ES05A02</vt:lpstr>
      <vt:lpstr>ES05A03</vt:lpstr>
      <vt:lpstr>ES05A04</vt:lpstr>
      <vt:lpstr>ES05A05</vt:lpstr>
      <vt:lpstr>ES05A06</vt:lpstr>
      <vt:lpstr>ES05A07</vt:lpstr>
      <vt:lpstr>ES05B01</vt:lpstr>
      <vt:lpstr>ES05B02</vt:lpstr>
      <vt:lpstr>ES05B03</vt:lpstr>
      <vt:lpstr>ES05B04</vt:lpstr>
      <vt:lpstr>ES05B05</vt:lpstr>
      <vt:lpstr>ES05B06</vt:lpstr>
      <vt:lpstr>ES05B07</vt:lpstr>
      <vt:lpstr>ES05B08</vt:lpstr>
      <vt:lpstr>ES05B09</vt:lpstr>
      <vt:lpstr>ES05C01</vt:lpstr>
      <vt:lpstr>ES05C02</vt:lpstr>
      <vt:lpstr>ES05C03</vt:lpstr>
      <vt:lpstr>ES05C04</vt:lpstr>
      <vt:lpstr>ES05D01</vt:lpstr>
      <vt:lpstr>ES05D02</vt:lpstr>
      <vt:lpstr>ES05D03</vt:lpstr>
      <vt:lpstr>ES06A01</vt:lpstr>
      <vt:lpstr>ES06A02</vt:lpstr>
      <vt:lpstr>ES06A03</vt:lpstr>
      <vt:lpstr>ES06A04</vt:lpstr>
      <vt:lpstr>ES06A05</vt:lpstr>
      <vt:lpstr>ES06A06</vt:lpstr>
      <vt:lpstr>ES06A07</vt:lpstr>
      <vt:lpstr>ES06A08</vt:lpstr>
      <vt:lpstr>ES06B01</vt:lpstr>
      <vt:lpstr>ES06B02</vt:lpstr>
      <vt:lpstr>ES06C01</vt:lpstr>
      <vt:lpstr>ES06C02</vt:lpstr>
      <vt:lpstr>ES06C03</vt:lpstr>
      <vt:lpstr>ES06C04</vt:lpstr>
      <vt:lpstr>ES06D01</vt:lpstr>
      <vt:lpstr>ES06D02</vt:lpstr>
      <vt:lpstr>ES07A01</vt:lpstr>
      <vt:lpstr>ES07A02</vt:lpstr>
      <vt:lpstr>ES07A03</vt:lpstr>
      <vt:lpstr>ES07A04</vt:lpstr>
      <vt:lpstr>ES07A05</vt:lpstr>
      <vt:lpstr>ES07B01</vt:lpstr>
      <vt:lpstr>ES07C01</vt:lpstr>
      <vt:lpstr>ES07C02</vt:lpstr>
      <vt:lpstr>ES07D01</vt:lpstr>
      <vt:lpstr>ES07D02</vt:lpstr>
      <vt:lpstr>ES08A01</vt:lpstr>
      <vt:lpstr>ES08A02</vt:lpstr>
      <vt:lpstr>ES08A03</vt:lpstr>
      <vt:lpstr>ES08A04</vt:lpstr>
      <vt:lpstr>ES08A05</vt:lpstr>
      <vt:lpstr>ES08A06</vt:lpstr>
      <vt:lpstr>ES08A07</vt:lpstr>
      <vt:lpstr>ES08A08</vt:lpstr>
      <vt:lpstr>ES08A09</vt:lpstr>
      <vt:lpstr>ES08B01</vt:lpstr>
      <vt:lpstr>ES08B02</vt:lpstr>
      <vt:lpstr>ES08B03</vt:lpstr>
      <vt:lpstr>ES08C01</vt:lpstr>
      <vt:lpstr>ES08C02</vt:lpstr>
      <vt:lpstr>ES08C03</vt:lpstr>
      <vt:lpstr>ES08C04</vt:lpstr>
      <vt:lpstr>ES08C05</vt:lpstr>
      <vt:lpstr>ES08C06</vt:lpstr>
      <vt:lpstr>ES08C07</vt:lpstr>
      <vt:lpstr>ES08D01</vt:lpstr>
      <vt:lpstr>ES08D02</vt:lpstr>
      <vt:lpstr>ES08D03</vt:lpstr>
      <vt:lpstr>ES08D04</vt:lpstr>
      <vt:lpstr>ES08D05</vt:lpstr>
      <vt:lpstr>ES08D06</vt:lpstr>
      <vt:lpstr>ES08D07</vt:lpstr>
      <vt:lpstr>ES08D08</vt:lpstr>
      <vt:lpstr>ES08D09</vt:lpstr>
      <vt:lpstr>ES08D10</vt:lpstr>
      <vt:lpstr>ES08E01</vt:lpstr>
      <vt:lpstr>ES08E02</vt:lpstr>
      <vt:lpstr>ES08E03</vt:lpstr>
      <vt:lpstr>ES08F01</vt:lpstr>
      <vt:lpstr>ES08F02</vt:lpstr>
      <vt:lpstr>ES08F03</vt:lpstr>
      <vt:lpstr>ES08G01</vt:lpstr>
      <vt:lpstr>ES08G02</vt:lpstr>
      <vt:lpstr>ES08H01</vt:lpstr>
      <vt:lpstr>ES08H02</vt:lpstr>
      <vt:lpstr>ES08H03</vt:lpstr>
      <vt:lpstr>ES09A01</vt:lpstr>
      <vt:lpstr>ES09A02</vt:lpstr>
      <vt:lpstr>ES09A03</vt:lpstr>
      <vt:lpstr>ES09A04</vt:lpstr>
      <vt:lpstr>ES09A05</vt:lpstr>
      <vt:lpstr>ES09B01</vt:lpstr>
      <vt:lpstr>ES09B02</vt:lpstr>
      <vt:lpstr>ES09B03</vt:lpstr>
      <vt:lpstr>ES09B04</vt:lpstr>
      <vt:lpstr>ES09B05</vt:lpstr>
      <vt:lpstr>ES09C01</vt:lpstr>
      <vt:lpstr>ES09C02</vt:lpstr>
      <vt:lpstr>ES09C03</vt:lpstr>
      <vt:lpstr>ES09D01</vt:lpstr>
      <vt:lpstr>ES09D02</vt:lpstr>
      <vt:lpstr>ES09E01</vt:lpstr>
      <vt:lpstr>ES09E02</vt:lpstr>
      <vt:lpstr>ES09E03</vt:lpstr>
      <vt:lpstr>ES09F01</vt:lpstr>
      <vt:lpstr>ES09F02</vt:lpstr>
      <vt:lpstr>ES09F03</vt:lpstr>
      <vt:lpstr>ES09G01</vt:lpstr>
      <vt:lpstr>ES09H01</vt:lpstr>
      <vt:lpstr>ES09H02</vt:lpstr>
      <vt:lpstr>ES09H03</vt:lpstr>
      <vt:lpstr>ES10A01</vt:lpstr>
      <vt:lpstr>ES10A02</vt:lpstr>
      <vt:lpstr>ES10A03</vt:lpstr>
      <vt:lpstr>ES10A04</vt:lpstr>
      <vt:lpstr>ES10A05</vt:lpstr>
      <vt:lpstr>ES10B01</vt:lpstr>
      <vt:lpstr>ES10B02</vt:lpstr>
      <vt:lpstr>ES10B03</vt:lpstr>
      <vt:lpstr>ES10B04</vt:lpstr>
      <vt:lpstr>ES10B05</vt:lpstr>
      <vt:lpstr>ES10B06</vt:lpstr>
      <vt:lpstr>ES10C00</vt:lpstr>
      <vt:lpstr>ES11A01</vt:lpstr>
      <vt:lpstr>ES11A02</vt:lpstr>
      <vt:lpstr>ES11A03</vt:lpstr>
      <vt:lpstr>ES11A04</vt:lpstr>
      <vt:lpstr>ES11A05</vt:lpstr>
      <vt:lpstr>ES11B01</vt:lpstr>
      <vt:lpstr>ES11B02</vt:lpstr>
      <vt:lpstr>ES11B03</vt:lpstr>
      <vt:lpstr>ES11C01</vt:lpstr>
      <vt:lpstr>ES11C02</vt:lpstr>
      <vt:lpstr>ES11C03</vt:lpstr>
      <vt:lpstr>ES11C04</vt:lpstr>
      <vt:lpstr>ES11C05</vt:lpstr>
      <vt:lpstr>ES11C06</vt:lpstr>
      <vt:lpstr>ES11D01</vt:lpstr>
      <vt:lpstr>ES11D02</vt:lpstr>
      <vt:lpstr>ES11D03</vt:lpstr>
      <vt:lpstr>ES11D04</vt:lpstr>
      <vt:lpstr>ES11D05</vt:lpstr>
      <vt:lpstr>ES11D06</vt:lpstr>
      <vt:lpstr>ES11D07</vt:lpstr>
      <vt:lpstr>ES11D08</vt:lpstr>
      <vt:lpstr>ES11E01</vt:lpstr>
      <vt:lpstr>ES11E02</vt:lpstr>
      <vt:lpstr>ES11E03</vt:lpstr>
      <vt:lpstr>ES12A01</vt:lpstr>
      <vt:lpstr>ES12A02</vt:lpstr>
      <vt:lpstr>ES12A03</vt:lpstr>
      <vt:lpstr>ES12A04</vt:lpstr>
      <vt:lpstr>ES12A05</vt:lpstr>
      <vt:lpstr>ES12A06</vt:lpstr>
      <vt:lpstr>ES12B01</vt:lpstr>
      <vt:lpstr>ES12B02</vt:lpstr>
      <vt:lpstr>ES12C01</vt:lpstr>
      <vt:lpstr>ES12C02</vt:lpstr>
      <vt:lpstr>ES12C03</vt:lpstr>
      <vt:lpstr>ES12C04</vt:lpstr>
      <vt:lpstr>ES12C05</vt:lpstr>
      <vt:lpstr>ES12D01</vt:lpstr>
      <vt:lpstr>ES12D02</vt:lpstr>
      <vt:lpstr>ES12D03</vt:lpstr>
      <vt:lpstr>ES12E01</vt:lpstr>
      <vt:lpstr>ES12E02</vt:lpstr>
      <vt:lpstr>ES12E03</vt:lpstr>
      <vt:lpstr>ES13A01</vt:lpstr>
      <vt:lpstr>ES13A02</vt:lpstr>
      <vt:lpstr>ES13A03</vt:lpstr>
      <vt:lpstr>ES13A04</vt:lpstr>
      <vt:lpstr>ES13B01</vt:lpstr>
      <vt:lpstr>ES13B02</vt:lpstr>
      <vt:lpstr>ES13B03</vt:lpstr>
      <vt:lpstr>ES13B04</vt:lpstr>
      <vt:lpstr>ES13C01</vt:lpstr>
      <vt:lpstr>ES13C02</vt:lpstr>
      <vt:lpstr>ES13C03</vt:lpstr>
      <vt:lpstr>ES13C04</vt:lpstr>
      <vt:lpstr>ES13C05</vt:lpstr>
      <vt:lpstr>ES13D01</vt:lpstr>
      <vt:lpstr>ES13D02</vt:lpstr>
      <vt:lpstr>ES13D03</vt:lpstr>
      <vt:lpstr>ES13D04</vt:lpstr>
      <vt:lpstr>ES13E01</vt:lpstr>
      <vt:lpstr>ES13E02</vt:lpstr>
      <vt:lpstr>ES13E03</vt:lpstr>
      <vt:lpstr>ES13E04</vt:lpstr>
      <vt:lpstr>ES13F01</vt:lpstr>
      <vt:lpstr>ES13F02</vt:lpstr>
      <vt:lpstr>ES13F03</vt:lpstr>
      <vt:lpstr>ES13F04</vt:lpstr>
      <vt:lpstr>ES13G01</vt:lpstr>
      <vt:lpstr>ES13G02</vt:lpstr>
      <vt:lpstr>ES13G03</vt:lpstr>
      <vt:lpstr>ES14A01</vt:lpstr>
      <vt:lpstr>ES14A02</vt:lpstr>
      <vt:lpstr>ES14A03</vt:lpstr>
      <vt:lpstr>ES14A04</vt:lpstr>
      <vt:lpstr>ES14A05</vt:lpstr>
      <vt:lpstr>ES14A06</vt:lpstr>
      <vt:lpstr>ES14A07</vt:lpstr>
      <vt:lpstr>ES14A08</vt:lpstr>
      <vt:lpstr>ES14B01</vt:lpstr>
      <vt:lpstr>ES14B02</vt:lpstr>
      <vt:lpstr>ES14B03</vt:lpstr>
      <vt:lpstr>ES14B04</vt:lpstr>
      <vt:lpstr>ES14B05</vt:lpstr>
      <vt:lpstr>ES14C01</vt:lpstr>
      <vt:lpstr>ES14C02</vt:lpstr>
      <vt:lpstr>ES14C03</vt:lpstr>
      <vt:lpstr>ES14D01</vt:lpstr>
      <vt:lpstr>ES14D02</vt:lpstr>
      <vt:lpstr>ES14D03</vt:lpstr>
      <vt:lpstr>ES14D04</vt:lpstr>
      <vt:lpstr>ES14E01</vt:lpstr>
      <vt:lpstr>ES14E02</vt:lpstr>
      <vt:lpstr>ES14E03</vt:lpstr>
      <vt:lpstr>ES14E04</vt:lpstr>
      <vt:lpstr>ES14E05</vt:lpstr>
      <vt:lpstr>ES14E06</vt:lpstr>
      <vt:lpstr>Licence!IndG</vt:lpstr>
      <vt:lpstr>IndG</vt:lpstr>
      <vt:lpstr>S01A01</vt:lpstr>
      <vt:lpstr>S01A02</vt:lpstr>
      <vt:lpstr>S01A03</vt:lpstr>
      <vt:lpstr>S01A04</vt:lpstr>
      <vt:lpstr>S01A05</vt:lpstr>
      <vt:lpstr>S01B01</vt:lpstr>
      <vt:lpstr>S01B02</vt:lpstr>
      <vt:lpstr>S01B03</vt:lpstr>
      <vt:lpstr>S01B04</vt:lpstr>
      <vt:lpstr>S01B05</vt:lpstr>
      <vt:lpstr>S01C01</vt:lpstr>
      <vt:lpstr>S01C02</vt:lpstr>
      <vt:lpstr>S01C03</vt:lpstr>
      <vt:lpstr>S01C04</vt:lpstr>
      <vt:lpstr>S01C05</vt:lpstr>
      <vt:lpstr>S01C06</vt:lpstr>
      <vt:lpstr>S01D01</vt:lpstr>
      <vt:lpstr>S01D02</vt:lpstr>
      <vt:lpstr>S01D03</vt:lpstr>
      <vt:lpstr>S01D04</vt:lpstr>
      <vt:lpstr>S01D05</vt:lpstr>
      <vt:lpstr>S01E01</vt:lpstr>
      <vt:lpstr>S01E02</vt:lpstr>
      <vt:lpstr>S01E03</vt:lpstr>
      <vt:lpstr>S02A01</vt:lpstr>
      <vt:lpstr>S02A02</vt:lpstr>
      <vt:lpstr>S02A03</vt:lpstr>
      <vt:lpstr>S02A04</vt:lpstr>
      <vt:lpstr>S02A05</vt:lpstr>
      <vt:lpstr>S02B01</vt:lpstr>
      <vt:lpstr>S02C01</vt:lpstr>
      <vt:lpstr>S02C02</vt:lpstr>
      <vt:lpstr>S02C03</vt:lpstr>
      <vt:lpstr>S02C04</vt:lpstr>
      <vt:lpstr>S02C05</vt:lpstr>
      <vt:lpstr>S02C06</vt:lpstr>
      <vt:lpstr>S02D01</vt:lpstr>
      <vt:lpstr>S02D02</vt:lpstr>
      <vt:lpstr>S02D03</vt:lpstr>
      <vt:lpstr>S02D04</vt:lpstr>
      <vt:lpstr>S02D05</vt:lpstr>
      <vt:lpstr>S02D06</vt:lpstr>
      <vt:lpstr>S02D07</vt:lpstr>
      <vt:lpstr>S03A01</vt:lpstr>
      <vt:lpstr>S03A02</vt:lpstr>
      <vt:lpstr>S03A03</vt:lpstr>
      <vt:lpstr>S03A04</vt:lpstr>
      <vt:lpstr>S03A05</vt:lpstr>
      <vt:lpstr>S03A06</vt:lpstr>
      <vt:lpstr>S03B01</vt:lpstr>
      <vt:lpstr>S03B02</vt:lpstr>
      <vt:lpstr>S03B03</vt:lpstr>
      <vt:lpstr>S03B04</vt:lpstr>
      <vt:lpstr>S03B05</vt:lpstr>
      <vt:lpstr>S03B06</vt:lpstr>
      <vt:lpstr>S03B07</vt:lpstr>
      <vt:lpstr>S03B08</vt:lpstr>
      <vt:lpstr>S03C01</vt:lpstr>
      <vt:lpstr>S03C02</vt:lpstr>
      <vt:lpstr>S03C03</vt:lpstr>
      <vt:lpstr>S03D01</vt:lpstr>
      <vt:lpstr>S03D02</vt:lpstr>
      <vt:lpstr>S03D03</vt:lpstr>
      <vt:lpstr>S04A01</vt:lpstr>
      <vt:lpstr>S04A02</vt:lpstr>
      <vt:lpstr>S04A03</vt:lpstr>
      <vt:lpstr>S04A04</vt:lpstr>
      <vt:lpstr>S04A05</vt:lpstr>
      <vt:lpstr>S04A06</vt:lpstr>
      <vt:lpstr>S04B01</vt:lpstr>
      <vt:lpstr>S04B02</vt:lpstr>
      <vt:lpstr>S04B03</vt:lpstr>
      <vt:lpstr>S04C01</vt:lpstr>
      <vt:lpstr>S04C02</vt:lpstr>
      <vt:lpstr>S04D01</vt:lpstr>
      <vt:lpstr>S04D02</vt:lpstr>
      <vt:lpstr>S04D03</vt:lpstr>
      <vt:lpstr>S05A01</vt:lpstr>
      <vt:lpstr>S05A02</vt:lpstr>
      <vt:lpstr>S05A03</vt:lpstr>
      <vt:lpstr>S05A04</vt:lpstr>
      <vt:lpstr>S05A05</vt:lpstr>
      <vt:lpstr>S05A06</vt:lpstr>
      <vt:lpstr>S05A07</vt:lpstr>
      <vt:lpstr>S05B01</vt:lpstr>
      <vt:lpstr>S05B02</vt:lpstr>
      <vt:lpstr>S05B03</vt:lpstr>
      <vt:lpstr>S05B04</vt:lpstr>
      <vt:lpstr>S05B05</vt:lpstr>
      <vt:lpstr>S05B06</vt:lpstr>
      <vt:lpstr>S05B07</vt:lpstr>
      <vt:lpstr>S05B08</vt:lpstr>
      <vt:lpstr>S05B09</vt:lpstr>
      <vt:lpstr>S05C01</vt:lpstr>
      <vt:lpstr>S05C02</vt:lpstr>
      <vt:lpstr>S05C03</vt:lpstr>
      <vt:lpstr>S05C04</vt:lpstr>
      <vt:lpstr>S05D01</vt:lpstr>
      <vt:lpstr>S05D02</vt:lpstr>
      <vt:lpstr>S05D03</vt:lpstr>
      <vt:lpstr>S06A01</vt:lpstr>
      <vt:lpstr>S06A02</vt:lpstr>
      <vt:lpstr>S06A03</vt:lpstr>
      <vt:lpstr>S06A04</vt:lpstr>
      <vt:lpstr>S06A05</vt:lpstr>
      <vt:lpstr>S06A06</vt:lpstr>
      <vt:lpstr>S06A07</vt:lpstr>
      <vt:lpstr>S06A08</vt:lpstr>
      <vt:lpstr>S06B01</vt:lpstr>
      <vt:lpstr>S06B02</vt:lpstr>
      <vt:lpstr>S06C01</vt:lpstr>
      <vt:lpstr>S06C02</vt:lpstr>
      <vt:lpstr>S06C03</vt:lpstr>
      <vt:lpstr>S06C04</vt:lpstr>
      <vt:lpstr>S06D01</vt:lpstr>
      <vt:lpstr>S06D02</vt:lpstr>
      <vt:lpstr>S07A01</vt:lpstr>
      <vt:lpstr>S07A02</vt:lpstr>
      <vt:lpstr>S07A03</vt:lpstr>
      <vt:lpstr>S07A04</vt:lpstr>
      <vt:lpstr>S07A05</vt:lpstr>
      <vt:lpstr>S07B01</vt:lpstr>
      <vt:lpstr>S07C01</vt:lpstr>
      <vt:lpstr>S07C02</vt:lpstr>
      <vt:lpstr>S07D01</vt:lpstr>
      <vt:lpstr>S07D02</vt:lpstr>
      <vt:lpstr>S08A01</vt:lpstr>
      <vt:lpstr>S08A02</vt:lpstr>
      <vt:lpstr>S08A03</vt:lpstr>
      <vt:lpstr>S08A04</vt:lpstr>
      <vt:lpstr>S08A05</vt:lpstr>
      <vt:lpstr>S08A06</vt:lpstr>
      <vt:lpstr>S08A07</vt:lpstr>
      <vt:lpstr>S08A08</vt:lpstr>
      <vt:lpstr>S08A09</vt:lpstr>
      <vt:lpstr>S08B01</vt:lpstr>
      <vt:lpstr>S08B02</vt:lpstr>
      <vt:lpstr>S08B03</vt:lpstr>
      <vt:lpstr>S08C01</vt:lpstr>
      <vt:lpstr>S08C02</vt:lpstr>
      <vt:lpstr>S08C03</vt:lpstr>
      <vt:lpstr>S08C04</vt:lpstr>
      <vt:lpstr>S08C05</vt:lpstr>
      <vt:lpstr>S08C06</vt:lpstr>
      <vt:lpstr>S08C07</vt:lpstr>
      <vt:lpstr>S08D01</vt:lpstr>
      <vt:lpstr>S08D02</vt:lpstr>
      <vt:lpstr>S08D03</vt:lpstr>
      <vt:lpstr>S08D04</vt:lpstr>
      <vt:lpstr>S08D05</vt:lpstr>
      <vt:lpstr>S08D06</vt:lpstr>
      <vt:lpstr>S08D07</vt:lpstr>
      <vt:lpstr>S08D08</vt:lpstr>
      <vt:lpstr>S08D09</vt:lpstr>
      <vt:lpstr>S08D10</vt:lpstr>
      <vt:lpstr>S08E01</vt:lpstr>
      <vt:lpstr>S08E02</vt:lpstr>
      <vt:lpstr>S08E03</vt:lpstr>
      <vt:lpstr>S08F01</vt:lpstr>
      <vt:lpstr>S08F02</vt:lpstr>
      <vt:lpstr>S08F03</vt:lpstr>
      <vt:lpstr>S08G01</vt:lpstr>
      <vt:lpstr>S08G02</vt:lpstr>
      <vt:lpstr>S08H01</vt:lpstr>
      <vt:lpstr>S08H02</vt:lpstr>
      <vt:lpstr>S08H03</vt:lpstr>
      <vt:lpstr>S09A01</vt:lpstr>
      <vt:lpstr>S09A02</vt:lpstr>
      <vt:lpstr>S09A03</vt:lpstr>
      <vt:lpstr>S09A04</vt:lpstr>
      <vt:lpstr>S09A05</vt:lpstr>
      <vt:lpstr>S09B01</vt:lpstr>
      <vt:lpstr>S09B02</vt:lpstr>
      <vt:lpstr>S09B03</vt:lpstr>
      <vt:lpstr>S09B04</vt:lpstr>
      <vt:lpstr>S09B05</vt:lpstr>
      <vt:lpstr>S09C01</vt:lpstr>
      <vt:lpstr>S09C02</vt:lpstr>
      <vt:lpstr>S09C03</vt:lpstr>
      <vt:lpstr>S09D01</vt:lpstr>
      <vt:lpstr>S09D02</vt:lpstr>
      <vt:lpstr>S09E01</vt:lpstr>
      <vt:lpstr>S09E02</vt:lpstr>
      <vt:lpstr>S09E03</vt:lpstr>
      <vt:lpstr>S09F01</vt:lpstr>
      <vt:lpstr>S09F02</vt:lpstr>
      <vt:lpstr>S09F03</vt:lpstr>
      <vt:lpstr>S09G01</vt:lpstr>
      <vt:lpstr>S09H01</vt:lpstr>
      <vt:lpstr>S09H02</vt:lpstr>
      <vt:lpstr>S09H03</vt:lpstr>
      <vt:lpstr>S10A01</vt:lpstr>
      <vt:lpstr>S10A02</vt:lpstr>
      <vt:lpstr>S10A03</vt:lpstr>
      <vt:lpstr>S10A04</vt:lpstr>
      <vt:lpstr>S10A05</vt:lpstr>
      <vt:lpstr>S10B01</vt:lpstr>
      <vt:lpstr>S10B02</vt:lpstr>
      <vt:lpstr>S10B03</vt:lpstr>
      <vt:lpstr>S10B04</vt:lpstr>
      <vt:lpstr>S10B05</vt:lpstr>
      <vt:lpstr>S10B06</vt:lpstr>
      <vt:lpstr>S10C00</vt:lpstr>
      <vt:lpstr>S11A01</vt:lpstr>
      <vt:lpstr>S11A02</vt:lpstr>
      <vt:lpstr>S11A03</vt:lpstr>
      <vt:lpstr>S11A04</vt:lpstr>
      <vt:lpstr>S11A05</vt:lpstr>
      <vt:lpstr>S11B01</vt:lpstr>
      <vt:lpstr>S11B02</vt:lpstr>
      <vt:lpstr>S11B03</vt:lpstr>
      <vt:lpstr>S11C01</vt:lpstr>
      <vt:lpstr>S11C02</vt:lpstr>
      <vt:lpstr>S11C03</vt:lpstr>
      <vt:lpstr>S11C04</vt:lpstr>
      <vt:lpstr>S11C05</vt:lpstr>
      <vt:lpstr>S11C06</vt:lpstr>
      <vt:lpstr>S11D01</vt:lpstr>
      <vt:lpstr>S11D02</vt:lpstr>
      <vt:lpstr>S11D03</vt:lpstr>
      <vt:lpstr>S11D04</vt:lpstr>
      <vt:lpstr>S11D05</vt:lpstr>
      <vt:lpstr>S11D06</vt:lpstr>
      <vt:lpstr>S11D07</vt:lpstr>
      <vt:lpstr>S11D08</vt:lpstr>
      <vt:lpstr>S11E01</vt:lpstr>
      <vt:lpstr>S11E02</vt:lpstr>
      <vt:lpstr>S11E03</vt:lpstr>
      <vt:lpstr>S12A01</vt:lpstr>
      <vt:lpstr>S12A02</vt:lpstr>
      <vt:lpstr>S12A03</vt:lpstr>
      <vt:lpstr>S12A04</vt:lpstr>
      <vt:lpstr>S12A05</vt:lpstr>
      <vt:lpstr>S12A06</vt:lpstr>
      <vt:lpstr>S12B01</vt:lpstr>
      <vt:lpstr>S12B02</vt:lpstr>
      <vt:lpstr>S12C01</vt:lpstr>
      <vt:lpstr>S12C02</vt:lpstr>
      <vt:lpstr>S12C03</vt:lpstr>
      <vt:lpstr>S12C04</vt:lpstr>
      <vt:lpstr>S12C05</vt:lpstr>
      <vt:lpstr>S12D01</vt:lpstr>
      <vt:lpstr>S12D02</vt:lpstr>
      <vt:lpstr>S12D03</vt:lpstr>
      <vt:lpstr>S12E01</vt:lpstr>
      <vt:lpstr>S12E02</vt:lpstr>
      <vt:lpstr>S12E03</vt:lpstr>
      <vt:lpstr>S13A01</vt:lpstr>
      <vt:lpstr>S13A02</vt:lpstr>
      <vt:lpstr>S13A03</vt:lpstr>
      <vt:lpstr>S13A04</vt:lpstr>
      <vt:lpstr>S13B01</vt:lpstr>
      <vt:lpstr>S13B02</vt:lpstr>
      <vt:lpstr>S13B03</vt:lpstr>
      <vt:lpstr>S13B04</vt:lpstr>
      <vt:lpstr>S13C01</vt:lpstr>
      <vt:lpstr>S13C02</vt:lpstr>
      <vt:lpstr>S13C03</vt:lpstr>
      <vt:lpstr>S13C04</vt:lpstr>
      <vt:lpstr>S13C05</vt:lpstr>
      <vt:lpstr>S13D01</vt:lpstr>
      <vt:lpstr>S13D02</vt:lpstr>
      <vt:lpstr>S13D03</vt:lpstr>
      <vt:lpstr>S13D04</vt:lpstr>
      <vt:lpstr>S13E01</vt:lpstr>
      <vt:lpstr>S13E02</vt:lpstr>
      <vt:lpstr>S13E03</vt:lpstr>
      <vt:lpstr>S13E04</vt:lpstr>
      <vt:lpstr>S13F01</vt:lpstr>
      <vt:lpstr>S13F02</vt:lpstr>
      <vt:lpstr>S13F03</vt:lpstr>
      <vt:lpstr>S13F04</vt:lpstr>
      <vt:lpstr>S13G01</vt:lpstr>
      <vt:lpstr>S13G02</vt:lpstr>
      <vt:lpstr>S13G03</vt:lpstr>
      <vt:lpstr>S14A01</vt:lpstr>
      <vt:lpstr>S14A02</vt:lpstr>
      <vt:lpstr>S14A03</vt:lpstr>
      <vt:lpstr>S14A04</vt:lpstr>
      <vt:lpstr>S14A05</vt:lpstr>
      <vt:lpstr>S14A06</vt:lpstr>
      <vt:lpstr>S14A07</vt:lpstr>
      <vt:lpstr>S14A08</vt:lpstr>
      <vt:lpstr>S14B01</vt:lpstr>
      <vt:lpstr>S14B02</vt:lpstr>
      <vt:lpstr>S14B03</vt:lpstr>
      <vt:lpstr>S14B04</vt:lpstr>
      <vt:lpstr>S14B05</vt:lpstr>
      <vt:lpstr>S14C01</vt:lpstr>
      <vt:lpstr>S14C02</vt:lpstr>
      <vt:lpstr>S14C03</vt:lpstr>
      <vt:lpstr>S14D01</vt:lpstr>
      <vt:lpstr>S14D02</vt:lpstr>
      <vt:lpstr>S14D03</vt:lpstr>
      <vt:lpstr>S14D04</vt:lpstr>
      <vt:lpstr>S14E01</vt:lpstr>
      <vt:lpstr>S14E02</vt:lpstr>
      <vt:lpstr>S14E03</vt:lpstr>
      <vt:lpstr>S14E04</vt:lpstr>
      <vt:lpstr>S14E05</vt:lpstr>
      <vt:lpstr>S14E06</vt:lpstr>
      <vt:lpstr>select_men</vt:lpstr>
      <vt:lpstr>select_vul_data</vt:lpstr>
      <vt:lpstr>select_vul_proc</vt:lpstr>
      <vt:lpstr>select_vul_serv</vt:lpstr>
      <vt:lpstr>Licence!Tab_actions</vt:lpstr>
      <vt:lpstr>Tab_actions</vt:lpstr>
      <vt:lpstr>Tab_classif_conf</vt:lpstr>
      <vt:lpstr>Tab_classif_data</vt:lpstr>
      <vt:lpstr>Tab_classif_servG</vt:lpstr>
      <vt:lpstr>Licence!Tab_classif_servIR</vt:lpstr>
      <vt:lpstr>Tab_classif_servIR</vt:lpstr>
      <vt:lpstr>Licence!Tab_event</vt:lpstr>
      <vt:lpstr>Tab_event</vt:lpstr>
      <vt:lpstr>Licence!Tmax</vt:lpstr>
      <vt:lpstr>Tmax</vt:lpstr>
      <vt:lpstr>Licence!Tmin</vt:lpstr>
      <vt:lpstr>Tmin</vt:lpstr>
      <vt:lpstr>Obj_PA!Zone_d_impression</vt:lpstr>
      <vt:lpstr>Obj_Projets!Zone_d_impression</vt:lpstr>
      <vt:lpstr>Plans_action!Zone_d_impression</vt:lpstr>
      <vt:lpstr>Services!Zone_d_impression</vt:lpstr>
      <vt:lpstr>Thèmes!Zone_d_impression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connaissance Méhari version 2013</dc:title>
  <dc:subject>Base de connaissance Méhari version 2013</dc:subject>
  <dc:creator>Jean-Philippe Jouas</dc:creator>
  <cp:keywords>méthode, traitement, Analyse de risque, ISO 27001, 27002, 27005</cp:keywords>
  <cp:lastModifiedBy>jp.jouas@free.fr</cp:lastModifiedBy>
  <cp:lastPrinted>2018-06-25T17:10:16Z</cp:lastPrinted>
  <dcterms:created xsi:type="dcterms:W3CDTF">2008-05-12T16:19:35Z</dcterms:created>
  <dcterms:modified xsi:type="dcterms:W3CDTF">2019-05-29T08:11:43Z</dcterms:modified>
</cp:coreProperties>
</file>